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slicers/slicer1.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5.xml" ContentType="application/vnd.openxmlformats-officedocument.drawing+xml"/>
  <Override PartName="/xl/slicers/slicer2.xml" ContentType="application/vnd.ms-excel.slicer+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tables/table15.xml" ContentType="application/vnd.openxmlformats-officedocument.spreadsheetml.table+xml"/>
  <Override PartName="/xl/drawings/drawing6.xml" ContentType="application/vnd.openxmlformats-officedocument.drawing+xml"/>
  <Override PartName="/xl/slicers/slicer3.xml" ContentType="application/vnd.ms-excel.slicer+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tables/table16.xml" ContentType="application/vnd.openxmlformats-officedocument.spreadsheetml.table+xml"/>
  <Override PartName="/xl/tables/table1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workbookPr codeName="ThisWorkbook"/>
  <mc:AlternateContent xmlns:mc="http://schemas.openxmlformats.org/markup-compatibility/2006">
    <mc:Choice Requires="x15">
      <x15ac:absPath xmlns:x15ac="http://schemas.microsoft.com/office/spreadsheetml/2010/11/ac" url="C:\Users\Jakob\Documents\Arbejde\Statistik\"/>
    </mc:Choice>
  </mc:AlternateContent>
  <xr:revisionPtr revIDLastSave="0" documentId="13_ncr:1_{03DF2240-3E0C-4A5E-B263-E4AD8F3A8BA4}" xr6:coauthVersionLast="46" xr6:coauthVersionMax="46" xr10:uidLastSave="{00000000-0000-0000-0000-000000000000}"/>
  <bookViews>
    <workbookView xWindow="-120" yWindow="-120" windowWidth="29040" windowHeight="15840" tabRatio="727" xr2:uid="{00000000-000D-0000-FFFF-FFFF00000000}"/>
  </bookViews>
  <sheets>
    <sheet name="Velkommen" sheetId="43" r:id="rId1"/>
    <sheet name="Data" sheetId="62" r:id="rId2"/>
    <sheet name="DataBeregning" sheetId="64" state="hidden" r:id="rId3"/>
    <sheet name="Lister" sheetId="60" state="hidden" r:id="rId4"/>
    <sheet name="BeskrivendeStatistik" sheetId="40" r:id="rId5"/>
    <sheet name="Sandsynlighed" sheetId="50" r:id="rId6"/>
    <sheet name="Estimation" sheetId="54" r:id="rId7"/>
    <sheet name="Estimation Beregninger" sheetId="56" state="hidden" r:id="rId8"/>
    <sheet name="LineærRegression" sheetId="42" r:id="rId9"/>
    <sheet name="Lineær regression slicer" sheetId="57" state="hidden" r:id="rId10"/>
    <sheet name="Beregningsark" sheetId="58" state="hidden" r:id="rId11"/>
    <sheet name="ANOVA" sheetId="52" r:id="rId12"/>
    <sheet name="ANOVA slicer" sheetId="61" state="hidden" r:id="rId13"/>
    <sheet name="DataGenerator" sheetId="53" r:id="rId14"/>
  </sheets>
  <definedNames>
    <definedName name="AklMs">_xlfn.ANCHORARRAY(ANOVA!$BZ$9)</definedName>
    <definedName name="AksMs">_xlfn.ANCHORARRAY(ANOVA!$CA$9)</definedName>
    <definedName name="AkxMs">_xlfn.ANCHORARRAY(ANOVA!$BX$9)</definedName>
    <definedName name="AkyMs">_xlfn.ANCHORARRAY(ANOVA!$BY$9)</definedName>
    <definedName name="AlG">_xlfn.ANCHORARRAY(ANOVA!$CI$9)</definedName>
    <definedName name="AlMs">_xlfn.ANCHORARRAY(ANOVA!$BM$9)</definedName>
    <definedName name="AlNorm">_xlfn.ANCHORARRAY(ANOVA!$AZ$9)</definedName>
    <definedName name="AlS">_xlfn.ANCHORARRAY(ANOVA!$CP$9)</definedName>
    <definedName name="AlxNorm">_xlfn.ANCHORARRAY(ANOVA!$AX$9)</definedName>
    <definedName name="AlyNorm">_xlfn.ANCHORARRAY(ANOVA!$AY$9)</definedName>
    <definedName name="AsMs">_xlfn.ANCHORARRAY(ANOVA!$BN$9)</definedName>
    <definedName name="AxG">_xlfn.ANCHORARRAY(ANOVA!$CD$9)</definedName>
    <definedName name="AxMs">_xlfn.ANCHORARRAY(ANOVA!$BE$9)</definedName>
    <definedName name="AxNorm">_xlfn.ANCHORARRAY(ANOVA!$AU$9)</definedName>
    <definedName name="AxS">_xlfn.ANCHORARRAY(ANOVA!$CK$9)</definedName>
    <definedName name="AyGa">_xlfn.ANCHORARRAY(ANOVA!$CH$9)</definedName>
    <definedName name="AyGn">_xlfn.ANCHORARRAY(ANOVA!$CG$9)</definedName>
    <definedName name="AyGs">_xlfn.ANCHORARRAY(ANOVA!$CF$9)</definedName>
    <definedName name="AyMs">_xlfn.ANCHORARRAY(ANOVA!$BF$9)</definedName>
    <definedName name="AyNorm">_xlfn.ANCHORARRAY(ANOVA!$AV$9)</definedName>
    <definedName name="AySa">_xlfn.ANCHORARRAY(ANOVA!$CO$9)</definedName>
    <definedName name="AySn">_xlfn.ANCHORARRAY(ANOVA!$CN$9)</definedName>
    <definedName name="AySs">_xlfn.ANCHORARRAY(ANOVA!$CM$9)</definedName>
    <definedName name="Beregningsmetode_liste">Lister!$G$2:$G$10</definedName>
    <definedName name="BfHist">_xlfn.ANCHORARRAY(BeskrivendeStatistik!$AM$2)</definedName>
    <definedName name="BfZ">_xlfn.ANCHORARRAY(BeskrivendeStatistik!$W$2)</definedName>
    <definedName name="Bk_1">_xlfn.ANCHORARRAY(BeskrivendeStatistik!$BN$2)</definedName>
    <definedName name="Bk_2">_xlfn.ANCHORARRAY(BeskrivendeStatistik!$BO$2)</definedName>
    <definedName name="Bk_3">_xlfn.ANCHORARRAY(BeskrivendeStatistik!$BP$2)</definedName>
    <definedName name="Bk_4">_xlfn.ANCHORARRAY(BeskrivendeStatistik!$BQ$2)</definedName>
    <definedName name="Bo">_xlfn.ANCHORARRAY(BeskrivendeStatistik!$BZ$2)</definedName>
    <definedName name="BoY">_xlfn.ANCHORARRAY(BeskrivendeStatistik!$CA$2)</definedName>
    <definedName name="BsData">_xlfn.ANCHORARRAY(BeskrivendeStatistik!$U$2)</definedName>
    <definedName name="Buf">_xlfn.ANCHORARRAY(BeskrivendeStatistik!$AY$2)</definedName>
    <definedName name="Bx2Hist">_xlfn.ANCHORARRAY(BeskrivendeStatistik!$AO$2)</definedName>
    <definedName name="BxF">_xlfn.ANCHORARRAY(BeskrivendeStatistik!$CQ$2)</definedName>
    <definedName name="BxHist">_xlfn.ANCHORARRAY(BeskrivendeStatistik!$AN$2)</definedName>
    <definedName name="BxK">_xlfn.ANCHORARRAY(BeskrivendeStatistik!$BR$2)</definedName>
    <definedName name="BxS">_xlfn.ANCHORARRAY(BeskrivendeStatistik!$AZ$2)</definedName>
    <definedName name="ByF">_xlfn.ANCHORARRAY(BeskrivendeStatistik!$CP$2)</definedName>
    <definedName name="BzData">_xlfn.ANCHORARRAY(BeskrivendeStatistik!$V$2)</definedName>
    <definedName name="BzHist">_xlfn.ANCHORARRAY(BeskrivendeStatistik!$AJ$2)</definedName>
    <definedName name="Data">Data!$A$2:INDEX(Data!$A$2:$CV$1048576,DataBeregning!$B$2,DataBeregning!$B$3)</definedName>
    <definedName name="DataHeaders">Data!$A$1:$CV$1</definedName>
    <definedName name="DataTitel_liste">_xlfn.ANCHORARRAY(Lister!$C$2)</definedName>
    <definedName name="DataTitelTest_liste">_xlfn.ANCHORARRAY(Lister!$C$2)</definedName>
    <definedName name="E_a_aktiv">Estimation!$BG$8</definedName>
    <definedName name="E_g_aktiv">Estimation!$BE$8</definedName>
    <definedName name="E_i_aktiv">Estimation!$BH$8</definedName>
    <definedName name="E_k_aktiv">Estimation!$BI$8</definedName>
    <definedName name="E_s_aktiv">Estimation!$BF$8</definedName>
    <definedName name="Eu_a_a_x">Estimation!$P$7</definedName>
    <definedName name="Eu_a_a_y">Estimation!$Q$7</definedName>
    <definedName name="Eu_a_h0_x">Estimation!$P$8</definedName>
    <definedName name="Eu_a_h0_y">Estimation!$Q$8</definedName>
    <definedName name="Eu_a_konfidensniveau">Estimation!$P$15</definedName>
    <definedName name="Eu_a_n_x">Estimation!$P$9</definedName>
    <definedName name="Eu_a_n_y">Estimation!$Q$9</definedName>
    <definedName name="Eu_a_ønsket_fejlmargin">Estimation!$P$16</definedName>
    <definedName name="Eu_a_t_x">Estimation!$P$6</definedName>
    <definedName name="Eu_a_t_y">Estimation!$Q$6</definedName>
    <definedName name="Eu_g_g_x">Estimation!$B$7</definedName>
    <definedName name="Eu_g_g_y">Estimation!$C$7</definedName>
    <definedName name="Eu_g_h0_x">Estimation!$B$8</definedName>
    <definedName name="Eu_g_h0_y">Estimation!$C$8</definedName>
    <definedName name="Eu_g_konfidensniveau">Estimation!$B$15</definedName>
    <definedName name="Eu_g_n_x">Estimation!$B$11</definedName>
    <definedName name="Eu_g_n_y">Estimation!$C$11</definedName>
    <definedName name="Eu_g_ønsket_fejlmargin">Estimation!$B$16</definedName>
    <definedName name="Eu_g_s_population_x">Estimation!$B$10</definedName>
    <definedName name="Eu_g_s_population_y">Estimation!$C$10</definedName>
    <definedName name="Eu_g_s_x">Estimation!$B$9</definedName>
    <definedName name="Eu_g_s_y">Estimation!$C$9</definedName>
    <definedName name="Eu_g_t_x">Estimation!$B$6</definedName>
    <definedName name="Eu_g_t_y">Estimation!$C$6</definedName>
    <definedName name="Eu_i_h0_x">Estimation!$W$8</definedName>
    <definedName name="Eu_i_h0_y">Estimation!$X$8</definedName>
    <definedName name="Eu_i_i_x">Estimation!$W$7</definedName>
    <definedName name="Eu_i_i_y">Estimation!$X$7</definedName>
    <definedName name="Eu_i_konfidensniveau">Estimation!$W$15</definedName>
    <definedName name="Eu_i_n_x">Estimation!$W$9</definedName>
    <definedName name="Eu_i_n_y">Estimation!$X$9</definedName>
    <definedName name="Eu_i_ønsket_fejlmargin">Estimation!$W$16</definedName>
    <definedName name="Eu_i_t_x">Estimation!$W$6</definedName>
    <definedName name="Eu_i_t_y">Estimation!$X$6</definedName>
    <definedName name="Eu_k_antal_koefficienter">Estimation!$AD$11</definedName>
    <definedName name="Eu_k_h0">Estimation!$AD$8</definedName>
    <definedName name="Eu_k_k">Estimation!$AD$7</definedName>
    <definedName name="Eu_k_konfidensniveau">Estimation!$AD$16</definedName>
    <definedName name="Eu_k_n">Estimation!$AD$10</definedName>
    <definedName name="Eu_k_s">Estimation!$AD$9</definedName>
    <definedName name="Eu_k_t">Estimation!$AD$6</definedName>
    <definedName name="Eu_s_h0_x">Estimation!$I$8</definedName>
    <definedName name="Eu_s_konfidensniveau">Estimation!$I$16</definedName>
    <definedName name="Eu_s_n_x">Estimation!$I$9</definedName>
    <definedName name="Eu_s_n_y">Estimation!$J$9</definedName>
    <definedName name="Eu_s_s_x">Estimation!$I$7</definedName>
    <definedName name="Eu_s_s_y">Estimation!$J$7</definedName>
    <definedName name="Eu_s_t_x">Estimation!$I$6</definedName>
    <definedName name="Eu_s_t_y">Estimation!$J$6</definedName>
    <definedName name="Fordeling_liste">Lister!$E$2:$E$5</definedName>
    <definedName name="HypoteseRetning_liste">Lister!$D$2:$D$5</definedName>
    <definedName name="Hypotesetype_Liste">Lister!$F$2:$F$8</definedName>
    <definedName name="Inkluderet">"Inkluderet"</definedName>
    <definedName name="Inkluderet_Liste">Lister!$A$2:$A$3</definedName>
    <definedName name="Lfm">_xlfn.ANCHORARRAY(LineærRegression!$EP$10)</definedName>
    <definedName name="LfNedre">_xlfn.ANCHORARRAY(LineærRegression!$BK$10)</definedName>
    <definedName name="LfOevre">_xlfn.ANCHORARRAY(LineærRegression!$BJ$10)</definedName>
    <definedName name="Lfs">_xlfn.ANCHORARRAY(LineærRegression!$EO$10)</definedName>
    <definedName name="Lfsy">_xlfn.ANCHORARRAY(LineærRegression!$EQ$10)</definedName>
    <definedName name="LfX">_xlfn.ANCHORARRAY(LineærRegression!$BI$10)</definedName>
    <definedName name="Lfyx">_xlfn.ANCHORARRAY(LineærRegression!$EN$10)</definedName>
    <definedName name="LkNedre">_xlfn.ANCHORARRAY(LineærRegression!$BF$10)</definedName>
    <definedName name="LkOevre">_xlfn.ANCHORARRAY(LineærRegression!$BE$10)</definedName>
    <definedName name="LkX">_xlfn.ANCHORARRAY(LineærRegression!$BD$10)</definedName>
    <definedName name="LmkVxX">_xlfn.ANCHORARRAY(LineærRegression!$CM$10)</definedName>
    <definedName name="LmkVxY">_xlfn.ANCHORARRAY(LineærRegression!$CO$10)</definedName>
    <definedName name="LmkX">_xlfn.ANCHORARRAY(LineærRegression!$CH$10)</definedName>
    <definedName name="LmkY">_xlfn.ANCHORARRAY(LineærRegression!$CI$10)</definedName>
    <definedName name="LpRx">_xlfn.ANCHORARRAY(LineærRegression!$DI$10)</definedName>
    <definedName name="LpRy">_xlfn.ANCHORARRAY(LineærRegression!$DH$10)</definedName>
    <definedName name="LpX">_xlfn.ANCHORARRAY(LineærRegression!$DC$10)</definedName>
    <definedName name="LpXlx">_xlfn.ANCHORARRAY(LineærRegression!$DS$10)</definedName>
    <definedName name="LpXly">_xlfn.ANCHORARRAY(LineærRegression!$DT$10)</definedName>
    <definedName name="LpY">_xlfn.ANCHORARRAY(LineærRegression!$DD$10)</definedName>
    <definedName name="LpYlx">_xlfn.ANCHORARRAY(LineærRegression!$DP$10)</definedName>
    <definedName name="LpYly">_xlfn.ANCHORARRAY(LineærRegression!$DQ$10)</definedName>
    <definedName name="LrfZ">_xlfn.ANCHORARRAY(LineærRegression!$ED$10)</definedName>
    <definedName name="LrfZm">_xlfn.ANCHORARRAY(LineærRegression!$EL$10)</definedName>
    <definedName name="LrS">_xlfn.ANCHORARRAY(LineærRegression!$EB$10)</definedName>
    <definedName name="LrSm">_xlfn.ANCHORARRAY(LineærRegression!$EJ$10)</definedName>
    <definedName name="LrZ">_xlfn.ANCHORARRAY(LineærRegression!$EC$10)</definedName>
    <definedName name="LrZm">_xlfn.ANCHORARRAY(LineærRegression!$EK$10)</definedName>
    <definedName name="Lss">_xlfn.ANCHORARRAY(LineærRegression!$ET$50)</definedName>
    <definedName name="Lssx">_xlfn.ANCHORARRAY(LineærRegression!$BP$10)</definedName>
    <definedName name="Lssy1">_xlfn.ANCHORARRAY(LineærRegression!$BN$10)</definedName>
    <definedName name="Lssy2">_xlfn.ANCHORARRAY(LineærRegression!$BO$10)</definedName>
    <definedName name="LsxSimpel">_xlfn.ANCHORARRAY(LineærRegression!$AV$10)</definedName>
    <definedName name="Lsy2Simpel">_xlfn.ANCHORARRAY(LineærRegression!$AW$10)</definedName>
    <definedName name="LsySimpel">_xlfn.ANCHORARRAY(LineærRegression!$AU$10)</definedName>
    <definedName name="LyData">_xlfn.ANCHORARRAY(LineærRegression!$ET$75)</definedName>
    <definedName name="SandFalsk_liste">Lister!$B$2:$B$3</definedName>
    <definedName name="Slicer_Afhængig_variabel1">#N/A</definedName>
    <definedName name="Slicer_Beregningsmetode">#N/A</definedName>
    <definedName name="Slicer_Beregningsmetode1">#N/A</definedName>
    <definedName name="Slicer_Beregningsmetode2">#N/A</definedName>
    <definedName name="Slicer_Beregningsmetode3">#N/A</definedName>
    <definedName name="Slicer_Beregningsmetode4">#N/A</definedName>
    <definedName name="Slicer_Hypotesetype">#N/A</definedName>
    <definedName name="Slicer_Hypotesetype1">#N/A</definedName>
    <definedName name="Slicer_Hypotesetype2">#N/A</definedName>
    <definedName name="Slicer_Hypotesetype3">#N/A</definedName>
    <definedName name="Slicer_Hypotesetype4">#N/A</definedName>
    <definedName name="Slicer_Uafhængige_variable1">#N/A</definedName>
    <definedName name="Slicer_Variabel">#N/A</definedName>
    <definedName name="Udeladt">"Udeladt"</definedName>
    <definedName name="V_Manual_Beskrivende_Statistik">Velkommen!$A$69</definedName>
    <definedName name="V_Manual_Data">Velkommen!$A$27</definedName>
    <definedName name="V_Manual_DataGenerator">Velkommen!$A$559</definedName>
    <definedName name="V_Manual_Konfidens_og_Hypoteser">Velkommen!$A$176</definedName>
    <definedName name="V_Manual_Lineær_Regression">Velkommen!$A$281</definedName>
    <definedName name="V_Manual_Sandsynlighed">Velkommen!$A$503</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5"/>
        <x14:slicerCache r:id="rId16"/>
        <x14:slicerCache r:id="rId17"/>
        <x14:slicerCache r:id="rId18"/>
        <x14:slicerCache r:id="rId19"/>
        <x14:slicerCache r:id="rId20"/>
        <x14:slicerCache r:id="rId21"/>
        <x14:slicerCache r:id="rId22"/>
        <x14:slicerCache r:id="rId23"/>
        <x14:slicerCache r:id="rId24"/>
        <x14:slicerCache r:id="rId25"/>
        <x14:slicerCache r:id="rId26"/>
        <x14:slicerCache r:id="rId2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O60" i="56" l="1"/>
  <c r="AO59" i="56"/>
  <c r="AO58" i="56"/>
  <c r="B39" i="42"/>
  <c r="D39" i="42"/>
  <c r="C39" i="42"/>
  <c r="BG28" i="42"/>
  <c r="BH10" i="42" s="1" a="1"/>
  <c r="BH10" i="42" s="1"/>
  <c r="BL24" i="42"/>
  <c r="BG18" i="42"/>
  <c r="AX18" i="42"/>
  <c r="AQ18" i="42"/>
  <c r="BL16" i="42"/>
  <c r="EE10" i="42"/>
  <c r="BG10" i="42"/>
  <c r="AX10" i="42"/>
  <c r="CK9" i="52" a="1"/>
  <c r="CK9" i="52" s="1"/>
  <c r="CD9" i="52" a="1"/>
  <c r="CD9" i="52" s="1"/>
  <c r="Y30" i="40"/>
  <c r="BB25" i="40"/>
  <c r="Y22" i="40"/>
  <c r="Y24" i="40" s="1"/>
  <c r="AH2" i="40" s="1" a="1"/>
  <c r="AH2" i="40" s="1"/>
  <c r="CD18" i="40"/>
  <c r="R14" i="40"/>
  <c r="CD6" i="40"/>
  <c r="CD8" i="40" s="1"/>
  <c r="CM2" i="40" a="1"/>
  <c r="CM2" i="40" s="1"/>
  <c r="CJ2" i="40" a="1"/>
  <c r="CJ2" i="40" s="1"/>
  <c r="CE2" i="40" a="1"/>
  <c r="CE2" i="40"/>
  <c r="CF2" i="40" s="1" a="1"/>
  <c r="CF2" i="40" s="1"/>
  <c r="CD2" i="40"/>
  <c r="BT2" i="40"/>
  <c r="BK2" i="40" a="1"/>
  <c r="BK2" i="40" s="1"/>
  <c r="BJ2" i="40" a="1"/>
  <c r="BJ2" i="40" s="1"/>
  <c r="BG2" i="40" a="1"/>
  <c r="BG2" i="40" s="1"/>
  <c r="BC2" i="40" a="1"/>
  <c r="BC2" i="40" s="1"/>
  <c r="BB2" i="40"/>
  <c r="Z2" i="40" a="1"/>
  <c r="Z2" i="40" s="1"/>
  <c r="Y2" i="40"/>
  <c r="R2" i="40"/>
  <c r="BI38" i="54"/>
  <c r="BH38" i="54"/>
  <c r="BG38" i="54"/>
  <c r="BF38" i="54"/>
  <c r="BE38" i="54"/>
  <c r="C2" i="60" a="1"/>
  <c r="C2" i="60" s="1"/>
  <c r="B4" i="64" a="1"/>
  <c r="B4" i="64" s="1"/>
  <c r="B3" i="64" s="1"/>
  <c r="DZ10" i="54"/>
  <c r="DZ11" i="54"/>
  <c r="DZ12" i="54"/>
  <c r="DZ13" i="54"/>
  <c r="DZ14" i="54"/>
  <c r="DZ15" i="54"/>
  <c r="DZ16" i="54"/>
  <c r="DZ17" i="54"/>
  <c r="DZ18" i="54"/>
  <c r="DZ19" i="54"/>
  <c r="DZ20" i="54"/>
  <c r="DZ21" i="54"/>
  <c r="DZ22" i="54"/>
  <c r="DZ23" i="54"/>
  <c r="DZ24" i="54"/>
  <c r="DZ25" i="54"/>
  <c r="DZ26" i="54"/>
  <c r="DZ27" i="54"/>
  <c r="DZ28" i="54"/>
  <c r="DZ29" i="54"/>
  <c r="DZ30" i="54"/>
  <c r="DZ31" i="54"/>
  <c r="DZ32" i="54"/>
  <c r="DZ33" i="54"/>
  <c r="DZ34" i="54"/>
  <c r="DZ35" i="54"/>
  <c r="DZ36" i="54"/>
  <c r="DZ37" i="54"/>
  <c r="DZ38" i="54"/>
  <c r="DZ39" i="54"/>
  <c r="DZ40" i="54"/>
  <c r="DZ41" i="54"/>
  <c r="DZ42" i="54"/>
  <c r="DZ43" i="54"/>
  <c r="DZ44" i="54"/>
  <c r="DZ45" i="54"/>
  <c r="DZ46" i="54"/>
  <c r="DZ47" i="54"/>
  <c r="DZ48" i="54"/>
  <c r="DZ49" i="54"/>
  <c r="DZ50" i="54"/>
  <c r="DZ51" i="54"/>
  <c r="DZ52" i="54"/>
  <c r="DZ53" i="54"/>
  <c r="DZ54" i="54"/>
  <c r="DZ55" i="54"/>
  <c r="DZ56" i="54"/>
  <c r="DZ57" i="54"/>
  <c r="DZ58" i="54"/>
  <c r="DZ59" i="54"/>
  <c r="DZ60" i="54"/>
  <c r="DZ61" i="54"/>
  <c r="DZ62" i="54"/>
  <c r="DZ63" i="54"/>
  <c r="DZ64" i="54"/>
  <c r="DZ65" i="54"/>
  <c r="DZ66" i="54"/>
  <c r="DZ67" i="54"/>
  <c r="DZ68" i="54"/>
  <c r="DZ69" i="54"/>
  <c r="DZ70" i="54"/>
  <c r="DZ71" i="54"/>
  <c r="DZ72" i="54"/>
  <c r="DZ73" i="54"/>
  <c r="DZ74" i="54"/>
  <c r="DZ75" i="54"/>
  <c r="DZ76" i="54"/>
  <c r="DZ77" i="54"/>
  <c r="DZ78" i="54"/>
  <c r="DZ79" i="54"/>
  <c r="DZ80" i="54"/>
  <c r="DZ81" i="54"/>
  <c r="DZ82" i="54"/>
  <c r="DZ83" i="54"/>
  <c r="DZ84" i="54"/>
  <c r="DZ85" i="54"/>
  <c r="DZ86" i="54"/>
  <c r="DZ87" i="54"/>
  <c r="DZ88" i="54"/>
  <c r="DZ89" i="54"/>
  <c r="DZ90" i="54"/>
  <c r="DZ91" i="54"/>
  <c r="DZ92" i="54"/>
  <c r="DZ93" i="54"/>
  <c r="DZ94" i="54"/>
  <c r="DZ95" i="54"/>
  <c r="DZ96" i="54"/>
  <c r="DZ97" i="54"/>
  <c r="DZ98" i="54"/>
  <c r="DZ99" i="54"/>
  <c r="DZ100" i="54"/>
  <c r="DZ101" i="54"/>
  <c r="DZ102" i="54"/>
  <c r="DZ103" i="54"/>
  <c r="DZ104" i="54"/>
  <c r="DZ105" i="54"/>
  <c r="DZ106" i="54"/>
  <c r="DZ107" i="54"/>
  <c r="DZ108" i="54"/>
  <c r="DZ109" i="54"/>
  <c r="DZ110" i="54"/>
  <c r="DZ111" i="54"/>
  <c r="DZ112" i="54"/>
  <c r="DZ113" i="54"/>
  <c r="DZ114" i="54"/>
  <c r="DZ115" i="54"/>
  <c r="DZ116" i="54"/>
  <c r="DZ117" i="54"/>
  <c r="DZ118" i="54"/>
  <c r="DZ119" i="54"/>
  <c r="DZ120" i="54"/>
  <c r="DZ121" i="54"/>
  <c r="DZ122" i="54"/>
  <c r="DZ123" i="54"/>
  <c r="DZ124" i="54"/>
  <c r="DZ125" i="54"/>
  <c r="DZ126" i="54"/>
  <c r="DZ127" i="54"/>
  <c r="DZ128" i="54"/>
  <c r="DZ129" i="54"/>
  <c r="DZ130" i="54"/>
  <c r="DZ131" i="54"/>
  <c r="DZ132" i="54"/>
  <c r="DZ133" i="54"/>
  <c r="DZ134" i="54"/>
  <c r="DZ135" i="54"/>
  <c r="DZ136" i="54"/>
  <c r="DZ137" i="54"/>
  <c r="DZ138" i="54"/>
  <c r="DZ139" i="54"/>
  <c r="DZ140" i="54"/>
  <c r="DZ141" i="54"/>
  <c r="DZ142" i="54"/>
  <c r="DZ143" i="54"/>
  <c r="DZ144" i="54"/>
  <c r="DZ145" i="54"/>
  <c r="DZ146" i="54"/>
  <c r="DZ147" i="54"/>
  <c r="DZ148" i="54"/>
  <c r="DZ149" i="54"/>
  <c r="DZ150" i="54"/>
  <c r="DZ151" i="54"/>
  <c r="DZ152" i="54"/>
  <c r="DZ153" i="54"/>
  <c r="DZ154" i="54"/>
  <c r="DZ155" i="54"/>
  <c r="DZ156" i="54"/>
  <c r="DZ157" i="54"/>
  <c r="DZ158" i="54"/>
  <c r="DZ159" i="54"/>
  <c r="DZ160" i="54"/>
  <c r="DZ161" i="54"/>
  <c r="DZ162" i="54"/>
  <c r="DZ163" i="54"/>
  <c r="DZ164" i="54"/>
  <c r="DZ165" i="54"/>
  <c r="DZ166" i="54"/>
  <c r="DZ167" i="54"/>
  <c r="DZ168" i="54"/>
  <c r="DZ169" i="54"/>
  <c r="DZ170" i="54"/>
  <c r="DZ171" i="54"/>
  <c r="DZ172" i="54"/>
  <c r="DZ173" i="54"/>
  <c r="DZ174" i="54"/>
  <c r="DZ175" i="54"/>
  <c r="DZ176" i="54"/>
  <c r="DZ177" i="54"/>
  <c r="DZ178" i="54"/>
  <c r="DZ179" i="54"/>
  <c r="DZ180" i="54"/>
  <c r="DZ181" i="54"/>
  <c r="DZ182" i="54"/>
  <c r="DZ183" i="54"/>
  <c r="DZ184" i="54"/>
  <c r="DZ185" i="54"/>
  <c r="DZ186" i="54"/>
  <c r="DZ187" i="54"/>
  <c r="DZ188" i="54"/>
  <c r="DZ189" i="54"/>
  <c r="DZ190" i="54"/>
  <c r="DZ191" i="54"/>
  <c r="DZ192" i="54"/>
  <c r="DZ193" i="54"/>
  <c r="DZ194" i="54"/>
  <c r="DZ195" i="54"/>
  <c r="DZ196" i="54"/>
  <c r="DZ197" i="54"/>
  <c r="DZ198" i="54"/>
  <c r="DZ199" i="54"/>
  <c r="DZ200" i="54"/>
  <c r="DZ201" i="54"/>
  <c r="DZ202" i="54"/>
  <c r="DZ203" i="54"/>
  <c r="DZ204" i="54"/>
  <c r="DZ205" i="54"/>
  <c r="DZ206" i="54"/>
  <c r="DZ207" i="54"/>
  <c r="DZ208" i="54"/>
  <c r="DZ209" i="54"/>
  <c r="DZ210" i="54"/>
  <c r="DZ211" i="54"/>
  <c r="DZ212" i="54"/>
  <c r="DZ213" i="54"/>
  <c r="DZ214" i="54"/>
  <c r="DZ215" i="54"/>
  <c r="DZ216" i="54"/>
  <c r="DZ217" i="54"/>
  <c r="DZ218" i="54"/>
  <c r="DZ219" i="54"/>
  <c r="DZ220" i="54"/>
  <c r="DZ221" i="54"/>
  <c r="DZ222" i="54"/>
  <c r="DZ223" i="54"/>
  <c r="DZ224" i="54"/>
  <c r="DZ225" i="54"/>
  <c r="DZ226" i="54"/>
  <c r="DZ227" i="54"/>
  <c r="DZ228" i="54"/>
  <c r="DZ229" i="54"/>
  <c r="DZ230" i="54"/>
  <c r="DZ231" i="54"/>
  <c r="DZ232" i="54"/>
  <c r="DZ233" i="54"/>
  <c r="DZ234" i="54"/>
  <c r="DZ235" i="54"/>
  <c r="DZ236" i="54"/>
  <c r="DZ237" i="54"/>
  <c r="DZ238" i="54"/>
  <c r="DZ239" i="54"/>
  <c r="DZ240" i="54"/>
  <c r="DZ241" i="54"/>
  <c r="DZ242" i="54"/>
  <c r="DZ243" i="54"/>
  <c r="DZ244" i="54"/>
  <c r="DZ245" i="54"/>
  <c r="DZ246" i="54"/>
  <c r="DZ247" i="54"/>
  <c r="DZ248" i="54"/>
  <c r="DZ249" i="54"/>
  <c r="DZ250" i="54"/>
  <c r="DZ251" i="54"/>
  <c r="DZ252" i="54"/>
  <c r="DZ253" i="54"/>
  <c r="DZ254" i="54"/>
  <c r="DZ255" i="54"/>
  <c r="DZ256" i="54"/>
  <c r="DZ257" i="54"/>
  <c r="DZ258" i="54"/>
  <c r="DZ259" i="54"/>
  <c r="DZ260" i="54"/>
  <c r="DZ261" i="54"/>
  <c r="DZ262" i="54"/>
  <c r="DZ263" i="54"/>
  <c r="DZ264" i="54"/>
  <c r="DZ265" i="54"/>
  <c r="DZ266" i="54"/>
  <c r="DZ267" i="54"/>
  <c r="DZ268" i="54"/>
  <c r="DG10" i="54"/>
  <c r="DG11" i="54"/>
  <c r="DG12" i="54"/>
  <c r="DG13" i="54"/>
  <c r="DG14" i="54"/>
  <c r="DG15" i="54"/>
  <c r="DG16" i="54"/>
  <c r="DG17" i="54"/>
  <c r="DG18" i="54"/>
  <c r="DG19" i="54"/>
  <c r="DG20" i="54"/>
  <c r="DG21" i="54"/>
  <c r="DG22" i="54"/>
  <c r="DG23" i="54"/>
  <c r="DG24" i="54"/>
  <c r="DG25" i="54"/>
  <c r="DG26" i="54"/>
  <c r="DG27" i="54"/>
  <c r="DG28" i="54"/>
  <c r="DG29" i="54"/>
  <c r="DG30" i="54"/>
  <c r="DG31" i="54"/>
  <c r="DG32" i="54"/>
  <c r="DG33" i="54"/>
  <c r="DG34" i="54"/>
  <c r="DG35" i="54"/>
  <c r="DG36" i="54"/>
  <c r="DG37" i="54"/>
  <c r="DG38" i="54"/>
  <c r="DG39" i="54"/>
  <c r="DG40" i="54"/>
  <c r="DG41" i="54"/>
  <c r="DG42" i="54"/>
  <c r="DG43" i="54"/>
  <c r="DG44" i="54"/>
  <c r="DG45" i="54"/>
  <c r="DG46" i="54"/>
  <c r="DG47" i="54"/>
  <c r="DG48" i="54"/>
  <c r="DG49" i="54"/>
  <c r="DG50" i="54"/>
  <c r="DG51" i="54"/>
  <c r="DG52" i="54"/>
  <c r="DG53" i="54"/>
  <c r="DG54" i="54"/>
  <c r="DG55" i="54"/>
  <c r="DG56" i="54"/>
  <c r="DG57" i="54"/>
  <c r="DG58" i="54"/>
  <c r="DG59" i="54"/>
  <c r="DG60" i="54"/>
  <c r="DG61" i="54"/>
  <c r="DG62" i="54"/>
  <c r="DG63" i="54"/>
  <c r="DG64" i="54"/>
  <c r="DG65" i="54"/>
  <c r="DG66" i="54"/>
  <c r="DG67" i="54"/>
  <c r="DG68" i="54"/>
  <c r="DG69" i="54"/>
  <c r="DG70" i="54"/>
  <c r="DG71" i="54"/>
  <c r="DG72" i="54"/>
  <c r="DG73" i="54"/>
  <c r="DG74" i="54"/>
  <c r="DG75" i="54"/>
  <c r="DG76" i="54"/>
  <c r="DG77" i="54"/>
  <c r="DG78" i="54"/>
  <c r="DG79" i="54"/>
  <c r="DG80" i="54"/>
  <c r="DG81" i="54"/>
  <c r="DG82" i="54"/>
  <c r="DG83" i="54"/>
  <c r="DG84" i="54"/>
  <c r="DG85" i="54"/>
  <c r="DG86" i="54"/>
  <c r="DG87" i="54"/>
  <c r="DG88" i="54"/>
  <c r="DG89" i="54"/>
  <c r="DG90" i="54"/>
  <c r="DG91" i="54"/>
  <c r="DG92" i="54"/>
  <c r="DG93" i="54"/>
  <c r="DG94" i="54"/>
  <c r="DG95" i="54"/>
  <c r="DG96" i="54"/>
  <c r="DG97" i="54"/>
  <c r="DG98" i="54"/>
  <c r="DG99" i="54"/>
  <c r="DG100" i="54"/>
  <c r="DG101" i="54"/>
  <c r="DG102" i="54"/>
  <c r="DG103" i="54"/>
  <c r="DG104" i="54"/>
  <c r="DG105" i="54"/>
  <c r="DG106" i="54"/>
  <c r="DG107" i="54"/>
  <c r="DG108" i="54"/>
  <c r="DG109" i="54"/>
  <c r="DG110" i="54"/>
  <c r="DG111" i="54"/>
  <c r="DG112" i="54"/>
  <c r="DG113" i="54"/>
  <c r="DG114" i="54"/>
  <c r="DG115" i="54"/>
  <c r="DG116" i="54"/>
  <c r="DG117" i="54"/>
  <c r="DG118" i="54"/>
  <c r="DG119" i="54"/>
  <c r="DG120" i="54"/>
  <c r="DG121" i="54"/>
  <c r="DG122" i="54"/>
  <c r="DG123" i="54"/>
  <c r="DG124" i="54"/>
  <c r="DG125" i="54"/>
  <c r="DG126" i="54"/>
  <c r="DG127" i="54"/>
  <c r="DG128" i="54"/>
  <c r="DG129" i="54"/>
  <c r="DG130" i="54"/>
  <c r="DG131" i="54"/>
  <c r="DG132" i="54"/>
  <c r="DG133" i="54"/>
  <c r="DG134" i="54"/>
  <c r="DG135" i="54"/>
  <c r="DG136" i="54"/>
  <c r="DG137" i="54"/>
  <c r="DG138" i="54"/>
  <c r="DG139" i="54"/>
  <c r="DG140" i="54"/>
  <c r="DG141" i="54"/>
  <c r="DG142" i="54"/>
  <c r="DG143" i="54"/>
  <c r="DG144" i="54"/>
  <c r="DG145" i="54"/>
  <c r="DG146" i="54"/>
  <c r="DG147" i="54"/>
  <c r="DG148" i="54"/>
  <c r="DG149" i="54"/>
  <c r="DG150" i="54"/>
  <c r="DG151" i="54"/>
  <c r="DG152" i="54"/>
  <c r="DG153" i="54"/>
  <c r="DG154" i="54"/>
  <c r="DG155" i="54"/>
  <c r="DG156" i="54"/>
  <c r="DG157" i="54"/>
  <c r="DG158" i="54"/>
  <c r="DG159" i="54"/>
  <c r="DG160" i="54"/>
  <c r="DG161" i="54"/>
  <c r="DG162" i="54"/>
  <c r="DG163" i="54"/>
  <c r="DG164" i="54"/>
  <c r="DG165" i="54"/>
  <c r="DG166" i="54"/>
  <c r="DG167" i="54"/>
  <c r="DG168" i="54"/>
  <c r="DG169" i="54"/>
  <c r="DG170" i="54"/>
  <c r="DG171" i="54"/>
  <c r="DG172" i="54"/>
  <c r="DG173" i="54"/>
  <c r="DG174" i="54"/>
  <c r="DG175" i="54"/>
  <c r="DG176" i="54"/>
  <c r="DG177" i="54"/>
  <c r="DG178" i="54"/>
  <c r="DG179" i="54"/>
  <c r="DG180" i="54"/>
  <c r="DG181" i="54"/>
  <c r="DG182" i="54"/>
  <c r="DG183" i="54"/>
  <c r="DG184" i="54"/>
  <c r="DG185" i="54"/>
  <c r="DG186" i="54"/>
  <c r="DG187" i="54"/>
  <c r="DG188" i="54"/>
  <c r="DG189" i="54"/>
  <c r="DG190" i="54"/>
  <c r="DG191" i="54"/>
  <c r="DG192" i="54"/>
  <c r="DG193" i="54"/>
  <c r="DG194" i="54"/>
  <c r="DG195" i="54"/>
  <c r="DG196" i="54"/>
  <c r="DG197" i="54"/>
  <c r="DG198" i="54"/>
  <c r="DG199" i="54"/>
  <c r="DG200" i="54"/>
  <c r="DG201" i="54"/>
  <c r="DG202" i="54"/>
  <c r="DG203" i="54"/>
  <c r="DG204" i="54"/>
  <c r="DG205" i="54"/>
  <c r="DG206" i="54"/>
  <c r="DG207" i="54"/>
  <c r="DG208" i="54"/>
  <c r="DG209" i="54"/>
  <c r="DG210" i="54"/>
  <c r="DG211" i="54"/>
  <c r="DG212" i="54"/>
  <c r="DG213" i="54"/>
  <c r="DG214" i="54"/>
  <c r="DG215" i="54"/>
  <c r="DG216" i="54"/>
  <c r="DG217" i="54"/>
  <c r="DG218" i="54"/>
  <c r="DG219" i="54"/>
  <c r="DG220" i="54"/>
  <c r="DG221" i="54"/>
  <c r="DG222" i="54"/>
  <c r="DG223" i="54"/>
  <c r="DG224" i="54"/>
  <c r="DG225" i="54"/>
  <c r="DG226" i="54"/>
  <c r="DG227" i="54"/>
  <c r="DG228" i="54"/>
  <c r="DG229" i="54"/>
  <c r="DG230" i="54"/>
  <c r="DG231" i="54"/>
  <c r="DG232" i="54"/>
  <c r="DG233" i="54"/>
  <c r="DG234" i="54"/>
  <c r="DG235" i="54"/>
  <c r="DG236" i="54"/>
  <c r="DG237" i="54"/>
  <c r="DG238" i="54"/>
  <c r="DG239" i="54"/>
  <c r="DG240" i="54"/>
  <c r="DG241" i="54"/>
  <c r="DG242" i="54"/>
  <c r="DG243" i="54"/>
  <c r="DG244" i="54"/>
  <c r="DG245" i="54"/>
  <c r="DG246" i="54"/>
  <c r="DG247" i="54"/>
  <c r="DG248" i="54"/>
  <c r="DG249" i="54"/>
  <c r="DG250" i="54"/>
  <c r="DG251" i="54"/>
  <c r="DG252" i="54"/>
  <c r="DG253" i="54"/>
  <c r="DG254" i="54"/>
  <c r="DG255" i="54"/>
  <c r="DG256" i="54"/>
  <c r="DG257" i="54"/>
  <c r="DG258" i="54"/>
  <c r="DG259" i="54"/>
  <c r="DG260" i="54"/>
  <c r="DG261" i="54"/>
  <c r="DG262" i="54"/>
  <c r="DG263" i="54"/>
  <c r="DG264" i="54"/>
  <c r="DG265" i="54"/>
  <c r="DG266" i="54"/>
  <c r="DG267" i="54"/>
  <c r="DG268" i="54"/>
  <c r="BS10" i="54"/>
  <c r="BS11" i="54"/>
  <c r="BS12" i="54"/>
  <c r="BS13" i="54"/>
  <c r="BS14" i="54"/>
  <c r="BS15" i="54"/>
  <c r="BS16" i="54"/>
  <c r="BS17" i="54"/>
  <c r="BS18" i="54"/>
  <c r="BS19" i="54"/>
  <c r="BS20" i="54"/>
  <c r="BS21" i="54"/>
  <c r="BS22" i="54"/>
  <c r="BS23" i="54"/>
  <c r="BS24" i="54"/>
  <c r="BS25" i="54"/>
  <c r="BS26" i="54"/>
  <c r="BS27" i="54"/>
  <c r="BS28" i="54"/>
  <c r="BS29" i="54"/>
  <c r="BS30" i="54"/>
  <c r="BS31" i="54"/>
  <c r="BS32" i="54"/>
  <c r="BS33" i="54"/>
  <c r="BS34" i="54"/>
  <c r="BS35" i="54"/>
  <c r="BS36" i="54"/>
  <c r="BS37" i="54"/>
  <c r="BS38" i="54"/>
  <c r="BS39" i="54"/>
  <c r="BS40" i="54"/>
  <c r="BS41" i="54"/>
  <c r="BS42" i="54"/>
  <c r="BS43" i="54"/>
  <c r="BS44" i="54"/>
  <c r="BS45" i="54"/>
  <c r="BS46" i="54"/>
  <c r="BS47" i="54"/>
  <c r="BS48" i="54"/>
  <c r="BS49" i="54"/>
  <c r="BS50" i="54"/>
  <c r="BS51" i="54"/>
  <c r="BS52" i="54"/>
  <c r="BS53" i="54"/>
  <c r="BS54" i="54"/>
  <c r="BS55" i="54"/>
  <c r="BS56" i="54"/>
  <c r="BS57" i="54"/>
  <c r="BS58" i="54"/>
  <c r="BS59" i="54"/>
  <c r="BS60" i="54"/>
  <c r="BS61" i="54"/>
  <c r="BS62" i="54"/>
  <c r="BS63" i="54"/>
  <c r="BS64" i="54"/>
  <c r="BS65" i="54"/>
  <c r="BS66" i="54"/>
  <c r="BS67" i="54"/>
  <c r="BS68" i="54"/>
  <c r="BS69" i="54"/>
  <c r="BS70" i="54"/>
  <c r="BS71" i="54"/>
  <c r="BS72" i="54"/>
  <c r="BS73" i="54"/>
  <c r="BS74" i="54"/>
  <c r="BS75" i="54"/>
  <c r="BS76" i="54"/>
  <c r="BS77" i="54"/>
  <c r="BS78" i="54"/>
  <c r="BS79" i="54"/>
  <c r="BS80" i="54"/>
  <c r="BS81" i="54"/>
  <c r="BS82" i="54"/>
  <c r="BS83" i="54"/>
  <c r="BS84" i="54"/>
  <c r="BS85" i="54"/>
  <c r="BS86" i="54"/>
  <c r="BS87" i="54"/>
  <c r="BS88" i="54"/>
  <c r="BS89" i="54"/>
  <c r="BS90" i="54"/>
  <c r="BS91" i="54"/>
  <c r="BS92" i="54"/>
  <c r="BS93" i="54"/>
  <c r="BS94" i="54"/>
  <c r="BS95" i="54"/>
  <c r="BS96" i="54"/>
  <c r="BS97" i="54"/>
  <c r="BS98" i="54"/>
  <c r="BS99" i="54"/>
  <c r="BS100" i="54"/>
  <c r="BS101" i="54"/>
  <c r="BS102" i="54"/>
  <c r="BS103" i="54"/>
  <c r="BS104" i="54"/>
  <c r="BS105" i="54"/>
  <c r="BS106" i="54"/>
  <c r="BS107" i="54"/>
  <c r="BS108" i="54"/>
  <c r="BS109" i="54"/>
  <c r="BS110" i="54"/>
  <c r="BS111" i="54"/>
  <c r="BS112" i="54"/>
  <c r="BS113" i="54"/>
  <c r="BS114" i="54"/>
  <c r="BS115" i="54"/>
  <c r="BS116" i="54"/>
  <c r="BS117" i="54"/>
  <c r="BS118" i="54"/>
  <c r="BS119" i="54"/>
  <c r="BS120" i="54"/>
  <c r="BS121" i="54"/>
  <c r="BS122" i="54"/>
  <c r="BS123" i="54"/>
  <c r="BS124" i="54"/>
  <c r="BS125" i="54"/>
  <c r="BS126" i="54"/>
  <c r="BS127" i="54"/>
  <c r="BS128" i="54"/>
  <c r="BS129" i="54"/>
  <c r="BS130" i="54"/>
  <c r="BS131" i="54"/>
  <c r="BS132" i="54"/>
  <c r="BS133" i="54"/>
  <c r="BS134" i="54"/>
  <c r="BS135" i="54"/>
  <c r="BS136" i="54"/>
  <c r="BS137" i="54"/>
  <c r="BS138" i="54"/>
  <c r="BS139" i="54"/>
  <c r="BS140" i="54"/>
  <c r="BS141" i="54"/>
  <c r="BS142" i="54"/>
  <c r="BS143" i="54"/>
  <c r="BS144" i="54"/>
  <c r="BS145" i="54"/>
  <c r="BS146" i="54"/>
  <c r="BS147" i="54"/>
  <c r="BS148" i="54"/>
  <c r="BS149" i="54"/>
  <c r="BS150" i="54"/>
  <c r="BS151" i="54"/>
  <c r="BS152" i="54"/>
  <c r="BS153" i="54"/>
  <c r="BS154" i="54"/>
  <c r="BS155" i="54"/>
  <c r="BS156" i="54"/>
  <c r="BS157" i="54"/>
  <c r="BS158" i="54"/>
  <c r="BS159" i="54"/>
  <c r="BS160" i="54"/>
  <c r="BS161" i="54"/>
  <c r="BS162" i="54"/>
  <c r="BS163" i="54"/>
  <c r="BS164" i="54"/>
  <c r="BS165" i="54"/>
  <c r="BS166" i="54"/>
  <c r="BS167" i="54"/>
  <c r="BS168" i="54"/>
  <c r="BS169" i="54"/>
  <c r="BS170" i="54"/>
  <c r="BS171" i="54"/>
  <c r="BS172" i="54"/>
  <c r="BS173" i="54"/>
  <c r="BS174" i="54"/>
  <c r="BS175" i="54"/>
  <c r="BS176" i="54"/>
  <c r="BS177" i="54"/>
  <c r="BS178" i="54"/>
  <c r="BS179" i="54"/>
  <c r="BS180" i="54"/>
  <c r="BS181" i="54"/>
  <c r="BS182" i="54"/>
  <c r="BS183" i="54"/>
  <c r="BS184" i="54"/>
  <c r="BS185" i="54"/>
  <c r="BS186" i="54"/>
  <c r="BS187" i="54"/>
  <c r="BS188" i="54"/>
  <c r="BS189" i="54"/>
  <c r="BS190" i="54"/>
  <c r="BS191" i="54"/>
  <c r="BS192" i="54"/>
  <c r="BS193" i="54"/>
  <c r="BS194" i="54"/>
  <c r="BS195" i="54"/>
  <c r="BS196" i="54"/>
  <c r="BS197" i="54"/>
  <c r="BS198" i="54"/>
  <c r="BS199" i="54"/>
  <c r="BS200" i="54"/>
  <c r="BS201" i="54"/>
  <c r="BS202" i="54"/>
  <c r="BS203" i="54"/>
  <c r="BS204" i="54"/>
  <c r="BS205" i="54"/>
  <c r="BS206" i="54"/>
  <c r="BS207" i="54"/>
  <c r="BS208" i="54"/>
  <c r="BS209" i="54"/>
  <c r="BS210" i="54"/>
  <c r="BS211" i="54"/>
  <c r="BS212" i="54"/>
  <c r="BS213" i="54"/>
  <c r="BS214" i="54"/>
  <c r="BS215" i="54"/>
  <c r="BS216" i="54"/>
  <c r="BS217" i="54"/>
  <c r="BS218" i="54"/>
  <c r="BS219" i="54"/>
  <c r="BS220" i="54"/>
  <c r="BS221" i="54"/>
  <c r="BS222" i="54"/>
  <c r="BS223" i="54"/>
  <c r="BS224" i="54"/>
  <c r="BS225" i="54"/>
  <c r="BS226" i="54"/>
  <c r="BS227" i="54"/>
  <c r="BS228" i="54"/>
  <c r="BS229" i="54"/>
  <c r="BS230" i="54"/>
  <c r="BS231" i="54"/>
  <c r="BS232" i="54"/>
  <c r="BS233" i="54"/>
  <c r="BS234" i="54"/>
  <c r="BS235" i="54"/>
  <c r="BS236" i="54"/>
  <c r="BS237" i="54"/>
  <c r="BS238" i="54"/>
  <c r="BS239" i="54"/>
  <c r="BS240" i="54"/>
  <c r="BS241" i="54"/>
  <c r="BS242" i="54"/>
  <c r="BS243" i="54"/>
  <c r="BS244" i="54"/>
  <c r="BS245" i="54"/>
  <c r="BS246" i="54"/>
  <c r="BS247" i="54"/>
  <c r="BS248" i="54"/>
  <c r="BS249" i="54"/>
  <c r="BS250" i="54"/>
  <c r="BS251" i="54"/>
  <c r="BS252" i="54"/>
  <c r="BS253" i="54"/>
  <c r="BS254" i="54"/>
  <c r="BS255" i="54"/>
  <c r="BS256" i="54"/>
  <c r="BS257" i="54"/>
  <c r="BS258" i="54"/>
  <c r="BS259" i="54"/>
  <c r="BS260" i="54"/>
  <c r="BS261" i="54"/>
  <c r="BS262" i="54"/>
  <c r="BS263" i="54"/>
  <c r="BS264" i="54"/>
  <c r="BS265" i="54"/>
  <c r="BS266" i="54"/>
  <c r="BS267" i="54"/>
  <c r="BS268" i="54"/>
  <c r="HC10" i="54"/>
  <c r="HC11" i="54"/>
  <c r="HC12" i="54"/>
  <c r="HC13" i="54"/>
  <c r="HC14" i="54"/>
  <c r="HC15" i="54"/>
  <c r="HC16" i="54"/>
  <c r="HC17" i="54"/>
  <c r="HC18" i="54"/>
  <c r="HC19" i="54"/>
  <c r="HC20" i="54"/>
  <c r="HC21" i="54"/>
  <c r="HC22" i="54"/>
  <c r="HC23" i="54"/>
  <c r="HC24" i="54"/>
  <c r="HC25" i="54"/>
  <c r="HC26" i="54"/>
  <c r="HC27" i="54"/>
  <c r="HC28" i="54"/>
  <c r="HC29" i="54"/>
  <c r="HC30" i="54"/>
  <c r="HC31" i="54"/>
  <c r="HC32" i="54"/>
  <c r="HC33" i="54"/>
  <c r="HC34" i="54"/>
  <c r="HC35" i="54"/>
  <c r="HC36" i="54"/>
  <c r="HC37" i="54"/>
  <c r="HC38" i="54"/>
  <c r="HC39" i="54"/>
  <c r="HC40" i="54"/>
  <c r="HC41" i="54"/>
  <c r="HC42" i="54"/>
  <c r="HC43" i="54"/>
  <c r="HC44" i="54"/>
  <c r="HC45" i="54"/>
  <c r="HC46" i="54"/>
  <c r="HC47" i="54"/>
  <c r="HC48" i="54"/>
  <c r="HC49" i="54"/>
  <c r="HC50" i="54"/>
  <c r="HC51" i="54"/>
  <c r="HC52" i="54"/>
  <c r="HC53" i="54"/>
  <c r="HC54" i="54"/>
  <c r="HC55" i="54"/>
  <c r="HC56" i="54"/>
  <c r="HC57" i="54"/>
  <c r="HC58" i="54"/>
  <c r="HC59" i="54"/>
  <c r="HC60" i="54"/>
  <c r="HC61" i="54"/>
  <c r="HC62" i="54"/>
  <c r="HC63" i="54"/>
  <c r="HC64" i="54"/>
  <c r="HC65" i="54"/>
  <c r="HC66" i="54"/>
  <c r="HC67" i="54"/>
  <c r="HC68" i="54"/>
  <c r="HC69" i="54"/>
  <c r="HC70" i="54"/>
  <c r="HC71" i="54"/>
  <c r="HC72" i="54"/>
  <c r="HC73" i="54"/>
  <c r="HC74" i="54"/>
  <c r="HC75" i="54"/>
  <c r="HC76" i="54"/>
  <c r="HC77" i="54"/>
  <c r="HC78" i="54"/>
  <c r="HC79" i="54"/>
  <c r="HC80" i="54"/>
  <c r="HC81" i="54"/>
  <c r="HC82" i="54"/>
  <c r="HC83" i="54"/>
  <c r="HC84" i="54"/>
  <c r="HC85" i="54"/>
  <c r="HC86" i="54"/>
  <c r="HC87" i="54"/>
  <c r="HC88" i="54"/>
  <c r="HC89" i="54"/>
  <c r="HC90" i="54"/>
  <c r="HC91" i="54"/>
  <c r="HC92" i="54"/>
  <c r="HC93" i="54"/>
  <c r="HC94" i="54"/>
  <c r="HC95" i="54"/>
  <c r="HC96" i="54"/>
  <c r="HC97" i="54"/>
  <c r="HC98" i="54"/>
  <c r="HC99" i="54"/>
  <c r="HC100" i="54"/>
  <c r="HC101" i="54"/>
  <c r="HC102" i="54"/>
  <c r="HC103" i="54"/>
  <c r="HC104" i="54"/>
  <c r="HC105" i="54"/>
  <c r="HC106" i="54"/>
  <c r="HC107" i="54"/>
  <c r="HC108" i="54"/>
  <c r="HC109" i="54"/>
  <c r="HC110" i="54"/>
  <c r="HC111" i="54"/>
  <c r="HC112" i="54"/>
  <c r="HC113" i="54"/>
  <c r="HC114" i="54"/>
  <c r="HC115" i="54"/>
  <c r="HC116" i="54"/>
  <c r="HC117" i="54"/>
  <c r="HC118" i="54"/>
  <c r="HC119" i="54"/>
  <c r="HC120" i="54"/>
  <c r="HC121" i="54"/>
  <c r="HC122" i="54"/>
  <c r="HC123" i="54"/>
  <c r="HC124" i="54"/>
  <c r="HC125" i="54"/>
  <c r="HC126" i="54"/>
  <c r="HC127" i="54"/>
  <c r="HC128" i="54"/>
  <c r="HC129" i="54"/>
  <c r="HC130" i="54"/>
  <c r="HC131" i="54"/>
  <c r="HC132" i="54"/>
  <c r="HC133" i="54"/>
  <c r="HC134" i="54"/>
  <c r="HC135" i="54"/>
  <c r="HC136" i="54"/>
  <c r="HC137" i="54"/>
  <c r="HC138" i="54"/>
  <c r="HC139" i="54"/>
  <c r="HC140" i="54"/>
  <c r="HC141" i="54"/>
  <c r="HC142" i="54"/>
  <c r="HC143" i="54"/>
  <c r="HC144" i="54"/>
  <c r="HC145" i="54"/>
  <c r="HC146" i="54"/>
  <c r="HC147" i="54"/>
  <c r="HC148" i="54"/>
  <c r="HC149" i="54"/>
  <c r="HC150" i="54"/>
  <c r="HC151" i="54"/>
  <c r="HC152" i="54"/>
  <c r="HC153" i="54"/>
  <c r="HC154" i="54"/>
  <c r="HC155" i="54"/>
  <c r="HC156" i="54"/>
  <c r="HC157" i="54"/>
  <c r="HC158" i="54"/>
  <c r="HC159" i="54"/>
  <c r="HC160" i="54"/>
  <c r="HC161" i="54"/>
  <c r="HC162" i="54"/>
  <c r="HC163" i="54"/>
  <c r="HC164" i="54"/>
  <c r="HC165" i="54"/>
  <c r="HC166" i="54"/>
  <c r="HC167" i="54"/>
  <c r="HC168" i="54"/>
  <c r="HC169" i="54"/>
  <c r="HC170" i="54"/>
  <c r="HC171" i="54"/>
  <c r="HC172" i="54"/>
  <c r="HC173" i="54"/>
  <c r="HC174" i="54"/>
  <c r="HC175" i="54"/>
  <c r="HC176" i="54"/>
  <c r="HC177" i="54"/>
  <c r="HC178" i="54"/>
  <c r="HC179" i="54"/>
  <c r="HC180" i="54"/>
  <c r="HC181" i="54"/>
  <c r="HC182" i="54"/>
  <c r="HC183" i="54"/>
  <c r="HC184" i="54"/>
  <c r="HC185" i="54"/>
  <c r="HC186" i="54"/>
  <c r="HC187" i="54"/>
  <c r="HC188" i="54"/>
  <c r="HC189" i="54"/>
  <c r="HC190" i="54"/>
  <c r="HC191" i="54"/>
  <c r="HC192" i="54"/>
  <c r="HC193" i="54"/>
  <c r="HC194" i="54"/>
  <c r="HC195" i="54"/>
  <c r="HC196" i="54"/>
  <c r="HC197" i="54"/>
  <c r="HC198" i="54"/>
  <c r="HC199" i="54"/>
  <c r="HC200" i="54"/>
  <c r="HC201" i="54"/>
  <c r="HC202" i="54"/>
  <c r="HC203" i="54"/>
  <c r="HC204" i="54"/>
  <c r="HC205" i="54"/>
  <c r="HC206" i="54"/>
  <c r="HC207" i="54"/>
  <c r="HC208" i="54"/>
  <c r="HC209" i="54"/>
  <c r="HC210" i="54"/>
  <c r="HC211" i="54"/>
  <c r="HC212" i="54"/>
  <c r="HC213" i="54"/>
  <c r="HC214" i="54"/>
  <c r="HC215" i="54"/>
  <c r="HC216" i="54"/>
  <c r="HC217" i="54"/>
  <c r="HC218" i="54"/>
  <c r="HC219" i="54"/>
  <c r="HC220" i="54"/>
  <c r="HC221" i="54"/>
  <c r="HC222" i="54"/>
  <c r="HC223" i="54"/>
  <c r="HC224" i="54"/>
  <c r="HC225" i="54"/>
  <c r="HC226" i="54"/>
  <c r="HC227" i="54"/>
  <c r="HC228" i="54"/>
  <c r="HC229" i="54"/>
  <c r="HC230" i="54"/>
  <c r="HC231" i="54"/>
  <c r="HC232" i="54"/>
  <c r="HC233" i="54"/>
  <c r="HC234" i="54"/>
  <c r="HC235" i="54"/>
  <c r="HC236" i="54"/>
  <c r="HC237" i="54"/>
  <c r="HC238" i="54"/>
  <c r="HC239" i="54"/>
  <c r="HC240" i="54"/>
  <c r="HC241" i="54"/>
  <c r="HC242" i="54"/>
  <c r="HC243" i="54"/>
  <c r="HC244" i="54"/>
  <c r="HC245" i="54"/>
  <c r="HC246" i="54"/>
  <c r="HC247" i="54"/>
  <c r="HC248" i="54"/>
  <c r="HC249" i="54"/>
  <c r="HC250" i="54"/>
  <c r="HC251" i="54"/>
  <c r="HC252" i="54"/>
  <c r="HC253" i="54"/>
  <c r="HC254" i="54"/>
  <c r="HC255" i="54"/>
  <c r="HC256" i="54"/>
  <c r="HC257" i="54"/>
  <c r="HC258" i="54"/>
  <c r="HC259" i="54"/>
  <c r="HC260" i="54"/>
  <c r="HC261" i="54"/>
  <c r="HC262" i="54"/>
  <c r="HC263" i="54"/>
  <c r="HC264" i="54"/>
  <c r="HC265" i="54"/>
  <c r="HC266" i="54"/>
  <c r="HC267" i="54"/>
  <c r="HC268" i="54"/>
  <c r="GI10" i="54"/>
  <c r="GI11" i="54"/>
  <c r="GI12" i="54"/>
  <c r="GI13" i="54"/>
  <c r="GI14" i="54"/>
  <c r="GI15" i="54"/>
  <c r="GI16" i="54"/>
  <c r="GI17" i="54"/>
  <c r="GI18" i="54"/>
  <c r="GI19" i="54"/>
  <c r="GI20" i="54"/>
  <c r="GI21" i="54"/>
  <c r="GI22" i="54"/>
  <c r="GI23" i="54"/>
  <c r="GI24" i="54"/>
  <c r="GI25" i="54"/>
  <c r="GI26" i="54"/>
  <c r="GI27" i="54"/>
  <c r="GI28" i="54"/>
  <c r="GI29" i="54"/>
  <c r="GI30" i="54"/>
  <c r="GI31" i="54"/>
  <c r="GI32" i="54"/>
  <c r="GI33" i="54"/>
  <c r="GI34" i="54"/>
  <c r="GI35" i="54"/>
  <c r="GI36" i="54"/>
  <c r="GI37" i="54"/>
  <c r="GI38" i="54"/>
  <c r="GI39" i="54"/>
  <c r="GI40" i="54"/>
  <c r="GI41" i="54"/>
  <c r="GI42" i="54"/>
  <c r="GI43" i="54"/>
  <c r="GI44" i="54"/>
  <c r="GI45" i="54"/>
  <c r="GI46" i="54"/>
  <c r="GI47" i="54"/>
  <c r="GI48" i="54"/>
  <c r="GI49" i="54"/>
  <c r="GI50" i="54"/>
  <c r="GI51" i="54"/>
  <c r="GI52" i="54"/>
  <c r="GI53" i="54"/>
  <c r="GI54" i="54"/>
  <c r="GI55" i="54"/>
  <c r="GI56" i="54"/>
  <c r="GI57" i="54"/>
  <c r="GI58" i="54"/>
  <c r="GI59" i="54"/>
  <c r="GI60" i="54"/>
  <c r="GI61" i="54"/>
  <c r="GI62" i="54"/>
  <c r="GI63" i="54"/>
  <c r="GI64" i="54"/>
  <c r="GI65" i="54"/>
  <c r="GI66" i="54"/>
  <c r="GI67" i="54"/>
  <c r="GI68" i="54"/>
  <c r="GI69" i="54"/>
  <c r="GI70" i="54"/>
  <c r="GI71" i="54"/>
  <c r="GI72" i="54"/>
  <c r="GI73" i="54"/>
  <c r="GI74" i="54"/>
  <c r="GI75" i="54"/>
  <c r="GI76" i="54"/>
  <c r="GI77" i="54"/>
  <c r="GI78" i="54"/>
  <c r="GI79" i="54"/>
  <c r="GI80" i="54"/>
  <c r="GI81" i="54"/>
  <c r="GI82" i="54"/>
  <c r="GI83" i="54"/>
  <c r="GI84" i="54"/>
  <c r="GI85" i="54"/>
  <c r="GI86" i="54"/>
  <c r="GI87" i="54"/>
  <c r="GI88" i="54"/>
  <c r="GI89" i="54"/>
  <c r="GI90" i="54"/>
  <c r="GI91" i="54"/>
  <c r="GI92" i="54"/>
  <c r="GI93" i="54"/>
  <c r="GI94" i="54"/>
  <c r="GI95" i="54"/>
  <c r="GI96" i="54"/>
  <c r="GI97" i="54"/>
  <c r="GI98" i="54"/>
  <c r="GI99" i="54"/>
  <c r="GI100" i="54"/>
  <c r="GI101" i="54"/>
  <c r="GI102" i="54"/>
  <c r="GI103" i="54"/>
  <c r="GI104" i="54"/>
  <c r="GI105" i="54"/>
  <c r="GI106" i="54"/>
  <c r="GI107" i="54"/>
  <c r="GI108" i="54"/>
  <c r="GI109" i="54"/>
  <c r="GI110" i="54"/>
  <c r="GI111" i="54"/>
  <c r="GI112" i="54"/>
  <c r="GI113" i="54"/>
  <c r="GI114" i="54"/>
  <c r="GI115" i="54"/>
  <c r="GI116" i="54"/>
  <c r="GI117" i="54"/>
  <c r="GI118" i="54"/>
  <c r="GI119" i="54"/>
  <c r="GI120" i="54"/>
  <c r="GI121" i="54"/>
  <c r="GI122" i="54"/>
  <c r="GI123" i="54"/>
  <c r="GI124" i="54"/>
  <c r="GI125" i="54"/>
  <c r="GI126" i="54"/>
  <c r="GI127" i="54"/>
  <c r="GI128" i="54"/>
  <c r="GI129" i="54"/>
  <c r="GI130" i="54"/>
  <c r="GI131" i="54"/>
  <c r="GI132" i="54"/>
  <c r="GI133" i="54"/>
  <c r="GI134" i="54"/>
  <c r="GI135" i="54"/>
  <c r="GI136" i="54"/>
  <c r="GI137" i="54"/>
  <c r="GI138" i="54"/>
  <c r="GI139" i="54"/>
  <c r="GI140" i="54"/>
  <c r="GI141" i="54"/>
  <c r="GI142" i="54"/>
  <c r="GI143" i="54"/>
  <c r="GI144" i="54"/>
  <c r="GI145" i="54"/>
  <c r="GI146" i="54"/>
  <c r="GI147" i="54"/>
  <c r="GI148" i="54"/>
  <c r="GI149" i="54"/>
  <c r="GI150" i="54"/>
  <c r="GI151" i="54"/>
  <c r="GI152" i="54"/>
  <c r="GI153" i="54"/>
  <c r="GI154" i="54"/>
  <c r="GI155" i="54"/>
  <c r="GI156" i="54"/>
  <c r="GI157" i="54"/>
  <c r="GI158" i="54"/>
  <c r="GI159" i="54"/>
  <c r="GI160" i="54"/>
  <c r="GI161" i="54"/>
  <c r="GI162" i="54"/>
  <c r="GI163" i="54"/>
  <c r="GI164" i="54"/>
  <c r="GI165" i="54"/>
  <c r="GI166" i="54"/>
  <c r="GI167" i="54"/>
  <c r="GI168" i="54"/>
  <c r="GI169" i="54"/>
  <c r="GI170" i="54"/>
  <c r="GI171" i="54"/>
  <c r="GI172" i="54"/>
  <c r="GI173" i="54"/>
  <c r="GI174" i="54"/>
  <c r="GI175" i="54"/>
  <c r="GI176" i="54"/>
  <c r="GI177" i="54"/>
  <c r="GI178" i="54"/>
  <c r="GI179" i="54"/>
  <c r="GI180" i="54"/>
  <c r="GI181" i="54"/>
  <c r="GI182" i="54"/>
  <c r="GI183" i="54"/>
  <c r="GI184" i="54"/>
  <c r="GI185" i="54"/>
  <c r="GI186" i="54"/>
  <c r="GI187" i="54"/>
  <c r="GI188" i="54"/>
  <c r="GI189" i="54"/>
  <c r="GI190" i="54"/>
  <c r="GI191" i="54"/>
  <c r="GI192" i="54"/>
  <c r="GI193" i="54"/>
  <c r="GI194" i="54"/>
  <c r="GI195" i="54"/>
  <c r="GI196" i="54"/>
  <c r="GI197" i="54"/>
  <c r="GI198" i="54"/>
  <c r="GI199" i="54"/>
  <c r="GI200" i="54"/>
  <c r="GI201" i="54"/>
  <c r="GI202" i="54"/>
  <c r="GI203" i="54"/>
  <c r="GI204" i="54"/>
  <c r="GI205" i="54"/>
  <c r="GI206" i="54"/>
  <c r="GI207" i="54"/>
  <c r="GI208" i="54"/>
  <c r="GI209" i="54"/>
  <c r="GI210" i="54"/>
  <c r="GI211" i="54"/>
  <c r="GI212" i="54"/>
  <c r="GI213" i="54"/>
  <c r="GI214" i="54"/>
  <c r="GI215" i="54"/>
  <c r="GI216" i="54"/>
  <c r="GI217" i="54"/>
  <c r="GI218" i="54"/>
  <c r="GI219" i="54"/>
  <c r="GI220" i="54"/>
  <c r="GI221" i="54"/>
  <c r="GI222" i="54"/>
  <c r="GI223" i="54"/>
  <c r="GI224" i="54"/>
  <c r="GI225" i="54"/>
  <c r="GI226" i="54"/>
  <c r="GI227" i="54"/>
  <c r="GI228" i="54"/>
  <c r="GI229" i="54"/>
  <c r="GI230" i="54"/>
  <c r="GI231" i="54"/>
  <c r="GI232" i="54"/>
  <c r="GI233" i="54"/>
  <c r="GI234" i="54"/>
  <c r="GI235" i="54"/>
  <c r="GI236" i="54"/>
  <c r="GI237" i="54"/>
  <c r="GI238" i="54"/>
  <c r="GI239" i="54"/>
  <c r="GI240" i="54"/>
  <c r="GI241" i="54"/>
  <c r="GI242" i="54"/>
  <c r="GI243" i="54"/>
  <c r="GI244" i="54"/>
  <c r="GI245" i="54"/>
  <c r="GI246" i="54"/>
  <c r="GI247" i="54"/>
  <c r="GI248" i="54"/>
  <c r="GI249" i="54"/>
  <c r="GI250" i="54"/>
  <c r="GI251" i="54"/>
  <c r="GI252" i="54"/>
  <c r="GI253" i="54"/>
  <c r="GI254" i="54"/>
  <c r="GI255" i="54"/>
  <c r="GI256" i="54"/>
  <c r="GI257" i="54"/>
  <c r="GI258" i="54"/>
  <c r="GI259" i="54"/>
  <c r="GI260" i="54"/>
  <c r="GI261" i="54"/>
  <c r="GI262" i="54"/>
  <c r="GI263" i="54"/>
  <c r="GI264" i="54"/>
  <c r="GI265" i="54"/>
  <c r="GI266" i="54"/>
  <c r="GI267" i="54"/>
  <c r="GI268" i="54"/>
  <c r="AH38" i="54"/>
  <c r="AA38" i="54"/>
  <c r="T38" i="54"/>
  <c r="M38" i="54"/>
  <c r="F38" i="54"/>
  <c r="B5" i="61" l="1"/>
  <c r="B40" i="61" s="1"/>
  <c r="C40" i="61" s="1" a="1"/>
  <c r="C40" i="61" s="1"/>
  <c r="B5" i="57"/>
  <c r="CD5" i="64"/>
  <c r="BE39" i="54" a="1"/>
  <c r="BE39" i="54" s="1"/>
  <c r="BR5" i="64"/>
  <c r="CN2" i="40" a="1"/>
  <c r="CN2" i="40" s="1"/>
  <c r="AK2" i="40" a="1"/>
  <c r="AK2" i="40" s="1"/>
  <c r="CV5" i="64"/>
  <c r="B32" i="61"/>
  <c r="C32" i="61" s="1" a="1"/>
  <c r="C32" i="61" s="1"/>
  <c r="B36" i="61"/>
  <c r="C36" i="61" s="1" a="1"/>
  <c r="C36" i="61" s="1"/>
  <c r="B30" i="61"/>
  <c r="C30" i="61" s="1" a="1"/>
  <c r="C30" i="61" s="1"/>
  <c r="B18" i="61"/>
  <c r="C18" i="61" s="1" a="1"/>
  <c r="C18" i="61" s="1"/>
  <c r="BL5" i="64"/>
  <c r="B53" i="61"/>
  <c r="C53" i="61" s="1" a="1"/>
  <c r="C53" i="61" s="1"/>
  <c r="AB5" i="64"/>
  <c r="B58" i="61"/>
  <c r="C58" i="61" s="1" a="1"/>
  <c r="C58" i="61" s="1"/>
  <c r="B46" i="61"/>
  <c r="C46" i="61" s="1" a="1"/>
  <c r="C46" i="61" s="1"/>
  <c r="J5" i="64"/>
  <c r="B45" i="61"/>
  <c r="C45" i="61" s="1" a="1"/>
  <c r="C45" i="61" s="1"/>
  <c r="B39" i="61"/>
  <c r="C39" i="61" s="1" a="1"/>
  <c r="C39" i="61" s="1"/>
  <c r="AH5" i="64"/>
  <c r="AT5" i="64"/>
  <c r="CJ5" i="64"/>
  <c r="AZ5" i="64"/>
  <c r="P5" i="64"/>
  <c r="BX5" i="64"/>
  <c r="AN5" i="64"/>
  <c r="D5" i="64"/>
  <c r="CP5" i="64"/>
  <c r="BF5" i="64"/>
  <c r="V5" i="64"/>
  <c r="CW5" i="64"/>
  <c r="CQ5" i="64"/>
  <c r="CK5" i="64"/>
  <c r="CE5" i="64"/>
  <c r="BY5" i="64"/>
  <c r="BS5" i="64"/>
  <c r="BM5" i="64"/>
  <c r="BG5" i="64"/>
  <c r="BA5" i="64"/>
  <c r="AU5" i="64"/>
  <c r="AO5" i="64"/>
  <c r="AI5" i="64"/>
  <c r="AC5" i="64"/>
  <c r="W5" i="64"/>
  <c r="Q5" i="64"/>
  <c r="K5" i="64"/>
  <c r="E5" i="64"/>
  <c r="CU5" i="64"/>
  <c r="CO5" i="64"/>
  <c r="CI5" i="64"/>
  <c r="CC5" i="64"/>
  <c r="BW5" i="64"/>
  <c r="BQ5" i="64"/>
  <c r="BK5" i="64"/>
  <c r="BE5" i="64"/>
  <c r="AY5" i="64"/>
  <c r="AS5" i="64"/>
  <c r="AM5" i="64"/>
  <c r="AG5" i="64"/>
  <c r="AA5" i="64"/>
  <c r="U5" i="64"/>
  <c r="O5" i="64"/>
  <c r="I5" i="64"/>
  <c r="C5" i="64"/>
  <c r="CT5" i="64"/>
  <c r="CN5" i="64"/>
  <c r="CH5" i="64"/>
  <c r="CB5" i="64"/>
  <c r="BV5" i="64"/>
  <c r="BP5" i="64"/>
  <c r="BJ5" i="64"/>
  <c r="BD5" i="64"/>
  <c r="AX5" i="64"/>
  <c r="AR5" i="64"/>
  <c r="AL5" i="64"/>
  <c r="AF5" i="64"/>
  <c r="Z5" i="64"/>
  <c r="T5" i="64"/>
  <c r="N5" i="64"/>
  <c r="H5" i="64"/>
  <c r="CS5" i="64"/>
  <c r="CM5" i="64"/>
  <c r="CG5" i="64"/>
  <c r="CA5" i="64"/>
  <c r="BU5" i="64"/>
  <c r="BO5" i="64"/>
  <c r="BI5" i="64"/>
  <c r="BC5" i="64"/>
  <c r="AW5" i="64"/>
  <c r="AQ5" i="64"/>
  <c r="AK5" i="64"/>
  <c r="AE5" i="64"/>
  <c r="Y5" i="64"/>
  <c r="S5" i="64"/>
  <c r="M5" i="64"/>
  <c r="G5" i="64"/>
  <c r="B5" i="64"/>
  <c r="CR5" i="64"/>
  <c r="CL5" i="64"/>
  <c r="CF5" i="64"/>
  <c r="BZ5" i="64"/>
  <c r="BT5" i="64"/>
  <c r="BN5" i="64"/>
  <c r="BH5" i="64"/>
  <c r="BB5" i="64"/>
  <c r="AV5" i="64"/>
  <c r="AP5" i="64"/>
  <c r="AJ5" i="64"/>
  <c r="AD5" i="64"/>
  <c r="X5" i="64"/>
  <c r="R5" i="64"/>
  <c r="L5" i="64"/>
  <c r="F5" i="64"/>
  <c r="R4" i="40" s="1" a="1"/>
  <c r="R4" i="40" s="1"/>
  <c r="B1" i="64" a="1"/>
  <c r="B1" i="64" s="1"/>
  <c r="D15" i="61"/>
  <c r="BT267" i="54"/>
  <c r="BT261" i="54"/>
  <c r="BT255" i="54"/>
  <c r="BT249" i="54"/>
  <c r="BT243" i="54"/>
  <c r="BT237" i="54"/>
  <c r="BT231" i="54"/>
  <c r="BT225" i="54"/>
  <c r="BT219" i="54"/>
  <c r="BT213" i="54"/>
  <c r="BT207" i="54"/>
  <c r="BT201" i="54"/>
  <c r="BT195" i="54"/>
  <c r="BT189" i="54"/>
  <c r="BT183" i="54"/>
  <c r="BT177" i="54"/>
  <c r="BT171" i="54"/>
  <c r="BT165" i="54"/>
  <c r="BT159" i="54"/>
  <c r="BT153" i="54"/>
  <c r="BT147" i="54"/>
  <c r="BT141" i="54"/>
  <c r="BT135" i="54"/>
  <c r="BT129" i="54"/>
  <c r="BT123" i="54"/>
  <c r="BT117" i="54"/>
  <c r="BT111" i="54"/>
  <c r="BT105" i="54"/>
  <c r="BT99" i="54"/>
  <c r="BT93" i="54"/>
  <c r="BT87" i="54"/>
  <c r="BT81" i="54"/>
  <c r="BT75" i="54"/>
  <c r="BT69" i="54"/>
  <c r="BT63" i="54"/>
  <c r="BT57" i="54"/>
  <c r="BT51" i="54"/>
  <c r="BT45" i="54"/>
  <c r="BT39" i="54"/>
  <c r="BT33" i="54"/>
  <c r="BT27" i="54"/>
  <c r="BT21" i="54"/>
  <c r="BT15" i="54"/>
  <c r="BT266" i="54"/>
  <c r="BT260" i="54"/>
  <c r="BT254" i="54"/>
  <c r="BT248" i="54"/>
  <c r="BT242" i="54"/>
  <c r="BT236" i="54"/>
  <c r="BT230" i="54"/>
  <c r="BT224" i="54"/>
  <c r="BT218" i="54"/>
  <c r="BT212" i="54"/>
  <c r="BT206" i="54"/>
  <c r="BT200" i="54"/>
  <c r="BT194" i="54"/>
  <c r="BT188" i="54"/>
  <c r="BT182" i="54"/>
  <c r="BT176" i="54"/>
  <c r="BT170" i="54"/>
  <c r="BT164" i="54"/>
  <c r="BT158" i="54"/>
  <c r="BT152" i="54"/>
  <c r="BT146" i="54"/>
  <c r="BT140" i="54"/>
  <c r="BT134" i="54"/>
  <c r="BT128" i="54"/>
  <c r="BT122" i="54"/>
  <c r="BT116" i="54"/>
  <c r="BT110" i="54"/>
  <c r="BT104" i="54"/>
  <c r="BT98" i="54"/>
  <c r="BT92" i="54"/>
  <c r="BT86" i="54"/>
  <c r="BT80" i="54"/>
  <c r="BT74" i="54"/>
  <c r="BT68" i="54"/>
  <c r="BT62" i="54"/>
  <c r="BT56" i="54"/>
  <c r="BT50" i="54"/>
  <c r="BT44" i="54"/>
  <c r="BT38" i="54"/>
  <c r="BT32" i="54"/>
  <c r="BT26" i="54"/>
  <c r="BT20" i="54"/>
  <c r="BT14" i="54"/>
  <c r="BT265" i="54"/>
  <c r="BT259" i="54"/>
  <c r="BT253" i="54"/>
  <c r="BT247" i="54"/>
  <c r="BT241" i="54"/>
  <c r="BT235" i="54"/>
  <c r="BT229" i="54"/>
  <c r="BT223" i="54"/>
  <c r="BT217" i="54"/>
  <c r="BT211" i="54"/>
  <c r="BT205" i="54"/>
  <c r="BT199" i="54"/>
  <c r="BT193" i="54"/>
  <c r="BT187" i="54"/>
  <c r="BT181" i="54"/>
  <c r="BT175" i="54"/>
  <c r="BT169" i="54"/>
  <c r="BT163" i="54"/>
  <c r="BT157" i="54"/>
  <c r="BT151" i="54"/>
  <c r="BT145" i="54"/>
  <c r="BT139" i="54"/>
  <c r="BT133" i="54"/>
  <c r="BT127" i="54"/>
  <c r="BT121" i="54"/>
  <c r="BT115" i="54"/>
  <c r="BT109" i="54"/>
  <c r="BT103" i="54"/>
  <c r="BT97" i="54"/>
  <c r="BT91" i="54"/>
  <c r="BT85" i="54"/>
  <c r="BT79" i="54"/>
  <c r="BT73" i="54"/>
  <c r="BT67" i="54"/>
  <c r="BT61" i="54"/>
  <c r="BT55" i="54"/>
  <c r="BT49" i="54"/>
  <c r="BT43" i="54"/>
  <c r="BT37" i="54"/>
  <c r="BT31" i="54"/>
  <c r="BT25" i="54"/>
  <c r="BT19" i="54"/>
  <c r="BT13" i="54"/>
  <c r="BT264" i="54"/>
  <c r="BT258" i="54"/>
  <c r="BT252" i="54"/>
  <c r="BT246" i="54"/>
  <c r="BT240" i="54"/>
  <c r="BT234" i="54"/>
  <c r="BT228" i="54"/>
  <c r="BT222" i="54"/>
  <c r="BT216" i="54"/>
  <c r="BT210" i="54"/>
  <c r="BT204" i="54"/>
  <c r="BT198" i="54"/>
  <c r="BT192" i="54"/>
  <c r="BT186" i="54"/>
  <c r="BT180" i="54"/>
  <c r="BT174" i="54"/>
  <c r="BT168" i="54"/>
  <c r="BT162" i="54"/>
  <c r="BT156" i="54"/>
  <c r="BT150" i="54"/>
  <c r="BT144" i="54"/>
  <c r="BT138" i="54"/>
  <c r="BT132" i="54"/>
  <c r="BT126" i="54"/>
  <c r="BT120" i="54"/>
  <c r="BT114" i="54"/>
  <c r="BT108" i="54"/>
  <c r="BT102" i="54"/>
  <c r="BT96" i="54"/>
  <c r="BT90" i="54"/>
  <c r="BT84" i="54"/>
  <c r="BT78" i="54"/>
  <c r="BT72" i="54"/>
  <c r="BT66" i="54"/>
  <c r="BT60" i="54"/>
  <c r="BT54" i="54"/>
  <c r="BT48" i="54"/>
  <c r="BT42" i="54"/>
  <c r="BT36" i="54"/>
  <c r="BT30" i="54"/>
  <c r="BT24" i="54"/>
  <c r="BT18" i="54"/>
  <c r="BT12" i="54"/>
  <c r="BT263" i="54"/>
  <c r="BT257" i="54"/>
  <c r="BT251" i="54"/>
  <c r="BT245" i="54"/>
  <c r="BT239" i="54"/>
  <c r="BT233" i="54"/>
  <c r="BT227" i="54"/>
  <c r="BT221" i="54"/>
  <c r="BT215" i="54"/>
  <c r="BT209" i="54"/>
  <c r="BT203" i="54"/>
  <c r="BT197" i="54"/>
  <c r="BT191" i="54"/>
  <c r="BT185" i="54"/>
  <c r="BT179" i="54"/>
  <c r="BT173" i="54"/>
  <c r="BT167" i="54"/>
  <c r="BT161" i="54"/>
  <c r="BT155" i="54"/>
  <c r="BT149" i="54"/>
  <c r="BT143" i="54"/>
  <c r="BT137" i="54"/>
  <c r="BT131" i="54"/>
  <c r="BT125" i="54"/>
  <c r="BT119" i="54"/>
  <c r="BT113" i="54"/>
  <c r="BT107" i="54"/>
  <c r="BT101" i="54"/>
  <c r="BT95" i="54"/>
  <c r="BT89" i="54"/>
  <c r="BT83" i="54"/>
  <c r="BT77" i="54"/>
  <c r="BT71" i="54"/>
  <c r="BT65" i="54"/>
  <c r="BT59" i="54"/>
  <c r="BT53" i="54"/>
  <c r="BT47" i="54"/>
  <c r="BT41" i="54"/>
  <c r="BT35" i="54"/>
  <c r="BT29" i="54"/>
  <c r="BT23" i="54"/>
  <c r="BT17" i="54"/>
  <c r="BT11" i="54"/>
  <c r="BT268" i="54"/>
  <c r="BT262" i="54"/>
  <c r="BT256" i="54"/>
  <c r="BT250" i="54"/>
  <c r="BT244" i="54"/>
  <c r="BT238" i="54"/>
  <c r="BT232" i="54"/>
  <c r="BT226" i="54"/>
  <c r="BT220" i="54"/>
  <c r="BT214" i="54"/>
  <c r="BT208" i="54"/>
  <c r="BT202" i="54"/>
  <c r="BT196" i="54"/>
  <c r="BT190" i="54"/>
  <c r="BT184" i="54"/>
  <c r="BT178" i="54"/>
  <c r="BT172" i="54"/>
  <c r="BT166" i="54"/>
  <c r="BT160" i="54"/>
  <c r="BT154" i="54"/>
  <c r="BT148" i="54"/>
  <c r="BT142" i="54"/>
  <c r="BT136" i="54"/>
  <c r="BT130" i="54"/>
  <c r="BT124" i="54"/>
  <c r="BT118" i="54"/>
  <c r="BT112" i="54"/>
  <c r="BT106" i="54"/>
  <c r="BT100" i="54"/>
  <c r="BT94" i="54"/>
  <c r="BT88" i="54"/>
  <c r="BT82" i="54"/>
  <c r="BT76" i="54"/>
  <c r="BT70" i="54"/>
  <c r="BT64" i="54"/>
  <c r="BT58" i="54"/>
  <c r="BT52" i="54"/>
  <c r="BT46" i="54"/>
  <c r="BT40" i="54"/>
  <c r="BT34" i="54"/>
  <c r="BT28" i="54"/>
  <c r="BT22" i="54"/>
  <c r="BT16" i="54"/>
  <c r="BT10" i="54"/>
  <c r="CU7" i="54"/>
  <c r="CT7" i="54" s="1"/>
  <c r="EU6" i="54"/>
  <c r="CN6" i="54"/>
  <c r="HE3" i="54"/>
  <c r="GK3" i="54"/>
  <c r="EY3" i="54"/>
  <c r="EY4" i="54"/>
  <c r="EY5" i="54"/>
  <c r="EB3" i="54"/>
  <c r="DI3" i="54"/>
  <c r="FA3" i="54"/>
  <c r="EZ4" i="54"/>
  <c r="CV3" i="54"/>
  <c r="CU4" i="54"/>
  <c r="CT3" i="54"/>
  <c r="CU3" i="54" s="1"/>
  <c r="CT4" i="54"/>
  <c r="CV4" i="54" s="1"/>
  <c r="HO5" i="54"/>
  <c r="GU5" i="54"/>
  <c r="EL5" i="54"/>
  <c r="DS5" i="54"/>
  <c r="CE5" i="54"/>
  <c r="HN6" i="54"/>
  <c r="HO6" i="54"/>
  <c r="GT6" i="54"/>
  <c r="GU6" i="54"/>
  <c r="EK6" i="54"/>
  <c r="EL6" i="54"/>
  <c r="DR6" i="54"/>
  <c r="DS6" i="54"/>
  <c r="CD6" i="54"/>
  <c r="CE6" i="54"/>
  <c r="HN5" i="54"/>
  <c r="GT5" i="54"/>
  <c r="EK5" i="54"/>
  <c r="DR5" i="54"/>
  <c r="CD5" i="54"/>
  <c r="HN4" i="54"/>
  <c r="HO4" i="54"/>
  <c r="GT4" i="54"/>
  <c r="GU4" i="54"/>
  <c r="EK4" i="54"/>
  <c r="EL4" i="54"/>
  <c r="DR4" i="54"/>
  <c r="DS4" i="54"/>
  <c r="CD4" i="54"/>
  <c r="CE4" i="54"/>
  <c r="HN3" i="54"/>
  <c r="HO3" i="54"/>
  <c r="GT3" i="54"/>
  <c r="GU3" i="54"/>
  <c r="EK3" i="54"/>
  <c r="EL3" i="54"/>
  <c r="DR3" i="54"/>
  <c r="DS3" i="54"/>
  <c r="CD3" i="54"/>
  <c r="CE3" i="54"/>
  <c r="BU3" i="54"/>
  <c r="EA10" i="54"/>
  <c r="EA11" i="54"/>
  <c r="EA12" i="54"/>
  <c r="EA13" i="54"/>
  <c r="EA14" i="54"/>
  <c r="EA15" i="54"/>
  <c r="EA16" i="54"/>
  <c r="EA17" i="54"/>
  <c r="EA18" i="54"/>
  <c r="EA19" i="54"/>
  <c r="EA20" i="54"/>
  <c r="EA21" i="54"/>
  <c r="EA22" i="54"/>
  <c r="EA23" i="54"/>
  <c r="EA24" i="54"/>
  <c r="EA25" i="54"/>
  <c r="EA26" i="54"/>
  <c r="EA27" i="54"/>
  <c r="EA28" i="54"/>
  <c r="EA29" i="54"/>
  <c r="EA30" i="54"/>
  <c r="EA31" i="54"/>
  <c r="EA32" i="54"/>
  <c r="EA33" i="54"/>
  <c r="EA34" i="54"/>
  <c r="EA35" i="54"/>
  <c r="EA36" i="54"/>
  <c r="EA37" i="54"/>
  <c r="EA38" i="54"/>
  <c r="EA39" i="54"/>
  <c r="EA40" i="54"/>
  <c r="EA41" i="54"/>
  <c r="EA42" i="54"/>
  <c r="EA43" i="54"/>
  <c r="EA44" i="54"/>
  <c r="EA45" i="54"/>
  <c r="EA46" i="54"/>
  <c r="EA47" i="54"/>
  <c r="EA48" i="54"/>
  <c r="EA49" i="54"/>
  <c r="EA50" i="54"/>
  <c r="EA51" i="54"/>
  <c r="EA52" i="54"/>
  <c r="EA53" i="54"/>
  <c r="EA54" i="54"/>
  <c r="EA55" i="54"/>
  <c r="EA56" i="54"/>
  <c r="EA57" i="54"/>
  <c r="EA58" i="54"/>
  <c r="EA59" i="54"/>
  <c r="EA60" i="54"/>
  <c r="EA61" i="54"/>
  <c r="EA62" i="54"/>
  <c r="EA63" i="54"/>
  <c r="EA64" i="54"/>
  <c r="EA65" i="54"/>
  <c r="EA66" i="54"/>
  <c r="EA67" i="54"/>
  <c r="EA68" i="54"/>
  <c r="EA69" i="54"/>
  <c r="EA70" i="54"/>
  <c r="EA71" i="54"/>
  <c r="EA72" i="54"/>
  <c r="EA73" i="54"/>
  <c r="EA74" i="54"/>
  <c r="EA75" i="54"/>
  <c r="EA76" i="54"/>
  <c r="EA77" i="54"/>
  <c r="EA78" i="54"/>
  <c r="EA79" i="54"/>
  <c r="EA80" i="54"/>
  <c r="EA81" i="54"/>
  <c r="EA82" i="54"/>
  <c r="EA83" i="54"/>
  <c r="EA84" i="54"/>
  <c r="EA85" i="54"/>
  <c r="EA86" i="54"/>
  <c r="EA87" i="54"/>
  <c r="EA88" i="54"/>
  <c r="EA89" i="54"/>
  <c r="EA90" i="54"/>
  <c r="EA91" i="54"/>
  <c r="EA92" i="54"/>
  <c r="EA93" i="54"/>
  <c r="EA94" i="54"/>
  <c r="EA95" i="54"/>
  <c r="EA96" i="54"/>
  <c r="EA97" i="54"/>
  <c r="EA98" i="54"/>
  <c r="EA99" i="54"/>
  <c r="EA100" i="54"/>
  <c r="EA101" i="54"/>
  <c r="EA102" i="54"/>
  <c r="EA103" i="54"/>
  <c r="EA104" i="54"/>
  <c r="EA105" i="54"/>
  <c r="EA106" i="54"/>
  <c r="EA107" i="54"/>
  <c r="EA108" i="54"/>
  <c r="EA109" i="54"/>
  <c r="EA110" i="54"/>
  <c r="EA111" i="54"/>
  <c r="EA112" i="54"/>
  <c r="EA113" i="54"/>
  <c r="EA114" i="54"/>
  <c r="EA115" i="54"/>
  <c r="EA116" i="54"/>
  <c r="EA117" i="54"/>
  <c r="EA118" i="54"/>
  <c r="EA119" i="54"/>
  <c r="EA120" i="54"/>
  <c r="EA121" i="54"/>
  <c r="EA122" i="54"/>
  <c r="EA123" i="54"/>
  <c r="EA124" i="54"/>
  <c r="EA125" i="54"/>
  <c r="EA126" i="54"/>
  <c r="EA127" i="54"/>
  <c r="EA128" i="54"/>
  <c r="EA129" i="54"/>
  <c r="EA130" i="54"/>
  <c r="EA131" i="54"/>
  <c r="EA132" i="54"/>
  <c r="EA133" i="54"/>
  <c r="EA134" i="54"/>
  <c r="EA135" i="54"/>
  <c r="EA136" i="54"/>
  <c r="EA137" i="54"/>
  <c r="EA138" i="54"/>
  <c r="EA139" i="54"/>
  <c r="EA140" i="54"/>
  <c r="EA141" i="54"/>
  <c r="EA142" i="54"/>
  <c r="EA143" i="54"/>
  <c r="EA144" i="54"/>
  <c r="EA145" i="54"/>
  <c r="EA146" i="54"/>
  <c r="EA147" i="54"/>
  <c r="EA148" i="54"/>
  <c r="EA149" i="54"/>
  <c r="EA150" i="54"/>
  <c r="EA151" i="54"/>
  <c r="EA152" i="54"/>
  <c r="EA153" i="54"/>
  <c r="EA154" i="54"/>
  <c r="EA155" i="54"/>
  <c r="EA156" i="54"/>
  <c r="EA157" i="54"/>
  <c r="EA158" i="54"/>
  <c r="EA159" i="54"/>
  <c r="EA160" i="54"/>
  <c r="EA161" i="54"/>
  <c r="EA162" i="54"/>
  <c r="EA163" i="54"/>
  <c r="EA164" i="54"/>
  <c r="EA165" i="54"/>
  <c r="EA166" i="54"/>
  <c r="EA167" i="54"/>
  <c r="EA168" i="54"/>
  <c r="EA169" i="54"/>
  <c r="EA170" i="54"/>
  <c r="EA171" i="54"/>
  <c r="EA172" i="54"/>
  <c r="EA173" i="54"/>
  <c r="EA174" i="54"/>
  <c r="EA175" i="54"/>
  <c r="EA176" i="54"/>
  <c r="EA177" i="54"/>
  <c r="EA178" i="54"/>
  <c r="EA179" i="54"/>
  <c r="EA180" i="54"/>
  <c r="EA181" i="54"/>
  <c r="EA182" i="54"/>
  <c r="EA183" i="54"/>
  <c r="EA184" i="54"/>
  <c r="EA185" i="54"/>
  <c r="EA186" i="54"/>
  <c r="EA187" i="54"/>
  <c r="EA188" i="54"/>
  <c r="EA189" i="54"/>
  <c r="EA190" i="54"/>
  <c r="EA191" i="54"/>
  <c r="EA192" i="54"/>
  <c r="EA193" i="54"/>
  <c r="EA194" i="54"/>
  <c r="EA195" i="54"/>
  <c r="EA196" i="54"/>
  <c r="EA197" i="54"/>
  <c r="EA198" i="54"/>
  <c r="EA199" i="54"/>
  <c r="EA200" i="54"/>
  <c r="EA201" i="54"/>
  <c r="EA202" i="54"/>
  <c r="EA203" i="54"/>
  <c r="EA204" i="54"/>
  <c r="EA205" i="54"/>
  <c r="EA206" i="54"/>
  <c r="EA207" i="54"/>
  <c r="EA208" i="54"/>
  <c r="EA209" i="54"/>
  <c r="EA210" i="54"/>
  <c r="EA211" i="54"/>
  <c r="EA212" i="54"/>
  <c r="EA213" i="54"/>
  <c r="EA214" i="54"/>
  <c r="EA215" i="54"/>
  <c r="EA216" i="54"/>
  <c r="EA217" i="54"/>
  <c r="EA218" i="54"/>
  <c r="EA219" i="54"/>
  <c r="EA220" i="54"/>
  <c r="EA221" i="54"/>
  <c r="EA222" i="54"/>
  <c r="EA223" i="54"/>
  <c r="EA224" i="54"/>
  <c r="EA225" i="54"/>
  <c r="EA226" i="54"/>
  <c r="EA227" i="54"/>
  <c r="EA228" i="54"/>
  <c r="EA229" i="54"/>
  <c r="EA230" i="54"/>
  <c r="EA231" i="54"/>
  <c r="EA232" i="54"/>
  <c r="EA233" i="54"/>
  <c r="EA234" i="54"/>
  <c r="EA235" i="54"/>
  <c r="EA236" i="54"/>
  <c r="EA237" i="54"/>
  <c r="EA238" i="54"/>
  <c r="EA239" i="54"/>
  <c r="EA240" i="54"/>
  <c r="EA241" i="54"/>
  <c r="EA242" i="54"/>
  <c r="EA243" i="54"/>
  <c r="EA244" i="54"/>
  <c r="EA245" i="54"/>
  <c r="EA246" i="54"/>
  <c r="EA247" i="54"/>
  <c r="EA248" i="54"/>
  <c r="EA249" i="54"/>
  <c r="EA250" i="54"/>
  <c r="EA251" i="54"/>
  <c r="EA252" i="54"/>
  <c r="EA253" i="54"/>
  <c r="EA254" i="54"/>
  <c r="EA255" i="54"/>
  <c r="EA256" i="54"/>
  <c r="EA257" i="54"/>
  <c r="EA258" i="54"/>
  <c r="EA259" i="54"/>
  <c r="EA260" i="54"/>
  <c r="EA261" i="54"/>
  <c r="EA262" i="54"/>
  <c r="EA263" i="54"/>
  <c r="EA264" i="54"/>
  <c r="EA265" i="54"/>
  <c r="EA266" i="54"/>
  <c r="EA267" i="54"/>
  <c r="EA268" i="54"/>
  <c r="DH10" i="54"/>
  <c r="DH11" i="54"/>
  <c r="DH12" i="54"/>
  <c r="DH13" i="54"/>
  <c r="DH14" i="54"/>
  <c r="DH15" i="54"/>
  <c r="DH16" i="54"/>
  <c r="DH17" i="54"/>
  <c r="DH18" i="54"/>
  <c r="DH19" i="54"/>
  <c r="DH20" i="54"/>
  <c r="DH21" i="54"/>
  <c r="DH22" i="54"/>
  <c r="DH23" i="54"/>
  <c r="DH24" i="54"/>
  <c r="DH25" i="54"/>
  <c r="DH26" i="54"/>
  <c r="DH27" i="54"/>
  <c r="DH28" i="54"/>
  <c r="DH29" i="54"/>
  <c r="DH30" i="54"/>
  <c r="DH31" i="54"/>
  <c r="DH32" i="54"/>
  <c r="DH33" i="54"/>
  <c r="DH34" i="54"/>
  <c r="DH35" i="54"/>
  <c r="DH36" i="54"/>
  <c r="DH37" i="54"/>
  <c r="DH38" i="54"/>
  <c r="DH39" i="54"/>
  <c r="DH40" i="54"/>
  <c r="DH41" i="54"/>
  <c r="DH42" i="54"/>
  <c r="DH43" i="54"/>
  <c r="DH44" i="54"/>
  <c r="DH45" i="54"/>
  <c r="DH46" i="54"/>
  <c r="DH47" i="54"/>
  <c r="DH48" i="54"/>
  <c r="DH49" i="54"/>
  <c r="DH50" i="54"/>
  <c r="DH51" i="54"/>
  <c r="DH52" i="54"/>
  <c r="DH53" i="54"/>
  <c r="DH54" i="54"/>
  <c r="DH55" i="54"/>
  <c r="DH56" i="54"/>
  <c r="DH57" i="54"/>
  <c r="DH58" i="54"/>
  <c r="DH59" i="54"/>
  <c r="DH60" i="54"/>
  <c r="DH61" i="54"/>
  <c r="DH62" i="54"/>
  <c r="DH63" i="54"/>
  <c r="DH64" i="54"/>
  <c r="DH65" i="54"/>
  <c r="DH66" i="54"/>
  <c r="DH67" i="54"/>
  <c r="DH68" i="54"/>
  <c r="DH69" i="54"/>
  <c r="DH70" i="54"/>
  <c r="DH71" i="54"/>
  <c r="DH72" i="54"/>
  <c r="DH73" i="54"/>
  <c r="DH74" i="54"/>
  <c r="DH75" i="54"/>
  <c r="DH76" i="54"/>
  <c r="DH77" i="54"/>
  <c r="DH78" i="54"/>
  <c r="DH79" i="54"/>
  <c r="DH80" i="54"/>
  <c r="DH81" i="54"/>
  <c r="DH82" i="54"/>
  <c r="DH83" i="54"/>
  <c r="DH84" i="54"/>
  <c r="DH85" i="54"/>
  <c r="DH86" i="54"/>
  <c r="DH87" i="54"/>
  <c r="DH88" i="54"/>
  <c r="DH89" i="54"/>
  <c r="DH90" i="54"/>
  <c r="DH91" i="54"/>
  <c r="DH92" i="54"/>
  <c r="DH93" i="54"/>
  <c r="DH94" i="54"/>
  <c r="DH95" i="54"/>
  <c r="DH96" i="54"/>
  <c r="DH97" i="54"/>
  <c r="DH98" i="54"/>
  <c r="DH99" i="54"/>
  <c r="DH100" i="54"/>
  <c r="DH101" i="54"/>
  <c r="DH102" i="54"/>
  <c r="DH103" i="54"/>
  <c r="DH104" i="54"/>
  <c r="DH105" i="54"/>
  <c r="DH106" i="54"/>
  <c r="DH107" i="54"/>
  <c r="DH108" i="54"/>
  <c r="DH109" i="54"/>
  <c r="DH110" i="54"/>
  <c r="DH111" i="54"/>
  <c r="DH112" i="54"/>
  <c r="DH113" i="54"/>
  <c r="DH114" i="54"/>
  <c r="DH115" i="54"/>
  <c r="DH116" i="54"/>
  <c r="DH117" i="54"/>
  <c r="DH118" i="54"/>
  <c r="DH119" i="54"/>
  <c r="DH120" i="54"/>
  <c r="DH121" i="54"/>
  <c r="DH122" i="54"/>
  <c r="DH123" i="54"/>
  <c r="DH124" i="54"/>
  <c r="DH125" i="54"/>
  <c r="DH126" i="54"/>
  <c r="DH127" i="54"/>
  <c r="DH128" i="54"/>
  <c r="DH129" i="54"/>
  <c r="DH130" i="54"/>
  <c r="DH131" i="54"/>
  <c r="DH132" i="54"/>
  <c r="DH133" i="54"/>
  <c r="DH134" i="54"/>
  <c r="DH135" i="54"/>
  <c r="DH136" i="54"/>
  <c r="DH137" i="54"/>
  <c r="DH138" i="54"/>
  <c r="DH139" i="54"/>
  <c r="DH140" i="54"/>
  <c r="DH141" i="54"/>
  <c r="DH142" i="54"/>
  <c r="DH143" i="54"/>
  <c r="DH144" i="54"/>
  <c r="DH145" i="54"/>
  <c r="DH146" i="54"/>
  <c r="DH147" i="54"/>
  <c r="DH148" i="54"/>
  <c r="DH149" i="54"/>
  <c r="DH150" i="54"/>
  <c r="DH151" i="54"/>
  <c r="DH152" i="54"/>
  <c r="DH153" i="54"/>
  <c r="DH154" i="54"/>
  <c r="DH155" i="54"/>
  <c r="DH156" i="54"/>
  <c r="DH157" i="54"/>
  <c r="DH158" i="54"/>
  <c r="DH159" i="54"/>
  <c r="DH160" i="54"/>
  <c r="DH161" i="54"/>
  <c r="DH162" i="54"/>
  <c r="DH163" i="54"/>
  <c r="DH164" i="54"/>
  <c r="DH165" i="54"/>
  <c r="DH166" i="54"/>
  <c r="DH167" i="54"/>
  <c r="DH168" i="54"/>
  <c r="DH169" i="54"/>
  <c r="DH170" i="54"/>
  <c r="DH171" i="54"/>
  <c r="DH172" i="54"/>
  <c r="DH173" i="54"/>
  <c r="DH174" i="54"/>
  <c r="DH175" i="54"/>
  <c r="DH176" i="54"/>
  <c r="DH177" i="54"/>
  <c r="DH178" i="54"/>
  <c r="DH179" i="54"/>
  <c r="DH180" i="54"/>
  <c r="DH181" i="54"/>
  <c r="DH182" i="54"/>
  <c r="DH183" i="54"/>
  <c r="DH184" i="54"/>
  <c r="DH185" i="54"/>
  <c r="DH186" i="54"/>
  <c r="DH187" i="54"/>
  <c r="DH188" i="54"/>
  <c r="DH189" i="54"/>
  <c r="DH190" i="54"/>
  <c r="DH191" i="54"/>
  <c r="DH192" i="54"/>
  <c r="DH193" i="54"/>
  <c r="DH194" i="54"/>
  <c r="DH195" i="54"/>
  <c r="DH196" i="54"/>
  <c r="DH197" i="54"/>
  <c r="DH198" i="54"/>
  <c r="DH199" i="54"/>
  <c r="DH200" i="54"/>
  <c r="DH201" i="54"/>
  <c r="DH202" i="54"/>
  <c r="DH203" i="54"/>
  <c r="DH204" i="54"/>
  <c r="DH205" i="54"/>
  <c r="DH206" i="54"/>
  <c r="DH207" i="54"/>
  <c r="DH208" i="54"/>
  <c r="DH209" i="54"/>
  <c r="DH210" i="54"/>
  <c r="DH211" i="54"/>
  <c r="DH212" i="54"/>
  <c r="DH213" i="54"/>
  <c r="DH214" i="54"/>
  <c r="DH215" i="54"/>
  <c r="DH216" i="54"/>
  <c r="DH217" i="54"/>
  <c r="DH218" i="54"/>
  <c r="DH219" i="54"/>
  <c r="DH220" i="54"/>
  <c r="DH221" i="54"/>
  <c r="DH222" i="54"/>
  <c r="DH223" i="54"/>
  <c r="DH224" i="54"/>
  <c r="DH225" i="54"/>
  <c r="DH226" i="54"/>
  <c r="DH227" i="54"/>
  <c r="DH228" i="54"/>
  <c r="DH229" i="54"/>
  <c r="DH230" i="54"/>
  <c r="DH231" i="54"/>
  <c r="DH232" i="54"/>
  <c r="DH233" i="54"/>
  <c r="DH234" i="54"/>
  <c r="DH235" i="54"/>
  <c r="DH236" i="54"/>
  <c r="DH237" i="54"/>
  <c r="DH238" i="54"/>
  <c r="DH239" i="54"/>
  <c r="DH240" i="54"/>
  <c r="DH241" i="54"/>
  <c r="DH242" i="54"/>
  <c r="DH243" i="54"/>
  <c r="DH244" i="54"/>
  <c r="DH245" i="54"/>
  <c r="DH246" i="54"/>
  <c r="DH247" i="54"/>
  <c r="DH248" i="54"/>
  <c r="DH249" i="54"/>
  <c r="DH250" i="54"/>
  <c r="DH251" i="54"/>
  <c r="DH252" i="54"/>
  <c r="DH253" i="54"/>
  <c r="DH254" i="54"/>
  <c r="DH255" i="54"/>
  <c r="DH256" i="54"/>
  <c r="DH257" i="54"/>
  <c r="DH258" i="54"/>
  <c r="DH259" i="54"/>
  <c r="DH260" i="54"/>
  <c r="DH261" i="54"/>
  <c r="DH262" i="54"/>
  <c r="DH263" i="54"/>
  <c r="DH264" i="54"/>
  <c r="DH265" i="54"/>
  <c r="DH266" i="54"/>
  <c r="DH267" i="54"/>
  <c r="DH268" i="54"/>
  <c r="HD10" i="54"/>
  <c r="HD11" i="54"/>
  <c r="HD12" i="54"/>
  <c r="HD13" i="54"/>
  <c r="HD14" i="54"/>
  <c r="HD15" i="54"/>
  <c r="HD16" i="54"/>
  <c r="HD17" i="54"/>
  <c r="HD18" i="54"/>
  <c r="HD19" i="54"/>
  <c r="HD20" i="54"/>
  <c r="HD21" i="54"/>
  <c r="HD22" i="54"/>
  <c r="HD23" i="54"/>
  <c r="HD24" i="54"/>
  <c r="HD25" i="54"/>
  <c r="HD26" i="54"/>
  <c r="HD27" i="54"/>
  <c r="HD28" i="54"/>
  <c r="HD29" i="54"/>
  <c r="HD30" i="54"/>
  <c r="HD31" i="54"/>
  <c r="HD32" i="54"/>
  <c r="HD33" i="54"/>
  <c r="HD34" i="54"/>
  <c r="HD35" i="54"/>
  <c r="HD36" i="54"/>
  <c r="HD37" i="54"/>
  <c r="HD38" i="54"/>
  <c r="HD39" i="54"/>
  <c r="HD40" i="54"/>
  <c r="HD41" i="54"/>
  <c r="HD42" i="54"/>
  <c r="HD43" i="54"/>
  <c r="HD44" i="54"/>
  <c r="HD45" i="54"/>
  <c r="HD46" i="54"/>
  <c r="HD47" i="54"/>
  <c r="HD48" i="54"/>
  <c r="HD49" i="54"/>
  <c r="HD50" i="54"/>
  <c r="HD51" i="54"/>
  <c r="HD52" i="54"/>
  <c r="HD53" i="54"/>
  <c r="HD54" i="54"/>
  <c r="HD55" i="54"/>
  <c r="HD56" i="54"/>
  <c r="HD57" i="54"/>
  <c r="HD58" i="54"/>
  <c r="HD59" i="54"/>
  <c r="HD60" i="54"/>
  <c r="HD61" i="54"/>
  <c r="HD62" i="54"/>
  <c r="HD63" i="54"/>
  <c r="HD64" i="54"/>
  <c r="HD65" i="54"/>
  <c r="HD66" i="54"/>
  <c r="HD67" i="54"/>
  <c r="HD68" i="54"/>
  <c r="HD69" i="54"/>
  <c r="HD70" i="54"/>
  <c r="HD71" i="54"/>
  <c r="HD72" i="54"/>
  <c r="HD73" i="54"/>
  <c r="HD74" i="54"/>
  <c r="HD75" i="54"/>
  <c r="HD76" i="54"/>
  <c r="HD77" i="54"/>
  <c r="HD78" i="54"/>
  <c r="HD79" i="54"/>
  <c r="HD80" i="54"/>
  <c r="HD81" i="54"/>
  <c r="HD82" i="54"/>
  <c r="HD83" i="54"/>
  <c r="HD84" i="54"/>
  <c r="HD85" i="54"/>
  <c r="HD86" i="54"/>
  <c r="HD87" i="54"/>
  <c r="HD88" i="54"/>
  <c r="HD89" i="54"/>
  <c r="HD90" i="54"/>
  <c r="HD91" i="54"/>
  <c r="HD92" i="54"/>
  <c r="HD93" i="54"/>
  <c r="HD94" i="54"/>
  <c r="HD95" i="54"/>
  <c r="HD96" i="54"/>
  <c r="HD97" i="54"/>
  <c r="HD98" i="54"/>
  <c r="HD99" i="54"/>
  <c r="HD100" i="54"/>
  <c r="HD101" i="54"/>
  <c r="HD102" i="54"/>
  <c r="HD103" i="54"/>
  <c r="HD104" i="54"/>
  <c r="HD105" i="54"/>
  <c r="HD106" i="54"/>
  <c r="HD107" i="54"/>
  <c r="HD108" i="54"/>
  <c r="HD109" i="54"/>
  <c r="HD110" i="54"/>
  <c r="HD111" i="54"/>
  <c r="HD112" i="54"/>
  <c r="HD113" i="54"/>
  <c r="HD114" i="54"/>
  <c r="HD115" i="54"/>
  <c r="HD116" i="54"/>
  <c r="HD117" i="54"/>
  <c r="HD118" i="54"/>
  <c r="HD119" i="54"/>
  <c r="HD120" i="54"/>
  <c r="HD121" i="54"/>
  <c r="HD122" i="54"/>
  <c r="HD123" i="54"/>
  <c r="HD124" i="54"/>
  <c r="HD125" i="54"/>
  <c r="HD126" i="54"/>
  <c r="HD127" i="54"/>
  <c r="HD128" i="54"/>
  <c r="HD129" i="54"/>
  <c r="HD130" i="54"/>
  <c r="HD131" i="54"/>
  <c r="HD132" i="54"/>
  <c r="HD133" i="54"/>
  <c r="HD134" i="54"/>
  <c r="HD135" i="54"/>
  <c r="HD136" i="54"/>
  <c r="HD137" i="54"/>
  <c r="HD138" i="54"/>
  <c r="HD139" i="54"/>
  <c r="HD140" i="54"/>
  <c r="HD141" i="54"/>
  <c r="HD142" i="54"/>
  <c r="HD143" i="54"/>
  <c r="HD144" i="54"/>
  <c r="HD145" i="54"/>
  <c r="HD146" i="54"/>
  <c r="HD147" i="54"/>
  <c r="HD148" i="54"/>
  <c r="HD149" i="54"/>
  <c r="HD150" i="54"/>
  <c r="HD151" i="54"/>
  <c r="HD152" i="54"/>
  <c r="HD153" i="54"/>
  <c r="HD154" i="54"/>
  <c r="HD155" i="54"/>
  <c r="HD156" i="54"/>
  <c r="HD157" i="54"/>
  <c r="HD158" i="54"/>
  <c r="HD159" i="54"/>
  <c r="HD160" i="54"/>
  <c r="HD161" i="54"/>
  <c r="HD162" i="54"/>
  <c r="HD163" i="54"/>
  <c r="HD164" i="54"/>
  <c r="HD165" i="54"/>
  <c r="HD166" i="54"/>
  <c r="HD167" i="54"/>
  <c r="HD168" i="54"/>
  <c r="HD169" i="54"/>
  <c r="HD170" i="54"/>
  <c r="HD171" i="54"/>
  <c r="HD172" i="54"/>
  <c r="HD173" i="54"/>
  <c r="HD174" i="54"/>
  <c r="HD175" i="54"/>
  <c r="HD176" i="54"/>
  <c r="HD177" i="54"/>
  <c r="HD178" i="54"/>
  <c r="HD179" i="54"/>
  <c r="HD180" i="54"/>
  <c r="HD181" i="54"/>
  <c r="HD182" i="54"/>
  <c r="HD183" i="54"/>
  <c r="HD184" i="54"/>
  <c r="HD185" i="54"/>
  <c r="HD186" i="54"/>
  <c r="HD187" i="54"/>
  <c r="HD188" i="54"/>
  <c r="HD189" i="54"/>
  <c r="HD190" i="54"/>
  <c r="HD191" i="54"/>
  <c r="HD192" i="54"/>
  <c r="HD193" i="54"/>
  <c r="HD194" i="54"/>
  <c r="HD195" i="54"/>
  <c r="HD196" i="54"/>
  <c r="HD197" i="54"/>
  <c r="HD198" i="54"/>
  <c r="HD199" i="54"/>
  <c r="HD200" i="54"/>
  <c r="HD201" i="54"/>
  <c r="HD202" i="54"/>
  <c r="HD203" i="54"/>
  <c r="HD204" i="54"/>
  <c r="HD205" i="54"/>
  <c r="HD206" i="54"/>
  <c r="HD207" i="54"/>
  <c r="HD208" i="54"/>
  <c r="HD209" i="54"/>
  <c r="HD210" i="54"/>
  <c r="HD211" i="54"/>
  <c r="HD212" i="54"/>
  <c r="HD213" i="54"/>
  <c r="HD214" i="54"/>
  <c r="HD215" i="54"/>
  <c r="HD216" i="54"/>
  <c r="HD217" i="54"/>
  <c r="HD218" i="54"/>
  <c r="HD219" i="54"/>
  <c r="HD220" i="54"/>
  <c r="HD221" i="54"/>
  <c r="HD222" i="54"/>
  <c r="HD223" i="54"/>
  <c r="HD224" i="54"/>
  <c r="HD225" i="54"/>
  <c r="HD226" i="54"/>
  <c r="HD227" i="54"/>
  <c r="HD228" i="54"/>
  <c r="HD229" i="54"/>
  <c r="HD230" i="54"/>
  <c r="HD231" i="54"/>
  <c r="HD232" i="54"/>
  <c r="HD233" i="54"/>
  <c r="HD234" i="54"/>
  <c r="HD235" i="54"/>
  <c r="HD236" i="54"/>
  <c r="HD237" i="54"/>
  <c r="HD238" i="54"/>
  <c r="HD239" i="54"/>
  <c r="HD240" i="54"/>
  <c r="HD241" i="54"/>
  <c r="HD242" i="54"/>
  <c r="HD243" i="54"/>
  <c r="HD244" i="54"/>
  <c r="HD245" i="54"/>
  <c r="HD246" i="54"/>
  <c r="HD247" i="54"/>
  <c r="HD248" i="54"/>
  <c r="HD249" i="54"/>
  <c r="HD250" i="54"/>
  <c r="HD251" i="54"/>
  <c r="HD252" i="54"/>
  <c r="HD253" i="54"/>
  <c r="HD254" i="54"/>
  <c r="HD255" i="54"/>
  <c r="HD256" i="54"/>
  <c r="HD257" i="54"/>
  <c r="HD258" i="54"/>
  <c r="HD259" i="54"/>
  <c r="HD260" i="54"/>
  <c r="HD261" i="54"/>
  <c r="HD262" i="54"/>
  <c r="HD263" i="54"/>
  <c r="HD264" i="54"/>
  <c r="HD265" i="54"/>
  <c r="HD266" i="54"/>
  <c r="HD267" i="54"/>
  <c r="HD268" i="54"/>
  <c r="GJ10" i="54"/>
  <c r="GJ11" i="54"/>
  <c r="GJ12" i="54"/>
  <c r="GJ13" i="54"/>
  <c r="GJ14" i="54"/>
  <c r="GJ15" i="54"/>
  <c r="GJ16" i="54"/>
  <c r="GJ17" i="54"/>
  <c r="GJ18" i="54"/>
  <c r="GJ19" i="54"/>
  <c r="GJ20" i="54"/>
  <c r="GJ21" i="54"/>
  <c r="GJ22" i="54"/>
  <c r="GJ23" i="54"/>
  <c r="GJ24" i="54"/>
  <c r="GJ25" i="54"/>
  <c r="GJ26" i="54"/>
  <c r="GJ27" i="54"/>
  <c r="GJ28" i="54"/>
  <c r="GJ29" i="54"/>
  <c r="GJ30" i="54"/>
  <c r="GJ31" i="54"/>
  <c r="GJ32" i="54"/>
  <c r="GJ33" i="54"/>
  <c r="GJ34" i="54"/>
  <c r="GJ35" i="54"/>
  <c r="GJ36" i="54"/>
  <c r="GJ37" i="54"/>
  <c r="GJ38" i="54"/>
  <c r="GJ39" i="54"/>
  <c r="GJ40" i="54"/>
  <c r="GJ41" i="54"/>
  <c r="GJ42" i="54"/>
  <c r="GJ43" i="54"/>
  <c r="GJ44" i="54"/>
  <c r="GJ45" i="54"/>
  <c r="GJ46" i="54"/>
  <c r="GJ47" i="54"/>
  <c r="GJ48" i="54"/>
  <c r="GJ49" i="54"/>
  <c r="GJ50" i="54"/>
  <c r="GJ51" i="54"/>
  <c r="GJ52" i="54"/>
  <c r="GJ53" i="54"/>
  <c r="GJ54" i="54"/>
  <c r="GJ55" i="54"/>
  <c r="GJ56" i="54"/>
  <c r="GJ57" i="54"/>
  <c r="GJ58" i="54"/>
  <c r="GJ59" i="54"/>
  <c r="GJ60" i="54"/>
  <c r="GJ61" i="54"/>
  <c r="GJ62" i="54"/>
  <c r="GJ63" i="54"/>
  <c r="GJ64" i="54"/>
  <c r="GJ65" i="54"/>
  <c r="GJ66" i="54"/>
  <c r="GJ67" i="54"/>
  <c r="GJ68" i="54"/>
  <c r="GJ69" i="54"/>
  <c r="GJ70" i="54"/>
  <c r="GJ71" i="54"/>
  <c r="GJ72" i="54"/>
  <c r="GJ73" i="54"/>
  <c r="GJ74" i="54"/>
  <c r="GJ75" i="54"/>
  <c r="GJ76" i="54"/>
  <c r="GJ77" i="54"/>
  <c r="GJ78" i="54"/>
  <c r="GJ79" i="54"/>
  <c r="GJ80" i="54"/>
  <c r="GJ81" i="54"/>
  <c r="GJ82" i="54"/>
  <c r="GJ83" i="54"/>
  <c r="GJ84" i="54"/>
  <c r="GJ85" i="54"/>
  <c r="GJ86" i="54"/>
  <c r="GJ87" i="54"/>
  <c r="GJ88" i="54"/>
  <c r="GJ89" i="54"/>
  <c r="GJ90" i="54"/>
  <c r="GJ91" i="54"/>
  <c r="GJ92" i="54"/>
  <c r="GJ93" i="54"/>
  <c r="GJ94" i="54"/>
  <c r="GJ95" i="54"/>
  <c r="GJ96" i="54"/>
  <c r="GJ97" i="54"/>
  <c r="GJ98" i="54"/>
  <c r="GJ99" i="54"/>
  <c r="GJ100" i="54"/>
  <c r="GJ101" i="54"/>
  <c r="GJ102" i="54"/>
  <c r="GJ103" i="54"/>
  <c r="GJ104" i="54"/>
  <c r="GJ105" i="54"/>
  <c r="GJ106" i="54"/>
  <c r="GJ107" i="54"/>
  <c r="GJ108" i="54"/>
  <c r="GJ109" i="54"/>
  <c r="GJ110" i="54"/>
  <c r="GJ111" i="54"/>
  <c r="GJ112" i="54"/>
  <c r="GJ113" i="54"/>
  <c r="GJ114" i="54"/>
  <c r="GJ115" i="54"/>
  <c r="GJ116" i="54"/>
  <c r="GJ117" i="54"/>
  <c r="GJ118" i="54"/>
  <c r="GJ119" i="54"/>
  <c r="GJ120" i="54"/>
  <c r="GJ121" i="54"/>
  <c r="GJ122" i="54"/>
  <c r="GJ123" i="54"/>
  <c r="GJ124" i="54"/>
  <c r="GJ125" i="54"/>
  <c r="GJ126" i="54"/>
  <c r="GJ127" i="54"/>
  <c r="GJ128" i="54"/>
  <c r="GJ129" i="54"/>
  <c r="GJ130" i="54"/>
  <c r="GJ131" i="54"/>
  <c r="GJ132" i="54"/>
  <c r="GJ133" i="54"/>
  <c r="GJ134" i="54"/>
  <c r="GJ135" i="54"/>
  <c r="GJ136" i="54"/>
  <c r="GJ137" i="54"/>
  <c r="GJ138" i="54"/>
  <c r="GJ139" i="54"/>
  <c r="GJ140" i="54"/>
  <c r="GJ141" i="54"/>
  <c r="GJ142" i="54"/>
  <c r="GJ143" i="54"/>
  <c r="GJ144" i="54"/>
  <c r="GJ145" i="54"/>
  <c r="GJ146" i="54"/>
  <c r="GJ147" i="54"/>
  <c r="GJ148" i="54"/>
  <c r="GJ149" i="54"/>
  <c r="GJ150" i="54"/>
  <c r="GJ151" i="54"/>
  <c r="GJ152" i="54"/>
  <c r="GJ153" i="54"/>
  <c r="GJ154" i="54"/>
  <c r="GJ155" i="54"/>
  <c r="GJ156" i="54"/>
  <c r="GJ157" i="54"/>
  <c r="GJ158" i="54"/>
  <c r="GJ159" i="54"/>
  <c r="GJ160" i="54"/>
  <c r="GJ161" i="54"/>
  <c r="GJ162" i="54"/>
  <c r="GJ163" i="54"/>
  <c r="GJ164" i="54"/>
  <c r="GJ165" i="54"/>
  <c r="GJ166" i="54"/>
  <c r="GJ167" i="54"/>
  <c r="GJ168" i="54"/>
  <c r="GJ169" i="54"/>
  <c r="GJ170" i="54"/>
  <c r="GJ171" i="54"/>
  <c r="GJ172" i="54"/>
  <c r="GJ173" i="54"/>
  <c r="GJ174" i="54"/>
  <c r="GJ175" i="54"/>
  <c r="GJ176" i="54"/>
  <c r="GJ177" i="54"/>
  <c r="GJ178" i="54"/>
  <c r="GJ179" i="54"/>
  <c r="GJ180" i="54"/>
  <c r="GJ181" i="54"/>
  <c r="GJ182" i="54"/>
  <c r="GJ183" i="54"/>
  <c r="GJ184" i="54"/>
  <c r="GJ185" i="54"/>
  <c r="GJ186" i="54"/>
  <c r="GJ187" i="54"/>
  <c r="GJ188" i="54"/>
  <c r="GJ189" i="54"/>
  <c r="GJ190" i="54"/>
  <c r="GJ191" i="54"/>
  <c r="GJ192" i="54"/>
  <c r="GJ193" i="54"/>
  <c r="GJ194" i="54"/>
  <c r="GJ195" i="54"/>
  <c r="GJ196" i="54"/>
  <c r="GJ197" i="54"/>
  <c r="GJ198" i="54"/>
  <c r="GJ199" i="54"/>
  <c r="GJ200" i="54"/>
  <c r="GJ201" i="54"/>
  <c r="GJ202" i="54"/>
  <c r="GJ203" i="54"/>
  <c r="GJ204" i="54"/>
  <c r="GJ205" i="54"/>
  <c r="GJ206" i="54"/>
  <c r="GJ207" i="54"/>
  <c r="GJ208" i="54"/>
  <c r="GJ209" i="54"/>
  <c r="GJ210" i="54"/>
  <c r="GJ211" i="54"/>
  <c r="GJ212" i="54"/>
  <c r="GJ213" i="54"/>
  <c r="GJ214" i="54"/>
  <c r="GJ215" i="54"/>
  <c r="GJ216" i="54"/>
  <c r="GJ217" i="54"/>
  <c r="GJ218" i="54"/>
  <c r="GJ219" i="54"/>
  <c r="GJ220" i="54"/>
  <c r="GJ221" i="54"/>
  <c r="GJ222" i="54"/>
  <c r="GJ223" i="54"/>
  <c r="GJ224" i="54"/>
  <c r="GJ225" i="54"/>
  <c r="GJ226" i="54"/>
  <c r="GJ227" i="54"/>
  <c r="GJ228" i="54"/>
  <c r="GJ229" i="54"/>
  <c r="GJ230" i="54"/>
  <c r="GJ231" i="54"/>
  <c r="GJ232" i="54"/>
  <c r="GJ233" i="54"/>
  <c r="GJ234" i="54"/>
  <c r="GJ235" i="54"/>
  <c r="GJ236" i="54"/>
  <c r="GJ237" i="54"/>
  <c r="GJ238" i="54"/>
  <c r="GJ239" i="54"/>
  <c r="GJ240" i="54"/>
  <c r="GJ241" i="54"/>
  <c r="GJ242" i="54"/>
  <c r="GJ243" i="54"/>
  <c r="GJ244" i="54"/>
  <c r="GJ245" i="54"/>
  <c r="GJ246" i="54"/>
  <c r="GJ247" i="54"/>
  <c r="GJ248" i="54"/>
  <c r="GJ249" i="54"/>
  <c r="GJ250" i="54"/>
  <c r="GJ251" i="54"/>
  <c r="GJ252" i="54"/>
  <c r="GJ253" i="54"/>
  <c r="GJ254" i="54"/>
  <c r="GJ255" i="54"/>
  <c r="GJ256" i="54"/>
  <c r="GJ257" i="54"/>
  <c r="GJ258" i="54"/>
  <c r="GJ259" i="54"/>
  <c r="GJ260" i="54"/>
  <c r="GJ261" i="54"/>
  <c r="GJ262" i="54"/>
  <c r="GJ263" i="54"/>
  <c r="GJ264" i="54"/>
  <c r="GJ265" i="54"/>
  <c r="GJ266" i="54"/>
  <c r="GJ267" i="54"/>
  <c r="GJ268" i="54"/>
  <c r="A15" i="57"/>
  <c r="C15" i="57" s="1"/>
  <c r="B3" i="60"/>
  <c r="B2" i="60"/>
  <c r="A2495" i="57"/>
  <c r="C2495" i="57" s="1"/>
  <c r="A2496" i="57"/>
  <c r="C2496" i="57" s="1"/>
  <c r="A2497" i="57"/>
  <c r="C2497" i="57" s="1"/>
  <c r="A2498" i="57"/>
  <c r="C2498" i="57" s="1"/>
  <c r="A2499" i="57"/>
  <c r="C2499" i="57" s="1"/>
  <c r="A2500" i="57"/>
  <c r="C2500" i="57" s="1"/>
  <c r="A2501" i="57"/>
  <c r="C2501" i="57" s="1"/>
  <c r="A2502" i="57"/>
  <c r="C2502" i="57" s="1"/>
  <c r="A2503" i="57"/>
  <c r="C2503" i="57" s="1"/>
  <c r="A2504" i="57"/>
  <c r="C2504" i="57" s="1"/>
  <c r="A2505" i="57"/>
  <c r="C2505" i="57" s="1"/>
  <c r="A2506" i="57"/>
  <c r="C2506" i="57" s="1"/>
  <c r="A2507" i="57"/>
  <c r="C2507" i="57" s="1"/>
  <c r="A2508" i="57"/>
  <c r="C2508" i="57" s="1"/>
  <c r="A2509" i="57"/>
  <c r="C2509" i="57" s="1"/>
  <c r="A2510" i="57"/>
  <c r="C2510" i="57" s="1"/>
  <c r="H2499" i="57"/>
  <c r="A2482" i="57"/>
  <c r="C2482" i="57" s="1"/>
  <c r="A2483" i="57"/>
  <c r="C2483" i="57" s="1"/>
  <c r="A2484" i="57"/>
  <c r="C2484" i="57" s="1"/>
  <c r="A2485" i="57"/>
  <c r="C2485" i="57" s="1"/>
  <c r="A2486" i="57"/>
  <c r="C2486" i="57" s="1"/>
  <c r="A2487" i="57"/>
  <c r="C2487" i="57" s="1"/>
  <c r="A2488" i="57"/>
  <c r="C2488" i="57" s="1"/>
  <c r="A2489" i="57"/>
  <c r="C2489" i="57" s="1"/>
  <c r="A2490" i="57"/>
  <c r="C2490" i="57" s="1"/>
  <c r="A2491" i="57"/>
  <c r="C2491" i="57" s="1"/>
  <c r="A2492" i="57"/>
  <c r="C2492" i="57" s="1"/>
  <c r="A2493" i="57"/>
  <c r="C2493" i="57" s="1"/>
  <c r="A2494" i="57"/>
  <c r="C2494" i="57" s="1"/>
  <c r="A1456" i="57"/>
  <c r="C1456" i="57" s="1"/>
  <c r="A1457" i="57"/>
  <c r="C1457" i="57" s="1"/>
  <c r="A1458" i="57"/>
  <c r="C1458" i="57" s="1"/>
  <c r="A1459" i="57"/>
  <c r="C1459" i="57" s="1"/>
  <c r="A1460" i="57"/>
  <c r="C1460" i="57" s="1"/>
  <c r="A1461" i="57"/>
  <c r="C1461" i="57" s="1"/>
  <c r="A1462" i="57"/>
  <c r="C1462" i="57" s="1"/>
  <c r="A1463" i="57"/>
  <c r="C1463" i="57" s="1"/>
  <c r="A1464" i="57"/>
  <c r="C1464" i="57" s="1"/>
  <c r="A1465" i="57"/>
  <c r="C1465" i="57" s="1"/>
  <c r="A1466" i="57"/>
  <c r="C1466" i="57" s="1"/>
  <c r="A1467" i="57"/>
  <c r="C1467" i="57" s="1"/>
  <c r="A1468" i="57"/>
  <c r="C1468" i="57" s="1"/>
  <c r="A1469" i="57"/>
  <c r="C1469" i="57" s="1"/>
  <c r="A1470" i="57"/>
  <c r="C1470" i="57" s="1"/>
  <c r="A1471" i="57"/>
  <c r="C1471" i="57" s="1"/>
  <c r="A1472" i="57"/>
  <c r="C1472" i="57" s="1"/>
  <c r="A1473" i="57"/>
  <c r="C1473" i="57" s="1"/>
  <c r="A1474" i="57"/>
  <c r="C1474" i="57" s="1"/>
  <c r="A1475" i="57"/>
  <c r="C1475" i="57" s="1"/>
  <c r="A1476" i="57"/>
  <c r="C1476" i="57" s="1"/>
  <c r="A1477" i="57"/>
  <c r="C1477" i="57" s="1"/>
  <c r="A1478" i="57"/>
  <c r="C1478" i="57" s="1"/>
  <c r="A1479" i="57"/>
  <c r="C1479" i="57" s="1"/>
  <c r="A1480" i="57"/>
  <c r="C1480" i="57" s="1"/>
  <c r="A1481" i="57"/>
  <c r="C1481" i="57" s="1"/>
  <c r="A1482" i="57"/>
  <c r="C1482" i="57" s="1"/>
  <c r="A1483" i="57"/>
  <c r="C1483" i="57" s="1"/>
  <c r="A1484" i="57"/>
  <c r="C1484" i="57" s="1"/>
  <c r="A1485" i="57"/>
  <c r="C1485" i="57" s="1"/>
  <c r="A1486" i="57"/>
  <c r="C1486" i="57" s="1"/>
  <c r="A1487" i="57"/>
  <c r="C1487" i="57" s="1"/>
  <c r="A1488" i="57"/>
  <c r="C1488" i="57" s="1"/>
  <c r="A1489" i="57"/>
  <c r="C1489" i="57" s="1"/>
  <c r="A1490" i="57"/>
  <c r="C1490" i="57" s="1"/>
  <c r="A1491" i="57"/>
  <c r="C1491" i="57" s="1"/>
  <c r="A1492" i="57"/>
  <c r="C1492" i="57" s="1"/>
  <c r="A1493" i="57"/>
  <c r="C1493" i="57" s="1"/>
  <c r="A1494" i="57"/>
  <c r="C1494" i="57" s="1"/>
  <c r="A1495" i="57"/>
  <c r="C1495" i="57" s="1"/>
  <c r="A1496" i="57"/>
  <c r="C1496" i="57" s="1"/>
  <c r="A1497" i="57"/>
  <c r="C1497" i="57" s="1"/>
  <c r="A1498" i="57"/>
  <c r="C1498" i="57" s="1"/>
  <c r="A1499" i="57"/>
  <c r="C1499" i="57" s="1"/>
  <c r="A1500" i="57"/>
  <c r="C1500" i="57" s="1"/>
  <c r="A1501" i="57"/>
  <c r="C1501" i="57" s="1"/>
  <c r="A1502" i="57"/>
  <c r="C1502" i="57" s="1"/>
  <c r="A1503" i="57"/>
  <c r="C1503" i="57" s="1"/>
  <c r="A1504" i="57"/>
  <c r="C1504" i="57" s="1"/>
  <c r="A1505" i="57"/>
  <c r="C1505" i="57" s="1"/>
  <c r="A1506" i="57"/>
  <c r="C1506" i="57" s="1"/>
  <c r="A1507" i="57"/>
  <c r="C1507" i="57" s="1"/>
  <c r="A1508" i="57"/>
  <c r="C1508" i="57" s="1"/>
  <c r="A1509" i="57"/>
  <c r="C1509" i="57" s="1"/>
  <c r="A1510" i="57"/>
  <c r="C1510" i="57" s="1"/>
  <c r="A1511" i="57"/>
  <c r="C1511" i="57" s="1"/>
  <c r="A1512" i="57"/>
  <c r="C1512" i="57" s="1"/>
  <c r="A1513" i="57"/>
  <c r="C1513" i="57" s="1"/>
  <c r="A1514" i="57"/>
  <c r="C1514" i="57" s="1"/>
  <c r="A1515" i="57"/>
  <c r="C1515" i="57" s="1"/>
  <c r="A1516" i="57"/>
  <c r="C1516" i="57" s="1"/>
  <c r="A1517" i="57"/>
  <c r="C1517" i="57" s="1"/>
  <c r="A1518" i="57"/>
  <c r="C1518" i="57" s="1"/>
  <c r="A1519" i="57"/>
  <c r="C1519" i="57" s="1"/>
  <c r="A1520" i="57"/>
  <c r="C1520" i="57" s="1"/>
  <c r="A1521" i="57"/>
  <c r="C1521" i="57" s="1"/>
  <c r="A1522" i="57"/>
  <c r="C1522" i="57" s="1"/>
  <c r="A1523" i="57"/>
  <c r="C1523" i="57" s="1"/>
  <c r="A1524" i="57"/>
  <c r="C1524" i="57" s="1"/>
  <c r="A1525" i="57"/>
  <c r="C1525" i="57" s="1"/>
  <c r="A1526" i="57"/>
  <c r="C1526" i="57" s="1"/>
  <c r="A1527" i="57"/>
  <c r="C1527" i="57" s="1"/>
  <c r="A1528" i="57"/>
  <c r="C1528" i="57" s="1"/>
  <c r="A1529" i="57"/>
  <c r="C1529" i="57" s="1"/>
  <c r="A1530" i="57"/>
  <c r="C1530" i="57" s="1"/>
  <c r="A1531" i="57"/>
  <c r="C1531" i="57" s="1"/>
  <c r="A1532" i="57"/>
  <c r="C1532" i="57" s="1"/>
  <c r="A1533" i="57"/>
  <c r="C1533" i="57" s="1"/>
  <c r="A1534" i="57"/>
  <c r="C1534" i="57" s="1"/>
  <c r="A1535" i="57"/>
  <c r="C1535" i="57" s="1"/>
  <c r="A1536" i="57"/>
  <c r="C1536" i="57" s="1"/>
  <c r="A1537" i="57"/>
  <c r="C1537" i="57" s="1"/>
  <c r="A1538" i="57"/>
  <c r="C1538" i="57" s="1"/>
  <c r="A1539" i="57"/>
  <c r="C1539" i="57" s="1"/>
  <c r="A1540" i="57"/>
  <c r="C1540" i="57" s="1"/>
  <c r="A1541" i="57"/>
  <c r="C1541" i="57" s="1"/>
  <c r="A1542" i="57"/>
  <c r="C1542" i="57" s="1"/>
  <c r="A1543" i="57"/>
  <c r="C1543" i="57" s="1"/>
  <c r="A1544" i="57"/>
  <c r="C1544" i="57" s="1"/>
  <c r="A1545" i="57"/>
  <c r="C1545" i="57" s="1"/>
  <c r="A1546" i="57"/>
  <c r="C1546" i="57" s="1"/>
  <c r="A1547" i="57"/>
  <c r="C1547" i="57" s="1"/>
  <c r="A1548" i="57"/>
  <c r="C1548" i="57" s="1"/>
  <c r="A1549" i="57"/>
  <c r="C1549" i="57" s="1"/>
  <c r="A1550" i="57"/>
  <c r="C1550" i="57" s="1"/>
  <c r="A1551" i="57"/>
  <c r="C1551" i="57" s="1"/>
  <c r="A1552" i="57"/>
  <c r="C1552" i="57" s="1"/>
  <c r="A1553" i="57"/>
  <c r="C1553" i="57" s="1"/>
  <c r="A1554" i="57"/>
  <c r="C1554" i="57" s="1"/>
  <c r="A1555" i="57"/>
  <c r="C1555" i="57" s="1"/>
  <c r="A1556" i="57"/>
  <c r="C1556" i="57" s="1"/>
  <c r="A1557" i="57"/>
  <c r="C1557" i="57" s="1"/>
  <c r="A1558" i="57"/>
  <c r="C1558" i="57" s="1"/>
  <c r="A1559" i="57"/>
  <c r="C1559" i="57" s="1"/>
  <c r="A1560" i="57"/>
  <c r="C1560" i="57" s="1"/>
  <c r="A1561" i="57"/>
  <c r="C1561" i="57" s="1"/>
  <c r="A1562" i="57"/>
  <c r="C1562" i="57" s="1"/>
  <c r="A1563" i="57"/>
  <c r="C1563" i="57" s="1"/>
  <c r="A1564" i="57"/>
  <c r="C1564" i="57" s="1"/>
  <c r="A1565" i="57"/>
  <c r="C1565" i="57" s="1"/>
  <c r="A1566" i="57"/>
  <c r="C1566" i="57" s="1"/>
  <c r="A1567" i="57"/>
  <c r="C1567" i="57" s="1"/>
  <c r="A1568" i="57"/>
  <c r="C1568" i="57" s="1"/>
  <c r="A1569" i="57"/>
  <c r="C1569" i="57" s="1"/>
  <c r="A1570" i="57"/>
  <c r="C1570" i="57" s="1"/>
  <c r="A1571" i="57"/>
  <c r="C1571" i="57" s="1"/>
  <c r="A1572" i="57"/>
  <c r="C1572" i="57" s="1"/>
  <c r="A1573" i="57"/>
  <c r="C1573" i="57" s="1"/>
  <c r="A1574" i="57"/>
  <c r="C1574" i="57" s="1"/>
  <c r="A1575" i="57"/>
  <c r="C1575" i="57" s="1"/>
  <c r="A1576" i="57"/>
  <c r="C1576" i="57" s="1"/>
  <c r="A1577" i="57"/>
  <c r="C1577" i="57" s="1"/>
  <c r="A1578" i="57"/>
  <c r="C1578" i="57" s="1"/>
  <c r="A1579" i="57"/>
  <c r="C1579" i="57" s="1"/>
  <c r="A1580" i="57"/>
  <c r="C1580" i="57" s="1"/>
  <c r="A1581" i="57"/>
  <c r="C1581" i="57" s="1"/>
  <c r="A1582" i="57"/>
  <c r="C1582" i="57" s="1"/>
  <c r="A1583" i="57"/>
  <c r="C1583" i="57" s="1"/>
  <c r="A1584" i="57"/>
  <c r="C1584" i="57" s="1"/>
  <c r="A1585" i="57"/>
  <c r="C1585" i="57" s="1"/>
  <c r="A1586" i="57"/>
  <c r="C1586" i="57" s="1"/>
  <c r="A1587" i="57"/>
  <c r="C1587" i="57" s="1"/>
  <c r="A1588" i="57"/>
  <c r="C1588" i="57" s="1"/>
  <c r="A1589" i="57"/>
  <c r="C1589" i="57" s="1"/>
  <c r="A1590" i="57"/>
  <c r="C1590" i="57" s="1"/>
  <c r="A1591" i="57"/>
  <c r="C1591" i="57" s="1"/>
  <c r="A1592" i="57"/>
  <c r="C1592" i="57" s="1"/>
  <c r="A1593" i="57"/>
  <c r="C1593" i="57" s="1"/>
  <c r="A1594" i="57"/>
  <c r="C1594" i="57" s="1"/>
  <c r="A1595" i="57"/>
  <c r="C1595" i="57" s="1"/>
  <c r="A1596" i="57"/>
  <c r="C1596" i="57" s="1"/>
  <c r="A1597" i="57"/>
  <c r="C1597" i="57" s="1"/>
  <c r="A1598" i="57"/>
  <c r="C1598" i="57" s="1"/>
  <c r="A1599" i="57"/>
  <c r="C1599" i="57" s="1"/>
  <c r="A1600" i="57"/>
  <c r="C1600" i="57" s="1"/>
  <c r="A1601" i="57"/>
  <c r="C1601" i="57" s="1"/>
  <c r="A1602" i="57"/>
  <c r="C1602" i="57" s="1"/>
  <c r="A1603" i="57"/>
  <c r="C1603" i="57" s="1"/>
  <c r="A1604" i="57"/>
  <c r="C1604" i="57" s="1"/>
  <c r="A1605" i="57"/>
  <c r="C1605" i="57" s="1"/>
  <c r="A1606" i="57"/>
  <c r="C1606" i="57" s="1"/>
  <c r="A1607" i="57"/>
  <c r="C1607" i="57" s="1"/>
  <c r="A1608" i="57"/>
  <c r="C1608" i="57" s="1"/>
  <c r="A1609" i="57"/>
  <c r="C1609" i="57" s="1"/>
  <c r="A1610" i="57"/>
  <c r="C1610" i="57" s="1"/>
  <c r="A1611" i="57"/>
  <c r="C1611" i="57" s="1"/>
  <c r="A1612" i="57"/>
  <c r="C1612" i="57" s="1"/>
  <c r="A1613" i="57"/>
  <c r="C1613" i="57" s="1"/>
  <c r="A1614" i="57"/>
  <c r="C1614" i="57" s="1"/>
  <c r="A1615" i="57"/>
  <c r="C1615" i="57" s="1"/>
  <c r="A1616" i="57"/>
  <c r="C1616" i="57" s="1"/>
  <c r="A1617" i="57"/>
  <c r="C1617" i="57" s="1"/>
  <c r="A1618" i="57"/>
  <c r="C1618" i="57" s="1"/>
  <c r="A1619" i="57"/>
  <c r="C1619" i="57" s="1"/>
  <c r="A1620" i="57"/>
  <c r="C1620" i="57" s="1"/>
  <c r="A1621" i="57"/>
  <c r="C1621" i="57" s="1"/>
  <c r="A1622" i="57"/>
  <c r="C1622" i="57" s="1"/>
  <c r="A1623" i="57"/>
  <c r="C1623" i="57" s="1"/>
  <c r="A1624" i="57"/>
  <c r="C1624" i="57" s="1"/>
  <c r="A1625" i="57"/>
  <c r="C1625" i="57" s="1"/>
  <c r="A1626" i="57"/>
  <c r="C1626" i="57" s="1"/>
  <c r="A1627" i="57"/>
  <c r="C1627" i="57" s="1"/>
  <c r="A1628" i="57"/>
  <c r="C1628" i="57" s="1"/>
  <c r="A1629" i="57"/>
  <c r="C1629" i="57" s="1"/>
  <c r="A1630" i="57"/>
  <c r="C1630" i="57" s="1"/>
  <c r="A1631" i="57"/>
  <c r="C1631" i="57" s="1"/>
  <c r="A1632" i="57"/>
  <c r="C1632" i="57" s="1"/>
  <c r="A1633" i="57"/>
  <c r="C1633" i="57" s="1"/>
  <c r="A1634" i="57"/>
  <c r="C1634" i="57" s="1"/>
  <c r="A1635" i="57"/>
  <c r="C1635" i="57" s="1"/>
  <c r="A1636" i="57"/>
  <c r="C1636" i="57" s="1"/>
  <c r="A1637" i="57"/>
  <c r="C1637" i="57" s="1"/>
  <c r="A1638" i="57"/>
  <c r="C1638" i="57" s="1"/>
  <c r="A1639" i="57"/>
  <c r="C1639" i="57" s="1"/>
  <c r="A1640" i="57"/>
  <c r="C1640" i="57" s="1"/>
  <c r="A1641" i="57"/>
  <c r="C1641" i="57" s="1"/>
  <c r="A1642" i="57"/>
  <c r="C1642" i="57" s="1"/>
  <c r="A1643" i="57"/>
  <c r="C1643" i="57" s="1"/>
  <c r="A1644" i="57"/>
  <c r="C1644" i="57" s="1"/>
  <c r="A1645" i="57"/>
  <c r="C1645" i="57" s="1"/>
  <c r="A1646" i="57"/>
  <c r="C1646" i="57" s="1"/>
  <c r="A1647" i="57"/>
  <c r="C1647" i="57" s="1"/>
  <c r="A1648" i="57"/>
  <c r="C1648" i="57" s="1"/>
  <c r="A1649" i="57"/>
  <c r="C1649" i="57" s="1"/>
  <c r="A1650" i="57"/>
  <c r="C1650" i="57" s="1"/>
  <c r="A1651" i="57"/>
  <c r="C1651" i="57" s="1"/>
  <c r="A1652" i="57"/>
  <c r="C1652" i="57" s="1"/>
  <c r="A1653" i="57"/>
  <c r="C1653" i="57" s="1"/>
  <c r="A1654" i="57"/>
  <c r="C1654" i="57" s="1"/>
  <c r="A1655" i="57"/>
  <c r="C1655" i="57" s="1"/>
  <c r="A1656" i="57"/>
  <c r="C1656" i="57" s="1"/>
  <c r="A1657" i="57"/>
  <c r="C1657" i="57" s="1"/>
  <c r="A1658" i="57"/>
  <c r="C1658" i="57" s="1"/>
  <c r="A1659" i="57"/>
  <c r="C1659" i="57" s="1"/>
  <c r="A1660" i="57"/>
  <c r="C1660" i="57" s="1"/>
  <c r="A1661" i="57"/>
  <c r="C1661" i="57" s="1"/>
  <c r="A1662" i="57"/>
  <c r="C1662" i="57" s="1"/>
  <c r="A1663" i="57"/>
  <c r="C1663" i="57" s="1"/>
  <c r="A1664" i="57"/>
  <c r="C1664" i="57" s="1"/>
  <c r="A1665" i="57"/>
  <c r="C1665" i="57" s="1"/>
  <c r="A1666" i="57"/>
  <c r="C1666" i="57" s="1"/>
  <c r="A1667" i="57"/>
  <c r="C1667" i="57" s="1"/>
  <c r="A1668" i="57"/>
  <c r="C1668" i="57" s="1"/>
  <c r="A1669" i="57"/>
  <c r="C1669" i="57" s="1"/>
  <c r="A1670" i="57"/>
  <c r="C1670" i="57" s="1"/>
  <c r="A1671" i="57"/>
  <c r="C1671" i="57" s="1"/>
  <c r="A1672" i="57"/>
  <c r="C1672" i="57" s="1"/>
  <c r="A1673" i="57"/>
  <c r="C1673" i="57" s="1"/>
  <c r="A1674" i="57"/>
  <c r="C1674" i="57" s="1"/>
  <c r="A1675" i="57"/>
  <c r="C1675" i="57" s="1"/>
  <c r="A1676" i="57"/>
  <c r="C1676" i="57" s="1"/>
  <c r="A1677" i="57"/>
  <c r="C1677" i="57" s="1"/>
  <c r="A1678" i="57"/>
  <c r="C1678" i="57" s="1"/>
  <c r="A1679" i="57"/>
  <c r="C1679" i="57" s="1"/>
  <c r="A1680" i="57"/>
  <c r="C1680" i="57" s="1"/>
  <c r="A1681" i="57"/>
  <c r="C1681" i="57" s="1"/>
  <c r="A1682" i="57"/>
  <c r="C1682" i="57" s="1"/>
  <c r="A1683" i="57"/>
  <c r="C1683" i="57" s="1"/>
  <c r="A1684" i="57"/>
  <c r="C1684" i="57" s="1"/>
  <c r="A1685" i="57"/>
  <c r="C1685" i="57" s="1"/>
  <c r="A1686" i="57"/>
  <c r="C1686" i="57" s="1"/>
  <c r="A1687" i="57"/>
  <c r="C1687" i="57" s="1"/>
  <c r="A1688" i="57"/>
  <c r="C1688" i="57" s="1"/>
  <c r="A1689" i="57"/>
  <c r="C1689" i="57" s="1"/>
  <c r="A1690" i="57"/>
  <c r="C1690" i="57" s="1"/>
  <c r="A1691" i="57"/>
  <c r="C1691" i="57" s="1"/>
  <c r="A1692" i="57"/>
  <c r="C1692" i="57" s="1"/>
  <c r="A1693" i="57"/>
  <c r="C1693" i="57" s="1"/>
  <c r="A1694" i="57"/>
  <c r="C1694" i="57" s="1"/>
  <c r="A1695" i="57"/>
  <c r="C1695" i="57" s="1"/>
  <c r="A1696" i="57"/>
  <c r="C1696" i="57" s="1"/>
  <c r="A1697" i="57"/>
  <c r="C1697" i="57" s="1"/>
  <c r="A1698" i="57"/>
  <c r="C1698" i="57" s="1"/>
  <c r="A1699" i="57"/>
  <c r="C1699" i="57" s="1"/>
  <c r="A1700" i="57"/>
  <c r="C1700" i="57" s="1"/>
  <c r="A1701" i="57"/>
  <c r="C1701" i="57" s="1"/>
  <c r="A1702" i="57"/>
  <c r="C1702" i="57" s="1"/>
  <c r="A1703" i="57"/>
  <c r="C1703" i="57" s="1"/>
  <c r="A1704" i="57"/>
  <c r="C1704" i="57" s="1"/>
  <c r="A1705" i="57"/>
  <c r="C1705" i="57" s="1"/>
  <c r="A1706" i="57"/>
  <c r="C1706" i="57" s="1"/>
  <c r="A1707" i="57"/>
  <c r="C1707" i="57" s="1"/>
  <c r="A1708" i="57"/>
  <c r="C1708" i="57" s="1"/>
  <c r="A1709" i="57"/>
  <c r="C1709" i="57" s="1"/>
  <c r="A1710" i="57"/>
  <c r="C1710" i="57" s="1"/>
  <c r="A1711" i="57"/>
  <c r="C1711" i="57" s="1"/>
  <c r="A1712" i="57"/>
  <c r="C1712" i="57" s="1"/>
  <c r="A1713" i="57"/>
  <c r="C1713" i="57" s="1"/>
  <c r="A1714" i="57"/>
  <c r="C1714" i="57" s="1"/>
  <c r="A1715" i="57"/>
  <c r="C1715" i="57" s="1"/>
  <c r="A1716" i="57"/>
  <c r="C1716" i="57" s="1"/>
  <c r="A1717" i="57"/>
  <c r="C1717" i="57" s="1"/>
  <c r="A1718" i="57"/>
  <c r="C1718" i="57" s="1"/>
  <c r="A1719" i="57"/>
  <c r="C1719" i="57" s="1"/>
  <c r="A1720" i="57"/>
  <c r="C1720" i="57" s="1"/>
  <c r="A1721" i="57"/>
  <c r="C1721" i="57" s="1"/>
  <c r="A1722" i="57"/>
  <c r="C1722" i="57" s="1"/>
  <c r="A1723" i="57"/>
  <c r="C1723" i="57" s="1"/>
  <c r="A1724" i="57"/>
  <c r="C1724" i="57" s="1"/>
  <c r="A1725" i="57"/>
  <c r="C1725" i="57" s="1"/>
  <c r="A1726" i="57"/>
  <c r="C1726" i="57" s="1"/>
  <c r="A1727" i="57"/>
  <c r="C1727" i="57" s="1"/>
  <c r="A1728" i="57"/>
  <c r="C1728" i="57" s="1"/>
  <c r="A1729" i="57"/>
  <c r="C1729" i="57" s="1"/>
  <c r="A1730" i="57"/>
  <c r="C1730" i="57" s="1"/>
  <c r="A1731" i="57"/>
  <c r="C1731" i="57" s="1"/>
  <c r="A1732" i="57"/>
  <c r="C1732" i="57" s="1"/>
  <c r="A1733" i="57"/>
  <c r="C1733" i="57" s="1"/>
  <c r="A1734" i="57"/>
  <c r="C1734" i="57" s="1"/>
  <c r="A1735" i="57"/>
  <c r="C1735" i="57" s="1"/>
  <c r="A1736" i="57"/>
  <c r="C1736" i="57" s="1"/>
  <c r="A1737" i="57"/>
  <c r="C1737" i="57" s="1"/>
  <c r="A1738" i="57"/>
  <c r="C1738" i="57" s="1"/>
  <c r="A1739" i="57"/>
  <c r="C1739" i="57" s="1"/>
  <c r="A1740" i="57"/>
  <c r="C1740" i="57" s="1"/>
  <c r="A1741" i="57"/>
  <c r="C1741" i="57" s="1"/>
  <c r="A1742" i="57"/>
  <c r="C1742" i="57" s="1"/>
  <c r="A1743" i="57"/>
  <c r="C1743" i="57" s="1"/>
  <c r="A1744" i="57"/>
  <c r="C1744" i="57" s="1"/>
  <c r="A1745" i="57"/>
  <c r="C1745" i="57" s="1"/>
  <c r="A1746" i="57"/>
  <c r="C1746" i="57" s="1"/>
  <c r="A1747" i="57"/>
  <c r="C1747" i="57" s="1"/>
  <c r="A1748" i="57"/>
  <c r="C1748" i="57" s="1"/>
  <c r="A1749" i="57"/>
  <c r="C1749" i="57" s="1"/>
  <c r="A1750" i="57"/>
  <c r="C1750" i="57" s="1"/>
  <c r="A1751" i="57"/>
  <c r="C1751" i="57" s="1"/>
  <c r="A1752" i="57"/>
  <c r="C1752" i="57" s="1"/>
  <c r="A1753" i="57"/>
  <c r="C1753" i="57" s="1"/>
  <c r="A1754" i="57"/>
  <c r="C1754" i="57" s="1"/>
  <c r="A1755" i="57"/>
  <c r="C1755" i="57" s="1"/>
  <c r="A1756" i="57"/>
  <c r="C1756" i="57" s="1"/>
  <c r="A1757" i="57"/>
  <c r="C1757" i="57" s="1"/>
  <c r="A1758" i="57"/>
  <c r="C1758" i="57" s="1"/>
  <c r="A1759" i="57"/>
  <c r="C1759" i="57" s="1"/>
  <c r="A1760" i="57"/>
  <c r="C1760" i="57" s="1"/>
  <c r="A1761" i="57"/>
  <c r="C1761" i="57" s="1"/>
  <c r="A1762" i="57"/>
  <c r="C1762" i="57" s="1"/>
  <c r="A1763" i="57"/>
  <c r="C1763" i="57" s="1"/>
  <c r="A1764" i="57"/>
  <c r="C1764" i="57" s="1"/>
  <c r="A1765" i="57"/>
  <c r="C1765" i="57" s="1"/>
  <c r="A1766" i="57"/>
  <c r="C1766" i="57" s="1"/>
  <c r="A1767" i="57"/>
  <c r="C1767" i="57" s="1"/>
  <c r="A1768" i="57"/>
  <c r="C1768" i="57" s="1"/>
  <c r="A1769" i="57"/>
  <c r="C1769" i="57" s="1"/>
  <c r="A1770" i="57"/>
  <c r="C1770" i="57" s="1"/>
  <c r="A1771" i="57"/>
  <c r="C1771" i="57" s="1"/>
  <c r="A1772" i="57"/>
  <c r="C1772" i="57" s="1"/>
  <c r="A1773" i="57"/>
  <c r="C1773" i="57" s="1"/>
  <c r="A1774" i="57"/>
  <c r="C1774" i="57" s="1"/>
  <c r="A1775" i="57"/>
  <c r="C1775" i="57" s="1"/>
  <c r="A1776" i="57"/>
  <c r="C1776" i="57" s="1"/>
  <c r="A1777" i="57"/>
  <c r="C1777" i="57" s="1"/>
  <c r="A1778" i="57"/>
  <c r="C1778" i="57" s="1"/>
  <c r="A1779" i="57"/>
  <c r="C1779" i="57" s="1"/>
  <c r="A1780" i="57"/>
  <c r="C1780" i="57" s="1"/>
  <c r="A1781" i="57"/>
  <c r="C1781" i="57" s="1"/>
  <c r="A1782" i="57"/>
  <c r="C1782" i="57" s="1"/>
  <c r="A1783" i="57"/>
  <c r="C1783" i="57" s="1"/>
  <c r="A1784" i="57"/>
  <c r="C1784" i="57" s="1"/>
  <c r="A1785" i="57"/>
  <c r="C1785" i="57" s="1"/>
  <c r="A1786" i="57"/>
  <c r="C1786" i="57" s="1"/>
  <c r="A1787" i="57"/>
  <c r="C1787" i="57" s="1"/>
  <c r="A1788" i="57"/>
  <c r="C1788" i="57" s="1"/>
  <c r="A1789" i="57"/>
  <c r="C1789" i="57" s="1"/>
  <c r="A1790" i="57"/>
  <c r="C1790" i="57" s="1"/>
  <c r="A1791" i="57"/>
  <c r="C1791" i="57" s="1"/>
  <c r="A1792" i="57"/>
  <c r="C1792" i="57" s="1"/>
  <c r="A1793" i="57"/>
  <c r="C1793" i="57" s="1"/>
  <c r="A1794" i="57"/>
  <c r="C1794" i="57" s="1"/>
  <c r="A1795" i="57"/>
  <c r="C1795" i="57" s="1"/>
  <c r="A1796" i="57"/>
  <c r="C1796" i="57" s="1"/>
  <c r="A1797" i="57"/>
  <c r="C1797" i="57" s="1"/>
  <c r="A1798" i="57"/>
  <c r="C1798" i="57" s="1"/>
  <c r="A1799" i="57"/>
  <c r="C1799" i="57" s="1"/>
  <c r="A1800" i="57"/>
  <c r="C1800" i="57" s="1"/>
  <c r="A1801" i="57"/>
  <c r="C1801" i="57" s="1"/>
  <c r="A1802" i="57"/>
  <c r="C1802" i="57" s="1"/>
  <c r="A1803" i="57"/>
  <c r="C1803" i="57" s="1"/>
  <c r="A1804" i="57"/>
  <c r="C1804" i="57" s="1"/>
  <c r="A1805" i="57"/>
  <c r="C1805" i="57" s="1"/>
  <c r="A1806" i="57"/>
  <c r="C1806" i="57" s="1"/>
  <c r="A1807" i="57"/>
  <c r="C1807" i="57" s="1"/>
  <c r="A1808" i="57"/>
  <c r="C1808" i="57" s="1"/>
  <c r="A1809" i="57"/>
  <c r="C1809" i="57" s="1"/>
  <c r="A1810" i="57"/>
  <c r="C1810" i="57" s="1"/>
  <c r="A1811" i="57"/>
  <c r="C1811" i="57" s="1"/>
  <c r="A1812" i="57"/>
  <c r="C1812" i="57" s="1"/>
  <c r="A1813" i="57"/>
  <c r="C1813" i="57" s="1"/>
  <c r="A1814" i="57"/>
  <c r="C1814" i="57" s="1"/>
  <c r="A1815" i="57"/>
  <c r="C1815" i="57" s="1"/>
  <c r="A1816" i="57"/>
  <c r="C1816" i="57" s="1"/>
  <c r="A1817" i="57"/>
  <c r="C1817" i="57" s="1"/>
  <c r="A1818" i="57"/>
  <c r="C1818" i="57" s="1"/>
  <c r="A1819" i="57"/>
  <c r="C1819" i="57" s="1"/>
  <c r="A1820" i="57"/>
  <c r="C1820" i="57" s="1"/>
  <c r="A1821" i="57"/>
  <c r="C1821" i="57" s="1"/>
  <c r="A1822" i="57"/>
  <c r="C1822" i="57" s="1"/>
  <c r="A1823" i="57"/>
  <c r="C1823" i="57" s="1"/>
  <c r="A1824" i="57"/>
  <c r="C1824" i="57" s="1"/>
  <c r="A1825" i="57"/>
  <c r="C1825" i="57" s="1"/>
  <c r="A1826" i="57"/>
  <c r="C1826" i="57" s="1"/>
  <c r="A1827" i="57"/>
  <c r="C1827" i="57" s="1"/>
  <c r="A1828" i="57"/>
  <c r="C1828" i="57" s="1"/>
  <c r="A1829" i="57"/>
  <c r="C1829" i="57" s="1"/>
  <c r="A1830" i="57"/>
  <c r="C1830" i="57" s="1"/>
  <c r="A1831" i="57"/>
  <c r="C1831" i="57" s="1"/>
  <c r="A1832" i="57"/>
  <c r="C1832" i="57" s="1"/>
  <c r="A1833" i="57"/>
  <c r="C1833" i="57" s="1"/>
  <c r="A1834" i="57"/>
  <c r="C1834" i="57" s="1"/>
  <c r="A1835" i="57"/>
  <c r="C1835" i="57" s="1"/>
  <c r="A1836" i="57"/>
  <c r="C1836" i="57" s="1"/>
  <c r="A1837" i="57"/>
  <c r="C1837" i="57" s="1"/>
  <c r="A1838" i="57"/>
  <c r="C1838" i="57" s="1"/>
  <c r="A1839" i="57"/>
  <c r="C1839" i="57" s="1"/>
  <c r="A1840" i="57"/>
  <c r="C1840" i="57" s="1"/>
  <c r="A1841" i="57"/>
  <c r="C1841" i="57" s="1"/>
  <c r="A1842" i="57"/>
  <c r="C1842" i="57" s="1"/>
  <c r="A1843" i="57"/>
  <c r="C1843" i="57" s="1"/>
  <c r="A1844" i="57"/>
  <c r="C1844" i="57" s="1"/>
  <c r="A1845" i="57"/>
  <c r="C1845" i="57" s="1"/>
  <c r="A1846" i="57"/>
  <c r="C1846" i="57" s="1"/>
  <c r="A1847" i="57"/>
  <c r="C1847" i="57" s="1"/>
  <c r="A1848" i="57"/>
  <c r="C1848" i="57" s="1"/>
  <c r="A1849" i="57"/>
  <c r="C1849" i="57" s="1"/>
  <c r="A1850" i="57"/>
  <c r="C1850" i="57" s="1"/>
  <c r="A1851" i="57"/>
  <c r="C1851" i="57" s="1"/>
  <c r="A1852" i="57"/>
  <c r="C1852" i="57" s="1"/>
  <c r="A1853" i="57"/>
  <c r="C1853" i="57" s="1"/>
  <c r="A1854" i="57"/>
  <c r="C1854" i="57" s="1"/>
  <c r="A1855" i="57"/>
  <c r="C1855" i="57" s="1"/>
  <c r="A1856" i="57"/>
  <c r="C1856" i="57" s="1"/>
  <c r="A1857" i="57"/>
  <c r="C1857" i="57" s="1"/>
  <c r="A1858" i="57"/>
  <c r="C1858" i="57" s="1"/>
  <c r="A1859" i="57"/>
  <c r="C1859" i="57" s="1"/>
  <c r="A1860" i="57"/>
  <c r="C1860" i="57" s="1"/>
  <c r="A1861" i="57"/>
  <c r="C1861" i="57" s="1"/>
  <c r="A1862" i="57"/>
  <c r="C1862" i="57" s="1"/>
  <c r="A1863" i="57"/>
  <c r="C1863" i="57" s="1"/>
  <c r="A1864" i="57"/>
  <c r="C1864" i="57" s="1"/>
  <c r="A1865" i="57"/>
  <c r="C1865" i="57" s="1"/>
  <c r="A1866" i="57"/>
  <c r="C1866" i="57" s="1"/>
  <c r="A1867" i="57"/>
  <c r="C1867" i="57" s="1"/>
  <c r="A1868" i="57"/>
  <c r="C1868" i="57" s="1"/>
  <c r="A1869" i="57"/>
  <c r="C1869" i="57" s="1"/>
  <c r="A1870" i="57"/>
  <c r="C1870" i="57" s="1"/>
  <c r="A1871" i="57"/>
  <c r="C1871" i="57" s="1"/>
  <c r="A1872" i="57"/>
  <c r="C1872" i="57" s="1"/>
  <c r="A1873" i="57"/>
  <c r="C1873" i="57" s="1"/>
  <c r="A1874" i="57"/>
  <c r="C1874" i="57" s="1"/>
  <c r="A1875" i="57"/>
  <c r="C1875" i="57" s="1"/>
  <c r="A1876" i="57"/>
  <c r="C1876" i="57" s="1"/>
  <c r="A1877" i="57"/>
  <c r="C1877" i="57" s="1"/>
  <c r="A1878" i="57"/>
  <c r="C1878" i="57" s="1"/>
  <c r="A1879" i="57"/>
  <c r="C1879" i="57" s="1"/>
  <c r="A1880" i="57"/>
  <c r="C1880" i="57" s="1"/>
  <c r="A1881" i="57"/>
  <c r="C1881" i="57" s="1"/>
  <c r="A1882" i="57"/>
  <c r="C1882" i="57" s="1"/>
  <c r="A1883" i="57"/>
  <c r="C1883" i="57" s="1"/>
  <c r="A1884" i="57"/>
  <c r="C1884" i="57" s="1"/>
  <c r="A1885" i="57"/>
  <c r="C1885" i="57" s="1"/>
  <c r="A1886" i="57"/>
  <c r="C1886" i="57" s="1"/>
  <c r="A1887" i="57"/>
  <c r="C1887" i="57" s="1"/>
  <c r="A1888" i="57"/>
  <c r="C1888" i="57" s="1"/>
  <c r="A1889" i="57"/>
  <c r="C1889" i="57" s="1"/>
  <c r="A1890" i="57"/>
  <c r="C1890" i="57" s="1"/>
  <c r="A1891" i="57"/>
  <c r="C1891" i="57" s="1"/>
  <c r="A1892" i="57"/>
  <c r="C1892" i="57" s="1"/>
  <c r="A1893" i="57"/>
  <c r="C1893" i="57" s="1"/>
  <c r="A1894" i="57"/>
  <c r="C1894" i="57" s="1"/>
  <c r="A1895" i="57"/>
  <c r="C1895" i="57" s="1"/>
  <c r="A1896" i="57"/>
  <c r="C1896" i="57" s="1"/>
  <c r="A1897" i="57"/>
  <c r="C1897" i="57" s="1"/>
  <c r="A1898" i="57"/>
  <c r="C1898" i="57" s="1"/>
  <c r="A1899" i="57"/>
  <c r="C1899" i="57" s="1"/>
  <c r="A1900" i="57"/>
  <c r="C1900" i="57" s="1"/>
  <c r="A1901" i="57"/>
  <c r="C1901" i="57" s="1"/>
  <c r="A1902" i="57"/>
  <c r="C1902" i="57" s="1"/>
  <c r="A1903" i="57"/>
  <c r="C1903" i="57" s="1"/>
  <c r="A1904" i="57"/>
  <c r="C1904" i="57" s="1"/>
  <c r="A1905" i="57"/>
  <c r="C1905" i="57" s="1"/>
  <c r="A1906" i="57"/>
  <c r="C1906" i="57" s="1"/>
  <c r="A1907" i="57"/>
  <c r="C1907" i="57" s="1"/>
  <c r="A1908" i="57"/>
  <c r="C1908" i="57" s="1"/>
  <c r="A1909" i="57"/>
  <c r="C1909" i="57" s="1"/>
  <c r="A1910" i="57"/>
  <c r="C1910" i="57" s="1"/>
  <c r="A1911" i="57"/>
  <c r="C1911" i="57" s="1"/>
  <c r="A1912" i="57"/>
  <c r="C1912" i="57" s="1"/>
  <c r="A1913" i="57"/>
  <c r="C1913" i="57" s="1"/>
  <c r="A1914" i="57"/>
  <c r="C1914" i="57" s="1"/>
  <c r="A1915" i="57"/>
  <c r="C1915" i="57" s="1"/>
  <c r="A1916" i="57"/>
  <c r="C1916" i="57" s="1"/>
  <c r="A1917" i="57"/>
  <c r="C1917" i="57" s="1"/>
  <c r="A1918" i="57"/>
  <c r="C1918" i="57" s="1"/>
  <c r="A1919" i="57"/>
  <c r="C1919" i="57" s="1"/>
  <c r="A1920" i="57"/>
  <c r="C1920" i="57" s="1"/>
  <c r="A1921" i="57"/>
  <c r="C1921" i="57" s="1"/>
  <c r="A1922" i="57"/>
  <c r="C1922" i="57" s="1"/>
  <c r="A1923" i="57"/>
  <c r="C1923" i="57" s="1"/>
  <c r="A1924" i="57"/>
  <c r="C1924" i="57" s="1"/>
  <c r="A1925" i="57"/>
  <c r="C1925" i="57" s="1"/>
  <c r="A1926" i="57"/>
  <c r="C1926" i="57" s="1"/>
  <c r="A1927" i="57"/>
  <c r="C1927" i="57" s="1"/>
  <c r="A1928" i="57"/>
  <c r="C1928" i="57" s="1"/>
  <c r="A1929" i="57"/>
  <c r="C1929" i="57" s="1"/>
  <c r="A1930" i="57"/>
  <c r="C1930" i="57" s="1"/>
  <c r="A1931" i="57"/>
  <c r="C1931" i="57" s="1"/>
  <c r="A1932" i="57"/>
  <c r="C1932" i="57" s="1"/>
  <c r="A1933" i="57"/>
  <c r="C1933" i="57" s="1"/>
  <c r="A1934" i="57"/>
  <c r="C1934" i="57" s="1"/>
  <c r="A1935" i="57"/>
  <c r="C1935" i="57" s="1"/>
  <c r="A1936" i="57"/>
  <c r="C1936" i="57" s="1"/>
  <c r="A1937" i="57"/>
  <c r="C1937" i="57" s="1"/>
  <c r="A1938" i="57"/>
  <c r="C1938" i="57" s="1"/>
  <c r="A1939" i="57"/>
  <c r="C1939" i="57" s="1"/>
  <c r="A1940" i="57"/>
  <c r="C1940" i="57" s="1"/>
  <c r="A1941" i="57"/>
  <c r="C1941" i="57" s="1"/>
  <c r="A1942" i="57"/>
  <c r="C1942" i="57" s="1"/>
  <c r="A1943" i="57"/>
  <c r="C1943" i="57" s="1"/>
  <c r="A1944" i="57"/>
  <c r="C1944" i="57" s="1"/>
  <c r="A1945" i="57"/>
  <c r="C1945" i="57" s="1"/>
  <c r="A1946" i="57"/>
  <c r="C1946" i="57" s="1"/>
  <c r="A1947" i="57"/>
  <c r="C1947" i="57" s="1"/>
  <c r="A1948" i="57"/>
  <c r="C1948" i="57" s="1"/>
  <c r="A1949" i="57"/>
  <c r="C1949" i="57" s="1"/>
  <c r="A1950" i="57"/>
  <c r="C1950" i="57" s="1"/>
  <c r="A1951" i="57"/>
  <c r="C1951" i="57" s="1"/>
  <c r="A1952" i="57"/>
  <c r="C1952" i="57" s="1"/>
  <c r="A1953" i="57"/>
  <c r="C1953" i="57" s="1"/>
  <c r="A1954" i="57"/>
  <c r="C1954" i="57" s="1"/>
  <c r="A1955" i="57"/>
  <c r="C1955" i="57" s="1"/>
  <c r="A1956" i="57"/>
  <c r="C1956" i="57" s="1"/>
  <c r="A1957" i="57"/>
  <c r="C1957" i="57" s="1"/>
  <c r="A1958" i="57"/>
  <c r="C1958" i="57" s="1"/>
  <c r="A1959" i="57"/>
  <c r="C1959" i="57" s="1"/>
  <c r="A1960" i="57"/>
  <c r="C1960" i="57" s="1"/>
  <c r="A1961" i="57"/>
  <c r="C1961" i="57" s="1"/>
  <c r="A1962" i="57"/>
  <c r="C1962" i="57" s="1"/>
  <c r="A1963" i="57"/>
  <c r="C1963" i="57" s="1"/>
  <c r="A1964" i="57"/>
  <c r="C1964" i="57" s="1"/>
  <c r="A1965" i="57"/>
  <c r="C1965" i="57" s="1"/>
  <c r="A1966" i="57"/>
  <c r="C1966" i="57" s="1"/>
  <c r="A1967" i="57"/>
  <c r="C1967" i="57" s="1"/>
  <c r="A1968" i="57"/>
  <c r="C1968" i="57" s="1"/>
  <c r="A1969" i="57"/>
  <c r="C1969" i="57" s="1"/>
  <c r="A1970" i="57"/>
  <c r="C1970" i="57" s="1"/>
  <c r="A1971" i="57"/>
  <c r="C1971" i="57" s="1"/>
  <c r="A1972" i="57"/>
  <c r="C1972" i="57" s="1"/>
  <c r="A1973" i="57"/>
  <c r="C1973" i="57" s="1"/>
  <c r="A1974" i="57"/>
  <c r="C1974" i="57" s="1"/>
  <c r="A1975" i="57"/>
  <c r="C1975" i="57" s="1"/>
  <c r="A1976" i="57"/>
  <c r="C1976" i="57" s="1"/>
  <c r="A1977" i="57"/>
  <c r="C1977" i="57" s="1"/>
  <c r="A1978" i="57"/>
  <c r="C1978" i="57" s="1"/>
  <c r="A1979" i="57"/>
  <c r="C1979" i="57" s="1"/>
  <c r="A1980" i="57"/>
  <c r="C1980" i="57" s="1"/>
  <c r="A1981" i="57"/>
  <c r="C1981" i="57" s="1"/>
  <c r="A1982" i="57"/>
  <c r="C1982" i="57" s="1"/>
  <c r="A1983" i="57"/>
  <c r="C1983" i="57" s="1"/>
  <c r="A1984" i="57"/>
  <c r="C1984" i="57" s="1"/>
  <c r="A1985" i="57"/>
  <c r="C1985" i="57" s="1"/>
  <c r="A1986" i="57"/>
  <c r="C1986" i="57" s="1"/>
  <c r="A1987" i="57"/>
  <c r="C1987" i="57" s="1"/>
  <c r="A1988" i="57"/>
  <c r="C1988" i="57" s="1"/>
  <c r="A1989" i="57"/>
  <c r="C1989" i="57" s="1"/>
  <c r="A1990" i="57"/>
  <c r="C1990" i="57" s="1"/>
  <c r="A1991" i="57"/>
  <c r="C1991" i="57" s="1"/>
  <c r="A1992" i="57"/>
  <c r="C1992" i="57" s="1"/>
  <c r="A1993" i="57"/>
  <c r="C1993" i="57" s="1"/>
  <c r="A1994" i="57"/>
  <c r="C1994" i="57" s="1"/>
  <c r="A1995" i="57"/>
  <c r="C1995" i="57" s="1"/>
  <c r="A1996" i="57"/>
  <c r="C1996" i="57" s="1"/>
  <c r="A1997" i="57"/>
  <c r="C1997" i="57" s="1"/>
  <c r="A1998" i="57"/>
  <c r="C1998" i="57" s="1"/>
  <c r="A1999" i="57"/>
  <c r="C1999" i="57" s="1"/>
  <c r="A2000" i="57"/>
  <c r="C2000" i="57" s="1"/>
  <c r="A2001" i="57"/>
  <c r="C2001" i="57" s="1"/>
  <c r="A2002" i="57"/>
  <c r="C2002" i="57" s="1"/>
  <c r="A2003" i="57"/>
  <c r="C2003" i="57" s="1"/>
  <c r="A2004" i="57"/>
  <c r="C2004" i="57" s="1"/>
  <c r="A2005" i="57"/>
  <c r="C2005" i="57" s="1"/>
  <c r="A2006" i="57"/>
  <c r="C2006" i="57" s="1"/>
  <c r="A2007" i="57"/>
  <c r="C2007" i="57" s="1"/>
  <c r="A2008" i="57"/>
  <c r="C2008" i="57" s="1"/>
  <c r="A2009" i="57"/>
  <c r="C2009" i="57" s="1"/>
  <c r="A2010" i="57"/>
  <c r="C2010" i="57" s="1"/>
  <c r="A2011" i="57"/>
  <c r="C2011" i="57" s="1"/>
  <c r="A2012" i="57"/>
  <c r="C2012" i="57" s="1"/>
  <c r="A2013" i="57"/>
  <c r="C2013" i="57" s="1"/>
  <c r="A2014" i="57"/>
  <c r="C2014" i="57" s="1"/>
  <c r="A2015" i="57"/>
  <c r="C2015" i="57" s="1"/>
  <c r="A2016" i="57"/>
  <c r="C2016" i="57" s="1"/>
  <c r="A2017" i="57"/>
  <c r="C2017" i="57" s="1"/>
  <c r="A2018" i="57"/>
  <c r="C2018" i="57" s="1"/>
  <c r="A2019" i="57"/>
  <c r="C2019" i="57" s="1"/>
  <c r="A2020" i="57"/>
  <c r="C2020" i="57" s="1"/>
  <c r="A2021" i="57"/>
  <c r="C2021" i="57" s="1"/>
  <c r="A2022" i="57"/>
  <c r="C2022" i="57" s="1"/>
  <c r="A2023" i="57"/>
  <c r="C2023" i="57" s="1"/>
  <c r="A2024" i="57"/>
  <c r="C2024" i="57" s="1"/>
  <c r="A2025" i="57"/>
  <c r="C2025" i="57" s="1"/>
  <c r="A2026" i="57"/>
  <c r="C2026" i="57" s="1"/>
  <c r="A2027" i="57"/>
  <c r="C2027" i="57" s="1"/>
  <c r="A2028" i="57"/>
  <c r="C2028" i="57" s="1"/>
  <c r="A2029" i="57"/>
  <c r="C2029" i="57" s="1"/>
  <c r="A2030" i="57"/>
  <c r="C2030" i="57" s="1"/>
  <c r="A2031" i="57"/>
  <c r="C2031" i="57" s="1"/>
  <c r="A2032" i="57"/>
  <c r="C2032" i="57" s="1"/>
  <c r="A2033" i="57"/>
  <c r="C2033" i="57" s="1"/>
  <c r="A2034" i="57"/>
  <c r="C2034" i="57" s="1"/>
  <c r="A2035" i="57"/>
  <c r="C2035" i="57" s="1"/>
  <c r="A2036" i="57"/>
  <c r="C2036" i="57" s="1"/>
  <c r="A2037" i="57"/>
  <c r="C2037" i="57" s="1"/>
  <c r="A2038" i="57"/>
  <c r="C2038" i="57" s="1"/>
  <c r="A2039" i="57"/>
  <c r="C2039" i="57" s="1"/>
  <c r="A2040" i="57"/>
  <c r="C2040" i="57" s="1"/>
  <c r="A2041" i="57"/>
  <c r="C2041" i="57" s="1"/>
  <c r="A2042" i="57"/>
  <c r="C2042" i="57" s="1"/>
  <c r="A2043" i="57"/>
  <c r="C2043" i="57" s="1"/>
  <c r="A2044" i="57"/>
  <c r="C2044" i="57" s="1"/>
  <c r="A2045" i="57"/>
  <c r="C2045" i="57" s="1"/>
  <c r="A2046" i="57"/>
  <c r="C2046" i="57" s="1"/>
  <c r="A2047" i="57"/>
  <c r="C2047" i="57" s="1"/>
  <c r="A2048" i="57"/>
  <c r="C2048" i="57" s="1"/>
  <c r="A2049" i="57"/>
  <c r="C2049" i="57" s="1"/>
  <c r="A2050" i="57"/>
  <c r="C2050" i="57" s="1"/>
  <c r="A2051" i="57"/>
  <c r="C2051" i="57" s="1"/>
  <c r="A2052" i="57"/>
  <c r="C2052" i="57" s="1"/>
  <c r="A2053" i="57"/>
  <c r="C2053" i="57" s="1"/>
  <c r="A2054" i="57"/>
  <c r="C2054" i="57" s="1"/>
  <c r="A2055" i="57"/>
  <c r="C2055" i="57" s="1"/>
  <c r="A2056" i="57"/>
  <c r="C2056" i="57" s="1"/>
  <c r="A2057" i="57"/>
  <c r="C2057" i="57" s="1"/>
  <c r="A2058" i="57"/>
  <c r="C2058" i="57" s="1"/>
  <c r="A2059" i="57"/>
  <c r="C2059" i="57" s="1"/>
  <c r="A2060" i="57"/>
  <c r="C2060" i="57" s="1"/>
  <c r="A2061" i="57"/>
  <c r="C2061" i="57" s="1"/>
  <c r="A2062" i="57"/>
  <c r="C2062" i="57" s="1"/>
  <c r="A2063" i="57"/>
  <c r="C2063" i="57" s="1"/>
  <c r="A2064" i="57"/>
  <c r="C2064" i="57" s="1"/>
  <c r="A2065" i="57"/>
  <c r="C2065" i="57" s="1"/>
  <c r="A2066" i="57"/>
  <c r="C2066" i="57" s="1"/>
  <c r="A2067" i="57"/>
  <c r="C2067" i="57" s="1"/>
  <c r="A2068" i="57"/>
  <c r="C2068" i="57" s="1"/>
  <c r="A2069" i="57"/>
  <c r="C2069" i="57" s="1"/>
  <c r="A2070" i="57"/>
  <c r="C2070" i="57" s="1"/>
  <c r="A2071" i="57"/>
  <c r="C2071" i="57" s="1"/>
  <c r="A2072" i="57"/>
  <c r="C2072" i="57" s="1"/>
  <c r="A2073" i="57"/>
  <c r="C2073" i="57" s="1"/>
  <c r="A2074" i="57"/>
  <c r="C2074" i="57" s="1"/>
  <c r="A2075" i="57"/>
  <c r="C2075" i="57" s="1"/>
  <c r="A2076" i="57"/>
  <c r="C2076" i="57" s="1"/>
  <c r="A2077" i="57"/>
  <c r="C2077" i="57" s="1"/>
  <c r="A2078" i="57"/>
  <c r="C2078" i="57" s="1"/>
  <c r="A2079" i="57"/>
  <c r="C2079" i="57" s="1"/>
  <c r="A2080" i="57"/>
  <c r="C2080" i="57" s="1"/>
  <c r="A2081" i="57"/>
  <c r="C2081" i="57" s="1"/>
  <c r="A2082" i="57"/>
  <c r="C2082" i="57" s="1"/>
  <c r="A2083" i="57"/>
  <c r="C2083" i="57" s="1"/>
  <c r="A2084" i="57"/>
  <c r="C2084" i="57" s="1"/>
  <c r="A2085" i="57"/>
  <c r="C2085" i="57" s="1"/>
  <c r="A2086" i="57"/>
  <c r="C2086" i="57" s="1"/>
  <c r="A2087" i="57"/>
  <c r="C2087" i="57" s="1"/>
  <c r="A2088" i="57"/>
  <c r="C2088" i="57" s="1"/>
  <c r="A2089" i="57"/>
  <c r="C2089" i="57" s="1"/>
  <c r="A2090" i="57"/>
  <c r="C2090" i="57" s="1"/>
  <c r="A2091" i="57"/>
  <c r="C2091" i="57" s="1"/>
  <c r="A2092" i="57"/>
  <c r="C2092" i="57" s="1"/>
  <c r="A2093" i="57"/>
  <c r="C2093" i="57" s="1"/>
  <c r="A2094" i="57"/>
  <c r="C2094" i="57" s="1"/>
  <c r="A2095" i="57"/>
  <c r="C2095" i="57" s="1"/>
  <c r="A2096" i="57"/>
  <c r="C2096" i="57" s="1"/>
  <c r="A2097" i="57"/>
  <c r="C2097" i="57" s="1"/>
  <c r="A2098" i="57"/>
  <c r="C2098" i="57" s="1"/>
  <c r="A2099" i="57"/>
  <c r="C2099" i="57" s="1"/>
  <c r="A2100" i="57"/>
  <c r="C2100" i="57" s="1"/>
  <c r="A2101" i="57"/>
  <c r="C2101" i="57" s="1"/>
  <c r="A2102" i="57"/>
  <c r="C2102" i="57" s="1"/>
  <c r="A2103" i="57"/>
  <c r="C2103" i="57" s="1"/>
  <c r="A2104" i="57"/>
  <c r="C2104" i="57" s="1"/>
  <c r="A2105" i="57"/>
  <c r="C2105" i="57" s="1"/>
  <c r="A2106" i="57"/>
  <c r="C2106" i="57" s="1"/>
  <c r="A2107" i="57"/>
  <c r="C2107" i="57" s="1"/>
  <c r="A2108" i="57"/>
  <c r="C2108" i="57" s="1"/>
  <c r="A2109" i="57"/>
  <c r="C2109" i="57" s="1"/>
  <c r="A2110" i="57"/>
  <c r="C2110" i="57" s="1"/>
  <c r="A2111" i="57"/>
  <c r="C2111" i="57" s="1"/>
  <c r="A2112" i="57"/>
  <c r="C2112" i="57" s="1"/>
  <c r="A2113" i="57"/>
  <c r="C2113" i="57" s="1"/>
  <c r="A2114" i="57"/>
  <c r="C2114" i="57" s="1"/>
  <c r="A2115" i="57"/>
  <c r="C2115" i="57" s="1"/>
  <c r="A2116" i="57"/>
  <c r="C2116" i="57" s="1"/>
  <c r="A2117" i="57"/>
  <c r="C2117" i="57" s="1"/>
  <c r="A2118" i="57"/>
  <c r="C2118" i="57" s="1"/>
  <c r="A2119" i="57"/>
  <c r="C2119" i="57" s="1"/>
  <c r="A2120" i="57"/>
  <c r="C2120" i="57" s="1"/>
  <c r="A2121" i="57"/>
  <c r="C2121" i="57" s="1"/>
  <c r="A2122" i="57"/>
  <c r="C2122" i="57" s="1"/>
  <c r="A2123" i="57"/>
  <c r="C2123" i="57" s="1"/>
  <c r="A2124" i="57"/>
  <c r="C2124" i="57" s="1"/>
  <c r="A2125" i="57"/>
  <c r="C2125" i="57" s="1"/>
  <c r="A2126" i="57"/>
  <c r="C2126" i="57" s="1"/>
  <c r="A2127" i="57"/>
  <c r="C2127" i="57" s="1"/>
  <c r="A2128" i="57"/>
  <c r="C2128" i="57" s="1"/>
  <c r="A2129" i="57"/>
  <c r="C2129" i="57" s="1"/>
  <c r="A2130" i="57"/>
  <c r="C2130" i="57" s="1"/>
  <c r="A2131" i="57"/>
  <c r="C2131" i="57" s="1"/>
  <c r="A2132" i="57"/>
  <c r="C2132" i="57" s="1"/>
  <c r="A2133" i="57"/>
  <c r="C2133" i="57" s="1"/>
  <c r="A2134" i="57"/>
  <c r="C2134" i="57" s="1"/>
  <c r="A2135" i="57"/>
  <c r="C2135" i="57" s="1"/>
  <c r="A2136" i="57"/>
  <c r="C2136" i="57" s="1"/>
  <c r="A2137" i="57"/>
  <c r="C2137" i="57" s="1"/>
  <c r="A2138" i="57"/>
  <c r="C2138" i="57" s="1"/>
  <c r="A2139" i="57"/>
  <c r="C2139" i="57" s="1"/>
  <c r="A2140" i="57"/>
  <c r="C2140" i="57" s="1"/>
  <c r="A2141" i="57"/>
  <c r="C2141" i="57" s="1"/>
  <c r="A2142" i="57"/>
  <c r="C2142" i="57" s="1"/>
  <c r="A2143" i="57"/>
  <c r="C2143" i="57" s="1"/>
  <c r="A2144" i="57"/>
  <c r="C2144" i="57" s="1"/>
  <c r="A2145" i="57"/>
  <c r="C2145" i="57" s="1"/>
  <c r="A2146" i="57"/>
  <c r="C2146" i="57" s="1"/>
  <c r="A2147" i="57"/>
  <c r="C2147" i="57" s="1"/>
  <c r="A2148" i="57"/>
  <c r="C2148" i="57" s="1"/>
  <c r="A2149" i="57"/>
  <c r="C2149" i="57" s="1"/>
  <c r="A2150" i="57"/>
  <c r="C2150" i="57" s="1"/>
  <c r="A2151" i="57"/>
  <c r="C2151" i="57" s="1"/>
  <c r="A2152" i="57"/>
  <c r="C2152" i="57" s="1"/>
  <c r="A2153" i="57"/>
  <c r="C2153" i="57" s="1"/>
  <c r="A2154" i="57"/>
  <c r="C2154" i="57" s="1"/>
  <c r="A2155" i="57"/>
  <c r="C2155" i="57" s="1"/>
  <c r="A2156" i="57"/>
  <c r="C2156" i="57" s="1"/>
  <c r="A2157" i="57"/>
  <c r="C2157" i="57" s="1"/>
  <c r="A2158" i="57"/>
  <c r="C2158" i="57" s="1"/>
  <c r="A2159" i="57"/>
  <c r="C2159" i="57" s="1"/>
  <c r="A2160" i="57"/>
  <c r="C2160" i="57" s="1"/>
  <c r="A2161" i="57"/>
  <c r="C2161" i="57" s="1"/>
  <c r="A2162" i="57"/>
  <c r="C2162" i="57" s="1"/>
  <c r="A2163" i="57"/>
  <c r="C2163" i="57" s="1"/>
  <c r="A2164" i="57"/>
  <c r="C2164" i="57" s="1"/>
  <c r="A2165" i="57"/>
  <c r="C2165" i="57" s="1"/>
  <c r="A2166" i="57"/>
  <c r="C2166" i="57" s="1"/>
  <c r="A2167" i="57"/>
  <c r="C2167" i="57" s="1"/>
  <c r="A2168" i="57"/>
  <c r="C2168" i="57" s="1"/>
  <c r="A2169" i="57"/>
  <c r="C2169" i="57" s="1"/>
  <c r="A2170" i="57"/>
  <c r="C2170" i="57" s="1"/>
  <c r="A2171" i="57"/>
  <c r="C2171" i="57" s="1"/>
  <c r="A2172" i="57"/>
  <c r="C2172" i="57" s="1"/>
  <c r="A2173" i="57"/>
  <c r="C2173" i="57" s="1"/>
  <c r="A2174" i="57"/>
  <c r="C2174" i="57" s="1"/>
  <c r="A2175" i="57"/>
  <c r="C2175" i="57" s="1"/>
  <c r="A2176" i="57"/>
  <c r="C2176" i="57" s="1"/>
  <c r="A2177" i="57"/>
  <c r="C2177" i="57" s="1"/>
  <c r="A2178" i="57"/>
  <c r="C2178" i="57" s="1"/>
  <c r="A2179" i="57"/>
  <c r="C2179" i="57" s="1"/>
  <c r="A2180" i="57"/>
  <c r="C2180" i="57" s="1"/>
  <c r="A2181" i="57"/>
  <c r="C2181" i="57" s="1"/>
  <c r="A2182" i="57"/>
  <c r="C2182" i="57" s="1"/>
  <c r="A2183" i="57"/>
  <c r="C2183" i="57" s="1"/>
  <c r="A2184" i="57"/>
  <c r="C2184" i="57" s="1"/>
  <c r="A2185" i="57"/>
  <c r="C2185" i="57" s="1"/>
  <c r="A2186" i="57"/>
  <c r="C2186" i="57" s="1"/>
  <c r="A2187" i="57"/>
  <c r="C2187" i="57" s="1"/>
  <c r="A2188" i="57"/>
  <c r="C2188" i="57" s="1"/>
  <c r="A2189" i="57"/>
  <c r="C2189" i="57" s="1"/>
  <c r="A2190" i="57"/>
  <c r="C2190" i="57" s="1"/>
  <c r="A2191" i="57"/>
  <c r="C2191" i="57" s="1"/>
  <c r="A2192" i="57"/>
  <c r="C2192" i="57" s="1"/>
  <c r="A2193" i="57"/>
  <c r="C2193" i="57" s="1"/>
  <c r="A2194" i="57"/>
  <c r="C2194" i="57" s="1"/>
  <c r="A2195" i="57"/>
  <c r="C2195" i="57" s="1"/>
  <c r="A2196" i="57"/>
  <c r="C2196" i="57" s="1"/>
  <c r="A2197" i="57"/>
  <c r="C2197" i="57" s="1"/>
  <c r="A2198" i="57"/>
  <c r="C2198" i="57" s="1"/>
  <c r="A2199" i="57"/>
  <c r="C2199" i="57" s="1"/>
  <c r="A2200" i="57"/>
  <c r="C2200" i="57" s="1"/>
  <c r="A2201" i="57"/>
  <c r="C2201" i="57" s="1"/>
  <c r="A2202" i="57"/>
  <c r="C2202" i="57" s="1"/>
  <c r="A2203" i="57"/>
  <c r="C2203" i="57" s="1"/>
  <c r="A2204" i="57"/>
  <c r="C2204" i="57" s="1"/>
  <c r="A2205" i="57"/>
  <c r="C2205" i="57" s="1"/>
  <c r="A2206" i="57"/>
  <c r="C2206" i="57" s="1"/>
  <c r="A2207" i="57"/>
  <c r="C2207" i="57" s="1"/>
  <c r="A2208" i="57"/>
  <c r="C2208" i="57" s="1"/>
  <c r="A2209" i="57"/>
  <c r="C2209" i="57" s="1"/>
  <c r="A2210" i="57"/>
  <c r="C2210" i="57" s="1"/>
  <c r="A2211" i="57"/>
  <c r="C2211" i="57" s="1"/>
  <c r="A2212" i="57"/>
  <c r="C2212" i="57" s="1"/>
  <c r="A2213" i="57"/>
  <c r="C2213" i="57" s="1"/>
  <c r="A2214" i="57"/>
  <c r="C2214" i="57" s="1"/>
  <c r="A2215" i="57"/>
  <c r="C2215" i="57" s="1"/>
  <c r="A2216" i="57"/>
  <c r="C2216" i="57" s="1"/>
  <c r="A2217" i="57"/>
  <c r="C2217" i="57" s="1"/>
  <c r="A2218" i="57"/>
  <c r="C2218" i="57" s="1"/>
  <c r="A2219" i="57"/>
  <c r="C2219" i="57" s="1"/>
  <c r="A2220" i="57"/>
  <c r="C2220" i="57" s="1"/>
  <c r="A2221" i="57"/>
  <c r="C2221" i="57" s="1"/>
  <c r="A2222" i="57"/>
  <c r="C2222" i="57" s="1"/>
  <c r="A2223" i="57"/>
  <c r="C2223" i="57" s="1"/>
  <c r="A2224" i="57"/>
  <c r="C2224" i="57" s="1"/>
  <c r="A2225" i="57"/>
  <c r="C2225" i="57" s="1"/>
  <c r="A2226" i="57"/>
  <c r="C2226" i="57" s="1"/>
  <c r="A2227" i="57"/>
  <c r="C2227" i="57" s="1"/>
  <c r="A2228" i="57"/>
  <c r="C2228" i="57" s="1"/>
  <c r="A2229" i="57"/>
  <c r="C2229" i="57" s="1"/>
  <c r="A2230" i="57"/>
  <c r="C2230" i="57" s="1"/>
  <c r="A2231" i="57"/>
  <c r="C2231" i="57" s="1"/>
  <c r="A2232" i="57"/>
  <c r="C2232" i="57" s="1"/>
  <c r="A2233" i="57"/>
  <c r="C2233" i="57" s="1"/>
  <c r="A2234" i="57"/>
  <c r="C2234" i="57" s="1"/>
  <c r="A2235" i="57"/>
  <c r="C2235" i="57" s="1"/>
  <c r="A2236" i="57"/>
  <c r="C2236" i="57" s="1"/>
  <c r="A2237" i="57"/>
  <c r="C2237" i="57" s="1"/>
  <c r="A2238" i="57"/>
  <c r="C2238" i="57" s="1"/>
  <c r="A2239" i="57"/>
  <c r="C2239" i="57" s="1"/>
  <c r="A2240" i="57"/>
  <c r="C2240" i="57" s="1"/>
  <c r="A2241" i="57"/>
  <c r="C2241" i="57" s="1"/>
  <c r="A2242" i="57"/>
  <c r="C2242" i="57" s="1"/>
  <c r="A2243" i="57"/>
  <c r="C2243" i="57" s="1"/>
  <c r="A2244" i="57"/>
  <c r="C2244" i="57" s="1"/>
  <c r="A2245" i="57"/>
  <c r="C2245" i="57" s="1"/>
  <c r="A2246" i="57"/>
  <c r="C2246" i="57" s="1"/>
  <c r="A2247" i="57"/>
  <c r="C2247" i="57" s="1"/>
  <c r="A2248" i="57"/>
  <c r="C2248" i="57" s="1"/>
  <c r="A2249" i="57"/>
  <c r="C2249" i="57" s="1"/>
  <c r="A2250" i="57"/>
  <c r="C2250" i="57" s="1"/>
  <c r="A2251" i="57"/>
  <c r="C2251" i="57" s="1"/>
  <c r="A2252" i="57"/>
  <c r="C2252" i="57" s="1"/>
  <c r="A2253" i="57"/>
  <c r="C2253" i="57" s="1"/>
  <c r="A2254" i="57"/>
  <c r="C2254" i="57" s="1"/>
  <c r="A2255" i="57"/>
  <c r="C2255" i="57" s="1"/>
  <c r="A2256" i="57"/>
  <c r="C2256" i="57" s="1"/>
  <c r="A2257" i="57"/>
  <c r="C2257" i="57" s="1"/>
  <c r="A2258" i="57"/>
  <c r="C2258" i="57" s="1"/>
  <c r="A2259" i="57"/>
  <c r="C2259" i="57" s="1"/>
  <c r="A2260" i="57"/>
  <c r="C2260" i="57" s="1"/>
  <c r="A2261" i="57"/>
  <c r="C2261" i="57" s="1"/>
  <c r="A2262" i="57"/>
  <c r="C2262" i="57" s="1"/>
  <c r="A2263" i="57"/>
  <c r="C2263" i="57" s="1"/>
  <c r="A2264" i="57"/>
  <c r="C2264" i="57" s="1"/>
  <c r="A2265" i="57"/>
  <c r="C2265" i="57" s="1"/>
  <c r="A2266" i="57"/>
  <c r="C2266" i="57" s="1"/>
  <c r="A2267" i="57"/>
  <c r="C2267" i="57" s="1"/>
  <c r="A2268" i="57"/>
  <c r="C2268" i="57" s="1"/>
  <c r="A2269" i="57"/>
  <c r="C2269" i="57" s="1"/>
  <c r="A2270" i="57"/>
  <c r="C2270" i="57" s="1"/>
  <c r="A2271" i="57"/>
  <c r="C2271" i="57" s="1"/>
  <c r="A2272" i="57"/>
  <c r="C2272" i="57" s="1"/>
  <c r="A2273" i="57"/>
  <c r="C2273" i="57" s="1"/>
  <c r="A2274" i="57"/>
  <c r="C2274" i="57" s="1"/>
  <c r="A2275" i="57"/>
  <c r="C2275" i="57" s="1"/>
  <c r="A2276" i="57"/>
  <c r="C2276" i="57" s="1"/>
  <c r="A2277" i="57"/>
  <c r="C2277" i="57" s="1"/>
  <c r="A2278" i="57"/>
  <c r="C2278" i="57" s="1"/>
  <c r="A2279" i="57"/>
  <c r="C2279" i="57" s="1"/>
  <c r="A2280" i="57"/>
  <c r="C2280" i="57" s="1"/>
  <c r="A2281" i="57"/>
  <c r="C2281" i="57" s="1"/>
  <c r="A2282" i="57"/>
  <c r="C2282" i="57" s="1"/>
  <c r="A2283" i="57"/>
  <c r="C2283" i="57" s="1"/>
  <c r="A2284" i="57"/>
  <c r="C2284" i="57" s="1"/>
  <c r="A2285" i="57"/>
  <c r="C2285" i="57" s="1"/>
  <c r="A2286" i="57"/>
  <c r="C2286" i="57" s="1"/>
  <c r="A2287" i="57"/>
  <c r="C2287" i="57" s="1"/>
  <c r="A2288" i="57"/>
  <c r="C2288" i="57" s="1"/>
  <c r="A2289" i="57"/>
  <c r="C2289" i="57" s="1"/>
  <c r="A2290" i="57"/>
  <c r="C2290" i="57" s="1"/>
  <c r="A2291" i="57"/>
  <c r="C2291" i="57" s="1"/>
  <c r="A2292" i="57"/>
  <c r="C2292" i="57" s="1"/>
  <c r="A2293" i="57"/>
  <c r="C2293" i="57" s="1"/>
  <c r="A2294" i="57"/>
  <c r="C2294" i="57" s="1"/>
  <c r="A2295" i="57"/>
  <c r="C2295" i="57" s="1"/>
  <c r="A2296" i="57"/>
  <c r="C2296" i="57" s="1"/>
  <c r="A2297" i="57"/>
  <c r="C2297" i="57" s="1"/>
  <c r="A2298" i="57"/>
  <c r="C2298" i="57" s="1"/>
  <c r="A2299" i="57"/>
  <c r="C2299" i="57" s="1"/>
  <c r="A2300" i="57"/>
  <c r="C2300" i="57" s="1"/>
  <c r="A2301" i="57"/>
  <c r="C2301" i="57" s="1"/>
  <c r="A2302" i="57"/>
  <c r="C2302" i="57" s="1"/>
  <c r="A2303" i="57"/>
  <c r="C2303" i="57" s="1"/>
  <c r="A2304" i="57"/>
  <c r="C2304" i="57" s="1"/>
  <c r="A2305" i="57"/>
  <c r="C2305" i="57" s="1"/>
  <c r="A2306" i="57"/>
  <c r="C2306" i="57" s="1"/>
  <c r="A2307" i="57"/>
  <c r="C2307" i="57" s="1"/>
  <c r="A2308" i="57"/>
  <c r="C2308" i="57" s="1"/>
  <c r="A2309" i="57"/>
  <c r="C2309" i="57" s="1"/>
  <c r="A2310" i="57"/>
  <c r="C2310" i="57" s="1"/>
  <c r="A2311" i="57"/>
  <c r="C2311" i="57" s="1"/>
  <c r="A2312" i="57"/>
  <c r="C2312" i="57" s="1"/>
  <c r="A2313" i="57"/>
  <c r="C2313" i="57" s="1"/>
  <c r="A2314" i="57"/>
  <c r="C2314" i="57" s="1"/>
  <c r="A2315" i="57"/>
  <c r="C2315" i="57" s="1"/>
  <c r="A2316" i="57"/>
  <c r="C2316" i="57" s="1"/>
  <c r="A2317" i="57"/>
  <c r="C2317" i="57" s="1"/>
  <c r="A2318" i="57"/>
  <c r="C2318" i="57" s="1"/>
  <c r="A2319" i="57"/>
  <c r="C2319" i="57" s="1"/>
  <c r="A2320" i="57"/>
  <c r="C2320" i="57" s="1"/>
  <c r="A2321" i="57"/>
  <c r="C2321" i="57" s="1"/>
  <c r="A2322" i="57"/>
  <c r="C2322" i="57" s="1"/>
  <c r="A2323" i="57"/>
  <c r="C2323" i="57" s="1"/>
  <c r="A2324" i="57"/>
  <c r="C2324" i="57" s="1"/>
  <c r="A2325" i="57"/>
  <c r="C2325" i="57" s="1"/>
  <c r="A2326" i="57"/>
  <c r="C2326" i="57" s="1"/>
  <c r="A2327" i="57"/>
  <c r="C2327" i="57" s="1"/>
  <c r="A2328" i="57"/>
  <c r="C2328" i="57" s="1"/>
  <c r="A2329" i="57"/>
  <c r="C2329" i="57" s="1"/>
  <c r="A2330" i="57"/>
  <c r="C2330" i="57" s="1"/>
  <c r="A2331" i="57"/>
  <c r="C2331" i="57" s="1"/>
  <c r="A2332" i="57"/>
  <c r="C2332" i="57" s="1"/>
  <c r="A2333" i="57"/>
  <c r="C2333" i="57" s="1"/>
  <c r="A2334" i="57"/>
  <c r="C2334" i="57" s="1"/>
  <c r="A2335" i="57"/>
  <c r="C2335" i="57" s="1"/>
  <c r="A2336" i="57"/>
  <c r="C2336" i="57" s="1"/>
  <c r="A2337" i="57"/>
  <c r="C2337" i="57" s="1"/>
  <c r="A2338" i="57"/>
  <c r="C2338" i="57" s="1"/>
  <c r="A2339" i="57"/>
  <c r="C2339" i="57" s="1"/>
  <c r="A2340" i="57"/>
  <c r="C2340" i="57" s="1"/>
  <c r="A2341" i="57"/>
  <c r="C2341" i="57" s="1"/>
  <c r="A2342" i="57"/>
  <c r="C2342" i="57" s="1"/>
  <c r="A2343" i="57"/>
  <c r="C2343" i="57" s="1"/>
  <c r="A2344" i="57"/>
  <c r="C2344" i="57" s="1"/>
  <c r="A2345" i="57"/>
  <c r="C2345" i="57" s="1"/>
  <c r="A2346" i="57"/>
  <c r="C2346" i="57" s="1"/>
  <c r="A2347" i="57"/>
  <c r="C2347" i="57" s="1"/>
  <c r="A2348" i="57"/>
  <c r="C2348" i="57" s="1"/>
  <c r="A2349" i="57"/>
  <c r="C2349" i="57" s="1"/>
  <c r="A2350" i="57"/>
  <c r="C2350" i="57" s="1"/>
  <c r="A2351" i="57"/>
  <c r="C2351" i="57" s="1"/>
  <c r="A2352" i="57"/>
  <c r="C2352" i="57" s="1"/>
  <c r="A2353" i="57"/>
  <c r="C2353" i="57" s="1"/>
  <c r="A2354" i="57"/>
  <c r="C2354" i="57" s="1"/>
  <c r="A2355" i="57"/>
  <c r="C2355" i="57" s="1"/>
  <c r="A2356" i="57"/>
  <c r="C2356" i="57" s="1"/>
  <c r="A2357" i="57"/>
  <c r="C2357" i="57" s="1"/>
  <c r="A2358" i="57"/>
  <c r="C2358" i="57" s="1"/>
  <c r="A2359" i="57"/>
  <c r="C2359" i="57" s="1"/>
  <c r="A2360" i="57"/>
  <c r="C2360" i="57" s="1"/>
  <c r="A2361" i="57"/>
  <c r="C2361" i="57" s="1"/>
  <c r="A2362" i="57"/>
  <c r="C2362" i="57" s="1"/>
  <c r="A2363" i="57"/>
  <c r="C2363" i="57" s="1"/>
  <c r="A2364" i="57"/>
  <c r="C2364" i="57" s="1"/>
  <c r="A2365" i="57"/>
  <c r="C2365" i="57" s="1"/>
  <c r="A2366" i="57"/>
  <c r="C2366" i="57" s="1"/>
  <c r="A2367" i="57"/>
  <c r="C2367" i="57" s="1"/>
  <c r="A2368" i="57"/>
  <c r="C2368" i="57" s="1"/>
  <c r="A2369" i="57"/>
  <c r="C2369" i="57" s="1"/>
  <c r="A2370" i="57"/>
  <c r="C2370" i="57" s="1"/>
  <c r="A2371" i="57"/>
  <c r="C2371" i="57" s="1"/>
  <c r="A2372" i="57"/>
  <c r="C2372" i="57" s="1"/>
  <c r="A2373" i="57"/>
  <c r="C2373" i="57" s="1"/>
  <c r="A2374" i="57"/>
  <c r="C2374" i="57" s="1"/>
  <c r="A2375" i="57"/>
  <c r="C2375" i="57" s="1"/>
  <c r="A2376" i="57"/>
  <c r="C2376" i="57" s="1"/>
  <c r="A2377" i="57"/>
  <c r="C2377" i="57" s="1"/>
  <c r="A2378" i="57"/>
  <c r="C2378" i="57" s="1"/>
  <c r="A2379" i="57"/>
  <c r="C2379" i="57" s="1"/>
  <c r="A2380" i="57"/>
  <c r="C2380" i="57" s="1"/>
  <c r="A2381" i="57"/>
  <c r="C2381" i="57" s="1"/>
  <c r="A2382" i="57"/>
  <c r="C2382" i="57" s="1"/>
  <c r="A2383" i="57"/>
  <c r="C2383" i="57" s="1"/>
  <c r="A2384" i="57"/>
  <c r="C2384" i="57" s="1"/>
  <c r="A2385" i="57"/>
  <c r="C2385" i="57" s="1"/>
  <c r="A2386" i="57"/>
  <c r="C2386" i="57" s="1"/>
  <c r="A2387" i="57"/>
  <c r="C2387" i="57" s="1"/>
  <c r="A2388" i="57"/>
  <c r="C2388" i="57" s="1"/>
  <c r="A2389" i="57"/>
  <c r="C2389" i="57" s="1"/>
  <c r="A2390" i="57"/>
  <c r="C2390" i="57" s="1"/>
  <c r="A2391" i="57"/>
  <c r="C2391" i="57" s="1"/>
  <c r="A2392" i="57"/>
  <c r="C2392" i="57" s="1"/>
  <c r="A2393" i="57"/>
  <c r="C2393" i="57" s="1"/>
  <c r="A2394" i="57"/>
  <c r="C2394" i="57" s="1"/>
  <c r="A2395" i="57"/>
  <c r="C2395" i="57" s="1"/>
  <c r="A2396" i="57"/>
  <c r="C2396" i="57" s="1"/>
  <c r="A2397" i="57"/>
  <c r="C2397" i="57" s="1"/>
  <c r="A2398" i="57"/>
  <c r="C2398" i="57" s="1"/>
  <c r="A2399" i="57"/>
  <c r="C2399" i="57" s="1"/>
  <c r="A2400" i="57"/>
  <c r="C2400" i="57" s="1"/>
  <c r="A2401" i="57"/>
  <c r="C2401" i="57" s="1"/>
  <c r="A2402" i="57"/>
  <c r="C2402" i="57" s="1"/>
  <c r="A2403" i="57"/>
  <c r="C2403" i="57" s="1"/>
  <c r="A2404" i="57"/>
  <c r="C2404" i="57" s="1"/>
  <c r="A2405" i="57"/>
  <c r="C2405" i="57" s="1"/>
  <c r="A2406" i="57"/>
  <c r="C2406" i="57" s="1"/>
  <c r="A2407" i="57"/>
  <c r="C2407" i="57" s="1"/>
  <c r="A2408" i="57"/>
  <c r="C2408" i="57" s="1"/>
  <c r="A2409" i="57"/>
  <c r="C2409" i="57" s="1"/>
  <c r="A2410" i="57"/>
  <c r="C2410" i="57" s="1"/>
  <c r="A2411" i="57"/>
  <c r="C2411" i="57" s="1"/>
  <c r="A2412" i="57"/>
  <c r="C2412" i="57" s="1"/>
  <c r="A2413" i="57"/>
  <c r="C2413" i="57" s="1"/>
  <c r="A2414" i="57"/>
  <c r="C2414" i="57" s="1"/>
  <c r="A2415" i="57"/>
  <c r="C2415" i="57" s="1"/>
  <c r="A2416" i="57"/>
  <c r="C2416" i="57" s="1"/>
  <c r="A2417" i="57"/>
  <c r="C2417" i="57" s="1"/>
  <c r="A2418" i="57"/>
  <c r="C2418" i="57" s="1"/>
  <c r="A2419" i="57"/>
  <c r="C2419" i="57" s="1"/>
  <c r="A2420" i="57"/>
  <c r="C2420" i="57" s="1"/>
  <c r="A2421" i="57"/>
  <c r="C2421" i="57" s="1"/>
  <c r="A2422" i="57"/>
  <c r="C2422" i="57" s="1"/>
  <c r="A2423" i="57"/>
  <c r="C2423" i="57" s="1"/>
  <c r="A2424" i="57"/>
  <c r="C2424" i="57" s="1"/>
  <c r="A2425" i="57"/>
  <c r="C2425" i="57" s="1"/>
  <c r="A2426" i="57"/>
  <c r="C2426" i="57" s="1"/>
  <c r="A2427" i="57"/>
  <c r="C2427" i="57" s="1"/>
  <c r="A2428" i="57"/>
  <c r="C2428" i="57" s="1"/>
  <c r="A2429" i="57"/>
  <c r="C2429" i="57" s="1"/>
  <c r="A2430" i="57"/>
  <c r="C2430" i="57" s="1"/>
  <c r="A2431" i="57"/>
  <c r="C2431" i="57" s="1"/>
  <c r="A2432" i="57"/>
  <c r="C2432" i="57" s="1"/>
  <c r="A2433" i="57"/>
  <c r="C2433" i="57" s="1"/>
  <c r="A2434" i="57"/>
  <c r="C2434" i="57" s="1"/>
  <c r="A2435" i="57"/>
  <c r="C2435" i="57" s="1"/>
  <c r="A2436" i="57"/>
  <c r="C2436" i="57" s="1"/>
  <c r="A2437" i="57"/>
  <c r="C2437" i="57" s="1"/>
  <c r="A2438" i="57"/>
  <c r="C2438" i="57" s="1"/>
  <c r="A2439" i="57"/>
  <c r="C2439" i="57" s="1"/>
  <c r="A2440" i="57"/>
  <c r="C2440" i="57" s="1"/>
  <c r="A2441" i="57"/>
  <c r="C2441" i="57" s="1"/>
  <c r="A2442" i="57"/>
  <c r="C2442" i="57" s="1"/>
  <c r="A2443" i="57"/>
  <c r="C2443" i="57" s="1"/>
  <c r="A2444" i="57"/>
  <c r="C2444" i="57" s="1"/>
  <c r="A2445" i="57"/>
  <c r="C2445" i="57" s="1"/>
  <c r="A2446" i="57"/>
  <c r="C2446" i="57" s="1"/>
  <c r="A2447" i="57"/>
  <c r="C2447" i="57" s="1"/>
  <c r="A2448" i="57"/>
  <c r="C2448" i="57" s="1"/>
  <c r="A2449" i="57"/>
  <c r="C2449" i="57" s="1"/>
  <c r="A2450" i="57"/>
  <c r="C2450" i="57" s="1"/>
  <c r="A2451" i="57"/>
  <c r="C2451" i="57" s="1"/>
  <c r="A2452" i="57"/>
  <c r="C2452" i="57" s="1"/>
  <c r="A2453" i="57"/>
  <c r="C2453" i="57" s="1"/>
  <c r="A2454" i="57"/>
  <c r="C2454" i="57" s="1"/>
  <c r="A2455" i="57"/>
  <c r="C2455" i="57" s="1"/>
  <c r="A2456" i="57"/>
  <c r="C2456" i="57" s="1"/>
  <c r="A2457" i="57"/>
  <c r="C2457" i="57" s="1"/>
  <c r="A2458" i="57"/>
  <c r="C2458" i="57" s="1"/>
  <c r="A2459" i="57"/>
  <c r="C2459" i="57" s="1"/>
  <c r="A2460" i="57"/>
  <c r="C2460" i="57" s="1"/>
  <c r="A2461" i="57"/>
  <c r="C2461" i="57" s="1"/>
  <c r="A2462" i="57"/>
  <c r="C2462" i="57" s="1"/>
  <c r="A2463" i="57"/>
  <c r="C2463" i="57" s="1"/>
  <c r="A2464" i="57"/>
  <c r="C2464" i="57" s="1"/>
  <c r="A2465" i="57"/>
  <c r="C2465" i="57" s="1"/>
  <c r="A2466" i="57"/>
  <c r="C2466" i="57" s="1"/>
  <c r="A2467" i="57"/>
  <c r="C2467" i="57" s="1"/>
  <c r="A2468" i="57"/>
  <c r="C2468" i="57" s="1"/>
  <c r="A2469" i="57"/>
  <c r="C2469" i="57" s="1"/>
  <c r="A2470" i="57"/>
  <c r="C2470" i="57" s="1"/>
  <c r="A2471" i="57"/>
  <c r="C2471" i="57" s="1"/>
  <c r="A2472" i="57"/>
  <c r="C2472" i="57" s="1"/>
  <c r="A2473" i="57"/>
  <c r="C2473" i="57" s="1"/>
  <c r="A2474" i="57"/>
  <c r="C2474" i="57" s="1"/>
  <c r="A2475" i="57"/>
  <c r="C2475" i="57" s="1"/>
  <c r="A2476" i="57"/>
  <c r="C2476" i="57" s="1"/>
  <c r="A2477" i="57"/>
  <c r="C2477" i="57" s="1"/>
  <c r="A2478" i="57"/>
  <c r="C2478" i="57" s="1"/>
  <c r="A2479" i="57"/>
  <c r="C2479" i="57" s="1"/>
  <c r="A2480" i="57"/>
  <c r="C2480" i="57" s="1"/>
  <c r="A2481" i="57"/>
  <c r="C2481" i="57" s="1"/>
  <c r="H1456" i="57"/>
  <c r="H1457" i="57"/>
  <c r="H1458" i="57"/>
  <c r="H1459" i="57"/>
  <c r="H1460" i="57"/>
  <c r="H1461" i="57"/>
  <c r="H1462" i="57"/>
  <c r="H1463" i="57"/>
  <c r="H1464" i="57"/>
  <c r="H1465" i="57"/>
  <c r="H1466" i="57"/>
  <c r="H1467" i="57"/>
  <c r="H1468" i="57"/>
  <c r="H1469" i="57"/>
  <c r="H1470" i="57"/>
  <c r="H1471" i="57"/>
  <c r="H1472" i="57"/>
  <c r="H1473" i="57"/>
  <c r="H1474" i="57"/>
  <c r="H1475" i="57"/>
  <c r="H1476" i="57"/>
  <c r="H1477" i="57"/>
  <c r="H1478" i="57"/>
  <c r="H1479" i="57"/>
  <c r="H1480" i="57"/>
  <c r="H1481" i="57"/>
  <c r="H1482" i="57"/>
  <c r="H1483" i="57"/>
  <c r="H1484" i="57"/>
  <c r="H1485" i="57"/>
  <c r="H1486" i="57"/>
  <c r="H1487" i="57"/>
  <c r="H1488" i="57"/>
  <c r="H1489" i="57"/>
  <c r="H1490" i="57"/>
  <c r="H1491" i="57"/>
  <c r="H1492" i="57"/>
  <c r="H1493" i="57"/>
  <c r="H1494" i="57"/>
  <c r="H1495" i="57"/>
  <c r="H1496" i="57"/>
  <c r="H1497" i="57"/>
  <c r="H1498" i="57"/>
  <c r="H1499" i="57"/>
  <c r="H1500" i="57"/>
  <c r="H1501" i="57"/>
  <c r="H1502" i="57"/>
  <c r="H1503" i="57"/>
  <c r="H1504" i="57"/>
  <c r="H1505" i="57"/>
  <c r="H1506" i="57"/>
  <c r="H1507" i="57"/>
  <c r="H1508" i="57"/>
  <c r="H1509" i="57"/>
  <c r="H1510" i="57"/>
  <c r="H1511" i="57"/>
  <c r="H1512" i="57"/>
  <c r="H1513" i="57"/>
  <c r="H1514" i="57"/>
  <c r="H1515" i="57"/>
  <c r="H1516" i="57"/>
  <c r="H1517" i="57"/>
  <c r="H1518" i="57"/>
  <c r="H1519" i="57"/>
  <c r="H1520" i="57"/>
  <c r="H1521" i="57"/>
  <c r="H1522" i="57"/>
  <c r="H1523" i="57"/>
  <c r="H1524" i="57"/>
  <c r="H1525" i="57"/>
  <c r="H1526" i="57"/>
  <c r="H1527" i="57"/>
  <c r="H1528" i="57"/>
  <c r="H1529" i="57"/>
  <c r="H1530" i="57"/>
  <c r="H1531" i="57"/>
  <c r="H1532" i="57"/>
  <c r="H1533" i="57"/>
  <c r="H1534" i="57"/>
  <c r="H1535" i="57"/>
  <c r="H1536" i="57"/>
  <c r="H1537" i="57"/>
  <c r="H1538" i="57"/>
  <c r="H1539" i="57"/>
  <c r="H1540" i="57"/>
  <c r="H1541" i="57"/>
  <c r="H1542" i="57"/>
  <c r="H1543" i="57"/>
  <c r="H1544" i="57"/>
  <c r="H1545" i="57"/>
  <c r="H1546" i="57"/>
  <c r="H1547" i="57"/>
  <c r="H1548" i="57"/>
  <c r="H1549" i="57"/>
  <c r="H1550" i="57"/>
  <c r="H1551" i="57"/>
  <c r="H1552" i="57"/>
  <c r="H1553" i="57"/>
  <c r="H1554" i="57"/>
  <c r="H1555" i="57"/>
  <c r="H1556" i="57"/>
  <c r="H1557" i="57"/>
  <c r="H1558" i="57"/>
  <c r="H1559" i="57"/>
  <c r="H1560" i="57"/>
  <c r="H1561" i="57"/>
  <c r="H1562" i="57"/>
  <c r="H1563" i="57"/>
  <c r="H1564" i="57"/>
  <c r="H1565" i="57"/>
  <c r="H1566" i="57"/>
  <c r="H1567" i="57"/>
  <c r="H1568" i="57"/>
  <c r="H1569" i="57"/>
  <c r="H1570" i="57"/>
  <c r="H1571" i="57"/>
  <c r="H1572" i="57"/>
  <c r="H1573" i="57"/>
  <c r="H1574" i="57"/>
  <c r="H1575" i="57"/>
  <c r="H1576" i="57"/>
  <c r="H1577" i="57"/>
  <c r="H1578" i="57"/>
  <c r="H1579" i="57"/>
  <c r="H1580" i="57"/>
  <c r="H1581" i="57"/>
  <c r="H1582" i="57"/>
  <c r="H1583" i="57"/>
  <c r="H1584" i="57"/>
  <c r="H1585" i="57"/>
  <c r="H1586" i="57"/>
  <c r="H1587" i="57"/>
  <c r="H1588" i="57"/>
  <c r="H1589" i="57"/>
  <c r="H1590" i="57"/>
  <c r="H1591" i="57"/>
  <c r="H1592" i="57"/>
  <c r="H1593" i="57"/>
  <c r="H1594" i="57"/>
  <c r="H1595" i="57"/>
  <c r="H1596" i="57"/>
  <c r="H1597" i="57"/>
  <c r="H1598" i="57"/>
  <c r="H1599" i="57"/>
  <c r="H1600" i="57"/>
  <c r="H1601" i="57"/>
  <c r="H1602" i="57"/>
  <c r="H1603" i="57"/>
  <c r="H1604" i="57"/>
  <c r="H1605" i="57"/>
  <c r="H1606" i="57"/>
  <c r="H1607" i="57"/>
  <c r="H1608" i="57"/>
  <c r="H1609" i="57"/>
  <c r="H1610" i="57"/>
  <c r="H1611" i="57"/>
  <c r="H1612" i="57"/>
  <c r="H1613" i="57"/>
  <c r="H1614" i="57"/>
  <c r="H1615" i="57"/>
  <c r="H1616" i="57"/>
  <c r="H1617" i="57"/>
  <c r="H1618" i="57"/>
  <c r="H1619" i="57"/>
  <c r="H1620" i="57"/>
  <c r="H1621" i="57"/>
  <c r="H1622" i="57"/>
  <c r="H1623" i="57"/>
  <c r="H1624" i="57"/>
  <c r="H1625" i="57"/>
  <c r="H1626" i="57"/>
  <c r="H1627" i="57"/>
  <c r="H1628" i="57"/>
  <c r="H1629" i="57"/>
  <c r="H1630" i="57"/>
  <c r="H1631" i="57"/>
  <c r="H1632" i="57"/>
  <c r="H1633" i="57"/>
  <c r="H1634" i="57"/>
  <c r="H1635" i="57"/>
  <c r="H1636" i="57"/>
  <c r="H1637" i="57"/>
  <c r="H1638" i="57"/>
  <c r="H1639" i="57"/>
  <c r="H1640" i="57"/>
  <c r="H1641" i="57"/>
  <c r="H1642" i="57"/>
  <c r="H1643" i="57"/>
  <c r="H1644" i="57"/>
  <c r="H1645" i="57"/>
  <c r="H1646" i="57"/>
  <c r="H1647" i="57"/>
  <c r="H1648" i="57"/>
  <c r="H1649" i="57"/>
  <c r="H1650" i="57"/>
  <c r="H1651" i="57"/>
  <c r="H1652" i="57"/>
  <c r="H1653" i="57"/>
  <c r="H1654" i="57"/>
  <c r="H1655" i="57"/>
  <c r="H1656" i="57"/>
  <c r="H1657" i="57"/>
  <c r="H1658" i="57"/>
  <c r="H1659" i="57"/>
  <c r="H1660" i="57"/>
  <c r="H1661" i="57"/>
  <c r="H1662" i="57"/>
  <c r="H1663" i="57"/>
  <c r="H1664" i="57"/>
  <c r="H1665" i="57"/>
  <c r="H1666" i="57"/>
  <c r="H1667" i="57"/>
  <c r="H1668" i="57"/>
  <c r="H1669" i="57"/>
  <c r="H1670" i="57"/>
  <c r="H1671" i="57"/>
  <c r="H1672" i="57"/>
  <c r="H1673" i="57"/>
  <c r="H1674" i="57"/>
  <c r="H1675" i="57"/>
  <c r="H1676" i="57"/>
  <c r="H1677" i="57"/>
  <c r="H1678" i="57"/>
  <c r="H1679" i="57"/>
  <c r="H1680" i="57"/>
  <c r="H1681" i="57"/>
  <c r="H1682" i="57"/>
  <c r="H1683" i="57"/>
  <c r="H1684" i="57"/>
  <c r="H1685" i="57"/>
  <c r="H1686" i="57"/>
  <c r="H1687" i="57"/>
  <c r="H1688" i="57"/>
  <c r="H1689" i="57"/>
  <c r="H1690" i="57"/>
  <c r="H1691" i="57"/>
  <c r="H1692" i="57"/>
  <c r="H1693" i="57"/>
  <c r="H1694" i="57"/>
  <c r="H1695" i="57"/>
  <c r="H1696" i="57"/>
  <c r="H1697" i="57"/>
  <c r="H1698" i="57"/>
  <c r="H1699" i="57"/>
  <c r="H1700" i="57"/>
  <c r="H1701" i="57"/>
  <c r="H1702" i="57"/>
  <c r="H1703" i="57"/>
  <c r="H1704" i="57"/>
  <c r="H1705" i="57"/>
  <c r="H1706" i="57"/>
  <c r="H1707" i="57"/>
  <c r="H1708" i="57"/>
  <c r="H1709" i="57"/>
  <c r="H1710" i="57"/>
  <c r="H1711" i="57"/>
  <c r="H1712" i="57"/>
  <c r="H1713" i="57"/>
  <c r="H1714" i="57"/>
  <c r="H1715" i="57"/>
  <c r="H1716" i="57"/>
  <c r="H1717" i="57"/>
  <c r="H1718" i="57"/>
  <c r="H1719" i="57"/>
  <c r="H1720" i="57"/>
  <c r="H1721" i="57"/>
  <c r="H1722" i="57"/>
  <c r="H1723" i="57"/>
  <c r="H1724" i="57"/>
  <c r="H1725" i="57"/>
  <c r="H1726" i="57"/>
  <c r="H1727" i="57"/>
  <c r="H1728" i="57"/>
  <c r="H1729" i="57"/>
  <c r="H1730" i="57"/>
  <c r="H1731" i="57"/>
  <c r="H1732" i="57"/>
  <c r="H1733" i="57"/>
  <c r="H1734" i="57"/>
  <c r="H1735" i="57"/>
  <c r="H1736" i="57"/>
  <c r="H1737" i="57"/>
  <c r="H1738" i="57"/>
  <c r="H1739" i="57"/>
  <c r="H1740" i="57"/>
  <c r="H1741" i="57"/>
  <c r="H1742" i="57"/>
  <c r="H1743" i="57"/>
  <c r="H1744" i="57"/>
  <c r="H1745" i="57"/>
  <c r="H1746" i="57"/>
  <c r="H1747" i="57"/>
  <c r="H1748" i="57"/>
  <c r="H1749" i="57"/>
  <c r="H1750" i="57"/>
  <c r="H1751" i="57"/>
  <c r="H1752" i="57"/>
  <c r="H1753" i="57"/>
  <c r="H1754" i="57"/>
  <c r="H1755" i="57"/>
  <c r="H1756" i="57"/>
  <c r="H1757" i="57"/>
  <c r="H1758" i="57"/>
  <c r="H1759" i="57"/>
  <c r="H1760" i="57"/>
  <c r="H1761" i="57"/>
  <c r="H1762" i="57"/>
  <c r="H1763" i="57"/>
  <c r="H1764" i="57"/>
  <c r="H1765" i="57"/>
  <c r="H1766" i="57"/>
  <c r="H1767" i="57"/>
  <c r="H1768" i="57"/>
  <c r="H1769" i="57"/>
  <c r="H1770" i="57"/>
  <c r="H1771" i="57"/>
  <c r="H1772" i="57"/>
  <c r="H1773" i="57"/>
  <c r="H1774" i="57"/>
  <c r="H1775" i="57"/>
  <c r="H1776" i="57"/>
  <c r="H1777" i="57"/>
  <c r="H1778" i="57"/>
  <c r="H1779" i="57"/>
  <c r="H1780" i="57"/>
  <c r="H1781" i="57"/>
  <c r="H1782" i="57"/>
  <c r="H1783" i="57"/>
  <c r="H1784" i="57"/>
  <c r="H1785" i="57"/>
  <c r="H1786" i="57"/>
  <c r="H1787" i="57"/>
  <c r="H1788" i="57"/>
  <c r="H1789" i="57"/>
  <c r="H1790" i="57"/>
  <c r="H1791" i="57"/>
  <c r="H1792" i="57"/>
  <c r="H1793" i="57"/>
  <c r="H1794" i="57"/>
  <c r="H1795" i="57"/>
  <c r="H1796" i="57"/>
  <c r="H1797" i="57"/>
  <c r="H1798" i="57"/>
  <c r="H1799" i="57"/>
  <c r="H1800" i="57"/>
  <c r="H1801" i="57"/>
  <c r="H1802" i="57"/>
  <c r="H1803" i="57"/>
  <c r="H1804" i="57"/>
  <c r="H1805" i="57"/>
  <c r="H1806" i="57"/>
  <c r="H1807" i="57"/>
  <c r="H1808" i="57"/>
  <c r="H1809" i="57"/>
  <c r="H1810" i="57"/>
  <c r="H1811" i="57"/>
  <c r="H1812" i="57"/>
  <c r="H1813" i="57"/>
  <c r="H1814" i="57"/>
  <c r="H1815" i="57"/>
  <c r="H1816" i="57"/>
  <c r="H1817" i="57"/>
  <c r="H1818" i="57"/>
  <c r="H1819" i="57"/>
  <c r="H1820" i="57"/>
  <c r="H1821" i="57"/>
  <c r="H1822" i="57"/>
  <c r="H1823" i="57"/>
  <c r="H1824" i="57"/>
  <c r="H1825" i="57"/>
  <c r="H1826" i="57"/>
  <c r="H1827" i="57"/>
  <c r="H1828" i="57"/>
  <c r="H1829" i="57"/>
  <c r="H1830" i="57"/>
  <c r="H1831" i="57"/>
  <c r="H1832" i="57"/>
  <c r="H1833" i="57"/>
  <c r="H1834" i="57"/>
  <c r="H1835" i="57"/>
  <c r="H1836" i="57"/>
  <c r="H1837" i="57"/>
  <c r="H1838" i="57"/>
  <c r="H1839" i="57"/>
  <c r="H1840" i="57"/>
  <c r="H1841" i="57"/>
  <c r="H1842" i="57"/>
  <c r="H1843" i="57"/>
  <c r="H1844" i="57"/>
  <c r="H1845" i="57"/>
  <c r="H1846" i="57"/>
  <c r="H1847" i="57"/>
  <c r="H1848" i="57"/>
  <c r="H1849" i="57"/>
  <c r="H1850" i="57"/>
  <c r="H1851" i="57"/>
  <c r="H1852" i="57"/>
  <c r="H1853" i="57"/>
  <c r="H1854" i="57"/>
  <c r="H1855" i="57"/>
  <c r="H1856" i="57"/>
  <c r="H1857" i="57"/>
  <c r="H1858" i="57"/>
  <c r="H1859" i="57"/>
  <c r="H1860" i="57"/>
  <c r="H1861" i="57"/>
  <c r="H1862" i="57"/>
  <c r="H1863" i="57"/>
  <c r="H1864" i="57"/>
  <c r="H1865" i="57"/>
  <c r="H1866" i="57"/>
  <c r="H1867" i="57"/>
  <c r="H1868" i="57"/>
  <c r="H1869" i="57"/>
  <c r="H1870" i="57"/>
  <c r="H1871" i="57"/>
  <c r="H1872" i="57"/>
  <c r="H1873" i="57"/>
  <c r="H1874" i="57"/>
  <c r="H1875" i="57"/>
  <c r="H1876" i="57"/>
  <c r="H1877" i="57"/>
  <c r="H1878" i="57"/>
  <c r="H1879" i="57"/>
  <c r="H1880" i="57"/>
  <c r="H1881" i="57"/>
  <c r="H1882" i="57"/>
  <c r="H1883" i="57"/>
  <c r="H1884" i="57"/>
  <c r="H1885" i="57"/>
  <c r="H1886" i="57"/>
  <c r="H1887" i="57"/>
  <c r="H1888" i="57"/>
  <c r="H1889" i="57"/>
  <c r="H1890" i="57"/>
  <c r="H1891" i="57"/>
  <c r="H1892" i="57"/>
  <c r="H1893" i="57"/>
  <c r="H1894" i="57"/>
  <c r="H1895" i="57"/>
  <c r="H1896" i="57"/>
  <c r="H1897" i="57"/>
  <c r="H1898" i="57"/>
  <c r="H1899" i="57"/>
  <c r="H1900" i="57"/>
  <c r="H1901" i="57"/>
  <c r="H1902" i="57"/>
  <c r="H1903" i="57"/>
  <c r="H1904" i="57"/>
  <c r="H1905" i="57"/>
  <c r="H1906" i="57"/>
  <c r="H1907" i="57"/>
  <c r="H1908" i="57"/>
  <c r="H1909" i="57"/>
  <c r="H1910" i="57"/>
  <c r="H1911" i="57"/>
  <c r="H1912" i="57"/>
  <c r="H1913" i="57"/>
  <c r="H1914" i="57"/>
  <c r="H1915" i="57"/>
  <c r="H1916" i="57"/>
  <c r="H1917" i="57"/>
  <c r="H1918" i="57"/>
  <c r="H1919" i="57"/>
  <c r="H1920" i="57"/>
  <c r="H1921" i="57"/>
  <c r="H1922" i="57"/>
  <c r="H1923" i="57"/>
  <c r="H1924" i="57"/>
  <c r="H1925" i="57"/>
  <c r="H1926" i="57"/>
  <c r="H1927" i="57"/>
  <c r="H1928" i="57"/>
  <c r="H1929" i="57"/>
  <c r="H1930" i="57"/>
  <c r="H1931" i="57"/>
  <c r="H1932" i="57"/>
  <c r="H1933" i="57"/>
  <c r="H1934" i="57"/>
  <c r="H1935" i="57"/>
  <c r="H1936" i="57"/>
  <c r="H1937" i="57"/>
  <c r="H1938" i="57"/>
  <c r="H1939" i="57"/>
  <c r="H1940" i="57"/>
  <c r="H1941" i="57"/>
  <c r="H1942" i="57"/>
  <c r="H1943" i="57"/>
  <c r="H1944" i="57"/>
  <c r="H1945" i="57"/>
  <c r="H1946" i="57"/>
  <c r="H1947" i="57"/>
  <c r="H1948" i="57"/>
  <c r="H1949" i="57"/>
  <c r="H1950" i="57"/>
  <c r="H1951" i="57"/>
  <c r="H1952" i="57"/>
  <c r="H1953" i="57"/>
  <c r="H1954" i="57"/>
  <c r="H1955" i="57"/>
  <c r="H1956" i="57"/>
  <c r="H1957" i="57"/>
  <c r="H1958" i="57"/>
  <c r="H1959" i="57"/>
  <c r="H1960" i="57"/>
  <c r="H1961" i="57"/>
  <c r="H1962" i="57"/>
  <c r="H1963" i="57"/>
  <c r="H1964" i="57"/>
  <c r="H1965" i="57"/>
  <c r="H1966" i="57"/>
  <c r="H1967" i="57"/>
  <c r="H1968" i="57"/>
  <c r="H1969" i="57"/>
  <c r="H1970" i="57"/>
  <c r="H1971" i="57"/>
  <c r="H1972" i="57"/>
  <c r="H1973" i="57"/>
  <c r="H1974" i="57"/>
  <c r="H1975" i="57"/>
  <c r="H1976" i="57"/>
  <c r="H1977" i="57"/>
  <c r="H1978" i="57"/>
  <c r="H1979" i="57"/>
  <c r="H1980" i="57"/>
  <c r="H1981" i="57"/>
  <c r="H1982" i="57"/>
  <c r="H1983" i="57"/>
  <c r="H1984" i="57"/>
  <c r="H1985" i="57"/>
  <c r="H1986" i="57"/>
  <c r="H1987" i="57"/>
  <c r="H1988" i="57"/>
  <c r="H1989" i="57"/>
  <c r="H1990" i="57"/>
  <c r="H1991" i="57"/>
  <c r="H1992" i="57"/>
  <c r="H1993" i="57"/>
  <c r="H1994" i="57"/>
  <c r="H1995" i="57"/>
  <c r="H1996" i="57"/>
  <c r="H1997" i="57"/>
  <c r="H1998" i="57"/>
  <c r="H1999" i="57"/>
  <c r="H2000" i="57"/>
  <c r="H2001" i="57"/>
  <c r="H2002" i="57"/>
  <c r="H2003" i="57"/>
  <c r="H2004" i="57"/>
  <c r="H2005" i="57"/>
  <c r="H2006" i="57"/>
  <c r="H2007" i="57"/>
  <c r="H2008" i="57"/>
  <c r="H2009" i="57"/>
  <c r="H2010" i="57"/>
  <c r="H2011" i="57"/>
  <c r="H2012" i="57"/>
  <c r="H2013" i="57"/>
  <c r="H2014" i="57"/>
  <c r="H2015" i="57"/>
  <c r="H2016" i="57"/>
  <c r="H2017" i="57"/>
  <c r="H2018" i="57"/>
  <c r="H2019" i="57"/>
  <c r="H2020" i="57"/>
  <c r="H2021" i="57"/>
  <c r="H2022" i="57"/>
  <c r="H2023" i="57"/>
  <c r="H2024" i="57"/>
  <c r="H2025" i="57"/>
  <c r="H2026" i="57"/>
  <c r="H2027" i="57"/>
  <c r="H2028" i="57"/>
  <c r="H2029" i="57"/>
  <c r="H2030" i="57"/>
  <c r="H2031" i="57"/>
  <c r="H2032" i="57"/>
  <c r="H2033" i="57"/>
  <c r="H2034" i="57"/>
  <c r="H2035" i="57"/>
  <c r="H2036" i="57"/>
  <c r="H2037" i="57"/>
  <c r="H2038" i="57"/>
  <c r="H2039" i="57"/>
  <c r="H2040" i="57"/>
  <c r="H2041" i="57"/>
  <c r="H2042" i="57"/>
  <c r="H2043" i="57"/>
  <c r="H2044" i="57"/>
  <c r="H2045" i="57"/>
  <c r="H2046" i="57"/>
  <c r="H2047" i="57"/>
  <c r="H2048" i="57"/>
  <c r="H2049" i="57"/>
  <c r="H2050" i="57"/>
  <c r="H2051" i="57"/>
  <c r="H2052" i="57"/>
  <c r="H2053" i="57"/>
  <c r="H2054" i="57"/>
  <c r="H2055" i="57"/>
  <c r="H2056" i="57"/>
  <c r="H2057" i="57"/>
  <c r="H2058" i="57"/>
  <c r="H2059" i="57"/>
  <c r="H2060" i="57"/>
  <c r="H2061" i="57"/>
  <c r="H2062" i="57"/>
  <c r="H2063" i="57"/>
  <c r="H2064" i="57"/>
  <c r="H2065" i="57"/>
  <c r="H2066" i="57"/>
  <c r="H2067" i="57"/>
  <c r="H2068" i="57"/>
  <c r="H2069" i="57"/>
  <c r="H2070" i="57"/>
  <c r="H2071" i="57"/>
  <c r="H2072" i="57"/>
  <c r="H2073" i="57"/>
  <c r="H2074" i="57"/>
  <c r="H2075" i="57"/>
  <c r="H2076" i="57"/>
  <c r="H2077" i="57"/>
  <c r="H2078" i="57"/>
  <c r="H2079" i="57"/>
  <c r="H2080" i="57"/>
  <c r="H2081" i="57"/>
  <c r="H2082" i="57"/>
  <c r="H2083" i="57"/>
  <c r="H2084" i="57"/>
  <c r="H2085" i="57"/>
  <c r="H2086" i="57"/>
  <c r="H2087" i="57"/>
  <c r="H2088" i="57"/>
  <c r="H2089" i="57"/>
  <c r="H2090" i="57"/>
  <c r="H2091" i="57"/>
  <c r="H2092" i="57"/>
  <c r="H2093" i="57"/>
  <c r="H2094" i="57"/>
  <c r="H2095" i="57"/>
  <c r="H2096" i="57"/>
  <c r="H2097" i="57"/>
  <c r="H2098" i="57"/>
  <c r="H2099" i="57"/>
  <c r="H2100" i="57"/>
  <c r="H2101" i="57"/>
  <c r="H2102" i="57"/>
  <c r="H2103" i="57"/>
  <c r="H2104" i="57"/>
  <c r="H2105" i="57"/>
  <c r="H2106" i="57"/>
  <c r="H2107" i="57"/>
  <c r="H2108" i="57"/>
  <c r="H2109" i="57"/>
  <c r="H2110" i="57"/>
  <c r="H2111" i="57"/>
  <c r="H2112" i="57"/>
  <c r="H2113" i="57"/>
  <c r="H2114" i="57"/>
  <c r="H2115" i="57"/>
  <c r="H2116" i="57"/>
  <c r="H2117" i="57"/>
  <c r="H2118" i="57"/>
  <c r="H2119" i="57"/>
  <c r="H2120" i="57"/>
  <c r="H2121" i="57"/>
  <c r="H2122" i="57"/>
  <c r="H2123" i="57"/>
  <c r="H2124" i="57"/>
  <c r="H2125" i="57"/>
  <c r="H2126" i="57"/>
  <c r="H2127" i="57"/>
  <c r="H2128" i="57"/>
  <c r="H2129" i="57"/>
  <c r="H2130" i="57"/>
  <c r="H2131" i="57"/>
  <c r="H2132" i="57"/>
  <c r="H2133" i="57"/>
  <c r="H2134" i="57"/>
  <c r="H2135" i="57"/>
  <c r="H2136" i="57"/>
  <c r="H2137" i="57"/>
  <c r="H2138" i="57"/>
  <c r="H2139" i="57"/>
  <c r="H2140" i="57"/>
  <c r="H2141" i="57"/>
  <c r="H2142" i="57"/>
  <c r="H2143" i="57"/>
  <c r="H2144" i="57"/>
  <c r="H2145" i="57"/>
  <c r="H2146" i="57"/>
  <c r="H2147" i="57"/>
  <c r="H2148" i="57"/>
  <c r="H2149" i="57"/>
  <c r="H2150" i="57"/>
  <c r="H2151" i="57"/>
  <c r="H2152" i="57"/>
  <c r="H2153" i="57"/>
  <c r="H2154" i="57"/>
  <c r="H2155" i="57"/>
  <c r="H2156" i="57"/>
  <c r="H2157" i="57"/>
  <c r="H2158" i="57"/>
  <c r="H2159" i="57"/>
  <c r="H2160" i="57"/>
  <c r="H2161" i="57"/>
  <c r="H2162" i="57"/>
  <c r="H2163" i="57"/>
  <c r="H2164" i="57"/>
  <c r="H2165" i="57"/>
  <c r="H2166" i="57"/>
  <c r="H2167" i="57"/>
  <c r="H2168" i="57"/>
  <c r="H2169" i="57"/>
  <c r="H2170" i="57"/>
  <c r="H2171" i="57"/>
  <c r="H2172" i="57"/>
  <c r="H2173" i="57"/>
  <c r="H2174" i="57"/>
  <c r="H2175" i="57"/>
  <c r="H2176" i="57"/>
  <c r="H2177" i="57"/>
  <c r="H2178" i="57"/>
  <c r="H2179" i="57"/>
  <c r="H2180" i="57"/>
  <c r="H2181" i="57"/>
  <c r="H2182" i="57"/>
  <c r="H2183" i="57"/>
  <c r="H2184" i="57"/>
  <c r="H2185" i="57"/>
  <c r="H2186" i="57"/>
  <c r="H2187" i="57"/>
  <c r="H2188" i="57"/>
  <c r="H2189" i="57"/>
  <c r="H2190" i="57"/>
  <c r="H2191" i="57"/>
  <c r="H2192" i="57"/>
  <c r="H2193" i="57"/>
  <c r="H2194" i="57"/>
  <c r="H2195" i="57"/>
  <c r="H2196" i="57"/>
  <c r="H2197" i="57"/>
  <c r="H2198" i="57"/>
  <c r="H2199" i="57"/>
  <c r="H2200" i="57"/>
  <c r="H2201" i="57"/>
  <c r="H2202" i="57"/>
  <c r="H2203" i="57"/>
  <c r="H2204" i="57"/>
  <c r="H2205" i="57"/>
  <c r="H2206" i="57"/>
  <c r="H2207" i="57"/>
  <c r="H2208" i="57"/>
  <c r="H2209" i="57"/>
  <c r="H2210" i="57"/>
  <c r="H2211" i="57"/>
  <c r="H2212" i="57"/>
  <c r="H2213" i="57"/>
  <c r="H2214" i="57"/>
  <c r="H2215" i="57"/>
  <c r="H2216" i="57"/>
  <c r="H2217" i="57"/>
  <c r="H2218" i="57"/>
  <c r="H2219" i="57"/>
  <c r="H2220" i="57"/>
  <c r="H2221" i="57"/>
  <c r="H2222" i="57"/>
  <c r="H2223" i="57"/>
  <c r="H2224" i="57"/>
  <c r="H2225" i="57"/>
  <c r="H2226" i="57"/>
  <c r="H2227" i="57"/>
  <c r="H2228" i="57"/>
  <c r="H2229" i="57"/>
  <c r="H2230" i="57"/>
  <c r="H2231" i="57"/>
  <c r="H2232" i="57"/>
  <c r="H2233" i="57"/>
  <c r="H2234" i="57"/>
  <c r="H2235" i="57"/>
  <c r="H2236" i="57"/>
  <c r="H2237" i="57"/>
  <c r="H2238" i="57"/>
  <c r="H2239" i="57"/>
  <c r="H2240" i="57"/>
  <c r="H2241" i="57"/>
  <c r="H2242" i="57"/>
  <c r="H2243" i="57"/>
  <c r="H2244" i="57"/>
  <c r="H2245" i="57"/>
  <c r="H2246" i="57"/>
  <c r="H2247" i="57"/>
  <c r="H2248" i="57"/>
  <c r="H2249" i="57"/>
  <c r="H2250" i="57"/>
  <c r="H2251" i="57"/>
  <c r="H2252" i="57"/>
  <c r="H2253" i="57"/>
  <c r="H2254" i="57"/>
  <c r="H2255" i="57"/>
  <c r="H2256" i="57"/>
  <c r="H2257" i="57"/>
  <c r="H2258" i="57"/>
  <c r="H2259" i="57"/>
  <c r="H2260" i="57"/>
  <c r="H2261" i="57"/>
  <c r="H2262" i="57"/>
  <c r="H2263" i="57"/>
  <c r="H2264" i="57"/>
  <c r="H2265" i="57"/>
  <c r="H2266" i="57"/>
  <c r="H2267" i="57"/>
  <c r="H2268" i="57"/>
  <c r="H2269" i="57"/>
  <c r="H2270" i="57"/>
  <c r="H2271" i="57"/>
  <c r="H2272" i="57"/>
  <c r="H2273" i="57"/>
  <c r="H2274" i="57"/>
  <c r="H2275" i="57"/>
  <c r="H2276" i="57"/>
  <c r="H2277" i="57"/>
  <c r="H2278" i="57"/>
  <c r="H2279" i="57"/>
  <c r="H2280" i="57"/>
  <c r="H2281" i="57"/>
  <c r="H2282" i="57"/>
  <c r="H2283" i="57"/>
  <c r="H2284" i="57"/>
  <c r="H2285" i="57"/>
  <c r="H2286" i="57"/>
  <c r="H2287" i="57"/>
  <c r="H2288" i="57"/>
  <c r="H2289" i="57"/>
  <c r="H2290" i="57"/>
  <c r="H2291" i="57"/>
  <c r="H2292" i="57"/>
  <c r="H2293" i="57"/>
  <c r="H2294" i="57"/>
  <c r="H2295" i="57"/>
  <c r="H2296" i="57"/>
  <c r="H2297" i="57"/>
  <c r="H2298" i="57"/>
  <c r="H2299" i="57"/>
  <c r="H2300" i="57"/>
  <c r="H2301" i="57"/>
  <c r="H2302" i="57"/>
  <c r="H2303" i="57"/>
  <c r="H2304" i="57"/>
  <c r="H2305" i="57"/>
  <c r="H2306" i="57"/>
  <c r="H2307" i="57"/>
  <c r="H2308" i="57"/>
  <c r="H2309" i="57"/>
  <c r="H2310" i="57"/>
  <c r="H2311" i="57"/>
  <c r="H2312" i="57"/>
  <c r="H2313" i="57"/>
  <c r="H2314" i="57"/>
  <c r="H2315" i="57"/>
  <c r="H2316" i="57"/>
  <c r="H2317" i="57"/>
  <c r="H2318" i="57"/>
  <c r="H2319" i="57"/>
  <c r="H2320" i="57"/>
  <c r="H2321" i="57"/>
  <c r="H2322" i="57"/>
  <c r="H2323" i="57"/>
  <c r="H2324" i="57"/>
  <c r="H2325" i="57"/>
  <c r="H2326" i="57"/>
  <c r="H2327" i="57"/>
  <c r="H2328" i="57"/>
  <c r="H2329" i="57"/>
  <c r="H2330" i="57"/>
  <c r="H2331" i="57"/>
  <c r="H2332" i="57"/>
  <c r="H2333" i="57"/>
  <c r="H2334" i="57"/>
  <c r="H2335" i="57"/>
  <c r="H2336" i="57"/>
  <c r="H2337" i="57"/>
  <c r="H2338" i="57"/>
  <c r="H2339" i="57"/>
  <c r="H2340" i="57"/>
  <c r="H2341" i="57"/>
  <c r="H2342" i="57"/>
  <c r="H2343" i="57"/>
  <c r="H2344" i="57"/>
  <c r="H2345" i="57"/>
  <c r="H2346" i="57"/>
  <c r="H2347" i="57"/>
  <c r="H2348" i="57"/>
  <c r="H2349" i="57"/>
  <c r="H2350" i="57"/>
  <c r="H2351" i="57"/>
  <c r="H2352" i="57"/>
  <c r="H2353" i="57"/>
  <c r="H2354" i="57"/>
  <c r="H2355" i="57"/>
  <c r="H2356" i="57"/>
  <c r="H2357" i="57"/>
  <c r="H2358" i="57"/>
  <c r="H2359" i="57"/>
  <c r="H2360" i="57"/>
  <c r="H2361" i="57"/>
  <c r="H2362" i="57"/>
  <c r="H2363" i="57"/>
  <c r="H2364" i="57"/>
  <c r="H2365" i="57"/>
  <c r="H2366" i="57"/>
  <c r="H2367" i="57"/>
  <c r="H2368" i="57"/>
  <c r="H2369" i="57"/>
  <c r="H2370" i="57"/>
  <c r="H2371" i="57"/>
  <c r="H2372" i="57"/>
  <c r="H2373" i="57"/>
  <c r="H2374" i="57"/>
  <c r="H2375" i="57"/>
  <c r="H2376" i="57"/>
  <c r="H2377" i="57"/>
  <c r="H2378" i="57"/>
  <c r="H2379" i="57"/>
  <c r="H2380" i="57"/>
  <c r="H2381" i="57"/>
  <c r="H2382" i="57"/>
  <c r="H2383" i="57"/>
  <c r="H2384" i="57"/>
  <c r="H2385" i="57"/>
  <c r="H2386" i="57"/>
  <c r="H2387" i="57"/>
  <c r="H2388" i="57"/>
  <c r="H2389" i="57"/>
  <c r="H2390" i="57"/>
  <c r="H2391" i="57"/>
  <c r="H2392" i="57"/>
  <c r="H2393" i="57"/>
  <c r="H2394" i="57"/>
  <c r="H2395" i="57"/>
  <c r="H2396" i="57"/>
  <c r="H2397" i="57"/>
  <c r="H2398" i="57"/>
  <c r="H2399" i="57"/>
  <c r="H2400" i="57"/>
  <c r="H2401" i="57"/>
  <c r="H2402" i="57"/>
  <c r="H2403" i="57"/>
  <c r="H2404" i="57"/>
  <c r="H2405" i="57"/>
  <c r="H2406" i="57"/>
  <c r="H2407" i="57"/>
  <c r="H2408" i="57"/>
  <c r="H2409" i="57"/>
  <c r="H2410" i="57"/>
  <c r="H2411" i="57"/>
  <c r="H2412" i="57"/>
  <c r="H2413" i="57"/>
  <c r="H2414" i="57"/>
  <c r="H2415" i="57"/>
  <c r="H2416" i="57"/>
  <c r="H2417" i="57"/>
  <c r="H2418" i="57"/>
  <c r="H2419" i="57"/>
  <c r="H2420" i="57"/>
  <c r="H2421" i="57"/>
  <c r="H2422" i="57"/>
  <c r="H2423" i="57"/>
  <c r="H2424" i="57"/>
  <c r="H2425" i="57"/>
  <c r="H2426" i="57"/>
  <c r="H2427" i="57"/>
  <c r="H2428" i="57"/>
  <c r="H2429" i="57"/>
  <c r="H2430" i="57"/>
  <c r="H2431" i="57"/>
  <c r="H2432" i="57"/>
  <c r="H2433" i="57"/>
  <c r="H2434" i="57"/>
  <c r="H2435" i="57"/>
  <c r="H2436" i="57"/>
  <c r="H2437" i="57"/>
  <c r="H2438" i="57"/>
  <c r="H2439" i="57"/>
  <c r="H2440" i="57"/>
  <c r="H2441" i="57"/>
  <c r="H2442" i="57"/>
  <c r="H2443" i="57"/>
  <c r="H2444" i="57"/>
  <c r="H2445" i="57"/>
  <c r="H2446" i="57"/>
  <c r="H2447" i="57"/>
  <c r="H2448" i="57"/>
  <c r="H2449" i="57"/>
  <c r="H2450" i="57"/>
  <c r="H2451" i="57"/>
  <c r="H2452" i="57"/>
  <c r="H2453" i="57"/>
  <c r="H2454" i="57"/>
  <c r="H2455" i="57"/>
  <c r="H2456" i="57"/>
  <c r="H2457" i="57"/>
  <c r="H2458" i="57"/>
  <c r="H2459" i="57"/>
  <c r="H2460" i="57"/>
  <c r="H2461" i="57"/>
  <c r="H2462" i="57"/>
  <c r="H2463" i="57"/>
  <c r="H2464" i="57"/>
  <c r="H2465" i="57"/>
  <c r="H2466" i="57"/>
  <c r="H2467" i="57"/>
  <c r="H2468" i="57"/>
  <c r="H2469" i="57"/>
  <c r="H2470" i="57"/>
  <c r="H2471" i="57"/>
  <c r="H2472" i="57"/>
  <c r="H2473" i="57"/>
  <c r="H2474" i="57"/>
  <c r="H2475" i="57"/>
  <c r="H2476" i="57"/>
  <c r="H2477" i="57"/>
  <c r="H2478" i="57"/>
  <c r="H2479" i="57"/>
  <c r="H2480" i="57"/>
  <c r="H2481" i="57"/>
  <c r="A1446" i="57"/>
  <c r="C1446" i="57" s="1"/>
  <c r="A1447" i="57"/>
  <c r="C1447" i="57" s="1"/>
  <c r="A1448" i="57"/>
  <c r="C1448" i="57" s="1"/>
  <c r="A1449" i="57"/>
  <c r="C1449" i="57" s="1"/>
  <c r="A1450" i="57"/>
  <c r="C1450" i="57" s="1"/>
  <c r="A1451" i="57"/>
  <c r="C1451" i="57" s="1"/>
  <c r="A1452" i="57"/>
  <c r="A1453" i="57"/>
  <c r="C1453" i="57" s="1"/>
  <c r="A1454" i="57"/>
  <c r="C1454" i="57" s="1"/>
  <c r="A1455" i="57"/>
  <c r="C1455" i="57" s="1"/>
  <c r="A12" i="57"/>
  <c r="C12" i="57" s="1"/>
  <c r="A13" i="57"/>
  <c r="C13" i="57" s="1"/>
  <c r="A14" i="57"/>
  <c r="C14" i="57" s="1"/>
  <c r="A16" i="57"/>
  <c r="C16" i="57" s="1"/>
  <c r="A17" i="57"/>
  <c r="C17" i="57" s="1"/>
  <c r="A18" i="57"/>
  <c r="C18" i="57" s="1"/>
  <c r="A19" i="57"/>
  <c r="C19" i="57" s="1"/>
  <c r="A20" i="57"/>
  <c r="C20" i="57" s="1"/>
  <c r="A21" i="57"/>
  <c r="C21" i="57" s="1"/>
  <c r="A22" i="57"/>
  <c r="C22" i="57" s="1"/>
  <c r="A23" i="57"/>
  <c r="C23" i="57" s="1"/>
  <c r="A24" i="57"/>
  <c r="C24" i="57" s="1"/>
  <c r="A25" i="57"/>
  <c r="C25" i="57" s="1"/>
  <c r="A26" i="57"/>
  <c r="C26" i="57" s="1"/>
  <c r="A27" i="57"/>
  <c r="C27" i="57" s="1"/>
  <c r="A28" i="57"/>
  <c r="C28" i="57" s="1"/>
  <c r="A29" i="57"/>
  <c r="C29" i="57" s="1"/>
  <c r="A30" i="57"/>
  <c r="C30" i="57" s="1"/>
  <c r="A31" i="57"/>
  <c r="A32" i="57"/>
  <c r="C32" i="57" s="1"/>
  <c r="A33" i="57"/>
  <c r="C33" i="57" s="1"/>
  <c r="A34" i="57"/>
  <c r="C34" i="57" s="1"/>
  <c r="A35" i="57"/>
  <c r="C35" i="57" s="1"/>
  <c r="A36" i="57"/>
  <c r="C36" i="57" s="1"/>
  <c r="A37" i="57"/>
  <c r="C37" i="57" s="1"/>
  <c r="A38" i="57"/>
  <c r="C38" i="57" s="1"/>
  <c r="A39" i="57"/>
  <c r="C39" i="57" s="1"/>
  <c r="A40" i="57"/>
  <c r="C40" i="57" s="1"/>
  <c r="A41" i="57"/>
  <c r="C41" i="57" s="1"/>
  <c r="A42" i="57"/>
  <c r="C42" i="57" s="1"/>
  <c r="A43" i="57"/>
  <c r="A44" i="57"/>
  <c r="C44" i="57" s="1"/>
  <c r="A45" i="57"/>
  <c r="C45" i="57" s="1"/>
  <c r="A46" i="57"/>
  <c r="C46" i="57" s="1"/>
  <c r="A47" i="57"/>
  <c r="C47" i="57" s="1"/>
  <c r="A48" i="57"/>
  <c r="C48" i="57" s="1"/>
  <c r="A49" i="57"/>
  <c r="C49" i="57" s="1"/>
  <c r="A50" i="57"/>
  <c r="C50" i="57" s="1"/>
  <c r="A51" i="57"/>
  <c r="C51" i="57" s="1"/>
  <c r="A52" i="57"/>
  <c r="C52" i="57" s="1"/>
  <c r="A53" i="57"/>
  <c r="C53" i="57" s="1"/>
  <c r="A54" i="57"/>
  <c r="C54" i="57" s="1"/>
  <c r="A55" i="57"/>
  <c r="A56" i="57"/>
  <c r="C56" i="57" s="1"/>
  <c r="A57" i="57"/>
  <c r="C57" i="57" s="1"/>
  <c r="A58" i="57"/>
  <c r="C58" i="57" s="1"/>
  <c r="A59" i="57"/>
  <c r="C59" i="57" s="1"/>
  <c r="A60" i="57"/>
  <c r="C60" i="57" s="1"/>
  <c r="A61" i="57"/>
  <c r="A62" i="57"/>
  <c r="C62" i="57" s="1"/>
  <c r="A63" i="57"/>
  <c r="C63" i="57" s="1"/>
  <c r="A64" i="57"/>
  <c r="C64" i="57" s="1"/>
  <c r="A65" i="57"/>
  <c r="C65" i="57" s="1"/>
  <c r="A66" i="57"/>
  <c r="C66" i="57" s="1"/>
  <c r="A67" i="57"/>
  <c r="C67" i="57" s="1"/>
  <c r="A68" i="57"/>
  <c r="C68" i="57" s="1"/>
  <c r="A69" i="57"/>
  <c r="C69" i="57" s="1"/>
  <c r="A70" i="57"/>
  <c r="C70" i="57" s="1"/>
  <c r="A71" i="57"/>
  <c r="C71" i="57" s="1"/>
  <c r="A72" i="57"/>
  <c r="C72" i="57" s="1"/>
  <c r="A73" i="57"/>
  <c r="A74" i="57"/>
  <c r="C74" i="57" s="1"/>
  <c r="A75" i="57"/>
  <c r="C75" i="57" s="1"/>
  <c r="A76" i="57"/>
  <c r="C76" i="57" s="1"/>
  <c r="A77" i="57"/>
  <c r="C77" i="57" s="1"/>
  <c r="A78" i="57"/>
  <c r="C78" i="57" s="1"/>
  <c r="A79" i="57"/>
  <c r="A80" i="57"/>
  <c r="C80" i="57" s="1"/>
  <c r="A81" i="57"/>
  <c r="C81" i="57" s="1"/>
  <c r="A82" i="57"/>
  <c r="C82" i="57" s="1"/>
  <c r="A83" i="57"/>
  <c r="C83" i="57" s="1"/>
  <c r="A84" i="57"/>
  <c r="C84" i="57" s="1"/>
  <c r="A85" i="57"/>
  <c r="A86" i="57"/>
  <c r="C86" i="57" s="1"/>
  <c r="A87" i="57"/>
  <c r="C87" i="57" s="1"/>
  <c r="A88" i="57"/>
  <c r="C88" i="57" s="1"/>
  <c r="A89" i="57"/>
  <c r="C89" i="57" s="1"/>
  <c r="A90" i="57"/>
  <c r="C90" i="57" s="1"/>
  <c r="A91" i="57"/>
  <c r="A92" i="57"/>
  <c r="C92" i="57" s="1"/>
  <c r="A93" i="57"/>
  <c r="C93" i="57" s="1"/>
  <c r="A94" i="57"/>
  <c r="C94" i="57" s="1"/>
  <c r="A95" i="57"/>
  <c r="C95" i="57" s="1"/>
  <c r="A96" i="57"/>
  <c r="A97" i="57"/>
  <c r="A98" i="57"/>
  <c r="C98" i="57" s="1"/>
  <c r="A99" i="57"/>
  <c r="C99" i="57" s="1"/>
  <c r="A100" i="57"/>
  <c r="C100" i="57" s="1"/>
  <c r="A101" i="57"/>
  <c r="C101" i="57" s="1"/>
  <c r="A102" i="57"/>
  <c r="C102" i="57" s="1"/>
  <c r="A103" i="57"/>
  <c r="A104" i="57"/>
  <c r="C104" i="57" s="1"/>
  <c r="A105" i="57"/>
  <c r="C105" i="57" s="1"/>
  <c r="A106" i="57"/>
  <c r="C106" i="57" s="1"/>
  <c r="A107" i="57"/>
  <c r="C107" i="57" s="1"/>
  <c r="A108" i="57"/>
  <c r="C108" i="57" s="1"/>
  <c r="A109" i="57"/>
  <c r="A110" i="57"/>
  <c r="C110" i="57" s="1"/>
  <c r="A111" i="57"/>
  <c r="C111" i="57" s="1"/>
  <c r="A112" i="57"/>
  <c r="C112" i="57" s="1"/>
  <c r="A113" i="57"/>
  <c r="C113" i="57" s="1"/>
  <c r="A114" i="57"/>
  <c r="C114" i="57" s="1"/>
  <c r="A115" i="57"/>
  <c r="C115" i="57" s="1"/>
  <c r="A116" i="57"/>
  <c r="C116" i="57" s="1"/>
  <c r="A117" i="57"/>
  <c r="C117" i="57" s="1"/>
  <c r="A118" i="57"/>
  <c r="C118" i="57" s="1"/>
  <c r="A119" i="57"/>
  <c r="C119" i="57" s="1"/>
  <c r="A120" i="57"/>
  <c r="C120" i="57" s="1"/>
  <c r="A121" i="57"/>
  <c r="A122" i="57"/>
  <c r="C122" i="57" s="1"/>
  <c r="A123" i="57"/>
  <c r="C123" i="57" s="1"/>
  <c r="A124" i="57"/>
  <c r="C124" i="57" s="1"/>
  <c r="A125" i="57"/>
  <c r="C125" i="57" s="1"/>
  <c r="A126" i="57"/>
  <c r="C126" i="57" s="1"/>
  <c r="A127" i="57"/>
  <c r="A128" i="57"/>
  <c r="C128" i="57" s="1"/>
  <c r="A129" i="57"/>
  <c r="C129" i="57" s="1"/>
  <c r="A130" i="57"/>
  <c r="C130" i="57" s="1"/>
  <c r="A131" i="57"/>
  <c r="C131" i="57" s="1"/>
  <c r="A132" i="57"/>
  <c r="C132" i="57" s="1"/>
  <c r="A133" i="57"/>
  <c r="C133" i="57" s="1"/>
  <c r="A134" i="57"/>
  <c r="C134" i="57" s="1"/>
  <c r="A135" i="57"/>
  <c r="C135" i="57" s="1"/>
  <c r="A136" i="57"/>
  <c r="C136" i="57" s="1"/>
  <c r="A137" i="57"/>
  <c r="C137" i="57" s="1"/>
  <c r="A138" i="57"/>
  <c r="C138" i="57" s="1"/>
  <c r="A139" i="57"/>
  <c r="A140" i="57"/>
  <c r="C140" i="57" s="1"/>
  <c r="A141" i="57"/>
  <c r="C141" i="57" s="1"/>
  <c r="A142" i="57"/>
  <c r="C142" i="57" s="1"/>
  <c r="A143" i="57"/>
  <c r="C143" i="57" s="1"/>
  <c r="A144" i="57"/>
  <c r="C144" i="57" s="1"/>
  <c r="A145" i="57"/>
  <c r="A146" i="57"/>
  <c r="C146" i="57" s="1"/>
  <c r="A147" i="57"/>
  <c r="C147" i="57" s="1"/>
  <c r="A148" i="57"/>
  <c r="C148" i="57" s="1"/>
  <c r="A149" i="57"/>
  <c r="C149" i="57" s="1"/>
  <c r="A150" i="57"/>
  <c r="C150" i="57" s="1"/>
  <c r="A151" i="57"/>
  <c r="A152" i="57"/>
  <c r="C152" i="57" s="1"/>
  <c r="A153" i="57"/>
  <c r="C153" i="57" s="1"/>
  <c r="A154" i="57"/>
  <c r="C154" i="57" s="1"/>
  <c r="A155" i="57"/>
  <c r="C155" i="57" s="1"/>
  <c r="A156" i="57"/>
  <c r="C156" i="57" s="1"/>
  <c r="A157" i="57"/>
  <c r="A158" i="57"/>
  <c r="C158" i="57" s="1"/>
  <c r="A159" i="57"/>
  <c r="C159" i="57" s="1"/>
  <c r="A160" i="57"/>
  <c r="C160" i="57" s="1"/>
  <c r="A161" i="57"/>
  <c r="C161" i="57" s="1"/>
  <c r="A162" i="57"/>
  <c r="C162" i="57" s="1"/>
  <c r="A163" i="57"/>
  <c r="A164" i="57"/>
  <c r="C164" i="57" s="1"/>
  <c r="A165" i="57"/>
  <c r="C165" i="57" s="1"/>
  <c r="A166" i="57"/>
  <c r="C166" i="57" s="1"/>
  <c r="A167" i="57"/>
  <c r="C167" i="57" s="1"/>
  <c r="A168" i="57"/>
  <c r="C168" i="57" s="1"/>
  <c r="A169" i="57"/>
  <c r="A170" i="57"/>
  <c r="C170" i="57" s="1"/>
  <c r="A171" i="57"/>
  <c r="C171" i="57" s="1"/>
  <c r="A172" i="57"/>
  <c r="C172" i="57" s="1"/>
  <c r="A173" i="57"/>
  <c r="C173" i="57" s="1"/>
  <c r="A174" i="57"/>
  <c r="C174" i="57" s="1"/>
  <c r="A175" i="57"/>
  <c r="A176" i="57"/>
  <c r="C176" i="57" s="1"/>
  <c r="A177" i="57"/>
  <c r="C177" i="57" s="1"/>
  <c r="A178" i="57"/>
  <c r="C178" i="57" s="1"/>
  <c r="A179" i="57"/>
  <c r="C179" i="57" s="1"/>
  <c r="A180" i="57"/>
  <c r="C180" i="57" s="1"/>
  <c r="A181" i="57"/>
  <c r="C181" i="57" s="1"/>
  <c r="A182" i="57"/>
  <c r="C182" i="57" s="1"/>
  <c r="A183" i="57"/>
  <c r="C183" i="57" s="1"/>
  <c r="A184" i="57"/>
  <c r="C184" i="57" s="1"/>
  <c r="A185" i="57"/>
  <c r="C185" i="57" s="1"/>
  <c r="A186" i="57"/>
  <c r="A187" i="57"/>
  <c r="A188" i="57"/>
  <c r="C188" i="57" s="1"/>
  <c r="A189" i="57"/>
  <c r="C189" i="57" s="1"/>
  <c r="A190" i="57"/>
  <c r="C190" i="57" s="1"/>
  <c r="A191" i="57"/>
  <c r="C191" i="57" s="1"/>
  <c r="A192" i="57"/>
  <c r="C192" i="57" s="1"/>
  <c r="A193" i="57"/>
  <c r="A194" i="57"/>
  <c r="C194" i="57" s="1"/>
  <c r="A195" i="57"/>
  <c r="C195" i="57" s="1"/>
  <c r="A196" i="57"/>
  <c r="C196" i="57" s="1"/>
  <c r="A197" i="57"/>
  <c r="C197" i="57" s="1"/>
  <c r="A198" i="57"/>
  <c r="A199" i="57"/>
  <c r="A200" i="57"/>
  <c r="C200" i="57" s="1"/>
  <c r="A201" i="57"/>
  <c r="C201" i="57" s="1"/>
  <c r="A202" i="57"/>
  <c r="C202" i="57" s="1"/>
  <c r="A203" i="57"/>
  <c r="C203" i="57" s="1"/>
  <c r="A204" i="57"/>
  <c r="C204" i="57" s="1"/>
  <c r="A205" i="57"/>
  <c r="C205" i="57" s="1"/>
  <c r="A206" i="57"/>
  <c r="C206" i="57" s="1"/>
  <c r="A207" i="57"/>
  <c r="C207" i="57" s="1"/>
  <c r="A208" i="57"/>
  <c r="C208" i="57" s="1"/>
  <c r="A209" i="57"/>
  <c r="C209" i="57" s="1"/>
  <c r="A210" i="57"/>
  <c r="C210" i="57" s="1"/>
  <c r="A211" i="57"/>
  <c r="A212" i="57"/>
  <c r="C212" i="57" s="1"/>
  <c r="A213" i="57"/>
  <c r="C213" i="57" s="1"/>
  <c r="A214" i="57"/>
  <c r="C214" i="57" s="1"/>
  <c r="A215" i="57"/>
  <c r="C215" i="57" s="1"/>
  <c r="A216" i="57"/>
  <c r="C216" i="57" s="1"/>
  <c r="A217" i="57"/>
  <c r="A218" i="57"/>
  <c r="C218" i="57" s="1"/>
  <c r="A219" i="57"/>
  <c r="C219" i="57" s="1"/>
  <c r="A220" i="57"/>
  <c r="C220" i="57" s="1"/>
  <c r="A221" i="57"/>
  <c r="C221" i="57" s="1"/>
  <c r="A222" i="57"/>
  <c r="C222" i="57" s="1"/>
  <c r="A223" i="57"/>
  <c r="A224" i="57"/>
  <c r="C224" i="57" s="1"/>
  <c r="A225" i="57"/>
  <c r="C225" i="57" s="1"/>
  <c r="A226" i="57"/>
  <c r="C226" i="57" s="1"/>
  <c r="A227" i="57"/>
  <c r="C227" i="57" s="1"/>
  <c r="A228" i="57"/>
  <c r="A229" i="57"/>
  <c r="C229" i="57" s="1"/>
  <c r="A230" i="57"/>
  <c r="C230" i="57" s="1"/>
  <c r="A231" i="57"/>
  <c r="C231" i="57" s="1"/>
  <c r="A232" i="57"/>
  <c r="C232" i="57" s="1"/>
  <c r="A233" i="57"/>
  <c r="C233" i="57" s="1"/>
  <c r="A234" i="57"/>
  <c r="C234" i="57" s="1"/>
  <c r="A235" i="57"/>
  <c r="A236" i="57"/>
  <c r="C236" i="57" s="1"/>
  <c r="A237" i="57"/>
  <c r="C237" i="57" s="1"/>
  <c r="A238" i="57"/>
  <c r="C238" i="57" s="1"/>
  <c r="A239" i="57"/>
  <c r="C239" i="57" s="1"/>
  <c r="A240" i="57"/>
  <c r="C240" i="57" s="1"/>
  <c r="A241" i="57"/>
  <c r="A242" i="57"/>
  <c r="C242" i="57" s="1"/>
  <c r="A243" i="57"/>
  <c r="C243" i="57" s="1"/>
  <c r="A244" i="57"/>
  <c r="C244" i="57" s="1"/>
  <c r="A245" i="57"/>
  <c r="C245" i="57" s="1"/>
  <c r="A246" i="57"/>
  <c r="C246" i="57" s="1"/>
  <c r="A247" i="57"/>
  <c r="A248" i="57"/>
  <c r="C248" i="57" s="1"/>
  <c r="A249" i="57"/>
  <c r="C249" i="57" s="1"/>
  <c r="A250" i="57"/>
  <c r="C250" i="57" s="1"/>
  <c r="A251" i="57"/>
  <c r="C251" i="57" s="1"/>
  <c r="A252" i="57"/>
  <c r="C252" i="57" s="1"/>
  <c r="A253" i="57"/>
  <c r="A254" i="57"/>
  <c r="C254" i="57" s="1"/>
  <c r="A255" i="57"/>
  <c r="C255" i="57" s="1"/>
  <c r="A256" i="57"/>
  <c r="C256" i="57" s="1"/>
  <c r="A257" i="57"/>
  <c r="C257" i="57" s="1"/>
  <c r="A258" i="57"/>
  <c r="C258" i="57" s="1"/>
  <c r="A259" i="57"/>
  <c r="A260" i="57"/>
  <c r="C260" i="57" s="1"/>
  <c r="A261" i="57"/>
  <c r="C261" i="57" s="1"/>
  <c r="A262" i="57"/>
  <c r="C262" i="57" s="1"/>
  <c r="A263" i="57"/>
  <c r="C263" i="57" s="1"/>
  <c r="A264" i="57"/>
  <c r="C264" i="57" s="1"/>
  <c r="A265" i="57"/>
  <c r="A266" i="57"/>
  <c r="C266" i="57" s="1"/>
  <c r="A267" i="57"/>
  <c r="C267" i="57" s="1"/>
  <c r="A268" i="57"/>
  <c r="C268" i="57" s="1"/>
  <c r="A269" i="57"/>
  <c r="C269" i="57" s="1"/>
  <c r="A270" i="57"/>
  <c r="C270" i="57" s="1"/>
  <c r="A271" i="57"/>
  <c r="C271" i="57" s="1"/>
  <c r="A272" i="57"/>
  <c r="C272" i="57" s="1"/>
  <c r="A273" i="57"/>
  <c r="C273" i="57" s="1"/>
  <c r="A274" i="57"/>
  <c r="C274" i="57" s="1"/>
  <c r="A275" i="57"/>
  <c r="C275" i="57" s="1"/>
  <c r="A276" i="57"/>
  <c r="C276" i="57" s="1"/>
  <c r="A277" i="57"/>
  <c r="A278" i="57"/>
  <c r="C278" i="57" s="1"/>
  <c r="A279" i="57"/>
  <c r="C279" i="57" s="1"/>
  <c r="A280" i="57"/>
  <c r="C280" i="57" s="1"/>
  <c r="A281" i="57"/>
  <c r="C281" i="57" s="1"/>
  <c r="A282" i="57"/>
  <c r="C282" i="57" s="1"/>
  <c r="A283" i="57"/>
  <c r="A284" i="57"/>
  <c r="C284" i="57" s="1"/>
  <c r="A285" i="57"/>
  <c r="C285" i="57" s="1"/>
  <c r="A286" i="57"/>
  <c r="C286" i="57" s="1"/>
  <c r="A287" i="57"/>
  <c r="C287" i="57" s="1"/>
  <c r="A288" i="57"/>
  <c r="C288" i="57" s="1"/>
  <c r="A289" i="57"/>
  <c r="A290" i="57"/>
  <c r="C290" i="57" s="1"/>
  <c r="A291" i="57"/>
  <c r="C291" i="57" s="1"/>
  <c r="A292" i="57"/>
  <c r="C292" i="57" s="1"/>
  <c r="A293" i="57"/>
  <c r="C293" i="57" s="1"/>
  <c r="A294" i="57"/>
  <c r="C294" i="57" s="1"/>
  <c r="A295" i="57"/>
  <c r="A296" i="57"/>
  <c r="C296" i="57" s="1"/>
  <c r="A297" i="57"/>
  <c r="C297" i="57" s="1"/>
  <c r="A298" i="57"/>
  <c r="C298" i="57" s="1"/>
  <c r="A299" i="57"/>
  <c r="C299" i="57" s="1"/>
  <c r="A300" i="57"/>
  <c r="C300" i="57" s="1"/>
  <c r="A301" i="57"/>
  <c r="C301" i="57" s="1"/>
  <c r="A302" i="57"/>
  <c r="C302" i="57" s="1"/>
  <c r="A303" i="57"/>
  <c r="C303" i="57" s="1"/>
  <c r="A304" i="57"/>
  <c r="C304" i="57" s="1"/>
  <c r="A305" i="57"/>
  <c r="C305" i="57" s="1"/>
  <c r="A306" i="57"/>
  <c r="C306" i="57" s="1"/>
  <c r="A307" i="57"/>
  <c r="A308" i="57"/>
  <c r="C308" i="57" s="1"/>
  <c r="A309" i="57"/>
  <c r="C309" i="57" s="1"/>
  <c r="A310" i="57"/>
  <c r="C310" i="57" s="1"/>
  <c r="A311" i="57"/>
  <c r="C311" i="57" s="1"/>
  <c r="A312" i="57"/>
  <c r="C312" i="57" s="1"/>
  <c r="A313" i="57"/>
  <c r="A314" i="57"/>
  <c r="C314" i="57" s="1"/>
  <c r="A315" i="57"/>
  <c r="C315" i="57" s="1"/>
  <c r="A316" i="57"/>
  <c r="C316" i="57" s="1"/>
  <c r="A317" i="57"/>
  <c r="C317" i="57" s="1"/>
  <c r="A318" i="57"/>
  <c r="C318" i="57" s="1"/>
  <c r="A319" i="57"/>
  <c r="A320" i="57"/>
  <c r="C320" i="57" s="1"/>
  <c r="A321" i="57"/>
  <c r="C321" i="57" s="1"/>
  <c r="A322" i="57"/>
  <c r="C322" i="57" s="1"/>
  <c r="A323" i="57"/>
  <c r="C323" i="57" s="1"/>
  <c r="A324" i="57"/>
  <c r="C324" i="57" s="1"/>
  <c r="A325" i="57"/>
  <c r="A326" i="57"/>
  <c r="C326" i="57" s="1"/>
  <c r="A327" i="57"/>
  <c r="C327" i="57" s="1"/>
  <c r="A328" i="57"/>
  <c r="C328" i="57" s="1"/>
  <c r="A329" i="57"/>
  <c r="C329" i="57" s="1"/>
  <c r="A330" i="57"/>
  <c r="C330" i="57" s="1"/>
  <c r="A331" i="57"/>
  <c r="A332" i="57"/>
  <c r="C332" i="57" s="1"/>
  <c r="A333" i="57"/>
  <c r="C333" i="57" s="1"/>
  <c r="A334" i="57"/>
  <c r="C334" i="57" s="1"/>
  <c r="A335" i="57"/>
  <c r="C335" i="57" s="1"/>
  <c r="A336" i="57"/>
  <c r="C336" i="57" s="1"/>
  <c r="A337" i="57"/>
  <c r="A338" i="57"/>
  <c r="C338" i="57" s="1"/>
  <c r="A339" i="57"/>
  <c r="C339" i="57" s="1"/>
  <c r="A340" i="57"/>
  <c r="C340" i="57" s="1"/>
  <c r="A341" i="57"/>
  <c r="C341" i="57" s="1"/>
  <c r="A342" i="57"/>
  <c r="C342" i="57" s="1"/>
  <c r="A343" i="57"/>
  <c r="A344" i="57"/>
  <c r="C344" i="57" s="1"/>
  <c r="A345" i="57"/>
  <c r="C345" i="57" s="1"/>
  <c r="A346" i="57"/>
  <c r="C346" i="57" s="1"/>
  <c r="A347" i="57"/>
  <c r="C347" i="57" s="1"/>
  <c r="A348" i="57"/>
  <c r="A349" i="57"/>
  <c r="A350" i="57"/>
  <c r="C350" i="57" s="1"/>
  <c r="A351" i="57"/>
  <c r="C351" i="57" s="1"/>
  <c r="A352" i="57"/>
  <c r="C352" i="57" s="1"/>
  <c r="A353" i="57"/>
  <c r="C353" i="57" s="1"/>
  <c r="A354" i="57"/>
  <c r="C354" i="57" s="1"/>
  <c r="A355" i="57"/>
  <c r="A356" i="57"/>
  <c r="C356" i="57" s="1"/>
  <c r="A357" i="57"/>
  <c r="C357" i="57" s="1"/>
  <c r="A358" i="57"/>
  <c r="C358" i="57" s="1"/>
  <c r="A359" i="57"/>
  <c r="C359" i="57" s="1"/>
  <c r="A360" i="57"/>
  <c r="C360" i="57" s="1"/>
  <c r="A361" i="57"/>
  <c r="A362" i="57"/>
  <c r="C362" i="57" s="1"/>
  <c r="A363" i="57"/>
  <c r="C363" i="57" s="1"/>
  <c r="A364" i="57"/>
  <c r="C364" i="57" s="1"/>
  <c r="A365" i="57"/>
  <c r="C365" i="57" s="1"/>
  <c r="A366" i="57"/>
  <c r="C366" i="57" s="1"/>
  <c r="A367" i="57"/>
  <c r="A368" i="57"/>
  <c r="C368" i="57" s="1"/>
  <c r="A369" i="57"/>
  <c r="C369" i="57" s="1"/>
  <c r="A370" i="57"/>
  <c r="C370" i="57" s="1"/>
  <c r="A371" i="57"/>
  <c r="C371" i="57" s="1"/>
  <c r="A372" i="57"/>
  <c r="C372" i="57" s="1"/>
  <c r="A373" i="57"/>
  <c r="C373" i="57" s="1"/>
  <c r="A374" i="57"/>
  <c r="C374" i="57" s="1"/>
  <c r="A375" i="57"/>
  <c r="C375" i="57" s="1"/>
  <c r="A376" i="57"/>
  <c r="C376" i="57" s="1"/>
  <c r="A377" i="57"/>
  <c r="C377" i="57" s="1"/>
  <c r="A378" i="57"/>
  <c r="C378" i="57" s="1"/>
  <c r="A379" i="57"/>
  <c r="A380" i="57"/>
  <c r="C380" i="57" s="1"/>
  <c r="A381" i="57"/>
  <c r="C381" i="57" s="1"/>
  <c r="A382" i="57"/>
  <c r="C382" i="57" s="1"/>
  <c r="A383" i="57"/>
  <c r="C383" i="57" s="1"/>
  <c r="A384" i="57"/>
  <c r="C384" i="57" s="1"/>
  <c r="A385" i="57"/>
  <c r="A386" i="57"/>
  <c r="C386" i="57" s="1"/>
  <c r="A387" i="57"/>
  <c r="C387" i="57" s="1"/>
  <c r="A388" i="57"/>
  <c r="C388" i="57" s="1"/>
  <c r="A389" i="57"/>
  <c r="C389" i="57" s="1"/>
  <c r="A390" i="57"/>
  <c r="A391" i="57"/>
  <c r="A392" i="57"/>
  <c r="C392" i="57" s="1"/>
  <c r="A393" i="57"/>
  <c r="C393" i="57" s="1"/>
  <c r="A394" i="57"/>
  <c r="C394" i="57" s="1"/>
  <c r="A395" i="57"/>
  <c r="C395" i="57" s="1"/>
  <c r="A396" i="57"/>
  <c r="C396" i="57" s="1"/>
  <c r="A397" i="57"/>
  <c r="A398" i="57"/>
  <c r="C398" i="57" s="1"/>
  <c r="A399" i="57"/>
  <c r="C399" i="57" s="1"/>
  <c r="A400" i="57"/>
  <c r="C400" i="57" s="1"/>
  <c r="A401" i="57"/>
  <c r="C401" i="57" s="1"/>
  <c r="A402" i="57"/>
  <c r="C402" i="57" s="1"/>
  <c r="A403" i="57"/>
  <c r="C403" i="57" s="1"/>
  <c r="A404" i="57"/>
  <c r="C404" i="57" s="1"/>
  <c r="A405" i="57"/>
  <c r="C405" i="57" s="1"/>
  <c r="A406" i="57"/>
  <c r="C406" i="57" s="1"/>
  <c r="A407" i="57"/>
  <c r="C407" i="57" s="1"/>
  <c r="A408" i="57"/>
  <c r="C408" i="57" s="1"/>
  <c r="A409" i="57"/>
  <c r="A410" i="57"/>
  <c r="C410" i="57" s="1"/>
  <c r="A411" i="57"/>
  <c r="C411" i="57" s="1"/>
  <c r="A412" i="57"/>
  <c r="C412" i="57" s="1"/>
  <c r="A413" i="57"/>
  <c r="C413" i="57" s="1"/>
  <c r="A414" i="57"/>
  <c r="A415" i="57"/>
  <c r="A416" i="57"/>
  <c r="C416" i="57" s="1"/>
  <c r="A417" i="57"/>
  <c r="C417" i="57" s="1"/>
  <c r="A418" i="57"/>
  <c r="C418" i="57" s="1"/>
  <c r="A419" i="57"/>
  <c r="C419" i="57" s="1"/>
  <c r="A420" i="57"/>
  <c r="C420" i="57" s="1"/>
  <c r="A421" i="57"/>
  <c r="A422" i="57"/>
  <c r="C422" i="57" s="1"/>
  <c r="A423" i="57"/>
  <c r="C423" i="57" s="1"/>
  <c r="A424" i="57"/>
  <c r="C424" i="57" s="1"/>
  <c r="A425" i="57"/>
  <c r="C425" i="57" s="1"/>
  <c r="A426" i="57"/>
  <c r="C426" i="57" s="1"/>
  <c r="A427" i="57"/>
  <c r="C427" i="57" s="1"/>
  <c r="A428" i="57"/>
  <c r="C428" i="57" s="1"/>
  <c r="A429" i="57"/>
  <c r="C429" i="57" s="1"/>
  <c r="A430" i="57"/>
  <c r="C430" i="57" s="1"/>
  <c r="A431" i="57"/>
  <c r="C431" i="57" s="1"/>
  <c r="A432" i="57"/>
  <c r="A433" i="57"/>
  <c r="A434" i="57"/>
  <c r="C434" i="57" s="1"/>
  <c r="A435" i="57"/>
  <c r="C435" i="57" s="1"/>
  <c r="A436" i="57"/>
  <c r="C436" i="57" s="1"/>
  <c r="A437" i="57"/>
  <c r="C437" i="57" s="1"/>
  <c r="A438" i="57"/>
  <c r="C438" i="57" s="1"/>
  <c r="A439" i="57"/>
  <c r="A440" i="57"/>
  <c r="C440" i="57" s="1"/>
  <c r="A441" i="57"/>
  <c r="C441" i="57" s="1"/>
  <c r="A442" i="57"/>
  <c r="C442" i="57" s="1"/>
  <c r="A443" i="57"/>
  <c r="C443" i="57" s="1"/>
  <c r="A444" i="57"/>
  <c r="C444" i="57" s="1"/>
  <c r="A445" i="57"/>
  <c r="A446" i="57"/>
  <c r="C446" i="57" s="1"/>
  <c r="A447" i="57"/>
  <c r="C447" i="57" s="1"/>
  <c r="A448" i="57"/>
  <c r="C448" i="57" s="1"/>
  <c r="A449" i="57"/>
  <c r="C449" i="57" s="1"/>
  <c r="A450" i="57"/>
  <c r="C450" i="57" s="1"/>
  <c r="A451" i="57"/>
  <c r="C451" i="57" s="1"/>
  <c r="A452" i="57"/>
  <c r="C452" i="57" s="1"/>
  <c r="A453" i="57"/>
  <c r="C453" i="57" s="1"/>
  <c r="A454" i="57"/>
  <c r="C454" i="57" s="1"/>
  <c r="A455" i="57"/>
  <c r="C455" i="57" s="1"/>
  <c r="A456" i="57"/>
  <c r="C456" i="57" s="1"/>
  <c r="A457" i="57"/>
  <c r="A458" i="57"/>
  <c r="C458" i="57" s="1"/>
  <c r="A459" i="57"/>
  <c r="C459" i="57" s="1"/>
  <c r="A460" i="57"/>
  <c r="C460" i="57" s="1"/>
  <c r="A461" i="57"/>
  <c r="C461" i="57" s="1"/>
  <c r="A462" i="57"/>
  <c r="A463" i="57"/>
  <c r="A464" i="57"/>
  <c r="C464" i="57" s="1"/>
  <c r="A465" i="57"/>
  <c r="C465" i="57" s="1"/>
  <c r="A466" i="57"/>
  <c r="C466" i="57" s="1"/>
  <c r="A467" i="57"/>
  <c r="C467" i="57" s="1"/>
  <c r="A468" i="57"/>
  <c r="C468" i="57" s="1"/>
  <c r="A469" i="57"/>
  <c r="A470" i="57"/>
  <c r="C470" i="57" s="1"/>
  <c r="A471" i="57"/>
  <c r="C471" i="57" s="1"/>
  <c r="A472" i="57"/>
  <c r="C472" i="57" s="1"/>
  <c r="A473" i="57"/>
  <c r="C473" i="57" s="1"/>
  <c r="A474" i="57"/>
  <c r="A475" i="57"/>
  <c r="A476" i="57"/>
  <c r="C476" i="57" s="1"/>
  <c r="A477" i="57"/>
  <c r="C477" i="57" s="1"/>
  <c r="A478" i="57"/>
  <c r="C478" i="57" s="1"/>
  <c r="A479" i="57"/>
  <c r="C479" i="57" s="1"/>
  <c r="A480" i="57"/>
  <c r="C480" i="57" s="1"/>
  <c r="A481" i="57"/>
  <c r="C481" i="57" s="1"/>
  <c r="A482" i="57"/>
  <c r="C482" i="57" s="1"/>
  <c r="A483" i="57"/>
  <c r="C483" i="57" s="1"/>
  <c r="A484" i="57"/>
  <c r="C484" i="57" s="1"/>
  <c r="A485" i="57"/>
  <c r="C485" i="57" s="1"/>
  <c r="A486" i="57"/>
  <c r="C486" i="57" s="1"/>
  <c r="A487" i="57"/>
  <c r="A488" i="57"/>
  <c r="C488" i="57" s="1"/>
  <c r="A489" i="57"/>
  <c r="C489" i="57" s="1"/>
  <c r="A490" i="57"/>
  <c r="C490" i="57" s="1"/>
  <c r="A491" i="57"/>
  <c r="C491" i="57" s="1"/>
  <c r="A492" i="57"/>
  <c r="C492" i="57" s="1"/>
  <c r="A493" i="57"/>
  <c r="A494" i="57"/>
  <c r="C494" i="57" s="1"/>
  <c r="A495" i="57"/>
  <c r="C495" i="57" s="1"/>
  <c r="A496" i="57"/>
  <c r="C496" i="57" s="1"/>
  <c r="A497" i="57"/>
  <c r="C497" i="57" s="1"/>
  <c r="A498" i="57"/>
  <c r="C498" i="57" s="1"/>
  <c r="A499" i="57"/>
  <c r="A500" i="57"/>
  <c r="C500" i="57" s="1"/>
  <c r="A501" i="57"/>
  <c r="C501" i="57" s="1"/>
  <c r="A502" i="57"/>
  <c r="C502" i="57" s="1"/>
  <c r="A503" i="57"/>
  <c r="C503" i="57" s="1"/>
  <c r="A504" i="57"/>
  <c r="C504" i="57" s="1"/>
  <c r="A505" i="57"/>
  <c r="C505" i="57" s="1"/>
  <c r="A506" i="57"/>
  <c r="C506" i="57" s="1"/>
  <c r="A507" i="57"/>
  <c r="C507" i="57" s="1"/>
  <c r="A508" i="57"/>
  <c r="C508" i="57" s="1"/>
  <c r="A509" i="57"/>
  <c r="C509" i="57" s="1"/>
  <c r="A510" i="57"/>
  <c r="C510" i="57" s="1"/>
  <c r="A511" i="57"/>
  <c r="A512" i="57"/>
  <c r="C512" i="57" s="1"/>
  <c r="A513" i="57"/>
  <c r="C513" i="57" s="1"/>
  <c r="A514" i="57"/>
  <c r="C514" i="57" s="1"/>
  <c r="A515" i="57"/>
  <c r="C515" i="57" s="1"/>
  <c r="A516" i="57"/>
  <c r="C516" i="57" s="1"/>
  <c r="A517" i="57"/>
  <c r="A518" i="57"/>
  <c r="C518" i="57" s="1"/>
  <c r="A519" i="57"/>
  <c r="C519" i="57" s="1"/>
  <c r="A520" i="57"/>
  <c r="C520" i="57" s="1"/>
  <c r="A521" i="57"/>
  <c r="C521" i="57" s="1"/>
  <c r="A522" i="57"/>
  <c r="C522" i="57" s="1"/>
  <c r="A523" i="57"/>
  <c r="A524" i="57"/>
  <c r="C524" i="57" s="1"/>
  <c r="A525" i="57"/>
  <c r="C525" i="57" s="1"/>
  <c r="A526" i="57"/>
  <c r="C526" i="57" s="1"/>
  <c r="A527" i="57"/>
  <c r="C527" i="57" s="1"/>
  <c r="A528" i="57"/>
  <c r="C528" i="57" s="1"/>
  <c r="A529" i="57"/>
  <c r="A530" i="57"/>
  <c r="C530" i="57" s="1"/>
  <c r="A531" i="57"/>
  <c r="C531" i="57" s="1"/>
  <c r="A532" i="57"/>
  <c r="C532" i="57" s="1"/>
  <c r="A533" i="57"/>
  <c r="C533" i="57" s="1"/>
  <c r="A534" i="57"/>
  <c r="C534" i="57" s="1"/>
  <c r="A535" i="57"/>
  <c r="A536" i="57"/>
  <c r="C536" i="57" s="1"/>
  <c r="A537" i="57"/>
  <c r="C537" i="57" s="1"/>
  <c r="A538" i="57"/>
  <c r="C538" i="57" s="1"/>
  <c r="A539" i="57"/>
  <c r="C539" i="57" s="1"/>
  <c r="A540" i="57"/>
  <c r="C540" i="57" s="1"/>
  <c r="A541" i="57"/>
  <c r="A542" i="57"/>
  <c r="C542" i="57" s="1"/>
  <c r="A543" i="57"/>
  <c r="C543" i="57" s="1"/>
  <c r="A544" i="57"/>
  <c r="C544" i="57" s="1"/>
  <c r="A545" i="57"/>
  <c r="C545" i="57" s="1"/>
  <c r="A546" i="57"/>
  <c r="C546" i="57" s="1"/>
  <c r="A547" i="57"/>
  <c r="A548" i="57"/>
  <c r="C548" i="57" s="1"/>
  <c r="A549" i="57"/>
  <c r="C549" i="57" s="1"/>
  <c r="A550" i="57"/>
  <c r="C550" i="57" s="1"/>
  <c r="A551" i="57"/>
  <c r="C551" i="57" s="1"/>
  <c r="A552" i="57"/>
  <c r="C552" i="57" s="1"/>
  <c r="A553" i="57"/>
  <c r="A554" i="57"/>
  <c r="C554" i="57" s="1"/>
  <c r="A555" i="57"/>
  <c r="C555" i="57" s="1"/>
  <c r="A556" i="57"/>
  <c r="C556" i="57" s="1"/>
  <c r="A557" i="57"/>
  <c r="C557" i="57" s="1"/>
  <c r="A558" i="57"/>
  <c r="A559" i="57"/>
  <c r="A560" i="57"/>
  <c r="C560" i="57" s="1"/>
  <c r="A561" i="57"/>
  <c r="C561" i="57" s="1"/>
  <c r="A562" i="57"/>
  <c r="C562" i="57" s="1"/>
  <c r="A563" i="57"/>
  <c r="C563" i="57" s="1"/>
  <c r="A564" i="57"/>
  <c r="C564" i="57" s="1"/>
  <c r="A565" i="57"/>
  <c r="A566" i="57"/>
  <c r="C566" i="57" s="1"/>
  <c r="A567" i="57"/>
  <c r="C567" i="57" s="1"/>
  <c r="A568" i="57"/>
  <c r="C568" i="57" s="1"/>
  <c r="A569" i="57"/>
  <c r="C569" i="57" s="1"/>
  <c r="A570" i="57"/>
  <c r="C570" i="57" s="1"/>
  <c r="A571" i="57"/>
  <c r="A572" i="57"/>
  <c r="C572" i="57" s="1"/>
  <c r="A573" i="57"/>
  <c r="C573" i="57" s="1"/>
  <c r="A574" i="57"/>
  <c r="C574" i="57" s="1"/>
  <c r="A575" i="57"/>
  <c r="C575" i="57" s="1"/>
  <c r="A576" i="57"/>
  <c r="C576" i="57" s="1"/>
  <c r="A577" i="57"/>
  <c r="A578" i="57"/>
  <c r="C578" i="57" s="1"/>
  <c r="A579" i="57"/>
  <c r="C579" i="57" s="1"/>
  <c r="A580" i="57"/>
  <c r="C580" i="57" s="1"/>
  <c r="A581" i="57"/>
  <c r="C581" i="57" s="1"/>
  <c r="A582" i="57"/>
  <c r="C582" i="57" s="1"/>
  <c r="A583" i="57"/>
  <c r="C583" i="57" s="1"/>
  <c r="A584" i="57"/>
  <c r="C584" i="57" s="1"/>
  <c r="A585" i="57"/>
  <c r="C585" i="57" s="1"/>
  <c r="A586" i="57"/>
  <c r="C586" i="57" s="1"/>
  <c r="A587" i="57"/>
  <c r="C587" i="57" s="1"/>
  <c r="A588" i="57"/>
  <c r="C588" i="57" s="1"/>
  <c r="A589" i="57"/>
  <c r="A590" i="57"/>
  <c r="C590" i="57" s="1"/>
  <c r="A591" i="57"/>
  <c r="C591" i="57" s="1"/>
  <c r="A592" i="57"/>
  <c r="C592" i="57" s="1"/>
  <c r="A593" i="57"/>
  <c r="C593" i="57" s="1"/>
  <c r="A594" i="57"/>
  <c r="C594" i="57" s="1"/>
  <c r="A595" i="57"/>
  <c r="A596" i="57"/>
  <c r="C596" i="57" s="1"/>
  <c r="A597" i="57"/>
  <c r="C597" i="57" s="1"/>
  <c r="A598" i="57"/>
  <c r="C598" i="57" s="1"/>
  <c r="A599" i="57"/>
  <c r="C599" i="57" s="1"/>
  <c r="A600" i="57"/>
  <c r="A601" i="57"/>
  <c r="A602" i="57"/>
  <c r="C602" i="57" s="1"/>
  <c r="A603" i="57"/>
  <c r="C603" i="57" s="1"/>
  <c r="A604" i="57"/>
  <c r="C604" i="57" s="1"/>
  <c r="A605" i="57"/>
  <c r="C605" i="57" s="1"/>
  <c r="A606" i="57"/>
  <c r="C606" i="57" s="1"/>
  <c r="A607" i="57"/>
  <c r="A608" i="57"/>
  <c r="C608" i="57" s="1"/>
  <c r="A609" i="57"/>
  <c r="C609" i="57" s="1"/>
  <c r="A610" i="57"/>
  <c r="C610" i="57" s="1"/>
  <c r="A611" i="57"/>
  <c r="C611" i="57" s="1"/>
  <c r="A612" i="57"/>
  <c r="C612" i="57" s="1"/>
  <c r="A613" i="57"/>
  <c r="A614" i="57"/>
  <c r="C614" i="57" s="1"/>
  <c r="A615" i="57"/>
  <c r="C615" i="57" s="1"/>
  <c r="A616" i="57"/>
  <c r="C616" i="57" s="1"/>
  <c r="A617" i="57"/>
  <c r="C617" i="57" s="1"/>
  <c r="A618" i="57"/>
  <c r="C618" i="57" s="1"/>
  <c r="A619" i="57"/>
  <c r="A620" i="57"/>
  <c r="C620" i="57" s="1"/>
  <c r="A621" i="57"/>
  <c r="C621" i="57" s="1"/>
  <c r="A622" i="57"/>
  <c r="C622" i="57" s="1"/>
  <c r="A623" i="57"/>
  <c r="C623" i="57" s="1"/>
  <c r="A624" i="57"/>
  <c r="C624" i="57" s="1"/>
  <c r="A625" i="57"/>
  <c r="A626" i="57"/>
  <c r="C626" i="57" s="1"/>
  <c r="A627" i="57"/>
  <c r="C627" i="57" s="1"/>
  <c r="A628" i="57"/>
  <c r="C628" i="57" s="1"/>
  <c r="A629" i="57"/>
  <c r="C629" i="57" s="1"/>
  <c r="A630" i="57"/>
  <c r="C630" i="57" s="1"/>
  <c r="A631" i="57"/>
  <c r="A632" i="57"/>
  <c r="C632" i="57" s="1"/>
  <c r="A633" i="57"/>
  <c r="C633" i="57" s="1"/>
  <c r="A634" i="57"/>
  <c r="C634" i="57" s="1"/>
  <c r="A635" i="57"/>
  <c r="C635" i="57" s="1"/>
  <c r="A636" i="57"/>
  <c r="C636" i="57" s="1"/>
  <c r="A637" i="57"/>
  <c r="A638" i="57"/>
  <c r="C638" i="57" s="1"/>
  <c r="A639" i="57"/>
  <c r="C639" i="57" s="1"/>
  <c r="A640" i="57"/>
  <c r="C640" i="57" s="1"/>
  <c r="A641" i="57"/>
  <c r="C641" i="57" s="1"/>
  <c r="A642" i="57"/>
  <c r="C642" i="57" s="1"/>
  <c r="A643" i="57"/>
  <c r="A644" i="57"/>
  <c r="C644" i="57" s="1"/>
  <c r="A645" i="57"/>
  <c r="C645" i="57" s="1"/>
  <c r="A646" i="57"/>
  <c r="C646" i="57" s="1"/>
  <c r="A647" i="57"/>
  <c r="C647" i="57" s="1"/>
  <c r="A648" i="57"/>
  <c r="C648" i="57" s="1"/>
  <c r="A649" i="57"/>
  <c r="A650" i="57"/>
  <c r="C650" i="57" s="1"/>
  <c r="A651" i="57"/>
  <c r="C651" i="57" s="1"/>
  <c r="A652" i="57"/>
  <c r="C652" i="57" s="1"/>
  <c r="A653" i="57"/>
  <c r="C653" i="57" s="1"/>
  <c r="A654" i="57"/>
  <c r="C654" i="57" s="1"/>
  <c r="A655" i="57"/>
  <c r="A656" i="57"/>
  <c r="C656" i="57" s="1"/>
  <c r="A657" i="57"/>
  <c r="C657" i="57" s="1"/>
  <c r="A658" i="57"/>
  <c r="C658" i="57" s="1"/>
  <c r="A659" i="57"/>
  <c r="C659" i="57" s="1"/>
  <c r="A660" i="57"/>
  <c r="C660" i="57" s="1"/>
  <c r="A661" i="57"/>
  <c r="C661" i="57" s="1"/>
  <c r="A662" i="57"/>
  <c r="C662" i="57" s="1"/>
  <c r="A663" i="57"/>
  <c r="C663" i="57" s="1"/>
  <c r="A664" i="57"/>
  <c r="C664" i="57" s="1"/>
  <c r="A665" i="57"/>
  <c r="C665" i="57" s="1"/>
  <c r="A666" i="57"/>
  <c r="C666" i="57" s="1"/>
  <c r="A667" i="57"/>
  <c r="A668" i="57"/>
  <c r="C668" i="57" s="1"/>
  <c r="A669" i="57"/>
  <c r="C669" i="57" s="1"/>
  <c r="A670" i="57"/>
  <c r="C670" i="57" s="1"/>
  <c r="A671" i="57"/>
  <c r="C671" i="57" s="1"/>
  <c r="A672" i="57"/>
  <c r="A673" i="57"/>
  <c r="A674" i="57"/>
  <c r="C674" i="57" s="1"/>
  <c r="A675" i="57"/>
  <c r="C675" i="57" s="1"/>
  <c r="A676" i="57"/>
  <c r="C676" i="57" s="1"/>
  <c r="A677" i="57"/>
  <c r="C677" i="57" s="1"/>
  <c r="A678" i="57"/>
  <c r="C678" i="57" s="1"/>
  <c r="A679" i="57"/>
  <c r="A680" i="57"/>
  <c r="C680" i="57" s="1"/>
  <c r="A681" i="57"/>
  <c r="C681" i="57" s="1"/>
  <c r="A682" i="57"/>
  <c r="C682" i="57" s="1"/>
  <c r="A683" i="57"/>
  <c r="C683" i="57" s="1"/>
  <c r="A684" i="57"/>
  <c r="C684" i="57" s="1"/>
  <c r="A685" i="57"/>
  <c r="A686" i="57"/>
  <c r="C686" i="57" s="1"/>
  <c r="A687" i="57"/>
  <c r="C687" i="57" s="1"/>
  <c r="A688" i="57"/>
  <c r="C688" i="57" s="1"/>
  <c r="A689" i="57"/>
  <c r="C689" i="57" s="1"/>
  <c r="A690" i="57"/>
  <c r="C690" i="57" s="1"/>
  <c r="A691" i="57"/>
  <c r="C691" i="57" s="1"/>
  <c r="A692" i="57"/>
  <c r="C692" i="57" s="1"/>
  <c r="A693" i="57"/>
  <c r="C693" i="57" s="1"/>
  <c r="A694" i="57"/>
  <c r="C694" i="57" s="1"/>
  <c r="A695" i="57"/>
  <c r="C695" i="57" s="1"/>
  <c r="A696" i="57"/>
  <c r="C696" i="57" s="1"/>
  <c r="A697" i="57"/>
  <c r="A698" i="57"/>
  <c r="C698" i="57" s="1"/>
  <c r="A699" i="57"/>
  <c r="C699" i="57" s="1"/>
  <c r="A700" i="57"/>
  <c r="C700" i="57" s="1"/>
  <c r="A701" i="57"/>
  <c r="C701" i="57" s="1"/>
  <c r="A702" i="57"/>
  <c r="C702" i="57" s="1"/>
  <c r="A703" i="57"/>
  <c r="A704" i="57"/>
  <c r="C704" i="57" s="1"/>
  <c r="A705" i="57"/>
  <c r="C705" i="57" s="1"/>
  <c r="A706" i="57"/>
  <c r="C706" i="57" s="1"/>
  <c r="A707" i="57"/>
  <c r="C707" i="57" s="1"/>
  <c r="A708" i="57"/>
  <c r="C708" i="57" s="1"/>
  <c r="A709" i="57"/>
  <c r="A710" i="57"/>
  <c r="C710" i="57" s="1"/>
  <c r="A711" i="57"/>
  <c r="C711" i="57" s="1"/>
  <c r="A712" i="57"/>
  <c r="C712" i="57" s="1"/>
  <c r="A713" i="57"/>
  <c r="C713" i="57" s="1"/>
  <c r="A714" i="57"/>
  <c r="A715" i="57"/>
  <c r="A716" i="57"/>
  <c r="C716" i="57" s="1"/>
  <c r="A717" i="57"/>
  <c r="C717" i="57" s="1"/>
  <c r="A718" i="57"/>
  <c r="C718" i="57" s="1"/>
  <c r="A719" i="57"/>
  <c r="C719" i="57" s="1"/>
  <c r="A720" i="57"/>
  <c r="C720" i="57" s="1"/>
  <c r="A721" i="57"/>
  <c r="C721" i="57" s="1"/>
  <c r="A722" i="57"/>
  <c r="C722" i="57" s="1"/>
  <c r="A723" i="57"/>
  <c r="C723" i="57" s="1"/>
  <c r="A724" i="57"/>
  <c r="C724" i="57" s="1"/>
  <c r="A725" i="57"/>
  <c r="C725" i="57" s="1"/>
  <c r="A726" i="57"/>
  <c r="A727" i="57"/>
  <c r="A728" i="57"/>
  <c r="C728" i="57" s="1"/>
  <c r="A729" i="57"/>
  <c r="C729" i="57" s="1"/>
  <c r="A730" i="57"/>
  <c r="C730" i="57" s="1"/>
  <c r="A731" i="57"/>
  <c r="C731" i="57" s="1"/>
  <c r="A732" i="57"/>
  <c r="C732" i="57" s="1"/>
  <c r="A733" i="57"/>
  <c r="A734" i="57"/>
  <c r="C734" i="57" s="1"/>
  <c r="A735" i="57"/>
  <c r="C735" i="57" s="1"/>
  <c r="A736" i="57"/>
  <c r="C736" i="57" s="1"/>
  <c r="A737" i="57"/>
  <c r="C737" i="57" s="1"/>
  <c r="A738" i="57"/>
  <c r="A739" i="57"/>
  <c r="A740" i="57"/>
  <c r="C740" i="57" s="1"/>
  <c r="A741" i="57"/>
  <c r="C741" i="57" s="1"/>
  <c r="A742" i="57"/>
  <c r="C742" i="57" s="1"/>
  <c r="A743" i="57"/>
  <c r="C743" i="57" s="1"/>
  <c r="A744" i="57"/>
  <c r="C744" i="57" s="1"/>
  <c r="A745" i="57"/>
  <c r="C745" i="57" s="1"/>
  <c r="A746" i="57"/>
  <c r="C746" i="57" s="1"/>
  <c r="A747" i="57"/>
  <c r="C747" i="57" s="1"/>
  <c r="A748" i="57"/>
  <c r="C748" i="57" s="1"/>
  <c r="A749" i="57"/>
  <c r="C749" i="57" s="1"/>
  <c r="A750" i="57"/>
  <c r="C750" i="57" s="1"/>
  <c r="A751" i="57"/>
  <c r="A752" i="57"/>
  <c r="C752" i="57" s="1"/>
  <c r="A753" i="57"/>
  <c r="C753" i="57" s="1"/>
  <c r="A754" i="57"/>
  <c r="C754" i="57" s="1"/>
  <c r="A755" i="57"/>
  <c r="C755" i="57" s="1"/>
  <c r="A756" i="57"/>
  <c r="A757" i="57"/>
  <c r="A758" i="57"/>
  <c r="C758" i="57" s="1"/>
  <c r="A759" i="57"/>
  <c r="C759" i="57" s="1"/>
  <c r="A760" i="57"/>
  <c r="C760" i="57" s="1"/>
  <c r="A761" i="57"/>
  <c r="C761" i="57" s="1"/>
  <c r="A762" i="57"/>
  <c r="C762" i="57" s="1"/>
  <c r="A763" i="57"/>
  <c r="A764" i="57"/>
  <c r="C764" i="57" s="1"/>
  <c r="A765" i="57"/>
  <c r="C765" i="57" s="1"/>
  <c r="A766" i="57"/>
  <c r="C766" i="57" s="1"/>
  <c r="A767" i="57"/>
  <c r="C767" i="57" s="1"/>
  <c r="A768" i="57"/>
  <c r="A769" i="57"/>
  <c r="A770" i="57"/>
  <c r="C770" i="57" s="1"/>
  <c r="A771" i="57"/>
  <c r="C771" i="57" s="1"/>
  <c r="A772" i="57"/>
  <c r="C772" i="57" s="1"/>
  <c r="A773" i="57"/>
  <c r="C773" i="57" s="1"/>
  <c r="A774" i="57"/>
  <c r="C774" i="57" s="1"/>
  <c r="A775" i="57"/>
  <c r="A776" i="57"/>
  <c r="C776" i="57" s="1"/>
  <c r="A777" i="57"/>
  <c r="C777" i="57" s="1"/>
  <c r="A778" i="57"/>
  <c r="C778" i="57" s="1"/>
  <c r="A779" i="57"/>
  <c r="C779" i="57" s="1"/>
  <c r="A780" i="57"/>
  <c r="C780" i="57" s="1"/>
  <c r="A781" i="57"/>
  <c r="A782" i="57"/>
  <c r="C782" i="57" s="1"/>
  <c r="A783" i="57"/>
  <c r="C783" i="57" s="1"/>
  <c r="A784" i="57"/>
  <c r="C784" i="57" s="1"/>
  <c r="A785" i="57"/>
  <c r="C785" i="57" s="1"/>
  <c r="A786" i="57"/>
  <c r="A787" i="57"/>
  <c r="C787" i="57" s="1"/>
  <c r="A788" i="57"/>
  <c r="C788" i="57" s="1"/>
  <c r="A789" i="57"/>
  <c r="C789" i="57" s="1"/>
  <c r="A790" i="57"/>
  <c r="C790" i="57" s="1"/>
  <c r="A791" i="57"/>
  <c r="C791" i="57" s="1"/>
  <c r="A792" i="57"/>
  <c r="C792" i="57" s="1"/>
  <c r="A793" i="57"/>
  <c r="A794" i="57"/>
  <c r="C794" i="57" s="1"/>
  <c r="A795" i="57"/>
  <c r="C795" i="57" s="1"/>
  <c r="A796" i="57"/>
  <c r="C796" i="57" s="1"/>
  <c r="A797" i="57"/>
  <c r="C797" i="57" s="1"/>
  <c r="A798" i="57"/>
  <c r="A799" i="57"/>
  <c r="A800" i="57"/>
  <c r="C800" i="57" s="1"/>
  <c r="A801" i="57"/>
  <c r="C801" i="57" s="1"/>
  <c r="A802" i="57"/>
  <c r="C802" i="57" s="1"/>
  <c r="A803" i="57"/>
  <c r="C803" i="57" s="1"/>
  <c r="A804" i="57"/>
  <c r="C804" i="57" s="1"/>
  <c r="A805" i="57"/>
  <c r="A806" i="57"/>
  <c r="C806" i="57" s="1"/>
  <c r="A807" i="57"/>
  <c r="C807" i="57" s="1"/>
  <c r="A808" i="57"/>
  <c r="C808" i="57" s="1"/>
  <c r="A809" i="57"/>
  <c r="C809" i="57" s="1"/>
  <c r="A810" i="57"/>
  <c r="A811" i="57"/>
  <c r="A812" i="57"/>
  <c r="C812" i="57" s="1"/>
  <c r="A813" i="57"/>
  <c r="C813" i="57" s="1"/>
  <c r="A814" i="57"/>
  <c r="C814" i="57" s="1"/>
  <c r="A815" i="57"/>
  <c r="C815" i="57" s="1"/>
  <c r="A816" i="57"/>
  <c r="C816" i="57" s="1"/>
  <c r="A817" i="57"/>
  <c r="C817" i="57" s="1"/>
  <c r="A818" i="57"/>
  <c r="C818" i="57" s="1"/>
  <c r="A819" i="57"/>
  <c r="C819" i="57" s="1"/>
  <c r="A820" i="57"/>
  <c r="C820" i="57" s="1"/>
  <c r="A821" i="57"/>
  <c r="C821" i="57" s="1"/>
  <c r="A822" i="57"/>
  <c r="C822" i="57" s="1"/>
  <c r="A823" i="57"/>
  <c r="A824" i="57"/>
  <c r="C824" i="57" s="1"/>
  <c r="A825" i="57"/>
  <c r="C825" i="57" s="1"/>
  <c r="A826" i="57"/>
  <c r="C826" i="57" s="1"/>
  <c r="A827" i="57"/>
  <c r="C827" i="57" s="1"/>
  <c r="A828" i="57"/>
  <c r="C828" i="57" s="1"/>
  <c r="A829" i="57"/>
  <c r="A830" i="57"/>
  <c r="C830" i="57" s="1"/>
  <c r="A831" i="57"/>
  <c r="C831" i="57" s="1"/>
  <c r="A832" i="57"/>
  <c r="C832" i="57" s="1"/>
  <c r="A833" i="57"/>
  <c r="C833" i="57" s="1"/>
  <c r="A834" i="57"/>
  <c r="C834" i="57" s="1"/>
  <c r="A835" i="57"/>
  <c r="A836" i="57"/>
  <c r="C836" i="57" s="1"/>
  <c r="A837" i="57"/>
  <c r="C837" i="57" s="1"/>
  <c r="A838" i="57"/>
  <c r="C838" i="57" s="1"/>
  <c r="A839" i="57"/>
  <c r="C839" i="57" s="1"/>
  <c r="A840" i="57"/>
  <c r="C840" i="57" s="1"/>
  <c r="A841" i="57"/>
  <c r="A842" i="57"/>
  <c r="C842" i="57" s="1"/>
  <c r="A843" i="57"/>
  <c r="C843" i="57" s="1"/>
  <c r="A844" i="57"/>
  <c r="C844" i="57" s="1"/>
  <c r="A845" i="57"/>
  <c r="C845" i="57" s="1"/>
  <c r="A846" i="57"/>
  <c r="C846" i="57" s="1"/>
  <c r="A847" i="57"/>
  <c r="A848" i="57"/>
  <c r="C848" i="57" s="1"/>
  <c r="A849" i="57"/>
  <c r="C849" i="57" s="1"/>
  <c r="A850" i="57"/>
  <c r="C850" i="57" s="1"/>
  <c r="A851" i="57"/>
  <c r="C851" i="57" s="1"/>
  <c r="A852" i="57"/>
  <c r="C852" i="57" s="1"/>
  <c r="A853" i="57"/>
  <c r="A854" i="57"/>
  <c r="C854" i="57" s="1"/>
  <c r="A855" i="57"/>
  <c r="C855" i="57" s="1"/>
  <c r="A856" i="57"/>
  <c r="C856" i="57" s="1"/>
  <c r="A857" i="57"/>
  <c r="C857" i="57" s="1"/>
  <c r="A858" i="57"/>
  <c r="C858" i="57" s="1"/>
  <c r="A859" i="57"/>
  <c r="A860" i="57"/>
  <c r="C860" i="57" s="1"/>
  <c r="A861" i="57"/>
  <c r="C861" i="57" s="1"/>
  <c r="A862" i="57"/>
  <c r="C862" i="57" s="1"/>
  <c r="A863" i="57"/>
  <c r="C863" i="57" s="1"/>
  <c r="A864" i="57"/>
  <c r="C864" i="57" s="1"/>
  <c r="A865" i="57"/>
  <c r="A866" i="57"/>
  <c r="C866" i="57" s="1"/>
  <c r="A867" i="57"/>
  <c r="C867" i="57" s="1"/>
  <c r="A868" i="57"/>
  <c r="C868" i="57" s="1"/>
  <c r="A869" i="57"/>
  <c r="C869" i="57" s="1"/>
  <c r="A870" i="57"/>
  <c r="A871" i="57"/>
  <c r="A872" i="57"/>
  <c r="C872" i="57" s="1"/>
  <c r="A873" i="57"/>
  <c r="C873" i="57" s="1"/>
  <c r="A874" i="57"/>
  <c r="C874" i="57" s="1"/>
  <c r="A875" i="57"/>
  <c r="C875" i="57" s="1"/>
  <c r="A876" i="57"/>
  <c r="C876" i="57" s="1"/>
  <c r="A877" i="57"/>
  <c r="C877" i="57" s="1"/>
  <c r="A878" i="57"/>
  <c r="C878" i="57" s="1"/>
  <c r="A879" i="57"/>
  <c r="C879" i="57" s="1"/>
  <c r="A880" i="57"/>
  <c r="C880" i="57" s="1"/>
  <c r="A881" i="57"/>
  <c r="C881" i="57" s="1"/>
  <c r="A882" i="57"/>
  <c r="A883" i="57"/>
  <c r="A884" i="57"/>
  <c r="C884" i="57" s="1"/>
  <c r="A885" i="57"/>
  <c r="C885" i="57" s="1"/>
  <c r="A886" i="57"/>
  <c r="C886" i="57" s="1"/>
  <c r="A887" i="57"/>
  <c r="C887" i="57" s="1"/>
  <c r="A888" i="57"/>
  <c r="C888" i="57" s="1"/>
  <c r="A889" i="57"/>
  <c r="A890" i="57"/>
  <c r="C890" i="57" s="1"/>
  <c r="A891" i="57"/>
  <c r="C891" i="57" s="1"/>
  <c r="A892" i="57"/>
  <c r="C892" i="57" s="1"/>
  <c r="A893" i="57"/>
  <c r="C893" i="57" s="1"/>
  <c r="A894" i="57"/>
  <c r="C894" i="57" s="1"/>
  <c r="A895" i="57"/>
  <c r="C895" i="57" s="1"/>
  <c r="A896" i="57"/>
  <c r="C896" i="57" s="1"/>
  <c r="A897" i="57"/>
  <c r="C897" i="57" s="1"/>
  <c r="A898" i="57"/>
  <c r="C898" i="57" s="1"/>
  <c r="A899" i="57"/>
  <c r="C899" i="57" s="1"/>
  <c r="A900" i="57"/>
  <c r="A901" i="57"/>
  <c r="A902" i="57"/>
  <c r="C902" i="57" s="1"/>
  <c r="A903" i="57"/>
  <c r="C903" i="57" s="1"/>
  <c r="A904" i="57"/>
  <c r="C904" i="57" s="1"/>
  <c r="A905" i="57"/>
  <c r="C905" i="57" s="1"/>
  <c r="A906" i="57"/>
  <c r="C906" i="57" s="1"/>
  <c r="A907" i="57"/>
  <c r="A908" i="57"/>
  <c r="C908" i="57" s="1"/>
  <c r="A909" i="57"/>
  <c r="C909" i="57" s="1"/>
  <c r="A910" i="57"/>
  <c r="C910" i="57" s="1"/>
  <c r="A911" i="57"/>
  <c r="C911" i="57" s="1"/>
  <c r="A912" i="57"/>
  <c r="C912" i="57" s="1"/>
  <c r="A913" i="57"/>
  <c r="A914" i="57"/>
  <c r="C914" i="57" s="1"/>
  <c r="A915" i="57"/>
  <c r="C915" i="57" s="1"/>
  <c r="A916" i="57"/>
  <c r="C916" i="57" s="1"/>
  <c r="A917" i="57"/>
  <c r="C917" i="57" s="1"/>
  <c r="A918" i="57"/>
  <c r="C918" i="57" s="1"/>
  <c r="A919" i="57"/>
  <c r="C919" i="57" s="1"/>
  <c r="A920" i="57"/>
  <c r="C920" i="57" s="1"/>
  <c r="A921" i="57"/>
  <c r="C921" i="57" s="1"/>
  <c r="A922" i="57"/>
  <c r="C922" i="57" s="1"/>
  <c r="A923" i="57"/>
  <c r="C923" i="57" s="1"/>
  <c r="A924" i="57"/>
  <c r="C924" i="57" s="1"/>
  <c r="A925" i="57"/>
  <c r="A926" i="57"/>
  <c r="C926" i="57" s="1"/>
  <c r="A927" i="57"/>
  <c r="C927" i="57" s="1"/>
  <c r="A928" i="57"/>
  <c r="C928" i="57" s="1"/>
  <c r="A929" i="57"/>
  <c r="C929" i="57" s="1"/>
  <c r="A930" i="57"/>
  <c r="C930" i="57" s="1"/>
  <c r="A931" i="57"/>
  <c r="A932" i="57"/>
  <c r="C932" i="57" s="1"/>
  <c r="A933" i="57"/>
  <c r="C933" i="57" s="1"/>
  <c r="A934" i="57"/>
  <c r="C934" i="57" s="1"/>
  <c r="A935" i="57"/>
  <c r="C935" i="57" s="1"/>
  <c r="A936" i="57"/>
  <c r="C936" i="57" s="1"/>
  <c r="A937" i="57"/>
  <c r="A938" i="57"/>
  <c r="C938" i="57" s="1"/>
  <c r="A939" i="57"/>
  <c r="C939" i="57" s="1"/>
  <c r="A940" i="57"/>
  <c r="C940" i="57" s="1"/>
  <c r="A941" i="57"/>
  <c r="C941" i="57" s="1"/>
  <c r="A942" i="57"/>
  <c r="C942" i="57" s="1"/>
  <c r="A943" i="57"/>
  <c r="A944" i="57"/>
  <c r="C944" i="57" s="1"/>
  <c r="A945" i="57"/>
  <c r="C945" i="57" s="1"/>
  <c r="A946" i="57"/>
  <c r="C946" i="57" s="1"/>
  <c r="A947" i="57"/>
  <c r="C947" i="57" s="1"/>
  <c r="A948" i="57"/>
  <c r="C948" i="57" s="1"/>
  <c r="A949" i="57"/>
  <c r="A950" i="57"/>
  <c r="C950" i="57" s="1"/>
  <c r="A951" i="57"/>
  <c r="C951" i="57" s="1"/>
  <c r="A952" i="57"/>
  <c r="C952" i="57" s="1"/>
  <c r="A953" i="57"/>
  <c r="C953" i="57" s="1"/>
  <c r="A954" i="57"/>
  <c r="C954" i="57" s="1"/>
  <c r="A955" i="57"/>
  <c r="A956" i="57"/>
  <c r="C956" i="57" s="1"/>
  <c r="A957" i="57"/>
  <c r="C957" i="57" s="1"/>
  <c r="A958" i="57"/>
  <c r="C958" i="57" s="1"/>
  <c r="A959" i="57"/>
  <c r="C959" i="57" s="1"/>
  <c r="A960" i="57"/>
  <c r="C960" i="57" s="1"/>
  <c r="A961" i="57"/>
  <c r="C961" i="57" s="1"/>
  <c r="A962" i="57"/>
  <c r="C962" i="57" s="1"/>
  <c r="A963" i="57"/>
  <c r="C963" i="57" s="1"/>
  <c r="A964" i="57"/>
  <c r="C964" i="57" s="1"/>
  <c r="A965" i="57"/>
  <c r="C965" i="57" s="1"/>
  <c r="A966" i="57"/>
  <c r="C966" i="57" s="1"/>
  <c r="A967" i="57"/>
  <c r="A968" i="57"/>
  <c r="C968" i="57" s="1"/>
  <c r="A969" i="57"/>
  <c r="C969" i="57" s="1"/>
  <c r="A970" i="57"/>
  <c r="C970" i="57" s="1"/>
  <c r="A971" i="57"/>
  <c r="C971" i="57" s="1"/>
  <c r="A972" i="57"/>
  <c r="C972" i="57" s="1"/>
  <c r="A973" i="57"/>
  <c r="A974" i="57"/>
  <c r="C974" i="57" s="1"/>
  <c r="A975" i="57"/>
  <c r="C975" i="57" s="1"/>
  <c r="A976" i="57"/>
  <c r="C976" i="57" s="1"/>
  <c r="A977" i="57"/>
  <c r="C977" i="57" s="1"/>
  <c r="A978" i="57"/>
  <c r="A979" i="57"/>
  <c r="A980" i="57"/>
  <c r="C980" i="57" s="1"/>
  <c r="A981" i="57"/>
  <c r="C981" i="57" s="1"/>
  <c r="A982" i="57"/>
  <c r="C982" i="57" s="1"/>
  <c r="A983" i="57"/>
  <c r="C983" i="57" s="1"/>
  <c r="A984" i="57"/>
  <c r="C984" i="57" s="1"/>
  <c r="A985" i="57"/>
  <c r="A986" i="57"/>
  <c r="C986" i="57" s="1"/>
  <c r="A987" i="57"/>
  <c r="C987" i="57" s="1"/>
  <c r="A988" i="57"/>
  <c r="C988" i="57" s="1"/>
  <c r="A989" i="57"/>
  <c r="C989" i="57" s="1"/>
  <c r="A990" i="57"/>
  <c r="A991" i="57"/>
  <c r="C991" i="57" s="1"/>
  <c r="A992" i="57"/>
  <c r="C992" i="57" s="1"/>
  <c r="A993" i="57"/>
  <c r="C993" i="57" s="1"/>
  <c r="A994" i="57"/>
  <c r="C994" i="57" s="1"/>
  <c r="A995" i="57"/>
  <c r="C995" i="57" s="1"/>
  <c r="A996" i="57"/>
  <c r="C996" i="57" s="1"/>
  <c r="A997" i="57"/>
  <c r="A998" i="57"/>
  <c r="C998" i="57" s="1"/>
  <c r="A999" i="57"/>
  <c r="C999" i="57" s="1"/>
  <c r="A1000" i="57"/>
  <c r="C1000" i="57" s="1"/>
  <c r="A1001" i="57"/>
  <c r="C1001" i="57" s="1"/>
  <c r="A1002" i="57"/>
  <c r="C1002" i="57" s="1"/>
  <c r="A1003" i="57"/>
  <c r="A1004" i="57"/>
  <c r="C1004" i="57" s="1"/>
  <c r="A1005" i="57"/>
  <c r="C1005" i="57" s="1"/>
  <c r="A1006" i="57"/>
  <c r="C1006" i="57" s="1"/>
  <c r="A1007" i="57"/>
  <c r="C1007" i="57" s="1"/>
  <c r="A1008" i="57"/>
  <c r="A1009" i="57"/>
  <c r="A1010" i="57"/>
  <c r="C1010" i="57" s="1"/>
  <c r="A1011" i="57"/>
  <c r="C1011" i="57" s="1"/>
  <c r="A1012" i="57"/>
  <c r="C1012" i="57" s="1"/>
  <c r="A1013" i="57"/>
  <c r="C1013" i="57" s="1"/>
  <c r="A1014" i="57"/>
  <c r="C1014" i="57" s="1"/>
  <c r="A1015" i="57"/>
  <c r="C1015" i="57" s="1"/>
  <c r="A1016" i="57"/>
  <c r="C1016" i="57" s="1"/>
  <c r="A1017" i="57"/>
  <c r="C1017" i="57" s="1"/>
  <c r="A1018" i="57"/>
  <c r="C1018" i="57" s="1"/>
  <c r="A1019" i="57"/>
  <c r="C1019" i="57" s="1"/>
  <c r="A1020" i="57"/>
  <c r="C1020" i="57" s="1"/>
  <c r="A1021" i="57"/>
  <c r="A1022" i="57"/>
  <c r="C1022" i="57" s="1"/>
  <c r="A1023" i="57"/>
  <c r="C1023" i="57" s="1"/>
  <c r="A1024" i="57"/>
  <c r="C1024" i="57" s="1"/>
  <c r="A1025" i="57"/>
  <c r="C1025" i="57" s="1"/>
  <c r="A1026" i="57"/>
  <c r="C1026" i="57" s="1"/>
  <c r="A1027" i="57"/>
  <c r="A1028" i="57"/>
  <c r="C1028" i="57" s="1"/>
  <c r="A1029" i="57"/>
  <c r="C1029" i="57" s="1"/>
  <c r="A1030" i="57"/>
  <c r="C1030" i="57" s="1"/>
  <c r="A1031" i="57"/>
  <c r="C1031" i="57" s="1"/>
  <c r="A1032" i="57"/>
  <c r="C1032" i="57" s="1"/>
  <c r="A1033" i="57"/>
  <c r="A1034" i="57"/>
  <c r="C1034" i="57" s="1"/>
  <c r="A1035" i="57"/>
  <c r="C1035" i="57" s="1"/>
  <c r="A1036" i="57"/>
  <c r="C1036" i="57" s="1"/>
  <c r="A1037" i="57"/>
  <c r="C1037" i="57" s="1"/>
  <c r="A1038" i="57"/>
  <c r="C1038" i="57" s="1"/>
  <c r="A1039" i="57"/>
  <c r="A1040" i="57"/>
  <c r="C1040" i="57" s="1"/>
  <c r="A1041" i="57"/>
  <c r="C1041" i="57" s="1"/>
  <c r="A1042" i="57"/>
  <c r="C1042" i="57" s="1"/>
  <c r="A1043" i="57"/>
  <c r="C1043" i="57" s="1"/>
  <c r="A1044" i="57"/>
  <c r="C1044" i="57" s="1"/>
  <c r="A1045" i="57"/>
  <c r="A1046" i="57"/>
  <c r="C1046" i="57" s="1"/>
  <c r="A1047" i="57"/>
  <c r="C1047" i="57" s="1"/>
  <c r="A1048" i="57"/>
  <c r="C1048" i="57" s="1"/>
  <c r="A1049" i="57"/>
  <c r="C1049" i="57" s="1"/>
  <c r="A1050" i="57"/>
  <c r="C1050" i="57" s="1"/>
  <c r="A1051" i="57"/>
  <c r="A1052" i="57"/>
  <c r="C1052" i="57" s="1"/>
  <c r="A1053" i="57"/>
  <c r="C1053" i="57" s="1"/>
  <c r="A1054" i="57"/>
  <c r="C1054" i="57" s="1"/>
  <c r="A1055" i="57"/>
  <c r="C1055" i="57" s="1"/>
  <c r="A1056" i="57"/>
  <c r="C1056" i="57" s="1"/>
  <c r="A1057" i="57"/>
  <c r="A1058" i="57"/>
  <c r="C1058" i="57" s="1"/>
  <c r="A1059" i="57"/>
  <c r="C1059" i="57" s="1"/>
  <c r="A1060" i="57"/>
  <c r="C1060" i="57" s="1"/>
  <c r="A1061" i="57"/>
  <c r="C1061" i="57" s="1"/>
  <c r="A1062" i="57"/>
  <c r="C1062" i="57" s="1"/>
  <c r="A1063" i="57"/>
  <c r="A1064" i="57"/>
  <c r="C1064" i="57" s="1"/>
  <c r="A1065" i="57"/>
  <c r="C1065" i="57" s="1"/>
  <c r="A1066" i="57"/>
  <c r="C1066" i="57" s="1"/>
  <c r="A1067" i="57"/>
  <c r="C1067" i="57" s="1"/>
  <c r="A1068" i="57"/>
  <c r="C1068" i="57" s="1"/>
  <c r="A1069" i="57"/>
  <c r="A1070" i="57"/>
  <c r="C1070" i="57" s="1"/>
  <c r="A1071" i="57"/>
  <c r="C1071" i="57" s="1"/>
  <c r="A1072" i="57"/>
  <c r="C1072" i="57" s="1"/>
  <c r="A1073" i="57"/>
  <c r="C1073" i="57" s="1"/>
  <c r="A1074" i="57"/>
  <c r="C1074" i="57" s="1"/>
  <c r="A1075" i="57"/>
  <c r="A1076" i="57"/>
  <c r="C1076" i="57" s="1"/>
  <c r="A1077" i="57"/>
  <c r="C1077" i="57" s="1"/>
  <c r="A1078" i="57"/>
  <c r="C1078" i="57" s="1"/>
  <c r="A1079" i="57"/>
  <c r="C1079" i="57" s="1"/>
  <c r="A1080" i="57"/>
  <c r="C1080" i="57" s="1"/>
  <c r="A1081" i="57"/>
  <c r="A1082" i="57"/>
  <c r="C1082" i="57" s="1"/>
  <c r="A1083" i="57"/>
  <c r="C1083" i="57" s="1"/>
  <c r="A1084" i="57"/>
  <c r="C1084" i="57" s="1"/>
  <c r="A1085" i="57"/>
  <c r="C1085" i="57" s="1"/>
  <c r="A1086" i="57"/>
  <c r="A1087" i="57"/>
  <c r="A1088" i="57"/>
  <c r="C1088" i="57" s="1"/>
  <c r="A1089" i="57"/>
  <c r="C1089" i="57" s="1"/>
  <c r="A1090" i="57"/>
  <c r="C1090" i="57" s="1"/>
  <c r="A1091" i="57"/>
  <c r="C1091" i="57" s="1"/>
  <c r="A1092" i="57"/>
  <c r="C1092" i="57" s="1"/>
  <c r="A1093" i="57"/>
  <c r="C1093" i="57" s="1"/>
  <c r="A1094" i="57"/>
  <c r="C1094" i="57" s="1"/>
  <c r="A1095" i="57"/>
  <c r="C1095" i="57" s="1"/>
  <c r="A1096" i="57"/>
  <c r="C1096" i="57" s="1"/>
  <c r="A1097" i="57"/>
  <c r="C1097" i="57" s="1"/>
  <c r="A1098" i="57"/>
  <c r="A1099" i="57"/>
  <c r="A1100" i="57"/>
  <c r="C1100" i="57" s="1"/>
  <c r="A1101" i="57"/>
  <c r="C1101" i="57" s="1"/>
  <c r="A1102" i="57"/>
  <c r="C1102" i="57" s="1"/>
  <c r="A1103" i="57"/>
  <c r="C1103" i="57" s="1"/>
  <c r="A1104" i="57"/>
  <c r="C1104" i="57" s="1"/>
  <c r="A1105" i="57"/>
  <c r="A1106" i="57"/>
  <c r="C1106" i="57" s="1"/>
  <c r="A1107" i="57"/>
  <c r="C1107" i="57" s="1"/>
  <c r="A1108" i="57"/>
  <c r="C1108" i="57" s="1"/>
  <c r="A1109" i="57"/>
  <c r="C1109" i="57" s="1"/>
  <c r="A1110" i="57"/>
  <c r="C1110" i="57" s="1"/>
  <c r="A1111" i="57"/>
  <c r="A1112" i="57"/>
  <c r="C1112" i="57" s="1"/>
  <c r="A1113" i="57"/>
  <c r="C1113" i="57" s="1"/>
  <c r="A1114" i="57"/>
  <c r="C1114" i="57" s="1"/>
  <c r="A1115" i="57"/>
  <c r="C1115" i="57" s="1"/>
  <c r="A1116" i="57"/>
  <c r="C1116" i="57" s="1"/>
  <c r="A1117" i="57"/>
  <c r="A1118" i="57"/>
  <c r="C1118" i="57" s="1"/>
  <c r="A1119" i="57"/>
  <c r="C1119" i="57" s="1"/>
  <c r="A1120" i="57"/>
  <c r="C1120" i="57" s="1"/>
  <c r="A1121" i="57"/>
  <c r="C1121" i="57" s="1"/>
  <c r="A1122" i="57"/>
  <c r="C1122" i="57" s="1"/>
  <c r="A1123" i="57"/>
  <c r="A1124" i="57"/>
  <c r="C1124" i="57" s="1"/>
  <c r="A1125" i="57"/>
  <c r="C1125" i="57" s="1"/>
  <c r="A1126" i="57"/>
  <c r="C1126" i="57" s="1"/>
  <c r="A1127" i="57"/>
  <c r="C1127" i="57" s="1"/>
  <c r="A1128" i="57"/>
  <c r="C1128" i="57" s="1"/>
  <c r="A1129" i="57"/>
  <c r="A1130" i="57"/>
  <c r="C1130" i="57" s="1"/>
  <c r="A1131" i="57"/>
  <c r="C1131" i="57" s="1"/>
  <c r="A1132" i="57"/>
  <c r="C1132" i="57" s="1"/>
  <c r="A1133" i="57"/>
  <c r="C1133" i="57" s="1"/>
  <c r="A1134" i="57"/>
  <c r="C1134" i="57" s="1"/>
  <c r="A1135" i="57"/>
  <c r="C1135" i="57" s="1"/>
  <c r="A1136" i="57"/>
  <c r="C1136" i="57" s="1"/>
  <c r="A1137" i="57"/>
  <c r="C1137" i="57" s="1"/>
  <c r="A1138" i="57"/>
  <c r="C1138" i="57" s="1"/>
  <c r="A1139" i="57"/>
  <c r="C1139" i="57" s="1"/>
  <c r="A1140" i="57"/>
  <c r="C1140" i="57" s="1"/>
  <c r="A1141" i="57"/>
  <c r="A1142" i="57"/>
  <c r="C1142" i="57" s="1"/>
  <c r="A1143" i="57"/>
  <c r="C1143" i="57" s="1"/>
  <c r="A1144" i="57"/>
  <c r="C1144" i="57" s="1"/>
  <c r="A1145" i="57"/>
  <c r="C1145" i="57" s="1"/>
  <c r="A1146" i="57"/>
  <c r="C1146" i="57" s="1"/>
  <c r="A1147" i="57"/>
  <c r="A1148" i="57"/>
  <c r="C1148" i="57" s="1"/>
  <c r="A1149" i="57"/>
  <c r="C1149" i="57" s="1"/>
  <c r="A1150" i="57"/>
  <c r="C1150" i="57" s="1"/>
  <c r="A1151" i="57"/>
  <c r="C1151" i="57" s="1"/>
  <c r="A1152" i="57"/>
  <c r="C1152" i="57" s="1"/>
  <c r="A1153" i="57"/>
  <c r="A1154" i="57"/>
  <c r="C1154" i="57" s="1"/>
  <c r="A1155" i="57"/>
  <c r="C1155" i="57" s="1"/>
  <c r="A1156" i="57"/>
  <c r="C1156" i="57" s="1"/>
  <c r="A1157" i="57"/>
  <c r="C1157" i="57" s="1"/>
  <c r="A1158" i="57"/>
  <c r="C1158" i="57" s="1"/>
  <c r="A1159" i="57"/>
  <c r="A1160" i="57"/>
  <c r="C1160" i="57" s="1"/>
  <c r="A1161" i="57"/>
  <c r="C1161" i="57" s="1"/>
  <c r="A1162" i="57"/>
  <c r="C1162" i="57" s="1"/>
  <c r="A1163" i="57"/>
  <c r="C1163" i="57" s="1"/>
  <c r="A1164" i="57"/>
  <c r="C1164" i="57" s="1"/>
  <c r="A1165" i="57"/>
  <c r="A1166" i="57"/>
  <c r="C1166" i="57" s="1"/>
  <c r="A1167" i="57"/>
  <c r="C1167" i="57" s="1"/>
  <c r="A1168" i="57"/>
  <c r="C1168" i="57" s="1"/>
  <c r="A1169" i="57"/>
  <c r="C1169" i="57" s="1"/>
  <c r="A1170" i="57"/>
  <c r="C1170" i="57" s="1"/>
  <c r="A1171" i="57"/>
  <c r="A1172" i="57"/>
  <c r="C1172" i="57" s="1"/>
  <c r="A1173" i="57"/>
  <c r="C1173" i="57" s="1"/>
  <c r="A1174" i="57"/>
  <c r="C1174" i="57" s="1"/>
  <c r="A1175" i="57"/>
  <c r="C1175" i="57" s="1"/>
  <c r="A1176" i="57"/>
  <c r="C1176" i="57" s="1"/>
  <c r="A1177" i="57"/>
  <c r="C1177" i="57" s="1"/>
  <c r="A1178" i="57"/>
  <c r="C1178" i="57" s="1"/>
  <c r="A1179" i="57"/>
  <c r="C1179" i="57" s="1"/>
  <c r="A1180" i="57"/>
  <c r="C1180" i="57" s="1"/>
  <c r="A1181" i="57"/>
  <c r="C1181" i="57" s="1"/>
  <c r="A1182" i="57"/>
  <c r="C1182" i="57" s="1"/>
  <c r="A1183" i="57"/>
  <c r="C1183" i="57" s="1"/>
  <c r="A1184" i="57"/>
  <c r="C1184" i="57" s="1"/>
  <c r="A1185" i="57"/>
  <c r="C1185" i="57" s="1"/>
  <c r="A1186" i="57"/>
  <c r="C1186" i="57" s="1"/>
  <c r="A1187" i="57"/>
  <c r="C1187" i="57" s="1"/>
  <c r="A1188" i="57"/>
  <c r="C1188" i="57" s="1"/>
  <c r="A1189" i="57"/>
  <c r="A1190" i="57"/>
  <c r="C1190" i="57" s="1"/>
  <c r="A1191" i="57"/>
  <c r="C1191" i="57" s="1"/>
  <c r="A1192" i="57"/>
  <c r="C1192" i="57" s="1"/>
  <c r="A1193" i="57"/>
  <c r="C1193" i="57" s="1"/>
  <c r="A1194" i="57"/>
  <c r="A1195" i="57"/>
  <c r="A1196" i="57"/>
  <c r="C1196" i="57" s="1"/>
  <c r="A1197" i="57"/>
  <c r="C1197" i="57" s="1"/>
  <c r="A1198" i="57"/>
  <c r="C1198" i="57" s="1"/>
  <c r="A1199" i="57"/>
  <c r="C1199" i="57" s="1"/>
  <c r="A1200" i="57"/>
  <c r="C1200" i="57" s="1"/>
  <c r="A1201" i="57"/>
  <c r="A1202" i="57"/>
  <c r="C1202" i="57" s="1"/>
  <c r="A1203" i="57"/>
  <c r="C1203" i="57" s="1"/>
  <c r="A1204" i="57"/>
  <c r="C1204" i="57" s="1"/>
  <c r="A1205" i="57"/>
  <c r="C1205" i="57" s="1"/>
  <c r="A1206" i="57"/>
  <c r="C1206" i="57" s="1"/>
  <c r="A1207" i="57"/>
  <c r="C1207" i="57" s="1"/>
  <c r="A1208" i="57"/>
  <c r="C1208" i="57" s="1"/>
  <c r="A1209" i="57"/>
  <c r="C1209" i="57" s="1"/>
  <c r="A1210" i="57"/>
  <c r="C1210" i="57" s="1"/>
  <c r="A1211" i="57"/>
  <c r="C1211" i="57" s="1"/>
  <c r="A1212" i="57"/>
  <c r="C1212" i="57" s="1"/>
  <c r="A1213" i="57"/>
  <c r="A1214" i="57"/>
  <c r="C1214" i="57" s="1"/>
  <c r="A1215" i="57"/>
  <c r="C1215" i="57" s="1"/>
  <c r="A1216" i="57"/>
  <c r="C1216" i="57" s="1"/>
  <c r="A1217" i="57"/>
  <c r="C1217" i="57" s="1"/>
  <c r="A1218" i="57"/>
  <c r="C1218" i="57" s="1"/>
  <c r="A1219" i="57"/>
  <c r="A1220" i="57"/>
  <c r="C1220" i="57" s="1"/>
  <c r="A1221" i="57"/>
  <c r="C1221" i="57" s="1"/>
  <c r="A1222" i="57"/>
  <c r="C1222" i="57" s="1"/>
  <c r="A1223" i="57"/>
  <c r="C1223" i="57" s="1"/>
  <c r="A1224" i="57"/>
  <c r="A1225" i="57"/>
  <c r="A1226" i="57"/>
  <c r="C1226" i="57" s="1"/>
  <c r="A1227" i="57"/>
  <c r="C1227" i="57" s="1"/>
  <c r="A1228" i="57"/>
  <c r="C1228" i="57" s="1"/>
  <c r="A1229" i="57"/>
  <c r="C1229" i="57" s="1"/>
  <c r="A1230" i="57"/>
  <c r="C1230" i="57" s="1"/>
  <c r="A1231" i="57"/>
  <c r="C1231" i="57" s="1"/>
  <c r="A1232" i="57"/>
  <c r="C1232" i="57" s="1"/>
  <c r="A1233" i="57"/>
  <c r="C1233" i="57" s="1"/>
  <c r="A1234" i="57"/>
  <c r="C1234" i="57" s="1"/>
  <c r="A1235" i="57"/>
  <c r="C1235" i="57" s="1"/>
  <c r="A1236" i="57"/>
  <c r="C1236" i="57" s="1"/>
  <c r="A1237" i="57"/>
  <c r="A1238" i="57"/>
  <c r="C1238" i="57" s="1"/>
  <c r="A1239" i="57"/>
  <c r="C1239" i="57" s="1"/>
  <c r="A1240" i="57"/>
  <c r="C1240" i="57" s="1"/>
  <c r="A1241" i="57"/>
  <c r="C1241" i="57" s="1"/>
  <c r="A1242" i="57"/>
  <c r="C1242" i="57" s="1"/>
  <c r="A1243" i="57"/>
  <c r="A1244" i="57"/>
  <c r="C1244" i="57" s="1"/>
  <c r="A1245" i="57"/>
  <c r="C1245" i="57" s="1"/>
  <c r="A1246" i="57"/>
  <c r="C1246" i="57" s="1"/>
  <c r="A1247" i="57"/>
  <c r="C1247" i="57" s="1"/>
  <c r="A1248" i="57"/>
  <c r="C1248" i="57" s="1"/>
  <c r="A1249" i="57"/>
  <c r="C1249" i="57" s="1"/>
  <c r="A1250" i="57"/>
  <c r="C1250" i="57" s="1"/>
  <c r="A1251" i="57"/>
  <c r="C1251" i="57" s="1"/>
  <c r="A1252" i="57"/>
  <c r="C1252" i="57" s="1"/>
  <c r="A1253" i="57"/>
  <c r="C1253" i="57" s="1"/>
  <c r="A1254" i="57"/>
  <c r="C1254" i="57" s="1"/>
  <c r="A1255" i="57"/>
  <c r="C1255" i="57" s="1"/>
  <c r="A1256" i="57"/>
  <c r="C1256" i="57" s="1"/>
  <c r="A1257" i="57"/>
  <c r="C1257" i="57" s="1"/>
  <c r="A1258" i="57"/>
  <c r="C1258" i="57" s="1"/>
  <c r="A1259" i="57"/>
  <c r="C1259" i="57" s="1"/>
  <c r="A1260" i="57"/>
  <c r="C1260" i="57" s="1"/>
  <c r="A1261" i="57"/>
  <c r="A1262" i="57"/>
  <c r="C1262" i="57" s="1"/>
  <c r="A1263" i="57"/>
  <c r="C1263" i="57" s="1"/>
  <c r="A1264" i="57"/>
  <c r="C1264" i="57" s="1"/>
  <c r="A1265" i="57"/>
  <c r="C1265" i="57" s="1"/>
  <c r="A1266" i="57"/>
  <c r="C1266" i="57" s="1"/>
  <c r="A1267" i="57"/>
  <c r="A1268" i="57"/>
  <c r="C1268" i="57" s="1"/>
  <c r="A1269" i="57"/>
  <c r="C1269" i="57" s="1"/>
  <c r="A1270" i="57"/>
  <c r="C1270" i="57" s="1"/>
  <c r="A1271" i="57"/>
  <c r="C1271" i="57" s="1"/>
  <c r="A1272" i="57"/>
  <c r="C1272" i="57" s="1"/>
  <c r="A1273" i="57"/>
  <c r="C1273" i="57" s="1"/>
  <c r="A1274" i="57"/>
  <c r="C1274" i="57" s="1"/>
  <c r="A1275" i="57"/>
  <c r="C1275" i="57" s="1"/>
  <c r="A1276" i="57"/>
  <c r="C1276" i="57" s="1"/>
  <c r="A1277" i="57"/>
  <c r="C1277" i="57" s="1"/>
  <c r="A1278" i="57"/>
  <c r="C1278" i="57" s="1"/>
  <c r="A1279" i="57"/>
  <c r="C1279" i="57" s="1"/>
  <c r="A1280" i="57"/>
  <c r="C1280" i="57" s="1"/>
  <c r="A1281" i="57"/>
  <c r="C1281" i="57" s="1"/>
  <c r="A1282" i="57"/>
  <c r="C1282" i="57" s="1"/>
  <c r="A1283" i="57"/>
  <c r="C1283" i="57" s="1"/>
  <c r="A1284" i="57"/>
  <c r="C1284" i="57" s="1"/>
  <c r="A1285" i="57"/>
  <c r="A1286" i="57"/>
  <c r="C1286" i="57" s="1"/>
  <c r="A1287" i="57"/>
  <c r="C1287" i="57" s="1"/>
  <c r="A1288" i="57"/>
  <c r="C1288" i="57" s="1"/>
  <c r="A1289" i="57"/>
  <c r="C1289" i="57" s="1"/>
  <c r="A1290" i="57"/>
  <c r="C1290" i="57" s="1"/>
  <c r="A1291" i="57"/>
  <c r="A1292" i="57"/>
  <c r="C1292" i="57" s="1"/>
  <c r="A1293" i="57"/>
  <c r="C1293" i="57" s="1"/>
  <c r="A1294" i="57"/>
  <c r="C1294" i="57" s="1"/>
  <c r="A1295" i="57"/>
  <c r="C1295" i="57" s="1"/>
  <c r="A1296" i="57"/>
  <c r="C1296" i="57" s="1"/>
  <c r="A1297" i="57"/>
  <c r="A1298" i="57"/>
  <c r="C1298" i="57" s="1"/>
  <c r="A1299" i="57"/>
  <c r="C1299" i="57" s="1"/>
  <c r="A1300" i="57"/>
  <c r="C1300" i="57" s="1"/>
  <c r="A1301" i="57"/>
  <c r="C1301" i="57" s="1"/>
  <c r="A1302" i="57"/>
  <c r="A1303" i="57"/>
  <c r="C1303" i="57" s="1"/>
  <c r="A1304" i="57"/>
  <c r="C1304" i="57" s="1"/>
  <c r="A1305" i="57"/>
  <c r="C1305" i="57" s="1"/>
  <c r="A1306" i="57"/>
  <c r="C1306" i="57" s="1"/>
  <c r="A1307" i="57"/>
  <c r="C1307" i="57" s="1"/>
  <c r="A1308" i="57"/>
  <c r="C1308" i="57" s="1"/>
  <c r="A1309" i="57"/>
  <c r="A1310" i="57"/>
  <c r="C1310" i="57" s="1"/>
  <c r="A1311" i="57"/>
  <c r="C1311" i="57" s="1"/>
  <c r="A1312" i="57"/>
  <c r="C1312" i="57" s="1"/>
  <c r="A1313" i="57"/>
  <c r="C1313" i="57" s="1"/>
  <c r="A1314" i="57"/>
  <c r="C1314" i="57" s="1"/>
  <c r="A1315" i="57"/>
  <c r="A1316" i="57"/>
  <c r="C1316" i="57" s="1"/>
  <c r="A1317" i="57"/>
  <c r="C1317" i="57" s="1"/>
  <c r="A1318" i="57"/>
  <c r="C1318" i="57" s="1"/>
  <c r="A1319" i="57"/>
  <c r="C1319" i="57" s="1"/>
  <c r="A1320" i="57"/>
  <c r="C1320" i="57" s="1"/>
  <c r="A1321" i="57"/>
  <c r="A1322" i="57"/>
  <c r="C1322" i="57" s="1"/>
  <c r="A1323" i="57"/>
  <c r="C1323" i="57" s="1"/>
  <c r="A1324" i="57"/>
  <c r="C1324" i="57" s="1"/>
  <c r="A1325" i="57"/>
  <c r="C1325" i="57" s="1"/>
  <c r="A1326" i="57"/>
  <c r="C1326" i="57" s="1"/>
  <c r="A1327" i="57"/>
  <c r="A1328" i="57"/>
  <c r="C1328" i="57" s="1"/>
  <c r="A1329" i="57"/>
  <c r="C1329" i="57" s="1"/>
  <c r="A1330" i="57"/>
  <c r="C1330" i="57" s="1"/>
  <c r="A1331" i="57"/>
  <c r="C1331" i="57" s="1"/>
  <c r="A1332" i="57"/>
  <c r="C1332" i="57" s="1"/>
  <c r="A1333" i="57"/>
  <c r="A1334" i="57"/>
  <c r="C1334" i="57" s="1"/>
  <c r="A1335" i="57"/>
  <c r="C1335" i="57" s="1"/>
  <c r="A1336" i="57"/>
  <c r="C1336" i="57" s="1"/>
  <c r="A1337" i="57"/>
  <c r="C1337" i="57" s="1"/>
  <c r="A1338" i="57"/>
  <c r="C1338" i="57" s="1"/>
  <c r="A1339" i="57"/>
  <c r="C1339" i="57" s="1"/>
  <c r="A1340" i="57"/>
  <c r="C1340" i="57" s="1"/>
  <c r="A1341" i="57"/>
  <c r="C1341" i="57" s="1"/>
  <c r="A1342" i="57"/>
  <c r="C1342" i="57" s="1"/>
  <c r="A1343" i="57"/>
  <c r="C1343" i="57" s="1"/>
  <c r="A1344" i="57"/>
  <c r="C1344" i="57" s="1"/>
  <c r="A1345" i="57"/>
  <c r="A1346" i="57"/>
  <c r="C1346" i="57" s="1"/>
  <c r="A1347" i="57"/>
  <c r="C1347" i="57" s="1"/>
  <c r="A1348" i="57"/>
  <c r="C1348" i="57" s="1"/>
  <c r="A1349" i="57"/>
  <c r="C1349" i="57" s="1"/>
  <c r="A1350" i="57"/>
  <c r="C1350" i="57" s="1"/>
  <c r="A1351" i="57"/>
  <c r="A1352" i="57"/>
  <c r="C1352" i="57" s="1"/>
  <c r="A1353" i="57"/>
  <c r="C1353" i="57" s="1"/>
  <c r="A1354" i="57"/>
  <c r="C1354" i="57" s="1"/>
  <c r="A1355" i="57"/>
  <c r="C1355" i="57" s="1"/>
  <c r="A1356" i="57"/>
  <c r="C1356" i="57" s="1"/>
  <c r="A1357" i="57"/>
  <c r="C1357" i="57" s="1"/>
  <c r="A1358" i="57"/>
  <c r="C1358" i="57" s="1"/>
  <c r="A1359" i="57"/>
  <c r="C1359" i="57" s="1"/>
  <c r="A1360" i="57"/>
  <c r="C1360" i="57" s="1"/>
  <c r="A1361" i="57"/>
  <c r="C1361" i="57" s="1"/>
  <c r="A1362" i="57"/>
  <c r="C1362" i="57" s="1"/>
  <c r="A1363" i="57"/>
  <c r="A1364" i="57"/>
  <c r="C1364" i="57" s="1"/>
  <c r="A1365" i="57"/>
  <c r="C1365" i="57" s="1"/>
  <c r="A1366" i="57"/>
  <c r="C1366" i="57" s="1"/>
  <c r="A1367" i="57"/>
  <c r="C1367" i="57" s="1"/>
  <c r="A1368" i="57"/>
  <c r="C1368" i="57" s="1"/>
  <c r="A1369" i="57"/>
  <c r="A1370" i="57"/>
  <c r="C1370" i="57" s="1"/>
  <c r="A1371" i="57"/>
  <c r="C1371" i="57" s="1"/>
  <c r="A1372" i="57"/>
  <c r="C1372" i="57" s="1"/>
  <c r="A1373" i="57"/>
  <c r="C1373" i="57" s="1"/>
  <c r="A1374" i="57"/>
  <c r="C1374" i="57" s="1"/>
  <c r="A1375" i="57"/>
  <c r="C1375" i="57" s="1"/>
  <c r="A1376" i="57"/>
  <c r="C1376" i="57" s="1"/>
  <c r="A1377" i="57"/>
  <c r="C1377" i="57" s="1"/>
  <c r="A1378" i="57"/>
  <c r="C1378" i="57" s="1"/>
  <c r="A1379" i="57"/>
  <c r="C1379" i="57" s="1"/>
  <c r="A1380" i="57"/>
  <c r="C1380" i="57" s="1"/>
  <c r="A1381" i="57"/>
  <c r="C1381" i="57" s="1"/>
  <c r="A1382" i="57"/>
  <c r="C1382" i="57" s="1"/>
  <c r="A1383" i="57"/>
  <c r="C1383" i="57" s="1"/>
  <c r="A1384" i="57"/>
  <c r="C1384" i="57" s="1"/>
  <c r="A1385" i="57"/>
  <c r="C1385" i="57" s="1"/>
  <c r="A1386" i="57"/>
  <c r="C1386" i="57" s="1"/>
  <c r="A1387" i="57"/>
  <c r="A1388" i="57"/>
  <c r="C1388" i="57" s="1"/>
  <c r="A1389" i="57"/>
  <c r="C1389" i="57" s="1"/>
  <c r="A1390" i="57"/>
  <c r="C1390" i="57" s="1"/>
  <c r="A1391" i="57"/>
  <c r="C1391" i="57" s="1"/>
  <c r="A1392" i="57"/>
  <c r="C1392" i="57" s="1"/>
  <c r="A1393" i="57"/>
  <c r="A1394" i="57"/>
  <c r="C1394" i="57" s="1"/>
  <c r="A1395" i="57"/>
  <c r="C1395" i="57" s="1"/>
  <c r="A1396" i="57"/>
  <c r="C1396" i="57" s="1"/>
  <c r="A1397" i="57"/>
  <c r="C1397" i="57" s="1"/>
  <c r="A1398" i="57"/>
  <c r="C1398" i="57" s="1"/>
  <c r="A1399" i="57"/>
  <c r="A1400" i="57"/>
  <c r="C1400" i="57" s="1"/>
  <c r="A1401" i="57"/>
  <c r="C1401" i="57" s="1"/>
  <c r="A1402" i="57"/>
  <c r="C1402" i="57" s="1"/>
  <c r="A1403" i="57"/>
  <c r="C1403" i="57" s="1"/>
  <c r="A1404" i="57"/>
  <c r="C1404" i="57" s="1"/>
  <c r="A1405" i="57"/>
  <c r="C1405" i="57" s="1"/>
  <c r="A1406" i="57"/>
  <c r="C1406" i="57" s="1"/>
  <c r="A1407" i="57"/>
  <c r="C1407" i="57" s="1"/>
  <c r="A1408" i="57"/>
  <c r="C1408" i="57" s="1"/>
  <c r="A1409" i="57"/>
  <c r="C1409" i="57" s="1"/>
  <c r="A1410" i="57"/>
  <c r="A1411" i="57"/>
  <c r="A1412" i="57"/>
  <c r="C1412" i="57" s="1"/>
  <c r="A1413" i="57"/>
  <c r="C1413" i="57" s="1"/>
  <c r="A1414" i="57"/>
  <c r="C1414" i="57" s="1"/>
  <c r="A1415" i="57"/>
  <c r="C1415" i="57" s="1"/>
  <c r="A1416" i="57"/>
  <c r="C1416" i="57" s="1"/>
  <c r="A1417" i="57"/>
  <c r="A1418" i="57"/>
  <c r="C1418" i="57" s="1"/>
  <c r="A1419" i="57"/>
  <c r="C1419" i="57" s="1"/>
  <c r="A1420" i="57"/>
  <c r="C1420" i="57" s="1"/>
  <c r="A1421" i="57"/>
  <c r="C1421" i="57" s="1"/>
  <c r="A1422" i="57"/>
  <c r="A1423" i="57"/>
  <c r="A1424" i="57"/>
  <c r="C1424" i="57" s="1"/>
  <c r="A1425" i="57"/>
  <c r="C1425" i="57" s="1"/>
  <c r="A1426" i="57"/>
  <c r="C1426" i="57" s="1"/>
  <c r="A1427" i="57"/>
  <c r="C1427" i="57" s="1"/>
  <c r="A1428" i="57"/>
  <c r="C1428" i="57" s="1"/>
  <c r="A1429" i="57"/>
  <c r="C1429" i="57" s="1"/>
  <c r="A1430" i="57"/>
  <c r="C1430" i="57" s="1"/>
  <c r="A1431" i="57"/>
  <c r="C1431" i="57" s="1"/>
  <c r="A1432" i="57"/>
  <c r="C1432" i="57" s="1"/>
  <c r="A1433" i="57"/>
  <c r="C1433" i="57" s="1"/>
  <c r="A1434" i="57"/>
  <c r="C1434" i="57" s="1"/>
  <c r="A1435" i="57"/>
  <c r="C1435" i="57" s="1"/>
  <c r="A1436" i="57"/>
  <c r="C1436" i="57" s="1"/>
  <c r="A1437" i="57"/>
  <c r="C1437" i="57" s="1"/>
  <c r="A1438" i="57"/>
  <c r="C1438" i="57" s="1"/>
  <c r="A1439" i="57"/>
  <c r="C1439" i="57" s="1"/>
  <c r="A1440" i="57"/>
  <c r="C1440" i="57" s="1"/>
  <c r="A1441" i="57"/>
  <c r="A1442" i="57"/>
  <c r="C1442" i="57" s="1"/>
  <c r="A1443" i="57"/>
  <c r="C1443" i="57" s="1"/>
  <c r="A1444" i="57"/>
  <c r="C1444" i="57" s="1"/>
  <c r="A1445" i="57"/>
  <c r="C1445" i="57" s="1"/>
  <c r="A11" i="57"/>
  <c r="C11" i="57" s="1"/>
  <c r="H12" i="57"/>
  <c r="H13" i="57"/>
  <c r="H14" i="57"/>
  <c r="H16" i="57"/>
  <c r="H34" i="57"/>
  <c r="H40" i="57"/>
  <c r="H45" i="57"/>
  <c r="H46" i="57"/>
  <c r="H52" i="57"/>
  <c r="H58" i="57"/>
  <c r="H63" i="57"/>
  <c r="H64" i="57"/>
  <c r="H69" i="57"/>
  <c r="H70" i="57"/>
  <c r="H76" i="57"/>
  <c r="H82" i="57"/>
  <c r="H88" i="57"/>
  <c r="H93" i="57"/>
  <c r="H94" i="57"/>
  <c r="H100" i="57"/>
  <c r="H106" i="57"/>
  <c r="H130" i="57"/>
  <c r="H160" i="57"/>
  <c r="H184" i="57"/>
  <c r="H220" i="57"/>
  <c r="H232" i="57"/>
  <c r="H243" i="57"/>
  <c r="H308" i="57"/>
  <c r="H328" i="57"/>
  <c r="H351" i="57"/>
  <c r="H352" i="57"/>
  <c r="H370" i="57"/>
  <c r="H412" i="57"/>
  <c r="H472" i="57"/>
  <c r="H496" i="57"/>
  <c r="H514" i="57"/>
  <c r="H524" i="57"/>
  <c r="H526" i="57"/>
  <c r="H556" i="57"/>
  <c r="H598" i="57"/>
  <c r="H610" i="57"/>
  <c r="H628" i="57"/>
  <c r="H639" i="57"/>
  <c r="H711" i="57"/>
  <c r="H724" i="57"/>
  <c r="H740" i="57"/>
  <c r="H760" i="57"/>
  <c r="H772" i="57"/>
  <c r="H777" i="57"/>
  <c r="H784" i="57"/>
  <c r="H813" i="57"/>
  <c r="H880" i="57"/>
  <c r="H891" i="57"/>
  <c r="H902" i="57"/>
  <c r="H916" i="57"/>
  <c r="H927" i="57"/>
  <c r="H940" i="57"/>
  <c r="H1046" i="57"/>
  <c r="H1136" i="57"/>
  <c r="H1156" i="57"/>
  <c r="H1206" i="57"/>
  <c r="H1226" i="57"/>
  <c r="H1245" i="57"/>
  <c r="H1312" i="57"/>
  <c r="H1353" i="57"/>
  <c r="H956" i="57" l="1"/>
  <c r="H1298" i="57"/>
  <c r="H1208" i="57"/>
  <c r="H1132" i="57"/>
  <c r="H1042" i="57"/>
  <c r="H266" i="57"/>
  <c r="H200" i="57"/>
  <c r="H128" i="57"/>
  <c r="H92" i="57"/>
  <c r="H1280" i="57"/>
  <c r="H1100" i="57"/>
  <c r="H1028" i="57"/>
  <c r="H938" i="57"/>
  <c r="H884" i="57"/>
  <c r="H122" i="57"/>
  <c r="H1352" i="57"/>
  <c r="H1262" i="57"/>
  <c r="H1172" i="57"/>
  <c r="H1096" i="57"/>
  <c r="H1010" i="57"/>
  <c r="H662" i="57"/>
  <c r="H236" i="57"/>
  <c r="H164" i="57"/>
  <c r="H62" i="57"/>
  <c r="H1334" i="57"/>
  <c r="H992" i="57"/>
  <c r="H770" i="57"/>
  <c r="H446" i="57"/>
  <c r="H1082" i="57"/>
  <c r="H920" i="57"/>
  <c r="H866" i="57"/>
  <c r="H554" i="57"/>
  <c r="H338" i="57"/>
  <c r="H1316" i="57"/>
  <c r="H1244" i="57"/>
  <c r="H1154" i="57"/>
  <c r="H1064" i="57"/>
  <c r="H974" i="57"/>
  <c r="H848" i="57"/>
  <c r="H632" i="57"/>
  <c r="H416" i="57"/>
  <c r="H230" i="57"/>
  <c r="H158" i="57"/>
  <c r="H1372" i="57"/>
  <c r="H1370" i="57"/>
  <c r="H1442" i="57"/>
  <c r="H1317" i="57"/>
  <c r="H1258" i="57"/>
  <c r="H1190" i="57"/>
  <c r="H1118" i="57"/>
  <c r="H1388" i="57"/>
  <c r="H1116" i="57"/>
  <c r="H817" i="57"/>
  <c r="H402" i="57"/>
  <c r="H66" i="57"/>
  <c r="H1424" i="57"/>
  <c r="H1348" i="57"/>
  <c r="H1406" i="57"/>
  <c r="H403" i="57"/>
  <c r="H1207" i="57"/>
  <c r="H1249" i="57"/>
  <c r="H991" i="57"/>
  <c r="H205" i="57"/>
  <c r="C1441" i="57"/>
  <c r="H1441" i="57"/>
  <c r="C1417" i="57"/>
  <c r="H1417" i="57"/>
  <c r="C1393" i="57"/>
  <c r="H1393" i="57"/>
  <c r="C1369" i="57"/>
  <c r="H1369" i="57"/>
  <c r="C1285" i="57"/>
  <c r="H1285" i="57"/>
  <c r="C1213" i="57"/>
  <c r="H1213" i="57"/>
  <c r="C1171" i="57"/>
  <c r="H1171" i="57"/>
  <c r="C1147" i="57"/>
  <c r="H1147" i="57"/>
  <c r="C1123" i="57"/>
  <c r="H1123" i="57"/>
  <c r="C1105" i="57"/>
  <c r="H1105" i="57"/>
  <c r="C1075" i="57"/>
  <c r="H1075" i="57"/>
  <c r="C1045" i="57"/>
  <c r="H1045" i="57"/>
  <c r="C997" i="57"/>
  <c r="H997" i="57"/>
  <c r="C973" i="57"/>
  <c r="H973" i="57"/>
  <c r="C955" i="57"/>
  <c r="H955" i="57"/>
  <c r="C925" i="57"/>
  <c r="H925" i="57"/>
  <c r="C883" i="57"/>
  <c r="H883" i="57"/>
  <c r="C871" i="57"/>
  <c r="H871" i="57"/>
  <c r="C853" i="57"/>
  <c r="H853" i="57"/>
  <c r="C835" i="57"/>
  <c r="H835" i="57"/>
  <c r="C823" i="57"/>
  <c r="H823" i="57"/>
  <c r="C805" i="57"/>
  <c r="H805" i="57"/>
  <c r="C793" i="57"/>
  <c r="H793" i="57"/>
  <c r="C775" i="57"/>
  <c r="H775" i="57"/>
  <c r="C757" i="57"/>
  <c r="H757" i="57"/>
  <c r="C739" i="57"/>
  <c r="H739" i="57"/>
  <c r="C727" i="57"/>
  <c r="H727" i="57"/>
  <c r="C703" i="57"/>
  <c r="H703" i="57"/>
  <c r="C685" i="57"/>
  <c r="H685" i="57"/>
  <c r="C649" i="57"/>
  <c r="H649" i="57"/>
  <c r="C547" i="57"/>
  <c r="H547" i="57"/>
  <c r="C529" i="57"/>
  <c r="H529" i="57"/>
  <c r="C511" i="57"/>
  <c r="H511" i="57"/>
  <c r="C379" i="57"/>
  <c r="H379" i="57"/>
  <c r="C361" i="57"/>
  <c r="H361" i="57"/>
  <c r="C343" i="57"/>
  <c r="H343" i="57"/>
  <c r="C325" i="57"/>
  <c r="H325" i="57"/>
  <c r="C253" i="57"/>
  <c r="H253" i="57"/>
  <c r="C217" i="57"/>
  <c r="H217" i="57"/>
  <c r="C199" i="57"/>
  <c r="H199" i="57"/>
  <c r="C187" i="57"/>
  <c r="H187" i="57"/>
  <c r="C163" i="57"/>
  <c r="H163" i="57"/>
  <c r="C121" i="57"/>
  <c r="H121" i="57"/>
  <c r="C97" i="57"/>
  <c r="H97" i="57"/>
  <c r="C55" i="57"/>
  <c r="H55" i="57"/>
  <c r="C43" i="57"/>
  <c r="H43" i="57"/>
  <c r="C31" i="57"/>
  <c r="H31" i="57"/>
  <c r="H1405" i="57"/>
  <c r="H1279" i="57"/>
  <c r="H919" i="57"/>
  <c r="C1411" i="57"/>
  <c r="H1411" i="57"/>
  <c r="C1363" i="57"/>
  <c r="H1363" i="57"/>
  <c r="C1345" i="57"/>
  <c r="H1345" i="57"/>
  <c r="C1321" i="57"/>
  <c r="H1321" i="57"/>
  <c r="C1297" i="57"/>
  <c r="H1297" i="57"/>
  <c r="C1291" i="57"/>
  <c r="H1291" i="57"/>
  <c r="C1267" i="57"/>
  <c r="H1267" i="57"/>
  <c r="C1243" i="57"/>
  <c r="H1243" i="57"/>
  <c r="C1219" i="57"/>
  <c r="H1219" i="57"/>
  <c r="C1195" i="57"/>
  <c r="H1195" i="57"/>
  <c r="C1153" i="57"/>
  <c r="H1153" i="57"/>
  <c r="C1069" i="57"/>
  <c r="H1069" i="57"/>
  <c r="C1051" i="57"/>
  <c r="H1051" i="57"/>
  <c r="C1033" i="57"/>
  <c r="H1033" i="57"/>
  <c r="C1009" i="57"/>
  <c r="H1009" i="57"/>
  <c r="C979" i="57"/>
  <c r="H979" i="57"/>
  <c r="C937" i="57"/>
  <c r="H937" i="57"/>
  <c r="C859" i="57"/>
  <c r="H859" i="57"/>
  <c r="C637" i="57"/>
  <c r="H637" i="57"/>
  <c r="H1357" i="57"/>
  <c r="H691" i="57"/>
  <c r="H1273" i="57"/>
  <c r="H745" i="57"/>
  <c r="H1435" i="57"/>
  <c r="H1381" i="57"/>
  <c r="H1231" i="57"/>
  <c r="H1183" i="57"/>
  <c r="H1135" i="57"/>
  <c r="H1093" i="57"/>
  <c r="H1015" i="57"/>
  <c r="H877" i="57"/>
  <c r="H661" i="57"/>
  <c r="H583" i="57"/>
  <c r="H505" i="57"/>
  <c r="H427" i="57"/>
  <c r="H301" i="57"/>
  <c r="H181" i="57"/>
  <c r="C1387" i="57"/>
  <c r="H1387" i="57"/>
  <c r="C1333" i="57"/>
  <c r="H1333" i="57"/>
  <c r="C1315" i="57"/>
  <c r="H1315" i="57"/>
  <c r="C1261" i="57"/>
  <c r="H1261" i="57"/>
  <c r="C1237" i="57"/>
  <c r="H1237" i="57"/>
  <c r="C1159" i="57"/>
  <c r="H1159" i="57"/>
  <c r="C1141" i="57"/>
  <c r="H1141" i="57"/>
  <c r="C1129" i="57"/>
  <c r="H1129" i="57"/>
  <c r="C1111" i="57"/>
  <c r="H1111" i="57"/>
  <c r="C1087" i="57"/>
  <c r="H1087" i="57"/>
  <c r="C1063" i="57"/>
  <c r="H1063" i="57"/>
  <c r="C1039" i="57"/>
  <c r="H1039" i="57"/>
  <c r="C1021" i="57"/>
  <c r="H1021" i="57"/>
  <c r="C1003" i="57"/>
  <c r="H1003" i="57"/>
  <c r="C985" i="57"/>
  <c r="H985" i="57"/>
  <c r="C967" i="57"/>
  <c r="H967" i="57"/>
  <c r="C949" i="57"/>
  <c r="H949" i="57"/>
  <c r="C931" i="57"/>
  <c r="H931" i="57"/>
  <c r="C913" i="57"/>
  <c r="H913" i="57"/>
  <c r="C907" i="57"/>
  <c r="H907" i="57"/>
  <c r="C889" i="57"/>
  <c r="H889" i="57"/>
  <c r="C865" i="57"/>
  <c r="H865" i="57"/>
  <c r="C847" i="57"/>
  <c r="H847" i="57"/>
  <c r="C829" i="57"/>
  <c r="H829" i="57"/>
  <c r="C811" i="57"/>
  <c r="H811" i="57"/>
  <c r="C769" i="57"/>
  <c r="H769" i="57"/>
  <c r="C733" i="57"/>
  <c r="H733" i="57"/>
  <c r="C715" i="57"/>
  <c r="H715" i="57"/>
  <c r="C673" i="57"/>
  <c r="H673" i="57"/>
  <c r="C667" i="57"/>
  <c r="H667" i="57"/>
  <c r="C655" i="57"/>
  <c r="H655" i="57"/>
  <c r="C631" i="57"/>
  <c r="H631" i="57"/>
  <c r="C619" i="57"/>
  <c r="H619" i="57"/>
  <c r="C607" i="57"/>
  <c r="H607" i="57"/>
  <c r="C595" i="57"/>
  <c r="H595" i="57"/>
  <c r="C589" i="57"/>
  <c r="H589" i="57"/>
  <c r="C577" i="57"/>
  <c r="H577" i="57"/>
  <c r="C565" i="57"/>
  <c r="H565" i="57"/>
  <c r="C553" i="57"/>
  <c r="H553" i="57"/>
  <c r="C541" i="57"/>
  <c r="H541" i="57"/>
  <c r="C523" i="57"/>
  <c r="H523" i="57"/>
  <c r="C517" i="57"/>
  <c r="H517" i="57"/>
  <c r="C499" i="57"/>
  <c r="H499" i="57"/>
  <c r="C487" i="57"/>
  <c r="H487" i="57"/>
  <c r="C469" i="57"/>
  <c r="H469" i="57"/>
  <c r="C457" i="57"/>
  <c r="H457" i="57"/>
  <c r="C445" i="57"/>
  <c r="H445" i="57"/>
  <c r="C433" i="57"/>
  <c r="H433" i="57"/>
  <c r="C415" i="57"/>
  <c r="H415" i="57"/>
  <c r="C391" i="57"/>
  <c r="H391" i="57"/>
  <c r="C355" i="57"/>
  <c r="H355" i="57"/>
  <c r="C337" i="57"/>
  <c r="H337" i="57"/>
  <c r="C319" i="57"/>
  <c r="H319" i="57"/>
  <c r="C307" i="57"/>
  <c r="H307" i="57"/>
  <c r="C295" i="57"/>
  <c r="H295" i="57"/>
  <c r="C283" i="57"/>
  <c r="H283" i="57"/>
  <c r="C265" i="57"/>
  <c r="H265" i="57"/>
  <c r="C247" i="57"/>
  <c r="H247" i="57"/>
  <c r="C235" i="57"/>
  <c r="H235" i="57"/>
  <c r="C169" i="57"/>
  <c r="H169" i="57"/>
  <c r="C151" i="57"/>
  <c r="H151" i="57"/>
  <c r="C139" i="57"/>
  <c r="H139" i="57"/>
  <c r="C103" i="57"/>
  <c r="H103" i="57"/>
  <c r="C85" i="57"/>
  <c r="H85" i="57"/>
  <c r="C73" i="57"/>
  <c r="H73" i="57"/>
  <c r="H961" i="57"/>
  <c r="H787" i="57"/>
  <c r="H373" i="57"/>
  <c r="H1429" i="57"/>
  <c r="H1375" i="57"/>
  <c r="H1303" i="57"/>
  <c r="H1177" i="57"/>
  <c r="H271" i="57"/>
  <c r="H229" i="57"/>
  <c r="H67" i="57"/>
  <c r="C1423" i="57"/>
  <c r="H1423" i="57"/>
  <c r="C1399" i="57"/>
  <c r="H1399" i="57"/>
  <c r="C1351" i="57"/>
  <c r="H1351" i="57"/>
  <c r="C1327" i="57"/>
  <c r="H1327" i="57"/>
  <c r="C1309" i="57"/>
  <c r="H1309" i="57"/>
  <c r="C1225" i="57"/>
  <c r="H1225" i="57"/>
  <c r="C1201" i="57"/>
  <c r="H1201" i="57"/>
  <c r="C1189" i="57"/>
  <c r="H1189" i="57"/>
  <c r="C1165" i="57"/>
  <c r="H1165" i="57"/>
  <c r="C1117" i="57"/>
  <c r="H1117" i="57"/>
  <c r="C1099" i="57"/>
  <c r="H1099" i="57"/>
  <c r="C1081" i="57"/>
  <c r="H1081" i="57"/>
  <c r="C1057" i="57"/>
  <c r="H1057" i="57"/>
  <c r="C1027" i="57"/>
  <c r="H1027" i="57"/>
  <c r="C943" i="57"/>
  <c r="H943" i="57"/>
  <c r="C901" i="57"/>
  <c r="H901" i="57"/>
  <c r="C841" i="57"/>
  <c r="H841" i="57"/>
  <c r="C799" i="57"/>
  <c r="H799" i="57"/>
  <c r="C781" i="57"/>
  <c r="H781" i="57"/>
  <c r="C763" i="57"/>
  <c r="H763" i="57"/>
  <c r="C751" i="57"/>
  <c r="H751" i="57"/>
  <c r="C709" i="57"/>
  <c r="H709" i="57"/>
  <c r="C697" i="57"/>
  <c r="H697" i="57"/>
  <c r="C679" i="57"/>
  <c r="H679" i="57"/>
  <c r="C643" i="57"/>
  <c r="H643" i="57"/>
  <c r="C625" i="57"/>
  <c r="H625" i="57"/>
  <c r="C613" i="57"/>
  <c r="H613" i="57"/>
  <c r="C601" i="57"/>
  <c r="H601" i="57"/>
  <c r="C571" i="57"/>
  <c r="H571" i="57"/>
  <c r="C559" i="57"/>
  <c r="H559" i="57"/>
  <c r="C535" i="57"/>
  <c r="H535" i="57"/>
  <c r="C493" i="57"/>
  <c r="H493" i="57"/>
  <c r="C475" i="57"/>
  <c r="H475" i="57"/>
  <c r="C463" i="57"/>
  <c r="H463" i="57"/>
  <c r="C439" i="57"/>
  <c r="H439" i="57"/>
  <c r="C421" i="57"/>
  <c r="H421" i="57"/>
  <c r="C409" i="57"/>
  <c r="H409" i="57"/>
  <c r="C397" i="57"/>
  <c r="H397" i="57"/>
  <c r="C385" i="57"/>
  <c r="H385" i="57"/>
  <c r="C367" i="57"/>
  <c r="H367" i="57"/>
  <c r="C349" i="57"/>
  <c r="H349" i="57"/>
  <c r="C331" i="57"/>
  <c r="H331" i="57"/>
  <c r="C313" i="57"/>
  <c r="H313" i="57"/>
  <c r="C289" i="57"/>
  <c r="H289" i="57"/>
  <c r="C277" i="57"/>
  <c r="H277" i="57"/>
  <c r="C259" i="57"/>
  <c r="H259" i="57"/>
  <c r="C241" i="57"/>
  <c r="H241" i="57"/>
  <c r="C223" i="57"/>
  <c r="H223" i="57"/>
  <c r="C211" i="57"/>
  <c r="H211" i="57"/>
  <c r="C193" i="57"/>
  <c r="H193" i="57"/>
  <c r="C175" i="57"/>
  <c r="H175" i="57"/>
  <c r="C157" i="57"/>
  <c r="H157" i="57"/>
  <c r="C145" i="57"/>
  <c r="H145" i="57"/>
  <c r="C127" i="57"/>
  <c r="H127" i="57"/>
  <c r="C109" i="57"/>
  <c r="H109" i="57"/>
  <c r="C91" i="57"/>
  <c r="H91" i="57"/>
  <c r="C79" i="57"/>
  <c r="H79" i="57"/>
  <c r="C61" i="57"/>
  <c r="H61" i="57"/>
  <c r="H451" i="57"/>
  <c r="H133" i="57"/>
  <c r="H1339" i="57"/>
  <c r="H1255" i="57"/>
  <c r="H895" i="57"/>
  <c r="H721" i="57"/>
  <c r="H481" i="57"/>
  <c r="H115" i="57"/>
  <c r="H174" i="57"/>
  <c r="H1332" i="57"/>
  <c r="H1314" i="57"/>
  <c r="H444" i="57"/>
  <c r="H216" i="57"/>
  <c r="H1440" i="57"/>
  <c r="H486" i="57"/>
  <c r="H276" i="57"/>
  <c r="B57" i="61"/>
  <c r="C57" i="61" s="1" a="1"/>
  <c r="C57" i="61" s="1"/>
  <c r="B35" i="61"/>
  <c r="C35" i="61" s="1" a="1"/>
  <c r="C35" i="61" s="1"/>
  <c r="B26" i="61"/>
  <c r="C26" i="61" s="1" a="1"/>
  <c r="C26" i="61" s="1"/>
  <c r="B56" i="61"/>
  <c r="C56" i="61" s="1" a="1"/>
  <c r="C56" i="61" s="1"/>
  <c r="B41" i="61"/>
  <c r="C41" i="61" s="1" a="1"/>
  <c r="C41" i="61" s="1"/>
  <c r="B55" i="61"/>
  <c r="C55" i="61" s="1" a="1"/>
  <c r="C55" i="61" s="1"/>
  <c r="B21" i="61"/>
  <c r="C21" i="61" s="1" a="1"/>
  <c r="C21" i="61" s="1"/>
  <c r="B22" i="61"/>
  <c r="C22" i="61" s="1" a="1"/>
  <c r="C22" i="61" s="1"/>
  <c r="B17" i="61"/>
  <c r="C17" i="61" s="1" a="1"/>
  <c r="C17" i="61" s="1"/>
  <c r="B19" i="61"/>
  <c r="C19" i="61" s="1" a="1"/>
  <c r="C19" i="61" s="1"/>
  <c r="B27" i="61"/>
  <c r="C27" i="61" s="1" a="1"/>
  <c r="C27" i="61" s="1"/>
  <c r="B28" i="61"/>
  <c r="C28" i="61" s="1" a="1"/>
  <c r="C28" i="61" s="1"/>
  <c r="B23" i="61"/>
  <c r="C23" i="61" s="1" a="1"/>
  <c r="C23" i="61" s="1"/>
  <c r="B12" i="61"/>
  <c r="C12" i="61" s="1" a="1"/>
  <c r="C12" i="61" s="1"/>
  <c r="B43" i="61"/>
  <c r="C43" i="61" s="1" a="1"/>
  <c r="C43" i="61" s="1"/>
  <c r="B59" i="61"/>
  <c r="C59" i="61" s="1" a="1"/>
  <c r="C59" i="61" s="1"/>
  <c r="B48" i="61"/>
  <c r="C48" i="61" s="1" a="1"/>
  <c r="C48" i="61" s="1"/>
  <c r="B33" i="61"/>
  <c r="C33" i="61" s="1" a="1"/>
  <c r="C33" i="61" s="1"/>
  <c r="B16" i="61"/>
  <c r="C16" i="61" s="1" a="1"/>
  <c r="C16" i="61" s="1"/>
  <c r="B52" i="61"/>
  <c r="C52" i="61" s="1" a="1"/>
  <c r="C52" i="61" s="1"/>
  <c r="B29" i="61"/>
  <c r="C29" i="61" s="1" a="1"/>
  <c r="C29" i="61" s="1"/>
  <c r="B42" i="61"/>
  <c r="C42" i="61" s="1" a="1"/>
  <c r="C42" i="61" s="1"/>
  <c r="B49" i="61"/>
  <c r="C49" i="61" s="1" a="1"/>
  <c r="C49" i="61" s="1"/>
  <c r="B38" i="61"/>
  <c r="C38" i="61" s="1" a="1"/>
  <c r="C38" i="61" s="1"/>
  <c r="B44" i="61"/>
  <c r="C44" i="61" s="1" a="1"/>
  <c r="C44" i="61" s="1"/>
  <c r="B54" i="61"/>
  <c r="C54" i="61" s="1" a="1"/>
  <c r="C54" i="61" s="1"/>
  <c r="B14" i="61"/>
  <c r="C14" i="61" s="1" a="1"/>
  <c r="C14" i="61" s="1"/>
  <c r="B50" i="61"/>
  <c r="C50" i="61" s="1" a="1"/>
  <c r="C50" i="61" s="1"/>
  <c r="B51" i="61"/>
  <c r="C51" i="61" s="1" a="1"/>
  <c r="C51" i="61" s="1"/>
  <c r="B34" i="61"/>
  <c r="C34" i="61" s="1" a="1"/>
  <c r="C34" i="61" s="1"/>
  <c r="B11" i="61"/>
  <c r="C11" i="61" s="1" a="1"/>
  <c r="C11" i="61" s="1"/>
  <c r="B47" i="61"/>
  <c r="C47" i="61" s="1" a="1"/>
  <c r="C47" i="61" s="1"/>
  <c r="B24" i="61"/>
  <c r="C24" i="61" s="1" a="1"/>
  <c r="C24" i="61" s="1"/>
  <c r="B60" i="61"/>
  <c r="C60" i="61" s="1" a="1"/>
  <c r="C60" i="61" s="1"/>
  <c r="B20" i="61"/>
  <c r="C20" i="61" s="1" a="1"/>
  <c r="C20" i="61" s="1"/>
  <c r="B15" i="61"/>
  <c r="C15" i="61" s="1" a="1"/>
  <c r="C15" i="61" s="1"/>
  <c r="B13" i="61"/>
  <c r="C13" i="61" s="1" a="1"/>
  <c r="C13" i="61" s="1"/>
  <c r="B31" i="61"/>
  <c r="C31" i="61" s="1" a="1"/>
  <c r="C31" i="61" s="1"/>
  <c r="B25" i="61"/>
  <c r="C25" i="61" s="1" a="1"/>
  <c r="C25" i="61" s="1"/>
  <c r="B37" i="61"/>
  <c r="C37" i="61" s="1" a="1"/>
  <c r="C37" i="61" s="1"/>
  <c r="AG2" i="40" a="1"/>
  <c r="AG2" i="40" s="1"/>
  <c r="BW2" i="40" a="1"/>
  <c r="BW2" i="40" s="1"/>
  <c r="S2" i="40" a="1"/>
  <c r="S2" i="40" s="1"/>
  <c r="R16" i="40"/>
  <c r="AQ4" i="40"/>
  <c r="Y4" i="40"/>
  <c r="H1422" i="57"/>
  <c r="C1422" i="57"/>
  <c r="H1410" i="57"/>
  <c r="C1410" i="57"/>
  <c r="H1302" i="57"/>
  <c r="C1302" i="57"/>
  <c r="H1224" i="57"/>
  <c r="C1224" i="57"/>
  <c r="H1194" i="57"/>
  <c r="C1194" i="57"/>
  <c r="H1098" i="57"/>
  <c r="C1098" i="57"/>
  <c r="H1086" i="57"/>
  <c r="C1086" i="57"/>
  <c r="H1008" i="57"/>
  <c r="C1008" i="57"/>
  <c r="H990" i="57"/>
  <c r="C990" i="57"/>
  <c r="H978" i="57"/>
  <c r="C978" i="57"/>
  <c r="H900" i="57"/>
  <c r="C900" i="57"/>
  <c r="H882" i="57"/>
  <c r="C882" i="57"/>
  <c r="H870" i="57"/>
  <c r="C870" i="57"/>
  <c r="H810" i="57"/>
  <c r="C810" i="57"/>
  <c r="H798" i="57"/>
  <c r="C798" i="57"/>
  <c r="H786" i="57"/>
  <c r="C786" i="57"/>
  <c r="H768" i="57"/>
  <c r="C768" i="57"/>
  <c r="H756" i="57"/>
  <c r="C756" i="57"/>
  <c r="H738" i="57"/>
  <c r="C738" i="57"/>
  <c r="H726" i="57"/>
  <c r="C726" i="57"/>
  <c r="H714" i="57"/>
  <c r="C714" i="57"/>
  <c r="H672" i="57"/>
  <c r="C672" i="57"/>
  <c r="H600" i="57"/>
  <c r="C600" i="57"/>
  <c r="H558" i="57"/>
  <c r="C558" i="57"/>
  <c r="H474" i="57"/>
  <c r="C474" i="57"/>
  <c r="H462" i="57"/>
  <c r="C462" i="57"/>
  <c r="H432" i="57"/>
  <c r="C432" i="57"/>
  <c r="H414" i="57"/>
  <c r="C414" i="57"/>
  <c r="H390" i="57"/>
  <c r="C390" i="57"/>
  <c r="H348" i="57"/>
  <c r="C348" i="57"/>
  <c r="H228" i="57"/>
  <c r="C228" i="57"/>
  <c r="H198" i="57"/>
  <c r="C198" i="57"/>
  <c r="H186" i="57"/>
  <c r="C186" i="57"/>
  <c r="H96" i="57"/>
  <c r="C96" i="57"/>
  <c r="H1452" i="57"/>
  <c r="C1452" i="57"/>
  <c r="H11" i="57"/>
  <c r="H1434" i="57"/>
  <c r="H1416" i="57"/>
  <c r="H1356" i="57"/>
  <c r="H1445" i="57"/>
  <c r="H1439" i="57"/>
  <c r="H1427" i="57"/>
  <c r="H1421" i="57"/>
  <c r="H1409" i="57"/>
  <c r="H1403" i="57"/>
  <c r="H1391" i="57"/>
  <c r="H1379" i="57"/>
  <c r="H1367" i="57"/>
  <c r="H1355" i="57"/>
  <c r="H1307" i="57"/>
  <c r="H1444" i="57"/>
  <c r="H1438" i="57"/>
  <c r="H1432" i="57"/>
  <c r="H1426" i="57"/>
  <c r="H1420" i="57"/>
  <c r="H1414" i="57"/>
  <c r="H1408" i="57"/>
  <c r="H1402" i="57"/>
  <c r="H1396" i="57"/>
  <c r="H1390" i="57"/>
  <c r="H1384" i="57"/>
  <c r="H1378" i="57"/>
  <c r="H1366" i="57"/>
  <c r="H1360" i="57"/>
  <c r="H1354" i="57"/>
  <c r="H1342" i="57"/>
  <c r="H1336" i="57"/>
  <c r="H1330" i="57"/>
  <c r="H1324" i="57"/>
  <c r="H1318" i="57"/>
  <c r="H1306" i="57"/>
  <c r="H1300" i="57"/>
  <c r="H1294" i="57"/>
  <c r="H1288" i="57"/>
  <c r="H1282" i="57"/>
  <c r="H1276" i="57"/>
  <c r="H1270" i="57"/>
  <c r="H1264" i="57"/>
  <c r="H1252" i="57"/>
  <c r="H1246" i="57"/>
  <c r="H1240" i="57"/>
  <c r="H1234" i="57"/>
  <c r="H1228" i="57"/>
  <c r="H1222" i="57"/>
  <c r="H1216" i="57"/>
  <c r="H1210" i="57"/>
  <c r="H1204" i="57"/>
  <c r="H1198" i="57"/>
  <c r="H1192" i="57"/>
  <c r="H1186" i="57"/>
  <c r="H1180" i="57"/>
  <c r="H1174" i="57"/>
  <c r="H1168" i="57"/>
  <c r="H1162" i="57"/>
  <c r="H1150" i="57"/>
  <c r="H1144" i="57"/>
  <c r="H1138" i="57"/>
  <c r="H1126" i="57"/>
  <c r="H1120" i="57"/>
  <c r="H1114" i="57"/>
  <c r="H1108" i="57"/>
  <c r="H1102" i="57"/>
  <c r="H1090" i="57"/>
  <c r="H1084" i="57"/>
  <c r="H1078" i="57"/>
  <c r="H1072" i="57"/>
  <c r="H1066" i="57"/>
  <c r="H1060" i="57"/>
  <c r="H1054" i="57"/>
  <c r="H1048" i="57"/>
  <c r="H1036" i="57"/>
  <c r="H1030" i="57"/>
  <c r="H1024" i="57"/>
  <c r="H1018" i="57"/>
  <c r="H1012" i="57"/>
  <c r="H1006" i="57"/>
  <c r="H1000" i="57"/>
  <c r="H994" i="57"/>
  <c r="H988" i="57"/>
  <c r="H982" i="57"/>
  <c r="H976" i="57"/>
  <c r="H970" i="57"/>
  <c r="H964" i="57"/>
  <c r="H958" i="57"/>
  <c r="H952" i="57"/>
  <c r="H946" i="57"/>
  <c r="H934" i="57"/>
  <c r="H928" i="57"/>
  <c r="H922" i="57"/>
  <c r="H910" i="57"/>
  <c r="H904" i="57"/>
  <c r="H898" i="57"/>
  <c r="H892" i="57"/>
  <c r="H886" i="57"/>
  <c r="H874" i="57"/>
  <c r="H868" i="57"/>
  <c r="H862" i="57"/>
  <c r="H856" i="57"/>
  <c r="H850" i="57"/>
  <c r="H844" i="57"/>
  <c r="H838" i="57"/>
  <c r="H832" i="57"/>
  <c r="H826" i="57"/>
  <c r="H820" i="57"/>
  <c r="H814" i="57"/>
  <c r="H808" i="57"/>
  <c r="H802" i="57"/>
  <c r="H796" i="57"/>
  <c r="H790" i="57"/>
  <c r="H778" i="57"/>
  <c r="H766" i="57"/>
  <c r="H754" i="57"/>
  <c r="H748" i="57"/>
  <c r="H742" i="57"/>
  <c r="H736" i="57"/>
  <c r="H730" i="57"/>
  <c r="H718" i="57"/>
  <c r="H712" i="57"/>
  <c r="H706" i="57"/>
  <c r="H700" i="57"/>
  <c r="H694" i="57"/>
  <c r="H688" i="57"/>
  <c r="H682" i="57"/>
  <c r="H676" i="57"/>
  <c r="H670" i="57"/>
  <c r="H664" i="57"/>
  <c r="H658" i="57"/>
  <c r="H652" i="57"/>
  <c r="H646" i="57"/>
  <c r="H640" i="57"/>
  <c r="H634" i="57"/>
  <c r="H622" i="57"/>
  <c r="H616" i="57"/>
  <c r="H604" i="57"/>
  <c r="H592" i="57"/>
  <c r="H586" i="57"/>
  <c r="H580" i="57"/>
  <c r="H574" i="57"/>
  <c r="H568" i="57"/>
  <c r="H562" i="57"/>
  <c r="H1443" i="57"/>
  <c r="H1437" i="57"/>
  <c r="H1431" i="57"/>
  <c r="H1425" i="57"/>
  <c r="H1419" i="57"/>
  <c r="H1413" i="57"/>
  <c r="H1407" i="57"/>
  <c r="H1401" i="57"/>
  <c r="H1395" i="57"/>
  <c r="H1389" i="57"/>
  <c r="H1383" i="57"/>
  <c r="H1377" i="57"/>
  <c r="H1371" i="57"/>
  <c r="H1365" i="57"/>
  <c r="H1359" i="57"/>
  <c r="H1347" i="57"/>
  <c r="H1341" i="57"/>
  <c r="H1335" i="57"/>
  <c r="H1329" i="57"/>
  <c r="H1323" i="57"/>
  <c r="H1311" i="57"/>
  <c r="H1305" i="57"/>
  <c r="H1299" i="57"/>
  <c r="H1293" i="57"/>
  <c r="H1287" i="57"/>
  <c r="H1281" i="57"/>
  <c r="H1275" i="57"/>
  <c r="H1269" i="57"/>
  <c r="H1263" i="57"/>
  <c r="H1257" i="57"/>
  <c r="H1251" i="57"/>
  <c r="H1239" i="57"/>
  <c r="H1233" i="57"/>
  <c r="H1227" i="57"/>
  <c r="H1221" i="57"/>
  <c r="H1215" i="57"/>
  <c r="H1209" i="57"/>
  <c r="H1203" i="57"/>
  <c r="H1197" i="57"/>
  <c r="H1191" i="57"/>
  <c r="H1185" i="57"/>
  <c r="H1179" i="57"/>
  <c r="H1173" i="57"/>
  <c r="H1167" i="57"/>
  <c r="H1161" i="57"/>
  <c r="H1155" i="57"/>
  <c r="H1149" i="57"/>
  <c r="H1143" i="57"/>
  <c r="H1137" i="57"/>
  <c r="H1131" i="57"/>
  <c r="H1125" i="57"/>
  <c r="H1119" i="57"/>
  <c r="H1113" i="57"/>
  <c r="H1107" i="57"/>
  <c r="H1101" i="57"/>
  <c r="H1095" i="57"/>
  <c r="H1089" i="57"/>
  <c r="H1083" i="57"/>
  <c r="H1077" i="57"/>
  <c r="H1071" i="57"/>
  <c r="H1065" i="57"/>
  <c r="H1059" i="57"/>
  <c r="H1053" i="57"/>
  <c r="H1047" i="57"/>
  <c r="H1041" i="57"/>
  <c r="H1035" i="57"/>
  <c r="H1029" i="57"/>
  <c r="H1023" i="57"/>
  <c r="H1017" i="57"/>
  <c r="H1011" i="57"/>
  <c r="H1005" i="57"/>
  <c r="H999" i="57"/>
  <c r="H993" i="57"/>
  <c r="H987" i="57"/>
  <c r="H981" i="57"/>
  <c r="H975" i="57"/>
  <c r="H969" i="57"/>
  <c r="H963" i="57"/>
  <c r="H957" i="57"/>
  <c r="H951" i="57"/>
  <c r="H945" i="57"/>
  <c r="H939" i="57"/>
  <c r="H933" i="57"/>
  <c r="H921" i="57"/>
  <c r="H915" i="57"/>
  <c r="H909" i="57"/>
  <c r="H903" i="57"/>
  <c r="H897" i="57"/>
  <c r="H885" i="57"/>
  <c r="H879" i="57"/>
  <c r="H873" i="57"/>
  <c r="H867" i="57"/>
  <c r="H861" i="57"/>
  <c r="H855" i="57"/>
  <c r="H849" i="57"/>
  <c r="H843" i="57"/>
  <c r="H837" i="57"/>
  <c r="H831" i="57"/>
  <c r="H825" i="57"/>
  <c r="H819" i="57"/>
  <c r="H807" i="57"/>
  <c r="H801" i="57"/>
  <c r="H795" i="57"/>
  <c r="H789" i="57"/>
  <c r="H783" i="57"/>
  <c r="H771" i="57"/>
  <c r="H765" i="57"/>
  <c r="H759" i="57"/>
  <c r="H753" i="57"/>
  <c r="H747" i="57"/>
  <c r="H741" i="57"/>
  <c r="H735" i="57"/>
  <c r="H729" i="57"/>
  <c r="H723" i="57"/>
  <c r="H717" i="57"/>
  <c r="H705" i="57"/>
  <c r="H699" i="57"/>
  <c r="H693" i="57"/>
  <c r="H687" i="57"/>
  <c r="H681" i="57"/>
  <c r="H675" i="57"/>
  <c r="H669" i="57"/>
  <c r="H663" i="57"/>
  <c r="H657" i="57"/>
  <c r="H651" i="57"/>
  <c r="H645" i="57"/>
  <c r="H1436" i="57"/>
  <c r="H1430" i="57"/>
  <c r="H1418" i="57"/>
  <c r="H1412" i="57"/>
  <c r="H1400" i="57"/>
  <c r="H1394" i="57"/>
  <c r="H1382" i="57"/>
  <c r="H1376" i="57"/>
  <c r="H1364" i="57"/>
  <c r="H1358" i="57"/>
  <c r="H1346" i="57"/>
  <c r="H1340" i="57"/>
  <c r="H1328" i="57"/>
  <c r="H1322" i="57"/>
  <c r="H1310" i="57"/>
  <c r="H1304" i="57"/>
  <c r="H1292" i="57"/>
  <c r="H1286" i="57"/>
  <c r="H1274" i="57"/>
  <c r="H1268" i="57"/>
  <c r="H1256" i="57"/>
  <c r="H1250" i="57"/>
  <c r="H1238" i="57"/>
  <c r="H1232" i="57"/>
  <c r="H1220" i="57"/>
  <c r="H1214" i="57"/>
  <c r="H1202" i="57"/>
  <c r="H1196" i="57"/>
  <c r="H1184" i="57"/>
  <c r="H1178" i="57"/>
  <c r="H1166" i="57"/>
  <c r="H1160" i="57"/>
  <c r="H1148" i="57"/>
  <c r="H1142" i="57"/>
  <c r="H1130" i="57"/>
  <c r="H1124" i="57"/>
  <c r="H1112" i="57"/>
  <c r="H1106" i="57"/>
  <c r="H1094" i="57"/>
  <c r="H1088" i="57"/>
  <c r="H1076" i="57"/>
  <c r="H1070" i="57"/>
  <c r="H1058" i="57"/>
  <c r="H1052" i="57"/>
  <c r="H1040" i="57"/>
  <c r="H1034" i="57"/>
  <c r="H1022" i="57"/>
  <c r="H1016" i="57"/>
  <c r="H1004" i="57"/>
  <c r="H998" i="57"/>
  <c r="H986" i="57"/>
  <c r="H980" i="57"/>
  <c r="H968" i="57"/>
  <c r="H962" i="57"/>
  <c r="H950" i="57"/>
  <c r="H944" i="57"/>
  <c r="H932" i="57"/>
  <c r="H926" i="57"/>
  <c r="H914" i="57"/>
  <c r="H908" i="57"/>
  <c r="H896" i="57"/>
  <c r="H890" i="57"/>
  <c r="H878" i="57"/>
  <c r="H872" i="57"/>
  <c r="H860" i="57"/>
  <c r="H854" i="57"/>
  <c r="H842" i="57"/>
  <c r="H836" i="57"/>
  <c r="H830" i="57"/>
  <c r="H824" i="57"/>
  <c r="H818" i="57"/>
  <c r="H812" i="57"/>
  <c r="H806" i="57"/>
  <c r="H800" i="57"/>
  <c r="H794" i="57"/>
  <c r="H788" i="57"/>
  <c r="H782" i="57"/>
  <c r="H776" i="57"/>
  <c r="H764" i="57"/>
  <c r="H758" i="57"/>
  <c r="H752" i="57"/>
  <c r="H746" i="57"/>
  <c r="H734" i="57"/>
  <c r="H728" i="57"/>
  <c r="H722" i="57"/>
  <c r="H716" i="57"/>
  <c r="H710" i="57"/>
  <c r="H704" i="57"/>
  <c r="H698" i="57"/>
  <c r="H692" i="57"/>
  <c r="H686" i="57"/>
  <c r="H680" i="57"/>
  <c r="H674" i="57"/>
  <c r="H668" i="57"/>
  <c r="H656" i="57"/>
  <c r="H650" i="57"/>
  <c r="H644" i="57"/>
  <c r="H638" i="57"/>
  <c r="H626" i="57"/>
  <c r="H620" i="57"/>
  <c r="H614" i="57"/>
  <c r="H608" i="57"/>
  <c r="H602" i="57"/>
  <c r="H1428" i="57"/>
  <c r="H1404" i="57"/>
  <c r="H1398" i="57"/>
  <c r="H1392" i="57"/>
  <c r="H1386" i="57"/>
  <c r="H1374" i="57"/>
  <c r="H1368" i="57"/>
  <c r="H1362" i="57"/>
  <c r="H1350" i="57"/>
  <c r="H1344" i="57"/>
  <c r="H1338" i="57"/>
  <c r="H1326" i="57"/>
  <c r="H1320" i="57"/>
  <c r="H1308" i="57"/>
  <c r="H1296" i="57"/>
  <c r="H1290" i="57"/>
  <c r="H1284" i="57"/>
  <c r="H1278" i="57"/>
  <c r="H1272" i="57"/>
  <c r="H1266" i="57"/>
  <c r="H1260" i="57"/>
  <c r="H1254" i="57"/>
  <c r="H1248" i="57"/>
  <c r="H1242" i="57"/>
  <c r="H1236" i="57"/>
  <c r="H1230" i="57"/>
  <c r="H1218" i="57"/>
  <c r="H1212" i="57"/>
  <c r="H1200" i="57"/>
  <c r="H1188" i="57"/>
  <c r="H1182" i="57"/>
  <c r="H1176" i="57"/>
  <c r="H1170" i="57"/>
  <c r="H1164" i="57"/>
  <c r="H1158" i="57"/>
  <c r="H1152" i="57"/>
  <c r="H1146" i="57"/>
  <c r="H1140" i="57"/>
  <c r="H1134" i="57"/>
  <c r="H1128" i="57"/>
  <c r="H1122" i="57"/>
  <c r="H1110" i="57"/>
  <c r="H1104" i="57"/>
  <c r="H1092" i="57"/>
  <c r="H1080" i="57"/>
  <c r="H1074" i="57"/>
  <c r="H1068" i="57"/>
  <c r="H1062" i="57"/>
  <c r="H1056" i="57"/>
  <c r="H1050" i="57"/>
  <c r="H1044" i="57"/>
  <c r="H1038" i="57"/>
  <c r="H1032" i="57"/>
  <c r="H1026" i="57"/>
  <c r="H1020" i="57"/>
  <c r="H1014" i="57"/>
  <c r="H1002" i="57"/>
  <c r="H996" i="57"/>
  <c r="H984" i="57"/>
  <c r="H972" i="57"/>
  <c r="H966" i="57"/>
  <c r="H960" i="57"/>
  <c r="H954" i="57"/>
  <c r="H948" i="57"/>
  <c r="H942" i="57"/>
  <c r="H936" i="57"/>
  <c r="H930" i="57"/>
  <c r="H924" i="57"/>
  <c r="H918" i="57"/>
  <c r="H912" i="57"/>
  <c r="H906" i="57"/>
  <c r="H894" i="57"/>
  <c r="H888" i="57"/>
  <c r="H876" i="57"/>
  <c r="H864" i="57"/>
  <c r="H858" i="57"/>
  <c r="H852" i="57"/>
  <c r="H846" i="57"/>
  <c r="H840" i="57"/>
  <c r="H834" i="57"/>
  <c r="H828" i="57"/>
  <c r="H822" i="57"/>
  <c r="H816" i="57"/>
  <c r="H804" i="57"/>
  <c r="H792" i="57"/>
  <c r="H780" i="57"/>
  <c r="H774" i="57"/>
  <c r="H762" i="57"/>
  <c r="H750" i="57"/>
  <c r="H744" i="57"/>
  <c r="H732" i="57"/>
  <c r="H720" i="57"/>
  <c r="H708" i="57"/>
  <c r="H702" i="57"/>
  <c r="H696" i="57"/>
  <c r="H690" i="57"/>
  <c r="H684" i="57"/>
  <c r="H678" i="57"/>
  <c r="H666" i="57"/>
  <c r="H660" i="57"/>
  <c r="H654" i="57"/>
  <c r="H1380" i="57"/>
  <c r="H1433" i="57"/>
  <c r="H1415" i="57"/>
  <c r="H1397" i="57"/>
  <c r="H1385" i="57"/>
  <c r="H1373" i="57"/>
  <c r="H1361" i="57"/>
  <c r="H1349" i="57"/>
  <c r="H1343" i="57"/>
  <c r="H1337" i="57"/>
  <c r="H1331" i="57"/>
  <c r="H1325" i="57"/>
  <c r="H1319" i="57"/>
  <c r="H1313" i="57"/>
  <c r="H1301" i="57"/>
  <c r="H1295" i="57"/>
  <c r="H1289" i="57"/>
  <c r="H1283" i="57"/>
  <c r="H1277" i="57"/>
  <c r="H1271" i="57"/>
  <c r="H1265" i="57"/>
  <c r="H1259" i="57"/>
  <c r="H1253" i="57"/>
  <c r="H1247" i="57"/>
  <c r="H1241" i="57"/>
  <c r="H1235" i="57"/>
  <c r="H1229" i="57"/>
  <c r="H1223" i="57"/>
  <c r="H1217" i="57"/>
  <c r="H1211" i="57"/>
  <c r="H1205" i="57"/>
  <c r="H1199" i="57"/>
  <c r="H1193" i="57"/>
  <c r="H1187" i="57"/>
  <c r="H1181" i="57"/>
  <c r="H1175" i="57"/>
  <c r="H1169" i="57"/>
  <c r="H1163" i="57"/>
  <c r="H1157" i="57"/>
  <c r="H1151" i="57"/>
  <c r="H1145" i="57"/>
  <c r="H1139" i="57"/>
  <c r="H1133" i="57"/>
  <c r="H1127" i="57"/>
  <c r="H1121" i="57"/>
  <c r="H1115" i="57"/>
  <c r="H1109" i="57"/>
  <c r="H1103" i="57"/>
  <c r="H1097" i="57"/>
  <c r="H1091" i="57"/>
  <c r="H1085" i="57"/>
  <c r="H1079" i="57"/>
  <c r="H1073" i="57"/>
  <c r="H1067" i="57"/>
  <c r="H1061" i="57"/>
  <c r="H1055" i="57"/>
  <c r="H1049" i="57"/>
  <c r="H1043" i="57"/>
  <c r="H1037" i="57"/>
  <c r="H1031" i="57"/>
  <c r="H1025" i="57"/>
  <c r="H1019" i="57"/>
  <c r="H1013" i="57"/>
  <c r="H1007" i="57"/>
  <c r="H1001" i="57"/>
  <c r="H995" i="57"/>
  <c r="H989" i="57"/>
  <c r="H983" i="57"/>
  <c r="H977" i="57"/>
  <c r="H971" i="57"/>
  <c r="H965" i="57"/>
  <c r="H959" i="57"/>
  <c r="H953" i="57"/>
  <c r="H947" i="57"/>
  <c r="H941" i="57"/>
  <c r="H935" i="57"/>
  <c r="H929" i="57"/>
  <c r="H923" i="57"/>
  <c r="H917" i="57"/>
  <c r="H911" i="57"/>
  <c r="H905" i="57"/>
  <c r="H899" i="57"/>
  <c r="H893" i="57"/>
  <c r="H887" i="57"/>
  <c r="H881" i="57"/>
  <c r="H875" i="57"/>
  <c r="H648" i="57"/>
  <c r="H642" i="57"/>
  <c r="H636" i="57"/>
  <c r="H630" i="57"/>
  <c r="H624" i="57"/>
  <c r="H618" i="57"/>
  <c r="H612" i="57"/>
  <c r="H606" i="57"/>
  <c r="H594" i="57"/>
  <c r="H588" i="57"/>
  <c r="H582" i="57"/>
  <c r="H576" i="57"/>
  <c r="H570" i="57"/>
  <c r="H564" i="57"/>
  <c r="H552" i="57"/>
  <c r="H546" i="57"/>
  <c r="H540" i="57"/>
  <c r="H534" i="57"/>
  <c r="H528" i="57"/>
  <c r="H522" i="57"/>
  <c r="H516" i="57"/>
  <c r="H510" i="57"/>
  <c r="H504" i="57"/>
  <c r="H498" i="57"/>
  <c r="H492" i="57"/>
  <c r="H480" i="57"/>
  <c r="H468" i="57"/>
  <c r="H456" i="57"/>
  <c r="H450" i="57"/>
  <c r="H438" i="57"/>
  <c r="H426" i="57"/>
  <c r="H420" i="57"/>
  <c r="H408" i="57"/>
  <c r="H396" i="57"/>
  <c r="H384" i="57"/>
  <c r="H378" i="57"/>
  <c r="H372" i="57"/>
  <c r="H366" i="57"/>
  <c r="H360" i="57"/>
  <c r="H354" i="57"/>
  <c r="H342" i="57"/>
  <c r="H336" i="57"/>
  <c r="H330" i="57"/>
  <c r="H324" i="57"/>
  <c r="H318" i="57"/>
  <c r="H312" i="57"/>
  <c r="H306" i="57"/>
  <c r="H300" i="57"/>
  <c r="H294" i="57"/>
  <c r="H288" i="57"/>
  <c r="H282" i="57"/>
  <c r="H270" i="57"/>
  <c r="H264" i="57"/>
  <c r="H258" i="57"/>
  <c r="H252" i="57"/>
  <c r="H246" i="57"/>
  <c r="H240" i="57"/>
  <c r="H234" i="57"/>
  <c r="H222" i="57"/>
  <c r="H210" i="57"/>
  <c r="H204" i="57"/>
  <c r="H192" i="57"/>
  <c r="H180" i="57"/>
  <c r="H168" i="57"/>
  <c r="H162" i="57"/>
  <c r="H156" i="57"/>
  <c r="H150" i="57"/>
  <c r="H144" i="57"/>
  <c r="H138" i="57"/>
  <c r="H132" i="57"/>
  <c r="H126" i="57"/>
  <c r="H120" i="57"/>
  <c r="H114" i="57"/>
  <c r="H108" i="57"/>
  <c r="H102" i="57"/>
  <c r="H90" i="57"/>
  <c r="H84" i="57"/>
  <c r="H78" i="57"/>
  <c r="H72" i="57"/>
  <c r="H60" i="57"/>
  <c r="H54" i="57"/>
  <c r="H48" i="57"/>
  <c r="H42" i="57"/>
  <c r="H36" i="57"/>
  <c r="H30" i="57"/>
  <c r="H24" i="57"/>
  <c r="H18" i="57"/>
  <c r="H1450" i="57"/>
  <c r="H2493" i="57"/>
  <c r="H2487" i="57"/>
  <c r="H2505" i="57"/>
  <c r="H869" i="57"/>
  <c r="H863" i="57"/>
  <c r="H857" i="57"/>
  <c r="H851" i="57"/>
  <c r="H845" i="57"/>
  <c r="H839" i="57"/>
  <c r="H833" i="57"/>
  <c r="H827" i="57"/>
  <c r="H821" i="57"/>
  <c r="H815" i="57"/>
  <c r="H809" i="57"/>
  <c r="H803" i="57"/>
  <c r="H797" i="57"/>
  <c r="H791" i="57"/>
  <c r="H785" i="57"/>
  <c r="H779" i="57"/>
  <c r="H773" i="57"/>
  <c r="H767" i="57"/>
  <c r="H761" i="57"/>
  <c r="H755" i="57"/>
  <c r="H749" i="57"/>
  <c r="H743" i="57"/>
  <c r="H737" i="57"/>
  <c r="H731" i="57"/>
  <c r="H725" i="57"/>
  <c r="H719" i="57"/>
  <c r="H713" i="57"/>
  <c r="H707" i="57"/>
  <c r="H701" i="57"/>
  <c r="H695" i="57"/>
  <c r="H689" i="57"/>
  <c r="H683" i="57"/>
  <c r="H677" i="57"/>
  <c r="H671" i="57"/>
  <c r="H665" i="57"/>
  <c r="H659" i="57"/>
  <c r="H653" i="57"/>
  <c r="H647" i="57"/>
  <c r="H641" i="57"/>
  <c r="H635" i="57"/>
  <c r="H629" i="57"/>
  <c r="H623" i="57"/>
  <c r="H617" i="57"/>
  <c r="H611" i="57"/>
  <c r="H605" i="57"/>
  <c r="H599" i="57"/>
  <c r="H593" i="57"/>
  <c r="H587" i="57"/>
  <c r="H581" i="57"/>
  <c r="H575" i="57"/>
  <c r="H569" i="57"/>
  <c r="H563" i="57"/>
  <c r="H557" i="57"/>
  <c r="H551" i="57"/>
  <c r="H545" i="57"/>
  <c r="H539" i="57"/>
  <c r="H533" i="57"/>
  <c r="H527" i="57"/>
  <c r="H521" i="57"/>
  <c r="H515" i="57"/>
  <c r="H509" i="57"/>
  <c r="H503" i="57"/>
  <c r="H497" i="57"/>
  <c r="H491" i="57"/>
  <c r="H485" i="57"/>
  <c r="H479" i="57"/>
  <c r="H473" i="57"/>
  <c r="H467" i="57"/>
  <c r="H461" i="57"/>
  <c r="H455" i="57"/>
  <c r="H449" i="57"/>
  <c r="H443" i="57"/>
  <c r="H437" i="57"/>
  <c r="H431" i="57"/>
  <c r="H425" i="57"/>
  <c r="H419" i="57"/>
  <c r="H413" i="57"/>
  <c r="H407" i="57"/>
  <c r="H401" i="57"/>
  <c r="H395" i="57"/>
  <c r="H389" i="57"/>
  <c r="H383" i="57"/>
  <c r="H377" i="57"/>
  <c r="H371" i="57"/>
  <c r="H365" i="57"/>
  <c r="H359" i="57"/>
  <c r="H353" i="57"/>
  <c r="H347" i="57"/>
  <c r="H341" i="57"/>
  <c r="H335" i="57"/>
  <c r="H329" i="57"/>
  <c r="H323" i="57"/>
  <c r="H317" i="57"/>
  <c r="H311" i="57"/>
  <c r="H305" i="57"/>
  <c r="H299" i="57"/>
  <c r="H293" i="57"/>
  <c r="H287" i="57"/>
  <c r="H281" i="57"/>
  <c r="H275" i="57"/>
  <c r="H269" i="57"/>
  <c r="H263" i="57"/>
  <c r="H257" i="57"/>
  <c r="H251" i="57"/>
  <c r="H245" i="57"/>
  <c r="H239" i="57"/>
  <c r="H233" i="57"/>
  <c r="H227" i="57"/>
  <c r="H221" i="57"/>
  <c r="H215" i="57"/>
  <c r="H209" i="57"/>
  <c r="H203" i="57"/>
  <c r="H197" i="57"/>
  <c r="H191" i="57"/>
  <c r="H185" i="57"/>
  <c r="H179" i="57"/>
  <c r="H173" i="57"/>
  <c r="H167" i="57"/>
  <c r="H161" i="57"/>
  <c r="H155" i="57"/>
  <c r="H149" i="57"/>
  <c r="H143" i="57"/>
  <c r="H137" i="57"/>
  <c r="H131" i="57"/>
  <c r="H125" i="57"/>
  <c r="H119" i="57"/>
  <c r="H113" i="57"/>
  <c r="H107" i="57"/>
  <c r="H101" i="57"/>
  <c r="H95" i="57"/>
  <c r="H89" i="57"/>
  <c r="H83" i="57"/>
  <c r="H77" i="57"/>
  <c r="H71" i="57"/>
  <c r="H65" i="57"/>
  <c r="H59" i="57"/>
  <c r="H53" i="57"/>
  <c r="H47" i="57"/>
  <c r="H41" i="57"/>
  <c r="H35" i="57"/>
  <c r="H29" i="57"/>
  <c r="H23" i="57"/>
  <c r="H17" i="57"/>
  <c r="H1455" i="57"/>
  <c r="H1449" i="57"/>
  <c r="H2492" i="57"/>
  <c r="H2486" i="57"/>
  <c r="H2510" i="57"/>
  <c r="H2504" i="57"/>
  <c r="H2498" i="57"/>
  <c r="H15" i="57"/>
  <c r="H550" i="57"/>
  <c r="H544" i="57"/>
  <c r="H538" i="57"/>
  <c r="H532" i="57"/>
  <c r="H520" i="57"/>
  <c r="H508" i="57"/>
  <c r="H502" i="57"/>
  <c r="H490" i="57"/>
  <c r="H484" i="57"/>
  <c r="H478" i="57"/>
  <c r="H466" i="57"/>
  <c r="H460" i="57"/>
  <c r="H454" i="57"/>
  <c r="H448" i="57"/>
  <c r="H442" i="57"/>
  <c r="H436" i="57"/>
  <c r="H430" i="57"/>
  <c r="H424" i="57"/>
  <c r="H418" i="57"/>
  <c r="H406" i="57"/>
  <c r="H400" i="57"/>
  <c r="H394" i="57"/>
  <c r="H388" i="57"/>
  <c r="H382" i="57"/>
  <c r="H376" i="57"/>
  <c r="H364" i="57"/>
  <c r="H358" i="57"/>
  <c r="H346" i="57"/>
  <c r="H340" i="57"/>
  <c r="H334" i="57"/>
  <c r="H322" i="57"/>
  <c r="H316" i="57"/>
  <c r="H310" i="57"/>
  <c r="H304" i="57"/>
  <c r="H298" i="57"/>
  <c r="H292" i="57"/>
  <c r="H286" i="57"/>
  <c r="H280" i="57"/>
  <c r="H274" i="57"/>
  <c r="H268" i="57"/>
  <c r="H262" i="57"/>
  <c r="H256" i="57"/>
  <c r="H250" i="57"/>
  <c r="H244" i="57"/>
  <c r="H238" i="57"/>
  <c r="H226" i="57"/>
  <c r="H214" i="57"/>
  <c r="H208" i="57"/>
  <c r="H202" i="57"/>
  <c r="H196" i="57"/>
  <c r="H190" i="57"/>
  <c r="H178" i="57"/>
  <c r="H172" i="57"/>
  <c r="H166" i="57"/>
  <c r="H154" i="57"/>
  <c r="H148" i="57"/>
  <c r="H142" i="57"/>
  <c r="H136" i="57"/>
  <c r="H124" i="57"/>
  <c r="H118" i="57"/>
  <c r="H112" i="57"/>
  <c r="H28" i="57"/>
  <c r="H22" i="57"/>
  <c r="H1454" i="57"/>
  <c r="H1448" i="57"/>
  <c r="H2491" i="57"/>
  <c r="H2485" i="57"/>
  <c r="H633" i="57"/>
  <c r="H627" i="57"/>
  <c r="H621" i="57"/>
  <c r="H615" i="57"/>
  <c r="H609" i="57"/>
  <c r="H603" i="57"/>
  <c r="H597" i="57"/>
  <c r="H591" i="57"/>
  <c r="H585" i="57"/>
  <c r="H579" i="57"/>
  <c r="H573" i="57"/>
  <c r="H567" i="57"/>
  <c r="H561" i="57"/>
  <c r="H555" i="57"/>
  <c r="H549" i="57"/>
  <c r="H543" i="57"/>
  <c r="H537" i="57"/>
  <c r="H531" i="57"/>
  <c r="H525" i="57"/>
  <c r="H519" i="57"/>
  <c r="H513" i="57"/>
  <c r="H507" i="57"/>
  <c r="H501" i="57"/>
  <c r="H495" i="57"/>
  <c r="H489" i="57"/>
  <c r="H483" i="57"/>
  <c r="H477" i="57"/>
  <c r="H471" i="57"/>
  <c r="H465" i="57"/>
  <c r="H459" i="57"/>
  <c r="H453" i="57"/>
  <c r="H447" i="57"/>
  <c r="H441" i="57"/>
  <c r="H435" i="57"/>
  <c r="H429" i="57"/>
  <c r="H423" i="57"/>
  <c r="H417" i="57"/>
  <c r="H411" i="57"/>
  <c r="H405" i="57"/>
  <c r="H399" i="57"/>
  <c r="H393" i="57"/>
  <c r="H387" i="57"/>
  <c r="H381" i="57"/>
  <c r="H375" i="57"/>
  <c r="H369" i="57"/>
  <c r="H363" i="57"/>
  <c r="H357" i="57"/>
  <c r="H345" i="57"/>
  <c r="H339" i="57"/>
  <c r="H333" i="57"/>
  <c r="H327" i="57"/>
  <c r="H321" i="57"/>
  <c r="H315" i="57"/>
  <c r="H309" i="57"/>
  <c r="H303" i="57"/>
  <c r="H297" i="57"/>
  <c r="H291" i="57"/>
  <c r="H285" i="57"/>
  <c r="H279" i="57"/>
  <c r="H273" i="57"/>
  <c r="H267" i="57"/>
  <c r="H261" i="57"/>
  <c r="H255" i="57"/>
  <c r="H249" i="57"/>
  <c r="H237" i="57"/>
  <c r="H231" i="57"/>
  <c r="H225" i="57"/>
  <c r="H219" i="57"/>
  <c r="H213" i="57"/>
  <c r="H207" i="57"/>
  <c r="H201" i="57"/>
  <c r="H195" i="57"/>
  <c r="H189" i="57"/>
  <c r="H183" i="57"/>
  <c r="H177" i="57"/>
  <c r="H171" i="57"/>
  <c r="H165" i="57"/>
  <c r="H159" i="57"/>
  <c r="H153" i="57"/>
  <c r="H147" i="57"/>
  <c r="H141" i="57"/>
  <c r="H135" i="57"/>
  <c r="H129" i="57"/>
  <c r="H123" i="57"/>
  <c r="H117" i="57"/>
  <c r="H111" i="57"/>
  <c r="H105" i="57"/>
  <c r="H99" i="57"/>
  <c r="H87" i="57"/>
  <c r="H81" i="57"/>
  <c r="H75" i="57"/>
  <c r="H57" i="57"/>
  <c r="H51" i="57"/>
  <c r="H39" i="57"/>
  <c r="H33" i="57"/>
  <c r="H27" i="57"/>
  <c r="H21" i="57"/>
  <c r="H1453" i="57"/>
  <c r="H1447" i="57"/>
  <c r="H2508" i="57"/>
  <c r="H2502" i="57"/>
  <c r="H2496" i="57"/>
  <c r="H596" i="57"/>
  <c r="H590" i="57"/>
  <c r="H584" i="57"/>
  <c r="H578" i="57"/>
  <c r="H572" i="57"/>
  <c r="H566" i="57"/>
  <c r="H560" i="57"/>
  <c r="H548" i="57"/>
  <c r="H542" i="57"/>
  <c r="H536" i="57"/>
  <c r="H530" i="57"/>
  <c r="H518" i="57"/>
  <c r="H512" i="57"/>
  <c r="H506" i="57"/>
  <c r="H500" i="57"/>
  <c r="H494" i="57"/>
  <c r="H488" i="57"/>
  <c r="H482" i="57"/>
  <c r="H476" i="57"/>
  <c r="H470" i="57"/>
  <c r="H464" i="57"/>
  <c r="H458" i="57"/>
  <c r="H452" i="57"/>
  <c r="H440" i="57"/>
  <c r="H434" i="57"/>
  <c r="H428" i="57"/>
  <c r="H422" i="57"/>
  <c r="H410" i="57"/>
  <c r="H404" i="57"/>
  <c r="H398" i="57"/>
  <c r="H392" i="57"/>
  <c r="H386" i="57"/>
  <c r="H380" i="57"/>
  <c r="H374" i="57"/>
  <c r="H368" i="57"/>
  <c r="H362" i="57"/>
  <c r="H356" i="57"/>
  <c r="H350" i="57"/>
  <c r="H344" i="57"/>
  <c r="H332" i="57"/>
  <c r="H326" i="57"/>
  <c r="H320" i="57"/>
  <c r="H314" i="57"/>
  <c r="H302" i="57"/>
  <c r="H296" i="57"/>
  <c r="H290" i="57"/>
  <c r="H284" i="57"/>
  <c r="H278" i="57"/>
  <c r="H272" i="57"/>
  <c r="H260" i="57"/>
  <c r="H254" i="57"/>
  <c r="H248" i="57"/>
  <c r="H242" i="57"/>
  <c r="H224" i="57"/>
  <c r="H218" i="57"/>
  <c r="H212" i="57"/>
  <c r="H206" i="57"/>
  <c r="H194" i="57"/>
  <c r="H188" i="57"/>
  <c r="H182" i="57"/>
  <c r="H176" i="57"/>
  <c r="H170" i="57"/>
  <c r="H152" i="57"/>
  <c r="H146" i="57"/>
  <c r="H140" i="57"/>
  <c r="H134" i="57"/>
  <c r="H116" i="57"/>
  <c r="H110" i="57"/>
  <c r="H104" i="57"/>
  <c r="H98" i="57"/>
  <c r="H86" i="57"/>
  <c r="H80" i="57"/>
  <c r="H74" i="57"/>
  <c r="H68" i="57"/>
  <c r="H56" i="57"/>
  <c r="H50" i="57"/>
  <c r="H44" i="57"/>
  <c r="H38" i="57"/>
  <c r="H32" i="57"/>
  <c r="H26" i="57"/>
  <c r="H20" i="57"/>
  <c r="H1446" i="57"/>
  <c r="H2489" i="57"/>
  <c r="H2483" i="57"/>
  <c r="H2507" i="57"/>
  <c r="H2501" i="57"/>
  <c r="H2495" i="57"/>
  <c r="H49" i="57"/>
  <c r="H37" i="57"/>
  <c r="H25" i="57"/>
  <c r="H19" i="57"/>
  <c r="H1451" i="57"/>
  <c r="H2494" i="57"/>
  <c r="H2488" i="57"/>
  <c r="H2482" i="57"/>
  <c r="H2506" i="57"/>
  <c r="H2500" i="57"/>
  <c r="BE40" i="54" a="1"/>
  <c r="BE40" i="54" s="1"/>
  <c r="B2" i="64"/>
  <c r="B4" i="61"/>
  <c r="D45" i="61"/>
  <c r="D34" i="61"/>
  <c r="D17" i="61"/>
  <c r="D53" i="61"/>
  <c r="D36" i="61"/>
  <c r="D19" i="61"/>
  <c r="D55" i="61"/>
  <c r="D44" i="61"/>
  <c r="D51" i="61"/>
  <c r="D40" i="61"/>
  <c r="D23" i="61"/>
  <c r="D59" i="61"/>
  <c r="D42" i="61"/>
  <c r="D25" i="61"/>
  <c r="D14" i="61"/>
  <c r="D50" i="61"/>
  <c r="D21" i="61"/>
  <c r="D57" i="61"/>
  <c r="D46" i="61"/>
  <c r="D29" i="61"/>
  <c r="D12" i="61"/>
  <c r="D48" i="61"/>
  <c r="D31" i="61"/>
  <c r="D20" i="61"/>
  <c r="D56" i="61"/>
  <c r="D27" i="61"/>
  <c r="D16" i="61"/>
  <c r="D52" i="61"/>
  <c r="D35" i="61"/>
  <c r="D18" i="61"/>
  <c r="D54" i="61"/>
  <c r="D37" i="61"/>
  <c r="D26" i="61"/>
  <c r="D33" i="61"/>
  <c r="D22" i="61"/>
  <c r="D58" i="61"/>
  <c r="D41" i="61"/>
  <c r="D24" i="61"/>
  <c r="D60" i="61"/>
  <c r="D43" i="61"/>
  <c r="D32" i="61"/>
  <c r="D39" i="61"/>
  <c r="D28" i="61"/>
  <c r="D11" i="61"/>
  <c r="D47" i="61"/>
  <c r="D30" i="61"/>
  <c r="D13" i="61"/>
  <c r="D49" i="61"/>
  <c r="D38" i="61"/>
  <c r="CU10" i="54"/>
  <c r="CV7" i="54"/>
  <c r="B4" i="57"/>
  <c r="H2509" i="57"/>
  <c r="H2503" i="57"/>
  <c r="H2497" i="57"/>
  <c r="H2490" i="57"/>
  <c r="H2484" i="57"/>
  <c r="B7" i="57" l="1" a="1"/>
  <c r="B7" i="57" s="1"/>
  <c r="CS9" i="52" a="1"/>
  <c r="CS9" i="52" s="1"/>
  <c r="CQ11" i="52"/>
  <c r="T2" i="40" a="1"/>
  <c r="T2" i="40" s="1"/>
  <c r="BF41" i="54" a="1"/>
  <c r="BF41" i="54" s="1"/>
  <c r="BE41" i="54" a="1"/>
  <c r="BE41" i="54" s="1"/>
  <c r="BG41" i="54" a="1"/>
  <c r="BG41" i="54" s="1"/>
  <c r="BH41" i="54" a="1"/>
  <c r="BH41" i="54" s="1"/>
  <c r="BI41" i="54" a="1"/>
  <c r="BI41" i="54" s="1"/>
  <c r="CV10" i="54"/>
  <c r="CT10" i="54"/>
  <c r="CU11" i="54" s="1"/>
  <c r="CS10" i="52" l="1" a="1"/>
  <c r="CS10" i="52" s="1"/>
  <c r="CQ9" i="52"/>
  <c r="AQ6" i="40"/>
  <c r="AQ8" i="40" s="1"/>
  <c r="AQ2" i="40" s="1"/>
  <c r="B33" i="40"/>
  <c r="B32" i="40"/>
  <c r="B37" i="40"/>
  <c r="B46" i="40"/>
  <c r="BB15" i="40"/>
  <c r="BB13" i="40"/>
  <c r="B31" i="40"/>
  <c r="B34" i="40"/>
  <c r="BT10" i="40"/>
  <c r="CG2" i="40" a="1"/>
  <c r="CG2" i="40" s="1"/>
  <c r="CD12" i="40"/>
  <c r="B47" i="40"/>
  <c r="CD10" i="40"/>
  <c r="BT12" i="40"/>
  <c r="B30" i="40"/>
  <c r="U2" i="40" a="1"/>
  <c r="U2" i="40" s="1"/>
  <c r="B41" i="40"/>
  <c r="B45" i="40"/>
  <c r="B44" i="40"/>
  <c r="BT14" i="40"/>
  <c r="B42" i="40"/>
  <c r="B35" i="40"/>
  <c r="B39" i="40"/>
  <c r="B38" i="40"/>
  <c r="B43" i="40"/>
  <c r="P45" i="54"/>
  <c r="P43" i="54"/>
  <c r="I45" i="54"/>
  <c r="I43" i="54"/>
  <c r="W45" i="54"/>
  <c r="W43" i="54"/>
  <c r="B45" i="54"/>
  <c r="B47" i="54"/>
  <c r="B43" i="54"/>
  <c r="CV11" i="54"/>
  <c r="CT11" i="54"/>
  <c r="CU12" i="54" s="1"/>
  <c r="Z14" i="53" a="1"/>
  <c r="Z14" i="53" s="1"/>
  <c r="AA14" i="53" a="1"/>
  <c r="AA14" i="53" s="1"/>
  <c r="AD14" i="53" a="1"/>
  <c r="AD14" i="53" s="1"/>
  <c r="Q6" i="53"/>
  <c r="W14" i="53" s="1" a="1"/>
  <c r="W14" i="53" s="1"/>
  <c r="U14" i="53" a="1"/>
  <c r="U14" i="53" s="1"/>
  <c r="S14" i="53" a="1"/>
  <c r="S14" i="53" s="1"/>
  <c r="T14" i="53" s="1" a="1"/>
  <c r="T14" i="53" s="1"/>
  <c r="CS11" i="52" l="1" a="1"/>
  <c r="CS11" i="52" s="1"/>
  <c r="BS9" i="52" a="1"/>
  <c r="BS9" i="52" s="1"/>
  <c r="BO9" i="52" a="1"/>
  <c r="BO9" i="52" s="1"/>
  <c r="AW9" i="52" a="1"/>
  <c r="AW9" i="52" s="1"/>
  <c r="BB9" i="52" a="1"/>
  <c r="BB9" i="52" s="1"/>
  <c r="BC9" i="52" s="1" a="1"/>
  <c r="BC9" i="52" s="1"/>
  <c r="CA9" i="52" a="1"/>
  <c r="CA9" i="52" s="1"/>
  <c r="BA15" i="52"/>
  <c r="BU9" i="52" a="1"/>
  <c r="BU9" i="52" s="1"/>
  <c r="BP9" i="52" a="1"/>
  <c r="BP9" i="52" s="1"/>
  <c r="BQ9" i="52" s="1" a="1"/>
  <c r="BQ9" i="52" s="1"/>
  <c r="B59" i="52"/>
  <c r="CJ19" i="52" s="1"/>
  <c r="BR9" i="52" a="1"/>
  <c r="BR9" i="52" s="1"/>
  <c r="BT9" i="52" s="1" a="1"/>
  <c r="BT9" i="52" s="1"/>
  <c r="BA25" i="52"/>
  <c r="CD14" i="40"/>
  <c r="CI2" i="40" s="1" a="1"/>
  <c r="CI2" i="40" s="1"/>
  <c r="BB17" i="40"/>
  <c r="BD2" i="40" a="1"/>
  <c r="BD2" i="40" s="1"/>
  <c r="AQ14" i="40"/>
  <c r="AQ10" i="40"/>
  <c r="AV2" i="40" s="1" a="1"/>
  <c r="AV2" i="40" s="1"/>
  <c r="AQ18" i="40"/>
  <c r="R8" i="40"/>
  <c r="R12" i="40" s="1"/>
  <c r="BX2" i="40" a="1"/>
  <c r="BX2" i="40" s="1"/>
  <c r="AR2" i="40" a="1"/>
  <c r="AR2" i="40" s="1"/>
  <c r="R6" i="40"/>
  <c r="CD16" i="40"/>
  <c r="CD20" i="40" s="1"/>
  <c r="CH2" i="40" s="1" a="1"/>
  <c r="CH2" i="40" s="1"/>
  <c r="BU8" i="40"/>
  <c r="BU11" i="40"/>
  <c r="BT20" i="40"/>
  <c r="BT24" i="40" s="1"/>
  <c r="BU12" i="40"/>
  <c r="BU7" i="40"/>
  <c r="BU17" i="40"/>
  <c r="BU18" i="40"/>
  <c r="BU10" i="40"/>
  <c r="BU5" i="40"/>
  <c r="BU9" i="40"/>
  <c r="BU6" i="40"/>
  <c r="B40" i="40"/>
  <c r="B36" i="40"/>
  <c r="CV12" i="54"/>
  <c r="CT12" i="54"/>
  <c r="CU13" i="54" s="1"/>
  <c r="V14" i="53" a="1"/>
  <c r="V14" i="53" s="1"/>
  <c r="X14" i="53" s="1" a="1"/>
  <c r="X14" i="53" s="1"/>
  <c r="M14" i="53" a="1"/>
  <c r="M14" i="53" s="1"/>
  <c r="K14" i="53" a="1"/>
  <c r="K14" i="53" s="1"/>
  <c r="L14" i="53" s="1" a="1"/>
  <c r="L14" i="53" s="1"/>
  <c r="C14" i="53" a="1"/>
  <c r="C14" i="53" s="1"/>
  <c r="A14" i="53" a="1"/>
  <c r="A14" i="53" s="1"/>
  <c r="B14" i="53" s="1" a="1"/>
  <c r="B14" i="53" s="1"/>
  <c r="BV9" i="52" l="1" a="1"/>
  <c r="BV9" i="52" s="1"/>
  <c r="BW9" i="52" a="1"/>
  <c r="BW9" i="52" s="1"/>
  <c r="H54" i="52" a="1"/>
  <c r="H54" i="52" s="1"/>
  <c r="CS15" i="52" a="1"/>
  <c r="CS15" i="52" s="1"/>
  <c r="CQ13" i="52"/>
  <c r="CS12" i="52" a="1"/>
  <c r="CS12" i="52" s="1"/>
  <c r="BD9" i="52" a="1"/>
  <c r="BD9" i="52" s="1"/>
  <c r="BA21" i="52"/>
  <c r="BA17" i="52"/>
  <c r="CJ15" i="52"/>
  <c r="CJ21" i="52"/>
  <c r="CL9" i="52" s="1" a="1"/>
  <c r="CL9" i="52" s="1"/>
  <c r="CK2" i="40" a="1"/>
  <c r="CK2" i="40" s="1"/>
  <c r="CL2" i="40" s="1" a="1"/>
  <c r="CL2" i="40" s="1"/>
  <c r="CO2" i="40" a="1"/>
  <c r="CO2" i="40" s="1"/>
  <c r="CQ2" i="40" s="1" a="1"/>
  <c r="CQ2" i="40" s="1"/>
  <c r="R10" i="40"/>
  <c r="V2" i="40" a="1"/>
  <c r="V2" i="40" s="1"/>
  <c r="AW2" i="40" a="1"/>
  <c r="AW2" i="40" s="1"/>
  <c r="AX2" i="40" a="1"/>
  <c r="AX2" i="40" s="1"/>
  <c r="BT26" i="40"/>
  <c r="BY2" i="40" s="1" a="1"/>
  <c r="BY2" i="40" s="1"/>
  <c r="AQ16" i="40"/>
  <c r="AQ20" i="40" s="1"/>
  <c r="AS2" i="40" s="1" a="1"/>
  <c r="AS2" i="40" s="1"/>
  <c r="AT2" i="40" a="1"/>
  <c r="AT2" i="40" s="1"/>
  <c r="AU2" i="40" s="1" a="1"/>
  <c r="AU2" i="40" s="1"/>
  <c r="BB23" i="40"/>
  <c r="BB27" i="40" s="1"/>
  <c r="BE2" i="40" s="1" a="1"/>
  <c r="BE2" i="40" s="1"/>
  <c r="BF2" i="40" a="1"/>
  <c r="BF2" i="40" s="1"/>
  <c r="CV13" i="54"/>
  <c r="CT13" i="54"/>
  <c r="CU14" i="54" s="1"/>
  <c r="N14" i="53" a="1"/>
  <c r="N14" i="53" s="1"/>
  <c r="N6" i="53" s="1"/>
  <c r="M6" i="53"/>
  <c r="M7" i="53"/>
  <c r="AX9" i="52" l="1" a="1"/>
  <c r="AX9" i="52" s="1"/>
  <c r="CS14" i="52" a="1"/>
  <c r="CS14" i="52" s="1"/>
  <c r="CS20" i="52" a="1"/>
  <c r="CS20" i="52" s="1"/>
  <c r="CQ15" i="52"/>
  <c r="CS13" i="52" s="1" a="1"/>
  <c r="CS13" i="52" s="1"/>
  <c r="CQ17" i="52" s="1"/>
  <c r="BE9" i="52" a="1"/>
  <c r="BE9" i="52" s="1"/>
  <c r="BY9" i="52" a="1"/>
  <c r="BY9" i="52" s="1"/>
  <c r="BX9" i="52" a="1"/>
  <c r="BX9" i="52" s="1"/>
  <c r="BZ9" i="52" a="1"/>
  <c r="BZ9" i="52" s="1"/>
  <c r="CP9" i="52" a="1"/>
  <c r="CP9" i="52" s="1"/>
  <c r="CM9" i="52" a="1"/>
  <c r="CM9" i="52" s="1"/>
  <c r="B60" i="52"/>
  <c r="CJ23" i="52"/>
  <c r="AZ2" i="40" a="1"/>
  <c r="AZ2" i="40" s="1"/>
  <c r="BH2" i="40" a="1"/>
  <c r="BH2" i="40" s="1"/>
  <c r="BI2" i="40" s="1" a="1"/>
  <c r="BI2" i="40" s="1"/>
  <c r="BL2" i="40" a="1"/>
  <c r="BL2" i="40" s="1"/>
  <c r="BR2" i="40" s="1" a="1"/>
  <c r="BR2" i="40" s="1"/>
  <c r="AY2" i="40" a="1"/>
  <c r="AY2" i="40" s="1"/>
  <c r="Y8" i="40" a="1"/>
  <c r="Y8" i="40" s="1"/>
  <c r="W2" i="40" a="1"/>
  <c r="W2" i="40" s="1"/>
  <c r="CA2" i="40" a="1"/>
  <c r="CA2" i="40" s="1"/>
  <c r="CB2" i="40" a="1"/>
  <c r="CB2" i="40" s="1"/>
  <c r="BZ2" i="40" a="1"/>
  <c r="BZ2" i="40" s="1"/>
  <c r="Y6" i="40"/>
  <c r="R18" i="40"/>
  <c r="CP2" i="40" a="1"/>
  <c r="CP2" i="40" s="1"/>
  <c r="CV14" i="54"/>
  <c r="CT14" i="54"/>
  <c r="CU15" i="54" s="1"/>
  <c r="N7" i="53"/>
  <c r="BG9" i="52" l="1" a="1"/>
  <c r="BG9" i="52" s="1"/>
  <c r="BF9" i="52" a="1"/>
  <c r="BF9" i="52" s="1"/>
  <c r="CQ21" i="52"/>
  <c r="D59" i="52" s="1"/>
  <c r="C59" i="52"/>
  <c r="CS16" i="52" a="1"/>
  <c r="CS16" i="52" s="1"/>
  <c r="CS17" i="52" s="1" a="1"/>
  <c r="CS17" i="52" s="1"/>
  <c r="CQ19" i="52"/>
  <c r="CC19" i="52"/>
  <c r="CE9" i="52" s="1" a="1"/>
  <c r="CE9" i="52" s="1"/>
  <c r="CC15" i="52"/>
  <c r="B61" i="52"/>
  <c r="Y12" i="40"/>
  <c r="Y34" i="40"/>
  <c r="Y38" i="40" s="1"/>
  <c r="Y40" i="40" s="1"/>
  <c r="Y10" i="40"/>
  <c r="Y14" i="40" s="1"/>
  <c r="BT30" i="40"/>
  <c r="BT28" i="40"/>
  <c r="BM2" i="40" a="1"/>
  <c r="BM2" i="40" s="1"/>
  <c r="BN2" i="40" s="1" a="1"/>
  <c r="BN2" i="40" s="1"/>
  <c r="CV15" i="54"/>
  <c r="CT15" i="54"/>
  <c r="CU16" i="54" s="1"/>
  <c r="CS21" i="52" l="1" a="1"/>
  <c r="CS21" i="52" s="1"/>
  <c r="AZ9" i="52" s="1" a="1"/>
  <c r="AZ9" i="52" s="1"/>
  <c r="AQ21" i="52"/>
  <c r="CS19" i="52" a="1"/>
  <c r="CS19" i="52" s="1"/>
  <c r="AQ17" i="52" s="1"/>
  <c r="CS18" i="52" a="1"/>
  <c r="CS18" i="52" s="1"/>
  <c r="AQ15" i="52" s="1"/>
  <c r="BH9" i="52" a="1"/>
  <c r="BH9" i="52" s="1"/>
  <c r="BI9" i="52" a="1"/>
  <c r="BI9" i="52" s="1"/>
  <c r="CJ25" i="52" a="1"/>
  <c r="CJ25" i="52" s="1"/>
  <c r="CQ23" i="52"/>
  <c r="D60" i="52" s="1"/>
  <c r="E59" i="52" s="1"/>
  <c r="C60" i="52"/>
  <c r="C61" i="52" s="1"/>
  <c r="CI9" i="52" a="1"/>
  <c r="CI9" i="52" s="1"/>
  <c r="CF9" i="52" a="1"/>
  <c r="CF9" i="52" s="1"/>
  <c r="BO2" i="40" a="1"/>
  <c r="BO2" i="40" s="1"/>
  <c r="Y16" i="40"/>
  <c r="Y26" i="40"/>
  <c r="AI2" i="40" s="1" a="1"/>
  <c r="AI2" i="40" s="1"/>
  <c r="AJ2" i="40" s="1" a="1"/>
  <c r="AJ2" i="40" s="1"/>
  <c r="BU4" i="40"/>
  <c r="BU2" i="40"/>
  <c r="BU3" i="40"/>
  <c r="BU13" i="40"/>
  <c r="BU14" i="40"/>
  <c r="BU15" i="40"/>
  <c r="Y42" i="40"/>
  <c r="AD2" i="40" a="1"/>
  <c r="AD2" i="40" s="1"/>
  <c r="BP2" i="40" a="1"/>
  <c r="BP2" i="40" s="1"/>
  <c r="BQ2" i="40" a="1"/>
  <c r="BQ2" i="40" s="1"/>
  <c r="CV16" i="54"/>
  <c r="CT16" i="54"/>
  <c r="CU17" i="54" s="1"/>
  <c r="CG9" i="52" l="1" a="1"/>
  <c r="CG9" i="52" s="1"/>
  <c r="CB9" i="52" a="1"/>
  <c r="CB9" i="52" s="1"/>
  <c r="BA19" i="52" a="1"/>
  <c r="BA19" i="52" s="1"/>
  <c r="BA23" i="52" s="1"/>
  <c r="AQ19" i="52"/>
  <c r="AQ23" i="52" s="1"/>
  <c r="AQ25" i="52" s="1"/>
  <c r="AQ27" i="52" s="1"/>
  <c r="AQ29" i="52" s="1"/>
  <c r="AR9" i="52" s="1" a="1"/>
  <c r="AR9" i="52" s="1"/>
  <c r="AS9" i="52" s="1" a="1"/>
  <c r="AS9" i="52" s="1"/>
  <c r="BJ9" i="52" a="1"/>
  <c r="BJ9" i="52" s="1"/>
  <c r="BK9" i="52" s="1" a="1"/>
  <c r="BK9" i="52" s="1"/>
  <c r="BL9" i="52" s="1" a="1"/>
  <c r="BL9" i="52" s="1"/>
  <c r="CJ35" i="52"/>
  <c r="K54" i="52"/>
  <c r="CO9" i="52" a="1"/>
  <c r="CO9" i="52" s="1"/>
  <c r="CJ31" i="52" s="1" a="1"/>
  <c r="CJ31" i="52" s="1"/>
  <c r="CJ33" i="52" s="1" a="1"/>
  <c r="CJ33" i="52" s="1"/>
  <c r="CJ41" i="52"/>
  <c r="CN9" i="52" a="1"/>
  <c r="CN9" i="52" s="1"/>
  <c r="CH9" i="52" a="1"/>
  <c r="CH9" i="52" s="1"/>
  <c r="CC25" i="52" s="1" a="1"/>
  <c r="CC25" i="52" s="1"/>
  <c r="CC27" i="52" s="1" a="1"/>
  <c r="CC27" i="52" s="1"/>
  <c r="CC37" i="52"/>
  <c r="CC9" i="52" s="1"/>
  <c r="E54" i="52"/>
  <c r="E55" i="52" s="1"/>
  <c r="CC35" i="52"/>
  <c r="CC21" i="52"/>
  <c r="CC29" i="52"/>
  <c r="AE2" i="40" a="1"/>
  <c r="AE2" i="40" s="1"/>
  <c r="AF2" i="40" s="1" a="1"/>
  <c r="AF2" i="40" s="1"/>
  <c r="AO2" i="40" s="1" a="1"/>
  <c r="AO2" i="40" s="1"/>
  <c r="Y18" i="40"/>
  <c r="Y28" i="40"/>
  <c r="Y32" i="40" s="1"/>
  <c r="CV17" i="54"/>
  <c r="CT17" i="54"/>
  <c r="CU18" i="54" s="1"/>
  <c r="CJ37" i="52" l="1" a="1"/>
  <c r="CJ37" i="52" s="1"/>
  <c r="CJ39" i="52" s="1" a="1"/>
  <c r="CJ39" i="52" s="1"/>
  <c r="BA27" i="52"/>
  <c r="BA9" i="52" s="1"/>
  <c r="BN9" i="52" a="1"/>
  <c r="BN9" i="52" s="1"/>
  <c r="C91" i="52" a="1"/>
  <c r="C91" i="52" s="1"/>
  <c r="AT9" i="52" a="1"/>
  <c r="AT9" i="52" s="1"/>
  <c r="AU9" i="52" a="1"/>
  <c r="AU9" i="52" s="1"/>
  <c r="BM9" i="52" a="1"/>
  <c r="BM9" i="52" s="1"/>
  <c r="B91" i="52" a="1"/>
  <c r="B91" i="52" s="1"/>
  <c r="D91" i="52" a="1"/>
  <c r="D91" i="52" s="1"/>
  <c r="E91" i="52" a="1"/>
  <c r="E91" i="52" s="1"/>
  <c r="A91" i="52" a="1"/>
  <c r="A91" i="52" s="1"/>
  <c r="K55" i="52"/>
  <c r="CJ27" i="52"/>
  <c r="CJ9" i="52" s="1"/>
  <c r="CC31" i="52" a="1"/>
  <c r="CC31" i="52" s="1"/>
  <c r="CC33" i="52" s="1" a="1"/>
  <c r="CC33" i="52" s="1"/>
  <c r="AB2" i="40" a="1"/>
  <c r="AB2" i="40" s="1"/>
  <c r="AA2" i="40" a="1"/>
  <c r="AA2" i="40" s="1"/>
  <c r="CV18" i="54"/>
  <c r="CT18" i="54"/>
  <c r="CU19" i="54" s="1"/>
  <c r="AV9" i="52" l="1" a="1"/>
  <c r="AV9" i="52" s="1"/>
  <c r="AY9" i="52" s="1" a="1"/>
  <c r="AY9" i="52" s="1"/>
  <c r="AN2" i="40" a="1"/>
  <c r="AN2" i="40" s="1"/>
  <c r="AC2" i="40" a="1"/>
  <c r="AC2" i="40" s="1"/>
  <c r="AL2" i="40" s="1" a="1"/>
  <c r="AL2" i="40" s="1"/>
  <c r="AM2" i="40" s="1" a="1"/>
  <c r="AM2" i="40" s="1"/>
  <c r="CV19" i="54"/>
  <c r="CT19" i="54"/>
  <c r="CU20" i="54" s="1"/>
  <c r="CV20" i="54" l="1"/>
  <c r="CT20" i="54"/>
  <c r="CU21" i="54" s="1"/>
  <c r="J31" i="56"/>
  <c r="J30" i="56"/>
  <c r="J29" i="56"/>
  <c r="J28" i="56"/>
  <c r="CV21" i="54" l="1"/>
  <c r="CT21" i="54"/>
  <c r="CU22" i="54" s="1"/>
  <c r="CV22" i="54" l="1"/>
  <c r="CT22" i="54"/>
  <c r="CU23" i="54" s="1"/>
  <c r="U9" i="50"/>
  <c r="U8" i="50"/>
  <c r="S59" i="56"/>
  <c r="S60" i="56"/>
  <c r="S58" i="56"/>
  <c r="S50" i="56"/>
  <c r="T50" i="56" s="1"/>
  <c r="S51" i="56"/>
  <c r="T51" i="56" s="1"/>
  <c r="S52" i="56"/>
  <c r="T52" i="56" s="1"/>
  <c r="S53" i="56"/>
  <c r="U53" i="56" s="1"/>
  <c r="S54" i="56"/>
  <c r="T54" i="56" s="1"/>
  <c r="S55" i="56"/>
  <c r="T55" i="56" s="1"/>
  <c r="S49" i="56"/>
  <c r="T49" i="56" s="1"/>
  <c r="S38" i="56"/>
  <c r="T38" i="56" s="1"/>
  <c r="S39" i="56"/>
  <c r="U39" i="56" s="1"/>
  <c r="S40" i="56"/>
  <c r="U40" i="56" s="1"/>
  <c r="S41" i="56"/>
  <c r="T41" i="56" s="1"/>
  <c r="S42" i="56"/>
  <c r="T42" i="56" s="1"/>
  <c r="S43" i="56"/>
  <c r="U43" i="56" s="1"/>
  <c r="S44" i="56"/>
  <c r="U44" i="56" s="1"/>
  <c r="S45" i="56"/>
  <c r="T45" i="56" s="1"/>
  <c r="S46" i="56"/>
  <c r="T46" i="56" s="1"/>
  <c r="S37" i="56"/>
  <c r="U37" i="56" s="1"/>
  <c r="S29" i="56"/>
  <c r="S30" i="56"/>
  <c r="S31" i="56"/>
  <c r="S32" i="56"/>
  <c r="S33" i="56"/>
  <c r="S34" i="56"/>
  <c r="S28" i="56"/>
  <c r="S3" i="56"/>
  <c r="S4" i="56"/>
  <c r="U4" i="56" s="1"/>
  <c r="S5" i="56"/>
  <c r="U5" i="56" s="1"/>
  <c r="S6" i="56"/>
  <c r="S7" i="56"/>
  <c r="U7" i="56" s="1"/>
  <c r="S8" i="56"/>
  <c r="U8" i="56" s="1"/>
  <c r="S9" i="56"/>
  <c r="S10" i="56"/>
  <c r="U10" i="56" s="1"/>
  <c r="S11" i="56"/>
  <c r="U11" i="56" s="1"/>
  <c r="S12" i="56"/>
  <c r="S13" i="56"/>
  <c r="U13" i="56" s="1"/>
  <c r="S14" i="56"/>
  <c r="U14" i="56" s="1"/>
  <c r="S15" i="56"/>
  <c r="S16" i="56"/>
  <c r="S17" i="56"/>
  <c r="U17" i="56" s="1"/>
  <c r="S18" i="56"/>
  <c r="U18" i="56" s="1"/>
  <c r="S19" i="56"/>
  <c r="S20" i="56"/>
  <c r="S21" i="56"/>
  <c r="U21" i="56" s="1"/>
  <c r="S22" i="56"/>
  <c r="U22" i="56" s="1"/>
  <c r="S23" i="56"/>
  <c r="S24" i="56"/>
  <c r="S25" i="56"/>
  <c r="U25" i="56" s="1"/>
  <c r="S2" i="56"/>
  <c r="U2" i="56" s="1"/>
  <c r="CV23" i="54" l="1"/>
  <c r="CT23" i="54"/>
  <c r="CU24" i="54" s="1"/>
  <c r="T2" i="56"/>
  <c r="T18" i="56"/>
  <c r="T13" i="56"/>
  <c r="T5" i="56"/>
  <c r="T44" i="56"/>
  <c r="T40" i="56"/>
  <c r="U46" i="56"/>
  <c r="U42" i="56"/>
  <c r="U38" i="56"/>
  <c r="T53" i="56"/>
  <c r="U49" i="56"/>
  <c r="U52" i="56"/>
  <c r="T22" i="56"/>
  <c r="T17" i="56"/>
  <c r="T8" i="56"/>
  <c r="T4" i="56"/>
  <c r="T37" i="56"/>
  <c r="T43" i="56"/>
  <c r="T39" i="56"/>
  <c r="U45" i="56"/>
  <c r="U41" i="56"/>
  <c r="U55" i="56"/>
  <c r="U51" i="56"/>
  <c r="T21" i="56"/>
  <c r="T11" i="56"/>
  <c r="T7" i="56"/>
  <c r="U54" i="56"/>
  <c r="U50" i="56"/>
  <c r="T25" i="56"/>
  <c r="T14" i="56"/>
  <c r="T10" i="56"/>
  <c r="CV24" i="54" l="1"/>
  <c r="CT24" i="54"/>
  <c r="CU25" i="54" s="1"/>
  <c r="G13" i="56"/>
  <c r="G12" i="56"/>
  <c r="G11" i="56"/>
  <c r="G10" i="56"/>
  <c r="G9" i="56"/>
  <c r="G8" i="56"/>
  <c r="G7" i="56"/>
  <c r="G6" i="56"/>
  <c r="G5" i="56"/>
  <c r="CV25" i="54" l="1"/>
  <c r="CT25" i="54"/>
  <c r="CU26" i="54" s="1"/>
  <c r="AS5" i="50"/>
  <c r="AR14" i="50"/>
  <c r="AS14" i="50" s="1"/>
  <c r="AR15" i="50"/>
  <c r="AS15" i="50" s="1"/>
  <c r="AR16" i="50"/>
  <c r="AS16" i="50" s="1"/>
  <c r="AR17" i="50"/>
  <c r="AS17" i="50" s="1"/>
  <c r="AR18" i="50"/>
  <c r="AS18" i="50" s="1"/>
  <c r="AR19" i="50"/>
  <c r="AS19" i="50" s="1"/>
  <c r="AR20" i="50"/>
  <c r="AS20" i="50" s="1"/>
  <c r="AR21" i="50"/>
  <c r="AS21" i="50" s="1"/>
  <c r="AR22" i="50"/>
  <c r="AS22" i="50" s="1"/>
  <c r="AR23" i="50"/>
  <c r="AS23" i="50" s="1"/>
  <c r="AR24" i="50"/>
  <c r="AS24" i="50" s="1"/>
  <c r="AR25" i="50"/>
  <c r="AS25" i="50" s="1"/>
  <c r="AR26" i="50"/>
  <c r="AS26" i="50" s="1"/>
  <c r="AR27" i="50"/>
  <c r="AS27" i="50" s="1"/>
  <c r="AR28" i="50"/>
  <c r="AS28" i="50" s="1"/>
  <c r="AR29" i="50"/>
  <c r="AS29" i="50" s="1"/>
  <c r="AR30" i="50"/>
  <c r="AS30" i="50" s="1"/>
  <c r="AR31" i="50"/>
  <c r="AS31" i="50" s="1"/>
  <c r="AR32" i="50"/>
  <c r="AS32" i="50" s="1"/>
  <c r="AR33" i="50"/>
  <c r="AS33" i="50" s="1"/>
  <c r="AR34" i="50"/>
  <c r="AS34" i="50" s="1"/>
  <c r="AR35" i="50"/>
  <c r="AS35" i="50" s="1"/>
  <c r="AR36" i="50"/>
  <c r="AS36" i="50" s="1"/>
  <c r="AR37" i="50"/>
  <c r="AS37" i="50" s="1"/>
  <c r="AR38" i="50"/>
  <c r="AS38" i="50" s="1"/>
  <c r="AR39" i="50"/>
  <c r="AS39" i="50" s="1"/>
  <c r="AR40" i="50"/>
  <c r="AS40" i="50" s="1"/>
  <c r="AR41" i="50"/>
  <c r="AS41" i="50" s="1"/>
  <c r="AR42" i="50"/>
  <c r="AS42" i="50" s="1"/>
  <c r="AR43" i="50"/>
  <c r="AS43" i="50" s="1"/>
  <c r="AR44" i="50"/>
  <c r="AS44" i="50" s="1"/>
  <c r="AR45" i="50"/>
  <c r="AS45" i="50" s="1"/>
  <c r="AR46" i="50"/>
  <c r="AS46" i="50" s="1"/>
  <c r="AR47" i="50"/>
  <c r="AS47" i="50" s="1"/>
  <c r="AR48" i="50"/>
  <c r="AS48" i="50" s="1"/>
  <c r="AR49" i="50"/>
  <c r="AS49" i="50" s="1"/>
  <c r="AR50" i="50"/>
  <c r="AS50" i="50" s="1"/>
  <c r="AR51" i="50"/>
  <c r="AS51" i="50" s="1"/>
  <c r="AR52" i="50"/>
  <c r="AS52" i="50" s="1"/>
  <c r="AR53" i="50"/>
  <c r="AS53" i="50" s="1"/>
  <c r="AR54" i="50"/>
  <c r="AS54" i="50" s="1"/>
  <c r="AR55" i="50"/>
  <c r="AS55" i="50" s="1"/>
  <c r="AR56" i="50"/>
  <c r="AS56" i="50" s="1"/>
  <c r="AR57" i="50"/>
  <c r="AS57" i="50" s="1"/>
  <c r="AR58" i="50"/>
  <c r="AS58" i="50" s="1"/>
  <c r="AR59" i="50"/>
  <c r="AS59" i="50" s="1"/>
  <c r="AR60" i="50"/>
  <c r="AS60" i="50" s="1"/>
  <c r="AR61" i="50"/>
  <c r="AS61" i="50" s="1"/>
  <c r="AR62" i="50"/>
  <c r="AS62" i="50" s="1"/>
  <c r="AR63" i="50"/>
  <c r="AS63" i="50" s="1"/>
  <c r="AR64" i="50"/>
  <c r="AS64" i="50" s="1"/>
  <c r="AR65" i="50"/>
  <c r="AS65" i="50" s="1"/>
  <c r="AR66" i="50"/>
  <c r="AS66" i="50" s="1"/>
  <c r="AR67" i="50"/>
  <c r="AS67" i="50" s="1"/>
  <c r="AR68" i="50"/>
  <c r="AS68" i="50" s="1"/>
  <c r="AR69" i="50"/>
  <c r="AS69" i="50" s="1"/>
  <c r="AR70" i="50"/>
  <c r="AS70" i="50" s="1"/>
  <c r="AR71" i="50"/>
  <c r="AS71" i="50" s="1"/>
  <c r="AR72" i="50"/>
  <c r="AS72" i="50" s="1"/>
  <c r="AR73" i="50"/>
  <c r="AS73" i="50" s="1"/>
  <c r="AR74" i="50"/>
  <c r="AS74" i="50" s="1"/>
  <c r="AR75" i="50"/>
  <c r="AS75" i="50" s="1"/>
  <c r="AR76" i="50"/>
  <c r="AS76" i="50" s="1"/>
  <c r="AR77" i="50"/>
  <c r="AS77" i="50" s="1"/>
  <c r="AR78" i="50"/>
  <c r="AS78" i="50" s="1"/>
  <c r="AR79" i="50"/>
  <c r="AS79" i="50" s="1"/>
  <c r="AR80" i="50"/>
  <c r="AS80" i="50" s="1"/>
  <c r="AR81" i="50"/>
  <c r="AS81" i="50" s="1"/>
  <c r="AR82" i="50"/>
  <c r="AS82" i="50" s="1"/>
  <c r="AR83" i="50"/>
  <c r="AS83" i="50" s="1"/>
  <c r="AR84" i="50"/>
  <c r="AS84" i="50" s="1"/>
  <c r="AR85" i="50"/>
  <c r="AS85" i="50" s="1"/>
  <c r="AR86" i="50"/>
  <c r="AS86" i="50" s="1"/>
  <c r="AR87" i="50"/>
  <c r="AS87" i="50" s="1"/>
  <c r="AR88" i="50"/>
  <c r="AR89" i="50"/>
  <c r="AS89" i="50" s="1"/>
  <c r="AR90" i="50"/>
  <c r="AS90" i="50" s="1"/>
  <c r="AR91" i="50"/>
  <c r="AS91" i="50" s="1"/>
  <c r="AR92" i="50"/>
  <c r="AS92" i="50" s="1"/>
  <c r="AR93" i="50"/>
  <c r="AS93" i="50" s="1"/>
  <c r="AR94" i="50"/>
  <c r="AR95" i="50"/>
  <c r="AS95" i="50" s="1"/>
  <c r="AR96" i="50"/>
  <c r="AR97" i="50"/>
  <c r="AS97" i="50" s="1"/>
  <c r="AR98" i="50"/>
  <c r="AR99" i="50"/>
  <c r="AS99" i="50" s="1"/>
  <c r="AR100" i="50"/>
  <c r="AR101" i="50"/>
  <c r="AS101" i="50" s="1"/>
  <c r="AR102" i="50"/>
  <c r="AR103" i="50"/>
  <c r="AS103" i="50" s="1"/>
  <c r="AR104" i="50"/>
  <c r="AR105" i="50"/>
  <c r="AS105" i="50" s="1"/>
  <c r="AR106" i="50"/>
  <c r="AR107" i="50"/>
  <c r="AS107" i="50" s="1"/>
  <c r="AR108" i="50"/>
  <c r="AR109" i="50"/>
  <c r="AS109" i="50" s="1"/>
  <c r="AR110" i="50"/>
  <c r="AR111" i="50"/>
  <c r="AS111" i="50" s="1"/>
  <c r="AR112" i="50"/>
  <c r="AR113" i="50"/>
  <c r="AS113" i="50" s="1"/>
  <c r="AR114" i="50"/>
  <c r="AR115" i="50"/>
  <c r="AS115" i="50" s="1"/>
  <c r="AR116" i="50"/>
  <c r="AR117" i="50"/>
  <c r="AS117" i="50" s="1"/>
  <c r="AR118" i="50"/>
  <c r="AR119" i="50"/>
  <c r="AS119" i="50" s="1"/>
  <c r="AR120" i="50"/>
  <c r="AS120" i="50" s="1"/>
  <c r="AR121" i="50"/>
  <c r="AS121" i="50" s="1"/>
  <c r="AR122" i="50"/>
  <c r="AS122" i="50" s="1"/>
  <c r="AR123" i="50"/>
  <c r="AR124" i="50"/>
  <c r="AS124" i="50" s="1"/>
  <c r="AR125" i="50"/>
  <c r="AR126" i="50"/>
  <c r="AS126" i="50" s="1"/>
  <c r="AR127" i="50"/>
  <c r="AR128" i="50"/>
  <c r="AS128" i="50" s="1"/>
  <c r="AR129" i="50"/>
  <c r="AR130" i="50"/>
  <c r="AS130" i="50" s="1"/>
  <c r="AR131" i="50"/>
  <c r="AR132" i="50"/>
  <c r="AS132" i="50" s="1"/>
  <c r="AR133" i="50"/>
  <c r="AR134" i="50"/>
  <c r="AS134" i="50" s="1"/>
  <c r="AR135" i="50"/>
  <c r="AR136" i="50"/>
  <c r="AS136" i="50" s="1"/>
  <c r="AR137" i="50"/>
  <c r="AR138" i="50"/>
  <c r="AS138" i="50" s="1"/>
  <c r="AR139" i="50"/>
  <c r="AR140" i="50"/>
  <c r="AS140" i="50" s="1"/>
  <c r="AR141" i="50"/>
  <c r="AR142" i="50"/>
  <c r="AS142" i="50" s="1"/>
  <c r="AR143" i="50"/>
  <c r="AR144" i="50"/>
  <c r="AS144" i="50" s="1"/>
  <c r="AR145" i="50"/>
  <c r="AR146" i="50"/>
  <c r="AS146" i="50" s="1"/>
  <c r="AR147" i="50"/>
  <c r="AS147" i="50" s="1"/>
  <c r="AR148" i="50"/>
  <c r="AS148" i="50" s="1"/>
  <c r="AR149" i="50"/>
  <c r="AS149" i="50" s="1"/>
  <c r="AR150" i="50"/>
  <c r="AS150" i="50" s="1"/>
  <c r="AR151" i="50"/>
  <c r="AR152" i="50"/>
  <c r="AR153" i="50"/>
  <c r="AS153" i="50" s="1"/>
  <c r="AR154" i="50"/>
  <c r="AS154" i="50" s="1"/>
  <c r="AR155" i="50"/>
  <c r="AS155" i="50" s="1"/>
  <c r="AR156" i="50"/>
  <c r="AS156" i="50" s="1"/>
  <c r="AR157" i="50"/>
  <c r="AS157" i="50" s="1"/>
  <c r="AR158" i="50"/>
  <c r="AS158" i="50" s="1"/>
  <c r="AR159" i="50"/>
  <c r="AR160" i="50"/>
  <c r="AR161" i="50"/>
  <c r="AS161" i="50" s="1"/>
  <c r="AR162" i="50"/>
  <c r="AS162" i="50" s="1"/>
  <c r="AR163" i="50"/>
  <c r="AS163" i="50" s="1"/>
  <c r="AR164" i="50"/>
  <c r="AS164" i="50" s="1"/>
  <c r="AR165" i="50"/>
  <c r="AS165" i="50" s="1"/>
  <c r="AR166" i="50"/>
  <c r="AS166" i="50" s="1"/>
  <c r="AR167" i="50"/>
  <c r="AR168" i="50"/>
  <c r="AR169" i="50"/>
  <c r="AS169" i="50" s="1"/>
  <c r="AR170" i="50"/>
  <c r="AS170" i="50" s="1"/>
  <c r="AR171" i="50"/>
  <c r="AS171" i="50" s="1"/>
  <c r="AR172" i="50"/>
  <c r="AS172" i="50" s="1"/>
  <c r="AR173" i="50"/>
  <c r="AS173" i="50" s="1"/>
  <c r="AR174" i="50"/>
  <c r="AS174" i="50" s="1"/>
  <c r="AR175" i="50"/>
  <c r="AR176" i="50"/>
  <c r="AR177" i="50"/>
  <c r="AS177" i="50" s="1"/>
  <c r="AR178" i="50"/>
  <c r="AS178" i="50" s="1"/>
  <c r="AR179" i="50"/>
  <c r="AS179" i="50" s="1"/>
  <c r="AR180" i="50"/>
  <c r="AS180" i="50" s="1"/>
  <c r="AR181" i="50"/>
  <c r="AS181" i="50" s="1"/>
  <c r="AR182" i="50"/>
  <c r="AS182" i="50" s="1"/>
  <c r="AR183" i="50"/>
  <c r="AS183" i="50" s="1"/>
  <c r="AR184" i="50"/>
  <c r="AS184" i="50" s="1"/>
  <c r="AR185" i="50"/>
  <c r="AS185" i="50" s="1"/>
  <c r="AR186" i="50"/>
  <c r="AS186" i="50" s="1"/>
  <c r="AR187" i="50"/>
  <c r="AS187" i="50" s="1"/>
  <c r="AR188" i="50"/>
  <c r="AS188" i="50" s="1"/>
  <c r="AR189" i="50"/>
  <c r="AS189" i="50" s="1"/>
  <c r="AR190" i="50"/>
  <c r="AS190" i="50" s="1"/>
  <c r="AR191" i="50"/>
  <c r="AS191" i="50" s="1"/>
  <c r="AR192" i="50"/>
  <c r="AS192" i="50" s="1"/>
  <c r="AR193" i="50"/>
  <c r="AS193" i="50" s="1"/>
  <c r="AR194" i="50"/>
  <c r="AS194" i="50" s="1"/>
  <c r="AR195" i="50"/>
  <c r="AS195" i="50" s="1"/>
  <c r="AR196" i="50"/>
  <c r="AS196" i="50" s="1"/>
  <c r="AR197" i="50"/>
  <c r="AS197" i="50" s="1"/>
  <c r="AR198" i="50"/>
  <c r="AS198" i="50" s="1"/>
  <c r="AR199" i="50"/>
  <c r="AS199" i="50" s="1"/>
  <c r="AR200" i="50"/>
  <c r="AS200" i="50" s="1"/>
  <c r="AR201" i="50"/>
  <c r="AS201" i="50" s="1"/>
  <c r="AR202" i="50"/>
  <c r="AS202" i="50" s="1"/>
  <c r="AR203" i="50"/>
  <c r="AS203" i="50" s="1"/>
  <c r="AR204" i="50"/>
  <c r="AS204" i="50" s="1"/>
  <c r="AR205" i="50"/>
  <c r="AS205" i="50" s="1"/>
  <c r="AR206" i="50"/>
  <c r="AS206" i="50" s="1"/>
  <c r="AR207" i="50"/>
  <c r="AS207" i="50" s="1"/>
  <c r="AR208" i="50"/>
  <c r="AS208" i="50" s="1"/>
  <c r="AR209" i="50"/>
  <c r="AS209" i="50" s="1"/>
  <c r="AR210" i="50"/>
  <c r="AS210" i="50" s="1"/>
  <c r="AR211" i="50"/>
  <c r="AS211" i="50" s="1"/>
  <c r="AR212" i="50"/>
  <c r="AS212" i="50" s="1"/>
  <c r="AR213" i="50"/>
  <c r="AS213" i="50" s="1"/>
  <c r="AR214" i="50"/>
  <c r="AS214" i="50" s="1"/>
  <c r="AR215" i="50"/>
  <c r="AS215" i="50" s="1"/>
  <c r="AR216" i="50"/>
  <c r="AS216" i="50" s="1"/>
  <c r="AR217" i="50"/>
  <c r="AS217" i="50" s="1"/>
  <c r="AR218" i="50"/>
  <c r="AS218" i="50" s="1"/>
  <c r="AR219" i="50"/>
  <c r="AS219" i="50" s="1"/>
  <c r="AR220" i="50"/>
  <c r="AS220" i="50" s="1"/>
  <c r="AR221" i="50"/>
  <c r="AS221" i="50" s="1"/>
  <c r="AR222" i="50"/>
  <c r="AS222" i="50" s="1"/>
  <c r="AR223" i="50"/>
  <c r="AS223" i="50" s="1"/>
  <c r="AR224" i="50"/>
  <c r="AS224" i="50" s="1"/>
  <c r="AR225" i="50"/>
  <c r="AS225" i="50" s="1"/>
  <c r="AR226" i="50"/>
  <c r="AS226" i="50" s="1"/>
  <c r="AR227" i="50"/>
  <c r="AS227" i="50" s="1"/>
  <c r="AR228" i="50"/>
  <c r="AS228" i="50" s="1"/>
  <c r="AR229" i="50"/>
  <c r="AR230" i="50"/>
  <c r="AS230" i="50" s="1"/>
  <c r="AR231" i="50"/>
  <c r="AR232" i="50"/>
  <c r="AS232" i="50" s="1"/>
  <c r="AR233" i="50"/>
  <c r="AR234" i="50"/>
  <c r="AS234" i="50" s="1"/>
  <c r="AR235" i="50"/>
  <c r="AR236" i="50"/>
  <c r="AS236" i="50" s="1"/>
  <c r="AR237" i="50"/>
  <c r="AR238" i="50"/>
  <c r="AS238" i="50" s="1"/>
  <c r="AR239" i="50"/>
  <c r="AR240" i="50"/>
  <c r="AS240" i="50" s="1"/>
  <c r="AR241" i="50"/>
  <c r="AR242" i="50"/>
  <c r="AS242" i="50" s="1"/>
  <c r="AR243" i="50"/>
  <c r="AR244" i="50"/>
  <c r="AS244" i="50" s="1"/>
  <c r="AR245" i="50"/>
  <c r="AR246" i="50"/>
  <c r="AS246" i="50" s="1"/>
  <c r="AR247" i="50"/>
  <c r="AR248" i="50"/>
  <c r="AS248" i="50" s="1"/>
  <c r="AR249" i="50"/>
  <c r="AR250" i="50"/>
  <c r="AS250" i="50" s="1"/>
  <c r="AR251" i="50"/>
  <c r="AR252" i="50"/>
  <c r="AS252" i="50" s="1"/>
  <c r="AR253" i="50"/>
  <c r="AR254" i="50"/>
  <c r="AS254" i="50" s="1"/>
  <c r="AR255" i="50"/>
  <c r="AR256" i="50"/>
  <c r="AS256" i="50" s="1"/>
  <c r="AR257" i="50"/>
  <c r="AR258" i="50"/>
  <c r="AS258" i="50" s="1"/>
  <c r="AR259" i="50"/>
  <c r="AR260" i="50"/>
  <c r="AS260" i="50" s="1"/>
  <c r="AR261" i="50"/>
  <c r="AR262" i="50"/>
  <c r="AS262" i="50" s="1"/>
  <c r="AR263" i="50"/>
  <c r="AS263" i="50" s="1"/>
  <c r="AR264" i="50"/>
  <c r="AS264" i="50" s="1"/>
  <c r="AR265" i="50"/>
  <c r="AS265" i="50" s="1"/>
  <c r="AR266" i="50"/>
  <c r="AS266" i="50" s="1"/>
  <c r="AR267" i="50"/>
  <c r="AS267" i="50" s="1"/>
  <c r="AR268" i="50"/>
  <c r="AS268" i="50" s="1"/>
  <c r="AR269" i="50"/>
  <c r="AS269" i="50" s="1"/>
  <c r="AR270" i="50"/>
  <c r="AS270" i="50" s="1"/>
  <c r="AR271" i="50"/>
  <c r="AS271" i="50" s="1"/>
  <c r="AR272" i="50"/>
  <c r="AS272" i="50" s="1"/>
  <c r="AR273" i="50"/>
  <c r="AS273" i="50" s="1"/>
  <c r="AR274" i="50"/>
  <c r="AS274" i="50" s="1"/>
  <c r="AR275" i="50"/>
  <c r="AS275" i="50" s="1"/>
  <c r="AR276" i="50"/>
  <c r="AS276" i="50" s="1"/>
  <c r="AR277" i="50"/>
  <c r="AS277" i="50" s="1"/>
  <c r="AR278" i="50"/>
  <c r="AS278" i="50" s="1"/>
  <c r="AR279" i="50"/>
  <c r="AS279" i="50" s="1"/>
  <c r="AR280" i="50"/>
  <c r="AS280" i="50" s="1"/>
  <c r="AR281" i="50"/>
  <c r="AS281" i="50" s="1"/>
  <c r="AR282" i="50"/>
  <c r="AS282" i="50" s="1"/>
  <c r="AR283" i="50"/>
  <c r="AS283" i="50" s="1"/>
  <c r="AR284" i="50"/>
  <c r="AS284" i="50" s="1"/>
  <c r="AR285" i="50"/>
  <c r="AS285" i="50" s="1"/>
  <c r="AR286" i="50"/>
  <c r="AS286" i="50" s="1"/>
  <c r="AR287" i="50"/>
  <c r="AS287" i="50" s="1"/>
  <c r="AR288" i="50"/>
  <c r="AS288" i="50" s="1"/>
  <c r="AR289" i="50"/>
  <c r="AS289" i="50" s="1"/>
  <c r="AR290" i="50"/>
  <c r="AS290" i="50" s="1"/>
  <c r="AR291" i="50"/>
  <c r="AS291" i="50" s="1"/>
  <c r="AR292" i="50"/>
  <c r="AS292" i="50" s="1"/>
  <c r="AR293" i="50"/>
  <c r="AS293" i="50" s="1"/>
  <c r="AR294" i="50"/>
  <c r="AS294" i="50" s="1"/>
  <c r="AR295" i="50"/>
  <c r="AS295" i="50" s="1"/>
  <c r="AR296" i="50"/>
  <c r="AR297" i="50"/>
  <c r="AS297" i="50" s="1"/>
  <c r="AR298" i="50"/>
  <c r="AR299" i="50"/>
  <c r="AS299" i="50" s="1"/>
  <c r="AR300" i="50"/>
  <c r="AR301" i="50"/>
  <c r="AS301" i="50" s="1"/>
  <c r="AR302" i="50"/>
  <c r="AR303" i="50"/>
  <c r="AS303" i="50" s="1"/>
  <c r="AR304" i="50"/>
  <c r="AR305" i="50"/>
  <c r="AS305" i="50" s="1"/>
  <c r="AR306" i="50"/>
  <c r="AR307" i="50"/>
  <c r="AS307" i="50" s="1"/>
  <c r="AR308" i="50"/>
  <c r="AR309" i="50"/>
  <c r="AS309" i="50" s="1"/>
  <c r="AR310" i="50"/>
  <c r="AR311" i="50"/>
  <c r="AS311" i="50" s="1"/>
  <c r="AR312" i="50"/>
  <c r="AR313" i="50"/>
  <c r="AS313" i="50" s="1"/>
  <c r="AR314" i="50"/>
  <c r="AR315" i="50"/>
  <c r="AS315" i="50" s="1"/>
  <c r="AR316" i="50"/>
  <c r="AR317" i="50"/>
  <c r="AS317" i="50" s="1"/>
  <c r="AR318" i="50"/>
  <c r="AR319" i="50"/>
  <c r="AS319" i="50" s="1"/>
  <c r="AR320" i="50"/>
  <c r="AR321" i="50"/>
  <c r="AS321" i="50" s="1"/>
  <c r="AR322" i="50"/>
  <c r="AR323" i="50"/>
  <c r="AS323" i="50" s="1"/>
  <c r="AR324" i="50"/>
  <c r="AR325" i="50"/>
  <c r="AS325" i="50" s="1"/>
  <c r="AR326" i="50"/>
  <c r="AS326" i="50" s="1"/>
  <c r="AR327" i="50"/>
  <c r="AS327" i="50" s="1"/>
  <c r="AR328" i="50"/>
  <c r="AS328" i="50" s="1"/>
  <c r="AR329" i="50"/>
  <c r="AS329" i="50" s="1"/>
  <c r="AR330" i="50"/>
  <c r="AS330" i="50" s="1"/>
  <c r="AR331" i="50"/>
  <c r="AS331" i="50" s="1"/>
  <c r="AR332" i="50"/>
  <c r="AS332" i="50" s="1"/>
  <c r="AR333" i="50"/>
  <c r="AS333" i="50" s="1"/>
  <c r="AR334" i="50"/>
  <c r="AS334" i="50" s="1"/>
  <c r="AR335" i="50"/>
  <c r="AS335" i="50" s="1"/>
  <c r="AR336" i="50"/>
  <c r="AS336" i="50" s="1"/>
  <c r="AR337" i="50"/>
  <c r="AS337" i="50" s="1"/>
  <c r="AR338" i="50"/>
  <c r="AS338" i="50" s="1"/>
  <c r="AR339" i="50"/>
  <c r="AS339" i="50" s="1"/>
  <c r="AR340" i="50"/>
  <c r="AS340" i="50" s="1"/>
  <c r="AR341" i="50"/>
  <c r="AS341" i="50" s="1"/>
  <c r="AR342" i="50"/>
  <c r="AS342" i="50" s="1"/>
  <c r="AR343" i="50"/>
  <c r="AS343" i="50" s="1"/>
  <c r="AR344" i="50"/>
  <c r="AS344" i="50" s="1"/>
  <c r="AR345" i="50"/>
  <c r="AS345" i="50" s="1"/>
  <c r="AR346" i="50"/>
  <c r="AS346" i="50" s="1"/>
  <c r="AR347" i="50"/>
  <c r="AS347" i="50" s="1"/>
  <c r="AR348" i="50"/>
  <c r="AS348" i="50" s="1"/>
  <c r="AR349" i="50"/>
  <c r="AS349" i="50" s="1"/>
  <c r="AR350" i="50"/>
  <c r="AS350" i="50" s="1"/>
  <c r="AR351" i="50"/>
  <c r="AS351" i="50" s="1"/>
  <c r="AR352" i="50"/>
  <c r="AS352" i="50" s="1"/>
  <c r="AR353" i="50"/>
  <c r="AS353" i="50" s="1"/>
  <c r="AR354" i="50"/>
  <c r="AS354" i="50" s="1"/>
  <c r="AR355" i="50"/>
  <c r="AS355" i="50" s="1"/>
  <c r="AR356" i="50"/>
  <c r="AS356" i="50" s="1"/>
  <c r="AR357" i="50"/>
  <c r="AS357" i="50" s="1"/>
  <c r="AR358" i="50"/>
  <c r="AS358" i="50" s="1"/>
  <c r="AR359" i="50"/>
  <c r="AS359" i="50" s="1"/>
  <c r="AR360" i="50"/>
  <c r="AS360" i="50" s="1"/>
  <c r="AR361" i="50"/>
  <c r="AS361" i="50" s="1"/>
  <c r="AR362" i="50"/>
  <c r="AS362" i="50" s="1"/>
  <c r="AR363" i="50"/>
  <c r="AS363" i="50" s="1"/>
  <c r="AR364" i="50"/>
  <c r="AS364" i="50" s="1"/>
  <c r="AR365" i="50"/>
  <c r="AS365" i="50" s="1"/>
  <c r="AR366" i="50"/>
  <c r="AS366" i="50" s="1"/>
  <c r="AR367" i="50"/>
  <c r="AS367" i="50" s="1"/>
  <c r="AR368" i="50"/>
  <c r="AS368" i="50" s="1"/>
  <c r="AR369" i="50"/>
  <c r="AS369" i="50" s="1"/>
  <c r="AR370" i="50"/>
  <c r="AS370" i="50" s="1"/>
  <c r="AR371" i="50"/>
  <c r="AS371" i="50" s="1"/>
  <c r="AR372" i="50"/>
  <c r="AS372" i="50" s="1"/>
  <c r="AR373" i="50"/>
  <c r="AS373" i="50" s="1"/>
  <c r="AR374" i="50"/>
  <c r="AS374" i="50" s="1"/>
  <c r="AR375" i="50"/>
  <c r="AS375" i="50" s="1"/>
  <c r="AR376" i="50"/>
  <c r="AS376" i="50" s="1"/>
  <c r="AR377" i="50"/>
  <c r="AR378" i="50"/>
  <c r="AS378" i="50" s="1"/>
  <c r="AR379" i="50"/>
  <c r="AR380" i="50"/>
  <c r="AS380" i="50" s="1"/>
  <c r="AR381" i="50"/>
  <c r="AS381" i="50" s="1"/>
  <c r="AR382" i="50"/>
  <c r="AS382" i="50" s="1"/>
  <c r="AR383" i="50"/>
  <c r="AS383" i="50" s="1"/>
  <c r="AR384" i="50"/>
  <c r="AS384" i="50" s="1"/>
  <c r="AR385" i="50"/>
  <c r="AS385" i="50" s="1"/>
  <c r="AR386" i="50"/>
  <c r="AS386" i="50" s="1"/>
  <c r="AR387" i="50"/>
  <c r="AS387" i="50" s="1"/>
  <c r="AR388" i="50"/>
  <c r="AS388" i="50" s="1"/>
  <c r="AR389" i="50"/>
  <c r="AS389" i="50" s="1"/>
  <c r="AR390" i="50"/>
  <c r="AS390" i="50" s="1"/>
  <c r="AR391" i="50"/>
  <c r="AS391" i="50" s="1"/>
  <c r="AR392" i="50"/>
  <c r="AS392" i="50" s="1"/>
  <c r="AR393" i="50"/>
  <c r="AS393" i="50" s="1"/>
  <c r="AR394" i="50"/>
  <c r="AS394" i="50" s="1"/>
  <c r="AR395" i="50"/>
  <c r="AS395" i="50" s="1"/>
  <c r="AR396" i="50"/>
  <c r="AS396" i="50" s="1"/>
  <c r="AR397" i="50"/>
  <c r="AS397" i="50" s="1"/>
  <c r="AR398" i="50"/>
  <c r="AS398" i="50" s="1"/>
  <c r="AR399" i="50"/>
  <c r="AS399" i="50" s="1"/>
  <c r="AR400" i="50"/>
  <c r="AS400" i="50" s="1"/>
  <c r="AR401" i="50"/>
  <c r="AS401" i="50" s="1"/>
  <c r="AR402" i="50"/>
  <c r="AS402" i="50" s="1"/>
  <c r="AR403" i="50"/>
  <c r="AS403" i="50" s="1"/>
  <c r="AR404" i="50"/>
  <c r="AS404" i="50" s="1"/>
  <c r="AR405" i="50"/>
  <c r="AS405" i="50" s="1"/>
  <c r="AR406" i="50"/>
  <c r="AS406" i="50" s="1"/>
  <c r="AR407" i="50"/>
  <c r="AR408" i="50"/>
  <c r="AS408" i="50" s="1"/>
  <c r="AR409" i="50"/>
  <c r="AR410" i="50"/>
  <c r="AS410" i="50" s="1"/>
  <c r="AR411" i="50"/>
  <c r="AR412" i="50"/>
  <c r="AS412" i="50" s="1"/>
  <c r="AR413" i="50"/>
  <c r="AR414" i="50"/>
  <c r="AS414" i="50" s="1"/>
  <c r="AR415" i="50"/>
  <c r="AR416" i="50"/>
  <c r="AS416" i="50" s="1"/>
  <c r="AR417" i="50"/>
  <c r="AR418" i="50"/>
  <c r="AS418" i="50" s="1"/>
  <c r="AR419" i="50"/>
  <c r="AR420" i="50"/>
  <c r="AS420" i="50" s="1"/>
  <c r="AR421" i="50"/>
  <c r="AR422" i="50"/>
  <c r="AS422" i="50" s="1"/>
  <c r="AR423" i="50"/>
  <c r="AR424" i="50"/>
  <c r="AS424" i="50" s="1"/>
  <c r="AR425" i="50"/>
  <c r="AR426" i="50"/>
  <c r="AS426" i="50" s="1"/>
  <c r="AR427" i="50"/>
  <c r="AR428" i="50"/>
  <c r="AS428" i="50" s="1"/>
  <c r="AR429" i="50"/>
  <c r="AR430" i="50"/>
  <c r="AS430" i="50" s="1"/>
  <c r="AR431" i="50"/>
  <c r="AR432" i="50"/>
  <c r="AS432" i="50" s="1"/>
  <c r="AR433" i="50"/>
  <c r="AR434" i="50"/>
  <c r="AS434" i="50" s="1"/>
  <c r="AR435" i="50"/>
  <c r="AR436" i="50"/>
  <c r="AS436" i="50" s="1"/>
  <c r="AR437" i="50"/>
  <c r="AR438" i="50"/>
  <c r="AS438" i="50" s="1"/>
  <c r="AR439" i="50"/>
  <c r="AR440" i="50"/>
  <c r="AS440" i="50" s="1"/>
  <c r="AR441" i="50"/>
  <c r="AR442" i="50"/>
  <c r="AS442" i="50" s="1"/>
  <c r="AR443" i="50"/>
  <c r="AR444" i="50"/>
  <c r="AS444" i="50" s="1"/>
  <c r="AR445" i="50"/>
  <c r="AR446" i="50"/>
  <c r="AS446" i="50" s="1"/>
  <c r="AR447" i="50"/>
  <c r="AR448" i="50"/>
  <c r="AS448" i="50" s="1"/>
  <c r="AR449" i="50"/>
  <c r="AR450" i="50"/>
  <c r="AS450" i="50" s="1"/>
  <c r="AR451" i="50"/>
  <c r="AR452" i="50"/>
  <c r="AS452" i="50" s="1"/>
  <c r="AR453" i="50"/>
  <c r="AR454" i="50"/>
  <c r="AS454" i="50" s="1"/>
  <c r="AR455" i="50"/>
  <c r="AR456" i="50"/>
  <c r="AS456" i="50" s="1"/>
  <c r="AR457" i="50"/>
  <c r="AR458" i="50"/>
  <c r="AS458" i="50" s="1"/>
  <c r="AR459" i="50"/>
  <c r="AR460" i="50"/>
  <c r="AS460" i="50" s="1"/>
  <c r="AR461" i="50"/>
  <c r="AR462" i="50"/>
  <c r="AS462" i="50" s="1"/>
  <c r="AR463" i="50"/>
  <c r="AR464" i="50"/>
  <c r="AS464" i="50" s="1"/>
  <c r="AR465" i="50"/>
  <c r="AR466" i="50"/>
  <c r="AS466" i="50" s="1"/>
  <c r="AR467" i="50"/>
  <c r="AR468" i="50"/>
  <c r="AS468" i="50" s="1"/>
  <c r="AR469" i="50"/>
  <c r="AR470" i="50"/>
  <c r="AS470" i="50" s="1"/>
  <c r="AR471" i="50"/>
  <c r="AR472" i="50"/>
  <c r="AS472" i="50" s="1"/>
  <c r="AR473" i="50"/>
  <c r="AR474" i="50"/>
  <c r="AS474" i="50" s="1"/>
  <c r="AR475" i="50"/>
  <c r="AR476" i="50"/>
  <c r="AS476" i="50" s="1"/>
  <c r="AR477" i="50"/>
  <c r="AR478" i="50"/>
  <c r="AS478" i="50" s="1"/>
  <c r="AR479" i="50"/>
  <c r="AR480" i="50"/>
  <c r="AS480" i="50" s="1"/>
  <c r="AR481" i="50"/>
  <c r="AR482" i="50"/>
  <c r="AS482" i="50" s="1"/>
  <c r="AR483" i="50"/>
  <c r="AR484" i="50"/>
  <c r="AS484" i="50" s="1"/>
  <c r="AR485" i="50"/>
  <c r="AS485" i="50" s="1"/>
  <c r="AR486" i="50"/>
  <c r="AS486" i="50" s="1"/>
  <c r="AR487" i="50"/>
  <c r="AS487" i="50" s="1"/>
  <c r="AR488" i="50"/>
  <c r="AS488" i="50" s="1"/>
  <c r="AR489" i="50"/>
  <c r="AS489" i="50" s="1"/>
  <c r="AR490" i="50"/>
  <c r="AS490" i="50" s="1"/>
  <c r="AR491" i="50"/>
  <c r="AS491" i="50" s="1"/>
  <c r="AR492" i="50"/>
  <c r="AS492" i="50" s="1"/>
  <c r="AR493" i="50"/>
  <c r="AS493" i="50" s="1"/>
  <c r="AR494" i="50"/>
  <c r="AS494" i="50" s="1"/>
  <c r="AR495" i="50"/>
  <c r="AS495" i="50" s="1"/>
  <c r="AR496" i="50"/>
  <c r="AS496" i="50" s="1"/>
  <c r="AR497" i="50"/>
  <c r="AS497" i="50" s="1"/>
  <c r="AR498" i="50"/>
  <c r="AS498" i="50" s="1"/>
  <c r="AR499" i="50"/>
  <c r="AS499" i="50" s="1"/>
  <c r="AR500" i="50"/>
  <c r="AS500" i="50" s="1"/>
  <c r="AR501" i="50"/>
  <c r="AS501" i="50" s="1"/>
  <c r="AR502" i="50"/>
  <c r="AS502" i="50" s="1"/>
  <c r="AR503" i="50"/>
  <c r="AS503" i="50" s="1"/>
  <c r="AR504" i="50"/>
  <c r="AS504" i="50" s="1"/>
  <c r="AR505" i="50"/>
  <c r="AS505" i="50" s="1"/>
  <c r="AR506" i="50"/>
  <c r="AS506" i="50" s="1"/>
  <c r="AR507" i="50"/>
  <c r="AS507" i="50" s="1"/>
  <c r="AR508" i="50"/>
  <c r="AS508" i="50" s="1"/>
  <c r="AR509" i="50"/>
  <c r="AS509" i="50" s="1"/>
  <c r="AR510" i="50"/>
  <c r="AS510" i="50" s="1"/>
  <c r="AR511" i="50"/>
  <c r="AS511" i="50" s="1"/>
  <c r="AR512" i="50"/>
  <c r="AS512" i="50" s="1"/>
  <c r="AR513" i="50"/>
  <c r="AS513" i="50" s="1"/>
  <c r="AR514" i="50"/>
  <c r="AS514" i="50" s="1"/>
  <c r="AR515" i="50"/>
  <c r="AS515" i="50" s="1"/>
  <c r="AR516" i="50"/>
  <c r="AS516" i="50" s="1"/>
  <c r="AR517" i="50"/>
  <c r="AS517" i="50" s="1"/>
  <c r="AR518" i="50"/>
  <c r="AS518" i="50" s="1"/>
  <c r="AR519" i="50"/>
  <c r="AS519" i="50" s="1"/>
  <c r="AR520" i="50"/>
  <c r="AS520" i="50" s="1"/>
  <c r="AR521" i="50"/>
  <c r="AS521" i="50" s="1"/>
  <c r="AR522" i="50"/>
  <c r="AS522" i="50" s="1"/>
  <c r="AR523" i="50"/>
  <c r="AS523" i="50" s="1"/>
  <c r="AR524" i="50"/>
  <c r="AS524" i="50" s="1"/>
  <c r="AR525" i="50"/>
  <c r="AS525" i="50" s="1"/>
  <c r="AR526" i="50"/>
  <c r="AS526" i="50" s="1"/>
  <c r="AR527" i="50"/>
  <c r="AS527" i="50" s="1"/>
  <c r="AR528" i="50"/>
  <c r="AS528" i="50" s="1"/>
  <c r="AR529" i="50"/>
  <c r="AS529" i="50" s="1"/>
  <c r="AR530" i="50"/>
  <c r="AS530" i="50" s="1"/>
  <c r="AR531" i="50"/>
  <c r="AS531" i="50" s="1"/>
  <c r="AR532" i="50"/>
  <c r="AS532" i="50" s="1"/>
  <c r="AR533" i="50"/>
  <c r="AS533" i="50" s="1"/>
  <c r="AR534" i="50"/>
  <c r="AS534" i="50" s="1"/>
  <c r="AR535" i="50"/>
  <c r="AS535" i="50" s="1"/>
  <c r="AR536" i="50"/>
  <c r="AS536" i="50" s="1"/>
  <c r="AR537" i="50"/>
  <c r="AS537" i="50" s="1"/>
  <c r="AR538" i="50"/>
  <c r="AS538" i="50" s="1"/>
  <c r="AR539" i="50"/>
  <c r="AS539" i="50" s="1"/>
  <c r="AR540" i="50"/>
  <c r="AS540" i="50" s="1"/>
  <c r="AR541" i="50"/>
  <c r="AS541" i="50" s="1"/>
  <c r="AR542" i="50"/>
  <c r="AS542" i="50" s="1"/>
  <c r="AR543" i="50"/>
  <c r="AS543" i="50" s="1"/>
  <c r="AR544" i="50"/>
  <c r="AS544" i="50" s="1"/>
  <c r="AR545" i="50"/>
  <c r="AS545" i="50" s="1"/>
  <c r="AR546" i="50"/>
  <c r="AS546" i="50" s="1"/>
  <c r="AR547" i="50"/>
  <c r="AS547" i="50" s="1"/>
  <c r="AR548" i="50"/>
  <c r="AS548" i="50" s="1"/>
  <c r="AR549" i="50"/>
  <c r="AS549" i="50" s="1"/>
  <c r="AR550" i="50"/>
  <c r="AS550" i="50" s="1"/>
  <c r="AR551" i="50"/>
  <c r="AS551" i="50" s="1"/>
  <c r="AR552" i="50"/>
  <c r="AS552" i="50" s="1"/>
  <c r="AR553" i="50"/>
  <c r="AS553" i="50" s="1"/>
  <c r="AR554" i="50"/>
  <c r="AS554" i="50" s="1"/>
  <c r="AR555" i="50"/>
  <c r="AS555" i="50" s="1"/>
  <c r="AR556" i="50"/>
  <c r="AS556" i="50" s="1"/>
  <c r="AR557" i="50"/>
  <c r="AS557" i="50" s="1"/>
  <c r="AR558" i="50"/>
  <c r="AS558" i="50" s="1"/>
  <c r="AR559" i="50"/>
  <c r="AS559" i="50" s="1"/>
  <c r="AR560" i="50"/>
  <c r="AS560" i="50" s="1"/>
  <c r="AR561" i="50"/>
  <c r="AS561" i="50" s="1"/>
  <c r="AR562" i="50"/>
  <c r="AS562" i="50" s="1"/>
  <c r="AR563" i="50"/>
  <c r="AS563" i="50" s="1"/>
  <c r="AR564" i="50"/>
  <c r="AS564" i="50" s="1"/>
  <c r="AR565" i="50"/>
  <c r="AS565" i="50" s="1"/>
  <c r="AR566" i="50"/>
  <c r="AS566" i="50" s="1"/>
  <c r="AR567" i="50"/>
  <c r="AS567" i="50" s="1"/>
  <c r="AR568" i="50"/>
  <c r="AS568" i="50" s="1"/>
  <c r="AR569" i="50"/>
  <c r="AS569" i="50" s="1"/>
  <c r="AR570" i="50"/>
  <c r="AS570" i="50" s="1"/>
  <c r="AR571" i="50"/>
  <c r="AS571" i="50" s="1"/>
  <c r="AR572" i="50"/>
  <c r="AS572" i="50" s="1"/>
  <c r="AR573" i="50"/>
  <c r="AS573" i="50" s="1"/>
  <c r="AR574" i="50"/>
  <c r="AS574" i="50" s="1"/>
  <c r="AR575" i="50"/>
  <c r="AS575" i="50" s="1"/>
  <c r="AR576" i="50"/>
  <c r="AS576" i="50" s="1"/>
  <c r="AR577" i="50"/>
  <c r="AS577" i="50" s="1"/>
  <c r="AR578" i="50"/>
  <c r="AS578" i="50" s="1"/>
  <c r="AR579" i="50"/>
  <c r="AS579" i="50" s="1"/>
  <c r="AR580" i="50"/>
  <c r="AS580" i="50" s="1"/>
  <c r="AR581" i="50"/>
  <c r="AS581" i="50" s="1"/>
  <c r="AR582" i="50"/>
  <c r="AS582" i="50" s="1"/>
  <c r="AR583" i="50"/>
  <c r="AS583" i="50" s="1"/>
  <c r="AR584" i="50"/>
  <c r="AS584" i="50" s="1"/>
  <c r="AR585" i="50"/>
  <c r="AS585" i="50" s="1"/>
  <c r="AR586" i="50"/>
  <c r="AS586" i="50" s="1"/>
  <c r="AR587" i="50"/>
  <c r="AS587" i="50" s="1"/>
  <c r="AR588" i="50"/>
  <c r="AS588" i="50" s="1"/>
  <c r="AR589" i="50"/>
  <c r="AS589" i="50" s="1"/>
  <c r="AR590" i="50"/>
  <c r="AS590" i="50" s="1"/>
  <c r="AR591" i="50"/>
  <c r="AS591" i="50" s="1"/>
  <c r="AR592" i="50"/>
  <c r="AS592" i="50" s="1"/>
  <c r="AR593" i="50"/>
  <c r="AS593" i="50" s="1"/>
  <c r="AR594" i="50"/>
  <c r="AS594" i="50" s="1"/>
  <c r="AR595" i="50"/>
  <c r="AS595" i="50" s="1"/>
  <c r="AR596" i="50"/>
  <c r="AS596" i="50" s="1"/>
  <c r="AR597" i="50"/>
  <c r="AS597" i="50" s="1"/>
  <c r="AR598" i="50"/>
  <c r="AS598" i="50" s="1"/>
  <c r="AR599" i="50"/>
  <c r="AS599" i="50" s="1"/>
  <c r="AR600" i="50"/>
  <c r="AS600" i="50" s="1"/>
  <c r="AR601" i="50"/>
  <c r="AS601" i="50" s="1"/>
  <c r="AR602" i="50"/>
  <c r="AS602" i="50" s="1"/>
  <c r="AR603" i="50"/>
  <c r="AS603" i="50" s="1"/>
  <c r="AR604" i="50"/>
  <c r="AS604" i="50" s="1"/>
  <c r="AR605" i="50"/>
  <c r="AS605" i="50" s="1"/>
  <c r="AR606" i="50"/>
  <c r="AS606" i="50" s="1"/>
  <c r="AR607" i="50"/>
  <c r="AS607" i="50" s="1"/>
  <c r="AR608" i="50"/>
  <c r="AS608" i="50" s="1"/>
  <c r="AR609" i="50"/>
  <c r="AS609" i="50" s="1"/>
  <c r="AR610" i="50"/>
  <c r="AS610" i="50" s="1"/>
  <c r="AR611" i="50"/>
  <c r="AS611" i="50" s="1"/>
  <c r="AR612" i="50"/>
  <c r="AS612" i="50" s="1"/>
  <c r="AR613" i="50"/>
  <c r="AS613" i="50" s="1"/>
  <c r="AR614" i="50"/>
  <c r="AS614" i="50" s="1"/>
  <c r="AR615" i="50"/>
  <c r="AS615" i="50" s="1"/>
  <c r="AR616" i="50"/>
  <c r="AS616" i="50" s="1"/>
  <c r="AR617" i="50"/>
  <c r="AS617" i="50" s="1"/>
  <c r="AR618" i="50"/>
  <c r="AS618" i="50" s="1"/>
  <c r="AR619" i="50"/>
  <c r="AS619" i="50" s="1"/>
  <c r="AR620" i="50"/>
  <c r="AS620" i="50" s="1"/>
  <c r="AR621" i="50"/>
  <c r="AS621" i="50" s="1"/>
  <c r="AR622" i="50"/>
  <c r="AS622" i="50" s="1"/>
  <c r="AR623" i="50"/>
  <c r="AS623" i="50" s="1"/>
  <c r="AR624" i="50"/>
  <c r="AS624" i="50" s="1"/>
  <c r="AR625" i="50"/>
  <c r="AS625" i="50" s="1"/>
  <c r="AR626" i="50"/>
  <c r="AS626" i="50" s="1"/>
  <c r="AR627" i="50"/>
  <c r="AS627" i="50" s="1"/>
  <c r="AR628" i="50"/>
  <c r="AS628" i="50" s="1"/>
  <c r="AR629" i="50"/>
  <c r="AS629" i="50" s="1"/>
  <c r="AR630" i="50"/>
  <c r="AS630" i="50" s="1"/>
  <c r="AR631" i="50"/>
  <c r="AS631" i="50" s="1"/>
  <c r="AR632" i="50"/>
  <c r="AS632" i="50" s="1"/>
  <c r="AR633" i="50"/>
  <c r="AS633" i="50" s="1"/>
  <c r="AR634" i="50"/>
  <c r="AS634" i="50" s="1"/>
  <c r="AR635" i="50"/>
  <c r="AS635" i="50" s="1"/>
  <c r="AR636" i="50"/>
  <c r="AS636" i="50" s="1"/>
  <c r="AR637" i="50"/>
  <c r="AS637" i="50" s="1"/>
  <c r="AR638" i="50"/>
  <c r="AS638" i="50" s="1"/>
  <c r="AR639" i="50"/>
  <c r="AS639" i="50" s="1"/>
  <c r="AR640" i="50"/>
  <c r="AS640" i="50" s="1"/>
  <c r="AR641" i="50"/>
  <c r="AS641" i="50" s="1"/>
  <c r="AR642" i="50"/>
  <c r="AS642" i="50" s="1"/>
  <c r="AR643" i="50"/>
  <c r="AS643" i="50" s="1"/>
  <c r="AR644" i="50"/>
  <c r="AS644" i="50" s="1"/>
  <c r="AR645" i="50"/>
  <c r="AS645" i="50" s="1"/>
  <c r="AR646" i="50"/>
  <c r="AS646" i="50" s="1"/>
  <c r="AR647" i="50"/>
  <c r="AS647" i="50" s="1"/>
  <c r="AR648" i="50"/>
  <c r="AS648" i="50" s="1"/>
  <c r="AR649" i="50"/>
  <c r="AS649" i="50" s="1"/>
  <c r="AR650" i="50"/>
  <c r="AS650" i="50" s="1"/>
  <c r="AR651" i="50"/>
  <c r="AS651" i="50" s="1"/>
  <c r="AR652" i="50"/>
  <c r="AS652" i="50" s="1"/>
  <c r="AR653" i="50"/>
  <c r="AS653" i="50" s="1"/>
  <c r="AR654" i="50"/>
  <c r="AS654" i="50" s="1"/>
  <c r="AR655" i="50"/>
  <c r="AS655" i="50" s="1"/>
  <c r="AR656" i="50"/>
  <c r="AS656" i="50" s="1"/>
  <c r="AR657" i="50"/>
  <c r="AS657" i="50" s="1"/>
  <c r="AR658" i="50"/>
  <c r="AS658" i="50" s="1"/>
  <c r="AR659" i="50"/>
  <c r="AS659" i="50" s="1"/>
  <c r="AR660" i="50"/>
  <c r="AS660" i="50" s="1"/>
  <c r="AR661" i="50"/>
  <c r="AS661" i="50" s="1"/>
  <c r="AR662" i="50"/>
  <c r="AS662" i="50" s="1"/>
  <c r="AR663" i="50"/>
  <c r="AS663" i="50" s="1"/>
  <c r="CV26" i="54" l="1"/>
  <c r="CT26" i="54"/>
  <c r="CU27" i="54" s="1"/>
  <c r="AS483" i="50"/>
  <c r="AS481" i="50"/>
  <c r="AS479" i="50"/>
  <c r="AS477" i="50"/>
  <c r="AS475" i="50"/>
  <c r="AS473" i="50"/>
  <c r="AS471" i="50"/>
  <c r="AS469" i="50"/>
  <c r="AS467" i="50"/>
  <c r="AS465" i="50"/>
  <c r="AS463" i="50"/>
  <c r="AS461" i="50"/>
  <c r="AS459" i="50"/>
  <c r="AS457" i="50"/>
  <c r="AS455" i="50"/>
  <c r="AS453" i="50"/>
  <c r="AS451" i="50"/>
  <c r="AS449" i="50"/>
  <c r="AS447" i="50"/>
  <c r="AS445" i="50"/>
  <c r="AS443" i="50"/>
  <c r="AS441" i="50"/>
  <c r="AS439" i="50"/>
  <c r="AS437" i="50"/>
  <c r="AS435" i="50"/>
  <c r="AS433" i="50"/>
  <c r="AS431" i="50"/>
  <c r="AS429" i="50"/>
  <c r="AS427" i="50"/>
  <c r="AS425" i="50"/>
  <c r="AS423" i="50"/>
  <c r="AS421" i="50"/>
  <c r="AS419" i="50"/>
  <c r="AS417" i="50"/>
  <c r="AS415" i="50"/>
  <c r="AS413" i="50"/>
  <c r="AS411" i="50"/>
  <c r="AS409" i="50"/>
  <c r="AS407" i="50"/>
  <c r="AS377" i="50"/>
  <c r="AS379" i="50"/>
  <c r="AS322" i="50"/>
  <c r="AS314" i="50"/>
  <c r="AS306" i="50"/>
  <c r="AS298" i="50"/>
  <c r="AS324" i="50"/>
  <c r="AS316" i="50"/>
  <c r="AS308" i="50"/>
  <c r="AS300" i="50"/>
  <c r="AS318" i="50"/>
  <c r="AS310" i="50"/>
  <c r="AS302" i="50"/>
  <c r="AS320" i="50"/>
  <c r="AS312" i="50"/>
  <c r="AS304" i="50"/>
  <c r="AS296" i="50"/>
  <c r="AS261" i="50"/>
  <c r="AS253" i="50"/>
  <c r="AS245" i="50"/>
  <c r="AS237" i="50"/>
  <c r="AS229" i="50"/>
  <c r="AS255" i="50"/>
  <c r="AS247" i="50"/>
  <c r="AS239" i="50"/>
  <c r="AS231" i="50"/>
  <c r="AS257" i="50"/>
  <c r="AS249" i="50"/>
  <c r="AS241" i="50"/>
  <c r="AS233" i="50"/>
  <c r="AS259" i="50"/>
  <c r="AS251" i="50"/>
  <c r="AS243" i="50"/>
  <c r="AS235" i="50"/>
  <c r="AS175" i="50"/>
  <c r="AS168" i="50"/>
  <c r="AS159" i="50"/>
  <c r="AS152" i="50"/>
  <c r="AS143" i="50"/>
  <c r="AS135" i="50"/>
  <c r="AS127" i="50"/>
  <c r="AS176" i="50"/>
  <c r="AS167" i="50"/>
  <c r="AS160" i="50"/>
  <c r="AS151" i="50"/>
  <c r="AS139" i="50"/>
  <c r="AS131" i="50"/>
  <c r="AS112" i="50"/>
  <c r="AS104" i="50"/>
  <c r="AS96" i="50"/>
  <c r="AS145" i="50"/>
  <c r="AS141" i="50"/>
  <c r="AS137" i="50"/>
  <c r="AS133" i="50"/>
  <c r="AS129" i="50"/>
  <c r="AS125" i="50"/>
  <c r="AS123" i="50"/>
  <c r="AS116" i="50"/>
  <c r="AS108" i="50"/>
  <c r="AS100" i="50"/>
  <c r="AS118" i="50"/>
  <c r="AS114" i="50"/>
  <c r="AS110" i="50"/>
  <c r="AS106" i="50"/>
  <c r="AS102" i="50"/>
  <c r="AS98" i="50"/>
  <c r="AS94" i="50"/>
  <c r="AS88" i="50"/>
  <c r="H32" i="50"/>
  <c r="H31" i="50"/>
  <c r="AR13" i="50"/>
  <c r="AS13" i="50" s="1"/>
  <c r="CV27" i="54" l="1"/>
  <c r="CT27" i="54"/>
  <c r="CU28" i="54" s="1"/>
  <c r="AU6" i="50"/>
  <c r="AS7" i="50"/>
  <c r="AU4" i="50"/>
  <c r="AU5" i="50"/>
  <c r="AS4" i="50"/>
  <c r="AO28" i="56"/>
  <c r="CV28" i="54" l="1"/>
  <c r="CT28" i="54"/>
  <c r="CU29" i="54" s="1"/>
  <c r="H33" i="50"/>
  <c r="BA4" i="50"/>
  <c r="H34" i="50"/>
  <c r="BA5" i="50"/>
  <c r="BA6" i="50"/>
  <c r="H35" i="50"/>
  <c r="AS8" i="50"/>
  <c r="BB21" i="50" s="1"/>
  <c r="AS10" i="50"/>
  <c r="CV29" i="54" l="1"/>
  <c r="CT29" i="54"/>
  <c r="CU30" i="54" s="1"/>
  <c r="BB589" i="50"/>
  <c r="BB553" i="50"/>
  <c r="BB441" i="50"/>
  <c r="AS9" i="50"/>
  <c r="AT206" i="50" s="1"/>
  <c r="BB206" i="50" s="1"/>
  <c r="BB657" i="50"/>
  <c r="BB517" i="50"/>
  <c r="AY9" i="50"/>
  <c r="BB621" i="50"/>
  <c r="BB481" i="50"/>
  <c r="BB409" i="50"/>
  <c r="BB369" i="50"/>
  <c r="BB337" i="50"/>
  <c r="BB649" i="50"/>
  <c r="BB613" i="50"/>
  <c r="BB577" i="50"/>
  <c r="BB549" i="50"/>
  <c r="BB501" i="50"/>
  <c r="BB477" i="50"/>
  <c r="BB433" i="50"/>
  <c r="BB397" i="50"/>
  <c r="BB361" i="50"/>
  <c r="BB321" i="50"/>
  <c r="BB277" i="50"/>
  <c r="BB297" i="50"/>
  <c r="AY7" i="50"/>
  <c r="AY8" i="50"/>
  <c r="BA8" i="50" s="1"/>
  <c r="BB637" i="50"/>
  <c r="BB609" i="50"/>
  <c r="BB573" i="50"/>
  <c r="BB537" i="50"/>
  <c r="BB493" i="50"/>
  <c r="BB469" i="50"/>
  <c r="BB421" i="50"/>
  <c r="BB393" i="50"/>
  <c r="BB357" i="50"/>
  <c r="BB313" i="50"/>
  <c r="BB273" i="50"/>
  <c r="BB13" i="50"/>
  <c r="AU13" i="50"/>
  <c r="BB661" i="50"/>
  <c r="BB633" i="50"/>
  <c r="BB601" i="50"/>
  <c r="BB561" i="50"/>
  <c r="BB529" i="50"/>
  <c r="BB489" i="50"/>
  <c r="BB453" i="50"/>
  <c r="BB417" i="50"/>
  <c r="BB381" i="50"/>
  <c r="BB349" i="50"/>
  <c r="BB309" i="50"/>
  <c r="BB241" i="50"/>
  <c r="BB237" i="50"/>
  <c r="BB217" i="50"/>
  <c r="BB249" i="50"/>
  <c r="BB213" i="50"/>
  <c r="BB201" i="50"/>
  <c r="BB333" i="50"/>
  <c r="BB301" i="50"/>
  <c r="BB253" i="50"/>
  <c r="BB229" i="50"/>
  <c r="BB193" i="50"/>
  <c r="BB189" i="50"/>
  <c r="BB181" i="50"/>
  <c r="BB169" i="50"/>
  <c r="BB109" i="50"/>
  <c r="BB97" i="50"/>
  <c r="BB141" i="50"/>
  <c r="BB69" i="50"/>
  <c r="BB133" i="50"/>
  <c r="BB61" i="50"/>
  <c r="BB157" i="50"/>
  <c r="BB129" i="50"/>
  <c r="BB81" i="50"/>
  <c r="BB57" i="50"/>
  <c r="BB153" i="50"/>
  <c r="BB117" i="50"/>
  <c r="BB73" i="50"/>
  <c r="BB49" i="50"/>
  <c r="BB33" i="50"/>
  <c r="AK60" i="56"/>
  <c r="P60" i="56"/>
  <c r="AK59" i="56"/>
  <c r="AE59" i="56"/>
  <c r="P59" i="56"/>
  <c r="AK58" i="56"/>
  <c r="BI8" i="54" s="1"/>
  <c r="AE58" i="56"/>
  <c r="P58" i="56"/>
  <c r="G58" i="56"/>
  <c r="G59" i="56"/>
  <c r="H59" i="56" s="1"/>
  <c r="V59" i="56" s="1"/>
  <c r="I59" i="56" s="1"/>
  <c r="G60" i="56"/>
  <c r="H60" i="56" s="1"/>
  <c r="E58" i="56"/>
  <c r="E59" i="56"/>
  <c r="E60" i="56"/>
  <c r="HK3" i="54" l="1" a="1"/>
  <c r="HK3" i="54" s="1"/>
  <c r="HJ3" i="54" a="1"/>
  <c r="HJ3" i="54" s="1"/>
  <c r="HF3" i="54" a="1"/>
  <c r="HF3" i="54" s="1"/>
  <c r="HG3" i="54" a="1"/>
  <c r="HG3" i="54" s="1"/>
  <c r="HH3" i="54" a="1"/>
  <c r="HH3" i="54" s="1"/>
  <c r="HG5" i="54" a="1"/>
  <c r="HG5" i="54" s="1"/>
  <c r="HI3" i="54" a="1"/>
  <c r="HI3" i="54" s="1"/>
  <c r="AH37" i="54" a="1"/>
  <c r="AH37" i="54" s="1"/>
  <c r="BI15" i="54"/>
  <c r="BI20" i="54"/>
  <c r="BI21" i="54"/>
  <c r="BI19" i="54"/>
  <c r="HR6" i="54" a="1"/>
  <c r="HR6" i="54" s="1"/>
  <c r="BI14" i="54"/>
  <c r="HI5" i="54" a="1"/>
  <c r="HI5" i="54" s="1"/>
  <c r="HF5" i="54" a="1"/>
  <c r="HF5" i="54" s="1"/>
  <c r="BI9" i="54" a="1"/>
  <c r="BI9" i="54" s="1"/>
  <c r="HI7" i="54" a="1"/>
  <c r="HI7" i="54" s="1"/>
  <c r="AH36" i="54" a="1"/>
  <c r="AH36" i="54" s="1"/>
  <c r="AH35" i="54" a="1"/>
  <c r="AH35" i="54" s="1"/>
  <c r="HF7" i="54" a="1"/>
  <c r="HF7" i="54" s="1"/>
  <c r="BI16" i="54"/>
  <c r="BI13" i="54"/>
  <c r="HH5" i="54" a="1"/>
  <c r="HH5" i="54" s="1"/>
  <c r="CV30" i="54"/>
  <c r="CT30" i="54"/>
  <c r="CU31" i="54" s="1"/>
  <c r="AT15" i="50"/>
  <c r="BB15" i="50" s="1"/>
  <c r="W58" i="56"/>
  <c r="J58" i="56" s="1"/>
  <c r="T58" i="56"/>
  <c r="HE5" i="54" s="1" a="1"/>
  <c r="HE5" i="54" s="1"/>
  <c r="U58" i="56"/>
  <c r="HE7" i="54" s="1" a="1"/>
  <c r="HE7" i="54" s="1"/>
  <c r="W60" i="56"/>
  <c r="J60" i="56" s="1"/>
  <c r="T60" i="56"/>
  <c r="U60" i="56"/>
  <c r="W59" i="56"/>
  <c r="J59" i="56" s="1"/>
  <c r="T59" i="56"/>
  <c r="U59" i="56"/>
  <c r="AT13" i="50"/>
  <c r="AW13" i="50" s="1"/>
  <c r="AZ13" i="50" s="1"/>
  <c r="AT512" i="50"/>
  <c r="BB512" i="50" s="1"/>
  <c r="AT84" i="50"/>
  <c r="BB84" i="50" s="1"/>
  <c r="BA7" i="50"/>
  <c r="AT41" i="50"/>
  <c r="BB41" i="50" s="1"/>
  <c r="AT660" i="50"/>
  <c r="BB660" i="50" s="1"/>
  <c r="AT613" i="50"/>
  <c r="AT127" i="50"/>
  <c r="AX127" i="50" s="1"/>
  <c r="AT290" i="50"/>
  <c r="AV290" i="50" s="1"/>
  <c r="AY290" i="50" s="1"/>
  <c r="AT545" i="50"/>
  <c r="BB545" i="50" s="1"/>
  <c r="AT318" i="50"/>
  <c r="AX318" i="50" s="1"/>
  <c r="AT557" i="50"/>
  <c r="AT480" i="50"/>
  <c r="AW480" i="50" s="1"/>
  <c r="AZ480" i="50" s="1"/>
  <c r="AT46" i="50"/>
  <c r="BB46" i="50" s="1"/>
  <c r="AT72" i="50"/>
  <c r="AT207" i="50"/>
  <c r="BB207" i="50" s="1"/>
  <c r="AT339" i="50"/>
  <c r="BB339" i="50" s="1"/>
  <c r="AT455" i="50"/>
  <c r="BB455" i="50" s="1"/>
  <c r="AT634" i="50"/>
  <c r="AT322" i="50"/>
  <c r="AU322" i="50" s="1"/>
  <c r="AT628" i="50"/>
  <c r="AV628" i="50" s="1"/>
  <c r="AY628" i="50" s="1"/>
  <c r="AT191" i="50"/>
  <c r="AU191" i="50" s="1"/>
  <c r="AT104" i="50"/>
  <c r="AU104" i="50" s="1"/>
  <c r="AT651" i="50"/>
  <c r="AV651" i="50" s="1"/>
  <c r="AY651" i="50" s="1"/>
  <c r="AT402" i="50"/>
  <c r="AT108" i="50"/>
  <c r="AU108" i="50" s="1"/>
  <c r="AT102" i="50"/>
  <c r="AX102" i="50" s="1"/>
  <c r="AT181" i="50"/>
  <c r="AU181" i="50" s="1"/>
  <c r="AT371" i="50"/>
  <c r="BB371" i="50" s="1"/>
  <c r="AT522" i="50"/>
  <c r="BB522" i="50" s="1"/>
  <c r="AT141" i="50"/>
  <c r="AU141" i="50" s="1"/>
  <c r="AT457" i="50"/>
  <c r="AX457" i="50" s="1"/>
  <c r="AT74" i="50"/>
  <c r="AT335" i="50"/>
  <c r="AT278" i="50"/>
  <c r="AT577" i="50"/>
  <c r="AW577" i="50" s="1"/>
  <c r="AZ577" i="50" s="1"/>
  <c r="AT275" i="50"/>
  <c r="AV275" i="50" s="1"/>
  <c r="AY275" i="50" s="1"/>
  <c r="AT185" i="50"/>
  <c r="BB185" i="50" s="1"/>
  <c r="AT156" i="50"/>
  <c r="AT288" i="50"/>
  <c r="AU288" i="50" s="1"/>
  <c r="AT437" i="50"/>
  <c r="BB437" i="50" s="1"/>
  <c r="AT555" i="50"/>
  <c r="BB555" i="50" s="1"/>
  <c r="AT231" i="50"/>
  <c r="AT459" i="50"/>
  <c r="AW459" i="50" s="1"/>
  <c r="AZ459" i="50" s="1"/>
  <c r="AT20" i="50"/>
  <c r="AT504" i="50"/>
  <c r="AT433" i="50"/>
  <c r="AT560" i="50"/>
  <c r="AU560" i="50" s="1"/>
  <c r="AT17" i="50"/>
  <c r="AT25" i="50"/>
  <c r="AU25" i="50" s="1"/>
  <c r="AT33" i="50"/>
  <c r="AT47" i="50"/>
  <c r="AT55" i="50"/>
  <c r="AT57" i="50"/>
  <c r="AW57" i="50" s="1"/>
  <c r="AT65" i="50"/>
  <c r="AX65" i="50" s="1"/>
  <c r="AT73" i="50"/>
  <c r="AT81" i="50"/>
  <c r="AU81" i="50" s="1"/>
  <c r="AT91" i="50"/>
  <c r="AX91" i="50" s="1"/>
  <c r="AT103" i="50"/>
  <c r="AT119" i="50"/>
  <c r="AT122" i="50"/>
  <c r="AX122" i="50" s="1"/>
  <c r="AT177" i="50"/>
  <c r="AT190" i="50"/>
  <c r="AT200" i="50"/>
  <c r="AU200" i="50" s="1"/>
  <c r="AT208" i="50"/>
  <c r="AX208" i="50" s="1"/>
  <c r="AT222" i="50"/>
  <c r="AU222" i="50" s="1"/>
  <c r="AT130" i="50"/>
  <c r="AT146" i="50"/>
  <c r="AT174" i="50"/>
  <c r="AW174" i="50" s="1"/>
  <c r="AT109" i="50"/>
  <c r="AT165" i="50"/>
  <c r="AT197" i="50"/>
  <c r="AT217" i="50"/>
  <c r="AT136" i="50"/>
  <c r="AX136" i="50" s="1"/>
  <c r="AT154" i="50"/>
  <c r="AU154" i="50" s="1"/>
  <c r="AT147" i="50"/>
  <c r="AV147" i="50" s="1"/>
  <c r="AT178" i="50"/>
  <c r="AX178" i="50" s="1"/>
  <c r="AT258" i="50"/>
  <c r="AX258" i="50" s="1"/>
  <c r="AT256" i="50"/>
  <c r="AV256" i="50" s="1"/>
  <c r="AY256" i="50" s="1"/>
  <c r="AT269" i="50"/>
  <c r="AT277" i="50"/>
  <c r="AT285" i="50"/>
  <c r="AX285" i="50" s="1"/>
  <c r="AT293" i="50"/>
  <c r="AW293" i="50" s="1"/>
  <c r="AZ293" i="50" s="1"/>
  <c r="AT254" i="50"/>
  <c r="AT252" i="50"/>
  <c r="AT311" i="50"/>
  <c r="AW311" i="50" s="1"/>
  <c r="AZ311" i="50" s="1"/>
  <c r="AT330" i="50"/>
  <c r="AT338" i="50"/>
  <c r="AW338" i="50" s="1"/>
  <c r="AZ338" i="50" s="1"/>
  <c r="AT346" i="50"/>
  <c r="AT354" i="50"/>
  <c r="AV354" i="50" s="1"/>
  <c r="AY354" i="50" s="1"/>
  <c r="AT362" i="50"/>
  <c r="AT370" i="50"/>
  <c r="AT301" i="50"/>
  <c r="AX301" i="50" s="1"/>
  <c r="AT299" i="50"/>
  <c r="AW299" i="50" s="1"/>
  <c r="AZ299" i="50" s="1"/>
  <c r="AT297" i="50"/>
  <c r="AT380" i="50"/>
  <c r="AT384" i="50"/>
  <c r="AT382" i="50"/>
  <c r="AT408" i="50"/>
  <c r="AV408" i="50" s="1"/>
  <c r="AY408" i="50" s="1"/>
  <c r="AT416" i="50"/>
  <c r="AT424" i="50"/>
  <c r="AV424" i="50" s="1"/>
  <c r="AY424" i="50" s="1"/>
  <c r="AT432" i="50"/>
  <c r="AT440" i="50"/>
  <c r="AT19" i="50"/>
  <c r="BB19" i="50" s="1"/>
  <c r="AT27" i="50"/>
  <c r="BB27" i="50" s="1"/>
  <c r="AT35" i="50"/>
  <c r="BB35" i="50" s="1"/>
  <c r="AT49" i="50"/>
  <c r="AV49" i="50" s="1"/>
  <c r="AT36" i="50"/>
  <c r="BB36" i="50" s="1"/>
  <c r="AT59" i="50"/>
  <c r="BB59" i="50" s="1"/>
  <c r="AT67" i="50"/>
  <c r="BB67" i="50" s="1"/>
  <c r="AT75" i="50"/>
  <c r="BB75" i="50" s="1"/>
  <c r="AT83" i="50"/>
  <c r="AU83" i="50" s="1"/>
  <c r="AT89" i="50"/>
  <c r="BB89" i="50" s="1"/>
  <c r="AT107" i="50"/>
  <c r="BB107" i="50" s="1"/>
  <c r="AT97" i="50"/>
  <c r="AU97" i="50" s="1"/>
  <c r="AT153" i="50"/>
  <c r="AU153" i="50" s="1"/>
  <c r="AT184" i="50"/>
  <c r="BB184" i="50" s="1"/>
  <c r="AT192" i="50"/>
  <c r="BB192" i="50" s="1"/>
  <c r="AT202" i="50"/>
  <c r="BB202" i="50" s="1"/>
  <c r="AT212" i="50"/>
  <c r="BB212" i="50" s="1"/>
  <c r="AT224" i="50"/>
  <c r="BB224" i="50" s="1"/>
  <c r="AT134" i="50"/>
  <c r="BB134" i="50" s="1"/>
  <c r="AT150" i="50"/>
  <c r="BB150" i="50" s="1"/>
  <c r="AT182" i="50"/>
  <c r="BB182" i="50" s="1"/>
  <c r="AT117" i="50"/>
  <c r="AX117" i="50" s="1"/>
  <c r="AT173" i="50"/>
  <c r="AV173" i="50" s="1"/>
  <c r="AT209" i="50"/>
  <c r="BB209" i="50" s="1"/>
  <c r="AT219" i="50"/>
  <c r="BB219" i="50" s="1"/>
  <c r="AT144" i="50"/>
  <c r="BB144" i="50" s="1"/>
  <c r="AT170" i="50"/>
  <c r="BB170" i="50" s="1"/>
  <c r="AT163" i="50"/>
  <c r="AU163" i="50" s="1"/>
  <c r="AT234" i="50"/>
  <c r="BB234" i="50" s="1"/>
  <c r="AT232" i="50"/>
  <c r="BB232" i="50" s="1"/>
  <c r="AT263" i="50"/>
  <c r="AU263" i="50" s="1"/>
  <c r="AT271" i="50"/>
  <c r="BB271" i="50" s="1"/>
  <c r="AT279" i="50"/>
  <c r="BB279" i="50" s="1"/>
  <c r="AT287" i="50"/>
  <c r="BB287" i="50" s="1"/>
  <c r="AT230" i="50"/>
  <c r="BB230" i="50" s="1"/>
  <c r="AT228" i="50"/>
  <c r="AW228" i="50" s="1"/>
  <c r="AZ228" i="50" s="1"/>
  <c r="AT260" i="50"/>
  <c r="BB260" i="50" s="1"/>
  <c r="AT319" i="50"/>
  <c r="BB319" i="50" s="1"/>
  <c r="AT332" i="50"/>
  <c r="BB332" i="50" s="1"/>
  <c r="AT340" i="50"/>
  <c r="BB340" i="50" s="1"/>
  <c r="AT348" i="50"/>
  <c r="AU348" i="50" s="1"/>
  <c r="AT356" i="50"/>
  <c r="BB356" i="50" s="1"/>
  <c r="AT364" i="50"/>
  <c r="BB364" i="50" s="1"/>
  <c r="AT372" i="50"/>
  <c r="BB372" i="50" s="1"/>
  <c r="AT309" i="50"/>
  <c r="AU309" i="50" s="1"/>
  <c r="AT307" i="50"/>
  <c r="BB307" i="50" s="1"/>
  <c r="AT305" i="50"/>
  <c r="BB305" i="50" s="1"/>
  <c r="AT386" i="50"/>
  <c r="BB386" i="50" s="1"/>
  <c r="AT392" i="50"/>
  <c r="BB392" i="50" s="1"/>
  <c r="AT390" i="50"/>
  <c r="BB390" i="50" s="1"/>
  <c r="AT410" i="50"/>
  <c r="BB410" i="50" s="1"/>
  <c r="AT418" i="50"/>
  <c r="AW418" i="50" s="1"/>
  <c r="AZ418" i="50" s="1"/>
  <c r="AT426" i="50"/>
  <c r="BB426" i="50" s="1"/>
  <c r="AT434" i="50"/>
  <c r="BB434" i="50" s="1"/>
  <c r="AT442" i="50"/>
  <c r="BB442" i="50" s="1"/>
  <c r="AT450" i="50"/>
  <c r="AU450" i="50" s="1"/>
  <c r="AT458" i="50"/>
  <c r="AW458" i="50" s="1"/>
  <c r="AZ458" i="50" s="1"/>
  <c r="AT466" i="50"/>
  <c r="BB466" i="50" s="1"/>
  <c r="AT474" i="50"/>
  <c r="BB474" i="50" s="1"/>
  <c r="AT388" i="50"/>
  <c r="AW388" i="50" s="1"/>
  <c r="AZ388" i="50" s="1"/>
  <c r="AT487" i="50"/>
  <c r="BB487" i="50" s="1"/>
  <c r="AT503" i="50"/>
  <c r="AT519" i="50"/>
  <c r="BB519" i="50" s="1"/>
  <c r="AT530" i="50"/>
  <c r="AW530" i="50" s="1"/>
  <c r="AZ530" i="50" s="1"/>
  <c r="AT538" i="50"/>
  <c r="AV538" i="50" s="1"/>
  <c r="AY538" i="50" s="1"/>
  <c r="AT546" i="50"/>
  <c r="BB546" i="50" s="1"/>
  <c r="AT554" i="50"/>
  <c r="BB554" i="50" s="1"/>
  <c r="AT562" i="50"/>
  <c r="AX562" i="50" s="1"/>
  <c r="AT570" i="50"/>
  <c r="BB570" i="50" s="1"/>
  <c r="AT594" i="50"/>
  <c r="BB594" i="50" s="1"/>
  <c r="AT606" i="50"/>
  <c r="BB606" i="50" s="1"/>
  <c r="AT614" i="50"/>
  <c r="AX614" i="50" s="1"/>
  <c r="AT493" i="50"/>
  <c r="AU493" i="50" s="1"/>
  <c r="AT509" i="50"/>
  <c r="BB509" i="50" s="1"/>
  <c r="AT525" i="50"/>
  <c r="BB525" i="50" s="1"/>
  <c r="AT579" i="50"/>
  <c r="AV579" i="50" s="1"/>
  <c r="AY579" i="50" s="1"/>
  <c r="AT587" i="50"/>
  <c r="BB587" i="50" s="1"/>
  <c r="AT595" i="50"/>
  <c r="BB595" i="50" s="1"/>
  <c r="AT603" i="50"/>
  <c r="AU603" i="50" s="1"/>
  <c r="AT621" i="50"/>
  <c r="AW621" i="50" s="1"/>
  <c r="AZ621" i="50" s="1"/>
  <c r="AT629" i="50"/>
  <c r="BB629" i="50" s="1"/>
  <c r="AT637" i="50"/>
  <c r="AV637" i="50" s="1"/>
  <c r="AY637" i="50" s="1"/>
  <c r="AT645" i="50"/>
  <c r="BB645" i="50" s="1"/>
  <c r="AT653" i="50"/>
  <c r="AT661" i="50"/>
  <c r="AV661" i="50" s="1"/>
  <c r="AY661" i="50" s="1"/>
  <c r="AT21" i="50"/>
  <c r="AW21" i="50" s="1"/>
  <c r="AT29" i="50"/>
  <c r="BB29" i="50" s="1"/>
  <c r="AT43" i="50"/>
  <c r="AX43" i="50" s="1"/>
  <c r="AT51" i="50"/>
  <c r="BB51" i="50" s="1"/>
  <c r="AT38" i="50"/>
  <c r="AU38" i="50" s="1"/>
  <c r="AT61" i="50"/>
  <c r="AW61" i="50" s="1"/>
  <c r="AT69" i="50"/>
  <c r="AV69" i="50" s="1"/>
  <c r="AT77" i="50"/>
  <c r="BB77" i="50" s="1"/>
  <c r="AT85" i="50"/>
  <c r="BB85" i="50" s="1"/>
  <c r="AT95" i="50"/>
  <c r="BB95" i="50" s="1"/>
  <c r="AT111" i="50"/>
  <c r="AW111" i="50" s="1"/>
  <c r="AT105" i="50"/>
  <c r="BB105" i="50" s="1"/>
  <c r="AT161" i="50"/>
  <c r="BB161" i="50" s="1"/>
  <c r="AT186" i="50"/>
  <c r="BB186" i="50" s="1"/>
  <c r="AT196" i="50"/>
  <c r="AU196" i="50" s="1"/>
  <c r="AT204" i="50"/>
  <c r="BB204" i="50" s="1"/>
  <c r="AT214" i="50"/>
  <c r="BB214" i="50" s="1"/>
  <c r="AT226" i="50"/>
  <c r="BB226" i="50" s="1"/>
  <c r="AT138" i="50"/>
  <c r="AU138" i="50" s="1"/>
  <c r="AT158" i="50"/>
  <c r="AV158" i="50" s="1"/>
  <c r="AT93" i="50"/>
  <c r="AU93" i="50" s="1"/>
  <c r="AT149" i="50"/>
  <c r="BB149" i="50" s="1"/>
  <c r="AT193" i="50"/>
  <c r="AV193" i="50" s="1"/>
  <c r="AY193" i="50" s="1"/>
  <c r="AT211" i="50"/>
  <c r="BB211" i="50" s="1"/>
  <c r="AT227" i="50"/>
  <c r="BB227" i="50" s="1"/>
  <c r="AT155" i="50"/>
  <c r="BB155" i="50" s="1"/>
  <c r="AT132" i="50"/>
  <c r="AV132" i="50" s="1"/>
  <c r="AT179" i="50"/>
  <c r="BB179" i="50" s="1"/>
  <c r="AT242" i="50"/>
  <c r="BB242" i="50" s="1"/>
  <c r="AT240" i="50"/>
  <c r="BB240" i="50" s="1"/>
  <c r="AT265" i="50"/>
  <c r="AX265" i="50" s="1"/>
  <c r="AT273" i="50"/>
  <c r="AU273" i="50" s="1"/>
  <c r="AT281" i="50"/>
  <c r="BB281" i="50" s="1"/>
  <c r="AT289" i="50"/>
  <c r="BB289" i="50" s="1"/>
  <c r="AT238" i="50"/>
  <c r="AU238" i="50" s="1"/>
  <c r="AT236" i="50"/>
  <c r="BB236" i="50" s="1"/>
  <c r="AT295" i="50"/>
  <c r="BB295" i="50" s="1"/>
  <c r="AT326" i="50"/>
  <c r="BB326" i="50" s="1"/>
  <c r="AT334" i="50"/>
  <c r="AV334" i="50" s="1"/>
  <c r="AY334" i="50" s="1"/>
  <c r="AT342" i="50"/>
  <c r="BB342" i="50" s="1"/>
  <c r="AT350" i="50"/>
  <c r="BB350" i="50" s="1"/>
  <c r="AT358" i="50"/>
  <c r="AW358" i="50" s="1"/>
  <c r="AZ358" i="50" s="1"/>
  <c r="AT366" i="50"/>
  <c r="AU366" i="50" s="1"/>
  <c r="AT374" i="50"/>
  <c r="BB374" i="50" s="1"/>
  <c r="AT317" i="50"/>
  <c r="AT315" i="50"/>
  <c r="AX315" i="50" s="1"/>
  <c r="AT313" i="50"/>
  <c r="AV313" i="50" s="1"/>
  <c r="AY313" i="50" s="1"/>
  <c r="AT394" i="50"/>
  <c r="BB394" i="50" s="1"/>
  <c r="AT400" i="50"/>
  <c r="BB400" i="50" s="1"/>
  <c r="AT398" i="50"/>
  <c r="AX398" i="50" s="1"/>
  <c r="AT412" i="50"/>
  <c r="AW412" i="50" s="1"/>
  <c r="AZ412" i="50" s="1"/>
  <c r="AT420" i="50"/>
  <c r="BB420" i="50" s="1"/>
  <c r="AT428" i="50"/>
  <c r="AX428" i="50" s="1"/>
  <c r="AT436" i="50"/>
  <c r="AT444" i="50"/>
  <c r="AT452" i="50"/>
  <c r="BB452" i="50" s="1"/>
  <c r="AT460" i="50"/>
  <c r="BB460" i="50" s="1"/>
  <c r="AT468" i="50"/>
  <c r="AV468" i="50" s="1"/>
  <c r="AY468" i="50" s="1"/>
  <c r="AT476" i="50"/>
  <c r="AW476" i="50" s="1"/>
  <c r="AZ476" i="50" s="1"/>
  <c r="AT396" i="50"/>
  <c r="BB396" i="50" s="1"/>
  <c r="AT491" i="50"/>
  <c r="BB491" i="50" s="1"/>
  <c r="AT507" i="50"/>
  <c r="AU507" i="50" s="1"/>
  <c r="AT523" i="50"/>
  <c r="AX523" i="50" s="1"/>
  <c r="AT532" i="50"/>
  <c r="BB532" i="50" s="1"/>
  <c r="AT540" i="50"/>
  <c r="BB540" i="50" s="1"/>
  <c r="AT548" i="50"/>
  <c r="AX548" i="50" s="1"/>
  <c r="AT556" i="50"/>
  <c r="AX556" i="50" s="1"/>
  <c r="AT564" i="50"/>
  <c r="BB564" i="50" s="1"/>
  <c r="AT572" i="50"/>
  <c r="BB572" i="50" s="1"/>
  <c r="AT598" i="50"/>
  <c r="AV598" i="50" s="1"/>
  <c r="AY598" i="50" s="1"/>
  <c r="AT608" i="50"/>
  <c r="AW608" i="50" s="1"/>
  <c r="AZ608" i="50" s="1"/>
  <c r="AT616" i="50"/>
  <c r="BB616" i="50" s="1"/>
  <c r="AT497" i="50"/>
  <c r="BB497" i="50" s="1"/>
  <c r="AT513" i="50"/>
  <c r="AT482" i="50"/>
  <c r="AT581" i="50"/>
  <c r="BB581" i="50" s="1"/>
  <c r="AT589" i="50"/>
  <c r="AX589" i="50" s="1"/>
  <c r="AT597" i="50"/>
  <c r="AT615" i="50"/>
  <c r="AV615" i="50" s="1"/>
  <c r="AY615" i="50" s="1"/>
  <c r="AT623" i="50"/>
  <c r="AU623" i="50" s="1"/>
  <c r="AT631" i="50"/>
  <c r="AT639" i="50"/>
  <c r="AU639" i="50" s="1"/>
  <c r="AT647" i="50"/>
  <c r="AT655" i="50"/>
  <c r="AW655" i="50" s="1"/>
  <c r="AZ655" i="50" s="1"/>
  <c r="AT663" i="50"/>
  <c r="AV663" i="50" s="1"/>
  <c r="AY663" i="50" s="1"/>
  <c r="AT23" i="50"/>
  <c r="AW23" i="50" s="1"/>
  <c r="AT40" i="50"/>
  <c r="AU40" i="50" s="1"/>
  <c r="AT87" i="50"/>
  <c r="AV87" i="50" s="1"/>
  <c r="AT169" i="50"/>
  <c r="AW169" i="50" s="1"/>
  <c r="AT220" i="50"/>
  <c r="AT101" i="50"/>
  <c r="AX101" i="50" s="1"/>
  <c r="AT128" i="50"/>
  <c r="AW128" i="50" s="1"/>
  <c r="AT250" i="50"/>
  <c r="AT283" i="50"/>
  <c r="AW283" i="50" s="1"/>
  <c r="AZ283" i="50" s="1"/>
  <c r="AT303" i="50"/>
  <c r="AV303" i="50" s="1"/>
  <c r="AY303" i="50" s="1"/>
  <c r="AT352" i="50"/>
  <c r="AU352" i="50" s="1"/>
  <c r="AT325" i="50"/>
  <c r="AW325" i="50" s="1"/>
  <c r="AZ325" i="50" s="1"/>
  <c r="AT378" i="50"/>
  <c r="AT430" i="50"/>
  <c r="AV430" i="50" s="1"/>
  <c r="AY430" i="50" s="1"/>
  <c r="AT454" i="50"/>
  <c r="AT470" i="50"/>
  <c r="AW470" i="50" s="1"/>
  <c r="AZ470" i="50" s="1"/>
  <c r="AT404" i="50"/>
  <c r="AU404" i="50" s="1"/>
  <c r="AT511" i="50"/>
  <c r="AT534" i="50"/>
  <c r="AV534" i="50" s="1"/>
  <c r="AY534" i="50" s="1"/>
  <c r="AT550" i="50"/>
  <c r="AW550" i="50" s="1"/>
  <c r="AZ550" i="50" s="1"/>
  <c r="AT566" i="50"/>
  <c r="AT600" i="50"/>
  <c r="AT485" i="50"/>
  <c r="AU485" i="50" s="1"/>
  <c r="AT517" i="50"/>
  <c r="AX517" i="50" s="1"/>
  <c r="AT583" i="50"/>
  <c r="AT599" i="50"/>
  <c r="AT625" i="50"/>
  <c r="AW625" i="50" s="1"/>
  <c r="AZ625" i="50" s="1"/>
  <c r="AT641" i="50"/>
  <c r="AW641" i="50" s="1"/>
  <c r="AZ641" i="50" s="1"/>
  <c r="AT657" i="50"/>
  <c r="AV657" i="50" s="1"/>
  <c r="AY657" i="50" s="1"/>
  <c r="AT640" i="50"/>
  <c r="AW640" i="50" s="1"/>
  <c r="AZ640" i="50" s="1"/>
  <c r="AT588" i="50"/>
  <c r="AW588" i="50" s="1"/>
  <c r="AZ588" i="50" s="1"/>
  <c r="AT569" i="50"/>
  <c r="BB569" i="50" s="1"/>
  <c r="AT537" i="50"/>
  <c r="AX537" i="50" s="1"/>
  <c r="AT486" i="50"/>
  <c r="AV486" i="50" s="1"/>
  <c r="AY486" i="50" s="1"/>
  <c r="AT419" i="50"/>
  <c r="BB419" i="50" s="1"/>
  <c r="AT481" i="50"/>
  <c r="AW481" i="50" s="1"/>
  <c r="AZ481" i="50" s="1"/>
  <c r="AT417" i="50"/>
  <c r="AV417" i="50" s="1"/>
  <c r="AY417" i="50" s="1"/>
  <c r="AT379" i="50"/>
  <c r="AV379" i="50" s="1"/>
  <c r="AY379" i="50" s="1"/>
  <c r="AT361" i="50"/>
  <c r="AV361" i="50" s="1"/>
  <c r="AY361" i="50" s="1"/>
  <c r="AT329" i="50"/>
  <c r="BB329" i="50" s="1"/>
  <c r="AT270" i="50"/>
  <c r="BB270" i="50" s="1"/>
  <c r="AT255" i="50"/>
  <c r="AX255" i="50" s="1"/>
  <c r="AT259" i="50"/>
  <c r="BB259" i="50" s="1"/>
  <c r="AT205" i="50"/>
  <c r="BB205" i="50" s="1"/>
  <c r="AT137" i="50"/>
  <c r="BB137" i="50" s="1"/>
  <c r="AT70" i="50"/>
  <c r="AT646" i="50"/>
  <c r="BB646" i="50" s="1"/>
  <c r="AT596" i="50"/>
  <c r="BB596" i="50" s="1"/>
  <c r="AT605" i="50"/>
  <c r="BB605" i="50" s="1"/>
  <c r="AT543" i="50"/>
  <c r="AW543" i="50" s="1"/>
  <c r="AZ543" i="50" s="1"/>
  <c r="AT498" i="50"/>
  <c r="AW498" i="50" s="1"/>
  <c r="AZ498" i="50" s="1"/>
  <c r="AT431" i="50"/>
  <c r="BB431" i="50" s="1"/>
  <c r="AT488" i="50"/>
  <c r="AV488" i="50" s="1"/>
  <c r="AY488" i="50" s="1"/>
  <c r="AT429" i="50"/>
  <c r="AX429" i="50" s="1"/>
  <c r="AT401" i="50"/>
  <c r="BB401" i="50" s="1"/>
  <c r="AT359" i="50"/>
  <c r="BB359" i="50" s="1"/>
  <c r="AT327" i="50"/>
  <c r="BB327" i="50" s="1"/>
  <c r="AT320" i="50"/>
  <c r="AW320" i="50" s="1"/>
  <c r="AZ320" i="50" s="1"/>
  <c r="AT276" i="50"/>
  <c r="BB276" i="50" s="1"/>
  <c r="AT223" i="50"/>
  <c r="AU223" i="50" s="1"/>
  <c r="AT183" i="50"/>
  <c r="AU183" i="50" s="1"/>
  <c r="AT139" i="50"/>
  <c r="AT31" i="50"/>
  <c r="AX31" i="50" s="1"/>
  <c r="AT63" i="50"/>
  <c r="AT99" i="50"/>
  <c r="AV99" i="50" s="1"/>
  <c r="AT188" i="50"/>
  <c r="AX188" i="50" s="1"/>
  <c r="AT126" i="50"/>
  <c r="AW126" i="50" s="1"/>
  <c r="AT157" i="50"/>
  <c r="AT171" i="50"/>
  <c r="AX171" i="50" s="1"/>
  <c r="AT248" i="50"/>
  <c r="AW248" i="50" s="1"/>
  <c r="AZ248" i="50" s="1"/>
  <c r="AT291" i="50"/>
  <c r="AV291" i="50" s="1"/>
  <c r="AY291" i="50" s="1"/>
  <c r="AT328" i="50"/>
  <c r="AU328" i="50" s="1"/>
  <c r="AT360" i="50"/>
  <c r="AW360" i="50" s="1"/>
  <c r="AZ360" i="50" s="1"/>
  <c r="AT323" i="50"/>
  <c r="AW323" i="50" s="1"/>
  <c r="AZ323" i="50" s="1"/>
  <c r="AT406" i="50"/>
  <c r="AV406" i="50" s="1"/>
  <c r="AY406" i="50" s="1"/>
  <c r="AT438" i="50"/>
  <c r="AX438" i="50" s="1"/>
  <c r="AT456" i="50"/>
  <c r="AU456" i="50" s="1"/>
  <c r="AT472" i="50"/>
  <c r="AT405" i="50"/>
  <c r="AT515" i="50"/>
  <c r="AT536" i="50"/>
  <c r="AW536" i="50" s="1"/>
  <c r="AZ536" i="50" s="1"/>
  <c r="AT552" i="50"/>
  <c r="AT568" i="50"/>
  <c r="AT604" i="50"/>
  <c r="AT489" i="50"/>
  <c r="AW489" i="50" s="1"/>
  <c r="AZ489" i="50" s="1"/>
  <c r="AT521" i="50"/>
  <c r="AT585" i="50"/>
  <c r="AT601" i="50"/>
  <c r="AV601" i="50" s="1"/>
  <c r="AY601" i="50" s="1"/>
  <c r="AT627" i="50"/>
  <c r="AT643" i="50"/>
  <c r="AT659" i="50"/>
  <c r="AT632" i="50"/>
  <c r="AT580" i="50"/>
  <c r="AV580" i="50" s="1"/>
  <c r="AY580" i="50" s="1"/>
  <c r="AT561" i="50"/>
  <c r="AT529" i="50"/>
  <c r="AW529" i="50" s="1"/>
  <c r="AZ529" i="50" s="1"/>
  <c r="AT467" i="50"/>
  <c r="AT524" i="50"/>
  <c r="AX524" i="50" s="1"/>
  <c r="AT465" i="50"/>
  <c r="AT399" i="50"/>
  <c r="AU399" i="50" s="1"/>
  <c r="AT314" i="50"/>
  <c r="BB314" i="50" s="1"/>
  <c r="AT353" i="50"/>
  <c r="AT294" i="50"/>
  <c r="AW294" i="50" s="1"/>
  <c r="AZ294" i="50" s="1"/>
  <c r="AT262" i="50"/>
  <c r="AW262" i="50" s="1"/>
  <c r="AZ262" i="50" s="1"/>
  <c r="AT239" i="50"/>
  <c r="AT243" i="50"/>
  <c r="AV243" i="50" s="1"/>
  <c r="AY243" i="50" s="1"/>
  <c r="AT194" i="50"/>
  <c r="AT123" i="50"/>
  <c r="AW123" i="50" s="1"/>
  <c r="AT54" i="50"/>
  <c r="AT638" i="50"/>
  <c r="AU638" i="50" s="1"/>
  <c r="AT586" i="50"/>
  <c r="AT567" i="50"/>
  <c r="AW567" i="50" s="1"/>
  <c r="AZ567" i="50" s="1"/>
  <c r="AT535" i="50"/>
  <c r="AT479" i="50"/>
  <c r="AV479" i="50" s="1"/>
  <c r="AY479" i="50" s="1"/>
  <c r="AT415" i="50"/>
  <c r="AT477" i="50"/>
  <c r="AU477" i="50" s="1"/>
  <c r="AT413" i="50"/>
  <c r="AX413" i="50" s="1"/>
  <c r="AT395" i="50"/>
  <c r="AT351" i="50"/>
  <c r="AW351" i="50" s="1"/>
  <c r="AZ351" i="50" s="1"/>
  <c r="AT316" i="50"/>
  <c r="AU316" i="50" s="1"/>
  <c r="AT304" i="50"/>
  <c r="AW304" i="50" s="1"/>
  <c r="AZ304" i="50" s="1"/>
  <c r="AT268" i="50"/>
  <c r="AU268" i="50" s="1"/>
  <c r="AT213" i="50"/>
  <c r="AT135" i="50"/>
  <c r="AX135" i="50" s="1"/>
  <c r="AT172" i="50"/>
  <c r="AW172" i="50" s="1"/>
  <c r="AT98" i="50"/>
  <c r="AW98" i="50" s="1"/>
  <c r="AT68" i="50"/>
  <c r="AT37" i="50"/>
  <c r="AU37" i="50" s="1"/>
  <c r="AT164" i="50"/>
  <c r="AU164" i="50" s="1"/>
  <c r="AT116" i="50"/>
  <c r="AU116" i="50" s="1"/>
  <c r="AT50" i="50"/>
  <c r="AX50" i="50" s="1"/>
  <c r="AT644" i="50"/>
  <c r="AX644" i="50" s="1"/>
  <c r="AT592" i="50"/>
  <c r="AT575" i="50"/>
  <c r="AW575" i="50" s="1"/>
  <c r="AZ575" i="50" s="1"/>
  <c r="AT541" i="50"/>
  <c r="AW541" i="50" s="1"/>
  <c r="AZ541" i="50" s="1"/>
  <c r="AT494" i="50"/>
  <c r="AV494" i="50" s="1"/>
  <c r="AY494" i="50" s="1"/>
  <c r="AT427" i="50"/>
  <c r="AW427" i="50" s="1"/>
  <c r="AZ427" i="50" s="1"/>
  <c r="AT483" i="50"/>
  <c r="AV483" i="50" s="1"/>
  <c r="AY483" i="50" s="1"/>
  <c r="AT425" i="50"/>
  <c r="AT393" i="50"/>
  <c r="AX393" i="50" s="1"/>
  <c r="AT373" i="50"/>
  <c r="AU373" i="50" s="1"/>
  <c r="AT341" i="50"/>
  <c r="AV341" i="50" s="1"/>
  <c r="AY341" i="50" s="1"/>
  <c r="AT274" i="50"/>
  <c r="AU274" i="50" s="1"/>
  <c r="AT229" i="50"/>
  <c r="AX229" i="50" s="1"/>
  <c r="AT233" i="50"/>
  <c r="AT210" i="50"/>
  <c r="AT82" i="50"/>
  <c r="AW82" i="50" s="1"/>
  <c r="AT650" i="50"/>
  <c r="AX650" i="50" s="1"/>
  <c r="AT618" i="50"/>
  <c r="AT45" i="50"/>
  <c r="AT71" i="50"/>
  <c r="AT115" i="50"/>
  <c r="AV115" i="50" s="1"/>
  <c r="AT198" i="50"/>
  <c r="AT142" i="50"/>
  <c r="AU142" i="50" s="1"/>
  <c r="AT195" i="50"/>
  <c r="AU195" i="50" s="1"/>
  <c r="AT140" i="50"/>
  <c r="AT267" i="50"/>
  <c r="AV267" i="50" s="1"/>
  <c r="AY267" i="50" s="1"/>
  <c r="AT246" i="50"/>
  <c r="AT336" i="50"/>
  <c r="AT368" i="50"/>
  <c r="AW368" i="50" s="1"/>
  <c r="AZ368" i="50" s="1"/>
  <c r="AT321" i="50"/>
  <c r="AX321" i="50" s="1"/>
  <c r="AT414" i="50"/>
  <c r="AU414" i="50" s="1"/>
  <c r="AT446" i="50"/>
  <c r="AT462" i="50"/>
  <c r="AX462" i="50" s="1"/>
  <c r="AT478" i="50"/>
  <c r="AT495" i="50"/>
  <c r="AT527" i="50"/>
  <c r="AW527" i="50" s="1"/>
  <c r="AZ527" i="50" s="1"/>
  <c r="AT542" i="50"/>
  <c r="AT558" i="50"/>
  <c r="AW558" i="50" s="1"/>
  <c r="AZ558" i="50" s="1"/>
  <c r="AT574" i="50"/>
  <c r="AU574" i="50" s="1"/>
  <c r="AT610" i="50"/>
  <c r="AV610" i="50" s="1"/>
  <c r="AY610" i="50" s="1"/>
  <c r="AT501" i="50"/>
  <c r="AT573" i="50"/>
  <c r="AT591" i="50"/>
  <c r="AW591" i="50" s="1"/>
  <c r="AZ591" i="50" s="1"/>
  <c r="AT617" i="50"/>
  <c r="AV617" i="50" s="1"/>
  <c r="AY617" i="50" s="1"/>
  <c r="AT633" i="50"/>
  <c r="AT649" i="50"/>
  <c r="AX649" i="50" s="1"/>
  <c r="AT656" i="50"/>
  <c r="AU656" i="50" s="1"/>
  <c r="AT624" i="50"/>
  <c r="AU624" i="50" s="1"/>
  <c r="AT658" i="50"/>
  <c r="AV658" i="50" s="1"/>
  <c r="AY658" i="50" s="1"/>
  <c r="AT553" i="50"/>
  <c r="AT518" i="50"/>
  <c r="AX518" i="50" s="1"/>
  <c r="AT451" i="50"/>
  <c r="AT508" i="50"/>
  <c r="AX508" i="50" s="1"/>
  <c r="AT449" i="50"/>
  <c r="AT377" i="50"/>
  <c r="AU377" i="50" s="1"/>
  <c r="AT298" i="50"/>
  <c r="AU298" i="50" s="1"/>
  <c r="AT345" i="50"/>
  <c r="AT286" i="50"/>
  <c r="AX286" i="50" s="1"/>
  <c r="AT253" i="50"/>
  <c r="AT257" i="50"/>
  <c r="AX257" i="50" s="1"/>
  <c r="AT225" i="50"/>
  <c r="AX225" i="50" s="1"/>
  <c r="AT180" i="50"/>
  <c r="AX180" i="50" s="1"/>
  <c r="AT92" i="50"/>
  <c r="AX92" i="50" s="1"/>
  <c r="AT30" i="50"/>
  <c r="AT630" i="50"/>
  <c r="AU630" i="50" s="1"/>
  <c r="AT578" i="50"/>
  <c r="AU578" i="50" s="1"/>
  <c r="AT559" i="50"/>
  <c r="AT528" i="50"/>
  <c r="AX528" i="50" s="1"/>
  <c r="AT463" i="50"/>
  <c r="AT520" i="50"/>
  <c r="AT461" i="50"/>
  <c r="AV461" i="50" s="1"/>
  <c r="AY461" i="50" s="1"/>
  <c r="AT397" i="50"/>
  <c r="AT375" i="50"/>
  <c r="AT343" i="50"/>
  <c r="AT300" i="50"/>
  <c r="AT292" i="50"/>
  <c r="AX292" i="50" s="1"/>
  <c r="AT175" i="50"/>
  <c r="AT203" i="50"/>
  <c r="AX203" i="50" s="1"/>
  <c r="BA203" i="50" s="1"/>
  <c r="AT176" i="50"/>
  <c r="AW176" i="50" s="1"/>
  <c r="AT120" i="50"/>
  <c r="AT90" i="50"/>
  <c r="AT60" i="50"/>
  <c r="AX60" i="50" s="1"/>
  <c r="AT28" i="50"/>
  <c r="AT112" i="50"/>
  <c r="AT100" i="50"/>
  <c r="AU100" i="50" s="1"/>
  <c r="AT34" i="50"/>
  <c r="AV34" i="50" s="1"/>
  <c r="AT636" i="50"/>
  <c r="AW636" i="50" s="1"/>
  <c r="AZ636" i="50" s="1"/>
  <c r="AT584" i="50"/>
  <c r="AU584" i="50" s="1"/>
  <c r="AT565" i="50"/>
  <c r="AU565" i="50" s="1"/>
  <c r="AT533" i="50"/>
  <c r="AT475" i="50"/>
  <c r="AT411" i="50"/>
  <c r="AT473" i="50"/>
  <c r="AT409" i="50"/>
  <c r="AX409" i="50" s="1"/>
  <c r="AT387" i="50"/>
  <c r="AU387" i="50" s="1"/>
  <c r="AT365" i="50"/>
  <c r="AV365" i="50" s="1"/>
  <c r="AY365" i="50" s="1"/>
  <c r="AT333" i="50"/>
  <c r="AT266" i="50"/>
  <c r="AT247" i="50"/>
  <c r="AU247" i="50" s="1"/>
  <c r="AT251" i="50"/>
  <c r="AT201" i="50"/>
  <c r="AT66" i="50"/>
  <c r="AU66" i="50" s="1"/>
  <c r="AT642" i="50"/>
  <c r="AX642" i="50" s="1"/>
  <c r="AT14" i="50"/>
  <c r="AV14" i="50" s="1"/>
  <c r="AT62" i="50"/>
  <c r="AT129" i="50"/>
  <c r="AT16" i="50"/>
  <c r="AU16" i="50" s="1"/>
  <c r="AT48" i="50"/>
  <c r="AT80" i="50"/>
  <c r="AT110" i="50"/>
  <c r="AT131" i="50"/>
  <c r="AT143" i="50"/>
  <c r="AT218" i="50"/>
  <c r="AU218" i="50" s="1"/>
  <c r="AT264" i="50"/>
  <c r="AT296" i="50"/>
  <c r="AV296" i="50" s="1"/>
  <c r="AY296" i="50" s="1"/>
  <c r="AT308" i="50"/>
  <c r="AW308" i="50" s="1"/>
  <c r="AZ308" i="50" s="1"/>
  <c r="AT347" i="50"/>
  <c r="AT385" i="50"/>
  <c r="AT453" i="50"/>
  <c r="AT407" i="50"/>
  <c r="AT471" i="50"/>
  <c r="AT531" i="50"/>
  <c r="AT563" i="50"/>
  <c r="AT582" i="50"/>
  <c r="AU582" i="50" s="1"/>
  <c r="AT18" i="50"/>
  <c r="AW18" i="50" s="1"/>
  <c r="AT221" i="50"/>
  <c r="BB221" i="50" s="1"/>
  <c r="AT245" i="50"/>
  <c r="AT349" i="50"/>
  <c r="AX349" i="50" s="1"/>
  <c r="AT383" i="50"/>
  <c r="AU383" i="50" s="1"/>
  <c r="AT500" i="50"/>
  <c r="BB500" i="50" s="1"/>
  <c r="AT510" i="50"/>
  <c r="BB510" i="50" s="1"/>
  <c r="AT611" i="50"/>
  <c r="AW611" i="50" s="1"/>
  <c r="AZ611" i="50" s="1"/>
  <c r="AT652" i="50"/>
  <c r="BB652" i="50" s="1"/>
  <c r="AT133" i="50"/>
  <c r="AU133" i="50" s="1"/>
  <c r="AT44" i="50"/>
  <c r="BB44" i="50" s="1"/>
  <c r="AT106" i="50"/>
  <c r="AW106" i="50" s="1"/>
  <c r="AT159" i="50"/>
  <c r="AT367" i="50"/>
  <c r="AT447" i="50"/>
  <c r="AV447" i="50" s="1"/>
  <c r="AY447" i="50" s="1"/>
  <c r="AT622" i="50"/>
  <c r="AT216" i="50"/>
  <c r="AU216" i="50" s="1"/>
  <c r="AT337" i="50"/>
  <c r="AV337" i="50" s="1"/>
  <c r="AY337" i="50" s="1"/>
  <c r="AT492" i="50"/>
  <c r="AT607" i="50"/>
  <c r="AU607" i="50" s="1"/>
  <c r="AT635" i="50"/>
  <c r="AV635" i="50" s="1"/>
  <c r="AY635" i="50" s="1"/>
  <c r="AT505" i="50"/>
  <c r="AT544" i="50"/>
  <c r="AU544" i="50" s="1"/>
  <c r="AT464" i="50"/>
  <c r="AX464" i="50" s="1"/>
  <c r="AT376" i="50"/>
  <c r="AU376" i="50" s="1"/>
  <c r="AT162" i="50"/>
  <c r="AV162" i="50" s="1"/>
  <c r="AT113" i="50"/>
  <c r="AT22" i="50"/>
  <c r="AT78" i="50"/>
  <c r="AT145" i="50"/>
  <c r="AT24" i="50"/>
  <c r="AT56" i="50"/>
  <c r="AV56" i="50" s="1"/>
  <c r="AT88" i="50"/>
  <c r="AX88" i="50" s="1"/>
  <c r="AT118" i="50"/>
  <c r="AX118" i="50" s="1"/>
  <c r="AT151" i="50"/>
  <c r="AU151" i="50" s="1"/>
  <c r="AT187" i="50"/>
  <c r="AT152" i="50"/>
  <c r="AU152" i="50" s="1"/>
  <c r="AT272" i="50"/>
  <c r="AV272" i="50" s="1"/>
  <c r="AY272" i="50" s="1"/>
  <c r="AT312" i="50"/>
  <c r="AT324" i="50"/>
  <c r="AT355" i="50"/>
  <c r="AU355" i="50" s="1"/>
  <c r="AT381" i="50"/>
  <c r="AT469" i="50"/>
  <c r="AT423" i="50"/>
  <c r="AX423" i="50" s="1"/>
  <c r="AT490" i="50"/>
  <c r="AW490" i="50" s="1"/>
  <c r="AZ490" i="50" s="1"/>
  <c r="AT539" i="50"/>
  <c r="AU539" i="50" s="1"/>
  <c r="AT571" i="50"/>
  <c r="AW571" i="50" s="1"/>
  <c r="AZ571" i="50" s="1"/>
  <c r="AT590" i="50"/>
  <c r="AW590" i="50" s="1"/>
  <c r="AZ590" i="50" s="1"/>
  <c r="AT42" i="50"/>
  <c r="AT235" i="50"/>
  <c r="AT261" i="50"/>
  <c r="AU261" i="50" s="1"/>
  <c r="AT357" i="50"/>
  <c r="AT389" i="50"/>
  <c r="AU389" i="50" s="1"/>
  <c r="AT516" i="50"/>
  <c r="AT526" i="50"/>
  <c r="AX526" i="50" s="1"/>
  <c r="AT662" i="50"/>
  <c r="AV662" i="50" s="1"/>
  <c r="AY662" i="50" s="1"/>
  <c r="AT26" i="50"/>
  <c r="AT96" i="50"/>
  <c r="AX96" i="50" s="1"/>
  <c r="AT52" i="50"/>
  <c r="AW52" i="50" s="1"/>
  <c r="AT114" i="50"/>
  <c r="AT284" i="50"/>
  <c r="AX284" i="50" s="1"/>
  <c r="AT391" i="50"/>
  <c r="AT514" i="50"/>
  <c r="AW514" i="50" s="1"/>
  <c r="AZ514" i="50" s="1"/>
  <c r="AT654" i="50"/>
  <c r="AU654" i="50" s="1"/>
  <c r="AT241" i="50"/>
  <c r="AT369" i="50"/>
  <c r="AW369" i="50" s="1"/>
  <c r="AZ369" i="50" s="1"/>
  <c r="AT435" i="50"/>
  <c r="AU435" i="50" s="1"/>
  <c r="AT602" i="50"/>
  <c r="AW602" i="50" s="1"/>
  <c r="AZ602" i="50" s="1"/>
  <c r="AT619" i="50"/>
  <c r="AV619" i="50" s="1"/>
  <c r="AY619" i="50" s="1"/>
  <c r="AT612" i="50"/>
  <c r="AT484" i="50"/>
  <c r="AT448" i="50"/>
  <c r="AT344" i="50"/>
  <c r="AX344" i="50" s="1"/>
  <c r="AT215" i="50"/>
  <c r="AV215" i="50" s="1"/>
  <c r="AY215" i="50" s="1"/>
  <c r="AT79" i="50"/>
  <c r="AU79" i="50" s="1"/>
  <c r="AT39" i="50"/>
  <c r="AT124" i="50"/>
  <c r="AV124" i="50" s="1"/>
  <c r="AT148" i="50"/>
  <c r="AX148" i="50" s="1"/>
  <c r="AT32" i="50"/>
  <c r="AW32" i="50" s="1"/>
  <c r="AT64" i="50"/>
  <c r="AV64" i="50" s="1"/>
  <c r="AT94" i="50"/>
  <c r="AU94" i="50" s="1"/>
  <c r="AT121" i="50"/>
  <c r="AV121" i="50" s="1"/>
  <c r="AT167" i="50"/>
  <c r="AT199" i="50"/>
  <c r="AV199" i="50" s="1"/>
  <c r="AY199" i="50" s="1"/>
  <c r="AT168" i="50"/>
  <c r="AV168" i="50" s="1"/>
  <c r="AT280" i="50"/>
  <c r="AV280" i="50" s="1"/>
  <c r="AY280" i="50" s="1"/>
  <c r="AT302" i="50"/>
  <c r="AW302" i="50" s="1"/>
  <c r="AZ302" i="50" s="1"/>
  <c r="AT331" i="50"/>
  <c r="AU331" i="50" s="1"/>
  <c r="AT363" i="50"/>
  <c r="AT421" i="50"/>
  <c r="AW421" i="50" s="1"/>
  <c r="AZ421" i="50" s="1"/>
  <c r="AT496" i="50"/>
  <c r="AU496" i="50" s="1"/>
  <c r="AT439" i="50"/>
  <c r="AV439" i="50" s="1"/>
  <c r="AY439" i="50" s="1"/>
  <c r="AT506" i="50"/>
  <c r="AW506" i="50" s="1"/>
  <c r="AZ506" i="50" s="1"/>
  <c r="AT547" i="50"/>
  <c r="AT609" i="50"/>
  <c r="AT626" i="50"/>
  <c r="AX626" i="50" s="1"/>
  <c r="AT125" i="50"/>
  <c r="BB125" i="50" s="1"/>
  <c r="AT249" i="50"/>
  <c r="AW249" i="50" s="1"/>
  <c r="AZ249" i="50" s="1"/>
  <c r="AT282" i="50"/>
  <c r="BB282" i="50" s="1"/>
  <c r="AT306" i="50"/>
  <c r="AV306" i="50" s="1"/>
  <c r="AY306" i="50" s="1"/>
  <c r="AT441" i="50"/>
  <c r="AV441" i="50" s="1"/>
  <c r="AY441" i="50" s="1"/>
  <c r="AT443" i="50"/>
  <c r="AU443" i="50" s="1"/>
  <c r="AT549" i="50"/>
  <c r="AW549" i="50" s="1"/>
  <c r="AZ549" i="50" s="1"/>
  <c r="AT620" i="50"/>
  <c r="AT58" i="50"/>
  <c r="AX58" i="50" s="1"/>
  <c r="AT189" i="50"/>
  <c r="AX189" i="50" s="1"/>
  <c r="AT76" i="50"/>
  <c r="BB76" i="50" s="1"/>
  <c r="AT160" i="50"/>
  <c r="AT310" i="50"/>
  <c r="AV310" i="50" s="1"/>
  <c r="AY310" i="50" s="1"/>
  <c r="AT445" i="50"/>
  <c r="AX445" i="50" s="1"/>
  <c r="AT551" i="50"/>
  <c r="AT86" i="50"/>
  <c r="BB86" i="50" s="1"/>
  <c r="AT237" i="50"/>
  <c r="AT403" i="50"/>
  <c r="AT502" i="50"/>
  <c r="AT648" i="50"/>
  <c r="AT593" i="50"/>
  <c r="AT576" i="50"/>
  <c r="AT499" i="50"/>
  <c r="AT422" i="50"/>
  <c r="AT244" i="50"/>
  <c r="AV244" i="50" s="1"/>
  <c r="AY244" i="50" s="1"/>
  <c r="AT166" i="50"/>
  <c r="AW166" i="50" s="1"/>
  <c r="AT53" i="50"/>
  <c r="AW53" i="50" s="1"/>
  <c r="BA9" i="50"/>
  <c r="BB293" i="50"/>
  <c r="BB473" i="50"/>
  <c r="AU533" i="50"/>
  <c r="BB533" i="50"/>
  <c r="BB113" i="50"/>
  <c r="BB53" i="50"/>
  <c r="BB413" i="50"/>
  <c r="BB353" i="50"/>
  <c r="BB593" i="50"/>
  <c r="BB173" i="50"/>
  <c r="AU403" i="50"/>
  <c r="BB403" i="50"/>
  <c r="BB203" i="50"/>
  <c r="BB323" i="50"/>
  <c r="BB283" i="50"/>
  <c r="BB63" i="50"/>
  <c r="AU143" i="50"/>
  <c r="BB143" i="50"/>
  <c r="BB423" i="50"/>
  <c r="BB363" i="50"/>
  <c r="BB483" i="50"/>
  <c r="BB123" i="50"/>
  <c r="BB243" i="50"/>
  <c r="AU663" i="50"/>
  <c r="BB663" i="50"/>
  <c r="BB623" i="50"/>
  <c r="BB523" i="50"/>
  <c r="BB43" i="50"/>
  <c r="BB563" i="50"/>
  <c r="BB643" i="50"/>
  <c r="BB103" i="50"/>
  <c r="BB343" i="50"/>
  <c r="BB383" i="50"/>
  <c r="BB183" i="50"/>
  <c r="BB223" i="50"/>
  <c r="BB543" i="50"/>
  <c r="BB603" i="50"/>
  <c r="BB503" i="50"/>
  <c r="BB263" i="50"/>
  <c r="BB83" i="50"/>
  <c r="BB583" i="50"/>
  <c r="BB303" i="50"/>
  <c r="BB23" i="50"/>
  <c r="BB233" i="50"/>
  <c r="BB373" i="50"/>
  <c r="BB513" i="50"/>
  <c r="BB93" i="50"/>
  <c r="BB443" i="50"/>
  <c r="BB653" i="50"/>
  <c r="BB163" i="50"/>
  <c r="BB48" i="50"/>
  <c r="BB218" i="50"/>
  <c r="BB308" i="50"/>
  <c r="BB628" i="50"/>
  <c r="BB278" i="50"/>
  <c r="BB648" i="50"/>
  <c r="BB568" i="50"/>
  <c r="BB448" i="50"/>
  <c r="BB408" i="50"/>
  <c r="BB338" i="50"/>
  <c r="BB258" i="50"/>
  <c r="BB178" i="50"/>
  <c r="AU208" i="50"/>
  <c r="BB208" i="50"/>
  <c r="BB78" i="50"/>
  <c r="BB88" i="50"/>
  <c r="BB118" i="50"/>
  <c r="BB28" i="50"/>
  <c r="BB528" i="50"/>
  <c r="BB578" i="50"/>
  <c r="BB298" i="50"/>
  <c r="BB508" i="50"/>
  <c r="BB518" i="50"/>
  <c r="BB658" i="50"/>
  <c r="BB558" i="50"/>
  <c r="BB478" i="50"/>
  <c r="BB438" i="50"/>
  <c r="BB378" i="50"/>
  <c r="BB368" i="50"/>
  <c r="BB328" i="50"/>
  <c r="BB248" i="50"/>
  <c r="BB128" i="50"/>
  <c r="AX206" i="50"/>
  <c r="AV206" i="50"/>
  <c r="AY206" i="50" s="1"/>
  <c r="AW206" i="50"/>
  <c r="AU206" i="50"/>
  <c r="BB198" i="50"/>
  <c r="BB188" i="50"/>
  <c r="AX15" i="50"/>
  <c r="BA15" i="50" s="1"/>
  <c r="AV15" i="50"/>
  <c r="AW15" i="50"/>
  <c r="AU15" i="50"/>
  <c r="BB148" i="50"/>
  <c r="BB168" i="50"/>
  <c r="BB618" i="50"/>
  <c r="BB68" i="50"/>
  <c r="BB98" i="50"/>
  <c r="BB268" i="50"/>
  <c r="BB638" i="50"/>
  <c r="BB608" i="50"/>
  <c r="BB598" i="50"/>
  <c r="AU598" i="50"/>
  <c r="BB548" i="50"/>
  <c r="AU468" i="50"/>
  <c r="BB468" i="50"/>
  <c r="BB428" i="50"/>
  <c r="AU398" i="50"/>
  <c r="BB398" i="50"/>
  <c r="AX358" i="50"/>
  <c r="BB358" i="50"/>
  <c r="BB238" i="50"/>
  <c r="BB158" i="50"/>
  <c r="BB138" i="50"/>
  <c r="BB38" i="50"/>
  <c r="AW46" i="50"/>
  <c r="BB108" i="50"/>
  <c r="BB288" i="50"/>
  <c r="BB318" i="50"/>
  <c r="BB18" i="50"/>
  <c r="BB58" i="50"/>
  <c r="BB488" i="50"/>
  <c r="BB498" i="50"/>
  <c r="BB588" i="50"/>
  <c r="BB538" i="50"/>
  <c r="BB388" i="50"/>
  <c r="BB458" i="50"/>
  <c r="BB418" i="50"/>
  <c r="BB348" i="50"/>
  <c r="BB228" i="50"/>
  <c r="AX263" i="50"/>
  <c r="AU209" i="50"/>
  <c r="AU67" i="50"/>
  <c r="V60" i="56"/>
  <c r="Y60" i="56" s="1"/>
  <c r="AB60" i="56" s="1"/>
  <c r="H58" i="56"/>
  <c r="Y59" i="56"/>
  <c r="AB59" i="56" s="1"/>
  <c r="O59" i="56"/>
  <c r="X59" i="56"/>
  <c r="X60" i="56"/>
  <c r="G55" i="56"/>
  <c r="G54" i="56"/>
  <c r="G53" i="56"/>
  <c r="AX49" i="56"/>
  <c r="AU55" i="56"/>
  <c r="AO55" i="56"/>
  <c r="AU54" i="56"/>
  <c r="AO54" i="56"/>
  <c r="AU53" i="56"/>
  <c r="AO53" i="56"/>
  <c r="AU52" i="56"/>
  <c r="AO52" i="56"/>
  <c r="G52" i="56"/>
  <c r="AU51" i="56"/>
  <c r="AO51" i="56"/>
  <c r="G51" i="56"/>
  <c r="AU50" i="56"/>
  <c r="AO50" i="56"/>
  <c r="G50" i="56"/>
  <c r="AU49" i="56"/>
  <c r="AO49" i="56"/>
  <c r="K49" i="56"/>
  <c r="J49" i="56"/>
  <c r="I49" i="56"/>
  <c r="AQ55" i="56"/>
  <c r="K55" i="56"/>
  <c r="I55" i="56"/>
  <c r="AQ54" i="56"/>
  <c r="K54" i="56"/>
  <c r="I54" i="56"/>
  <c r="AQ53" i="56"/>
  <c r="K53" i="56"/>
  <c r="I53" i="56"/>
  <c r="AQ52" i="56"/>
  <c r="AQ51" i="56"/>
  <c r="AQ50" i="56"/>
  <c r="AQ49" i="56"/>
  <c r="AN49" i="56" s="1"/>
  <c r="G49" i="56"/>
  <c r="AS52" i="56"/>
  <c r="AS51" i="56"/>
  <c r="AS50" i="56"/>
  <c r="AK55" i="56"/>
  <c r="W55" i="56"/>
  <c r="P55" i="56"/>
  <c r="M55" i="56"/>
  <c r="AK54" i="56"/>
  <c r="AE54" i="56"/>
  <c r="W54" i="56"/>
  <c r="P54" i="56"/>
  <c r="M54" i="56"/>
  <c r="AK53" i="56"/>
  <c r="AE53" i="56"/>
  <c r="W53" i="56"/>
  <c r="P53" i="56"/>
  <c r="M53" i="56"/>
  <c r="AK52" i="56"/>
  <c r="W52" i="56"/>
  <c r="J52" i="56" s="1"/>
  <c r="P52" i="56"/>
  <c r="AK51" i="56"/>
  <c r="AE51" i="56"/>
  <c r="W51" i="56"/>
  <c r="J51" i="56" s="1"/>
  <c r="P51" i="56"/>
  <c r="AK50" i="56"/>
  <c r="AE50" i="56"/>
  <c r="W50" i="56"/>
  <c r="J50" i="56" s="1"/>
  <c r="P50" i="56"/>
  <c r="AK49" i="56"/>
  <c r="BH8" i="54" s="1"/>
  <c r="W49" i="56"/>
  <c r="Q49" i="56"/>
  <c r="R49" i="56" s="1"/>
  <c r="P49" i="56"/>
  <c r="AX37" i="56"/>
  <c r="AX4" i="56"/>
  <c r="AX3" i="56"/>
  <c r="AX2" i="56"/>
  <c r="AU46" i="56"/>
  <c r="AO46" i="56"/>
  <c r="G46" i="56"/>
  <c r="AU45" i="56"/>
  <c r="AO45" i="56"/>
  <c r="G45" i="56"/>
  <c r="AU44" i="56"/>
  <c r="AO44" i="56"/>
  <c r="G44" i="56"/>
  <c r="AU43" i="56"/>
  <c r="AO43" i="56"/>
  <c r="G43" i="56"/>
  <c r="AU42" i="56"/>
  <c r="AO42" i="56"/>
  <c r="G42" i="56"/>
  <c r="AU41" i="56"/>
  <c r="AO41" i="56"/>
  <c r="G41" i="56"/>
  <c r="AU40" i="56"/>
  <c r="AO40" i="56"/>
  <c r="G40" i="56"/>
  <c r="AU39" i="56"/>
  <c r="AO39" i="56"/>
  <c r="G39" i="56"/>
  <c r="AU38" i="56"/>
  <c r="AO38" i="56"/>
  <c r="G38" i="56"/>
  <c r="AU37" i="56"/>
  <c r="AO37" i="56"/>
  <c r="K37" i="56"/>
  <c r="J37" i="56"/>
  <c r="I37" i="56"/>
  <c r="AQ46" i="56"/>
  <c r="K46" i="56"/>
  <c r="I46" i="56"/>
  <c r="AQ45" i="56"/>
  <c r="AQ44" i="56"/>
  <c r="K44" i="56"/>
  <c r="I44" i="56"/>
  <c r="AQ43" i="56"/>
  <c r="AQ42" i="56"/>
  <c r="K42" i="56"/>
  <c r="I42" i="56"/>
  <c r="AQ41" i="56"/>
  <c r="AQ40" i="56"/>
  <c r="AQ39" i="56"/>
  <c r="AQ38" i="56"/>
  <c r="AQ37" i="56"/>
  <c r="AN37" i="56" s="1"/>
  <c r="G37" i="56"/>
  <c r="AS46" i="56"/>
  <c r="AS45" i="56"/>
  <c r="AS44" i="56"/>
  <c r="AS43" i="56"/>
  <c r="AS42" i="56"/>
  <c r="AS41" i="56"/>
  <c r="AS40" i="56"/>
  <c r="AS39" i="56"/>
  <c r="AS38" i="56"/>
  <c r="AK46" i="56"/>
  <c r="W46" i="56"/>
  <c r="P46" i="56"/>
  <c r="M46" i="56"/>
  <c r="AK45" i="56"/>
  <c r="W45" i="56"/>
  <c r="J45" i="56" s="1"/>
  <c r="P45" i="56"/>
  <c r="AK44" i="56"/>
  <c r="AE44" i="56"/>
  <c r="W44" i="56"/>
  <c r="P44" i="56"/>
  <c r="M44" i="56"/>
  <c r="AK43" i="56"/>
  <c r="AE43" i="56"/>
  <c r="W43" i="56"/>
  <c r="J43" i="56" s="1"/>
  <c r="P43" i="56"/>
  <c r="AK42" i="56"/>
  <c r="AE42" i="56"/>
  <c r="W42" i="56"/>
  <c r="P42" i="56"/>
  <c r="M42" i="56"/>
  <c r="AK41" i="56"/>
  <c r="AE41" i="56"/>
  <c r="W41" i="56"/>
  <c r="J41" i="56" s="1"/>
  <c r="P41" i="56"/>
  <c r="AK40" i="56"/>
  <c r="W40" i="56"/>
  <c r="J40" i="56" s="1"/>
  <c r="P40" i="56"/>
  <c r="AK39" i="56"/>
  <c r="AE39" i="56"/>
  <c r="W39" i="56"/>
  <c r="J39" i="56" s="1"/>
  <c r="P39" i="56"/>
  <c r="AK38" i="56"/>
  <c r="AE38" i="56"/>
  <c r="W38" i="56"/>
  <c r="J38" i="56" s="1"/>
  <c r="P38" i="56"/>
  <c r="AK37" i="56"/>
  <c r="BG8" i="54" s="1"/>
  <c r="W37" i="56"/>
  <c r="Q37" i="56"/>
  <c r="R37" i="56" s="1"/>
  <c r="P37" i="56"/>
  <c r="AP46" i="56"/>
  <c r="AP45" i="56"/>
  <c r="AP44" i="56"/>
  <c r="AP43" i="56"/>
  <c r="AP42" i="56"/>
  <c r="AP41" i="56"/>
  <c r="AP40" i="56"/>
  <c r="AP39" i="56"/>
  <c r="AP38" i="56"/>
  <c r="AP37" i="56"/>
  <c r="AS31" i="56"/>
  <c r="AO31" i="56"/>
  <c r="G31" i="56"/>
  <c r="AS30" i="56"/>
  <c r="AO30" i="56"/>
  <c r="G30" i="56"/>
  <c r="AS29" i="56"/>
  <c r="AO29" i="56"/>
  <c r="G29" i="56"/>
  <c r="AK34" i="56"/>
  <c r="P34" i="56"/>
  <c r="AK33" i="56"/>
  <c r="AE33" i="56"/>
  <c r="P33" i="56"/>
  <c r="AK32" i="56"/>
  <c r="AE32" i="56"/>
  <c r="P32" i="56"/>
  <c r="AK31" i="56"/>
  <c r="P31" i="56"/>
  <c r="AK30" i="56"/>
  <c r="AE30" i="56"/>
  <c r="P30" i="56"/>
  <c r="AK29" i="56"/>
  <c r="AE29" i="56"/>
  <c r="P29" i="56"/>
  <c r="AK28" i="56"/>
  <c r="BF8" i="54" s="1"/>
  <c r="Q28" i="56"/>
  <c r="R28" i="56" s="1"/>
  <c r="P28" i="56"/>
  <c r="K28" i="56"/>
  <c r="I28" i="56"/>
  <c r="AQ34" i="56"/>
  <c r="G34" i="56"/>
  <c r="AQ33" i="56"/>
  <c r="G33" i="56"/>
  <c r="AQ32" i="56"/>
  <c r="G32" i="56"/>
  <c r="AQ31" i="56"/>
  <c r="AQ30" i="56"/>
  <c r="AQ29" i="56"/>
  <c r="AQ28" i="56"/>
  <c r="AN28" i="56" s="1"/>
  <c r="M28" i="56"/>
  <c r="AO34" i="56"/>
  <c r="E34" i="56"/>
  <c r="AO33" i="56"/>
  <c r="E33" i="56"/>
  <c r="AO32" i="56"/>
  <c r="E32" i="56"/>
  <c r="E31" i="56"/>
  <c r="E30" i="56"/>
  <c r="E29" i="56"/>
  <c r="E28" i="56"/>
  <c r="F34" i="56"/>
  <c r="F33" i="56"/>
  <c r="F32" i="56"/>
  <c r="AX271" i="50" l="1"/>
  <c r="AV84" i="50"/>
  <c r="HE31" i="54"/>
  <c r="HE97" i="54"/>
  <c r="HE25" i="54"/>
  <c r="HE241" i="54"/>
  <c r="HE200" i="54"/>
  <c r="HE159" i="54"/>
  <c r="HE112" i="54"/>
  <c r="HE65" i="54"/>
  <c r="HE24" i="54"/>
  <c r="HE240" i="54"/>
  <c r="HE20" i="54"/>
  <c r="HE15" i="54"/>
  <c r="HE267" i="54"/>
  <c r="HE256" i="54"/>
  <c r="HE245" i="54"/>
  <c r="HG245" i="54" s="1"/>
  <c r="HE56" i="54"/>
  <c r="HG56" i="54" s="1"/>
  <c r="HE51" i="54"/>
  <c r="HE40" i="54"/>
  <c r="HE29" i="54"/>
  <c r="HE60" i="54"/>
  <c r="HE61" i="54"/>
  <c r="HE92" i="54"/>
  <c r="HE87" i="54"/>
  <c r="HE76" i="54"/>
  <c r="HE101" i="54"/>
  <c r="HE96" i="54"/>
  <c r="HE133" i="54"/>
  <c r="HG133" i="54" s="1"/>
  <c r="HE128" i="54"/>
  <c r="HE123" i="54"/>
  <c r="HE148" i="54"/>
  <c r="HE137" i="54"/>
  <c r="HE132" i="54"/>
  <c r="HE169" i="54"/>
  <c r="HE164" i="54"/>
  <c r="HE195" i="54"/>
  <c r="HE184" i="54"/>
  <c r="HE173" i="54"/>
  <c r="HE168" i="54"/>
  <c r="HE205" i="54"/>
  <c r="HE236" i="54"/>
  <c r="HE231" i="54"/>
  <c r="HE220" i="54"/>
  <c r="HE209" i="54"/>
  <c r="HE204" i="54"/>
  <c r="HE198" i="54"/>
  <c r="HG198" i="54" s="1"/>
  <c r="HE239" i="54"/>
  <c r="HG239" i="54" s="1"/>
  <c r="HE23" i="54"/>
  <c r="HE70" i="54"/>
  <c r="HE117" i="54"/>
  <c r="HE158" i="54"/>
  <c r="HE199" i="54"/>
  <c r="HE84" i="54"/>
  <c r="HG84" i="54" s="1"/>
  <c r="HE125" i="54"/>
  <c r="HE172" i="54"/>
  <c r="HE219" i="54"/>
  <c r="HE260" i="54"/>
  <c r="HE44" i="54"/>
  <c r="HG44" i="54" s="1"/>
  <c r="HE85" i="54"/>
  <c r="HG85" i="54" s="1"/>
  <c r="HE162" i="54"/>
  <c r="HE203" i="54"/>
  <c r="HE250" i="54"/>
  <c r="HE34" i="54"/>
  <c r="HE81" i="54"/>
  <c r="HG81" i="54" s="1"/>
  <c r="HE122" i="54"/>
  <c r="HG122" i="54" s="1"/>
  <c r="HN122" i="54" s="1"/>
  <c r="HE163" i="54"/>
  <c r="HE264" i="54"/>
  <c r="HE48" i="54"/>
  <c r="HE89" i="54"/>
  <c r="HE136" i="54"/>
  <c r="HG136" i="54" s="1"/>
  <c r="HE183" i="54"/>
  <c r="HG183" i="54" s="1"/>
  <c r="HE224" i="54"/>
  <c r="HE265" i="54"/>
  <c r="HE49" i="54"/>
  <c r="HE126" i="54"/>
  <c r="HE167" i="54"/>
  <c r="HG167" i="54" s="1"/>
  <c r="HE214" i="54"/>
  <c r="HG214" i="54" s="1"/>
  <c r="HE261" i="54"/>
  <c r="HE45" i="54"/>
  <c r="HE86" i="54"/>
  <c r="HE127" i="54"/>
  <c r="HE228" i="54"/>
  <c r="HG228" i="54" s="1"/>
  <c r="HE12" i="54"/>
  <c r="HG12" i="54" s="1"/>
  <c r="HE53" i="54"/>
  <c r="HE100" i="54"/>
  <c r="HE147" i="54"/>
  <c r="HE188" i="54"/>
  <c r="HE229" i="54"/>
  <c r="HG229" i="54" s="1"/>
  <c r="HE13" i="54"/>
  <c r="HG13" i="54" s="1"/>
  <c r="HE90" i="54"/>
  <c r="HE131" i="54"/>
  <c r="HE178" i="54"/>
  <c r="HE225" i="54"/>
  <c r="HE266" i="54"/>
  <c r="HG266" i="54" s="1"/>
  <c r="HE50" i="54"/>
  <c r="HG50" i="54" s="1"/>
  <c r="HE91" i="54"/>
  <c r="HE192" i="54"/>
  <c r="HE233" i="54"/>
  <c r="HE17" i="54"/>
  <c r="HE64" i="54"/>
  <c r="HG64" i="54" s="1"/>
  <c r="HE111" i="54"/>
  <c r="HG111" i="54" s="1"/>
  <c r="HN111" i="54" s="1"/>
  <c r="HE152" i="54"/>
  <c r="HE193" i="54"/>
  <c r="HE54" i="54"/>
  <c r="HE95" i="54"/>
  <c r="HE142" i="54"/>
  <c r="HG142" i="54" s="1"/>
  <c r="HE189" i="54"/>
  <c r="HG189" i="54" s="1"/>
  <c r="HE230" i="54"/>
  <c r="HE14" i="54"/>
  <c r="HE55" i="54"/>
  <c r="HE156" i="54"/>
  <c r="HE197" i="54"/>
  <c r="HG197" i="54" s="1"/>
  <c r="HE244" i="54"/>
  <c r="HG244" i="54" s="1"/>
  <c r="HE28" i="54"/>
  <c r="HE75" i="54"/>
  <c r="HE116" i="54"/>
  <c r="HE157" i="54"/>
  <c r="HE234" i="54"/>
  <c r="HG234" i="54" s="1"/>
  <c r="HE18" i="54"/>
  <c r="HG18" i="54" s="1"/>
  <c r="HE59" i="54"/>
  <c r="HE106" i="54"/>
  <c r="HE153" i="54"/>
  <c r="HE194" i="54"/>
  <c r="HE235" i="54"/>
  <c r="HG235" i="54" s="1"/>
  <c r="HE19" i="54"/>
  <c r="HG19" i="54" s="1"/>
  <c r="HE120" i="54"/>
  <c r="HE161" i="54"/>
  <c r="HE208" i="54"/>
  <c r="HE255" i="54"/>
  <c r="HE39" i="54"/>
  <c r="HE80" i="54"/>
  <c r="HG80" i="54" s="1"/>
  <c r="HE121" i="54"/>
  <c r="HE78" i="54"/>
  <c r="HE119" i="54"/>
  <c r="HE166" i="54"/>
  <c r="HE213" i="54"/>
  <c r="HG213" i="54" s="1"/>
  <c r="HE254" i="54"/>
  <c r="HG254" i="54" s="1"/>
  <c r="HE38" i="54"/>
  <c r="HE79" i="54"/>
  <c r="HE258" i="54"/>
  <c r="HE42" i="54"/>
  <c r="HE83" i="54"/>
  <c r="HG83" i="54" s="1"/>
  <c r="HE130" i="54"/>
  <c r="HG130" i="54" s="1"/>
  <c r="HN130" i="54" s="1"/>
  <c r="HE177" i="54"/>
  <c r="HE218" i="54"/>
  <c r="HE259" i="54"/>
  <c r="HE43" i="54"/>
  <c r="HE222" i="54"/>
  <c r="HG222" i="54" s="1"/>
  <c r="HE263" i="54"/>
  <c r="HG263" i="54" s="1"/>
  <c r="HE47" i="54"/>
  <c r="HE94" i="54"/>
  <c r="HE141" i="54"/>
  <c r="HE182" i="54"/>
  <c r="HE223" i="54"/>
  <c r="HG223" i="54" s="1"/>
  <c r="HE186" i="54"/>
  <c r="HG186" i="54" s="1"/>
  <c r="HE227" i="54"/>
  <c r="HE11" i="54"/>
  <c r="HE58" i="54"/>
  <c r="HE105" i="54"/>
  <c r="HE146" i="54"/>
  <c r="HG146" i="54" s="1"/>
  <c r="HE187" i="54"/>
  <c r="HG187" i="54" s="1"/>
  <c r="HE150" i="54"/>
  <c r="HE191" i="54"/>
  <c r="HE238" i="54"/>
  <c r="HE22" i="54"/>
  <c r="HE69" i="54"/>
  <c r="HG69" i="54" s="1"/>
  <c r="HE110" i="54"/>
  <c r="HG110" i="54" s="1"/>
  <c r="HE151" i="54"/>
  <c r="HE114" i="54"/>
  <c r="HE155" i="54"/>
  <c r="HE202" i="54"/>
  <c r="HE249" i="54"/>
  <c r="HG249" i="54" s="1"/>
  <c r="HE33" i="54"/>
  <c r="HG33" i="54" s="1"/>
  <c r="HN33" i="54" s="1"/>
  <c r="HE74" i="54"/>
  <c r="HE115" i="54"/>
  <c r="HE252" i="54"/>
  <c r="HE36" i="54"/>
  <c r="HE77" i="54"/>
  <c r="HG77" i="54" s="1"/>
  <c r="HE124" i="54"/>
  <c r="HG124" i="54" s="1"/>
  <c r="HE171" i="54"/>
  <c r="HE212" i="54"/>
  <c r="HE253" i="54"/>
  <c r="HE37" i="54"/>
  <c r="HE174" i="54"/>
  <c r="HG174" i="54" s="1"/>
  <c r="HE215" i="54"/>
  <c r="HG215" i="54" s="1"/>
  <c r="HE262" i="54"/>
  <c r="HE46" i="54"/>
  <c r="HE93" i="54"/>
  <c r="HE134" i="54"/>
  <c r="HE175" i="54"/>
  <c r="HG175" i="54" s="1"/>
  <c r="HE216" i="54"/>
  <c r="HG216" i="54" s="1"/>
  <c r="HN216" i="54" s="1"/>
  <c r="HE257" i="54"/>
  <c r="HE41" i="54"/>
  <c r="HE88" i="54"/>
  <c r="HE135" i="54"/>
  <c r="HE176" i="54"/>
  <c r="HE217" i="54"/>
  <c r="HG217" i="54" s="1"/>
  <c r="HN217" i="54" s="1"/>
  <c r="HE138" i="54"/>
  <c r="HE179" i="54"/>
  <c r="HE226" i="54"/>
  <c r="HE10" i="54"/>
  <c r="HE57" i="54"/>
  <c r="HG57" i="54" s="1"/>
  <c r="HE98" i="54"/>
  <c r="HE139" i="54"/>
  <c r="HE180" i="54"/>
  <c r="HE221" i="54"/>
  <c r="HE268" i="54"/>
  <c r="HE52" i="54"/>
  <c r="HG52" i="54" s="1"/>
  <c r="HE99" i="54"/>
  <c r="HG99" i="54" s="1"/>
  <c r="HE140" i="54"/>
  <c r="HE181" i="54"/>
  <c r="HE102" i="54"/>
  <c r="HE143" i="54"/>
  <c r="HE190" i="54"/>
  <c r="HG190" i="54" s="1"/>
  <c r="HE237" i="54"/>
  <c r="HG237" i="54" s="1"/>
  <c r="HE21" i="54"/>
  <c r="HE62" i="54"/>
  <c r="HE103" i="54"/>
  <c r="HE144" i="54"/>
  <c r="HE185" i="54"/>
  <c r="HE232" i="54"/>
  <c r="HG232" i="54" s="1"/>
  <c r="HN232" i="54" s="1"/>
  <c r="HE16" i="54"/>
  <c r="HE63" i="54"/>
  <c r="HE104" i="54"/>
  <c r="HE145" i="54"/>
  <c r="HE66" i="54"/>
  <c r="HG66" i="54" s="1"/>
  <c r="HE107" i="54"/>
  <c r="HG107" i="54" s="1"/>
  <c r="HE154" i="54"/>
  <c r="HE201" i="54"/>
  <c r="HE242" i="54"/>
  <c r="HE26" i="54"/>
  <c r="HE67" i="54"/>
  <c r="HG67" i="54" s="1"/>
  <c r="HE108" i="54"/>
  <c r="HG108" i="54" s="1"/>
  <c r="HE149" i="54"/>
  <c r="HE196" i="54"/>
  <c r="HE243" i="54"/>
  <c r="HE27" i="54"/>
  <c r="HE68" i="54"/>
  <c r="HG68" i="54" s="1"/>
  <c r="HE109" i="54"/>
  <c r="HG109" i="54" s="1"/>
  <c r="HE246" i="54"/>
  <c r="HE30" i="54"/>
  <c r="HE71" i="54"/>
  <c r="HE118" i="54"/>
  <c r="HE165" i="54"/>
  <c r="HG165" i="54" s="1"/>
  <c r="HE206" i="54"/>
  <c r="HG206" i="54" s="1"/>
  <c r="HE247" i="54"/>
  <c r="HE72" i="54"/>
  <c r="HE113" i="54"/>
  <c r="HE160" i="54"/>
  <c r="HE207" i="54"/>
  <c r="HG207" i="54" s="1"/>
  <c r="HE248" i="54"/>
  <c r="HG248" i="54" s="1"/>
  <c r="HE32" i="54"/>
  <c r="HE73" i="54"/>
  <c r="HE210" i="54"/>
  <c r="HE251" i="54"/>
  <c r="HE35" i="54"/>
  <c r="HG35" i="54" s="1"/>
  <c r="HE82" i="54"/>
  <c r="HG82" i="54" s="1"/>
  <c r="HE129" i="54"/>
  <c r="HE170" i="54"/>
  <c r="HE211" i="54"/>
  <c r="HH22" i="54"/>
  <c r="HH58" i="54"/>
  <c r="HH94" i="54"/>
  <c r="HH130" i="54"/>
  <c r="HH166" i="54"/>
  <c r="HH202" i="54"/>
  <c r="HH238" i="54"/>
  <c r="HH11" i="54"/>
  <c r="HH47" i="54"/>
  <c r="HH83" i="54"/>
  <c r="HH119" i="54"/>
  <c r="HH155" i="54"/>
  <c r="HH191" i="54"/>
  <c r="HH227" i="54"/>
  <c r="HH263" i="54"/>
  <c r="HH42" i="54"/>
  <c r="HH78" i="54"/>
  <c r="HH114" i="54"/>
  <c r="HH150" i="54"/>
  <c r="HH186" i="54"/>
  <c r="HH222" i="54"/>
  <c r="HH258" i="54"/>
  <c r="HH37" i="54"/>
  <c r="HH73" i="54"/>
  <c r="HH109" i="54"/>
  <c r="HH145" i="54"/>
  <c r="HH181" i="54"/>
  <c r="HH217" i="54"/>
  <c r="HH253" i="54"/>
  <c r="HH32" i="54"/>
  <c r="HH68" i="54"/>
  <c r="HH104" i="54"/>
  <c r="HH140" i="54"/>
  <c r="HH176" i="54"/>
  <c r="HH212" i="54"/>
  <c r="HH248" i="54"/>
  <c r="HH105" i="54"/>
  <c r="HH28" i="54"/>
  <c r="HH64" i="54"/>
  <c r="HH100" i="54"/>
  <c r="HH136" i="54"/>
  <c r="HH172" i="54"/>
  <c r="HH208" i="54"/>
  <c r="HH244" i="54"/>
  <c r="HH17" i="54"/>
  <c r="HH53" i="54"/>
  <c r="HH89" i="54"/>
  <c r="HH125" i="54"/>
  <c r="HH161" i="54"/>
  <c r="HH197" i="54"/>
  <c r="HH233" i="54"/>
  <c r="HH12" i="54"/>
  <c r="HH48" i="54"/>
  <c r="HH84" i="54"/>
  <c r="HH120" i="54"/>
  <c r="HH156" i="54"/>
  <c r="HH192" i="54"/>
  <c r="HH228" i="54"/>
  <c r="HH264" i="54"/>
  <c r="HH43" i="54"/>
  <c r="HH79" i="54"/>
  <c r="HH115" i="54"/>
  <c r="HH151" i="54"/>
  <c r="HH187" i="54"/>
  <c r="HH223" i="54"/>
  <c r="HH259" i="54"/>
  <c r="HH38" i="54"/>
  <c r="HH74" i="54"/>
  <c r="HH110" i="54"/>
  <c r="HH146" i="54"/>
  <c r="HH182" i="54"/>
  <c r="HH218" i="54"/>
  <c r="HH254" i="54"/>
  <c r="HH34" i="54"/>
  <c r="HH70" i="54"/>
  <c r="HH106" i="54"/>
  <c r="HH142" i="54"/>
  <c r="HH40" i="54"/>
  <c r="HH10" i="54"/>
  <c r="HH46" i="54"/>
  <c r="HH82" i="54"/>
  <c r="HH118" i="54"/>
  <c r="HH16" i="54"/>
  <c r="HH52" i="54"/>
  <c r="HH88" i="54"/>
  <c r="HH124" i="54"/>
  <c r="HH160" i="54"/>
  <c r="HH196" i="54"/>
  <c r="HH232" i="54"/>
  <c r="HH268" i="54"/>
  <c r="HH41" i="54"/>
  <c r="HH77" i="54"/>
  <c r="HH113" i="54"/>
  <c r="HH149" i="54"/>
  <c r="HH185" i="54"/>
  <c r="HH221" i="54"/>
  <c r="HH257" i="54"/>
  <c r="HH36" i="54"/>
  <c r="HH72" i="54"/>
  <c r="HH108" i="54"/>
  <c r="HH144" i="54"/>
  <c r="HH180" i="54"/>
  <c r="HH216" i="54"/>
  <c r="HH252" i="54"/>
  <c r="HH31" i="54"/>
  <c r="HH67" i="54"/>
  <c r="HH103" i="54"/>
  <c r="HH139" i="54"/>
  <c r="HH175" i="54"/>
  <c r="HH211" i="54"/>
  <c r="HH247" i="54"/>
  <c r="HH26" i="54"/>
  <c r="HH62" i="54"/>
  <c r="HH98" i="54"/>
  <c r="HH134" i="54"/>
  <c r="HH170" i="54"/>
  <c r="HH206" i="54"/>
  <c r="HH242" i="54"/>
  <c r="HH69" i="54"/>
  <c r="HH39" i="54"/>
  <c r="HH255" i="54"/>
  <c r="HH225" i="54"/>
  <c r="HH159" i="54"/>
  <c r="HH93" i="54"/>
  <c r="HH63" i="54"/>
  <c r="HH76" i="54"/>
  <c r="HH190" i="54"/>
  <c r="HH262" i="54"/>
  <c r="HH71" i="54"/>
  <c r="HH143" i="54"/>
  <c r="HH215" i="54"/>
  <c r="HH30" i="54"/>
  <c r="HH102" i="54"/>
  <c r="HH174" i="54"/>
  <c r="HH246" i="54"/>
  <c r="HH61" i="54"/>
  <c r="HH133" i="54"/>
  <c r="HH205" i="54"/>
  <c r="HH20" i="54"/>
  <c r="HH92" i="54"/>
  <c r="HH164" i="54"/>
  <c r="HH236" i="54"/>
  <c r="HH213" i="54"/>
  <c r="HH219" i="54"/>
  <c r="HH261" i="54"/>
  <c r="HH231" i="54"/>
  <c r="HH201" i="54"/>
  <c r="HH207" i="54"/>
  <c r="HH112" i="54"/>
  <c r="HH214" i="54"/>
  <c r="HH23" i="54"/>
  <c r="HH95" i="54"/>
  <c r="HH167" i="54"/>
  <c r="HH239" i="54"/>
  <c r="HH54" i="54"/>
  <c r="HH126" i="54"/>
  <c r="HH198" i="54"/>
  <c r="HH13" i="54"/>
  <c r="HH85" i="54"/>
  <c r="HH157" i="54"/>
  <c r="HH229" i="54"/>
  <c r="HH44" i="54"/>
  <c r="HH116" i="54"/>
  <c r="HH188" i="54"/>
  <c r="HH260" i="54"/>
  <c r="HH249" i="54"/>
  <c r="HH45" i="54"/>
  <c r="HH15" i="54"/>
  <c r="HH267" i="54"/>
  <c r="HH237" i="54"/>
  <c r="HH243" i="54"/>
  <c r="HH148" i="54"/>
  <c r="HH220" i="54"/>
  <c r="HH29" i="54"/>
  <c r="HH101" i="54"/>
  <c r="HH173" i="54"/>
  <c r="HH245" i="54"/>
  <c r="HH60" i="54"/>
  <c r="HH132" i="54"/>
  <c r="HH204" i="54"/>
  <c r="HH19" i="54"/>
  <c r="HH91" i="54"/>
  <c r="HH163" i="54"/>
  <c r="HH235" i="54"/>
  <c r="HH50" i="54"/>
  <c r="HH122" i="54"/>
  <c r="HH194" i="54"/>
  <c r="HH266" i="54"/>
  <c r="HH75" i="54"/>
  <c r="HH81" i="54"/>
  <c r="HH51" i="54"/>
  <c r="HH21" i="54"/>
  <c r="HH27" i="54"/>
  <c r="HH154" i="54"/>
  <c r="HH226" i="54"/>
  <c r="HH35" i="54"/>
  <c r="HH107" i="54"/>
  <c r="HH179" i="54"/>
  <c r="HH251" i="54"/>
  <c r="HH66" i="54"/>
  <c r="HH138" i="54"/>
  <c r="HH210" i="54"/>
  <c r="HH25" i="54"/>
  <c r="HH97" i="54"/>
  <c r="HH169" i="54"/>
  <c r="HH241" i="54"/>
  <c r="HH56" i="54"/>
  <c r="HH128" i="54"/>
  <c r="HH200" i="54"/>
  <c r="HH33" i="54"/>
  <c r="HH111" i="54"/>
  <c r="HH117" i="54"/>
  <c r="HH87" i="54"/>
  <c r="HH57" i="54"/>
  <c r="HH99" i="54"/>
  <c r="HH178" i="54"/>
  <c r="HH250" i="54"/>
  <c r="HH59" i="54"/>
  <c r="HH131" i="54"/>
  <c r="HH203" i="54"/>
  <c r="HH18" i="54"/>
  <c r="HH90" i="54"/>
  <c r="HH162" i="54"/>
  <c r="HH234" i="54"/>
  <c r="HH49" i="54"/>
  <c r="HH121" i="54"/>
  <c r="HH193" i="54"/>
  <c r="HH265" i="54"/>
  <c r="HH80" i="54"/>
  <c r="HH152" i="54"/>
  <c r="HH224" i="54"/>
  <c r="HH141" i="54"/>
  <c r="HH147" i="54"/>
  <c r="HH153" i="54"/>
  <c r="HH123" i="54"/>
  <c r="HH129" i="54"/>
  <c r="HH135" i="54"/>
  <c r="HH184" i="54"/>
  <c r="HH256" i="54"/>
  <c r="HH65" i="54"/>
  <c r="HH137" i="54"/>
  <c r="HH209" i="54"/>
  <c r="HH24" i="54"/>
  <c r="HH96" i="54"/>
  <c r="HH168" i="54"/>
  <c r="HH240" i="54"/>
  <c r="HH55" i="54"/>
  <c r="HH127" i="54"/>
  <c r="HH199" i="54"/>
  <c r="HH14" i="54"/>
  <c r="HH86" i="54"/>
  <c r="HH158" i="54"/>
  <c r="HH230" i="54"/>
  <c r="HH177" i="54"/>
  <c r="HH183" i="54"/>
  <c r="HH189" i="54"/>
  <c r="HH195" i="54"/>
  <c r="HH165" i="54"/>
  <c r="HH171" i="54"/>
  <c r="HF12" i="54"/>
  <c r="HF48" i="54"/>
  <c r="HF84" i="54"/>
  <c r="HF120" i="54"/>
  <c r="HF156" i="54"/>
  <c r="HF192" i="54"/>
  <c r="HF228" i="54"/>
  <c r="HF264" i="54"/>
  <c r="HF43" i="54"/>
  <c r="HF79" i="54"/>
  <c r="HF115" i="54"/>
  <c r="HF151" i="54"/>
  <c r="HF187" i="54"/>
  <c r="HF223" i="54"/>
  <c r="HF259" i="54"/>
  <c r="HF38" i="54"/>
  <c r="HF74" i="54"/>
  <c r="HF110" i="54"/>
  <c r="HF146" i="54"/>
  <c r="HF182" i="54"/>
  <c r="HF218" i="54"/>
  <c r="HF254" i="54"/>
  <c r="HF33" i="54"/>
  <c r="HF69" i="54"/>
  <c r="HF105" i="54"/>
  <c r="HF141" i="54"/>
  <c r="HF177" i="54"/>
  <c r="HF213" i="54"/>
  <c r="HF249" i="54"/>
  <c r="HF22" i="54"/>
  <c r="HF58" i="54"/>
  <c r="HF94" i="54"/>
  <c r="HF130" i="54"/>
  <c r="HF166" i="54"/>
  <c r="HF202" i="54"/>
  <c r="HF238" i="54"/>
  <c r="HF11" i="54"/>
  <c r="HF47" i="54"/>
  <c r="HF83" i="54"/>
  <c r="HF119" i="54"/>
  <c r="HF155" i="54"/>
  <c r="HF191" i="54"/>
  <c r="HF42" i="54"/>
  <c r="HF90" i="54"/>
  <c r="HF132" i="54"/>
  <c r="HF174" i="54"/>
  <c r="HF216" i="54"/>
  <c r="HF258" i="54"/>
  <c r="HF49" i="54"/>
  <c r="HF91" i="54"/>
  <c r="HF133" i="54"/>
  <c r="HF175" i="54"/>
  <c r="HF217" i="54"/>
  <c r="HF265" i="54"/>
  <c r="HF50" i="54"/>
  <c r="HF92" i="54"/>
  <c r="HF134" i="54"/>
  <c r="HF176" i="54"/>
  <c r="HF224" i="54"/>
  <c r="HF266" i="54"/>
  <c r="HF51" i="54"/>
  <c r="HF93" i="54"/>
  <c r="HF135" i="54"/>
  <c r="HF183" i="54"/>
  <c r="HF225" i="54"/>
  <c r="HF267" i="54"/>
  <c r="HF46" i="54"/>
  <c r="HF88" i="54"/>
  <c r="HF136" i="54"/>
  <c r="HF178" i="54"/>
  <c r="HF220" i="54"/>
  <c r="HF262" i="54"/>
  <c r="HF41" i="54"/>
  <c r="HF89" i="54"/>
  <c r="HF131" i="54"/>
  <c r="HF173" i="54"/>
  <c r="HF215" i="54"/>
  <c r="HF251" i="54"/>
  <c r="HF54" i="54"/>
  <c r="HF96" i="54"/>
  <c r="HF138" i="54"/>
  <c r="HF180" i="54"/>
  <c r="HF222" i="54"/>
  <c r="HF13" i="54"/>
  <c r="HF55" i="54"/>
  <c r="HF97" i="54"/>
  <c r="HF139" i="54"/>
  <c r="HF181" i="54"/>
  <c r="HF229" i="54"/>
  <c r="HF14" i="54"/>
  <c r="HF56" i="54"/>
  <c r="HF98" i="54"/>
  <c r="HF140" i="54"/>
  <c r="HF188" i="54"/>
  <c r="HF230" i="54"/>
  <c r="HF15" i="54"/>
  <c r="HF57" i="54"/>
  <c r="HF99" i="54"/>
  <c r="HF147" i="54"/>
  <c r="HF189" i="54"/>
  <c r="HF231" i="54"/>
  <c r="HF10" i="54"/>
  <c r="HF52" i="54"/>
  <c r="HF100" i="54"/>
  <c r="HF142" i="54"/>
  <c r="HF184" i="54"/>
  <c r="HF226" i="54"/>
  <c r="HF268" i="54"/>
  <c r="HF53" i="54"/>
  <c r="HF95" i="54"/>
  <c r="HF137" i="54"/>
  <c r="HF179" i="54"/>
  <c r="HF221" i="54"/>
  <c r="HF257" i="54"/>
  <c r="HF18" i="54"/>
  <c r="HF60" i="54"/>
  <c r="HF102" i="54"/>
  <c r="HF144" i="54"/>
  <c r="HF186" i="54"/>
  <c r="HF234" i="54"/>
  <c r="HF19" i="54"/>
  <c r="HF61" i="54"/>
  <c r="HF103" i="54"/>
  <c r="HF145" i="54"/>
  <c r="HF193" i="54"/>
  <c r="HF235" i="54"/>
  <c r="HF20" i="54"/>
  <c r="HF62" i="54"/>
  <c r="HF104" i="54"/>
  <c r="HF152" i="54"/>
  <c r="HF194" i="54"/>
  <c r="HF236" i="54"/>
  <c r="HF21" i="54"/>
  <c r="HF63" i="54"/>
  <c r="HF111" i="54"/>
  <c r="HF153" i="54"/>
  <c r="HF195" i="54"/>
  <c r="HF237" i="54"/>
  <c r="HF16" i="54"/>
  <c r="HF64" i="54"/>
  <c r="HF106" i="54"/>
  <c r="HF148" i="54"/>
  <c r="HF190" i="54"/>
  <c r="HF232" i="54"/>
  <c r="HF17" i="54"/>
  <c r="HF59" i="54"/>
  <c r="HF101" i="54"/>
  <c r="HF143" i="54"/>
  <c r="HF185" i="54"/>
  <c r="HF227" i="54"/>
  <c r="HF263" i="54"/>
  <c r="HF24" i="54"/>
  <c r="HF66" i="54"/>
  <c r="HF108" i="54"/>
  <c r="HF150" i="54"/>
  <c r="HF198" i="54"/>
  <c r="HF240" i="54"/>
  <c r="HF25" i="54"/>
  <c r="HF67" i="54"/>
  <c r="HF109" i="54"/>
  <c r="HF157" i="54"/>
  <c r="HF199" i="54"/>
  <c r="HF241" i="54"/>
  <c r="HF26" i="54"/>
  <c r="HF68" i="54"/>
  <c r="HF116" i="54"/>
  <c r="HF158" i="54"/>
  <c r="HF200" i="54"/>
  <c r="HF242" i="54"/>
  <c r="HF27" i="54"/>
  <c r="HF75" i="54"/>
  <c r="HF117" i="54"/>
  <c r="HF159" i="54"/>
  <c r="HF201" i="54"/>
  <c r="HF243" i="54"/>
  <c r="HF28" i="54"/>
  <c r="HF70" i="54"/>
  <c r="HF112" i="54"/>
  <c r="HF154" i="54"/>
  <c r="HF196" i="54"/>
  <c r="HF244" i="54"/>
  <c r="HF23" i="54"/>
  <c r="HF65" i="54"/>
  <c r="HF107" i="54"/>
  <c r="HF149" i="54"/>
  <c r="HF197" i="54"/>
  <c r="HF233" i="54"/>
  <c r="HK5" i="54"/>
  <c r="HF30" i="54"/>
  <c r="HF72" i="54"/>
  <c r="HF114" i="54"/>
  <c r="HF162" i="54"/>
  <c r="HF204" i="54"/>
  <c r="HF246" i="54"/>
  <c r="HF31" i="54"/>
  <c r="HF73" i="54"/>
  <c r="HF121" i="54"/>
  <c r="HF163" i="54"/>
  <c r="HF205" i="54"/>
  <c r="HF247" i="54"/>
  <c r="HF32" i="54"/>
  <c r="HF80" i="54"/>
  <c r="HF122" i="54"/>
  <c r="HF164" i="54"/>
  <c r="HF206" i="54"/>
  <c r="HF248" i="54"/>
  <c r="HF39" i="54"/>
  <c r="HF81" i="54"/>
  <c r="HF123" i="54"/>
  <c r="HF165" i="54"/>
  <c r="HF207" i="54"/>
  <c r="HF255" i="54"/>
  <c r="HF34" i="54"/>
  <c r="HF76" i="54"/>
  <c r="HF118" i="54"/>
  <c r="HF160" i="54"/>
  <c r="HF208" i="54"/>
  <c r="HF250" i="54"/>
  <c r="HF29" i="54"/>
  <c r="HF71" i="54"/>
  <c r="HF113" i="54"/>
  <c r="HF161" i="54"/>
  <c r="HF203" i="54"/>
  <c r="HF239" i="54"/>
  <c r="HF36" i="54"/>
  <c r="HF78" i="54"/>
  <c r="HF126" i="54"/>
  <c r="HF168" i="54"/>
  <c r="HF210" i="54"/>
  <c r="HF252" i="54"/>
  <c r="HF37" i="54"/>
  <c r="HF85" i="54"/>
  <c r="HF127" i="54"/>
  <c r="HF169" i="54"/>
  <c r="HF211" i="54"/>
  <c r="HF253" i="54"/>
  <c r="HF44" i="54"/>
  <c r="HF86" i="54"/>
  <c r="HF128" i="54"/>
  <c r="HF170" i="54"/>
  <c r="HF212" i="54"/>
  <c r="HF260" i="54"/>
  <c r="HF45" i="54"/>
  <c r="HF87" i="54"/>
  <c r="HF129" i="54"/>
  <c r="HF171" i="54"/>
  <c r="HF219" i="54"/>
  <c r="HF261" i="54"/>
  <c r="HF40" i="54"/>
  <c r="HF82" i="54"/>
  <c r="HF124" i="54"/>
  <c r="HF172" i="54"/>
  <c r="HF214" i="54"/>
  <c r="HF256" i="54"/>
  <c r="HF35" i="54"/>
  <c r="HF77" i="54"/>
  <c r="HF125" i="54"/>
  <c r="HF167" i="54"/>
  <c r="HF209" i="54"/>
  <c r="HF245" i="54"/>
  <c r="DJ3" i="54"/>
  <c r="DJ5" i="54"/>
  <c r="DK3" i="54"/>
  <c r="DK5" i="54"/>
  <c r="DL3" i="54"/>
  <c r="DL5" i="54"/>
  <c r="DM3" i="54"/>
  <c r="DU6" i="54"/>
  <c r="DM5" i="54"/>
  <c r="DO3" i="54"/>
  <c r="M36" i="54" a="1"/>
  <c r="M36" i="54" s="1"/>
  <c r="DM7" i="54"/>
  <c r="M35" i="54" a="1"/>
  <c r="M35" i="54" s="1"/>
  <c r="BF15" i="54"/>
  <c r="BF20" i="54"/>
  <c r="BF21" i="54"/>
  <c r="BF11" i="54"/>
  <c r="BF9" i="54" a="1"/>
  <c r="BF9" i="54" s="1"/>
  <c r="BF14" i="54"/>
  <c r="BF13" i="54"/>
  <c r="BF16" i="54"/>
  <c r="BF18" i="54"/>
  <c r="DJ7" i="54"/>
  <c r="BF19" i="54"/>
  <c r="BF10" i="54" a="1"/>
  <c r="BF10" i="54" s="1"/>
  <c r="M37" i="54" a="1"/>
  <c r="M37" i="54" s="1"/>
  <c r="HI26" i="54"/>
  <c r="HI62" i="54"/>
  <c r="HI98" i="54"/>
  <c r="HI134" i="54"/>
  <c r="HI170" i="54"/>
  <c r="HI206" i="54"/>
  <c r="HI242" i="54"/>
  <c r="HI21" i="54"/>
  <c r="HI57" i="54"/>
  <c r="HI93" i="54"/>
  <c r="HI129" i="54"/>
  <c r="HI165" i="54"/>
  <c r="HI201" i="54"/>
  <c r="HI237" i="54"/>
  <c r="HI10" i="54"/>
  <c r="HI46" i="54"/>
  <c r="HI82" i="54"/>
  <c r="HI32" i="54"/>
  <c r="HI74" i="54"/>
  <c r="HI116" i="54"/>
  <c r="HI158" i="54"/>
  <c r="HI200" i="54"/>
  <c r="HI248" i="54"/>
  <c r="HI33" i="54"/>
  <c r="HI75" i="54"/>
  <c r="HI117" i="54"/>
  <c r="HI159" i="54"/>
  <c r="HI207" i="54"/>
  <c r="HI249" i="54"/>
  <c r="HI28" i="54"/>
  <c r="HI70" i="54"/>
  <c r="HI112" i="54"/>
  <c r="HI148" i="54"/>
  <c r="HI184" i="54"/>
  <c r="HI220" i="54"/>
  <c r="HI256" i="54"/>
  <c r="HI29" i="54"/>
  <c r="HI65" i="54"/>
  <c r="HI101" i="54"/>
  <c r="HI137" i="54"/>
  <c r="HI173" i="54"/>
  <c r="HI209" i="54"/>
  <c r="HI245" i="54"/>
  <c r="HI24" i="54"/>
  <c r="HI60" i="54"/>
  <c r="HI96" i="54"/>
  <c r="HI132" i="54"/>
  <c r="HI168" i="54"/>
  <c r="HI204" i="54"/>
  <c r="HI240" i="54"/>
  <c r="HI19" i="54"/>
  <c r="HI55" i="54"/>
  <c r="HI91" i="54"/>
  <c r="HI127" i="54"/>
  <c r="HI44" i="54"/>
  <c r="HI86" i="54"/>
  <c r="HI128" i="54"/>
  <c r="HI176" i="54"/>
  <c r="HI218" i="54"/>
  <c r="HI260" i="54"/>
  <c r="HI45" i="54"/>
  <c r="HI87" i="54"/>
  <c r="HI135" i="54"/>
  <c r="HI177" i="54"/>
  <c r="HI219" i="54"/>
  <c r="HI261" i="54"/>
  <c r="HI40" i="54"/>
  <c r="HI88" i="54"/>
  <c r="HI124" i="54"/>
  <c r="HI160" i="54"/>
  <c r="HI196" i="54"/>
  <c r="HI232" i="54"/>
  <c r="HI268" i="54"/>
  <c r="HI41" i="54"/>
  <c r="HI77" i="54"/>
  <c r="HI113" i="54"/>
  <c r="HI149" i="54"/>
  <c r="HI185" i="54"/>
  <c r="HI221" i="54"/>
  <c r="HI257" i="54"/>
  <c r="HI36" i="54"/>
  <c r="HI72" i="54"/>
  <c r="HI108" i="54"/>
  <c r="HI144" i="54"/>
  <c r="HI180" i="54"/>
  <c r="HI216" i="54"/>
  <c r="HI252" i="54"/>
  <c r="HI31" i="54"/>
  <c r="HI67" i="54"/>
  <c r="HI103" i="54"/>
  <c r="HI50" i="54"/>
  <c r="HI92" i="54"/>
  <c r="HI140" i="54"/>
  <c r="HI182" i="54"/>
  <c r="HI224" i="54"/>
  <c r="HI266" i="54"/>
  <c r="HI51" i="54"/>
  <c r="HI99" i="54"/>
  <c r="HI141" i="54"/>
  <c r="HI14" i="54"/>
  <c r="HI56" i="54"/>
  <c r="HI104" i="54"/>
  <c r="HI146" i="54"/>
  <c r="HI188" i="54"/>
  <c r="HI230" i="54"/>
  <c r="HI15" i="54"/>
  <c r="HI63" i="54"/>
  <c r="HI105" i="54"/>
  <c r="HI147" i="54"/>
  <c r="HI20" i="54"/>
  <c r="HI68" i="54"/>
  <c r="HI110" i="54"/>
  <c r="HI152" i="54"/>
  <c r="HI194" i="54"/>
  <c r="HI236" i="54"/>
  <c r="HI27" i="54"/>
  <c r="HI69" i="54"/>
  <c r="HI111" i="54"/>
  <c r="HI153" i="54"/>
  <c r="HI195" i="54"/>
  <c r="HI243" i="54"/>
  <c r="HI22" i="54"/>
  <c r="HI64" i="54"/>
  <c r="HI106" i="54"/>
  <c r="HI142" i="54"/>
  <c r="HI178" i="54"/>
  <c r="HI214" i="54"/>
  <c r="HI250" i="54"/>
  <c r="HI23" i="54"/>
  <c r="HI59" i="54"/>
  <c r="HI95" i="54"/>
  <c r="HI131" i="54"/>
  <c r="HI167" i="54"/>
  <c r="HI203" i="54"/>
  <c r="HI239" i="54"/>
  <c r="HI18" i="54"/>
  <c r="HI54" i="54"/>
  <c r="HI90" i="54"/>
  <c r="HI126" i="54"/>
  <c r="HI162" i="54"/>
  <c r="HI198" i="54"/>
  <c r="HI234" i="54"/>
  <c r="HI13" i="54"/>
  <c r="HI49" i="54"/>
  <c r="HI85" i="54"/>
  <c r="HI121" i="54"/>
  <c r="HI157" i="54"/>
  <c r="HI193" i="54"/>
  <c r="HI229" i="54"/>
  <c r="HI265" i="54"/>
  <c r="HI38" i="54"/>
  <c r="HI39" i="54"/>
  <c r="HI213" i="54"/>
  <c r="HI34" i="54"/>
  <c r="HI118" i="54"/>
  <c r="HI190" i="54"/>
  <c r="HI262" i="54"/>
  <c r="HI71" i="54"/>
  <c r="HI143" i="54"/>
  <c r="HI215" i="54"/>
  <c r="HI30" i="54"/>
  <c r="HI102" i="54"/>
  <c r="HI174" i="54"/>
  <c r="HI246" i="54"/>
  <c r="HI61" i="54"/>
  <c r="HI133" i="54"/>
  <c r="HI175" i="54"/>
  <c r="HI217" i="54"/>
  <c r="HI259" i="54"/>
  <c r="HI80" i="54"/>
  <c r="HI81" i="54"/>
  <c r="HI225" i="54"/>
  <c r="HI52" i="54"/>
  <c r="HI130" i="54"/>
  <c r="HI202" i="54"/>
  <c r="HI11" i="54"/>
  <c r="HI83" i="54"/>
  <c r="HI155" i="54"/>
  <c r="HI227" i="54"/>
  <c r="HI42" i="54"/>
  <c r="HI114" i="54"/>
  <c r="HI186" i="54"/>
  <c r="HI258" i="54"/>
  <c r="HI73" i="54"/>
  <c r="HI139" i="54"/>
  <c r="HI181" i="54"/>
  <c r="HI223" i="54"/>
  <c r="HI122" i="54"/>
  <c r="HI123" i="54"/>
  <c r="HI231" i="54"/>
  <c r="HI58" i="54"/>
  <c r="HI136" i="54"/>
  <c r="HI208" i="54"/>
  <c r="HI17" i="54"/>
  <c r="HI89" i="54"/>
  <c r="HI161" i="54"/>
  <c r="HI233" i="54"/>
  <c r="HI48" i="54"/>
  <c r="HI120" i="54"/>
  <c r="HI192" i="54"/>
  <c r="HI264" i="54"/>
  <c r="HI79" i="54"/>
  <c r="HI145" i="54"/>
  <c r="HI187" i="54"/>
  <c r="HI235" i="54"/>
  <c r="HI164" i="54"/>
  <c r="HI171" i="54"/>
  <c r="HI255" i="54"/>
  <c r="HI76" i="54"/>
  <c r="HI154" i="54"/>
  <c r="HI226" i="54"/>
  <c r="HI35" i="54"/>
  <c r="HI107" i="54"/>
  <c r="HI179" i="54"/>
  <c r="HI251" i="54"/>
  <c r="HI66" i="54"/>
  <c r="HI138" i="54"/>
  <c r="HI210" i="54"/>
  <c r="HI25" i="54"/>
  <c r="HI97" i="54"/>
  <c r="HI151" i="54"/>
  <c r="HI199" i="54"/>
  <c r="HI241" i="54"/>
  <c r="HI212" i="54"/>
  <c r="HI183" i="54"/>
  <c r="HI267" i="54"/>
  <c r="HI94" i="54"/>
  <c r="HI166" i="54"/>
  <c r="HI238" i="54"/>
  <c r="HI47" i="54"/>
  <c r="HI119" i="54"/>
  <c r="HI191" i="54"/>
  <c r="HI263" i="54"/>
  <c r="HI78" i="54"/>
  <c r="HI150" i="54"/>
  <c r="HI222" i="54"/>
  <c r="HI37" i="54"/>
  <c r="HI109" i="54"/>
  <c r="HI163" i="54"/>
  <c r="HI205" i="54"/>
  <c r="HI247" i="54"/>
  <c r="HI254" i="54"/>
  <c r="HI189" i="54"/>
  <c r="HI16" i="54"/>
  <c r="HI100" i="54"/>
  <c r="HI172" i="54"/>
  <c r="HI244" i="54"/>
  <c r="HI53" i="54"/>
  <c r="HI125" i="54"/>
  <c r="HI197" i="54"/>
  <c r="HI12" i="54"/>
  <c r="HI84" i="54"/>
  <c r="HI156" i="54"/>
  <c r="HI228" i="54"/>
  <c r="HI43" i="54"/>
  <c r="HI115" i="54"/>
  <c r="HI169" i="54"/>
  <c r="HI211" i="54"/>
  <c r="HI253" i="54"/>
  <c r="HG200" i="54"/>
  <c r="HG31" i="54"/>
  <c r="HG112" i="54"/>
  <c r="HG159" i="54"/>
  <c r="HG204" i="54"/>
  <c r="HG60" i="54"/>
  <c r="HG101" i="54"/>
  <c r="HG29" i="54"/>
  <c r="HG243" i="54"/>
  <c r="HG177" i="54"/>
  <c r="HG224" i="54"/>
  <c r="HG59" i="54"/>
  <c r="HG104" i="54"/>
  <c r="HG27" i="54"/>
  <c r="HG218" i="54"/>
  <c r="HN218" i="54" s="1"/>
  <c r="HG265" i="54"/>
  <c r="HN265" i="54" s="1"/>
  <c r="HG264" i="54"/>
  <c r="HG106" i="54"/>
  <c r="HG129" i="54"/>
  <c r="HG145" i="54"/>
  <c r="HG144" i="54"/>
  <c r="HG262" i="54"/>
  <c r="HG259" i="54"/>
  <c r="HN259" i="54" s="1"/>
  <c r="HG258" i="54"/>
  <c r="HG49" i="54"/>
  <c r="HG48" i="54"/>
  <c r="HG153" i="54"/>
  <c r="HG170" i="54"/>
  <c r="HG185" i="54"/>
  <c r="HN185" i="54" s="1"/>
  <c r="HG125" i="54"/>
  <c r="HG46" i="54"/>
  <c r="HG43" i="54"/>
  <c r="HG42" i="54"/>
  <c r="HG89" i="54"/>
  <c r="HG194" i="54"/>
  <c r="HN194" i="54" s="1"/>
  <c r="HG211" i="54"/>
  <c r="HG210" i="54"/>
  <c r="HG38" i="54"/>
  <c r="HG93" i="54"/>
  <c r="HG149" i="54"/>
  <c r="HG251" i="54"/>
  <c r="HN251" i="54" s="1"/>
  <c r="HG16" i="54"/>
  <c r="HG79" i="54"/>
  <c r="HG78" i="54"/>
  <c r="HG219" i="54"/>
  <c r="HG134" i="54"/>
  <c r="HG196" i="54"/>
  <c r="HN196" i="54" s="1"/>
  <c r="HG63" i="54"/>
  <c r="HG119" i="54"/>
  <c r="HG260" i="54"/>
  <c r="HG166" i="54"/>
  <c r="HG154" i="54"/>
  <c r="HG257" i="54"/>
  <c r="HN257" i="54" s="1"/>
  <c r="HG191" i="54"/>
  <c r="HG121" i="54"/>
  <c r="HN121" i="54" s="1"/>
  <c r="HG120" i="54"/>
  <c r="HN120" i="54" s="1"/>
  <c r="HG91" i="54"/>
  <c r="HG90" i="54"/>
  <c r="HG201" i="54"/>
  <c r="HG41" i="54"/>
  <c r="HG238" i="54"/>
  <c r="HG172" i="54"/>
  <c r="HN172" i="54" s="1"/>
  <c r="HG230" i="54"/>
  <c r="HG247" i="54"/>
  <c r="HG246" i="54"/>
  <c r="HG140" i="54"/>
  <c r="HG74" i="54"/>
  <c r="HG161" i="54"/>
  <c r="HG131" i="54"/>
  <c r="HG242" i="54"/>
  <c r="HG88" i="54"/>
  <c r="HG22" i="54"/>
  <c r="HN22" i="54" s="1"/>
  <c r="HG14" i="54"/>
  <c r="HG30" i="54"/>
  <c r="HN30" i="54" s="1"/>
  <c r="HG181" i="54"/>
  <c r="HG180" i="54"/>
  <c r="HN180" i="54" s="1"/>
  <c r="HG115" i="54"/>
  <c r="HG114" i="54"/>
  <c r="HN114" i="54" s="1"/>
  <c r="HG208" i="54"/>
  <c r="HG178" i="54"/>
  <c r="HN178" i="54" s="1"/>
  <c r="HG26" i="54"/>
  <c r="HG135" i="54"/>
  <c r="HG55" i="54"/>
  <c r="HG54" i="54"/>
  <c r="HG71" i="54"/>
  <c r="HG221" i="54"/>
  <c r="HN221" i="54" s="1"/>
  <c r="HG155" i="54"/>
  <c r="HG255" i="54"/>
  <c r="HG225" i="54"/>
  <c r="HG176" i="54"/>
  <c r="HG95" i="54"/>
  <c r="HG118" i="54"/>
  <c r="HN118" i="54" s="1"/>
  <c r="HG268" i="54"/>
  <c r="HN268" i="54" s="1"/>
  <c r="HG202" i="54"/>
  <c r="HN202" i="54" s="1"/>
  <c r="HG39" i="54"/>
  <c r="HN39" i="54" s="1"/>
  <c r="HG151" i="54"/>
  <c r="HG150" i="54"/>
  <c r="HN150" i="54" s="1"/>
  <c r="HG28" i="54"/>
  <c r="HG261" i="54"/>
  <c r="HG171" i="54"/>
  <c r="HG105" i="54"/>
  <c r="HG193" i="54"/>
  <c r="HG192" i="54"/>
  <c r="HG75" i="54"/>
  <c r="HN75" i="54" s="1"/>
  <c r="HG45" i="54"/>
  <c r="HN45" i="54" s="1"/>
  <c r="HG212" i="54"/>
  <c r="HG233" i="54"/>
  <c r="HG116" i="54"/>
  <c r="HN116" i="54" s="1"/>
  <c r="HG86" i="54"/>
  <c r="HN86" i="54" s="1"/>
  <c r="HG21" i="54"/>
  <c r="HG253" i="54"/>
  <c r="HG252" i="54"/>
  <c r="HG17" i="54"/>
  <c r="HG179" i="54"/>
  <c r="HG157" i="54"/>
  <c r="HG156" i="54"/>
  <c r="HG127" i="54"/>
  <c r="HG126" i="54"/>
  <c r="HN126" i="54" s="1"/>
  <c r="HG62" i="54"/>
  <c r="HG37" i="54"/>
  <c r="HG36" i="54"/>
  <c r="HG227" i="54"/>
  <c r="HG226" i="54"/>
  <c r="HG103" i="54"/>
  <c r="HN103" i="54" s="1"/>
  <c r="HG102" i="54"/>
  <c r="HN102" i="54" s="1"/>
  <c r="HG11" i="54"/>
  <c r="HG163" i="54"/>
  <c r="HG162" i="54"/>
  <c r="HN162" i="54" s="1"/>
  <c r="HG10" i="54"/>
  <c r="HG143" i="54"/>
  <c r="HG58" i="54"/>
  <c r="HG152" i="54"/>
  <c r="HG203" i="54"/>
  <c r="HG32" i="54"/>
  <c r="HN32" i="54" s="1"/>
  <c r="HG94" i="54"/>
  <c r="HN94" i="54" s="1"/>
  <c r="HG100" i="54"/>
  <c r="HG139" i="54"/>
  <c r="HN139" i="54" s="1"/>
  <c r="HG73" i="54"/>
  <c r="HG72" i="54"/>
  <c r="HG141" i="54"/>
  <c r="HG98" i="54"/>
  <c r="HN98" i="54" s="1"/>
  <c r="HG113" i="54"/>
  <c r="HG182" i="54"/>
  <c r="HG188" i="54"/>
  <c r="HG117" i="54"/>
  <c r="HG34" i="54"/>
  <c r="HG160" i="54"/>
  <c r="HN160" i="54" s="1"/>
  <c r="HG158" i="54"/>
  <c r="HG23" i="54"/>
  <c r="HG250" i="54"/>
  <c r="HG199" i="54"/>
  <c r="HG70" i="54"/>
  <c r="HG138" i="54"/>
  <c r="HG47" i="54"/>
  <c r="HG53" i="54"/>
  <c r="HN53" i="54" s="1"/>
  <c r="HG147" i="54"/>
  <c r="HN147" i="54" s="1"/>
  <c r="BI2" i="54"/>
  <c r="BI4" i="54"/>
  <c r="HN7" i="54"/>
  <c r="HO7" i="54"/>
  <c r="EE3" i="54"/>
  <c r="EC5" i="54"/>
  <c r="EF3" i="54"/>
  <c r="ED5" i="54"/>
  <c r="EH3" i="54"/>
  <c r="EE5" i="54"/>
  <c r="EG3" i="54"/>
  <c r="T36" i="54" a="1"/>
  <c r="T36" i="54" s="1"/>
  <c r="EF5" i="54"/>
  <c r="EC3" i="54"/>
  <c r="EB7" i="54"/>
  <c r="ES5" i="54"/>
  <c r="EB5" i="54"/>
  <c r="ED3" i="54"/>
  <c r="EF7" i="54"/>
  <c r="BG10" i="54" a="1"/>
  <c r="BG10" i="54" s="1"/>
  <c r="BG19" i="54"/>
  <c r="BG15" i="54"/>
  <c r="T37" i="54" a="1"/>
  <c r="T37" i="54" s="1"/>
  <c r="EC7" i="54"/>
  <c r="BG9" i="54" a="1"/>
  <c r="BG9" i="54" s="1"/>
  <c r="BG16" i="54"/>
  <c r="BG13" i="54"/>
  <c r="BG11" i="54"/>
  <c r="BG18" i="54"/>
  <c r="BG20" i="54"/>
  <c r="T35" i="54" a="1"/>
  <c r="T35" i="54" s="1"/>
  <c r="BG21" i="54"/>
  <c r="BG14" i="54"/>
  <c r="GN3" i="54"/>
  <c r="GO3" i="54"/>
  <c r="GO5" i="54"/>
  <c r="GQ3" i="54"/>
  <c r="GP3" i="54"/>
  <c r="GL3" i="54"/>
  <c r="GM3" i="54"/>
  <c r="BH14" i="54"/>
  <c r="BH11" i="54"/>
  <c r="AA36" i="54" a="1"/>
  <c r="AA36" i="54" s="1"/>
  <c r="GN5" i="54"/>
  <c r="BH9" i="54" a="1"/>
  <c r="BH9" i="54" s="1"/>
  <c r="GK7" i="54"/>
  <c r="BH13" i="54"/>
  <c r="GM5" i="54"/>
  <c r="BH18" i="54"/>
  <c r="BH16" i="54"/>
  <c r="AA37" i="54" a="1"/>
  <c r="AA37" i="54" s="1"/>
  <c r="GL5" i="54"/>
  <c r="GO7" i="54"/>
  <c r="BH19" i="54"/>
  <c r="AA35" i="54" a="1"/>
  <c r="AA35" i="54" s="1"/>
  <c r="GL7" i="54"/>
  <c r="BH20" i="54"/>
  <c r="BH21" i="54"/>
  <c r="BH15" i="54"/>
  <c r="BH10" i="54" a="1"/>
  <c r="BH10" i="54" s="1"/>
  <c r="GK5" i="54"/>
  <c r="CV31" i="54"/>
  <c r="CT31" i="54"/>
  <c r="CU32" i="54" s="1"/>
  <c r="AV228" i="50"/>
  <c r="AY228" i="50" s="1"/>
  <c r="AU417" i="50"/>
  <c r="AU305" i="50"/>
  <c r="AV137" i="50"/>
  <c r="AU289" i="50"/>
  <c r="AX49" i="50"/>
  <c r="BA49" i="50" s="1"/>
  <c r="AW173" i="50"/>
  <c r="AV554" i="50"/>
  <c r="AY554" i="50" s="1"/>
  <c r="AU645" i="50"/>
  <c r="AU134" i="50"/>
  <c r="AU525" i="50"/>
  <c r="AW327" i="50"/>
  <c r="AZ327" i="50" s="1"/>
  <c r="AW326" i="50"/>
  <c r="AZ326" i="50" s="1"/>
  <c r="AW507" i="50"/>
  <c r="AZ507" i="50" s="1"/>
  <c r="AV555" i="50"/>
  <c r="AY555" i="50" s="1"/>
  <c r="AX455" i="50"/>
  <c r="AX61" i="50"/>
  <c r="BA61" i="50" s="1"/>
  <c r="AU99" i="50"/>
  <c r="AY99" i="50" s="1"/>
  <c r="AX186" i="50"/>
  <c r="BA186" i="50" s="1"/>
  <c r="AV230" i="50"/>
  <c r="AY230" i="50" s="1"/>
  <c r="AW318" i="50"/>
  <c r="AZ318" i="50" s="1"/>
  <c r="AX97" i="50"/>
  <c r="BA97" i="50" s="1"/>
  <c r="AX219" i="50"/>
  <c r="AW372" i="50"/>
  <c r="AZ372" i="50" s="1"/>
  <c r="AU429" i="50"/>
  <c r="BA429" i="50" s="1"/>
  <c r="AU279" i="50"/>
  <c r="AV273" i="50"/>
  <c r="AY273" i="50" s="1"/>
  <c r="AV480" i="50"/>
  <c r="AY480" i="50" s="1"/>
  <c r="AV487" i="50"/>
  <c r="AY487" i="50" s="1"/>
  <c r="AW207" i="50"/>
  <c r="AX19" i="50"/>
  <c r="BA19" i="50" s="1"/>
  <c r="AU182" i="50"/>
  <c r="AW234" i="50"/>
  <c r="AZ234" i="50" s="1"/>
  <c r="AW348" i="50"/>
  <c r="AZ348" i="50" s="1"/>
  <c r="AX459" i="50"/>
  <c r="AX153" i="50"/>
  <c r="BA153" i="50" s="1"/>
  <c r="AV458" i="50"/>
  <c r="AY458" i="50" s="1"/>
  <c r="AX512" i="50"/>
  <c r="AW288" i="50"/>
  <c r="AZ288" i="50" s="1"/>
  <c r="AV41" i="50"/>
  <c r="AW658" i="50"/>
  <c r="AZ658" i="50" s="1"/>
  <c r="AW36" i="50"/>
  <c r="AZ36" i="50" s="1"/>
  <c r="AU212" i="50"/>
  <c r="AV18" i="50"/>
  <c r="AX181" i="50"/>
  <c r="BA181" i="50" s="1"/>
  <c r="AU179" i="50"/>
  <c r="AU236" i="50"/>
  <c r="AX374" i="50"/>
  <c r="AX623" i="50"/>
  <c r="BA623" i="50" s="1"/>
  <c r="AU229" i="50"/>
  <c r="BA229" i="50" s="1"/>
  <c r="AX577" i="50"/>
  <c r="AX150" i="50"/>
  <c r="BA150" i="50" s="1"/>
  <c r="AX340" i="50"/>
  <c r="AV418" i="50"/>
  <c r="AY418" i="50" s="1"/>
  <c r="AX388" i="50"/>
  <c r="AX579" i="50"/>
  <c r="AX543" i="50"/>
  <c r="AX611" i="50"/>
  <c r="AX365" i="50"/>
  <c r="AU65" i="50"/>
  <c r="AW14" i="50"/>
  <c r="AZ14" i="50" s="1"/>
  <c r="AU202" i="50"/>
  <c r="AU386" i="50"/>
  <c r="AU562" i="50"/>
  <c r="BA562" i="50" s="1"/>
  <c r="AV621" i="50"/>
  <c r="AY621" i="50" s="1"/>
  <c r="AU608" i="50"/>
  <c r="AX294" i="50"/>
  <c r="AW75" i="50"/>
  <c r="AU418" i="50"/>
  <c r="AX530" i="50"/>
  <c r="AV614" i="50"/>
  <c r="AY614" i="50" s="1"/>
  <c r="AV556" i="50"/>
  <c r="AY556" i="50" s="1"/>
  <c r="AU199" i="50"/>
  <c r="AU648" i="50"/>
  <c r="AX648" i="50"/>
  <c r="BB626" i="50"/>
  <c r="AV626" i="50"/>
  <c r="AY626" i="50" s="1"/>
  <c r="AU626" i="50"/>
  <c r="BA626" i="50" s="1"/>
  <c r="AV357" i="50"/>
  <c r="AY357" i="50" s="1"/>
  <c r="AW357" i="50"/>
  <c r="AZ357" i="50" s="1"/>
  <c r="AU357" i="50"/>
  <c r="AW187" i="50"/>
  <c r="AX187" i="50"/>
  <c r="BA187" i="50" s="1"/>
  <c r="AU622" i="50"/>
  <c r="AX622" i="50"/>
  <c r="AV622" i="50"/>
  <c r="AY622" i="50" s="1"/>
  <c r="AU349" i="50"/>
  <c r="BA349" i="50" s="1"/>
  <c r="AV349" i="50"/>
  <c r="AY349" i="50" s="1"/>
  <c r="AX112" i="50"/>
  <c r="BA112" i="50" s="1"/>
  <c r="AU112" i="50"/>
  <c r="AV30" i="50"/>
  <c r="AX30" i="50"/>
  <c r="BA30" i="50" s="1"/>
  <c r="AU451" i="50"/>
  <c r="AX451" i="50"/>
  <c r="AX617" i="50"/>
  <c r="AU617" i="50"/>
  <c r="BB446" i="50"/>
  <c r="AX446" i="50"/>
  <c r="AU446" i="50"/>
  <c r="AV446" i="50"/>
  <c r="AY446" i="50" s="1"/>
  <c r="AW446" i="50"/>
  <c r="AZ446" i="50" s="1"/>
  <c r="BB71" i="50"/>
  <c r="AX71" i="50"/>
  <c r="BA71" i="50" s="1"/>
  <c r="AV71" i="50"/>
  <c r="AU71" i="50"/>
  <c r="BB425" i="50"/>
  <c r="AV425" i="50"/>
  <c r="AY425" i="50" s="1"/>
  <c r="AW425" i="50"/>
  <c r="AZ425" i="50" s="1"/>
  <c r="AU425" i="50"/>
  <c r="AX68" i="50"/>
  <c r="BA68" i="50" s="1"/>
  <c r="AW68" i="50"/>
  <c r="AZ68" i="50" s="1"/>
  <c r="BB415" i="50"/>
  <c r="AW415" i="50"/>
  <c r="AZ415" i="50" s="1"/>
  <c r="AU415" i="50"/>
  <c r="AX415" i="50"/>
  <c r="AU561" i="50"/>
  <c r="AV561" i="50"/>
  <c r="AY561" i="50" s="1"/>
  <c r="AX472" i="50"/>
  <c r="AW472" i="50"/>
  <c r="AZ472" i="50" s="1"/>
  <c r="BB139" i="50"/>
  <c r="AV139" i="50"/>
  <c r="AU139" i="50"/>
  <c r="BB70" i="50"/>
  <c r="AV70" i="50"/>
  <c r="AW70" i="50"/>
  <c r="AZ70" i="50" s="1"/>
  <c r="AU599" i="50"/>
  <c r="AV599" i="50"/>
  <c r="AY599" i="50" s="1"/>
  <c r="AX599" i="50"/>
  <c r="BB101" i="50"/>
  <c r="AV101" i="50"/>
  <c r="AW101" i="50"/>
  <c r="AZ101" i="50" s="1"/>
  <c r="AU101" i="50"/>
  <c r="BB412" i="50"/>
  <c r="AU412" i="50"/>
  <c r="AV412" i="50"/>
  <c r="AY412" i="50" s="1"/>
  <c r="BB265" i="50"/>
  <c r="AV265" i="50"/>
  <c r="AY265" i="50" s="1"/>
  <c r="AU265" i="50"/>
  <c r="BA265" i="50" s="1"/>
  <c r="AW138" i="50"/>
  <c r="AZ138" i="50" s="1"/>
  <c r="AX138" i="50"/>
  <c r="AU653" i="50"/>
  <c r="AW653" i="50"/>
  <c r="AZ653" i="50" s="1"/>
  <c r="AX653" i="50"/>
  <c r="AV33" i="50"/>
  <c r="AW33" i="50"/>
  <c r="AZ33" i="50" s="1"/>
  <c r="AV433" i="50"/>
  <c r="AY433" i="50" s="1"/>
  <c r="AW433" i="50"/>
  <c r="AZ433" i="50" s="1"/>
  <c r="AV231" i="50"/>
  <c r="AY231" i="50" s="1"/>
  <c r="AU231" i="50"/>
  <c r="BB156" i="50"/>
  <c r="AU156" i="50"/>
  <c r="AW156" i="50"/>
  <c r="AW278" i="50"/>
  <c r="AZ278" i="50" s="1"/>
  <c r="AU278" i="50"/>
  <c r="AV278" i="50"/>
  <c r="AY278" i="50" s="1"/>
  <c r="AW141" i="50"/>
  <c r="AZ141" i="50" s="1"/>
  <c r="AX141" i="50"/>
  <c r="BA141" i="50" s="1"/>
  <c r="AV141" i="50"/>
  <c r="AY141" i="50" s="1"/>
  <c r="BB102" i="50"/>
  <c r="AU102" i="50"/>
  <c r="AW102" i="50"/>
  <c r="AZ102" i="50" s="1"/>
  <c r="AX634" i="50"/>
  <c r="AV634" i="50"/>
  <c r="AY634" i="50" s="1"/>
  <c r="AU634" i="50"/>
  <c r="BB72" i="50"/>
  <c r="AU72" i="50"/>
  <c r="AV72" i="50"/>
  <c r="AU557" i="50"/>
  <c r="AV557" i="50"/>
  <c r="AY557" i="50" s="1"/>
  <c r="AX557" i="50"/>
  <c r="BB127" i="50"/>
  <c r="AU127" i="50"/>
  <c r="AW127" i="50"/>
  <c r="AZ127" i="50" s="1"/>
  <c r="AV13" i="50"/>
  <c r="AY13" i="50" s="1"/>
  <c r="AU49" i="50"/>
  <c r="AY49" i="50" s="1"/>
  <c r="AV75" i="50"/>
  <c r="AW97" i="50"/>
  <c r="AZ97" i="50" s="1"/>
  <c r="AW202" i="50"/>
  <c r="AW150" i="50"/>
  <c r="AX209" i="50"/>
  <c r="BA209" i="50" s="1"/>
  <c r="AX163" i="50"/>
  <c r="BA163" i="50" s="1"/>
  <c r="AW271" i="50"/>
  <c r="AZ271" i="50" s="1"/>
  <c r="AU228" i="50"/>
  <c r="AU340" i="50"/>
  <c r="AV372" i="50"/>
  <c r="AY372" i="50" s="1"/>
  <c r="AX386" i="50"/>
  <c r="AV388" i="50"/>
  <c r="AY388" i="50" s="1"/>
  <c r="AV562" i="50"/>
  <c r="AY562" i="50" s="1"/>
  <c r="AX139" i="50"/>
  <c r="BA139" i="50" s="1"/>
  <c r="AW349" i="50"/>
  <c r="AZ349" i="50" s="1"/>
  <c r="AW626" i="50"/>
  <c r="AZ626" i="50" s="1"/>
  <c r="AX156" i="50"/>
  <c r="BA156" i="50" s="1"/>
  <c r="AX72" i="50"/>
  <c r="BA72" i="50" s="1"/>
  <c r="AW69" i="50"/>
  <c r="AU132" i="50"/>
  <c r="AY132" i="50" s="1"/>
  <c r="AW265" i="50"/>
  <c r="AZ265" i="50" s="1"/>
  <c r="AW334" i="50"/>
  <c r="AZ334" i="50" s="1"/>
  <c r="AV523" i="50"/>
  <c r="AY523" i="50" s="1"/>
  <c r="AV415" i="50"/>
  <c r="AY415" i="50" s="1"/>
  <c r="AU68" i="50"/>
  <c r="AV188" i="50"/>
  <c r="AY188" i="50" s="1"/>
  <c r="AW451" i="50"/>
  <c r="AZ451" i="50" s="1"/>
  <c r="AW112" i="50"/>
  <c r="AZ112" i="50" s="1"/>
  <c r="AW65" i="50"/>
  <c r="AZ65" i="50" s="1"/>
  <c r="AV293" i="50"/>
  <c r="AY293" i="50" s="1"/>
  <c r="AV472" i="50"/>
  <c r="AY472" i="50" s="1"/>
  <c r="AX104" i="50"/>
  <c r="BA104" i="50" s="1"/>
  <c r="AV582" i="50"/>
  <c r="AY582" i="50" s="1"/>
  <c r="AU523" i="50"/>
  <c r="BA523" i="50" s="1"/>
  <c r="AU167" i="50"/>
  <c r="AX167" i="50"/>
  <c r="BA167" i="50" s="1"/>
  <c r="BB245" i="50"/>
  <c r="AU245" i="50"/>
  <c r="AX253" i="50"/>
  <c r="AW253" i="50"/>
  <c r="AZ253" i="50" s="1"/>
  <c r="BB620" i="50"/>
  <c r="AU620" i="50"/>
  <c r="AW620" i="50"/>
  <c r="AZ620" i="50" s="1"/>
  <c r="BB439" i="50"/>
  <c r="AU439" i="50"/>
  <c r="AX439" i="50"/>
  <c r="AW439" i="50"/>
  <c r="AZ439" i="50" s="1"/>
  <c r="BB199" i="50"/>
  <c r="AW199" i="50"/>
  <c r="AX199" i="50"/>
  <c r="BA199" i="50" s="1"/>
  <c r="BB39" i="50"/>
  <c r="AU39" i="50"/>
  <c r="AX39" i="50"/>
  <c r="BA39" i="50" s="1"/>
  <c r="AV39" i="50"/>
  <c r="AW39" i="50"/>
  <c r="AZ39" i="50" s="1"/>
  <c r="BB114" i="50"/>
  <c r="AW114" i="50"/>
  <c r="AZ114" i="50" s="1"/>
  <c r="AV114" i="50"/>
  <c r="AV590" i="50"/>
  <c r="AY590" i="50" s="1"/>
  <c r="AU590" i="50"/>
  <c r="AV324" i="50"/>
  <c r="AY324" i="50" s="1"/>
  <c r="AW324" i="50"/>
  <c r="AZ324" i="50" s="1"/>
  <c r="AX324" i="50"/>
  <c r="AX22" i="50"/>
  <c r="BA22" i="50" s="1"/>
  <c r="AV22" i="50"/>
  <c r="AW22" i="50"/>
  <c r="AZ22" i="50" s="1"/>
  <c r="AV607" i="50"/>
  <c r="AY607" i="50" s="1"/>
  <c r="AX607" i="50"/>
  <c r="BA607" i="50" s="1"/>
  <c r="AX308" i="50"/>
  <c r="AV308" i="50"/>
  <c r="AY308" i="50" s="1"/>
  <c r="AU308" i="50"/>
  <c r="AV411" i="50"/>
  <c r="AY411" i="50" s="1"/>
  <c r="AW411" i="50"/>
  <c r="AZ411" i="50" s="1"/>
  <c r="AU411" i="50"/>
  <c r="AU528" i="50"/>
  <c r="BA528" i="50" s="1"/>
  <c r="AW528" i="50"/>
  <c r="AZ528" i="50" s="1"/>
  <c r="AV528" i="50"/>
  <c r="AY528" i="50" s="1"/>
  <c r="AX298" i="50"/>
  <c r="BA298" i="50" s="1"/>
  <c r="AW298" i="50"/>
  <c r="AZ298" i="50" s="1"/>
  <c r="AV298" i="50"/>
  <c r="AY298" i="50" s="1"/>
  <c r="AW624" i="50"/>
  <c r="AZ624" i="50" s="1"/>
  <c r="AV624" i="50"/>
  <c r="AY624" i="50" s="1"/>
  <c r="BB527" i="50"/>
  <c r="AU527" i="50"/>
  <c r="AV527" i="50"/>
  <c r="AY527" i="50" s="1"/>
  <c r="AX527" i="50"/>
  <c r="BB195" i="50"/>
  <c r="AV195" i="50"/>
  <c r="AY195" i="50" s="1"/>
  <c r="AW195" i="50"/>
  <c r="AZ195" i="50" s="1"/>
  <c r="AX195" i="50"/>
  <c r="BA195" i="50" s="1"/>
  <c r="BB274" i="50"/>
  <c r="AW274" i="50"/>
  <c r="AZ274" i="50" s="1"/>
  <c r="AX274" i="50"/>
  <c r="BA274" i="50" s="1"/>
  <c r="AV274" i="50"/>
  <c r="AY274" i="50" s="1"/>
  <c r="BB50" i="50"/>
  <c r="AU50" i="50"/>
  <c r="AV50" i="50"/>
  <c r="AW50" i="50"/>
  <c r="AZ50" i="50" s="1"/>
  <c r="AU213" i="50"/>
  <c r="AV213" i="50"/>
  <c r="AY213" i="50" s="1"/>
  <c r="AW213" i="50"/>
  <c r="AZ213" i="50" s="1"/>
  <c r="AX213" i="50"/>
  <c r="BB586" i="50"/>
  <c r="AX586" i="50"/>
  <c r="AV586" i="50"/>
  <c r="AY586" i="50" s="1"/>
  <c r="AW586" i="50"/>
  <c r="AZ586" i="50" s="1"/>
  <c r="AU586" i="50"/>
  <c r="BB294" i="50"/>
  <c r="AU294" i="50"/>
  <c r="AV294" i="50"/>
  <c r="AY294" i="50" s="1"/>
  <c r="AW643" i="50"/>
  <c r="AZ643" i="50" s="1"/>
  <c r="AU643" i="50"/>
  <c r="AV643" i="50"/>
  <c r="AY643" i="50" s="1"/>
  <c r="AU552" i="50"/>
  <c r="AX552" i="50"/>
  <c r="AV552" i="50"/>
  <c r="AY552" i="50" s="1"/>
  <c r="AX248" i="50"/>
  <c r="AU248" i="50"/>
  <c r="AV248" i="50"/>
  <c r="AY248" i="50" s="1"/>
  <c r="BB320" i="50"/>
  <c r="AV320" i="50"/>
  <c r="AY320" i="50" s="1"/>
  <c r="AU320" i="50"/>
  <c r="AU543" i="50"/>
  <c r="AV543" i="50"/>
  <c r="AY543" i="50" s="1"/>
  <c r="BB379" i="50"/>
  <c r="AU379" i="50"/>
  <c r="AW379" i="50"/>
  <c r="AZ379" i="50" s="1"/>
  <c r="BB640" i="50"/>
  <c r="AX640" i="50"/>
  <c r="AV640" i="50"/>
  <c r="AY640" i="50" s="1"/>
  <c r="BB511" i="50"/>
  <c r="AU511" i="50"/>
  <c r="AW511" i="50"/>
  <c r="AZ511" i="50" s="1"/>
  <c r="AV511" i="50"/>
  <c r="AY511" i="50" s="1"/>
  <c r="AX303" i="50"/>
  <c r="AU303" i="50"/>
  <c r="AW303" i="50"/>
  <c r="AZ303" i="50" s="1"/>
  <c r="BB40" i="50"/>
  <c r="AV40" i="50"/>
  <c r="AY40" i="50" s="1"/>
  <c r="AW40" i="50"/>
  <c r="AZ40" i="50" s="1"/>
  <c r="AX40" i="50"/>
  <c r="BA40" i="50" s="1"/>
  <c r="BB482" i="50"/>
  <c r="AW482" i="50"/>
  <c r="AZ482" i="50" s="1"/>
  <c r="AX482" i="50"/>
  <c r="AV482" i="50"/>
  <c r="AY482" i="50" s="1"/>
  <c r="BB556" i="50"/>
  <c r="AU556" i="50"/>
  <c r="BA556" i="50" s="1"/>
  <c r="AW556" i="50"/>
  <c r="AZ556" i="50" s="1"/>
  <c r="BB444" i="50"/>
  <c r="AV444" i="50"/>
  <c r="AY444" i="50" s="1"/>
  <c r="AW444" i="50"/>
  <c r="AZ444" i="50" s="1"/>
  <c r="BB366" i="50"/>
  <c r="AV366" i="50"/>
  <c r="AY366" i="50" s="1"/>
  <c r="AW366" i="50"/>
  <c r="AZ366" i="50" s="1"/>
  <c r="AX238" i="50"/>
  <c r="BA238" i="50" s="1"/>
  <c r="AW238" i="50"/>
  <c r="AZ238" i="50" s="1"/>
  <c r="AU193" i="50"/>
  <c r="AW193" i="50"/>
  <c r="AX193" i="50"/>
  <c r="BA193" i="50" s="1"/>
  <c r="BB111" i="50"/>
  <c r="AU111" i="50"/>
  <c r="AV111" i="50"/>
  <c r="BB614" i="50"/>
  <c r="AW614" i="50"/>
  <c r="AZ614" i="50" s="1"/>
  <c r="BB450" i="50"/>
  <c r="AX450" i="50"/>
  <c r="BA450" i="50" s="1"/>
  <c r="AV440" i="50"/>
  <c r="AY440" i="50" s="1"/>
  <c r="AW440" i="50"/>
  <c r="AZ440" i="50" s="1"/>
  <c r="AU440" i="50"/>
  <c r="AW297" i="50"/>
  <c r="AZ297" i="50" s="1"/>
  <c r="AX297" i="50"/>
  <c r="AU297" i="50"/>
  <c r="AV297" i="50"/>
  <c r="AY297" i="50" s="1"/>
  <c r="AW154" i="50"/>
  <c r="AZ154" i="50" s="1"/>
  <c r="AX154" i="50"/>
  <c r="BA154" i="50" s="1"/>
  <c r="AX130" i="50"/>
  <c r="BA130" i="50" s="1"/>
  <c r="AU130" i="50"/>
  <c r="AW130" i="50"/>
  <c r="AZ130" i="50" s="1"/>
  <c r="AX13" i="50"/>
  <c r="BA13" i="50" s="1"/>
  <c r="AW49" i="50"/>
  <c r="AZ49" i="50" s="1"/>
  <c r="AX75" i="50"/>
  <c r="BA75" i="50" s="1"/>
  <c r="AV97" i="50"/>
  <c r="AY97" i="50" s="1"/>
  <c r="AV202" i="50"/>
  <c r="AY202" i="50" s="1"/>
  <c r="AU150" i="50"/>
  <c r="AW209" i="50"/>
  <c r="AZ209" i="50" s="1"/>
  <c r="AW163" i="50"/>
  <c r="AZ163" i="50" s="1"/>
  <c r="AU271" i="50"/>
  <c r="BA271" i="50" s="1"/>
  <c r="AX228" i="50"/>
  <c r="BA228" i="50" s="1"/>
  <c r="AW340" i="50"/>
  <c r="AZ340" i="50" s="1"/>
  <c r="AX372" i="50"/>
  <c r="AW386" i="50"/>
  <c r="AZ386" i="50" s="1"/>
  <c r="AX418" i="50"/>
  <c r="AW450" i="50"/>
  <c r="AZ450" i="50" s="1"/>
  <c r="AU621" i="50"/>
  <c r="AV653" i="50"/>
  <c r="AY653" i="50" s="1"/>
  <c r="AX379" i="50"/>
  <c r="AU70" i="50"/>
  <c r="AW139" i="50"/>
  <c r="AZ139" i="50" s="1"/>
  <c r="AV620" i="50"/>
  <c r="AY620" i="50" s="1"/>
  <c r="AV156" i="50"/>
  <c r="AY156" i="50" s="1"/>
  <c r="AW72" i="50"/>
  <c r="AZ72" i="50" s="1"/>
  <c r="AV138" i="50"/>
  <c r="AY138" i="50" s="1"/>
  <c r="AV238" i="50"/>
  <c r="AY238" i="50" s="1"/>
  <c r="AX366" i="50"/>
  <c r="BA366" i="50" s="1"/>
  <c r="AU444" i="50"/>
  <c r="AW523" i="50"/>
  <c r="AZ523" i="50" s="1"/>
  <c r="AX561" i="50"/>
  <c r="AW71" i="50"/>
  <c r="AZ71" i="50" s="1"/>
  <c r="AX610" i="50"/>
  <c r="AU30" i="50"/>
  <c r="AW292" i="50"/>
  <c r="AZ292" i="50" s="1"/>
  <c r="AV423" i="50"/>
  <c r="AY423" i="50" s="1"/>
  <c r="AX643" i="50"/>
  <c r="AW104" i="50"/>
  <c r="AZ104" i="50" s="1"/>
  <c r="AX582" i="50"/>
  <c r="BA582" i="50" s="1"/>
  <c r="BB422" i="50"/>
  <c r="AW422" i="50"/>
  <c r="AZ422" i="50" s="1"/>
  <c r="AX422" i="50"/>
  <c r="AV422" i="50"/>
  <c r="AY422" i="50" s="1"/>
  <c r="BB306" i="50"/>
  <c r="AU306" i="50"/>
  <c r="AW306" i="50"/>
  <c r="AZ306" i="50" s="1"/>
  <c r="BB331" i="50"/>
  <c r="AV331" i="50"/>
  <c r="AY331" i="50" s="1"/>
  <c r="AW331" i="50"/>
  <c r="AZ331" i="50" s="1"/>
  <c r="AX331" i="50"/>
  <c r="BA331" i="50" s="1"/>
  <c r="BB64" i="50"/>
  <c r="AX64" i="50"/>
  <c r="BA64" i="50" s="1"/>
  <c r="AU64" i="50"/>
  <c r="AW64" i="50"/>
  <c r="AZ64" i="50" s="1"/>
  <c r="AU448" i="50"/>
  <c r="AV448" i="50"/>
  <c r="AY448" i="50" s="1"/>
  <c r="AW448" i="50"/>
  <c r="AZ448" i="50" s="1"/>
  <c r="AU56" i="50"/>
  <c r="AY56" i="50" s="1"/>
  <c r="AW56" i="50"/>
  <c r="AZ56" i="50" s="1"/>
  <c r="AV464" i="50"/>
  <c r="AY464" i="50" s="1"/>
  <c r="AW464" i="50"/>
  <c r="AZ464" i="50" s="1"/>
  <c r="BB106" i="50"/>
  <c r="AV106" i="50"/>
  <c r="AU106" i="50"/>
  <c r="BB611" i="50"/>
  <c r="AU611" i="50"/>
  <c r="AV611" i="50"/>
  <c r="AY611" i="50" s="1"/>
  <c r="AW407" i="50"/>
  <c r="AZ407" i="50" s="1"/>
  <c r="AU407" i="50"/>
  <c r="AV407" i="50"/>
  <c r="AY407" i="50" s="1"/>
  <c r="AX143" i="50"/>
  <c r="BA143" i="50" s="1"/>
  <c r="AW143" i="50"/>
  <c r="AZ143" i="50" s="1"/>
  <c r="AV143" i="50"/>
  <c r="AY143" i="50" s="1"/>
  <c r="AX48" i="50"/>
  <c r="BA48" i="50" s="1"/>
  <c r="AV48" i="50"/>
  <c r="AW48" i="50"/>
  <c r="AZ48" i="50" s="1"/>
  <c r="AU48" i="50"/>
  <c r="AU251" i="50"/>
  <c r="AW251" i="50"/>
  <c r="AZ251" i="50" s="1"/>
  <c r="AV251" i="50"/>
  <c r="AY251" i="50" s="1"/>
  <c r="AX584" i="50"/>
  <c r="BA584" i="50" s="1"/>
  <c r="AV584" i="50"/>
  <c r="AY584" i="50" s="1"/>
  <c r="AX120" i="50"/>
  <c r="BA120" i="50" s="1"/>
  <c r="AU120" i="50"/>
  <c r="AW120" i="50"/>
  <c r="AZ120" i="50" s="1"/>
  <c r="AU397" i="50"/>
  <c r="AX397" i="50"/>
  <c r="AV397" i="50"/>
  <c r="AY397" i="50" s="1"/>
  <c r="AW397" i="50"/>
  <c r="AZ397" i="50" s="1"/>
  <c r="AW257" i="50"/>
  <c r="AZ257" i="50" s="1"/>
  <c r="AV257" i="50"/>
  <c r="AY257" i="50" s="1"/>
  <c r="BB336" i="50"/>
  <c r="AU336" i="50"/>
  <c r="AX336" i="50"/>
  <c r="AV336" i="50"/>
  <c r="AY336" i="50" s="1"/>
  <c r="AW336" i="50"/>
  <c r="AZ336" i="50" s="1"/>
  <c r="BB82" i="50"/>
  <c r="AX82" i="50"/>
  <c r="BA82" i="50" s="1"/>
  <c r="AU82" i="50"/>
  <c r="BB541" i="50"/>
  <c r="AU541" i="50"/>
  <c r="AV541" i="50"/>
  <c r="AY541" i="50" s="1"/>
  <c r="AX541" i="50"/>
  <c r="BB351" i="50"/>
  <c r="AU351" i="50"/>
  <c r="AV351" i="50"/>
  <c r="AY351" i="50" s="1"/>
  <c r="AX351" i="50"/>
  <c r="BB194" i="50"/>
  <c r="AU194" i="50"/>
  <c r="AX194" i="50"/>
  <c r="BA194" i="50" s="1"/>
  <c r="AV194" i="50"/>
  <c r="AY194" i="50" s="1"/>
  <c r="AW194" i="50"/>
  <c r="BB465" i="50"/>
  <c r="AU465" i="50"/>
  <c r="AX465" i="50"/>
  <c r="AV465" i="50"/>
  <c r="AY465" i="50" s="1"/>
  <c r="AW465" i="50"/>
  <c r="AZ465" i="50" s="1"/>
  <c r="AW521" i="50"/>
  <c r="AZ521" i="50" s="1"/>
  <c r="AV521" i="50"/>
  <c r="AY521" i="50" s="1"/>
  <c r="AU521" i="50"/>
  <c r="AU323" i="50"/>
  <c r="AV323" i="50"/>
  <c r="AY323" i="50" s="1"/>
  <c r="AX323" i="50"/>
  <c r="AW188" i="50"/>
  <c r="AU188" i="50"/>
  <c r="BB429" i="50"/>
  <c r="AV429" i="50"/>
  <c r="AY429" i="50" s="1"/>
  <c r="AW429" i="50"/>
  <c r="AZ429" i="50" s="1"/>
  <c r="BB255" i="50"/>
  <c r="AU255" i="50"/>
  <c r="BA255" i="50" s="1"/>
  <c r="AW255" i="50"/>
  <c r="AZ255" i="50" s="1"/>
  <c r="BB486" i="50"/>
  <c r="AX486" i="50"/>
  <c r="AU486" i="50"/>
  <c r="AW600" i="50"/>
  <c r="AZ600" i="50" s="1"/>
  <c r="AX600" i="50"/>
  <c r="AV600" i="50"/>
  <c r="AY600" i="50" s="1"/>
  <c r="BB430" i="50"/>
  <c r="AW430" i="50"/>
  <c r="AZ430" i="50" s="1"/>
  <c r="AX430" i="50"/>
  <c r="AU430" i="50"/>
  <c r="BB647" i="50"/>
  <c r="AX647" i="50"/>
  <c r="AU647" i="50"/>
  <c r="AV647" i="50"/>
  <c r="AY647" i="50" s="1"/>
  <c r="AW647" i="50"/>
  <c r="AZ647" i="50" s="1"/>
  <c r="BB615" i="50"/>
  <c r="AW615" i="50"/>
  <c r="AZ615" i="50" s="1"/>
  <c r="AX615" i="50"/>
  <c r="AU615" i="50"/>
  <c r="AV608" i="50"/>
  <c r="AY608" i="50" s="1"/>
  <c r="AX608" i="50"/>
  <c r="BB476" i="50"/>
  <c r="AX476" i="50"/>
  <c r="AU476" i="50"/>
  <c r="AU313" i="50"/>
  <c r="AW313" i="50"/>
  <c r="AZ313" i="50" s="1"/>
  <c r="AX313" i="50"/>
  <c r="BB334" i="50"/>
  <c r="AU334" i="50"/>
  <c r="AX334" i="50"/>
  <c r="BB132" i="50"/>
  <c r="AW132" i="50"/>
  <c r="AZ132" i="50" s="1"/>
  <c r="AX132" i="50"/>
  <c r="BA132" i="50" s="1"/>
  <c r="BB196" i="50"/>
  <c r="AX196" i="50"/>
  <c r="BA196" i="50" s="1"/>
  <c r="AV196" i="50"/>
  <c r="AY196" i="50" s="1"/>
  <c r="AU69" i="50"/>
  <c r="AY69" i="50" s="1"/>
  <c r="AX69" i="50"/>
  <c r="BA69" i="50" s="1"/>
  <c r="AU43" i="50"/>
  <c r="AV43" i="50"/>
  <c r="AW43" i="50"/>
  <c r="AZ43" i="50" s="1"/>
  <c r="BB579" i="50"/>
  <c r="AW579" i="50"/>
  <c r="AZ579" i="50" s="1"/>
  <c r="BB562" i="50"/>
  <c r="AW562" i="50"/>
  <c r="AZ562" i="50" s="1"/>
  <c r="BB530" i="50"/>
  <c r="AV530" i="50"/>
  <c r="AY530" i="50" s="1"/>
  <c r="AX408" i="50"/>
  <c r="AW408" i="50"/>
  <c r="AZ408" i="50" s="1"/>
  <c r="AU408" i="50"/>
  <c r="AU362" i="50"/>
  <c r="AV362" i="50"/>
  <c r="AY362" i="50" s="1"/>
  <c r="AU330" i="50"/>
  <c r="AX330" i="50"/>
  <c r="AV330" i="50"/>
  <c r="AY330" i="50" s="1"/>
  <c r="AX256" i="50"/>
  <c r="AU256" i="50"/>
  <c r="AX165" i="50"/>
  <c r="BA165" i="50" s="1"/>
  <c r="AV165" i="50"/>
  <c r="AY165" i="50" s="1"/>
  <c r="AU165" i="50"/>
  <c r="AX190" i="50"/>
  <c r="BA190" i="50" s="1"/>
  <c r="AV190" i="50"/>
  <c r="AY190" i="50" s="1"/>
  <c r="AW190" i="50"/>
  <c r="AW103" i="50"/>
  <c r="AZ103" i="50" s="1"/>
  <c r="AV103" i="50"/>
  <c r="AU75" i="50"/>
  <c r="AX202" i="50"/>
  <c r="BA202" i="50" s="1"/>
  <c r="AV150" i="50"/>
  <c r="AY150" i="50" s="1"/>
  <c r="AV209" i="50"/>
  <c r="AY209" i="50" s="1"/>
  <c r="AV163" i="50"/>
  <c r="AY163" i="50" s="1"/>
  <c r="AV271" i="50"/>
  <c r="AY271" i="50" s="1"/>
  <c r="AV340" i="50"/>
  <c r="AY340" i="50" s="1"/>
  <c r="AU372" i="50"/>
  <c r="AV386" i="50"/>
  <c r="AY386" i="50" s="1"/>
  <c r="AV450" i="50"/>
  <c r="AY450" i="50" s="1"/>
  <c r="AU388" i="50"/>
  <c r="AU530" i="50"/>
  <c r="AU614" i="50"/>
  <c r="BA614" i="50" s="1"/>
  <c r="AU579" i="50"/>
  <c r="AX621" i="50"/>
  <c r="AU640" i="50"/>
  <c r="AW486" i="50"/>
  <c r="AZ486" i="50" s="1"/>
  <c r="AV255" i="50"/>
  <c r="AY255" i="50" s="1"/>
  <c r="AX70" i="50"/>
  <c r="BA70" i="50" s="1"/>
  <c r="AX320" i="50"/>
  <c r="BA320" i="50" s="1"/>
  <c r="AX106" i="50"/>
  <c r="BA106" i="50" s="1"/>
  <c r="AX620" i="50"/>
  <c r="AX306" i="50"/>
  <c r="BA306" i="50" s="1"/>
  <c r="AV127" i="50"/>
  <c r="AV102" i="50"/>
  <c r="AX111" i="50"/>
  <c r="BA111" i="50" s="1"/>
  <c r="AW196" i="50"/>
  <c r="AZ196" i="50" s="1"/>
  <c r="AX412" i="50"/>
  <c r="AX444" i="50"/>
  <c r="AV476" i="50"/>
  <c r="AY476" i="50" s="1"/>
  <c r="AU482" i="50"/>
  <c r="AW561" i="50"/>
  <c r="AZ561" i="50" s="1"/>
  <c r="AV68" i="50"/>
  <c r="AX425" i="50"/>
  <c r="AV82" i="50"/>
  <c r="AY82" i="50" s="1"/>
  <c r="AU422" i="50"/>
  <c r="AX511" i="50"/>
  <c r="AW610" i="50"/>
  <c r="AZ610" i="50" s="1"/>
  <c r="AV292" i="50"/>
  <c r="AY292" i="50" s="1"/>
  <c r="AU365" i="50"/>
  <c r="AV187" i="50"/>
  <c r="AY187" i="50" s="1"/>
  <c r="AW362" i="50"/>
  <c r="AZ362" i="50" s="1"/>
  <c r="AX448" i="50"/>
  <c r="AX278" i="50"/>
  <c r="AX231" i="50"/>
  <c r="AX14" i="50"/>
  <c r="BA14" i="50" s="1"/>
  <c r="AX395" i="50"/>
  <c r="AU395" i="50"/>
  <c r="AX268" i="50"/>
  <c r="BA268" i="50" s="1"/>
  <c r="AV35" i="50"/>
  <c r="AX67" i="50"/>
  <c r="BA67" i="50" s="1"/>
  <c r="AU192" i="50"/>
  <c r="AX134" i="50"/>
  <c r="BA134" i="50" s="1"/>
  <c r="AW263" i="50"/>
  <c r="AZ263" i="50" s="1"/>
  <c r="AX305" i="50"/>
  <c r="AX442" i="50"/>
  <c r="AX474" i="50"/>
  <c r="AX519" i="50"/>
  <c r="AX554" i="50"/>
  <c r="AV525" i="50"/>
  <c r="AY525" i="50" s="1"/>
  <c r="AV645" i="50"/>
  <c r="AY645" i="50" s="1"/>
  <c r="AX417" i="50"/>
  <c r="AX137" i="50"/>
  <c r="BA137" i="50" s="1"/>
  <c r="AU488" i="50"/>
  <c r="AX183" i="50"/>
  <c r="BA183" i="50" s="1"/>
  <c r="AU510" i="50"/>
  <c r="AU522" i="50"/>
  <c r="AV108" i="50"/>
  <c r="AY108" i="50" s="1"/>
  <c r="AU29" i="50"/>
  <c r="AU95" i="50"/>
  <c r="AU226" i="50"/>
  <c r="AV149" i="50"/>
  <c r="AY149" i="50" s="1"/>
  <c r="AW240" i="50"/>
  <c r="AZ240" i="50" s="1"/>
  <c r="AV289" i="50"/>
  <c r="AY289" i="50" s="1"/>
  <c r="AV326" i="50"/>
  <c r="AY326" i="50" s="1"/>
  <c r="AW398" i="50"/>
  <c r="AZ398" i="50" s="1"/>
  <c r="AX468" i="50"/>
  <c r="BA468" i="50" s="1"/>
  <c r="AV548" i="50"/>
  <c r="AY548" i="50" s="1"/>
  <c r="AX98" i="50"/>
  <c r="BA98" i="50" s="1"/>
  <c r="AX575" i="50"/>
  <c r="AX302" i="50"/>
  <c r="AX244" i="50"/>
  <c r="AU173" i="50"/>
  <c r="AX35" i="50"/>
  <c r="BA35" i="50" s="1"/>
  <c r="AX107" i="50"/>
  <c r="BA107" i="50" s="1"/>
  <c r="AX192" i="50"/>
  <c r="BA192" i="50" s="1"/>
  <c r="AU170" i="50"/>
  <c r="AU332" i="50"/>
  <c r="AU364" i="50"/>
  <c r="AX410" i="50"/>
  <c r="AW442" i="50"/>
  <c r="AZ442" i="50" s="1"/>
  <c r="AW474" i="50"/>
  <c r="AZ474" i="50" s="1"/>
  <c r="AV519" i="50"/>
  <c r="AY519" i="50" s="1"/>
  <c r="AX606" i="50"/>
  <c r="AW603" i="50"/>
  <c r="AZ603" i="50" s="1"/>
  <c r="AW537" i="50"/>
  <c r="AZ537" i="50" s="1"/>
  <c r="AU270" i="50"/>
  <c r="AW605" i="50"/>
  <c r="AZ605" i="50" s="1"/>
  <c r="AW488" i="50"/>
  <c r="AZ488" i="50" s="1"/>
  <c r="AU44" i="50"/>
  <c r="AW510" i="50"/>
  <c r="AZ510" i="50" s="1"/>
  <c r="AW522" i="50"/>
  <c r="AZ522" i="50" s="1"/>
  <c r="AW185" i="50"/>
  <c r="AX108" i="50"/>
  <c r="BA108" i="50" s="1"/>
  <c r="AW29" i="50"/>
  <c r="AZ29" i="50" s="1"/>
  <c r="AX95" i="50"/>
  <c r="BA95" i="50" s="1"/>
  <c r="AW226" i="50"/>
  <c r="AZ226" i="50" s="1"/>
  <c r="AX149" i="50"/>
  <c r="BA149" i="50" s="1"/>
  <c r="AU155" i="50"/>
  <c r="AV240" i="50"/>
  <c r="AY240" i="50" s="1"/>
  <c r="AW315" i="50"/>
  <c r="AZ315" i="50" s="1"/>
  <c r="AW468" i="50"/>
  <c r="AZ468" i="50" s="1"/>
  <c r="AX243" i="50"/>
  <c r="AW479" i="50"/>
  <c r="AZ479" i="50" s="1"/>
  <c r="AW107" i="50"/>
  <c r="AZ107" i="50" s="1"/>
  <c r="AX173" i="50"/>
  <c r="BA173" i="50" s="1"/>
  <c r="AW170" i="50"/>
  <c r="AU230" i="50"/>
  <c r="AX332" i="50"/>
  <c r="AX364" i="50"/>
  <c r="AW410" i="50"/>
  <c r="AZ410" i="50" s="1"/>
  <c r="AW606" i="50"/>
  <c r="AZ606" i="50" s="1"/>
  <c r="AV603" i="50"/>
  <c r="AY603" i="50" s="1"/>
  <c r="AV537" i="50"/>
  <c r="AY537" i="50" s="1"/>
  <c r="AX270" i="50"/>
  <c r="AV605" i="50"/>
  <c r="AY605" i="50" s="1"/>
  <c r="AX327" i="50"/>
  <c r="AX44" i="50"/>
  <c r="BA44" i="50" s="1"/>
  <c r="AX282" i="50"/>
  <c r="AU555" i="50"/>
  <c r="AU455" i="50"/>
  <c r="AU318" i="50"/>
  <c r="BA318" i="50" s="1"/>
  <c r="AV185" i="50"/>
  <c r="AY185" i="50" s="1"/>
  <c r="AX46" i="50"/>
  <c r="BA46" i="50" s="1"/>
  <c r="AV61" i="50"/>
  <c r="AV186" i="50"/>
  <c r="AY186" i="50" s="1"/>
  <c r="AX155" i="50"/>
  <c r="BA155" i="50" s="1"/>
  <c r="AV358" i="50"/>
  <c r="AY358" i="50" s="1"/>
  <c r="AW25" i="50"/>
  <c r="AZ25" i="50" s="1"/>
  <c r="BC118" i="50"/>
  <c r="AV481" i="50"/>
  <c r="AY481" i="50" s="1"/>
  <c r="AX144" i="50"/>
  <c r="BA144" i="50" s="1"/>
  <c r="AW660" i="50"/>
  <c r="AZ660" i="50" s="1"/>
  <c r="AX545" i="50"/>
  <c r="AV27" i="50"/>
  <c r="AU59" i="50"/>
  <c r="AW58" i="50"/>
  <c r="AZ58" i="50" s="1"/>
  <c r="AV660" i="50"/>
  <c r="AY660" i="50" s="1"/>
  <c r="AX339" i="50"/>
  <c r="AU215" i="50"/>
  <c r="AV184" i="50"/>
  <c r="AY184" i="50" s="1"/>
  <c r="AW287" i="50"/>
  <c r="AZ287" i="50" s="1"/>
  <c r="AU319" i="50"/>
  <c r="AU569" i="50"/>
  <c r="AU76" i="50"/>
  <c r="AW189" i="50"/>
  <c r="AU549" i="50"/>
  <c r="AW443" i="50"/>
  <c r="AZ443" i="50" s="1"/>
  <c r="AV245" i="50"/>
  <c r="AY245" i="50" s="1"/>
  <c r="AX660" i="50"/>
  <c r="AW437" i="50"/>
  <c r="AZ437" i="50" s="1"/>
  <c r="AX38" i="50"/>
  <c r="BA38" i="50" s="1"/>
  <c r="AV242" i="50"/>
  <c r="AY242" i="50" s="1"/>
  <c r="AW428" i="50"/>
  <c r="AZ428" i="50" s="1"/>
  <c r="AW663" i="50"/>
  <c r="AZ663" i="50" s="1"/>
  <c r="AX32" i="50"/>
  <c r="BA32" i="50" s="1"/>
  <c r="AW545" i="50"/>
  <c r="AZ545" i="50" s="1"/>
  <c r="AU84" i="50"/>
  <c r="AY84" i="50" s="1"/>
  <c r="AW356" i="50"/>
  <c r="AZ356" i="50" s="1"/>
  <c r="AU637" i="50"/>
  <c r="AX76" i="50"/>
  <c r="BA76" i="50" s="1"/>
  <c r="AW133" i="50"/>
  <c r="AZ133" i="50" s="1"/>
  <c r="AV549" i="50"/>
  <c r="AY549" i="50" s="1"/>
  <c r="AU282" i="50"/>
  <c r="AU249" i="50"/>
  <c r="AU660" i="50"/>
  <c r="AX371" i="50"/>
  <c r="AV161" i="50"/>
  <c r="AY161" i="50" s="1"/>
  <c r="AX460" i="50"/>
  <c r="AW589" i="50"/>
  <c r="AZ589" i="50" s="1"/>
  <c r="AV545" i="50"/>
  <c r="AY545" i="50" s="1"/>
  <c r="AX84" i="50"/>
  <c r="BA84" i="50" s="1"/>
  <c r="AU594" i="50"/>
  <c r="AU596" i="50"/>
  <c r="AX223" i="50"/>
  <c r="BA223" i="50" s="1"/>
  <c r="AU221" i="50"/>
  <c r="AX350" i="50"/>
  <c r="AX162" i="50"/>
  <c r="BA162" i="50" s="1"/>
  <c r="AU545" i="50"/>
  <c r="AW84" i="50"/>
  <c r="AZ84" i="50" s="1"/>
  <c r="AV19" i="50"/>
  <c r="AV260" i="50"/>
  <c r="AY260" i="50" s="1"/>
  <c r="AX426" i="50"/>
  <c r="AX661" i="50"/>
  <c r="AX361" i="50"/>
  <c r="AV259" i="50"/>
  <c r="AY259" i="50" s="1"/>
  <c r="AV646" i="50"/>
  <c r="AY646" i="50" s="1"/>
  <c r="AX498" i="50"/>
  <c r="AU401" i="50"/>
  <c r="AX441" i="50"/>
  <c r="AU512" i="50"/>
  <c r="AX288" i="50"/>
  <c r="BA288" i="50" s="1"/>
  <c r="AV181" i="50"/>
  <c r="AY181" i="50" s="1"/>
  <c r="AX207" i="50"/>
  <c r="BA207" i="50" s="1"/>
  <c r="AW41" i="50"/>
  <c r="AU77" i="50"/>
  <c r="AX158" i="50"/>
  <c r="BA158" i="50" s="1"/>
  <c r="AU342" i="50"/>
  <c r="AX396" i="50"/>
  <c r="AX477" i="50"/>
  <c r="BA477" i="50" s="1"/>
  <c r="AX506" i="50"/>
  <c r="AU168" i="50"/>
  <c r="AW87" i="50"/>
  <c r="AU291" i="50"/>
  <c r="AU577" i="50"/>
  <c r="BB560" i="50"/>
  <c r="AW560" i="50"/>
  <c r="AZ560" i="50" s="1"/>
  <c r="BB459" i="50"/>
  <c r="AV459" i="50"/>
  <c r="AY459" i="50" s="1"/>
  <c r="BB457" i="50"/>
  <c r="AV457" i="50"/>
  <c r="AY457" i="50" s="1"/>
  <c r="BB651" i="50"/>
  <c r="AW651" i="50"/>
  <c r="AZ651" i="50" s="1"/>
  <c r="BB322" i="50"/>
  <c r="AX322" i="50"/>
  <c r="BA322" i="50" s="1"/>
  <c r="BB480" i="50"/>
  <c r="AU480" i="50"/>
  <c r="BB290" i="50"/>
  <c r="AU290" i="50"/>
  <c r="AV36" i="50"/>
  <c r="AX83" i="50"/>
  <c r="BA83" i="50" s="1"/>
  <c r="AW212" i="50"/>
  <c r="AZ212" i="50" s="1"/>
  <c r="AV182" i="50"/>
  <c r="AY182" i="50" s="1"/>
  <c r="AW219" i="50"/>
  <c r="AZ219" i="50" s="1"/>
  <c r="AV234" i="50"/>
  <c r="AY234" i="50" s="1"/>
  <c r="AW279" i="50"/>
  <c r="AZ279" i="50" s="1"/>
  <c r="AV348" i="50"/>
  <c r="AY348" i="50" s="1"/>
  <c r="AX309" i="50"/>
  <c r="BA309" i="50" s="1"/>
  <c r="AX392" i="50"/>
  <c r="AW487" i="50"/>
  <c r="AZ487" i="50" s="1"/>
  <c r="AX538" i="50"/>
  <c r="AX570" i="50"/>
  <c r="AU587" i="50"/>
  <c r="AU629" i="50"/>
  <c r="AU661" i="50"/>
  <c r="AV588" i="50"/>
  <c r="AY588" i="50" s="1"/>
  <c r="AU419" i="50"/>
  <c r="AX652" i="50"/>
  <c r="AV512" i="50"/>
  <c r="AY512" i="50" s="1"/>
  <c r="AV288" i="50"/>
  <c r="AY288" i="50" s="1"/>
  <c r="AW181" i="50"/>
  <c r="AZ181" i="50" s="1"/>
  <c r="AV207" i="50"/>
  <c r="AY207" i="50" s="1"/>
  <c r="AX41" i="50"/>
  <c r="AU211" i="50"/>
  <c r="AW452" i="50"/>
  <c r="AZ452" i="50" s="1"/>
  <c r="AX532" i="50"/>
  <c r="AV564" i="50"/>
  <c r="AY564" i="50" s="1"/>
  <c r="AW616" i="50"/>
  <c r="AZ616" i="50" s="1"/>
  <c r="AV123" i="50"/>
  <c r="AV644" i="50"/>
  <c r="AY644" i="50" s="1"/>
  <c r="AV650" i="50"/>
  <c r="AY650" i="50" s="1"/>
  <c r="AV128" i="50"/>
  <c r="AU625" i="50"/>
  <c r="AV560" i="50"/>
  <c r="AY560" i="50" s="1"/>
  <c r="AV577" i="50"/>
  <c r="AY577" i="50" s="1"/>
  <c r="AU651" i="50"/>
  <c r="AU457" i="50"/>
  <c r="BA457" i="50" s="1"/>
  <c r="AV322" i="50"/>
  <c r="AY322" i="50" s="1"/>
  <c r="AX290" i="50"/>
  <c r="BB160" i="50"/>
  <c r="AV160" i="50"/>
  <c r="AY160" i="50" s="1"/>
  <c r="BB602" i="50"/>
  <c r="AV602" i="50"/>
  <c r="AY602" i="50" s="1"/>
  <c r="BB654" i="50"/>
  <c r="AX654" i="50"/>
  <c r="BA654" i="50" s="1"/>
  <c r="BB662" i="50"/>
  <c r="AU662" i="50"/>
  <c r="BB590" i="50"/>
  <c r="AX590" i="50"/>
  <c r="AU423" i="50"/>
  <c r="BA423" i="50" s="1"/>
  <c r="AW423" i="50"/>
  <c r="AZ423" i="50" s="1"/>
  <c r="BB324" i="50"/>
  <c r="AU324" i="50"/>
  <c r="BB187" i="50"/>
  <c r="AU187" i="50"/>
  <c r="AZ187" i="50" s="1"/>
  <c r="BB56" i="50"/>
  <c r="AX56" i="50"/>
  <c r="BA56" i="50" s="1"/>
  <c r="BB22" i="50"/>
  <c r="AU22" i="50"/>
  <c r="BB464" i="50"/>
  <c r="AU464" i="50"/>
  <c r="BA464" i="50" s="1"/>
  <c r="BB607" i="50"/>
  <c r="AW607" i="50"/>
  <c r="AZ607" i="50" s="1"/>
  <c r="BB622" i="50"/>
  <c r="AW622" i="50"/>
  <c r="AZ622" i="50" s="1"/>
  <c r="BB582" i="50"/>
  <c r="AW582" i="50"/>
  <c r="AZ582" i="50" s="1"/>
  <c r="BB407" i="50"/>
  <c r="AX407" i="50"/>
  <c r="BA407" i="50" s="1"/>
  <c r="BB14" i="50"/>
  <c r="AU14" i="50"/>
  <c r="AY14" i="50" s="1"/>
  <c r="BB251" i="50"/>
  <c r="AX251" i="50"/>
  <c r="BB365" i="50"/>
  <c r="AW365" i="50"/>
  <c r="AZ365" i="50" s="1"/>
  <c r="BB411" i="50"/>
  <c r="AX411" i="50"/>
  <c r="BB584" i="50"/>
  <c r="AW584" i="50"/>
  <c r="AZ584" i="50" s="1"/>
  <c r="BB112" i="50"/>
  <c r="AV112" i="50"/>
  <c r="AY112" i="50" s="1"/>
  <c r="BB120" i="50"/>
  <c r="AV120" i="50"/>
  <c r="BB292" i="50"/>
  <c r="AU292" i="50"/>
  <c r="BA292" i="50" s="1"/>
  <c r="BB30" i="50"/>
  <c r="AW30" i="50"/>
  <c r="AZ30" i="50" s="1"/>
  <c r="BB257" i="50"/>
  <c r="AU257" i="50"/>
  <c r="BB451" i="50"/>
  <c r="AV451" i="50"/>
  <c r="AY451" i="50" s="1"/>
  <c r="BB624" i="50"/>
  <c r="AX624" i="50"/>
  <c r="BA624" i="50" s="1"/>
  <c r="BB617" i="50"/>
  <c r="AW617" i="50"/>
  <c r="AZ617" i="50" s="1"/>
  <c r="BB610" i="50"/>
  <c r="AU610" i="50"/>
  <c r="BB521" i="50"/>
  <c r="AX521" i="50"/>
  <c r="BB552" i="50"/>
  <c r="AW552" i="50"/>
  <c r="AZ552" i="50" s="1"/>
  <c r="BB472" i="50"/>
  <c r="AU472" i="50"/>
  <c r="BA472" i="50" s="1"/>
  <c r="BB599" i="50"/>
  <c r="AW599" i="50"/>
  <c r="AZ599" i="50" s="1"/>
  <c r="BB600" i="50"/>
  <c r="AU600" i="50"/>
  <c r="BB440" i="50"/>
  <c r="AX440" i="50"/>
  <c r="BB362" i="50"/>
  <c r="AX362" i="50"/>
  <c r="BB330" i="50"/>
  <c r="AW330" i="50"/>
  <c r="AZ330" i="50" s="1"/>
  <c r="AU293" i="50"/>
  <c r="AX293" i="50"/>
  <c r="BB256" i="50"/>
  <c r="AW256" i="50"/>
  <c r="AZ256" i="50" s="1"/>
  <c r="BB154" i="50"/>
  <c r="AV154" i="50"/>
  <c r="AY154" i="50" s="1"/>
  <c r="BB165" i="50"/>
  <c r="AW165" i="50"/>
  <c r="BB130" i="50"/>
  <c r="AV130" i="50"/>
  <c r="BB190" i="50"/>
  <c r="AU190" i="50"/>
  <c r="AU103" i="50"/>
  <c r="AX103" i="50"/>
  <c r="BA103" i="50" s="1"/>
  <c r="BB65" i="50"/>
  <c r="AV65" i="50"/>
  <c r="AY65" i="50" s="1"/>
  <c r="AU33" i="50"/>
  <c r="AX33" i="50"/>
  <c r="BA33" i="50" s="1"/>
  <c r="AU433" i="50"/>
  <c r="AX433" i="50"/>
  <c r="BB231" i="50"/>
  <c r="AW231" i="50"/>
  <c r="AZ231" i="50" s="1"/>
  <c r="BB104" i="50"/>
  <c r="AV104" i="50"/>
  <c r="AY104" i="50" s="1"/>
  <c r="BB634" i="50"/>
  <c r="AW634" i="50"/>
  <c r="AZ634" i="50" s="1"/>
  <c r="BB557" i="50"/>
  <c r="AW557" i="50"/>
  <c r="AZ557" i="50" s="1"/>
  <c r="AW260" i="50"/>
  <c r="AZ260" i="50" s="1"/>
  <c r="AW309" i="50"/>
  <c r="AZ309" i="50" s="1"/>
  <c r="AW392" i="50"/>
  <c r="AZ392" i="50" s="1"/>
  <c r="AU426" i="50"/>
  <c r="AU458" i="50"/>
  <c r="AW538" i="50"/>
  <c r="AZ538" i="50" s="1"/>
  <c r="AW570" i="50"/>
  <c r="AZ570" i="50" s="1"/>
  <c r="AW493" i="50"/>
  <c r="AZ493" i="50" s="1"/>
  <c r="AV587" i="50"/>
  <c r="AY587" i="50" s="1"/>
  <c r="AX629" i="50"/>
  <c r="AW661" i="50"/>
  <c r="AZ661" i="50" s="1"/>
  <c r="AW419" i="50"/>
  <c r="AZ419" i="50" s="1"/>
  <c r="AU361" i="50"/>
  <c r="AU259" i="50"/>
  <c r="AU646" i="50"/>
  <c r="AU276" i="50"/>
  <c r="AU125" i="50"/>
  <c r="AW512" i="50"/>
  <c r="AZ512" i="50" s="1"/>
  <c r="AU207" i="50"/>
  <c r="AU41" i="50"/>
  <c r="AW51" i="50"/>
  <c r="AZ51" i="50" s="1"/>
  <c r="AU105" i="50"/>
  <c r="AU204" i="50"/>
  <c r="AU394" i="50"/>
  <c r="AV420" i="50"/>
  <c r="AY420" i="50" s="1"/>
  <c r="AU581" i="50"/>
  <c r="AW393" i="50"/>
  <c r="AZ393" i="50" s="1"/>
  <c r="AU124" i="50"/>
  <c r="AY124" i="50" s="1"/>
  <c r="AX480" i="50"/>
  <c r="AX560" i="50"/>
  <c r="BA560" i="50" s="1"/>
  <c r="AX651" i="50"/>
  <c r="AU459" i="50"/>
  <c r="AW457" i="50"/>
  <c r="AZ457" i="50" s="1"/>
  <c r="AW322" i="50"/>
  <c r="AZ322" i="50" s="1"/>
  <c r="AW290" i="50"/>
  <c r="AZ290" i="50" s="1"/>
  <c r="BC283" i="50"/>
  <c r="AX86" i="50"/>
  <c r="BA86" i="50" s="1"/>
  <c r="W31" i="56"/>
  <c r="M31" i="56" s="1"/>
  <c r="T31" i="56"/>
  <c r="U31" i="56"/>
  <c r="W28" i="56"/>
  <c r="T28" i="56"/>
  <c r="DI5" i="54" s="1"/>
  <c r="U28" i="56"/>
  <c r="DI7" i="54" s="1"/>
  <c r="T32" i="56"/>
  <c r="U32" i="56"/>
  <c r="U34" i="56"/>
  <c r="T34" i="56"/>
  <c r="AV648" i="50"/>
  <c r="AY648" i="50" s="1"/>
  <c r="AX602" i="50"/>
  <c r="AW86" i="50"/>
  <c r="AZ86" i="50" s="1"/>
  <c r="AW654" i="50"/>
  <c r="AZ654" i="50" s="1"/>
  <c r="AX160" i="50"/>
  <c r="BA160" i="50" s="1"/>
  <c r="AX114" i="50"/>
  <c r="BA114" i="50" s="1"/>
  <c r="AW662" i="50"/>
  <c r="AZ662" i="50" s="1"/>
  <c r="AX357" i="50"/>
  <c r="W29" i="56"/>
  <c r="U29" i="56"/>
  <c r="T29" i="56"/>
  <c r="U30" i="56"/>
  <c r="T30" i="56"/>
  <c r="U33" i="56"/>
  <c r="T33" i="56"/>
  <c r="AU602" i="50"/>
  <c r="AV654" i="50"/>
  <c r="AY654" i="50" s="1"/>
  <c r="AU114" i="50"/>
  <c r="AX662" i="50"/>
  <c r="BC62" i="50"/>
  <c r="BC366" i="50"/>
  <c r="BC506" i="50"/>
  <c r="BC172" i="50"/>
  <c r="BC188" i="50"/>
  <c r="BC126" i="50"/>
  <c r="BC19" i="50"/>
  <c r="BC103" i="50"/>
  <c r="BC222" i="50"/>
  <c r="BC453" i="50"/>
  <c r="BC87" i="50"/>
  <c r="BC27" i="50"/>
  <c r="BC434" i="50"/>
  <c r="BC395" i="50"/>
  <c r="BC148" i="50"/>
  <c r="BC191" i="50"/>
  <c r="BC259" i="50"/>
  <c r="BC399" i="50"/>
  <c r="BC246" i="50"/>
  <c r="BC199" i="50"/>
  <c r="BC115" i="50"/>
  <c r="BC285" i="50"/>
  <c r="BC135" i="50"/>
  <c r="AU243" i="50"/>
  <c r="BA243" i="50" s="1"/>
  <c r="AU53" i="50"/>
  <c r="AX53" i="50"/>
  <c r="BA53" i="50" s="1"/>
  <c r="AV53" i="50"/>
  <c r="BB499" i="50"/>
  <c r="AV499" i="50"/>
  <c r="AY499" i="50" s="1"/>
  <c r="AX499" i="50"/>
  <c r="AU499" i="50"/>
  <c r="BB502" i="50"/>
  <c r="AX502" i="50"/>
  <c r="AU502" i="50"/>
  <c r="AV502" i="50"/>
  <c r="AY502" i="50" s="1"/>
  <c r="BB551" i="50"/>
  <c r="AU551" i="50"/>
  <c r="AW551" i="50"/>
  <c r="AZ551" i="50" s="1"/>
  <c r="AU609" i="50"/>
  <c r="AV609" i="50"/>
  <c r="AY609" i="50" s="1"/>
  <c r="BB496" i="50"/>
  <c r="AV496" i="50"/>
  <c r="AY496" i="50" s="1"/>
  <c r="AX496" i="50"/>
  <c r="BA496" i="50" s="1"/>
  <c r="BB302" i="50"/>
  <c r="AV302" i="50"/>
  <c r="AY302" i="50" s="1"/>
  <c r="AU302" i="50"/>
  <c r="BA302" i="50" s="1"/>
  <c r="BB167" i="50"/>
  <c r="AV167" i="50"/>
  <c r="AY167" i="50" s="1"/>
  <c r="AW167" i="50"/>
  <c r="BB32" i="50"/>
  <c r="AU32" i="50"/>
  <c r="AV32" i="50"/>
  <c r="BB79" i="50"/>
  <c r="AX79" i="50"/>
  <c r="BA79" i="50" s="1"/>
  <c r="AV79" i="50"/>
  <c r="AY79" i="50" s="1"/>
  <c r="BB484" i="50"/>
  <c r="AV484" i="50"/>
  <c r="AY484" i="50" s="1"/>
  <c r="AX484" i="50"/>
  <c r="AW484" i="50"/>
  <c r="AZ484" i="50" s="1"/>
  <c r="BB435" i="50"/>
  <c r="AV435" i="50"/>
  <c r="AY435" i="50" s="1"/>
  <c r="AW435" i="50"/>
  <c r="AZ435" i="50" s="1"/>
  <c r="BB514" i="50"/>
  <c r="AX514" i="50"/>
  <c r="AU514" i="50"/>
  <c r="AV514" i="50"/>
  <c r="AY514" i="50" s="1"/>
  <c r="BB52" i="50"/>
  <c r="AX52" i="50"/>
  <c r="BA52" i="50" s="1"/>
  <c r="AU52" i="50"/>
  <c r="BB526" i="50"/>
  <c r="AW526" i="50"/>
  <c r="AZ526" i="50" s="1"/>
  <c r="AV526" i="50"/>
  <c r="AY526" i="50" s="1"/>
  <c r="AU526" i="50"/>
  <c r="BA526" i="50" s="1"/>
  <c r="BB261" i="50"/>
  <c r="AW261" i="50"/>
  <c r="AZ261" i="50" s="1"/>
  <c r="AX261" i="50"/>
  <c r="BA261" i="50" s="1"/>
  <c r="AV261" i="50"/>
  <c r="AY261" i="50" s="1"/>
  <c r="BB571" i="50"/>
  <c r="AU571" i="50"/>
  <c r="AX571" i="50"/>
  <c r="AU469" i="50"/>
  <c r="AV469" i="50"/>
  <c r="AY469" i="50" s="1"/>
  <c r="AW469" i="50"/>
  <c r="AZ469" i="50" s="1"/>
  <c r="BB312" i="50"/>
  <c r="AU312" i="50"/>
  <c r="AW312" i="50"/>
  <c r="AZ312" i="50" s="1"/>
  <c r="AX312" i="50"/>
  <c r="AV312" i="50"/>
  <c r="AY312" i="50" s="1"/>
  <c r="BB151" i="50"/>
  <c r="AX151" i="50"/>
  <c r="BA151" i="50" s="1"/>
  <c r="AV151" i="50"/>
  <c r="AY151" i="50" s="1"/>
  <c r="BB24" i="50"/>
  <c r="AU24" i="50"/>
  <c r="AV24" i="50"/>
  <c r="AW24" i="50"/>
  <c r="AZ24" i="50" s="1"/>
  <c r="AU113" i="50"/>
  <c r="AW113" i="50"/>
  <c r="AZ113" i="50" s="1"/>
  <c r="AX113" i="50"/>
  <c r="BB544" i="50"/>
  <c r="AX544" i="50"/>
  <c r="BA544" i="50" s="1"/>
  <c r="AV544" i="50"/>
  <c r="AY544" i="50" s="1"/>
  <c r="AW544" i="50"/>
  <c r="AZ544" i="50" s="1"/>
  <c r="BB492" i="50"/>
  <c r="AV492" i="50"/>
  <c r="AY492" i="50" s="1"/>
  <c r="AX492" i="50"/>
  <c r="AW492" i="50"/>
  <c r="AZ492" i="50" s="1"/>
  <c r="AU492" i="50"/>
  <c r="BB447" i="50"/>
  <c r="AW447" i="50"/>
  <c r="AZ447" i="50" s="1"/>
  <c r="AU447" i="50"/>
  <c r="AX447" i="50"/>
  <c r="AU563" i="50"/>
  <c r="AV563" i="50"/>
  <c r="AY563" i="50" s="1"/>
  <c r="AX563" i="50"/>
  <c r="AU453" i="50"/>
  <c r="AW453" i="50"/>
  <c r="AZ453" i="50" s="1"/>
  <c r="AX453" i="50"/>
  <c r="BB296" i="50"/>
  <c r="AU296" i="50"/>
  <c r="AW296" i="50"/>
  <c r="AZ296" i="50" s="1"/>
  <c r="BB131" i="50"/>
  <c r="AU131" i="50"/>
  <c r="AW131" i="50"/>
  <c r="AZ131" i="50" s="1"/>
  <c r="AX131" i="50"/>
  <c r="BA131" i="50" s="1"/>
  <c r="AV131" i="50"/>
  <c r="BB16" i="50"/>
  <c r="AV16" i="50"/>
  <c r="AY16" i="50" s="1"/>
  <c r="AW16" i="50"/>
  <c r="AZ16" i="50" s="1"/>
  <c r="AX16" i="50"/>
  <c r="BA16" i="50" s="1"/>
  <c r="BB642" i="50"/>
  <c r="AU642" i="50"/>
  <c r="BA642" i="50" s="1"/>
  <c r="AW642" i="50"/>
  <c r="AZ642" i="50" s="1"/>
  <c r="BB247" i="50"/>
  <c r="AV247" i="50"/>
  <c r="AY247" i="50" s="1"/>
  <c r="AW247" i="50"/>
  <c r="AZ247" i="50" s="1"/>
  <c r="BB387" i="50"/>
  <c r="AW387" i="50"/>
  <c r="AZ387" i="50" s="1"/>
  <c r="AX387" i="50"/>
  <c r="BA387" i="50" s="1"/>
  <c r="AV387" i="50"/>
  <c r="AY387" i="50" s="1"/>
  <c r="BB475" i="50"/>
  <c r="AV475" i="50"/>
  <c r="AY475" i="50" s="1"/>
  <c r="AX475" i="50"/>
  <c r="AW475" i="50"/>
  <c r="AZ475" i="50" s="1"/>
  <c r="BB636" i="50"/>
  <c r="AX636" i="50"/>
  <c r="AV636" i="50"/>
  <c r="AY636" i="50" s="1"/>
  <c r="AU636" i="50"/>
  <c r="AV28" i="50"/>
  <c r="AX28" i="50"/>
  <c r="BA28" i="50" s="1"/>
  <c r="AU28" i="50"/>
  <c r="BB176" i="50"/>
  <c r="AU176" i="50"/>
  <c r="AZ176" i="50" s="1"/>
  <c r="AV176" i="50"/>
  <c r="AY176" i="50" s="1"/>
  <c r="AX176" i="50"/>
  <c r="BA176" i="50" s="1"/>
  <c r="BB300" i="50"/>
  <c r="AV300" i="50"/>
  <c r="AY300" i="50" s="1"/>
  <c r="AX300" i="50"/>
  <c r="AU300" i="50"/>
  <c r="BB461" i="50"/>
  <c r="AW461" i="50"/>
  <c r="AZ461" i="50" s="1"/>
  <c r="AU461" i="50"/>
  <c r="BB559" i="50"/>
  <c r="AW559" i="50"/>
  <c r="AZ559" i="50" s="1"/>
  <c r="AU559" i="50"/>
  <c r="BB92" i="50"/>
  <c r="AW92" i="50"/>
  <c r="AZ92" i="50" s="1"/>
  <c r="AU92" i="50"/>
  <c r="AU253" i="50"/>
  <c r="AV253" i="50"/>
  <c r="AY253" i="50" s="1"/>
  <c r="BB377" i="50"/>
  <c r="AV377" i="50"/>
  <c r="AY377" i="50" s="1"/>
  <c r="AW377" i="50"/>
  <c r="AZ377" i="50" s="1"/>
  <c r="AW518" i="50"/>
  <c r="AZ518" i="50" s="1"/>
  <c r="AU518" i="50"/>
  <c r="BA518" i="50" s="1"/>
  <c r="BB656" i="50"/>
  <c r="AX656" i="50"/>
  <c r="BA656" i="50" s="1"/>
  <c r="AW656" i="50"/>
  <c r="AZ656" i="50" s="1"/>
  <c r="AV656" i="50"/>
  <c r="AY656" i="50" s="1"/>
  <c r="BB591" i="50"/>
  <c r="AX591" i="50"/>
  <c r="AV591" i="50"/>
  <c r="AY591" i="50" s="1"/>
  <c r="BB574" i="50"/>
  <c r="AX574" i="50"/>
  <c r="BA574" i="50" s="1"/>
  <c r="AW574" i="50"/>
  <c r="AZ574" i="50" s="1"/>
  <c r="AV574" i="50"/>
  <c r="AY574" i="50" s="1"/>
  <c r="BB495" i="50"/>
  <c r="AX495" i="50"/>
  <c r="AW495" i="50"/>
  <c r="AZ495" i="50" s="1"/>
  <c r="BB414" i="50"/>
  <c r="AW414" i="50"/>
  <c r="AZ414" i="50" s="1"/>
  <c r="AV414" i="50"/>
  <c r="AY414" i="50" s="1"/>
  <c r="AX414" i="50"/>
  <c r="BA414" i="50" s="1"/>
  <c r="BB246" i="50"/>
  <c r="AW246" i="50"/>
  <c r="AZ246" i="50" s="1"/>
  <c r="AX246" i="50"/>
  <c r="AU246" i="50"/>
  <c r="BB142" i="50"/>
  <c r="AV142" i="50"/>
  <c r="AY142" i="50" s="1"/>
  <c r="AW142" i="50"/>
  <c r="AZ142" i="50" s="1"/>
  <c r="BB45" i="50"/>
  <c r="AV45" i="50"/>
  <c r="AW45" i="50"/>
  <c r="AZ45" i="50" s="1"/>
  <c r="BB210" i="50"/>
  <c r="AX210" i="50"/>
  <c r="AV210" i="50"/>
  <c r="AY210" i="50" s="1"/>
  <c r="BB341" i="50"/>
  <c r="AX341" i="50"/>
  <c r="AU341" i="50"/>
  <c r="AU483" i="50"/>
  <c r="AX483" i="50"/>
  <c r="AW483" i="50"/>
  <c r="AZ483" i="50" s="1"/>
  <c r="BB575" i="50"/>
  <c r="AU575" i="50"/>
  <c r="AV575" i="50"/>
  <c r="AY575" i="50" s="1"/>
  <c r="BB116" i="50"/>
  <c r="AX116" i="50"/>
  <c r="BA116" i="50" s="1"/>
  <c r="AV116" i="50"/>
  <c r="AY116" i="50" s="1"/>
  <c r="AV98" i="50"/>
  <c r="AU98" i="50"/>
  <c r="AV268" i="50"/>
  <c r="AY268" i="50" s="1"/>
  <c r="AW268" i="50"/>
  <c r="AZ268" i="50" s="1"/>
  <c r="BB395" i="50"/>
  <c r="AV395" i="50"/>
  <c r="AY395" i="50" s="1"/>
  <c r="AW395" i="50"/>
  <c r="AZ395" i="50" s="1"/>
  <c r="BB479" i="50"/>
  <c r="AU479" i="50"/>
  <c r="AX479" i="50"/>
  <c r="AX638" i="50"/>
  <c r="BA638" i="50" s="1"/>
  <c r="AV638" i="50"/>
  <c r="AY638" i="50" s="1"/>
  <c r="AU353" i="50"/>
  <c r="AW353" i="50"/>
  <c r="AZ353" i="50" s="1"/>
  <c r="AX353" i="50"/>
  <c r="BB524" i="50"/>
  <c r="AW524" i="50"/>
  <c r="AZ524" i="50" s="1"/>
  <c r="AV524" i="50"/>
  <c r="AY524" i="50" s="1"/>
  <c r="BB580" i="50"/>
  <c r="AU580" i="50"/>
  <c r="AW580" i="50"/>
  <c r="AZ580" i="50" s="1"/>
  <c r="BB627" i="50"/>
  <c r="AV627" i="50"/>
  <c r="AY627" i="50" s="1"/>
  <c r="AW627" i="50"/>
  <c r="AZ627" i="50" s="1"/>
  <c r="AU627" i="50"/>
  <c r="AV489" i="50"/>
  <c r="AY489" i="50" s="1"/>
  <c r="AU489" i="50"/>
  <c r="BB536" i="50"/>
  <c r="AX536" i="50"/>
  <c r="AV536" i="50"/>
  <c r="AY536" i="50" s="1"/>
  <c r="AU536" i="50"/>
  <c r="BB456" i="50"/>
  <c r="AW456" i="50"/>
  <c r="AZ456" i="50" s="1"/>
  <c r="AX456" i="50"/>
  <c r="BA456" i="50" s="1"/>
  <c r="AV456" i="50"/>
  <c r="AY456" i="50" s="1"/>
  <c r="BB360" i="50"/>
  <c r="AX360" i="50"/>
  <c r="AU360" i="50"/>
  <c r="BB171" i="50"/>
  <c r="AV171" i="50"/>
  <c r="AY171" i="50" s="1"/>
  <c r="AW171" i="50"/>
  <c r="BB99" i="50"/>
  <c r="AW99" i="50"/>
  <c r="AZ99" i="50" s="1"/>
  <c r="AX99" i="50"/>
  <c r="BA99" i="50" s="1"/>
  <c r="AX657" i="50"/>
  <c r="AW657" i="50"/>
  <c r="AZ657" i="50" s="1"/>
  <c r="AU657" i="50"/>
  <c r="AU583" i="50"/>
  <c r="AX583" i="50"/>
  <c r="AV583" i="50"/>
  <c r="AY583" i="50" s="1"/>
  <c r="AW583" i="50"/>
  <c r="AZ583" i="50" s="1"/>
  <c r="BB566" i="50"/>
  <c r="AX566" i="50"/>
  <c r="AV566" i="50"/>
  <c r="AY566" i="50" s="1"/>
  <c r="AU566" i="50"/>
  <c r="BB404" i="50"/>
  <c r="AX404" i="50"/>
  <c r="BA404" i="50" s="1"/>
  <c r="AW404" i="50"/>
  <c r="AZ404" i="50" s="1"/>
  <c r="AV404" i="50"/>
  <c r="AY404" i="50" s="1"/>
  <c r="AV378" i="50"/>
  <c r="AY378" i="50" s="1"/>
  <c r="AU378" i="50"/>
  <c r="AW378" i="50"/>
  <c r="AZ378" i="50" s="1"/>
  <c r="AX378" i="50"/>
  <c r="AX283" i="50"/>
  <c r="AV283" i="50"/>
  <c r="AY283" i="50" s="1"/>
  <c r="AU283" i="50"/>
  <c r="BB220" i="50"/>
  <c r="AU220" i="50"/>
  <c r="AX220" i="50"/>
  <c r="AU23" i="50"/>
  <c r="AX23" i="50"/>
  <c r="BA23" i="50" s="1"/>
  <c r="AV23" i="50"/>
  <c r="BB639" i="50"/>
  <c r="AV639" i="50"/>
  <c r="AY639" i="50" s="1"/>
  <c r="AW639" i="50"/>
  <c r="AZ639" i="50" s="1"/>
  <c r="BB597" i="50"/>
  <c r="AX597" i="50"/>
  <c r="AU597" i="50"/>
  <c r="AU513" i="50"/>
  <c r="AW513" i="50"/>
  <c r="AZ513" i="50" s="1"/>
  <c r="AX513" i="50"/>
  <c r="AU548" i="50"/>
  <c r="BA548" i="50" s="1"/>
  <c r="AW548" i="50"/>
  <c r="AZ548" i="50" s="1"/>
  <c r="BB507" i="50"/>
  <c r="AV507" i="50"/>
  <c r="AY507" i="50" s="1"/>
  <c r="AX507" i="50"/>
  <c r="BA507" i="50" s="1"/>
  <c r="BB436" i="50"/>
  <c r="AV436" i="50"/>
  <c r="AY436" i="50" s="1"/>
  <c r="AW436" i="50"/>
  <c r="AZ436" i="50" s="1"/>
  <c r="BB315" i="50"/>
  <c r="AV315" i="50"/>
  <c r="AY315" i="50" s="1"/>
  <c r="BB432" i="50"/>
  <c r="AV432" i="50"/>
  <c r="AY432" i="50" s="1"/>
  <c r="AW432" i="50"/>
  <c r="AZ432" i="50" s="1"/>
  <c r="AX432" i="50"/>
  <c r="AU432" i="50"/>
  <c r="BB382" i="50"/>
  <c r="AU382" i="50"/>
  <c r="AV382" i="50"/>
  <c r="AY382" i="50" s="1"/>
  <c r="AX382" i="50"/>
  <c r="BB299" i="50"/>
  <c r="AU299" i="50"/>
  <c r="AV299" i="50"/>
  <c r="AY299" i="50" s="1"/>
  <c r="AX299" i="50"/>
  <c r="BB354" i="50"/>
  <c r="AU354" i="50"/>
  <c r="AX354" i="50"/>
  <c r="AW354" i="50"/>
  <c r="AZ354" i="50" s="1"/>
  <c r="BB311" i="50"/>
  <c r="AX311" i="50"/>
  <c r="AU311" i="50"/>
  <c r="BB285" i="50"/>
  <c r="AU285" i="50"/>
  <c r="BA285" i="50" s="1"/>
  <c r="AW285" i="50"/>
  <c r="AZ285" i="50" s="1"/>
  <c r="AV285" i="50"/>
  <c r="AY285" i="50" s="1"/>
  <c r="AU258" i="50"/>
  <c r="BA258" i="50" s="1"/>
  <c r="AV258" i="50"/>
  <c r="AY258" i="50" s="1"/>
  <c r="AW258" i="50"/>
  <c r="AZ258" i="50" s="1"/>
  <c r="BB136" i="50"/>
  <c r="AV136" i="50"/>
  <c r="AW136" i="50"/>
  <c r="AV109" i="50"/>
  <c r="AW109" i="50"/>
  <c r="AZ109" i="50" s="1"/>
  <c r="AX109" i="50"/>
  <c r="BA109" i="50" s="1"/>
  <c r="AU109" i="50"/>
  <c r="BB222" i="50"/>
  <c r="AX222" i="50"/>
  <c r="AV222" i="50"/>
  <c r="AY222" i="50" s="1"/>
  <c r="BB177" i="50"/>
  <c r="AV177" i="50"/>
  <c r="AY177" i="50" s="1"/>
  <c r="AW177" i="50"/>
  <c r="AX177" i="50"/>
  <c r="BA177" i="50" s="1"/>
  <c r="AU177" i="50"/>
  <c r="BB91" i="50"/>
  <c r="AV91" i="50"/>
  <c r="AW91" i="50"/>
  <c r="AZ91" i="50" s="1"/>
  <c r="AU57" i="50"/>
  <c r="AX57" i="50"/>
  <c r="BA57" i="50" s="1"/>
  <c r="AV57" i="50"/>
  <c r="BB25" i="50"/>
  <c r="AX25" i="50"/>
  <c r="BA25" i="50" s="1"/>
  <c r="AV25" i="50"/>
  <c r="AY25" i="50" s="1"/>
  <c r="BB504" i="50"/>
  <c r="AX504" i="50"/>
  <c r="AU504" i="50"/>
  <c r="AV504" i="50"/>
  <c r="AY504" i="50" s="1"/>
  <c r="BB335" i="50"/>
  <c r="AU335" i="50"/>
  <c r="AV335" i="50"/>
  <c r="AY335" i="50" s="1"/>
  <c r="AW335" i="50"/>
  <c r="AZ335" i="50" s="1"/>
  <c r="BB191" i="50"/>
  <c r="AV191" i="50"/>
  <c r="AY191" i="50" s="1"/>
  <c r="AW191" i="50"/>
  <c r="AZ191" i="50" s="1"/>
  <c r="AU613" i="50"/>
  <c r="AV613" i="50"/>
  <c r="AY613" i="50" s="1"/>
  <c r="AX613" i="50"/>
  <c r="AV547" i="50"/>
  <c r="AY547" i="50" s="1"/>
  <c r="AX547" i="50"/>
  <c r="AX618" i="50"/>
  <c r="AU618" i="50"/>
  <c r="AU233" i="50"/>
  <c r="AX233" i="50"/>
  <c r="AW592" i="50"/>
  <c r="AZ592" i="50" s="1"/>
  <c r="AV592" i="50"/>
  <c r="AY592" i="50" s="1"/>
  <c r="BB535" i="50"/>
  <c r="AW535" i="50"/>
  <c r="AZ535" i="50" s="1"/>
  <c r="BB54" i="50"/>
  <c r="AU54" i="50"/>
  <c r="BB239" i="50"/>
  <c r="AU239" i="50"/>
  <c r="BB467" i="50"/>
  <c r="AW467" i="50"/>
  <c r="AZ467" i="50" s="1"/>
  <c r="BB632" i="50"/>
  <c r="AV632" i="50"/>
  <c r="AY632" i="50" s="1"/>
  <c r="BB631" i="50"/>
  <c r="AX631" i="50"/>
  <c r="BB317" i="50"/>
  <c r="AX317" i="50"/>
  <c r="AW503" i="50"/>
  <c r="AZ503" i="50" s="1"/>
  <c r="AU503" i="50"/>
  <c r="AU35" i="50"/>
  <c r="AW67" i="50"/>
  <c r="AZ67" i="50" s="1"/>
  <c r="AV89" i="50"/>
  <c r="AV107" i="50"/>
  <c r="AW192" i="50"/>
  <c r="AW134" i="50"/>
  <c r="AZ134" i="50" s="1"/>
  <c r="AW117" i="50"/>
  <c r="AZ117" i="50" s="1"/>
  <c r="AX170" i="50"/>
  <c r="BA170" i="50" s="1"/>
  <c r="AU232" i="50"/>
  <c r="AW230" i="50"/>
  <c r="AZ230" i="50" s="1"/>
  <c r="AW332" i="50"/>
  <c r="AZ332" i="50" s="1"/>
  <c r="AW364" i="50"/>
  <c r="AZ364" i="50" s="1"/>
  <c r="AW305" i="50"/>
  <c r="AZ305" i="50" s="1"/>
  <c r="AX390" i="50"/>
  <c r="AV410" i="50"/>
  <c r="AY410" i="50" s="1"/>
  <c r="AW434" i="50"/>
  <c r="AZ434" i="50" s="1"/>
  <c r="AV442" i="50"/>
  <c r="AY442" i="50" s="1"/>
  <c r="AV466" i="50"/>
  <c r="AY466" i="50" s="1"/>
  <c r="AV474" i="50"/>
  <c r="AY474" i="50" s="1"/>
  <c r="AX503" i="50"/>
  <c r="AW519" i="50"/>
  <c r="AZ519" i="50" s="1"/>
  <c r="AX546" i="50"/>
  <c r="AW554" i="50"/>
  <c r="AZ554" i="50" s="1"/>
  <c r="AU606" i="50"/>
  <c r="AX525" i="50"/>
  <c r="AX595" i="50"/>
  <c r="AX645" i="50"/>
  <c r="AU537" i="50"/>
  <c r="BA537" i="50" s="1"/>
  <c r="AW417" i="50"/>
  <c r="AZ417" i="50" s="1"/>
  <c r="AW270" i="50"/>
  <c r="AZ270" i="50" s="1"/>
  <c r="AW205" i="50"/>
  <c r="AW137" i="50"/>
  <c r="AZ137" i="50" s="1"/>
  <c r="AU605" i="50"/>
  <c r="AX488" i="50"/>
  <c r="BA488" i="50" s="1"/>
  <c r="AX359" i="50"/>
  <c r="AV327" i="50"/>
  <c r="AY327" i="50" s="1"/>
  <c r="AW183" i="50"/>
  <c r="AZ183" i="50" s="1"/>
  <c r="AW76" i="50"/>
  <c r="AZ76" i="50" s="1"/>
  <c r="AW44" i="50"/>
  <c r="AZ44" i="50" s="1"/>
  <c r="AX549" i="50"/>
  <c r="AX510" i="50"/>
  <c r="AX500" i="50"/>
  <c r="AW282" i="50"/>
  <c r="AZ282" i="50" s="1"/>
  <c r="AX245" i="50"/>
  <c r="AX555" i="50"/>
  <c r="AX522" i="50"/>
  <c r="AW455" i="50"/>
  <c r="AZ455" i="50" s="1"/>
  <c r="AV318" i="50"/>
  <c r="AY318" i="50" s="1"/>
  <c r="AU185" i="50"/>
  <c r="AW108" i="50"/>
  <c r="AZ108" i="50" s="1"/>
  <c r="AV46" i="50"/>
  <c r="AV29" i="50"/>
  <c r="AU61" i="50"/>
  <c r="AW95" i="50"/>
  <c r="AZ95" i="50" s="1"/>
  <c r="AU186" i="50"/>
  <c r="AV226" i="50"/>
  <c r="AY226" i="50" s="1"/>
  <c r="AW149" i="50"/>
  <c r="AW155" i="50"/>
  <c r="AU240" i="50"/>
  <c r="BC6" i="50" s="1"/>
  <c r="AX289" i="50"/>
  <c r="AU295" i="50"/>
  <c r="AX326" i="50"/>
  <c r="AU358" i="50"/>
  <c r="BA358" i="50" s="1"/>
  <c r="AX400" i="50"/>
  <c r="AV398" i="50"/>
  <c r="AY398" i="50" s="1"/>
  <c r="AU436" i="50"/>
  <c r="AW540" i="50"/>
  <c r="AZ540" i="50" s="1"/>
  <c r="AX598" i="50"/>
  <c r="BA598" i="50" s="1"/>
  <c r="AX497" i="50"/>
  <c r="AW597" i="50"/>
  <c r="AZ597" i="50" s="1"/>
  <c r="AX639" i="50"/>
  <c r="BA639" i="50" s="1"/>
  <c r="AX580" i="50"/>
  <c r="AU314" i="50"/>
  <c r="AW243" i="50"/>
  <c r="AZ243" i="50" s="1"/>
  <c r="AW638" i="50"/>
  <c r="AZ638" i="50" s="1"/>
  <c r="AW116" i="50"/>
  <c r="AZ116" i="50" s="1"/>
  <c r="AW373" i="50"/>
  <c r="AZ373" i="50" s="1"/>
  <c r="AU210" i="50"/>
  <c r="AX609" i="50"/>
  <c r="AW496" i="50"/>
  <c r="AZ496" i="50" s="1"/>
  <c r="AU45" i="50"/>
  <c r="AW79" i="50"/>
  <c r="AZ79" i="50" s="1"/>
  <c r="AW220" i="50"/>
  <c r="AZ220" i="50" s="1"/>
  <c r="AX142" i="50"/>
  <c r="BA142" i="50" s="1"/>
  <c r="AV246" i="50"/>
  <c r="AY246" i="50" s="1"/>
  <c r="AV360" i="50"/>
  <c r="AY360" i="50" s="1"/>
  <c r="AW438" i="50"/>
  <c r="AZ438" i="50" s="1"/>
  <c r="AU495" i="50"/>
  <c r="AX558" i="50"/>
  <c r="AV518" i="50"/>
  <c r="AY518" i="50" s="1"/>
  <c r="AX377" i="50"/>
  <c r="BA377" i="50" s="1"/>
  <c r="AX559" i="50"/>
  <c r="AX461" i="50"/>
  <c r="AU475" i="50"/>
  <c r="AX247" i="50"/>
  <c r="BA247" i="50" s="1"/>
  <c r="AV571" i="50"/>
  <c r="AY571" i="50" s="1"/>
  <c r="AW151" i="50"/>
  <c r="AZ151" i="50" s="1"/>
  <c r="AX24" i="50"/>
  <c r="BA24" i="50" s="1"/>
  <c r="AW222" i="50"/>
  <c r="AZ222" i="50" s="1"/>
  <c r="AV311" i="50"/>
  <c r="AY311" i="50" s="1"/>
  <c r="AW382" i="50"/>
  <c r="AZ382" i="50" s="1"/>
  <c r="AW499" i="50"/>
  <c r="AZ499" i="50" s="1"/>
  <c r="AX627" i="50"/>
  <c r="AX435" i="50"/>
  <c r="BA435" i="50" s="1"/>
  <c r="AW613" i="50"/>
  <c r="AZ613" i="50" s="1"/>
  <c r="AW504" i="50"/>
  <c r="AZ504" i="50" s="1"/>
  <c r="AX191" i="50"/>
  <c r="BA191" i="50" s="1"/>
  <c r="AV52" i="50"/>
  <c r="AW563" i="50"/>
  <c r="AZ563" i="50" s="1"/>
  <c r="AX296" i="50"/>
  <c r="AW35" i="50"/>
  <c r="AZ35" i="50" s="1"/>
  <c r="AV67" i="50"/>
  <c r="AY67" i="50" s="1"/>
  <c r="AU107" i="50"/>
  <c r="AV192" i="50"/>
  <c r="AY192" i="50" s="1"/>
  <c r="AU224" i="50"/>
  <c r="AV134" i="50"/>
  <c r="AY134" i="50" s="1"/>
  <c r="AV170" i="50"/>
  <c r="AY170" i="50" s="1"/>
  <c r="AV263" i="50"/>
  <c r="AY263" i="50" s="1"/>
  <c r="AX230" i="50"/>
  <c r="AV332" i="50"/>
  <c r="AY332" i="50" s="1"/>
  <c r="AV364" i="50"/>
  <c r="AY364" i="50" s="1"/>
  <c r="AV307" i="50"/>
  <c r="AY307" i="50" s="1"/>
  <c r="AV305" i="50"/>
  <c r="AY305" i="50" s="1"/>
  <c r="AU410" i="50"/>
  <c r="AU442" i="50"/>
  <c r="AU474" i="50"/>
  <c r="AU519" i="50"/>
  <c r="AU554" i="50"/>
  <c r="AV606" i="50"/>
  <c r="AY606" i="50" s="1"/>
  <c r="AW509" i="50"/>
  <c r="AZ509" i="50" s="1"/>
  <c r="AW525" i="50"/>
  <c r="AZ525" i="50" s="1"/>
  <c r="AX603" i="50"/>
  <c r="BA603" i="50" s="1"/>
  <c r="AW645" i="50"/>
  <c r="AZ645" i="50" s="1"/>
  <c r="AU329" i="50"/>
  <c r="AV270" i="50"/>
  <c r="AY270" i="50" s="1"/>
  <c r="AU137" i="50"/>
  <c r="AX605" i="50"/>
  <c r="AX431" i="50"/>
  <c r="AU327" i="50"/>
  <c r="BA327" i="50" s="1"/>
  <c r="AV183" i="50"/>
  <c r="AY183" i="50" s="1"/>
  <c r="AV76" i="50"/>
  <c r="AV44" i="50"/>
  <c r="AY44" i="50" s="1"/>
  <c r="AV510" i="50"/>
  <c r="AY510" i="50" s="1"/>
  <c r="AV282" i="50"/>
  <c r="AY282" i="50" s="1"/>
  <c r="AW245" i="50"/>
  <c r="AZ245" i="50" s="1"/>
  <c r="AW555" i="50"/>
  <c r="AZ555" i="50" s="1"/>
  <c r="AV522" i="50"/>
  <c r="AY522" i="50" s="1"/>
  <c r="AV455" i="50"/>
  <c r="AY455" i="50" s="1"/>
  <c r="AX185" i="50"/>
  <c r="BA185" i="50" s="1"/>
  <c r="AU46" i="50"/>
  <c r="AV21" i="50"/>
  <c r="AX29" i="50"/>
  <c r="BA29" i="50" s="1"/>
  <c r="AU85" i="50"/>
  <c r="AV95" i="50"/>
  <c r="AY95" i="50" s="1"/>
  <c r="AW186" i="50"/>
  <c r="AV214" i="50"/>
  <c r="AY214" i="50" s="1"/>
  <c r="AX226" i="50"/>
  <c r="AU149" i="50"/>
  <c r="AU227" i="50"/>
  <c r="AV155" i="50"/>
  <c r="AY155" i="50" s="1"/>
  <c r="AX240" i="50"/>
  <c r="AX281" i="50"/>
  <c r="AW289" i="50"/>
  <c r="AZ289" i="50" s="1"/>
  <c r="AU326" i="50"/>
  <c r="AU315" i="50"/>
  <c r="BA315" i="50" s="1"/>
  <c r="AX436" i="50"/>
  <c r="AW491" i="50"/>
  <c r="AZ491" i="50" s="1"/>
  <c r="AV572" i="50"/>
  <c r="AY572" i="50" s="1"/>
  <c r="AW598" i="50"/>
  <c r="AZ598" i="50" s="1"/>
  <c r="AV513" i="50"/>
  <c r="AY513" i="50" s="1"/>
  <c r="AV597" i="50"/>
  <c r="AY597" i="50" s="1"/>
  <c r="AU524" i="50"/>
  <c r="BA524" i="50" s="1"/>
  <c r="AV353" i="50"/>
  <c r="AY353" i="50" s="1"/>
  <c r="AU427" i="50"/>
  <c r="AW341" i="50"/>
  <c r="AZ341" i="50" s="1"/>
  <c r="AW210" i="50"/>
  <c r="AZ210" i="50" s="1"/>
  <c r="AW609" i="50"/>
  <c r="AZ609" i="50" s="1"/>
  <c r="AV421" i="50"/>
  <c r="AY421" i="50" s="1"/>
  <c r="AX45" i="50"/>
  <c r="BA45" i="50" s="1"/>
  <c r="AV113" i="50"/>
  <c r="AV220" i="50"/>
  <c r="AY220" i="50" s="1"/>
  <c r="AU166" i="50"/>
  <c r="AZ166" i="50" s="1"/>
  <c r="AU171" i="50"/>
  <c r="AV495" i="50"/>
  <c r="AY495" i="50" s="1"/>
  <c r="AW566" i="50"/>
  <c r="AZ566" i="50" s="1"/>
  <c r="AU591" i="50"/>
  <c r="AX641" i="50"/>
  <c r="AV92" i="50"/>
  <c r="AV559" i="50"/>
  <c r="AY559" i="50" s="1"/>
  <c r="AW300" i="50"/>
  <c r="AZ300" i="50" s="1"/>
  <c r="AW28" i="50"/>
  <c r="AZ28" i="50" s="1"/>
  <c r="AU409" i="50"/>
  <c r="BA409" i="50" s="1"/>
  <c r="AV642" i="50"/>
  <c r="AY642" i="50" s="1"/>
  <c r="AX469" i="50"/>
  <c r="AU91" i="50"/>
  <c r="AU136" i="50"/>
  <c r="AU484" i="50"/>
  <c r="AX489" i="50"/>
  <c r="AX551" i="50"/>
  <c r="AX335" i="50"/>
  <c r="AV453" i="50"/>
  <c r="AY453" i="50" s="1"/>
  <c r="BC591" i="50"/>
  <c r="BC594" i="50"/>
  <c r="BC264" i="50"/>
  <c r="BC606" i="50"/>
  <c r="BC391" i="50"/>
  <c r="BC140" i="50"/>
  <c r="BC157" i="50"/>
  <c r="BC69" i="50"/>
  <c r="BC373" i="50"/>
  <c r="BC32" i="50"/>
  <c r="BC252" i="50"/>
  <c r="BC164" i="50"/>
  <c r="BC655" i="50"/>
  <c r="BC559" i="50"/>
  <c r="BC383" i="50"/>
  <c r="BC267" i="50"/>
  <c r="BC33" i="50"/>
  <c r="BC562" i="50"/>
  <c r="BC402" i="50"/>
  <c r="BC182" i="50"/>
  <c r="BC30" i="50"/>
  <c r="BC232" i="50"/>
  <c r="BC603" i="50"/>
  <c r="BC359" i="50"/>
  <c r="BC155" i="50"/>
  <c r="BC542" i="50"/>
  <c r="BC290" i="50"/>
  <c r="BC90" i="50"/>
  <c r="BC647" i="50"/>
  <c r="BC355" i="50"/>
  <c r="BC17" i="50"/>
  <c r="BC410" i="50"/>
  <c r="BC174" i="50"/>
  <c r="BC80" i="50"/>
  <c r="BC609" i="50"/>
  <c r="BC632" i="50"/>
  <c r="BC123" i="50"/>
  <c r="BC107" i="50"/>
  <c r="BC41" i="50"/>
  <c r="BC448" i="50"/>
  <c r="BC518" i="50"/>
  <c r="BC168" i="50"/>
  <c r="BC105" i="50"/>
  <c r="BC443" i="50"/>
  <c r="AW648" i="50"/>
  <c r="AZ648" i="50" s="1"/>
  <c r="AV86" i="50"/>
  <c r="AW160" i="50"/>
  <c r="BC20" i="50"/>
  <c r="BC236" i="50"/>
  <c r="BC122" i="50"/>
  <c r="BC623" i="50"/>
  <c r="BC543" i="50"/>
  <c r="BC347" i="50"/>
  <c r="BC187" i="50"/>
  <c r="BC658" i="50"/>
  <c r="BC530" i="50"/>
  <c r="BC338" i="50"/>
  <c r="BC150" i="50"/>
  <c r="BC132" i="50"/>
  <c r="BC156" i="50"/>
  <c r="BC571" i="50"/>
  <c r="BC327" i="50"/>
  <c r="BC25" i="50"/>
  <c r="BC494" i="50"/>
  <c r="BC258" i="50"/>
  <c r="BC144" i="50"/>
  <c r="BC599" i="50"/>
  <c r="BC307" i="50"/>
  <c r="BC586" i="50"/>
  <c r="BC378" i="50"/>
  <c r="BC95" i="50"/>
  <c r="BC529" i="50"/>
  <c r="BC392" i="50"/>
  <c r="BC231" i="50"/>
  <c r="BC596" i="50"/>
  <c r="BC397" i="50"/>
  <c r="BC352" i="50"/>
  <c r="BC636" i="50"/>
  <c r="BC325" i="50"/>
  <c r="BC517" i="50"/>
  <c r="BC445" i="50"/>
  <c r="AU86" i="50"/>
  <c r="AY86" i="50" s="1"/>
  <c r="AU160" i="50"/>
  <c r="BC36" i="50"/>
  <c r="BC220" i="50"/>
  <c r="BC59" i="50"/>
  <c r="BC607" i="50"/>
  <c r="BC527" i="50"/>
  <c r="BC315" i="50"/>
  <c r="BC163" i="50"/>
  <c r="BC626" i="50"/>
  <c r="BC466" i="50"/>
  <c r="BC278" i="50"/>
  <c r="BC79" i="50"/>
  <c r="BC40" i="50"/>
  <c r="BC83" i="50"/>
  <c r="BC539" i="50"/>
  <c r="BC263" i="50"/>
  <c r="BC638" i="50"/>
  <c r="BC446" i="50"/>
  <c r="BC162" i="50"/>
  <c r="BC68" i="50"/>
  <c r="BC567" i="50"/>
  <c r="BC195" i="50"/>
  <c r="BC538" i="50"/>
  <c r="BC330" i="50"/>
  <c r="BC54" i="50"/>
  <c r="BC273" i="50"/>
  <c r="BC212" i="50"/>
  <c r="BC589" i="50"/>
  <c r="BC372" i="50"/>
  <c r="BC265" i="50"/>
  <c r="BC659" i="50"/>
  <c r="BC247" i="50"/>
  <c r="BC457" i="50"/>
  <c r="BC233" i="50"/>
  <c r="BC475" i="50"/>
  <c r="AW502" i="50"/>
  <c r="AZ502" i="50" s="1"/>
  <c r="AV551" i="50"/>
  <c r="AY551" i="50" s="1"/>
  <c r="BC495" i="50"/>
  <c r="BC331" i="50"/>
  <c r="BC219" i="50"/>
  <c r="BC65" i="50"/>
  <c r="BC610" i="50"/>
  <c r="BC498" i="50"/>
  <c r="BC370" i="50"/>
  <c r="BC214" i="50"/>
  <c r="BC15" i="50"/>
  <c r="BC72" i="50"/>
  <c r="BC200" i="50"/>
  <c r="BC635" i="50"/>
  <c r="BC507" i="50"/>
  <c r="BC295" i="50"/>
  <c r="BC89" i="50"/>
  <c r="BC574" i="50"/>
  <c r="BC414" i="50"/>
  <c r="BC210" i="50"/>
  <c r="BC42" i="50"/>
  <c r="BC75" i="50"/>
  <c r="BC519" i="50"/>
  <c r="BC227" i="50"/>
  <c r="BC634" i="50"/>
  <c r="BC458" i="50"/>
  <c r="BC254" i="50"/>
  <c r="BC31" i="50"/>
  <c r="BC24" i="50"/>
  <c r="BC251" i="50"/>
  <c r="BC369" i="50"/>
  <c r="BC504" i="50"/>
  <c r="BC374" i="50"/>
  <c r="BC493" i="50"/>
  <c r="BC468" i="50"/>
  <c r="BC202" i="50"/>
  <c r="BC576" i="50"/>
  <c r="BC598" i="50"/>
  <c r="BC565" i="50"/>
  <c r="BC207" i="50"/>
  <c r="BC300" i="50"/>
  <c r="BC413" i="50"/>
  <c r="BC393" i="50"/>
  <c r="BB576" i="50"/>
  <c r="AU576" i="50"/>
  <c r="AX576" i="50"/>
  <c r="AV576" i="50"/>
  <c r="AY576" i="50" s="1"/>
  <c r="BB121" i="50"/>
  <c r="AW121" i="50"/>
  <c r="AZ121" i="50" s="1"/>
  <c r="BB612" i="50"/>
  <c r="AU612" i="50"/>
  <c r="AW612" i="50"/>
  <c r="AZ612" i="50" s="1"/>
  <c r="AX612" i="50"/>
  <c r="BB391" i="50"/>
  <c r="AU391" i="50"/>
  <c r="AX391" i="50"/>
  <c r="AV391" i="50"/>
  <c r="AY391" i="50" s="1"/>
  <c r="AW391" i="50"/>
  <c r="AZ391" i="50" s="1"/>
  <c r="BB235" i="50"/>
  <c r="AU235" i="50"/>
  <c r="AX235" i="50"/>
  <c r="AW235" i="50"/>
  <c r="AZ235" i="50" s="1"/>
  <c r="AX381" i="50"/>
  <c r="AV381" i="50"/>
  <c r="AY381" i="50" s="1"/>
  <c r="AW381" i="50"/>
  <c r="AZ381" i="50" s="1"/>
  <c r="BB145" i="50"/>
  <c r="AW145" i="50"/>
  <c r="AX145" i="50"/>
  <c r="BA145" i="50" s="1"/>
  <c r="AV145" i="50"/>
  <c r="AY145" i="50" s="1"/>
  <c r="BB505" i="50"/>
  <c r="AU505" i="50"/>
  <c r="AV505" i="50"/>
  <c r="AY505" i="50" s="1"/>
  <c r="AW505" i="50"/>
  <c r="AZ505" i="50" s="1"/>
  <c r="BB367" i="50"/>
  <c r="AU367" i="50"/>
  <c r="AV367" i="50"/>
  <c r="AY367" i="50" s="1"/>
  <c r="AW367" i="50"/>
  <c r="AZ367" i="50" s="1"/>
  <c r="BB531" i="50"/>
  <c r="AX531" i="50"/>
  <c r="AV531" i="50"/>
  <c r="AY531" i="50" s="1"/>
  <c r="AW531" i="50"/>
  <c r="AZ531" i="50" s="1"/>
  <c r="AU531" i="50"/>
  <c r="BB385" i="50"/>
  <c r="AW385" i="50"/>
  <c r="AZ385" i="50" s="1"/>
  <c r="AU385" i="50"/>
  <c r="AX385" i="50"/>
  <c r="AV385" i="50"/>
  <c r="AY385" i="50" s="1"/>
  <c r="AU129" i="50"/>
  <c r="AX129" i="50"/>
  <c r="BA129" i="50" s="1"/>
  <c r="AW129" i="50"/>
  <c r="AZ129" i="50" s="1"/>
  <c r="AV129" i="50"/>
  <c r="BB266" i="50"/>
  <c r="AW266" i="50"/>
  <c r="AZ266" i="50" s="1"/>
  <c r="AX266" i="50"/>
  <c r="AU203" i="50"/>
  <c r="AV203" i="50"/>
  <c r="AY203" i="50" s="1"/>
  <c r="AW203" i="50"/>
  <c r="BB520" i="50"/>
  <c r="AX520" i="50"/>
  <c r="AU520" i="50"/>
  <c r="BB180" i="50"/>
  <c r="AW180" i="50"/>
  <c r="AV180" i="50"/>
  <c r="AY180" i="50" s="1"/>
  <c r="AU553" i="50"/>
  <c r="AV553" i="50"/>
  <c r="AY553" i="50" s="1"/>
  <c r="AW553" i="50"/>
  <c r="AZ553" i="50" s="1"/>
  <c r="AU573" i="50"/>
  <c r="AX573" i="50"/>
  <c r="AU321" i="50"/>
  <c r="BA321" i="50" s="1"/>
  <c r="AV321" i="50"/>
  <c r="AY321" i="50" s="1"/>
  <c r="AX198" i="50"/>
  <c r="BA198" i="50" s="1"/>
  <c r="AV198" i="50"/>
  <c r="AY198" i="50" s="1"/>
  <c r="BB164" i="50"/>
  <c r="AX164" i="50"/>
  <c r="BA164" i="50" s="1"/>
  <c r="BB304" i="50"/>
  <c r="AV304" i="50"/>
  <c r="AY304" i="50" s="1"/>
  <c r="AU601" i="50"/>
  <c r="AW601" i="50"/>
  <c r="AZ601" i="50" s="1"/>
  <c r="AX601" i="50"/>
  <c r="BB515" i="50"/>
  <c r="AX515" i="50"/>
  <c r="AV515" i="50"/>
  <c r="AY515" i="50" s="1"/>
  <c r="AU515" i="50"/>
  <c r="AX157" i="50"/>
  <c r="BA157" i="50" s="1"/>
  <c r="AV157" i="50"/>
  <c r="AY157" i="50" s="1"/>
  <c r="AU517" i="50"/>
  <c r="BA517" i="50" s="1"/>
  <c r="AW517" i="50"/>
  <c r="AZ517" i="50" s="1"/>
  <c r="BB325" i="50"/>
  <c r="AX325" i="50"/>
  <c r="AV325" i="50"/>
  <c r="AY325" i="50" s="1"/>
  <c r="BB250" i="50"/>
  <c r="AU250" i="50"/>
  <c r="AV250" i="50"/>
  <c r="AY250" i="50" s="1"/>
  <c r="BB384" i="50"/>
  <c r="AV384" i="50"/>
  <c r="AY384" i="50" s="1"/>
  <c r="AX384" i="50"/>
  <c r="AU384" i="50"/>
  <c r="BB346" i="50"/>
  <c r="AX346" i="50"/>
  <c r="AV346" i="50"/>
  <c r="AY346" i="50" s="1"/>
  <c r="AW346" i="50"/>
  <c r="AZ346" i="50" s="1"/>
  <c r="AW277" i="50"/>
  <c r="AZ277" i="50" s="1"/>
  <c r="AX277" i="50"/>
  <c r="AV277" i="50"/>
  <c r="AY277" i="50" s="1"/>
  <c r="AW217" i="50"/>
  <c r="AZ217" i="50" s="1"/>
  <c r="AX217" i="50"/>
  <c r="AU217" i="50"/>
  <c r="AV208" i="50"/>
  <c r="AY208" i="50" s="1"/>
  <c r="AW208" i="50"/>
  <c r="AZ208" i="50" s="1"/>
  <c r="AX81" i="50"/>
  <c r="BA81" i="50" s="1"/>
  <c r="AV81" i="50"/>
  <c r="AY81" i="50" s="1"/>
  <c r="AW81" i="50"/>
  <c r="AZ81" i="50" s="1"/>
  <c r="BB275" i="50"/>
  <c r="AW275" i="50"/>
  <c r="AZ275" i="50" s="1"/>
  <c r="AX275" i="50"/>
  <c r="BB74" i="50"/>
  <c r="AX74" i="50"/>
  <c r="BA74" i="50" s="1"/>
  <c r="AV74" i="50"/>
  <c r="AW74" i="50"/>
  <c r="AZ74" i="50" s="1"/>
  <c r="AU74" i="50"/>
  <c r="AX27" i="50"/>
  <c r="BA27" i="50" s="1"/>
  <c r="AW59" i="50"/>
  <c r="AZ59" i="50" s="1"/>
  <c r="AU89" i="50"/>
  <c r="AX184" i="50"/>
  <c r="BA184" i="50" s="1"/>
  <c r="AW224" i="50"/>
  <c r="AZ224" i="50" s="1"/>
  <c r="AV117" i="50"/>
  <c r="AW144" i="50"/>
  <c r="AX232" i="50"/>
  <c r="AU287" i="50"/>
  <c r="AX319" i="50"/>
  <c r="AV356" i="50"/>
  <c r="AY356" i="50" s="1"/>
  <c r="AU307" i="50"/>
  <c r="AW390" i="50"/>
  <c r="AZ390" i="50" s="1"/>
  <c r="AV434" i="50"/>
  <c r="AY434" i="50" s="1"/>
  <c r="AU466" i="50"/>
  <c r="AV503" i="50"/>
  <c r="AY503" i="50" s="1"/>
  <c r="AW546" i="50"/>
  <c r="AZ546" i="50" s="1"/>
  <c r="AV594" i="50"/>
  <c r="AY594" i="50" s="1"/>
  <c r="AU509" i="50"/>
  <c r="AW595" i="50"/>
  <c r="AZ595" i="50" s="1"/>
  <c r="AX637" i="50"/>
  <c r="AX569" i="50"/>
  <c r="AX481" i="50"/>
  <c r="AX329" i="50"/>
  <c r="AV205" i="50"/>
  <c r="AY205" i="50" s="1"/>
  <c r="AV596" i="50"/>
  <c r="AY596" i="50" s="1"/>
  <c r="AU431" i="50"/>
  <c r="AW359" i="50"/>
  <c r="AZ359" i="50" s="1"/>
  <c r="AW223" i="50"/>
  <c r="AZ223" i="50" s="1"/>
  <c r="AV189" i="50"/>
  <c r="AY189" i="50" s="1"/>
  <c r="AV443" i="50"/>
  <c r="AY443" i="50" s="1"/>
  <c r="AV500" i="50"/>
  <c r="AY500" i="50" s="1"/>
  <c r="AV249" i="50"/>
  <c r="AY249" i="50" s="1"/>
  <c r="AX221" i="50"/>
  <c r="AV437" i="50"/>
  <c r="AY437" i="50" s="1"/>
  <c r="AW371" i="50"/>
  <c r="AZ371" i="50" s="1"/>
  <c r="AW339" i="50"/>
  <c r="AZ339" i="50" s="1"/>
  <c r="AX21" i="50"/>
  <c r="BA21" i="50" s="1"/>
  <c r="AW38" i="50"/>
  <c r="AZ38" i="50" s="1"/>
  <c r="AW85" i="50"/>
  <c r="AZ85" i="50" s="1"/>
  <c r="AU161" i="50"/>
  <c r="AX214" i="50"/>
  <c r="AX93" i="50"/>
  <c r="BA93" i="50" s="1"/>
  <c r="AW227" i="50"/>
  <c r="AZ227" i="50" s="1"/>
  <c r="AU242" i="50"/>
  <c r="AW281" i="50"/>
  <c r="AZ281" i="50" s="1"/>
  <c r="AX295" i="50"/>
  <c r="AU350" i="50"/>
  <c r="AW317" i="50"/>
  <c r="AZ317" i="50" s="1"/>
  <c r="AW400" i="50"/>
  <c r="AZ400" i="50" s="1"/>
  <c r="AV428" i="50"/>
  <c r="AY428" i="50" s="1"/>
  <c r="AW460" i="50"/>
  <c r="AZ460" i="50" s="1"/>
  <c r="AU491" i="50"/>
  <c r="AU540" i="50"/>
  <c r="AX572" i="50"/>
  <c r="AW497" i="50"/>
  <c r="AZ497" i="50" s="1"/>
  <c r="AV589" i="50"/>
  <c r="AY589" i="50" s="1"/>
  <c r="AW631" i="50"/>
  <c r="AZ631" i="50" s="1"/>
  <c r="AX663" i="50"/>
  <c r="BA663" i="50" s="1"/>
  <c r="AX632" i="50"/>
  <c r="AV467" i="50"/>
  <c r="AY467" i="50" s="1"/>
  <c r="AV314" i="50"/>
  <c r="AY314" i="50" s="1"/>
  <c r="AV239" i="50"/>
  <c r="AY239" i="50" s="1"/>
  <c r="AX54" i="50"/>
  <c r="BA54" i="50" s="1"/>
  <c r="AV535" i="50"/>
  <c r="AY535" i="50" s="1"/>
  <c r="AV164" i="50"/>
  <c r="AY164" i="50" s="1"/>
  <c r="AX592" i="50"/>
  <c r="AV373" i="50"/>
  <c r="AY373" i="50" s="1"/>
  <c r="AW233" i="50"/>
  <c r="AZ233" i="50" s="1"/>
  <c r="AV618" i="50"/>
  <c r="AY618" i="50" s="1"/>
  <c r="AX421" i="50"/>
  <c r="AX121" i="50"/>
  <c r="BA121" i="50" s="1"/>
  <c r="AV148" i="50"/>
  <c r="AY148" i="50" s="1"/>
  <c r="AU198" i="50"/>
  <c r="AU267" i="50"/>
  <c r="AW321" i="50"/>
  <c r="AZ321" i="50" s="1"/>
  <c r="AV438" i="50"/>
  <c r="AY438" i="50" s="1"/>
  <c r="AU550" i="50"/>
  <c r="AW573" i="50"/>
  <c r="AZ573" i="50" s="1"/>
  <c r="AU286" i="50"/>
  <c r="BA286" i="50" s="1"/>
  <c r="AV520" i="50"/>
  <c r="AY520" i="50" s="1"/>
  <c r="AU60" i="50"/>
  <c r="AW34" i="50"/>
  <c r="AZ34" i="50" s="1"/>
  <c r="AU145" i="50"/>
  <c r="AU346" i="50"/>
  <c r="AW576" i="50"/>
  <c r="AZ576" i="50" s="1"/>
  <c r="AX367" i="50"/>
  <c r="BB280" i="50"/>
  <c r="AX280" i="50"/>
  <c r="BB215" i="50"/>
  <c r="AW215" i="50"/>
  <c r="AZ215" i="50" s="1"/>
  <c r="AX215" i="50"/>
  <c r="BA215" i="50" s="1"/>
  <c r="BB96" i="50"/>
  <c r="AV96" i="50"/>
  <c r="AW96" i="50"/>
  <c r="AZ96" i="50" s="1"/>
  <c r="AU96" i="50"/>
  <c r="BB272" i="50"/>
  <c r="AW272" i="50"/>
  <c r="AZ272" i="50" s="1"/>
  <c r="AX272" i="50"/>
  <c r="AU272" i="50"/>
  <c r="BB110" i="50"/>
  <c r="AV110" i="50"/>
  <c r="AW110" i="50"/>
  <c r="AZ110" i="50" s="1"/>
  <c r="AU110" i="50"/>
  <c r="BC4" i="50" s="1"/>
  <c r="AV409" i="50"/>
  <c r="AY409" i="50" s="1"/>
  <c r="AW409" i="50"/>
  <c r="AZ409" i="50" s="1"/>
  <c r="AU343" i="50"/>
  <c r="AW343" i="50"/>
  <c r="AZ343" i="50" s="1"/>
  <c r="AX343" i="50"/>
  <c r="BB449" i="50"/>
  <c r="AU449" i="50"/>
  <c r="AX449" i="50"/>
  <c r="AV478" i="50"/>
  <c r="AY478" i="50" s="1"/>
  <c r="AW478" i="50"/>
  <c r="AZ478" i="50" s="1"/>
  <c r="BB427" i="50"/>
  <c r="AX427" i="50"/>
  <c r="BB172" i="50"/>
  <c r="AU172" i="50"/>
  <c r="AZ172" i="50" s="1"/>
  <c r="AU413" i="50"/>
  <c r="BA413" i="50" s="1"/>
  <c r="AV413" i="50"/>
  <c r="AY413" i="50" s="1"/>
  <c r="BB604" i="50"/>
  <c r="AU604" i="50"/>
  <c r="AW604" i="50"/>
  <c r="AZ604" i="50" s="1"/>
  <c r="AX604" i="50"/>
  <c r="AV604" i="50"/>
  <c r="AY604" i="50" s="1"/>
  <c r="BB641" i="50"/>
  <c r="AU641" i="50"/>
  <c r="AV641" i="50"/>
  <c r="AY641" i="50" s="1"/>
  <c r="BB470" i="50"/>
  <c r="AU470" i="50"/>
  <c r="AV470" i="50"/>
  <c r="AY470" i="50" s="1"/>
  <c r="AX169" i="50"/>
  <c r="BA169" i="50" s="1"/>
  <c r="AU169" i="50"/>
  <c r="AZ169" i="50" s="1"/>
  <c r="BB402" i="50"/>
  <c r="AU402" i="50"/>
  <c r="AV402" i="50"/>
  <c r="AY402" i="50" s="1"/>
  <c r="AU27" i="50"/>
  <c r="AV59" i="50"/>
  <c r="AX89" i="50"/>
  <c r="BA89" i="50" s="1"/>
  <c r="AU184" i="50"/>
  <c r="AV224" i="50"/>
  <c r="AY224" i="50" s="1"/>
  <c r="AU117" i="50"/>
  <c r="AV144" i="50"/>
  <c r="AY144" i="50" s="1"/>
  <c r="AW232" i="50"/>
  <c r="AZ232" i="50" s="1"/>
  <c r="AV287" i="50"/>
  <c r="AY287" i="50" s="1"/>
  <c r="AW319" i="50"/>
  <c r="AZ319" i="50" s="1"/>
  <c r="AX356" i="50"/>
  <c r="AW307" i="50"/>
  <c r="AZ307" i="50" s="1"/>
  <c r="AV390" i="50"/>
  <c r="AY390" i="50" s="1"/>
  <c r="AU434" i="50"/>
  <c r="AX466" i="50"/>
  <c r="AU546" i="50"/>
  <c r="AX594" i="50"/>
  <c r="AV509" i="50"/>
  <c r="AY509" i="50" s="1"/>
  <c r="AV595" i="50"/>
  <c r="AY595" i="50" s="1"/>
  <c r="AW637" i="50"/>
  <c r="AZ637" i="50" s="1"/>
  <c r="AW569" i="50"/>
  <c r="AZ569" i="50" s="1"/>
  <c r="AU481" i="50"/>
  <c r="AW329" i="50"/>
  <c r="AZ329" i="50" s="1"/>
  <c r="AU205" i="50"/>
  <c r="AX596" i="50"/>
  <c r="AW431" i="50"/>
  <c r="AZ431" i="50" s="1"/>
  <c r="AV359" i="50"/>
  <c r="AY359" i="50" s="1"/>
  <c r="AV223" i="50"/>
  <c r="AY223" i="50" s="1"/>
  <c r="AU189" i="50"/>
  <c r="AV133" i="50"/>
  <c r="AY133" i="50" s="1"/>
  <c r="AX443" i="50"/>
  <c r="BA443" i="50" s="1"/>
  <c r="AW500" i="50"/>
  <c r="AZ500" i="50" s="1"/>
  <c r="AX249" i="50"/>
  <c r="AW221" i="50"/>
  <c r="AZ221" i="50" s="1"/>
  <c r="AX437" i="50"/>
  <c r="AV371" i="50"/>
  <c r="AY371" i="50" s="1"/>
  <c r="AV339" i="50"/>
  <c r="AY339" i="50" s="1"/>
  <c r="AU21" i="50"/>
  <c r="AV38" i="50"/>
  <c r="AY38" i="50" s="1"/>
  <c r="AV85" i="50"/>
  <c r="AX161" i="50"/>
  <c r="BA161" i="50" s="1"/>
  <c r="AU214" i="50"/>
  <c r="AW93" i="50"/>
  <c r="AZ93" i="50" s="1"/>
  <c r="AX227" i="50"/>
  <c r="AX242" i="50"/>
  <c r="AU281" i="50"/>
  <c r="AW295" i="50"/>
  <c r="AZ295" i="50" s="1"/>
  <c r="AW350" i="50"/>
  <c r="AZ350" i="50" s="1"/>
  <c r="AV317" i="50"/>
  <c r="AY317" i="50" s="1"/>
  <c r="AV400" i="50"/>
  <c r="AY400" i="50" s="1"/>
  <c r="AU428" i="50"/>
  <c r="BA428" i="50" s="1"/>
  <c r="AV460" i="50"/>
  <c r="AY460" i="50" s="1"/>
  <c r="AX491" i="50"/>
  <c r="AV540" i="50"/>
  <c r="AY540" i="50" s="1"/>
  <c r="AW572" i="50"/>
  <c r="AZ572" i="50" s="1"/>
  <c r="AU497" i="50"/>
  <c r="AU589" i="50"/>
  <c r="BA589" i="50" s="1"/>
  <c r="AV631" i="50"/>
  <c r="AY631" i="50" s="1"/>
  <c r="AW632" i="50"/>
  <c r="AZ632" i="50" s="1"/>
  <c r="AX467" i="50"/>
  <c r="AX314" i="50"/>
  <c r="AX239" i="50"/>
  <c r="AW54" i="50"/>
  <c r="AZ54" i="50" s="1"/>
  <c r="AU535" i="50"/>
  <c r="AU304" i="50"/>
  <c r="AX172" i="50"/>
  <c r="BA172" i="50" s="1"/>
  <c r="AW164" i="50"/>
  <c r="AZ164" i="50" s="1"/>
  <c r="AV427" i="50"/>
  <c r="AY427" i="50" s="1"/>
  <c r="AW618" i="50"/>
  <c r="AZ618" i="50" s="1"/>
  <c r="AU280" i="50"/>
  <c r="AW148" i="50"/>
  <c r="AV169" i="50"/>
  <c r="AY169" i="50" s="1"/>
  <c r="AW198" i="50"/>
  <c r="AU157" i="50"/>
  <c r="AX250" i="50"/>
  <c r="AX402" i="50"/>
  <c r="AU438" i="50"/>
  <c r="BA438" i="50" s="1"/>
  <c r="AU478" i="50"/>
  <c r="AV573" i="50"/>
  <c r="AY573" i="50" s="1"/>
  <c r="AX553" i="50"/>
  <c r="AW449" i="50"/>
  <c r="AZ449" i="50" s="1"/>
  <c r="AW520" i="50"/>
  <c r="AZ520" i="50" s="1"/>
  <c r="AU266" i="50"/>
  <c r="AU381" i="50"/>
  <c r="AV217" i="50"/>
  <c r="AY217" i="50" s="1"/>
  <c r="AV612" i="50"/>
  <c r="AY612" i="50" s="1"/>
  <c r="BB166" i="50"/>
  <c r="AX166" i="50"/>
  <c r="BA166" i="50" s="1"/>
  <c r="AV166" i="50"/>
  <c r="AY166" i="50" s="1"/>
  <c r="AW403" i="50"/>
  <c r="AZ403" i="50" s="1"/>
  <c r="AX403" i="50"/>
  <c r="BA403" i="50" s="1"/>
  <c r="AV403" i="50"/>
  <c r="AY403" i="50" s="1"/>
  <c r="BB445" i="50"/>
  <c r="AU445" i="50"/>
  <c r="BA445" i="50" s="1"/>
  <c r="AV445" i="50"/>
  <c r="AY445" i="50" s="1"/>
  <c r="AW445" i="50"/>
  <c r="AZ445" i="50" s="1"/>
  <c r="BB547" i="50"/>
  <c r="AW547" i="50"/>
  <c r="AZ547" i="50" s="1"/>
  <c r="AX369" i="50"/>
  <c r="AU369" i="50"/>
  <c r="AV369" i="50"/>
  <c r="AY369" i="50" s="1"/>
  <c r="BB516" i="50"/>
  <c r="AU516" i="50"/>
  <c r="AV516" i="50"/>
  <c r="AY516" i="50" s="1"/>
  <c r="AW516" i="50"/>
  <c r="AZ516" i="50" s="1"/>
  <c r="AX516" i="50"/>
  <c r="BB539" i="50"/>
  <c r="AV539" i="50"/>
  <c r="AY539" i="50" s="1"/>
  <c r="AW539" i="50"/>
  <c r="AZ539" i="50" s="1"/>
  <c r="AX539" i="50"/>
  <c r="BA539" i="50" s="1"/>
  <c r="AV118" i="50"/>
  <c r="AU118" i="50"/>
  <c r="AW118" i="50"/>
  <c r="AZ118" i="50" s="1"/>
  <c r="BB162" i="50"/>
  <c r="AU162" i="50"/>
  <c r="AW162" i="50"/>
  <c r="AX337" i="50"/>
  <c r="AW337" i="50"/>
  <c r="AZ337" i="50" s="1"/>
  <c r="AU337" i="50"/>
  <c r="BB264" i="50"/>
  <c r="AX264" i="50"/>
  <c r="AV264" i="50"/>
  <c r="AY264" i="50" s="1"/>
  <c r="AW264" i="50"/>
  <c r="AZ264" i="50" s="1"/>
  <c r="AU264" i="50"/>
  <c r="BB66" i="50"/>
  <c r="AV66" i="50"/>
  <c r="AY66" i="50" s="1"/>
  <c r="AW66" i="50"/>
  <c r="AZ66" i="50" s="1"/>
  <c r="AX66" i="50"/>
  <c r="BA66" i="50" s="1"/>
  <c r="AW533" i="50"/>
  <c r="AZ533" i="50" s="1"/>
  <c r="AX533" i="50"/>
  <c r="BA533" i="50" s="1"/>
  <c r="BB34" i="50"/>
  <c r="AX34" i="50"/>
  <c r="BA34" i="50" s="1"/>
  <c r="AU34" i="50"/>
  <c r="AY34" i="50" s="1"/>
  <c r="BB60" i="50"/>
  <c r="AV60" i="50"/>
  <c r="AW60" i="50"/>
  <c r="AZ60" i="50" s="1"/>
  <c r="AX578" i="50"/>
  <c r="BA578" i="50" s="1"/>
  <c r="AV578" i="50"/>
  <c r="AY578" i="50" s="1"/>
  <c r="BB286" i="50"/>
  <c r="AV286" i="50"/>
  <c r="AY286" i="50" s="1"/>
  <c r="AW286" i="50"/>
  <c r="AZ286" i="50" s="1"/>
  <c r="AU649" i="50"/>
  <c r="BA649" i="50" s="1"/>
  <c r="AV649" i="50"/>
  <c r="AY649" i="50" s="1"/>
  <c r="AV558" i="50"/>
  <c r="AY558" i="50" s="1"/>
  <c r="AU558" i="50"/>
  <c r="BB267" i="50"/>
  <c r="AW267" i="50"/>
  <c r="AZ267" i="50" s="1"/>
  <c r="AX267" i="50"/>
  <c r="BB592" i="50"/>
  <c r="AU592" i="50"/>
  <c r="AV328" i="50"/>
  <c r="AY328" i="50" s="1"/>
  <c r="AW328" i="50"/>
  <c r="AZ328" i="50" s="1"/>
  <c r="AU63" i="50"/>
  <c r="AV63" i="50"/>
  <c r="AW63" i="50"/>
  <c r="AZ63" i="50" s="1"/>
  <c r="BB550" i="50"/>
  <c r="AX550" i="50"/>
  <c r="AV550" i="50"/>
  <c r="AY550" i="50" s="1"/>
  <c r="BB424" i="50"/>
  <c r="AW424" i="50"/>
  <c r="AZ424" i="50" s="1"/>
  <c r="AX424" i="50"/>
  <c r="AU424" i="50"/>
  <c r="AV301" i="50"/>
  <c r="AY301" i="50" s="1"/>
  <c r="AU301" i="50"/>
  <c r="BA301" i="50" s="1"/>
  <c r="AW301" i="50"/>
  <c r="AZ301" i="50" s="1"/>
  <c r="BB252" i="50"/>
  <c r="AU252" i="50"/>
  <c r="AV252" i="50"/>
  <c r="AY252" i="50" s="1"/>
  <c r="AW252" i="50"/>
  <c r="AZ252" i="50" s="1"/>
  <c r="AW178" i="50"/>
  <c r="AU178" i="50"/>
  <c r="AV178" i="50"/>
  <c r="AY178" i="50" s="1"/>
  <c r="BB174" i="50"/>
  <c r="AX174" i="50"/>
  <c r="BA174" i="50" s="1"/>
  <c r="AV174" i="50"/>
  <c r="AY174" i="50" s="1"/>
  <c r="AU174" i="50"/>
  <c r="AZ174" i="50" s="1"/>
  <c r="BB122" i="50"/>
  <c r="AU122" i="50"/>
  <c r="AW122" i="50"/>
  <c r="AZ122" i="50" s="1"/>
  <c r="AV122" i="50"/>
  <c r="BB55" i="50"/>
  <c r="AX55" i="50"/>
  <c r="BA55" i="50" s="1"/>
  <c r="AV55" i="50"/>
  <c r="AW55" i="50"/>
  <c r="AZ55" i="50" s="1"/>
  <c r="BB17" i="50"/>
  <c r="AV17" i="50"/>
  <c r="AW17" i="50"/>
  <c r="AZ17" i="50" s="1"/>
  <c r="AU17" i="50"/>
  <c r="BB20" i="50"/>
  <c r="AV20" i="50"/>
  <c r="AW20" i="50"/>
  <c r="AZ20" i="50" s="1"/>
  <c r="AX20" i="50"/>
  <c r="BA20" i="50" s="1"/>
  <c r="AU628" i="50"/>
  <c r="AX628" i="50"/>
  <c r="AW628" i="50"/>
  <c r="AZ628" i="50" s="1"/>
  <c r="AW27" i="50"/>
  <c r="AZ27" i="50" s="1"/>
  <c r="AX59" i="50"/>
  <c r="BA59" i="50" s="1"/>
  <c r="AW89" i="50"/>
  <c r="AZ89" i="50" s="1"/>
  <c r="AW184" i="50"/>
  <c r="AX224" i="50"/>
  <c r="AU144" i="50"/>
  <c r="AV232" i="50"/>
  <c r="AY232" i="50" s="1"/>
  <c r="AX287" i="50"/>
  <c r="AV319" i="50"/>
  <c r="AY319" i="50" s="1"/>
  <c r="AU356" i="50"/>
  <c r="AX307" i="50"/>
  <c r="AU390" i="50"/>
  <c r="AX434" i="50"/>
  <c r="AW466" i="50"/>
  <c r="AZ466" i="50" s="1"/>
  <c r="AV546" i="50"/>
  <c r="AY546" i="50" s="1"/>
  <c r="AW594" i="50"/>
  <c r="AZ594" i="50" s="1"/>
  <c r="AX509" i="50"/>
  <c r="AU595" i="50"/>
  <c r="AV569" i="50"/>
  <c r="AY569" i="50" s="1"/>
  <c r="AV329" i="50"/>
  <c r="AY329" i="50" s="1"/>
  <c r="AX205" i="50"/>
  <c r="BA205" i="50" s="1"/>
  <c r="AW596" i="50"/>
  <c r="AZ596" i="50" s="1"/>
  <c r="AV431" i="50"/>
  <c r="AY431" i="50" s="1"/>
  <c r="AU359" i="50"/>
  <c r="AX133" i="50"/>
  <c r="BA133" i="50" s="1"/>
  <c r="AU500" i="50"/>
  <c r="AV221" i="50"/>
  <c r="AY221" i="50" s="1"/>
  <c r="AU437" i="50"/>
  <c r="AU371" i="50"/>
  <c r="AU339" i="50"/>
  <c r="AX85" i="50"/>
  <c r="BA85" i="50" s="1"/>
  <c r="AW161" i="50"/>
  <c r="AW214" i="50"/>
  <c r="AZ214" i="50" s="1"/>
  <c r="AV93" i="50"/>
  <c r="AY93" i="50" s="1"/>
  <c r="AV227" i="50"/>
  <c r="AY227" i="50" s="1"/>
  <c r="AW242" i="50"/>
  <c r="AZ242" i="50" s="1"/>
  <c r="AV281" i="50"/>
  <c r="AY281" i="50" s="1"/>
  <c r="AV295" i="50"/>
  <c r="AY295" i="50" s="1"/>
  <c r="AV350" i="50"/>
  <c r="AY350" i="50" s="1"/>
  <c r="AU317" i="50"/>
  <c r="AU400" i="50"/>
  <c r="AU460" i="50"/>
  <c r="AV491" i="50"/>
  <c r="AY491" i="50" s="1"/>
  <c r="AX540" i="50"/>
  <c r="AU572" i="50"/>
  <c r="AV497" i="50"/>
  <c r="AY497" i="50" s="1"/>
  <c r="AU631" i="50"/>
  <c r="AU632" i="50"/>
  <c r="AU467" i="50"/>
  <c r="AW314" i="50"/>
  <c r="AZ314" i="50" s="1"/>
  <c r="AW239" i="50"/>
  <c r="AZ239" i="50" s="1"/>
  <c r="AV54" i="50"/>
  <c r="AX535" i="50"/>
  <c r="AW413" i="50"/>
  <c r="AZ413" i="50" s="1"/>
  <c r="AX304" i="50"/>
  <c r="AV172" i="50"/>
  <c r="AY172" i="50" s="1"/>
  <c r="AX373" i="50"/>
  <c r="BA373" i="50" s="1"/>
  <c r="AV233" i="50"/>
  <c r="AY233" i="50" s="1"/>
  <c r="AU547" i="50"/>
  <c r="AU421" i="50"/>
  <c r="AW280" i="50"/>
  <c r="AZ280" i="50" s="1"/>
  <c r="AU121" i="50"/>
  <c r="AY121" i="50" s="1"/>
  <c r="AU148" i="50"/>
  <c r="AX63" i="50"/>
  <c r="BA63" i="50" s="1"/>
  <c r="AW157" i="50"/>
  <c r="AW250" i="50"/>
  <c r="AZ250" i="50" s="1"/>
  <c r="AU275" i="50"/>
  <c r="AX328" i="50"/>
  <c r="BA328" i="50" s="1"/>
  <c r="AU325" i="50"/>
  <c r="AW402" i="50"/>
  <c r="AZ402" i="50" s="1"/>
  <c r="AX470" i="50"/>
  <c r="AX478" i="50"/>
  <c r="AV517" i="50"/>
  <c r="AY517" i="50" s="1"/>
  <c r="AW649" i="50"/>
  <c r="AZ649" i="50" s="1"/>
  <c r="AV449" i="50"/>
  <c r="AY449" i="50" s="1"/>
  <c r="AU180" i="50"/>
  <c r="AW578" i="50"/>
  <c r="AZ578" i="50" s="1"/>
  <c r="AV343" i="50"/>
  <c r="AY343" i="50" s="1"/>
  <c r="AV533" i="50"/>
  <c r="AY533" i="50" s="1"/>
  <c r="AV266" i="50"/>
  <c r="AY266" i="50" s="1"/>
  <c r="AX17" i="50"/>
  <c r="BA17" i="50" s="1"/>
  <c r="AU55" i="50"/>
  <c r="AU277" i="50"/>
  <c r="AX252" i="50"/>
  <c r="AW384" i="50"/>
  <c r="AZ384" i="50" s="1"/>
  <c r="AW515" i="50"/>
  <c r="AZ515" i="50" s="1"/>
  <c r="AX505" i="50"/>
  <c r="AU20" i="50"/>
  <c r="AV235" i="50"/>
  <c r="AY235" i="50" s="1"/>
  <c r="AX110" i="50"/>
  <c r="BA110" i="50" s="1"/>
  <c r="BC268" i="50"/>
  <c r="BC204" i="50"/>
  <c r="BC91" i="50"/>
  <c r="BC639" i="50"/>
  <c r="BC575" i="50"/>
  <c r="BC511" i="50"/>
  <c r="BC363" i="50"/>
  <c r="BC299" i="50"/>
  <c r="BC203" i="50"/>
  <c r="BC97" i="50"/>
  <c r="BC642" i="50"/>
  <c r="BC578" i="50"/>
  <c r="BC514" i="50"/>
  <c r="BC450" i="50"/>
  <c r="BC386" i="50"/>
  <c r="BC294" i="50"/>
  <c r="BC230" i="50"/>
  <c r="BC166" i="50"/>
  <c r="BC47" i="50"/>
  <c r="BC46" i="50"/>
  <c r="BC92" i="50"/>
  <c r="BC280" i="50"/>
  <c r="BC216" i="50"/>
  <c r="BC117" i="50"/>
  <c r="BC651" i="50"/>
  <c r="BC587" i="50"/>
  <c r="BC523" i="50"/>
  <c r="BC375" i="50"/>
  <c r="BC311" i="50"/>
  <c r="BC215" i="50"/>
  <c r="BC121" i="50"/>
  <c r="BC654" i="50"/>
  <c r="BC590" i="50"/>
  <c r="BC510" i="50"/>
  <c r="BC430" i="50"/>
  <c r="BC350" i="50"/>
  <c r="BC226" i="50"/>
  <c r="BC146" i="50"/>
  <c r="BC74" i="50"/>
  <c r="BC84" i="50"/>
  <c r="BC111" i="50"/>
  <c r="BC631" i="50"/>
  <c r="BC535" i="50"/>
  <c r="BC371" i="50"/>
  <c r="BC291" i="50"/>
  <c r="BC147" i="50"/>
  <c r="BC650" i="50"/>
  <c r="BC570" i="50"/>
  <c r="BC474" i="50"/>
  <c r="BC394" i="50"/>
  <c r="BC286" i="50"/>
  <c r="BC190" i="50"/>
  <c r="BC63" i="50"/>
  <c r="BC38" i="50"/>
  <c r="BC48" i="50"/>
  <c r="BC390" i="50"/>
  <c r="BC657" i="50"/>
  <c r="BC405" i="50"/>
  <c r="BC205" i="50"/>
  <c r="BC568" i="50"/>
  <c r="BC328" i="50"/>
  <c r="BC630" i="50"/>
  <c r="BC435" i="50"/>
  <c r="BC525" i="50"/>
  <c r="BC201" i="50"/>
  <c r="BC532" i="50"/>
  <c r="BC272" i="50"/>
  <c r="BC486" i="50"/>
  <c r="BC329" i="50"/>
  <c r="BC624" i="50"/>
  <c r="BC416" i="50"/>
  <c r="BC319" i="50"/>
  <c r="BC50" i="50"/>
  <c r="BC293" i="50"/>
  <c r="BC302" i="50"/>
  <c r="BC455" i="50"/>
  <c r="BC581" i="50"/>
  <c r="BC243" i="50"/>
  <c r="BC652" i="50"/>
  <c r="BC304" i="50"/>
  <c r="BC133" i="50"/>
  <c r="BC134" i="50"/>
  <c r="BC308" i="50"/>
  <c r="BC649" i="50"/>
  <c r="BC256" i="50"/>
  <c r="BC437" i="50"/>
  <c r="BC645" i="50"/>
  <c r="BC224" i="50"/>
  <c r="BC447" i="50"/>
  <c r="BC633" i="50"/>
  <c r="BC515" i="50"/>
  <c r="BC579" i="50"/>
  <c r="BC235" i="50"/>
  <c r="BC306" i="50"/>
  <c r="BC485" i="50"/>
  <c r="BC428" i="50"/>
  <c r="BC249" i="50"/>
  <c r="BC261" i="50"/>
  <c r="BC104" i="50"/>
  <c r="BC597" i="50"/>
  <c r="BC193" i="50"/>
  <c r="BC284" i="50"/>
  <c r="BC66" i="50"/>
  <c r="BC534" i="50"/>
  <c r="BC387" i="50"/>
  <c r="BC288" i="50"/>
  <c r="BC432" i="50"/>
  <c r="BC544" i="50"/>
  <c r="BC37" i="50"/>
  <c r="BC197" i="50"/>
  <c r="BC345" i="50"/>
  <c r="BC119" i="50"/>
  <c r="BC614" i="50"/>
  <c r="BC547" i="50"/>
  <c r="BC340" i="50"/>
  <c r="BC452" i="50"/>
  <c r="BC564" i="50"/>
  <c r="BC77" i="50"/>
  <c r="BC217" i="50"/>
  <c r="BC365" i="50"/>
  <c r="BC573" i="50"/>
  <c r="BC449" i="50"/>
  <c r="BC141" i="50"/>
  <c r="BC218" i="50"/>
  <c r="BC73" i="50"/>
  <c r="BC67" i="50"/>
  <c r="BC376" i="50"/>
  <c r="BC472" i="50"/>
  <c r="BC584" i="50"/>
  <c r="BC113" i="50"/>
  <c r="BC221" i="50"/>
  <c r="BC337" i="50"/>
  <c r="BC513" i="50"/>
  <c r="BC593" i="50"/>
  <c r="BC137" i="50"/>
  <c r="BC467" i="50"/>
  <c r="BC55" i="50"/>
  <c r="BC613" i="50"/>
  <c r="BC439" i="50"/>
  <c r="BC277" i="50"/>
  <c r="BC441" i="50"/>
  <c r="BC324" i="50"/>
  <c r="BC225" i="50"/>
  <c r="BC419" i="50"/>
  <c r="BC461" i="50"/>
  <c r="BC177" i="50"/>
  <c r="BC364" i="50"/>
  <c r="BC451" i="50"/>
  <c r="BC96" i="50"/>
  <c r="BC98" i="50"/>
  <c r="BC604" i="50"/>
  <c r="BC326" i="50"/>
  <c r="BC409" i="50"/>
  <c r="BC151" i="50"/>
  <c r="BC145" i="50"/>
  <c r="BC533" i="50"/>
  <c r="BC508" i="50"/>
  <c r="BC170" i="50"/>
  <c r="BC250" i="50"/>
  <c r="BC223" i="50"/>
  <c r="BC138" i="50"/>
  <c r="BC368" i="50"/>
  <c r="BC496" i="50"/>
  <c r="BC608" i="50"/>
  <c r="BC101" i="50"/>
  <c r="BC297" i="50"/>
  <c r="BC489" i="50"/>
  <c r="BC358" i="50"/>
  <c r="BC335" i="50"/>
  <c r="BC208" i="50"/>
  <c r="BC388" i="50"/>
  <c r="BC516" i="50"/>
  <c r="BC628" i="50"/>
  <c r="BC153" i="50"/>
  <c r="BC317" i="50"/>
  <c r="BC509" i="50"/>
  <c r="BC621" i="50"/>
  <c r="BC483" i="50"/>
  <c r="BC76" i="50"/>
  <c r="BC438" i="50"/>
  <c r="BC499" i="50"/>
  <c r="BC276" i="50"/>
  <c r="BC408" i="50"/>
  <c r="BC536" i="50"/>
  <c r="BC648" i="50"/>
  <c r="BC173" i="50"/>
  <c r="BC305" i="50"/>
  <c r="BC389" i="50"/>
  <c r="BC545" i="50"/>
  <c r="BC641" i="50"/>
  <c r="BC108" i="50"/>
  <c r="BC367" i="50"/>
  <c r="BC64" i="50"/>
  <c r="BC22" i="50"/>
  <c r="BC86" i="50"/>
  <c r="BC130" i="50"/>
  <c r="BC206" i="50"/>
  <c r="BC270" i="50"/>
  <c r="BC362" i="50"/>
  <c r="BC426" i="50"/>
  <c r="BC490" i="50"/>
  <c r="BC554" i="50"/>
  <c r="BC618" i="50"/>
  <c r="BC49" i="50"/>
  <c r="BC179" i="50"/>
  <c r="BC275" i="50"/>
  <c r="BC339" i="50"/>
  <c r="BC487" i="50"/>
  <c r="BC551" i="50"/>
  <c r="BC615" i="50"/>
  <c r="BC43" i="50"/>
  <c r="BC28" i="50"/>
  <c r="BC128" i="50"/>
  <c r="BC58" i="50"/>
  <c r="BC71" i="50"/>
  <c r="BC178" i="50"/>
  <c r="BC242" i="50"/>
  <c r="BC334" i="50"/>
  <c r="BC398" i="50"/>
  <c r="BC462" i="50"/>
  <c r="BC526" i="50"/>
  <c r="BC546" i="50"/>
  <c r="BC482" i="50"/>
  <c r="BC418" i="50"/>
  <c r="BC354" i="50"/>
  <c r="BC262" i="50"/>
  <c r="BC198" i="50"/>
  <c r="BC109" i="50"/>
  <c r="BC78" i="50"/>
  <c r="BC14" i="50"/>
  <c r="BC56" i="50"/>
  <c r="BC248" i="50"/>
  <c r="BC184" i="50"/>
  <c r="BC51" i="50"/>
  <c r="BC619" i="50"/>
  <c r="BC555" i="50"/>
  <c r="BC491" i="50"/>
  <c r="BC343" i="50"/>
  <c r="BC279" i="50"/>
  <c r="BC183" i="50"/>
  <c r="BC57" i="50"/>
  <c r="BC622" i="50"/>
  <c r="BC558" i="50"/>
  <c r="BC478" i="50"/>
  <c r="BC382" i="50"/>
  <c r="BC274" i="50"/>
  <c r="BC194" i="50"/>
  <c r="BC39" i="50"/>
  <c r="BC26" i="50"/>
  <c r="BC52" i="50"/>
  <c r="BC663" i="50"/>
  <c r="BC583" i="50"/>
  <c r="BC503" i="50"/>
  <c r="BC323" i="50"/>
  <c r="BC211" i="50"/>
  <c r="BC81" i="50"/>
  <c r="BC602" i="50"/>
  <c r="BC522" i="50"/>
  <c r="BC442" i="50"/>
  <c r="BC346" i="50"/>
  <c r="BC238" i="50"/>
  <c r="BC158" i="50"/>
  <c r="BC70" i="50"/>
  <c r="BC124" i="50"/>
  <c r="BC16" i="50"/>
  <c r="BC379" i="50"/>
  <c r="BC577" i="50"/>
  <c r="BC321" i="50"/>
  <c r="BC21" i="50"/>
  <c r="BC456" i="50"/>
  <c r="BC563" i="50"/>
  <c r="BC23" i="50"/>
  <c r="BC653" i="50"/>
  <c r="BC349" i="50"/>
  <c r="BC644" i="50"/>
  <c r="BC436" i="50"/>
  <c r="BC403" i="50"/>
  <c r="BC60" i="50"/>
  <c r="BC181" i="50"/>
  <c r="BC512" i="50"/>
  <c r="BC228" i="50"/>
  <c r="BC406" i="50"/>
  <c r="BC380" i="50"/>
  <c r="BC459" i="50"/>
  <c r="BC131" i="50"/>
  <c r="BC524" i="50"/>
  <c r="BC411" i="50"/>
  <c r="BC332" i="50"/>
  <c r="BC425" i="50"/>
  <c r="BC556" i="50"/>
  <c r="BC417" i="50"/>
  <c r="BC463" i="50"/>
  <c r="AW593" i="50"/>
  <c r="AZ593" i="50" s="1"/>
  <c r="AU593" i="50"/>
  <c r="AX593" i="50"/>
  <c r="BB310" i="50"/>
  <c r="AU310" i="50"/>
  <c r="AW310" i="50"/>
  <c r="AZ310" i="50" s="1"/>
  <c r="AX310" i="50"/>
  <c r="AV363" i="50"/>
  <c r="AY363" i="50" s="1"/>
  <c r="AU363" i="50"/>
  <c r="BB94" i="50"/>
  <c r="AX94" i="50"/>
  <c r="BA94" i="50" s="1"/>
  <c r="BB344" i="50"/>
  <c r="AV344" i="50"/>
  <c r="AY344" i="50" s="1"/>
  <c r="AW241" i="50"/>
  <c r="AZ241" i="50" s="1"/>
  <c r="AX241" i="50"/>
  <c r="AV241" i="50"/>
  <c r="AY241" i="50" s="1"/>
  <c r="BB26" i="50"/>
  <c r="AU26" i="50"/>
  <c r="AV26" i="50"/>
  <c r="AW26" i="50"/>
  <c r="AZ26" i="50" s="1"/>
  <c r="BB42" i="50"/>
  <c r="AV42" i="50"/>
  <c r="AW42" i="50"/>
  <c r="AZ42" i="50" s="1"/>
  <c r="AX42" i="50"/>
  <c r="BA42" i="50" s="1"/>
  <c r="BB355" i="50"/>
  <c r="AV355" i="50"/>
  <c r="AY355" i="50" s="1"/>
  <c r="AW355" i="50"/>
  <c r="AZ355" i="50" s="1"/>
  <c r="AX355" i="50"/>
  <c r="BA355" i="50" s="1"/>
  <c r="AV88" i="50"/>
  <c r="AW88" i="50"/>
  <c r="AZ88" i="50" s="1"/>
  <c r="AU88" i="50"/>
  <c r="BB376" i="50"/>
  <c r="AX376" i="50"/>
  <c r="BA376" i="50" s="1"/>
  <c r="BB216" i="50"/>
  <c r="AX216" i="50"/>
  <c r="BA216" i="50" s="1"/>
  <c r="AV216" i="50"/>
  <c r="AY216" i="50" s="1"/>
  <c r="AW216" i="50"/>
  <c r="AZ216" i="50" s="1"/>
  <c r="BB347" i="50"/>
  <c r="AX347" i="50"/>
  <c r="AU347" i="50"/>
  <c r="AV347" i="50"/>
  <c r="AY347" i="50" s="1"/>
  <c r="BB80" i="50"/>
  <c r="AU80" i="50"/>
  <c r="AV80" i="50"/>
  <c r="AW80" i="50"/>
  <c r="AZ80" i="50" s="1"/>
  <c r="AW201" i="50"/>
  <c r="AX201" i="50"/>
  <c r="BA201" i="50" s="1"/>
  <c r="AU201" i="50"/>
  <c r="AW473" i="50"/>
  <c r="AZ473" i="50" s="1"/>
  <c r="AU473" i="50"/>
  <c r="AX473" i="50"/>
  <c r="BB100" i="50"/>
  <c r="AW100" i="50"/>
  <c r="AZ100" i="50" s="1"/>
  <c r="AX100" i="50"/>
  <c r="BA100" i="50" s="1"/>
  <c r="AV100" i="50"/>
  <c r="AY100" i="50" s="1"/>
  <c r="BB175" i="50"/>
  <c r="AX175" i="50"/>
  <c r="AV175" i="50"/>
  <c r="AY175" i="50" s="1"/>
  <c r="AW175" i="50"/>
  <c r="BB463" i="50"/>
  <c r="AV463" i="50"/>
  <c r="AY463" i="50" s="1"/>
  <c r="AW463" i="50"/>
  <c r="AZ463" i="50" s="1"/>
  <c r="BB225" i="50"/>
  <c r="AV225" i="50"/>
  <c r="AY225" i="50" s="1"/>
  <c r="AW225" i="50"/>
  <c r="AZ225" i="50" s="1"/>
  <c r="AW508" i="50"/>
  <c r="AZ508" i="50" s="1"/>
  <c r="AV508" i="50"/>
  <c r="AY508" i="50" s="1"/>
  <c r="AU633" i="50"/>
  <c r="AX633" i="50"/>
  <c r="BB542" i="50"/>
  <c r="AW542" i="50"/>
  <c r="AZ542" i="50" s="1"/>
  <c r="AX542" i="50"/>
  <c r="BB462" i="50"/>
  <c r="AU462" i="50"/>
  <c r="BA462" i="50" s="1"/>
  <c r="AV462" i="50"/>
  <c r="AY462" i="50" s="1"/>
  <c r="BB140" i="50"/>
  <c r="AW140" i="50"/>
  <c r="AZ140" i="50" s="1"/>
  <c r="BB494" i="50"/>
  <c r="AW494" i="50"/>
  <c r="AZ494" i="50" s="1"/>
  <c r="BB37" i="50"/>
  <c r="AX37" i="50"/>
  <c r="BA37" i="50" s="1"/>
  <c r="BB135" i="50"/>
  <c r="AV135" i="50"/>
  <c r="BB316" i="50"/>
  <c r="AV316" i="50"/>
  <c r="AY316" i="50" s="1"/>
  <c r="BB567" i="50"/>
  <c r="AU567" i="50"/>
  <c r="BB262" i="50"/>
  <c r="AV262" i="50"/>
  <c r="AY262" i="50" s="1"/>
  <c r="BB399" i="50"/>
  <c r="AV399" i="50"/>
  <c r="AY399" i="50" s="1"/>
  <c r="BB659" i="50"/>
  <c r="AV659" i="50"/>
  <c r="AY659" i="50" s="1"/>
  <c r="AX659" i="50"/>
  <c r="AW659" i="50"/>
  <c r="AZ659" i="50" s="1"/>
  <c r="AV568" i="50"/>
  <c r="AY568" i="50" s="1"/>
  <c r="AU568" i="50"/>
  <c r="AW568" i="50"/>
  <c r="AZ568" i="50" s="1"/>
  <c r="BB406" i="50"/>
  <c r="AX406" i="50"/>
  <c r="AU406" i="50"/>
  <c r="BB126" i="50"/>
  <c r="AV126" i="50"/>
  <c r="BB485" i="50"/>
  <c r="AX485" i="50"/>
  <c r="BA485" i="50" s="1"/>
  <c r="AV485" i="50"/>
  <c r="AY485" i="50" s="1"/>
  <c r="BB454" i="50"/>
  <c r="AU454" i="50"/>
  <c r="AV454" i="50"/>
  <c r="AY454" i="50" s="1"/>
  <c r="BB655" i="50"/>
  <c r="AX655" i="50"/>
  <c r="BB416" i="50"/>
  <c r="AV416" i="50"/>
  <c r="AY416" i="50" s="1"/>
  <c r="AW416" i="50"/>
  <c r="AZ416" i="50" s="1"/>
  <c r="AX416" i="50"/>
  <c r="BB370" i="50"/>
  <c r="AU370" i="50"/>
  <c r="AX370" i="50"/>
  <c r="AV370" i="50"/>
  <c r="AY370" i="50" s="1"/>
  <c r="BB269" i="50"/>
  <c r="AU269" i="50"/>
  <c r="AW269" i="50"/>
  <c r="AZ269" i="50" s="1"/>
  <c r="AX269" i="50"/>
  <c r="BB197" i="50"/>
  <c r="AW197" i="50"/>
  <c r="AX197" i="50"/>
  <c r="BA197" i="50" s="1"/>
  <c r="AU197" i="50"/>
  <c r="BB200" i="50"/>
  <c r="AX200" i="50"/>
  <c r="BA200" i="50" s="1"/>
  <c r="AV200" i="50"/>
  <c r="AY200" i="50" s="1"/>
  <c r="AW200" i="50"/>
  <c r="AZ200" i="50" s="1"/>
  <c r="BB47" i="50"/>
  <c r="AW47" i="50"/>
  <c r="AZ47" i="50" s="1"/>
  <c r="AU47" i="50"/>
  <c r="AX47" i="50"/>
  <c r="BA47" i="50" s="1"/>
  <c r="AU19" i="50"/>
  <c r="AU36" i="50"/>
  <c r="AY36" i="50" s="1"/>
  <c r="AW83" i="50"/>
  <c r="AZ83" i="50" s="1"/>
  <c r="AW153" i="50"/>
  <c r="AZ153" i="50" s="1"/>
  <c r="AV212" i="50"/>
  <c r="AY212" i="50" s="1"/>
  <c r="AX182" i="50"/>
  <c r="BA182" i="50" s="1"/>
  <c r="AV219" i="50"/>
  <c r="AY219" i="50" s="1"/>
  <c r="AU234" i="50"/>
  <c r="AV279" i="50"/>
  <c r="AY279" i="50" s="1"/>
  <c r="AU260" i="50"/>
  <c r="AX348" i="50"/>
  <c r="BA348" i="50" s="1"/>
  <c r="AV309" i="50"/>
  <c r="AY309" i="50" s="1"/>
  <c r="AV392" i="50"/>
  <c r="AY392" i="50" s="1"/>
  <c r="AW426" i="50"/>
  <c r="AZ426" i="50" s="1"/>
  <c r="AX458" i="50"/>
  <c r="AU487" i="50"/>
  <c r="AU538" i="50"/>
  <c r="AU570" i="50"/>
  <c r="AV493" i="50"/>
  <c r="AY493" i="50" s="1"/>
  <c r="AX587" i="50"/>
  <c r="AW629" i="50"/>
  <c r="AZ629" i="50" s="1"/>
  <c r="AX588" i="50"/>
  <c r="AV419" i="50"/>
  <c r="AY419" i="50" s="1"/>
  <c r="AW361" i="50"/>
  <c r="AZ361" i="50" s="1"/>
  <c r="AX259" i="50"/>
  <c r="BA259" i="50" s="1"/>
  <c r="AX646" i="50"/>
  <c r="BA646" i="50" s="1"/>
  <c r="AV498" i="50"/>
  <c r="AY498" i="50" s="1"/>
  <c r="AV401" i="50"/>
  <c r="AY401" i="50" s="1"/>
  <c r="AX276" i="50"/>
  <c r="AZ106" i="50"/>
  <c r="AU58" i="50"/>
  <c r="AV58" i="50"/>
  <c r="AW652" i="50"/>
  <c r="AZ652" i="50" s="1"/>
  <c r="AU441" i="50"/>
  <c r="AW383" i="50"/>
  <c r="AZ383" i="50" s="1"/>
  <c r="AV125" i="50"/>
  <c r="AU18" i="50"/>
  <c r="AV51" i="50"/>
  <c r="AW77" i="50"/>
  <c r="AZ77" i="50" s="1"/>
  <c r="AX105" i="50"/>
  <c r="BA105" i="50" s="1"/>
  <c r="AW204" i="50"/>
  <c r="AU158" i="50"/>
  <c r="AW158" i="50"/>
  <c r="AX211" i="50"/>
  <c r="AX179" i="50"/>
  <c r="BA179" i="50" s="1"/>
  <c r="AX273" i="50"/>
  <c r="BA273" i="50" s="1"/>
  <c r="AX236" i="50"/>
  <c r="AW342" i="50"/>
  <c r="AZ342" i="50" s="1"/>
  <c r="AU374" i="50"/>
  <c r="AX394" i="50"/>
  <c r="AU420" i="50"/>
  <c r="AV452" i="50"/>
  <c r="AY452" i="50" s="1"/>
  <c r="AW396" i="50"/>
  <c r="AZ396" i="50" s="1"/>
  <c r="AW532" i="50"/>
  <c r="AZ532" i="50" s="1"/>
  <c r="AX564" i="50"/>
  <c r="AU616" i="50"/>
  <c r="AX581" i="50"/>
  <c r="AW623" i="50"/>
  <c r="AZ623" i="50" s="1"/>
  <c r="AV655" i="50"/>
  <c r="AY655" i="50" s="1"/>
  <c r="AU529" i="50"/>
  <c r="AW399" i="50"/>
  <c r="AZ399" i="50" s="1"/>
  <c r="AV567" i="50"/>
  <c r="AY567" i="50" s="1"/>
  <c r="AX316" i="50"/>
  <c r="BA316" i="50" s="1"/>
  <c r="AW135" i="50"/>
  <c r="AZ135" i="50" s="1"/>
  <c r="AW37" i="50"/>
  <c r="AZ37" i="50" s="1"/>
  <c r="AV94" i="50"/>
  <c r="AY94" i="50" s="1"/>
  <c r="AU140" i="50"/>
  <c r="AU368" i="50"/>
  <c r="AW376" i="50"/>
  <c r="AZ376" i="50" s="1"/>
  <c r="AW462" i="50"/>
  <c r="AZ462" i="50" s="1"/>
  <c r="AU542" i="50"/>
  <c r="AW485" i="50"/>
  <c r="AZ485" i="50" s="1"/>
  <c r="AW633" i="50"/>
  <c r="AZ633" i="50" s="1"/>
  <c r="AX463" i="50"/>
  <c r="AV473" i="50"/>
  <c r="AY473" i="50" s="1"/>
  <c r="AU416" i="50"/>
  <c r="AX568" i="50"/>
  <c r="AU659" i="50"/>
  <c r="AX80" i="50"/>
  <c r="BA80" i="50" s="1"/>
  <c r="BB244" i="50"/>
  <c r="AW244" i="50"/>
  <c r="AZ244" i="50" s="1"/>
  <c r="AW237" i="50"/>
  <c r="AZ237" i="50" s="1"/>
  <c r="AX237" i="50"/>
  <c r="AV237" i="50"/>
  <c r="AY237" i="50" s="1"/>
  <c r="BB506" i="50"/>
  <c r="AV506" i="50"/>
  <c r="AY506" i="50" s="1"/>
  <c r="BB124" i="50"/>
  <c r="AX124" i="50"/>
  <c r="BA124" i="50" s="1"/>
  <c r="BB619" i="50"/>
  <c r="AW619" i="50"/>
  <c r="AZ619" i="50" s="1"/>
  <c r="AX619" i="50"/>
  <c r="AU619" i="50"/>
  <c r="BB284" i="50"/>
  <c r="AU284" i="50"/>
  <c r="BA284" i="50" s="1"/>
  <c r="AV284" i="50"/>
  <c r="AY284" i="50" s="1"/>
  <c r="AW284" i="50"/>
  <c r="AZ284" i="50" s="1"/>
  <c r="BB389" i="50"/>
  <c r="AX389" i="50"/>
  <c r="BA389" i="50" s="1"/>
  <c r="AV389" i="50"/>
  <c r="AY389" i="50" s="1"/>
  <c r="AW389" i="50"/>
  <c r="AZ389" i="50" s="1"/>
  <c r="BB490" i="50"/>
  <c r="AV490" i="50"/>
  <c r="AY490" i="50" s="1"/>
  <c r="AX490" i="50"/>
  <c r="AU490" i="50"/>
  <c r="BB152" i="50"/>
  <c r="AW152" i="50"/>
  <c r="AZ152" i="50" s="1"/>
  <c r="AV152" i="50"/>
  <c r="AY152" i="50" s="1"/>
  <c r="AX152" i="50"/>
  <c r="BA152" i="50" s="1"/>
  <c r="AU78" i="50"/>
  <c r="AV78" i="50"/>
  <c r="AW78" i="50"/>
  <c r="AZ78" i="50" s="1"/>
  <c r="BB635" i="50"/>
  <c r="AW635" i="50"/>
  <c r="AZ635" i="50" s="1"/>
  <c r="AX635" i="50"/>
  <c r="AU635" i="50"/>
  <c r="BB159" i="50"/>
  <c r="AU159" i="50"/>
  <c r="AX159" i="50"/>
  <c r="BA159" i="50" s="1"/>
  <c r="AV159" i="50"/>
  <c r="AY159" i="50" s="1"/>
  <c r="BB471" i="50"/>
  <c r="AU471" i="50"/>
  <c r="AX471" i="50"/>
  <c r="AV471" i="50"/>
  <c r="AY471" i="50" s="1"/>
  <c r="AX218" i="50"/>
  <c r="BA218" i="50" s="1"/>
  <c r="AV218" i="50"/>
  <c r="AY218" i="50" s="1"/>
  <c r="AW218" i="50"/>
  <c r="AZ218" i="50" s="1"/>
  <c r="BB62" i="50"/>
  <c r="AV62" i="50"/>
  <c r="AW62" i="50"/>
  <c r="AZ62" i="50" s="1"/>
  <c r="AX62" i="50"/>
  <c r="BA62" i="50" s="1"/>
  <c r="AU333" i="50"/>
  <c r="AW333" i="50"/>
  <c r="AZ333" i="50" s="1"/>
  <c r="AX333" i="50"/>
  <c r="BB565" i="50"/>
  <c r="AV565" i="50"/>
  <c r="AY565" i="50" s="1"/>
  <c r="AW565" i="50"/>
  <c r="AZ565" i="50" s="1"/>
  <c r="AX565" i="50"/>
  <c r="BA565" i="50" s="1"/>
  <c r="BB90" i="50"/>
  <c r="AU90" i="50"/>
  <c r="AX90" i="50"/>
  <c r="BA90" i="50" s="1"/>
  <c r="AW90" i="50"/>
  <c r="BB375" i="50"/>
  <c r="AW375" i="50"/>
  <c r="AZ375" i="50" s="1"/>
  <c r="AX375" i="50"/>
  <c r="AU375" i="50"/>
  <c r="BB630" i="50"/>
  <c r="AW630" i="50"/>
  <c r="AZ630" i="50" s="1"/>
  <c r="AX630" i="50"/>
  <c r="BA630" i="50" s="1"/>
  <c r="BB345" i="50"/>
  <c r="AW345" i="50"/>
  <c r="AZ345" i="50" s="1"/>
  <c r="AX345" i="50"/>
  <c r="AX658" i="50"/>
  <c r="AU658" i="50"/>
  <c r="AX501" i="50"/>
  <c r="AV501" i="50"/>
  <c r="AY501" i="50" s="1"/>
  <c r="BB115" i="50"/>
  <c r="AU115" i="50"/>
  <c r="AY115" i="50" s="1"/>
  <c r="BB650" i="50"/>
  <c r="AW650" i="50"/>
  <c r="AZ650" i="50" s="1"/>
  <c r="AU393" i="50"/>
  <c r="BA393" i="50" s="1"/>
  <c r="AV393" i="50"/>
  <c r="AY393" i="50" s="1"/>
  <c r="BB644" i="50"/>
  <c r="AW644" i="50"/>
  <c r="AZ644" i="50" s="1"/>
  <c r="AX123" i="50"/>
  <c r="BA123" i="50" s="1"/>
  <c r="AU123" i="50"/>
  <c r="BB585" i="50"/>
  <c r="AX585" i="50"/>
  <c r="AU585" i="50"/>
  <c r="AV585" i="50"/>
  <c r="AY585" i="50" s="1"/>
  <c r="BB405" i="50"/>
  <c r="AW405" i="50"/>
  <c r="AZ405" i="50" s="1"/>
  <c r="AX405" i="50"/>
  <c r="AU405" i="50"/>
  <c r="BB291" i="50"/>
  <c r="AX291" i="50"/>
  <c r="BB31" i="50"/>
  <c r="AV31" i="50"/>
  <c r="BB625" i="50"/>
  <c r="AV625" i="50"/>
  <c r="AY625" i="50" s="1"/>
  <c r="BB534" i="50"/>
  <c r="AW534" i="50"/>
  <c r="AZ534" i="50" s="1"/>
  <c r="AX534" i="50"/>
  <c r="BB352" i="50"/>
  <c r="AV352" i="50"/>
  <c r="AY352" i="50" s="1"/>
  <c r="BB87" i="50"/>
  <c r="AU87" i="50"/>
  <c r="BB380" i="50"/>
  <c r="AU380" i="50"/>
  <c r="AV380" i="50"/>
  <c r="AY380" i="50" s="1"/>
  <c r="AW380" i="50"/>
  <c r="AZ380" i="50" s="1"/>
  <c r="AX338" i="50"/>
  <c r="AU338" i="50"/>
  <c r="AV338" i="50"/>
  <c r="AY338" i="50" s="1"/>
  <c r="BB254" i="50"/>
  <c r="AW254" i="50"/>
  <c r="AZ254" i="50" s="1"/>
  <c r="AU254" i="50"/>
  <c r="AV254" i="50"/>
  <c r="AY254" i="50" s="1"/>
  <c r="BB147" i="50"/>
  <c r="AW147" i="50"/>
  <c r="AX147" i="50"/>
  <c r="BA147" i="50" s="1"/>
  <c r="AU147" i="50"/>
  <c r="BB146" i="50"/>
  <c r="AW146" i="50"/>
  <c r="AX146" i="50"/>
  <c r="BA146" i="50" s="1"/>
  <c r="AU146" i="50"/>
  <c r="BB119" i="50"/>
  <c r="AV119" i="50"/>
  <c r="AW119" i="50"/>
  <c r="AZ119" i="50" s="1"/>
  <c r="AX119" i="50"/>
  <c r="BA119" i="50" s="1"/>
  <c r="AU73" i="50"/>
  <c r="AV73" i="50"/>
  <c r="AW73" i="50"/>
  <c r="AZ73" i="50" s="1"/>
  <c r="AW19" i="50"/>
  <c r="AZ19" i="50" s="1"/>
  <c r="AX36" i="50"/>
  <c r="BA36" i="50" s="1"/>
  <c r="AV83" i="50"/>
  <c r="AY83" i="50" s="1"/>
  <c r="AV153" i="50"/>
  <c r="AY153" i="50" s="1"/>
  <c r="AX212" i="50"/>
  <c r="AW182" i="50"/>
  <c r="AU219" i="50"/>
  <c r="AX234" i="50"/>
  <c r="AX279" i="50"/>
  <c r="AX260" i="50"/>
  <c r="AU392" i="50"/>
  <c r="AV426" i="50"/>
  <c r="AY426" i="50" s="1"/>
  <c r="AX487" i="50"/>
  <c r="AV570" i="50"/>
  <c r="AY570" i="50" s="1"/>
  <c r="AX493" i="50"/>
  <c r="BA493" i="50" s="1"/>
  <c r="AW587" i="50"/>
  <c r="AZ587" i="50" s="1"/>
  <c r="AV629" i="50"/>
  <c r="AY629" i="50" s="1"/>
  <c r="AU588" i="50"/>
  <c r="AX419" i="50"/>
  <c r="AW259" i="50"/>
  <c r="AZ259" i="50" s="1"/>
  <c r="AW646" i="50"/>
  <c r="AZ646" i="50" s="1"/>
  <c r="AU498" i="50"/>
  <c r="AW401" i="50"/>
  <c r="AZ401" i="50" s="1"/>
  <c r="AW276" i="50"/>
  <c r="AZ276" i="50" s="1"/>
  <c r="AU652" i="50"/>
  <c r="AW441" i="50"/>
  <c r="AZ441" i="50" s="1"/>
  <c r="AV383" i="50"/>
  <c r="AY383" i="50" s="1"/>
  <c r="AX125" i="50"/>
  <c r="BA125" i="50" s="1"/>
  <c r="AX18" i="50"/>
  <c r="BA18" i="50" s="1"/>
  <c r="AX51" i="50"/>
  <c r="BA51" i="50" s="1"/>
  <c r="AV77" i="50"/>
  <c r="AZ111" i="50"/>
  <c r="AW105" i="50"/>
  <c r="AZ105" i="50" s="1"/>
  <c r="AV204" i="50"/>
  <c r="AY204" i="50" s="1"/>
  <c r="AW211" i="50"/>
  <c r="AZ211" i="50" s="1"/>
  <c r="AW179" i="50"/>
  <c r="AZ179" i="50" s="1"/>
  <c r="AW273" i="50"/>
  <c r="AZ273" i="50" s="1"/>
  <c r="AW236" i="50"/>
  <c r="AZ236" i="50" s="1"/>
  <c r="AV342" i="50"/>
  <c r="AY342" i="50" s="1"/>
  <c r="AW374" i="50"/>
  <c r="AZ374" i="50" s="1"/>
  <c r="AW394" i="50"/>
  <c r="AZ394" i="50" s="1"/>
  <c r="AX420" i="50"/>
  <c r="AU452" i="50"/>
  <c r="AV396" i="50"/>
  <c r="AY396" i="50" s="1"/>
  <c r="AU532" i="50"/>
  <c r="AW564" i="50"/>
  <c r="AZ564" i="50" s="1"/>
  <c r="AV616" i="50"/>
  <c r="AY616" i="50" s="1"/>
  <c r="AW581" i="50"/>
  <c r="AZ581" i="50" s="1"/>
  <c r="AV623" i="50"/>
  <c r="AY623" i="50" s="1"/>
  <c r="AX529" i="50"/>
  <c r="AX399" i="50"/>
  <c r="BA399" i="50" s="1"/>
  <c r="AU262" i="50"/>
  <c r="AW477" i="50"/>
  <c r="AZ477" i="50" s="1"/>
  <c r="AW316" i="50"/>
  <c r="AZ316" i="50" s="1"/>
  <c r="AV37" i="50"/>
  <c r="AY37" i="50" s="1"/>
  <c r="AU494" i="50"/>
  <c r="AV229" i="50"/>
  <c r="AY229" i="50" s="1"/>
  <c r="AX363" i="50"/>
  <c r="AX168" i="50"/>
  <c r="BA168" i="50" s="1"/>
  <c r="AW94" i="50"/>
  <c r="AZ94" i="50" s="1"/>
  <c r="AW124" i="50"/>
  <c r="AZ124" i="50" s="1"/>
  <c r="AU31" i="50"/>
  <c r="AX115" i="50"/>
  <c r="BA115" i="50" s="1"/>
  <c r="AU126" i="50"/>
  <c r="AU128" i="50"/>
  <c r="AX140" i="50"/>
  <c r="BA140" i="50" s="1"/>
  <c r="AW291" i="50"/>
  <c r="AZ291" i="50" s="1"/>
  <c r="AU344" i="50"/>
  <c r="BA344" i="50" s="1"/>
  <c r="AW352" i="50"/>
  <c r="AZ352" i="50" s="1"/>
  <c r="AV368" i="50"/>
  <c r="AY368" i="50" s="1"/>
  <c r="AV376" i="50"/>
  <c r="AY376" i="50" s="1"/>
  <c r="AX454" i="50"/>
  <c r="AV542" i="50"/>
  <c r="AY542" i="50" s="1"/>
  <c r="AU501" i="50"/>
  <c r="AV633" i="50"/>
  <c r="AY633" i="50" s="1"/>
  <c r="AU345" i="50"/>
  <c r="AV630" i="50"/>
  <c r="AY630" i="50" s="1"/>
  <c r="AV375" i="50"/>
  <c r="AY375" i="50" s="1"/>
  <c r="AU175" i="50"/>
  <c r="BC5" i="50" s="1"/>
  <c r="AV90" i="50"/>
  <c r="AV333" i="50"/>
  <c r="AY333" i="50" s="1"/>
  <c r="AX78" i="50"/>
  <c r="BA78" i="50" s="1"/>
  <c r="AV47" i="50"/>
  <c r="AV146" i="50"/>
  <c r="AY146" i="50" s="1"/>
  <c r="AW370" i="50"/>
  <c r="AZ370" i="50" s="1"/>
  <c r="AW585" i="50"/>
  <c r="AZ585" i="50" s="1"/>
  <c r="AU237" i="50"/>
  <c r="AW159" i="50"/>
  <c r="AU42" i="50"/>
  <c r="AW471" i="50"/>
  <c r="AZ471" i="50" s="1"/>
  <c r="AW347" i="50"/>
  <c r="AZ347" i="50" s="1"/>
  <c r="AX401" i="50"/>
  <c r="AV276" i="50"/>
  <c r="AY276" i="50" s="1"/>
  <c r="AV652" i="50"/>
  <c r="AY652" i="50" s="1"/>
  <c r="AX383" i="50"/>
  <c r="BA383" i="50" s="1"/>
  <c r="AW125" i="50"/>
  <c r="AZ125" i="50" s="1"/>
  <c r="AU51" i="50"/>
  <c r="AX77" i="50"/>
  <c r="BA77" i="50" s="1"/>
  <c r="AV105" i="50"/>
  <c r="AX204" i="50"/>
  <c r="BA204" i="50" s="1"/>
  <c r="AV211" i="50"/>
  <c r="AY211" i="50" s="1"/>
  <c r="AV179" i="50"/>
  <c r="AY179" i="50" s="1"/>
  <c r="AV236" i="50"/>
  <c r="AY236" i="50" s="1"/>
  <c r="AX342" i="50"/>
  <c r="AV374" i="50"/>
  <c r="AY374" i="50" s="1"/>
  <c r="AV394" i="50"/>
  <c r="AY394" i="50" s="1"/>
  <c r="AW420" i="50"/>
  <c r="AZ420" i="50" s="1"/>
  <c r="AX452" i="50"/>
  <c r="AU396" i="50"/>
  <c r="AV532" i="50"/>
  <c r="AY532" i="50" s="1"/>
  <c r="AU564" i="50"/>
  <c r="AX616" i="50"/>
  <c r="AV581" i="50"/>
  <c r="AY581" i="50" s="1"/>
  <c r="AU655" i="50"/>
  <c r="AV529" i="50"/>
  <c r="AY529" i="50" s="1"/>
  <c r="AX262" i="50"/>
  <c r="AX567" i="50"/>
  <c r="AV477" i="50"/>
  <c r="AY477" i="50" s="1"/>
  <c r="AU135" i="50"/>
  <c r="AU644" i="50"/>
  <c r="BA644" i="50" s="1"/>
  <c r="AX494" i="50"/>
  <c r="AW229" i="50"/>
  <c r="AZ229" i="50" s="1"/>
  <c r="AU650" i="50"/>
  <c r="BA650" i="50" s="1"/>
  <c r="AU506" i="50"/>
  <c r="AW363" i="50"/>
  <c r="AZ363" i="50" s="1"/>
  <c r="AW168" i="50"/>
  <c r="AW31" i="50"/>
  <c r="AZ31" i="50" s="1"/>
  <c r="AX87" i="50"/>
  <c r="BA87" i="50" s="1"/>
  <c r="AW115" i="50"/>
  <c r="AZ115" i="50" s="1"/>
  <c r="AX126" i="50"/>
  <c r="BA126" i="50" s="1"/>
  <c r="AX128" i="50"/>
  <c r="BA128" i="50" s="1"/>
  <c r="AV140" i="50"/>
  <c r="AU244" i="50"/>
  <c r="AW344" i="50"/>
  <c r="AZ344" i="50" s="1"/>
  <c r="AX352" i="50"/>
  <c r="BA352" i="50" s="1"/>
  <c r="AX368" i="50"/>
  <c r="AW406" i="50"/>
  <c r="AZ406" i="50" s="1"/>
  <c r="AW454" i="50"/>
  <c r="AZ454" i="50" s="1"/>
  <c r="AU534" i="50"/>
  <c r="AW501" i="50"/>
  <c r="AZ501" i="50" s="1"/>
  <c r="AX625" i="50"/>
  <c r="AU508" i="50"/>
  <c r="BA508" i="50" s="1"/>
  <c r="AV345" i="50"/>
  <c r="AY345" i="50" s="1"/>
  <c r="AU225" i="50"/>
  <c r="BA225" i="50" s="1"/>
  <c r="AV201" i="50"/>
  <c r="AY201" i="50" s="1"/>
  <c r="AX73" i="50"/>
  <c r="BA73" i="50" s="1"/>
  <c r="AU119" i="50"/>
  <c r="AV197" i="50"/>
  <c r="AY197" i="50" s="1"/>
  <c r="AV269" i="50"/>
  <c r="AY269" i="50" s="1"/>
  <c r="AX254" i="50"/>
  <c r="AX380" i="50"/>
  <c r="AV405" i="50"/>
  <c r="AY405" i="50" s="1"/>
  <c r="AV593" i="50"/>
  <c r="AY593" i="50" s="1"/>
  <c r="AU241" i="50"/>
  <c r="AX26" i="50"/>
  <c r="BA26" i="50" s="1"/>
  <c r="AU62" i="50"/>
  <c r="AU463" i="50"/>
  <c r="BC13" i="50"/>
  <c r="BC161" i="50"/>
  <c r="BC469" i="50"/>
  <c r="BC110" i="50"/>
  <c r="BC549" i="50"/>
  <c r="BC588" i="50"/>
  <c r="BC127" i="50"/>
  <c r="BC479" i="50"/>
  <c r="BC160" i="50"/>
  <c r="BC585" i="50"/>
  <c r="BC29" i="50"/>
  <c r="BC396" i="50"/>
  <c r="BC114" i="50"/>
  <c r="BC143" i="50"/>
  <c r="BC314" i="50"/>
  <c r="BC341" i="50"/>
  <c r="BC412" i="50"/>
  <c r="BC643" i="50"/>
  <c r="BC454" i="50"/>
  <c r="BC473" i="50"/>
  <c r="BC481" i="50"/>
  <c r="BC377" i="50"/>
  <c r="BC316" i="50"/>
  <c r="BC537" i="50"/>
  <c r="BC61" i="50"/>
  <c r="BC348" i="50"/>
  <c r="BC234" i="50"/>
  <c r="BC88" i="50"/>
  <c r="BC421" i="50"/>
  <c r="BC310" i="50"/>
  <c r="BC433" i="50"/>
  <c r="BC312" i="50"/>
  <c r="BC629" i="50"/>
  <c r="BC501" i="50"/>
  <c r="BC93" i="50"/>
  <c r="BC444" i="50"/>
  <c r="BC303" i="50"/>
  <c r="BC44" i="50"/>
  <c r="BC186" i="50"/>
  <c r="BC470" i="50"/>
  <c r="BC142" i="50"/>
  <c r="BC531" i="50"/>
  <c r="BC196" i="50"/>
  <c r="BC336" i="50"/>
  <c r="BC400" i="50"/>
  <c r="BC464" i="50"/>
  <c r="BC528" i="50"/>
  <c r="BC592" i="50"/>
  <c r="BC656" i="50"/>
  <c r="BC149" i="50"/>
  <c r="BC213" i="50"/>
  <c r="BC313" i="50"/>
  <c r="BC381" i="50"/>
  <c r="BC18" i="50"/>
  <c r="BC266" i="50"/>
  <c r="BC550" i="50"/>
  <c r="BC271" i="50"/>
  <c r="BC611" i="50"/>
  <c r="BC240" i="50"/>
  <c r="BC356" i="50"/>
  <c r="BC420" i="50"/>
  <c r="BC484" i="50"/>
  <c r="BC548" i="50"/>
  <c r="BC612" i="50"/>
  <c r="BC45" i="50"/>
  <c r="BC169" i="50"/>
  <c r="BC269" i="50"/>
  <c r="BC333" i="50"/>
  <c r="BC401" i="50"/>
  <c r="BC541" i="50"/>
  <c r="BC605" i="50"/>
  <c r="BC159" i="50"/>
  <c r="BC237" i="50"/>
  <c r="BC429" i="50"/>
  <c r="BC34" i="50"/>
  <c r="BC282" i="50"/>
  <c r="BC566" i="50"/>
  <c r="BC287" i="50"/>
  <c r="BC627" i="50"/>
  <c r="BC244" i="50"/>
  <c r="BC360" i="50"/>
  <c r="BC424" i="50"/>
  <c r="BC488" i="50"/>
  <c r="BC552" i="50"/>
  <c r="BC616" i="50"/>
  <c r="BC53" i="50"/>
  <c r="BC646" i="50"/>
  <c r="BC167" i="50"/>
  <c r="BC296" i="50"/>
  <c r="BC625" i="50"/>
  <c r="BC561" i="50"/>
  <c r="BC497" i="50"/>
  <c r="BC353" i="50"/>
  <c r="BC289" i="50"/>
  <c r="BC189" i="50"/>
  <c r="BC85" i="50"/>
  <c r="BC600" i="50"/>
  <c r="BC520" i="50"/>
  <c r="BC440" i="50"/>
  <c r="BC344" i="50"/>
  <c r="BC180" i="50"/>
  <c r="BC351" i="50"/>
  <c r="BC502" i="50"/>
  <c r="BC154" i="50"/>
  <c r="BC407" i="50"/>
  <c r="BC106" i="50"/>
  <c r="BC637" i="50"/>
  <c r="BC557" i="50"/>
  <c r="BC385" i="50"/>
  <c r="BC301" i="50"/>
  <c r="BC185" i="50"/>
  <c r="BC660" i="50"/>
  <c r="BC580" i="50"/>
  <c r="BC500" i="50"/>
  <c r="BC404" i="50"/>
  <c r="BC292" i="50"/>
  <c r="BC35" i="50"/>
  <c r="BC171" i="50"/>
  <c r="BC422" i="50"/>
  <c r="BC82" i="50"/>
  <c r="BC361" i="50"/>
  <c r="BC281" i="50"/>
  <c r="BC165" i="50"/>
  <c r="BC640" i="50"/>
  <c r="BC560" i="50"/>
  <c r="BC480" i="50"/>
  <c r="BC384" i="50"/>
  <c r="BC260" i="50"/>
  <c r="BC595" i="50"/>
  <c r="BC662" i="50"/>
  <c r="BC342" i="50"/>
  <c r="BC136" i="50"/>
  <c r="BC99" i="50"/>
  <c r="BC572" i="50"/>
  <c r="BC357" i="50"/>
  <c r="BC661" i="50"/>
  <c r="BC320" i="50"/>
  <c r="BC322" i="50"/>
  <c r="BC129" i="50"/>
  <c r="BC477" i="50"/>
  <c r="BC192" i="50"/>
  <c r="BC209" i="50"/>
  <c r="BC617" i="50"/>
  <c r="BC471" i="50"/>
  <c r="BC229" i="50"/>
  <c r="BC245" i="50"/>
  <c r="BC582" i="50"/>
  <c r="BC540" i="50"/>
  <c r="BC569" i="50"/>
  <c r="BC257" i="50"/>
  <c r="BC298" i="50"/>
  <c r="BC460" i="50"/>
  <c r="BC521" i="50"/>
  <c r="BC253" i="50"/>
  <c r="BC431" i="50"/>
  <c r="BC476" i="50"/>
  <c r="BC601" i="50"/>
  <c r="BC465" i="50"/>
  <c r="BC125" i="50"/>
  <c r="AZ75" i="50"/>
  <c r="AZ53" i="50"/>
  <c r="BC309" i="50"/>
  <c r="BC102" i="50"/>
  <c r="BC423" i="50"/>
  <c r="AZ98" i="50"/>
  <c r="AZ82" i="50"/>
  <c r="BC112" i="50"/>
  <c r="BC318" i="50"/>
  <c r="BC505" i="50"/>
  <c r="AZ69" i="50"/>
  <c r="BC427" i="50"/>
  <c r="BC175" i="50"/>
  <c r="BC139" i="50"/>
  <c r="BC255" i="50"/>
  <c r="BC492" i="50"/>
  <c r="BC553" i="50"/>
  <c r="BC176" i="50"/>
  <c r="BC620" i="50"/>
  <c r="BC152" i="50"/>
  <c r="BC94" i="50"/>
  <c r="BC100" i="50"/>
  <c r="BC415" i="50"/>
  <c r="BC116" i="50"/>
  <c r="AZ123" i="50"/>
  <c r="AZ126" i="50"/>
  <c r="BC239" i="50"/>
  <c r="AZ128" i="50"/>
  <c r="AZ136" i="50"/>
  <c r="BC241" i="50"/>
  <c r="BC120" i="50"/>
  <c r="AZ61" i="50"/>
  <c r="AZ46" i="50"/>
  <c r="AZ41" i="50"/>
  <c r="AZ57" i="50"/>
  <c r="AZ32" i="50"/>
  <c r="AZ15" i="50"/>
  <c r="AZ21" i="50"/>
  <c r="BA41" i="50"/>
  <c r="AZ18" i="50"/>
  <c r="AZ23" i="50"/>
  <c r="BA263" i="50"/>
  <c r="AZ206" i="50"/>
  <c r="BA43" i="50"/>
  <c r="AY173" i="50"/>
  <c r="AY158" i="50"/>
  <c r="AY168" i="50"/>
  <c r="AY162" i="50"/>
  <c r="AY147" i="50"/>
  <c r="AY64" i="50"/>
  <c r="BA113" i="50"/>
  <c r="BA31" i="50"/>
  <c r="BA58" i="50"/>
  <c r="BA88" i="50"/>
  <c r="BA208" i="50"/>
  <c r="BA222" i="50"/>
  <c r="BA50" i="50"/>
  <c r="BA127" i="50"/>
  <c r="BA102" i="50"/>
  <c r="BA135" i="50"/>
  <c r="AY15" i="50"/>
  <c r="BA60" i="50"/>
  <c r="BA65" i="50"/>
  <c r="AZ52" i="50"/>
  <c r="BA189" i="50"/>
  <c r="BA171" i="50"/>
  <c r="BA92" i="50"/>
  <c r="BA91" i="50"/>
  <c r="BA136" i="50"/>
  <c r="BA118" i="50"/>
  <c r="BA178" i="50"/>
  <c r="BA138" i="50"/>
  <c r="BA398" i="50"/>
  <c r="BA101" i="50"/>
  <c r="BA180" i="50"/>
  <c r="BA122" i="50"/>
  <c r="BA96" i="50"/>
  <c r="BA188" i="50"/>
  <c r="BA257" i="50"/>
  <c r="BA117" i="50"/>
  <c r="BA148" i="50"/>
  <c r="BA206" i="50"/>
  <c r="O60" i="56"/>
  <c r="AH60" i="56"/>
  <c r="I60" i="56"/>
  <c r="V58" i="56"/>
  <c r="X58" i="56"/>
  <c r="Z60" i="56"/>
  <c r="AA60" i="56" s="1"/>
  <c r="K60" i="56"/>
  <c r="Z59" i="56"/>
  <c r="AC59" i="56" s="1"/>
  <c r="Q59" i="56" s="1"/>
  <c r="R59" i="56" s="1"/>
  <c r="K59" i="56"/>
  <c r="AH59" i="56"/>
  <c r="AG59" i="56"/>
  <c r="AI59" i="56"/>
  <c r="H30" i="56"/>
  <c r="W32" i="56"/>
  <c r="M32" i="56" s="1"/>
  <c r="H33" i="56"/>
  <c r="W34" i="56"/>
  <c r="M34" i="56" s="1"/>
  <c r="H31" i="56"/>
  <c r="G28" i="56"/>
  <c r="H28" i="56" s="1"/>
  <c r="W33" i="56"/>
  <c r="M33" i="56" s="1"/>
  <c r="H34" i="56"/>
  <c r="W30" i="56"/>
  <c r="M30" i="56" s="1"/>
  <c r="H32" i="56"/>
  <c r="V32" i="56" s="1"/>
  <c r="H29" i="56"/>
  <c r="V29" i="56" s="1"/>
  <c r="M29" i="56"/>
  <c r="HN99" i="54" l="1"/>
  <c r="HN215" i="54"/>
  <c r="HN199" i="54"/>
  <c r="HN192" i="54"/>
  <c r="HN14" i="54"/>
  <c r="HN260" i="54"/>
  <c r="HP260" i="54" s="1"/>
  <c r="HN146" i="54"/>
  <c r="HN235" i="54"/>
  <c r="HN167" i="54"/>
  <c r="HN44" i="54"/>
  <c r="HN226" i="54"/>
  <c r="HN176" i="54"/>
  <c r="HN163" i="54"/>
  <c r="HN248" i="54"/>
  <c r="HN110" i="54"/>
  <c r="HN18" i="54"/>
  <c r="HN85" i="54"/>
  <c r="HN43" i="54"/>
  <c r="HN113" i="54"/>
  <c r="HN100" i="54"/>
  <c r="HN124" i="54"/>
  <c r="HN47" i="54"/>
  <c r="HN252" i="54"/>
  <c r="HN193" i="54"/>
  <c r="HN151" i="54"/>
  <c r="HN255" i="54"/>
  <c r="HN88" i="54"/>
  <c r="HN246" i="54"/>
  <c r="HN201" i="54"/>
  <c r="HN72" i="54"/>
  <c r="HN36" i="54"/>
  <c r="HN157" i="54"/>
  <c r="HN253" i="54"/>
  <c r="HN155" i="54"/>
  <c r="HN242" i="54"/>
  <c r="HN247" i="54"/>
  <c r="HN90" i="54"/>
  <c r="HN63" i="54"/>
  <c r="HN134" i="54"/>
  <c r="HN224" i="54"/>
  <c r="HN138" i="54"/>
  <c r="HN250" i="54"/>
  <c r="HN73" i="54"/>
  <c r="HN179" i="54"/>
  <c r="HN26" i="54"/>
  <c r="HN219" i="54"/>
  <c r="HN48" i="54"/>
  <c r="HN70" i="54"/>
  <c r="HN23" i="54"/>
  <c r="HN182" i="54"/>
  <c r="HN62" i="54"/>
  <c r="HN261" i="54"/>
  <c r="HN71" i="54"/>
  <c r="HN161" i="54"/>
  <c r="HN93" i="54"/>
  <c r="HN238" i="54"/>
  <c r="HN38" i="54"/>
  <c r="HN254" i="54"/>
  <c r="HN165" i="54"/>
  <c r="HN67" i="54"/>
  <c r="HN80" i="54"/>
  <c r="HN27" i="54"/>
  <c r="HN35" i="54"/>
  <c r="HN207" i="54"/>
  <c r="HN66" i="54"/>
  <c r="HN190" i="54"/>
  <c r="HN57" i="54"/>
  <c r="HN77" i="54"/>
  <c r="HN249" i="54"/>
  <c r="HN69" i="54"/>
  <c r="HN223" i="54"/>
  <c r="HN222" i="54"/>
  <c r="HN234" i="54"/>
  <c r="HN197" i="54"/>
  <c r="HN142" i="54"/>
  <c r="HN64" i="54"/>
  <c r="HN266" i="54"/>
  <c r="HN229" i="54"/>
  <c r="HN228" i="54"/>
  <c r="HN136" i="54"/>
  <c r="HN81" i="54"/>
  <c r="HN198" i="54"/>
  <c r="HN135" i="54"/>
  <c r="HN206" i="54"/>
  <c r="HN50" i="54"/>
  <c r="HN129" i="54"/>
  <c r="HN243" i="54"/>
  <c r="HN239" i="54"/>
  <c r="HN58" i="54"/>
  <c r="HN227" i="54"/>
  <c r="HN156" i="54"/>
  <c r="HN187" i="54"/>
  <c r="HN233" i="54"/>
  <c r="HN28" i="54"/>
  <c r="HN115" i="54"/>
  <c r="HN154" i="54"/>
  <c r="HN42" i="54"/>
  <c r="HN145" i="54"/>
  <c r="HN177" i="54"/>
  <c r="HN12" i="54"/>
  <c r="HN158" i="54"/>
  <c r="HN34" i="54"/>
  <c r="HN141" i="54"/>
  <c r="HN143" i="54"/>
  <c r="HN37" i="54"/>
  <c r="HN212" i="54"/>
  <c r="HN105" i="54"/>
  <c r="HN181" i="54"/>
  <c r="HN131" i="54"/>
  <c r="HN91" i="54"/>
  <c r="HN166" i="54"/>
  <c r="HN78" i="54"/>
  <c r="HN210" i="54"/>
  <c r="HN104" i="54"/>
  <c r="HN13" i="54"/>
  <c r="HN117" i="54"/>
  <c r="HN214" i="54"/>
  <c r="HN11" i="54"/>
  <c r="HN21" i="54"/>
  <c r="HN237" i="54"/>
  <c r="HN171" i="54"/>
  <c r="HN54" i="54"/>
  <c r="HN84" i="54"/>
  <c r="HN262" i="54"/>
  <c r="HN263" i="54"/>
  <c r="HN188" i="54"/>
  <c r="HP188" i="54" s="1"/>
  <c r="HN203" i="54"/>
  <c r="HN244" i="54"/>
  <c r="HN17" i="54"/>
  <c r="HN225" i="54"/>
  <c r="HN55" i="54"/>
  <c r="HN208" i="54"/>
  <c r="HN74" i="54"/>
  <c r="HN152" i="54"/>
  <c r="HN10" i="54"/>
  <c r="HN127" i="54"/>
  <c r="HN186" i="54"/>
  <c r="HN107" i="54"/>
  <c r="HN95" i="54"/>
  <c r="HN140" i="54"/>
  <c r="HN41" i="54"/>
  <c r="DI45" i="54"/>
  <c r="HN191" i="54"/>
  <c r="HN52" i="54"/>
  <c r="HN119" i="54"/>
  <c r="HN16" i="54"/>
  <c r="HN149" i="54"/>
  <c r="HN46" i="54"/>
  <c r="HN213" i="54"/>
  <c r="HN59" i="54"/>
  <c r="HN230" i="54"/>
  <c r="HN189" i="54"/>
  <c r="HN19" i="54"/>
  <c r="HN108" i="54"/>
  <c r="HN170" i="54"/>
  <c r="HN106" i="54"/>
  <c r="HN174" i="54"/>
  <c r="HN79" i="54"/>
  <c r="HN109" i="54"/>
  <c r="HN153" i="54"/>
  <c r="HN82" i="54"/>
  <c r="HN89" i="54"/>
  <c r="HN125" i="54"/>
  <c r="HN49" i="54"/>
  <c r="HN144" i="54"/>
  <c r="HN258" i="54"/>
  <c r="HN183" i="54"/>
  <c r="HN83" i="54"/>
  <c r="HN211" i="54"/>
  <c r="HN68" i="54"/>
  <c r="HN264" i="54"/>
  <c r="HN175" i="54"/>
  <c r="DI110" i="54"/>
  <c r="DL110" i="54" s="1"/>
  <c r="DI151" i="54"/>
  <c r="DL151" i="54" s="1"/>
  <c r="DI192" i="54"/>
  <c r="DI233" i="54"/>
  <c r="DI17" i="54"/>
  <c r="DI64" i="54"/>
  <c r="DL64" i="54" s="1"/>
  <c r="DI111" i="54"/>
  <c r="DL111" i="54" s="1"/>
  <c r="DI176" i="54"/>
  <c r="DL176" i="54" s="1"/>
  <c r="DI217" i="54"/>
  <c r="DI258" i="54"/>
  <c r="DL258" i="54" s="1"/>
  <c r="DI42" i="54"/>
  <c r="DI83" i="54"/>
  <c r="DL83" i="54" s="1"/>
  <c r="DI74" i="54"/>
  <c r="DI115" i="54"/>
  <c r="DL115" i="54" s="1"/>
  <c r="DI156" i="54"/>
  <c r="DI197" i="54"/>
  <c r="DI244" i="54"/>
  <c r="DI28" i="54"/>
  <c r="DL28" i="54" s="1"/>
  <c r="DI75" i="54"/>
  <c r="DL75" i="54" s="1"/>
  <c r="DI254" i="54"/>
  <c r="DL254" i="54" s="1"/>
  <c r="DI38" i="54"/>
  <c r="DI79" i="54"/>
  <c r="DL79" i="54" s="1"/>
  <c r="DI120" i="54"/>
  <c r="DI161" i="54"/>
  <c r="DL161" i="54" s="1"/>
  <c r="DI208" i="54"/>
  <c r="DL208" i="54" s="1"/>
  <c r="DI255" i="54"/>
  <c r="DL255" i="54" s="1"/>
  <c r="DI39" i="54"/>
  <c r="DI104" i="54"/>
  <c r="DL104" i="54" s="1"/>
  <c r="DI145" i="54"/>
  <c r="DI186" i="54"/>
  <c r="DL186" i="54" s="1"/>
  <c r="DI227" i="54"/>
  <c r="DI11" i="54"/>
  <c r="DL11" i="54" s="1"/>
  <c r="DI218" i="54"/>
  <c r="DI259" i="54"/>
  <c r="DI43" i="54"/>
  <c r="DI84" i="54"/>
  <c r="DL84" i="54" s="1"/>
  <c r="DI125" i="54"/>
  <c r="DL125" i="54" s="1"/>
  <c r="DI172" i="54"/>
  <c r="DL172" i="54" s="1"/>
  <c r="DI219" i="54"/>
  <c r="DI68" i="54"/>
  <c r="DI109" i="54"/>
  <c r="DI150" i="54"/>
  <c r="DI191" i="54"/>
  <c r="DL191" i="54" s="1"/>
  <c r="DI238" i="54"/>
  <c r="DL238" i="54" s="1"/>
  <c r="DI182" i="54"/>
  <c r="DI223" i="54"/>
  <c r="DL223" i="54" s="1"/>
  <c r="DI264" i="54"/>
  <c r="DI48" i="54"/>
  <c r="DL48" i="54" s="1"/>
  <c r="DI89" i="54"/>
  <c r="DI136" i="54"/>
  <c r="DL136" i="54" s="1"/>
  <c r="DI183" i="54"/>
  <c r="DI146" i="54"/>
  <c r="DL146" i="54" s="1"/>
  <c r="DI187" i="54"/>
  <c r="DI228" i="54"/>
  <c r="DL228" i="54" s="1"/>
  <c r="DI12" i="54"/>
  <c r="DL12" i="54" s="1"/>
  <c r="DI53" i="54"/>
  <c r="DL53" i="54" s="1"/>
  <c r="DI100" i="54"/>
  <c r="DI147" i="54"/>
  <c r="DL147" i="54" s="1"/>
  <c r="DI212" i="54"/>
  <c r="DI253" i="54"/>
  <c r="DI37" i="54"/>
  <c r="DL37" i="54" s="1"/>
  <c r="DI78" i="54"/>
  <c r="DI119" i="54"/>
  <c r="DI166" i="54"/>
  <c r="DL166" i="54" s="1"/>
  <c r="DI213" i="54"/>
  <c r="DI32" i="54"/>
  <c r="DL32" i="54" s="1"/>
  <c r="DI155" i="54"/>
  <c r="DI22" i="54"/>
  <c r="DL22" i="54" s="1"/>
  <c r="DI33" i="54"/>
  <c r="DI134" i="54"/>
  <c r="DL134" i="54" s="1"/>
  <c r="DI175" i="54"/>
  <c r="DI216" i="54"/>
  <c r="DL216" i="54" s="1"/>
  <c r="DI181" i="54"/>
  <c r="DI47" i="54"/>
  <c r="DL47" i="54" s="1"/>
  <c r="DI249" i="54"/>
  <c r="DI98" i="54"/>
  <c r="DL98" i="54" s="1"/>
  <c r="DI139" i="54"/>
  <c r="DI180" i="54"/>
  <c r="DL180" i="54" s="1"/>
  <c r="DI221" i="54"/>
  <c r="DL221" i="54" s="1"/>
  <c r="DI268" i="54"/>
  <c r="DL268" i="54" s="1"/>
  <c r="DI52" i="54"/>
  <c r="DI99" i="54"/>
  <c r="DL99" i="54" s="1"/>
  <c r="DI73" i="54"/>
  <c r="DI202" i="54"/>
  <c r="DL202" i="54" s="1"/>
  <c r="DI177" i="54"/>
  <c r="DL177" i="54" s="1"/>
  <c r="DI62" i="54"/>
  <c r="DL62" i="54" s="1"/>
  <c r="DI103" i="54"/>
  <c r="DI144" i="54"/>
  <c r="DL144" i="54" s="1"/>
  <c r="DI185" i="54"/>
  <c r="DI232" i="54"/>
  <c r="DL232" i="54" s="1"/>
  <c r="DI16" i="54"/>
  <c r="DL16" i="54" s="1"/>
  <c r="DI63" i="54"/>
  <c r="DL63" i="54" s="1"/>
  <c r="DI222" i="54"/>
  <c r="DI130" i="54"/>
  <c r="DL130" i="54" s="1"/>
  <c r="DI141" i="54"/>
  <c r="DI242" i="54"/>
  <c r="DL242" i="54" s="1"/>
  <c r="DI26" i="54"/>
  <c r="DL26" i="54" s="1"/>
  <c r="DI67" i="54"/>
  <c r="DL67" i="54" s="1"/>
  <c r="DI108" i="54"/>
  <c r="DI149" i="54"/>
  <c r="DL149" i="54" s="1"/>
  <c r="DI196" i="54"/>
  <c r="DI243" i="54"/>
  <c r="DL243" i="54" s="1"/>
  <c r="DI27" i="54"/>
  <c r="DL27" i="54" s="1"/>
  <c r="DI248" i="54"/>
  <c r="DI114" i="54"/>
  <c r="DI94" i="54"/>
  <c r="DL94" i="54" s="1"/>
  <c r="DI105" i="54"/>
  <c r="DI206" i="54"/>
  <c r="DL206" i="54" s="1"/>
  <c r="DI247" i="54"/>
  <c r="DL247" i="54" s="1"/>
  <c r="DI31" i="54"/>
  <c r="DL31" i="54" s="1"/>
  <c r="DI72" i="54"/>
  <c r="DI113" i="54"/>
  <c r="DI160" i="54"/>
  <c r="DI207" i="54"/>
  <c r="DI140" i="54"/>
  <c r="DL140" i="54" s="1"/>
  <c r="DI263" i="54"/>
  <c r="DI58" i="54"/>
  <c r="DI69" i="54"/>
  <c r="DL69" i="54" s="1"/>
  <c r="DI170" i="54"/>
  <c r="DI211" i="54"/>
  <c r="DL211" i="54" s="1"/>
  <c r="DI252" i="54"/>
  <c r="DL252" i="54" s="1"/>
  <c r="DI36" i="54"/>
  <c r="DL36" i="54" s="1"/>
  <c r="DI77" i="54"/>
  <c r="DI124" i="54"/>
  <c r="DL124" i="54" s="1"/>
  <c r="DI171" i="54"/>
  <c r="DI257" i="54"/>
  <c r="DI236" i="54"/>
  <c r="DL236" i="54" s="1"/>
  <c r="DI20" i="54"/>
  <c r="DL20" i="54" s="1"/>
  <c r="DI61" i="54"/>
  <c r="DI102" i="54"/>
  <c r="DI143" i="54"/>
  <c r="DI190" i="54"/>
  <c r="DI237" i="54"/>
  <c r="DI21" i="54"/>
  <c r="DL21" i="54" s="1"/>
  <c r="DI194" i="54"/>
  <c r="DI235" i="54"/>
  <c r="DL235" i="54" s="1"/>
  <c r="DI19" i="54"/>
  <c r="DI60" i="54"/>
  <c r="DL60" i="54" s="1"/>
  <c r="DI101" i="54"/>
  <c r="DI148" i="54"/>
  <c r="DL148" i="54" s="1"/>
  <c r="DI195" i="54"/>
  <c r="DI121" i="54"/>
  <c r="DL121" i="54" s="1"/>
  <c r="DI250" i="54"/>
  <c r="DI85" i="54"/>
  <c r="DL85" i="54" s="1"/>
  <c r="DI261" i="54"/>
  <c r="DL261" i="54" s="1"/>
  <c r="DI122" i="54"/>
  <c r="DI29" i="54"/>
  <c r="DI49" i="54"/>
  <c r="DL49" i="54" s="1"/>
  <c r="DI178" i="54"/>
  <c r="DI41" i="54"/>
  <c r="DL41" i="54" s="1"/>
  <c r="DI200" i="54"/>
  <c r="DL200" i="54" s="1"/>
  <c r="DI241" i="54"/>
  <c r="DL241" i="54" s="1"/>
  <c r="DI25" i="54"/>
  <c r="DI66" i="54"/>
  <c r="DL66" i="54" s="1"/>
  <c r="DI107" i="54"/>
  <c r="DI154" i="54"/>
  <c r="DL154" i="54" s="1"/>
  <c r="DI201" i="54"/>
  <c r="DL201" i="54" s="1"/>
  <c r="DI158" i="54"/>
  <c r="DL158" i="54" s="1"/>
  <c r="DI199" i="54"/>
  <c r="DI240" i="54"/>
  <c r="DL240" i="54" s="1"/>
  <c r="DI24" i="54"/>
  <c r="DI65" i="54"/>
  <c r="DL65" i="54" s="1"/>
  <c r="DI112" i="54"/>
  <c r="DL112" i="54" s="1"/>
  <c r="DI159" i="54"/>
  <c r="DL159" i="54" s="1"/>
  <c r="DI44" i="54"/>
  <c r="DI245" i="54"/>
  <c r="DL245" i="54" s="1"/>
  <c r="DI76" i="54"/>
  <c r="DI265" i="54"/>
  <c r="DL265" i="54" s="1"/>
  <c r="DI88" i="54"/>
  <c r="DL88" i="54" s="1"/>
  <c r="DI164" i="54"/>
  <c r="DL164" i="54" s="1"/>
  <c r="DI205" i="54"/>
  <c r="DI246" i="54"/>
  <c r="DL246" i="54" s="1"/>
  <c r="DI30" i="54"/>
  <c r="DI71" i="54"/>
  <c r="DL71" i="54" s="1"/>
  <c r="DI118" i="54"/>
  <c r="DL118" i="54" s="1"/>
  <c r="DI165" i="54"/>
  <c r="DL165" i="54" s="1"/>
  <c r="DI135" i="54"/>
  <c r="DI128" i="54"/>
  <c r="DL128" i="54" s="1"/>
  <c r="DI169" i="54"/>
  <c r="DI210" i="54"/>
  <c r="DL210" i="54" s="1"/>
  <c r="DI251" i="54"/>
  <c r="DL251" i="54" s="1"/>
  <c r="DI35" i="54"/>
  <c r="DL35" i="54" s="1"/>
  <c r="DI82" i="54"/>
  <c r="DI129" i="54"/>
  <c r="DL129" i="54" s="1"/>
  <c r="DI86" i="54"/>
  <c r="DI127" i="54"/>
  <c r="DI168" i="54"/>
  <c r="DL168" i="54" s="1"/>
  <c r="DI209" i="54"/>
  <c r="DL209" i="54" s="1"/>
  <c r="DI256" i="54"/>
  <c r="DI40" i="54"/>
  <c r="DI87" i="54"/>
  <c r="DI188" i="54"/>
  <c r="DL188" i="54" s="1"/>
  <c r="DI229" i="54"/>
  <c r="DI13" i="54"/>
  <c r="DL13" i="54" s="1"/>
  <c r="DI54" i="54"/>
  <c r="DI95" i="54"/>
  <c r="DL95" i="54" s="1"/>
  <c r="DI142" i="54"/>
  <c r="DI189" i="54"/>
  <c r="DL189" i="54" s="1"/>
  <c r="DI80" i="54"/>
  <c r="DL80" i="54" s="1"/>
  <c r="DI203" i="54"/>
  <c r="DL203" i="54" s="1"/>
  <c r="DI34" i="54"/>
  <c r="DI167" i="54"/>
  <c r="DL167" i="54" s="1"/>
  <c r="DI204" i="54"/>
  <c r="DI225" i="54"/>
  <c r="DL225" i="54" s="1"/>
  <c r="DI92" i="54"/>
  <c r="DL92" i="54" s="1"/>
  <c r="DI133" i="54"/>
  <c r="DI174" i="54"/>
  <c r="DI215" i="54"/>
  <c r="DL215" i="54" s="1"/>
  <c r="DI262" i="54"/>
  <c r="DI46" i="54"/>
  <c r="DL46" i="54" s="1"/>
  <c r="DI93" i="54"/>
  <c r="DL93" i="54" s="1"/>
  <c r="DI266" i="54"/>
  <c r="DL266" i="54" s="1"/>
  <c r="DI50" i="54"/>
  <c r="DI91" i="54"/>
  <c r="DL91" i="54" s="1"/>
  <c r="DI132" i="54"/>
  <c r="DI173" i="54"/>
  <c r="DL173" i="54" s="1"/>
  <c r="DI220" i="54"/>
  <c r="DL220" i="54" s="1"/>
  <c r="DI267" i="54"/>
  <c r="DL267" i="54" s="1"/>
  <c r="DI51" i="54"/>
  <c r="DI152" i="54"/>
  <c r="DL152" i="54" s="1"/>
  <c r="DI193" i="54"/>
  <c r="DI234" i="54"/>
  <c r="DL234" i="54" s="1"/>
  <c r="DI18" i="54"/>
  <c r="DL18" i="54" s="1"/>
  <c r="DI59" i="54"/>
  <c r="DL59" i="54" s="1"/>
  <c r="DI106" i="54"/>
  <c r="DI153" i="54"/>
  <c r="DL153" i="54" s="1"/>
  <c r="DI163" i="54"/>
  <c r="DI123" i="54"/>
  <c r="DI90" i="54"/>
  <c r="DI56" i="54"/>
  <c r="DL56" i="54" s="1"/>
  <c r="DI97" i="54"/>
  <c r="DI138" i="54"/>
  <c r="DL138" i="54" s="1"/>
  <c r="DI179" i="54"/>
  <c r="DI226" i="54"/>
  <c r="DL226" i="54" s="1"/>
  <c r="DI10" i="54"/>
  <c r="DI57" i="54"/>
  <c r="DI230" i="54"/>
  <c r="DI14" i="54"/>
  <c r="DI55" i="54"/>
  <c r="DI96" i="54"/>
  <c r="DL96" i="54" s="1"/>
  <c r="DI137" i="54"/>
  <c r="DL137" i="54" s="1"/>
  <c r="DI184" i="54"/>
  <c r="DL184" i="54" s="1"/>
  <c r="DI231" i="54"/>
  <c r="DI15" i="54"/>
  <c r="DL15" i="54" s="1"/>
  <c r="DI116" i="54"/>
  <c r="DI157" i="54"/>
  <c r="DI198" i="54"/>
  <c r="DL198" i="54" s="1"/>
  <c r="DI239" i="54"/>
  <c r="DL239" i="54" s="1"/>
  <c r="DI23" i="54"/>
  <c r="DI70" i="54"/>
  <c r="DI117" i="54"/>
  <c r="DI162" i="54"/>
  <c r="DL162" i="54" s="1"/>
  <c r="DI81" i="54"/>
  <c r="DL81" i="54" s="1"/>
  <c r="DI260" i="54"/>
  <c r="DL260" i="54" s="1"/>
  <c r="DI126" i="54"/>
  <c r="DI214" i="54"/>
  <c r="DI224" i="54"/>
  <c r="DI131" i="54"/>
  <c r="DL131" i="54" s="1"/>
  <c r="Y58" i="56"/>
  <c r="AB58" i="56" s="1"/>
  <c r="HL3" i="54" a="1"/>
  <c r="HL3" i="54" s="1"/>
  <c r="HL243" i="54" s="1"/>
  <c r="BG2" i="54"/>
  <c r="BG4" i="54"/>
  <c r="HN112" i="54"/>
  <c r="HK170" i="54"/>
  <c r="HP170" i="54" s="1"/>
  <c r="HJ170" i="54"/>
  <c r="HO170" i="54" s="1"/>
  <c r="HJ73" i="54"/>
  <c r="HO73" i="54" s="1"/>
  <c r="HK73" i="54"/>
  <c r="HP73" i="54" s="1"/>
  <c r="HJ72" i="54"/>
  <c r="HK72" i="54"/>
  <c r="HP72" i="54" s="1"/>
  <c r="HK30" i="54"/>
  <c r="HP30" i="54" s="1"/>
  <c r="HJ30" i="54"/>
  <c r="HO30" i="54" s="1"/>
  <c r="HK196" i="54"/>
  <c r="HP196" i="54" s="1"/>
  <c r="HJ196" i="54"/>
  <c r="HO196" i="54" s="1"/>
  <c r="HJ201" i="54"/>
  <c r="HO201" i="54" s="1"/>
  <c r="HK201" i="54"/>
  <c r="HK63" i="54"/>
  <c r="HP63" i="54" s="1"/>
  <c r="HJ63" i="54"/>
  <c r="HO63" i="54" s="1"/>
  <c r="HK62" i="54"/>
  <c r="HP62" i="54" s="1"/>
  <c r="HJ62" i="54"/>
  <c r="HO62" i="54" s="1"/>
  <c r="HK181" i="54"/>
  <c r="HP181" i="54" s="1"/>
  <c r="HJ181" i="54"/>
  <c r="HK180" i="54"/>
  <c r="HP180" i="54" s="1"/>
  <c r="HJ180" i="54"/>
  <c r="HO180" i="54" s="1"/>
  <c r="HK179" i="54"/>
  <c r="HP179" i="54" s="1"/>
  <c r="HJ179" i="54"/>
  <c r="HO179" i="54" s="1"/>
  <c r="HJ41" i="54"/>
  <c r="HO41" i="54" s="1"/>
  <c r="HK41" i="54"/>
  <c r="HP41" i="54" s="1"/>
  <c r="HK46" i="54"/>
  <c r="HP46" i="54" s="1"/>
  <c r="HJ46" i="54"/>
  <c r="HJ212" i="54"/>
  <c r="HO212" i="54" s="1"/>
  <c r="HK212" i="54"/>
  <c r="HK115" i="54"/>
  <c r="HP115" i="54" s="1"/>
  <c r="HJ115" i="54"/>
  <c r="HO115" i="54" s="1"/>
  <c r="HK114" i="54"/>
  <c r="HP114" i="54" s="1"/>
  <c r="HJ114" i="54"/>
  <c r="HO114" i="54" s="1"/>
  <c r="HK191" i="54"/>
  <c r="HP191" i="54" s="1"/>
  <c r="HJ191" i="54"/>
  <c r="HO191" i="54" s="1"/>
  <c r="HK11" i="54"/>
  <c r="HP11" i="54" s="1"/>
  <c r="HJ11" i="54"/>
  <c r="HO11" i="54" s="1"/>
  <c r="HK94" i="54"/>
  <c r="HP94" i="54" s="1"/>
  <c r="HJ94" i="54"/>
  <c r="HO94" i="54" s="1"/>
  <c r="HJ218" i="54"/>
  <c r="HO218" i="54" s="1"/>
  <c r="HK218" i="54"/>
  <c r="HP218" i="54" s="1"/>
  <c r="HK79" i="54"/>
  <c r="HP79" i="54" s="1"/>
  <c r="HJ79" i="54"/>
  <c r="HK78" i="54"/>
  <c r="HP78" i="54" s="1"/>
  <c r="HJ78" i="54"/>
  <c r="HO78" i="54" s="1"/>
  <c r="HK161" i="54"/>
  <c r="HP161" i="54" s="1"/>
  <c r="HJ161" i="54"/>
  <c r="HJ106" i="54"/>
  <c r="HK106" i="54"/>
  <c r="HP106" i="54" s="1"/>
  <c r="HJ75" i="54"/>
  <c r="HO75" i="54" s="1"/>
  <c r="HK75" i="54"/>
  <c r="HP75" i="54" s="1"/>
  <c r="HK14" i="54"/>
  <c r="HP14" i="54" s="1"/>
  <c r="HJ14" i="54"/>
  <c r="HO14" i="54" s="1"/>
  <c r="HK193" i="54"/>
  <c r="HJ193" i="54"/>
  <c r="HO193" i="54" s="1"/>
  <c r="HK192" i="54"/>
  <c r="HP192" i="54" s="1"/>
  <c r="HJ192" i="54"/>
  <c r="HO192" i="54" s="1"/>
  <c r="HK131" i="54"/>
  <c r="HP131" i="54" s="1"/>
  <c r="HJ131" i="54"/>
  <c r="HO131" i="54" s="1"/>
  <c r="HK100" i="54"/>
  <c r="HP100" i="54" s="1"/>
  <c r="HJ100" i="54"/>
  <c r="HO100" i="54" s="1"/>
  <c r="HJ45" i="54"/>
  <c r="HO45" i="54" s="1"/>
  <c r="HK45" i="54"/>
  <c r="HP45" i="54" s="1"/>
  <c r="HJ265" i="54"/>
  <c r="HO265" i="54" s="1"/>
  <c r="HK265" i="54"/>
  <c r="HP265" i="54" s="1"/>
  <c r="HJ264" i="54"/>
  <c r="HO264" i="54" s="1"/>
  <c r="HK264" i="54"/>
  <c r="HP264" i="54" s="1"/>
  <c r="HK203" i="54"/>
  <c r="HP203" i="54" s="1"/>
  <c r="HJ203" i="54"/>
  <c r="HO203" i="54" s="1"/>
  <c r="HJ172" i="54"/>
  <c r="HO172" i="54" s="1"/>
  <c r="HK172" i="54"/>
  <c r="HP172" i="54" s="1"/>
  <c r="HJ70" i="54"/>
  <c r="HK70" i="54"/>
  <c r="HP70" i="54" s="1"/>
  <c r="HG220" i="54"/>
  <c r="HN220" i="54" s="1"/>
  <c r="HK220" i="54"/>
  <c r="HJ220" i="54"/>
  <c r="HO220" i="54" s="1"/>
  <c r="HG184" i="54"/>
  <c r="HN184" i="54" s="1"/>
  <c r="HK184" i="54"/>
  <c r="HP184" i="54" s="1"/>
  <c r="HJ184" i="54"/>
  <c r="HG148" i="54"/>
  <c r="HN148" i="54" s="1"/>
  <c r="HK148" i="54"/>
  <c r="HJ148" i="54"/>
  <c r="HG76" i="54"/>
  <c r="HN76" i="54" s="1"/>
  <c r="HK76" i="54"/>
  <c r="HP76" i="54" s="1"/>
  <c r="HJ76" i="54"/>
  <c r="HG40" i="54"/>
  <c r="HN40" i="54" s="1"/>
  <c r="HK40" i="54"/>
  <c r="HJ40" i="54"/>
  <c r="HG15" i="54"/>
  <c r="HK15" i="54"/>
  <c r="HJ15" i="54"/>
  <c r="HK159" i="54"/>
  <c r="HP159" i="54" s="1"/>
  <c r="HJ159" i="54"/>
  <c r="BH2" i="54"/>
  <c r="BH4" i="54"/>
  <c r="EE36" i="54"/>
  <c r="EE72" i="54"/>
  <c r="EE108" i="54"/>
  <c r="EE144" i="54"/>
  <c r="EE180" i="54"/>
  <c r="EE216" i="54"/>
  <c r="EE252" i="54"/>
  <c r="EE31" i="54"/>
  <c r="EE67" i="54"/>
  <c r="EE103" i="54"/>
  <c r="EE139" i="54"/>
  <c r="EE175" i="54"/>
  <c r="EE211" i="54"/>
  <c r="EE247" i="54"/>
  <c r="EE26" i="54"/>
  <c r="EE62" i="54"/>
  <c r="EE98" i="54"/>
  <c r="EE134" i="54"/>
  <c r="EE170" i="54"/>
  <c r="EE206" i="54"/>
  <c r="EE242" i="54"/>
  <c r="EE21" i="54"/>
  <c r="EE57" i="54"/>
  <c r="EE93" i="54"/>
  <c r="EE129" i="54"/>
  <c r="EE165" i="54"/>
  <c r="EE201" i="54"/>
  <c r="EE237" i="54"/>
  <c r="EE10" i="54"/>
  <c r="EE46" i="54"/>
  <c r="EE82" i="54"/>
  <c r="EE118" i="54"/>
  <c r="EE154" i="54"/>
  <c r="EE190" i="54"/>
  <c r="EE226" i="54"/>
  <c r="EE262" i="54"/>
  <c r="EE35" i="54"/>
  <c r="EE71" i="54"/>
  <c r="EE107" i="54"/>
  <c r="EE143" i="54"/>
  <c r="EE179" i="54"/>
  <c r="EE215" i="54"/>
  <c r="EE251" i="54"/>
  <c r="EE42" i="54"/>
  <c r="EE78" i="54"/>
  <c r="EE114" i="54"/>
  <c r="EE150" i="54"/>
  <c r="EE186" i="54"/>
  <c r="EE222" i="54"/>
  <c r="EE258" i="54"/>
  <c r="EE37" i="54"/>
  <c r="EE73" i="54"/>
  <c r="EE109" i="54"/>
  <c r="EE145" i="54"/>
  <c r="EE181" i="54"/>
  <c r="EE217" i="54"/>
  <c r="EE253" i="54"/>
  <c r="EE32" i="54"/>
  <c r="EE68" i="54"/>
  <c r="EE104" i="54"/>
  <c r="EE140" i="54"/>
  <c r="EE176" i="54"/>
  <c r="EE212" i="54"/>
  <c r="EE248" i="54"/>
  <c r="EE27" i="54"/>
  <c r="EE63" i="54"/>
  <c r="EE99" i="54"/>
  <c r="EE135" i="54"/>
  <c r="EE171" i="54"/>
  <c r="EE207" i="54"/>
  <c r="EE243" i="54"/>
  <c r="EE16" i="54"/>
  <c r="EE52" i="54"/>
  <c r="EE88" i="54"/>
  <c r="EE124" i="54"/>
  <c r="EE160" i="54"/>
  <c r="EE196" i="54"/>
  <c r="EE232" i="54"/>
  <c r="EE268" i="54"/>
  <c r="EE41" i="54"/>
  <c r="EE77" i="54"/>
  <c r="EE113" i="54"/>
  <c r="EE149" i="54"/>
  <c r="EE185" i="54"/>
  <c r="EE221" i="54"/>
  <c r="EE257" i="54"/>
  <c r="EE12" i="54"/>
  <c r="EE48" i="54"/>
  <c r="EE84" i="54"/>
  <c r="EE120" i="54"/>
  <c r="EE156" i="54"/>
  <c r="EE192" i="54"/>
  <c r="EE228" i="54"/>
  <c r="EE264" i="54"/>
  <c r="EE43" i="54"/>
  <c r="EE79" i="54"/>
  <c r="EE115" i="54"/>
  <c r="EE151" i="54"/>
  <c r="EE187" i="54"/>
  <c r="EE223" i="54"/>
  <c r="EE259" i="54"/>
  <c r="EE38" i="54"/>
  <c r="EE74" i="54"/>
  <c r="EE110" i="54"/>
  <c r="EE146" i="54"/>
  <c r="EE182" i="54"/>
  <c r="EE218" i="54"/>
  <c r="EE254" i="54"/>
  <c r="EE33" i="54"/>
  <c r="EE69" i="54"/>
  <c r="EE105" i="54"/>
  <c r="EE141" i="54"/>
  <c r="EE177" i="54"/>
  <c r="EE213" i="54"/>
  <c r="EE249" i="54"/>
  <c r="EE22" i="54"/>
  <c r="EE58" i="54"/>
  <c r="EE94" i="54"/>
  <c r="EE130" i="54"/>
  <c r="EE166" i="54"/>
  <c r="EE202" i="54"/>
  <c r="EE238" i="54"/>
  <c r="EE11" i="54"/>
  <c r="EE47" i="54"/>
  <c r="EE83" i="54"/>
  <c r="EE119" i="54"/>
  <c r="EE155" i="54"/>
  <c r="EE191" i="54"/>
  <c r="EE227" i="54"/>
  <c r="EE263" i="54"/>
  <c r="EE18" i="54"/>
  <c r="EE54" i="54"/>
  <c r="EE90" i="54"/>
  <c r="EE126" i="54"/>
  <c r="EE162" i="54"/>
  <c r="EE198" i="54"/>
  <c r="EE234" i="54"/>
  <c r="EE13" i="54"/>
  <c r="EE49" i="54"/>
  <c r="EE85" i="54"/>
  <c r="EE121" i="54"/>
  <c r="EE157" i="54"/>
  <c r="EE193" i="54"/>
  <c r="EE229" i="54"/>
  <c r="EE265" i="54"/>
  <c r="EE44" i="54"/>
  <c r="EE80" i="54"/>
  <c r="EE116" i="54"/>
  <c r="EE152" i="54"/>
  <c r="EE188" i="54"/>
  <c r="EE224" i="54"/>
  <c r="EE260" i="54"/>
  <c r="EE39" i="54"/>
  <c r="EE75" i="54"/>
  <c r="EE111" i="54"/>
  <c r="EE147" i="54"/>
  <c r="EE183" i="54"/>
  <c r="EE219" i="54"/>
  <c r="EE255" i="54"/>
  <c r="EE28" i="54"/>
  <c r="EE64" i="54"/>
  <c r="EE100" i="54"/>
  <c r="EE136" i="54"/>
  <c r="EE172" i="54"/>
  <c r="EE208" i="54"/>
  <c r="EE244" i="54"/>
  <c r="EE17" i="54"/>
  <c r="EE53" i="54"/>
  <c r="EE89" i="54"/>
  <c r="EE125" i="54"/>
  <c r="EE161" i="54"/>
  <c r="EE197" i="54"/>
  <c r="EE233" i="54"/>
  <c r="EE24" i="54"/>
  <c r="EE60" i="54"/>
  <c r="EE96" i="54"/>
  <c r="EE132" i="54"/>
  <c r="EE168" i="54"/>
  <c r="EE204" i="54"/>
  <c r="EE240" i="54"/>
  <c r="EE19" i="54"/>
  <c r="EE55" i="54"/>
  <c r="EE91" i="54"/>
  <c r="EE127" i="54"/>
  <c r="EE163" i="54"/>
  <c r="EE199" i="54"/>
  <c r="EE235" i="54"/>
  <c r="EE14" i="54"/>
  <c r="EE50" i="54"/>
  <c r="EE86" i="54"/>
  <c r="EE122" i="54"/>
  <c r="EE158" i="54"/>
  <c r="EE194" i="54"/>
  <c r="EE230" i="54"/>
  <c r="EE266" i="54"/>
  <c r="EE45" i="54"/>
  <c r="EE81" i="54"/>
  <c r="EE117" i="54"/>
  <c r="EE153" i="54"/>
  <c r="EE189" i="54"/>
  <c r="EE225" i="54"/>
  <c r="EE261" i="54"/>
  <c r="EE34" i="54"/>
  <c r="EE70" i="54"/>
  <c r="EE106" i="54"/>
  <c r="EE142" i="54"/>
  <c r="EE178" i="54"/>
  <c r="EE214" i="54"/>
  <c r="EE250" i="54"/>
  <c r="EE23" i="54"/>
  <c r="EE59" i="54"/>
  <c r="EE95" i="54"/>
  <c r="EE131" i="54"/>
  <c r="EE167" i="54"/>
  <c r="EE203" i="54"/>
  <c r="EE239" i="54"/>
  <c r="EE30" i="54"/>
  <c r="EE66" i="54"/>
  <c r="EE102" i="54"/>
  <c r="EE138" i="54"/>
  <c r="EE174" i="54"/>
  <c r="EE210" i="54"/>
  <c r="EE246" i="54"/>
  <c r="EE25" i="54"/>
  <c r="EE61" i="54"/>
  <c r="EE97" i="54"/>
  <c r="EE133" i="54"/>
  <c r="EE169" i="54"/>
  <c r="EE205" i="54"/>
  <c r="EE241" i="54"/>
  <c r="EE20" i="54"/>
  <c r="EE56" i="54"/>
  <c r="EE92" i="54"/>
  <c r="EE128" i="54"/>
  <c r="EE164" i="54"/>
  <c r="EE200" i="54"/>
  <c r="EE236" i="54"/>
  <c r="EE15" i="54"/>
  <c r="EE51" i="54"/>
  <c r="EE87" i="54"/>
  <c r="EE123" i="54"/>
  <c r="EE159" i="54"/>
  <c r="EE195" i="54"/>
  <c r="EE231" i="54"/>
  <c r="EE267" i="54"/>
  <c r="EE40" i="54"/>
  <c r="EE76" i="54"/>
  <c r="EE112" i="54"/>
  <c r="EE148" i="54"/>
  <c r="EE184" i="54"/>
  <c r="EE220" i="54"/>
  <c r="EE256" i="54"/>
  <c r="EE29" i="54"/>
  <c r="EE65" i="54"/>
  <c r="EE101" i="54"/>
  <c r="EE137" i="54"/>
  <c r="EE173" i="54"/>
  <c r="EE209" i="54"/>
  <c r="EE245" i="54"/>
  <c r="BI3" i="54"/>
  <c r="BF23" i="54" a="1"/>
  <c r="BF23" i="54" s="1"/>
  <c r="BF24" i="54" a="1"/>
  <c r="BF24" i="54" s="1"/>
  <c r="BF26" i="54" a="1"/>
  <c r="BF26" i="54" s="1"/>
  <c r="BF25" i="54" a="1"/>
  <c r="BF25" i="54" s="1"/>
  <c r="DS7" i="54"/>
  <c r="DR7" i="54"/>
  <c r="DK31" i="54"/>
  <c r="DK67" i="54"/>
  <c r="DK103" i="54"/>
  <c r="DK139" i="54"/>
  <c r="DK175" i="54"/>
  <c r="DK211" i="54"/>
  <c r="DK247" i="54"/>
  <c r="DK26" i="54"/>
  <c r="DK62" i="54"/>
  <c r="DK98" i="54"/>
  <c r="DK134" i="54"/>
  <c r="DK170" i="54"/>
  <c r="DK206" i="54"/>
  <c r="DK242" i="54"/>
  <c r="DK21" i="54"/>
  <c r="DK57" i="54"/>
  <c r="DK93" i="54"/>
  <c r="DK129" i="54"/>
  <c r="DK165" i="54"/>
  <c r="DK201" i="54"/>
  <c r="DK237" i="54"/>
  <c r="DK22" i="54"/>
  <c r="DK58" i="54"/>
  <c r="DK94" i="54"/>
  <c r="DK130" i="54"/>
  <c r="DK166" i="54"/>
  <c r="DK202" i="54"/>
  <c r="DK238" i="54"/>
  <c r="DK11" i="54"/>
  <c r="DK47" i="54"/>
  <c r="DK83" i="54"/>
  <c r="DK119" i="54"/>
  <c r="DK155" i="54"/>
  <c r="DK191" i="54"/>
  <c r="DK13" i="54"/>
  <c r="DK55" i="54"/>
  <c r="DK97" i="54"/>
  <c r="DK145" i="54"/>
  <c r="DK187" i="54"/>
  <c r="DK229" i="54"/>
  <c r="DK14" i="54"/>
  <c r="DK56" i="54"/>
  <c r="DK104" i="54"/>
  <c r="DK146" i="54"/>
  <c r="DK188" i="54"/>
  <c r="DK230" i="54"/>
  <c r="DK15" i="54"/>
  <c r="DK63" i="54"/>
  <c r="DK105" i="54"/>
  <c r="DK147" i="54"/>
  <c r="DK189" i="54"/>
  <c r="DK231" i="54"/>
  <c r="DK28" i="54"/>
  <c r="DK70" i="54"/>
  <c r="DK112" i="54"/>
  <c r="DK154" i="54"/>
  <c r="DK19" i="54"/>
  <c r="DK61" i="54"/>
  <c r="DK109" i="54"/>
  <c r="DK151" i="54"/>
  <c r="DK193" i="54"/>
  <c r="DK235" i="54"/>
  <c r="DK20" i="54"/>
  <c r="DK68" i="54"/>
  <c r="DK110" i="54"/>
  <c r="DK152" i="54"/>
  <c r="DK194" i="54"/>
  <c r="DK236" i="54"/>
  <c r="DK27" i="54"/>
  <c r="DK69" i="54"/>
  <c r="DK111" i="54"/>
  <c r="DK153" i="54"/>
  <c r="DK195" i="54"/>
  <c r="DK243" i="54"/>
  <c r="DK34" i="54"/>
  <c r="DK76" i="54"/>
  <c r="DK118" i="54"/>
  <c r="DK160" i="54"/>
  <c r="DK208" i="54"/>
  <c r="DK250" i="54"/>
  <c r="DK25" i="54"/>
  <c r="DK73" i="54"/>
  <c r="DK115" i="54"/>
  <c r="DK157" i="54"/>
  <c r="DK199" i="54"/>
  <c r="DK241" i="54"/>
  <c r="DK32" i="54"/>
  <c r="DK74" i="54"/>
  <c r="DK116" i="54"/>
  <c r="DK158" i="54"/>
  <c r="DK200" i="54"/>
  <c r="DK248" i="54"/>
  <c r="DK33" i="54"/>
  <c r="DK75" i="54"/>
  <c r="DK117" i="54"/>
  <c r="DK159" i="54"/>
  <c r="DK207" i="54"/>
  <c r="DK249" i="54"/>
  <c r="DK37" i="54"/>
  <c r="DK79" i="54"/>
  <c r="DK121" i="54"/>
  <c r="DK163" i="54"/>
  <c r="DK205" i="54"/>
  <c r="DK253" i="54"/>
  <c r="DK38" i="54"/>
  <c r="DK80" i="54"/>
  <c r="DK122" i="54"/>
  <c r="DK164" i="54"/>
  <c r="DK212" i="54"/>
  <c r="DK254" i="54"/>
  <c r="DK39" i="54"/>
  <c r="DK81" i="54"/>
  <c r="DK123" i="54"/>
  <c r="DK171" i="54"/>
  <c r="DK213" i="54"/>
  <c r="DK255" i="54"/>
  <c r="DK46" i="54"/>
  <c r="DK88" i="54"/>
  <c r="DK136" i="54"/>
  <c r="DK178" i="54"/>
  <c r="DK220" i="54"/>
  <c r="DK262" i="54"/>
  <c r="DK41" i="54"/>
  <c r="DK89" i="54"/>
  <c r="DK131" i="54"/>
  <c r="DK173" i="54"/>
  <c r="DK215" i="54"/>
  <c r="DK251" i="54"/>
  <c r="DK120" i="54"/>
  <c r="DK54" i="54"/>
  <c r="DK264" i="54"/>
  <c r="DK204" i="54"/>
  <c r="DK138" i="54"/>
  <c r="DK108" i="54"/>
  <c r="DK78" i="54"/>
  <c r="DK43" i="54"/>
  <c r="DK85" i="54"/>
  <c r="DK127" i="54"/>
  <c r="DK169" i="54"/>
  <c r="DK217" i="54"/>
  <c r="DK259" i="54"/>
  <c r="DK44" i="54"/>
  <c r="DK86" i="54"/>
  <c r="DK128" i="54"/>
  <c r="DK176" i="54"/>
  <c r="DK218" i="54"/>
  <c r="DK260" i="54"/>
  <c r="DK45" i="54"/>
  <c r="DK87" i="54"/>
  <c r="DK135" i="54"/>
  <c r="DK177" i="54"/>
  <c r="DK219" i="54"/>
  <c r="DK10" i="54"/>
  <c r="DK49" i="54"/>
  <c r="DK91" i="54"/>
  <c r="DK133" i="54"/>
  <c r="DK181" i="54"/>
  <c r="DK223" i="54"/>
  <c r="DK265" i="54"/>
  <c r="DK50" i="54"/>
  <c r="DK92" i="54"/>
  <c r="DK140" i="54"/>
  <c r="DK182" i="54"/>
  <c r="DK224" i="54"/>
  <c r="DK266" i="54"/>
  <c r="DK51" i="54"/>
  <c r="DK99" i="54"/>
  <c r="DK141" i="54"/>
  <c r="DK183" i="54"/>
  <c r="DK225" i="54"/>
  <c r="DK16" i="54"/>
  <c r="DK64" i="54"/>
  <c r="DK106" i="54"/>
  <c r="DK148" i="54"/>
  <c r="DK190" i="54"/>
  <c r="DK232" i="54"/>
  <c r="DK17" i="54"/>
  <c r="DK59" i="54"/>
  <c r="DK101" i="54"/>
  <c r="DK143" i="54"/>
  <c r="DK185" i="54"/>
  <c r="DK227" i="54"/>
  <c r="DK263" i="54"/>
  <c r="DK192" i="54"/>
  <c r="DK126" i="54"/>
  <c r="DK60" i="54"/>
  <c r="DK267" i="54"/>
  <c r="DK210" i="54"/>
  <c r="DK180" i="54"/>
  <c r="DK150" i="54"/>
  <c r="DK40" i="54"/>
  <c r="DK172" i="54"/>
  <c r="DK256" i="54"/>
  <c r="DK65" i="54"/>
  <c r="DK125" i="54"/>
  <c r="DK197" i="54"/>
  <c r="DK245" i="54"/>
  <c r="DK228" i="54"/>
  <c r="DK234" i="54"/>
  <c r="DK30" i="54"/>
  <c r="DK72" i="54"/>
  <c r="DK186" i="54"/>
  <c r="DK52" i="54"/>
  <c r="DK184" i="54"/>
  <c r="DK268" i="54"/>
  <c r="DK71" i="54"/>
  <c r="DK137" i="54"/>
  <c r="DK203" i="54"/>
  <c r="DK257" i="54"/>
  <c r="DK261" i="54"/>
  <c r="DK24" i="54"/>
  <c r="DK66" i="54"/>
  <c r="DK144" i="54"/>
  <c r="DK222" i="54"/>
  <c r="DK82" i="54"/>
  <c r="DK196" i="54"/>
  <c r="DK23" i="54"/>
  <c r="DK77" i="54"/>
  <c r="DK149" i="54"/>
  <c r="DK209" i="54"/>
  <c r="DK12" i="54"/>
  <c r="DK18" i="54"/>
  <c r="DK96" i="54"/>
  <c r="DK102" i="54"/>
  <c r="DK216" i="54"/>
  <c r="DK258" i="54"/>
  <c r="DK100" i="54"/>
  <c r="DK214" i="54"/>
  <c r="DK29" i="54"/>
  <c r="DK95" i="54"/>
  <c r="DK161" i="54"/>
  <c r="DK221" i="54"/>
  <c r="DK48" i="54"/>
  <c r="DK90" i="54"/>
  <c r="DK132" i="54"/>
  <c r="DK174" i="54"/>
  <c r="DK252" i="54"/>
  <c r="DK124" i="54"/>
  <c r="DK226" i="54"/>
  <c r="DK35" i="54"/>
  <c r="DK107" i="54"/>
  <c r="DK167" i="54"/>
  <c r="DK233" i="54"/>
  <c r="DK84" i="54"/>
  <c r="DK162" i="54"/>
  <c r="DK168" i="54"/>
  <c r="DK246" i="54"/>
  <c r="DK42" i="54"/>
  <c r="DK142" i="54"/>
  <c r="DK244" i="54"/>
  <c r="DK53" i="54"/>
  <c r="DK113" i="54"/>
  <c r="DK179" i="54"/>
  <c r="DK239" i="54"/>
  <c r="DK156" i="54"/>
  <c r="DK198" i="54"/>
  <c r="DK240" i="54"/>
  <c r="DK36" i="54"/>
  <c r="DK114" i="54"/>
  <c r="HN29" i="54"/>
  <c r="HN31" i="54"/>
  <c r="HN101" i="54"/>
  <c r="HN133" i="54"/>
  <c r="HJ129" i="54"/>
  <c r="HO129" i="54" s="1"/>
  <c r="HK129" i="54"/>
  <c r="HP129" i="54" s="1"/>
  <c r="HK32" i="54"/>
  <c r="HP32" i="54" s="1"/>
  <c r="HJ32" i="54"/>
  <c r="HO32" i="54" s="1"/>
  <c r="HK247" i="54"/>
  <c r="HJ247" i="54"/>
  <c r="HO247" i="54" s="1"/>
  <c r="HJ246" i="54"/>
  <c r="HO246" i="54" s="1"/>
  <c r="HK246" i="54"/>
  <c r="HP246" i="54" s="1"/>
  <c r="HK149" i="54"/>
  <c r="HP149" i="54" s="1"/>
  <c r="HJ149" i="54"/>
  <c r="HO149" i="54" s="1"/>
  <c r="HK154" i="54"/>
  <c r="HP154" i="54" s="1"/>
  <c r="HJ154" i="54"/>
  <c r="HK16" i="54"/>
  <c r="HP16" i="54" s="1"/>
  <c r="HJ16" i="54"/>
  <c r="HK21" i="54"/>
  <c r="HP21" i="54" s="1"/>
  <c r="HJ21" i="54"/>
  <c r="HO21" i="54" s="1"/>
  <c r="HK140" i="54"/>
  <c r="HP140" i="54" s="1"/>
  <c r="HJ140" i="54"/>
  <c r="HO140" i="54" s="1"/>
  <c r="HK139" i="54"/>
  <c r="HP139" i="54" s="1"/>
  <c r="HJ139" i="54"/>
  <c r="HO139" i="54" s="1"/>
  <c r="HK138" i="54"/>
  <c r="HP138" i="54" s="1"/>
  <c r="HJ138" i="54"/>
  <c r="HO138" i="54" s="1"/>
  <c r="HK257" i="54"/>
  <c r="HP257" i="54" s="1"/>
  <c r="HJ257" i="54"/>
  <c r="HO257" i="54" s="1"/>
  <c r="HK262" i="54"/>
  <c r="HP262" i="54" s="1"/>
  <c r="HJ262" i="54"/>
  <c r="HO262" i="54" s="1"/>
  <c r="HK171" i="54"/>
  <c r="HP171" i="54" s="1"/>
  <c r="HJ171" i="54"/>
  <c r="HO171" i="54" s="1"/>
  <c r="HK74" i="54"/>
  <c r="HP74" i="54" s="1"/>
  <c r="HJ74" i="54"/>
  <c r="HO74" i="54" s="1"/>
  <c r="HK151" i="54"/>
  <c r="HP151" i="54" s="1"/>
  <c r="HJ151" i="54"/>
  <c r="HO151" i="54" s="1"/>
  <c r="HK150" i="54"/>
  <c r="HP150" i="54" s="1"/>
  <c r="HJ150" i="54"/>
  <c r="HO150" i="54" s="1"/>
  <c r="HK227" i="54"/>
  <c r="HJ227" i="54"/>
  <c r="HO227" i="54" s="1"/>
  <c r="HK47" i="54"/>
  <c r="HP47" i="54" s="1"/>
  <c r="HJ47" i="54"/>
  <c r="HO47" i="54" s="1"/>
  <c r="HK177" i="54"/>
  <c r="HP177" i="54" s="1"/>
  <c r="HJ177" i="54"/>
  <c r="HO177" i="54" s="1"/>
  <c r="HK38" i="54"/>
  <c r="HP38" i="54" s="1"/>
  <c r="HJ38" i="54"/>
  <c r="HO38" i="54" s="1"/>
  <c r="HJ121" i="54"/>
  <c r="HO121" i="54" s="1"/>
  <c r="HK121" i="54"/>
  <c r="HP121" i="54" s="1"/>
  <c r="HJ120" i="54"/>
  <c r="HO120" i="54" s="1"/>
  <c r="HK120" i="54"/>
  <c r="HP120" i="54" s="1"/>
  <c r="HK59" i="54"/>
  <c r="HP59" i="54" s="1"/>
  <c r="HJ59" i="54"/>
  <c r="HK28" i="54"/>
  <c r="HP28" i="54" s="1"/>
  <c r="HJ28" i="54"/>
  <c r="HO28" i="54" s="1"/>
  <c r="HK230" i="54"/>
  <c r="HP230" i="54" s="1"/>
  <c r="HJ230" i="54"/>
  <c r="HO230" i="54" s="1"/>
  <c r="HK152" i="54"/>
  <c r="HP152" i="54" s="1"/>
  <c r="HJ152" i="54"/>
  <c r="HO152" i="54" s="1"/>
  <c r="HJ91" i="54"/>
  <c r="HK91" i="54"/>
  <c r="HP91" i="54" s="1"/>
  <c r="HJ90" i="54"/>
  <c r="HO90" i="54" s="1"/>
  <c r="HK90" i="54"/>
  <c r="HP90" i="54" s="1"/>
  <c r="HK53" i="54"/>
  <c r="HP53" i="54" s="1"/>
  <c r="HJ53" i="54"/>
  <c r="HO53" i="54" s="1"/>
  <c r="HK261" i="54"/>
  <c r="HP261" i="54" s="1"/>
  <c r="HJ261" i="54"/>
  <c r="HO261" i="54" s="1"/>
  <c r="HK224" i="54"/>
  <c r="HJ224" i="54"/>
  <c r="HO224" i="54" s="1"/>
  <c r="HK163" i="54"/>
  <c r="HP163" i="54" s="1"/>
  <c r="HJ163" i="54"/>
  <c r="HO163" i="54" s="1"/>
  <c r="HJ162" i="54"/>
  <c r="HO162" i="54" s="1"/>
  <c r="HK162" i="54"/>
  <c r="HP162" i="54" s="1"/>
  <c r="HK125" i="54"/>
  <c r="HP125" i="54" s="1"/>
  <c r="HJ125" i="54"/>
  <c r="HO125" i="54" s="1"/>
  <c r="HK23" i="54"/>
  <c r="HP23" i="54" s="1"/>
  <c r="HJ23" i="54"/>
  <c r="HO23" i="54" s="1"/>
  <c r="HG231" i="54"/>
  <c r="HN231" i="54" s="1"/>
  <c r="HJ231" i="54"/>
  <c r="HO231" i="54" s="1"/>
  <c r="HK231" i="54"/>
  <c r="HG195" i="54"/>
  <c r="HN195" i="54" s="1"/>
  <c r="HP195" i="54" s="1"/>
  <c r="HJ195" i="54"/>
  <c r="HO195" i="54" s="1"/>
  <c r="HK195" i="54"/>
  <c r="HG123" i="54"/>
  <c r="HK123" i="54"/>
  <c r="HJ123" i="54"/>
  <c r="HG87" i="54"/>
  <c r="HN87" i="54" s="1"/>
  <c r="HK87" i="54"/>
  <c r="HP87" i="54" s="1"/>
  <c r="HJ87" i="54"/>
  <c r="HG51" i="54"/>
  <c r="HN51" i="54" s="1"/>
  <c r="HJ51" i="54"/>
  <c r="HK51" i="54"/>
  <c r="HP51" i="54" s="1"/>
  <c r="HG20" i="54"/>
  <c r="HN20" i="54" s="1"/>
  <c r="HK20" i="54"/>
  <c r="HP20" i="54" s="1"/>
  <c r="HJ20" i="54"/>
  <c r="HK200" i="54"/>
  <c r="HJ200" i="54"/>
  <c r="HO200" i="54" s="1"/>
  <c r="BH23" i="54" a="1"/>
  <c r="BH23" i="54" s="1"/>
  <c r="BH24" i="54" a="1"/>
  <c r="BH24" i="54" s="1"/>
  <c r="BH25" i="54" a="1"/>
  <c r="BH25" i="54" s="1"/>
  <c r="BH26" i="54" a="1"/>
  <c r="BH26" i="54" s="1"/>
  <c r="GM28" i="54"/>
  <c r="GM64" i="54"/>
  <c r="GM100" i="54"/>
  <c r="GM136" i="54"/>
  <c r="GM172" i="54"/>
  <c r="GM208" i="54"/>
  <c r="GM244" i="54"/>
  <c r="GM17" i="54"/>
  <c r="GM53" i="54"/>
  <c r="GM89" i="54"/>
  <c r="GM125" i="54"/>
  <c r="GM161" i="54"/>
  <c r="GM197" i="54"/>
  <c r="GM233" i="54"/>
  <c r="GM12" i="54"/>
  <c r="GM48" i="54"/>
  <c r="GM84" i="54"/>
  <c r="GM120" i="54"/>
  <c r="GM156" i="54"/>
  <c r="GM192" i="54"/>
  <c r="GM228" i="54"/>
  <c r="GM264" i="54"/>
  <c r="GM43" i="54"/>
  <c r="GM79" i="54"/>
  <c r="GM115" i="54"/>
  <c r="GM151" i="54"/>
  <c r="GM187" i="54"/>
  <c r="GM223" i="54"/>
  <c r="GM259" i="54"/>
  <c r="GM38" i="54"/>
  <c r="GM74" i="54"/>
  <c r="GM110" i="54"/>
  <c r="GM146" i="54"/>
  <c r="GM182" i="54"/>
  <c r="GM218" i="54"/>
  <c r="GM254" i="54"/>
  <c r="GM33" i="54"/>
  <c r="GM69" i="54"/>
  <c r="GM105" i="54"/>
  <c r="GM141" i="54"/>
  <c r="GM177" i="54"/>
  <c r="GM213" i="54"/>
  <c r="GM249" i="54"/>
  <c r="GM34" i="54"/>
  <c r="GM70" i="54"/>
  <c r="GM106" i="54"/>
  <c r="GM142" i="54"/>
  <c r="GM178" i="54"/>
  <c r="GM214" i="54"/>
  <c r="GM250" i="54"/>
  <c r="GM23" i="54"/>
  <c r="GM59" i="54"/>
  <c r="GM95" i="54"/>
  <c r="GM131" i="54"/>
  <c r="GM167" i="54"/>
  <c r="GM203" i="54"/>
  <c r="GM239" i="54"/>
  <c r="GM18" i="54"/>
  <c r="GM54" i="54"/>
  <c r="GM90" i="54"/>
  <c r="GM126" i="54"/>
  <c r="GM162" i="54"/>
  <c r="GM198" i="54"/>
  <c r="GM234" i="54"/>
  <c r="GM13" i="54"/>
  <c r="GM49" i="54"/>
  <c r="GM85" i="54"/>
  <c r="GM121" i="54"/>
  <c r="GM157" i="54"/>
  <c r="GM193" i="54"/>
  <c r="GM229" i="54"/>
  <c r="GM265" i="54"/>
  <c r="GM44" i="54"/>
  <c r="GM80" i="54"/>
  <c r="GM116" i="54"/>
  <c r="GM152" i="54"/>
  <c r="GM188" i="54"/>
  <c r="GM224" i="54"/>
  <c r="GM260" i="54"/>
  <c r="GM39" i="54"/>
  <c r="GM75" i="54"/>
  <c r="GM111" i="54"/>
  <c r="GM147" i="54"/>
  <c r="GM183" i="54"/>
  <c r="GM219" i="54"/>
  <c r="GM255" i="54"/>
  <c r="GM40" i="54"/>
  <c r="GM76" i="54"/>
  <c r="GM112" i="54"/>
  <c r="GM148" i="54"/>
  <c r="GM184" i="54"/>
  <c r="GM220" i="54"/>
  <c r="GM256" i="54"/>
  <c r="GM29" i="54"/>
  <c r="GM65" i="54"/>
  <c r="GM101" i="54"/>
  <c r="GM137" i="54"/>
  <c r="GM173" i="54"/>
  <c r="GM209" i="54"/>
  <c r="GM245" i="54"/>
  <c r="GM24" i="54"/>
  <c r="GM60" i="54"/>
  <c r="GM96" i="54"/>
  <c r="GM132" i="54"/>
  <c r="GM168" i="54"/>
  <c r="GM204" i="54"/>
  <c r="GM240" i="54"/>
  <c r="GM19" i="54"/>
  <c r="GM55" i="54"/>
  <c r="GM91" i="54"/>
  <c r="GM127" i="54"/>
  <c r="GM163" i="54"/>
  <c r="GM199" i="54"/>
  <c r="GM235" i="54"/>
  <c r="GM14" i="54"/>
  <c r="GM50" i="54"/>
  <c r="GM86" i="54"/>
  <c r="GM122" i="54"/>
  <c r="GM158" i="54"/>
  <c r="GM194" i="54"/>
  <c r="GM230" i="54"/>
  <c r="GM266" i="54"/>
  <c r="GM45" i="54"/>
  <c r="GM81" i="54"/>
  <c r="GM117" i="54"/>
  <c r="GM153" i="54"/>
  <c r="GM189" i="54"/>
  <c r="GM225" i="54"/>
  <c r="GM261" i="54"/>
  <c r="GM10" i="54"/>
  <c r="GM46" i="54"/>
  <c r="GM82" i="54"/>
  <c r="GM118" i="54"/>
  <c r="GM154" i="54"/>
  <c r="GM190" i="54"/>
  <c r="GM226" i="54"/>
  <c r="GM262" i="54"/>
  <c r="GM35" i="54"/>
  <c r="GM71" i="54"/>
  <c r="GM107" i="54"/>
  <c r="GM143" i="54"/>
  <c r="GM179" i="54"/>
  <c r="GM215" i="54"/>
  <c r="GM251" i="54"/>
  <c r="GM30" i="54"/>
  <c r="GM66" i="54"/>
  <c r="GM102" i="54"/>
  <c r="GM138" i="54"/>
  <c r="GM174" i="54"/>
  <c r="GM210" i="54"/>
  <c r="GM246" i="54"/>
  <c r="GM25" i="54"/>
  <c r="GM61" i="54"/>
  <c r="GM97" i="54"/>
  <c r="GM133" i="54"/>
  <c r="GM169" i="54"/>
  <c r="GM205" i="54"/>
  <c r="GM241" i="54"/>
  <c r="GM20" i="54"/>
  <c r="GM56" i="54"/>
  <c r="GM92" i="54"/>
  <c r="GM128" i="54"/>
  <c r="GM164" i="54"/>
  <c r="GM200" i="54"/>
  <c r="GM236" i="54"/>
  <c r="GM15" i="54"/>
  <c r="GM51" i="54"/>
  <c r="GM87" i="54"/>
  <c r="GM123" i="54"/>
  <c r="GM159" i="54"/>
  <c r="GM195" i="54"/>
  <c r="GM231" i="54"/>
  <c r="GM267" i="54"/>
  <c r="GM16" i="54"/>
  <c r="GM52" i="54"/>
  <c r="GM88" i="54"/>
  <c r="GM124" i="54"/>
  <c r="GM160" i="54"/>
  <c r="GM196" i="54"/>
  <c r="GM232" i="54"/>
  <c r="GM268" i="54"/>
  <c r="GM41" i="54"/>
  <c r="GM77" i="54"/>
  <c r="GM113" i="54"/>
  <c r="GM149" i="54"/>
  <c r="GM185" i="54"/>
  <c r="GM221" i="54"/>
  <c r="GM257" i="54"/>
  <c r="GM36" i="54"/>
  <c r="GM72" i="54"/>
  <c r="GM108" i="54"/>
  <c r="GM144" i="54"/>
  <c r="GM180" i="54"/>
  <c r="GM216" i="54"/>
  <c r="GM252" i="54"/>
  <c r="GM31" i="54"/>
  <c r="GM67" i="54"/>
  <c r="GM103" i="54"/>
  <c r="GM139" i="54"/>
  <c r="GM175" i="54"/>
  <c r="GM211" i="54"/>
  <c r="GM247" i="54"/>
  <c r="GM26" i="54"/>
  <c r="GM62" i="54"/>
  <c r="GM98" i="54"/>
  <c r="GM134" i="54"/>
  <c r="GM170" i="54"/>
  <c r="GM206" i="54"/>
  <c r="GM242" i="54"/>
  <c r="GM21" i="54"/>
  <c r="GM57" i="54"/>
  <c r="GM93" i="54"/>
  <c r="GM129" i="54"/>
  <c r="GM165" i="54"/>
  <c r="GM201" i="54"/>
  <c r="GM237" i="54"/>
  <c r="GM22" i="54"/>
  <c r="GM58" i="54"/>
  <c r="GM94" i="54"/>
  <c r="GM130" i="54"/>
  <c r="GM166" i="54"/>
  <c r="GM202" i="54"/>
  <c r="GM238" i="54"/>
  <c r="GM11" i="54"/>
  <c r="GM47" i="54"/>
  <c r="GM83" i="54"/>
  <c r="GM119" i="54"/>
  <c r="GM155" i="54"/>
  <c r="GM191" i="54"/>
  <c r="GM227" i="54"/>
  <c r="GM263" i="54"/>
  <c r="GM42" i="54"/>
  <c r="GM78" i="54"/>
  <c r="GM114" i="54"/>
  <c r="GM150" i="54"/>
  <c r="GM186" i="54"/>
  <c r="GM222" i="54"/>
  <c r="GM258" i="54"/>
  <c r="GM37" i="54"/>
  <c r="GM73" i="54"/>
  <c r="GM109" i="54"/>
  <c r="GM145" i="54"/>
  <c r="GM181" i="54"/>
  <c r="GM217" i="54"/>
  <c r="GM253" i="54"/>
  <c r="GM32" i="54"/>
  <c r="GM68" i="54"/>
  <c r="GM104" i="54"/>
  <c r="GM140" i="54"/>
  <c r="GM176" i="54"/>
  <c r="GM212" i="54"/>
  <c r="GM248" i="54"/>
  <c r="GM27" i="54"/>
  <c r="GM63" i="54"/>
  <c r="GM99" i="54"/>
  <c r="GM135" i="54"/>
  <c r="GM171" i="54"/>
  <c r="GM207" i="54"/>
  <c r="GM243" i="54"/>
  <c r="GU7" i="54"/>
  <c r="GT7" i="54"/>
  <c r="BG25" i="54" a="1"/>
  <c r="BG25" i="54" s="1"/>
  <c r="BG26" i="54" a="1"/>
  <c r="BG26" i="54" s="1"/>
  <c r="BG23" i="54" a="1"/>
  <c r="BG23" i="54" s="1"/>
  <c r="BG24" i="54" a="1"/>
  <c r="BG24" i="54" s="1"/>
  <c r="AH43" i="54" a="1"/>
  <c r="AH43" i="54" s="1"/>
  <c r="AH40" i="54" a="1"/>
  <c r="AH40" i="54" s="1"/>
  <c r="AH44" i="54" a="1"/>
  <c r="AH44" i="54" s="1"/>
  <c r="AH42" i="54" a="1"/>
  <c r="AH42" i="54" s="1"/>
  <c r="AH41" i="54" a="1"/>
  <c r="AH41" i="54" s="1"/>
  <c r="AH39" i="54" a="1"/>
  <c r="AH39" i="54" s="1"/>
  <c r="HN245" i="54"/>
  <c r="HN60" i="54"/>
  <c r="HK82" i="54"/>
  <c r="HP82" i="54" s="1"/>
  <c r="HJ82" i="54"/>
  <c r="HO82" i="54" s="1"/>
  <c r="HK248" i="54"/>
  <c r="HP248" i="54" s="1"/>
  <c r="HJ248" i="54"/>
  <c r="HO248" i="54" s="1"/>
  <c r="HJ206" i="54"/>
  <c r="HO206" i="54" s="1"/>
  <c r="HK206" i="54"/>
  <c r="HK109" i="54"/>
  <c r="HP109" i="54" s="1"/>
  <c r="HJ109" i="54"/>
  <c r="HO109" i="54" s="1"/>
  <c r="HK108" i="54"/>
  <c r="HP108" i="54" s="1"/>
  <c r="HJ108" i="54"/>
  <c r="HK107" i="54"/>
  <c r="HP107" i="54" s="1"/>
  <c r="HJ107" i="54"/>
  <c r="HK232" i="54"/>
  <c r="HP232" i="54" s="1"/>
  <c r="HJ232" i="54"/>
  <c r="HO232" i="54" s="1"/>
  <c r="HJ237" i="54"/>
  <c r="HO237" i="54" s="1"/>
  <c r="HK237" i="54"/>
  <c r="HJ99" i="54"/>
  <c r="HO99" i="54" s="1"/>
  <c r="HK99" i="54"/>
  <c r="HP99" i="54" s="1"/>
  <c r="HK98" i="54"/>
  <c r="HP98" i="54" s="1"/>
  <c r="HJ98" i="54"/>
  <c r="HO98" i="54" s="1"/>
  <c r="HK217" i="54"/>
  <c r="HP217" i="54" s="1"/>
  <c r="HJ217" i="54"/>
  <c r="HO217" i="54" s="1"/>
  <c r="HK216" i="54"/>
  <c r="HP216" i="54" s="1"/>
  <c r="HJ216" i="54"/>
  <c r="HO216" i="54" s="1"/>
  <c r="HJ215" i="54"/>
  <c r="HO215" i="54" s="1"/>
  <c r="HK215" i="54"/>
  <c r="HK124" i="54"/>
  <c r="HP124" i="54" s="1"/>
  <c r="HJ124" i="54"/>
  <c r="HO124" i="54" s="1"/>
  <c r="HJ33" i="54"/>
  <c r="HO33" i="54" s="1"/>
  <c r="HK33" i="54"/>
  <c r="HP33" i="54" s="1"/>
  <c r="HK110" i="54"/>
  <c r="HP110" i="54" s="1"/>
  <c r="HJ110" i="54"/>
  <c r="HO110" i="54" s="1"/>
  <c r="HK187" i="54"/>
  <c r="HP187" i="54" s="1"/>
  <c r="HJ187" i="54"/>
  <c r="HO187" i="54" s="1"/>
  <c r="HJ186" i="54"/>
  <c r="HO186" i="54" s="1"/>
  <c r="HK186" i="54"/>
  <c r="HK263" i="54"/>
  <c r="HP263" i="54" s="1"/>
  <c r="HJ263" i="54"/>
  <c r="HO263" i="54" s="1"/>
  <c r="HK130" i="54"/>
  <c r="HP130" i="54" s="1"/>
  <c r="HJ130" i="54"/>
  <c r="HO130" i="54" s="1"/>
  <c r="HK254" i="54"/>
  <c r="HP254" i="54" s="1"/>
  <c r="HJ254" i="54"/>
  <c r="HO254" i="54" s="1"/>
  <c r="HK80" i="54"/>
  <c r="HP80" i="54" s="1"/>
  <c r="HJ80" i="54"/>
  <c r="HO80" i="54" s="1"/>
  <c r="HK19" i="54"/>
  <c r="HP19" i="54" s="1"/>
  <c r="HJ19" i="54"/>
  <c r="HO19" i="54" s="1"/>
  <c r="HK18" i="54"/>
  <c r="HP18" i="54" s="1"/>
  <c r="HJ18" i="54"/>
  <c r="HO18" i="54" s="1"/>
  <c r="HK244" i="54"/>
  <c r="HJ244" i="54"/>
  <c r="HO244" i="54" s="1"/>
  <c r="HJ189" i="54"/>
  <c r="HO189" i="54" s="1"/>
  <c r="HK189" i="54"/>
  <c r="HK111" i="54"/>
  <c r="HP111" i="54" s="1"/>
  <c r="HJ111" i="54"/>
  <c r="HO111" i="54" s="1"/>
  <c r="HK50" i="54"/>
  <c r="HP50" i="54" s="1"/>
  <c r="HJ50" i="54"/>
  <c r="HO50" i="54" s="1"/>
  <c r="HK13" i="54"/>
  <c r="HP13" i="54" s="1"/>
  <c r="HJ13" i="54"/>
  <c r="HO13" i="54" s="1"/>
  <c r="HK12" i="54"/>
  <c r="HP12" i="54" s="1"/>
  <c r="HJ12" i="54"/>
  <c r="HO12" i="54" s="1"/>
  <c r="HK214" i="54"/>
  <c r="HP214" i="54" s="1"/>
  <c r="HJ214" i="54"/>
  <c r="HO214" i="54" s="1"/>
  <c r="HK183" i="54"/>
  <c r="HP183" i="54" s="1"/>
  <c r="HJ183" i="54"/>
  <c r="HO183" i="54" s="1"/>
  <c r="HJ122" i="54"/>
  <c r="HO122" i="54" s="1"/>
  <c r="HK122" i="54"/>
  <c r="HP122" i="54" s="1"/>
  <c r="HK85" i="54"/>
  <c r="HP85" i="54" s="1"/>
  <c r="HJ85" i="54"/>
  <c r="HO85" i="54" s="1"/>
  <c r="HK84" i="54"/>
  <c r="HP84" i="54" s="1"/>
  <c r="HJ84" i="54"/>
  <c r="HO84" i="54" s="1"/>
  <c r="HK239" i="54"/>
  <c r="HP239" i="54" s="1"/>
  <c r="HJ239" i="54"/>
  <c r="HO239" i="54" s="1"/>
  <c r="HG236" i="54"/>
  <c r="HK236" i="54"/>
  <c r="HJ236" i="54"/>
  <c r="HO236" i="54" s="1"/>
  <c r="HG164" i="54"/>
  <c r="HN164" i="54" s="1"/>
  <c r="HK164" i="54"/>
  <c r="HJ164" i="54"/>
  <c r="HG128" i="54"/>
  <c r="HN128" i="54" s="1"/>
  <c r="HK128" i="54"/>
  <c r="HP128" i="54" s="1"/>
  <c r="HJ128" i="54"/>
  <c r="HG92" i="54"/>
  <c r="HN92" i="54" s="1"/>
  <c r="HK92" i="54"/>
  <c r="HP92" i="54" s="1"/>
  <c r="HJ92" i="54"/>
  <c r="HK56" i="54"/>
  <c r="HP56" i="54" s="1"/>
  <c r="HJ56" i="54"/>
  <c r="HG240" i="54"/>
  <c r="HN240" i="54" s="1"/>
  <c r="HK240" i="54"/>
  <c r="HJ240" i="54"/>
  <c r="HO240" i="54" s="1"/>
  <c r="HG241" i="54"/>
  <c r="HK241" i="54"/>
  <c r="HJ241" i="54"/>
  <c r="HO241" i="54" s="1"/>
  <c r="GN27" i="54"/>
  <c r="GN63" i="54"/>
  <c r="GN99" i="54"/>
  <c r="GN135" i="54"/>
  <c r="GN171" i="54"/>
  <c r="GN207" i="54"/>
  <c r="GN39" i="54"/>
  <c r="GN75" i="54"/>
  <c r="GN111" i="54"/>
  <c r="GN147" i="54"/>
  <c r="GN183" i="54"/>
  <c r="GN219" i="54"/>
  <c r="GN255" i="54"/>
  <c r="GN45" i="54"/>
  <c r="GN81" i="54"/>
  <c r="GN117" i="54"/>
  <c r="GN153" i="54"/>
  <c r="GN189" i="54"/>
  <c r="GN225" i="54"/>
  <c r="GN261" i="54"/>
  <c r="GN34" i="54"/>
  <c r="GN70" i="54"/>
  <c r="GN106" i="54"/>
  <c r="GN142" i="54"/>
  <c r="GN15" i="54"/>
  <c r="GN51" i="54"/>
  <c r="GN87" i="54"/>
  <c r="GN123" i="54"/>
  <c r="GN159" i="54"/>
  <c r="GN195" i="54"/>
  <c r="GN231" i="54"/>
  <c r="GN267" i="54"/>
  <c r="GN40" i="54"/>
  <c r="GN76" i="54"/>
  <c r="GN112" i="54"/>
  <c r="GN148" i="54"/>
  <c r="GN21" i="54"/>
  <c r="GN57" i="54"/>
  <c r="GN93" i="54"/>
  <c r="GN129" i="54"/>
  <c r="GN165" i="54"/>
  <c r="GN201" i="54"/>
  <c r="GN237" i="54"/>
  <c r="GN10" i="54"/>
  <c r="GN46" i="54"/>
  <c r="GN82" i="54"/>
  <c r="GN118" i="54"/>
  <c r="GN154" i="54"/>
  <c r="GN190" i="54"/>
  <c r="GN226" i="54"/>
  <c r="GN262" i="54"/>
  <c r="GN35" i="54"/>
  <c r="GN71" i="54"/>
  <c r="GN107" i="54"/>
  <c r="GN143" i="54"/>
  <c r="GN179" i="54"/>
  <c r="GN215" i="54"/>
  <c r="GN251" i="54"/>
  <c r="GN30" i="54"/>
  <c r="GN66" i="54"/>
  <c r="GN102" i="54"/>
  <c r="GN138" i="54"/>
  <c r="GN174" i="54"/>
  <c r="GN210" i="54"/>
  <c r="GN246" i="54"/>
  <c r="GN25" i="54"/>
  <c r="GN61" i="54"/>
  <c r="GN97" i="54"/>
  <c r="GN133" i="54"/>
  <c r="GN169" i="54"/>
  <c r="GN205" i="54"/>
  <c r="GN241" i="54"/>
  <c r="GN62" i="54"/>
  <c r="GN32" i="54"/>
  <c r="GN248" i="54"/>
  <c r="GN218" i="54"/>
  <c r="GN188" i="54"/>
  <c r="GN122" i="54"/>
  <c r="GN56" i="54"/>
  <c r="GN33" i="54"/>
  <c r="GN243" i="54"/>
  <c r="GN58" i="54"/>
  <c r="GN130" i="54"/>
  <c r="GN184" i="54"/>
  <c r="GN232" i="54"/>
  <c r="GN11" i="54"/>
  <c r="GN53" i="54"/>
  <c r="GN95" i="54"/>
  <c r="GN137" i="54"/>
  <c r="GN185" i="54"/>
  <c r="GN227" i="54"/>
  <c r="GN12" i="54"/>
  <c r="GN54" i="54"/>
  <c r="GN96" i="54"/>
  <c r="GN144" i="54"/>
  <c r="GN186" i="54"/>
  <c r="GN228" i="54"/>
  <c r="GN13" i="54"/>
  <c r="GN55" i="54"/>
  <c r="GN103" i="54"/>
  <c r="GN145" i="54"/>
  <c r="GN187" i="54"/>
  <c r="GN229" i="54"/>
  <c r="GN26" i="54"/>
  <c r="GN68" i="54"/>
  <c r="GN74" i="54"/>
  <c r="GN80" i="54"/>
  <c r="GN50" i="54"/>
  <c r="GN20" i="54"/>
  <c r="GN69" i="54"/>
  <c r="GN249" i="54"/>
  <c r="GN64" i="54"/>
  <c r="GN136" i="54"/>
  <c r="GN196" i="54"/>
  <c r="GN238" i="54"/>
  <c r="GN17" i="54"/>
  <c r="GN59" i="54"/>
  <c r="GN101" i="54"/>
  <c r="GN149" i="54"/>
  <c r="GN191" i="54"/>
  <c r="GN233" i="54"/>
  <c r="GN18" i="54"/>
  <c r="GN60" i="54"/>
  <c r="GN108" i="54"/>
  <c r="GN150" i="54"/>
  <c r="GN192" i="54"/>
  <c r="GN234" i="54"/>
  <c r="GN19" i="54"/>
  <c r="GN67" i="54"/>
  <c r="GN109" i="54"/>
  <c r="GN151" i="54"/>
  <c r="GN193" i="54"/>
  <c r="GN235" i="54"/>
  <c r="GN98" i="54"/>
  <c r="GN104" i="54"/>
  <c r="GN110" i="54"/>
  <c r="GN116" i="54"/>
  <c r="GN86" i="54"/>
  <c r="GN92" i="54"/>
  <c r="GN105" i="54"/>
  <c r="GN16" i="54"/>
  <c r="GN88" i="54"/>
  <c r="GN160" i="54"/>
  <c r="GN202" i="54"/>
  <c r="GN244" i="54"/>
  <c r="GN23" i="54"/>
  <c r="GN65" i="54"/>
  <c r="GN113" i="54"/>
  <c r="GN155" i="54"/>
  <c r="GN197" i="54"/>
  <c r="GN239" i="54"/>
  <c r="GN24" i="54"/>
  <c r="GN72" i="54"/>
  <c r="GN114" i="54"/>
  <c r="GN156" i="54"/>
  <c r="GN198" i="54"/>
  <c r="GN240" i="54"/>
  <c r="GN31" i="54"/>
  <c r="GN73" i="54"/>
  <c r="GN115" i="54"/>
  <c r="GN157" i="54"/>
  <c r="GN199" i="54"/>
  <c r="GN247" i="54"/>
  <c r="GN134" i="54"/>
  <c r="GN140" i="54"/>
  <c r="GN146" i="54"/>
  <c r="GN152" i="54"/>
  <c r="GN158" i="54"/>
  <c r="GN128" i="54"/>
  <c r="GN141" i="54"/>
  <c r="GN22" i="54"/>
  <c r="GN94" i="54"/>
  <c r="GN166" i="54"/>
  <c r="GN208" i="54"/>
  <c r="GN250" i="54"/>
  <c r="GN29" i="54"/>
  <c r="GN77" i="54"/>
  <c r="GN119" i="54"/>
  <c r="GN161" i="54"/>
  <c r="GN203" i="54"/>
  <c r="GN245" i="54"/>
  <c r="GN36" i="54"/>
  <c r="GN78" i="54"/>
  <c r="GN120" i="54"/>
  <c r="GN162" i="54"/>
  <c r="GN204" i="54"/>
  <c r="GN252" i="54"/>
  <c r="GN37" i="54"/>
  <c r="GN79" i="54"/>
  <c r="GN121" i="54"/>
  <c r="GN163" i="54"/>
  <c r="GN211" i="54"/>
  <c r="GN253" i="54"/>
  <c r="GN170" i="54"/>
  <c r="GN176" i="54"/>
  <c r="GN182" i="54"/>
  <c r="GN224" i="54"/>
  <c r="GN194" i="54"/>
  <c r="GN164" i="54"/>
  <c r="GN177" i="54"/>
  <c r="GN28" i="54"/>
  <c r="GN100" i="54"/>
  <c r="GN172" i="54"/>
  <c r="GN214" i="54"/>
  <c r="GN256" i="54"/>
  <c r="GN41" i="54"/>
  <c r="GN83" i="54"/>
  <c r="GN125" i="54"/>
  <c r="GN167" i="54"/>
  <c r="GN209" i="54"/>
  <c r="GN257" i="54"/>
  <c r="GN42" i="54"/>
  <c r="GN84" i="54"/>
  <c r="GN126" i="54"/>
  <c r="GN168" i="54"/>
  <c r="GN216" i="54"/>
  <c r="GN258" i="54"/>
  <c r="GN43" i="54"/>
  <c r="GN85" i="54"/>
  <c r="GN127" i="54"/>
  <c r="GN175" i="54"/>
  <c r="GN217" i="54"/>
  <c r="GN259" i="54"/>
  <c r="GN206" i="54"/>
  <c r="GN212" i="54"/>
  <c r="GN254" i="54"/>
  <c r="GN260" i="54"/>
  <c r="GN230" i="54"/>
  <c r="GN200" i="54"/>
  <c r="GN213" i="54"/>
  <c r="GN52" i="54"/>
  <c r="GN124" i="54"/>
  <c r="GN178" i="54"/>
  <c r="GN220" i="54"/>
  <c r="GN268" i="54"/>
  <c r="GN47" i="54"/>
  <c r="GN89" i="54"/>
  <c r="GN131" i="54"/>
  <c r="GN173" i="54"/>
  <c r="GN221" i="54"/>
  <c r="GN263" i="54"/>
  <c r="GN48" i="54"/>
  <c r="GN90" i="54"/>
  <c r="GN132" i="54"/>
  <c r="GN180" i="54"/>
  <c r="GN222" i="54"/>
  <c r="GN264" i="54"/>
  <c r="GN49" i="54"/>
  <c r="GN91" i="54"/>
  <c r="GN139" i="54"/>
  <c r="GN181" i="54"/>
  <c r="GN223" i="54"/>
  <c r="GN265" i="54"/>
  <c r="GN242" i="54"/>
  <c r="GN38" i="54"/>
  <c r="GN44" i="54"/>
  <c r="GN14" i="54"/>
  <c r="GN266" i="54"/>
  <c r="GN236" i="54"/>
  <c r="EH5" i="54"/>
  <c r="ER3" i="54" s="1"/>
  <c r="EF11" i="54"/>
  <c r="EF23" i="54"/>
  <c r="EF59" i="54"/>
  <c r="EF95" i="54"/>
  <c r="EF131" i="54"/>
  <c r="EF167" i="54"/>
  <c r="EF203" i="54"/>
  <c r="EF239" i="54"/>
  <c r="EF18" i="54"/>
  <c r="EF54" i="54"/>
  <c r="EF90" i="54"/>
  <c r="EF126" i="54"/>
  <c r="EF162" i="54"/>
  <c r="EF198" i="54"/>
  <c r="EF234" i="54"/>
  <c r="EF13" i="54"/>
  <c r="EF49" i="54"/>
  <c r="EF85" i="54"/>
  <c r="EF121" i="54"/>
  <c r="EF157" i="54"/>
  <c r="EF193" i="54"/>
  <c r="EF229" i="54"/>
  <c r="EF265" i="54"/>
  <c r="EF44" i="54"/>
  <c r="EF80" i="54"/>
  <c r="EF116" i="54"/>
  <c r="EF152" i="54"/>
  <c r="EF188" i="54"/>
  <c r="EF224" i="54"/>
  <c r="EF260" i="54"/>
  <c r="EF39" i="54"/>
  <c r="EF75" i="54"/>
  <c r="EF111" i="54"/>
  <c r="EF147" i="54"/>
  <c r="EF183" i="54"/>
  <c r="EF219" i="54"/>
  <c r="EF255" i="54"/>
  <c r="EF28" i="54"/>
  <c r="EF64" i="54"/>
  <c r="EF100" i="54"/>
  <c r="EF136" i="54"/>
  <c r="EF172" i="54"/>
  <c r="EF208" i="54"/>
  <c r="EF244" i="54"/>
  <c r="EF41" i="54"/>
  <c r="EF83" i="54"/>
  <c r="EF125" i="54"/>
  <c r="EF173" i="54"/>
  <c r="EF215" i="54"/>
  <c r="EF257" i="54"/>
  <c r="EF42" i="54"/>
  <c r="EF84" i="54"/>
  <c r="EF132" i="54"/>
  <c r="EF174" i="54"/>
  <c r="EF216" i="54"/>
  <c r="EF258" i="54"/>
  <c r="EF43" i="54"/>
  <c r="EF91" i="54"/>
  <c r="EF133" i="54"/>
  <c r="EF175" i="54"/>
  <c r="EF217" i="54"/>
  <c r="EF259" i="54"/>
  <c r="EF50" i="54"/>
  <c r="EF92" i="54"/>
  <c r="EF134" i="54"/>
  <c r="EF176" i="54"/>
  <c r="EF218" i="54"/>
  <c r="EF266" i="54"/>
  <c r="EF51" i="54"/>
  <c r="EF93" i="54"/>
  <c r="EF135" i="54"/>
  <c r="EF177" i="54"/>
  <c r="EF225" i="54"/>
  <c r="EF267" i="54"/>
  <c r="EF46" i="54"/>
  <c r="EF88" i="54"/>
  <c r="EF130" i="54"/>
  <c r="EF178" i="54"/>
  <c r="EF220" i="54"/>
  <c r="EF262" i="54"/>
  <c r="EF47" i="54"/>
  <c r="EF89" i="54"/>
  <c r="EF137" i="54"/>
  <c r="EF179" i="54"/>
  <c r="EF221" i="54"/>
  <c r="EF263" i="54"/>
  <c r="EF48" i="54"/>
  <c r="EF96" i="54"/>
  <c r="EF138" i="54"/>
  <c r="EF180" i="54"/>
  <c r="EF222" i="54"/>
  <c r="EF264" i="54"/>
  <c r="EF55" i="54"/>
  <c r="EF97" i="54"/>
  <c r="EF139" i="54"/>
  <c r="EF181" i="54"/>
  <c r="EF223" i="54"/>
  <c r="EF14" i="54"/>
  <c r="EF56" i="54"/>
  <c r="EF98" i="54"/>
  <c r="EF140" i="54"/>
  <c r="EF182" i="54"/>
  <c r="EF230" i="54"/>
  <c r="EF15" i="54"/>
  <c r="EF57" i="54"/>
  <c r="EF99" i="54"/>
  <c r="EF141" i="54"/>
  <c r="EF189" i="54"/>
  <c r="EF231" i="54"/>
  <c r="EF10" i="54"/>
  <c r="EF52" i="54"/>
  <c r="EF94" i="54"/>
  <c r="EF142" i="54"/>
  <c r="EF184" i="54"/>
  <c r="EF226" i="54"/>
  <c r="EF268" i="54"/>
  <c r="EF53" i="54"/>
  <c r="EF101" i="54"/>
  <c r="EF143" i="54"/>
  <c r="EF185" i="54"/>
  <c r="EF227" i="54"/>
  <c r="EF12" i="54"/>
  <c r="EF60" i="54"/>
  <c r="EF102" i="54"/>
  <c r="EF144" i="54"/>
  <c r="EF186" i="54"/>
  <c r="EF228" i="54"/>
  <c r="EF19" i="54"/>
  <c r="EF61" i="54"/>
  <c r="EF103" i="54"/>
  <c r="EF145" i="54"/>
  <c r="EF187" i="54"/>
  <c r="EF235" i="54"/>
  <c r="EF20" i="54"/>
  <c r="EF62" i="54"/>
  <c r="EF104" i="54"/>
  <c r="EF146" i="54"/>
  <c r="EF194" i="54"/>
  <c r="EF236" i="54"/>
  <c r="EF21" i="54"/>
  <c r="EF63" i="54"/>
  <c r="EF105" i="54"/>
  <c r="EF153" i="54"/>
  <c r="EF195" i="54"/>
  <c r="EF237" i="54"/>
  <c r="EF16" i="54"/>
  <c r="EF58" i="54"/>
  <c r="EF106" i="54"/>
  <c r="EF148" i="54"/>
  <c r="EF190" i="54"/>
  <c r="EF232" i="54"/>
  <c r="EF17" i="54"/>
  <c r="EF65" i="54"/>
  <c r="EF107" i="54"/>
  <c r="EF149" i="54"/>
  <c r="EF191" i="54"/>
  <c r="EF233" i="54"/>
  <c r="EF24" i="54"/>
  <c r="EF66" i="54"/>
  <c r="EF108" i="54"/>
  <c r="EF150" i="54"/>
  <c r="EF192" i="54"/>
  <c r="EF240" i="54"/>
  <c r="EF25" i="54"/>
  <c r="EF67" i="54"/>
  <c r="EF109" i="54"/>
  <c r="EF151" i="54"/>
  <c r="EF199" i="54"/>
  <c r="EF241" i="54"/>
  <c r="EF26" i="54"/>
  <c r="EF68" i="54"/>
  <c r="EF110" i="54"/>
  <c r="EF158" i="54"/>
  <c r="EF200" i="54"/>
  <c r="EF242" i="54"/>
  <c r="EF27" i="54"/>
  <c r="EF69" i="54"/>
  <c r="EF117" i="54"/>
  <c r="EF159" i="54"/>
  <c r="EF201" i="54"/>
  <c r="EF243" i="54"/>
  <c r="EF22" i="54"/>
  <c r="EF70" i="54"/>
  <c r="EF112" i="54"/>
  <c r="EF154" i="54"/>
  <c r="EF196" i="54"/>
  <c r="EF238" i="54"/>
  <c r="EF29" i="54"/>
  <c r="EF71" i="54"/>
  <c r="EF113" i="54"/>
  <c r="EF155" i="54"/>
  <c r="EF197" i="54"/>
  <c r="EF245" i="54"/>
  <c r="EF30" i="54"/>
  <c r="EF72" i="54"/>
  <c r="EF114" i="54"/>
  <c r="EF156" i="54"/>
  <c r="EF204" i="54"/>
  <c r="EF246" i="54"/>
  <c r="EF31" i="54"/>
  <c r="EF73" i="54"/>
  <c r="EF115" i="54"/>
  <c r="EF163" i="54"/>
  <c r="EF205" i="54"/>
  <c r="EF247" i="54"/>
  <c r="EF32" i="54"/>
  <c r="EF74" i="54"/>
  <c r="EF122" i="54"/>
  <c r="EF164" i="54"/>
  <c r="EF206" i="54"/>
  <c r="EF248" i="54"/>
  <c r="EF33" i="54"/>
  <c r="EF81" i="54"/>
  <c r="EF123" i="54"/>
  <c r="EF165" i="54"/>
  <c r="EF207" i="54"/>
  <c r="EF249" i="54"/>
  <c r="EF34" i="54"/>
  <c r="EF76" i="54"/>
  <c r="EF118" i="54"/>
  <c r="EF160" i="54"/>
  <c r="EF202" i="54"/>
  <c r="EF250" i="54"/>
  <c r="EF35" i="54"/>
  <c r="EF77" i="54"/>
  <c r="EF119" i="54"/>
  <c r="EF161" i="54"/>
  <c r="EF209" i="54"/>
  <c r="EF251" i="54"/>
  <c r="EF36" i="54"/>
  <c r="EF78" i="54"/>
  <c r="EF120" i="54"/>
  <c r="EF168" i="54"/>
  <c r="EF210" i="54"/>
  <c r="EF252" i="54"/>
  <c r="EF37" i="54"/>
  <c r="EF79" i="54"/>
  <c r="EF127" i="54"/>
  <c r="EF169" i="54"/>
  <c r="EF211" i="54"/>
  <c r="EF253" i="54"/>
  <c r="EF38" i="54"/>
  <c r="EF86" i="54"/>
  <c r="EF128" i="54"/>
  <c r="EF170" i="54"/>
  <c r="EF212" i="54"/>
  <c r="EF254" i="54"/>
  <c r="EF45" i="54"/>
  <c r="EF87" i="54"/>
  <c r="EF129" i="54"/>
  <c r="EF171" i="54"/>
  <c r="EF213" i="54"/>
  <c r="EF261" i="54"/>
  <c r="EF40" i="54"/>
  <c r="EF82" i="54"/>
  <c r="EF124" i="54"/>
  <c r="EF166" i="54"/>
  <c r="EF214" i="54"/>
  <c r="EF256" i="54"/>
  <c r="DN3" i="54"/>
  <c r="DN45" i="54" s="1"/>
  <c r="DL45" i="54"/>
  <c r="DL14" i="54"/>
  <c r="DL257" i="54"/>
  <c r="DL219" i="54"/>
  <c r="DL218" i="54"/>
  <c r="DL117" i="54"/>
  <c r="DL51" i="54"/>
  <c r="DL50" i="54"/>
  <c r="DL205" i="54"/>
  <c r="DL55" i="54"/>
  <c r="DL259" i="54"/>
  <c r="DL70" i="54"/>
  <c r="DL217" i="54"/>
  <c r="DL43" i="54"/>
  <c r="DL34" i="54"/>
  <c r="DL132" i="54"/>
  <c r="DL30" i="54"/>
  <c r="DL77" i="54"/>
  <c r="DL213" i="54"/>
  <c r="DL212" i="54"/>
  <c r="DL39" i="54"/>
  <c r="DL82" i="54"/>
  <c r="DL135" i="54"/>
  <c r="DL106" i="54"/>
  <c r="DL253" i="54"/>
  <c r="DL250" i="54"/>
  <c r="DL116" i="54"/>
  <c r="DL175" i="54"/>
  <c r="DL42" i="54"/>
  <c r="DL171" i="54"/>
  <c r="DL170" i="54"/>
  <c r="DL157" i="54"/>
  <c r="DL231" i="54"/>
  <c r="DL230" i="54"/>
  <c r="DL169" i="54"/>
  <c r="DL23" i="54"/>
  <c r="DL193" i="54"/>
  <c r="DL78" i="54"/>
  <c r="DL256" i="54"/>
  <c r="DL33" i="54"/>
  <c r="DL244" i="54"/>
  <c r="DL123" i="54"/>
  <c r="DL122" i="54"/>
  <c r="DL61" i="54"/>
  <c r="DL108" i="54"/>
  <c r="DL229" i="54"/>
  <c r="DL40" i="54"/>
  <c r="DL107" i="54"/>
  <c r="DL72" i="54"/>
  <c r="DL73" i="54"/>
  <c r="DL90" i="54"/>
  <c r="DL163" i="54"/>
  <c r="DL102" i="54"/>
  <c r="DL38" i="54"/>
  <c r="DL87" i="54"/>
  <c r="DL86" i="54"/>
  <c r="DL113" i="54"/>
  <c r="DL114" i="54"/>
  <c r="DL74" i="54"/>
  <c r="DL204" i="54"/>
  <c r="DL143" i="54"/>
  <c r="DL196" i="54"/>
  <c r="DL54" i="54"/>
  <c r="DL127" i="54"/>
  <c r="DL160" i="54"/>
  <c r="DL155" i="54"/>
  <c r="DL178" i="54"/>
  <c r="DL190" i="54"/>
  <c r="DL120" i="54"/>
  <c r="DL207" i="54"/>
  <c r="DL156" i="54"/>
  <c r="DL224" i="54"/>
  <c r="DL29" i="54"/>
  <c r="DL237" i="54"/>
  <c r="DL119" i="54"/>
  <c r="DL142" i="54"/>
  <c r="DL25" i="54"/>
  <c r="DL249" i="54"/>
  <c r="DL248" i="54"/>
  <c r="DL197" i="54"/>
  <c r="DL76" i="54"/>
  <c r="DL109" i="54"/>
  <c r="DL233" i="54"/>
  <c r="DL97" i="54"/>
  <c r="DL150" i="54"/>
  <c r="DL17" i="54"/>
  <c r="DL126" i="54"/>
  <c r="DL199" i="54"/>
  <c r="DL227" i="54"/>
  <c r="DL187" i="54"/>
  <c r="DL179" i="54"/>
  <c r="DL103" i="54"/>
  <c r="DL133" i="54"/>
  <c r="DL214" i="54"/>
  <c r="DL24" i="54"/>
  <c r="DL58" i="54"/>
  <c r="DL195" i="54"/>
  <c r="DL194" i="54"/>
  <c r="DL174" i="54"/>
  <c r="DL10" i="54"/>
  <c r="DL185" i="54"/>
  <c r="DL105" i="54"/>
  <c r="DL68" i="54"/>
  <c r="DL192" i="54"/>
  <c r="DL44" i="54"/>
  <c r="DL57" i="54"/>
  <c r="DL145" i="54"/>
  <c r="DL100" i="54"/>
  <c r="DL19" i="54"/>
  <c r="DL262" i="54"/>
  <c r="DL141" i="54"/>
  <c r="DL139" i="54"/>
  <c r="DL181" i="54"/>
  <c r="DL222" i="54"/>
  <c r="DL101" i="54"/>
  <c r="DL263" i="54"/>
  <c r="DL183" i="54"/>
  <c r="DL182" i="54"/>
  <c r="DL89" i="54"/>
  <c r="DL52" i="54"/>
  <c r="DL264" i="54"/>
  <c r="HN204" i="54"/>
  <c r="HN241" i="54"/>
  <c r="HN56" i="54"/>
  <c r="HK35" i="54"/>
  <c r="HP35" i="54" s="1"/>
  <c r="HJ35" i="54"/>
  <c r="HO35" i="54" s="1"/>
  <c r="HK207" i="54"/>
  <c r="HJ207" i="54"/>
  <c r="HO207" i="54" s="1"/>
  <c r="HK165" i="54"/>
  <c r="HP165" i="54" s="1"/>
  <c r="HJ165" i="54"/>
  <c r="HO165" i="54" s="1"/>
  <c r="HK68" i="54"/>
  <c r="HP68" i="54" s="1"/>
  <c r="HJ68" i="54"/>
  <c r="HK67" i="54"/>
  <c r="HP67" i="54" s="1"/>
  <c r="HJ67" i="54"/>
  <c r="HK66" i="54"/>
  <c r="HP66" i="54" s="1"/>
  <c r="HJ66" i="54"/>
  <c r="HO66" i="54" s="1"/>
  <c r="HJ185" i="54"/>
  <c r="HO185" i="54" s="1"/>
  <c r="HK185" i="54"/>
  <c r="HP185" i="54" s="1"/>
  <c r="HK190" i="54"/>
  <c r="HJ190" i="54"/>
  <c r="HO190" i="54" s="1"/>
  <c r="HK52" i="54"/>
  <c r="HP52" i="54" s="1"/>
  <c r="HJ52" i="54"/>
  <c r="HK57" i="54"/>
  <c r="HP57" i="54" s="1"/>
  <c r="HJ57" i="54"/>
  <c r="HO57" i="54" s="1"/>
  <c r="HK176" i="54"/>
  <c r="HP176" i="54" s="1"/>
  <c r="HJ176" i="54"/>
  <c r="HK175" i="54"/>
  <c r="HP175" i="54" s="1"/>
  <c r="HJ175" i="54"/>
  <c r="HK174" i="54"/>
  <c r="HP174" i="54" s="1"/>
  <c r="HJ174" i="54"/>
  <c r="HO174" i="54" s="1"/>
  <c r="HK77" i="54"/>
  <c r="HP77" i="54" s="1"/>
  <c r="HJ77" i="54"/>
  <c r="HO77" i="54" s="1"/>
  <c r="HK249" i="54"/>
  <c r="HP249" i="54" s="1"/>
  <c r="HJ249" i="54"/>
  <c r="HO249" i="54" s="1"/>
  <c r="HK69" i="54"/>
  <c r="HP69" i="54" s="1"/>
  <c r="HJ69" i="54"/>
  <c r="HO69" i="54" s="1"/>
  <c r="HJ146" i="54"/>
  <c r="HO146" i="54" s="1"/>
  <c r="HK146" i="54"/>
  <c r="HP146" i="54" s="1"/>
  <c r="HK223" i="54"/>
  <c r="HP223" i="54" s="1"/>
  <c r="HJ223" i="54"/>
  <c r="HO223" i="54" s="1"/>
  <c r="HK222" i="54"/>
  <c r="HJ222" i="54"/>
  <c r="HO222" i="54" s="1"/>
  <c r="HK83" i="54"/>
  <c r="HP83" i="54" s="1"/>
  <c r="HJ83" i="54"/>
  <c r="HJ213" i="54"/>
  <c r="HO213" i="54" s="1"/>
  <c r="HK213" i="54"/>
  <c r="HP213" i="54" s="1"/>
  <c r="HK39" i="54"/>
  <c r="HP39" i="54" s="1"/>
  <c r="HJ39" i="54"/>
  <c r="HO39" i="54" s="1"/>
  <c r="HK235" i="54"/>
  <c r="HP235" i="54" s="1"/>
  <c r="HJ235" i="54"/>
  <c r="HO235" i="54" s="1"/>
  <c r="HK234" i="54"/>
  <c r="HP234" i="54" s="1"/>
  <c r="HJ234" i="54"/>
  <c r="HO234" i="54" s="1"/>
  <c r="HK197" i="54"/>
  <c r="HP197" i="54" s="1"/>
  <c r="HJ197" i="54"/>
  <c r="HO197" i="54" s="1"/>
  <c r="HK142" i="54"/>
  <c r="HP142" i="54" s="1"/>
  <c r="HJ142" i="54"/>
  <c r="HO142" i="54" s="1"/>
  <c r="HK64" i="54"/>
  <c r="HP64" i="54" s="1"/>
  <c r="HJ64" i="54"/>
  <c r="HO64" i="54" s="1"/>
  <c r="HK266" i="54"/>
  <c r="HP266" i="54" s="1"/>
  <c r="HJ266" i="54"/>
  <c r="HO266" i="54" s="1"/>
  <c r="HK229" i="54"/>
  <c r="HJ229" i="54"/>
  <c r="HO229" i="54" s="1"/>
  <c r="HJ228" i="54"/>
  <c r="HO228" i="54" s="1"/>
  <c r="HK228" i="54"/>
  <c r="HP228" i="54" s="1"/>
  <c r="HK167" i="54"/>
  <c r="HP167" i="54" s="1"/>
  <c r="HJ167" i="54"/>
  <c r="HO167" i="54" s="1"/>
  <c r="HK136" i="54"/>
  <c r="HP136" i="54" s="1"/>
  <c r="HJ136" i="54"/>
  <c r="HO136" i="54" s="1"/>
  <c r="HK81" i="54"/>
  <c r="HP81" i="54" s="1"/>
  <c r="HJ81" i="54"/>
  <c r="HO81" i="54" s="1"/>
  <c r="HK44" i="54"/>
  <c r="HP44" i="54" s="1"/>
  <c r="HJ44" i="54"/>
  <c r="HO44" i="54" s="1"/>
  <c r="HK199" i="54"/>
  <c r="HP199" i="54" s="1"/>
  <c r="HJ199" i="54"/>
  <c r="HO199" i="54" s="1"/>
  <c r="HJ198" i="54"/>
  <c r="HO198" i="54" s="1"/>
  <c r="HK198" i="54"/>
  <c r="HP198" i="54" s="1"/>
  <c r="HG205" i="54"/>
  <c r="HN205" i="54" s="1"/>
  <c r="HK205" i="54"/>
  <c r="HJ205" i="54"/>
  <c r="HO205" i="54" s="1"/>
  <c r="HG169" i="54"/>
  <c r="HJ169" i="54"/>
  <c r="HK169" i="54"/>
  <c r="HP169" i="54" s="1"/>
  <c r="HK133" i="54"/>
  <c r="HP133" i="54" s="1"/>
  <c r="HJ133" i="54"/>
  <c r="HG61" i="54"/>
  <c r="HN61" i="54" s="1"/>
  <c r="HK61" i="54"/>
  <c r="HJ61" i="54"/>
  <c r="HK245" i="54"/>
  <c r="HJ245" i="54"/>
  <c r="HO245" i="54" s="1"/>
  <c r="HG24" i="54"/>
  <c r="HN24" i="54" s="1"/>
  <c r="HJ24" i="54"/>
  <c r="HK24" i="54"/>
  <c r="HP24" i="54" s="1"/>
  <c r="HG25" i="54"/>
  <c r="HN25" i="54" s="1"/>
  <c r="HJ25" i="54"/>
  <c r="HK25" i="54"/>
  <c r="HP25" i="54" s="1"/>
  <c r="GK30" i="54"/>
  <c r="GL30" i="54" s="1"/>
  <c r="GK66" i="54"/>
  <c r="GL66" i="54" s="1"/>
  <c r="GK102" i="54"/>
  <c r="GK138" i="54"/>
  <c r="GL138" i="54" s="1"/>
  <c r="GK174" i="54"/>
  <c r="GK210" i="54"/>
  <c r="GL210" i="54" s="1"/>
  <c r="GK246" i="54"/>
  <c r="GL246" i="54" s="1"/>
  <c r="GK25" i="54"/>
  <c r="GK61" i="54"/>
  <c r="GK97" i="54"/>
  <c r="GL97" i="54" s="1"/>
  <c r="GK133" i="54"/>
  <c r="GK169" i="54"/>
  <c r="GK205" i="54"/>
  <c r="GL205" i="54" s="1"/>
  <c r="GK241" i="54"/>
  <c r="GL241" i="54" s="1"/>
  <c r="GK20" i="54"/>
  <c r="GK56" i="54"/>
  <c r="GL56" i="54" s="1"/>
  <c r="GK92" i="54"/>
  <c r="GK128" i="54"/>
  <c r="GL128" i="54" s="1"/>
  <c r="GK164" i="54"/>
  <c r="GL164" i="54" s="1"/>
  <c r="GK200" i="54"/>
  <c r="GL200" i="54" s="1"/>
  <c r="GK236" i="54"/>
  <c r="GK15" i="54"/>
  <c r="GK51" i="54"/>
  <c r="GK36" i="54"/>
  <c r="GL36" i="54" s="1"/>
  <c r="GK78" i="54"/>
  <c r="GL78" i="54" s="1"/>
  <c r="GK120" i="54"/>
  <c r="GL120" i="54" s="1"/>
  <c r="GK162" i="54"/>
  <c r="GK204" i="54"/>
  <c r="GL204" i="54" s="1"/>
  <c r="GK252" i="54"/>
  <c r="GK37" i="54"/>
  <c r="GL37" i="54" s="1"/>
  <c r="GK79" i="54"/>
  <c r="GL79" i="54" s="1"/>
  <c r="GK121" i="54"/>
  <c r="GL121" i="54" s="1"/>
  <c r="GK163" i="54"/>
  <c r="GK211" i="54"/>
  <c r="GK253" i="54"/>
  <c r="GK38" i="54"/>
  <c r="GL38" i="54" s="1"/>
  <c r="GK80" i="54"/>
  <c r="GL80" i="54" s="1"/>
  <c r="GK122" i="54"/>
  <c r="GL122" i="54" s="1"/>
  <c r="GK170" i="54"/>
  <c r="GK212" i="54"/>
  <c r="GL212" i="54" s="1"/>
  <c r="GK254" i="54"/>
  <c r="GK39" i="54"/>
  <c r="GK81" i="54"/>
  <c r="GL81" i="54" s="1"/>
  <c r="GK117" i="54"/>
  <c r="GK153" i="54"/>
  <c r="GK189" i="54"/>
  <c r="GL189" i="54" s="1"/>
  <c r="GK225" i="54"/>
  <c r="GK261" i="54"/>
  <c r="GL261" i="54" s="1"/>
  <c r="GK34" i="54"/>
  <c r="GL34" i="54" s="1"/>
  <c r="GK70" i="54"/>
  <c r="GL70" i="54" s="1"/>
  <c r="GK106" i="54"/>
  <c r="GK142" i="54"/>
  <c r="GL142" i="54" s="1"/>
  <c r="GK178" i="54"/>
  <c r="GK214" i="54"/>
  <c r="GL214" i="54" s="1"/>
  <c r="GK250" i="54"/>
  <c r="GL250" i="54" s="1"/>
  <c r="GK23" i="54"/>
  <c r="GL23" i="54" s="1"/>
  <c r="GK59" i="54"/>
  <c r="GK95" i="54"/>
  <c r="GL95" i="54" s="1"/>
  <c r="GK131" i="54"/>
  <c r="GK167" i="54"/>
  <c r="GL167" i="54" s="1"/>
  <c r="GK203" i="54"/>
  <c r="GL203" i="54" s="1"/>
  <c r="GK239" i="54"/>
  <c r="GL239" i="54" s="1"/>
  <c r="GK42" i="54"/>
  <c r="GK84" i="54"/>
  <c r="GK126" i="54"/>
  <c r="GK168" i="54"/>
  <c r="GL168" i="54" s="1"/>
  <c r="GK216" i="54"/>
  <c r="GL216" i="54" s="1"/>
  <c r="GK258" i="54"/>
  <c r="GK43" i="54"/>
  <c r="GK85" i="54"/>
  <c r="GL85" i="54" s="1"/>
  <c r="GK127" i="54"/>
  <c r="GK175" i="54"/>
  <c r="GL175" i="54" s="1"/>
  <c r="GK217" i="54"/>
  <c r="GL217" i="54" s="1"/>
  <c r="GK259" i="54"/>
  <c r="GL259" i="54" s="1"/>
  <c r="GK44" i="54"/>
  <c r="GK86" i="54"/>
  <c r="GL86" i="54" s="1"/>
  <c r="GK134" i="54"/>
  <c r="GK176" i="54"/>
  <c r="GL176" i="54" s="1"/>
  <c r="GK218" i="54"/>
  <c r="GL218" i="54" s="1"/>
  <c r="GK260" i="54"/>
  <c r="GL260" i="54" s="1"/>
  <c r="GK45" i="54"/>
  <c r="GK87" i="54"/>
  <c r="GK123" i="54"/>
  <c r="GK159" i="54"/>
  <c r="GL159" i="54" s="1"/>
  <c r="GK195" i="54"/>
  <c r="GL195" i="54" s="1"/>
  <c r="GK231" i="54"/>
  <c r="GK267" i="54"/>
  <c r="GK40" i="54"/>
  <c r="GL40" i="54" s="1"/>
  <c r="GK76" i="54"/>
  <c r="GK112" i="54"/>
  <c r="GL112" i="54" s="1"/>
  <c r="GK148" i="54"/>
  <c r="GL148" i="54" s="1"/>
  <c r="GK184" i="54"/>
  <c r="GL184" i="54" s="1"/>
  <c r="GK220" i="54"/>
  <c r="GK256" i="54"/>
  <c r="GL256" i="54" s="1"/>
  <c r="GK29" i="54"/>
  <c r="GL29" i="54" s="1"/>
  <c r="GK65" i="54"/>
  <c r="GL65" i="54" s="1"/>
  <c r="GK101" i="54"/>
  <c r="GK137" i="54"/>
  <c r="GL137" i="54" s="1"/>
  <c r="GK173" i="54"/>
  <c r="GK209" i="54"/>
  <c r="GL209" i="54" s="1"/>
  <c r="GK245" i="54"/>
  <c r="GK48" i="54"/>
  <c r="GK90" i="54"/>
  <c r="GL90" i="54" s="1"/>
  <c r="GK132" i="54"/>
  <c r="GL132" i="54" s="1"/>
  <c r="GK180" i="54"/>
  <c r="GK222" i="54"/>
  <c r="GL222" i="54" s="1"/>
  <c r="GK264" i="54"/>
  <c r="GK49" i="54"/>
  <c r="GL49" i="54" s="1"/>
  <c r="GK91" i="54"/>
  <c r="GL91" i="54" s="1"/>
  <c r="GK139" i="54"/>
  <c r="GL139" i="54" s="1"/>
  <c r="GK181" i="54"/>
  <c r="GK223" i="54"/>
  <c r="GL223" i="54" s="1"/>
  <c r="GK265" i="54"/>
  <c r="GK50" i="54"/>
  <c r="GL50" i="54" s="1"/>
  <c r="GK98" i="54"/>
  <c r="GL98" i="54" s="1"/>
  <c r="GK140" i="54"/>
  <c r="GK182" i="54"/>
  <c r="GK224" i="54"/>
  <c r="GL224" i="54" s="1"/>
  <c r="GK266" i="54"/>
  <c r="GL266" i="54" s="1"/>
  <c r="GK57" i="54"/>
  <c r="GL57" i="54" s="1"/>
  <c r="GK93" i="54"/>
  <c r="GK129" i="54"/>
  <c r="GL129" i="54" s="1"/>
  <c r="GK165" i="54"/>
  <c r="GK201" i="54"/>
  <c r="GK237" i="54"/>
  <c r="GK10" i="54"/>
  <c r="GL10" i="54" s="1"/>
  <c r="GK46" i="54"/>
  <c r="GL46" i="54" s="1"/>
  <c r="GK82" i="54"/>
  <c r="GL82" i="54" s="1"/>
  <c r="GK118" i="54"/>
  <c r="GK154" i="54"/>
  <c r="GL154" i="54" s="1"/>
  <c r="GK190" i="54"/>
  <c r="GK226" i="54"/>
  <c r="GL226" i="54" s="1"/>
  <c r="GK262" i="54"/>
  <c r="GL262" i="54" s="1"/>
  <c r="GK35" i="54"/>
  <c r="GK71" i="54"/>
  <c r="GK107" i="54"/>
  <c r="GL107" i="54" s="1"/>
  <c r="GK143" i="54"/>
  <c r="GK179" i="54"/>
  <c r="GL179" i="54" s="1"/>
  <c r="GK215" i="54"/>
  <c r="GL215" i="54" s="1"/>
  <c r="GK251" i="54"/>
  <c r="GL251" i="54" s="1"/>
  <c r="GK12" i="54"/>
  <c r="GK54" i="54"/>
  <c r="GL54" i="54" s="1"/>
  <c r="GK96" i="54"/>
  <c r="GL96" i="54" s="1"/>
  <c r="GK144" i="54"/>
  <c r="GK186" i="54"/>
  <c r="GL186" i="54" s="1"/>
  <c r="GK228" i="54"/>
  <c r="GL228" i="54" s="1"/>
  <c r="GK13" i="54"/>
  <c r="GK55" i="54"/>
  <c r="GL55" i="54" s="1"/>
  <c r="GK103" i="54"/>
  <c r="GK145" i="54"/>
  <c r="GL145" i="54" s="1"/>
  <c r="GK187" i="54"/>
  <c r="GL187" i="54" s="1"/>
  <c r="GK229" i="54"/>
  <c r="GL229" i="54" s="1"/>
  <c r="GK14" i="54"/>
  <c r="GK62" i="54"/>
  <c r="GL62" i="54" s="1"/>
  <c r="GK104" i="54"/>
  <c r="GL104" i="54" s="1"/>
  <c r="GK146" i="54"/>
  <c r="GK188" i="54"/>
  <c r="GL188" i="54" s="1"/>
  <c r="GK230" i="54"/>
  <c r="GL230" i="54" s="1"/>
  <c r="GK21" i="54"/>
  <c r="GK63" i="54"/>
  <c r="GL63" i="54" s="1"/>
  <c r="GK99" i="54"/>
  <c r="GL99" i="54" s="1"/>
  <c r="GK135" i="54"/>
  <c r="GL135" i="54" s="1"/>
  <c r="GK171" i="54"/>
  <c r="GL171" i="54" s="1"/>
  <c r="GK207" i="54"/>
  <c r="GK243" i="54"/>
  <c r="GK16" i="54"/>
  <c r="GL16" i="54" s="1"/>
  <c r="GK52" i="54"/>
  <c r="GL52" i="54" s="1"/>
  <c r="GK88" i="54"/>
  <c r="GL88" i="54" s="1"/>
  <c r="GK124" i="54"/>
  <c r="GL124" i="54" s="1"/>
  <c r="GK160" i="54"/>
  <c r="GL160" i="54" s="1"/>
  <c r="GK196" i="54"/>
  <c r="GK232" i="54"/>
  <c r="GL232" i="54" s="1"/>
  <c r="GK268" i="54"/>
  <c r="GL268" i="54" s="1"/>
  <c r="GK41" i="54"/>
  <c r="GL41" i="54" s="1"/>
  <c r="GK77" i="54"/>
  <c r="GL77" i="54" s="1"/>
  <c r="GK113" i="54"/>
  <c r="GL113" i="54" s="1"/>
  <c r="GK149" i="54"/>
  <c r="GK185" i="54"/>
  <c r="GK221" i="54"/>
  <c r="GL221" i="54" s="1"/>
  <c r="GK257" i="54"/>
  <c r="GL257" i="54" s="1"/>
  <c r="GK18" i="54"/>
  <c r="GL18" i="54" s="1"/>
  <c r="GK60" i="54"/>
  <c r="GL60" i="54" s="1"/>
  <c r="GK108" i="54"/>
  <c r="GK150" i="54"/>
  <c r="GL150" i="54" s="1"/>
  <c r="GK192" i="54"/>
  <c r="GL192" i="54" s="1"/>
  <c r="GK234" i="54"/>
  <c r="GL234" i="54" s="1"/>
  <c r="GK19" i="54"/>
  <c r="GL19" i="54" s="1"/>
  <c r="GK67" i="54"/>
  <c r="GL67" i="54" s="1"/>
  <c r="GK109" i="54"/>
  <c r="GK151" i="54"/>
  <c r="GL151" i="54" s="1"/>
  <c r="GK193" i="54"/>
  <c r="GL193" i="54" s="1"/>
  <c r="GK235" i="54"/>
  <c r="GL235" i="54" s="1"/>
  <c r="GK26" i="54"/>
  <c r="GK68" i="54"/>
  <c r="GL68" i="54" s="1"/>
  <c r="GK110" i="54"/>
  <c r="GK152" i="54"/>
  <c r="GL152" i="54" s="1"/>
  <c r="GK194" i="54"/>
  <c r="GL194" i="54" s="1"/>
  <c r="GK242" i="54"/>
  <c r="GL242" i="54" s="1"/>
  <c r="GK27" i="54"/>
  <c r="GL27" i="54" s="1"/>
  <c r="GK69" i="54"/>
  <c r="GL69" i="54" s="1"/>
  <c r="GK105" i="54"/>
  <c r="GK141" i="54"/>
  <c r="GL141" i="54" s="1"/>
  <c r="GK177" i="54"/>
  <c r="GL177" i="54" s="1"/>
  <c r="GK213" i="54"/>
  <c r="GL213" i="54" s="1"/>
  <c r="GK249" i="54"/>
  <c r="GK22" i="54"/>
  <c r="GL22" i="54" s="1"/>
  <c r="GK58" i="54"/>
  <c r="GK94" i="54"/>
  <c r="GL94" i="54" s="1"/>
  <c r="GK130" i="54"/>
  <c r="GL130" i="54" s="1"/>
  <c r="GK166" i="54"/>
  <c r="GK202" i="54"/>
  <c r="GL202" i="54" s="1"/>
  <c r="GK238" i="54"/>
  <c r="GL238" i="54" s="1"/>
  <c r="GK11" i="54"/>
  <c r="GK47" i="54"/>
  <c r="GK83" i="54"/>
  <c r="GL83" i="54" s="1"/>
  <c r="GK119" i="54"/>
  <c r="GL119" i="54" s="1"/>
  <c r="GK155" i="54"/>
  <c r="GL155" i="54" s="1"/>
  <c r="GK191" i="54"/>
  <c r="GK227" i="54"/>
  <c r="GK263" i="54"/>
  <c r="GL263" i="54" s="1"/>
  <c r="GK24" i="54"/>
  <c r="GL24" i="54" s="1"/>
  <c r="GK72" i="54"/>
  <c r="GL72" i="54" s="1"/>
  <c r="GK114" i="54"/>
  <c r="GL114" i="54" s="1"/>
  <c r="GK156" i="54"/>
  <c r="GK198" i="54"/>
  <c r="GK240" i="54"/>
  <c r="GL240" i="54" s="1"/>
  <c r="GK31" i="54"/>
  <c r="GL31" i="54" s="1"/>
  <c r="GK73" i="54"/>
  <c r="GL73" i="54" s="1"/>
  <c r="GK115" i="54"/>
  <c r="GL115" i="54" s="1"/>
  <c r="GK157" i="54"/>
  <c r="GL157" i="54" s="1"/>
  <c r="GK199" i="54"/>
  <c r="GK247" i="54"/>
  <c r="GL247" i="54" s="1"/>
  <c r="GK32" i="54"/>
  <c r="GL32" i="54" s="1"/>
  <c r="GK74" i="54"/>
  <c r="GL74" i="54" s="1"/>
  <c r="GK116" i="54"/>
  <c r="GL116" i="54" s="1"/>
  <c r="GK158" i="54"/>
  <c r="GL158" i="54" s="1"/>
  <c r="GK206" i="54"/>
  <c r="GK248" i="54"/>
  <c r="GL248" i="54" s="1"/>
  <c r="GK33" i="54"/>
  <c r="GL33" i="54" s="1"/>
  <c r="GK75" i="54"/>
  <c r="GL75" i="54" s="1"/>
  <c r="GK111" i="54"/>
  <c r="GL111" i="54" s="1"/>
  <c r="GK147" i="54"/>
  <c r="GL147" i="54" s="1"/>
  <c r="GK183" i="54"/>
  <c r="GL183" i="54" s="1"/>
  <c r="GK219" i="54"/>
  <c r="GL219" i="54" s="1"/>
  <c r="GK255" i="54"/>
  <c r="GL255" i="54" s="1"/>
  <c r="GK28" i="54"/>
  <c r="GL28" i="54" s="1"/>
  <c r="GK64" i="54"/>
  <c r="GL64" i="54" s="1"/>
  <c r="GK100" i="54"/>
  <c r="GL100" i="54" s="1"/>
  <c r="GK136" i="54"/>
  <c r="GL136" i="54" s="1"/>
  <c r="GK172" i="54"/>
  <c r="GL172" i="54" s="1"/>
  <c r="GK208" i="54"/>
  <c r="GL208" i="54" s="1"/>
  <c r="GK244" i="54"/>
  <c r="GL244" i="54" s="1"/>
  <c r="GK17" i="54"/>
  <c r="GL17" i="54" s="1"/>
  <c r="GK53" i="54"/>
  <c r="GL53" i="54" s="1"/>
  <c r="GK89" i="54"/>
  <c r="GL89" i="54" s="1"/>
  <c r="GK125" i="54"/>
  <c r="GL125" i="54" s="1"/>
  <c r="GK161" i="54"/>
  <c r="GK197" i="54"/>
  <c r="GL197" i="54" s="1"/>
  <c r="GK233" i="54"/>
  <c r="GL233" i="54" s="1"/>
  <c r="GQ5" i="54"/>
  <c r="GL25" i="54"/>
  <c r="GL101" i="54"/>
  <c r="GL236" i="54"/>
  <c r="GL20" i="54"/>
  <c r="GL61" i="54"/>
  <c r="GL102" i="54"/>
  <c r="GL117" i="54"/>
  <c r="GL199" i="54"/>
  <c r="GL231" i="54"/>
  <c r="GL15" i="54"/>
  <c r="GL59" i="54"/>
  <c r="GL106" i="54"/>
  <c r="GL153" i="54"/>
  <c r="GL173" i="54"/>
  <c r="GL220" i="54"/>
  <c r="GL267" i="54"/>
  <c r="GL51" i="54"/>
  <c r="GL92" i="54"/>
  <c r="GL133" i="54"/>
  <c r="GL174" i="54"/>
  <c r="GL14" i="54"/>
  <c r="GL87" i="54"/>
  <c r="GL169" i="54"/>
  <c r="GL131" i="54"/>
  <c r="GL178" i="54"/>
  <c r="GL225" i="54"/>
  <c r="GL245" i="54"/>
  <c r="GL76" i="54"/>
  <c r="GL123" i="54"/>
  <c r="GL45" i="54"/>
  <c r="GL127" i="54"/>
  <c r="GL13" i="54"/>
  <c r="GL166" i="54"/>
  <c r="GL254" i="54"/>
  <c r="GL265" i="54"/>
  <c r="GL249" i="54"/>
  <c r="GL44" i="54"/>
  <c r="GL126" i="54"/>
  <c r="GL191" i="54"/>
  <c r="GL161" i="54"/>
  <c r="GL39" i="54"/>
  <c r="GL162" i="54"/>
  <c r="GL227" i="54"/>
  <c r="GL11" i="54"/>
  <c r="GL58" i="54"/>
  <c r="GL105" i="54"/>
  <c r="GL146" i="54"/>
  <c r="GL163" i="54"/>
  <c r="GL198" i="54"/>
  <c r="GL47" i="54"/>
  <c r="GL182" i="54"/>
  <c r="GL207" i="54"/>
  <c r="GL156" i="54"/>
  <c r="GL149" i="54"/>
  <c r="GL196" i="54"/>
  <c r="GL243" i="54"/>
  <c r="GL109" i="54"/>
  <c r="GL110" i="54"/>
  <c r="GL43" i="54"/>
  <c r="GL185" i="54"/>
  <c r="GL12" i="54"/>
  <c r="GL140" i="54"/>
  <c r="GL181" i="54"/>
  <c r="GL264" i="54"/>
  <c r="GL48" i="54"/>
  <c r="GL258" i="54"/>
  <c r="GL42" i="54"/>
  <c r="GL84" i="54"/>
  <c r="GL253" i="54"/>
  <c r="GL35" i="54"/>
  <c r="GL170" i="54"/>
  <c r="GL211" i="54"/>
  <c r="GL252" i="54"/>
  <c r="GL71" i="54"/>
  <c r="GL118" i="54"/>
  <c r="GL165" i="54"/>
  <c r="GL206" i="54"/>
  <c r="GL201" i="54"/>
  <c r="GL26" i="54"/>
  <c r="GL108" i="54"/>
  <c r="GL143" i="54"/>
  <c r="GL190" i="54"/>
  <c r="GL237" i="54"/>
  <c r="GL21" i="54"/>
  <c r="GL103" i="54"/>
  <c r="GL144" i="54"/>
  <c r="GL180" i="54"/>
  <c r="GL93" i="54"/>
  <c r="GL134" i="54"/>
  <c r="ED38" i="54"/>
  <c r="ED74" i="54"/>
  <c r="ED110" i="54"/>
  <c r="ED146" i="54"/>
  <c r="ED182" i="54"/>
  <c r="ED218" i="54"/>
  <c r="ED254" i="54"/>
  <c r="ED33" i="54"/>
  <c r="ED69" i="54"/>
  <c r="ED105" i="54"/>
  <c r="ED141" i="54"/>
  <c r="ED177" i="54"/>
  <c r="ED213" i="54"/>
  <c r="ED249" i="54"/>
  <c r="ED22" i="54"/>
  <c r="ED58" i="54"/>
  <c r="ED94" i="54"/>
  <c r="ED130" i="54"/>
  <c r="ED166" i="54"/>
  <c r="ED202" i="54"/>
  <c r="ED238" i="54"/>
  <c r="ED11" i="54"/>
  <c r="ED47" i="54"/>
  <c r="ED83" i="54"/>
  <c r="ED119" i="54"/>
  <c r="ED155" i="54"/>
  <c r="ED191" i="54"/>
  <c r="ED227" i="54"/>
  <c r="ED263" i="54"/>
  <c r="ED42" i="54"/>
  <c r="ED78" i="54"/>
  <c r="ED114" i="54"/>
  <c r="ED150" i="54"/>
  <c r="ED186" i="54"/>
  <c r="ED222" i="54"/>
  <c r="ED258" i="54"/>
  <c r="ED163" i="54"/>
  <c r="ED133" i="54"/>
  <c r="ED103" i="54"/>
  <c r="ED73" i="54"/>
  <c r="ED43" i="54"/>
  <c r="ED259" i="54"/>
  <c r="ED193" i="54"/>
  <c r="ED44" i="54"/>
  <c r="ED80" i="54"/>
  <c r="ED116" i="54"/>
  <c r="ED152" i="54"/>
  <c r="ED188" i="54"/>
  <c r="ED224" i="54"/>
  <c r="ED260" i="54"/>
  <c r="ED39" i="54"/>
  <c r="ED75" i="54"/>
  <c r="ED111" i="54"/>
  <c r="ED147" i="54"/>
  <c r="ED183" i="54"/>
  <c r="ED219" i="54"/>
  <c r="ED255" i="54"/>
  <c r="ED28" i="54"/>
  <c r="ED64" i="54"/>
  <c r="ED100" i="54"/>
  <c r="ED136" i="54"/>
  <c r="ED172" i="54"/>
  <c r="ED208" i="54"/>
  <c r="ED244" i="54"/>
  <c r="ED17" i="54"/>
  <c r="ED53" i="54"/>
  <c r="ED89" i="54"/>
  <c r="ED125" i="54"/>
  <c r="ED161" i="54"/>
  <c r="ED197" i="54"/>
  <c r="ED233" i="54"/>
  <c r="ED12" i="54"/>
  <c r="ED48" i="54"/>
  <c r="ED84" i="54"/>
  <c r="ED120" i="54"/>
  <c r="ED156" i="54"/>
  <c r="ED192" i="54"/>
  <c r="ED228" i="54"/>
  <c r="ED264" i="54"/>
  <c r="ED199" i="54"/>
  <c r="ED169" i="54"/>
  <c r="ED139" i="54"/>
  <c r="ED109" i="54"/>
  <c r="ED79" i="54"/>
  <c r="ED13" i="54"/>
  <c r="ED229" i="54"/>
  <c r="ED14" i="54"/>
  <c r="ED50" i="54"/>
  <c r="ED86" i="54"/>
  <c r="ED122" i="54"/>
  <c r="ED158" i="54"/>
  <c r="ED194" i="54"/>
  <c r="ED230" i="54"/>
  <c r="ED266" i="54"/>
  <c r="ED45" i="54"/>
  <c r="ED81" i="54"/>
  <c r="ED117" i="54"/>
  <c r="ED153" i="54"/>
  <c r="ED189" i="54"/>
  <c r="ED225" i="54"/>
  <c r="ED261" i="54"/>
  <c r="ED34" i="54"/>
  <c r="ED70" i="54"/>
  <c r="ED106" i="54"/>
  <c r="ED142" i="54"/>
  <c r="ED178" i="54"/>
  <c r="ED214" i="54"/>
  <c r="ED250" i="54"/>
  <c r="ED23" i="54"/>
  <c r="ED59" i="54"/>
  <c r="ED95" i="54"/>
  <c r="ED131" i="54"/>
  <c r="ED167" i="54"/>
  <c r="ED203" i="54"/>
  <c r="ED239" i="54"/>
  <c r="ED18" i="54"/>
  <c r="ED54" i="54"/>
  <c r="ED90" i="54"/>
  <c r="ED126" i="54"/>
  <c r="ED162" i="54"/>
  <c r="ED198" i="54"/>
  <c r="ED234" i="54"/>
  <c r="ED19" i="54"/>
  <c r="ED235" i="54"/>
  <c r="ED205" i="54"/>
  <c r="ED175" i="54"/>
  <c r="ED145" i="54"/>
  <c r="ED115" i="54"/>
  <c r="ED49" i="54"/>
  <c r="ED265" i="54"/>
  <c r="ED20" i="54"/>
  <c r="ED56" i="54"/>
  <c r="ED92" i="54"/>
  <c r="ED128" i="54"/>
  <c r="ED164" i="54"/>
  <c r="ED200" i="54"/>
  <c r="ED236" i="54"/>
  <c r="ED15" i="54"/>
  <c r="ED51" i="54"/>
  <c r="ED87" i="54"/>
  <c r="ED123" i="54"/>
  <c r="ED159" i="54"/>
  <c r="ED195" i="54"/>
  <c r="ED231" i="54"/>
  <c r="ED267" i="54"/>
  <c r="ED40" i="54"/>
  <c r="ED76" i="54"/>
  <c r="ED112" i="54"/>
  <c r="ED148" i="54"/>
  <c r="ED184" i="54"/>
  <c r="ED220" i="54"/>
  <c r="ED256" i="54"/>
  <c r="ED29" i="54"/>
  <c r="ED65" i="54"/>
  <c r="ED101" i="54"/>
  <c r="ED137" i="54"/>
  <c r="ED173" i="54"/>
  <c r="ED209" i="54"/>
  <c r="ED245" i="54"/>
  <c r="ED24" i="54"/>
  <c r="ED60" i="54"/>
  <c r="ED96" i="54"/>
  <c r="ED132" i="54"/>
  <c r="ED168" i="54"/>
  <c r="ED204" i="54"/>
  <c r="ED240" i="54"/>
  <c r="ED55" i="54"/>
  <c r="ED25" i="54"/>
  <c r="ED241" i="54"/>
  <c r="ED211" i="54"/>
  <c r="ED181" i="54"/>
  <c r="ED151" i="54"/>
  <c r="ED85" i="54"/>
  <c r="ED26" i="54"/>
  <c r="ED62" i="54"/>
  <c r="ED98" i="54"/>
  <c r="ED134" i="54"/>
  <c r="ED170" i="54"/>
  <c r="ED206" i="54"/>
  <c r="ED242" i="54"/>
  <c r="ED21" i="54"/>
  <c r="ED57" i="54"/>
  <c r="ED93" i="54"/>
  <c r="ED129" i="54"/>
  <c r="ED165" i="54"/>
  <c r="ED201" i="54"/>
  <c r="ED237" i="54"/>
  <c r="ED10" i="54"/>
  <c r="ED46" i="54"/>
  <c r="ED82" i="54"/>
  <c r="ED118" i="54"/>
  <c r="ED154" i="54"/>
  <c r="ED190" i="54"/>
  <c r="ED226" i="54"/>
  <c r="ED262" i="54"/>
  <c r="ED35" i="54"/>
  <c r="ED71" i="54"/>
  <c r="ED107" i="54"/>
  <c r="ED143" i="54"/>
  <c r="ED179" i="54"/>
  <c r="ED215" i="54"/>
  <c r="ED251" i="54"/>
  <c r="ED30" i="54"/>
  <c r="ED66" i="54"/>
  <c r="ED102" i="54"/>
  <c r="ED138" i="54"/>
  <c r="ED174" i="54"/>
  <c r="ED210" i="54"/>
  <c r="ED246" i="54"/>
  <c r="ED91" i="54"/>
  <c r="ED61" i="54"/>
  <c r="ED31" i="54"/>
  <c r="ED247" i="54"/>
  <c r="ED217" i="54"/>
  <c r="ED187" i="54"/>
  <c r="ED121" i="54"/>
  <c r="ED32" i="54"/>
  <c r="ED68" i="54"/>
  <c r="ED104" i="54"/>
  <c r="ED140" i="54"/>
  <c r="ED176" i="54"/>
  <c r="ED212" i="54"/>
  <c r="ED248" i="54"/>
  <c r="ED27" i="54"/>
  <c r="ED63" i="54"/>
  <c r="ED99" i="54"/>
  <c r="ED135" i="54"/>
  <c r="ED171" i="54"/>
  <c r="ED207" i="54"/>
  <c r="ED243" i="54"/>
  <c r="ED16" i="54"/>
  <c r="ED52" i="54"/>
  <c r="ED88" i="54"/>
  <c r="ED124" i="54"/>
  <c r="ED160" i="54"/>
  <c r="ED196" i="54"/>
  <c r="ED232" i="54"/>
  <c r="ED268" i="54"/>
  <c r="ED41" i="54"/>
  <c r="ED77" i="54"/>
  <c r="ED113" i="54"/>
  <c r="ED149" i="54"/>
  <c r="ED185" i="54"/>
  <c r="ED221" i="54"/>
  <c r="ED257" i="54"/>
  <c r="ED36" i="54"/>
  <c r="ED72" i="54"/>
  <c r="ED108" i="54"/>
  <c r="ED144" i="54"/>
  <c r="ED180" i="54"/>
  <c r="ED216" i="54"/>
  <c r="ED252" i="54"/>
  <c r="ED127" i="54"/>
  <c r="ED97" i="54"/>
  <c r="ED67" i="54"/>
  <c r="ED37" i="54"/>
  <c r="ED253" i="54"/>
  <c r="ED223" i="54"/>
  <c r="ED157" i="54"/>
  <c r="HN169" i="54"/>
  <c r="HN200" i="54"/>
  <c r="HP200" i="54" s="1"/>
  <c r="HN236" i="54"/>
  <c r="HP236" i="54" s="1"/>
  <c r="HN15" i="54"/>
  <c r="HK251" i="54"/>
  <c r="HP251" i="54" s="1"/>
  <c r="HJ251" i="54"/>
  <c r="HO251" i="54" s="1"/>
  <c r="HK160" i="54"/>
  <c r="HP160" i="54" s="1"/>
  <c r="HJ160" i="54"/>
  <c r="HO160" i="54" s="1"/>
  <c r="HK118" i="54"/>
  <c r="HP118" i="54" s="1"/>
  <c r="HJ118" i="54"/>
  <c r="HO118" i="54" s="1"/>
  <c r="HJ27" i="54"/>
  <c r="HO27" i="54" s="1"/>
  <c r="HK27" i="54"/>
  <c r="HP27" i="54" s="1"/>
  <c r="HK26" i="54"/>
  <c r="HP26" i="54" s="1"/>
  <c r="HJ26" i="54"/>
  <c r="HO26" i="54" s="1"/>
  <c r="HJ145" i="54"/>
  <c r="HK145" i="54"/>
  <c r="HP145" i="54" s="1"/>
  <c r="HJ144" i="54"/>
  <c r="HO144" i="54" s="1"/>
  <c r="HK144" i="54"/>
  <c r="HP144" i="54" s="1"/>
  <c r="HK143" i="54"/>
  <c r="HP143" i="54" s="1"/>
  <c r="HJ143" i="54"/>
  <c r="HK268" i="54"/>
  <c r="HP268" i="54" s="1"/>
  <c r="HJ268" i="54"/>
  <c r="HO268" i="54" s="1"/>
  <c r="HK10" i="54"/>
  <c r="HP10" i="54" s="1"/>
  <c r="HJ10" i="54"/>
  <c r="HO10" i="54" s="1"/>
  <c r="HK135" i="54"/>
  <c r="HP135" i="54" s="1"/>
  <c r="HJ135" i="54"/>
  <c r="HO135" i="54" s="1"/>
  <c r="HK134" i="54"/>
  <c r="HP134" i="54" s="1"/>
  <c r="HJ134" i="54"/>
  <c r="HO134" i="54" s="1"/>
  <c r="HK37" i="54"/>
  <c r="HP37" i="54" s="1"/>
  <c r="HJ37" i="54"/>
  <c r="HO37" i="54" s="1"/>
  <c r="HK36" i="54"/>
  <c r="HP36" i="54" s="1"/>
  <c r="HJ36" i="54"/>
  <c r="HO36" i="54" s="1"/>
  <c r="HK202" i="54"/>
  <c r="HP202" i="54" s="1"/>
  <c r="HJ202" i="54"/>
  <c r="HO202" i="54" s="1"/>
  <c r="HK22" i="54"/>
  <c r="HP22" i="54" s="1"/>
  <c r="HJ22" i="54"/>
  <c r="HO22" i="54" s="1"/>
  <c r="HK105" i="54"/>
  <c r="HP105" i="54" s="1"/>
  <c r="HJ105" i="54"/>
  <c r="HO105" i="54" s="1"/>
  <c r="HK182" i="54"/>
  <c r="HP182" i="54" s="1"/>
  <c r="HJ182" i="54"/>
  <c r="HO182" i="54" s="1"/>
  <c r="HK43" i="54"/>
  <c r="HP43" i="54" s="1"/>
  <c r="HJ43" i="54"/>
  <c r="HK42" i="54"/>
  <c r="HP42" i="54" s="1"/>
  <c r="HJ42" i="54"/>
  <c r="HO42" i="54" s="1"/>
  <c r="HK166" i="54"/>
  <c r="HP166" i="54" s="1"/>
  <c r="HJ166" i="54"/>
  <c r="HO166" i="54" s="1"/>
  <c r="HK255" i="54"/>
  <c r="HP255" i="54" s="1"/>
  <c r="HJ255" i="54"/>
  <c r="HO255" i="54" s="1"/>
  <c r="HK194" i="54"/>
  <c r="HP194" i="54" s="1"/>
  <c r="HJ194" i="54"/>
  <c r="HO194" i="54" s="1"/>
  <c r="HK157" i="54"/>
  <c r="HP157" i="54" s="1"/>
  <c r="HJ157" i="54"/>
  <c r="HO157" i="54" s="1"/>
  <c r="HK156" i="54"/>
  <c r="HP156" i="54" s="1"/>
  <c r="HJ156" i="54"/>
  <c r="HO156" i="54" s="1"/>
  <c r="HK95" i="54"/>
  <c r="HP95" i="54" s="1"/>
  <c r="HJ95" i="54"/>
  <c r="HO95" i="54" s="1"/>
  <c r="HK17" i="54"/>
  <c r="HP17" i="54" s="1"/>
  <c r="HJ17" i="54"/>
  <c r="HO17" i="54" s="1"/>
  <c r="HK225" i="54"/>
  <c r="HP225" i="54" s="1"/>
  <c r="HJ225" i="54"/>
  <c r="HO225" i="54" s="1"/>
  <c r="HK188" i="54"/>
  <c r="HJ188" i="54"/>
  <c r="HO188" i="54" s="1"/>
  <c r="HK127" i="54"/>
  <c r="HP127" i="54" s="1"/>
  <c r="HJ127" i="54"/>
  <c r="HO127" i="54" s="1"/>
  <c r="HK126" i="54"/>
  <c r="HP126" i="54" s="1"/>
  <c r="HJ126" i="54"/>
  <c r="HO126" i="54" s="1"/>
  <c r="HK89" i="54"/>
  <c r="HP89" i="54" s="1"/>
  <c r="HJ89" i="54"/>
  <c r="HJ34" i="54"/>
  <c r="HO34" i="54" s="1"/>
  <c r="HK34" i="54"/>
  <c r="HP34" i="54" s="1"/>
  <c r="HJ260" i="54"/>
  <c r="HO260" i="54" s="1"/>
  <c r="HK260" i="54"/>
  <c r="HJ158" i="54"/>
  <c r="HO158" i="54" s="1"/>
  <c r="HK158" i="54"/>
  <c r="HP158" i="54" s="1"/>
  <c r="HK204" i="54"/>
  <c r="HJ204" i="54"/>
  <c r="HO204" i="54" s="1"/>
  <c r="HG168" i="54"/>
  <c r="HN168" i="54" s="1"/>
  <c r="HJ168" i="54"/>
  <c r="HK168" i="54"/>
  <c r="HP168" i="54" s="1"/>
  <c r="HG132" i="54"/>
  <c r="HN132" i="54" s="1"/>
  <c r="HK132" i="54"/>
  <c r="HP132" i="54" s="1"/>
  <c r="HJ132" i="54"/>
  <c r="HG96" i="54"/>
  <c r="HN96" i="54" s="1"/>
  <c r="HK96" i="54"/>
  <c r="HJ96" i="54"/>
  <c r="HJ60" i="54"/>
  <c r="HO60" i="54" s="1"/>
  <c r="HK60" i="54"/>
  <c r="HP60" i="54" s="1"/>
  <c r="HG256" i="54"/>
  <c r="HN256" i="54" s="1"/>
  <c r="HK256" i="54"/>
  <c r="HJ256" i="54"/>
  <c r="HO256" i="54" s="1"/>
  <c r="HG65" i="54"/>
  <c r="HN65" i="54" s="1"/>
  <c r="HK65" i="54"/>
  <c r="HP65" i="54" s="1"/>
  <c r="HJ65" i="54"/>
  <c r="HG97" i="54"/>
  <c r="HN97" i="54" s="1"/>
  <c r="HJ97" i="54"/>
  <c r="HK97" i="54"/>
  <c r="Z58" i="56"/>
  <c r="HL5" i="54" a="1"/>
  <c r="HL5" i="54" s="1"/>
  <c r="GO19" i="54"/>
  <c r="GO55" i="54"/>
  <c r="GO91" i="54"/>
  <c r="GO127" i="54"/>
  <c r="GO163" i="54"/>
  <c r="GO43" i="54"/>
  <c r="GO85" i="54"/>
  <c r="GO133" i="54"/>
  <c r="GO175" i="54"/>
  <c r="GO211" i="54"/>
  <c r="GO247" i="54"/>
  <c r="GO26" i="54"/>
  <c r="GO62" i="54"/>
  <c r="GO98" i="54"/>
  <c r="GO134" i="54"/>
  <c r="GO170" i="54"/>
  <c r="GO206" i="54"/>
  <c r="GO242" i="54"/>
  <c r="GO21" i="54"/>
  <c r="GO57" i="54"/>
  <c r="GO93" i="54"/>
  <c r="GO129" i="54"/>
  <c r="GO165" i="54"/>
  <c r="GO201" i="54"/>
  <c r="GO237" i="54"/>
  <c r="GO10" i="54"/>
  <c r="GO46" i="54"/>
  <c r="GO82" i="54"/>
  <c r="GO118" i="54"/>
  <c r="GO154" i="54"/>
  <c r="GO190" i="54"/>
  <c r="GO226" i="54"/>
  <c r="GO262" i="54"/>
  <c r="GO35" i="54"/>
  <c r="GO71" i="54"/>
  <c r="GO107" i="54"/>
  <c r="GO143" i="54"/>
  <c r="GO179" i="54"/>
  <c r="GO215" i="54"/>
  <c r="GO251" i="54"/>
  <c r="GO30" i="54"/>
  <c r="GO66" i="54"/>
  <c r="GO49" i="54"/>
  <c r="GO97" i="54"/>
  <c r="GO139" i="54"/>
  <c r="GO181" i="54"/>
  <c r="GO217" i="54"/>
  <c r="GO253" i="54"/>
  <c r="GO32" i="54"/>
  <c r="GO68" i="54"/>
  <c r="GO104" i="54"/>
  <c r="GO140" i="54"/>
  <c r="GO176" i="54"/>
  <c r="GO212" i="54"/>
  <c r="GO248" i="54"/>
  <c r="GO27" i="54"/>
  <c r="GO63" i="54"/>
  <c r="GO99" i="54"/>
  <c r="GO135" i="54"/>
  <c r="GO171" i="54"/>
  <c r="GO207" i="54"/>
  <c r="GO243" i="54"/>
  <c r="GO16" i="54"/>
  <c r="GO52" i="54"/>
  <c r="GO88" i="54"/>
  <c r="GO124" i="54"/>
  <c r="GO160" i="54"/>
  <c r="GO196" i="54"/>
  <c r="GO232" i="54"/>
  <c r="GO268" i="54"/>
  <c r="GO41" i="54"/>
  <c r="GO77" i="54"/>
  <c r="GO113" i="54"/>
  <c r="GO149" i="54"/>
  <c r="GO185" i="54"/>
  <c r="GO221" i="54"/>
  <c r="GO257" i="54"/>
  <c r="GO36" i="54"/>
  <c r="GO13" i="54"/>
  <c r="GO61" i="54"/>
  <c r="GO103" i="54"/>
  <c r="GO145" i="54"/>
  <c r="GO187" i="54"/>
  <c r="GO223" i="54"/>
  <c r="GO259" i="54"/>
  <c r="GO38" i="54"/>
  <c r="GO74" i="54"/>
  <c r="GO110" i="54"/>
  <c r="GO146" i="54"/>
  <c r="GO182" i="54"/>
  <c r="GO218" i="54"/>
  <c r="GO254" i="54"/>
  <c r="GO33" i="54"/>
  <c r="GO69" i="54"/>
  <c r="GO105" i="54"/>
  <c r="GO141" i="54"/>
  <c r="GO177" i="54"/>
  <c r="GO213" i="54"/>
  <c r="GO249" i="54"/>
  <c r="GO22" i="54"/>
  <c r="GO58" i="54"/>
  <c r="GO94" i="54"/>
  <c r="GO130" i="54"/>
  <c r="GO166" i="54"/>
  <c r="GO202" i="54"/>
  <c r="GO238" i="54"/>
  <c r="GO11" i="54"/>
  <c r="GO47" i="54"/>
  <c r="GO83" i="54"/>
  <c r="GO119" i="54"/>
  <c r="GO155" i="54"/>
  <c r="GO191" i="54"/>
  <c r="GO227" i="54"/>
  <c r="GO263" i="54"/>
  <c r="GO42" i="54"/>
  <c r="GO78" i="54"/>
  <c r="GO114" i="54"/>
  <c r="GO25" i="54"/>
  <c r="GO67" i="54"/>
  <c r="GO109" i="54"/>
  <c r="GO151" i="54"/>
  <c r="GO193" i="54"/>
  <c r="GO229" i="54"/>
  <c r="GO265" i="54"/>
  <c r="GO44" i="54"/>
  <c r="GO80" i="54"/>
  <c r="GO116" i="54"/>
  <c r="GO152" i="54"/>
  <c r="GO188" i="54"/>
  <c r="GO224" i="54"/>
  <c r="GO260" i="54"/>
  <c r="GO39" i="54"/>
  <c r="GO75" i="54"/>
  <c r="GO111" i="54"/>
  <c r="GO147" i="54"/>
  <c r="GO183" i="54"/>
  <c r="GO219" i="54"/>
  <c r="GO255" i="54"/>
  <c r="GO28" i="54"/>
  <c r="GO64" i="54"/>
  <c r="GO100" i="54"/>
  <c r="GO136" i="54"/>
  <c r="GO172" i="54"/>
  <c r="GO208" i="54"/>
  <c r="GO244" i="54"/>
  <c r="GO17" i="54"/>
  <c r="GO53" i="54"/>
  <c r="GO89" i="54"/>
  <c r="GO125" i="54"/>
  <c r="GO161" i="54"/>
  <c r="GO197" i="54"/>
  <c r="GO233" i="54"/>
  <c r="GO12" i="54"/>
  <c r="GO48" i="54"/>
  <c r="GO84" i="54"/>
  <c r="GO120" i="54"/>
  <c r="GO156" i="54"/>
  <c r="GO192" i="54"/>
  <c r="GO228" i="54"/>
  <c r="GO264" i="54"/>
  <c r="GO31" i="54"/>
  <c r="GO73" i="54"/>
  <c r="GO115" i="54"/>
  <c r="GO157" i="54"/>
  <c r="GO199" i="54"/>
  <c r="GO235" i="54"/>
  <c r="GO14" i="54"/>
  <c r="GO50" i="54"/>
  <c r="GO86" i="54"/>
  <c r="GO122" i="54"/>
  <c r="GO158" i="54"/>
  <c r="GO194" i="54"/>
  <c r="GO230" i="54"/>
  <c r="GO266" i="54"/>
  <c r="GO45" i="54"/>
  <c r="GO81" i="54"/>
  <c r="GO117" i="54"/>
  <c r="GO153" i="54"/>
  <c r="GO189" i="54"/>
  <c r="GO225" i="54"/>
  <c r="GO261" i="54"/>
  <c r="GO34" i="54"/>
  <c r="GO70" i="54"/>
  <c r="GO106" i="54"/>
  <c r="GO142" i="54"/>
  <c r="GO178" i="54"/>
  <c r="GO214" i="54"/>
  <c r="GO250" i="54"/>
  <c r="GO23" i="54"/>
  <c r="GO59" i="54"/>
  <c r="GO95" i="54"/>
  <c r="GO131" i="54"/>
  <c r="GO167" i="54"/>
  <c r="GO203" i="54"/>
  <c r="GO239" i="54"/>
  <c r="GO18" i="54"/>
  <c r="GO54" i="54"/>
  <c r="GO90" i="54"/>
  <c r="GO37" i="54"/>
  <c r="GO79" i="54"/>
  <c r="GO121" i="54"/>
  <c r="GO169" i="54"/>
  <c r="GO205" i="54"/>
  <c r="GO241" i="54"/>
  <c r="GO20" i="54"/>
  <c r="GO56" i="54"/>
  <c r="GO92" i="54"/>
  <c r="GO128" i="54"/>
  <c r="GO164" i="54"/>
  <c r="GO200" i="54"/>
  <c r="GO236" i="54"/>
  <c r="GO15" i="54"/>
  <c r="GO51" i="54"/>
  <c r="GO87" i="54"/>
  <c r="GO123" i="54"/>
  <c r="GO159" i="54"/>
  <c r="GO195" i="54"/>
  <c r="GO231" i="54"/>
  <c r="GO267" i="54"/>
  <c r="GO40" i="54"/>
  <c r="GO76" i="54"/>
  <c r="GO112" i="54"/>
  <c r="GO148" i="54"/>
  <c r="GO184" i="54"/>
  <c r="GO220" i="54"/>
  <c r="GO256" i="54"/>
  <c r="GO29" i="54"/>
  <c r="GO65" i="54"/>
  <c r="GO101" i="54"/>
  <c r="GO137" i="54"/>
  <c r="GO173" i="54"/>
  <c r="GO209" i="54"/>
  <c r="GO245" i="54"/>
  <c r="GO24" i="54"/>
  <c r="GO60" i="54"/>
  <c r="GO96" i="54"/>
  <c r="GO132" i="54"/>
  <c r="GO168" i="54"/>
  <c r="GO204" i="54"/>
  <c r="GO240" i="54"/>
  <c r="GO72" i="54"/>
  <c r="GO150" i="54"/>
  <c r="GO210" i="54"/>
  <c r="GO258" i="54"/>
  <c r="GO102" i="54"/>
  <c r="GO162" i="54"/>
  <c r="GO216" i="54"/>
  <c r="GO108" i="54"/>
  <c r="GO174" i="54"/>
  <c r="GO222" i="54"/>
  <c r="GO126" i="54"/>
  <c r="GO180" i="54"/>
  <c r="GO234" i="54"/>
  <c r="GO138" i="54"/>
  <c r="GO186" i="54"/>
  <c r="GO246" i="54"/>
  <c r="GO144" i="54"/>
  <c r="GO198" i="54"/>
  <c r="GO252" i="54"/>
  <c r="EB34" i="54"/>
  <c r="EB70" i="54"/>
  <c r="EB106" i="54"/>
  <c r="EB142" i="54"/>
  <c r="EB178" i="54"/>
  <c r="EB214" i="54"/>
  <c r="EB250" i="54"/>
  <c r="EB23" i="54"/>
  <c r="EB10" i="54"/>
  <c r="EC10" i="54" s="1"/>
  <c r="EB46" i="54"/>
  <c r="EB82" i="54"/>
  <c r="EB118" i="54"/>
  <c r="EB154" i="54"/>
  <c r="EC154" i="54" s="1"/>
  <c r="EB190" i="54"/>
  <c r="EC190" i="54" s="1"/>
  <c r="EK190" i="54" s="1"/>
  <c r="EB226" i="54"/>
  <c r="EB262" i="54"/>
  <c r="EC262" i="54" s="1"/>
  <c r="EB35" i="54"/>
  <c r="EB71" i="54"/>
  <c r="EB107" i="54"/>
  <c r="EB143" i="54"/>
  <c r="EC143" i="54" s="1"/>
  <c r="EK143" i="54" s="1"/>
  <c r="EB179" i="54"/>
  <c r="EB215" i="54"/>
  <c r="EC215" i="54" s="1"/>
  <c r="EB251" i="54"/>
  <c r="EB30" i="54"/>
  <c r="EB66" i="54"/>
  <c r="EC66" i="54" s="1"/>
  <c r="EB102" i="54"/>
  <c r="EC102" i="54" s="1"/>
  <c r="EB138" i="54"/>
  <c r="EB174" i="54"/>
  <c r="EB210" i="54"/>
  <c r="EB246" i="54"/>
  <c r="EB25" i="54"/>
  <c r="EC25" i="54" s="1"/>
  <c r="EB61" i="54"/>
  <c r="EC61" i="54" s="1"/>
  <c r="EB97" i="54"/>
  <c r="EC97" i="54" s="1"/>
  <c r="EK97" i="54" s="1"/>
  <c r="EB133" i="54"/>
  <c r="EB169" i="54"/>
  <c r="EB205" i="54"/>
  <c r="EB241" i="54"/>
  <c r="EC241" i="54" s="1"/>
  <c r="EB20" i="54"/>
  <c r="EB56" i="54"/>
  <c r="EC56" i="54" s="1"/>
  <c r="EB92" i="54"/>
  <c r="EB128" i="54"/>
  <c r="EC128" i="54" s="1"/>
  <c r="EK128" i="54" s="1"/>
  <c r="EB164" i="54"/>
  <c r="EB200" i="54"/>
  <c r="EC200" i="54" s="1"/>
  <c r="EB236" i="54"/>
  <c r="EB15" i="54"/>
  <c r="EC15" i="54" s="1"/>
  <c r="EB51" i="54"/>
  <c r="EB87" i="54"/>
  <c r="EC87" i="54" s="1"/>
  <c r="EB123" i="54"/>
  <c r="EB159" i="54"/>
  <c r="EC159" i="54" s="1"/>
  <c r="EB195" i="54"/>
  <c r="EC195" i="54" s="1"/>
  <c r="EB231" i="54"/>
  <c r="EC231" i="54" s="1"/>
  <c r="EB267" i="54"/>
  <c r="EB52" i="54"/>
  <c r="EB100" i="54"/>
  <c r="EB160" i="54"/>
  <c r="EC160" i="54" s="1"/>
  <c r="EB208" i="54"/>
  <c r="EC208" i="54" s="1"/>
  <c r="EB268" i="54"/>
  <c r="EB53" i="54"/>
  <c r="EC53" i="54" s="1"/>
  <c r="EB95" i="54"/>
  <c r="EB137" i="54"/>
  <c r="EB185" i="54"/>
  <c r="EC185" i="54" s="1"/>
  <c r="EB227" i="54"/>
  <c r="EC227" i="54" s="1"/>
  <c r="EB12" i="54"/>
  <c r="EC12" i="54" s="1"/>
  <c r="EB54" i="54"/>
  <c r="EC54" i="54" s="1"/>
  <c r="EB96" i="54"/>
  <c r="EB144" i="54"/>
  <c r="EB186" i="54"/>
  <c r="EC186" i="54" s="1"/>
  <c r="EB228" i="54"/>
  <c r="EC228" i="54" s="1"/>
  <c r="EB13" i="54"/>
  <c r="EB55" i="54"/>
  <c r="EB103" i="54"/>
  <c r="EB145" i="54"/>
  <c r="EB187" i="54"/>
  <c r="EC187" i="54" s="1"/>
  <c r="EB229" i="54"/>
  <c r="EB14" i="54"/>
  <c r="EC14" i="54" s="1"/>
  <c r="EB62" i="54"/>
  <c r="EB104" i="54"/>
  <c r="EB146" i="54"/>
  <c r="EB188" i="54"/>
  <c r="EB230" i="54"/>
  <c r="EC230" i="54" s="1"/>
  <c r="EB21" i="54"/>
  <c r="EB63" i="54"/>
  <c r="EB105" i="54"/>
  <c r="EB147" i="54"/>
  <c r="EB189" i="54"/>
  <c r="EC189" i="54" s="1"/>
  <c r="EB237" i="54"/>
  <c r="EB58" i="54"/>
  <c r="EB112" i="54"/>
  <c r="EB166" i="54"/>
  <c r="EB220" i="54"/>
  <c r="EB11" i="54"/>
  <c r="EC11" i="54" s="1"/>
  <c r="EB59" i="54"/>
  <c r="EB101" i="54"/>
  <c r="EC101" i="54" s="1"/>
  <c r="EB149" i="54"/>
  <c r="EB191" i="54"/>
  <c r="EC191" i="54" s="1"/>
  <c r="EB233" i="54"/>
  <c r="EB18" i="54"/>
  <c r="EB60" i="54"/>
  <c r="EC60" i="54" s="1"/>
  <c r="EB108" i="54"/>
  <c r="EC108" i="54" s="1"/>
  <c r="EB150" i="54"/>
  <c r="EC150" i="54" s="1"/>
  <c r="EB192" i="54"/>
  <c r="EC192" i="54" s="1"/>
  <c r="EB234" i="54"/>
  <c r="EB19" i="54"/>
  <c r="EB67" i="54"/>
  <c r="EC67" i="54" s="1"/>
  <c r="EB109" i="54"/>
  <c r="EC109" i="54" s="1"/>
  <c r="EB151" i="54"/>
  <c r="EC151" i="54" s="1"/>
  <c r="EB193" i="54"/>
  <c r="EB235" i="54"/>
  <c r="EB26" i="54"/>
  <c r="EC26" i="54" s="1"/>
  <c r="EB68" i="54"/>
  <c r="EC68" i="54" s="1"/>
  <c r="EB110" i="54"/>
  <c r="EC110" i="54" s="1"/>
  <c r="EB152" i="54"/>
  <c r="EB194" i="54"/>
  <c r="EB242" i="54"/>
  <c r="EB27" i="54"/>
  <c r="EC27" i="54" s="1"/>
  <c r="EB69" i="54"/>
  <c r="EC69" i="54" s="1"/>
  <c r="EB111" i="54"/>
  <c r="EB153" i="54"/>
  <c r="EC153" i="54" s="1"/>
  <c r="EB201" i="54"/>
  <c r="EB243" i="54"/>
  <c r="EB16" i="54"/>
  <c r="EC16" i="54" s="1"/>
  <c r="EB64" i="54"/>
  <c r="EC64" i="54" s="1"/>
  <c r="EB124" i="54"/>
  <c r="EB172" i="54"/>
  <c r="EC172" i="54" s="1"/>
  <c r="EB232" i="54"/>
  <c r="EB17" i="54"/>
  <c r="EB65" i="54"/>
  <c r="EC65" i="54" s="1"/>
  <c r="EB113" i="54"/>
  <c r="EC113" i="54" s="1"/>
  <c r="EK113" i="54" s="1"/>
  <c r="EB155" i="54"/>
  <c r="EB197" i="54"/>
  <c r="EB239" i="54"/>
  <c r="EB24" i="54"/>
  <c r="EB72" i="54"/>
  <c r="EC72" i="54" s="1"/>
  <c r="EB114" i="54"/>
  <c r="EB156" i="54"/>
  <c r="EB198" i="54"/>
  <c r="EB240" i="54"/>
  <c r="EB31" i="54"/>
  <c r="EB73" i="54"/>
  <c r="EC73" i="54" s="1"/>
  <c r="EB115" i="54"/>
  <c r="EC115" i="54" s="1"/>
  <c r="EK115" i="54" s="1"/>
  <c r="EB157" i="54"/>
  <c r="EB199" i="54"/>
  <c r="EC199" i="54" s="1"/>
  <c r="EB247" i="54"/>
  <c r="EB32" i="54"/>
  <c r="EB74" i="54"/>
  <c r="EC74" i="54" s="1"/>
  <c r="EB116" i="54"/>
  <c r="EB158" i="54"/>
  <c r="EC158" i="54" s="1"/>
  <c r="EB206" i="54"/>
  <c r="EC206" i="54" s="1"/>
  <c r="EB248" i="54"/>
  <c r="EB33" i="54"/>
  <c r="EB75" i="54"/>
  <c r="EB117" i="54"/>
  <c r="EB165" i="54"/>
  <c r="EC165" i="54" s="1"/>
  <c r="EB207" i="54"/>
  <c r="EC207" i="54" s="1"/>
  <c r="EB249" i="54"/>
  <c r="EB22" i="54"/>
  <c r="EB76" i="54"/>
  <c r="EC76" i="54" s="1"/>
  <c r="EB130" i="54"/>
  <c r="EC130" i="54" s="1"/>
  <c r="EB184" i="54"/>
  <c r="EC184" i="54" s="1"/>
  <c r="EB238" i="54"/>
  <c r="EB29" i="54"/>
  <c r="EB77" i="54"/>
  <c r="EB119" i="54"/>
  <c r="EC119" i="54" s="1"/>
  <c r="EB161" i="54"/>
  <c r="EC161" i="54" s="1"/>
  <c r="EB203" i="54"/>
  <c r="EB245" i="54"/>
  <c r="EC245" i="54" s="1"/>
  <c r="EB36" i="54"/>
  <c r="EB78" i="54"/>
  <c r="EB120" i="54"/>
  <c r="EC120" i="54" s="1"/>
  <c r="EB162" i="54"/>
  <c r="EB204" i="54"/>
  <c r="EC204" i="54" s="1"/>
  <c r="EB252" i="54"/>
  <c r="EB37" i="54"/>
  <c r="EB79" i="54"/>
  <c r="EB121" i="54"/>
  <c r="EB163" i="54"/>
  <c r="EB211" i="54"/>
  <c r="EB253" i="54"/>
  <c r="EB38" i="54"/>
  <c r="EB80" i="54"/>
  <c r="EB122" i="54"/>
  <c r="EB170" i="54"/>
  <c r="EB212" i="54"/>
  <c r="EC212" i="54" s="1"/>
  <c r="EB254" i="54"/>
  <c r="EC254" i="54" s="1"/>
  <c r="EB39" i="54"/>
  <c r="EB81" i="54"/>
  <c r="EB129" i="54"/>
  <c r="EC129" i="54" s="1"/>
  <c r="EB171" i="54"/>
  <c r="EB213" i="54"/>
  <c r="EC213" i="54" s="1"/>
  <c r="EB255" i="54"/>
  <c r="EB28" i="54"/>
  <c r="EB88" i="54"/>
  <c r="EB136" i="54"/>
  <c r="EB196" i="54"/>
  <c r="EB244" i="54"/>
  <c r="EB41" i="54"/>
  <c r="EB83" i="54"/>
  <c r="EB125" i="54"/>
  <c r="EB167" i="54"/>
  <c r="EB209" i="54"/>
  <c r="EB257" i="54"/>
  <c r="EC257" i="54" s="1"/>
  <c r="EK257" i="54" s="1"/>
  <c r="EB42" i="54"/>
  <c r="EB84" i="54"/>
  <c r="EB126" i="54"/>
  <c r="EB168" i="54"/>
  <c r="EC168" i="54" s="1"/>
  <c r="EB216" i="54"/>
  <c r="EC216" i="54" s="1"/>
  <c r="EB258" i="54"/>
  <c r="EB43" i="54"/>
  <c r="EB85" i="54"/>
  <c r="EB127" i="54"/>
  <c r="EB175" i="54"/>
  <c r="EC175" i="54" s="1"/>
  <c r="EB217" i="54"/>
  <c r="EB259" i="54"/>
  <c r="EB44" i="54"/>
  <c r="EB86" i="54"/>
  <c r="EB134" i="54"/>
  <c r="EB176" i="54"/>
  <c r="EB218" i="54"/>
  <c r="EB260" i="54"/>
  <c r="EB45" i="54"/>
  <c r="EB93" i="54"/>
  <c r="EB135" i="54"/>
  <c r="EB177" i="54"/>
  <c r="EB219" i="54"/>
  <c r="EB261" i="54"/>
  <c r="EB40" i="54"/>
  <c r="EB94" i="54"/>
  <c r="EB148" i="54"/>
  <c r="EB202" i="54"/>
  <c r="EC202" i="54" s="1"/>
  <c r="EB256" i="54"/>
  <c r="EB47" i="54"/>
  <c r="EC47" i="54" s="1"/>
  <c r="EB89" i="54"/>
  <c r="EC89" i="54" s="1"/>
  <c r="EB131" i="54"/>
  <c r="EB173" i="54"/>
  <c r="EB221" i="54"/>
  <c r="EC221" i="54" s="1"/>
  <c r="EB263" i="54"/>
  <c r="EC263" i="54" s="1"/>
  <c r="EK263" i="54" s="1"/>
  <c r="EB48" i="54"/>
  <c r="EC48" i="54" s="1"/>
  <c r="EB90" i="54"/>
  <c r="EB132" i="54"/>
  <c r="EB180" i="54"/>
  <c r="EB222" i="54"/>
  <c r="EC222" i="54" s="1"/>
  <c r="EB264" i="54"/>
  <c r="EC264" i="54" s="1"/>
  <c r="EK264" i="54" s="1"/>
  <c r="EB49" i="54"/>
  <c r="EB91" i="54"/>
  <c r="EB139" i="54"/>
  <c r="EC139" i="54" s="1"/>
  <c r="EB181" i="54"/>
  <c r="EB223" i="54"/>
  <c r="EC223" i="54" s="1"/>
  <c r="EB265" i="54"/>
  <c r="EB50" i="54"/>
  <c r="EC50" i="54" s="1"/>
  <c r="EB98" i="54"/>
  <c r="EC98" i="54" s="1"/>
  <c r="EB140" i="54"/>
  <c r="EB182" i="54"/>
  <c r="EB224" i="54"/>
  <c r="EB266" i="54"/>
  <c r="EC266" i="54" s="1"/>
  <c r="EB57" i="54"/>
  <c r="EC57" i="54" s="1"/>
  <c r="EB99" i="54"/>
  <c r="EC99" i="54" s="1"/>
  <c r="EB141" i="54"/>
  <c r="EB183" i="54"/>
  <c r="EB225" i="54"/>
  <c r="EC225" i="54" s="1"/>
  <c r="ER7" i="54"/>
  <c r="EL7" i="54"/>
  <c r="EK7" i="54"/>
  <c r="HP40" i="54"/>
  <c r="HP15" i="54"/>
  <c r="HP61" i="54"/>
  <c r="HP123" i="54"/>
  <c r="HP148" i="54"/>
  <c r="HP97" i="54"/>
  <c r="HP164" i="54"/>
  <c r="HP96" i="54"/>
  <c r="HP241" i="54"/>
  <c r="HP207" i="54"/>
  <c r="HP186" i="54"/>
  <c r="HP201" i="54"/>
  <c r="HP222" i="54"/>
  <c r="HP215" i="54"/>
  <c r="HP224" i="54"/>
  <c r="HP212" i="54"/>
  <c r="BF2" i="54"/>
  <c r="BF4" i="54"/>
  <c r="DM16" i="54"/>
  <c r="DM52" i="54"/>
  <c r="DM88" i="54"/>
  <c r="DM124" i="54"/>
  <c r="DM160" i="54"/>
  <c r="DM196" i="54"/>
  <c r="DM232" i="54"/>
  <c r="DM41" i="54"/>
  <c r="DM77" i="54"/>
  <c r="DM113" i="54"/>
  <c r="DM149" i="54"/>
  <c r="DM185" i="54"/>
  <c r="DM221" i="54"/>
  <c r="DM257" i="54"/>
  <c r="DM36" i="54"/>
  <c r="DM72" i="54"/>
  <c r="DM108" i="54"/>
  <c r="DM144" i="54"/>
  <c r="DM180" i="54"/>
  <c r="DM216" i="54"/>
  <c r="DM252" i="54"/>
  <c r="DM31" i="54"/>
  <c r="DM67" i="54"/>
  <c r="DM103" i="54"/>
  <c r="DM139" i="54"/>
  <c r="DM175" i="54"/>
  <c r="DM211" i="54"/>
  <c r="DM26" i="54"/>
  <c r="DM62" i="54"/>
  <c r="DM98" i="54"/>
  <c r="DM22" i="54"/>
  <c r="DM58" i="54"/>
  <c r="DM94" i="54"/>
  <c r="DM130" i="54"/>
  <c r="DM166" i="54"/>
  <c r="DM202" i="54"/>
  <c r="DM238" i="54"/>
  <c r="DM11" i="54"/>
  <c r="DM47" i="54"/>
  <c r="DM83" i="54"/>
  <c r="DM119" i="54"/>
  <c r="DM155" i="54"/>
  <c r="DM191" i="54"/>
  <c r="DM227" i="54"/>
  <c r="DM263" i="54"/>
  <c r="DM42" i="54"/>
  <c r="DM78" i="54"/>
  <c r="DM114" i="54"/>
  <c r="DM150" i="54"/>
  <c r="DM186" i="54"/>
  <c r="DM222" i="54"/>
  <c r="DM258" i="54"/>
  <c r="DM37" i="54"/>
  <c r="DM73" i="54"/>
  <c r="DM109" i="54"/>
  <c r="DM145" i="54"/>
  <c r="DM181" i="54"/>
  <c r="DM217" i="54"/>
  <c r="DM253" i="54"/>
  <c r="DM32" i="54"/>
  <c r="DM68" i="54"/>
  <c r="DM104" i="54"/>
  <c r="DM140" i="54"/>
  <c r="DM176" i="54"/>
  <c r="DM212" i="54"/>
  <c r="DM248" i="54"/>
  <c r="DM27" i="54"/>
  <c r="DM63" i="54"/>
  <c r="DM99" i="54"/>
  <c r="DM135" i="54"/>
  <c r="DM171" i="54"/>
  <c r="DM207" i="54"/>
  <c r="DM243" i="54"/>
  <c r="DM34" i="54"/>
  <c r="DM70" i="54"/>
  <c r="DM106" i="54"/>
  <c r="DM142" i="54"/>
  <c r="DM178" i="54"/>
  <c r="DM214" i="54"/>
  <c r="DM250" i="54"/>
  <c r="DM23" i="54"/>
  <c r="DM59" i="54"/>
  <c r="DM95" i="54"/>
  <c r="DM40" i="54"/>
  <c r="DM76" i="54"/>
  <c r="DM10" i="54"/>
  <c r="DM46" i="54"/>
  <c r="DM82" i="54"/>
  <c r="DM118" i="54"/>
  <c r="DM154" i="54"/>
  <c r="DM190" i="54"/>
  <c r="DM226" i="54"/>
  <c r="DM262" i="54"/>
  <c r="DM35" i="54"/>
  <c r="DM71" i="54"/>
  <c r="DM107" i="54"/>
  <c r="DM143" i="54"/>
  <c r="DM179" i="54"/>
  <c r="DM215" i="54"/>
  <c r="DM251" i="54"/>
  <c r="DM30" i="54"/>
  <c r="DM66" i="54"/>
  <c r="DM102" i="54"/>
  <c r="DM138" i="54"/>
  <c r="DM174" i="54"/>
  <c r="DM210" i="54"/>
  <c r="DM246" i="54"/>
  <c r="DM25" i="54"/>
  <c r="DM61" i="54"/>
  <c r="DM97" i="54"/>
  <c r="DM133" i="54"/>
  <c r="DM169" i="54"/>
  <c r="DM205" i="54"/>
  <c r="DM241" i="54"/>
  <c r="DM20" i="54"/>
  <c r="DM56" i="54"/>
  <c r="DM92" i="54"/>
  <c r="DM128" i="54"/>
  <c r="DM164" i="54"/>
  <c r="DM200" i="54"/>
  <c r="DM236" i="54"/>
  <c r="DM15" i="54"/>
  <c r="DM51" i="54"/>
  <c r="DM87" i="54"/>
  <c r="DM123" i="54"/>
  <c r="DM159" i="54"/>
  <c r="DM195" i="54"/>
  <c r="DM231" i="54"/>
  <c r="DM267" i="54"/>
  <c r="DM268" i="54"/>
  <c r="DM247" i="54"/>
  <c r="DM100" i="54"/>
  <c r="DM208" i="54"/>
  <c r="DM53" i="54"/>
  <c r="DM137" i="54"/>
  <c r="DM209" i="54"/>
  <c r="DM24" i="54"/>
  <c r="DM96" i="54"/>
  <c r="DM168" i="54"/>
  <c r="DM240" i="54"/>
  <c r="DM55" i="54"/>
  <c r="DM127" i="54"/>
  <c r="DM199" i="54"/>
  <c r="DM14" i="54"/>
  <c r="DM86" i="54"/>
  <c r="DM152" i="54"/>
  <c r="DM206" i="54"/>
  <c r="DM260" i="54"/>
  <c r="DM57" i="54"/>
  <c r="DM111" i="54"/>
  <c r="DM165" i="54"/>
  <c r="DM219" i="54"/>
  <c r="DM120" i="54"/>
  <c r="DM79" i="54"/>
  <c r="DM151" i="54"/>
  <c r="DM38" i="54"/>
  <c r="DM110" i="54"/>
  <c r="DM158" i="54"/>
  <c r="DM218" i="54"/>
  <c r="DM266" i="54"/>
  <c r="DM117" i="54"/>
  <c r="DM177" i="54"/>
  <c r="DM225" i="54"/>
  <c r="DM244" i="54"/>
  <c r="DM126" i="54"/>
  <c r="DM13" i="54"/>
  <c r="DM85" i="54"/>
  <c r="DM229" i="54"/>
  <c r="DM44" i="54"/>
  <c r="DM116" i="54"/>
  <c r="DM170" i="54"/>
  <c r="DM224" i="54"/>
  <c r="DM75" i="54"/>
  <c r="DM129" i="54"/>
  <c r="DM183" i="54"/>
  <c r="DM237" i="54"/>
  <c r="DM112" i="54"/>
  <c r="DM220" i="54"/>
  <c r="DM65" i="54"/>
  <c r="DM161" i="54"/>
  <c r="DM233" i="54"/>
  <c r="DM48" i="54"/>
  <c r="DM192" i="54"/>
  <c r="DM264" i="54"/>
  <c r="DM223" i="54"/>
  <c r="DM69" i="54"/>
  <c r="DM136" i="54"/>
  <c r="DM89" i="54"/>
  <c r="DM167" i="54"/>
  <c r="DM239" i="54"/>
  <c r="DM54" i="54"/>
  <c r="DM198" i="54"/>
  <c r="DM157" i="54"/>
  <c r="DM21" i="54"/>
  <c r="DM148" i="54"/>
  <c r="DM256" i="54"/>
  <c r="DM101" i="54"/>
  <c r="DM173" i="54"/>
  <c r="DM245" i="54"/>
  <c r="DM60" i="54"/>
  <c r="DM132" i="54"/>
  <c r="DM204" i="54"/>
  <c r="DM19" i="54"/>
  <c r="DM91" i="54"/>
  <c r="DM163" i="54"/>
  <c r="DM235" i="54"/>
  <c r="DM50" i="54"/>
  <c r="DM122" i="54"/>
  <c r="DM182" i="54"/>
  <c r="DM230" i="54"/>
  <c r="DM33" i="54"/>
  <c r="DM81" i="54"/>
  <c r="DM141" i="54"/>
  <c r="DM189" i="54"/>
  <c r="DM249" i="54"/>
  <c r="DM28" i="54"/>
  <c r="DM172" i="54"/>
  <c r="DM17" i="54"/>
  <c r="DM125" i="54"/>
  <c r="DM197" i="54"/>
  <c r="DM12" i="54"/>
  <c r="DM84" i="54"/>
  <c r="DM156" i="54"/>
  <c r="DM228" i="54"/>
  <c r="DM43" i="54"/>
  <c r="DM115" i="54"/>
  <c r="DM187" i="54"/>
  <c r="DM259" i="54"/>
  <c r="DM74" i="54"/>
  <c r="DM134" i="54"/>
  <c r="DM188" i="54"/>
  <c r="DM242" i="54"/>
  <c r="DM39" i="54"/>
  <c r="DM93" i="54"/>
  <c r="DM147" i="54"/>
  <c r="DM201" i="54"/>
  <c r="DM255" i="54"/>
  <c r="DM64" i="54"/>
  <c r="DM184" i="54"/>
  <c r="DM29" i="54"/>
  <c r="DM131" i="54"/>
  <c r="DM203" i="54"/>
  <c r="DM18" i="54"/>
  <c r="DM90" i="54"/>
  <c r="DM162" i="54"/>
  <c r="DM234" i="54"/>
  <c r="DM49" i="54"/>
  <c r="DM121" i="54"/>
  <c r="DM193" i="54"/>
  <c r="DM265" i="54"/>
  <c r="DM80" i="54"/>
  <c r="DM146" i="54"/>
  <c r="DM194" i="54"/>
  <c r="DM254" i="54"/>
  <c r="DM45" i="54"/>
  <c r="DM105" i="54"/>
  <c r="DM153" i="54"/>
  <c r="DM213" i="54"/>
  <c r="DM261" i="54"/>
  <c r="DJ38" i="54"/>
  <c r="DJ74" i="54"/>
  <c r="DJ110" i="54"/>
  <c r="DJ146" i="54"/>
  <c r="DJ182" i="54"/>
  <c r="DJ218" i="54"/>
  <c r="DJ254" i="54"/>
  <c r="DJ33" i="54"/>
  <c r="DJ69" i="54"/>
  <c r="DJ105" i="54"/>
  <c r="DJ20" i="54"/>
  <c r="DJ62" i="54"/>
  <c r="DJ104" i="54"/>
  <c r="DJ152" i="54"/>
  <c r="DJ194" i="54"/>
  <c r="DJ236" i="54"/>
  <c r="DJ21" i="54"/>
  <c r="DJ63" i="54"/>
  <c r="DJ111" i="54"/>
  <c r="DJ147" i="54"/>
  <c r="DJ183" i="54"/>
  <c r="DJ219" i="54"/>
  <c r="DJ255" i="54"/>
  <c r="DJ28" i="54"/>
  <c r="DJ64" i="54"/>
  <c r="DJ100" i="54"/>
  <c r="DJ136" i="54"/>
  <c r="DJ172" i="54"/>
  <c r="DJ208" i="54"/>
  <c r="DJ244" i="54"/>
  <c r="DJ17" i="54"/>
  <c r="DJ53" i="54"/>
  <c r="DJ89" i="54"/>
  <c r="DJ125" i="54"/>
  <c r="DJ161" i="54"/>
  <c r="DJ197" i="54"/>
  <c r="DJ233" i="54"/>
  <c r="DJ12" i="54"/>
  <c r="DJ48" i="54"/>
  <c r="DJ84" i="54"/>
  <c r="DJ120" i="54"/>
  <c r="DJ156" i="54"/>
  <c r="DJ192" i="54"/>
  <c r="DJ228" i="54"/>
  <c r="DJ264" i="54"/>
  <c r="DJ43" i="54"/>
  <c r="DJ79" i="54"/>
  <c r="DJ115" i="54"/>
  <c r="DJ151" i="54"/>
  <c r="DJ187" i="54"/>
  <c r="DJ223" i="54"/>
  <c r="DJ259" i="54"/>
  <c r="DJ26" i="54"/>
  <c r="DJ68" i="54"/>
  <c r="DJ116" i="54"/>
  <c r="DJ158" i="54"/>
  <c r="DJ200" i="54"/>
  <c r="DJ242" i="54"/>
  <c r="DJ27" i="54"/>
  <c r="DJ75" i="54"/>
  <c r="DJ117" i="54"/>
  <c r="DJ153" i="54"/>
  <c r="DJ189" i="54"/>
  <c r="DJ225" i="54"/>
  <c r="DJ261" i="54"/>
  <c r="DJ34" i="54"/>
  <c r="DJ70" i="54"/>
  <c r="DJ106" i="54"/>
  <c r="DJ142" i="54"/>
  <c r="DJ178" i="54"/>
  <c r="DJ214" i="54"/>
  <c r="DJ250" i="54"/>
  <c r="DJ23" i="54"/>
  <c r="DJ59" i="54"/>
  <c r="DJ95" i="54"/>
  <c r="DJ131" i="54"/>
  <c r="DJ167" i="54"/>
  <c r="DJ203" i="54"/>
  <c r="DJ239" i="54"/>
  <c r="DJ18" i="54"/>
  <c r="DJ54" i="54"/>
  <c r="DJ90" i="54"/>
  <c r="DJ126" i="54"/>
  <c r="DJ162" i="54"/>
  <c r="DJ198" i="54"/>
  <c r="DJ234" i="54"/>
  <c r="DJ13" i="54"/>
  <c r="DJ49" i="54"/>
  <c r="DJ85" i="54"/>
  <c r="DJ121" i="54"/>
  <c r="DJ157" i="54"/>
  <c r="DJ193" i="54"/>
  <c r="DJ229" i="54"/>
  <c r="DJ265" i="54"/>
  <c r="DJ32" i="54"/>
  <c r="DJ80" i="54"/>
  <c r="DJ122" i="54"/>
  <c r="DJ164" i="54"/>
  <c r="DJ206" i="54"/>
  <c r="DJ248" i="54"/>
  <c r="DJ39" i="54"/>
  <c r="DJ81" i="54"/>
  <c r="DJ123" i="54"/>
  <c r="DJ159" i="54"/>
  <c r="DJ195" i="54"/>
  <c r="DJ231" i="54"/>
  <c r="DJ267" i="54"/>
  <c r="DJ40" i="54"/>
  <c r="DJ76" i="54"/>
  <c r="DJ112" i="54"/>
  <c r="DJ148" i="54"/>
  <c r="DJ184" i="54"/>
  <c r="DJ220" i="54"/>
  <c r="DJ256" i="54"/>
  <c r="DJ29" i="54"/>
  <c r="DJ65" i="54"/>
  <c r="DJ101" i="54"/>
  <c r="DJ137" i="54"/>
  <c r="DJ173" i="54"/>
  <c r="DJ209" i="54"/>
  <c r="DJ245" i="54"/>
  <c r="DJ24" i="54"/>
  <c r="DJ60" i="54"/>
  <c r="DJ96" i="54"/>
  <c r="DJ132" i="54"/>
  <c r="DJ168" i="54"/>
  <c r="DJ204" i="54"/>
  <c r="DJ240" i="54"/>
  <c r="DJ19" i="54"/>
  <c r="DJ55" i="54"/>
  <c r="DJ91" i="54"/>
  <c r="DJ127" i="54"/>
  <c r="DJ163" i="54"/>
  <c r="DJ199" i="54"/>
  <c r="DJ235" i="54"/>
  <c r="DJ44" i="54"/>
  <c r="DJ86" i="54"/>
  <c r="DJ128" i="54"/>
  <c r="DJ170" i="54"/>
  <c r="DJ212" i="54"/>
  <c r="DJ260" i="54"/>
  <c r="DJ45" i="54"/>
  <c r="DJ87" i="54"/>
  <c r="DJ129" i="54"/>
  <c r="DJ165" i="54"/>
  <c r="DJ201" i="54"/>
  <c r="DJ237" i="54"/>
  <c r="DJ10" i="54"/>
  <c r="DJ46" i="54"/>
  <c r="DJ82" i="54"/>
  <c r="DJ118" i="54"/>
  <c r="DJ154" i="54"/>
  <c r="DJ190" i="54"/>
  <c r="DJ226" i="54"/>
  <c r="DJ262" i="54"/>
  <c r="DJ35" i="54"/>
  <c r="DJ71" i="54"/>
  <c r="DJ107" i="54"/>
  <c r="DJ143" i="54"/>
  <c r="DJ179" i="54"/>
  <c r="DJ215" i="54"/>
  <c r="DJ251" i="54"/>
  <c r="DJ30" i="54"/>
  <c r="DJ66" i="54"/>
  <c r="DJ102" i="54"/>
  <c r="DJ138" i="54"/>
  <c r="DJ174" i="54"/>
  <c r="DJ210" i="54"/>
  <c r="DJ246" i="54"/>
  <c r="DJ25" i="54"/>
  <c r="DJ61" i="54"/>
  <c r="DJ97" i="54"/>
  <c r="DJ133" i="54"/>
  <c r="DJ169" i="54"/>
  <c r="DJ205" i="54"/>
  <c r="DJ241" i="54"/>
  <c r="DJ50" i="54"/>
  <c r="DJ92" i="54"/>
  <c r="DJ134" i="54"/>
  <c r="DJ176" i="54"/>
  <c r="DJ224" i="54"/>
  <c r="DJ266" i="54"/>
  <c r="DJ51" i="54"/>
  <c r="DJ93" i="54"/>
  <c r="DJ135" i="54"/>
  <c r="DJ171" i="54"/>
  <c r="DJ207" i="54"/>
  <c r="DJ243" i="54"/>
  <c r="DJ16" i="54"/>
  <c r="DJ52" i="54"/>
  <c r="DJ88" i="54"/>
  <c r="DJ124" i="54"/>
  <c r="DJ160" i="54"/>
  <c r="DJ196" i="54"/>
  <c r="DJ232" i="54"/>
  <c r="DJ268" i="54"/>
  <c r="DJ41" i="54"/>
  <c r="DJ77" i="54"/>
  <c r="DJ113" i="54"/>
  <c r="DJ149" i="54"/>
  <c r="DJ185" i="54"/>
  <c r="DJ221" i="54"/>
  <c r="DJ257" i="54"/>
  <c r="DJ36" i="54"/>
  <c r="DJ72" i="54"/>
  <c r="DJ108" i="54"/>
  <c r="DJ144" i="54"/>
  <c r="DJ180" i="54"/>
  <c r="DJ216" i="54"/>
  <c r="DJ252" i="54"/>
  <c r="DJ31" i="54"/>
  <c r="DJ67" i="54"/>
  <c r="DJ103" i="54"/>
  <c r="DJ139" i="54"/>
  <c r="DJ175" i="54"/>
  <c r="DJ211" i="54"/>
  <c r="DJ247" i="54"/>
  <c r="DJ14" i="54"/>
  <c r="DJ56" i="54"/>
  <c r="DJ98" i="54"/>
  <c r="DJ140" i="54"/>
  <c r="DJ188" i="54"/>
  <c r="DJ230" i="54"/>
  <c r="DJ15" i="54"/>
  <c r="DJ57" i="54"/>
  <c r="DJ99" i="54"/>
  <c r="DJ141" i="54"/>
  <c r="DJ177" i="54"/>
  <c r="DJ213" i="54"/>
  <c r="DJ249" i="54"/>
  <c r="DJ22" i="54"/>
  <c r="DJ58" i="54"/>
  <c r="DJ94" i="54"/>
  <c r="DJ130" i="54"/>
  <c r="DJ166" i="54"/>
  <c r="DJ202" i="54"/>
  <c r="DJ238" i="54"/>
  <c r="DJ11" i="54"/>
  <c r="DJ47" i="54"/>
  <c r="DJ83" i="54"/>
  <c r="DJ119" i="54"/>
  <c r="DJ155" i="54"/>
  <c r="DJ191" i="54"/>
  <c r="DJ227" i="54"/>
  <c r="DJ263" i="54"/>
  <c r="DJ42" i="54"/>
  <c r="DJ78" i="54"/>
  <c r="DJ114" i="54"/>
  <c r="DJ150" i="54"/>
  <c r="DJ186" i="54"/>
  <c r="DJ222" i="54"/>
  <c r="DJ258" i="54"/>
  <c r="DJ37" i="54"/>
  <c r="DJ73" i="54"/>
  <c r="DJ109" i="54"/>
  <c r="DJ145" i="54"/>
  <c r="DJ181" i="54"/>
  <c r="DJ217" i="54"/>
  <c r="DJ253" i="54"/>
  <c r="DO5" i="54"/>
  <c r="HN123" i="54"/>
  <c r="HN159" i="54"/>
  <c r="HK211" i="54"/>
  <c r="HP211" i="54" s="1"/>
  <c r="HJ211" i="54"/>
  <c r="HO211" i="54" s="1"/>
  <c r="HK210" i="54"/>
  <c r="HP210" i="54" s="1"/>
  <c r="HL210" i="54"/>
  <c r="HJ210" i="54"/>
  <c r="HO210" i="54" s="1"/>
  <c r="HK113" i="54"/>
  <c r="HP113" i="54" s="1"/>
  <c r="HJ113" i="54"/>
  <c r="HO113" i="54" s="1"/>
  <c r="HK71" i="54"/>
  <c r="HP71" i="54" s="1"/>
  <c r="HJ71" i="54"/>
  <c r="HO71" i="54" s="1"/>
  <c r="HK243" i="54"/>
  <c r="HP243" i="54" s="1"/>
  <c r="HJ243" i="54"/>
  <c r="HO243" i="54" s="1"/>
  <c r="HK242" i="54"/>
  <c r="HP242" i="54" s="1"/>
  <c r="HJ242" i="54"/>
  <c r="HO242" i="54" s="1"/>
  <c r="HL242" i="54"/>
  <c r="HK104" i="54"/>
  <c r="HP104" i="54" s="1"/>
  <c r="HJ104" i="54"/>
  <c r="HK103" i="54"/>
  <c r="HP103" i="54" s="1"/>
  <c r="HJ103" i="54"/>
  <c r="HO103" i="54" s="1"/>
  <c r="HK102" i="54"/>
  <c r="HP102" i="54" s="1"/>
  <c r="HJ102" i="54"/>
  <c r="HO102" i="54" s="1"/>
  <c r="HK221" i="54"/>
  <c r="HP221" i="54" s="1"/>
  <c r="HJ221" i="54"/>
  <c r="HO221" i="54" s="1"/>
  <c r="HJ226" i="54"/>
  <c r="HO226" i="54" s="1"/>
  <c r="HK226" i="54"/>
  <c r="HP226" i="54" s="1"/>
  <c r="HK88" i="54"/>
  <c r="HP88" i="54" s="1"/>
  <c r="HJ88" i="54"/>
  <c r="HO88" i="54" s="1"/>
  <c r="HK93" i="54"/>
  <c r="HP93" i="54" s="1"/>
  <c r="HJ93" i="54"/>
  <c r="HO93" i="54" s="1"/>
  <c r="HK253" i="54"/>
  <c r="HP253" i="54" s="1"/>
  <c r="HJ253" i="54"/>
  <c r="HO253" i="54" s="1"/>
  <c r="HK252" i="54"/>
  <c r="HP252" i="54" s="1"/>
  <c r="HJ252" i="54"/>
  <c r="HO252" i="54" s="1"/>
  <c r="HK155" i="54"/>
  <c r="HP155" i="54" s="1"/>
  <c r="HJ155" i="54"/>
  <c r="HO155" i="54" s="1"/>
  <c r="HJ238" i="54"/>
  <c r="HO238" i="54" s="1"/>
  <c r="HK238" i="54"/>
  <c r="HP238" i="54" s="1"/>
  <c r="HK58" i="54"/>
  <c r="HP58" i="54" s="1"/>
  <c r="HJ58" i="54"/>
  <c r="HO58" i="54" s="1"/>
  <c r="HJ141" i="54"/>
  <c r="HO141" i="54" s="1"/>
  <c r="HK141" i="54"/>
  <c r="HP141" i="54" s="1"/>
  <c r="HK259" i="54"/>
  <c r="HP259" i="54" s="1"/>
  <c r="HJ259" i="54"/>
  <c r="HO259" i="54" s="1"/>
  <c r="HJ258" i="54"/>
  <c r="HO258" i="54" s="1"/>
  <c r="HK258" i="54"/>
  <c r="HP258" i="54" s="1"/>
  <c r="HK119" i="54"/>
  <c r="HP119" i="54" s="1"/>
  <c r="HJ119" i="54"/>
  <c r="HO119" i="54" s="1"/>
  <c r="HK208" i="54"/>
  <c r="HJ208" i="54"/>
  <c r="HO208" i="54" s="1"/>
  <c r="HK153" i="54"/>
  <c r="HP153" i="54" s="1"/>
  <c r="HJ153" i="54"/>
  <c r="HK116" i="54"/>
  <c r="HP116" i="54" s="1"/>
  <c r="HJ116" i="54"/>
  <c r="HO116" i="54" s="1"/>
  <c r="HK55" i="54"/>
  <c r="HP55" i="54" s="1"/>
  <c r="HJ55" i="54"/>
  <c r="HO55" i="54" s="1"/>
  <c r="HK54" i="54"/>
  <c r="HP54" i="54" s="1"/>
  <c r="HJ54" i="54"/>
  <c r="HO54" i="54" s="1"/>
  <c r="HJ233" i="54"/>
  <c r="HO233" i="54" s="1"/>
  <c r="HK233" i="54"/>
  <c r="HP233" i="54" s="1"/>
  <c r="HK178" i="54"/>
  <c r="HP178" i="54" s="1"/>
  <c r="HJ178" i="54"/>
  <c r="HO178" i="54" s="1"/>
  <c r="HJ147" i="54"/>
  <c r="HO147" i="54" s="1"/>
  <c r="HK147" i="54"/>
  <c r="HP147" i="54" s="1"/>
  <c r="HK86" i="54"/>
  <c r="HP86" i="54" s="1"/>
  <c r="HJ86" i="54"/>
  <c r="HO86" i="54" s="1"/>
  <c r="HK49" i="54"/>
  <c r="HP49" i="54" s="1"/>
  <c r="HJ49" i="54"/>
  <c r="HK48" i="54"/>
  <c r="HP48" i="54" s="1"/>
  <c r="HJ48" i="54"/>
  <c r="HO48" i="54" s="1"/>
  <c r="HK250" i="54"/>
  <c r="HJ250" i="54"/>
  <c r="HO250" i="54" s="1"/>
  <c r="HK219" i="54"/>
  <c r="HP219" i="54" s="1"/>
  <c r="HJ219" i="54"/>
  <c r="HO219" i="54" s="1"/>
  <c r="HK117" i="54"/>
  <c r="HP117" i="54" s="1"/>
  <c r="HJ117" i="54"/>
  <c r="HG209" i="54"/>
  <c r="HN209" i="54" s="1"/>
  <c r="HJ209" i="54"/>
  <c r="HO209" i="54" s="1"/>
  <c r="HK209" i="54"/>
  <c r="HG173" i="54"/>
  <c r="HN173" i="54" s="1"/>
  <c r="HK173" i="54"/>
  <c r="HP173" i="54" s="1"/>
  <c r="HJ173" i="54"/>
  <c r="HG137" i="54"/>
  <c r="HN137" i="54" s="1"/>
  <c r="HL137" i="54"/>
  <c r="HK137" i="54"/>
  <c r="HP137" i="54" s="1"/>
  <c r="HJ137" i="54"/>
  <c r="HK101" i="54"/>
  <c r="HP101" i="54" s="1"/>
  <c r="HJ101" i="54"/>
  <c r="HO101" i="54" s="1"/>
  <c r="HK29" i="54"/>
  <c r="HP29" i="54" s="1"/>
  <c r="HJ29" i="54"/>
  <c r="HO29" i="54" s="1"/>
  <c r="HG267" i="54"/>
  <c r="HN267" i="54" s="1"/>
  <c r="HJ267" i="54"/>
  <c r="HO267" i="54" s="1"/>
  <c r="HK267" i="54"/>
  <c r="HK112" i="54"/>
  <c r="HP112" i="54" s="1"/>
  <c r="HJ112" i="54"/>
  <c r="HO112" i="54" s="1"/>
  <c r="HK31" i="54"/>
  <c r="HP31" i="54" s="1"/>
  <c r="HJ31" i="54"/>
  <c r="CV32" i="54"/>
  <c r="CT32" i="54"/>
  <c r="CU33" i="54" s="1"/>
  <c r="AZ160" i="50"/>
  <c r="BA615" i="50"/>
  <c r="AY75" i="50"/>
  <c r="AY41" i="50"/>
  <c r="BA419" i="50"/>
  <c r="AY27" i="50"/>
  <c r="AY68" i="50"/>
  <c r="BA538" i="50"/>
  <c r="BA249" i="50"/>
  <c r="BA662" i="50"/>
  <c r="BA455" i="50"/>
  <c r="BA401" i="50"/>
  <c r="AY137" i="50"/>
  <c r="AY139" i="50"/>
  <c r="BA611" i="50"/>
  <c r="BA570" i="50"/>
  <c r="BA637" i="50"/>
  <c r="BA525" i="50"/>
  <c r="BA459" i="50"/>
  <c r="BA236" i="50"/>
  <c r="BA289" i="50"/>
  <c r="BA357" i="50"/>
  <c r="AY77" i="50"/>
  <c r="BA219" i="50"/>
  <c r="AY59" i="50"/>
  <c r="BA541" i="50"/>
  <c r="BA465" i="50"/>
  <c r="BA251" i="50"/>
  <c r="BA417" i="50"/>
  <c r="BA305" i="50"/>
  <c r="BA621" i="50"/>
  <c r="BA543" i="50"/>
  <c r="BA651" i="50"/>
  <c r="BA422" i="50"/>
  <c r="BA504" i="50"/>
  <c r="BA476" i="50"/>
  <c r="BA552" i="50"/>
  <c r="BA527" i="50"/>
  <c r="AZ199" i="50"/>
  <c r="AY54" i="50"/>
  <c r="BA645" i="50"/>
  <c r="BA426" i="50"/>
  <c r="BA282" i="50"/>
  <c r="BA408" i="50"/>
  <c r="BA498" i="50"/>
  <c r="BA221" i="50"/>
  <c r="BA510" i="50"/>
  <c r="BA425" i="50"/>
  <c r="BA577" i="50"/>
  <c r="BA388" i="50"/>
  <c r="BA212" i="50"/>
  <c r="BA502" i="50"/>
  <c r="AY57" i="50"/>
  <c r="AY70" i="50"/>
  <c r="AZ182" i="50"/>
  <c r="AZ207" i="50"/>
  <c r="BA620" i="50"/>
  <c r="BA379" i="50"/>
  <c r="BA519" i="50"/>
  <c r="BA340" i="50"/>
  <c r="AY61" i="50"/>
  <c r="AY130" i="50"/>
  <c r="BA278" i="50"/>
  <c r="BA594" i="50"/>
  <c r="BA411" i="50"/>
  <c r="AY39" i="50"/>
  <c r="BA497" i="50"/>
  <c r="AY125" i="50"/>
  <c r="BA555" i="50"/>
  <c r="BA606" i="50"/>
  <c r="BA256" i="50"/>
  <c r="BA486" i="50"/>
  <c r="BA248" i="50"/>
  <c r="BA439" i="50"/>
  <c r="AY128" i="50"/>
  <c r="BA230" i="50"/>
  <c r="AZ173" i="50"/>
  <c r="BA291" i="50"/>
  <c r="BA629" i="50"/>
  <c r="BA244" i="50"/>
  <c r="AZ204" i="50"/>
  <c r="BA270" i="50"/>
  <c r="BA336" i="50"/>
  <c r="AY48" i="50"/>
  <c r="AY111" i="50"/>
  <c r="BA634" i="50"/>
  <c r="BA484" i="50"/>
  <c r="BA323" i="50"/>
  <c r="BA586" i="50"/>
  <c r="BA308" i="50"/>
  <c r="AY101" i="50"/>
  <c r="BA491" i="50"/>
  <c r="BA367" i="50"/>
  <c r="AZ190" i="50"/>
  <c r="AY127" i="50"/>
  <c r="BA448" i="50"/>
  <c r="BA601" i="50"/>
  <c r="AZ167" i="50"/>
  <c r="BA622" i="50"/>
  <c r="BA608" i="50"/>
  <c r="BA512" i="50"/>
  <c r="BA392" i="50"/>
  <c r="BA625" i="50"/>
  <c r="AY18" i="50"/>
  <c r="AY19" i="50"/>
  <c r="BA279" i="50"/>
  <c r="BA396" i="50"/>
  <c r="BA580" i="50"/>
  <c r="BA605" i="50"/>
  <c r="BA540" i="50"/>
  <c r="BA335" i="50"/>
  <c r="BA296" i="50"/>
  <c r="BA380" i="50"/>
  <c r="AY71" i="50"/>
  <c r="AY45" i="50"/>
  <c r="BA563" i="50"/>
  <c r="BA436" i="50"/>
  <c r="BA295" i="50"/>
  <c r="BA561" i="50"/>
  <c r="BA242" i="50"/>
  <c r="BA466" i="50"/>
  <c r="BA432" i="50"/>
  <c r="AY113" i="50"/>
  <c r="BA290" i="50"/>
  <c r="BA444" i="50"/>
  <c r="AY106" i="50"/>
  <c r="BA372" i="50"/>
  <c r="BA569" i="50"/>
  <c r="BA410" i="50"/>
  <c r="AY52" i="50"/>
  <c r="BA245" i="50"/>
  <c r="BA400" i="50"/>
  <c r="AY91" i="50"/>
  <c r="BA362" i="50"/>
  <c r="BA549" i="50"/>
  <c r="BA339" i="50"/>
  <c r="AY29" i="50"/>
  <c r="BA231" i="50"/>
  <c r="BA334" i="50"/>
  <c r="BA351" i="50"/>
  <c r="BA610" i="50"/>
  <c r="BA640" i="50"/>
  <c r="AY22" i="50"/>
  <c r="BA557" i="50"/>
  <c r="AY102" i="50"/>
  <c r="AZ156" i="50"/>
  <c r="BA617" i="50"/>
  <c r="BA579" i="50"/>
  <c r="BA418" i="50"/>
  <c r="AY35" i="50"/>
  <c r="BA397" i="50"/>
  <c r="BA451" i="50"/>
  <c r="AZ87" i="50"/>
  <c r="BA581" i="50"/>
  <c r="AY89" i="50"/>
  <c r="AZ177" i="50"/>
  <c r="BA566" i="50"/>
  <c r="BA353" i="50"/>
  <c r="BA300" i="50"/>
  <c r="AY28" i="50"/>
  <c r="BA440" i="50"/>
  <c r="BA460" i="50"/>
  <c r="AZ165" i="50"/>
  <c r="BA324" i="50"/>
  <c r="BA599" i="50"/>
  <c r="AZ202" i="50"/>
  <c r="BA567" i="50"/>
  <c r="AY123" i="50"/>
  <c r="BA276" i="50"/>
  <c r="BA587" i="50"/>
  <c r="AY76" i="50"/>
  <c r="BA506" i="50"/>
  <c r="BA394" i="50"/>
  <c r="BA374" i="50"/>
  <c r="BA412" i="50"/>
  <c r="BA530" i="50"/>
  <c r="BA558" i="50"/>
  <c r="BA554" i="50"/>
  <c r="BA350" i="50"/>
  <c r="BA232" i="50"/>
  <c r="BA480" i="50"/>
  <c r="BA361" i="50"/>
  <c r="BA293" i="50"/>
  <c r="BA545" i="50"/>
  <c r="BA364" i="50"/>
  <c r="BA446" i="50"/>
  <c r="BA648" i="50"/>
  <c r="BA503" i="50"/>
  <c r="AZ186" i="50"/>
  <c r="BA330" i="50"/>
  <c r="AY50" i="50"/>
  <c r="BA332" i="50"/>
  <c r="BA395" i="50"/>
  <c r="BA647" i="50"/>
  <c r="BA430" i="50"/>
  <c r="BA297" i="50"/>
  <c r="BA303" i="50"/>
  <c r="AY72" i="50"/>
  <c r="BA415" i="50"/>
  <c r="BA643" i="50"/>
  <c r="BA660" i="50"/>
  <c r="BA575" i="50"/>
  <c r="BA442" i="50"/>
  <c r="AZ192" i="50"/>
  <c r="AY103" i="50"/>
  <c r="BA600" i="50"/>
  <c r="BA521" i="50"/>
  <c r="AY120" i="50"/>
  <c r="BA482" i="50"/>
  <c r="BA511" i="50"/>
  <c r="BA590" i="50"/>
  <c r="AZ150" i="50"/>
  <c r="AY30" i="50"/>
  <c r="BA294" i="50"/>
  <c r="BA386" i="50"/>
  <c r="BA365" i="50"/>
  <c r="AZ157" i="50"/>
  <c r="BA368" i="50"/>
  <c r="AY126" i="50"/>
  <c r="AZ168" i="50"/>
  <c r="BA592" i="50"/>
  <c r="BA532" i="50"/>
  <c r="BA458" i="50"/>
  <c r="BA572" i="50"/>
  <c r="BA424" i="50"/>
  <c r="BA337" i="50"/>
  <c r="AZ189" i="50"/>
  <c r="BA596" i="50"/>
  <c r="BA346" i="50"/>
  <c r="AZ161" i="50"/>
  <c r="BA612" i="50"/>
  <c r="AY131" i="50"/>
  <c r="BA342" i="50"/>
  <c r="BA652" i="50"/>
  <c r="BA441" i="50"/>
  <c r="BA329" i="50"/>
  <c r="AZ170" i="50"/>
  <c r="AZ188" i="50"/>
  <c r="AZ194" i="50"/>
  <c r="AY90" i="50"/>
  <c r="BA371" i="50"/>
  <c r="BA224" i="50"/>
  <c r="BA227" i="50"/>
  <c r="AZ205" i="50"/>
  <c r="BA489" i="50"/>
  <c r="BA591" i="50"/>
  <c r="BA474" i="50"/>
  <c r="BA210" i="50"/>
  <c r="AZ155" i="50"/>
  <c r="AY33" i="50"/>
  <c r="BA359" i="50"/>
  <c r="BA641" i="50"/>
  <c r="AY21" i="50"/>
  <c r="BA319" i="50"/>
  <c r="BA559" i="50"/>
  <c r="AZ193" i="50"/>
  <c r="BA653" i="50"/>
  <c r="AY60" i="50"/>
  <c r="BA214" i="50"/>
  <c r="BA217" i="50"/>
  <c r="BA618" i="50"/>
  <c r="BA299" i="50"/>
  <c r="BA551" i="50"/>
  <c r="BA661" i="50"/>
  <c r="AZ185" i="50"/>
  <c r="BA211" i="50"/>
  <c r="BA226" i="50"/>
  <c r="BA253" i="50"/>
  <c r="AY43" i="50"/>
  <c r="BA313" i="50"/>
  <c r="BA213" i="50"/>
  <c r="BA522" i="50"/>
  <c r="BA233" i="50"/>
  <c r="BA479" i="50"/>
  <c r="AY98" i="50"/>
  <c r="BA447" i="50"/>
  <c r="BA631" i="50"/>
  <c r="AY96" i="50"/>
  <c r="BA250" i="50"/>
  <c r="BA469" i="50"/>
  <c r="BA239" i="50"/>
  <c r="AY114" i="50"/>
  <c r="BA602" i="50"/>
  <c r="AY105" i="50"/>
  <c r="BA264" i="50"/>
  <c r="AY129" i="50"/>
  <c r="BA391" i="50"/>
  <c r="BA360" i="50"/>
  <c r="BA481" i="50"/>
  <c r="AY88" i="50"/>
  <c r="BA363" i="50"/>
  <c r="BA304" i="50"/>
  <c r="AY74" i="50"/>
  <c r="AY46" i="50"/>
  <c r="BA636" i="50"/>
  <c r="BA492" i="50"/>
  <c r="BA312" i="50"/>
  <c r="AY51" i="50"/>
  <c r="BA433" i="50"/>
  <c r="BA501" i="50"/>
  <c r="AY109" i="50"/>
  <c r="BA311" i="50"/>
  <c r="BA354" i="50"/>
  <c r="BA382" i="50"/>
  <c r="AY23" i="50"/>
  <c r="BA283" i="50"/>
  <c r="BA341" i="50"/>
  <c r="BA246" i="50"/>
  <c r="BA287" i="50"/>
  <c r="BA515" i="50"/>
  <c r="AZ203" i="50"/>
  <c r="BA240" i="50"/>
  <c r="AY87" i="50"/>
  <c r="BA370" i="50"/>
  <c r="BA325" i="50"/>
  <c r="BA628" i="50"/>
  <c r="AY63" i="50"/>
  <c r="BA280" i="50"/>
  <c r="BA385" i="50"/>
  <c r="BA514" i="50"/>
  <c r="BA384" i="50"/>
  <c r="BA235" i="50"/>
  <c r="BA571" i="50"/>
  <c r="AY32" i="50"/>
  <c r="BA604" i="50"/>
  <c r="AY53" i="50"/>
  <c r="BA632" i="50"/>
  <c r="BA281" i="50"/>
  <c r="BA431" i="50"/>
  <c r="BA326" i="50"/>
  <c r="BA500" i="50"/>
  <c r="BA595" i="50"/>
  <c r="BA390" i="50"/>
  <c r="BA317" i="50"/>
  <c r="BA495" i="50"/>
  <c r="AY92" i="50"/>
  <c r="BA609" i="50"/>
  <c r="BA237" i="50"/>
  <c r="AY20" i="50"/>
  <c r="BA550" i="50"/>
  <c r="AZ180" i="50"/>
  <c r="BA531" i="50"/>
  <c r="AY136" i="50"/>
  <c r="BA427" i="50"/>
  <c r="BA546" i="50"/>
  <c r="BA547" i="50"/>
  <c r="AY62" i="50"/>
  <c r="BA529" i="50"/>
  <c r="BA416" i="50"/>
  <c r="AY135" i="50"/>
  <c r="BA347" i="50"/>
  <c r="AY26" i="50"/>
  <c r="BA310" i="50"/>
  <c r="AZ184" i="50"/>
  <c r="AY55" i="50"/>
  <c r="BA437" i="50"/>
  <c r="BA520" i="50"/>
  <c r="BA505" i="50"/>
  <c r="BA381" i="50"/>
  <c r="AY85" i="50"/>
  <c r="AY107" i="50"/>
  <c r="BA461" i="50"/>
  <c r="AZ149" i="50"/>
  <c r="BA513" i="50"/>
  <c r="BA597" i="50"/>
  <c r="BA220" i="50"/>
  <c r="BA378" i="50"/>
  <c r="BA583" i="50"/>
  <c r="BA657" i="50"/>
  <c r="AZ171" i="50"/>
  <c r="BA536" i="50"/>
  <c r="BA627" i="50"/>
  <c r="BA483" i="50"/>
  <c r="BA475" i="50"/>
  <c r="AY24" i="50"/>
  <c r="BA499" i="50"/>
  <c r="BA535" i="50"/>
  <c r="BA467" i="50"/>
  <c r="BA307" i="50"/>
  <c r="AY110" i="50"/>
  <c r="AY47" i="50"/>
  <c r="BA241" i="50"/>
  <c r="AZ175" i="50"/>
  <c r="BA487" i="50"/>
  <c r="AY58" i="50"/>
  <c r="BA473" i="50"/>
  <c r="BA338" i="50"/>
  <c r="BA234" i="50"/>
  <c r="BA478" i="50"/>
  <c r="BA421" i="50"/>
  <c r="AZ198" i="50"/>
  <c r="BA314" i="50"/>
  <c r="BA613" i="50"/>
  <c r="BA453" i="50"/>
  <c r="BA254" i="50"/>
  <c r="BA655" i="50"/>
  <c r="BA585" i="50"/>
  <c r="BA490" i="50"/>
  <c r="BA619" i="50"/>
  <c r="AY140" i="50"/>
  <c r="BA262" i="50"/>
  <c r="BA616" i="50"/>
  <c r="AY31" i="50"/>
  <c r="BA405" i="50"/>
  <c r="BA658" i="50"/>
  <c r="BA375" i="50"/>
  <c r="BA454" i="50"/>
  <c r="AZ201" i="50"/>
  <c r="AY80" i="50"/>
  <c r="BA277" i="50"/>
  <c r="BA470" i="50"/>
  <c r="BA275" i="50"/>
  <c r="BA509" i="50"/>
  <c r="BA434" i="50"/>
  <c r="AY17" i="50"/>
  <c r="BA267" i="50"/>
  <c r="AY118" i="50"/>
  <c r="BA369" i="50"/>
  <c r="BA553" i="50"/>
  <c r="AZ159" i="50"/>
  <c r="BA452" i="50"/>
  <c r="AZ146" i="50"/>
  <c r="AZ147" i="50"/>
  <c r="AZ90" i="50"/>
  <c r="BA542" i="50"/>
  <c r="AY122" i="50"/>
  <c r="AZ178" i="50"/>
  <c r="BA516" i="50"/>
  <c r="BA343" i="50"/>
  <c r="BA494" i="50"/>
  <c r="BA471" i="50"/>
  <c r="AY78" i="50"/>
  <c r="AZ197" i="50"/>
  <c r="BA269" i="50"/>
  <c r="BA406" i="50"/>
  <c r="BA633" i="50"/>
  <c r="BA252" i="50"/>
  <c r="AY119" i="50"/>
  <c r="BA345" i="50"/>
  <c r="BA564" i="50"/>
  <c r="AZ148" i="50"/>
  <c r="BA356" i="50"/>
  <c r="BA402" i="50"/>
  <c r="BA449" i="50"/>
  <c r="BA272" i="50"/>
  <c r="BA534" i="50"/>
  <c r="BA588" i="50"/>
  <c r="BA260" i="50"/>
  <c r="BA568" i="50"/>
  <c r="AY117" i="50"/>
  <c r="BA266" i="50"/>
  <c r="BA576" i="50"/>
  <c r="AZ162" i="50"/>
  <c r="BA573" i="50"/>
  <c r="BA175" i="50"/>
  <c r="AY73" i="50"/>
  <c r="BA635" i="50"/>
  <c r="BA420" i="50"/>
  <c r="AZ158" i="50"/>
  <c r="BA659" i="50"/>
  <c r="AY42" i="50"/>
  <c r="AZ144" i="50"/>
  <c r="AZ145" i="50"/>
  <c r="BA463" i="50"/>
  <c r="BA333" i="50"/>
  <c r="BA593" i="50"/>
  <c r="V30" i="56"/>
  <c r="AH30" i="56" s="1"/>
  <c r="AI60" i="56"/>
  <c r="AG60" i="56"/>
  <c r="AC60" i="56"/>
  <c r="AA59" i="56"/>
  <c r="O58" i="56"/>
  <c r="Q58" i="56" s="1"/>
  <c r="AH45" i="54" s="1" a="1"/>
  <c r="AH45" i="54" s="1"/>
  <c r="K58" i="56"/>
  <c r="I58" i="56"/>
  <c r="AC58" i="56"/>
  <c r="Q60" i="56"/>
  <c r="R60" i="56" s="1"/>
  <c r="X33" i="56"/>
  <c r="K33" i="56" s="1"/>
  <c r="X30" i="56"/>
  <c r="Z30" i="56" s="1"/>
  <c r="AC30" i="56" s="1"/>
  <c r="V33" i="56"/>
  <c r="I33" i="56" s="1"/>
  <c r="X34" i="56"/>
  <c r="K34" i="56" s="1"/>
  <c r="V34" i="56"/>
  <c r="V31" i="56"/>
  <c r="O31" i="56" s="1"/>
  <c r="X31" i="56"/>
  <c r="K31" i="56" s="1"/>
  <c r="O32" i="56"/>
  <c r="AH32" i="56"/>
  <c r="Y32" i="56"/>
  <c r="AB32" i="56" s="1"/>
  <c r="I32" i="56"/>
  <c r="X32" i="56"/>
  <c r="Y29" i="56"/>
  <c r="AB29" i="56" s="1"/>
  <c r="I29" i="56"/>
  <c r="O29" i="56"/>
  <c r="X29" i="56"/>
  <c r="X28" i="56"/>
  <c r="V28" i="56"/>
  <c r="AK25" i="56"/>
  <c r="W25" i="56"/>
  <c r="J25" i="56" s="1"/>
  <c r="M25" i="56" s="1"/>
  <c r="P25" i="56"/>
  <c r="AK24" i="56"/>
  <c r="P24" i="56"/>
  <c r="AK23" i="56"/>
  <c r="P23" i="56"/>
  <c r="AK22" i="56"/>
  <c r="W22" i="56"/>
  <c r="J22" i="56" s="1"/>
  <c r="M22" i="56" s="1"/>
  <c r="P22" i="56"/>
  <c r="AK21" i="56"/>
  <c r="AE21" i="56"/>
  <c r="W21" i="56"/>
  <c r="J21" i="56" s="1"/>
  <c r="M21" i="56" s="1"/>
  <c r="P21" i="56"/>
  <c r="AK20" i="56"/>
  <c r="AE20" i="56"/>
  <c r="P20" i="56"/>
  <c r="AK19" i="56"/>
  <c r="AE19" i="56"/>
  <c r="P19" i="56"/>
  <c r="AK18" i="56"/>
  <c r="AE18" i="56"/>
  <c r="W18" i="56"/>
  <c r="J18" i="56" s="1"/>
  <c r="M18" i="56" s="1"/>
  <c r="P18" i="56"/>
  <c r="AK17" i="56"/>
  <c r="AE17" i="56"/>
  <c r="W17" i="56"/>
  <c r="J17" i="56" s="1"/>
  <c r="M17" i="56" s="1"/>
  <c r="P17" i="56"/>
  <c r="AK16" i="56"/>
  <c r="AE16" i="56"/>
  <c r="P16" i="56"/>
  <c r="AK15" i="56"/>
  <c r="AE15" i="56"/>
  <c r="P15" i="56"/>
  <c r="AK14" i="56"/>
  <c r="AE14" i="56"/>
  <c r="W14" i="56"/>
  <c r="J14" i="56" s="1"/>
  <c r="M14" i="56" s="1"/>
  <c r="P14" i="56"/>
  <c r="AK13" i="56"/>
  <c r="W13" i="56"/>
  <c r="P13" i="56"/>
  <c r="AK12" i="56"/>
  <c r="P12" i="56"/>
  <c r="AK11" i="56"/>
  <c r="W11" i="56"/>
  <c r="P11" i="56"/>
  <c r="AK10" i="56"/>
  <c r="AE10" i="56"/>
  <c r="W10" i="56"/>
  <c r="P10" i="56"/>
  <c r="AK9" i="56"/>
  <c r="AE9" i="56"/>
  <c r="P9" i="56"/>
  <c r="AK8" i="56"/>
  <c r="AE8" i="56"/>
  <c r="W8" i="56"/>
  <c r="P8" i="56"/>
  <c r="AK7" i="56"/>
  <c r="AE7" i="56"/>
  <c r="W7" i="56"/>
  <c r="P7" i="56"/>
  <c r="AK6" i="56"/>
  <c r="AE6" i="56"/>
  <c r="P6" i="56"/>
  <c r="AK5" i="56"/>
  <c r="AE5" i="56"/>
  <c r="W5" i="56"/>
  <c r="P5" i="56"/>
  <c r="AK4" i="56"/>
  <c r="W4" i="56"/>
  <c r="J4" i="56" s="1"/>
  <c r="M4" i="56" s="1"/>
  <c r="Q4" i="56"/>
  <c r="R4" i="56" s="1"/>
  <c r="P4" i="56"/>
  <c r="AK3" i="56"/>
  <c r="Q3" i="56"/>
  <c r="R3" i="56" s="1"/>
  <c r="P3" i="56"/>
  <c r="AK2" i="56"/>
  <c r="W2" i="56"/>
  <c r="J2" i="56" s="1"/>
  <c r="M2" i="56" s="1"/>
  <c r="Q2" i="56"/>
  <c r="R2" i="56" s="1"/>
  <c r="P2" i="56"/>
  <c r="AO24" i="56"/>
  <c r="AO23" i="56"/>
  <c r="AO22" i="56"/>
  <c r="AO20" i="56"/>
  <c r="AO19" i="56"/>
  <c r="AO18" i="56"/>
  <c r="AO16" i="56"/>
  <c r="AO15" i="56"/>
  <c r="AO14" i="56"/>
  <c r="AO12" i="56"/>
  <c r="AO11" i="56"/>
  <c r="AO9" i="56"/>
  <c r="AO8" i="56"/>
  <c r="AO6" i="56"/>
  <c r="AO5" i="56"/>
  <c r="AO3" i="56"/>
  <c r="AO2" i="56"/>
  <c r="AO25" i="56"/>
  <c r="AU24" i="56"/>
  <c r="AU23" i="56"/>
  <c r="AU22" i="56"/>
  <c r="AO21" i="56"/>
  <c r="AU20" i="56"/>
  <c r="AU19" i="56"/>
  <c r="AU18" i="56"/>
  <c r="AO17" i="56"/>
  <c r="AU16" i="56"/>
  <c r="AU15" i="56"/>
  <c r="AU14" i="56"/>
  <c r="AO13" i="56"/>
  <c r="AU12" i="56"/>
  <c r="AU11" i="56"/>
  <c r="AO10" i="56"/>
  <c r="AU9" i="56"/>
  <c r="AU8" i="56"/>
  <c r="AO7" i="56"/>
  <c r="AU6" i="56"/>
  <c r="AU5" i="56"/>
  <c r="AO4" i="56"/>
  <c r="AU3" i="56"/>
  <c r="AU2" i="56"/>
  <c r="AU25" i="56"/>
  <c r="AU21" i="56"/>
  <c r="AU17" i="56"/>
  <c r="AU13" i="56"/>
  <c r="AU10" i="56"/>
  <c r="AU7" i="56"/>
  <c r="AU4" i="56"/>
  <c r="AQ25" i="56"/>
  <c r="AQ24" i="56"/>
  <c r="AQ23" i="56"/>
  <c r="AQ22" i="56"/>
  <c r="AQ21" i="56"/>
  <c r="AQ20" i="56"/>
  <c r="AQ19" i="56"/>
  <c r="AQ18" i="56"/>
  <c r="AQ17" i="56"/>
  <c r="AQ16" i="56"/>
  <c r="AQ15" i="56"/>
  <c r="AQ14" i="56"/>
  <c r="AQ13" i="56"/>
  <c r="AQ12" i="56"/>
  <c r="AQ11" i="56"/>
  <c r="AQ10" i="56"/>
  <c r="AQ9" i="56"/>
  <c r="AQ8" i="56"/>
  <c r="AQ7" i="56"/>
  <c r="AQ6" i="56"/>
  <c r="AQ5" i="56"/>
  <c r="AQ4" i="56"/>
  <c r="AN4" i="56" s="1"/>
  <c r="AQ3" i="56"/>
  <c r="AN3" i="56" s="1"/>
  <c r="AQ2" i="56"/>
  <c r="AN2" i="56" s="1"/>
  <c r="AS25" i="56"/>
  <c r="AS24" i="56"/>
  <c r="AS23" i="56"/>
  <c r="AS22" i="56"/>
  <c r="AS21" i="56"/>
  <c r="AS20" i="56"/>
  <c r="AS19" i="56"/>
  <c r="AS18" i="56"/>
  <c r="AS17" i="56"/>
  <c r="AS16" i="56"/>
  <c r="AS15" i="56"/>
  <c r="AS14" i="56"/>
  <c r="AS13" i="56"/>
  <c r="AS12" i="56"/>
  <c r="AS11" i="56"/>
  <c r="AS10" i="56"/>
  <c r="AS9" i="56"/>
  <c r="AS8" i="56"/>
  <c r="AS7" i="56"/>
  <c r="AS6" i="56"/>
  <c r="AS5" i="56"/>
  <c r="G25" i="56"/>
  <c r="H25" i="56" s="1"/>
  <c r="V25" i="56" s="1"/>
  <c r="G24" i="56"/>
  <c r="H24" i="56" s="1"/>
  <c r="X24" i="56" s="1"/>
  <c r="G23" i="56"/>
  <c r="H23" i="56" s="1"/>
  <c r="V23" i="56" s="1"/>
  <c r="G22" i="56"/>
  <c r="H22" i="56" s="1"/>
  <c r="V22" i="56" s="1"/>
  <c r="G21" i="56"/>
  <c r="H21" i="56" s="1"/>
  <c r="G20" i="56"/>
  <c r="H20" i="56" s="1"/>
  <c r="V20" i="56" s="1"/>
  <c r="G19" i="56"/>
  <c r="H19" i="56" s="1"/>
  <c r="V19" i="56" s="1"/>
  <c r="G18" i="56"/>
  <c r="H18" i="56" s="1"/>
  <c r="V18" i="56" s="1"/>
  <c r="G17" i="56"/>
  <c r="H17" i="56" s="1"/>
  <c r="G16" i="56"/>
  <c r="H16" i="56" s="1"/>
  <c r="V16" i="56" s="1"/>
  <c r="G15" i="56"/>
  <c r="H15" i="56" s="1"/>
  <c r="V15" i="56" s="1"/>
  <c r="G14" i="56"/>
  <c r="H14" i="56" s="1"/>
  <c r="X14" i="56" s="1"/>
  <c r="Z14" i="56" s="1"/>
  <c r="AC14" i="56" s="1"/>
  <c r="H13" i="56"/>
  <c r="H10" i="56"/>
  <c r="X10" i="56" s="1"/>
  <c r="K10" i="56" s="1"/>
  <c r="H7" i="56"/>
  <c r="V7" i="56" s="1"/>
  <c r="I7" i="56" s="1"/>
  <c r="H12" i="56"/>
  <c r="V12" i="56" s="1"/>
  <c r="I12" i="56" s="1"/>
  <c r="H11" i="56"/>
  <c r="V11" i="56" s="1"/>
  <c r="I11" i="56" s="1"/>
  <c r="H9" i="56"/>
  <c r="X9" i="56" s="1"/>
  <c r="K9" i="56" s="1"/>
  <c r="H8" i="56"/>
  <c r="H6" i="56"/>
  <c r="V6" i="56" s="1"/>
  <c r="I6" i="56" s="1"/>
  <c r="H5" i="56"/>
  <c r="X5" i="56" s="1"/>
  <c r="K5" i="56" s="1"/>
  <c r="G4" i="56"/>
  <c r="H4" i="56" s="1"/>
  <c r="G3" i="56"/>
  <c r="H3" i="56" s="1"/>
  <c r="V3" i="56" s="1"/>
  <c r="G2" i="56"/>
  <c r="H2" i="56" s="1"/>
  <c r="E23" i="56"/>
  <c r="E19" i="56"/>
  <c r="E24" i="56"/>
  <c r="E20" i="56"/>
  <c r="E16" i="56"/>
  <c r="E15" i="56"/>
  <c r="E12" i="56"/>
  <c r="E9" i="56"/>
  <c r="E6" i="56"/>
  <c r="E3" i="56"/>
  <c r="HM226" i="54" l="1"/>
  <c r="EK87" i="54"/>
  <c r="HL73" i="54"/>
  <c r="HO89" i="54"/>
  <c r="HO52" i="54"/>
  <c r="HO107" i="54"/>
  <c r="HP206" i="54"/>
  <c r="HP250" i="54"/>
  <c r="HM55" i="54"/>
  <c r="HL252" i="54"/>
  <c r="HL113" i="54"/>
  <c r="EK98" i="54"/>
  <c r="HM48" i="54"/>
  <c r="HL208" i="54"/>
  <c r="HL88" i="54"/>
  <c r="HL103" i="54"/>
  <c r="EK57" i="54"/>
  <c r="EK47" i="54"/>
  <c r="EK109" i="54"/>
  <c r="EK10" i="54"/>
  <c r="HO43" i="54"/>
  <c r="HO83" i="54"/>
  <c r="HO176" i="54"/>
  <c r="HO67" i="54"/>
  <c r="HP237" i="54"/>
  <c r="HO181" i="54"/>
  <c r="HP208" i="54"/>
  <c r="HM238" i="54"/>
  <c r="HO104" i="54"/>
  <c r="EK130" i="54"/>
  <c r="EK64" i="54"/>
  <c r="EK68" i="54"/>
  <c r="EK60" i="54"/>
  <c r="HP229" i="54"/>
  <c r="HP190" i="54"/>
  <c r="HO59" i="54"/>
  <c r="HO154" i="54"/>
  <c r="HO70" i="54"/>
  <c r="HP193" i="54"/>
  <c r="HO106" i="54"/>
  <c r="HO72" i="54"/>
  <c r="HO31" i="54"/>
  <c r="HL219" i="54"/>
  <c r="HM153" i="54"/>
  <c r="EK73" i="54"/>
  <c r="EK65" i="54"/>
  <c r="EK27" i="54"/>
  <c r="HP227" i="54"/>
  <c r="HP247" i="54"/>
  <c r="HO161" i="54"/>
  <c r="EK165" i="54"/>
  <c r="EK15" i="54"/>
  <c r="EK56" i="54"/>
  <c r="HP189" i="54"/>
  <c r="HO91" i="54"/>
  <c r="HO79" i="54"/>
  <c r="EK168" i="54"/>
  <c r="EK129" i="54"/>
  <c r="EK74" i="54"/>
  <c r="EK159" i="54"/>
  <c r="EK25" i="54"/>
  <c r="EK66" i="54"/>
  <c r="HO49" i="54"/>
  <c r="HO145" i="54"/>
  <c r="HP244" i="54"/>
  <c r="EK139" i="54"/>
  <c r="HO143" i="54"/>
  <c r="HO133" i="54"/>
  <c r="HO68" i="54"/>
  <c r="HO117" i="54"/>
  <c r="EK99" i="54"/>
  <c r="EK153" i="54"/>
  <c r="EK151" i="54"/>
  <c r="EK53" i="54"/>
  <c r="HO16" i="54"/>
  <c r="DR45" i="54"/>
  <c r="HP245" i="54"/>
  <c r="HL101" i="54"/>
  <c r="HL48" i="54"/>
  <c r="HL178" i="54"/>
  <c r="HL55" i="54"/>
  <c r="HL153" i="54"/>
  <c r="HM258" i="54"/>
  <c r="HM252" i="54"/>
  <c r="HM88" i="54"/>
  <c r="HM103" i="54"/>
  <c r="HM242" i="54"/>
  <c r="HM243" i="54"/>
  <c r="HM113" i="54"/>
  <c r="EK245" i="54"/>
  <c r="EK150" i="54"/>
  <c r="EK54" i="54"/>
  <c r="EK215" i="54"/>
  <c r="EK262" i="54"/>
  <c r="HO108" i="54"/>
  <c r="HP231" i="54"/>
  <c r="HM31" i="54"/>
  <c r="HM101" i="54"/>
  <c r="HO173" i="54"/>
  <c r="HM209" i="54"/>
  <c r="HM117" i="54"/>
  <c r="HL86" i="54"/>
  <c r="HM147" i="54"/>
  <c r="HL233" i="54"/>
  <c r="HM54" i="54"/>
  <c r="HL116" i="54"/>
  <c r="HO153" i="54"/>
  <c r="HL58" i="54"/>
  <c r="HL102" i="54"/>
  <c r="HM211" i="54"/>
  <c r="EK110" i="54"/>
  <c r="EK14" i="54"/>
  <c r="EK231" i="54"/>
  <c r="HO175" i="54"/>
  <c r="HL31" i="54"/>
  <c r="HM267" i="54"/>
  <c r="HM29" i="54"/>
  <c r="HL117" i="54"/>
  <c r="HM86" i="54"/>
  <c r="HL147" i="54"/>
  <c r="HL54" i="54"/>
  <c r="HM116" i="54"/>
  <c r="HL258" i="54"/>
  <c r="HM141" i="54"/>
  <c r="HM58" i="54"/>
  <c r="HL221" i="54"/>
  <c r="HM102" i="54"/>
  <c r="EK266" i="54"/>
  <c r="EK216" i="54"/>
  <c r="EK161" i="54"/>
  <c r="EK69" i="54"/>
  <c r="EK67" i="54"/>
  <c r="EK230" i="54"/>
  <c r="EK228" i="54"/>
  <c r="EK227" i="54"/>
  <c r="EK208" i="54"/>
  <c r="EK195" i="54"/>
  <c r="EK61" i="54"/>
  <c r="EK102" i="54"/>
  <c r="HL112" i="54"/>
  <c r="HL267" i="54"/>
  <c r="HL29" i="54"/>
  <c r="HM173" i="54"/>
  <c r="HL209" i="54"/>
  <c r="HL250" i="54"/>
  <c r="HM49" i="54"/>
  <c r="HM178" i="54"/>
  <c r="HM233" i="54"/>
  <c r="HM208" i="54"/>
  <c r="HL119" i="54"/>
  <c r="HL259" i="54"/>
  <c r="HL141" i="54"/>
  <c r="HL155" i="54"/>
  <c r="HL253" i="54"/>
  <c r="HM93" i="54"/>
  <c r="HL104" i="54"/>
  <c r="HL71" i="54"/>
  <c r="HM210" i="54"/>
  <c r="EK223" i="54"/>
  <c r="EK222" i="54"/>
  <c r="EK221" i="54"/>
  <c r="EK120" i="54"/>
  <c r="EK76" i="54"/>
  <c r="EK16" i="54"/>
  <c r="HM112" i="54"/>
  <c r="HM137" i="54"/>
  <c r="HL173" i="54"/>
  <c r="HM219" i="54"/>
  <c r="HM250" i="54"/>
  <c r="HL49" i="54"/>
  <c r="HM119" i="54"/>
  <c r="HM259" i="54"/>
  <c r="HL238" i="54"/>
  <c r="HM155" i="54"/>
  <c r="HM253" i="54"/>
  <c r="HL93" i="54"/>
  <c r="HL226" i="54"/>
  <c r="HM221" i="54"/>
  <c r="HM104" i="54"/>
  <c r="HM71" i="54"/>
  <c r="HL211" i="54"/>
  <c r="HO46" i="54"/>
  <c r="HP220" i="54"/>
  <c r="EK225" i="54"/>
  <c r="EK202" i="54"/>
  <c r="EK175" i="54"/>
  <c r="EK119" i="54"/>
  <c r="EK72" i="54"/>
  <c r="EK26" i="54"/>
  <c r="EK11" i="54"/>
  <c r="EK189" i="54"/>
  <c r="EK187" i="54"/>
  <c r="EK186" i="54"/>
  <c r="EK185" i="54"/>
  <c r="EK160" i="54"/>
  <c r="EK200" i="54"/>
  <c r="EK241" i="54"/>
  <c r="EK154" i="54"/>
  <c r="HP205" i="54"/>
  <c r="EK192" i="54"/>
  <c r="EK191" i="54"/>
  <c r="EK89" i="54"/>
  <c r="EK254" i="54"/>
  <c r="EK207" i="54"/>
  <c r="EK206" i="54"/>
  <c r="EK199" i="54"/>
  <c r="EK172" i="54"/>
  <c r="AA58" i="56"/>
  <c r="EK50" i="54"/>
  <c r="EK48" i="54"/>
  <c r="EK213" i="54"/>
  <c r="EK212" i="54"/>
  <c r="EK204" i="54"/>
  <c r="EK184" i="54"/>
  <c r="EK158" i="54"/>
  <c r="EK108" i="54"/>
  <c r="EK101" i="54"/>
  <c r="EK12" i="54"/>
  <c r="HO159" i="54"/>
  <c r="HP256" i="54"/>
  <c r="GT17" i="54"/>
  <c r="HO128" i="54"/>
  <c r="HO15" i="54"/>
  <c r="HO56" i="54"/>
  <c r="GT24" i="54"/>
  <c r="HO96" i="54"/>
  <c r="HO169" i="54"/>
  <c r="HO164" i="54"/>
  <c r="HO123" i="54"/>
  <c r="HO40" i="54"/>
  <c r="BE8" i="54"/>
  <c r="F36" i="54" s="1" a="1"/>
  <c r="F36" i="54" s="1"/>
  <c r="HO65" i="54"/>
  <c r="HP209" i="54"/>
  <c r="HO61" i="54"/>
  <c r="HO92" i="54"/>
  <c r="HO148" i="54"/>
  <c r="HO97" i="54"/>
  <c r="HO24" i="54"/>
  <c r="HO132" i="54"/>
  <c r="HO87" i="54"/>
  <c r="HO184" i="54"/>
  <c r="EC183" i="54"/>
  <c r="EK183" i="54" s="1"/>
  <c r="EH183" i="54"/>
  <c r="EG183" i="54"/>
  <c r="EX183" i="54"/>
  <c r="EX182" i="54"/>
  <c r="EG182" i="54"/>
  <c r="EH182" i="54"/>
  <c r="EX181" i="54"/>
  <c r="EH181" i="54"/>
  <c r="EG181" i="54"/>
  <c r="EG180" i="54"/>
  <c r="EH180" i="54"/>
  <c r="EX180" i="54"/>
  <c r="EH173" i="54"/>
  <c r="EG173" i="54"/>
  <c r="EX173" i="54"/>
  <c r="EH148" i="54"/>
  <c r="EG148" i="54"/>
  <c r="EX148" i="54"/>
  <c r="EH135" i="54"/>
  <c r="EX135" i="54"/>
  <c r="EG135" i="54"/>
  <c r="EX134" i="54"/>
  <c r="EG134" i="54"/>
  <c r="EH134" i="54"/>
  <c r="EG127" i="54"/>
  <c r="EH127" i="54"/>
  <c r="EX127" i="54"/>
  <c r="EC126" i="54"/>
  <c r="EK126" i="54" s="1"/>
  <c r="EX126" i="54"/>
  <c r="EH126" i="54"/>
  <c r="EG126" i="54"/>
  <c r="EX125" i="54"/>
  <c r="EH125" i="54"/>
  <c r="EG125" i="54"/>
  <c r="EX88" i="54"/>
  <c r="EH88" i="54"/>
  <c r="EG88" i="54"/>
  <c r="EX81" i="54"/>
  <c r="EH81" i="54"/>
  <c r="EG81" i="54"/>
  <c r="EC80" i="54"/>
  <c r="EK80" i="54" s="1"/>
  <c r="EX80" i="54"/>
  <c r="EH80" i="54"/>
  <c r="EG80" i="54"/>
  <c r="EG79" i="54"/>
  <c r="EX79" i="54"/>
  <c r="EH79" i="54"/>
  <c r="EH78" i="54"/>
  <c r="EX78" i="54"/>
  <c r="EG78" i="54"/>
  <c r="EX77" i="54"/>
  <c r="EH77" i="54"/>
  <c r="EG77" i="54"/>
  <c r="EG22" i="54"/>
  <c r="EH22" i="54"/>
  <c r="EX22" i="54"/>
  <c r="EG33" i="54"/>
  <c r="EH33" i="54"/>
  <c r="EX33" i="54"/>
  <c r="EG32" i="54"/>
  <c r="EH32" i="54"/>
  <c r="EX32" i="54"/>
  <c r="EG31" i="54"/>
  <c r="EX31" i="54"/>
  <c r="EH31" i="54"/>
  <c r="EX24" i="54"/>
  <c r="EH24" i="54"/>
  <c r="EG24" i="54"/>
  <c r="EH17" i="54"/>
  <c r="EG17" i="54"/>
  <c r="EX17" i="54"/>
  <c r="EG243" i="54"/>
  <c r="EH243" i="54"/>
  <c r="EX243" i="54"/>
  <c r="EG242" i="54"/>
  <c r="EH242" i="54"/>
  <c r="EX242" i="54"/>
  <c r="EG235" i="54"/>
  <c r="EX235" i="54"/>
  <c r="EH235" i="54"/>
  <c r="EC234" i="54"/>
  <c r="EK234" i="54" s="1"/>
  <c r="EG234" i="54"/>
  <c r="EH234" i="54"/>
  <c r="EX234" i="54"/>
  <c r="EG233" i="54"/>
  <c r="EH233" i="54"/>
  <c r="EX233" i="54"/>
  <c r="EG220" i="54"/>
  <c r="EH220" i="54"/>
  <c r="EX220" i="54"/>
  <c r="EC147" i="54"/>
  <c r="EK147" i="54" s="1"/>
  <c r="EH147" i="54"/>
  <c r="EG147" i="54"/>
  <c r="EX147" i="54"/>
  <c r="EG146" i="54"/>
  <c r="EH146" i="54"/>
  <c r="EX146" i="54"/>
  <c r="EX145" i="54"/>
  <c r="EH145" i="54"/>
  <c r="EG145" i="54"/>
  <c r="EG144" i="54"/>
  <c r="EH144" i="54"/>
  <c r="EX144" i="54"/>
  <c r="EG137" i="54"/>
  <c r="EH137" i="54"/>
  <c r="EX137" i="54"/>
  <c r="EG100" i="54"/>
  <c r="EH100" i="54"/>
  <c r="EX100" i="54"/>
  <c r="EG123" i="54"/>
  <c r="EH123" i="54"/>
  <c r="EX123" i="54"/>
  <c r="EG164" i="54"/>
  <c r="EH164" i="54"/>
  <c r="EX164" i="54"/>
  <c r="EH205" i="54"/>
  <c r="EG205" i="54"/>
  <c r="EX205" i="54"/>
  <c r="EG246" i="54"/>
  <c r="EH246" i="54"/>
  <c r="EX246" i="54"/>
  <c r="EH30" i="54"/>
  <c r="EG30" i="54"/>
  <c r="EX30" i="54"/>
  <c r="EH71" i="54"/>
  <c r="EG71" i="54"/>
  <c r="EX71" i="54"/>
  <c r="EH118" i="54"/>
  <c r="EG118" i="54"/>
  <c r="EX118" i="54"/>
  <c r="EC214" i="54"/>
  <c r="EK214" i="54" s="1"/>
  <c r="EX214" i="54"/>
  <c r="EG214" i="54"/>
  <c r="EH214" i="54"/>
  <c r="HL96" i="54"/>
  <c r="HM132" i="54"/>
  <c r="HM158" i="54"/>
  <c r="HL260" i="54"/>
  <c r="HL126" i="54"/>
  <c r="HL188" i="54"/>
  <c r="HL225" i="54"/>
  <c r="HL255" i="54"/>
  <c r="HM43" i="54"/>
  <c r="HM37" i="54"/>
  <c r="HM251" i="54"/>
  <c r="GT93" i="54"/>
  <c r="GT98" i="54"/>
  <c r="GT103" i="54"/>
  <c r="GT108" i="54"/>
  <c r="GT107" i="54"/>
  <c r="GT118" i="54"/>
  <c r="GT129" i="54"/>
  <c r="GT253" i="54"/>
  <c r="GT22" i="54"/>
  <c r="GT88" i="54"/>
  <c r="GT222" i="54"/>
  <c r="GT221" i="54"/>
  <c r="GT104" i="54"/>
  <c r="GT110" i="54"/>
  <c r="GT196" i="54"/>
  <c r="GT32" i="54"/>
  <c r="GT151" i="54"/>
  <c r="GT47" i="54"/>
  <c r="GT28" i="54"/>
  <c r="GT146" i="54"/>
  <c r="GT121" i="54"/>
  <c r="GT204" i="54"/>
  <c r="GT260" i="54"/>
  <c r="GT74" i="54"/>
  <c r="GT49" i="54"/>
  <c r="GT34" i="54"/>
  <c r="GT119" i="54"/>
  <c r="GT100" i="54"/>
  <c r="GT18" i="54"/>
  <c r="GT45" i="54"/>
  <c r="GT205" i="54"/>
  <c r="GT132" i="54"/>
  <c r="GT131" i="54"/>
  <c r="GT256" i="54"/>
  <c r="GT189" i="54"/>
  <c r="GT51" i="54"/>
  <c r="GT235" i="54"/>
  <c r="GT97" i="54"/>
  <c r="GT23" i="54"/>
  <c r="GT195" i="54"/>
  <c r="GT200" i="54"/>
  <c r="GQ197" i="54"/>
  <c r="GP197" i="54"/>
  <c r="GQ244" i="54"/>
  <c r="GP244" i="54"/>
  <c r="GQ28" i="54"/>
  <c r="GP28" i="54"/>
  <c r="GQ75" i="54"/>
  <c r="GP75" i="54"/>
  <c r="GP74" i="54"/>
  <c r="GQ74" i="54"/>
  <c r="GQ73" i="54"/>
  <c r="GP73" i="54"/>
  <c r="GP72" i="54"/>
  <c r="GQ72" i="54"/>
  <c r="GP119" i="54"/>
  <c r="GQ119" i="54"/>
  <c r="GP166" i="54"/>
  <c r="GQ166" i="54"/>
  <c r="GP213" i="54"/>
  <c r="GQ213" i="54"/>
  <c r="GQ242" i="54"/>
  <c r="GP242" i="54"/>
  <c r="GP235" i="54"/>
  <c r="GQ235" i="54"/>
  <c r="GQ234" i="54"/>
  <c r="GP234" i="54"/>
  <c r="GQ257" i="54"/>
  <c r="GP257" i="54"/>
  <c r="GQ41" i="54"/>
  <c r="GP41" i="54"/>
  <c r="GQ88" i="54"/>
  <c r="GP88" i="54"/>
  <c r="GQ135" i="54"/>
  <c r="GP135" i="54"/>
  <c r="GQ146" i="54"/>
  <c r="GP146" i="54"/>
  <c r="GQ145" i="54"/>
  <c r="GP145" i="54"/>
  <c r="GQ144" i="54"/>
  <c r="GP144" i="54"/>
  <c r="GQ179" i="54"/>
  <c r="GP179" i="54"/>
  <c r="GQ226" i="54"/>
  <c r="GP226" i="54"/>
  <c r="GQ10" i="54"/>
  <c r="GP10" i="54"/>
  <c r="GQ57" i="54"/>
  <c r="GP57" i="54"/>
  <c r="GQ50" i="54"/>
  <c r="GP50" i="54"/>
  <c r="GQ49" i="54"/>
  <c r="GP49" i="54"/>
  <c r="GQ48" i="54"/>
  <c r="GP48" i="54"/>
  <c r="GQ65" i="54"/>
  <c r="GP65" i="54"/>
  <c r="GQ112" i="54"/>
  <c r="GP112" i="54"/>
  <c r="GQ159" i="54"/>
  <c r="GP159" i="54"/>
  <c r="GQ176" i="54"/>
  <c r="GP176" i="54"/>
  <c r="GQ175" i="54"/>
  <c r="GP175" i="54"/>
  <c r="GQ168" i="54"/>
  <c r="GP168" i="54"/>
  <c r="GQ167" i="54"/>
  <c r="GP167" i="54"/>
  <c r="GQ214" i="54"/>
  <c r="GP214" i="54"/>
  <c r="GQ261" i="54"/>
  <c r="GP261" i="54"/>
  <c r="GQ39" i="54"/>
  <c r="GP39" i="54"/>
  <c r="GQ38" i="54"/>
  <c r="GP38" i="54"/>
  <c r="GQ37" i="54"/>
  <c r="GP37" i="54"/>
  <c r="GQ36" i="54"/>
  <c r="GP36" i="54"/>
  <c r="GQ128" i="54"/>
  <c r="GP128" i="54"/>
  <c r="GQ169" i="54"/>
  <c r="GP169" i="54"/>
  <c r="GQ210" i="54"/>
  <c r="GP210" i="54"/>
  <c r="HL25" i="54"/>
  <c r="HM24" i="54"/>
  <c r="HL169" i="54"/>
  <c r="HL205" i="54"/>
  <c r="HL198" i="54"/>
  <c r="HL64" i="54"/>
  <c r="HL197" i="54"/>
  <c r="HM234" i="54"/>
  <c r="HL223" i="54"/>
  <c r="HL249" i="54"/>
  <c r="HL174" i="54"/>
  <c r="HM175" i="54"/>
  <c r="HM52" i="54"/>
  <c r="HM185" i="54"/>
  <c r="HL66" i="54"/>
  <c r="HL68" i="54"/>
  <c r="HL165" i="54"/>
  <c r="DR94" i="54"/>
  <c r="DR93" i="54"/>
  <c r="DR263" i="54"/>
  <c r="DR180" i="54"/>
  <c r="DR98" i="54"/>
  <c r="DR232" i="54"/>
  <c r="DR68" i="54"/>
  <c r="DR105" i="54"/>
  <c r="DR151" i="54"/>
  <c r="DR58" i="54"/>
  <c r="DR111" i="54"/>
  <c r="DR11" i="54"/>
  <c r="DR191" i="54"/>
  <c r="DR199" i="54"/>
  <c r="DR186" i="54"/>
  <c r="DR233" i="54"/>
  <c r="DR265" i="54"/>
  <c r="DR25" i="54"/>
  <c r="DR27" i="54"/>
  <c r="DR156" i="54"/>
  <c r="DR95" i="54"/>
  <c r="DR178" i="54"/>
  <c r="DR127" i="54"/>
  <c r="DR204" i="54"/>
  <c r="DR154" i="54"/>
  <c r="DR102" i="54"/>
  <c r="DR107" i="54"/>
  <c r="DR122" i="54"/>
  <c r="DR31" i="54"/>
  <c r="DR78" i="54"/>
  <c r="DR193" i="54"/>
  <c r="DR230" i="54"/>
  <c r="DR118" i="54"/>
  <c r="DR175" i="54"/>
  <c r="DR253" i="54"/>
  <c r="DR258" i="54"/>
  <c r="DR39" i="54"/>
  <c r="DR59" i="54"/>
  <c r="DR96" i="54"/>
  <c r="DR18" i="54"/>
  <c r="DR251" i="54"/>
  <c r="DR51" i="54"/>
  <c r="DR257" i="54"/>
  <c r="EC77" i="54"/>
  <c r="EK77" i="54" s="1"/>
  <c r="EC246" i="54"/>
  <c r="EK246" i="54" s="1"/>
  <c r="HM241" i="54"/>
  <c r="HP240" i="54"/>
  <c r="HM128" i="54"/>
  <c r="HM236" i="54"/>
  <c r="HL239" i="54"/>
  <c r="HL122" i="54"/>
  <c r="HL111" i="54"/>
  <c r="HL244" i="54"/>
  <c r="HL18" i="54"/>
  <c r="HL186" i="54"/>
  <c r="HL215" i="54"/>
  <c r="HM216" i="54"/>
  <c r="HM107" i="54"/>
  <c r="BH33" i="54"/>
  <c r="X35" i="54" s="1"/>
  <c r="BH28" i="54"/>
  <c r="V35" i="54" s="1"/>
  <c r="HM20" i="54"/>
  <c r="HL51" i="54"/>
  <c r="HL87" i="54"/>
  <c r="HM125" i="54"/>
  <c r="HM224" i="54"/>
  <c r="HL53" i="54"/>
  <c r="HL177" i="54"/>
  <c r="HM150" i="54"/>
  <c r="HM74" i="54"/>
  <c r="HM171" i="54"/>
  <c r="HL257" i="54"/>
  <c r="HM138" i="54"/>
  <c r="HM140" i="54"/>
  <c r="HM149" i="54"/>
  <c r="HM247" i="54"/>
  <c r="HL32" i="54"/>
  <c r="BF29" i="54"/>
  <c r="H36" i="54" s="1"/>
  <c r="BF34" i="54"/>
  <c r="J36" i="54" s="1"/>
  <c r="BH3" i="54"/>
  <c r="HL148" i="54"/>
  <c r="HM172" i="54"/>
  <c r="HM265" i="54"/>
  <c r="HM218" i="54"/>
  <c r="HL191" i="54"/>
  <c r="HM115" i="54"/>
  <c r="HM212" i="54"/>
  <c r="HL179" i="54"/>
  <c r="HM181" i="54"/>
  <c r="HM73" i="54"/>
  <c r="DN260" i="54"/>
  <c r="DO260" i="54"/>
  <c r="DO239" i="54"/>
  <c r="DN239" i="54"/>
  <c r="DN184" i="54"/>
  <c r="DO184" i="54"/>
  <c r="DN57" i="54"/>
  <c r="DO57" i="54"/>
  <c r="DN56" i="54"/>
  <c r="DO56" i="54"/>
  <c r="DN59" i="54"/>
  <c r="DO59" i="54"/>
  <c r="DN267" i="54"/>
  <c r="DO267" i="54"/>
  <c r="DN266" i="54"/>
  <c r="DO266" i="54"/>
  <c r="DO133" i="54"/>
  <c r="DN133" i="54"/>
  <c r="DN203" i="54"/>
  <c r="DO203" i="54"/>
  <c r="DN13" i="54"/>
  <c r="DO13" i="54"/>
  <c r="DN209" i="54"/>
  <c r="DO209" i="54"/>
  <c r="DN35" i="54"/>
  <c r="DO35" i="54"/>
  <c r="DN165" i="54"/>
  <c r="DO165" i="54"/>
  <c r="DN164" i="54"/>
  <c r="DO164" i="54"/>
  <c r="DN159" i="54"/>
  <c r="DO159" i="54"/>
  <c r="DN158" i="54"/>
  <c r="DO158" i="54"/>
  <c r="DN241" i="54"/>
  <c r="DO241" i="54"/>
  <c r="DN122" i="54"/>
  <c r="DO122" i="54"/>
  <c r="DN148" i="54"/>
  <c r="DO148" i="54"/>
  <c r="DN21" i="54"/>
  <c r="DO21" i="54"/>
  <c r="DN20" i="54"/>
  <c r="DO20" i="54"/>
  <c r="DN36" i="54"/>
  <c r="DO36" i="54"/>
  <c r="DN263" i="54"/>
  <c r="DO263" i="54"/>
  <c r="DN31" i="54"/>
  <c r="DO31" i="54"/>
  <c r="DN248" i="54"/>
  <c r="DO248" i="54"/>
  <c r="DN67" i="54"/>
  <c r="DO67" i="54"/>
  <c r="DO63" i="54"/>
  <c r="DN63" i="54"/>
  <c r="DO62" i="54"/>
  <c r="DN62" i="54"/>
  <c r="DN268" i="54"/>
  <c r="DO268" i="54"/>
  <c r="DN47" i="54"/>
  <c r="DO47" i="54"/>
  <c r="DN22" i="54"/>
  <c r="DO22" i="54"/>
  <c r="DO78" i="54"/>
  <c r="DN78" i="54"/>
  <c r="DN53" i="54"/>
  <c r="DO53" i="54"/>
  <c r="DN136" i="54"/>
  <c r="DO136" i="54"/>
  <c r="DN238" i="54"/>
  <c r="DO238" i="54"/>
  <c r="DN172" i="54"/>
  <c r="DO172" i="54"/>
  <c r="DN11" i="54"/>
  <c r="DO11" i="54"/>
  <c r="DN255" i="54"/>
  <c r="DO255" i="54"/>
  <c r="DO254" i="54"/>
  <c r="DN254" i="54"/>
  <c r="DN115" i="54"/>
  <c r="DO115" i="54"/>
  <c r="DO176" i="54"/>
  <c r="DN176" i="54"/>
  <c r="DN151" i="54"/>
  <c r="DO151" i="54"/>
  <c r="EX141" i="54"/>
  <c r="EG141" i="54"/>
  <c r="EH141" i="54"/>
  <c r="EX140" i="54"/>
  <c r="EG140" i="54"/>
  <c r="EH140" i="54"/>
  <c r="EH139" i="54"/>
  <c r="EG139" i="54"/>
  <c r="EX139" i="54"/>
  <c r="EH132" i="54"/>
  <c r="EX132" i="54"/>
  <c r="EG132" i="54"/>
  <c r="EC131" i="54"/>
  <c r="EK131" i="54" s="1"/>
  <c r="EX131" i="54"/>
  <c r="EG131" i="54"/>
  <c r="EH131" i="54"/>
  <c r="EH94" i="54"/>
  <c r="EG94" i="54"/>
  <c r="EX94" i="54"/>
  <c r="EX93" i="54"/>
  <c r="EG93" i="54"/>
  <c r="EH93" i="54"/>
  <c r="EH86" i="54"/>
  <c r="EX86" i="54"/>
  <c r="EG86" i="54"/>
  <c r="EC85" i="54"/>
  <c r="EK85" i="54" s="1"/>
  <c r="EX85" i="54"/>
  <c r="EH85" i="54"/>
  <c r="EG85" i="54"/>
  <c r="EX84" i="54"/>
  <c r="EH84" i="54"/>
  <c r="EG84" i="54"/>
  <c r="EG83" i="54"/>
  <c r="EX83" i="54"/>
  <c r="EH83" i="54"/>
  <c r="EH28" i="54"/>
  <c r="EG28" i="54"/>
  <c r="EX28" i="54"/>
  <c r="EC39" i="54"/>
  <c r="EK39" i="54" s="1"/>
  <c r="EX39" i="54"/>
  <c r="EG39" i="54"/>
  <c r="EH39" i="54"/>
  <c r="EH38" i="54"/>
  <c r="EX38" i="54"/>
  <c r="EG38" i="54"/>
  <c r="EH37" i="54"/>
  <c r="EX37" i="54"/>
  <c r="EG37" i="54"/>
  <c r="EX36" i="54"/>
  <c r="EH36" i="54"/>
  <c r="EG36" i="54"/>
  <c r="EX29" i="54"/>
  <c r="EH29" i="54"/>
  <c r="EG29" i="54"/>
  <c r="EG249" i="54"/>
  <c r="EH249" i="54"/>
  <c r="EX249" i="54"/>
  <c r="EG248" i="54"/>
  <c r="EH248" i="54"/>
  <c r="EX248" i="54"/>
  <c r="EG247" i="54"/>
  <c r="EX247" i="54"/>
  <c r="EH247" i="54"/>
  <c r="EX240" i="54"/>
  <c r="EG240" i="54"/>
  <c r="EH240" i="54"/>
  <c r="EC239" i="54"/>
  <c r="EK239" i="54" s="1"/>
  <c r="EG239" i="54"/>
  <c r="EH239" i="54"/>
  <c r="EX239" i="54"/>
  <c r="EG232" i="54"/>
  <c r="EH232" i="54"/>
  <c r="EX232" i="54"/>
  <c r="EG201" i="54"/>
  <c r="EH201" i="54"/>
  <c r="EX201" i="54"/>
  <c r="EH194" i="54"/>
  <c r="EX194" i="54"/>
  <c r="EG194" i="54"/>
  <c r="EC193" i="54"/>
  <c r="EK193" i="54" s="1"/>
  <c r="EH193" i="54"/>
  <c r="EG193" i="54"/>
  <c r="EX193" i="54"/>
  <c r="EG192" i="54"/>
  <c r="EH192" i="54"/>
  <c r="EX192" i="54"/>
  <c r="EG191" i="54"/>
  <c r="EH191" i="54"/>
  <c r="EX191" i="54"/>
  <c r="EG166" i="54"/>
  <c r="EX166" i="54"/>
  <c r="EH166" i="54"/>
  <c r="EH105" i="54"/>
  <c r="EG105" i="54"/>
  <c r="EX105" i="54"/>
  <c r="EX104" i="54"/>
  <c r="EH104" i="54"/>
  <c r="EG104" i="54"/>
  <c r="EH103" i="54"/>
  <c r="EG103" i="54"/>
  <c r="EX103" i="54"/>
  <c r="EH96" i="54"/>
  <c r="EG96" i="54"/>
  <c r="EX96" i="54"/>
  <c r="EC95" i="54"/>
  <c r="EK95" i="54" s="1"/>
  <c r="EH95" i="54"/>
  <c r="EG95" i="54"/>
  <c r="EX95" i="54"/>
  <c r="EH52" i="54"/>
  <c r="EG52" i="54"/>
  <c r="EX52" i="54"/>
  <c r="EG87" i="54"/>
  <c r="EH87" i="54"/>
  <c r="EX87" i="54"/>
  <c r="EG128" i="54"/>
  <c r="EH128" i="54"/>
  <c r="EX128" i="54"/>
  <c r="EH169" i="54"/>
  <c r="EG169" i="54"/>
  <c r="EX169" i="54"/>
  <c r="EG210" i="54"/>
  <c r="EH210" i="54"/>
  <c r="EX210" i="54"/>
  <c r="EG251" i="54"/>
  <c r="EH251" i="54"/>
  <c r="EX251" i="54"/>
  <c r="EH35" i="54"/>
  <c r="EG35" i="54"/>
  <c r="EX35" i="54"/>
  <c r="EH82" i="54"/>
  <c r="EG82" i="54"/>
  <c r="EX82" i="54"/>
  <c r="EC178" i="54"/>
  <c r="EK178" i="54" s="1"/>
  <c r="EX178" i="54"/>
  <c r="EG178" i="54"/>
  <c r="EH178" i="54"/>
  <c r="HM60" i="54"/>
  <c r="HM96" i="54"/>
  <c r="HL204" i="54"/>
  <c r="HL158" i="54"/>
  <c r="HM127" i="54"/>
  <c r="HM17" i="54"/>
  <c r="HL95" i="54"/>
  <c r="HM157" i="54"/>
  <c r="HL182" i="54"/>
  <c r="HM105" i="54"/>
  <c r="HL143" i="54"/>
  <c r="GT46" i="54"/>
  <c r="GT57" i="54"/>
  <c r="GT62" i="54"/>
  <c r="GT67" i="54"/>
  <c r="GT72" i="54"/>
  <c r="GT71" i="54"/>
  <c r="GT82" i="54"/>
  <c r="GT212" i="54"/>
  <c r="GT42" i="54"/>
  <c r="GT41" i="54"/>
  <c r="GT181" i="54"/>
  <c r="GT12" i="54"/>
  <c r="GT63" i="54"/>
  <c r="GT150" i="54"/>
  <c r="GT149" i="54"/>
  <c r="GT248" i="54"/>
  <c r="GT238" i="54"/>
  <c r="GT263" i="54"/>
  <c r="GT244" i="54"/>
  <c r="GT105" i="54"/>
  <c r="GT80" i="54"/>
  <c r="GT203" i="54"/>
  <c r="GT219" i="54"/>
  <c r="GT33" i="54"/>
  <c r="GT265" i="54"/>
  <c r="GT79" i="54"/>
  <c r="GT54" i="54"/>
  <c r="GT53" i="54"/>
  <c r="GT234" i="54"/>
  <c r="GT233" i="54"/>
  <c r="GT261" i="54"/>
  <c r="GT164" i="54"/>
  <c r="GT91" i="54"/>
  <c r="GT210" i="54"/>
  <c r="GT209" i="54"/>
  <c r="GT142" i="54"/>
  <c r="GT267" i="54"/>
  <c r="GT194" i="54"/>
  <c r="GT56" i="54"/>
  <c r="GT240" i="54"/>
  <c r="GT239" i="54"/>
  <c r="GT148" i="54"/>
  <c r="GT159" i="54"/>
  <c r="GQ161" i="54"/>
  <c r="GP161" i="54"/>
  <c r="GQ208" i="54"/>
  <c r="GP208" i="54"/>
  <c r="GQ255" i="54"/>
  <c r="GP255" i="54"/>
  <c r="GP33" i="54"/>
  <c r="GQ33" i="54"/>
  <c r="GQ32" i="54"/>
  <c r="GP32" i="54"/>
  <c r="GP31" i="54"/>
  <c r="GQ31" i="54"/>
  <c r="GQ24" i="54"/>
  <c r="GP24" i="54"/>
  <c r="GQ83" i="54"/>
  <c r="GP83" i="54"/>
  <c r="GP130" i="54"/>
  <c r="GQ130" i="54"/>
  <c r="GQ177" i="54"/>
  <c r="GP177" i="54"/>
  <c r="GP194" i="54"/>
  <c r="GQ194" i="54"/>
  <c r="GQ193" i="54"/>
  <c r="GP193" i="54"/>
  <c r="GQ192" i="54"/>
  <c r="GP192" i="54"/>
  <c r="GQ221" i="54"/>
  <c r="GP221" i="54"/>
  <c r="GQ268" i="54"/>
  <c r="GP268" i="54"/>
  <c r="GQ52" i="54"/>
  <c r="GP52" i="54"/>
  <c r="GQ99" i="54"/>
  <c r="GP99" i="54"/>
  <c r="GQ104" i="54"/>
  <c r="GP104" i="54"/>
  <c r="GQ103" i="54"/>
  <c r="GP103" i="54"/>
  <c r="GQ96" i="54"/>
  <c r="GP96" i="54"/>
  <c r="GQ143" i="54"/>
  <c r="GP143" i="54"/>
  <c r="GQ190" i="54"/>
  <c r="GP190" i="54"/>
  <c r="GQ237" i="54"/>
  <c r="GP237" i="54"/>
  <c r="GQ266" i="54"/>
  <c r="GP266" i="54"/>
  <c r="GQ265" i="54"/>
  <c r="GP265" i="54"/>
  <c r="GP264" i="54"/>
  <c r="GQ264" i="54"/>
  <c r="GQ245" i="54"/>
  <c r="GP245" i="54"/>
  <c r="GQ29" i="54"/>
  <c r="GP29" i="54"/>
  <c r="GQ76" i="54"/>
  <c r="GP76" i="54"/>
  <c r="GQ123" i="54"/>
  <c r="GP123" i="54"/>
  <c r="GQ134" i="54"/>
  <c r="GP134" i="54"/>
  <c r="GQ127" i="54"/>
  <c r="GP127" i="54"/>
  <c r="GQ126" i="54"/>
  <c r="GP126" i="54"/>
  <c r="GQ131" i="54"/>
  <c r="GP131" i="54"/>
  <c r="GQ178" i="54"/>
  <c r="GP178" i="54"/>
  <c r="GQ225" i="54"/>
  <c r="GP225" i="54"/>
  <c r="GQ254" i="54"/>
  <c r="GP254" i="54"/>
  <c r="GQ253" i="54"/>
  <c r="GP253" i="54"/>
  <c r="GQ252" i="54"/>
  <c r="GP252" i="54"/>
  <c r="GQ51" i="54"/>
  <c r="GP51" i="54"/>
  <c r="GQ92" i="54"/>
  <c r="GP92" i="54"/>
  <c r="GQ133" i="54"/>
  <c r="GP133" i="54"/>
  <c r="GQ174" i="54"/>
  <c r="GP174" i="54"/>
  <c r="HL24" i="54"/>
  <c r="HM245" i="54"/>
  <c r="HM169" i="54"/>
  <c r="HM205" i="54"/>
  <c r="HL167" i="54"/>
  <c r="HM229" i="54"/>
  <c r="HL266" i="54"/>
  <c r="HM39" i="54"/>
  <c r="HL222" i="54"/>
  <c r="HM35" i="54"/>
  <c r="DR52" i="54"/>
  <c r="DR60" i="54"/>
  <c r="DR221" i="54"/>
  <c r="DR92" i="54"/>
  <c r="DR99" i="54"/>
  <c r="DR56" i="54"/>
  <c r="DR69" i="54"/>
  <c r="DR185" i="54"/>
  <c r="DR22" i="54"/>
  <c r="DR144" i="54"/>
  <c r="DR238" i="54"/>
  <c r="DR103" i="54"/>
  <c r="DR187" i="54"/>
  <c r="DR126" i="54"/>
  <c r="DR16" i="54"/>
  <c r="DR109" i="54"/>
  <c r="DR81" i="54"/>
  <c r="DR209" i="54"/>
  <c r="DR236" i="54"/>
  <c r="DR202" i="54"/>
  <c r="DR120" i="54"/>
  <c r="DR115" i="54"/>
  <c r="DR54" i="54"/>
  <c r="DR131" i="54"/>
  <c r="DR86" i="54"/>
  <c r="DR163" i="54"/>
  <c r="DR40" i="54"/>
  <c r="DR123" i="54"/>
  <c r="DR66" i="54"/>
  <c r="DR211" i="54"/>
  <c r="DR23" i="54"/>
  <c r="DR231" i="54"/>
  <c r="DR220" i="54"/>
  <c r="DR128" i="54"/>
  <c r="DR124" i="54"/>
  <c r="DR134" i="54"/>
  <c r="DR212" i="54"/>
  <c r="DR34" i="54"/>
  <c r="DR70" i="54"/>
  <c r="DR121" i="54"/>
  <c r="DR55" i="54"/>
  <c r="DR234" i="54"/>
  <c r="DR210" i="54"/>
  <c r="EC36" i="54"/>
  <c r="EK36" i="54" s="1"/>
  <c r="EC232" i="54"/>
  <c r="EK232" i="54" s="1"/>
  <c r="EC82" i="54"/>
  <c r="EK82" i="54" s="1"/>
  <c r="EC205" i="54"/>
  <c r="EK205" i="54" s="1"/>
  <c r="EC83" i="54"/>
  <c r="EK83" i="54" s="1"/>
  <c r="EC166" i="54"/>
  <c r="EK166" i="54" s="1"/>
  <c r="EC33" i="54"/>
  <c r="EK33" i="54" s="1"/>
  <c r="EC32" i="54"/>
  <c r="EK32" i="54" s="1"/>
  <c r="EC125" i="54"/>
  <c r="EK125" i="54" s="1"/>
  <c r="EC29" i="54"/>
  <c r="EK29" i="54" s="1"/>
  <c r="HL240" i="54"/>
  <c r="HM92" i="54"/>
  <c r="HL164" i="54"/>
  <c r="HM84" i="54"/>
  <c r="HL85" i="54"/>
  <c r="HL214" i="54"/>
  <c r="HM13" i="54"/>
  <c r="HM50" i="54"/>
  <c r="HL80" i="54"/>
  <c r="HL263" i="54"/>
  <c r="HL187" i="54"/>
  <c r="HL110" i="54"/>
  <c r="HM215" i="54"/>
  <c r="HL98" i="54"/>
  <c r="HL232" i="54"/>
  <c r="HM108" i="54"/>
  <c r="HL82" i="54"/>
  <c r="HO51" i="54"/>
  <c r="HM231" i="54"/>
  <c r="HM23" i="54"/>
  <c r="HL152" i="54"/>
  <c r="HM59" i="54"/>
  <c r="HL262" i="54"/>
  <c r="HL154" i="54"/>
  <c r="BF28" i="54"/>
  <c r="H35" i="54" s="1"/>
  <c r="BF33" i="54"/>
  <c r="J35" i="54" s="1"/>
  <c r="AA43" i="54" a="1"/>
  <c r="AA43" i="54" s="1"/>
  <c r="X16" i="54" a="1"/>
  <c r="X16" i="54" s="1"/>
  <c r="AA45" i="54" a="1"/>
  <c r="AA45" i="54" s="1"/>
  <c r="AA42" i="54" a="1"/>
  <c r="AA42" i="54" s="1"/>
  <c r="AA39" i="54" a="1"/>
  <c r="AA39" i="54" s="1"/>
  <c r="AA46" i="54" a="1"/>
  <c r="AA46" i="54" s="1"/>
  <c r="AA44" i="54" a="1"/>
  <c r="AA44" i="54" s="1"/>
  <c r="AA40" i="54" a="1"/>
  <c r="AA40" i="54" s="1"/>
  <c r="AA41" i="54" a="1"/>
  <c r="AA41" i="54" s="1"/>
  <c r="HL40" i="54"/>
  <c r="HL76" i="54"/>
  <c r="HL70" i="54"/>
  <c r="HL264" i="54"/>
  <c r="HM14" i="54"/>
  <c r="HL106" i="54"/>
  <c r="HM191" i="54"/>
  <c r="HM41" i="54"/>
  <c r="HM179" i="54"/>
  <c r="HM62" i="54"/>
  <c r="HM201" i="54"/>
  <c r="HM196" i="54"/>
  <c r="HL72" i="54"/>
  <c r="DN81" i="54"/>
  <c r="DO81" i="54"/>
  <c r="DO198" i="54"/>
  <c r="DN198" i="54"/>
  <c r="DN137" i="54"/>
  <c r="DO137" i="54"/>
  <c r="DN10" i="54"/>
  <c r="DO10" i="54"/>
  <c r="DN90" i="54"/>
  <c r="DO90" i="54"/>
  <c r="DN18" i="54"/>
  <c r="DO18" i="54"/>
  <c r="DN220" i="54"/>
  <c r="DO220" i="54"/>
  <c r="DN93" i="54"/>
  <c r="DO93" i="54"/>
  <c r="DN92" i="54"/>
  <c r="DO92" i="54"/>
  <c r="DN80" i="54"/>
  <c r="DO80" i="54"/>
  <c r="DO229" i="54"/>
  <c r="DN229" i="54"/>
  <c r="DO168" i="54"/>
  <c r="DN168" i="54"/>
  <c r="DO251" i="54"/>
  <c r="DN251" i="54"/>
  <c r="DN118" i="54"/>
  <c r="DO118" i="54"/>
  <c r="DN88" i="54"/>
  <c r="DO88" i="54"/>
  <c r="DN112" i="54"/>
  <c r="DO112" i="54"/>
  <c r="DN201" i="54"/>
  <c r="DO201" i="54"/>
  <c r="DN200" i="54"/>
  <c r="DO200" i="54"/>
  <c r="DN261" i="54"/>
  <c r="DO261" i="54"/>
  <c r="DN101" i="54"/>
  <c r="DO101" i="54"/>
  <c r="DN237" i="54"/>
  <c r="DO237" i="54"/>
  <c r="DN236" i="54"/>
  <c r="DO236" i="54"/>
  <c r="DO252" i="54"/>
  <c r="DN252" i="54"/>
  <c r="DN140" i="54"/>
  <c r="DO140" i="54"/>
  <c r="DN247" i="54"/>
  <c r="DO247" i="54"/>
  <c r="DN27" i="54"/>
  <c r="DO27" i="54"/>
  <c r="DN26" i="54"/>
  <c r="DO26" i="54"/>
  <c r="DN16" i="54"/>
  <c r="DO16" i="54"/>
  <c r="DO177" i="54"/>
  <c r="DN177" i="54"/>
  <c r="DN221" i="54"/>
  <c r="DO221" i="54"/>
  <c r="DO181" i="54"/>
  <c r="DN181" i="54"/>
  <c r="DN155" i="54"/>
  <c r="DO155" i="54"/>
  <c r="DN37" i="54"/>
  <c r="DO37" i="54"/>
  <c r="DO12" i="54"/>
  <c r="DN12" i="54"/>
  <c r="DO89" i="54"/>
  <c r="DN89" i="54"/>
  <c r="DN191" i="54"/>
  <c r="DO191" i="54"/>
  <c r="DN125" i="54"/>
  <c r="DO125" i="54"/>
  <c r="DO227" i="54"/>
  <c r="DN227" i="54"/>
  <c r="DN208" i="54"/>
  <c r="DO208" i="54"/>
  <c r="DN75" i="54"/>
  <c r="DO75" i="54"/>
  <c r="DN74" i="54"/>
  <c r="DO74" i="54"/>
  <c r="DN111" i="54"/>
  <c r="DO111" i="54"/>
  <c r="DN110" i="54"/>
  <c r="DO110" i="54"/>
  <c r="EX99" i="54"/>
  <c r="EG99" i="54"/>
  <c r="EH99" i="54"/>
  <c r="EG98" i="54"/>
  <c r="EH98" i="54"/>
  <c r="EX98" i="54"/>
  <c r="EG91" i="54"/>
  <c r="EH91" i="54"/>
  <c r="EX91" i="54"/>
  <c r="EC90" i="54"/>
  <c r="EK90" i="54" s="1"/>
  <c r="EG90" i="54"/>
  <c r="EX90" i="54"/>
  <c r="EH90" i="54"/>
  <c r="EX89" i="54"/>
  <c r="EH89" i="54"/>
  <c r="EG89" i="54"/>
  <c r="EG40" i="54"/>
  <c r="EH40" i="54"/>
  <c r="EX40" i="54"/>
  <c r="EH45" i="54"/>
  <c r="EG45" i="54"/>
  <c r="EX45" i="54"/>
  <c r="EC44" i="54"/>
  <c r="EK44" i="54" s="1"/>
  <c r="EX44" i="54"/>
  <c r="EH44" i="54"/>
  <c r="EG44" i="54"/>
  <c r="EX43" i="54"/>
  <c r="EH43" i="54"/>
  <c r="EG43" i="54"/>
  <c r="EG42" i="54"/>
  <c r="EX42" i="54"/>
  <c r="EH42" i="54"/>
  <c r="EX41" i="54"/>
  <c r="EH41" i="54"/>
  <c r="EG41" i="54"/>
  <c r="EC255" i="54"/>
  <c r="EK255" i="54" s="1"/>
  <c r="EX255" i="54"/>
  <c r="EG255" i="54"/>
  <c r="EH255" i="54"/>
  <c r="EH254" i="54"/>
  <c r="EX254" i="54"/>
  <c r="EG254" i="54"/>
  <c r="EH253" i="54"/>
  <c r="EG253" i="54"/>
  <c r="EX253" i="54"/>
  <c r="EX252" i="54"/>
  <c r="EG252" i="54"/>
  <c r="EH252" i="54"/>
  <c r="EX245" i="54"/>
  <c r="EG245" i="54"/>
  <c r="EH245" i="54"/>
  <c r="EG238" i="54"/>
  <c r="EH238" i="54"/>
  <c r="EX238" i="54"/>
  <c r="EG207" i="54"/>
  <c r="EH207" i="54"/>
  <c r="EX207" i="54"/>
  <c r="EH206" i="54"/>
  <c r="EX206" i="54"/>
  <c r="EG206" i="54"/>
  <c r="EX199" i="54"/>
  <c r="EH199" i="54"/>
  <c r="EG199" i="54"/>
  <c r="EC198" i="54"/>
  <c r="EK198" i="54" s="1"/>
  <c r="EH198" i="54"/>
  <c r="EX198" i="54"/>
  <c r="EG198" i="54"/>
  <c r="EG197" i="54"/>
  <c r="EH197" i="54"/>
  <c r="EX197" i="54"/>
  <c r="EX172" i="54"/>
  <c r="EG172" i="54"/>
  <c r="EH172" i="54"/>
  <c r="EH153" i="54"/>
  <c r="EX153" i="54"/>
  <c r="EG153" i="54"/>
  <c r="EC152" i="54"/>
  <c r="EK152" i="54" s="1"/>
  <c r="EG152" i="54"/>
  <c r="EH152" i="54"/>
  <c r="EX152" i="54"/>
  <c r="EH151" i="54"/>
  <c r="EG151" i="54"/>
  <c r="EX151" i="54"/>
  <c r="EG150" i="54"/>
  <c r="EH150" i="54"/>
  <c r="EX150" i="54"/>
  <c r="EG149" i="54"/>
  <c r="EH149" i="54"/>
  <c r="EX149" i="54"/>
  <c r="EX112" i="54"/>
  <c r="EH112" i="54"/>
  <c r="EG112" i="54"/>
  <c r="EX63" i="54"/>
  <c r="EH63" i="54"/>
  <c r="EG63" i="54"/>
  <c r="EH62" i="54"/>
  <c r="EG62" i="54"/>
  <c r="EX62" i="54"/>
  <c r="EH55" i="54"/>
  <c r="EG55" i="54"/>
  <c r="EX55" i="54"/>
  <c r="EG54" i="54"/>
  <c r="EX54" i="54"/>
  <c r="EH54" i="54"/>
  <c r="EH53" i="54"/>
  <c r="EG53" i="54"/>
  <c r="EX53" i="54"/>
  <c r="EH267" i="54"/>
  <c r="EX267" i="54"/>
  <c r="EG267" i="54"/>
  <c r="EH51" i="54"/>
  <c r="EX51" i="54"/>
  <c r="EG51" i="54"/>
  <c r="EH92" i="54"/>
  <c r="EX92" i="54"/>
  <c r="EG92" i="54"/>
  <c r="EG133" i="54"/>
  <c r="EX133" i="54"/>
  <c r="EH133" i="54"/>
  <c r="EH174" i="54"/>
  <c r="EX174" i="54"/>
  <c r="EG174" i="54"/>
  <c r="EH215" i="54"/>
  <c r="EX215" i="54"/>
  <c r="EG215" i="54"/>
  <c r="EH262" i="54"/>
  <c r="EX262" i="54"/>
  <c r="EG262" i="54"/>
  <c r="EG46" i="54"/>
  <c r="EX46" i="54"/>
  <c r="EH46" i="54"/>
  <c r="EC142" i="54"/>
  <c r="EK142" i="54" s="1"/>
  <c r="EH142" i="54"/>
  <c r="EX142" i="54"/>
  <c r="EG142" i="54"/>
  <c r="HL256" i="54"/>
  <c r="HL60" i="54"/>
  <c r="HM204" i="54"/>
  <c r="HL34" i="54"/>
  <c r="HL89" i="54"/>
  <c r="HM188" i="54"/>
  <c r="HL17" i="54"/>
  <c r="HM95" i="54"/>
  <c r="HL194" i="54"/>
  <c r="HM42" i="54"/>
  <c r="HM182" i="54"/>
  <c r="HL105" i="54"/>
  <c r="HM36" i="54"/>
  <c r="HL135" i="54"/>
  <c r="HL268" i="54"/>
  <c r="HM143" i="54"/>
  <c r="HL145" i="54"/>
  <c r="HM26" i="54"/>
  <c r="HL160" i="54"/>
  <c r="GT262" i="54"/>
  <c r="GT10" i="54"/>
  <c r="GT21" i="54"/>
  <c r="GT26" i="54"/>
  <c r="GT31" i="54"/>
  <c r="GT36" i="54"/>
  <c r="GT35" i="54"/>
  <c r="GT171" i="54"/>
  <c r="GT258" i="54"/>
  <c r="GT257" i="54"/>
  <c r="GT140" i="54"/>
  <c r="GT192" i="54"/>
  <c r="GT16" i="54"/>
  <c r="GT109" i="54"/>
  <c r="GT156" i="54"/>
  <c r="GT207" i="54"/>
  <c r="GT223" i="54"/>
  <c r="GT198" i="54"/>
  <c r="GT197" i="54"/>
  <c r="GT58" i="54"/>
  <c r="GT39" i="54"/>
  <c r="GT191" i="54"/>
  <c r="GT172" i="54"/>
  <c r="GT249" i="54"/>
  <c r="GT224" i="54"/>
  <c r="GT38" i="54"/>
  <c r="GT13" i="54"/>
  <c r="GT81" i="54"/>
  <c r="GT193" i="54"/>
  <c r="GT122" i="54"/>
  <c r="GT214" i="54"/>
  <c r="GT123" i="54"/>
  <c r="GT50" i="54"/>
  <c r="GT169" i="54"/>
  <c r="GT96" i="54"/>
  <c r="GT95" i="54"/>
  <c r="GT220" i="54"/>
  <c r="GT153" i="54"/>
  <c r="GT15" i="54"/>
  <c r="GT199" i="54"/>
  <c r="GT102" i="54"/>
  <c r="GT101" i="54"/>
  <c r="GT112" i="54"/>
  <c r="GQ125" i="54"/>
  <c r="GP125" i="54"/>
  <c r="GQ172" i="54"/>
  <c r="GP172" i="54"/>
  <c r="GQ219" i="54"/>
  <c r="GP219" i="54"/>
  <c r="GQ248" i="54"/>
  <c r="GP248" i="54"/>
  <c r="GP247" i="54"/>
  <c r="GQ247" i="54"/>
  <c r="GQ240" i="54"/>
  <c r="GP240" i="54"/>
  <c r="GQ263" i="54"/>
  <c r="GP263" i="54"/>
  <c r="GQ47" i="54"/>
  <c r="GP47" i="54"/>
  <c r="GQ94" i="54"/>
  <c r="GP94" i="54"/>
  <c r="GP141" i="54"/>
  <c r="GQ141" i="54"/>
  <c r="GQ152" i="54"/>
  <c r="GP152" i="54"/>
  <c r="GQ151" i="54"/>
  <c r="GP151" i="54"/>
  <c r="GP150" i="54"/>
  <c r="GQ150" i="54"/>
  <c r="GQ185" i="54"/>
  <c r="GP185" i="54"/>
  <c r="GQ232" i="54"/>
  <c r="GP232" i="54"/>
  <c r="GQ16" i="54"/>
  <c r="GP16" i="54"/>
  <c r="GP63" i="54"/>
  <c r="GQ63" i="54"/>
  <c r="GQ62" i="54"/>
  <c r="GP62" i="54"/>
  <c r="GQ55" i="54"/>
  <c r="GP55" i="54"/>
  <c r="GP54" i="54"/>
  <c r="GQ54" i="54"/>
  <c r="GQ107" i="54"/>
  <c r="GP107" i="54"/>
  <c r="GP154" i="54"/>
  <c r="GQ154" i="54"/>
  <c r="GP201" i="54"/>
  <c r="GQ201" i="54"/>
  <c r="GQ224" i="54"/>
  <c r="GP224" i="54"/>
  <c r="GP223" i="54"/>
  <c r="GQ223" i="54"/>
  <c r="GQ222" i="54"/>
  <c r="GP222" i="54"/>
  <c r="GQ209" i="54"/>
  <c r="GP209" i="54"/>
  <c r="GQ256" i="54"/>
  <c r="GP256" i="54"/>
  <c r="GQ40" i="54"/>
  <c r="GP40" i="54"/>
  <c r="GQ87" i="54"/>
  <c r="GP87" i="54"/>
  <c r="GQ86" i="54"/>
  <c r="GP86" i="54"/>
  <c r="GQ85" i="54"/>
  <c r="GP85" i="54"/>
  <c r="GQ84" i="54"/>
  <c r="GP84" i="54"/>
  <c r="GQ95" i="54"/>
  <c r="GP95" i="54"/>
  <c r="GQ142" i="54"/>
  <c r="GP142" i="54"/>
  <c r="GP189" i="54"/>
  <c r="GQ189" i="54"/>
  <c r="GQ212" i="54"/>
  <c r="GP212" i="54"/>
  <c r="GQ211" i="54"/>
  <c r="GP211" i="54"/>
  <c r="GQ204" i="54"/>
  <c r="GP204" i="54"/>
  <c r="GQ15" i="54"/>
  <c r="GP15" i="54"/>
  <c r="GQ56" i="54"/>
  <c r="GP56" i="54"/>
  <c r="GQ97" i="54"/>
  <c r="GP97" i="54"/>
  <c r="GQ138" i="54"/>
  <c r="GP138" i="54"/>
  <c r="HO25" i="54"/>
  <c r="HL44" i="54"/>
  <c r="HM167" i="54"/>
  <c r="HM266" i="54"/>
  <c r="HM197" i="54"/>
  <c r="HL39" i="54"/>
  <c r="HL146" i="54"/>
  <c r="HM69" i="54"/>
  <c r="HM174" i="54"/>
  <c r="HM57" i="54"/>
  <c r="HL185" i="54"/>
  <c r="HL35" i="54"/>
  <c r="HP204" i="54"/>
  <c r="DR46" i="54"/>
  <c r="DR89" i="54"/>
  <c r="DR101" i="54"/>
  <c r="DR181" i="54"/>
  <c r="DR262" i="54"/>
  <c r="DR57" i="54"/>
  <c r="DR215" i="54"/>
  <c r="DR10" i="54"/>
  <c r="DR174" i="54"/>
  <c r="DR226" i="54"/>
  <c r="DR133" i="54"/>
  <c r="DR179" i="54"/>
  <c r="DR227" i="54"/>
  <c r="DR17" i="54"/>
  <c r="DR97" i="54"/>
  <c r="DR67" i="54"/>
  <c r="DR197" i="54"/>
  <c r="DR142" i="54"/>
  <c r="DR237" i="54"/>
  <c r="DR206" i="54"/>
  <c r="DR242" i="54"/>
  <c r="DR155" i="54"/>
  <c r="DR79" i="54"/>
  <c r="DR74" i="54"/>
  <c r="DR87" i="54"/>
  <c r="DR90" i="54"/>
  <c r="DR229" i="54"/>
  <c r="DR49" i="54"/>
  <c r="DR256" i="54"/>
  <c r="DR164" i="54"/>
  <c r="DR172" i="54"/>
  <c r="DR157" i="54"/>
  <c r="DR152" i="54"/>
  <c r="DR129" i="54"/>
  <c r="DR71" i="54"/>
  <c r="DR135" i="54"/>
  <c r="DR213" i="54"/>
  <c r="DR43" i="54"/>
  <c r="DR166" i="54"/>
  <c r="DR259" i="54"/>
  <c r="DR239" i="54"/>
  <c r="DR117" i="54"/>
  <c r="DR14" i="54"/>
  <c r="EC252" i="54"/>
  <c r="EK252" i="54" s="1"/>
  <c r="EC174" i="54"/>
  <c r="EK174" i="54" s="1"/>
  <c r="EC35" i="54"/>
  <c r="EK35" i="54" s="1"/>
  <c r="EC52" i="54"/>
  <c r="EK52" i="54" s="1"/>
  <c r="EC164" i="54"/>
  <c r="EK164" i="54" s="1"/>
  <c r="EC42" i="54"/>
  <c r="EK42" i="54" s="1"/>
  <c r="EC249" i="54"/>
  <c r="EK249" i="54" s="1"/>
  <c r="EC248" i="54"/>
  <c r="EK248" i="54" s="1"/>
  <c r="EC84" i="54"/>
  <c r="EK84" i="54" s="1"/>
  <c r="EC28" i="54"/>
  <c r="EK28" i="54" s="1"/>
  <c r="EC91" i="54"/>
  <c r="EK91" i="54" s="1"/>
  <c r="EC123" i="54"/>
  <c r="EK123" i="54" s="1"/>
  <c r="EC132" i="54"/>
  <c r="EK132" i="54" s="1"/>
  <c r="EU44" i="54"/>
  <c r="EV44" i="54" s="1"/>
  <c r="EU80" i="54"/>
  <c r="EV80" i="54" s="1"/>
  <c r="EU116" i="54"/>
  <c r="EV116" i="54" s="1"/>
  <c r="EU152" i="54"/>
  <c r="EV152" i="54" s="1"/>
  <c r="EU188" i="54"/>
  <c r="EV188" i="54" s="1"/>
  <c r="EU224" i="54"/>
  <c r="EV224" i="54" s="1"/>
  <c r="EU21" i="54"/>
  <c r="EV21" i="54" s="1"/>
  <c r="EU34" i="54"/>
  <c r="EV34" i="54" s="1"/>
  <c r="EU70" i="54"/>
  <c r="EV70" i="54" s="1"/>
  <c r="EU106" i="54"/>
  <c r="EV106" i="54" s="1"/>
  <c r="EU142" i="54"/>
  <c r="EV142" i="54" s="1"/>
  <c r="EU178" i="54"/>
  <c r="EV178" i="54" s="1"/>
  <c r="EU214" i="54"/>
  <c r="EV214" i="54" s="1"/>
  <c r="EU35" i="54"/>
  <c r="EV35" i="54" s="1"/>
  <c r="EU71" i="54"/>
  <c r="EV71" i="54" s="1"/>
  <c r="EU107" i="54"/>
  <c r="EV107" i="54" s="1"/>
  <c r="EU143" i="54"/>
  <c r="EV143" i="54" s="1"/>
  <c r="EU179" i="54"/>
  <c r="EV179" i="54" s="1"/>
  <c r="EU215" i="54"/>
  <c r="EV215" i="54" s="1"/>
  <c r="EU251" i="54"/>
  <c r="EV251" i="54" s="1"/>
  <c r="ES28" i="54"/>
  <c r="ES64" i="54"/>
  <c r="EU24" i="54"/>
  <c r="EV24" i="54" s="1"/>
  <c r="EU60" i="54"/>
  <c r="EV60" i="54" s="1"/>
  <c r="EU96" i="54"/>
  <c r="EV96" i="54" s="1"/>
  <c r="EU132" i="54"/>
  <c r="EV132" i="54" s="1"/>
  <c r="EU168" i="54"/>
  <c r="EV168" i="54" s="1"/>
  <c r="EU204" i="54"/>
  <c r="EV204" i="54" s="1"/>
  <c r="EU240" i="54"/>
  <c r="EV240" i="54" s="1"/>
  <c r="ES17" i="54"/>
  <c r="ES53" i="54"/>
  <c r="ES89" i="54"/>
  <c r="EU117" i="54"/>
  <c r="EV117" i="54" s="1"/>
  <c r="EU225" i="54"/>
  <c r="EV225" i="54" s="1"/>
  <c r="ES26" i="54"/>
  <c r="ES80" i="54"/>
  <c r="ES119" i="54"/>
  <c r="ES155" i="54"/>
  <c r="ES191" i="54"/>
  <c r="ES227" i="54"/>
  <c r="ES263" i="54"/>
  <c r="EU121" i="54"/>
  <c r="EV121" i="54" s="1"/>
  <c r="EU226" i="54"/>
  <c r="EV226" i="54" s="1"/>
  <c r="ES27" i="54"/>
  <c r="ES81" i="54"/>
  <c r="ES120" i="54"/>
  <c r="ES156" i="54"/>
  <c r="ES192" i="54"/>
  <c r="ES228" i="54"/>
  <c r="ES264" i="54"/>
  <c r="EU123" i="54"/>
  <c r="EV123" i="54" s="1"/>
  <c r="EU229" i="54"/>
  <c r="EV229" i="54" s="1"/>
  <c r="ES30" i="54"/>
  <c r="ES84" i="54"/>
  <c r="ES121" i="54"/>
  <c r="ES157" i="54"/>
  <c r="ES193" i="54"/>
  <c r="ES229" i="54"/>
  <c r="ES265" i="54"/>
  <c r="EU127" i="54"/>
  <c r="EV127" i="54" s="1"/>
  <c r="EU231" i="54"/>
  <c r="EV231" i="54" s="1"/>
  <c r="ES31" i="54"/>
  <c r="ES85" i="54"/>
  <c r="ES122" i="54"/>
  <c r="ES158" i="54"/>
  <c r="ES194" i="54"/>
  <c r="ES230" i="54"/>
  <c r="ES24" i="54"/>
  <c r="ES153" i="54"/>
  <c r="ES250" i="54"/>
  <c r="EU256" i="54"/>
  <c r="EV256" i="54" s="1"/>
  <c r="ES136" i="54"/>
  <c r="ES242" i="54"/>
  <c r="EU187" i="54"/>
  <c r="EV187" i="54" s="1"/>
  <c r="ES106" i="54"/>
  <c r="ES214" i="54"/>
  <c r="EU93" i="54"/>
  <c r="EV93" i="54" s="1"/>
  <c r="ES68" i="54"/>
  <c r="ES183" i="54"/>
  <c r="EU129" i="54"/>
  <c r="EV129" i="54" s="1"/>
  <c r="EU151" i="54"/>
  <c r="EV151" i="54" s="1"/>
  <c r="EU13" i="54"/>
  <c r="EV13" i="54" s="1"/>
  <c r="ES255" i="54"/>
  <c r="ES220" i="54"/>
  <c r="ES177" i="54"/>
  <c r="ES130" i="54"/>
  <c r="EU14" i="54"/>
  <c r="EV14" i="54" s="1"/>
  <c r="EU50" i="54"/>
  <c r="EV50" i="54" s="1"/>
  <c r="EU86" i="54"/>
  <c r="EV86" i="54" s="1"/>
  <c r="EU122" i="54"/>
  <c r="EV122" i="54" s="1"/>
  <c r="EU158" i="54"/>
  <c r="EV158" i="54" s="1"/>
  <c r="EU194" i="54"/>
  <c r="EV194" i="54" s="1"/>
  <c r="EU230" i="54"/>
  <c r="EV230" i="54" s="1"/>
  <c r="EU27" i="54"/>
  <c r="EV27" i="54" s="1"/>
  <c r="EU40" i="54"/>
  <c r="EV40" i="54" s="1"/>
  <c r="EU76" i="54"/>
  <c r="EV76" i="54" s="1"/>
  <c r="EU112" i="54"/>
  <c r="EV112" i="54" s="1"/>
  <c r="EU148" i="54"/>
  <c r="EV148" i="54" s="1"/>
  <c r="EU184" i="54"/>
  <c r="EV184" i="54" s="1"/>
  <c r="EU220" i="54"/>
  <c r="EV220" i="54" s="1"/>
  <c r="EU41" i="54"/>
  <c r="EV41" i="54" s="1"/>
  <c r="EU77" i="54"/>
  <c r="EV77" i="54" s="1"/>
  <c r="EU113" i="54"/>
  <c r="EV113" i="54" s="1"/>
  <c r="EU149" i="54"/>
  <c r="EV149" i="54" s="1"/>
  <c r="EU185" i="54"/>
  <c r="EV185" i="54" s="1"/>
  <c r="EU221" i="54"/>
  <c r="EV221" i="54" s="1"/>
  <c r="EU257" i="54"/>
  <c r="EV257" i="54" s="1"/>
  <c r="ES34" i="54"/>
  <c r="ES70" i="54"/>
  <c r="EU30" i="54"/>
  <c r="EV30" i="54" s="1"/>
  <c r="EU66" i="54"/>
  <c r="EV66" i="54" s="1"/>
  <c r="EU102" i="54"/>
  <c r="EV102" i="54" s="1"/>
  <c r="EU138" i="54"/>
  <c r="EV138" i="54" s="1"/>
  <c r="EU174" i="54"/>
  <c r="EV174" i="54" s="1"/>
  <c r="EU210" i="54"/>
  <c r="EV210" i="54" s="1"/>
  <c r="EU246" i="54"/>
  <c r="EV246" i="54" s="1"/>
  <c r="ES23" i="54"/>
  <c r="ES59" i="54"/>
  <c r="EU25" i="54"/>
  <c r="EV25" i="54" s="1"/>
  <c r="EU135" i="54"/>
  <c r="EV135" i="54" s="1"/>
  <c r="EU237" i="54"/>
  <c r="EV237" i="54" s="1"/>
  <c r="ES36" i="54"/>
  <c r="ES88" i="54"/>
  <c r="ES125" i="54"/>
  <c r="ES161" i="54"/>
  <c r="ES197" i="54"/>
  <c r="ES233" i="54"/>
  <c r="EU31" i="54"/>
  <c r="EV31" i="54" s="1"/>
  <c r="EU139" i="54"/>
  <c r="EV139" i="54" s="1"/>
  <c r="EU238" i="54"/>
  <c r="EV238" i="54" s="1"/>
  <c r="ES37" i="54"/>
  <c r="ES90" i="54"/>
  <c r="ES126" i="54"/>
  <c r="ES162" i="54"/>
  <c r="ES198" i="54"/>
  <c r="ES234" i="54"/>
  <c r="EU33" i="54"/>
  <c r="EV33" i="54" s="1"/>
  <c r="EU141" i="54"/>
  <c r="EV141" i="54" s="1"/>
  <c r="EU241" i="54"/>
  <c r="EV241" i="54" s="1"/>
  <c r="ES38" i="54"/>
  <c r="ES91" i="54"/>
  <c r="ES127" i="54"/>
  <c r="ES163" i="54"/>
  <c r="ES199" i="54"/>
  <c r="ES235" i="54"/>
  <c r="EU37" i="54"/>
  <c r="EV37" i="54" s="1"/>
  <c r="EU145" i="54"/>
  <c r="EV145" i="54" s="1"/>
  <c r="EU243" i="54"/>
  <c r="EV243" i="54" s="1"/>
  <c r="ES39" i="54"/>
  <c r="ES92" i="54"/>
  <c r="ES128" i="54"/>
  <c r="ES164" i="54"/>
  <c r="ES200" i="54"/>
  <c r="EU57" i="54"/>
  <c r="EV57" i="54" s="1"/>
  <c r="ES50" i="54"/>
  <c r="ES171" i="54"/>
  <c r="ES262" i="54"/>
  <c r="ES25" i="54"/>
  <c r="ES154" i="54"/>
  <c r="ES254" i="54"/>
  <c r="EU235" i="54"/>
  <c r="EV235" i="54" s="1"/>
  <c r="ES124" i="54"/>
  <c r="ES232" i="54"/>
  <c r="EU147" i="54"/>
  <c r="EV147" i="54" s="1"/>
  <c r="ES93" i="54"/>
  <c r="ES201" i="54"/>
  <c r="EU265" i="54"/>
  <c r="EV265" i="54" s="1"/>
  <c r="ES15" i="54"/>
  <c r="EU183" i="54"/>
  <c r="EV183" i="54" s="1"/>
  <c r="EU43" i="54"/>
  <c r="EV43" i="54" s="1"/>
  <c r="ES261" i="54"/>
  <c r="ES231" i="54"/>
  <c r="ES184" i="54"/>
  <c r="EU20" i="54"/>
  <c r="EV20" i="54" s="1"/>
  <c r="EU56" i="54"/>
  <c r="EV56" i="54" s="1"/>
  <c r="EU92" i="54"/>
  <c r="EV92" i="54" s="1"/>
  <c r="EU128" i="54"/>
  <c r="EV128" i="54" s="1"/>
  <c r="EU164" i="54"/>
  <c r="EV164" i="54" s="1"/>
  <c r="EU200" i="54"/>
  <c r="EV200" i="54" s="1"/>
  <c r="EU236" i="54"/>
  <c r="EV236" i="54" s="1"/>
  <c r="EU10" i="54"/>
  <c r="EV10" i="54" s="1"/>
  <c r="EU46" i="54"/>
  <c r="EV46" i="54" s="1"/>
  <c r="EU82" i="54"/>
  <c r="EV82" i="54" s="1"/>
  <c r="EU118" i="54"/>
  <c r="EV118" i="54" s="1"/>
  <c r="EU154" i="54"/>
  <c r="EV154" i="54" s="1"/>
  <c r="EU190" i="54"/>
  <c r="EV190" i="54" s="1"/>
  <c r="EU11" i="54"/>
  <c r="EV11" i="54" s="1"/>
  <c r="EU47" i="54"/>
  <c r="EV47" i="54" s="1"/>
  <c r="EU83" i="54"/>
  <c r="EV83" i="54" s="1"/>
  <c r="EU119" i="54"/>
  <c r="EV119" i="54" s="1"/>
  <c r="EU155" i="54"/>
  <c r="EV155" i="54" s="1"/>
  <c r="EU191" i="54"/>
  <c r="EV191" i="54" s="1"/>
  <c r="EU227" i="54"/>
  <c r="EV227" i="54" s="1"/>
  <c r="EU263" i="54"/>
  <c r="EV263" i="54" s="1"/>
  <c r="ES40" i="54"/>
  <c r="ES76" i="54"/>
  <c r="EU36" i="54"/>
  <c r="EV36" i="54" s="1"/>
  <c r="EU72" i="54"/>
  <c r="EV72" i="54" s="1"/>
  <c r="EU108" i="54"/>
  <c r="EV108" i="54" s="1"/>
  <c r="EU144" i="54"/>
  <c r="EV144" i="54" s="1"/>
  <c r="EU180" i="54"/>
  <c r="EV180" i="54" s="1"/>
  <c r="EU216" i="54"/>
  <c r="EV216" i="54" s="1"/>
  <c r="EU252" i="54"/>
  <c r="EV252" i="54" s="1"/>
  <c r="ES29" i="54"/>
  <c r="ES65" i="54"/>
  <c r="EU45" i="54"/>
  <c r="EV45" i="54" s="1"/>
  <c r="EU153" i="54"/>
  <c r="EV153" i="54" s="1"/>
  <c r="EU249" i="54"/>
  <c r="EV249" i="54" s="1"/>
  <c r="ES44" i="54"/>
  <c r="ES95" i="54"/>
  <c r="ES131" i="54"/>
  <c r="ES167" i="54"/>
  <c r="ES203" i="54"/>
  <c r="ES239" i="54"/>
  <c r="EU49" i="54"/>
  <c r="EV49" i="54" s="1"/>
  <c r="EU157" i="54"/>
  <c r="EV157" i="54" s="1"/>
  <c r="EU250" i="54"/>
  <c r="EV250" i="54" s="1"/>
  <c r="ES45" i="54"/>
  <c r="ES96" i="54"/>
  <c r="ES132" i="54"/>
  <c r="ES168" i="54"/>
  <c r="ES204" i="54"/>
  <c r="ES240" i="54"/>
  <c r="EU51" i="54"/>
  <c r="EV51" i="54" s="1"/>
  <c r="EU159" i="54"/>
  <c r="EV159" i="54" s="1"/>
  <c r="EU253" i="54"/>
  <c r="EV253" i="54" s="1"/>
  <c r="ES48" i="54"/>
  <c r="ES97" i="54"/>
  <c r="ES133" i="54"/>
  <c r="ES169" i="54"/>
  <c r="ES205" i="54"/>
  <c r="ES241" i="54"/>
  <c r="EU55" i="54"/>
  <c r="EV55" i="54" s="1"/>
  <c r="EU163" i="54"/>
  <c r="EV163" i="54" s="1"/>
  <c r="EU254" i="54"/>
  <c r="EV254" i="54" s="1"/>
  <c r="ES49" i="54"/>
  <c r="ES98" i="54"/>
  <c r="ES134" i="54"/>
  <c r="ES170" i="54"/>
  <c r="ES206" i="54"/>
  <c r="EU111" i="54"/>
  <c r="EV111" i="54" s="1"/>
  <c r="ES78" i="54"/>
  <c r="ES189" i="54"/>
  <c r="EU61" i="54"/>
  <c r="EV61" i="54" s="1"/>
  <c r="ES51" i="54"/>
  <c r="ES172" i="54"/>
  <c r="ES266" i="54"/>
  <c r="EU266" i="54"/>
  <c r="EV266" i="54" s="1"/>
  <c r="ES142" i="54"/>
  <c r="ES244" i="54"/>
  <c r="EU201" i="54"/>
  <c r="EV201" i="54" s="1"/>
  <c r="ES111" i="54"/>
  <c r="ES219" i="54"/>
  <c r="ES86" i="54"/>
  <c r="ES94" i="54"/>
  <c r="ES32" i="54"/>
  <c r="EU205" i="54"/>
  <c r="EV205" i="54" s="1"/>
  <c r="EU75" i="54"/>
  <c r="EV75" i="54" s="1"/>
  <c r="ES267" i="54"/>
  <c r="ES237" i="54"/>
  <c r="EU26" i="54"/>
  <c r="EV26" i="54" s="1"/>
  <c r="EU62" i="54"/>
  <c r="EV62" i="54" s="1"/>
  <c r="EU98" i="54"/>
  <c r="EV98" i="54" s="1"/>
  <c r="EU134" i="54"/>
  <c r="EV134" i="54" s="1"/>
  <c r="EU170" i="54"/>
  <c r="EV170" i="54" s="1"/>
  <c r="EU206" i="54"/>
  <c r="EV206" i="54" s="1"/>
  <c r="EU242" i="54"/>
  <c r="EV242" i="54" s="1"/>
  <c r="EU16" i="54"/>
  <c r="EV16" i="54" s="1"/>
  <c r="EU52" i="54"/>
  <c r="EV52" i="54" s="1"/>
  <c r="EU88" i="54"/>
  <c r="EV88" i="54" s="1"/>
  <c r="EU124" i="54"/>
  <c r="EV124" i="54" s="1"/>
  <c r="EU160" i="54"/>
  <c r="EV160" i="54" s="1"/>
  <c r="EU196" i="54"/>
  <c r="EV196" i="54" s="1"/>
  <c r="EU17" i="54"/>
  <c r="EV17" i="54" s="1"/>
  <c r="EU53" i="54"/>
  <c r="EV53" i="54" s="1"/>
  <c r="EU89" i="54"/>
  <c r="EV89" i="54" s="1"/>
  <c r="EU125" i="54"/>
  <c r="EV125" i="54" s="1"/>
  <c r="EU161" i="54"/>
  <c r="EV161" i="54" s="1"/>
  <c r="EU197" i="54"/>
  <c r="EV197" i="54" s="1"/>
  <c r="EU233" i="54"/>
  <c r="EV233" i="54" s="1"/>
  <c r="ES10" i="54"/>
  <c r="ES46" i="54"/>
  <c r="ES82" i="54"/>
  <c r="EU42" i="54"/>
  <c r="EV42" i="54" s="1"/>
  <c r="EU78" i="54"/>
  <c r="EV78" i="54" s="1"/>
  <c r="EU114" i="54"/>
  <c r="EV114" i="54" s="1"/>
  <c r="EU150" i="54"/>
  <c r="EV150" i="54" s="1"/>
  <c r="EU186" i="54"/>
  <c r="EV186" i="54" s="1"/>
  <c r="EU222" i="54"/>
  <c r="EV222" i="54" s="1"/>
  <c r="EU258" i="54"/>
  <c r="EV258" i="54" s="1"/>
  <c r="ES35" i="54"/>
  <c r="ES71" i="54"/>
  <c r="EU63" i="54"/>
  <c r="EV63" i="54" s="1"/>
  <c r="EU171" i="54"/>
  <c r="EV171" i="54" s="1"/>
  <c r="EU259" i="54"/>
  <c r="EV259" i="54" s="1"/>
  <c r="ES54" i="54"/>
  <c r="ES101" i="54"/>
  <c r="ES137" i="54"/>
  <c r="ES173" i="54"/>
  <c r="ES209" i="54"/>
  <c r="ES245" i="54"/>
  <c r="EU67" i="54"/>
  <c r="EV67" i="54" s="1"/>
  <c r="EU175" i="54"/>
  <c r="EV175" i="54" s="1"/>
  <c r="EU260" i="54"/>
  <c r="EV260" i="54" s="1"/>
  <c r="ES55" i="54"/>
  <c r="ES102" i="54"/>
  <c r="ES138" i="54"/>
  <c r="ES174" i="54"/>
  <c r="ES210" i="54"/>
  <c r="ES246" i="54"/>
  <c r="EU69" i="54"/>
  <c r="EV69" i="54" s="1"/>
  <c r="EU177" i="54"/>
  <c r="EV177" i="54" s="1"/>
  <c r="EU261" i="54"/>
  <c r="EV261" i="54" s="1"/>
  <c r="ES56" i="54"/>
  <c r="ES103" i="54"/>
  <c r="ES139" i="54"/>
  <c r="ES175" i="54"/>
  <c r="ES211" i="54"/>
  <c r="ES247" i="54"/>
  <c r="EU73" i="54"/>
  <c r="EV73" i="54" s="1"/>
  <c r="EU181" i="54"/>
  <c r="EV181" i="54" s="1"/>
  <c r="EU262" i="54"/>
  <c r="EV262" i="54" s="1"/>
  <c r="ES57" i="54"/>
  <c r="ES104" i="54"/>
  <c r="ES140" i="54"/>
  <c r="ES176" i="54"/>
  <c r="ES212" i="54"/>
  <c r="EU165" i="54"/>
  <c r="EV165" i="54" s="1"/>
  <c r="ES99" i="54"/>
  <c r="ES207" i="54"/>
  <c r="EU115" i="54"/>
  <c r="EV115" i="54" s="1"/>
  <c r="ES79" i="54"/>
  <c r="ES190" i="54"/>
  <c r="EU19" i="54"/>
  <c r="EV19" i="54" s="1"/>
  <c r="ES33" i="54"/>
  <c r="ES160" i="54"/>
  <c r="ES256" i="54"/>
  <c r="EU244" i="54"/>
  <c r="EV244" i="54" s="1"/>
  <c r="ES129" i="54"/>
  <c r="ES236" i="54"/>
  <c r="ES141" i="54"/>
  <c r="ES148" i="54"/>
  <c r="ES105" i="54"/>
  <c r="ES43" i="54"/>
  <c r="EU232" i="54"/>
  <c r="EV232" i="54" s="1"/>
  <c r="EU97" i="54"/>
  <c r="EV97" i="54" s="1"/>
  <c r="EU32" i="54"/>
  <c r="EV32" i="54" s="1"/>
  <c r="EU68" i="54"/>
  <c r="EV68" i="54" s="1"/>
  <c r="EU104" i="54"/>
  <c r="EV104" i="54" s="1"/>
  <c r="EU140" i="54"/>
  <c r="EV140" i="54" s="1"/>
  <c r="EU176" i="54"/>
  <c r="EV176" i="54" s="1"/>
  <c r="EU212" i="54"/>
  <c r="EV212" i="54" s="1"/>
  <c r="EU248" i="54"/>
  <c r="EV248" i="54" s="1"/>
  <c r="EU22" i="54"/>
  <c r="EV22" i="54" s="1"/>
  <c r="EU58" i="54"/>
  <c r="EV58" i="54" s="1"/>
  <c r="EU94" i="54"/>
  <c r="EV94" i="54" s="1"/>
  <c r="EU130" i="54"/>
  <c r="EV130" i="54" s="1"/>
  <c r="EU166" i="54"/>
  <c r="EV166" i="54" s="1"/>
  <c r="EU202" i="54"/>
  <c r="EV202" i="54" s="1"/>
  <c r="EU23" i="54"/>
  <c r="EV23" i="54" s="1"/>
  <c r="EU59" i="54"/>
  <c r="EV59" i="54" s="1"/>
  <c r="EU95" i="54"/>
  <c r="EV95" i="54" s="1"/>
  <c r="EU131" i="54"/>
  <c r="EV131" i="54" s="1"/>
  <c r="EU167" i="54"/>
  <c r="EV167" i="54" s="1"/>
  <c r="EU203" i="54"/>
  <c r="EV203" i="54" s="1"/>
  <c r="EU239" i="54"/>
  <c r="EV239" i="54" s="1"/>
  <c r="ES16" i="54"/>
  <c r="ES52" i="54"/>
  <c r="EU12" i="54"/>
  <c r="EV12" i="54" s="1"/>
  <c r="EU48" i="54"/>
  <c r="EV48" i="54" s="1"/>
  <c r="EU84" i="54"/>
  <c r="EV84" i="54" s="1"/>
  <c r="EU120" i="54"/>
  <c r="EV120" i="54" s="1"/>
  <c r="EU156" i="54"/>
  <c r="EV156" i="54" s="1"/>
  <c r="EU192" i="54"/>
  <c r="EV192" i="54" s="1"/>
  <c r="EU228" i="54"/>
  <c r="EV228" i="54" s="1"/>
  <c r="EU264" i="54"/>
  <c r="EV264" i="54" s="1"/>
  <c r="ES41" i="54"/>
  <c r="ES77" i="54"/>
  <c r="EU81" i="54"/>
  <c r="EV81" i="54" s="1"/>
  <c r="EU189" i="54"/>
  <c r="EV189" i="54" s="1"/>
  <c r="EU267" i="54"/>
  <c r="EV267" i="54" s="1"/>
  <c r="ES62" i="54"/>
  <c r="ES107" i="54"/>
  <c r="ES143" i="54"/>
  <c r="ES179" i="54"/>
  <c r="ES215" i="54"/>
  <c r="ES251" i="54"/>
  <c r="EU85" i="54"/>
  <c r="EV85" i="54" s="1"/>
  <c r="EU193" i="54"/>
  <c r="EV193" i="54" s="1"/>
  <c r="EU268" i="54"/>
  <c r="EV268" i="54" s="1"/>
  <c r="ES63" i="54"/>
  <c r="ES108" i="54"/>
  <c r="ES144" i="54"/>
  <c r="ES180" i="54"/>
  <c r="ES216" i="54"/>
  <c r="ES252" i="54"/>
  <c r="EU87" i="54"/>
  <c r="EV87" i="54" s="1"/>
  <c r="EU195" i="54"/>
  <c r="EV195" i="54" s="1"/>
  <c r="ES12" i="54"/>
  <c r="ES66" i="54"/>
  <c r="ES109" i="54"/>
  <c r="ES145" i="54"/>
  <c r="ES181" i="54"/>
  <c r="ES217" i="54"/>
  <c r="ES253" i="54"/>
  <c r="EU91" i="54"/>
  <c r="EV91" i="54" s="1"/>
  <c r="EU199" i="54"/>
  <c r="EV199" i="54" s="1"/>
  <c r="ES13" i="54"/>
  <c r="ES67" i="54"/>
  <c r="ES110" i="54"/>
  <c r="ES146" i="54"/>
  <c r="ES182" i="54"/>
  <c r="ES218" i="54"/>
  <c r="EU219" i="54"/>
  <c r="EV219" i="54" s="1"/>
  <c r="ES117" i="54"/>
  <c r="ES225" i="54"/>
  <c r="EU169" i="54"/>
  <c r="EV169" i="54" s="1"/>
  <c r="ES100" i="54"/>
  <c r="ES208" i="54"/>
  <c r="EU79" i="54"/>
  <c r="EV79" i="54" s="1"/>
  <c r="ES61" i="54"/>
  <c r="ES178" i="54"/>
  <c r="ES268" i="54"/>
  <c r="ES14" i="54"/>
  <c r="ES147" i="54"/>
  <c r="ES248" i="54"/>
  <c r="ES195" i="54"/>
  <c r="ES202" i="54"/>
  <c r="ES159" i="54"/>
  <c r="ES112" i="54"/>
  <c r="ES60" i="54"/>
  <c r="EU247" i="54"/>
  <c r="EV247" i="54" s="1"/>
  <c r="EU38" i="54"/>
  <c r="EV38" i="54" s="1"/>
  <c r="EU74" i="54"/>
  <c r="EV74" i="54" s="1"/>
  <c r="EU110" i="54"/>
  <c r="EV110" i="54" s="1"/>
  <c r="EU146" i="54"/>
  <c r="EV146" i="54" s="1"/>
  <c r="EU182" i="54"/>
  <c r="EV182" i="54" s="1"/>
  <c r="EU218" i="54"/>
  <c r="EV218" i="54" s="1"/>
  <c r="EU15" i="54"/>
  <c r="EV15" i="54" s="1"/>
  <c r="EU28" i="54"/>
  <c r="EV28" i="54" s="1"/>
  <c r="EU64" i="54"/>
  <c r="EV64" i="54" s="1"/>
  <c r="EU100" i="54"/>
  <c r="EV100" i="54" s="1"/>
  <c r="EU136" i="54"/>
  <c r="EV136" i="54" s="1"/>
  <c r="EU172" i="54"/>
  <c r="EV172" i="54" s="1"/>
  <c r="EU208" i="54"/>
  <c r="EV208" i="54" s="1"/>
  <c r="EU29" i="54"/>
  <c r="EV29" i="54" s="1"/>
  <c r="EU65" i="54"/>
  <c r="EV65" i="54" s="1"/>
  <c r="EU101" i="54"/>
  <c r="EV101" i="54" s="1"/>
  <c r="EU137" i="54"/>
  <c r="EV137" i="54" s="1"/>
  <c r="EU173" i="54"/>
  <c r="EV173" i="54" s="1"/>
  <c r="EU209" i="54"/>
  <c r="EV209" i="54" s="1"/>
  <c r="EU245" i="54"/>
  <c r="EV245" i="54" s="1"/>
  <c r="ES22" i="54"/>
  <c r="ES58" i="54"/>
  <c r="EU18" i="54"/>
  <c r="EV18" i="54" s="1"/>
  <c r="EU54" i="54"/>
  <c r="EV54" i="54" s="1"/>
  <c r="EU90" i="54"/>
  <c r="EV90" i="54" s="1"/>
  <c r="EU126" i="54"/>
  <c r="EV126" i="54" s="1"/>
  <c r="EU162" i="54"/>
  <c r="EV162" i="54" s="1"/>
  <c r="EU198" i="54"/>
  <c r="EV198" i="54" s="1"/>
  <c r="EU234" i="54"/>
  <c r="EV234" i="54" s="1"/>
  <c r="ES11" i="54"/>
  <c r="ES47" i="54"/>
  <c r="ES83" i="54"/>
  <c r="EU99" i="54"/>
  <c r="EV99" i="54" s="1"/>
  <c r="EU207" i="54"/>
  <c r="EV207" i="54" s="1"/>
  <c r="ES18" i="54"/>
  <c r="ES72" i="54"/>
  <c r="ES113" i="54"/>
  <c r="ES149" i="54"/>
  <c r="ES185" i="54"/>
  <c r="ES221" i="54"/>
  <c r="ES257" i="54"/>
  <c r="EU103" i="54"/>
  <c r="EV103" i="54" s="1"/>
  <c r="EU211" i="54"/>
  <c r="EV211" i="54" s="1"/>
  <c r="ES19" i="54"/>
  <c r="ES73" i="54"/>
  <c r="ES114" i="54"/>
  <c r="ES150" i="54"/>
  <c r="ES186" i="54"/>
  <c r="ES222" i="54"/>
  <c r="ES258" i="54"/>
  <c r="EU105" i="54"/>
  <c r="EV105" i="54" s="1"/>
  <c r="EU213" i="54"/>
  <c r="EV213" i="54" s="1"/>
  <c r="ES20" i="54"/>
  <c r="ES74" i="54"/>
  <c r="ES115" i="54"/>
  <c r="ES151" i="54"/>
  <c r="ES187" i="54"/>
  <c r="ES223" i="54"/>
  <c r="ES259" i="54"/>
  <c r="EU109" i="54"/>
  <c r="EV109" i="54" s="1"/>
  <c r="EU217" i="54"/>
  <c r="EV217" i="54" s="1"/>
  <c r="ES21" i="54"/>
  <c r="ES75" i="54"/>
  <c r="ES116" i="54"/>
  <c r="ES152" i="54"/>
  <c r="ES188" i="54"/>
  <c r="ES224" i="54"/>
  <c r="EU255" i="54"/>
  <c r="EV255" i="54" s="1"/>
  <c r="ES135" i="54"/>
  <c r="ES238" i="54"/>
  <c r="EU223" i="54"/>
  <c r="EV223" i="54" s="1"/>
  <c r="ES118" i="54"/>
  <c r="ES226" i="54"/>
  <c r="EU133" i="54"/>
  <c r="EV133" i="54" s="1"/>
  <c r="ES87" i="54"/>
  <c r="ES196" i="54"/>
  <c r="EU39" i="54"/>
  <c r="EV39" i="54" s="1"/>
  <c r="ES42" i="54"/>
  <c r="ES165" i="54"/>
  <c r="ES260" i="54"/>
  <c r="ES243" i="54"/>
  <c r="ES249" i="54"/>
  <c r="ES213" i="54"/>
  <c r="ES166" i="54"/>
  <c r="ES123" i="54"/>
  <c r="ES69" i="54"/>
  <c r="EC240" i="54"/>
  <c r="EK240" i="54" s="1"/>
  <c r="EC148" i="54"/>
  <c r="EK148" i="54" s="1"/>
  <c r="HM164" i="54"/>
  <c r="HM85" i="54"/>
  <c r="HM214" i="54"/>
  <c r="HL13" i="54"/>
  <c r="HL50" i="54"/>
  <c r="HM189" i="54"/>
  <c r="HM244" i="54"/>
  <c r="HM80" i="54"/>
  <c r="HM263" i="54"/>
  <c r="HM187" i="54"/>
  <c r="HM110" i="54"/>
  <c r="HM98" i="54"/>
  <c r="HM237" i="54"/>
  <c r="HL109" i="54"/>
  <c r="HM82" i="54"/>
  <c r="BG34" i="54"/>
  <c r="Q36" i="54" s="1"/>
  <c r="BG29" i="54"/>
  <c r="O36" i="54" s="1"/>
  <c r="HL20" i="54"/>
  <c r="HL123" i="54"/>
  <c r="HM195" i="54"/>
  <c r="HL23" i="54"/>
  <c r="HM162" i="54"/>
  <c r="HM163" i="54"/>
  <c r="HM53" i="54"/>
  <c r="HL91" i="54"/>
  <c r="HM152" i="54"/>
  <c r="HL59" i="54"/>
  <c r="HL121" i="54"/>
  <c r="HM38" i="54"/>
  <c r="HL227" i="54"/>
  <c r="HM262" i="54"/>
  <c r="HM257" i="54"/>
  <c r="HM154" i="54"/>
  <c r="HM246" i="54"/>
  <c r="HM129" i="54"/>
  <c r="HM15" i="54"/>
  <c r="HM40" i="54"/>
  <c r="HM184" i="54"/>
  <c r="HL220" i="54"/>
  <c r="HM70" i="54"/>
  <c r="HM203" i="54"/>
  <c r="HM264" i="54"/>
  <c r="HL100" i="54"/>
  <c r="HL193" i="54"/>
  <c r="HM106" i="54"/>
  <c r="HM78" i="54"/>
  <c r="HL79" i="54"/>
  <c r="HM11" i="54"/>
  <c r="HM114" i="54"/>
  <c r="HM46" i="54"/>
  <c r="HL41" i="54"/>
  <c r="HM180" i="54"/>
  <c r="HL201" i="54"/>
  <c r="HL30" i="54"/>
  <c r="HM72" i="54"/>
  <c r="HL170" i="54"/>
  <c r="DN131" i="54"/>
  <c r="DO131" i="54"/>
  <c r="DO162" i="54"/>
  <c r="DN162" i="54"/>
  <c r="DN157" i="54"/>
  <c r="DO157" i="54"/>
  <c r="DO96" i="54"/>
  <c r="DN96" i="54"/>
  <c r="DN226" i="54"/>
  <c r="DO226" i="54"/>
  <c r="DN123" i="54"/>
  <c r="DO123" i="54"/>
  <c r="DO234" i="54"/>
  <c r="DN234" i="54"/>
  <c r="DN173" i="54"/>
  <c r="DO173" i="54"/>
  <c r="DN46" i="54"/>
  <c r="DO46" i="54"/>
  <c r="DN225" i="54"/>
  <c r="DO225" i="54"/>
  <c r="DN189" i="54"/>
  <c r="DO189" i="54"/>
  <c r="DN188" i="54"/>
  <c r="DO188" i="54"/>
  <c r="DN127" i="54"/>
  <c r="DO127" i="54"/>
  <c r="DO210" i="54"/>
  <c r="DN210" i="54"/>
  <c r="DN71" i="54"/>
  <c r="DO71" i="54"/>
  <c r="DO265" i="54"/>
  <c r="DN265" i="54"/>
  <c r="DN65" i="54"/>
  <c r="DO65" i="54"/>
  <c r="DN154" i="54"/>
  <c r="DO154" i="54"/>
  <c r="DO41" i="54"/>
  <c r="DN41" i="54"/>
  <c r="DN85" i="54"/>
  <c r="DO85" i="54"/>
  <c r="DO60" i="54"/>
  <c r="DN60" i="54"/>
  <c r="DN190" i="54"/>
  <c r="DO190" i="54"/>
  <c r="DN257" i="54"/>
  <c r="DO257" i="54"/>
  <c r="DN211" i="54"/>
  <c r="DO211" i="54"/>
  <c r="DN207" i="54"/>
  <c r="DO207" i="54"/>
  <c r="DN206" i="54"/>
  <c r="DO206" i="54"/>
  <c r="DN243" i="54"/>
  <c r="DO243" i="54"/>
  <c r="DN242" i="54"/>
  <c r="DO242" i="54"/>
  <c r="DN232" i="54"/>
  <c r="DO232" i="54"/>
  <c r="DN202" i="54"/>
  <c r="DO202" i="54"/>
  <c r="DO180" i="54"/>
  <c r="DN180" i="54"/>
  <c r="DO216" i="54"/>
  <c r="DN216" i="54"/>
  <c r="DN32" i="54"/>
  <c r="DO32" i="54"/>
  <c r="DO253" i="54"/>
  <c r="DN253" i="54"/>
  <c r="DO228" i="54"/>
  <c r="DN228" i="54"/>
  <c r="DO48" i="54"/>
  <c r="DN48" i="54"/>
  <c r="DN150" i="54"/>
  <c r="DO150" i="54"/>
  <c r="DO84" i="54"/>
  <c r="DN84" i="54"/>
  <c r="DO186" i="54"/>
  <c r="DN186" i="54"/>
  <c r="DN161" i="54"/>
  <c r="DO161" i="54"/>
  <c r="DO28" i="54"/>
  <c r="DN28" i="54"/>
  <c r="DN83" i="54"/>
  <c r="DO83" i="54"/>
  <c r="DN64" i="54"/>
  <c r="DO64" i="54"/>
  <c r="HP267" i="54"/>
  <c r="EG57" i="54"/>
  <c r="EH57" i="54"/>
  <c r="EX57" i="54"/>
  <c r="EG50" i="54"/>
  <c r="EH50" i="54"/>
  <c r="EX50" i="54"/>
  <c r="EC49" i="54"/>
  <c r="EK49" i="54" s="1"/>
  <c r="EH49" i="54"/>
  <c r="EG49" i="54"/>
  <c r="EX49" i="54"/>
  <c r="EX48" i="54"/>
  <c r="EH48" i="54"/>
  <c r="EG48" i="54"/>
  <c r="EG47" i="54"/>
  <c r="EX47" i="54"/>
  <c r="EH47" i="54"/>
  <c r="EG261" i="54"/>
  <c r="EH261" i="54"/>
  <c r="EX261" i="54"/>
  <c r="EC260" i="54"/>
  <c r="EK260" i="54" s="1"/>
  <c r="EX260" i="54"/>
  <c r="EG260" i="54"/>
  <c r="EH260" i="54"/>
  <c r="EX259" i="54"/>
  <c r="EH259" i="54"/>
  <c r="EG259" i="54"/>
  <c r="EH258" i="54"/>
  <c r="EX258" i="54"/>
  <c r="EG258" i="54"/>
  <c r="EX257" i="54"/>
  <c r="EG257" i="54"/>
  <c r="EH257" i="54"/>
  <c r="EG244" i="54"/>
  <c r="EH244" i="54"/>
  <c r="EX244" i="54"/>
  <c r="EH213" i="54"/>
  <c r="EX213" i="54"/>
  <c r="EG213" i="54"/>
  <c r="EG212" i="54"/>
  <c r="EH212" i="54"/>
  <c r="EX212" i="54"/>
  <c r="EX211" i="54"/>
  <c r="EH211" i="54"/>
  <c r="EG211" i="54"/>
  <c r="EX204" i="54"/>
  <c r="EG204" i="54"/>
  <c r="EH204" i="54"/>
  <c r="EC203" i="54"/>
  <c r="EK203" i="54" s="1"/>
  <c r="EH203" i="54"/>
  <c r="EX203" i="54"/>
  <c r="EG203" i="54"/>
  <c r="EG184" i="54"/>
  <c r="EH184" i="54"/>
  <c r="EX184" i="54"/>
  <c r="EH165" i="54"/>
  <c r="EX165" i="54"/>
  <c r="EG165" i="54"/>
  <c r="EX158" i="54"/>
  <c r="EG158" i="54"/>
  <c r="EH158" i="54"/>
  <c r="EC157" i="54"/>
  <c r="EK157" i="54" s="1"/>
  <c r="EG157" i="54"/>
  <c r="EX157" i="54"/>
  <c r="EH157" i="54"/>
  <c r="EG156" i="54"/>
  <c r="EH156" i="54"/>
  <c r="EX156" i="54"/>
  <c r="EH155" i="54"/>
  <c r="EX155" i="54"/>
  <c r="EG155" i="54"/>
  <c r="EX124" i="54"/>
  <c r="EG124" i="54"/>
  <c r="EH124" i="54"/>
  <c r="EC111" i="54"/>
  <c r="EK111" i="54" s="1"/>
  <c r="EH111" i="54"/>
  <c r="EG111" i="54"/>
  <c r="EX111" i="54"/>
  <c r="EG110" i="54"/>
  <c r="EH110" i="54"/>
  <c r="EX110" i="54"/>
  <c r="EH109" i="54"/>
  <c r="EG109" i="54"/>
  <c r="EX109" i="54"/>
  <c r="EH108" i="54"/>
  <c r="EG108" i="54"/>
  <c r="EX108" i="54"/>
  <c r="EH101" i="54"/>
  <c r="EX101" i="54"/>
  <c r="EG101" i="54"/>
  <c r="EX58" i="54"/>
  <c r="EG58" i="54"/>
  <c r="EH58" i="54"/>
  <c r="EG21" i="54"/>
  <c r="EH21" i="54"/>
  <c r="EX21" i="54"/>
  <c r="EG14" i="54"/>
  <c r="EH14" i="54"/>
  <c r="EX14" i="54"/>
  <c r="EC13" i="54"/>
  <c r="EK13" i="54" s="1"/>
  <c r="EH13" i="54"/>
  <c r="EX13" i="54"/>
  <c r="EG13" i="54"/>
  <c r="EH12" i="54"/>
  <c r="EG12" i="54"/>
  <c r="EX12" i="54"/>
  <c r="EG268" i="54"/>
  <c r="EH268" i="54"/>
  <c r="EX268" i="54"/>
  <c r="EX231" i="54"/>
  <c r="EG231" i="54"/>
  <c r="EH231" i="54"/>
  <c r="EX15" i="54"/>
  <c r="EG15" i="54"/>
  <c r="EH15" i="54"/>
  <c r="EX56" i="54"/>
  <c r="EG56" i="54"/>
  <c r="EH56" i="54"/>
  <c r="EX97" i="54"/>
  <c r="EH97" i="54"/>
  <c r="EG97" i="54"/>
  <c r="EX138" i="54"/>
  <c r="EG138" i="54"/>
  <c r="EH138" i="54"/>
  <c r="EX179" i="54"/>
  <c r="EG179" i="54"/>
  <c r="EH179" i="54"/>
  <c r="EX226" i="54"/>
  <c r="EG226" i="54"/>
  <c r="EH226" i="54"/>
  <c r="EX10" i="54"/>
  <c r="EH10" i="54"/>
  <c r="EG10" i="54"/>
  <c r="EC106" i="54"/>
  <c r="EK106" i="54" s="1"/>
  <c r="EG106" i="54"/>
  <c r="EH106" i="54"/>
  <c r="EX106" i="54"/>
  <c r="HL168" i="54"/>
  <c r="HM34" i="54"/>
  <c r="HM126" i="54"/>
  <c r="HM156" i="54"/>
  <c r="HL166" i="54"/>
  <c r="HL43" i="54"/>
  <c r="HL22" i="54"/>
  <c r="HL202" i="54"/>
  <c r="HL37" i="54"/>
  <c r="HL134" i="54"/>
  <c r="HL10" i="54"/>
  <c r="HM145" i="54"/>
  <c r="HL118" i="54"/>
  <c r="GT216" i="54"/>
  <c r="GT215" i="54"/>
  <c r="GT226" i="54"/>
  <c r="GT237" i="54"/>
  <c r="GT242" i="54"/>
  <c r="GT247" i="54"/>
  <c r="GT252" i="54"/>
  <c r="GT251" i="54"/>
  <c r="GT124" i="54"/>
  <c r="GT217" i="54"/>
  <c r="GT48" i="54"/>
  <c r="GT99" i="54"/>
  <c r="GT218" i="54"/>
  <c r="GT232" i="54"/>
  <c r="GT68" i="54"/>
  <c r="GT259" i="54"/>
  <c r="GT160" i="54"/>
  <c r="GT182" i="54"/>
  <c r="GT157" i="54"/>
  <c r="GT163" i="54"/>
  <c r="GT11" i="54"/>
  <c r="GT255" i="54"/>
  <c r="GT126" i="54"/>
  <c r="GT125" i="54"/>
  <c r="GT202" i="54"/>
  <c r="GT183" i="54"/>
  <c r="GT254" i="54"/>
  <c r="GT229" i="54"/>
  <c r="GT177" i="54"/>
  <c r="GT152" i="54"/>
  <c r="GT168" i="54"/>
  <c r="GT167" i="54"/>
  <c r="GT76" i="54"/>
  <c r="GT266" i="54"/>
  <c r="GT128" i="54"/>
  <c r="GT55" i="54"/>
  <c r="GT174" i="54"/>
  <c r="GT173" i="54"/>
  <c r="GT106" i="54"/>
  <c r="GT231" i="54"/>
  <c r="GT158" i="54"/>
  <c r="GT61" i="54"/>
  <c r="GT66" i="54"/>
  <c r="GT65" i="54"/>
  <c r="GQ89" i="54"/>
  <c r="GP89" i="54"/>
  <c r="GP136" i="54"/>
  <c r="GQ136" i="54"/>
  <c r="GP183" i="54"/>
  <c r="GQ183" i="54"/>
  <c r="GP206" i="54"/>
  <c r="GQ206" i="54"/>
  <c r="GQ199" i="54"/>
  <c r="GP199" i="54"/>
  <c r="GQ198" i="54"/>
  <c r="GP198" i="54"/>
  <c r="GQ227" i="54"/>
  <c r="GP227" i="54"/>
  <c r="GQ11" i="54"/>
  <c r="GP11" i="54"/>
  <c r="GQ58" i="54"/>
  <c r="GP58" i="54"/>
  <c r="GQ105" i="54"/>
  <c r="GP105" i="54"/>
  <c r="GQ110" i="54"/>
  <c r="GP110" i="54"/>
  <c r="GP109" i="54"/>
  <c r="GQ109" i="54"/>
  <c r="GQ108" i="54"/>
  <c r="GP108" i="54"/>
  <c r="GP149" i="54"/>
  <c r="GQ149" i="54"/>
  <c r="GP196" i="54"/>
  <c r="GQ196" i="54"/>
  <c r="GP243" i="54"/>
  <c r="GQ243" i="54"/>
  <c r="GQ21" i="54"/>
  <c r="GP21" i="54"/>
  <c r="GQ14" i="54"/>
  <c r="GP14" i="54"/>
  <c r="GP13" i="54"/>
  <c r="GQ13" i="54"/>
  <c r="GQ12" i="54"/>
  <c r="GP12" i="54"/>
  <c r="GP71" i="54"/>
  <c r="GQ71" i="54"/>
  <c r="GP118" i="54"/>
  <c r="GQ118" i="54"/>
  <c r="GP165" i="54"/>
  <c r="GQ165" i="54"/>
  <c r="GP182" i="54"/>
  <c r="GQ182" i="54"/>
  <c r="GQ181" i="54"/>
  <c r="GP181" i="54"/>
  <c r="GQ180" i="54"/>
  <c r="GP180" i="54"/>
  <c r="GQ173" i="54"/>
  <c r="GP173" i="54"/>
  <c r="GQ220" i="54"/>
  <c r="GP220" i="54"/>
  <c r="GQ267" i="54"/>
  <c r="GP267" i="54"/>
  <c r="GQ45" i="54"/>
  <c r="GP45" i="54"/>
  <c r="GQ44" i="54"/>
  <c r="GP44" i="54"/>
  <c r="GQ43" i="54"/>
  <c r="GP43" i="54"/>
  <c r="GQ42" i="54"/>
  <c r="GP42" i="54"/>
  <c r="GP59" i="54"/>
  <c r="GQ59" i="54"/>
  <c r="GP106" i="54"/>
  <c r="GQ106" i="54"/>
  <c r="GP153" i="54"/>
  <c r="GQ153" i="54"/>
  <c r="GQ170" i="54"/>
  <c r="GP170" i="54"/>
  <c r="GQ163" i="54"/>
  <c r="GP163" i="54"/>
  <c r="GQ162" i="54"/>
  <c r="GP162" i="54"/>
  <c r="GP236" i="54"/>
  <c r="GQ236" i="54"/>
  <c r="GP20" i="54"/>
  <c r="GQ20" i="54"/>
  <c r="GP61" i="54"/>
  <c r="GQ61" i="54"/>
  <c r="GP102" i="54"/>
  <c r="GQ102" i="54"/>
  <c r="HM25" i="54"/>
  <c r="HL133" i="54"/>
  <c r="HL199" i="54"/>
  <c r="HL136" i="54"/>
  <c r="HM228" i="54"/>
  <c r="HM64" i="54"/>
  <c r="HL142" i="54"/>
  <c r="HL235" i="54"/>
  <c r="HL83" i="54"/>
  <c r="HM223" i="54"/>
  <c r="HM146" i="54"/>
  <c r="HL77" i="54"/>
  <c r="HL176" i="54"/>
  <c r="HL190" i="54"/>
  <c r="HM67" i="54"/>
  <c r="HL207" i="54"/>
  <c r="DR223" i="54"/>
  <c r="DR48" i="54"/>
  <c r="DR80" i="54"/>
  <c r="DR139" i="54"/>
  <c r="DR19" i="54"/>
  <c r="DR112" i="54"/>
  <c r="DR235" i="54"/>
  <c r="DR65" i="54"/>
  <c r="DR194" i="54"/>
  <c r="DR24" i="54"/>
  <c r="DR148" i="54"/>
  <c r="DR240" i="54"/>
  <c r="DR62" i="54"/>
  <c r="DR150" i="54"/>
  <c r="DR158" i="54"/>
  <c r="DR20" i="54"/>
  <c r="DR248" i="54"/>
  <c r="DR161" i="54"/>
  <c r="DR29" i="54"/>
  <c r="DR207" i="54"/>
  <c r="DR243" i="54"/>
  <c r="DR160" i="54"/>
  <c r="DR255" i="54"/>
  <c r="DR75" i="54"/>
  <c r="DR13" i="54"/>
  <c r="DR28" i="54"/>
  <c r="DR254" i="54"/>
  <c r="DR244" i="54"/>
  <c r="DR188" i="54"/>
  <c r="DR165" i="54"/>
  <c r="DR83" i="54"/>
  <c r="DR37" i="54"/>
  <c r="DR153" i="54"/>
  <c r="DR184" i="54"/>
  <c r="DR173" i="54"/>
  <c r="DR82" i="54"/>
  <c r="DR77" i="54"/>
  <c r="DR217" i="54"/>
  <c r="DR36" i="54"/>
  <c r="DR176" i="54"/>
  <c r="DR252" i="54"/>
  <c r="DR218" i="54"/>
  <c r="DR15" i="54"/>
  <c r="EC201" i="54"/>
  <c r="EK201" i="54" s="1"/>
  <c r="EC211" i="54"/>
  <c r="EK211" i="54" s="1"/>
  <c r="EC226" i="54"/>
  <c r="EK226" i="54" s="1"/>
  <c r="EC243" i="54"/>
  <c r="EK243" i="54" s="1"/>
  <c r="EC242" i="54"/>
  <c r="EK242" i="54" s="1"/>
  <c r="EC133" i="54"/>
  <c r="EK133" i="54" s="1"/>
  <c r="EC144" i="54"/>
  <c r="EK144" i="54" s="1"/>
  <c r="EC251" i="54"/>
  <c r="EK251" i="54" s="1"/>
  <c r="EC268" i="54"/>
  <c r="EK268" i="54" s="1"/>
  <c r="EC118" i="54"/>
  <c r="EK118" i="54" s="1"/>
  <c r="EC135" i="54"/>
  <c r="EK135" i="54" s="1"/>
  <c r="EC134" i="54"/>
  <c r="EK134" i="54" s="1"/>
  <c r="EC181" i="54"/>
  <c r="EK181" i="54" s="1"/>
  <c r="EC258" i="54"/>
  <c r="EK258" i="54" s="1"/>
  <c r="EC78" i="54"/>
  <c r="EK78" i="54" s="1"/>
  <c r="EC145" i="54"/>
  <c r="EK145" i="54" s="1"/>
  <c r="EC43" i="54"/>
  <c r="EK43" i="54" s="1"/>
  <c r="EC244" i="54"/>
  <c r="EK244" i="54" s="1"/>
  <c r="EC45" i="54"/>
  <c r="EK45" i="54" s="1"/>
  <c r="EC173" i="54"/>
  <c r="EK173" i="54" s="1"/>
  <c r="EC86" i="54"/>
  <c r="EK86" i="54" s="1"/>
  <c r="EC220" i="54"/>
  <c r="EK220" i="54" s="1"/>
  <c r="EC127" i="54"/>
  <c r="EK127" i="54" s="1"/>
  <c r="EC24" i="54"/>
  <c r="EK24" i="54" s="1"/>
  <c r="EC55" i="54"/>
  <c r="EK55" i="54" s="1"/>
  <c r="EC194" i="54"/>
  <c r="EK194" i="54" s="1"/>
  <c r="HM56" i="54"/>
  <c r="HL128" i="54"/>
  <c r="HM239" i="54"/>
  <c r="HM183" i="54"/>
  <c r="HM12" i="54"/>
  <c r="HL189" i="54"/>
  <c r="HM19" i="54"/>
  <c r="HL254" i="54"/>
  <c r="HL130" i="54"/>
  <c r="HL124" i="54"/>
  <c r="HL217" i="54"/>
  <c r="HL237" i="54"/>
  <c r="HL248" i="54"/>
  <c r="BG33" i="54"/>
  <c r="Q35" i="54" s="1"/>
  <c r="BG28" i="54"/>
  <c r="O35" i="54" s="1"/>
  <c r="BH31" i="54"/>
  <c r="V38" i="54" s="1"/>
  <c r="BH36" i="54"/>
  <c r="X38" i="54" s="1"/>
  <c r="HL200" i="54"/>
  <c r="HM123" i="54"/>
  <c r="HL195" i="54"/>
  <c r="HL231" i="54"/>
  <c r="HM261" i="54"/>
  <c r="HM91" i="54"/>
  <c r="HL230" i="54"/>
  <c r="HL28" i="54"/>
  <c r="HM121" i="54"/>
  <c r="HM47" i="54"/>
  <c r="HL151" i="54"/>
  <c r="HL139" i="54"/>
  <c r="HM21" i="54"/>
  <c r="HL16" i="54"/>
  <c r="HL129" i="54"/>
  <c r="HL15" i="54"/>
  <c r="HM148" i="54"/>
  <c r="HM45" i="54"/>
  <c r="HM100" i="54"/>
  <c r="HM193" i="54"/>
  <c r="HM75" i="54"/>
  <c r="HM79" i="54"/>
  <c r="HL11" i="54"/>
  <c r="HL115" i="54"/>
  <c r="HL181" i="54"/>
  <c r="HM170" i="54"/>
  <c r="DN224" i="54"/>
  <c r="DO224" i="54"/>
  <c r="DN117" i="54"/>
  <c r="DO117" i="54"/>
  <c r="DN116" i="54"/>
  <c r="DO116" i="54"/>
  <c r="DO55" i="54"/>
  <c r="DN55" i="54"/>
  <c r="DN179" i="54"/>
  <c r="DO179" i="54"/>
  <c r="DO163" i="54"/>
  <c r="DN163" i="54"/>
  <c r="DN193" i="54"/>
  <c r="DO193" i="54"/>
  <c r="DO132" i="54"/>
  <c r="DN132" i="54"/>
  <c r="DN262" i="54"/>
  <c r="DO262" i="54"/>
  <c r="DO204" i="54"/>
  <c r="DN204" i="54"/>
  <c r="DN142" i="54"/>
  <c r="DO142" i="54"/>
  <c r="DN87" i="54"/>
  <c r="DO87" i="54"/>
  <c r="DN86" i="54"/>
  <c r="DO86" i="54"/>
  <c r="DN169" i="54"/>
  <c r="DO169" i="54"/>
  <c r="DO30" i="54"/>
  <c r="DN30" i="54"/>
  <c r="DN76" i="54"/>
  <c r="DO76" i="54"/>
  <c r="DO24" i="54"/>
  <c r="DN24" i="54"/>
  <c r="DO107" i="54"/>
  <c r="DN107" i="54"/>
  <c r="DN178" i="54"/>
  <c r="DO178" i="54"/>
  <c r="DN250" i="54"/>
  <c r="DO250" i="54"/>
  <c r="DN19" i="54"/>
  <c r="DO19" i="54"/>
  <c r="DN143" i="54"/>
  <c r="DO143" i="54"/>
  <c r="DN171" i="54"/>
  <c r="DO171" i="54"/>
  <c r="DN170" i="54"/>
  <c r="DO170" i="54"/>
  <c r="DN160" i="54"/>
  <c r="DO160" i="54"/>
  <c r="DN105" i="54"/>
  <c r="DO105" i="54"/>
  <c r="DN196" i="54"/>
  <c r="DO196" i="54"/>
  <c r="DN141" i="54"/>
  <c r="DO141" i="54"/>
  <c r="DN185" i="54"/>
  <c r="DO185" i="54"/>
  <c r="DO73" i="54"/>
  <c r="DN73" i="54"/>
  <c r="DO139" i="54"/>
  <c r="DN139" i="54"/>
  <c r="DN175" i="54"/>
  <c r="DO175" i="54"/>
  <c r="DO213" i="54"/>
  <c r="DN213" i="54"/>
  <c r="DO212" i="54"/>
  <c r="DN212" i="54"/>
  <c r="DO187" i="54"/>
  <c r="DN187" i="54"/>
  <c r="DO264" i="54"/>
  <c r="DN264" i="54"/>
  <c r="DN109" i="54"/>
  <c r="DO109" i="54"/>
  <c r="DN43" i="54"/>
  <c r="DO43" i="54"/>
  <c r="DN145" i="54"/>
  <c r="DO145" i="54"/>
  <c r="DO120" i="54"/>
  <c r="DN120" i="54"/>
  <c r="DN244" i="54"/>
  <c r="DO244" i="54"/>
  <c r="DO42" i="54"/>
  <c r="DN42" i="54"/>
  <c r="DO17" i="54"/>
  <c r="DN17" i="54"/>
  <c r="DO45" i="54"/>
  <c r="O28" i="56"/>
  <c r="L28" i="56" s="1"/>
  <c r="DU5" i="54" s="1"/>
  <c r="DP3" i="54"/>
  <c r="HO137" i="54"/>
  <c r="BF3" i="54"/>
  <c r="ET36" i="54"/>
  <c r="ET72" i="54"/>
  <c r="ET108" i="54"/>
  <c r="ET144" i="54"/>
  <c r="ET180" i="54"/>
  <c r="ET19" i="54"/>
  <c r="ET55" i="54"/>
  <c r="ET91" i="54"/>
  <c r="ET32" i="54"/>
  <c r="ET68" i="54"/>
  <c r="ET104" i="54"/>
  <c r="ET140" i="54"/>
  <c r="ET176" i="54"/>
  <c r="ET212" i="54"/>
  <c r="ET39" i="54"/>
  <c r="ET75" i="54"/>
  <c r="ET111" i="54"/>
  <c r="ET147" i="54"/>
  <c r="ET183" i="54"/>
  <c r="ET10" i="54"/>
  <c r="ET46" i="54"/>
  <c r="ET82" i="54"/>
  <c r="ET118" i="54"/>
  <c r="ET154" i="54"/>
  <c r="ET190" i="54"/>
  <c r="ET226" i="54"/>
  <c r="ET262" i="54"/>
  <c r="ET48" i="54"/>
  <c r="ET90" i="54"/>
  <c r="ET132" i="54"/>
  <c r="ET174" i="54"/>
  <c r="ET25" i="54"/>
  <c r="ET67" i="54"/>
  <c r="ET14" i="54"/>
  <c r="ET56" i="54"/>
  <c r="ET98" i="54"/>
  <c r="ET146" i="54"/>
  <c r="ET188" i="54"/>
  <c r="ET21" i="54"/>
  <c r="ET63" i="54"/>
  <c r="ET105" i="54"/>
  <c r="ET153" i="54"/>
  <c r="ET195" i="54"/>
  <c r="ET28" i="54"/>
  <c r="ET70" i="54"/>
  <c r="ET112" i="54"/>
  <c r="ET160" i="54"/>
  <c r="ET202" i="54"/>
  <c r="ET244" i="54"/>
  <c r="ET83" i="54"/>
  <c r="ET203" i="54"/>
  <c r="ET253" i="54"/>
  <c r="ET115" i="54"/>
  <c r="ET217" i="54"/>
  <c r="ET261" i="54"/>
  <c r="ET155" i="54"/>
  <c r="ET234" i="54"/>
  <c r="ET65" i="54"/>
  <c r="ET193" i="54"/>
  <c r="ET249" i="54"/>
  <c r="ET125" i="54"/>
  <c r="ET222" i="54"/>
  <c r="ET12" i="54"/>
  <c r="ET54" i="54"/>
  <c r="ET96" i="54"/>
  <c r="ET138" i="54"/>
  <c r="ET186" i="54"/>
  <c r="ET31" i="54"/>
  <c r="ET73" i="54"/>
  <c r="ET20" i="54"/>
  <c r="ET62" i="54"/>
  <c r="ET110" i="54"/>
  <c r="ET152" i="54"/>
  <c r="ET194" i="54"/>
  <c r="ET27" i="54"/>
  <c r="ET69" i="54"/>
  <c r="ET117" i="54"/>
  <c r="ET159" i="54"/>
  <c r="ET201" i="54"/>
  <c r="ET34" i="54"/>
  <c r="ET76" i="54"/>
  <c r="ET18" i="54"/>
  <c r="ET60" i="54"/>
  <c r="ET102" i="54"/>
  <c r="ET150" i="54"/>
  <c r="ET192" i="54"/>
  <c r="ET37" i="54"/>
  <c r="ET79" i="54"/>
  <c r="ET26" i="54"/>
  <c r="ET74" i="54"/>
  <c r="ET116" i="54"/>
  <c r="ET158" i="54"/>
  <c r="ET200" i="54"/>
  <c r="ET33" i="54"/>
  <c r="ET81" i="54"/>
  <c r="ET123" i="54"/>
  <c r="ET165" i="54"/>
  <c r="ET207" i="54"/>
  <c r="ET40" i="54"/>
  <c r="ET88" i="54"/>
  <c r="ET130" i="54"/>
  <c r="ET172" i="54"/>
  <c r="ET214" i="54"/>
  <c r="ET256" i="54"/>
  <c r="ET131" i="54"/>
  <c r="ET224" i="54"/>
  <c r="ET267" i="54"/>
  <c r="ET151" i="54"/>
  <c r="ET233" i="54"/>
  <c r="ET59" i="54"/>
  <c r="ET191" i="54"/>
  <c r="ET248" i="54"/>
  <c r="ET121" i="54"/>
  <c r="ET221" i="54"/>
  <c r="ET264" i="54"/>
  <c r="ET161" i="54"/>
  <c r="ET24" i="54"/>
  <c r="ET66" i="54"/>
  <c r="ET114" i="54"/>
  <c r="ET156" i="54"/>
  <c r="ET198" i="54"/>
  <c r="ET43" i="54"/>
  <c r="ET85" i="54"/>
  <c r="ET38" i="54"/>
  <c r="ET80" i="54"/>
  <c r="ET122" i="54"/>
  <c r="ET164" i="54"/>
  <c r="ET206" i="54"/>
  <c r="ET45" i="54"/>
  <c r="ET87" i="54"/>
  <c r="ET129" i="54"/>
  <c r="ET171" i="54"/>
  <c r="ET213" i="54"/>
  <c r="ET52" i="54"/>
  <c r="ET94" i="54"/>
  <c r="ET136" i="54"/>
  <c r="ET30" i="54"/>
  <c r="ET78" i="54"/>
  <c r="ET120" i="54"/>
  <c r="ET162" i="54"/>
  <c r="ET204" i="54"/>
  <c r="ET49" i="54"/>
  <c r="ET97" i="54"/>
  <c r="ET44" i="54"/>
  <c r="ET86" i="54"/>
  <c r="ET128" i="54"/>
  <c r="ET170" i="54"/>
  <c r="ET218" i="54"/>
  <c r="ET51" i="54"/>
  <c r="ET93" i="54"/>
  <c r="ET135" i="54"/>
  <c r="ET177" i="54"/>
  <c r="ET16" i="54"/>
  <c r="ET58" i="54"/>
  <c r="ET100" i="54"/>
  <c r="ET142" i="54"/>
  <c r="ET42" i="54"/>
  <c r="ET84" i="54"/>
  <c r="ET126" i="54"/>
  <c r="ET168" i="54"/>
  <c r="ET13" i="54"/>
  <c r="ET61" i="54"/>
  <c r="ET103" i="54"/>
  <c r="ET50" i="54"/>
  <c r="ET92" i="54"/>
  <c r="ET134" i="54"/>
  <c r="ET182" i="54"/>
  <c r="ET15" i="54"/>
  <c r="ET57" i="54"/>
  <c r="ET99" i="54"/>
  <c r="ET141" i="54"/>
  <c r="ET189" i="54"/>
  <c r="ET22" i="54"/>
  <c r="ET64" i="54"/>
  <c r="ET106" i="54"/>
  <c r="ET148" i="54"/>
  <c r="ET196" i="54"/>
  <c r="ET238" i="54"/>
  <c r="ET47" i="54"/>
  <c r="ET185" i="54"/>
  <c r="ET246" i="54"/>
  <c r="ET89" i="54"/>
  <c r="ET205" i="54"/>
  <c r="ET254" i="54"/>
  <c r="ET137" i="54"/>
  <c r="ET227" i="54"/>
  <c r="ET29" i="54"/>
  <c r="ET175" i="54"/>
  <c r="ET242" i="54"/>
  <c r="ET107" i="54"/>
  <c r="ET211" i="54"/>
  <c r="ET258" i="54"/>
  <c r="ET215" i="54"/>
  <c r="ET230" i="54"/>
  <c r="ET124" i="54"/>
  <c r="ET232" i="54"/>
  <c r="ET167" i="54"/>
  <c r="ET53" i="54"/>
  <c r="ET247" i="54"/>
  <c r="ET219" i="54"/>
  <c r="ET157" i="54"/>
  <c r="ET71" i="54"/>
  <c r="ET243" i="54"/>
  <c r="ET109" i="54"/>
  <c r="ET163" i="54"/>
  <c r="ET166" i="54"/>
  <c r="ET250" i="54"/>
  <c r="ET216" i="54"/>
  <c r="ET133" i="54"/>
  <c r="ET23" i="54"/>
  <c r="ET241" i="54"/>
  <c r="ET210" i="54"/>
  <c r="ET143" i="54"/>
  <c r="ET251" i="54"/>
  <c r="ET259" i="54"/>
  <c r="ET237" i="54"/>
  <c r="ET178" i="54"/>
  <c r="ET268" i="54"/>
  <c r="ET231" i="54"/>
  <c r="ET169" i="54"/>
  <c r="ET95" i="54"/>
  <c r="ET255" i="54"/>
  <c r="ET228" i="54"/>
  <c r="ET179" i="54"/>
  <c r="ET265" i="54"/>
  <c r="ET127" i="54"/>
  <c r="ET41" i="54"/>
  <c r="ET184" i="54"/>
  <c r="ET11" i="54"/>
  <c r="ET239" i="54"/>
  <c r="ET187" i="54"/>
  <c r="ET119" i="54"/>
  <c r="ET263" i="54"/>
  <c r="ET235" i="54"/>
  <c r="ET197" i="54"/>
  <c r="ET77" i="54"/>
  <c r="ET223" i="54"/>
  <c r="ET181" i="54"/>
  <c r="ET208" i="54"/>
  <c r="ET113" i="54"/>
  <c r="ET260" i="54"/>
  <c r="ET225" i="54"/>
  <c r="ET173" i="54"/>
  <c r="ET101" i="54"/>
  <c r="ET257" i="54"/>
  <c r="ET229" i="54"/>
  <c r="ET199" i="54"/>
  <c r="ET266" i="54"/>
  <c r="ET245" i="54"/>
  <c r="ET220" i="54"/>
  <c r="ET149" i="54"/>
  <c r="ET17" i="54"/>
  <c r="ET240" i="54"/>
  <c r="ET209" i="54"/>
  <c r="ET139" i="54"/>
  <c r="ET35" i="54"/>
  <c r="ET236" i="54"/>
  <c r="ET252" i="54"/>
  <c r="ET145" i="54"/>
  <c r="EU7" i="54" a="1"/>
  <c r="EU7" i="54" s="1"/>
  <c r="EV6" i="54"/>
  <c r="EU5" i="54" a="1"/>
  <c r="EU5" i="54" s="1"/>
  <c r="EG266" i="54"/>
  <c r="EH266" i="54"/>
  <c r="EX266" i="54"/>
  <c r="EC265" i="54"/>
  <c r="EK265" i="54" s="1"/>
  <c r="EG265" i="54"/>
  <c r="EH265" i="54"/>
  <c r="EX265" i="54"/>
  <c r="EX264" i="54"/>
  <c r="EG264" i="54"/>
  <c r="EH264" i="54"/>
  <c r="EH263" i="54"/>
  <c r="EX263" i="54"/>
  <c r="EG263" i="54"/>
  <c r="EH256" i="54"/>
  <c r="EG256" i="54"/>
  <c r="EX256" i="54"/>
  <c r="EC219" i="54"/>
  <c r="EK219" i="54" s="1"/>
  <c r="EX219" i="54"/>
  <c r="EG219" i="54"/>
  <c r="EH219" i="54"/>
  <c r="EX218" i="54"/>
  <c r="EG218" i="54"/>
  <c r="EH218" i="54"/>
  <c r="EG217" i="54"/>
  <c r="EX217" i="54"/>
  <c r="EH217" i="54"/>
  <c r="EX216" i="54"/>
  <c r="EG216" i="54"/>
  <c r="EH216" i="54"/>
  <c r="EG209" i="54"/>
  <c r="EH209" i="54"/>
  <c r="EX209" i="54"/>
  <c r="EG196" i="54"/>
  <c r="EH196" i="54"/>
  <c r="EX196" i="54"/>
  <c r="EG171" i="54"/>
  <c r="EH171" i="54"/>
  <c r="EX171" i="54"/>
  <c r="EX170" i="54"/>
  <c r="EG170" i="54"/>
  <c r="EH170" i="54"/>
  <c r="EX163" i="54"/>
  <c r="EH163" i="54"/>
  <c r="EG163" i="54"/>
  <c r="EC162" i="54"/>
  <c r="EK162" i="54" s="1"/>
  <c r="EX162" i="54"/>
  <c r="EG162" i="54"/>
  <c r="EH162" i="54"/>
  <c r="EH161" i="54"/>
  <c r="EX161" i="54"/>
  <c r="EG161" i="54"/>
  <c r="EH130" i="54"/>
  <c r="EX130" i="54"/>
  <c r="EG130" i="54"/>
  <c r="EX117" i="54"/>
  <c r="EG117" i="54"/>
  <c r="EH117" i="54"/>
  <c r="EC116" i="54"/>
  <c r="EK116" i="54" s="1"/>
  <c r="EH116" i="54"/>
  <c r="EX116" i="54"/>
  <c r="EG116" i="54"/>
  <c r="EH115" i="54"/>
  <c r="EG115" i="54"/>
  <c r="EX115" i="54"/>
  <c r="EG114" i="54"/>
  <c r="EX114" i="54"/>
  <c r="EH114" i="54"/>
  <c r="EG113" i="54"/>
  <c r="EX113" i="54"/>
  <c r="EH113" i="54"/>
  <c r="EH64" i="54"/>
  <c r="EG64" i="54"/>
  <c r="EX64" i="54"/>
  <c r="EG69" i="54"/>
  <c r="EH69" i="54"/>
  <c r="EX69" i="54"/>
  <c r="EG68" i="54"/>
  <c r="EH68" i="54"/>
  <c r="EX68" i="54"/>
  <c r="EH67" i="54"/>
  <c r="EG67" i="54"/>
  <c r="EX67" i="54"/>
  <c r="EG60" i="54"/>
  <c r="EX60" i="54"/>
  <c r="EH60" i="54"/>
  <c r="EC59" i="54"/>
  <c r="EK59" i="54" s="1"/>
  <c r="EH59" i="54"/>
  <c r="EX59" i="54"/>
  <c r="EG59" i="54"/>
  <c r="EG237" i="54"/>
  <c r="EH237" i="54"/>
  <c r="EX237" i="54"/>
  <c r="EG230" i="54"/>
  <c r="EH230" i="54"/>
  <c r="EX230" i="54"/>
  <c r="EC229" i="54"/>
  <c r="EK229" i="54" s="1"/>
  <c r="EG229" i="54"/>
  <c r="EH229" i="54"/>
  <c r="EX229" i="54"/>
  <c r="EG228" i="54"/>
  <c r="EH228" i="54"/>
  <c r="EX228" i="54"/>
  <c r="EX227" i="54"/>
  <c r="EG227" i="54"/>
  <c r="EH227" i="54"/>
  <c r="EH208" i="54"/>
  <c r="EX208" i="54"/>
  <c r="EG208" i="54"/>
  <c r="EX195" i="54"/>
  <c r="EG195" i="54"/>
  <c r="EH195" i="54"/>
  <c r="EX236" i="54"/>
  <c r="EG236" i="54"/>
  <c r="EH236" i="54"/>
  <c r="EX20" i="54"/>
  <c r="EG20" i="54"/>
  <c r="EH20" i="54"/>
  <c r="EX61" i="54"/>
  <c r="EH61" i="54"/>
  <c r="EG61" i="54"/>
  <c r="EX102" i="54"/>
  <c r="EH102" i="54"/>
  <c r="EG102" i="54"/>
  <c r="EX143" i="54"/>
  <c r="EG143" i="54"/>
  <c r="EH143" i="54"/>
  <c r="EX190" i="54"/>
  <c r="EG190" i="54"/>
  <c r="EH190" i="54"/>
  <c r="EC23" i="54"/>
  <c r="EK23" i="54" s="1"/>
  <c r="EH23" i="54"/>
  <c r="EG23" i="54"/>
  <c r="EX23" i="54"/>
  <c r="EC70" i="54"/>
  <c r="EK70" i="54" s="1"/>
  <c r="EH70" i="54"/>
  <c r="EG70" i="54"/>
  <c r="EX70" i="54"/>
  <c r="HL97" i="54"/>
  <c r="HM65" i="54"/>
  <c r="HM256" i="54"/>
  <c r="HM168" i="54"/>
  <c r="HM260" i="54"/>
  <c r="HL127" i="54"/>
  <c r="HL157" i="54"/>
  <c r="HM166" i="54"/>
  <c r="HM22" i="54"/>
  <c r="HM202" i="54"/>
  <c r="HM134" i="54"/>
  <c r="HM10" i="54"/>
  <c r="HM268" i="54"/>
  <c r="HL144" i="54"/>
  <c r="HM27" i="54"/>
  <c r="HM118" i="54"/>
  <c r="GT175" i="54"/>
  <c r="GT180" i="54"/>
  <c r="GT179" i="54"/>
  <c r="GT190" i="54"/>
  <c r="GT201" i="54"/>
  <c r="GT206" i="54"/>
  <c r="GT211" i="54"/>
  <c r="GT78" i="54"/>
  <c r="GT77" i="54"/>
  <c r="GT176" i="54"/>
  <c r="GT264" i="54"/>
  <c r="GT52" i="54"/>
  <c r="GT186" i="54"/>
  <c r="GT185" i="54"/>
  <c r="GT27" i="54"/>
  <c r="GT114" i="54"/>
  <c r="GT113" i="54"/>
  <c r="GT141" i="54"/>
  <c r="GT116" i="54"/>
  <c r="GT228" i="54"/>
  <c r="GT227" i="54"/>
  <c r="GT208" i="54"/>
  <c r="GT85" i="54"/>
  <c r="GT250" i="54"/>
  <c r="GT155" i="54"/>
  <c r="GT136" i="54"/>
  <c r="GT213" i="54"/>
  <c r="GT188" i="54"/>
  <c r="GT130" i="54"/>
  <c r="GT111" i="54"/>
  <c r="GT127" i="54"/>
  <c r="GT30" i="54"/>
  <c r="GT29" i="54"/>
  <c r="GT225" i="54"/>
  <c r="GT87" i="54"/>
  <c r="GT14" i="54"/>
  <c r="GT133" i="54"/>
  <c r="GT60" i="54"/>
  <c r="GT59" i="54"/>
  <c r="GT184" i="54"/>
  <c r="GT117" i="54"/>
  <c r="GT20" i="54"/>
  <c r="GT25" i="54"/>
  <c r="GP53" i="54"/>
  <c r="GQ53" i="54"/>
  <c r="GP100" i="54"/>
  <c r="GQ100" i="54"/>
  <c r="GP147" i="54"/>
  <c r="GQ147" i="54"/>
  <c r="GQ158" i="54"/>
  <c r="GP158" i="54"/>
  <c r="GQ157" i="54"/>
  <c r="GP157" i="54"/>
  <c r="GP156" i="54"/>
  <c r="GQ156" i="54"/>
  <c r="GQ191" i="54"/>
  <c r="GP191" i="54"/>
  <c r="GQ238" i="54"/>
  <c r="GP238" i="54"/>
  <c r="GQ22" i="54"/>
  <c r="GP22" i="54"/>
  <c r="GQ69" i="54"/>
  <c r="GP69" i="54"/>
  <c r="GP68" i="54"/>
  <c r="GQ68" i="54"/>
  <c r="GQ67" i="54"/>
  <c r="GP67" i="54"/>
  <c r="GP60" i="54"/>
  <c r="GQ60" i="54"/>
  <c r="GQ113" i="54"/>
  <c r="GP113" i="54"/>
  <c r="GQ160" i="54"/>
  <c r="GP160" i="54"/>
  <c r="GQ207" i="54"/>
  <c r="GP207" i="54"/>
  <c r="GQ230" i="54"/>
  <c r="GP230" i="54"/>
  <c r="GP229" i="54"/>
  <c r="GQ229" i="54"/>
  <c r="GQ228" i="54"/>
  <c r="GP228" i="54"/>
  <c r="GQ251" i="54"/>
  <c r="GP251" i="54"/>
  <c r="GQ35" i="54"/>
  <c r="GP35" i="54"/>
  <c r="GQ82" i="54"/>
  <c r="GP82" i="54"/>
  <c r="GQ129" i="54"/>
  <c r="GP129" i="54"/>
  <c r="GQ140" i="54"/>
  <c r="GP140" i="54"/>
  <c r="GQ139" i="54"/>
  <c r="GP139" i="54"/>
  <c r="GQ132" i="54"/>
  <c r="GP132" i="54"/>
  <c r="GP137" i="54"/>
  <c r="GQ137" i="54"/>
  <c r="GP184" i="54"/>
  <c r="GQ184" i="54"/>
  <c r="GQ231" i="54"/>
  <c r="GP231" i="54"/>
  <c r="GQ260" i="54"/>
  <c r="GP260" i="54"/>
  <c r="GQ259" i="54"/>
  <c r="GP259" i="54"/>
  <c r="GQ258" i="54"/>
  <c r="GP258" i="54"/>
  <c r="GQ239" i="54"/>
  <c r="GP239" i="54"/>
  <c r="GQ23" i="54"/>
  <c r="GP23" i="54"/>
  <c r="GQ70" i="54"/>
  <c r="GP70" i="54"/>
  <c r="GQ117" i="54"/>
  <c r="GP117" i="54"/>
  <c r="GQ122" i="54"/>
  <c r="GP122" i="54"/>
  <c r="GQ121" i="54"/>
  <c r="GP121" i="54"/>
  <c r="GQ120" i="54"/>
  <c r="GP120" i="54"/>
  <c r="GQ200" i="54"/>
  <c r="GP200" i="54"/>
  <c r="GQ241" i="54"/>
  <c r="GP241" i="54"/>
  <c r="GQ25" i="54"/>
  <c r="GP25" i="54"/>
  <c r="GQ66" i="54"/>
  <c r="GP66" i="54"/>
  <c r="HM61" i="54"/>
  <c r="HM133" i="54"/>
  <c r="HM198" i="54"/>
  <c r="HM199" i="54"/>
  <c r="HM81" i="54"/>
  <c r="HM136" i="54"/>
  <c r="HL229" i="54"/>
  <c r="HM142" i="54"/>
  <c r="HL234" i="54"/>
  <c r="HM235" i="54"/>
  <c r="HM213" i="54"/>
  <c r="HM83" i="54"/>
  <c r="HM77" i="54"/>
  <c r="HM176" i="54"/>
  <c r="HM190" i="54"/>
  <c r="HL67" i="54"/>
  <c r="HM207" i="54"/>
  <c r="DR47" i="54"/>
  <c r="DR182" i="54"/>
  <c r="DR136" i="54"/>
  <c r="DR140" i="54"/>
  <c r="DR100" i="54"/>
  <c r="DR44" i="54"/>
  <c r="DR53" i="54"/>
  <c r="DR260" i="54"/>
  <c r="DR195" i="54"/>
  <c r="DR214" i="54"/>
  <c r="DR203" i="54"/>
  <c r="DR167" i="54"/>
  <c r="DR63" i="54"/>
  <c r="DR146" i="54"/>
  <c r="DR159" i="54"/>
  <c r="DR21" i="54"/>
  <c r="DR249" i="54"/>
  <c r="DR119" i="54"/>
  <c r="DR224" i="54"/>
  <c r="DR241" i="54"/>
  <c r="DR190" i="54"/>
  <c r="DR200" i="54"/>
  <c r="DR196" i="54"/>
  <c r="DR114" i="54"/>
  <c r="DR38" i="54"/>
  <c r="DR73" i="54"/>
  <c r="DR108" i="54"/>
  <c r="DR32" i="54"/>
  <c r="DR189" i="54"/>
  <c r="DR266" i="54"/>
  <c r="DR216" i="54"/>
  <c r="DR170" i="54"/>
  <c r="DR125" i="54"/>
  <c r="DR116" i="54"/>
  <c r="DR106" i="54"/>
  <c r="DR137" i="54"/>
  <c r="DR30" i="54"/>
  <c r="DR88" i="54"/>
  <c r="DR246" i="54"/>
  <c r="DR177" i="54"/>
  <c r="DR205" i="54"/>
  <c r="DR219" i="54"/>
  <c r="DR198" i="54"/>
  <c r="EC171" i="54"/>
  <c r="EK171" i="54" s="1"/>
  <c r="EC170" i="54"/>
  <c r="EK170" i="54" s="1"/>
  <c r="EC20" i="54"/>
  <c r="EK20" i="54" s="1"/>
  <c r="EC31" i="54"/>
  <c r="EK31" i="54" s="1"/>
  <c r="EC179" i="54"/>
  <c r="EK179" i="54" s="1"/>
  <c r="EC196" i="54"/>
  <c r="EK196" i="54" s="1"/>
  <c r="EC93" i="54"/>
  <c r="EK93" i="54" s="1"/>
  <c r="EC92" i="54"/>
  <c r="EK92" i="54" s="1"/>
  <c r="EC103" i="54"/>
  <c r="EK103" i="54" s="1"/>
  <c r="EC210" i="54"/>
  <c r="EK210" i="54" s="1"/>
  <c r="EC71" i="54"/>
  <c r="EK71" i="54" s="1"/>
  <c r="EC88" i="54"/>
  <c r="EK88" i="54" s="1"/>
  <c r="EC141" i="54"/>
  <c r="EK141" i="54" s="1"/>
  <c r="EC140" i="54"/>
  <c r="EK140" i="54" s="1"/>
  <c r="EC217" i="54"/>
  <c r="EK217" i="54" s="1"/>
  <c r="EC37" i="54"/>
  <c r="EK37" i="54" s="1"/>
  <c r="EC155" i="54"/>
  <c r="EK155" i="54" s="1"/>
  <c r="EC22" i="54"/>
  <c r="EK22" i="54" s="1"/>
  <c r="EC105" i="54"/>
  <c r="EK105" i="54" s="1"/>
  <c r="EC104" i="54"/>
  <c r="EK104" i="54" s="1"/>
  <c r="EC182" i="54"/>
  <c r="EK182" i="54" s="1"/>
  <c r="EC259" i="54"/>
  <c r="EK259" i="54" s="1"/>
  <c r="EC79" i="54"/>
  <c r="EK79" i="54" s="1"/>
  <c r="EC197" i="54"/>
  <c r="EK197" i="54" s="1"/>
  <c r="EC17" i="54"/>
  <c r="EK17" i="54" s="1"/>
  <c r="EC261" i="54"/>
  <c r="EK261" i="54" s="1"/>
  <c r="EC146" i="54"/>
  <c r="EK146" i="54" s="1"/>
  <c r="EC267" i="54"/>
  <c r="EK267" i="54" s="1"/>
  <c r="EC51" i="54"/>
  <c r="EK51" i="54" s="1"/>
  <c r="EC209" i="54"/>
  <c r="EK209" i="54" s="1"/>
  <c r="EC96" i="54"/>
  <c r="EK96" i="54" s="1"/>
  <c r="EC235" i="54"/>
  <c r="EK235" i="54" s="1"/>
  <c r="HM240" i="54"/>
  <c r="HL56" i="54"/>
  <c r="HL92" i="54"/>
  <c r="HL84" i="54"/>
  <c r="HM122" i="54"/>
  <c r="HL183" i="54"/>
  <c r="HL12" i="54"/>
  <c r="HL19" i="54"/>
  <c r="HM254" i="54"/>
  <c r="HM130" i="54"/>
  <c r="HM186" i="54"/>
  <c r="HM33" i="54"/>
  <c r="HM124" i="54"/>
  <c r="HM217" i="54"/>
  <c r="HL99" i="54"/>
  <c r="HL108" i="54"/>
  <c r="HL206" i="54"/>
  <c r="HM248" i="54"/>
  <c r="BG36" i="54"/>
  <c r="Q38" i="54" s="1"/>
  <c r="BG31" i="54"/>
  <c r="O38" i="54" s="1"/>
  <c r="BH30" i="54"/>
  <c r="V37" i="54" s="1"/>
  <c r="BH35" i="54"/>
  <c r="X37" i="54" s="1"/>
  <c r="HM200" i="54"/>
  <c r="HL162" i="54"/>
  <c r="HL261" i="54"/>
  <c r="HL90" i="54"/>
  <c r="HM230" i="54"/>
  <c r="HM28" i="54"/>
  <c r="HL120" i="54"/>
  <c r="HL47" i="54"/>
  <c r="HL150" i="54"/>
  <c r="HM151" i="54"/>
  <c r="HM139" i="54"/>
  <c r="HL21" i="54"/>
  <c r="HM16" i="54"/>
  <c r="HL246" i="54"/>
  <c r="BF30" i="54"/>
  <c r="H37" i="54" s="1"/>
  <c r="BF35" i="54"/>
  <c r="J37" i="54" s="1"/>
  <c r="HM159" i="54"/>
  <c r="HM76" i="54"/>
  <c r="HL184" i="54"/>
  <c r="HM220" i="54"/>
  <c r="HL172" i="54"/>
  <c r="HL45" i="54"/>
  <c r="HL131" i="54"/>
  <c r="HL192" i="54"/>
  <c r="HL14" i="54"/>
  <c r="HL75" i="54"/>
  <c r="HL161" i="54"/>
  <c r="HL94" i="54"/>
  <c r="HL62" i="54"/>
  <c r="HM63" i="54"/>
  <c r="BG3" i="54"/>
  <c r="DN214" i="54"/>
  <c r="DO214" i="54"/>
  <c r="DN70" i="54"/>
  <c r="DO70" i="54"/>
  <c r="DN15" i="54"/>
  <c r="DO15" i="54"/>
  <c r="DN14" i="54"/>
  <c r="DO14" i="54"/>
  <c r="DN138" i="54"/>
  <c r="DO138" i="54"/>
  <c r="DN153" i="54"/>
  <c r="DO153" i="54"/>
  <c r="DN152" i="54"/>
  <c r="DO152" i="54"/>
  <c r="DO91" i="54"/>
  <c r="DN91" i="54"/>
  <c r="DN215" i="54"/>
  <c r="DO215" i="54"/>
  <c r="DN167" i="54"/>
  <c r="DO167" i="54"/>
  <c r="DN95" i="54"/>
  <c r="DO95" i="54"/>
  <c r="DO40" i="54"/>
  <c r="DN40" i="54"/>
  <c r="DN129" i="54"/>
  <c r="DO129" i="54"/>
  <c r="DN128" i="54"/>
  <c r="DO128" i="54"/>
  <c r="DN246" i="54"/>
  <c r="DO246" i="54"/>
  <c r="DN245" i="54"/>
  <c r="DO245" i="54"/>
  <c r="DO240" i="54"/>
  <c r="DN240" i="54"/>
  <c r="DO66" i="54"/>
  <c r="DN66" i="54"/>
  <c r="DN49" i="54"/>
  <c r="DO49" i="54"/>
  <c r="DO121" i="54"/>
  <c r="DN121" i="54"/>
  <c r="DN235" i="54"/>
  <c r="DO235" i="54"/>
  <c r="DN102" i="54"/>
  <c r="DO102" i="54"/>
  <c r="DN124" i="54"/>
  <c r="DO124" i="54"/>
  <c r="DN69" i="54"/>
  <c r="DO69" i="54"/>
  <c r="DN113" i="54"/>
  <c r="DO113" i="54"/>
  <c r="DN94" i="54"/>
  <c r="DO94" i="54"/>
  <c r="DO149" i="54"/>
  <c r="DN149" i="54"/>
  <c r="DN130" i="54"/>
  <c r="DO130" i="54"/>
  <c r="DO144" i="54"/>
  <c r="DN144" i="54"/>
  <c r="DN99" i="54"/>
  <c r="DO99" i="54"/>
  <c r="DN98" i="54"/>
  <c r="DO98" i="54"/>
  <c r="DN134" i="54"/>
  <c r="DO134" i="54"/>
  <c r="DN166" i="54"/>
  <c r="DO166" i="54"/>
  <c r="DN147" i="54"/>
  <c r="DO147" i="54"/>
  <c r="DN146" i="54"/>
  <c r="DO146" i="54"/>
  <c r="DN223" i="54"/>
  <c r="DO223" i="54"/>
  <c r="DN68" i="54"/>
  <c r="DO68" i="54"/>
  <c r="DN259" i="54"/>
  <c r="DO259" i="54"/>
  <c r="DN104" i="54"/>
  <c r="DO104" i="54"/>
  <c r="DN79" i="54"/>
  <c r="DO79" i="54"/>
  <c r="DN197" i="54"/>
  <c r="DO197" i="54"/>
  <c r="DO258" i="54"/>
  <c r="DN258" i="54"/>
  <c r="DN233" i="54"/>
  <c r="DO233" i="54"/>
  <c r="Z28" i="56"/>
  <c r="AC28" i="56" s="1"/>
  <c r="DP5" i="54"/>
  <c r="M40" i="54" a="1"/>
  <c r="M40" i="54" s="1"/>
  <c r="M45" i="54" a="1"/>
  <c r="M45" i="54" s="1"/>
  <c r="M41" i="54" a="1"/>
  <c r="M41" i="54" s="1"/>
  <c r="M42" i="54" a="1"/>
  <c r="M42" i="54" s="1"/>
  <c r="M44" i="54" a="1"/>
  <c r="M44" i="54" s="1"/>
  <c r="M39" i="54" a="1"/>
  <c r="M39" i="54" s="1"/>
  <c r="M46" i="54" a="1"/>
  <c r="M46" i="54" s="1"/>
  <c r="M43" i="54" a="1"/>
  <c r="M43" i="54" s="1"/>
  <c r="EG225" i="54"/>
  <c r="EH225" i="54"/>
  <c r="EX225" i="54"/>
  <c r="EC224" i="54"/>
  <c r="EK224" i="54" s="1"/>
  <c r="EH224" i="54"/>
  <c r="EG224" i="54"/>
  <c r="EX224" i="54"/>
  <c r="EX223" i="54"/>
  <c r="EH223" i="54"/>
  <c r="EG223" i="54"/>
  <c r="EH222" i="54"/>
  <c r="EG222" i="54"/>
  <c r="EX222" i="54"/>
  <c r="EG221" i="54"/>
  <c r="EH221" i="54"/>
  <c r="EX221" i="54"/>
  <c r="EH202" i="54"/>
  <c r="EX202" i="54"/>
  <c r="EG202" i="54"/>
  <c r="EX177" i="54"/>
  <c r="EG177" i="54"/>
  <c r="EH177" i="54"/>
  <c r="EH176" i="54"/>
  <c r="EX176" i="54"/>
  <c r="EG176" i="54"/>
  <c r="EX175" i="54"/>
  <c r="EH175" i="54"/>
  <c r="EG175" i="54"/>
  <c r="EG168" i="54"/>
  <c r="EH168" i="54"/>
  <c r="EX168" i="54"/>
  <c r="EC167" i="54"/>
  <c r="EK167" i="54" s="1"/>
  <c r="EX167" i="54"/>
  <c r="EG167" i="54"/>
  <c r="EH167" i="54"/>
  <c r="EX136" i="54"/>
  <c r="EG136" i="54"/>
  <c r="EH136" i="54"/>
  <c r="EX129" i="54"/>
  <c r="EG129" i="54"/>
  <c r="EH129" i="54"/>
  <c r="EX122" i="54"/>
  <c r="EG122" i="54"/>
  <c r="EH122" i="54"/>
  <c r="EC121" i="54"/>
  <c r="EK121" i="54" s="1"/>
  <c r="EX121" i="54"/>
  <c r="EH121" i="54"/>
  <c r="EG121" i="54"/>
  <c r="EG120" i="54"/>
  <c r="EX120" i="54"/>
  <c r="EH120" i="54"/>
  <c r="EH119" i="54"/>
  <c r="EX119" i="54"/>
  <c r="EG119" i="54"/>
  <c r="EX76" i="54"/>
  <c r="EG76" i="54"/>
  <c r="EH76" i="54"/>
  <c r="EC75" i="54"/>
  <c r="EK75" i="54" s="1"/>
  <c r="EH75" i="54"/>
  <c r="EG75" i="54"/>
  <c r="EX75" i="54"/>
  <c r="EG74" i="54"/>
  <c r="EH74" i="54"/>
  <c r="EX74" i="54"/>
  <c r="EH73" i="54"/>
  <c r="EG73" i="54"/>
  <c r="EX73" i="54"/>
  <c r="EG72" i="54"/>
  <c r="EX72" i="54"/>
  <c r="EH72" i="54"/>
  <c r="EX65" i="54"/>
  <c r="EH65" i="54"/>
  <c r="EG65" i="54"/>
  <c r="EH16" i="54"/>
  <c r="EG16" i="54"/>
  <c r="EX16" i="54"/>
  <c r="EH27" i="54"/>
  <c r="EG27" i="54"/>
  <c r="EX27" i="54"/>
  <c r="EH26" i="54"/>
  <c r="EG26" i="54"/>
  <c r="EX26" i="54"/>
  <c r="EG19" i="54"/>
  <c r="EX19" i="54"/>
  <c r="EH19" i="54"/>
  <c r="EC18" i="54"/>
  <c r="EK18" i="54" s="1"/>
  <c r="EH18" i="54"/>
  <c r="EX18" i="54"/>
  <c r="EG18" i="54"/>
  <c r="EX11" i="54"/>
  <c r="EH11" i="54"/>
  <c r="EG11" i="54"/>
  <c r="EG189" i="54"/>
  <c r="EH189" i="54"/>
  <c r="EX189" i="54"/>
  <c r="EC188" i="54"/>
  <c r="EK188" i="54" s="1"/>
  <c r="EH188" i="54"/>
  <c r="EG188" i="54"/>
  <c r="EX188" i="54"/>
  <c r="EH187" i="54"/>
  <c r="EG187" i="54"/>
  <c r="EX187" i="54"/>
  <c r="EX186" i="54"/>
  <c r="EG186" i="54"/>
  <c r="EH186" i="54"/>
  <c r="EG185" i="54"/>
  <c r="EH185" i="54"/>
  <c r="EX185" i="54"/>
  <c r="EH160" i="54"/>
  <c r="EX160" i="54"/>
  <c r="EG160" i="54"/>
  <c r="EG159" i="54"/>
  <c r="EH159" i="54"/>
  <c r="EX159" i="54"/>
  <c r="EG200" i="54"/>
  <c r="EH200" i="54"/>
  <c r="EX200" i="54"/>
  <c r="EH241" i="54"/>
  <c r="EG241" i="54"/>
  <c r="EX241" i="54"/>
  <c r="EH25" i="54"/>
  <c r="EG25" i="54"/>
  <c r="EX25" i="54"/>
  <c r="EH66" i="54"/>
  <c r="EG66" i="54"/>
  <c r="EX66" i="54"/>
  <c r="EH107" i="54"/>
  <c r="EG107" i="54"/>
  <c r="EX107" i="54"/>
  <c r="EG154" i="54"/>
  <c r="EH154" i="54"/>
  <c r="EX154" i="54"/>
  <c r="EC250" i="54"/>
  <c r="EK250" i="54" s="1"/>
  <c r="EH250" i="54"/>
  <c r="EX250" i="54"/>
  <c r="EG250" i="54"/>
  <c r="EC34" i="54"/>
  <c r="EK34" i="54" s="1"/>
  <c r="EG34" i="54"/>
  <c r="EX34" i="54"/>
  <c r="EH34" i="54"/>
  <c r="HM97" i="54"/>
  <c r="HL65" i="54"/>
  <c r="HL132" i="54"/>
  <c r="HO168" i="54"/>
  <c r="HM89" i="54"/>
  <c r="HM225" i="54"/>
  <c r="HL156" i="54"/>
  <c r="HM194" i="54"/>
  <c r="HM255" i="54"/>
  <c r="HL42" i="54"/>
  <c r="HL36" i="54"/>
  <c r="HM135" i="54"/>
  <c r="HM144" i="54"/>
  <c r="HL26" i="54"/>
  <c r="HL27" i="54"/>
  <c r="HM160" i="54"/>
  <c r="HL251" i="54"/>
  <c r="GT134" i="54"/>
  <c r="GT139" i="54"/>
  <c r="GT144" i="54"/>
  <c r="GT143" i="54"/>
  <c r="GT154" i="54"/>
  <c r="GT165" i="54"/>
  <c r="GT170" i="54"/>
  <c r="GT37" i="54"/>
  <c r="GT84" i="54"/>
  <c r="GT135" i="54"/>
  <c r="GT69" i="54"/>
  <c r="GT268" i="54"/>
  <c r="GT145" i="54"/>
  <c r="GT43" i="54"/>
  <c r="GT243" i="54"/>
  <c r="GT73" i="54"/>
  <c r="GT120" i="54"/>
  <c r="GT94" i="54"/>
  <c r="GT75" i="54"/>
  <c r="GT187" i="54"/>
  <c r="GT162" i="54"/>
  <c r="GT161" i="54"/>
  <c r="GT44" i="54"/>
  <c r="GT115" i="54"/>
  <c r="GT90" i="54"/>
  <c r="GT89" i="54"/>
  <c r="GT166" i="54"/>
  <c r="GT147" i="54"/>
  <c r="GT83" i="54"/>
  <c r="GT64" i="54"/>
  <c r="GT86" i="54"/>
  <c r="GT246" i="54"/>
  <c r="GT245" i="54"/>
  <c r="GT178" i="54"/>
  <c r="GT40" i="54"/>
  <c r="GT230" i="54"/>
  <c r="GT92" i="54"/>
  <c r="GT19" i="54"/>
  <c r="GT138" i="54"/>
  <c r="GT137" i="54"/>
  <c r="GT70" i="54"/>
  <c r="GT236" i="54"/>
  <c r="GT241" i="54"/>
  <c r="GQ233" i="54"/>
  <c r="GP233" i="54"/>
  <c r="GQ17" i="54"/>
  <c r="GP17" i="54"/>
  <c r="GQ64" i="54"/>
  <c r="GP64" i="54"/>
  <c r="GQ111" i="54"/>
  <c r="GP111" i="54"/>
  <c r="GQ116" i="54"/>
  <c r="GP116" i="54"/>
  <c r="GP115" i="54"/>
  <c r="GQ115" i="54"/>
  <c r="GQ114" i="54"/>
  <c r="GP114" i="54"/>
  <c r="GP155" i="54"/>
  <c r="GQ155" i="54"/>
  <c r="GP202" i="54"/>
  <c r="GQ202" i="54"/>
  <c r="GQ249" i="54"/>
  <c r="GP249" i="54"/>
  <c r="GP27" i="54"/>
  <c r="GQ27" i="54"/>
  <c r="GQ26" i="54"/>
  <c r="GP26" i="54"/>
  <c r="GP19" i="54"/>
  <c r="GQ19" i="54"/>
  <c r="GQ18" i="54"/>
  <c r="GP18" i="54"/>
  <c r="GQ77" i="54"/>
  <c r="GP77" i="54"/>
  <c r="GQ124" i="54"/>
  <c r="GP124" i="54"/>
  <c r="GQ171" i="54"/>
  <c r="GP171" i="54"/>
  <c r="GP188" i="54"/>
  <c r="GQ188" i="54"/>
  <c r="GQ187" i="54"/>
  <c r="GP187" i="54"/>
  <c r="GQ186" i="54"/>
  <c r="GP186" i="54"/>
  <c r="GQ215" i="54"/>
  <c r="GP215" i="54"/>
  <c r="GQ262" i="54"/>
  <c r="GP262" i="54"/>
  <c r="GQ46" i="54"/>
  <c r="GP46" i="54"/>
  <c r="GQ93" i="54"/>
  <c r="GP93" i="54"/>
  <c r="GQ98" i="54"/>
  <c r="GP98" i="54"/>
  <c r="GQ91" i="54"/>
  <c r="GP91" i="54"/>
  <c r="GQ90" i="54"/>
  <c r="GP90" i="54"/>
  <c r="GP101" i="54"/>
  <c r="GQ101" i="54"/>
  <c r="GP148" i="54"/>
  <c r="GQ148" i="54"/>
  <c r="GP195" i="54"/>
  <c r="GQ195" i="54"/>
  <c r="GQ218" i="54"/>
  <c r="GP218" i="54"/>
  <c r="GQ217" i="54"/>
  <c r="GP217" i="54"/>
  <c r="GQ216" i="54"/>
  <c r="GP216" i="54"/>
  <c r="GQ203" i="54"/>
  <c r="GP203" i="54"/>
  <c r="GQ250" i="54"/>
  <c r="GP250" i="54"/>
  <c r="GQ34" i="54"/>
  <c r="GP34" i="54"/>
  <c r="GQ81" i="54"/>
  <c r="GP81" i="54"/>
  <c r="GQ80" i="54"/>
  <c r="GP80" i="54"/>
  <c r="GQ79" i="54"/>
  <c r="GP79" i="54"/>
  <c r="GQ78" i="54"/>
  <c r="GP78" i="54"/>
  <c r="GQ164" i="54"/>
  <c r="GP164" i="54"/>
  <c r="GQ205" i="54"/>
  <c r="GP205" i="54"/>
  <c r="GQ246" i="54"/>
  <c r="GP246" i="54"/>
  <c r="GQ30" i="54"/>
  <c r="GP30" i="54"/>
  <c r="HL245" i="54"/>
  <c r="HL61" i="54"/>
  <c r="HM44" i="54"/>
  <c r="HL81" i="54"/>
  <c r="HL228" i="54"/>
  <c r="HL213" i="54"/>
  <c r="HM222" i="54"/>
  <c r="HL69" i="54"/>
  <c r="HM249" i="54"/>
  <c r="HL175" i="54"/>
  <c r="HL57" i="54"/>
  <c r="HL52" i="54"/>
  <c r="HM66" i="54"/>
  <c r="HM68" i="54"/>
  <c r="HM165" i="54"/>
  <c r="DR264" i="54"/>
  <c r="DR268" i="54"/>
  <c r="DR183" i="54"/>
  <c r="DR222" i="54"/>
  <c r="DR141" i="54"/>
  <c r="DR145" i="54"/>
  <c r="DR192" i="54"/>
  <c r="DR104" i="54"/>
  <c r="DR261" i="54"/>
  <c r="DR12" i="54"/>
  <c r="DR110" i="54"/>
  <c r="DR228" i="54"/>
  <c r="DR64" i="54"/>
  <c r="DR138" i="54"/>
  <c r="DR147" i="54"/>
  <c r="DR85" i="54"/>
  <c r="DR76" i="54"/>
  <c r="DR247" i="54"/>
  <c r="DR26" i="54"/>
  <c r="DR225" i="54"/>
  <c r="DR168" i="54"/>
  <c r="DR245" i="54"/>
  <c r="DR201" i="54"/>
  <c r="DR143" i="54"/>
  <c r="DR113" i="54"/>
  <c r="DR149" i="54"/>
  <c r="DR72" i="54"/>
  <c r="DR61" i="54"/>
  <c r="DR33" i="54"/>
  <c r="DR208" i="54"/>
  <c r="DR267" i="54"/>
  <c r="DR169" i="54"/>
  <c r="DR171" i="54"/>
  <c r="DR42" i="54"/>
  <c r="DR250" i="54"/>
  <c r="DR84" i="54"/>
  <c r="DR162" i="54"/>
  <c r="DR132" i="54"/>
  <c r="DR35" i="54"/>
  <c r="DR91" i="54"/>
  <c r="DR41" i="54"/>
  <c r="DR50" i="54"/>
  <c r="DR130" i="54"/>
  <c r="EC107" i="54"/>
  <c r="EK107" i="54" s="1"/>
  <c r="EC124" i="54"/>
  <c r="EK124" i="54" s="1"/>
  <c r="EC237" i="54"/>
  <c r="EK237" i="54" s="1"/>
  <c r="EC236" i="54"/>
  <c r="EK236" i="54" s="1"/>
  <c r="EC247" i="54"/>
  <c r="EK247" i="54" s="1"/>
  <c r="EC138" i="54"/>
  <c r="EK138" i="54" s="1"/>
  <c r="EC149" i="54"/>
  <c r="EK149" i="54" s="1"/>
  <c r="EC46" i="54"/>
  <c r="EK46" i="54" s="1"/>
  <c r="EC63" i="54"/>
  <c r="EK63" i="54" s="1"/>
  <c r="EC62" i="54"/>
  <c r="EK62" i="54" s="1"/>
  <c r="EC169" i="54"/>
  <c r="EK169" i="54" s="1"/>
  <c r="EC180" i="54"/>
  <c r="EK180" i="54" s="1"/>
  <c r="EC30" i="54"/>
  <c r="EK30" i="54" s="1"/>
  <c r="EC41" i="54"/>
  <c r="EK41" i="54" s="1"/>
  <c r="EC94" i="54"/>
  <c r="EK94" i="54" s="1"/>
  <c r="EC177" i="54"/>
  <c r="EK177" i="54" s="1"/>
  <c r="EC176" i="54"/>
  <c r="EK176" i="54" s="1"/>
  <c r="EC253" i="54"/>
  <c r="EK253" i="54" s="1"/>
  <c r="EC114" i="54"/>
  <c r="EK114" i="54" s="1"/>
  <c r="EC238" i="54"/>
  <c r="EK238" i="54" s="1"/>
  <c r="EC58" i="54"/>
  <c r="EK58" i="54" s="1"/>
  <c r="EC136" i="54"/>
  <c r="EK136" i="54" s="1"/>
  <c r="EC117" i="54"/>
  <c r="EK117" i="54" s="1"/>
  <c r="EC218" i="54"/>
  <c r="EK218" i="54" s="1"/>
  <c r="EC38" i="54"/>
  <c r="EK38" i="54" s="1"/>
  <c r="EC156" i="54"/>
  <c r="EK156" i="54" s="1"/>
  <c r="EC233" i="54"/>
  <c r="EK233" i="54" s="1"/>
  <c r="EC100" i="54"/>
  <c r="EK100" i="54" s="1"/>
  <c r="EC81" i="54"/>
  <c r="EK81" i="54" s="1"/>
  <c r="EC122" i="54"/>
  <c r="EK122" i="54" s="1"/>
  <c r="EC256" i="54"/>
  <c r="EK256" i="54" s="1"/>
  <c r="EC163" i="54"/>
  <c r="EK163" i="54" s="1"/>
  <c r="EC40" i="54"/>
  <c r="EK40" i="54" s="1"/>
  <c r="EC112" i="54"/>
  <c r="EK112" i="54" s="1"/>
  <c r="EC137" i="54"/>
  <c r="EK137" i="54" s="1"/>
  <c r="EC19" i="54"/>
  <c r="EK19" i="54" s="1"/>
  <c r="HL241" i="54"/>
  <c r="HL236" i="54"/>
  <c r="HM111" i="54"/>
  <c r="HM18" i="54"/>
  <c r="HL33" i="54"/>
  <c r="HL216" i="54"/>
  <c r="HM99" i="54"/>
  <c r="HM232" i="54"/>
  <c r="HL107" i="54"/>
  <c r="HM109" i="54"/>
  <c r="HM206" i="54"/>
  <c r="BG30" i="54"/>
  <c r="O37" i="54" s="1"/>
  <c r="BG35" i="54"/>
  <c r="Q37" i="54" s="1"/>
  <c r="BH34" i="54"/>
  <c r="X36" i="54" s="1"/>
  <c r="BH29" i="54"/>
  <c r="V36" i="54" s="1"/>
  <c r="HO20" i="54"/>
  <c r="HM51" i="54"/>
  <c r="HM87" i="54"/>
  <c r="HL125" i="54"/>
  <c r="HL163" i="54"/>
  <c r="HL224" i="54"/>
  <c r="HM90" i="54"/>
  <c r="HM120" i="54"/>
  <c r="HL38" i="54"/>
  <c r="HM177" i="54"/>
  <c r="HM227" i="54"/>
  <c r="HL74" i="54"/>
  <c r="HL171" i="54"/>
  <c r="HL138" i="54"/>
  <c r="HL140" i="54"/>
  <c r="HL149" i="54"/>
  <c r="HL247" i="54"/>
  <c r="HM32" i="54"/>
  <c r="BF36" i="54"/>
  <c r="J38" i="54" s="1"/>
  <c r="BF31" i="54"/>
  <c r="H38" i="54" s="1"/>
  <c r="EC21" i="54"/>
  <c r="EK21" i="54" s="1"/>
  <c r="HL159" i="54"/>
  <c r="HO76" i="54"/>
  <c r="HL203" i="54"/>
  <c r="HL265" i="54"/>
  <c r="HM131" i="54"/>
  <c r="HM192" i="54"/>
  <c r="HM161" i="54"/>
  <c r="HL78" i="54"/>
  <c r="HL218" i="54"/>
  <c r="HM94" i="54"/>
  <c r="HL114" i="54"/>
  <c r="HL212" i="54"/>
  <c r="HL46" i="54"/>
  <c r="HL180" i="54"/>
  <c r="HL63" i="54"/>
  <c r="HL196" i="54"/>
  <c r="HM30" i="54"/>
  <c r="T45" i="54" a="1"/>
  <c r="T45" i="54" s="1"/>
  <c r="T42" i="54" a="1"/>
  <c r="T42" i="54" s="1"/>
  <c r="T39" i="54" a="1"/>
  <c r="T39" i="54" s="1"/>
  <c r="T46" i="54" a="1"/>
  <c r="T46" i="54" s="1"/>
  <c r="T44" i="54" a="1"/>
  <c r="T44" i="54" s="1"/>
  <c r="T43" i="54" a="1"/>
  <c r="T43" i="54" s="1"/>
  <c r="T41" i="54" a="1"/>
  <c r="T41" i="54" s="1"/>
  <c r="T40" i="54" a="1"/>
  <c r="T40" i="54" s="1"/>
  <c r="Q16" i="54" a="1"/>
  <c r="Q16" i="54" s="1"/>
  <c r="DN126" i="54"/>
  <c r="DO126" i="54"/>
  <c r="DP23" i="54"/>
  <c r="DS23" i="54" s="1"/>
  <c r="DN23" i="54"/>
  <c r="DO23" i="54"/>
  <c r="DN231" i="54"/>
  <c r="DO231" i="54"/>
  <c r="DN230" i="54"/>
  <c r="DO230" i="54"/>
  <c r="DP97" i="54"/>
  <c r="DS97" i="54" s="1"/>
  <c r="DN97" i="54"/>
  <c r="DO97" i="54"/>
  <c r="DN106" i="54"/>
  <c r="DO106" i="54"/>
  <c r="DN51" i="54"/>
  <c r="DO51" i="54"/>
  <c r="DP50" i="54"/>
  <c r="DS50" i="54" s="1"/>
  <c r="DN50" i="54"/>
  <c r="DO50" i="54"/>
  <c r="DN174" i="54"/>
  <c r="DP174" i="54"/>
  <c r="DS174" i="54" s="1"/>
  <c r="DO174" i="54"/>
  <c r="DN34" i="54"/>
  <c r="DO34" i="54"/>
  <c r="DP54" i="54"/>
  <c r="DS54" i="54" s="1"/>
  <c r="DO54" i="54"/>
  <c r="DN54" i="54"/>
  <c r="DN256" i="54"/>
  <c r="DO256" i="54"/>
  <c r="DN82" i="54"/>
  <c r="DO82" i="54"/>
  <c r="DQ135" i="54"/>
  <c r="DT135" i="54" s="1"/>
  <c r="DN135" i="54"/>
  <c r="DO135" i="54"/>
  <c r="DN205" i="54"/>
  <c r="DO205" i="54"/>
  <c r="DN44" i="54"/>
  <c r="DO44" i="54"/>
  <c r="DO199" i="54"/>
  <c r="DN199" i="54"/>
  <c r="DN25" i="54"/>
  <c r="DO25" i="54"/>
  <c r="DN29" i="54"/>
  <c r="DO29" i="54"/>
  <c r="DO195" i="54"/>
  <c r="DN195" i="54"/>
  <c r="DO194" i="54"/>
  <c r="DQ194" i="54"/>
  <c r="DT194" i="54" s="1"/>
  <c r="DN194" i="54"/>
  <c r="DN61" i="54"/>
  <c r="DO61" i="54"/>
  <c r="DN77" i="54"/>
  <c r="DO77" i="54"/>
  <c r="DN58" i="54"/>
  <c r="DO58" i="54"/>
  <c r="DN72" i="54"/>
  <c r="DO72" i="54"/>
  <c r="DO114" i="54"/>
  <c r="DN114" i="54"/>
  <c r="DO108" i="54"/>
  <c r="DN108" i="54"/>
  <c r="DO222" i="54"/>
  <c r="DN222" i="54"/>
  <c r="DN103" i="54"/>
  <c r="DO103" i="54"/>
  <c r="DN52" i="54"/>
  <c r="DO52" i="54"/>
  <c r="DN249" i="54"/>
  <c r="DO249" i="54"/>
  <c r="DP33" i="54"/>
  <c r="DS33" i="54" s="1"/>
  <c r="DN33" i="54"/>
  <c r="DO33" i="54"/>
  <c r="DN119" i="54"/>
  <c r="DO119" i="54"/>
  <c r="DN100" i="54"/>
  <c r="DO100" i="54"/>
  <c r="DN183" i="54"/>
  <c r="DO183" i="54"/>
  <c r="DO182" i="54"/>
  <c r="DN182" i="54"/>
  <c r="DQ182" i="54"/>
  <c r="DT182" i="54" s="1"/>
  <c r="DN219" i="54"/>
  <c r="DO219" i="54"/>
  <c r="DP218" i="54"/>
  <c r="DS218" i="54" s="1"/>
  <c r="DN218" i="54"/>
  <c r="DO218" i="54"/>
  <c r="DN39" i="54"/>
  <c r="DO39" i="54"/>
  <c r="DN38" i="54"/>
  <c r="DO38" i="54"/>
  <c r="DQ156" i="54"/>
  <c r="DT156" i="54" s="1"/>
  <c r="DO156" i="54"/>
  <c r="DN156" i="54"/>
  <c r="DN217" i="54"/>
  <c r="DO217" i="54"/>
  <c r="DP217" i="54"/>
  <c r="DS217" i="54" s="1"/>
  <c r="DO192" i="54"/>
  <c r="DN192" i="54"/>
  <c r="CV33" i="54"/>
  <c r="CT33" i="54"/>
  <c r="CU34" i="54" s="1"/>
  <c r="J10" i="56"/>
  <c r="M10" i="56" s="1"/>
  <c r="J11" i="56"/>
  <c r="M11" i="56" s="1"/>
  <c r="J7" i="56"/>
  <c r="M7" i="56" s="1"/>
  <c r="J8" i="56"/>
  <c r="M8" i="56" s="1"/>
  <c r="J13" i="56"/>
  <c r="M13" i="56" s="1"/>
  <c r="J5" i="56"/>
  <c r="M5" i="56" s="1"/>
  <c r="W6" i="56"/>
  <c r="U6" i="56"/>
  <c r="T6" i="56"/>
  <c r="W23" i="56"/>
  <c r="J23" i="56" s="1"/>
  <c r="M23" i="56" s="1"/>
  <c r="U23" i="56"/>
  <c r="T23" i="56"/>
  <c r="W9" i="56"/>
  <c r="U9" i="56"/>
  <c r="T9" i="56"/>
  <c r="W12" i="56"/>
  <c r="U12" i="56"/>
  <c r="T12" i="56"/>
  <c r="W3" i="56"/>
  <c r="J3" i="56" s="1"/>
  <c r="M3" i="56" s="1"/>
  <c r="CG6" i="54" s="1"/>
  <c r="T3" i="56"/>
  <c r="U3" i="56"/>
  <c r="W15" i="56"/>
  <c r="J15" i="56" s="1"/>
  <c r="M15" i="56" s="1"/>
  <c r="U15" i="56"/>
  <c r="T15" i="56"/>
  <c r="W19" i="56"/>
  <c r="J19" i="56" s="1"/>
  <c r="M19" i="56" s="1"/>
  <c r="T19" i="56"/>
  <c r="U19" i="56"/>
  <c r="W20" i="56"/>
  <c r="J20" i="56" s="1"/>
  <c r="M20" i="56" s="1"/>
  <c r="U20" i="56"/>
  <c r="T20" i="56"/>
  <c r="W16" i="56"/>
  <c r="J16" i="56" s="1"/>
  <c r="M16" i="56" s="1"/>
  <c r="T16" i="56"/>
  <c r="U16" i="56"/>
  <c r="W24" i="56"/>
  <c r="J24" i="56" s="1"/>
  <c r="M24" i="56" s="1"/>
  <c r="T24" i="56"/>
  <c r="U24" i="56"/>
  <c r="R58" i="56"/>
  <c r="AH46" i="54" s="1" a="1"/>
  <c r="AH46" i="54" s="1"/>
  <c r="I30" i="56"/>
  <c r="Y30" i="56"/>
  <c r="AB30" i="56" s="1"/>
  <c r="O30" i="56"/>
  <c r="AG30" i="56" s="1"/>
  <c r="Z33" i="56"/>
  <c r="AC33" i="56" s="1"/>
  <c r="AG58" i="56"/>
  <c r="AI58" i="56"/>
  <c r="AH58" i="56"/>
  <c r="K30" i="56"/>
  <c r="O33" i="56"/>
  <c r="L33" i="56" s="1"/>
  <c r="Y33" i="56"/>
  <c r="AB33" i="56" s="1"/>
  <c r="AH33" i="56"/>
  <c r="Z34" i="56"/>
  <c r="AC34" i="56" s="1"/>
  <c r="Z31" i="56"/>
  <c r="AC31" i="56" s="1"/>
  <c r="I31" i="56"/>
  <c r="L31" i="56" s="1"/>
  <c r="Y31" i="56"/>
  <c r="AB31" i="56" s="1"/>
  <c r="Y28" i="56"/>
  <c r="AD28" i="56" s="1"/>
  <c r="DV5" i="54" s="1"/>
  <c r="N28" i="56"/>
  <c r="N31" i="56"/>
  <c r="AG32" i="56"/>
  <c r="AH28" i="56"/>
  <c r="Y34" i="56"/>
  <c r="AB34" i="56" s="1"/>
  <c r="I34" i="56"/>
  <c r="O34" i="56"/>
  <c r="AH34" i="56"/>
  <c r="AH29" i="56"/>
  <c r="Z32" i="56"/>
  <c r="K32" i="56"/>
  <c r="AI32" i="56"/>
  <c r="K29" i="56"/>
  <c r="L29" i="56" s="1"/>
  <c r="Z29" i="56"/>
  <c r="Q29" i="56" s="1"/>
  <c r="R29" i="56" s="1"/>
  <c r="AN29" i="56" s="1"/>
  <c r="AI29" i="56"/>
  <c r="AG29" i="56"/>
  <c r="Y12" i="56"/>
  <c r="AB12" i="56" s="1"/>
  <c r="V13" i="56"/>
  <c r="Y13" i="56" s="1"/>
  <c r="X3" i="56"/>
  <c r="Z3" i="56" s="1"/>
  <c r="AC3" i="56" s="1"/>
  <c r="X7" i="56"/>
  <c r="V2" i="56"/>
  <c r="X11" i="56"/>
  <c r="X22" i="56"/>
  <c r="Z22" i="56" s="1"/>
  <c r="AC22" i="56" s="1"/>
  <c r="X23" i="56"/>
  <c r="Z23" i="56" s="1"/>
  <c r="AC23" i="56" s="1"/>
  <c r="X6" i="56"/>
  <c r="K6" i="56" s="1"/>
  <c r="X18" i="56"/>
  <c r="Z18" i="56" s="1"/>
  <c r="AC18" i="56" s="1"/>
  <c r="Y22" i="56"/>
  <c r="AB22" i="56" s="1"/>
  <c r="O22" i="56"/>
  <c r="O18" i="56"/>
  <c r="Z10" i="56"/>
  <c r="AC10" i="56" s="1"/>
  <c r="Y6" i="56"/>
  <c r="AB6" i="56" s="1"/>
  <c r="O6" i="56"/>
  <c r="Z9" i="56"/>
  <c r="AC9" i="56" s="1"/>
  <c r="Z5" i="56"/>
  <c r="AC5" i="56" s="1"/>
  <c r="Z24" i="56"/>
  <c r="AC24" i="56" s="1"/>
  <c r="K24" i="56"/>
  <c r="Y23" i="56"/>
  <c r="AB23" i="56" s="1"/>
  <c r="O23" i="56"/>
  <c r="Y19" i="56"/>
  <c r="AB19" i="56" s="1"/>
  <c r="O19" i="56"/>
  <c r="Y15" i="56"/>
  <c r="AB15" i="56" s="1"/>
  <c r="O15" i="56"/>
  <c r="Y11" i="56"/>
  <c r="AB11" i="56" s="1"/>
  <c r="O11" i="56"/>
  <c r="O7" i="56"/>
  <c r="Y7" i="56"/>
  <c r="AB7" i="56" s="1"/>
  <c r="Y3" i="56"/>
  <c r="AB3" i="56" s="1"/>
  <c r="O3" i="56"/>
  <c r="X12" i="56"/>
  <c r="K12" i="56" s="1"/>
  <c r="X20" i="56"/>
  <c r="X2" i="56"/>
  <c r="V5" i="56"/>
  <c r="V9" i="56"/>
  <c r="V10" i="56"/>
  <c r="V14" i="56"/>
  <c r="Y14" i="56" s="1"/>
  <c r="AB14" i="56" s="1"/>
  <c r="X15" i="56"/>
  <c r="X19" i="56"/>
  <c r="V24" i="56"/>
  <c r="Y24" i="56" s="1"/>
  <c r="X16" i="56"/>
  <c r="V17" i="56"/>
  <c r="O17" i="56" s="1"/>
  <c r="V21" i="56"/>
  <c r="X25" i="56"/>
  <c r="X4" i="56"/>
  <c r="X8" i="56"/>
  <c r="K8" i="56" s="1"/>
  <c r="X13" i="56"/>
  <c r="K13" i="56" s="1"/>
  <c r="X17" i="56"/>
  <c r="X21" i="56"/>
  <c r="V4" i="56"/>
  <c r="Y4" i="56" s="1"/>
  <c r="AB4" i="56" s="1"/>
  <c r="V8" i="56"/>
  <c r="O20" i="56"/>
  <c r="O16" i="56"/>
  <c r="O12" i="56"/>
  <c r="Y25" i="56"/>
  <c r="O25" i="56"/>
  <c r="K14" i="56"/>
  <c r="Y16" i="56"/>
  <c r="AB16" i="56" s="1"/>
  <c r="Y20" i="56"/>
  <c r="AB20" i="56" s="1"/>
  <c r="Y18" i="56"/>
  <c r="AB18" i="56" s="1"/>
  <c r="DQ23" i="54" l="1"/>
  <c r="DT23" i="54" s="1"/>
  <c r="DQ38" i="54"/>
  <c r="DT38" i="54" s="1"/>
  <c r="DQ39" i="54"/>
  <c r="DT39" i="54" s="1"/>
  <c r="DQ119" i="54"/>
  <c r="DT119" i="54" s="1"/>
  <c r="DQ52" i="54"/>
  <c r="DT52" i="54" s="1"/>
  <c r="DP222" i="54"/>
  <c r="DS222" i="54" s="1"/>
  <c r="DP108" i="54"/>
  <c r="DS108" i="54" s="1"/>
  <c r="DP194" i="54"/>
  <c r="DS194" i="54" s="1"/>
  <c r="DQ25" i="54"/>
  <c r="DT25" i="54" s="1"/>
  <c r="DQ205" i="54"/>
  <c r="DT205" i="54" s="1"/>
  <c r="DP82" i="54"/>
  <c r="DS82" i="54" s="1"/>
  <c r="DQ256" i="54"/>
  <c r="DT256" i="54" s="1"/>
  <c r="DQ34" i="54"/>
  <c r="DT34" i="54" s="1"/>
  <c r="DQ174" i="54"/>
  <c r="DT174" i="54" s="1"/>
  <c r="DQ231" i="54"/>
  <c r="DT231" i="54" s="1"/>
  <c r="DQ138" i="54"/>
  <c r="DP38" i="54"/>
  <c r="DS38" i="54" s="1"/>
  <c r="DP39" i="54"/>
  <c r="DS39" i="54" s="1"/>
  <c r="DP119" i="54"/>
  <c r="DS119" i="54" s="1"/>
  <c r="DP52" i="54"/>
  <c r="DS52" i="54" s="1"/>
  <c r="DQ222" i="54"/>
  <c r="DT222" i="54" s="1"/>
  <c r="DQ108" i="54"/>
  <c r="DT108" i="54" s="1"/>
  <c r="DP72" i="54"/>
  <c r="DS72" i="54" s="1"/>
  <c r="DQ58" i="54"/>
  <c r="DT58" i="54" s="1"/>
  <c r="DP25" i="54"/>
  <c r="DS25" i="54" s="1"/>
  <c r="DP205" i="54"/>
  <c r="DP256" i="54"/>
  <c r="DS256" i="54" s="1"/>
  <c r="DP34" i="54"/>
  <c r="DS34" i="54" s="1"/>
  <c r="DQ106" i="54"/>
  <c r="DP231" i="54"/>
  <c r="DS231" i="54" s="1"/>
  <c r="DP126" i="54"/>
  <c r="DS126" i="54" s="1"/>
  <c r="DP192" i="54"/>
  <c r="DS192" i="54" s="1"/>
  <c r="DQ219" i="54"/>
  <c r="DT219" i="54" s="1"/>
  <c r="DP183" i="54"/>
  <c r="DS183" i="54" s="1"/>
  <c r="DQ100" i="54"/>
  <c r="DQ249" i="54"/>
  <c r="DT249" i="54" s="1"/>
  <c r="DQ103" i="54"/>
  <c r="DT103" i="54" s="1"/>
  <c r="DP114" i="54"/>
  <c r="DS114" i="54" s="1"/>
  <c r="DQ72" i="54"/>
  <c r="DT72" i="54" s="1"/>
  <c r="DQ77" i="54"/>
  <c r="DT77" i="54" s="1"/>
  <c r="DQ61" i="54"/>
  <c r="DQ29" i="54"/>
  <c r="DT29" i="54" s="1"/>
  <c r="DQ44" i="54"/>
  <c r="DT44" i="54" s="1"/>
  <c r="DP135" i="54"/>
  <c r="DS135" i="54" s="1"/>
  <c r="DQ54" i="54"/>
  <c r="DT54" i="54" s="1"/>
  <c r="DQ51" i="54"/>
  <c r="DT51" i="54" s="1"/>
  <c r="DQ230" i="54"/>
  <c r="DT230" i="54" s="1"/>
  <c r="DQ126" i="54"/>
  <c r="DT126" i="54" s="1"/>
  <c r="DQ192" i="54"/>
  <c r="DT192" i="54" s="1"/>
  <c r="DP219" i="54"/>
  <c r="DS219" i="54" s="1"/>
  <c r="DQ183" i="54"/>
  <c r="DT183" i="54" s="1"/>
  <c r="DP100" i="54"/>
  <c r="DS100" i="54" s="1"/>
  <c r="DP249" i="54"/>
  <c r="DS249" i="54" s="1"/>
  <c r="DP103" i="54"/>
  <c r="DS103" i="54" s="1"/>
  <c r="DQ114" i="54"/>
  <c r="DT114" i="54" s="1"/>
  <c r="DP77" i="54"/>
  <c r="DS77" i="54" s="1"/>
  <c r="DP61" i="54"/>
  <c r="DS61" i="54" s="1"/>
  <c r="DQ195" i="54"/>
  <c r="DT195" i="54" s="1"/>
  <c r="DP29" i="54"/>
  <c r="DS29" i="54" s="1"/>
  <c r="DQ199" i="54"/>
  <c r="DT199" i="54" s="1"/>
  <c r="DP44" i="54"/>
  <c r="DS44" i="54" s="1"/>
  <c r="DQ82" i="54"/>
  <c r="DT82" i="54" s="1"/>
  <c r="DP51" i="54"/>
  <c r="DS51" i="54" s="1"/>
  <c r="DP230" i="54"/>
  <c r="DS230" i="54" s="1"/>
  <c r="DQ217" i="54"/>
  <c r="DT217" i="54" s="1"/>
  <c r="DP156" i="54"/>
  <c r="DS156" i="54" s="1"/>
  <c r="DQ218" i="54"/>
  <c r="DT218" i="54" s="1"/>
  <c r="DP182" i="54"/>
  <c r="DS182" i="54" s="1"/>
  <c r="DQ33" i="54"/>
  <c r="DT33" i="54" s="1"/>
  <c r="DP58" i="54"/>
  <c r="DS58" i="54" s="1"/>
  <c r="DP195" i="54"/>
  <c r="DS195" i="54" s="1"/>
  <c r="DP199" i="54"/>
  <c r="DS199" i="54" s="1"/>
  <c r="DQ50" i="54"/>
  <c r="DT50" i="54" s="1"/>
  <c r="DP106" i="54"/>
  <c r="DS106" i="54" s="1"/>
  <c r="DQ97" i="54"/>
  <c r="DT97" i="54" s="1"/>
  <c r="DQ134" i="54"/>
  <c r="DT134" i="54" s="1"/>
  <c r="DP223" i="54"/>
  <c r="DS223" i="54" s="1"/>
  <c r="BX3" i="54"/>
  <c r="BZ3" i="54"/>
  <c r="BU7" i="54"/>
  <c r="DS205" i="54"/>
  <c r="DT106" i="54"/>
  <c r="BU5" i="54"/>
  <c r="DT100" i="54"/>
  <c r="DT61" i="54"/>
  <c r="F35" i="54" a="1"/>
  <c r="F35" i="54" s="1"/>
  <c r="DP104" i="54"/>
  <c r="DS104" i="54" s="1"/>
  <c r="DP144" i="54"/>
  <c r="DS144" i="54" s="1"/>
  <c r="DP235" i="54"/>
  <c r="DS235" i="54" s="1"/>
  <c r="DP128" i="54"/>
  <c r="DS128" i="54" s="1"/>
  <c r="BV3" i="54"/>
  <c r="DP197" i="54"/>
  <c r="DS197" i="54" s="1"/>
  <c r="DP239" i="54"/>
  <c r="DS239" i="54" s="1"/>
  <c r="DP94" i="54"/>
  <c r="DS94" i="54" s="1"/>
  <c r="DP246" i="54"/>
  <c r="DS246" i="54" s="1"/>
  <c r="DP95" i="54"/>
  <c r="DS95" i="54" s="1"/>
  <c r="DQ124" i="54"/>
  <c r="DT124" i="54" s="1"/>
  <c r="BE10" i="54" a="1"/>
  <c r="BE10" i="54" s="1"/>
  <c r="DP258" i="54"/>
  <c r="DS258" i="54" s="1"/>
  <c r="DP146" i="54"/>
  <c r="DS146" i="54" s="1"/>
  <c r="DQ149" i="54"/>
  <c r="DT149" i="54" s="1"/>
  <c r="DQ40" i="54"/>
  <c r="DT40" i="54" s="1"/>
  <c r="DP215" i="54"/>
  <c r="DS215" i="54" s="1"/>
  <c r="BE21" i="54"/>
  <c r="BE14" i="54"/>
  <c r="BV5" i="54"/>
  <c r="BY5" i="54"/>
  <c r="BW5" i="54"/>
  <c r="CL7" i="54"/>
  <c r="CX3" i="54" s="1"/>
  <c r="BE20" i="54"/>
  <c r="CA3" i="54"/>
  <c r="CE7" i="54" s="1"/>
  <c r="BV7" i="54"/>
  <c r="BE18" i="54"/>
  <c r="BE11" i="54"/>
  <c r="BE16" i="54"/>
  <c r="BE5" i="54" a="1"/>
  <c r="BE5" i="54" s="1"/>
  <c r="BW3" i="54"/>
  <c r="BE9" i="54" a="1"/>
  <c r="BE9" i="54" s="1"/>
  <c r="F37" i="54" a="1"/>
  <c r="F37" i="54" s="1"/>
  <c r="BE15" i="54"/>
  <c r="BY3" i="54"/>
  <c r="BX5" i="54"/>
  <c r="BE13" i="54"/>
  <c r="BE19" i="54"/>
  <c r="BY7" i="54"/>
  <c r="CL5" i="54"/>
  <c r="CB5" i="54"/>
  <c r="EO34" i="54"/>
  <c r="EP34" i="54"/>
  <c r="EQ34" i="54"/>
  <c r="EP241" i="54"/>
  <c r="EO241" i="54"/>
  <c r="EQ241" i="54"/>
  <c r="EQ160" i="54"/>
  <c r="EO160" i="54"/>
  <c r="EP160" i="54"/>
  <c r="EQ187" i="54"/>
  <c r="EP187" i="54"/>
  <c r="EO187" i="54"/>
  <c r="EQ188" i="54"/>
  <c r="EP188" i="54"/>
  <c r="EO188" i="54"/>
  <c r="EO27" i="54"/>
  <c r="EP27" i="54"/>
  <c r="EQ27" i="54"/>
  <c r="EP73" i="54"/>
  <c r="EO73" i="54"/>
  <c r="EQ73" i="54"/>
  <c r="EQ119" i="54"/>
  <c r="EO119" i="54"/>
  <c r="EP119" i="54"/>
  <c r="EP168" i="54"/>
  <c r="EO168" i="54"/>
  <c r="EQ168" i="54"/>
  <c r="EQ25" i="54"/>
  <c r="EP25" i="54"/>
  <c r="EO25" i="54"/>
  <c r="EQ189" i="54"/>
  <c r="EO189" i="54"/>
  <c r="EP189" i="54"/>
  <c r="EP65" i="54"/>
  <c r="EO65" i="54"/>
  <c r="EQ65" i="54"/>
  <c r="EP74" i="54"/>
  <c r="EO74" i="54"/>
  <c r="EQ74" i="54"/>
  <c r="EQ66" i="54"/>
  <c r="EP66" i="54"/>
  <c r="EO66" i="54"/>
  <c r="EO11" i="54"/>
  <c r="EP11" i="54"/>
  <c r="EQ11" i="54"/>
  <c r="ET4" i="54" a="1"/>
  <c r="ET4" i="54" s="1"/>
  <c r="EU4" i="54" s="1"/>
  <c r="ET2" i="54" a="1"/>
  <c r="ET2" i="54" s="1"/>
  <c r="EU2" i="54" s="1"/>
  <c r="DT138" i="54"/>
  <c r="DU3" i="54"/>
  <c r="DV3" i="54"/>
  <c r="DW3" i="54" s="1"/>
  <c r="DX3" i="54" s="1"/>
  <c r="Y2" i="56"/>
  <c r="AB2" i="56" s="1"/>
  <c r="CB3" i="54"/>
  <c r="HR3" i="54" a="1"/>
  <c r="HR3" i="54" s="1"/>
  <c r="HS3" i="54" s="1"/>
  <c r="HT3" i="54" s="1"/>
  <c r="HQ3" i="54" a="1"/>
  <c r="HQ3" i="54" s="1"/>
  <c r="HQ4" i="54" a="1"/>
  <c r="HQ4" i="54" s="1"/>
  <c r="HR4" i="54" a="1"/>
  <c r="HR4" i="54" s="1"/>
  <c r="HS4" i="54" s="1"/>
  <c r="HT4" i="54" s="1"/>
  <c r="EQ107" i="54"/>
  <c r="EO107" i="54"/>
  <c r="EP107" i="54"/>
  <c r="EO185" i="54"/>
  <c r="EQ185" i="54"/>
  <c r="EP185" i="54"/>
  <c r="EQ26" i="54"/>
  <c r="EP26" i="54"/>
  <c r="EO26" i="54"/>
  <c r="EQ129" i="54"/>
  <c r="EO129" i="54"/>
  <c r="EP129" i="54"/>
  <c r="EQ154" i="54"/>
  <c r="EO154" i="54"/>
  <c r="EP154" i="54"/>
  <c r="EQ159" i="54"/>
  <c r="EP159" i="54"/>
  <c r="EO159" i="54"/>
  <c r="EO72" i="54"/>
  <c r="EQ72" i="54"/>
  <c r="EP72" i="54"/>
  <c r="EP75" i="54"/>
  <c r="EO75" i="54"/>
  <c r="EQ75" i="54"/>
  <c r="AF28" i="56"/>
  <c r="DV7" i="54" s="1"/>
  <c r="DU7" i="54"/>
  <c r="HR2" i="54" a="1"/>
  <c r="HR2" i="54" s="1"/>
  <c r="HS2" i="54" s="1"/>
  <c r="HT2" i="54" s="1"/>
  <c r="HQ2" i="54" a="1"/>
  <c r="HQ2" i="54" s="1"/>
  <c r="EQ250" i="54"/>
  <c r="EO250" i="54"/>
  <c r="EP250" i="54"/>
  <c r="EQ200" i="54"/>
  <c r="EP200" i="54"/>
  <c r="EO200" i="54"/>
  <c r="EQ186" i="54"/>
  <c r="EP186" i="54"/>
  <c r="EO186" i="54"/>
  <c r="EP18" i="54"/>
  <c r="EO18" i="54"/>
  <c r="EQ18" i="54"/>
  <c r="EO19" i="54"/>
  <c r="EQ19" i="54"/>
  <c r="EP19" i="54"/>
  <c r="EO16" i="54"/>
  <c r="EP16" i="54"/>
  <c r="EQ16" i="54"/>
  <c r="EO120" i="54"/>
  <c r="EQ120" i="54"/>
  <c r="EP120" i="54"/>
  <c r="EP222" i="54"/>
  <c r="EQ222" i="54"/>
  <c r="EO222" i="54"/>
  <c r="EQ121" i="54"/>
  <c r="EP121" i="54"/>
  <c r="EO121" i="54"/>
  <c r="EP122" i="54"/>
  <c r="EO122" i="54"/>
  <c r="EQ122" i="54"/>
  <c r="EQ176" i="54"/>
  <c r="EP176" i="54"/>
  <c r="EO176" i="54"/>
  <c r="EQ177" i="54"/>
  <c r="EO177" i="54"/>
  <c r="EP177" i="54"/>
  <c r="EP221" i="54"/>
  <c r="EQ221" i="54"/>
  <c r="EO221" i="54"/>
  <c r="DP79" i="54"/>
  <c r="DS79" i="54" s="1"/>
  <c r="DQ104" i="54"/>
  <c r="DT104" i="54" s="1"/>
  <c r="DQ166" i="54"/>
  <c r="DT166" i="54" s="1"/>
  <c r="DQ99" i="54"/>
  <c r="DT99" i="54" s="1"/>
  <c r="DP149" i="54"/>
  <c r="DS149" i="54" s="1"/>
  <c r="DQ113" i="54"/>
  <c r="DT113" i="54" s="1"/>
  <c r="DQ69" i="54"/>
  <c r="DT69" i="54" s="1"/>
  <c r="DP66" i="54"/>
  <c r="DS66" i="54" s="1"/>
  <c r="DP245" i="54"/>
  <c r="DS245" i="54" s="1"/>
  <c r="DQ246" i="54"/>
  <c r="DT246" i="54" s="1"/>
  <c r="DP40" i="54"/>
  <c r="DS40" i="54" s="1"/>
  <c r="DQ167" i="54"/>
  <c r="DT167" i="54" s="1"/>
  <c r="DQ153" i="54"/>
  <c r="DT153" i="54" s="1"/>
  <c r="DQ15" i="54"/>
  <c r="DT15" i="54" s="1"/>
  <c r="DP214" i="54"/>
  <c r="DS214" i="54" s="1"/>
  <c r="EQ190" i="54"/>
  <c r="EO190" i="54"/>
  <c r="EP190" i="54"/>
  <c r="EQ195" i="54"/>
  <c r="EP195" i="54"/>
  <c r="EO195" i="54"/>
  <c r="EQ230" i="54"/>
  <c r="EP230" i="54"/>
  <c r="EO230" i="54"/>
  <c r="EP68" i="54"/>
  <c r="EO68" i="54"/>
  <c r="EQ68" i="54"/>
  <c r="EP69" i="54"/>
  <c r="EO69" i="54"/>
  <c r="EQ69" i="54"/>
  <c r="EO113" i="54"/>
  <c r="EP113" i="54"/>
  <c r="EQ113" i="54"/>
  <c r="EQ170" i="54"/>
  <c r="EP170" i="54"/>
  <c r="EO170" i="54"/>
  <c r="EP217" i="54"/>
  <c r="EO217" i="54"/>
  <c r="EQ217" i="54"/>
  <c r="EO218" i="54"/>
  <c r="EQ218" i="54"/>
  <c r="EP218" i="54"/>
  <c r="DQ244" i="54"/>
  <c r="DT244" i="54" s="1"/>
  <c r="DQ264" i="54"/>
  <c r="DT264" i="54" s="1"/>
  <c r="DP187" i="54"/>
  <c r="DS187" i="54" s="1"/>
  <c r="DQ175" i="54"/>
  <c r="DT175" i="54" s="1"/>
  <c r="DQ185" i="54"/>
  <c r="DT185" i="54" s="1"/>
  <c r="DQ196" i="54"/>
  <c r="DT196" i="54" s="1"/>
  <c r="DQ105" i="54"/>
  <c r="DT105" i="54" s="1"/>
  <c r="DQ171" i="54"/>
  <c r="DT171" i="54" s="1"/>
  <c r="DP19" i="54"/>
  <c r="DS19" i="54" s="1"/>
  <c r="DQ250" i="54"/>
  <c r="DT250" i="54" s="1"/>
  <c r="DP30" i="54"/>
  <c r="DS30" i="54" s="1"/>
  <c r="DQ169" i="54"/>
  <c r="DT169" i="54" s="1"/>
  <c r="DQ87" i="54"/>
  <c r="DT87" i="54" s="1"/>
  <c r="DQ142" i="54"/>
  <c r="DT142" i="54" s="1"/>
  <c r="DP262" i="54"/>
  <c r="DS262" i="54" s="1"/>
  <c r="DQ117" i="54"/>
  <c r="DT117" i="54" s="1"/>
  <c r="EO106" i="54"/>
  <c r="EP106" i="54"/>
  <c r="EQ106" i="54"/>
  <c r="EQ138" i="54"/>
  <c r="EP138" i="54"/>
  <c r="EO138" i="54"/>
  <c r="EP101" i="54"/>
  <c r="EO101" i="54"/>
  <c r="EQ101" i="54"/>
  <c r="EP155" i="54"/>
  <c r="EQ155" i="54"/>
  <c r="EO155" i="54"/>
  <c r="EQ156" i="54"/>
  <c r="EP156" i="54"/>
  <c r="EO156" i="54"/>
  <c r="EQ212" i="54"/>
  <c r="EP212" i="54"/>
  <c r="EO212" i="54"/>
  <c r="EQ213" i="54"/>
  <c r="EO213" i="54"/>
  <c r="EP213" i="54"/>
  <c r="EQ48" i="54"/>
  <c r="EP48" i="54"/>
  <c r="EO48" i="54"/>
  <c r="EO57" i="54"/>
  <c r="EP57" i="54"/>
  <c r="EQ57" i="54"/>
  <c r="DQ28" i="54"/>
  <c r="DT28" i="54" s="1"/>
  <c r="DP161" i="54"/>
  <c r="DS161" i="54" s="1"/>
  <c r="DQ228" i="54"/>
  <c r="DT228" i="54" s="1"/>
  <c r="DQ242" i="54"/>
  <c r="DT242" i="54" s="1"/>
  <c r="DP207" i="54"/>
  <c r="DS207" i="54" s="1"/>
  <c r="DQ190" i="54"/>
  <c r="DT190" i="54" s="1"/>
  <c r="DP265" i="54"/>
  <c r="DS265" i="54" s="1"/>
  <c r="DQ127" i="54"/>
  <c r="DT127" i="54" s="1"/>
  <c r="DP225" i="54"/>
  <c r="DS225" i="54" s="1"/>
  <c r="DQ234" i="54"/>
  <c r="DT234" i="54" s="1"/>
  <c r="EQ133" i="54"/>
  <c r="EP133" i="54"/>
  <c r="EO133" i="54"/>
  <c r="EQ45" i="54"/>
  <c r="EO45" i="54"/>
  <c r="EP45" i="54"/>
  <c r="DP110" i="54"/>
  <c r="DS110" i="54" s="1"/>
  <c r="DQ75" i="54"/>
  <c r="DT75" i="54" s="1"/>
  <c r="DQ12" i="54"/>
  <c r="DT12" i="54" s="1"/>
  <c r="DQ26" i="54"/>
  <c r="DT26" i="54" s="1"/>
  <c r="DQ140" i="54"/>
  <c r="DT140" i="54" s="1"/>
  <c r="DQ237" i="54"/>
  <c r="DT237" i="54" s="1"/>
  <c r="DP168" i="54"/>
  <c r="DS168" i="54" s="1"/>
  <c r="DQ92" i="54"/>
  <c r="DT92" i="54" s="1"/>
  <c r="DQ18" i="54"/>
  <c r="DT18" i="54" s="1"/>
  <c r="EP251" i="54"/>
  <c r="EQ251" i="54"/>
  <c r="EO251" i="54"/>
  <c r="EQ96" i="54"/>
  <c r="EP96" i="54"/>
  <c r="EO96" i="54"/>
  <c r="EP104" i="54"/>
  <c r="EO104" i="54"/>
  <c r="EQ104" i="54"/>
  <c r="EP191" i="54"/>
  <c r="EO191" i="54"/>
  <c r="EQ191" i="54"/>
  <c r="EQ29" i="54"/>
  <c r="EP29" i="54"/>
  <c r="EO29" i="54"/>
  <c r="EQ28" i="54"/>
  <c r="EO28" i="54"/>
  <c r="EP28" i="54"/>
  <c r="EQ83" i="54"/>
  <c r="EO83" i="54"/>
  <c r="EP83" i="54"/>
  <c r="EP84" i="54"/>
  <c r="EO84" i="54"/>
  <c r="EQ84" i="54"/>
  <c r="EQ132" i="54"/>
  <c r="EP132" i="54"/>
  <c r="EO132" i="54"/>
  <c r="EO140" i="54"/>
  <c r="EQ140" i="54"/>
  <c r="EP140" i="54"/>
  <c r="DP176" i="54"/>
  <c r="DS176" i="54" s="1"/>
  <c r="DP255" i="54"/>
  <c r="DS255" i="54" s="1"/>
  <c r="DP78" i="54"/>
  <c r="DS78" i="54" s="1"/>
  <c r="DQ268" i="54"/>
  <c r="DT268" i="54" s="1"/>
  <c r="DQ67" i="54"/>
  <c r="DT67" i="54" s="1"/>
  <c r="DQ21" i="54"/>
  <c r="DT21" i="54" s="1"/>
  <c r="DQ241" i="54"/>
  <c r="DT241" i="54" s="1"/>
  <c r="DQ164" i="54"/>
  <c r="DT164" i="54" s="1"/>
  <c r="DQ35" i="54"/>
  <c r="DT35" i="54" s="1"/>
  <c r="DQ209" i="54"/>
  <c r="DT209" i="54" s="1"/>
  <c r="DQ133" i="54"/>
  <c r="DT133" i="54" s="1"/>
  <c r="DQ184" i="54"/>
  <c r="DT184" i="54" s="1"/>
  <c r="EQ164" i="54"/>
  <c r="EP164" i="54"/>
  <c r="EO164" i="54"/>
  <c r="EQ243" i="54"/>
  <c r="EP243" i="54"/>
  <c r="EO243" i="54"/>
  <c r="EP17" i="54"/>
  <c r="EO17" i="54"/>
  <c r="EQ17" i="54"/>
  <c r="EQ31" i="54"/>
  <c r="EP31" i="54"/>
  <c r="EO31" i="54"/>
  <c r="EQ79" i="54"/>
  <c r="EP79" i="54"/>
  <c r="EO79" i="54"/>
  <c r="EP80" i="54"/>
  <c r="EO80" i="54"/>
  <c r="EQ80" i="54"/>
  <c r="EQ81" i="54"/>
  <c r="EO81" i="54"/>
  <c r="EP81" i="54"/>
  <c r="EQ135" i="54"/>
  <c r="EP135" i="54"/>
  <c r="EO135" i="54"/>
  <c r="EP180" i="54"/>
  <c r="EO180" i="54"/>
  <c r="EQ180" i="54"/>
  <c r="DP166" i="54"/>
  <c r="DS166" i="54" s="1"/>
  <c r="DP99" i="54"/>
  <c r="DS99" i="54" s="1"/>
  <c r="DP113" i="54"/>
  <c r="DS113" i="54" s="1"/>
  <c r="DP69" i="54"/>
  <c r="DS69" i="54" s="1"/>
  <c r="DP102" i="54"/>
  <c r="DS102" i="54" s="1"/>
  <c r="DQ66" i="54"/>
  <c r="DT66" i="54" s="1"/>
  <c r="DP167" i="54"/>
  <c r="DS167" i="54" s="1"/>
  <c r="DP153" i="54"/>
  <c r="DS153" i="54" s="1"/>
  <c r="DP15" i="54"/>
  <c r="DS15" i="54" s="1"/>
  <c r="EP236" i="54"/>
  <c r="EO236" i="54"/>
  <c r="EQ236" i="54"/>
  <c r="EO161" i="54"/>
  <c r="EQ161" i="54"/>
  <c r="EP161" i="54"/>
  <c r="EP162" i="54"/>
  <c r="EO162" i="54"/>
  <c r="EQ162" i="54"/>
  <c r="EQ163" i="54"/>
  <c r="EP163" i="54"/>
  <c r="EO163" i="54"/>
  <c r="EP256" i="54"/>
  <c r="EO256" i="54"/>
  <c r="EQ256" i="54"/>
  <c r="EO263" i="54"/>
  <c r="EP263" i="54"/>
  <c r="EQ263" i="54"/>
  <c r="Q69" i="54"/>
  <c r="EV7" i="54"/>
  <c r="DP244" i="54"/>
  <c r="DS244" i="54" s="1"/>
  <c r="DQ213" i="54"/>
  <c r="DT213" i="54" s="1"/>
  <c r="DP175" i="54"/>
  <c r="DS175" i="54" s="1"/>
  <c r="DQ73" i="54"/>
  <c r="DT73" i="54" s="1"/>
  <c r="DP185" i="54"/>
  <c r="DS185" i="54" s="1"/>
  <c r="DP196" i="54"/>
  <c r="DS196" i="54" s="1"/>
  <c r="DP105" i="54"/>
  <c r="DS105" i="54" s="1"/>
  <c r="DP171" i="54"/>
  <c r="DS171" i="54" s="1"/>
  <c r="DP250" i="54"/>
  <c r="DS250" i="54" s="1"/>
  <c r="DQ107" i="54"/>
  <c r="DT107" i="54" s="1"/>
  <c r="DP24" i="54"/>
  <c r="DS24" i="54" s="1"/>
  <c r="DQ30" i="54"/>
  <c r="DT30" i="54" s="1"/>
  <c r="DP169" i="54"/>
  <c r="DS169" i="54" s="1"/>
  <c r="DP87" i="54"/>
  <c r="DS87" i="54" s="1"/>
  <c r="DP142" i="54"/>
  <c r="DS142" i="54" s="1"/>
  <c r="DQ163" i="54"/>
  <c r="DT163" i="54" s="1"/>
  <c r="DP117" i="54"/>
  <c r="DS117" i="54" s="1"/>
  <c r="EO179" i="54"/>
  <c r="EP179" i="54"/>
  <c r="EQ179" i="54"/>
  <c r="EQ21" i="54"/>
  <c r="EO21" i="54"/>
  <c r="EP21" i="54"/>
  <c r="EO158" i="54"/>
  <c r="EQ158" i="54"/>
  <c r="EP158" i="54"/>
  <c r="EQ49" i="54"/>
  <c r="EP49" i="54"/>
  <c r="EO49" i="54"/>
  <c r="DP28" i="54"/>
  <c r="DS28" i="54" s="1"/>
  <c r="DP216" i="54"/>
  <c r="DS216" i="54" s="1"/>
  <c r="DQ232" i="54"/>
  <c r="DT232" i="54" s="1"/>
  <c r="DP243" i="54"/>
  <c r="DS243" i="54" s="1"/>
  <c r="DQ206" i="54"/>
  <c r="DT206" i="54" s="1"/>
  <c r="DQ257" i="54"/>
  <c r="DT257" i="54" s="1"/>
  <c r="DQ85" i="54"/>
  <c r="DT85" i="54" s="1"/>
  <c r="DQ154" i="54"/>
  <c r="DT154" i="54" s="1"/>
  <c r="DQ65" i="54"/>
  <c r="DT65" i="54" s="1"/>
  <c r="DP71" i="54"/>
  <c r="DS71" i="54" s="1"/>
  <c r="DP210" i="54"/>
  <c r="DS210" i="54" s="1"/>
  <c r="DQ189" i="54"/>
  <c r="DT189" i="54" s="1"/>
  <c r="EP174" i="54"/>
  <c r="EO174" i="54"/>
  <c r="EQ174" i="54"/>
  <c r="EQ54" i="54"/>
  <c r="EP54" i="54"/>
  <c r="EO54" i="54"/>
  <c r="EO149" i="54"/>
  <c r="EP149" i="54"/>
  <c r="EQ149" i="54"/>
  <c r="EP206" i="54"/>
  <c r="EO206" i="54"/>
  <c r="EQ206" i="54"/>
  <c r="EO253" i="54"/>
  <c r="EQ253" i="54"/>
  <c r="EP253" i="54"/>
  <c r="EQ254" i="54"/>
  <c r="EP254" i="54"/>
  <c r="EO254" i="54"/>
  <c r="EP255" i="54"/>
  <c r="EO255" i="54"/>
  <c r="EQ255" i="54"/>
  <c r="EO41" i="54"/>
  <c r="EP41" i="54"/>
  <c r="EQ41" i="54"/>
  <c r="DQ111" i="54"/>
  <c r="DT111" i="54" s="1"/>
  <c r="DP75" i="54"/>
  <c r="DS75" i="54" s="1"/>
  <c r="DP208" i="54"/>
  <c r="DS208" i="54" s="1"/>
  <c r="DQ37" i="54"/>
  <c r="DT37" i="54" s="1"/>
  <c r="DQ181" i="54"/>
  <c r="DT181" i="54" s="1"/>
  <c r="DQ221" i="54"/>
  <c r="DT221" i="54" s="1"/>
  <c r="DP26" i="54"/>
  <c r="DS26" i="54" s="1"/>
  <c r="DP140" i="54"/>
  <c r="DS140" i="54" s="1"/>
  <c r="DP237" i="54"/>
  <c r="DS237" i="54" s="1"/>
  <c r="DQ200" i="54"/>
  <c r="DT200" i="54" s="1"/>
  <c r="DQ251" i="54"/>
  <c r="DT251" i="54" s="1"/>
  <c r="DQ168" i="54"/>
  <c r="DT168" i="54" s="1"/>
  <c r="DP92" i="54"/>
  <c r="DS92" i="54" s="1"/>
  <c r="DQ137" i="54"/>
  <c r="DT137" i="54" s="1"/>
  <c r="EQ35" i="54"/>
  <c r="EO35" i="54"/>
  <c r="EP35" i="54"/>
  <c r="EQ105" i="54"/>
  <c r="EO105" i="54"/>
  <c r="EP105" i="54"/>
  <c r="DQ254" i="54"/>
  <c r="DT254" i="54" s="1"/>
  <c r="DQ255" i="54"/>
  <c r="DT255" i="54" s="1"/>
  <c r="DQ238" i="54"/>
  <c r="DT238" i="54" s="1"/>
  <c r="DQ78" i="54"/>
  <c r="DT78" i="54" s="1"/>
  <c r="DP268" i="54"/>
  <c r="DS268" i="54" s="1"/>
  <c r="DQ63" i="54"/>
  <c r="DT63" i="54" s="1"/>
  <c r="DP67" i="54"/>
  <c r="DS67" i="54" s="1"/>
  <c r="DQ263" i="54"/>
  <c r="DT263" i="54" s="1"/>
  <c r="DP21" i="54"/>
  <c r="DS21" i="54" s="1"/>
  <c r="DP241" i="54"/>
  <c r="DS241" i="54" s="1"/>
  <c r="DP164" i="54"/>
  <c r="DS164" i="54" s="1"/>
  <c r="DP35" i="54"/>
  <c r="DS35" i="54" s="1"/>
  <c r="DP209" i="54"/>
  <c r="DS209" i="54" s="1"/>
  <c r="DP133" i="54"/>
  <c r="DS133" i="54" s="1"/>
  <c r="DP184" i="54"/>
  <c r="DS184" i="54" s="1"/>
  <c r="EP205" i="54"/>
  <c r="EO205" i="54"/>
  <c r="EQ205" i="54"/>
  <c r="EQ22" i="54"/>
  <c r="EO22" i="54"/>
  <c r="EP22" i="54"/>
  <c r="EQ78" i="54"/>
  <c r="EP78" i="54"/>
  <c r="EO78" i="54"/>
  <c r="CK7" i="54"/>
  <c r="BU22" i="54"/>
  <c r="BU238" i="54"/>
  <c r="BU105" i="54"/>
  <c r="BU58" i="54"/>
  <c r="BU182" i="54"/>
  <c r="BU141" i="54"/>
  <c r="BU83" i="54"/>
  <c r="BU38" i="54"/>
  <c r="BU78" i="54"/>
  <c r="BU37" i="54"/>
  <c r="BU155" i="54"/>
  <c r="BU114" i="54"/>
  <c r="BU253" i="54"/>
  <c r="BU42" i="54"/>
  <c r="BU144" i="54"/>
  <c r="BU185" i="54"/>
  <c r="BU133" i="54"/>
  <c r="BU174" i="54"/>
  <c r="BU134" i="54"/>
  <c r="BU67" i="54"/>
  <c r="BU196" i="54"/>
  <c r="BU27" i="54"/>
  <c r="BU68" i="54"/>
  <c r="BU179" i="54"/>
  <c r="BU10" i="54"/>
  <c r="BU57" i="54"/>
  <c r="BU31" i="54"/>
  <c r="BU113" i="54"/>
  <c r="BU160" i="54"/>
  <c r="BU32" i="54"/>
  <c r="BU102" i="54"/>
  <c r="BU143" i="54"/>
  <c r="BU21" i="54"/>
  <c r="BU211" i="54"/>
  <c r="BU252" i="54"/>
  <c r="BU124" i="54"/>
  <c r="BU212" i="54"/>
  <c r="BU241" i="54"/>
  <c r="BU107" i="54"/>
  <c r="BU201" i="54"/>
  <c r="BU242" i="54"/>
  <c r="BU216" i="54"/>
  <c r="BU41" i="54"/>
  <c r="BU88" i="54"/>
  <c r="BU205" i="54"/>
  <c r="BU30" i="54"/>
  <c r="BU71" i="54"/>
  <c r="BU206" i="54"/>
  <c r="BU180" i="54"/>
  <c r="BU221" i="54"/>
  <c r="BU99" i="54"/>
  <c r="BU169" i="54"/>
  <c r="BU210" i="54"/>
  <c r="BU82" i="54"/>
  <c r="BU170" i="54"/>
  <c r="BU127" i="54"/>
  <c r="BU256" i="54"/>
  <c r="BU87" i="54"/>
  <c r="BU128" i="54"/>
  <c r="BU173" i="54"/>
  <c r="BU267" i="54"/>
  <c r="BU51" i="54"/>
  <c r="BU96" i="54"/>
  <c r="BU184" i="54"/>
  <c r="BU231" i="54"/>
  <c r="BU235" i="54"/>
  <c r="BU60" i="54"/>
  <c r="BU101" i="54"/>
  <c r="BU236" i="54"/>
  <c r="BU199" i="54"/>
  <c r="BV199" i="54" s="1"/>
  <c r="BU240" i="54"/>
  <c r="BU112" i="54"/>
  <c r="BU200" i="54"/>
  <c r="BU163" i="54"/>
  <c r="BU29" i="54"/>
  <c r="BU123" i="54"/>
  <c r="BU164" i="54"/>
  <c r="BU18" i="54"/>
  <c r="BU106" i="54"/>
  <c r="BU153" i="54"/>
  <c r="BU228" i="54"/>
  <c r="BU53" i="54"/>
  <c r="BU100" i="54"/>
  <c r="BU157" i="54"/>
  <c r="BU239" i="54"/>
  <c r="BU23" i="54"/>
  <c r="BU158" i="54"/>
  <c r="BU192" i="54"/>
  <c r="BU233" i="54"/>
  <c r="BU111" i="54"/>
  <c r="BU121" i="54"/>
  <c r="BU162" i="54"/>
  <c r="BU34" i="54"/>
  <c r="BU122" i="54"/>
  <c r="BU115" i="54"/>
  <c r="BU244" i="54"/>
  <c r="BU75" i="54"/>
  <c r="BU116" i="54"/>
  <c r="BU167" i="54"/>
  <c r="BU261" i="54"/>
  <c r="BU45" i="54"/>
  <c r="BU120" i="54"/>
  <c r="BU208" i="54"/>
  <c r="BU255" i="54"/>
  <c r="BU265" i="54"/>
  <c r="BU90" i="54"/>
  <c r="BU131" i="54"/>
  <c r="BU266" i="54"/>
  <c r="BU259" i="54"/>
  <c r="BU43" i="54"/>
  <c r="BU172" i="54"/>
  <c r="BU260" i="54"/>
  <c r="BU44" i="54"/>
  <c r="BU54" i="54"/>
  <c r="BU142" i="54"/>
  <c r="BU189" i="54"/>
  <c r="BU223" i="54"/>
  <c r="BU48" i="54"/>
  <c r="BU89" i="54"/>
  <c r="BU224" i="54"/>
  <c r="EO175" i="54"/>
  <c r="EQ175" i="54"/>
  <c r="EP175" i="54"/>
  <c r="EQ202" i="54"/>
  <c r="EO202" i="54"/>
  <c r="EP202" i="54"/>
  <c r="EO223" i="54"/>
  <c r="EQ223" i="54"/>
  <c r="EP223" i="54"/>
  <c r="DQ233" i="54"/>
  <c r="DT233" i="54" s="1"/>
  <c r="DQ68" i="54"/>
  <c r="DT68" i="54" s="1"/>
  <c r="DQ147" i="54"/>
  <c r="DT147" i="54" s="1"/>
  <c r="DP134" i="54"/>
  <c r="DS134" i="54" s="1"/>
  <c r="DQ98" i="54"/>
  <c r="DT98" i="54" s="1"/>
  <c r="DQ144" i="54"/>
  <c r="DT144" i="54" s="1"/>
  <c r="DQ130" i="54"/>
  <c r="DT130" i="54" s="1"/>
  <c r="DP124" i="54"/>
  <c r="DS124" i="54" s="1"/>
  <c r="DQ102" i="54"/>
  <c r="DT102" i="54" s="1"/>
  <c r="DQ49" i="54"/>
  <c r="DT49" i="54" s="1"/>
  <c r="DP240" i="54"/>
  <c r="DS240" i="54" s="1"/>
  <c r="DQ129" i="54"/>
  <c r="DT129" i="54" s="1"/>
  <c r="DQ152" i="54"/>
  <c r="DT152" i="54" s="1"/>
  <c r="DQ14" i="54"/>
  <c r="DT14" i="54" s="1"/>
  <c r="DQ70" i="54"/>
  <c r="DT70" i="54" s="1"/>
  <c r="EQ20" i="54"/>
  <c r="EP20" i="54"/>
  <c r="EO20" i="54"/>
  <c r="EQ130" i="54"/>
  <c r="EO130" i="54"/>
  <c r="EP130" i="54"/>
  <c r="EP196" i="54"/>
  <c r="EO196" i="54"/>
  <c r="EQ196" i="54"/>
  <c r="EP216" i="54"/>
  <c r="EQ216" i="54"/>
  <c r="EO216" i="54"/>
  <c r="DP42" i="54"/>
  <c r="DS42" i="54" s="1"/>
  <c r="DQ145" i="54"/>
  <c r="DT145" i="54" s="1"/>
  <c r="DP213" i="54"/>
  <c r="DS213" i="54" s="1"/>
  <c r="DP73" i="54"/>
  <c r="DS73" i="54" s="1"/>
  <c r="DP160" i="54"/>
  <c r="DS160" i="54" s="1"/>
  <c r="DQ170" i="54"/>
  <c r="DT170" i="54" s="1"/>
  <c r="DQ143" i="54"/>
  <c r="DT143" i="54" s="1"/>
  <c r="DP178" i="54"/>
  <c r="DS178" i="54" s="1"/>
  <c r="DP107" i="54"/>
  <c r="DS107" i="54" s="1"/>
  <c r="DQ86" i="54"/>
  <c r="DT86" i="54" s="1"/>
  <c r="DP204" i="54"/>
  <c r="DS204" i="54" s="1"/>
  <c r="DP163" i="54"/>
  <c r="DS163" i="54" s="1"/>
  <c r="DQ116" i="54"/>
  <c r="DT116" i="54" s="1"/>
  <c r="EP226" i="54"/>
  <c r="EQ226" i="54"/>
  <c r="EO226" i="54"/>
  <c r="EQ231" i="54"/>
  <c r="EP231" i="54"/>
  <c r="EO231" i="54"/>
  <c r="EO12" i="54"/>
  <c r="EQ12" i="54"/>
  <c r="EP12" i="54"/>
  <c r="EQ109" i="54"/>
  <c r="EP109" i="54"/>
  <c r="EO109" i="54"/>
  <c r="EP110" i="54"/>
  <c r="EO110" i="54"/>
  <c r="EQ110" i="54"/>
  <c r="EQ111" i="54"/>
  <c r="EP111" i="54"/>
  <c r="EO111" i="54"/>
  <c r="EQ260" i="54"/>
  <c r="EP260" i="54"/>
  <c r="EO260" i="54"/>
  <c r="EQ50" i="54"/>
  <c r="EP50" i="54"/>
  <c r="EO50" i="54"/>
  <c r="DP84" i="54"/>
  <c r="DS84" i="54" s="1"/>
  <c r="DQ216" i="54"/>
  <c r="DT216" i="54" s="1"/>
  <c r="DP232" i="54"/>
  <c r="DS232" i="54" s="1"/>
  <c r="DP206" i="54"/>
  <c r="DS206" i="54" s="1"/>
  <c r="DP257" i="54"/>
  <c r="DS257" i="54" s="1"/>
  <c r="DP85" i="54"/>
  <c r="DS85" i="54" s="1"/>
  <c r="DP154" i="54"/>
  <c r="DS154" i="54" s="1"/>
  <c r="DP65" i="54"/>
  <c r="DS65" i="54" s="1"/>
  <c r="DQ210" i="54"/>
  <c r="DT210" i="54" s="1"/>
  <c r="DP189" i="54"/>
  <c r="DS189" i="54" s="1"/>
  <c r="DQ173" i="54"/>
  <c r="DT173" i="54" s="1"/>
  <c r="DQ226" i="54"/>
  <c r="DT226" i="54" s="1"/>
  <c r="DP162" i="54"/>
  <c r="DS162" i="54" s="1"/>
  <c r="EO215" i="54"/>
  <c r="EP215" i="54"/>
  <c r="EQ215" i="54"/>
  <c r="EP197" i="54"/>
  <c r="EO197" i="54"/>
  <c r="EQ197" i="54"/>
  <c r="EP198" i="54"/>
  <c r="EQ198" i="54"/>
  <c r="EO198" i="54"/>
  <c r="EQ199" i="54"/>
  <c r="EP199" i="54"/>
  <c r="EO199" i="54"/>
  <c r="EO89" i="54"/>
  <c r="EQ89" i="54"/>
  <c r="EP89" i="54"/>
  <c r="EQ98" i="54"/>
  <c r="EP98" i="54"/>
  <c r="EO98" i="54"/>
  <c r="DQ74" i="54"/>
  <c r="DT74" i="54" s="1"/>
  <c r="DQ125" i="54"/>
  <c r="DT125" i="54" s="1"/>
  <c r="DP155" i="54"/>
  <c r="DS155" i="54" s="1"/>
  <c r="DP181" i="54"/>
  <c r="DS181" i="54" s="1"/>
  <c r="DQ16" i="54"/>
  <c r="DT16" i="54" s="1"/>
  <c r="DQ247" i="54"/>
  <c r="DT247" i="54" s="1"/>
  <c r="DQ236" i="54"/>
  <c r="DT236" i="54" s="1"/>
  <c r="DQ261" i="54"/>
  <c r="DT261" i="54" s="1"/>
  <c r="DP201" i="54"/>
  <c r="DS201" i="54" s="1"/>
  <c r="DQ112" i="54"/>
  <c r="DT112" i="54" s="1"/>
  <c r="DP251" i="54"/>
  <c r="DS251" i="54" s="1"/>
  <c r="DQ80" i="54"/>
  <c r="DT80" i="54" s="1"/>
  <c r="DQ220" i="54"/>
  <c r="DT220" i="54" s="1"/>
  <c r="DQ10" i="54"/>
  <c r="DT10" i="54" s="1"/>
  <c r="DQ81" i="54"/>
  <c r="DT81" i="54" s="1"/>
  <c r="EQ82" i="54"/>
  <c r="EO82" i="54"/>
  <c r="EP82" i="54"/>
  <c r="EO87" i="54"/>
  <c r="EQ87" i="54"/>
  <c r="EP87" i="54"/>
  <c r="EP232" i="54"/>
  <c r="EO232" i="54"/>
  <c r="EQ232" i="54"/>
  <c r="EP239" i="54"/>
  <c r="EQ239" i="54"/>
  <c r="EO239" i="54"/>
  <c r="EQ247" i="54"/>
  <c r="EP247" i="54"/>
  <c r="EO247" i="54"/>
  <c r="EP38" i="54"/>
  <c r="EO38" i="54"/>
  <c r="EQ38" i="54"/>
  <c r="EQ39" i="54"/>
  <c r="EP39" i="54"/>
  <c r="EO39" i="54"/>
  <c r="EQ86" i="54"/>
  <c r="EP86" i="54"/>
  <c r="EO86" i="54"/>
  <c r="EO131" i="54"/>
  <c r="EP131" i="54"/>
  <c r="EQ131" i="54"/>
  <c r="DQ151" i="54"/>
  <c r="DT151" i="54" s="1"/>
  <c r="DP115" i="54"/>
  <c r="DS115" i="54" s="1"/>
  <c r="DP254" i="54"/>
  <c r="DS254" i="54" s="1"/>
  <c r="DQ11" i="54"/>
  <c r="DT11" i="54" s="1"/>
  <c r="DQ172" i="54"/>
  <c r="DT172" i="54" s="1"/>
  <c r="DQ53" i="54"/>
  <c r="DT53" i="54" s="1"/>
  <c r="DQ47" i="54"/>
  <c r="DT47" i="54" s="1"/>
  <c r="DP63" i="54"/>
  <c r="DS63" i="54" s="1"/>
  <c r="DQ31" i="54"/>
  <c r="DT31" i="54" s="1"/>
  <c r="DQ20" i="54"/>
  <c r="DT20" i="54" s="1"/>
  <c r="DQ122" i="54"/>
  <c r="DT122" i="54" s="1"/>
  <c r="DQ159" i="54"/>
  <c r="DT159" i="54" s="1"/>
  <c r="DQ13" i="54"/>
  <c r="DT13" i="54" s="1"/>
  <c r="DQ203" i="54"/>
  <c r="DT203" i="54" s="1"/>
  <c r="DQ267" i="54"/>
  <c r="DT267" i="54" s="1"/>
  <c r="DQ57" i="54"/>
  <c r="DT57" i="54" s="1"/>
  <c r="DQ260" i="54"/>
  <c r="DT260" i="54" s="1"/>
  <c r="EO214" i="54"/>
  <c r="EP214" i="54"/>
  <c r="EQ214" i="54"/>
  <c r="EP246" i="54"/>
  <c r="EQ246" i="54"/>
  <c r="EO246" i="54"/>
  <c r="EP144" i="54"/>
  <c r="EO144" i="54"/>
  <c r="EQ144" i="54"/>
  <c r="EQ24" i="54"/>
  <c r="EP24" i="54"/>
  <c r="EO24" i="54"/>
  <c r="EQ134" i="54"/>
  <c r="EP134" i="54"/>
  <c r="EO134" i="54"/>
  <c r="EQ148" i="54"/>
  <c r="EO148" i="54"/>
  <c r="EP148" i="54"/>
  <c r="EO173" i="54"/>
  <c r="EQ173" i="54"/>
  <c r="EP173" i="54"/>
  <c r="EQ182" i="54"/>
  <c r="EP182" i="54"/>
  <c r="EO182" i="54"/>
  <c r="BV235" i="54"/>
  <c r="EQ76" i="54"/>
  <c r="EO76" i="54"/>
  <c r="EP76" i="54"/>
  <c r="EO167" i="54"/>
  <c r="EP167" i="54"/>
  <c r="EQ167" i="54"/>
  <c r="EQ224" i="54"/>
  <c r="EP224" i="54"/>
  <c r="EO224" i="54"/>
  <c r="DP233" i="54"/>
  <c r="DS233" i="54" s="1"/>
  <c r="DQ79" i="54"/>
  <c r="DT79" i="54" s="1"/>
  <c r="DQ259" i="54"/>
  <c r="DT259" i="54" s="1"/>
  <c r="DP68" i="54"/>
  <c r="DS68" i="54" s="1"/>
  <c r="DP147" i="54"/>
  <c r="DS147" i="54" s="1"/>
  <c r="DP98" i="54"/>
  <c r="DS98" i="54" s="1"/>
  <c r="DP130" i="54"/>
  <c r="DS130" i="54" s="1"/>
  <c r="DQ121" i="54"/>
  <c r="DT121" i="54" s="1"/>
  <c r="DP49" i="54"/>
  <c r="DS49" i="54" s="1"/>
  <c r="DQ240" i="54"/>
  <c r="DT240" i="54" s="1"/>
  <c r="DQ245" i="54"/>
  <c r="DT245" i="54" s="1"/>
  <c r="DP129" i="54"/>
  <c r="DS129" i="54" s="1"/>
  <c r="DQ91" i="54"/>
  <c r="DT91" i="54" s="1"/>
  <c r="DP152" i="54"/>
  <c r="DS152" i="54" s="1"/>
  <c r="DP138" i="54"/>
  <c r="DS138" i="54" s="1"/>
  <c r="DP14" i="54"/>
  <c r="DS14" i="54" s="1"/>
  <c r="DP70" i="54"/>
  <c r="DS70" i="54" s="1"/>
  <c r="DQ214" i="54"/>
  <c r="DT214" i="54" s="1"/>
  <c r="EO61" i="54"/>
  <c r="EQ61" i="54"/>
  <c r="EP61" i="54"/>
  <c r="EQ67" i="54"/>
  <c r="EP67" i="54"/>
  <c r="EO67" i="54"/>
  <c r="EQ114" i="54"/>
  <c r="EP114" i="54"/>
  <c r="EO114" i="54"/>
  <c r="EQ115" i="54"/>
  <c r="EP115" i="54"/>
  <c r="EO115" i="54"/>
  <c r="EQ116" i="54"/>
  <c r="EP116" i="54"/>
  <c r="EO116" i="54"/>
  <c r="EQ171" i="54"/>
  <c r="EP171" i="54"/>
  <c r="EO171" i="54"/>
  <c r="EP264" i="54"/>
  <c r="EQ264" i="54"/>
  <c r="EO264" i="54"/>
  <c r="DQ17" i="54"/>
  <c r="DT17" i="54" s="1"/>
  <c r="DQ42" i="54"/>
  <c r="DT42" i="54" s="1"/>
  <c r="DP145" i="54"/>
  <c r="DS145" i="54" s="1"/>
  <c r="DP264" i="54"/>
  <c r="DS264" i="54" s="1"/>
  <c r="DQ212" i="54"/>
  <c r="DT212" i="54" s="1"/>
  <c r="DQ139" i="54"/>
  <c r="DT139" i="54" s="1"/>
  <c r="DP170" i="54"/>
  <c r="DS170" i="54" s="1"/>
  <c r="DP143" i="54"/>
  <c r="DS143" i="54" s="1"/>
  <c r="DQ19" i="54"/>
  <c r="DT19" i="54" s="1"/>
  <c r="DP86" i="54"/>
  <c r="DS86" i="54" s="1"/>
  <c r="DQ204" i="54"/>
  <c r="DT204" i="54" s="1"/>
  <c r="DQ262" i="54"/>
  <c r="DT262" i="54" s="1"/>
  <c r="DQ55" i="54"/>
  <c r="DT55" i="54" s="1"/>
  <c r="DP116" i="54"/>
  <c r="DS116" i="54" s="1"/>
  <c r="EP10" i="54"/>
  <c r="EQ10" i="54"/>
  <c r="EO10" i="54"/>
  <c r="EQ15" i="54"/>
  <c r="EP15" i="54"/>
  <c r="EO15" i="54"/>
  <c r="EO268" i="54"/>
  <c r="EQ268" i="54"/>
  <c r="EP268" i="54"/>
  <c r="EQ13" i="54"/>
  <c r="EP13" i="54"/>
  <c r="EO13" i="54"/>
  <c r="EQ14" i="54"/>
  <c r="EP14" i="54"/>
  <c r="EO14" i="54"/>
  <c r="EQ58" i="54"/>
  <c r="EO58" i="54"/>
  <c r="EP58" i="54"/>
  <c r="EQ184" i="54"/>
  <c r="EO184" i="54"/>
  <c r="EP184" i="54"/>
  <c r="EQ203" i="54"/>
  <c r="EO203" i="54"/>
  <c r="EP203" i="54"/>
  <c r="EP211" i="54"/>
  <c r="EO211" i="54"/>
  <c r="EQ211" i="54"/>
  <c r="EP258" i="54"/>
  <c r="EQ258" i="54"/>
  <c r="EO258" i="54"/>
  <c r="EQ259" i="54"/>
  <c r="EP259" i="54"/>
  <c r="EO259" i="54"/>
  <c r="DQ64" i="54"/>
  <c r="DT64" i="54" s="1"/>
  <c r="DQ83" i="54"/>
  <c r="DT83" i="54" s="1"/>
  <c r="DP186" i="54"/>
  <c r="DS186" i="54" s="1"/>
  <c r="DP48" i="54"/>
  <c r="DS48" i="54" s="1"/>
  <c r="DQ253" i="54"/>
  <c r="DT253" i="54" s="1"/>
  <c r="DQ32" i="54"/>
  <c r="DT32" i="54" s="1"/>
  <c r="DP180" i="54"/>
  <c r="DS180" i="54" s="1"/>
  <c r="DQ202" i="54"/>
  <c r="DT202" i="54" s="1"/>
  <c r="DP242" i="54"/>
  <c r="DS242" i="54" s="1"/>
  <c r="DQ211" i="54"/>
  <c r="DT211" i="54" s="1"/>
  <c r="DP190" i="54"/>
  <c r="DS190" i="54" s="1"/>
  <c r="DP60" i="54"/>
  <c r="DS60" i="54" s="1"/>
  <c r="DP127" i="54"/>
  <c r="DS127" i="54" s="1"/>
  <c r="DQ188" i="54"/>
  <c r="DT188" i="54" s="1"/>
  <c r="DQ46" i="54"/>
  <c r="DT46" i="54" s="1"/>
  <c r="DQ123" i="54"/>
  <c r="DT123" i="54" s="1"/>
  <c r="DP96" i="54"/>
  <c r="DS96" i="54" s="1"/>
  <c r="DQ157" i="54"/>
  <c r="DT157" i="54" s="1"/>
  <c r="DQ131" i="54"/>
  <c r="DT131" i="54" s="1"/>
  <c r="EO142" i="54"/>
  <c r="EP142" i="54"/>
  <c r="EQ142" i="54"/>
  <c r="EQ262" i="54"/>
  <c r="EO262" i="54"/>
  <c r="EP262" i="54"/>
  <c r="EO267" i="54"/>
  <c r="EQ267" i="54"/>
  <c r="EP267" i="54"/>
  <c r="EQ62" i="54"/>
  <c r="EP62" i="54"/>
  <c r="EO62" i="54"/>
  <c r="EQ112" i="54"/>
  <c r="EO112" i="54"/>
  <c r="EP112" i="54"/>
  <c r="EO238" i="54"/>
  <c r="EP238" i="54"/>
  <c r="EQ238" i="54"/>
  <c r="DQ110" i="54"/>
  <c r="DT110" i="54" s="1"/>
  <c r="DP74" i="54"/>
  <c r="DS74" i="54" s="1"/>
  <c r="DQ227" i="54"/>
  <c r="DT227" i="54" s="1"/>
  <c r="DP125" i="54"/>
  <c r="DS125" i="54" s="1"/>
  <c r="DP12" i="54"/>
  <c r="DS12" i="54" s="1"/>
  <c r="DQ177" i="54"/>
  <c r="DT177" i="54" s="1"/>
  <c r="DP16" i="54"/>
  <c r="DS16" i="54" s="1"/>
  <c r="DP247" i="54"/>
  <c r="DS247" i="54" s="1"/>
  <c r="DP236" i="54"/>
  <c r="DS236" i="54" s="1"/>
  <c r="DP261" i="54"/>
  <c r="DS261" i="54" s="1"/>
  <c r="DP112" i="54"/>
  <c r="DS112" i="54" s="1"/>
  <c r="DQ229" i="54"/>
  <c r="DT229" i="54" s="1"/>
  <c r="DP80" i="54"/>
  <c r="DS80" i="54" s="1"/>
  <c r="DP220" i="54"/>
  <c r="DS220" i="54" s="1"/>
  <c r="DP90" i="54"/>
  <c r="DS90" i="54" s="1"/>
  <c r="DP10" i="54"/>
  <c r="DS10" i="54" s="1"/>
  <c r="DP81" i="54"/>
  <c r="DS81" i="54" s="1"/>
  <c r="EQ128" i="54"/>
  <c r="EP128" i="54"/>
  <c r="EO128" i="54"/>
  <c r="EQ166" i="54"/>
  <c r="EO166" i="54"/>
  <c r="EP166" i="54"/>
  <c r="EQ37" i="54"/>
  <c r="EP37" i="54"/>
  <c r="EO37" i="54"/>
  <c r="EP139" i="54"/>
  <c r="EO139" i="54"/>
  <c r="EQ139" i="54"/>
  <c r="DP151" i="54"/>
  <c r="DS151" i="54" s="1"/>
  <c r="DP11" i="54"/>
  <c r="DS11" i="54" s="1"/>
  <c r="DP172" i="54"/>
  <c r="DS172" i="54" s="1"/>
  <c r="DQ136" i="54"/>
  <c r="DT136" i="54" s="1"/>
  <c r="DP53" i="54"/>
  <c r="DS53" i="54" s="1"/>
  <c r="DP47" i="54"/>
  <c r="DS47" i="54" s="1"/>
  <c r="DQ62" i="54"/>
  <c r="DT62" i="54" s="1"/>
  <c r="DP31" i="54"/>
  <c r="DS31" i="54" s="1"/>
  <c r="DP36" i="54"/>
  <c r="DS36" i="54" s="1"/>
  <c r="DP20" i="54"/>
  <c r="DS20" i="54" s="1"/>
  <c r="DP122" i="54"/>
  <c r="DS122" i="54" s="1"/>
  <c r="DP159" i="54"/>
  <c r="DS159" i="54" s="1"/>
  <c r="DP13" i="54"/>
  <c r="DS13" i="54" s="1"/>
  <c r="DP203" i="54"/>
  <c r="DS203" i="54" s="1"/>
  <c r="DP267" i="54"/>
  <c r="DS267" i="54" s="1"/>
  <c r="DP57" i="54"/>
  <c r="DS57" i="54" s="1"/>
  <c r="DQ239" i="54"/>
  <c r="DT239" i="54" s="1"/>
  <c r="DP260" i="54"/>
  <c r="DS260" i="54" s="1"/>
  <c r="EQ30" i="54"/>
  <c r="EO30" i="54"/>
  <c r="EP30" i="54"/>
  <c r="EQ100" i="54"/>
  <c r="EO100" i="54"/>
  <c r="EP100" i="54"/>
  <c r="EO242" i="54"/>
  <c r="EQ242" i="54"/>
  <c r="EP242" i="54"/>
  <c r="EQ32" i="54"/>
  <c r="EP32" i="54"/>
  <c r="EO32" i="54"/>
  <c r="EP33" i="54"/>
  <c r="EQ33" i="54"/>
  <c r="EO33" i="54"/>
  <c r="EP77" i="54"/>
  <c r="EQ77" i="54"/>
  <c r="EO77" i="54"/>
  <c r="EQ126" i="54"/>
  <c r="EP126" i="54"/>
  <c r="EO126" i="54"/>
  <c r="EQ181" i="54"/>
  <c r="EO181" i="54"/>
  <c r="EP181" i="54"/>
  <c r="EP183" i="54"/>
  <c r="EO183" i="54"/>
  <c r="EQ183" i="54"/>
  <c r="BE25" i="54" a="1"/>
  <c r="BE25" i="54" s="1"/>
  <c r="BE26" i="54" a="1"/>
  <c r="BE26" i="54" s="1"/>
  <c r="BE23" i="54" a="1"/>
  <c r="BE23" i="54" s="1"/>
  <c r="BE24" i="54" a="1"/>
  <c r="BE24" i="54" s="1"/>
  <c r="EO136" i="54"/>
  <c r="EP136" i="54"/>
  <c r="EQ136" i="54"/>
  <c r="EQ225" i="54"/>
  <c r="EO225" i="54"/>
  <c r="EP225" i="54"/>
  <c r="DQ258" i="54"/>
  <c r="DT258" i="54" s="1"/>
  <c r="DQ197" i="54"/>
  <c r="DT197" i="54" s="1"/>
  <c r="DP259" i="54"/>
  <c r="DS259" i="54" s="1"/>
  <c r="DQ223" i="54"/>
  <c r="DT223" i="54" s="1"/>
  <c r="DQ146" i="54"/>
  <c r="DT146" i="54" s="1"/>
  <c r="DQ94" i="54"/>
  <c r="DT94" i="54" s="1"/>
  <c r="DQ235" i="54"/>
  <c r="DT235" i="54" s="1"/>
  <c r="DP121" i="54"/>
  <c r="DS121" i="54" s="1"/>
  <c r="DQ128" i="54"/>
  <c r="DT128" i="54" s="1"/>
  <c r="DQ95" i="54"/>
  <c r="DT95" i="54" s="1"/>
  <c r="DQ215" i="54"/>
  <c r="DT215" i="54" s="1"/>
  <c r="DP91" i="54"/>
  <c r="DS91" i="54" s="1"/>
  <c r="EQ70" i="54"/>
  <c r="EO70" i="54"/>
  <c r="EP70" i="54"/>
  <c r="EQ23" i="54"/>
  <c r="EO23" i="54"/>
  <c r="EP23" i="54"/>
  <c r="EQ102" i="54"/>
  <c r="EP102" i="54"/>
  <c r="EO102" i="54"/>
  <c r="EP208" i="54"/>
  <c r="EO208" i="54"/>
  <c r="EQ208" i="54"/>
  <c r="EP227" i="54"/>
  <c r="EQ227" i="54"/>
  <c r="EO227" i="54"/>
  <c r="EQ237" i="54"/>
  <c r="EO237" i="54"/>
  <c r="EP237" i="54"/>
  <c r="EO59" i="54"/>
  <c r="EP59" i="54"/>
  <c r="EQ59" i="54"/>
  <c r="EQ117" i="54"/>
  <c r="EO117" i="54"/>
  <c r="EP117" i="54"/>
  <c r="EP265" i="54"/>
  <c r="EO265" i="54"/>
  <c r="EQ265" i="54"/>
  <c r="DP17" i="54"/>
  <c r="DS17" i="54" s="1"/>
  <c r="DP120" i="54"/>
  <c r="DS120" i="54" s="1"/>
  <c r="DQ43" i="54"/>
  <c r="DT43" i="54" s="1"/>
  <c r="DQ109" i="54"/>
  <c r="DT109" i="54" s="1"/>
  <c r="DP212" i="54"/>
  <c r="DS212" i="54" s="1"/>
  <c r="DP139" i="54"/>
  <c r="DS139" i="54" s="1"/>
  <c r="DQ141" i="54"/>
  <c r="DT141" i="54" s="1"/>
  <c r="DQ24" i="54"/>
  <c r="DT24" i="54" s="1"/>
  <c r="DQ76" i="54"/>
  <c r="DT76" i="54" s="1"/>
  <c r="DP132" i="54"/>
  <c r="DS132" i="54" s="1"/>
  <c r="DQ193" i="54"/>
  <c r="DT193" i="54" s="1"/>
  <c r="DQ179" i="54"/>
  <c r="DT179" i="54" s="1"/>
  <c r="DP55" i="54"/>
  <c r="DS55" i="54" s="1"/>
  <c r="DQ224" i="54"/>
  <c r="DT224" i="54" s="1"/>
  <c r="EO56" i="54"/>
  <c r="EQ56" i="54"/>
  <c r="EP56" i="54"/>
  <c r="EQ124" i="54"/>
  <c r="EO124" i="54"/>
  <c r="EP124" i="54"/>
  <c r="EQ204" i="54"/>
  <c r="EO204" i="54"/>
  <c r="EP204" i="54"/>
  <c r="EO244" i="54"/>
  <c r="EQ244" i="54"/>
  <c r="EP244" i="54"/>
  <c r="EQ261" i="54"/>
  <c r="EO261" i="54"/>
  <c r="EP261" i="54"/>
  <c r="EP47" i="54"/>
  <c r="EQ47" i="54"/>
  <c r="EO47" i="54"/>
  <c r="DP64" i="54"/>
  <c r="DS64" i="54" s="1"/>
  <c r="DP83" i="54"/>
  <c r="DS83" i="54" s="1"/>
  <c r="DQ186" i="54"/>
  <c r="DT186" i="54" s="1"/>
  <c r="DP150" i="54"/>
  <c r="DS150" i="54" s="1"/>
  <c r="DQ48" i="54"/>
  <c r="DT48" i="54" s="1"/>
  <c r="DP253" i="54"/>
  <c r="DS253" i="54" s="1"/>
  <c r="DP32" i="54"/>
  <c r="DS32" i="54" s="1"/>
  <c r="DQ180" i="54"/>
  <c r="DT180" i="54" s="1"/>
  <c r="DP202" i="54"/>
  <c r="DS202" i="54" s="1"/>
  <c r="DQ243" i="54"/>
  <c r="DT243" i="54" s="1"/>
  <c r="DP211" i="54"/>
  <c r="DS211" i="54" s="1"/>
  <c r="DQ60" i="54"/>
  <c r="DT60" i="54" s="1"/>
  <c r="DQ41" i="54"/>
  <c r="DT41" i="54" s="1"/>
  <c r="DQ71" i="54"/>
  <c r="DT71" i="54" s="1"/>
  <c r="DP188" i="54"/>
  <c r="DS188" i="54" s="1"/>
  <c r="DP46" i="54"/>
  <c r="DS46" i="54" s="1"/>
  <c r="DP123" i="54"/>
  <c r="DS123" i="54" s="1"/>
  <c r="DQ96" i="54"/>
  <c r="DT96" i="54" s="1"/>
  <c r="DP157" i="54"/>
  <c r="DS157" i="54" s="1"/>
  <c r="DP131" i="54"/>
  <c r="DS131" i="54" s="1"/>
  <c r="EQ46" i="54"/>
  <c r="EO46" i="54"/>
  <c r="EP46" i="54"/>
  <c r="EQ51" i="54"/>
  <c r="EP51" i="54"/>
  <c r="EO51" i="54"/>
  <c r="EQ151" i="54"/>
  <c r="EP151" i="54"/>
  <c r="EO151" i="54"/>
  <c r="EO152" i="54"/>
  <c r="EQ152" i="54"/>
  <c r="EP152" i="54"/>
  <c r="EO207" i="54"/>
  <c r="EQ207" i="54"/>
  <c r="EP207" i="54"/>
  <c r="EP252" i="54"/>
  <c r="EQ252" i="54"/>
  <c r="EO252" i="54"/>
  <c r="EQ44" i="54"/>
  <c r="EP44" i="54"/>
  <c r="EO44" i="54"/>
  <c r="EP90" i="54"/>
  <c r="EO90" i="54"/>
  <c r="EQ90" i="54"/>
  <c r="EQ91" i="54"/>
  <c r="EP91" i="54"/>
  <c r="EO91" i="54"/>
  <c r="DP111" i="54"/>
  <c r="DS111" i="54" s="1"/>
  <c r="DP227" i="54"/>
  <c r="DS227" i="54" s="1"/>
  <c r="DQ191" i="54"/>
  <c r="DT191" i="54" s="1"/>
  <c r="DQ89" i="54"/>
  <c r="DT89" i="54" s="1"/>
  <c r="DP37" i="54"/>
  <c r="DS37" i="54" s="1"/>
  <c r="DP221" i="54"/>
  <c r="DS221" i="54" s="1"/>
  <c r="DP177" i="54"/>
  <c r="DS177" i="54" s="1"/>
  <c r="DQ27" i="54"/>
  <c r="DT27" i="54" s="1"/>
  <c r="DP252" i="54"/>
  <c r="DS252" i="54" s="1"/>
  <c r="DQ101" i="54"/>
  <c r="DT101" i="54" s="1"/>
  <c r="DP200" i="54"/>
  <c r="DS200" i="54" s="1"/>
  <c r="DQ88" i="54"/>
  <c r="DT88" i="54" s="1"/>
  <c r="DQ118" i="54"/>
  <c r="DT118" i="54" s="1"/>
  <c r="DP229" i="54"/>
  <c r="DS229" i="54" s="1"/>
  <c r="DQ93" i="54"/>
  <c r="DT93" i="54" s="1"/>
  <c r="DQ90" i="54"/>
  <c r="DT90" i="54" s="1"/>
  <c r="DP137" i="54"/>
  <c r="DS137" i="54" s="1"/>
  <c r="DP198" i="54"/>
  <c r="DS198" i="54" s="1"/>
  <c r="EQ178" i="54"/>
  <c r="EO178" i="54"/>
  <c r="EP178" i="54"/>
  <c r="EO169" i="54"/>
  <c r="EQ169" i="54"/>
  <c r="EP169" i="54"/>
  <c r="EO95" i="54"/>
  <c r="EP95" i="54"/>
  <c r="EQ95" i="54"/>
  <c r="EO103" i="54"/>
  <c r="EQ103" i="54"/>
  <c r="EP103" i="54"/>
  <c r="EO194" i="54"/>
  <c r="EQ194" i="54"/>
  <c r="EP194" i="54"/>
  <c r="EQ201" i="54"/>
  <c r="EO201" i="54"/>
  <c r="EP201" i="54"/>
  <c r="EO240" i="54"/>
  <c r="EP240" i="54"/>
  <c r="EQ240" i="54"/>
  <c r="EQ93" i="54"/>
  <c r="EO93" i="54"/>
  <c r="EP93" i="54"/>
  <c r="DP238" i="54"/>
  <c r="DS238" i="54" s="1"/>
  <c r="DP136" i="54"/>
  <c r="DS136" i="54" s="1"/>
  <c r="DQ22" i="54"/>
  <c r="DT22" i="54" s="1"/>
  <c r="DP62" i="54"/>
  <c r="DS62" i="54" s="1"/>
  <c r="DQ248" i="54"/>
  <c r="DT248" i="54" s="1"/>
  <c r="DP263" i="54"/>
  <c r="DS263" i="54" s="1"/>
  <c r="DQ36" i="54"/>
  <c r="DT36" i="54" s="1"/>
  <c r="DQ148" i="54"/>
  <c r="DT148" i="54" s="1"/>
  <c r="DQ158" i="54"/>
  <c r="DT158" i="54" s="1"/>
  <c r="DQ165" i="54"/>
  <c r="DT165" i="54" s="1"/>
  <c r="DQ266" i="54"/>
  <c r="DT266" i="54" s="1"/>
  <c r="DQ59" i="54"/>
  <c r="DT59" i="54" s="1"/>
  <c r="DQ56" i="54"/>
  <c r="DT56" i="54" s="1"/>
  <c r="EQ71" i="54"/>
  <c r="EO71" i="54"/>
  <c r="EP71" i="54"/>
  <c r="EO137" i="54"/>
  <c r="EQ137" i="54"/>
  <c r="EP137" i="54"/>
  <c r="EQ145" i="54"/>
  <c r="EP145" i="54"/>
  <c r="EO145" i="54"/>
  <c r="EP233" i="54"/>
  <c r="EO233" i="54"/>
  <c r="EQ233" i="54"/>
  <c r="EO234" i="54"/>
  <c r="EP234" i="54"/>
  <c r="EQ234" i="54"/>
  <c r="EO125" i="54"/>
  <c r="EQ125" i="54"/>
  <c r="EP125" i="54"/>
  <c r="BE4" i="54"/>
  <c r="BE2" i="54"/>
  <c r="BW42" i="54"/>
  <c r="BW78" i="54"/>
  <c r="BW114" i="54"/>
  <c r="BW19" i="54"/>
  <c r="BW55" i="54"/>
  <c r="BW91" i="54"/>
  <c r="BW127" i="54"/>
  <c r="BW33" i="54"/>
  <c r="BW69" i="54"/>
  <c r="BW105" i="54"/>
  <c r="BW141" i="54"/>
  <c r="BW40" i="54"/>
  <c r="BW76" i="54"/>
  <c r="BW112" i="54"/>
  <c r="BW148" i="54"/>
  <c r="BW184" i="54"/>
  <c r="BW220" i="54"/>
  <c r="BW20" i="54"/>
  <c r="BW128" i="54"/>
  <c r="BW180" i="54"/>
  <c r="BW223" i="54"/>
  <c r="BW264" i="54"/>
  <c r="BW113" i="54"/>
  <c r="BW174" i="54"/>
  <c r="BW217" i="54"/>
  <c r="BW259" i="54"/>
  <c r="BW98" i="54"/>
  <c r="BW168" i="54"/>
  <c r="BW211" i="54"/>
  <c r="BW254" i="54"/>
  <c r="BW65" i="54"/>
  <c r="BW155" i="54"/>
  <c r="BW198" i="54"/>
  <c r="BW241" i="54"/>
  <c r="BW32" i="54"/>
  <c r="BW140" i="54"/>
  <c r="BW185" i="54"/>
  <c r="BW228" i="54"/>
  <c r="BW268" i="54"/>
  <c r="BW107" i="54"/>
  <c r="BW171" i="54"/>
  <c r="BW215" i="54"/>
  <c r="BW257" i="54"/>
  <c r="BW18" i="54"/>
  <c r="BW60" i="54"/>
  <c r="BW102" i="54"/>
  <c r="BW13" i="54"/>
  <c r="BW61" i="54"/>
  <c r="BW103" i="54"/>
  <c r="BW15" i="54"/>
  <c r="BW57" i="54"/>
  <c r="BW99" i="54"/>
  <c r="BW10" i="54"/>
  <c r="BW52" i="54"/>
  <c r="BW94" i="54"/>
  <c r="BW136" i="54"/>
  <c r="BW178" i="54"/>
  <c r="BW226" i="54"/>
  <c r="BW56" i="54"/>
  <c r="BW158" i="54"/>
  <c r="BW209" i="54"/>
  <c r="BW258" i="54"/>
  <c r="BW131" i="54"/>
  <c r="BW188" i="54"/>
  <c r="BW239" i="54"/>
  <c r="BW62" i="54"/>
  <c r="BW161" i="54"/>
  <c r="BW218" i="54"/>
  <c r="BW266" i="54"/>
  <c r="BW119" i="54"/>
  <c r="BW183" i="54"/>
  <c r="BW234" i="54"/>
  <c r="BW50" i="54"/>
  <c r="BW156" i="54"/>
  <c r="BW206" i="54"/>
  <c r="BW256" i="54"/>
  <c r="BW89" i="54"/>
  <c r="BW179" i="54"/>
  <c r="BW229" i="54"/>
  <c r="BW24" i="54"/>
  <c r="BW66" i="54"/>
  <c r="BW108" i="54"/>
  <c r="BW25" i="54"/>
  <c r="BW67" i="54"/>
  <c r="BW109" i="54"/>
  <c r="BW21" i="54"/>
  <c r="BW63" i="54"/>
  <c r="BW111" i="54"/>
  <c r="BW16" i="54"/>
  <c r="BW58" i="54"/>
  <c r="BW100" i="54"/>
  <c r="BW142" i="54"/>
  <c r="BW190" i="54"/>
  <c r="BW232" i="54"/>
  <c r="BW74" i="54"/>
  <c r="BW165" i="54"/>
  <c r="BW216" i="54"/>
  <c r="BW23" i="54"/>
  <c r="BW145" i="54"/>
  <c r="BW195" i="54"/>
  <c r="BW246" i="54"/>
  <c r="BW80" i="54"/>
  <c r="BW175" i="54"/>
  <c r="BW225" i="54"/>
  <c r="BW11" i="54"/>
  <c r="BW137" i="54"/>
  <c r="BW191" i="54"/>
  <c r="BW248" i="54"/>
  <c r="BW68" i="54"/>
  <c r="BW163" i="54"/>
  <c r="BW213" i="54"/>
  <c r="BW262" i="54"/>
  <c r="BW125" i="54"/>
  <c r="BW186" i="54"/>
  <c r="BW236" i="54"/>
  <c r="BW30" i="54"/>
  <c r="BW72" i="54"/>
  <c r="BW120" i="54"/>
  <c r="BW31" i="54"/>
  <c r="BW73" i="54"/>
  <c r="BW115" i="54"/>
  <c r="BW27" i="54"/>
  <c r="BW75" i="54"/>
  <c r="BW117" i="54"/>
  <c r="BW22" i="54"/>
  <c r="BW64" i="54"/>
  <c r="BW106" i="54"/>
  <c r="BW154" i="54"/>
  <c r="BW196" i="54"/>
  <c r="BW238" i="54"/>
  <c r="BW92" i="54"/>
  <c r="BW173" i="54"/>
  <c r="BW230" i="54"/>
  <c r="BW41" i="54"/>
  <c r="BW152" i="54"/>
  <c r="BW203" i="54"/>
  <c r="BW253" i="54"/>
  <c r="BW116" i="54"/>
  <c r="BW182" i="54"/>
  <c r="BW233" i="54"/>
  <c r="BW29" i="54"/>
  <c r="BW147" i="54"/>
  <c r="BW205" i="54"/>
  <c r="BW255" i="54"/>
  <c r="BW86" i="54"/>
  <c r="BW170" i="54"/>
  <c r="BW221" i="54"/>
  <c r="BW17" i="54"/>
  <c r="BW143" i="54"/>
  <c r="BW193" i="54"/>
  <c r="BW243" i="54"/>
  <c r="BW36" i="54"/>
  <c r="BW84" i="54"/>
  <c r="BW126" i="54"/>
  <c r="BW37" i="54"/>
  <c r="BW79" i="54"/>
  <c r="BW121" i="54"/>
  <c r="BW39" i="54"/>
  <c r="BW81" i="54"/>
  <c r="BW123" i="54"/>
  <c r="BW28" i="54"/>
  <c r="BW70" i="54"/>
  <c r="BW118" i="54"/>
  <c r="BW160" i="54"/>
  <c r="BW202" i="54"/>
  <c r="BW244" i="54"/>
  <c r="BW110" i="54"/>
  <c r="BW187" i="54"/>
  <c r="BW237" i="54"/>
  <c r="BW59" i="54"/>
  <c r="BW159" i="54"/>
  <c r="BW210" i="54"/>
  <c r="BW265" i="54"/>
  <c r="BW134" i="54"/>
  <c r="BW189" i="54"/>
  <c r="BW240" i="54"/>
  <c r="BW47" i="54"/>
  <c r="BW162" i="54"/>
  <c r="BW212" i="54"/>
  <c r="BW261" i="54"/>
  <c r="BW104" i="54"/>
  <c r="BW177" i="54"/>
  <c r="BW235" i="54"/>
  <c r="BW35" i="54"/>
  <c r="BW150" i="54"/>
  <c r="BW200" i="54"/>
  <c r="BW251" i="54"/>
  <c r="BW48" i="54"/>
  <c r="BW90" i="54"/>
  <c r="BW132" i="54"/>
  <c r="BW43" i="54"/>
  <c r="BW85" i="54"/>
  <c r="BW133" i="54"/>
  <c r="BW45" i="54"/>
  <c r="BW87" i="54"/>
  <c r="BW129" i="54"/>
  <c r="BW34" i="54"/>
  <c r="BW82" i="54"/>
  <c r="BW124" i="54"/>
  <c r="BW166" i="54"/>
  <c r="BW208" i="54"/>
  <c r="BW250" i="54"/>
  <c r="BW144" i="54"/>
  <c r="BW194" i="54"/>
  <c r="BW245" i="54"/>
  <c r="BW77" i="54"/>
  <c r="BW167" i="54"/>
  <c r="BW224" i="54"/>
  <c r="BW26" i="54"/>
  <c r="BW146" i="54"/>
  <c r="BW197" i="54"/>
  <c r="BW247" i="54"/>
  <c r="BW83" i="54"/>
  <c r="BW169" i="54"/>
  <c r="BW219" i="54"/>
  <c r="BW267" i="54"/>
  <c r="BW122" i="54"/>
  <c r="BW192" i="54"/>
  <c r="BW242" i="54"/>
  <c r="BW53" i="54"/>
  <c r="BW157" i="54"/>
  <c r="BW207" i="54"/>
  <c r="BW263" i="54"/>
  <c r="BW12" i="54"/>
  <c r="BW54" i="54"/>
  <c r="BW96" i="54"/>
  <c r="BW138" i="54"/>
  <c r="BW49" i="54"/>
  <c r="BW97" i="54"/>
  <c r="BW139" i="54"/>
  <c r="BW51" i="54"/>
  <c r="BW93" i="54"/>
  <c r="BW135" i="54"/>
  <c r="BW46" i="54"/>
  <c r="BW88" i="54"/>
  <c r="BW130" i="54"/>
  <c r="BW172" i="54"/>
  <c r="BW214" i="54"/>
  <c r="BW38" i="54"/>
  <c r="BW151" i="54"/>
  <c r="BW201" i="54"/>
  <c r="BW252" i="54"/>
  <c r="BW95" i="54"/>
  <c r="BW181" i="54"/>
  <c r="BW231" i="54"/>
  <c r="BW44" i="54"/>
  <c r="BW153" i="54"/>
  <c r="BW204" i="54"/>
  <c r="BW260" i="54"/>
  <c r="BW101" i="54"/>
  <c r="BW176" i="54"/>
  <c r="BW227" i="54"/>
  <c r="BW14" i="54"/>
  <c r="BW149" i="54"/>
  <c r="BW199" i="54"/>
  <c r="BW249" i="54"/>
  <c r="BW71" i="54"/>
  <c r="BW164" i="54"/>
  <c r="BW222" i="54"/>
  <c r="EQ143" i="54"/>
  <c r="EO143" i="54"/>
  <c r="EP143" i="54"/>
  <c r="EP228" i="54"/>
  <c r="EQ228" i="54"/>
  <c r="EO228" i="54"/>
  <c r="EP229" i="54"/>
  <c r="EO229" i="54"/>
  <c r="EQ229" i="54"/>
  <c r="EQ60" i="54"/>
  <c r="EP60" i="54"/>
  <c r="EO60" i="54"/>
  <c r="EO64" i="54"/>
  <c r="EQ64" i="54"/>
  <c r="EP64" i="54"/>
  <c r="EP209" i="54"/>
  <c r="EQ209" i="54"/>
  <c r="EO209" i="54"/>
  <c r="EQ219" i="54"/>
  <c r="EP219" i="54"/>
  <c r="EO219" i="54"/>
  <c r="EQ266" i="54"/>
  <c r="EP266" i="54"/>
  <c r="EO266" i="54"/>
  <c r="Q68" i="54"/>
  <c r="EV5" i="54"/>
  <c r="DQ45" i="54"/>
  <c r="DT45" i="54" s="1"/>
  <c r="DP45" i="54"/>
  <c r="DS45" i="54" s="1"/>
  <c r="DQ120" i="54"/>
  <c r="DT120" i="54" s="1"/>
  <c r="DP43" i="54"/>
  <c r="DS43" i="54" s="1"/>
  <c r="DP109" i="54"/>
  <c r="DS109" i="54" s="1"/>
  <c r="DQ187" i="54"/>
  <c r="DT187" i="54" s="1"/>
  <c r="DP141" i="54"/>
  <c r="DS141" i="54" s="1"/>
  <c r="DQ160" i="54"/>
  <c r="DT160" i="54" s="1"/>
  <c r="DQ178" i="54"/>
  <c r="DT178" i="54" s="1"/>
  <c r="DP76" i="54"/>
  <c r="DS76" i="54" s="1"/>
  <c r="DQ132" i="54"/>
  <c r="DT132" i="54" s="1"/>
  <c r="DP193" i="54"/>
  <c r="DS193" i="54" s="1"/>
  <c r="DP179" i="54"/>
  <c r="DS179" i="54" s="1"/>
  <c r="DP224" i="54"/>
  <c r="DS224" i="54" s="1"/>
  <c r="EP97" i="54"/>
  <c r="EO97" i="54"/>
  <c r="EQ97" i="54"/>
  <c r="EQ108" i="54"/>
  <c r="EP108" i="54"/>
  <c r="EO108" i="54"/>
  <c r="EP157" i="54"/>
  <c r="EO157" i="54"/>
  <c r="EQ157" i="54"/>
  <c r="EQ165" i="54"/>
  <c r="EO165" i="54"/>
  <c r="EP165" i="54"/>
  <c r="EP257" i="54"/>
  <c r="EQ257" i="54"/>
  <c r="EO257" i="54"/>
  <c r="DQ161" i="54"/>
  <c r="DT161" i="54" s="1"/>
  <c r="DQ84" i="54"/>
  <c r="DT84" i="54" s="1"/>
  <c r="DQ150" i="54"/>
  <c r="DT150" i="54" s="1"/>
  <c r="DP228" i="54"/>
  <c r="DS228" i="54" s="1"/>
  <c r="DQ207" i="54"/>
  <c r="DT207" i="54" s="1"/>
  <c r="DP41" i="54"/>
  <c r="DS41" i="54" s="1"/>
  <c r="DQ265" i="54"/>
  <c r="DT265" i="54" s="1"/>
  <c r="DQ225" i="54"/>
  <c r="DT225" i="54" s="1"/>
  <c r="DP173" i="54"/>
  <c r="DS173" i="54" s="1"/>
  <c r="DP234" i="54"/>
  <c r="DS234" i="54" s="1"/>
  <c r="DP226" i="54"/>
  <c r="DS226" i="54" s="1"/>
  <c r="DQ162" i="54"/>
  <c r="DT162" i="54" s="1"/>
  <c r="EO92" i="54"/>
  <c r="EQ92" i="54"/>
  <c r="EP92" i="54"/>
  <c r="EQ53" i="54"/>
  <c r="EP53" i="54"/>
  <c r="EO53" i="54"/>
  <c r="EQ55" i="54"/>
  <c r="EP55" i="54"/>
  <c r="EO55" i="54"/>
  <c r="EQ63" i="54"/>
  <c r="EP63" i="54"/>
  <c r="EO63" i="54"/>
  <c r="EQ150" i="54"/>
  <c r="EP150" i="54"/>
  <c r="EO150" i="54"/>
  <c r="EQ153" i="54"/>
  <c r="EO153" i="54"/>
  <c r="EP153" i="54"/>
  <c r="EP172" i="54"/>
  <c r="EQ172" i="54"/>
  <c r="EO172" i="54"/>
  <c r="EP245" i="54"/>
  <c r="EQ245" i="54"/>
  <c r="EO245" i="54"/>
  <c r="EQ42" i="54"/>
  <c r="EP42" i="54"/>
  <c r="EO42" i="54"/>
  <c r="EQ43" i="54"/>
  <c r="EP43" i="54"/>
  <c r="EO43" i="54"/>
  <c r="EQ40" i="54"/>
  <c r="EO40" i="54"/>
  <c r="EP40" i="54"/>
  <c r="EP99" i="54"/>
  <c r="EO99" i="54"/>
  <c r="EQ99" i="54"/>
  <c r="DQ208" i="54"/>
  <c r="DT208" i="54" s="1"/>
  <c r="DP191" i="54"/>
  <c r="DS191" i="54" s="1"/>
  <c r="DP89" i="54"/>
  <c r="DS89" i="54" s="1"/>
  <c r="DQ155" i="54"/>
  <c r="DT155" i="54" s="1"/>
  <c r="DP27" i="54"/>
  <c r="DS27" i="54" s="1"/>
  <c r="DQ252" i="54"/>
  <c r="DT252" i="54" s="1"/>
  <c r="DP101" i="54"/>
  <c r="DS101" i="54" s="1"/>
  <c r="DQ201" i="54"/>
  <c r="DT201" i="54" s="1"/>
  <c r="DP88" i="54"/>
  <c r="DS88" i="54" s="1"/>
  <c r="DP118" i="54"/>
  <c r="DS118" i="54" s="1"/>
  <c r="DP93" i="54"/>
  <c r="DS93" i="54" s="1"/>
  <c r="DP18" i="54"/>
  <c r="DS18" i="54" s="1"/>
  <c r="DQ198" i="54"/>
  <c r="DT198" i="54" s="1"/>
  <c r="EP210" i="54"/>
  <c r="EQ210" i="54"/>
  <c r="EO210" i="54"/>
  <c r="EQ52" i="54"/>
  <c r="EO52" i="54"/>
  <c r="EP52" i="54"/>
  <c r="EQ192" i="54"/>
  <c r="EP192" i="54"/>
  <c r="EO192" i="54"/>
  <c r="EQ193" i="54"/>
  <c r="EP193" i="54"/>
  <c r="EO193" i="54"/>
  <c r="EQ248" i="54"/>
  <c r="EP248" i="54"/>
  <c r="EO248" i="54"/>
  <c r="EQ249" i="54"/>
  <c r="EO249" i="54"/>
  <c r="EP249" i="54"/>
  <c r="EQ36" i="54"/>
  <c r="EP36" i="54"/>
  <c r="EO36" i="54"/>
  <c r="EQ85" i="54"/>
  <c r="EP85" i="54"/>
  <c r="EO85" i="54"/>
  <c r="EQ94" i="54"/>
  <c r="EO94" i="54"/>
  <c r="EP94" i="54"/>
  <c r="EQ141" i="54"/>
  <c r="EO141" i="54"/>
  <c r="EP141" i="54"/>
  <c r="DQ176" i="54"/>
  <c r="DT176" i="54" s="1"/>
  <c r="DQ115" i="54"/>
  <c r="DT115" i="54" s="1"/>
  <c r="DP22" i="54"/>
  <c r="DS22" i="54" s="1"/>
  <c r="DP248" i="54"/>
  <c r="DS248" i="54" s="1"/>
  <c r="DP148" i="54"/>
  <c r="DS148" i="54" s="1"/>
  <c r="DP158" i="54"/>
  <c r="DS158" i="54" s="1"/>
  <c r="DP165" i="54"/>
  <c r="DS165" i="54" s="1"/>
  <c r="DP266" i="54"/>
  <c r="DS266" i="54" s="1"/>
  <c r="DP59" i="54"/>
  <c r="DS59" i="54" s="1"/>
  <c r="DP56" i="54"/>
  <c r="DS56" i="54" s="1"/>
  <c r="EQ118" i="54"/>
  <c r="EO118" i="54"/>
  <c r="EP118" i="54"/>
  <c r="EQ123" i="54"/>
  <c r="EP123" i="54"/>
  <c r="EO123" i="54"/>
  <c r="EO146" i="54"/>
  <c r="EQ146" i="54"/>
  <c r="EP146" i="54"/>
  <c r="EP147" i="54"/>
  <c r="EO147" i="54"/>
  <c r="EQ147" i="54"/>
  <c r="EP220" i="54"/>
  <c r="EO220" i="54"/>
  <c r="EQ220" i="54"/>
  <c r="EQ235" i="54"/>
  <c r="EP235" i="54"/>
  <c r="EO235" i="54"/>
  <c r="EO88" i="54"/>
  <c r="EP88" i="54"/>
  <c r="EQ88" i="54"/>
  <c r="EQ127" i="54"/>
  <c r="EP127" i="54"/>
  <c r="EO127" i="54"/>
  <c r="BY81" i="54"/>
  <c r="BY117" i="54"/>
  <c r="BY70" i="54"/>
  <c r="BY106" i="54"/>
  <c r="BY59" i="54"/>
  <c r="BY131" i="54"/>
  <c r="BY90" i="54"/>
  <c r="BY126" i="54"/>
  <c r="BY85" i="54"/>
  <c r="BY121" i="54"/>
  <c r="BY80" i="54"/>
  <c r="BY116" i="54"/>
  <c r="BY93" i="54"/>
  <c r="BY135" i="54"/>
  <c r="BY130" i="54"/>
  <c r="BY220" i="54"/>
  <c r="BY215" i="54"/>
  <c r="BY257" i="54"/>
  <c r="BY258" i="54"/>
  <c r="BY43" i="54"/>
  <c r="BY50" i="54"/>
  <c r="BY92" i="54"/>
  <c r="BY57" i="54"/>
  <c r="BY99" i="54"/>
  <c r="BY94" i="54"/>
  <c r="BY184" i="54"/>
  <c r="BY179" i="54"/>
  <c r="BY221" i="54"/>
  <c r="BY222" i="54"/>
  <c r="BY264" i="54"/>
  <c r="BY14" i="54"/>
  <c r="BY56" i="54"/>
  <c r="BY21" i="54"/>
  <c r="BY63" i="54"/>
  <c r="BY16" i="54"/>
  <c r="BY58" i="54"/>
  <c r="BY11" i="54"/>
  <c r="BY53" i="54"/>
  <c r="BY12" i="54"/>
  <c r="BY60" i="54"/>
  <c r="BY19" i="54"/>
  <c r="BY61" i="54"/>
  <c r="BY20" i="54"/>
  <c r="BY62" i="54"/>
  <c r="BY27" i="54"/>
  <c r="BY69" i="54"/>
  <c r="BY22" i="54"/>
  <c r="BY64" i="54"/>
  <c r="BY17" i="54"/>
  <c r="BY65" i="54"/>
  <c r="BY24" i="54"/>
  <c r="BY66" i="54"/>
  <c r="BY25" i="54"/>
  <c r="BY67" i="54"/>
  <c r="BY26" i="54"/>
  <c r="BY68" i="54"/>
  <c r="BY33" i="54"/>
  <c r="BY75" i="54"/>
  <c r="BY28" i="54"/>
  <c r="BY76" i="54"/>
  <c r="BY29" i="54"/>
  <c r="BY71" i="54"/>
  <c r="BY30" i="54"/>
  <c r="BY72" i="54"/>
  <c r="BY31" i="54"/>
  <c r="BY73" i="54"/>
  <c r="BY32" i="54"/>
  <c r="BY74" i="54"/>
  <c r="BY39" i="54"/>
  <c r="BY87" i="54"/>
  <c r="BY40" i="54"/>
  <c r="BY82" i="54"/>
  <c r="BY35" i="54"/>
  <c r="BY77" i="54"/>
  <c r="BY36" i="54"/>
  <c r="BY78" i="54"/>
  <c r="BY37" i="54"/>
  <c r="BY79" i="54"/>
  <c r="BY38" i="54"/>
  <c r="BY86" i="54"/>
  <c r="BX41" i="54"/>
  <c r="BX77" i="54"/>
  <c r="BX113" i="54"/>
  <c r="BX149" i="54"/>
  <c r="BX185" i="54"/>
  <c r="BX221" i="54"/>
  <c r="BX257" i="54"/>
  <c r="BX36" i="54"/>
  <c r="BX72" i="54"/>
  <c r="BX108" i="54"/>
  <c r="BX144" i="54"/>
  <c r="BX180" i="54"/>
  <c r="BX216" i="54"/>
  <c r="BX252" i="54"/>
  <c r="BX31" i="54"/>
  <c r="BX67" i="54"/>
  <c r="BX103" i="54"/>
  <c r="BX139" i="54"/>
  <c r="BX175" i="54"/>
  <c r="BX211" i="54"/>
  <c r="BX247" i="54"/>
  <c r="BX26" i="54"/>
  <c r="BX62" i="54"/>
  <c r="BX98" i="54"/>
  <c r="BX134" i="54"/>
  <c r="BX170" i="54"/>
  <c r="BX206" i="54"/>
  <c r="BX242" i="54"/>
  <c r="BX21" i="54"/>
  <c r="BX57" i="54"/>
  <c r="BX93" i="54"/>
  <c r="BX129" i="54"/>
  <c r="BX165" i="54"/>
  <c r="BX201" i="54"/>
  <c r="BX237" i="54"/>
  <c r="BX40" i="54"/>
  <c r="BX256" i="54"/>
  <c r="BX190" i="54"/>
  <c r="BX124" i="54"/>
  <c r="BX58" i="54"/>
  <c r="BX28" i="54"/>
  <c r="BX244" i="54"/>
  <c r="BX214" i="54"/>
  <c r="BX17" i="54"/>
  <c r="BX59" i="54"/>
  <c r="BX101" i="54"/>
  <c r="BX143" i="54"/>
  <c r="BX191" i="54"/>
  <c r="BX233" i="54"/>
  <c r="BX18" i="54"/>
  <c r="BX60" i="54"/>
  <c r="BX102" i="54"/>
  <c r="BX150" i="54"/>
  <c r="BX192" i="54"/>
  <c r="BX234" i="54"/>
  <c r="BX19" i="54"/>
  <c r="BX61" i="54"/>
  <c r="BX109" i="54"/>
  <c r="BX151" i="54"/>
  <c r="BX193" i="54"/>
  <c r="BX235" i="54"/>
  <c r="BX20" i="54"/>
  <c r="BX68" i="54"/>
  <c r="BX110" i="54"/>
  <c r="BX152" i="54"/>
  <c r="BX194" i="54"/>
  <c r="BX236" i="54"/>
  <c r="BX27" i="54"/>
  <c r="BX69" i="54"/>
  <c r="BX111" i="54"/>
  <c r="BX153" i="54"/>
  <c r="BX195" i="54"/>
  <c r="BX243" i="54"/>
  <c r="BX112" i="54"/>
  <c r="BX82" i="54"/>
  <c r="BX52" i="54"/>
  <c r="BX22" i="54"/>
  <c r="BX64" i="54"/>
  <c r="BX70" i="54"/>
  <c r="BX23" i="54"/>
  <c r="BX65" i="54"/>
  <c r="BX107" i="54"/>
  <c r="BX155" i="54"/>
  <c r="BX197" i="54"/>
  <c r="BX239" i="54"/>
  <c r="BX24" i="54"/>
  <c r="BX66" i="54"/>
  <c r="BX114" i="54"/>
  <c r="BX156" i="54"/>
  <c r="BX198" i="54"/>
  <c r="BX240" i="54"/>
  <c r="BX25" i="54"/>
  <c r="BX73" i="54"/>
  <c r="BX115" i="54"/>
  <c r="BX157" i="54"/>
  <c r="BX199" i="54"/>
  <c r="BX241" i="54"/>
  <c r="BX32" i="54"/>
  <c r="BX74" i="54"/>
  <c r="BX116" i="54"/>
  <c r="BX158" i="54"/>
  <c r="BX200" i="54"/>
  <c r="BX248" i="54"/>
  <c r="BX33" i="54"/>
  <c r="BX75" i="54"/>
  <c r="BX117" i="54"/>
  <c r="BX159" i="54"/>
  <c r="BX207" i="54"/>
  <c r="BX249" i="54"/>
  <c r="BX148" i="54"/>
  <c r="BX118" i="54"/>
  <c r="BX88" i="54"/>
  <c r="BX94" i="54"/>
  <c r="BX100" i="54"/>
  <c r="BX106" i="54"/>
  <c r="BX29" i="54"/>
  <c r="BX71" i="54"/>
  <c r="BX119" i="54"/>
  <c r="BX161" i="54"/>
  <c r="BX203" i="54"/>
  <c r="BX245" i="54"/>
  <c r="BX30" i="54"/>
  <c r="BX78" i="54"/>
  <c r="BX120" i="54"/>
  <c r="BX162" i="54"/>
  <c r="BX204" i="54"/>
  <c r="BX246" i="54"/>
  <c r="BX37" i="54"/>
  <c r="BX79" i="54"/>
  <c r="BX121" i="54"/>
  <c r="BX163" i="54"/>
  <c r="BX205" i="54"/>
  <c r="BX253" i="54"/>
  <c r="BX38" i="54"/>
  <c r="BX80" i="54"/>
  <c r="BX122" i="54"/>
  <c r="BX164" i="54"/>
  <c r="BX212" i="54"/>
  <c r="BX254" i="54"/>
  <c r="BX39" i="54"/>
  <c r="BX81" i="54"/>
  <c r="BX123" i="54"/>
  <c r="BX171" i="54"/>
  <c r="BX213" i="54"/>
  <c r="BX255" i="54"/>
  <c r="BX184" i="54"/>
  <c r="BX154" i="54"/>
  <c r="BX160" i="54"/>
  <c r="BX130" i="54"/>
  <c r="BX136" i="54"/>
  <c r="BX142" i="54"/>
  <c r="BX35" i="54"/>
  <c r="BX83" i="54"/>
  <c r="BX125" i="54"/>
  <c r="BX167" i="54"/>
  <c r="BX209" i="54"/>
  <c r="BX251" i="54"/>
  <c r="BX42" i="54"/>
  <c r="BX84" i="54"/>
  <c r="BX126" i="54"/>
  <c r="BX168" i="54"/>
  <c r="BX210" i="54"/>
  <c r="BX258" i="54"/>
  <c r="BX43" i="54"/>
  <c r="BX85" i="54"/>
  <c r="BX127" i="54"/>
  <c r="BX169" i="54"/>
  <c r="BX217" i="54"/>
  <c r="BX259" i="54"/>
  <c r="BX44" i="54"/>
  <c r="BX86" i="54"/>
  <c r="BX128" i="54"/>
  <c r="BX176" i="54"/>
  <c r="BX218" i="54"/>
  <c r="BX260" i="54"/>
  <c r="BX45" i="54"/>
  <c r="BX87" i="54"/>
  <c r="BX135" i="54"/>
  <c r="BX177" i="54"/>
  <c r="BX219" i="54"/>
  <c r="BX261" i="54"/>
  <c r="BX220" i="54"/>
  <c r="BX226" i="54"/>
  <c r="BX196" i="54"/>
  <c r="BX166" i="54"/>
  <c r="BX172" i="54"/>
  <c r="BX178" i="54"/>
  <c r="BX47" i="54"/>
  <c r="BX89" i="54"/>
  <c r="BX131" i="54"/>
  <c r="BX173" i="54"/>
  <c r="BX215" i="54"/>
  <c r="BX263" i="54"/>
  <c r="BX48" i="54"/>
  <c r="BX90" i="54"/>
  <c r="BX132" i="54"/>
  <c r="BX174" i="54"/>
  <c r="BX222" i="54"/>
  <c r="BX264" i="54"/>
  <c r="BX49" i="54"/>
  <c r="BX91" i="54"/>
  <c r="BX133" i="54"/>
  <c r="BX181" i="54"/>
  <c r="BX223" i="54"/>
  <c r="BX265" i="54"/>
  <c r="BX50" i="54"/>
  <c r="BX92" i="54"/>
  <c r="BX140" i="54"/>
  <c r="BX182" i="54"/>
  <c r="BX224" i="54"/>
  <c r="BX266" i="54"/>
  <c r="BX51" i="54"/>
  <c r="BX99" i="54"/>
  <c r="BX141" i="54"/>
  <c r="BX183" i="54"/>
  <c r="BX225" i="54"/>
  <c r="BX267" i="54"/>
  <c r="BX10" i="54"/>
  <c r="BX262" i="54"/>
  <c r="BX232" i="54"/>
  <c r="BX202" i="54"/>
  <c r="BX208" i="54"/>
  <c r="BX250" i="54"/>
  <c r="BX11" i="54"/>
  <c r="BX53" i="54"/>
  <c r="BX95" i="54"/>
  <c r="BX137" i="54"/>
  <c r="BX179" i="54"/>
  <c r="BX227" i="54"/>
  <c r="BX12" i="54"/>
  <c r="BX54" i="54"/>
  <c r="BX96" i="54"/>
  <c r="BX138" i="54"/>
  <c r="BX186" i="54"/>
  <c r="BX228" i="54"/>
  <c r="BX13" i="54"/>
  <c r="BX55" i="54"/>
  <c r="BX97" i="54"/>
  <c r="BX145" i="54"/>
  <c r="BX187" i="54"/>
  <c r="BX229" i="54"/>
  <c r="BX14" i="54"/>
  <c r="BX56" i="54"/>
  <c r="BX104" i="54"/>
  <c r="BX146" i="54"/>
  <c r="BX188" i="54"/>
  <c r="BX230" i="54"/>
  <c r="BX15" i="54"/>
  <c r="BX63" i="54"/>
  <c r="BX105" i="54"/>
  <c r="BX147" i="54"/>
  <c r="BX189" i="54"/>
  <c r="BX231" i="54"/>
  <c r="BX76" i="54"/>
  <c r="BX46" i="54"/>
  <c r="BX16" i="54"/>
  <c r="BX268" i="54"/>
  <c r="BX238" i="54"/>
  <c r="BX34" i="54"/>
  <c r="CV34" i="54"/>
  <c r="CT34" i="54"/>
  <c r="CU35" i="54" s="1"/>
  <c r="O5" i="56"/>
  <c r="I5" i="56"/>
  <c r="Y10" i="56"/>
  <c r="AA10" i="56" s="1"/>
  <c r="I10" i="56"/>
  <c r="AH8" i="56"/>
  <c r="I8" i="56"/>
  <c r="Y9" i="56"/>
  <c r="AB9" i="56" s="1"/>
  <c r="I9" i="56"/>
  <c r="J9" i="56"/>
  <c r="M9" i="56" s="1"/>
  <c r="J12" i="56"/>
  <c r="M12" i="56" s="1"/>
  <c r="Z7" i="56"/>
  <c r="AC7" i="56" s="1"/>
  <c r="K7" i="56"/>
  <c r="Z11" i="56"/>
  <c r="AC11" i="56" s="1"/>
  <c r="K11" i="56"/>
  <c r="N11" i="56" s="1"/>
  <c r="O13" i="56"/>
  <c r="N13" i="56" s="1"/>
  <c r="I13" i="56"/>
  <c r="J6" i="56"/>
  <c r="M6" i="56" s="1"/>
  <c r="AA30" i="56"/>
  <c r="AI30" i="56"/>
  <c r="N30" i="56"/>
  <c r="N33" i="56"/>
  <c r="AD33" i="56" s="1"/>
  <c r="Q30" i="56"/>
  <c r="R30" i="56" s="1"/>
  <c r="AN30" i="56" s="1"/>
  <c r="L30" i="56"/>
  <c r="AA31" i="56"/>
  <c r="Q31" i="56" s="1"/>
  <c r="R31" i="56" s="1"/>
  <c r="AN31" i="56" s="1"/>
  <c r="AA33" i="56"/>
  <c r="AD31" i="56"/>
  <c r="AH31" i="56"/>
  <c r="AI33" i="56"/>
  <c r="AI28" i="56"/>
  <c r="AF31" i="56"/>
  <c r="AG31" i="56"/>
  <c r="AI31" i="56"/>
  <c r="AB28" i="56"/>
  <c r="AG33" i="56"/>
  <c r="AA28" i="56"/>
  <c r="AE28" i="56" s="1"/>
  <c r="DV6" i="54" s="1"/>
  <c r="AA34" i="56"/>
  <c r="Q34" i="56" s="1"/>
  <c r="R34" i="56" s="1"/>
  <c r="AN34" i="56" s="1"/>
  <c r="AG28" i="56"/>
  <c r="AG34" i="56"/>
  <c r="L34" i="56"/>
  <c r="AD34" i="56" s="1"/>
  <c r="AI34" i="56"/>
  <c r="N34" i="56"/>
  <c r="AF34" i="56" s="1"/>
  <c r="N29" i="56"/>
  <c r="AC32" i="56"/>
  <c r="AA32" i="56"/>
  <c r="Q32" i="56"/>
  <c r="L32" i="56"/>
  <c r="N32" i="56"/>
  <c r="AA29" i="56"/>
  <c r="AC29" i="56"/>
  <c r="Q33" i="56"/>
  <c r="R33" i="56" s="1"/>
  <c r="AN33" i="56" s="1"/>
  <c r="AH21" i="56"/>
  <c r="AH13" i="56"/>
  <c r="K3" i="56"/>
  <c r="N3" i="56" s="1"/>
  <c r="AF3" i="56" s="1"/>
  <c r="Q18" i="56"/>
  <c r="R18" i="56" s="1"/>
  <c r="AN18" i="56" s="1"/>
  <c r="K18" i="56"/>
  <c r="AH6" i="56"/>
  <c r="AH25" i="56"/>
  <c r="AH4" i="56"/>
  <c r="AH11" i="56"/>
  <c r="K23" i="56"/>
  <c r="N23" i="56" s="1"/>
  <c r="AF23" i="56" s="1"/>
  <c r="AA24" i="56"/>
  <c r="Q24" i="56" s="1"/>
  <c r="R24" i="56" s="1"/>
  <c r="AN24" i="56" s="1"/>
  <c r="AG22" i="56"/>
  <c r="AG6" i="56"/>
  <c r="AH20" i="56"/>
  <c r="Y17" i="56"/>
  <c r="AB17" i="56" s="1"/>
  <c r="AA3" i="56"/>
  <c r="AI19" i="56"/>
  <c r="AH9" i="56"/>
  <c r="AH18" i="56"/>
  <c r="O8" i="56"/>
  <c r="AG8" i="56" s="1"/>
  <c r="AI22" i="56"/>
  <c r="AA22" i="56"/>
  <c r="Q22" i="56" s="1"/>
  <c r="R22" i="56" s="1"/>
  <c r="AN22" i="56" s="1"/>
  <c r="Y5" i="56"/>
  <c r="AB5" i="56" s="1"/>
  <c r="K22" i="56"/>
  <c r="N22" i="56" s="1"/>
  <c r="AF22" i="56" s="1"/>
  <c r="AH22" i="56"/>
  <c r="Y8" i="56"/>
  <c r="AB8" i="56" s="1"/>
  <c r="AI3" i="56"/>
  <c r="AG7" i="56"/>
  <c r="AG19" i="56"/>
  <c r="AI6" i="56"/>
  <c r="AH16" i="56"/>
  <c r="O21" i="56"/>
  <c r="AG21" i="56" s="1"/>
  <c r="AI18" i="56"/>
  <c r="AG23" i="56"/>
  <c r="AH15" i="56"/>
  <c r="AH19" i="56"/>
  <c r="AI15" i="56"/>
  <c r="O24" i="56"/>
  <c r="N24" i="56" s="1"/>
  <c r="AF24" i="56" s="1"/>
  <c r="O9" i="56"/>
  <c r="AG18" i="56"/>
  <c r="Q7" i="56"/>
  <c r="R7" i="56" s="1"/>
  <c r="AN7" i="56" s="1"/>
  <c r="AG11" i="56"/>
  <c r="AH24" i="56"/>
  <c r="AI7" i="56"/>
  <c r="Y21" i="56"/>
  <c r="AB21" i="56" s="1"/>
  <c r="AB24" i="56"/>
  <c r="AG3" i="56"/>
  <c r="O2" i="56"/>
  <c r="AH3" i="56"/>
  <c r="AI23" i="56"/>
  <c r="AG15" i="56"/>
  <c r="AH23" i="56"/>
  <c r="AH7" i="56"/>
  <c r="O4" i="56"/>
  <c r="AH12" i="56"/>
  <c r="AH2" i="56"/>
  <c r="AI11" i="56"/>
  <c r="AA23" i="56"/>
  <c r="Q23" i="56" s="1"/>
  <c r="R23" i="56" s="1"/>
  <c r="AN23" i="56" s="1"/>
  <c r="Z6" i="56"/>
  <c r="AH17" i="56"/>
  <c r="Z21" i="56"/>
  <c r="AC21" i="56" s="1"/>
  <c r="K21" i="56"/>
  <c r="Z13" i="56"/>
  <c r="AC13" i="56" s="1"/>
  <c r="AH14" i="56"/>
  <c r="O14" i="56"/>
  <c r="K20" i="56"/>
  <c r="Z20" i="56"/>
  <c r="AC20" i="56" s="1"/>
  <c r="Q20" i="56" s="1"/>
  <c r="R20" i="56" s="1"/>
  <c r="AN20" i="56" s="1"/>
  <c r="Z8" i="56"/>
  <c r="K25" i="56"/>
  <c r="N25" i="56" s="1"/>
  <c r="Z25" i="56"/>
  <c r="AC25" i="56" s="1"/>
  <c r="Z12" i="56"/>
  <c r="N12" i="56"/>
  <c r="Z17" i="56"/>
  <c r="AC17" i="56" s="1"/>
  <c r="K17" i="56"/>
  <c r="Z4" i="56"/>
  <c r="K4" i="56"/>
  <c r="K16" i="56"/>
  <c r="Z16" i="56"/>
  <c r="AC16" i="56" s="1"/>
  <c r="Z15" i="56"/>
  <c r="K15" i="56"/>
  <c r="AH10" i="56"/>
  <c r="O10" i="56"/>
  <c r="Z2" i="56"/>
  <c r="K2" i="56"/>
  <c r="Z19" i="56"/>
  <c r="K19" i="56"/>
  <c r="AB25" i="56"/>
  <c r="AA18" i="56"/>
  <c r="AB13" i="56"/>
  <c r="AI20" i="56"/>
  <c r="AG20" i="56"/>
  <c r="AG25" i="56"/>
  <c r="AI25" i="56"/>
  <c r="AA14" i="56"/>
  <c r="AI12" i="56"/>
  <c r="AG12" i="56"/>
  <c r="AI16" i="56"/>
  <c r="AG16" i="56"/>
  <c r="BU191" i="54" l="1"/>
  <c r="BV191" i="54" s="1"/>
  <c r="CD191" i="54" s="1"/>
  <c r="BU264" i="54"/>
  <c r="BU95" i="54"/>
  <c r="BU219" i="54"/>
  <c r="BU50" i="54"/>
  <c r="BV50" i="54" s="1"/>
  <c r="CD50" i="54" s="1"/>
  <c r="BU49" i="54"/>
  <c r="BU161" i="54"/>
  <c r="CC161" i="54" s="1"/>
  <c r="BU214" i="54"/>
  <c r="BU28" i="54"/>
  <c r="BU81" i="54"/>
  <c r="BV81" i="54" s="1"/>
  <c r="CD81" i="54" s="1"/>
  <c r="BU152" i="54"/>
  <c r="BU151" i="54"/>
  <c r="BU198" i="54"/>
  <c r="BZ198" i="54" s="1"/>
  <c r="BU12" i="54"/>
  <c r="BU59" i="54"/>
  <c r="BU76" i="54"/>
  <c r="BU159" i="54"/>
  <c r="BV159" i="54" s="1"/>
  <c r="BU20" i="54"/>
  <c r="BU19" i="54"/>
  <c r="CB19" i="54" s="1"/>
  <c r="BU137" i="54"/>
  <c r="BU220" i="54"/>
  <c r="BU40" i="54"/>
  <c r="BU129" i="54"/>
  <c r="BU140" i="54"/>
  <c r="BU139" i="54"/>
  <c r="BZ139" i="54" s="1"/>
  <c r="BU246" i="54"/>
  <c r="BU257" i="54"/>
  <c r="BU154" i="54"/>
  <c r="BV154" i="54" s="1"/>
  <c r="BU171" i="54"/>
  <c r="BV171" i="54" s="1"/>
  <c r="BU62" i="54"/>
  <c r="BU61" i="54"/>
  <c r="CJ61" i="54" s="1"/>
  <c r="BU72" i="54"/>
  <c r="BU226" i="54"/>
  <c r="BU243" i="54"/>
  <c r="BU93" i="54"/>
  <c r="BU104" i="54"/>
  <c r="BU103" i="54"/>
  <c r="BZ103" i="54" s="1"/>
  <c r="BU263" i="54"/>
  <c r="BU202" i="54"/>
  <c r="BU119" i="54"/>
  <c r="BU130" i="54"/>
  <c r="BV130" i="54" s="1"/>
  <c r="CD130" i="54" s="1"/>
  <c r="BU145" i="54"/>
  <c r="BU146" i="54"/>
  <c r="BV146" i="54" s="1"/>
  <c r="BU69" i="54"/>
  <c r="BU46" i="54"/>
  <c r="BU63" i="54"/>
  <c r="BU181" i="54"/>
  <c r="BV181" i="54" s="1"/>
  <c r="BU217" i="54"/>
  <c r="BU249" i="54"/>
  <c r="CC249" i="54" s="1"/>
  <c r="CF249" i="54" s="1"/>
  <c r="BU166" i="54"/>
  <c r="BU177" i="54"/>
  <c r="BU186" i="54"/>
  <c r="BU109" i="54"/>
  <c r="BV109" i="54" s="1"/>
  <c r="BU110" i="54"/>
  <c r="BU183" i="54"/>
  <c r="CI183" i="54" s="1"/>
  <c r="BU14" i="54"/>
  <c r="BU13" i="54"/>
  <c r="BU125" i="54"/>
  <c r="BV125" i="54" s="1"/>
  <c r="BU225" i="54"/>
  <c r="BV225" i="54" s="1"/>
  <c r="BU80" i="54"/>
  <c r="BU79" i="54"/>
  <c r="CB79" i="54" s="1"/>
  <c r="CE79" i="54" s="1"/>
  <c r="BU126" i="54"/>
  <c r="BU197" i="54"/>
  <c r="BU250" i="54"/>
  <c r="BU64" i="54"/>
  <c r="BU117" i="54"/>
  <c r="BU188" i="54"/>
  <c r="BV188" i="54" s="1"/>
  <c r="BU187" i="54"/>
  <c r="BU234" i="54"/>
  <c r="BU245" i="54"/>
  <c r="BU65" i="54"/>
  <c r="BU195" i="54"/>
  <c r="BU56" i="54"/>
  <c r="CC56" i="54" s="1"/>
  <c r="CF56" i="54" s="1"/>
  <c r="BU55" i="54"/>
  <c r="BU132" i="54"/>
  <c r="BU209" i="54"/>
  <c r="BV209" i="54" s="1"/>
  <c r="BU35" i="54"/>
  <c r="BU52" i="54"/>
  <c r="BU165" i="54"/>
  <c r="CI165" i="54" s="1"/>
  <c r="BU176" i="54"/>
  <c r="BU175" i="54"/>
  <c r="BU66" i="54"/>
  <c r="BV66" i="54" s="1"/>
  <c r="CD66" i="54" s="1"/>
  <c r="BU77" i="54"/>
  <c r="BV77" i="54" s="1"/>
  <c r="CD77" i="54" s="1"/>
  <c r="BU237" i="54"/>
  <c r="BV237" i="54" s="1"/>
  <c r="BU248" i="54"/>
  <c r="BV248" i="54" s="1"/>
  <c r="BU247" i="54"/>
  <c r="BU138" i="54"/>
  <c r="BU149" i="54"/>
  <c r="BU262" i="54"/>
  <c r="BU16" i="54"/>
  <c r="BU258" i="54"/>
  <c r="BZ258" i="54" s="1"/>
  <c r="BU47" i="54"/>
  <c r="BV47" i="54" s="1"/>
  <c r="BU33" i="54"/>
  <c r="BU213" i="54"/>
  <c r="BV213" i="54" s="1"/>
  <c r="BU218" i="54"/>
  <c r="BU227" i="54"/>
  <c r="BU150" i="54"/>
  <c r="BV150" i="54" s="1"/>
  <c r="CD7" i="54"/>
  <c r="BU136" i="54"/>
  <c r="BU230" i="54"/>
  <c r="BU229" i="54"/>
  <c r="BU84" i="54"/>
  <c r="BU178" i="54"/>
  <c r="CB178" i="54" s="1"/>
  <c r="CE178" i="54" s="1"/>
  <c r="BU39" i="54"/>
  <c r="BU86" i="54"/>
  <c r="BU85" i="54"/>
  <c r="BU156" i="54"/>
  <c r="BU203" i="54"/>
  <c r="BU17" i="54"/>
  <c r="BV17" i="54" s="1"/>
  <c r="CD17" i="54" s="1"/>
  <c r="BU70" i="54"/>
  <c r="BV70" i="54" s="1"/>
  <c r="BU147" i="54"/>
  <c r="BU194" i="54"/>
  <c r="BU193" i="54"/>
  <c r="BU204" i="54"/>
  <c r="BU24" i="54"/>
  <c r="CB24" i="54" s="1"/>
  <c r="BU148" i="54"/>
  <c r="BV148" i="54" s="1"/>
  <c r="BU15" i="54"/>
  <c r="BU92" i="54"/>
  <c r="BV92" i="54" s="1"/>
  <c r="CD92" i="54" s="1"/>
  <c r="BU91" i="54"/>
  <c r="BU168" i="54"/>
  <c r="BU251" i="54"/>
  <c r="CI251" i="54" s="1"/>
  <c r="BU268" i="54"/>
  <c r="BU118" i="54"/>
  <c r="BU135" i="54"/>
  <c r="BV135" i="54" s="1"/>
  <c r="CD135" i="54" s="1"/>
  <c r="BU26" i="54"/>
  <c r="BV26" i="54" s="1"/>
  <c r="CD26" i="54" s="1"/>
  <c r="BU25" i="54"/>
  <c r="BU36" i="54"/>
  <c r="CC36" i="54" s="1"/>
  <c r="CF36" i="54" s="1"/>
  <c r="BU190" i="54"/>
  <c r="BU207" i="54"/>
  <c r="BU98" i="54"/>
  <c r="BU97" i="54"/>
  <c r="BV97" i="54" s="1"/>
  <c r="BU108" i="54"/>
  <c r="BU215" i="54"/>
  <c r="BV215" i="54" s="1"/>
  <c r="CD215" i="54" s="1"/>
  <c r="BU232" i="54"/>
  <c r="BV232" i="54" s="1"/>
  <c r="BU222" i="54"/>
  <c r="BU73" i="54"/>
  <c r="BV73" i="54" s="1"/>
  <c r="CD73" i="54" s="1"/>
  <c r="BU74" i="54"/>
  <c r="BU254" i="54"/>
  <c r="BU94" i="54"/>
  <c r="CC94" i="54" s="1"/>
  <c r="BU11" i="54"/>
  <c r="BV11" i="54" s="1"/>
  <c r="CD11" i="54" s="1"/>
  <c r="BY189" i="54"/>
  <c r="BY142" i="54"/>
  <c r="BY95" i="54"/>
  <c r="BY54" i="54"/>
  <c r="BY13" i="54"/>
  <c r="CD13" i="54" s="1"/>
  <c r="BY229" i="54"/>
  <c r="BY188" i="54"/>
  <c r="BY177" i="54"/>
  <c r="BY172" i="54"/>
  <c r="BY173" i="54"/>
  <c r="BY174" i="54"/>
  <c r="CD174" i="54" s="1"/>
  <c r="BY175" i="54"/>
  <c r="BY176" i="54"/>
  <c r="BY141" i="54"/>
  <c r="BY136" i="54"/>
  <c r="BY137" i="54"/>
  <c r="BY138" i="54"/>
  <c r="BY139" i="54"/>
  <c r="BV114" i="54"/>
  <c r="BV110" i="54"/>
  <c r="BV222" i="54"/>
  <c r="BV173" i="54"/>
  <c r="BV261" i="54"/>
  <c r="BV138" i="54"/>
  <c r="BV262" i="54"/>
  <c r="BV168" i="54"/>
  <c r="BV88" i="54"/>
  <c r="BV167" i="54"/>
  <c r="BV179" i="54"/>
  <c r="BV245" i="54"/>
  <c r="BV158" i="54"/>
  <c r="BV34" i="54"/>
  <c r="BV46" i="54"/>
  <c r="BV255" i="54"/>
  <c r="BV29" i="54"/>
  <c r="BV112" i="54"/>
  <c r="BV219" i="54"/>
  <c r="BV30" i="54"/>
  <c r="CD30" i="54" s="1"/>
  <c r="BV197" i="54"/>
  <c r="BV63" i="54"/>
  <c r="BV230" i="54"/>
  <c r="BV201" i="54"/>
  <c r="BV205" i="54"/>
  <c r="BV111" i="54"/>
  <c r="BV195" i="54"/>
  <c r="BV64" i="54"/>
  <c r="BV229" i="54"/>
  <c r="BV102" i="54"/>
  <c r="BV54" i="54"/>
  <c r="BV221" i="54"/>
  <c r="CD221" i="54" s="1"/>
  <c r="BV141" i="54"/>
  <c r="BV155" i="54"/>
  <c r="BV176" i="54"/>
  <c r="CD176" i="54" s="1"/>
  <c r="BV126" i="54"/>
  <c r="CD126" i="54" s="1"/>
  <c r="BV87" i="54"/>
  <c r="BV136" i="54"/>
  <c r="BV133" i="54"/>
  <c r="BV266" i="54"/>
  <c r="BV216" i="54"/>
  <c r="BV93" i="54"/>
  <c r="CD93" i="54" s="1"/>
  <c r="BV128" i="54"/>
  <c r="BV82" i="54"/>
  <c r="BV23" i="54"/>
  <c r="BV162" i="54"/>
  <c r="BV113" i="54"/>
  <c r="BV124" i="54"/>
  <c r="BV120" i="54"/>
  <c r="BV163" i="54"/>
  <c r="BV240" i="54"/>
  <c r="BV84" i="54"/>
  <c r="BV27" i="54"/>
  <c r="CD27" i="54" s="1"/>
  <c r="BV20" i="54"/>
  <c r="BV118" i="54"/>
  <c r="BV28" i="54"/>
  <c r="BV68" i="54"/>
  <c r="CD68" i="54" s="1"/>
  <c r="BV233" i="54"/>
  <c r="BV60" i="54"/>
  <c r="BV13" i="54"/>
  <c r="BV231" i="54"/>
  <c r="BV52" i="54"/>
  <c r="BV190" i="54"/>
  <c r="CA5" i="54"/>
  <c r="CK3" i="54" s="1"/>
  <c r="ER48" i="54" s="1" a="1"/>
  <c r="ER48" i="54" s="1"/>
  <c r="BV74" i="54"/>
  <c r="CD74" i="54" s="1"/>
  <c r="BV37" i="54"/>
  <c r="BV41" i="54"/>
  <c r="BV86" i="54"/>
  <c r="CD86" i="54" s="1"/>
  <c r="BV147" i="54"/>
  <c r="BV131" i="54"/>
  <c r="BV224" i="54"/>
  <c r="BV256" i="54"/>
  <c r="BV210" i="54"/>
  <c r="BV157" i="54"/>
  <c r="BV44" i="54"/>
  <c r="BV204" i="54"/>
  <c r="BV247" i="54"/>
  <c r="BV252" i="54"/>
  <c r="BV122" i="54"/>
  <c r="BV129" i="54"/>
  <c r="BV174" i="54"/>
  <c r="BV80" i="54"/>
  <c r="CD80" i="54" s="1"/>
  <c r="BV149" i="54"/>
  <c r="BV108" i="54"/>
  <c r="BV156" i="54"/>
  <c r="BV16" i="54"/>
  <c r="BV196" i="54"/>
  <c r="BV189" i="54"/>
  <c r="BV15" i="54"/>
  <c r="BV96" i="54"/>
  <c r="BV180" i="54"/>
  <c r="BV42" i="54"/>
  <c r="BV254" i="54"/>
  <c r="BV175" i="54"/>
  <c r="BV53" i="54"/>
  <c r="CD53" i="54" s="1"/>
  <c r="BV214" i="54"/>
  <c r="BV12" i="54"/>
  <c r="BV265" i="54"/>
  <c r="BV89" i="54"/>
  <c r="CD89" i="54" s="1"/>
  <c r="BV100" i="54"/>
  <c r="BV127" i="54"/>
  <c r="BV32" i="54"/>
  <c r="BV200" i="54"/>
  <c r="BV172" i="54"/>
  <c r="BV170" i="54"/>
  <c r="BV117" i="54"/>
  <c r="CD117" i="54" s="1"/>
  <c r="BV260" i="54"/>
  <c r="BV250" i="54"/>
  <c r="BV212" i="54"/>
  <c r="BV208" i="54"/>
  <c r="BV153" i="54"/>
  <c r="BV242" i="54"/>
  <c r="BV106" i="54"/>
  <c r="BV236" i="54"/>
  <c r="BV144" i="54"/>
  <c r="BV67" i="54"/>
  <c r="CD67" i="54" s="1"/>
  <c r="BV116" i="54"/>
  <c r="CD116" i="54" s="1"/>
  <c r="BV25" i="54"/>
  <c r="BV14" i="54"/>
  <c r="BV185" i="54"/>
  <c r="BV268" i="54"/>
  <c r="BV58" i="54"/>
  <c r="CD58" i="54" s="1"/>
  <c r="BV253" i="54"/>
  <c r="BV90" i="54"/>
  <c r="BV187" i="54"/>
  <c r="BV267" i="54"/>
  <c r="BV85" i="54"/>
  <c r="BV98" i="54"/>
  <c r="BV223" i="54"/>
  <c r="BV228" i="54"/>
  <c r="BV203" i="54"/>
  <c r="BV160" i="54"/>
  <c r="BV65" i="54"/>
  <c r="CD65" i="54" s="1"/>
  <c r="BV43" i="54"/>
  <c r="CD43" i="54" s="1"/>
  <c r="BV35" i="54"/>
  <c r="CD35" i="54" s="1"/>
  <c r="BV239" i="54"/>
  <c r="BV121" i="54"/>
  <c r="BV207" i="54"/>
  <c r="BV18" i="54"/>
  <c r="BV107" i="54"/>
  <c r="BV234" i="54"/>
  <c r="BV101" i="54"/>
  <c r="BV206" i="54"/>
  <c r="BV194" i="54"/>
  <c r="BV244" i="54"/>
  <c r="BV21" i="54"/>
  <c r="BV142" i="54"/>
  <c r="BV184" i="54"/>
  <c r="BV143" i="54"/>
  <c r="BY254" i="54"/>
  <c r="BY253" i="54"/>
  <c r="BY252" i="54"/>
  <c r="BY251" i="54"/>
  <c r="BY256" i="54"/>
  <c r="BY255" i="54"/>
  <c r="CD255" i="54" s="1"/>
  <c r="BY248" i="54"/>
  <c r="BY247" i="54"/>
  <c r="BY246" i="54"/>
  <c r="BY245" i="54"/>
  <c r="BY244" i="54"/>
  <c r="BY249" i="54"/>
  <c r="BY242" i="54"/>
  <c r="BY241" i="54"/>
  <c r="BY240" i="54"/>
  <c r="BY233" i="54"/>
  <c r="BY238" i="54"/>
  <c r="BY243" i="54"/>
  <c r="BY236" i="54"/>
  <c r="BY235" i="54"/>
  <c r="BY228" i="54"/>
  <c r="BY227" i="54"/>
  <c r="BY232" i="54"/>
  <c r="BY237" i="54"/>
  <c r="CD237" i="54" s="1"/>
  <c r="BY230" i="54"/>
  <c r="BY223" i="54"/>
  <c r="BY180" i="54"/>
  <c r="BY89" i="54"/>
  <c r="BY52" i="54"/>
  <c r="BY15" i="54"/>
  <c r="BY259" i="54"/>
  <c r="BY216" i="54"/>
  <c r="BY125" i="54"/>
  <c r="BY88" i="54"/>
  <c r="BY51" i="54"/>
  <c r="BY44" i="54"/>
  <c r="CD44" i="54" s="1"/>
  <c r="BY49" i="54"/>
  <c r="BY18" i="54"/>
  <c r="BY23" i="54"/>
  <c r="BY34" i="54"/>
  <c r="BY45" i="54"/>
  <c r="BV192" i="54"/>
  <c r="BV164" i="54"/>
  <c r="BV31" i="54"/>
  <c r="BV134" i="54"/>
  <c r="BV33" i="54"/>
  <c r="BY212" i="54"/>
  <c r="CD212" i="54" s="1"/>
  <c r="BY211" i="54"/>
  <c r="BY210" i="54"/>
  <c r="BY209" i="54"/>
  <c r="BY208" i="54"/>
  <c r="BY213" i="54"/>
  <c r="BY206" i="54"/>
  <c r="CD206" i="54" s="1"/>
  <c r="BY205" i="54"/>
  <c r="BY204" i="54"/>
  <c r="BY197" i="54"/>
  <c r="BY202" i="54"/>
  <c r="BY207" i="54"/>
  <c r="BY200" i="54"/>
  <c r="CD200" i="54" s="1"/>
  <c r="BY199" i="54"/>
  <c r="CD199" i="54" s="1"/>
  <c r="BY192" i="54"/>
  <c r="BY191" i="54"/>
  <c r="BY196" i="54"/>
  <c r="BY201" i="54"/>
  <c r="BY194" i="54"/>
  <c r="BY187" i="54"/>
  <c r="BY186" i="54"/>
  <c r="BY185" i="54"/>
  <c r="BY190" i="54"/>
  <c r="BY195" i="54"/>
  <c r="BY182" i="54"/>
  <c r="BY181" i="54"/>
  <c r="CD181" i="54" s="1"/>
  <c r="BY96" i="54"/>
  <c r="BY47" i="54"/>
  <c r="BY10" i="54"/>
  <c r="BY266" i="54"/>
  <c r="BY217" i="54"/>
  <c r="BY132" i="54"/>
  <c r="BY83" i="54"/>
  <c r="BY46" i="54"/>
  <c r="CD46" i="54" s="1"/>
  <c r="BY260" i="54"/>
  <c r="BY265" i="54"/>
  <c r="BY234" i="54"/>
  <c r="BY239" i="54"/>
  <c r="BY250" i="54"/>
  <c r="BY261" i="54"/>
  <c r="BV241" i="54"/>
  <c r="BV259" i="54"/>
  <c r="BV123" i="54"/>
  <c r="BV132" i="54"/>
  <c r="BV177" i="54"/>
  <c r="BY170" i="54"/>
  <c r="BY169" i="54"/>
  <c r="BY168" i="54"/>
  <c r="BY161" i="54"/>
  <c r="BY166" i="54"/>
  <c r="BY171" i="54"/>
  <c r="BY164" i="54"/>
  <c r="BY163" i="54"/>
  <c r="BY156" i="54"/>
  <c r="CD156" i="54" s="1"/>
  <c r="BY155" i="54"/>
  <c r="BY160" i="54"/>
  <c r="BY165" i="54"/>
  <c r="BY158" i="54"/>
  <c r="BY151" i="54"/>
  <c r="BY150" i="54"/>
  <c r="BY149" i="54"/>
  <c r="BY154" i="54"/>
  <c r="BY159" i="54"/>
  <c r="BY146" i="54"/>
  <c r="BY145" i="54"/>
  <c r="BY144" i="54"/>
  <c r="BY143" i="54"/>
  <c r="BY148" i="54"/>
  <c r="BY147" i="54"/>
  <c r="CD147" i="54" s="1"/>
  <c r="BY140" i="54"/>
  <c r="BY97" i="54"/>
  <c r="BY48" i="54"/>
  <c r="BY268" i="54"/>
  <c r="BY231" i="54"/>
  <c r="BY218" i="54"/>
  <c r="BY133" i="54"/>
  <c r="BY84" i="54"/>
  <c r="BY41" i="54"/>
  <c r="BY267" i="54"/>
  <c r="BY224" i="54"/>
  <c r="BY193" i="54"/>
  <c r="BY198" i="54"/>
  <c r="BY203" i="54"/>
  <c r="BY214" i="54"/>
  <c r="CD214" i="54" s="1"/>
  <c r="BY225" i="54"/>
  <c r="BV115" i="54"/>
  <c r="BV75" i="54"/>
  <c r="CD75" i="54" s="1"/>
  <c r="BV57" i="54"/>
  <c r="CD57" i="54" s="1"/>
  <c r="BV10" i="54"/>
  <c r="CD10" i="54" s="1"/>
  <c r="BV218" i="54"/>
  <c r="BY128" i="54"/>
  <c r="BY127" i="54"/>
  <c r="BY120" i="54"/>
  <c r="BY119" i="54"/>
  <c r="BY124" i="54"/>
  <c r="BY129" i="54"/>
  <c r="BY122" i="54"/>
  <c r="BY115" i="54"/>
  <c r="CD115" i="54" s="1"/>
  <c r="BY114" i="54"/>
  <c r="BY113" i="54"/>
  <c r="BY118" i="54"/>
  <c r="CD118" i="54" s="1"/>
  <c r="BY123" i="54"/>
  <c r="BY110" i="54"/>
  <c r="BY109" i="54"/>
  <c r="BY108" i="54"/>
  <c r="BY107" i="54"/>
  <c r="BY112" i="54"/>
  <c r="CD112" i="54" s="1"/>
  <c r="BY111" i="54"/>
  <c r="BY104" i="54"/>
  <c r="BY103" i="54"/>
  <c r="BY102" i="54"/>
  <c r="BY101" i="54"/>
  <c r="BY100" i="54"/>
  <c r="BY105" i="54"/>
  <c r="BY98" i="54"/>
  <c r="BY55" i="54"/>
  <c r="BY263" i="54"/>
  <c r="BY226" i="54"/>
  <c r="BY183" i="54"/>
  <c r="BY134" i="54"/>
  <c r="BY91" i="54"/>
  <c r="BY42" i="54"/>
  <c r="BY262" i="54"/>
  <c r="BY219" i="54"/>
  <c r="BY152" i="54"/>
  <c r="BY157" i="54"/>
  <c r="BY162" i="54"/>
  <c r="BY167" i="54"/>
  <c r="BY178" i="54"/>
  <c r="BY153" i="54"/>
  <c r="BV99" i="54"/>
  <c r="CD99" i="54" s="1"/>
  <c r="BV193" i="54"/>
  <c r="BV169" i="54"/>
  <c r="BV45" i="54"/>
  <c r="BV48" i="54"/>
  <c r="BV55" i="54"/>
  <c r="BV71" i="54"/>
  <c r="CD71" i="54" s="1"/>
  <c r="BV211" i="54"/>
  <c r="BV39" i="54"/>
  <c r="BV91" i="54"/>
  <c r="BV51" i="54"/>
  <c r="BV264" i="54"/>
  <c r="CD264" i="54" s="1"/>
  <c r="BV95" i="54"/>
  <c r="BV49" i="54"/>
  <c r="BV152" i="54"/>
  <c r="CD152" i="54" s="1"/>
  <c r="BV151" i="54"/>
  <c r="BV59" i="54"/>
  <c r="BV76" i="54"/>
  <c r="BV19" i="54"/>
  <c r="CD19" i="54" s="1"/>
  <c r="BV137" i="54"/>
  <c r="BV220" i="54"/>
  <c r="BV40" i="54"/>
  <c r="BV140" i="54"/>
  <c r="BV246" i="54"/>
  <c r="BV257" i="54"/>
  <c r="CD257" i="54" s="1"/>
  <c r="BV62" i="54"/>
  <c r="CD62" i="54" s="1"/>
  <c r="BV72" i="54"/>
  <c r="BV226" i="54"/>
  <c r="BV243" i="54"/>
  <c r="BV104" i="54"/>
  <c r="CD104" i="54" s="1"/>
  <c r="BV263" i="54"/>
  <c r="BV202" i="54"/>
  <c r="BV119" i="54"/>
  <c r="BV145" i="54"/>
  <c r="CD145" i="54" s="1"/>
  <c r="BE30" i="54"/>
  <c r="A37" i="54" s="1"/>
  <c r="BE35" i="54"/>
  <c r="C37" i="54" s="1"/>
  <c r="CD201" i="54"/>
  <c r="CB224" i="54"/>
  <c r="CC224" i="54"/>
  <c r="CF224" i="54" s="1"/>
  <c r="CA224" i="54"/>
  <c r="CJ224" i="54"/>
  <c r="BZ224" i="54"/>
  <c r="CI224" i="54"/>
  <c r="CH224" i="54"/>
  <c r="CB223" i="54"/>
  <c r="CC223" i="54"/>
  <c r="CF223" i="54" s="1"/>
  <c r="CA223" i="54"/>
  <c r="CJ223" i="54"/>
  <c r="BZ223" i="54"/>
  <c r="CI223" i="54"/>
  <c r="CH223" i="54"/>
  <c r="CJ54" i="54"/>
  <c r="BZ54" i="54"/>
  <c r="CI54" i="54"/>
  <c r="CH54" i="54"/>
  <c r="CB54" i="54"/>
  <c r="CC54" i="54"/>
  <c r="CF54" i="54" s="1"/>
  <c r="CA54" i="54"/>
  <c r="CI172" i="54"/>
  <c r="BZ172" i="54"/>
  <c r="CH172" i="54"/>
  <c r="CJ172" i="54"/>
  <c r="CB172" i="54"/>
  <c r="CE172" i="54" s="1"/>
  <c r="CC172" i="54"/>
  <c r="CA172" i="54"/>
  <c r="CB266" i="54"/>
  <c r="CC266" i="54"/>
  <c r="CF266" i="54" s="1"/>
  <c r="CA266" i="54"/>
  <c r="CJ266" i="54"/>
  <c r="BZ266" i="54"/>
  <c r="CI266" i="54"/>
  <c r="CH266" i="54"/>
  <c r="CB265" i="54"/>
  <c r="CC265" i="54"/>
  <c r="CF265" i="54" s="1"/>
  <c r="CA265" i="54"/>
  <c r="CJ265" i="54"/>
  <c r="BZ265" i="54"/>
  <c r="CI265" i="54"/>
  <c r="CH265" i="54"/>
  <c r="CC120" i="54"/>
  <c r="CA120" i="54"/>
  <c r="CJ120" i="54"/>
  <c r="BZ120" i="54"/>
  <c r="CI120" i="54"/>
  <c r="CH120" i="54"/>
  <c r="CB120" i="54"/>
  <c r="CE120" i="54" s="1"/>
  <c r="CC167" i="54"/>
  <c r="CB167" i="54"/>
  <c r="CE167" i="54" s="1"/>
  <c r="CA167" i="54"/>
  <c r="CJ167" i="54"/>
  <c r="BZ167" i="54"/>
  <c r="CI167" i="54"/>
  <c r="CH167" i="54"/>
  <c r="CJ244" i="54"/>
  <c r="CB244" i="54"/>
  <c r="CC244" i="54"/>
  <c r="CF244" i="54" s="1"/>
  <c r="CA244" i="54"/>
  <c r="CI244" i="54"/>
  <c r="BZ244" i="54"/>
  <c r="CH244" i="54"/>
  <c r="BZ34" i="54"/>
  <c r="CI34" i="54"/>
  <c r="CA34" i="54"/>
  <c r="CH34" i="54"/>
  <c r="CJ34" i="54"/>
  <c r="CB34" i="54"/>
  <c r="CC34" i="54"/>
  <c r="CF34" i="54" s="1"/>
  <c r="CA111" i="54"/>
  <c r="CH111" i="54"/>
  <c r="BZ111" i="54"/>
  <c r="CJ111" i="54"/>
  <c r="CI111" i="54"/>
  <c r="CB111" i="54"/>
  <c r="CE111" i="54" s="1"/>
  <c r="CC111" i="54"/>
  <c r="CI158" i="54"/>
  <c r="CH158" i="54"/>
  <c r="CB158" i="54"/>
  <c r="CE158" i="54" s="1"/>
  <c r="CC158" i="54"/>
  <c r="CA158" i="54"/>
  <c r="CJ158" i="54"/>
  <c r="BZ158" i="54"/>
  <c r="CI157" i="54"/>
  <c r="CH157" i="54"/>
  <c r="CB157" i="54"/>
  <c r="CE157" i="54" s="1"/>
  <c r="CC157" i="54"/>
  <c r="CA157" i="54"/>
  <c r="CJ157" i="54"/>
  <c r="BZ157" i="54"/>
  <c r="CH228" i="54"/>
  <c r="CB228" i="54"/>
  <c r="CC228" i="54"/>
  <c r="CF228" i="54" s="1"/>
  <c r="CA228" i="54"/>
  <c r="CJ228" i="54"/>
  <c r="BZ228" i="54"/>
  <c r="CI228" i="54"/>
  <c r="CI18" i="54"/>
  <c r="CH18" i="54"/>
  <c r="CB18" i="54"/>
  <c r="CC18" i="54"/>
  <c r="CF18" i="54" s="1"/>
  <c r="CA18" i="54"/>
  <c r="CJ18" i="54"/>
  <c r="BZ18" i="54"/>
  <c r="CC29" i="54"/>
  <c r="CF29" i="54" s="1"/>
  <c r="CB29" i="54"/>
  <c r="CA29" i="54"/>
  <c r="CJ29" i="54"/>
  <c r="BZ29" i="54"/>
  <c r="CI29" i="54"/>
  <c r="CH29" i="54"/>
  <c r="CB112" i="54"/>
  <c r="CE112" i="54" s="1"/>
  <c r="CC112" i="54"/>
  <c r="CA112" i="54"/>
  <c r="CI112" i="54"/>
  <c r="BZ112" i="54"/>
  <c r="CH112" i="54"/>
  <c r="CJ112" i="54"/>
  <c r="CC236" i="54"/>
  <c r="CF236" i="54" s="1"/>
  <c r="CA236" i="54"/>
  <c r="CJ236" i="54"/>
  <c r="BZ236" i="54"/>
  <c r="CI236" i="54"/>
  <c r="CH236" i="54"/>
  <c r="CB236" i="54"/>
  <c r="CC235" i="54"/>
  <c r="CF235" i="54" s="1"/>
  <c r="CA235" i="54"/>
  <c r="CJ235" i="54"/>
  <c r="BZ235" i="54"/>
  <c r="CI235" i="54"/>
  <c r="CH235" i="54"/>
  <c r="CB235" i="54"/>
  <c r="CA96" i="54"/>
  <c r="CJ96" i="54"/>
  <c r="BZ96" i="54"/>
  <c r="CI96" i="54"/>
  <c r="CH96" i="54"/>
  <c r="CB96" i="54"/>
  <c r="CE96" i="54" s="1"/>
  <c r="CC96" i="54"/>
  <c r="CI173" i="54"/>
  <c r="CH173" i="54"/>
  <c r="CC173" i="54"/>
  <c r="CB173" i="54"/>
  <c r="CE173" i="54" s="1"/>
  <c r="CA173" i="54"/>
  <c r="CJ173" i="54"/>
  <c r="BZ173" i="54"/>
  <c r="CJ256" i="54"/>
  <c r="CB256" i="54"/>
  <c r="CC256" i="54"/>
  <c r="CF256" i="54" s="1"/>
  <c r="CA256" i="54"/>
  <c r="CI256" i="54"/>
  <c r="BZ256" i="54"/>
  <c r="CH256" i="54"/>
  <c r="CH82" i="54"/>
  <c r="CJ82" i="54"/>
  <c r="CB82" i="54"/>
  <c r="CE82" i="54" s="1"/>
  <c r="CC82" i="54"/>
  <c r="CA82" i="54"/>
  <c r="CI82" i="54"/>
  <c r="BZ82" i="54"/>
  <c r="CI99" i="54"/>
  <c r="CB99" i="54"/>
  <c r="CE99" i="54" s="1"/>
  <c r="CC99" i="54"/>
  <c r="CH99" i="54"/>
  <c r="CJ99" i="54"/>
  <c r="CA99" i="54"/>
  <c r="BZ99" i="54"/>
  <c r="CB206" i="54"/>
  <c r="CE206" i="54" s="1"/>
  <c r="CC206" i="54"/>
  <c r="CA206" i="54"/>
  <c r="CJ206" i="54"/>
  <c r="BZ206" i="54"/>
  <c r="CI206" i="54"/>
  <c r="CH206" i="54"/>
  <c r="CB205" i="54"/>
  <c r="CE205" i="54" s="1"/>
  <c r="CC205" i="54"/>
  <c r="CA205" i="54"/>
  <c r="CJ205" i="54"/>
  <c r="BZ205" i="54"/>
  <c r="CI205" i="54"/>
  <c r="CH205" i="54"/>
  <c r="CB216" i="54"/>
  <c r="CC216" i="54"/>
  <c r="CA216" i="54"/>
  <c r="CJ216" i="54"/>
  <c r="BZ216" i="54"/>
  <c r="CI216" i="54"/>
  <c r="CH216" i="54"/>
  <c r="CJ107" i="54"/>
  <c r="BZ107" i="54"/>
  <c r="CI107" i="54"/>
  <c r="CH107" i="54"/>
  <c r="CC107" i="54"/>
  <c r="CB107" i="54"/>
  <c r="CE107" i="54" s="1"/>
  <c r="CA107" i="54"/>
  <c r="CC124" i="54"/>
  <c r="CA124" i="54"/>
  <c r="CI124" i="54"/>
  <c r="BZ124" i="54"/>
  <c r="CH124" i="54"/>
  <c r="CJ124" i="54"/>
  <c r="CB124" i="54"/>
  <c r="CE124" i="54" s="1"/>
  <c r="CH21" i="54"/>
  <c r="CA21" i="54"/>
  <c r="CJ21" i="54"/>
  <c r="CI21" i="54"/>
  <c r="CB21" i="54"/>
  <c r="CC21" i="54"/>
  <c r="CF21" i="54" s="1"/>
  <c r="BZ21" i="54"/>
  <c r="CI32" i="54"/>
  <c r="CH32" i="54"/>
  <c r="CB32" i="54"/>
  <c r="CC32" i="54"/>
  <c r="CF32" i="54" s="1"/>
  <c r="BZ32" i="54"/>
  <c r="CJ32" i="54"/>
  <c r="CA32" i="54"/>
  <c r="CI31" i="54"/>
  <c r="CH31" i="54"/>
  <c r="CB31" i="54"/>
  <c r="CC31" i="54"/>
  <c r="CF31" i="54" s="1"/>
  <c r="BZ31" i="54"/>
  <c r="CJ31" i="54"/>
  <c r="CA31" i="54"/>
  <c r="CH179" i="54"/>
  <c r="CC179" i="54"/>
  <c r="CB179" i="54"/>
  <c r="CE179" i="54" s="1"/>
  <c r="CA179" i="54"/>
  <c r="CJ179" i="54"/>
  <c r="BZ179" i="54"/>
  <c r="CI179" i="54"/>
  <c r="CB196" i="54"/>
  <c r="CE196" i="54" s="1"/>
  <c r="CC196" i="54"/>
  <c r="CA196" i="54"/>
  <c r="CI196" i="54"/>
  <c r="BZ196" i="54"/>
  <c r="CH196" i="54"/>
  <c r="CJ196" i="54"/>
  <c r="CB46" i="54"/>
  <c r="CC46" i="54"/>
  <c r="CF46" i="54" s="1"/>
  <c r="BZ46" i="54"/>
  <c r="CI46" i="54"/>
  <c r="CA46" i="54"/>
  <c r="CH46" i="54"/>
  <c r="CJ46" i="54"/>
  <c r="CH63" i="54"/>
  <c r="BZ63" i="54"/>
  <c r="CJ63" i="54"/>
  <c r="CI63" i="54"/>
  <c r="CB63" i="54"/>
  <c r="CC63" i="54"/>
  <c r="CA63" i="54"/>
  <c r="CH181" i="54"/>
  <c r="CB181" i="54"/>
  <c r="CE181" i="54" s="1"/>
  <c r="CC181" i="54"/>
  <c r="CA181" i="54"/>
  <c r="CJ181" i="54"/>
  <c r="CI181" i="54"/>
  <c r="BZ181" i="54"/>
  <c r="BV217" i="54"/>
  <c r="CB217" i="54"/>
  <c r="CC217" i="54"/>
  <c r="CJ217" i="54"/>
  <c r="BZ217" i="54"/>
  <c r="CI217" i="54"/>
  <c r="CH217" i="54"/>
  <c r="CA217" i="54"/>
  <c r="CB249" i="54"/>
  <c r="BV166" i="54"/>
  <c r="CD166" i="54" s="1"/>
  <c r="CB166" i="54"/>
  <c r="CE166" i="54" s="1"/>
  <c r="CC166" i="54"/>
  <c r="CA166" i="54"/>
  <c r="CI166" i="54"/>
  <c r="BZ166" i="54"/>
  <c r="CH166" i="54"/>
  <c r="CJ166" i="54"/>
  <c r="CA177" i="54"/>
  <c r="CH177" i="54"/>
  <c r="BZ177" i="54"/>
  <c r="CJ177" i="54"/>
  <c r="CI177" i="54"/>
  <c r="CB177" i="54"/>
  <c r="CE177" i="54" s="1"/>
  <c r="CC177" i="54"/>
  <c r="BV186" i="54"/>
  <c r="CD186" i="54" s="1"/>
  <c r="CJ186" i="54"/>
  <c r="BZ186" i="54"/>
  <c r="CI186" i="54"/>
  <c r="CH186" i="54"/>
  <c r="CB186" i="54"/>
  <c r="CE186" i="54" s="1"/>
  <c r="CC186" i="54"/>
  <c r="CF186" i="54" s="1"/>
  <c r="CA186" i="54"/>
  <c r="CI109" i="54"/>
  <c r="CH109" i="54"/>
  <c r="CB109" i="54"/>
  <c r="CE109" i="54" s="1"/>
  <c r="CC109" i="54"/>
  <c r="CA109" i="54"/>
  <c r="BZ109" i="54"/>
  <c r="CJ109" i="54"/>
  <c r="CC110" i="54"/>
  <c r="CB110" i="54"/>
  <c r="CE110" i="54" s="1"/>
  <c r="CA110" i="54"/>
  <c r="BZ110" i="54"/>
  <c r="CJ110" i="54"/>
  <c r="CI110" i="54"/>
  <c r="CH110" i="54"/>
  <c r="EW2" i="54" a="1"/>
  <c r="EW2" i="54" s="1"/>
  <c r="EV2" i="54"/>
  <c r="CG3" i="54"/>
  <c r="CM3" i="54" s="1"/>
  <c r="CN3" i="54" s="1"/>
  <c r="CH3" i="54"/>
  <c r="CI3" i="54" s="1"/>
  <c r="FK3" i="54"/>
  <c r="CD54" i="54"/>
  <c r="CE54" i="54" s="1"/>
  <c r="CD102" i="54"/>
  <c r="CD25" i="54"/>
  <c r="CD59" i="54"/>
  <c r="CD235" i="54"/>
  <c r="CD243" i="54"/>
  <c r="CD70" i="54"/>
  <c r="CD29" i="54"/>
  <c r="CD76" i="54"/>
  <c r="CD172" i="54"/>
  <c r="CD32" i="54"/>
  <c r="CE32" i="54" s="1"/>
  <c r="CD223" i="54"/>
  <c r="CD220" i="54"/>
  <c r="CD40" i="54"/>
  <c r="CD133" i="54"/>
  <c r="CD48" i="54"/>
  <c r="CD51" i="54"/>
  <c r="CD222" i="54"/>
  <c r="CD141" i="54"/>
  <c r="CD42" i="54"/>
  <c r="CJ183" i="54"/>
  <c r="BZ183" i="54"/>
  <c r="CB14" i="54"/>
  <c r="CC14" i="54"/>
  <c r="CF14" i="54" s="1"/>
  <c r="BZ14" i="54"/>
  <c r="CJ14" i="54"/>
  <c r="CA14" i="54"/>
  <c r="CH14" i="54"/>
  <c r="CI14" i="54"/>
  <c r="CC13" i="54"/>
  <c r="CF13" i="54" s="1"/>
  <c r="CJ13" i="54"/>
  <c r="CI13" i="54"/>
  <c r="CH13" i="54"/>
  <c r="CB13" i="54"/>
  <c r="BZ13" i="54"/>
  <c r="CA13" i="54"/>
  <c r="CB125" i="54"/>
  <c r="CE125" i="54" s="1"/>
  <c r="CA125" i="54"/>
  <c r="CJ125" i="54"/>
  <c r="BZ125" i="54"/>
  <c r="CI125" i="54"/>
  <c r="CH125" i="54"/>
  <c r="CC125" i="54"/>
  <c r="CJ225" i="54"/>
  <c r="CI225" i="54"/>
  <c r="CB225" i="54"/>
  <c r="CC225" i="54"/>
  <c r="CF225" i="54" s="1"/>
  <c r="CA225" i="54"/>
  <c r="CH225" i="54"/>
  <c r="BZ225" i="54"/>
  <c r="CH80" i="54"/>
  <c r="CB80" i="54"/>
  <c r="CE80" i="54" s="1"/>
  <c r="CC80" i="54"/>
  <c r="CA80" i="54"/>
  <c r="CJ80" i="54"/>
  <c r="BZ80" i="54"/>
  <c r="CI80" i="54"/>
  <c r="CH79" i="54"/>
  <c r="CI79" i="54"/>
  <c r="CI126" i="54"/>
  <c r="CH126" i="54"/>
  <c r="CB126" i="54"/>
  <c r="CE126" i="54" s="1"/>
  <c r="CC126" i="54"/>
  <c r="CA126" i="54"/>
  <c r="CJ126" i="54"/>
  <c r="BZ126" i="54"/>
  <c r="CJ197" i="54"/>
  <c r="BZ197" i="54"/>
  <c r="CI197" i="54"/>
  <c r="CH197" i="54"/>
  <c r="CC197" i="54"/>
  <c r="CB197" i="54"/>
  <c r="CE197" i="54" s="1"/>
  <c r="CA197" i="54"/>
  <c r="CB250" i="54"/>
  <c r="CC250" i="54"/>
  <c r="CF250" i="54" s="1"/>
  <c r="CA250" i="54"/>
  <c r="CI250" i="54"/>
  <c r="BZ250" i="54"/>
  <c r="CH250" i="54"/>
  <c r="CJ250" i="54"/>
  <c r="CB64" i="54"/>
  <c r="CC64" i="54"/>
  <c r="CA64" i="54"/>
  <c r="CI64" i="54"/>
  <c r="BZ64" i="54"/>
  <c r="CH64" i="54"/>
  <c r="CJ64" i="54"/>
  <c r="CA117" i="54"/>
  <c r="CH117" i="54"/>
  <c r="BZ117" i="54"/>
  <c r="CJ117" i="54"/>
  <c r="CI117" i="54"/>
  <c r="CB117" i="54"/>
  <c r="CE117" i="54" s="1"/>
  <c r="CC117" i="54"/>
  <c r="CJ188" i="54"/>
  <c r="CA188" i="54"/>
  <c r="CJ187" i="54"/>
  <c r="BZ187" i="54"/>
  <c r="CI187" i="54"/>
  <c r="CH187" i="54"/>
  <c r="CB187" i="54"/>
  <c r="CE187" i="54" s="1"/>
  <c r="CC187" i="54"/>
  <c r="CA187" i="54"/>
  <c r="CA234" i="54"/>
  <c r="CJ234" i="54"/>
  <c r="BZ234" i="54"/>
  <c r="CI234" i="54"/>
  <c r="CH234" i="54"/>
  <c r="CB234" i="54"/>
  <c r="CC234" i="54"/>
  <c r="CF234" i="54" s="1"/>
  <c r="CI245" i="54"/>
  <c r="CH245" i="54"/>
  <c r="CC245" i="54"/>
  <c r="CF245" i="54" s="1"/>
  <c r="CB245" i="54"/>
  <c r="CA245" i="54"/>
  <c r="CJ245" i="54"/>
  <c r="BZ245" i="54"/>
  <c r="CI65" i="54"/>
  <c r="CH65" i="54"/>
  <c r="CC65" i="54"/>
  <c r="CF65" i="54" s="1"/>
  <c r="CB65" i="54"/>
  <c r="CE65" i="54" s="1"/>
  <c r="CA65" i="54"/>
  <c r="CJ65" i="54"/>
  <c r="BZ65" i="54"/>
  <c r="CI195" i="54"/>
  <c r="CB195" i="54"/>
  <c r="CE195" i="54" s="1"/>
  <c r="CC195" i="54"/>
  <c r="CA195" i="54"/>
  <c r="CH195" i="54"/>
  <c r="BZ195" i="54"/>
  <c r="CJ195" i="54"/>
  <c r="CB56" i="54"/>
  <c r="CH56" i="54"/>
  <c r="CB55" i="54"/>
  <c r="CC55" i="54"/>
  <c r="CF55" i="54" s="1"/>
  <c r="BZ55" i="54"/>
  <c r="CJ55" i="54"/>
  <c r="CA55" i="54"/>
  <c r="CI55" i="54"/>
  <c r="CH55" i="54"/>
  <c r="CA132" i="54"/>
  <c r="CJ132" i="54"/>
  <c r="BZ132" i="54"/>
  <c r="CI132" i="54"/>
  <c r="CH132" i="54"/>
  <c r="CB132" i="54"/>
  <c r="CE132" i="54" s="1"/>
  <c r="CC132" i="54"/>
  <c r="CJ209" i="54"/>
  <c r="BZ209" i="54"/>
  <c r="CI209" i="54"/>
  <c r="CH209" i="54"/>
  <c r="CC209" i="54"/>
  <c r="CB209" i="54"/>
  <c r="CE209" i="54" s="1"/>
  <c r="CA209" i="54"/>
  <c r="CA35" i="54"/>
  <c r="CJ35" i="54"/>
  <c r="BZ35" i="54"/>
  <c r="CI35" i="54"/>
  <c r="CH35" i="54"/>
  <c r="CC35" i="54"/>
  <c r="CF35" i="54" s="1"/>
  <c r="CB35" i="54"/>
  <c r="CI52" i="54"/>
  <c r="CA52" i="54"/>
  <c r="CH52" i="54"/>
  <c r="CC52" i="54"/>
  <c r="CF52" i="54" s="1"/>
  <c r="CJ52" i="54"/>
  <c r="CB52" i="54"/>
  <c r="BZ52" i="54"/>
  <c r="CJ165" i="54"/>
  <c r="BZ165" i="54"/>
  <c r="CI176" i="54"/>
  <c r="CH176" i="54"/>
  <c r="CB176" i="54"/>
  <c r="CE176" i="54" s="1"/>
  <c r="CC176" i="54"/>
  <c r="CA176" i="54"/>
  <c r="CJ176" i="54"/>
  <c r="BZ176" i="54"/>
  <c r="CI175" i="54"/>
  <c r="CH175" i="54"/>
  <c r="CB175" i="54"/>
  <c r="CE175" i="54" s="1"/>
  <c r="CC175" i="54"/>
  <c r="CA175" i="54"/>
  <c r="CJ175" i="54"/>
  <c r="BZ175" i="54"/>
  <c r="CC66" i="54"/>
  <c r="CA66" i="54"/>
  <c r="CJ66" i="54"/>
  <c r="BZ66" i="54"/>
  <c r="CI66" i="54"/>
  <c r="CH66" i="54"/>
  <c r="CB66" i="54"/>
  <c r="CH77" i="54"/>
  <c r="CC77" i="54"/>
  <c r="CB77" i="54"/>
  <c r="CE77" i="54" s="1"/>
  <c r="CA77" i="54"/>
  <c r="CJ77" i="54"/>
  <c r="BZ77" i="54"/>
  <c r="CI77" i="54"/>
  <c r="CC237" i="54"/>
  <c r="CF237" i="54" s="1"/>
  <c r="CA237" i="54"/>
  <c r="CH237" i="54"/>
  <c r="BZ237" i="54"/>
  <c r="CJ237" i="54"/>
  <c r="CI237" i="54"/>
  <c r="CB237" i="54"/>
  <c r="CA248" i="54"/>
  <c r="CC248" i="54"/>
  <c r="CF248" i="54" s="1"/>
  <c r="CA247" i="54"/>
  <c r="CJ247" i="54"/>
  <c r="BZ247" i="54"/>
  <c r="CI247" i="54"/>
  <c r="CH247" i="54"/>
  <c r="CB247" i="54"/>
  <c r="CC247" i="54"/>
  <c r="CF247" i="54" s="1"/>
  <c r="CJ138" i="54"/>
  <c r="BZ138" i="54"/>
  <c r="CI138" i="54"/>
  <c r="CH138" i="54"/>
  <c r="CB138" i="54"/>
  <c r="CE138" i="54" s="1"/>
  <c r="CC138" i="54"/>
  <c r="CA138" i="54"/>
  <c r="CI149" i="54"/>
  <c r="CH149" i="54"/>
  <c r="CC149" i="54"/>
  <c r="CB149" i="54"/>
  <c r="CE149" i="54" s="1"/>
  <c r="CA149" i="54"/>
  <c r="CJ149" i="54"/>
  <c r="BZ149" i="54"/>
  <c r="CH262" i="54"/>
  <c r="CJ262" i="54"/>
  <c r="CB262" i="54"/>
  <c r="CC262" i="54"/>
  <c r="CF262" i="54" s="1"/>
  <c r="BZ262" i="54"/>
  <c r="CI262" i="54"/>
  <c r="CA262" i="54"/>
  <c r="CC16" i="54"/>
  <c r="CF16" i="54" s="1"/>
  <c r="CI16" i="54"/>
  <c r="CA16" i="54"/>
  <c r="CH16" i="54"/>
  <c r="CJ16" i="54"/>
  <c r="CB16" i="54"/>
  <c r="BZ16" i="54"/>
  <c r="CJ258" i="54"/>
  <c r="CI258" i="54"/>
  <c r="CC47" i="54"/>
  <c r="CF47" i="54" s="1"/>
  <c r="CB47" i="54"/>
  <c r="CA47" i="54"/>
  <c r="CJ47" i="54"/>
  <c r="BZ47" i="54"/>
  <c r="CI47" i="54"/>
  <c r="CH47" i="54"/>
  <c r="CH33" i="54"/>
  <c r="CA33" i="54"/>
  <c r="CJ33" i="54"/>
  <c r="CI33" i="54"/>
  <c r="CB33" i="54"/>
  <c r="CC33" i="54"/>
  <c r="CF33" i="54" s="1"/>
  <c r="BZ33" i="54"/>
  <c r="CJ213" i="54"/>
  <c r="CI213" i="54"/>
  <c r="CB213" i="54"/>
  <c r="CC213" i="54"/>
  <c r="CA213" i="54"/>
  <c r="CH213" i="54"/>
  <c r="BZ213" i="54"/>
  <c r="CA218" i="54"/>
  <c r="CB218" i="54"/>
  <c r="CE218" i="54" s="1"/>
  <c r="CC218" i="54"/>
  <c r="BZ218" i="54"/>
  <c r="CJ218" i="54"/>
  <c r="CI218" i="54"/>
  <c r="CH218" i="54"/>
  <c r="BV227" i="54"/>
  <c r="CD227" i="54" s="1"/>
  <c r="CA227" i="54"/>
  <c r="CJ227" i="54"/>
  <c r="BZ227" i="54"/>
  <c r="CI227" i="54"/>
  <c r="CH227" i="54"/>
  <c r="CB227" i="54"/>
  <c r="CE227" i="54" s="1"/>
  <c r="CC227" i="54"/>
  <c r="CF227" i="54" s="1"/>
  <c r="CB150" i="54"/>
  <c r="CE150" i="54" s="1"/>
  <c r="CE235" i="54"/>
  <c r="EW4" i="54" a="1"/>
  <c r="EW4" i="54" s="1"/>
  <c r="EV4" i="54"/>
  <c r="DU2" i="54"/>
  <c r="DV2" i="54"/>
  <c r="DW2" i="54" s="1"/>
  <c r="DX2" i="54" s="1"/>
  <c r="F43" i="54" a="1"/>
  <c r="F43" i="54" s="1"/>
  <c r="F40" i="54" a="1"/>
  <c r="F40" i="54" s="1"/>
  <c r="F44" i="54" a="1"/>
  <c r="F44" i="54" s="1"/>
  <c r="F45" i="54" a="1"/>
  <c r="F45" i="54" s="1"/>
  <c r="F41" i="54" a="1"/>
  <c r="F41" i="54" s="1"/>
  <c r="F42" i="54" a="1"/>
  <c r="F42" i="54" s="1"/>
  <c r="F46" i="54" a="1"/>
  <c r="F46" i="54" s="1"/>
  <c r="C16" i="54" a="1"/>
  <c r="C16" i="54" s="1"/>
  <c r="CD192" i="54"/>
  <c r="CD101" i="54"/>
  <c r="CD246" i="54"/>
  <c r="CD72" i="54"/>
  <c r="CD164" i="54"/>
  <c r="CD210" i="54"/>
  <c r="CD127" i="54"/>
  <c r="CD97" i="54"/>
  <c r="CD262" i="54"/>
  <c r="CD136" i="54"/>
  <c r="CD90" i="54"/>
  <c r="CD33" i="54"/>
  <c r="CD202" i="54"/>
  <c r="CD119" i="54"/>
  <c r="CA136" i="54"/>
  <c r="CI136" i="54"/>
  <c r="BZ136" i="54"/>
  <c r="CH136" i="54"/>
  <c r="CJ136" i="54"/>
  <c r="CB136" i="54"/>
  <c r="CE136" i="54" s="1"/>
  <c r="CC136" i="54"/>
  <c r="CI230" i="54"/>
  <c r="CH230" i="54"/>
  <c r="CB230" i="54"/>
  <c r="CC230" i="54"/>
  <c r="CF230" i="54" s="1"/>
  <c r="CJ230" i="54"/>
  <c r="CA230" i="54"/>
  <c r="BZ230" i="54"/>
  <c r="CA229" i="54"/>
  <c r="CJ229" i="54"/>
  <c r="BZ229" i="54"/>
  <c r="CI229" i="54"/>
  <c r="CH229" i="54"/>
  <c r="CB229" i="54"/>
  <c r="CC229" i="54"/>
  <c r="CF229" i="54" s="1"/>
  <c r="CH84" i="54"/>
  <c r="CB84" i="54"/>
  <c r="CE84" i="54" s="1"/>
  <c r="CC84" i="54"/>
  <c r="CA84" i="54"/>
  <c r="CJ84" i="54"/>
  <c r="BZ84" i="54"/>
  <c r="CI84" i="54"/>
  <c r="CJ178" i="54"/>
  <c r="CH39" i="54"/>
  <c r="BZ39" i="54"/>
  <c r="CJ39" i="54"/>
  <c r="CI39" i="54"/>
  <c r="CB39" i="54"/>
  <c r="CC39" i="54"/>
  <c r="CF39" i="54" s="1"/>
  <c r="CA39" i="54"/>
  <c r="CA86" i="54"/>
  <c r="CJ86" i="54"/>
  <c r="BZ86" i="54"/>
  <c r="CI86" i="54"/>
  <c r="CH86" i="54"/>
  <c r="CB86" i="54"/>
  <c r="CE86" i="54" s="1"/>
  <c r="CC86" i="54"/>
  <c r="CA85" i="54"/>
  <c r="CJ85" i="54"/>
  <c r="BZ85" i="54"/>
  <c r="CI85" i="54"/>
  <c r="CH85" i="54"/>
  <c r="CB85" i="54"/>
  <c r="CE85" i="54" s="1"/>
  <c r="CC85" i="54"/>
  <c r="CC156" i="54"/>
  <c r="CA156" i="54"/>
  <c r="CJ156" i="54"/>
  <c r="BZ156" i="54"/>
  <c r="CI156" i="54"/>
  <c r="CH156" i="54"/>
  <c r="CB156" i="54"/>
  <c r="CE156" i="54" s="1"/>
  <c r="CI203" i="54"/>
  <c r="CH203" i="54"/>
  <c r="CC203" i="54"/>
  <c r="CB203" i="54"/>
  <c r="CE203" i="54" s="1"/>
  <c r="CA203" i="54"/>
  <c r="CJ203" i="54"/>
  <c r="BZ203" i="54"/>
  <c r="CJ17" i="54"/>
  <c r="CB70" i="54"/>
  <c r="CE70" i="54" s="1"/>
  <c r="CC70" i="54"/>
  <c r="CF70" i="54" s="1"/>
  <c r="CA70" i="54"/>
  <c r="CI70" i="54"/>
  <c r="BZ70" i="54"/>
  <c r="CH70" i="54"/>
  <c r="CJ70" i="54"/>
  <c r="CC147" i="54"/>
  <c r="CA147" i="54"/>
  <c r="CH147" i="54"/>
  <c r="BZ147" i="54"/>
  <c r="CJ147" i="54"/>
  <c r="CI147" i="54"/>
  <c r="CB147" i="54"/>
  <c r="CE147" i="54" s="1"/>
  <c r="CB194" i="54"/>
  <c r="CE194" i="54" s="1"/>
  <c r="CC194" i="54"/>
  <c r="CA194" i="54"/>
  <c r="CJ194" i="54"/>
  <c r="BZ194" i="54"/>
  <c r="CI194" i="54"/>
  <c r="CH194" i="54"/>
  <c r="CB193" i="54"/>
  <c r="CE193" i="54" s="1"/>
  <c r="CC193" i="54"/>
  <c r="CA193" i="54"/>
  <c r="CJ193" i="54"/>
  <c r="BZ193" i="54"/>
  <c r="CI193" i="54"/>
  <c r="CH193" i="54"/>
  <c r="CA204" i="54"/>
  <c r="CJ204" i="54"/>
  <c r="BZ204" i="54"/>
  <c r="CI204" i="54"/>
  <c r="CH204" i="54"/>
  <c r="CB204" i="54"/>
  <c r="CE204" i="54" s="1"/>
  <c r="CC204" i="54"/>
  <c r="CH24" i="54"/>
  <c r="CI148" i="54"/>
  <c r="BZ148" i="54"/>
  <c r="CH148" i="54"/>
  <c r="CJ148" i="54"/>
  <c r="CB148" i="54"/>
  <c r="CE148" i="54" s="1"/>
  <c r="CC148" i="54"/>
  <c r="CA148" i="54"/>
  <c r="CJ15" i="54"/>
  <c r="CI15" i="54"/>
  <c r="CB15" i="54"/>
  <c r="CC15" i="54"/>
  <c r="CF15" i="54" s="1"/>
  <c r="BZ15" i="54"/>
  <c r="CH15" i="54"/>
  <c r="CA15" i="54"/>
  <c r="CB92" i="54"/>
  <c r="CE92" i="54" s="1"/>
  <c r="CC92" i="54"/>
  <c r="CF92" i="54" s="1"/>
  <c r="CA92" i="54"/>
  <c r="CJ92" i="54"/>
  <c r="BZ92" i="54"/>
  <c r="CI92" i="54"/>
  <c r="CH92" i="54"/>
  <c r="CB91" i="54"/>
  <c r="CE91" i="54" s="1"/>
  <c r="CC91" i="54"/>
  <c r="CA91" i="54"/>
  <c r="CJ91" i="54"/>
  <c r="BZ91" i="54"/>
  <c r="CI91" i="54"/>
  <c r="CH91" i="54"/>
  <c r="CC168" i="54"/>
  <c r="CA168" i="54"/>
  <c r="CJ168" i="54"/>
  <c r="BZ168" i="54"/>
  <c r="CI168" i="54"/>
  <c r="CH168" i="54"/>
  <c r="CB168" i="54"/>
  <c r="CE168" i="54" s="1"/>
  <c r="BZ251" i="54"/>
  <c r="CC268" i="54"/>
  <c r="CF268" i="54" s="1"/>
  <c r="CA268" i="54"/>
  <c r="CI268" i="54"/>
  <c r="BZ268" i="54"/>
  <c r="CJ268" i="54"/>
  <c r="CH268" i="54"/>
  <c r="CB268" i="54"/>
  <c r="CA118" i="54"/>
  <c r="CI118" i="54"/>
  <c r="BZ118" i="54"/>
  <c r="CH118" i="54"/>
  <c r="CJ118" i="54"/>
  <c r="CB118" i="54"/>
  <c r="CE118" i="54" s="1"/>
  <c r="CC118" i="54"/>
  <c r="CA135" i="54"/>
  <c r="CH135" i="54"/>
  <c r="BZ135" i="54"/>
  <c r="CJ135" i="54"/>
  <c r="CI135" i="54"/>
  <c r="CB135" i="54"/>
  <c r="CE135" i="54" s="1"/>
  <c r="CC135" i="54"/>
  <c r="CH26" i="54"/>
  <c r="CB26" i="54"/>
  <c r="CC26" i="54"/>
  <c r="CF26" i="54" s="1"/>
  <c r="BZ26" i="54"/>
  <c r="CJ26" i="54"/>
  <c r="CA26" i="54"/>
  <c r="CI26" i="54"/>
  <c r="CH25" i="54"/>
  <c r="CB25" i="54"/>
  <c r="CC25" i="54"/>
  <c r="CF25" i="54" s="1"/>
  <c r="BZ25" i="54"/>
  <c r="CJ25" i="54"/>
  <c r="CA25" i="54"/>
  <c r="CI25" i="54"/>
  <c r="CB36" i="54"/>
  <c r="CB190" i="54"/>
  <c r="CE190" i="54" s="1"/>
  <c r="CC190" i="54"/>
  <c r="CA190" i="54"/>
  <c r="CI190" i="54"/>
  <c r="BZ190" i="54"/>
  <c r="CH190" i="54"/>
  <c r="CJ190" i="54"/>
  <c r="CB207" i="54"/>
  <c r="CE207" i="54" s="1"/>
  <c r="CC207" i="54"/>
  <c r="CA207" i="54"/>
  <c r="CH207" i="54"/>
  <c r="BZ207" i="54"/>
  <c r="CJ207" i="54"/>
  <c r="CI207" i="54"/>
  <c r="CC98" i="54"/>
  <c r="CA98" i="54"/>
  <c r="CJ98" i="54"/>
  <c r="BZ98" i="54"/>
  <c r="CI98" i="54"/>
  <c r="CH98" i="54"/>
  <c r="CB98" i="54"/>
  <c r="CE98" i="54" s="1"/>
  <c r="CC97" i="54"/>
  <c r="CA97" i="54"/>
  <c r="CJ97" i="54"/>
  <c r="BZ97" i="54"/>
  <c r="CI97" i="54"/>
  <c r="CH97" i="54"/>
  <c r="CB97" i="54"/>
  <c r="CE97" i="54" s="1"/>
  <c r="CA108" i="54"/>
  <c r="CJ108" i="54"/>
  <c r="BZ108" i="54"/>
  <c r="CI108" i="54"/>
  <c r="CH108" i="54"/>
  <c r="CB108" i="54"/>
  <c r="CE108" i="54" s="1"/>
  <c r="CC108" i="54"/>
  <c r="CH215" i="54"/>
  <c r="CJ232" i="54"/>
  <c r="CC232" i="54"/>
  <c r="CF232" i="54" s="1"/>
  <c r="CA232" i="54"/>
  <c r="CI232" i="54"/>
  <c r="BZ232" i="54"/>
  <c r="CH232" i="54"/>
  <c r="CB232" i="54"/>
  <c r="CC222" i="54"/>
  <c r="CF222" i="54" s="1"/>
  <c r="CA222" i="54"/>
  <c r="CJ222" i="54"/>
  <c r="BZ222" i="54"/>
  <c r="CI222" i="54"/>
  <c r="CH222" i="54"/>
  <c r="CB222" i="54"/>
  <c r="CE222" i="54" s="1"/>
  <c r="CJ73" i="54"/>
  <c r="BZ73" i="54"/>
  <c r="CI73" i="54"/>
  <c r="CH73" i="54"/>
  <c r="CB73" i="54"/>
  <c r="CE73" i="54" s="1"/>
  <c r="CC73" i="54"/>
  <c r="CA73" i="54"/>
  <c r="CA74" i="54"/>
  <c r="CJ74" i="54"/>
  <c r="BZ74" i="54"/>
  <c r="CI74" i="54"/>
  <c r="CH74" i="54"/>
  <c r="CB74" i="54"/>
  <c r="CE74" i="54" s="1"/>
  <c r="CC74" i="54"/>
  <c r="CC254" i="54"/>
  <c r="CF254" i="54" s="1"/>
  <c r="CA254" i="54"/>
  <c r="CJ254" i="54"/>
  <c r="BZ254" i="54"/>
  <c r="CI254" i="54"/>
  <c r="CH254" i="54"/>
  <c r="CB254" i="54"/>
  <c r="CB94" i="54"/>
  <c r="CE94" i="54" s="1"/>
  <c r="CI11" i="54"/>
  <c r="CH11" i="54"/>
  <c r="CC11" i="54"/>
  <c r="CF11" i="54" s="1"/>
  <c r="CB11" i="54"/>
  <c r="CA11" i="54"/>
  <c r="CJ11" i="54"/>
  <c r="BZ11" i="54"/>
  <c r="CB191" i="54"/>
  <c r="CE191" i="54" s="1"/>
  <c r="CA191" i="54"/>
  <c r="CJ191" i="54"/>
  <c r="BZ191" i="54"/>
  <c r="CI191" i="54"/>
  <c r="CH191" i="54"/>
  <c r="CC191" i="54"/>
  <c r="HQ263" i="54"/>
  <c r="HQ249" i="54"/>
  <c r="HQ134" i="54"/>
  <c r="HQ169" i="54"/>
  <c r="HQ132" i="54"/>
  <c r="HQ83" i="54"/>
  <c r="HQ34" i="54"/>
  <c r="HQ264" i="54"/>
  <c r="HQ250" i="54"/>
  <c r="HQ200" i="54"/>
  <c r="HQ235" i="54"/>
  <c r="HQ19" i="54"/>
  <c r="HQ149" i="54"/>
  <c r="HQ100" i="54"/>
  <c r="HQ51" i="54"/>
  <c r="HQ215" i="54"/>
  <c r="HQ266" i="54"/>
  <c r="HQ50" i="54"/>
  <c r="HQ121" i="54"/>
  <c r="HQ84" i="54"/>
  <c r="HQ35" i="54"/>
  <c r="HQ153" i="54"/>
  <c r="HQ180" i="54"/>
  <c r="HQ231" i="54"/>
  <c r="HQ116" i="54"/>
  <c r="HQ151" i="54"/>
  <c r="HQ227" i="54"/>
  <c r="HQ213" i="54"/>
  <c r="HQ98" i="54"/>
  <c r="HQ133" i="54"/>
  <c r="HQ96" i="54"/>
  <c r="HQ47" i="54"/>
  <c r="HQ165" i="54"/>
  <c r="HQ228" i="54"/>
  <c r="HQ214" i="54"/>
  <c r="HQ164" i="54"/>
  <c r="HQ199" i="54"/>
  <c r="HQ162" i="54"/>
  <c r="HQ113" i="54"/>
  <c r="HQ64" i="54"/>
  <c r="HQ15" i="54"/>
  <c r="HQ179" i="54"/>
  <c r="HQ230" i="54"/>
  <c r="HQ14" i="54"/>
  <c r="HQ85" i="54"/>
  <c r="HQ48" i="54"/>
  <c r="HQ166" i="54"/>
  <c r="HQ117" i="54"/>
  <c r="HQ245" i="54"/>
  <c r="HQ195" i="54"/>
  <c r="HQ80" i="54"/>
  <c r="HQ115" i="54"/>
  <c r="HQ191" i="54"/>
  <c r="HQ177" i="54"/>
  <c r="HQ62" i="54"/>
  <c r="HQ97" i="54"/>
  <c r="HQ60" i="54"/>
  <c r="HQ11" i="54"/>
  <c r="HQ129" i="54"/>
  <c r="HQ192" i="54"/>
  <c r="HQ178" i="54"/>
  <c r="HQ128" i="54"/>
  <c r="HQ163" i="54"/>
  <c r="HQ126" i="54"/>
  <c r="HQ77" i="54"/>
  <c r="HQ28" i="54"/>
  <c r="HQ258" i="54"/>
  <c r="HQ244" i="54"/>
  <c r="HQ194" i="54"/>
  <c r="HQ265" i="54"/>
  <c r="HQ49" i="54"/>
  <c r="HQ12" i="54"/>
  <c r="HQ130" i="54"/>
  <c r="HQ81" i="54"/>
  <c r="HQ209" i="54"/>
  <c r="HQ260" i="54"/>
  <c r="HQ44" i="54"/>
  <c r="HQ79" i="54"/>
  <c r="HQ256" i="54"/>
  <c r="HQ242" i="54"/>
  <c r="HQ26" i="54"/>
  <c r="HQ61" i="54"/>
  <c r="HQ24" i="54"/>
  <c r="HQ142" i="54"/>
  <c r="HQ93" i="54"/>
  <c r="HQ257" i="54"/>
  <c r="HQ243" i="54"/>
  <c r="HQ92" i="54"/>
  <c r="HQ127" i="54"/>
  <c r="HQ90" i="54"/>
  <c r="HQ41" i="54"/>
  <c r="HQ159" i="54"/>
  <c r="HQ222" i="54"/>
  <c r="HQ208" i="54"/>
  <c r="HQ158" i="54"/>
  <c r="HQ229" i="54"/>
  <c r="HQ13" i="54"/>
  <c r="HQ143" i="54"/>
  <c r="HQ94" i="54"/>
  <c r="HQ45" i="54"/>
  <c r="HQ238" i="54"/>
  <c r="HQ224" i="54"/>
  <c r="HQ259" i="54"/>
  <c r="HQ43" i="54"/>
  <c r="HQ234" i="54"/>
  <c r="HQ220" i="54"/>
  <c r="HQ206" i="54"/>
  <c r="HQ241" i="54"/>
  <c r="HQ25" i="54"/>
  <c r="HQ155" i="54"/>
  <c r="HQ106" i="54"/>
  <c r="HQ57" i="54"/>
  <c r="HQ221" i="54"/>
  <c r="HQ207" i="54"/>
  <c r="HQ56" i="54"/>
  <c r="HQ91" i="54"/>
  <c r="HQ54" i="54"/>
  <c r="HQ172" i="54"/>
  <c r="HQ123" i="54"/>
  <c r="HQ186" i="54"/>
  <c r="HQ237" i="54"/>
  <c r="HQ122" i="54"/>
  <c r="HQ193" i="54"/>
  <c r="HQ156" i="54"/>
  <c r="HQ107" i="54"/>
  <c r="HQ58" i="54"/>
  <c r="HQ252" i="54"/>
  <c r="HQ202" i="54"/>
  <c r="HQ188" i="54"/>
  <c r="HQ223" i="54"/>
  <c r="HQ150" i="54"/>
  <c r="HQ198" i="54"/>
  <c r="HQ184" i="54"/>
  <c r="HQ170" i="54"/>
  <c r="HQ205" i="54"/>
  <c r="HQ168" i="54"/>
  <c r="HQ119" i="54"/>
  <c r="HQ70" i="54"/>
  <c r="HQ21" i="54"/>
  <c r="HQ236" i="54"/>
  <c r="HQ20" i="54"/>
  <c r="HQ55" i="54"/>
  <c r="HQ18" i="54"/>
  <c r="HQ136" i="54"/>
  <c r="HQ87" i="54"/>
  <c r="HQ251" i="54"/>
  <c r="HQ201" i="54"/>
  <c r="HQ86" i="54"/>
  <c r="HQ157" i="54"/>
  <c r="HQ120" i="54"/>
  <c r="HQ71" i="54"/>
  <c r="HQ22" i="54"/>
  <c r="HQ216" i="54"/>
  <c r="HQ267" i="54"/>
  <c r="HQ152" i="54"/>
  <c r="HQ187" i="54"/>
  <c r="HQ114" i="54"/>
  <c r="HQ65" i="54"/>
  <c r="HQ16" i="54"/>
  <c r="HQ210" i="54"/>
  <c r="HQ261" i="54"/>
  <c r="HQ146" i="54"/>
  <c r="HQ181" i="54"/>
  <c r="HQ108" i="54"/>
  <c r="HQ59" i="54"/>
  <c r="HQ10" i="54"/>
  <c r="HQ204" i="54"/>
  <c r="HQ255" i="54"/>
  <c r="HQ140" i="54"/>
  <c r="HQ175" i="54"/>
  <c r="HQ102" i="54"/>
  <c r="HQ53" i="54"/>
  <c r="HQ171" i="54"/>
  <c r="HQ78" i="54"/>
  <c r="HQ160" i="54"/>
  <c r="HQ75" i="54"/>
  <c r="HQ232" i="54"/>
  <c r="HQ182" i="54"/>
  <c r="HQ145" i="54"/>
  <c r="HQ36" i="54"/>
  <c r="HQ118" i="54"/>
  <c r="HQ33" i="54"/>
  <c r="HQ190" i="54"/>
  <c r="HQ104" i="54"/>
  <c r="HQ67" i="54"/>
  <c r="HQ161" i="54"/>
  <c r="HQ76" i="54"/>
  <c r="HQ42" i="54"/>
  <c r="HQ124" i="54"/>
  <c r="HQ39" i="54"/>
  <c r="HQ196" i="54"/>
  <c r="HQ110" i="54"/>
  <c r="HQ109" i="54"/>
  <c r="HQ167" i="54"/>
  <c r="HQ82" i="54"/>
  <c r="HQ240" i="54"/>
  <c r="HQ219" i="54"/>
  <c r="HQ68" i="54"/>
  <c r="HQ31" i="54"/>
  <c r="HQ125" i="54"/>
  <c r="HQ40" i="54"/>
  <c r="HQ173" i="54"/>
  <c r="HQ88" i="54"/>
  <c r="HQ246" i="54"/>
  <c r="HQ225" i="54"/>
  <c r="HQ74" i="54"/>
  <c r="HQ73" i="54"/>
  <c r="HQ131" i="54"/>
  <c r="HQ46" i="54"/>
  <c r="HQ233" i="54"/>
  <c r="HQ183" i="54"/>
  <c r="HQ32" i="54"/>
  <c r="HQ174" i="54"/>
  <c r="HQ89" i="54"/>
  <c r="HQ135" i="54"/>
  <c r="HQ137" i="54"/>
  <c r="HQ52" i="54"/>
  <c r="HQ239" i="54"/>
  <c r="HQ189" i="54"/>
  <c r="HQ38" i="54"/>
  <c r="HQ37" i="54"/>
  <c r="HQ95" i="54"/>
  <c r="HQ141" i="54"/>
  <c r="HQ197" i="54"/>
  <c r="HQ248" i="54"/>
  <c r="HQ247" i="54"/>
  <c r="HQ138" i="54"/>
  <c r="HQ17" i="54"/>
  <c r="HQ99" i="54"/>
  <c r="HQ101" i="54"/>
  <c r="HQ147" i="54"/>
  <c r="HQ203" i="54"/>
  <c r="HQ254" i="54"/>
  <c r="HQ253" i="54"/>
  <c r="HQ144" i="54"/>
  <c r="HQ23" i="54"/>
  <c r="HQ105" i="54"/>
  <c r="HQ262" i="54"/>
  <c r="HQ212" i="54"/>
  <c r="HQ211" i="54"/>
  <c r="HQ66" i="54"/>
  <c r="HQ148" i="54"/>
  <c r="HQ63" i="54"/>
  <c r="HQ29" i="54"/>
  <c r="HQ111" i="54"/>
  <c r="HQ268" i="54"/>
  <c r="HQ218" i="54"/>
  <c r="HQ217" i="54"/>
  <c r="HQ72" i="54"/>
  <c r="HQ154" i="54"/>
  <c r="HQ69" i="54"/>
  <c r="HQ226" i="54"/>
  <c r="HQ176" i="54"/>
  <c r="HQ103" i="54"/>
  <c r="HQ30" i="54"/>
  <c r="HQ112" i="54"/>
  <c r="HQ27" i="54"/>
  <c r="BE3" i="54"/>
  <c r="BE29" i="54"/>
  <c r="A36" i="54" s="1"/>
  <c r="BE34" i="54"/>
  <c r="C36" i="54" s="1"/>
  <c r="CD140" i="54"/>
  <c r="CD184" i="54"/>
  <c r="CD142" i="54"/>
  <c r="CD21" i="54"/>
  <c r="CE21" i="54" s="1"/>
  <c r="CD64" i="54"/>
  <c r="CD144" i="54"/>
  <c r="CD207" i="54"/>
  <c r="CF207" i="54" s="1"/>
  <c r="CD121" i="54"/>
  <c r="CD169" i="54"/>
  <c r="CD23" i="54"/>
  <c r="CD82" i="54"/>
  <c r="CD256" i="54"/>
  <c r="CD265" i="54"/>
  <c r="CD226" i="54"/>
  <c r="CD253" i="54"/>
  <c r="CD263" i="54"/>
  <c r="CC89" i="54"/>
  <c r="CB89" i="54"/>
  <c r="CE89" i="54" s="1"/>
  <c r="CA89" i="54"/>
  <c r="CJ89" i="54"/>
  <c r="BZ89" i="54"/>
  <c r="CI89" i="54"/>
  <c r="CH89" i="54"/>
  <c r="CA189" i="54"/>
  <c r="CH189" i="54"/>
  <c r="BZ189" i="54"/>
  <c r="CJ189" i="54"/>
  <c r="CI189" i="54"/>
  <c r="CC189" i="54"/>
  <c r="CB189" i="54"/>
  <c r="CE189" i="54" s="1"/>
  <c r="CJ44" i="54"/>
  <c r="CA44" i="54"/>
  <c r="CI44" i="54"/>
  <c r="CH44" i="54"/>
  <c r="CB44" i="54"/>
  <c r="CC44" i="54"/>
  <c r="CF44" i="54" s="1"/>
  <c r="BZ44" i="54"/>
  <c r="CJ43" i="54"/>
  <c r="CA43" i="54"/>
  <c r="CI43" i="54"/>
  <c r="CH43" i="54"/>
  <c r="CB43" i="54"/>
  <c r="CC43" i="54"/>
  <c r="CF43" i="54" s="1"/>
  <c r="BZ43" i="54"/>
  <c r="CC131" i="54"/>
  <c r="CB131" i="54"/>
  <c r="CE131" i="54" s="1"/>
  <c r="CA131" i="54"/>
  <c r="CJ131" i="54"/>
  <c r="BZ131" i="54"/>
  <c r="CI131" i="54"/>
  <c r="CH131" i="54"/>
  <c r="CC255" i="54"/>
  <c r="CF255" i="54" s="1"/>
  <c r="CA255" i="54"/>
  <c r="CH255" i="54"/>
  <c r="BZ255" i="54"/>
  <c r="CJ255" i="54"/>
  <c r="CI255" i="54"/>
  <c r="CB255" i="54"/>
  <c r="CB45" i="54"/>
  <c r="CC45" i="54"/>
  <c r="CF45" i="54" s="1"/>
  <c r="CA45" i="54"/>
  <c r="CH45" i="54"/>
  <c r="BZ45" i="54"/>
  <c r="CJ45" i="54"/>
  <c r="CI45" i="54"/>
  <c r="CH116" i="54"/>
  <c r="CB116" i="54"/>
  <c r="CE116" i="54" s="1"/>
  <c r="CC116" i="54"/>
  <c r="CA116" i="54"/>
  <c r="CJ116" i="54"/>
  <c r="BZ116" i="54"/>
  <c r="CI116" i="54"/>
  <c r="CH115" i="54"/>
  <c r="CB115" i="54"/>
  <c r="CE115" i="54" s="1"/>
  <c r="CC115" i="54"/>
  <c r="CA115" i="54"/>
  <c r="CJ115" i="54"/>
  <c r="BZ115" i="54"/>
  <c r="CI115" i="54"/>
  <c r="CA162" i="54"/>
  <c r="CJ162" i="54"/>
  <c r="BZ162" i="54"/>
  <c r="CI162" i="54"/>
  <c r="CH162" i="54"/>
  <c r="CB162" i="54"/>
  <c r="CE162" i="54" s="1"/>
  <c r="CC162" i="54"/>
  <c r="CA233" i="54"/>
  <c r="CJ233" i="54"/>
  <c r="BZ233" i="54"/>
  <c r="CI233" i="54"/>
  <c r="CH233" i="54"/>
  <c r="CC233" i="54"/>
  <c r="CF233" i="54" s="1"/>
  <c r="CB233" i="54"/>
  <c r="CI23" i="54"/>
  <c r="CH23" i="54"/>
  <c r="CC23" i="54"/>
  <c r="CF23" i="54" s="1"/>
  <c r="CB23" i="54"/>
  <c r="CA23" i="54"/>
  <c r="CJ23" i="54"/>
  <c r="BZ23" i="54"/>
  <c r="CJ100" i="54"/>
  <c r="CB100" i="54"/>
  <c r="CE100" i="54" s="1"/>
  <c r="CC100" i="54"/>
  <c r="CA100" i="54"/>
  <c r="CI100" i="54"/>
  <c r="BZ100" i="54"/>
  <c r="CH100" i="54"/>
  <c r="CJ153" i="54"/>
  <c r="CI153" i="54"/>
  <c r="CB153" i="54"/>
  <c r="CE153" i="54" s="1"/>
  <c r="CC153" i="54"/>
  <c r="CA153" i="54"/>
  <c r="CH153" i="54"/>
  <c r="BZ153" i="54"/>
  <c r="CB164" i="54"/>
  <c r="CE164" i="54" s="1"/>
  <c r="CC164" i="54"/>
  <c r="CF164" i="54" s="1"/>
  <c r="CA164" i="54"/>
  <c r="CJ164" i="54"/>
  <c r="BZ164" i="54"/>
  <c r="CI164" i="54"/>
  <c r="CH164" i="54"/>
  <c r="CB163" i="54"/>
  <c r="CE163" i="54" s="1"/>
  <c r="CC163" i="54"/>
  <c r="CA163" i="54"/>
  <c r="CJ163" i="54"/>
  <c r="BZ163" i="54"/>
  <c r="CI163" i="54"/>
  <c r="CH163" i="54"/>
  <c r="CB240" i="54"/>
  <c r="CC240" i="54"/>
  <c r="CF240" i="54" s="1"/>
  <c r="CA240" i="54"/>
  <c r="CJ240" i="54"/>
  <c r="BZ240" i="54"/>
  <c r="CI240" i="54"/>
  <c r="CH240" i="54"/>
  <c r="CB101" i="54"/>
  <c r="CE101" i="54" s="1"/>
  <c r="CA101" i="54"/>
  <c r="CJ101" i="54"/>
  <c r="BZ101" i="54"/>
  <c r="CI101" i="54"/>
  <c r="CH101" i="54"/>
  <c r="CC101" i="54"/>
  <c r="CF101" i="54" s="1"/>
  <c r="CA231" i="54"/>
  <c r="CH231" i="54"/>
  <c r="BZ231" i="54"/>
  <c r="CJ231" i="54"/>
  <c r="CI231" i="54"/>
  <c r="CB231" i="54"/>
  <c r="CC231" i="54"/>
  <c r="CF231" i="54" s="1"/>
  <c r="CJ51" i="54"/>
  <c r="CI51" i="54"/>
  <c r="CB51" i="54"/>
  <c r="CC51" i="54"/>
  <c r="CF51" i="54" s="1"/>
  <c r="CA51" i="54"/>
  <c r="CH51" i="54"/>
  <c r="BZ51" i="54"/>
  <c r="CH128" i="54"/>
  <c r="CB128" i="54"/>
  <c r="CE128" i="54" s="1"/>
  <c r="CC128" i="54"/>
  <c r="CA128" i="54"/>
  <c r="CJ128" i="54"/>
  <c r="BZ128" i="54"/>
  <c r="CI128" i="54"/>
  <c r="CH127" i="54"/>
  <c r="CB127" i="54"/>
  <c r="CE127" i="54" s="1"/>
  <c r="CC127" i="54"/>
  <c r="CF127" i="54" s="1"/>
  <c r="CA127" i="54"/>
  <c r="CJ127" i="54"/>
  <c r="BZ127" i="54"/>
  <c r="CI127" i="54"/>
  <c r="CI210" i="54"/>
  <c r="CH210" i="54"/>
  <c r="CB210" i="54"/>
  <c r="CE210" i="54" s="1"/>
  <c r="CC210" i="54"/>
  <c r="CF210" i="54" s="1"/>
  <c r="CA210" i="54"/>
  <c r="CJ210" i="54"/>
  <c r="BZ210" i="54"/>
  <c r="CH221" i="54"/>
  <c r="CC221" i="54"/>
  <c r="CF221" i="54" s="1"/>
  <c r="BZ221" i="54"/>
  <c r="CI221" i="54"/>
  <c r="CB221" i="54"/>
  <c r="CA221" i="54"/>
  <c r="CJ221" i="54"/>
  <c r="CC71" i="54"/>
  <c r="CB71" i="54"/>
  <c r="CE71" i="54" s="1"/>
  <c r="CA71" i="54"/>
  <c r="CJ71" i="54"/>
  <c r="BZ71" i="54"/>
  <c r="CI71" i="54"/>
  <c r="CH71" i="54"/>
  <c r="CB88" i="54"/>
  <c r="CE88" i="54" s="1"/>
  <c r="CC88" i="54"/>
  <c r="CA88" i="54"/>
  <c r="CI88" i="54"/>
  <c r="BZ88" i="54"/>
  <c r="CH88" i="54"/>
  <c r="CJ88" i="54"/>
  <c r="CJ242" i="54"/>
  <c r="BZ242" i="54"/>
  <c r="CI242" i="54"/>
  <c r="CH242" i="54"/>
  <c r="CB242" i="54"/>
  <c r="CC242" i="54"/>
  <c r="CF242" i="54" s="1"/>
  <c r="CA242" i="54"/>
  <c r="CJ241" i="54"/>
  <c r="BZ241" i="54"/>
  <c r="CI241" i="54"/>
  <c r="CH241" i="54"/>
  <c r="CB241" i="54"/>
  <c r="CC241" i="54"/>
  <c r="CF241" i="54" s="1"/>
  <c r="CA241" i="54"/>
  <c r="CC252" i="54"/>
  <c r="CF252" i="54" s="1"/>
  <c r="CA252" i="54"/>
  <c r="CJ252" i="54"/>
  <c r="BZ252" i="54"/>
  <c r="CI252" i="54"/>
  <c r="CH252" i="54"/>
  <c r="CB252" i="54"/>
  <c r="CJ143" i="54"/>
  <c r="CH143" i="54"/>
  <c r="CC143" i="54"/>
  <c r="BZ143" i="54"/>
  <c r="CB143" i="54"/>
  <c r="CE143" i="54" s="1"/>
  <c r="CI143" i="54"/>
  <c r="CA143" i="54"/>
  <c r="CH160" i="54"/>
  <c r="CJ160" i="54"/>
  <c r="CB160" i="54"/>
  <c r="CE160" i="54" s="1"/>
  <c r="CC160" i="54"/>
  <c r="CA160" i="54"/>
  <c r="CI160" i="54"/>
  <c r="BZ160" i="54"/>
  <c r="CI57" i="54"/>
  <c r="CB57" i="54"/>
  <c r="CC57" i="54"/>
  <c r="CF57" i="54" s="1"/>
  <c r="CA57" i="54"/>
  <c r="CH57" i="54"/>
  <c r="BZ57" i="54"/>
  <c r="CJ57" i="54"/>
  <c r="CB68" i="54"/>
  <c r="CC68" i="54"/>
  <c r="CA68" i="54"/>
  <c r="CJ68" i="54"/>
  <c r="BZ68" i="54"/>
  <c r="CI68" i="54"/>
  <c r="CH68" i="54"/>
  <c r="CB67" i="54"/>
  <c r="CE67" i="54" s="1"/>
  <c r="CC67" i="54"/>
  <c r="CA67" i="54"/>
  <c r="CJ67" i="54"/>
  <c r="BZ67" i="54"/>
  <c r="CI67" i="54"/>
  <c r="CH67" i="54"/>
  <c r="CB174" i="54"/>
  <c r="CE174" i="54" s="1"/>
  <c r="CC174" i="54"/>
  <c r="CA174" i="54"/>
  <c r="CJ174" i="54"/>
  <c r="BZ174" i="54"/>
  <c r="CI174" i="54"/>
  <c r="CH174" i="54"/>
  <c r="CJ185" i="54"/>
  <c r="BZ185" i="54"/>
  <c r="CH185" i="54"/>
  <c r="CC185" i="54"/>
  <c r="CB185" i="54"/>
  <c r="CE185" i="54" s="1"/>
  <c r="CA185" i="54"/>
  <c r="CI185" i="54"/>
  <c r="CB42" i="54"/>
  <c r="CE42" i="54" s="1"/>
  <c r="CC42" i="54"/>
  <c r="CF42" i="54" s="1"/>
  <c r="CA42" i="54"/>
  <c r="CJ42" i="54"/>
  <c r="BZ42" i="54"/>
  <c r="CI42" i="54"/>
  <c r="CH42" i="54"/>
  <c r="CA114" i="54"/>
  <c r="CH114" i="54"/>
  <c r="CB114" i="54"/>
  <c r="CE114" i="54" s="1"/>
  <c r="CC114" i="54"/>
  <c r="BZ114" i="54"/>
  <c r="CJ114" i="54"/>
  <c r="CI114" i="54"/>
  <c r="CI37" i="54"/>
  <c r="CH37" i="54"/>
  <c r="CB37" i="54"/>
  <c r="CC37" i="54"/>
  <c r="CF37" i="54" s="1"/>
  <c r="CJ37" i="54"/>
  <c r="BZ37" i="54"/>
  <c r="CA37" i="54"/>
  <c r="BV38" i="54"/>
  <c r="CD38" i="54" s="1"/>
  <c r="BZ38" i="54"/>
  <c r="CI38" i="54"/>
  <c r="CH38" i="54"/>
  <c r="CJ38" i="54"/>
  <c r="CB38" i="54"/>
  <c r="CC38" i="54"/>
  <c r="CF38" i="54" s="1"/>
  <c r="CA38" i="54"/>
  <c r="CH141" i="54"/>
  <c r="BZ141" i="54"/>
  <c r="CB141" i="54"/>
  <c r="CE141" i="54" s="1"/>
  <c r="CC141" i="54"/>
  <c r="CF141" i="54" s="1"/>
  <c r="CA141" i="54"/>
  <c r="CJ141" i="54"/>
  <c r="CI141" i="54"/>
  <c r="CH58" i="54"/>
  <c r="CB58" i="54"/>
  <c r="CE58" i="54" s="1"/>
  <c r="CC58" i="54"/>
  <c r="BZ58" i="54"/>
  <c r="CA58" i="54"/>
  <c r="CI58" i="54"/>
  <c r="CJ58" i="54"/>
  <c r="BV238" i="54"/>
  <c r="CD238" i="54" s="1"/>
  <c r="CH238" i="54"/>
  <c r="CB238" i="54"/>
  <c r="CJ238" i="54"/>
  <c r="CC238" i="54"/>
  <c r="CF238" i="54" s="1"/>
  <c r="CA238" i="54"/>
  <c r="CI238" i="54"/>
  <c r="BZ238" i="54"/>
  <c r="CM33" i="54"/>
  <c r="CM69" i="54"/>
  <c r="CM105" i="54"/>
  <c r="CM141" i="54"/>
  <c r="CM37" i="54"/>
  <c r="CM80" i="54"/>
  <c r="CM124" i="54"/>
  <c r="CM165" i="54"/>
  <c r="CM201" i="54"/>
  <c r="CM237" i="54"/>
  <c r="CM10" i="54"/>
  <c r="CM53" i="54"/>
  <c r="CM96" i="54"/>
  <c r="CM139" i="54"/>
  <c r="CM178" i="54"/>
  <c r="CM214" i="54"/>
  <c r="CM250" i="54"/>
  <c r="CM25" i="54"/>
  <c r="CM68" i="54"/>
  <c r="CM112" i="54"/>
  <c r="CM155" i="54"/>
  <c r="CM191" i="54"/>
  <c r="CM227" i="54"/>
  <c r="CM263" i="54"/>
  <c r="CM48" i="54"/>
  <c r="CM91" i="54"/>
  <c r="CM134" i="54"/>
  <c r="CM174" i="54"/>
  <c r="CM210" i="54"/>
  <c r="CM246" i="54"/>
  <c r="CM28" i="54"/>
  <c r="CM71" i="54"/>
  <c r="CM114" i="54"/>
  <c r="CM157" i="54"/>
  <c r="CM193" i="54"/>
  <c r="CM229" i="54"/>
  <c r="CM265" i="54"/>
  <c r="CM236" i="54"/>
  <c r="CM242" i="54"/>
  <c r="CM248" i="54"/>
  <c r="CM218" i="54"/>
  <c r="CM188" i="54"/>
  <c r="CM194" i="54"/>
  <c r="CM39" i="54"/>
  <c r="CM75" i="54"/>
  <c r="CM111" i="54"/>
  <c r="CM147" i="54"/>
  <c r="CM44" i="54"/>
  <c r="CM88" i="54"/>
  <c r="CM131" i="54"/>
  <c r="CM171" i="54"/>
  <c r="CM207" i="54"/>
  <c r="CM243" i="54"/>
  <c r="CM17" i="54"/>
  <c r="CM60" i="54"/>
  <c r="CM103" i="54"/>
  <c r="CM146" i="54"/>
  <c r="CM184" i="54"/>
  <c r="CM220" i="54"/>
  <c r="CM256" i="54"/>
  <c r="CM32" i="54"/>
  <c r="CM76" i="54"/>
  <c r="CM119" i="54"/>
  <c r="CM161" i="54"/>
  <c r="CM197" i="54"/>
  <c r="CM233" i="54"/>
  <c r="CM12" i="54"/>
  <c r="CM55" i="54"/>
  <c r="CM98" i="54"/>
  <c r="CM142" i="54"/>
  <c r="CM180" i="54"/>
  <c r="CM216" i="54"/>
  <c r="CM252" i="54"/>
  <c r="CM35" i="54"/>
  <c r="CM78" i="54"/>
  <c r="CM121" i="54"/>
  <c r="CM163" i="54"/>
  <c r="CM199" i="54"/>
  <c r="CM235" i="54"/>
  <c r="CM36" i="54"/>
  <c r="CM43" i="54"/>
  <c r="CM50" i="54"/>
  <c r="CM14" i="54"/>
  <c r="CM254" i="54"/>
  <c r="CM224" i="54"/>
  <c r="CM230" i="54"/>
  <c r="CO6" i="54"/>
  <c r="CM15" i="54"/>
  <c r="CM51" i="54"/>
  <c r="CM87" i="54"/>
  <c r="CM123" i="54"/>
  <c r="CM16" i="54"/>
  <c r="CM59" i="54"/>
  <c r="CM102" i="54"/>
  <c r="CM145" i="54"/>
  <c r="CM183" i="54"/>
  <c r="CM219" i="54"/>
  <c r="CM255" i="54"/>
  <c r="CM31" i="54"/>
  <c r="CM74" i="54"/>
  <c r="CM118" i="54"/>
  <c r="CM160" i="54"/>
  <c r="CM196" i="54"/>
  <c r="CM232" i="54"/>
  <c r="CM268" i="54"/>
  <c r="CM47" i="54"/>
  <c r="CM90" i="54"/>
  <c r="CM133" i="54"/>
  <c r="CM173" i="54"/>
  <c r="CM209" i="54"/>
  <c r="CM245" i="54"/>
  <c r="CM26" i="54"/>
  <c r="CM70" i="54"/>
  <c r="CM113" i="54"/>
  <c r="CM156" i="54"/>
  <c r="CM192" i="54"/>
  <c r="CM228" i="54"/>
  <c r="CM264" i="54"/>
  <c r="CM49" i="54"/>
  <c r="CM92" i="54"/>
  <c r="CM136" i="54"/>
  <c r="CM175" i="54"/>
  <c r="CM211" i="54"/>
  <c r="CM247" i="54"/>
  <c r="CM122" i="54"/>
  <c r="CM130" i="54"/>
  <c r="CM137" i="54"/>
  <c r="CM101" i="54"/>
  <c r="CM65" i="54"/>
  <c r="CM72" i="54"/>
  <c r="CM266" i="54"/>
  <c r="CM21" i="54"/>
  <c r="CM57" i="54"/>
  <c r="CM93" i="54"/>
  <c r="CM129" i="54"/>
  <c r="CM23" i="54"/>
  <c r="CM66" i="54"/>
  <c r="CM109" i="54"/>
  <c r="CM152" i="54"/>
  <c r="CM189" i="54"/>
  <c r="CM225" i="54"/>
  <c r="CM261" i="54"/>
  <c r="CM38" i="54"/>
  <c r="CM82" i="54"/>
  <c r="CM125" i="54"/>
  <c r="CM166" i="54"/>
  <c r="CM202" i="54"/>
  <c r="CM238" i="54"/>
  <c r="CM11" i="54"/>
  <c r="CM54" i="54"/>
  <c r="CM97" i="54"/>
  <c r="CM140" i="54"/>
  <c r="CM179" i="54"/>
  <c r="CM215" i="54"/>
  <c r="CM251" i="54"/>
  <c r="CM34" i="54"/>
  <c r="CM77" i="54"/>
  <c r="CM120" i="54"/>
  <c r="CM162" i="54"/>
  <c r="CM198" i="54"/>
  <c r="CM234" i="54"/>
  <c r="CM13" i="54"/>
  <c r="CM56" i="54"/>
  <c r="CM100" i="54"/>
  <c r="CM143" i="54"/>
  <c r="CM181" i="54"/>
  <c r="CM217" i="54"/>
  <c r="CM253" i="54"/>
  <c r="CM164" i="54"/>
  <c r="CM170" i="54"/>
  <c r="CM176" i="54"/>
  <c r="CM144" i="54"/>
  <c r="CM108" i="54"/>
  <c r="CM115" i="54"/>
  <c r="C67" i="54"/>
  <c r="CM27" i="54"/>
  <c r="CM63" i="54"/>
  <c r="CM99" i="54"/>
  <c r="CM135" i="54"/>
  <c r="CM30" i="54"/>
  <c r="CM73" i="54"/>
  <c r="CM116" i="54"/>
  <c r="CM159" i="54"/>
  <c r="CM195" i="54"/>
  <c r="CM231" i="54"/>
  <c r="CM267" i="54"/>
  <c r="CM46" i="54"/>
  <c r="CM89" i="54"/>
  <c r="CM132" i="54"/>
  <c r="CM172" i="54"/>
  <c r="CM208" i="54"/>
  <c r="CM244" i="54"/>
  <c r="CM18" i="54"/>
  <c r="CM61" i="54"/>
  <c r="CM104" i="54"/>
  <c r="CM148" i="54"/>
  <c r="CM185" i="54"/>
  <c r="CM221" i="54"/>
  <c r="CM257" i="54"/>
  <c r="CM41" i="54"/>
  <c r="CM84" i="54"/>
  <c r="CM127" i="54"/>
  <c r="CM168" i="54"/>
  <c r="CM204" i="54"/>
  <c r="CM240" i="54"/>
  <c r="CM20" i="54"/>
  <c r="CM64" i="54"/>
  <c r="CM107" i="54"/>
  <c r="CM150" i="54"/>
  <c r="CM187" i="54"/>
  <c r="CM223" i="54"/>
  <c r="CM259" i="54"/>
  <c r="CM200" i="54"/>
  <c r="CM206" i="54"/>
  <c r="CM212" i="54"/>
  <c r="CM182" i="54"/>
  <c r="CM151" i="54"/>
  <c r="CM158" i="54"/>
  <c r="CM153" i="54"/>
  <c r="CM249" i="54"/>
  <c r="CM226" i="54"/>
  <c r="CM203" i="54"/>
  <c r="CM186" i="54"/>
  <c r="CM169" i="54"/>
  <c r="CM58" i="54"/>
  <c r="CM52" i="54"/>
  <c r="CM24" i="54"/>
  <c r="CM262" i="54"/>
  <c r="CM239" i="54"/>
  <c r="CM222" i="54"/>
  <c r="CM205" i="54"/>
  <c r="CM22" i="54"/>
  <c r="CM95" i="54"/>
  <c r="CM67" i="54"/>
  <c r="CM40" i="54"/>
  <c r="CM19" i="54"/>
  <c r="CM258" i="54"/>
  <c r="CM241" i="54"/>
  <c r="CM260" i="54"/>
  <c r="CM45" i="54"/>
  <c r="CM138" i="54"/>
  <c r="CM110" i="54"/>
  <c r="CM83" i="54"/>
  <c r="CM62" i="54"/>
  <c r="CM42" i="54"/>
  <c r="CM79" i="54"/>
  <c r="CM29" i="54"/>
  <c r="CM81" i="54"/>
  <c r="CM177" i="54"/>
  <c r="CM154" i="54"/>
  <c r="CM126" i="54"/>
  <c r="CM106" i="54"/>
  <c r="CM85" i="54"/>
  <c r="CM86" i="54"/>
  <c r="CM117" i="54"/>
  <c r="CM213" i="54"/>
  <c r="CM190" i="54"/>
  <c r="CM167" i="54"/>
  <c r="CM149" i="54"/>
  <c r="CM128" i="54"/>
  <c r="CM94" i="54"/>
  <c r="CM4" i="54" a="1"/>
  <c r="CM4" i="54" s="1"/>
  <c r="CN4" i="54" s="1"/>
  <c r="CM2" i="54" a="1"/>
  <c r="CM2" i="54" s="1"/>
  <c r="CN2" i="54" s="1"/>
  <c r="C69" i="54" a="1"/>
  <c r="C69" i="54" s="1"/>
  <c r="CN5" i="54" a="1"/>
  <c r="CN5" i="54" s="1"/>
  <c r="CO5" i="54" s="1"/>
  <c r="C68" i="54" a="1"/>
  <c r="C68" i="54" s="1"/>
  <c r="CN7" i="54" a="1"/>
  <c r="CN7" i="54" s="1"/>
  <c r="CO7" i="54" s="1"/>
  <c r="DV4" i="54"/>
  <c r="DW4" i="54" s="1"/>
  <c r="DX4" i="54" s="1"/>
  <c r="DU4" i="54"/>
  <c r="BE33" i="54"/>
  <c r="C35" i="54" s="1"/>
  <c r="BE28" i="54"/>
  <c r="A35" i="54" s="1"/>
  <c r="CD185" i="54"/>
  <c r="CD60" i="54"/>
  <c r="CD16" i="54"/>
  <c r="CE16" i="54" s="1"/>
  <c r="CD234" i="54"/>
  <c r="CD63" i="54"/>
  <c r="CF63" i="54" s="1"/>
  <c r="CD20" i="54"/>
  <c r="CD240" i="54"/>
  <c r="CD250" i="54"/>
  <c r="CE250" i="54" s="1"/>
  <c r="CD260" i="54"/>
  <c r="CD158" i="54"/>
  <c r="CD245" i="54"/>
  <c r="CD128" i="54"/>
  <c r="CD131" i="54"/>
  <c r="CD98" i="54"/>
  <c r="CD85" i="54"/>
  <c r="CD37" i="54"/>
  <c r="CD110" i="54"/>
  <c r="ER12" i="54" a="1"/>
  <c r="ER12" i="54" s="1"/>
  <c r="ER165" i="54" a="1"/>
  <c r="ER165" i="54" s="1"/>
  <c r="ER209" i="54" a="1"/>
  <c r="ER209" i="54" s="1"/>
  <c r="CN165" i="54"/>
  <c r="CO165" i="54" s="1"/>
  <c r="CL165" i="54" s="1"/>
  <c r="ER168" i="54" a="1"/>
  <c r="ER168" i="54" s="1"/>
  <c r="CN196" i="54"/>
  <c r="CO196" i="54" s="1"/>
  <c r="CL196" i="54" s="1"/>
  <c r="ER222" i="54" a="1"/>
  <c r="ER222" i="54" s="1"/>
  <c r="CN238" i="54"/>
  <c r="CO238" i="54" s="1"/>
  <c r="CL238" i="54" s="1"/>
  <c r="ER35" i="54" a="1"/>
  <c r="ER35" i="54" s="1"/>
  <c r="ER158" i="54" a="1"/>
  <c r="ER158" i="54" s="1"/>
  <c r="CN92" i="54"/>
  <c r="CO92" i="54" s="1"/>
  <c r="CL92" i="54" s="1"/>
  <c r="ER140" i="54" a="1"/>
  <c r="ER140" i="54" s="1"/>
  <c r="ER123" i="54" a="1"/>
  <c r="ER123" i="54" s="1"/>
  <c r="CN51" i="54"/>
  <c r="CO51" i="54" s="1"/>
  <c r="CL51" i="54" s="1"/>
  <c r="CN173" i="54"/>
  <c r="CO173" i="54" s="1"/>
  <c r="CL173" i="54" s="1"/>
  <c r="CK138" i="54" a="1"/>
  <c r="CK138" i="54" s="1"/>
  <c r="CK52" i="54" a="1"/>
  <c r="CK52" i="54" s="1"/>
  <c r="CK268" i="54" a="1"/>
  <c r="CK268" i="54" s="1"/>
  <c r="CN264" i="54"/>
  <c r="CO264" i="54" s="1"/>
  <c r="CL264" i="54" s="1"/>
  <c r="CN234" i="54"/>
  <c r="CO234" i="54" s="1"/>
  <c r="CL234" i="54" s="1"/>
  <c r="CK249" i="54" a="1"/>
  <c r="CK249" i="54" s="1"/>
  <c r="CK205" i="54" a="1"/>
  <c r="CK205" i="54" s="1"/>
  <c r="CK161" i="54" a="1"/>
  <c r="CK161" i="54" s="1"/>
  <c r="CN263" i="54"/>
  <c r="CO263" i="54" s="1"/>
  <c r="CL263" i="54" s="1"/>
  <c r="CK231" i="54" a="1"/>
  <c r="CK231" i="54" s="1"/>
  <c r="CK121" i="54" a="1"/>
  <c r="CK121" i="54" s="1"/>
  <c r="CK152" i="54" a="1"/>
  <c r="CK152" i="54" s="1"/>
  <c r="CK164" i="54" a="1"/>
  <c r="CK164" i="54" s="1"/>
  <c r="CN18" i="54"/>
  <c r="CO18" i="54" s="1"/>
  <c r="CL18" i="54" s="1"/>
  <c r="CK168" i="54" a="1"/>
  <c r="CK168" i="54" s="1"/>
  <c r="CK61" i="54" a="1"/>
  <c r="CK61" i="54" s="1"/>
  <c r="CK256" i="54" a="1"/>
  <c r="CK256" i="54" s="1"/>
  <c r="CK89" i="54" a="1"/>
  <c r="CK89" i="54" s="1"/>
  <c r="CN119" i="54"/>
  <c r="CO119" i="54" s="1"/>
  <c r="CL119" i="54" s="1"/>
  <c r="CK108" i="54" a="1"/>
  <c r="CK108" i="54" s="1"/>
  <c r="CN180" i="54"/>
  <c r="CO180" i="54" s="1"/>
  <c r="CL180" i="54" s="1"/>
  <c r="CK172" i="54" a="1"/>
  <c r="CK172" i="54" s="1"/>
  <c r="CK206" i="54" a="1"/>
  <c r="CK206" i="54" s="1"/>
  <c r="CK233" i="54" a="1"/>
  <c r="CK233" i="54" s="1"/>
  <c r="CN71" i="54"/>
  <c r="CO71" i="54" s="1"/>
  <c r="CL71" i="54" s="1"/>
  <c r="CK45" i="54" a="1"/>
  <c r="CK45" i="54" s="1"/>
  <c r="CK219" i="54" a="1"/>
  <c r="CK219" i="54" s="1"/>
  <c r="CK67" i="54" a="1"/>
  <c r="CK67" i="54" s="1"/>
  <c r="CK220" i="54" a="1"/>
  <c r="CK220" i="54" s="1"/>
  <c r="CK191" i="54" a="1"/>
  <c r="CK191" i="54" s="1"/>
  <c r="CK236" i="54" a="1"/>
  <c r="CK236" i="54" s="1"/>
  <c r="CN239" i="54"/>
  <c r="CO239" i="54" s="1"/>
  <c r="CL239" i="54" s="1"/>
  <c r="CK114" i="54" a="1"/>
  <c r="CK114" i="54" s="1"/>
  <c r="CK267" i="54" a="1"/>
  <c r="CK267" i="54" s="1"/>
  <c r="CK115" i="54" a="1"/>
  <c r="CK115" i="54" s="1"/>
  <c r="CK265" i="54" a="1"/>
  <c r="CK265" i="54" s="1"/>
  <c r="CK17" i="54" a="1"/>
  <c r="CK17" i="54" s="1"/>
  <c r="CI48" i="54"/>
  <c r="CH48" i="54"/>
  <c r="CB48" i="54"/>
  <c r="CE48" i="54" s="1"/>
  <c r="CC48" i="54"/>
  <c r="CF48" i="54" s="1"/>
  <c r="CA48" i="54"/>
  <c r="CJ48" i="54"/>
  <c r="BZ48" i="54"/>
  <c r="CB142" i="54"/>
  <c r="CE142" i="54" s="1"/>
  <c r="CC142" i="54"/>
  <c r="CF142" i="54" s="1"/>
  <c r="CA142" i="54"/>
  <c r="CI142" i="54"/>
  <c r="BZ142" i="54"/>
  <c r="CH142" i="54"/>
  <c r="CJ142" i="54"/>
  <c r="CC260" i="54"/>
  <c r="CF260" i="54" s="1"/>
  <c r="CA260" i="54"/>
  <c r="CJ260" i="54"/>
  <c r="BZ260" i="54"/>
  <c r="CI260" i="54"/>
  <c r="CH260" i="54"/>
  <c r="CB260" i="54"/>
  <c r="CC259" i="54"/>
  <c r="CF259" i="54" s="1"/>
  <c r="CA259" i="54"/>
  <c r="CJ259" i="54"/>
  <c r="BZ259" i="54"/>
  <c r="CI259" i="54"/>
  <c r="CH259" i="54"/>
  <c r="CB259" i="54"/>
  <c r="CI90" i="54"/>
  <c r="CH90" i="54"/>
  <c r="CB90" i="54"/>
  <c r="CE90" i="54" s="1"/>
  <c r="CC90" i="54"/>
  <c r="CA90" i="54"/>
  <c r="CJ90" i="54"/>
  <c r="BZ90" i="54"/>
  <c r="CJ208" i="54"/>
  <c r="CB208" i="54"/>
  <c r="CE208" i="54" s="1"/>
  <c r="CC208" i="54"/>
  <c r="CA208" i="54"/>
  <c r="CI208" i="54"/>
  <c r="BZ208" i="54"/>
  <c r="CH208" i="54"/>
  <c r="CJ261" i="54"/>
  <c r="CI261" i="54"/>
  <c r="CB261" i="54"/>
  <c r="CC261" i="54"/>
  <c r="CF261" i="54" s="1"/>
  <c r="CA261" i="54"/>
  <c r="CH261" i="54"/>
  <c r="BZ261" i="54"/>
  <c r="CH75" i="54"/>
  <c r="BZ75" i="54"/>
  <c r="CJ75" i="54"/>
  <c r="CI75" i="54"/>
  <c r="CB75" i="54"/>
  <c r="CE75" i="54" s="1"/>
  <c r="CC75" i="54"/>
  <c r="CA75" i="54"/>
  <c r="CB122" i="54"/>
  <c r="CE122" i="54" s="1"/>
  <c r="CC122" i="54"/>
  <c r="CA122" i="54"/>
  <c r="CJ122" i="54"/>
  <c r="BZ122" i="54"/>
  <c r="CI122" i="54"/>
  <c r="CH122" i="54"/>
  <c r="CB121" i="54"/>
  <c r="CE121" i="54" s="1"/>
  <c r="CC121" i="54"/>
  <c r="CF121" i="54" s="1"/>
  <c r="CA121" i="54"/>
  <c r="CJ121" i="54"/>
  <c r="BZ121" i="54"/>
  <c r="CI121" i="54"/>
  <c r="CH121" i="54"/>
  <c r="CB192" i="54"/>
  <c r="CE192" i="54" s="1"/>
  <c r="CC192" i="54"/>
  <c r="CA192" i="54"/>
  <c r="CJ192" i="54"/>
  <c r="BZ192" i="54"/>
  <c r="CI192" i="54"/>
  <c r="CH192" i="54"/>
  <c r="CA239" i="54"/>
  <c r="CJ239" i="54"/>
  <c r="BZ239" i="54"/>
  <c r="CI239" i="54"/>
  <c r="CH239" i="54"/>
  <c r="CC239" i="54"/>
  <c r="CF239" i="54" s="1"/>
  <c r="CB239" i="54"/>
  <c r="CJ53" i="54"/>
  <c r="BZ53" i="54"/>
  <c r="CI53" i="54"/>
  <c r="CH53" i="54"/>
  <c r="CC53" i="54"/>
  <c r="CF53" i="54" s="1"/>
  <c r="CB53" i="54"/>
  <c r="CA53" i="54"/>
  <c r="CA106" i="54"/>
  <c r="CI106" i="54"/>
  <c r="BZ106" i="54"/>
  <c r="CH106" i="54"/>
  <c r="CJ106" i="54"/>
  <c r="CB106" i="54"/>
  <c r="CE106" i="54" s="1"/>
  <c r="CC106" i="54"/>
  <c r="CJ123" i="54"/>
  <c r="CI123" i="54"/>
  <c r="CB123" i="54"/>
  <c r="CE123" i="54" s="1"/>
  <c r="CC123" i="54"/>
  <c r="CA123" i="54"/>
  <c r="CH123" i="54"/>
  <c r="BZ123" i="54"/>
  <c r="CI200" i="54"/>
  <c r="CH200" i="54"/>
  <c r="CB200" i="54"/>
  <c r="CE200" i="54" s="1"/>
  <c r="CC200" i="54"/>
  <c r="CA200" i="54"/>
  <c r="CJ200" i="54"/>
  <c r="BZ200" i="54"/>
  <c r="CI199" i="54"/>
  <c r="CH199" i="54"/>
  <c r="CB199" i="54"/>
  <c r="CE199" i="54" s="1"/>
  <c r="CC199" i="54"/>
  <c r="CA199" i="54"/>
  <c r="CJ199" i="54"/>
  <c r="BZ199" i="54"/>
  <c r="CH60" i="54"/>
  <c r="CB60" i="54"/>
  <c r="CE60" i="54" s="1"/>
  <c r="CC60" i="54"/>
  <c r="CA60" i="54"/>
  <c r="CJ60" i="54"/>
  <c r="BZ60" i="54"/>
  <c r="CI60" i="54"/>
  <c r="CB184" i="54"/>
  <c r="CE184" i="54" s="1"/>
  <c r="CC184" i="54"/>
  <c r="CA184" i="54"/>
  <c r="CI184" i="54"/>
  <c r="BZ184" i="54"/>
  <c r="CH184" i="54"/>
  <c r="CJ184" i="54"/>
  <c r="CA267" i="54"/>
  <c r="CH267" i="54"/>
  <c r="BZ267" i="54"/>
  <c r="CJ267" i="54"/>
  <c r="CI267" i="54"/>
  <c r="CB267" i="54"/>
  <c r="CC267" i="54"/>
  <c r="CF267" i="54" s="1"/>
  <c r="CH87" i="54"/>
  <c r="BZ87" i="54"/>
  <c r="CJ87" i="54"/>
  <c r="CI87" i="54"/>
  <c r="CB87" i="54"/>
  <c r="CE87" i="54" s="1"/>
  <c r="CC87" i="54"/>
  <c r="CA87" i="54"/>
  <c r="CA170" i="54"/>
  <c r="CJ170" i="54"/>
  <c r="BZ170" i="54"/>
  <c r="CI170" i="54"/>
  <c r="CH170" i="54"/>
  <c r="CB170" i="54"/>
  <c r="CE170" i="54" s="1"/>
  <c r="CC170" i="54"/>
  <c r="CA169" i="54"/>
  <c r="CJ169" i="54"/>
  <c r="BZ169" i="54"/>
  <c r="CI169" i="54"/>
  <c r="CH169" i="54"/>
  <c r="CB169" i="54"/>
  <c r="CE169" i="54" s="1"/>
  <c r="CC169" i="54"/>
  <c r="CF169" i="54" s="1"/>
  <c r="CC180" i="54"/>
  <c r="CJ180" i="54"/>
  <c r="BZ180" i="54"/>
  <c r="CI180" i="54"/>
  <c r="CH180" i="54"/>
  <c r="CB180" i="54"/>
  <c r="CE180" i="54" s="1"/>
  <c r="CA180" i="54"/>
  <c r="CI30" i="54"/>
  <c r="CH30" i="54"/>
  <c r="CB30" i="54"/>
  <c r="CC30" i="54"/>
  <c r="CF30" i="54" s="1"/>
  <c r="CA30" i="54"/>
  <c r="CJ30" i="54"/>
  <c r="BZ30" i="54"/>
  <c r="CI41" i="54"/>
  <c r="CH41" i="54"/>
  <c r="CC41" i="54"/>
  <c r="CF41" i="54" s="1"/>
  <c r="CB41" i="54"/>
  <c r="CA41" i="54"/>
  <c r="CJ41" i="54"/>
  <c r="BZ41" i="54"/>
  <c r="CC201" i="54"/>
  <c r="CF201" i="54" s="1"/>
  <c r="CA201" i="54"/>
  <c r="CH201" i="54"/>
  <c r="BZ201" i="54"/>
  <c r="CJ201" i="54"/>
  <c r="CI201" i="54"/>
  <c r="CB201" i="54"/>
  <c r="CE201" i="54" s="1"/>
  <c r="CH212" i="54"/>
  <c r="CB212" i="54"/>
  <c r="CE212" i="54" s="1"/>
  <c r="CC212" i="54"/>
  <c r="CA212" i="54"/>
  <c r="CJ212" i="54"/>
  <c r="BZ212" i="54"/>
  <c r="CI212" i="54"/>
  <c r="CH211" i="54"/>
  <c r="CB211" i="54"/>
  <c r="CE211" i="54" s="1"/>
  <c r="CC211" i="54"/>
  <c r="CA211" i="54"/>
  <c r="CJ211" i="54"/>
  <c r="BZ211" i="54"/>
  <c r="CI211" i="54"/>
  <c r="CA102" i="54"/>
  <c r="CJ102" i="54"/>
  <c r="BZ102" i="54"/>
  <c r="CI102" i="54"/>
  <c r="CH102" i="54"/>
  <c r="CC102" i="54"/>
  <c r="CF102" i="54" s="1"/>
  <c r="CB102" i="54"/>
  <c r="CE102" i="54" s="1"/>
  <c r="CA113" i="54"/>
  <c r="CJ113" i="54"/>
  <c r="BZ113" i="54"/>
  <c r="CI113" i="54"/>
  <c r="CH113" i="54"/>
  <c r="CC113" i="54"/>
  <c r="CB113" i="54"/>
  <c r="CE113" i="54" s="1"/>
  <c r="CI10" i="54"/>
  <c r="CA10" i="54"/>
  <c r="CH10" i="54"/>
  <c r="CJ10" i="54"/>
  <c r="CB10" i="54"/>
  <c r="CC10" i="54"/>
  <c r="CF10" i="54" s="1"/>
  <c r="BZ10" i="54"/>
  <c r="CJ27" i="54"/>
  <c r="CI27" i="54"/>
  <c r="CB27" i="54"/>
  <c r="CC27" i="54"/>
  <c r="CF27" i="54" s="1"/>
  <c r="BZ27" i="54"/>
  <c r="CH27" i="54"/>
  <c r="CA27" i="54"/>
  <c r="CI134" i="54"/>
  <c r="CH134" i="54"/>
  <c r="CB134" i="54"/>
  <c r="CE134" i="54" s="1"/>
  <c r="CC134" i="54"/>
  <c r="CJ134" i="54"/>
  <c r="CA134" i="54"/>
  <c r="BZ134" i="54"/>
  <c r="CI133" i="54"/>
  <c r="CH133" i="54"/>
  <c r="CB133" i="54"/>
  <c r="CE133" i="54" s="1"/>
  <c r="CC133" i="54"/>
  <c r="CF133" i="54" s="1"/>
  <c r="CJ133" i="54"/>
  <c r="CA133" i="54"/>
  <c r="BZ133" i="54"/>
  <c r="CC144" i="54"/>
  <c r="CJ144" i="54"/>
  <c r="BZ144" i="54"/>
  <c r="CI144" i="54"/>
  <c r="CH144" i="54"/>
  <c r="CB144" i="54"/>
  <c r="CE144" i="54" s="1"/>
  <c r="CA144" i="54"/>
  <c r="CH253" i="54"/>
  <c r="CI253" i="54"/>
  <c r="CB253" i="54"/>
  <c r="CE253" i="54" s="1"/>
  <c r="CC253" i="54"/>
  <c r="CF253" i="54" s="1"/>
  <c r="CA253" i="54"/>
  <c r="BZ253" i="54"/>
  <c r="CJ253" i="54"/>
  <c r="CH155" i="54"/>
  <c r="CC155" i="54"/>
  <c r="CB155" i="54"/>
  <c r="CE155" i="54" s="1"/>
  <c r="CA155" i="54"/>
  <c r="CJ155" i="54"/>
  <c r="BZ155" i="54"/>
  <c r="CI155" i="54"/>
  <c r="BV78" i="54"/>
  <c r="CD78" i="54" s="1"/>
  <c r="CH78" i="54"/>
  <c r="CB78" i="54"/>
  <c r="CE78" i="54" s="1"/>
  <c r="CA78" i="54"/>
  <c r="CJ78" i="54"/>
  <c r="BZ78" i="54"/>
  <c r="CC78" i="54"/>
  <c r="CF78" i="54" s="1"/>
  <c r="CI78" i="54"/>
  <c r="BV83" i="54"/>
  <c r="CD83" i="54" s="1"/>
  <c r="CB83" i="54"/>
  <c r="CE83" i="54" s="1"/>
  <c r="CA83" i="54"/>
  <c r="CJ83" i="54"/>
  <c r="BZ83" i="54"/>
  <c r="CI83" i="54"/>
  <c r="CH83" i="54"/>
  <c r="CC83" i="54"/>
  <c r="BV182" i="54"/>
  <c r="CJ182" i="54"/>
  <c r="BZ182" i="54"/>
  <c r="CI182" i="54"/>
  <c r="CH182" i="54"/>
  <c r="CB182" i="54"/>
  <c r="CE182" i="54" s="1"/>
  <c r="CA182" i="54"/>
  <c r="CC182" i="54"/>
  <c r="BV105" i="54"/>
  <c r="CJ105" i="54"/>
  <c r="CI105" i="54"/>
  <c r="CB105" i="54"/>
  <c r="CE105" i="54" s="1"/>
  <c r="CC105" i="54"/>
  <c r="CH105" i="54"/>
  <c r="CA105" i="54"/>
  <c r="BZ105" i="54"/>
  <c r="BV22" i="54"/>
  <c r="CD22" i="54" s="1"/>
  <c r="BZ22" i="54"/>
  <c r="CI22" i="54"/>
  <c r="CA22" i="54"/>
  <c r="CH22" i="54"/>
  <c r="CJ22" i="54"/>
  <c r="CB22" i="54"/>
  <c r="CE22" i="54" s="1"/>
  <c r="CC22" i="54"/>
  <c r="CF22" i="54" s="1"/>
  <c r="BE31" i="54"/>
  <c r="A38" i="54" s="1"/>
  <c r="BE36" i="54"/>
  <c r="C38" i="54" s="1"/>
  <c r="FD3" i="54"/>
  <c r="CD180" i="54"/>
  <c r="CD96" i="54"/>
  <c r="CF96" i="54" s="1"/>
  <c r="CD14" i="54"/>
  <c r="CD195" i="54"/>
  <c r="CD28" i="54"/>
  <c r="CD106" i="54"/>
  <c r="CD241" i="54"/>
  <c r="CD197" i="54"/>
  <c r="CD122" i="54"/>
  <c r="CD252" i="54"/>
  <c r="CD170" i="54"/>
  <c r="CD39" i="54"/>
  <c r="CD31" i="54"/>
  <c r="CE31" i="54" s="1"/>
  <c r="CD179" i="54"/>
  <c r="CF179" i="54" s="1"/>
  <c r="CD167" i="54"/>
  <c r="CD266" i="54"/>
  <c r="CD12" i="54"/>
  <c r="CD87" i="54"/>
  <c r="CD177" i="54"/>
  <c r="CF177" i="54" s="1"/>
  <c r="CD114" i="54"/>
  <c r="CA264" i="54"/>
  <c r="CJ264" i="54"/>
  <c r="BZ264" i="54"/>
  <c r="CI264" i="54"/>
  <c r="CH264" i="54"/>
  <c r="CB264" i="54"/>
  <c r="CC264" i="54"/>
  <c r="CF264" i="54" s="1"/>
  <c r="CI95" i="54"/>
  <c r="CH95" i="54"/>
  <c r="CC95" i="54"/>
  <c r="CB95" i="54"/>
  <c r="CE95" i="54" s="1"/>
  <c r="BZ95" i="54"/>
  <c r="CJ95" i="54"/>
  <c r="CA95" i="54"/>
  <c r="CI219" i="54"/>
  <c r="CB219" i="54"/>
  <c r="CC219" i="54"/>
  <c r="CA219" i="54"/>
  <c r="CH219" i="54"/>
  <c r="BZ219" i="54"/>
  <c r="CJ219" i="54"/>
  <c r="BZ50" i="54"/>
  <c r="CJ50" i="54"/>
  <c r="CA50" i="54"/>
  <c r="CI50" i="54"/>
  <c r="CH50" i="54"/>
  <c r="CB50" i="54"/>
  <c r="CC50" i="54"/>
  <c r="CF50" i="54" s="1"/>
  <c r="BZ49" i="54"/>
  <c r="CJ49" i="54"/>
  <c r="CA49" i="54"/>
  <c r="CI49" i="54"/>
  <c r="CH49" i="54"/>
  <c r="CB49" i="54"/>
  <c r="CC49" i="54"/>
  <c r="CF49" i="54" s="1"/>
  <c r="CH161" i="54"/>
  <c r="CA214" i="54"/>
  <c r="CI214" i="54"/>
  <c r="BZ214" i="54"/>
  <c r="CH214" i="54"/>
  <c r="CJ214" i="54"/>
  <c r="CB214" i="54"/>
  <c r="CE214" i="54" s="1"/>
  <c r="CC214" i="54"/>
  <c r="CC28" i="54"/>
  <c r="CF28" i="54" s="1"/>
  <c r="BZ28" i="54"/>
  <c r="CI28" i="54"/>
  <c r="CA28" i="54"/>
  <c r="CH28" i="54"/>
  <c r="CJ28" i="54"/>
  <c r="CB28" i="54"/>
  <c r="CJ81" i="54"/>
  <c r="CI81" i="54"/>
  <c r="CB81" i="54"/>
  <c r="CE81" i="54" s="1"/>
  <c r="CC81" i="54"/>
  <c r="CA81" i="54"/>
  <c r="CH81" i="54"/>
  <c r="BZ81" i="54"/>
  <c r="CI152" i="54"/>
  <c r="CH152" i="54"/>
  <c r="CB152" i="54"/>
  <c r="CE152" i="54" s="1"/>
  <c r="CC152" i="54"/>
  <c r="CA152" i="54"/>
  <c r="BZ152" i="54"/>
  <c r="CJ152" i="54"/>
  <c r="CI151" i="54"/>
  <c r="CH151" i="54"/>
  <c r="CB151" i="54"/>
  <c r="CE151" i="54" s="1"/>
  <c r="CC151" i="54"/>
  <c r="CJ151" i="54"/>
  <c r="CA151" i="54"/>
  <c r="BZ151" i="54"/>
  <c r="CJ198" i="54"/>
  <c r="CC12" i="54"/>
  <c r="CF12" i="54" s="1"/>
  <c r="CA12" i="54"/>
  <c r="CJ12" i="54"/>
  <c r="BZ12" i="54"/>
  <c r="CI12" i="54"/>
  <c r="CH12" i="54"/>
  <c r="CB12" i="54"/>
  <c r="CC59" i="54"/>
  <c r="CF59" i="54" s="1"/>
  <c r="CB59" i="54"/>
  <c r="CE59" i="54" s="1"/>
  <c r="CA59" i="54"/>
  <c r="CJ59" i="54"/>
  <c r="BZ59" i="54"/>
  <c r="CI59" i="54"/>
  <c r="CH59" i="54"/>
  <c r="CA76" i="54"/>
  <c r="CI76" i="54"/>
  <c r="BZ76" i="54"/>
  <c r="CH76" i="54"/>
  <c r="CJ76" i="54"/>
  <c r="CB76" i="54"/>
  <c r="CE76" i="54" s="1"/>
  <c r="CC76" i="54"/>
  <c r="CF76" i="54" s="1"/>
  <c r="CA159" i="54"/>
  <c r="CH159" i="54"/>
  <c r="BZ159" i="54"/>
  <c r="CJ159" i="54"/>
  <c r="CI159" i="54"/>
  <c r="CB159" i="54"/>
  <c r="CE159" i="54" s="1"/>
  <c r="CC159" i="54"/>
  <c r="CJ20" i="54"/>
  <c r="CA20" i="54"/>
  <c r="CI20" i="54"/>
  <c r="CH20" i="54"/>
  <c r="CB20" i="54"/>
  <c r="CE20" i="54" s="1"/>
  <c r="CC20" i="54"/>
  <c r="CF20" i="54" s="1"/>
  <c r="BZ20" i="54"/>
  <c r="CH19" i="54"/>
  <c r="CI137" i="54"/>
  <c r="CH137" i="54"/>
  <c r="CC137" i="54"/>
  <c r="CB137" i="54"/>
  <c r="CE137" i="54" s="1"/>
  <c r="CA137" i="54"/>
  <c r="CJ137" i="54"/>
  <c r="BZ137" i="54"/>
  <c r="CB220" i="54"/>
  <c r="CE220" i="54" s="1"/>
  <c r="CC220" i="54"/>
  <c r="CF220" i="54" s="1"/>
  <c r="CA220" i="54"/>
  <c r="CI220" i="54"/>
  <c r="BZ220" i="54"/>
  <c r="CH220" i="54"/>
  <c r="CJ220" i="54"/>
  <c r="CC40" i="54"/>
  <c r="CF40" i="54" s="1"/>
  <c r="BZ40" i="54"/>
  <c r="CI40" i="54"/>
  <c r="CA40" i="54"/>
  <c r="CH40" i="54"/>
  <c r="CJ40" i="54"/>
  <c r="CB40" i="54"/>
  <c r="CE40" i="54" s="1"/>
  <c r="CB129" i="54"/>
  <c r="CE129" i="54" s="1"/>
  <c r="CC129" i="54"/>
  <c r="CA129" i="54"/>
  <c r="CH129" i="54"/>
  <c r="BZ129" i="54"/>
  <c r="CJ129" i="54"/>
  <c r="CI129" i="54"/>
  <c r="CH140" i="54"/>
  <c r="CC140" i="54"/>
  <c r="CF140" i="54" s="1"/>
  <c r="CA140" i="54"/>
  <c r="CJ140" i="54"/>
  <c r="BZ140" i="54"/>
  <c r="CI140" i="54"/>
  <c r="CB140" i="54"/>
  <c r="CE140" i="54" s="1"/>
  <c r="CJ139" i="54"/>
  <c r="CA246" i="54"/>
  <c r="CJ246" i="54"/>
  <c r="BZ246" i="54"/>
  <c r="CI246" i="54"/>
  <c r="CH246" i="54"/>
  <c r="CB246" i="54"/>
  <c r="CC246" i="54"/>
  <c r="CF246" i="54" s="1"/>
  <c r="CA257" i="54"/>
  <c r="CJ257" i="54"/>
  <c r="BZ257" i="54"/>
  <c r="CI257" i="54"/>
  <c r="CH257" i="54"/>
  <c r="CC257" i="54"/>
  <c r="CF257" i="54" s="1"/>
  <c r="CB257" i="54"/>
  <c r="CJ154" i="54"/>
  <c r="CB154" i="54"/>
  <c r="CE154" i="54" s="1"/>
  <c r="CC154" i="54"/>
  <c r="CA154" i="54"/>
  <c r="CI154" i="54"/>
  <c r="BZ154" i="54"/>
  <c r="CH154" i="54"/>
  <c r="CH171" i="54"/>
  <c r="BZ171" i="54"/>
  <c r="CJ171" i="54"/>
  <c r="CI171" i="54"/>
  <c r="CB171" i="54"/>
  <c r="CE171" i="54" s="1"/>
  <c r="CC171" i="54"/>
  <c r="CA171" i="54"/>
  <c r="CH62" i="54"/>
  <c r="CB62" i="54"/>
  <c r="CE62" i="54" s="1"/>
  <c r="CC62" i="54"/>
  <c r="CA62" i="54"/>
  <c r="CJ62" i="54"/>
  <c r="BZ62" i="54"/>
  <c r="CI62" i="54"/>
  <c r="CB61" i="54"/>
  <c r="CE61" i="54" s="1"/>
  <c r="CB72" i="54"/>
  <c r="CE72" i="54" s="1"/>
  <c r="CC72" i="54"/>
  <c r="CF72" i="54" s="1"/>
  <c r="CA72" i="54"/>
  <c r="CJ72" i="54"/>
  <c r="BZ72" i="54"/>
  <c r="CI72" i="54"/>
  <c r="CH72" i="54"/>
  <c r="CC226" i="54"/>
  <c r="CF226" i="54" s="1"/>
  <c r="CA226" i="54"/>
  <c r="CI226" i="54"/>
  <c r="BZ226" i="54"/>
  <c r="CH226" i="54"/>
  <c r="CJ226" i="54"/>
  <c r="CB226" i="54"/>
  <c r="CA243" i="54"/>
  <c r="CH243" i="54"/>
  <c r="BZ243" i="54"/>
  <c r="CJ243" i="54"/>
  <c r="CI243" i="54"/>
  <c r="CB243" i="54"/>
  <c r="CC243" i="54"/>
  <c r="CF243" i="54" s="1"/>
  <c r="CA93" i="54"/>
  <c r="CH93" i="54"/>
  <c r="BZ93" i="54"/>
  <c r="CJ93" i="54"/>
  <c r="CI93" i="54"/>
  <c r="CC93" i="54"/>
  <c r="CB93" i="54"/>
  <c r="CE93" i="54" s="1"/>
  <c r="CH104" i="54"/>
  <c r="CB104" i="54"/>
  <c r="CE104" i="54" s="1"/>
  <c r="CC104" i="54"/>
  <c r="CA104" i="54"/>
  <c r="CJ104" i="54"/>
  <c r="BZ104" i="54"/>
  <c r="CI104" i="54"/>
  <c r="CJ103" i="54"/>
  <c r="CB263" i="54"/>
  <c r="CE263" i="54" s="1"/>
  <c r="CH263" i="54"/>
  <c r="CC263" i="54"/>
  <c r="CF263" i="54" s="1"/>
  <c r="CA263" i="54"/>
  <c r="BZ263" i="54"/>
  <c r="CJ263" i="54"/>
  <c r="CI263" i="54"/>
  <c r="CJ202" i="54"/>
  <c r="CB202" i="54"/>
  <c r="CE202" i="54" s="1"/>
  <c r="CC202" i="54"/>
  <c r="CF202" i="54" s="1"/>
  <c r="CA202" i="54"/>
  <c r="BZ202" i="54"/>
  <c r="CI202" i="54"/>
  <c r="CH202" i="54"/>
  <c r="CC119" i="54"/>
  <c r="CF119" i="54" s="1"/>
  <c r="CH119" i="54"/>
  <c r="CB119" i="54"/>
  <c r="CE119" i="54" s="1"/>
  <c r="CA119" i="54"/>
  <c r="BZ119" i="54"/>
  <c r="CJ119" i="54"/>
  <c r="CI119" i="54"/>
  <c r="CJ130" i="54"/>
  <c r="CB130" i="54"/>
  <c r="CE130" i="54" s="1"/>
  <c r="CC130" i="54"/>
  <c r="CA130" i="54"/>
  <c r="CI130" i="54"/>
  <c r="BZ130" i="54"/>
  <c r="CH130" i="54"/>
  <c r="CA145" i="54"/>
  <c r="CJ145" i="54"/>
  <c r="BZ145" i="54"/>
  <c r="CI145" i="54"/>
  <c r="CH145" i="54"/>
  <c r="CB145" i="54"/>
  <c r="CE145" i="54" s="1"/>
  <c r="CC145" i="54"/>
  <c r="CJ146" i="54"/>
  <c r="BV69" i="54"/>
  <c r="CD69" i="54" s="1"/>
  <c r="CH69" i="54"/>
  <c r="BZ69" i="54"/>
  <c r="CJ69" i="54"/>
  <c r="CI69" i="54"/>
  <c r="CB69" i="54"/>
  <c r="CE69" i="54" s="1"/>
  <c r="CC69" i="54"/>
  <c r="CF69" i="54" s="1"/>
  <c r="CA69" i="54"/>
  <c r="CV35" i="54"/>
  <c r="CT35" i="54"/>
  <c r="CU36" i="54" s="1"/>
  <c r="AB10" i="56"/>
  <c r="AA11" i="56"/>
  <c r="Q11" i="56" s="1"/>
  <c r="R11" i="56" s="1"/>
  <c r="AN11" i="56" s="1"/>
  <c r="AF11" i="56"/>
  <c r="AA9" i="56"/>
  <c r="AA7" i="56"/>
  <c r="AD30" i="56"/>
  <c r="AF30" i="56"/>
  <c r="AF33" i="56"/>
  <c r="R32" i="56"/>
  <c r="AD32" i="56"/>
  <c r="Q5" i="56"/>
  <c r="R5" i="56" s="1"/>
  <c r="AN5" i="56" s="1"/>
  <c r="AE31" i="56"/>
  <c r="AD29" i="56"/>
  <c r="AF29" i="56"/>
  <c r="AE34" i="56"/>
  <c r="AF32" i="56"/>
  <c r="AI13" i="56"/>
  <c r="AG13" i="56"/>
  <c r="AI4" i="56"/>
  <c r="AA5" i="56"/>
  <c r="AI8" i="56"/>
  <c r="AH5" i="56"/>
  <c r="AG5" i="56"/>
  <c r="AI5" i="56"/>
  <c r="AA16" i="56"/>
  <c r="AG17" i="56"/>
  <c r="AI17" i="56"/>
  <c r="AI9" i="56"/>
  <c r="Q17" i="56"/>
  <c r="R17" i="56" s="1"/>
  <c r="AN17" i="56" s="1"/>
  <c r="AF13" i="56"/>
  <c r="N2" i="56"/>
  <c r="CG7" i="54" s="1"/>
  <c r="AG9" i="56"/>
  <c r="AA17" i="56"/>
  <c r="AG4" i="56"/>
  <c r="AI21" i="56"/>
  <c r="Q21" i="56"/>
  <c r="R21" i="56" s="1"/>
  <c r="AN21" i="56" s="1"/>
  <c r="N4" i="56"/>
  <c r="AI24" i="56"/>
  <c r="AA20" i="56"/>
  <c r="AA21" i="56"/>
  <c r="Q9" i="56"/>
  <c r="R9" i="56" s="1"/>
  <c r="AN9" i="56" s="1"/>
  <c r="Q16" i="56"/>
  <c r="R16" i="56" s="1"/>
  <c r="AN16" i="56" s="1"/>
  <c r="AA25" i="56"/>
  <c r="Q25" i="56" s="1"/>
  <c r="R25" i="56" s="1"/>
  <c r="AN25" i="56" s="1"/>
  <c r="AA13" i="56"/>
  <c r="Q13" i="56" s="1"/>
  <c r="R13" i="56" s="1"/>
  <c r="AN13" i="56" s="1"/>
  <c r="AF25" i="56"/>
  <c r="AG24" i="56"/>
  <c r="AG2" i="56"/>
  <c r="AI2" i="56"/>
  <c r="AC6" i="56"/>
  <c r="AA6" i="56"/>
  <c r="Q6" i="56"/>
  <c r="R6" i="56" s="1"/>
  <c r="AN6" i="56" s="1"/>
  <c r="Q14" i="56"/>
  <c r="R14" i="56" s="1"/>
  <c r="AN14" i="56" s="1"/>
  <c r="AG14" i="56"/>
  <c r="AI14" i="56"/>
  <c r="AA19" i="56"/>
  <c r="AC19" i="56"/>
  <c r="AC2" i="56"/>
  <c r="AA2" i="56"/>
  <c r="AA15" i="56"/>
  <c r="AC15" i="56"/>
  <c r="Q15" i="56"/>
  <c r="R15" i="56" s="1"/>
  <c r="AN15" i="56" s="1"/>
  <c r="AC4" i="56"/>
  <c r="AA4" i="56"/>
  <c r="AA12" i="56"/>
  <c r="Q12" i="56" s="1"/>
  <c r="R12" i="56" s="1"/>
  <c r="AN12" i="56" s="1"/>
  <c r="AC12" i="56"/>
  <c r="AF12" i="56" s="1"/>
  <c r="AC8" i="56"/>
  <c r="Q8" i="56" s="1"/>
  <c r="R8" i="56" s="1"/>
  <c r="AN8" i="56" s="1"/>
  <c r="AA8" i="56"/>
  <c r="AI10" i="56"/>
  <c r="AG10" i="56"/>
  <c r="Q10" i="56"/>
  <c r="R10" i="56" s="1"/>
  <c r="AN10" i="56" s="1"/>
  <c r="CD194" i="54" l="1"/>
  <c r="BV79" i="54"/>
  <c r="CD79" i="54" s="1"/>
  <c r="CD84" i="54"/>
  <c r="CD15" i="54"/>
  <c r="CD208" i="54"/>
  <c r="BV61" i="54"/>
  <c r="CD61" i="54" s="1"/>
  <c r="BV183" i="54"/>
  <c r="CD160" i="54"/>
  <c r="CD196" i="54"/>
  <c r="CD190" i="54"/>
  <c r="CD88" i="54"/>
  <c r="CF206" i="54"/>
  <c r="CD34" i="54"/>
  <c r="CF77" i="54"/>
  <c r="CD171" i="54"/>
  <c r="CD159" i="54"/>
  <c r="CF156" i="54"/>
  <c r="CD183" i="54"/>
  <c r="CD41" i="54"/>
  <c r="CD219" i="54"/>
  <c r="CD213" i="54"/>
  <c r="CF66" i="54"/>
  <c r="CD209" i="54"/>
  <c r="CF209" i="54" s="1"/>
  <c r="CD125" i="54"/>
  <c r="CF125" i="54" s="1"/>
  <c r="CD154" i="54"/>
  <c r="CF99" i="54"/>
  <c r="CF112" i="54"/>
  <c r="CF118" i="54"/>
  <c r="CD55" i="54"/>
  <c r="CD224" i="54"/>
  <c r="CD216" i="54"/>
  <c r="CF176" i="54"/>
  <c r="CD232" i="54"/>
  <c r="CD148" i="54"/>
  <c r="CD47" i="54"/>
  <c r="CE47" i="54" s="1"/>
  <c r="CF80" i="54"/>
  <c r="CD204" i="54"/>
  <c r="CF84" i="54"/>
  <c r="CD162" i="54"/>
  <c r="CE19" i="54"/>
  <c r="CF89" i="54"/>
  <c r="CA146" i="54"/>
  <c r="CA103" i="54"/>
  <c r="CE243" i="54"/>
  <c r="CE226" i="54"/>
  <c r="CA61" i="54"/>
  <c r="CH139" i="54"/>
  <c r="CI19" i="54"/>
  <c r="CA198" i="54"/>
  <c r="CI161" i="54"/>
  <c r="CF184" i="54"/>
  <c r="CF208" i="54"/>
  <c r="CF90" i="54"/>
  <c r="CE255" i="54"/>
  <c r="CJ94" i="54"/>
  <c r="CI215" i="54"/>
  <c r="CH36" i="54"/>
  <c r="CJ251" i="54"/>
  <c r="CI24" i="54"/>
  <c r="CB17" i="54"/>
  <c r="CH178" i="54"/>
  <c r="CH150" i="54"/>
  <c r="CA258" i="54"/>
  <c r="CB248" i="54"/>
  <c r="CH165" i="54"/>
  <c r="CI56" i="54"/>
  <c r="CC188" i="54"/>
  <c r="BZ79" i="54"/>
  <c r="CH183" i="54"/>
  <c r="CH249" i="54"/>
  <c r="CI249" i="54"/>
  <c r="BV139" i="54"/>
  <c r="CD139" i="54" s="1"/>
  <c r="CJ3" i="54" s="1"/>
  <c r="BV56" i="54"/>
  <c r="CD56" i="54" s="1"/>
  <c r="CD52" i="54"/>
  <c r="CE52" i="54" s="1"/>
  <c r="BV36" i="54"/>
  <c r="CD36" i="54" s="1"/>
  <c r="CE50" i="54"/>
  <c r="CE44" i="54"/>
  <c r="CC146" i="54"/>
  <c r="CC103" i="54"/>
  <c r="CC61" i="54"/>
  <c r="CF61" i="54" s="1"/>
  <c r="CA139" i="54"/>
  <c r="CA19" i="54"/>
  <c r="CC198" i="54"/>
  <c r="CF152" i="54"/>
  <c r="BZ161" i="54"/>
  <c r="CD182" i="54"/>
  <c r="CF200" i="54"/>
  <c r="CF110" i="54"/>
  <c r="CH94" i="54"/>
  <c r="BZ215" i="54"/>
  <c r="CI36" i="54"/>
  <c r="CA251" i="54"/>
  <c r="BZ24" i="54"/>
  <c r="CC17" i="54"/>
  <c r="CF17" i="54" s="1"/>
  <c r="BZ178" i="54"/>
  <c r="CI150" i="54"/>
  <c r="CC258" i="54"/>
  <c r="CF258" i="54" s="1"/>
  <c r="CH248" i="54"/>
  <c r="CA165" i="54"/>
  <c r="CA56" i="54"/>
  <c r="CB188" i="54"/>
  <c r="CE188" i="54" s="1"/>
  <c r="CJ79" i="54"/>
  <c r="CA183" i="54"/>
  <c r="BZ249" i="54"/>
  <c r="BV249" i="54"/>
  <c r="BV161" i="54"/>
  <c r="CD161" i="54" s="1"/>
  <c r="CF161" i="54" s="1"/>
  <c r="BV24" i="54"/>
  <c r="CD24" i="54" s="1"/>
  <c r="BV103" i="54"/>
  <c r="CD103" i="54" s="1"/>
  <c r="BV251" i="54"/>
  <c r="CD251" i="54" s="1"/>
  <c r="BV94" i="54"/>
  <c r="CD94" i="54" s="1"/>
  <c r="CF94" i="54" s="1"/>
  <c r="CE15" i="54"/>
  <c r="CF130" i="54"/>
  <c r="CH103" i="54"/>
  <c r="CI61" i="54"/>
  <c r="CH61" i="54"/>
  <c r="CE246" i="54"/>
  <c r="CI139" i="54"/>
  <c r="CC139" i="54"/>
  <c r="BZ19" i="54"/>
  <c r="CJ19" i="54"/>
  <c r="CH198" i="54"/>
  <c r="CB198" i="54"/>
  <c r="CE198" i="54" s="1"/>
  <c r="CF81" i="54"/>
  <c r="CA161" i="54"/>
  <c r="CJ161" i="54"/>
  <c r="CE264" i="54"/>
  <c r="CF144" i="54"/>
  <c r="CE10" i="54"/>
  <c r="CF212" i="54"/>
  <c r="CF192" i="54"/>
  <c r="CF162" i="54"/>
  <c r="BZ94" i="54"/>
  <c r="CJ215" i="54"/>
  <c r="BZ36" i="54"/>
  <c r="CB251" i="54"/>
  <c r="CJ24" i="54"/>
  <c r="CH17" i="54"/>
  <c r="CI178" i="54"/>
  <c r="BZ150" i="54"/>
  <c r="CB258" i="54"/>
  <c r="CI248" i="54"/>
  <c r="CC165" i="54"/>
  <c r="CJ56" i="54"/>
  <c r="CH188" i="54"/>
  <c r="CA79" i="54"/>
  <c r="CC183" i="54"/>
  <c r="CF183" i="54" s="1"/>
  <c r="CJ249" i="54"/>
  <c r="BV258" i="54"/>
  <c r="CD258" i="54" s="1"/>
  <c r="CE258" i="54" s="1"/>
  <c r="CH146" i="54"/>
  <c r="CB146" i="54"/>
  <c r="CE146" i="54" s="1"/>
  <c r="CB103" i="54"/>
  <c r="CE103" i="54" s="1"/>
  <c r="CI146" i="54"/>
  <c r="CF145" i="54"/>
  <c r="CI103" i="54"/>
  <c r="BZ61" i="54"/>
  <c r="CF154" i="54"/>
  <c r="CB139" i="54"/>
  <c r="CE139" i="54" s="1"/>
  <c r="CC19" i="54"/>
  <c r="CF19" i="54" s="1"/>
  <c r="CI198" i="54"/>
  <c r="CB161" i="54"/>
  <c r="CE161" i="54" s="1"/>
  <c r="CF219" i="54"/>
  <c r="CE41" i="54"/>
  <c r="CA94" i="54"/>
  <c r="CI94" i="54"/>
  <c r="CB215" i="54"/>
  <c r="CA215" i="54"/>
  <c r="CA36" i="54"/>
  <c r="CJ36" i="54"/>
  <c r="CH251" i="54"/>
  <c r="CC251" i="54"/>
  <c r="CF251" i="54" s="1"/>
  <c r="CC24" i="54"/>
  <c r="CF24" i="54" s="1"/>
  <c r="CA24" i="54"/>
  <c r="BZ17" i="54"/>
  <c r="CI17" i="54"/>
  <c r="CC178" i="54"/>
  <c r="CA178" i="54"/>
  <c r="CJ150" i="54"/>
  <c r="CH258" i="54"/>
  <c r="BZ248" i="54"/>
  <c r="CB165" i="54"/>
  <c r="CE165" i="54" s="1"/>
  <c r="BZ56" i="54"/>
  <c r="CI188" i="54"/>
  <c r="CC79" i="54"/>
  <c r="CF79" i="54" s="1"/>
  <c r="CB183" i="54"/>
  <c r="CE183" i="54" s="1"/>
  <c r="CA249" i="54"/>
  <c r="CD217" i="54"/>
  <c r="BV198" i="54"/>
  <c r="BV165" i="54"/>
  <c r="CD165" i="54" s="1"/>
  <c r="CF165" i="54" s="1"/>
  <c r="BV178" i="54"/>
  <c r="CD178" i="54" s="1"/>
  <c r="CF171" i="54"/>
  <c r="BZ146" i="54"/>
  <c r="CF159" i="54"/>
  <c r="CF197" i="54"/>
  <c r="CC215" i="54"/>
  <c r="CF204" i="54"/>
  <c r="CA17" i="54"/>
  <c r="CC150" i="54"/>
  <c r="CA150" i="54"/>
  <c r="CJ248" i="54"/>
  <c r="BZ188" i="54"/>
  <c r="CF147" i="54"/>
  <c r="CF86" i="54"/>
  <c r="CD137" i="54"/>
  <c r="CD168" i="54"/>
  <c r="CF168" i="54" s="1"/>
  <c r="CD173" i="54"/>
  <c r="CF173" i="54" s="1"/>
  <c r="CD108" i="54"/>
  <c r="CF108" i="54" s="1"/>
  <c r="CD120" i="54"/>
  <c r="CF120" i="54" s="1"/>
  <c r="CD231" i="54"/>
  <c r="CF60" i="54"/>
  <c r="CF74" i="54"/>
  <c r="CD95" i="54"/>
  <c r="CF115" i="54"/>
  <c r="CD138" i="54"/>
  <c r="CF138" i="54" s="1"/>
  <c r="CD146" i="54"/>
  <c r="CD193" i="54"/>
  <c r="CF193" i="54" s="1"/>
  <c r="CD157" i="54"/>
  <c r="CD134" i="54"/>
  <c r="CF134" i="54" s="1"/>
  <c r="CD129" i="54"/>
  <c r="CF129" i="54" s="1"/>
  <c r="CD218" i="54"/>
  <c r="CF218" i="54" s="1"/>
  <c r="CD49" i="54"/>
  <c r="CE49" i="54" s="1"/>
  <c r="CD230" i="54"/>
  <c r="CD236" i="54"/>
  <c r="CE236" i="54" s="1"/>
  <c r="CD254" i="54"/>
  <c r="CD228" i="54"/>
  <c r="CE228" i="54" s="1"/>
  <c r="CF75" i="54"/>
  <c r="CF160" i="54"/>
  <c r="CE260" i="54"/>
  <c r="CD45" i="54"/>
  <c r="CD109" i="54"/>
  <c r="CF109" i="54" s="1"/>
  <c r="CF178" i="54"/>
  <c r="CD107" i="54"/>
  <c r="CF107" i="54" s="1"/>
  <c r="CE43" i="54"/>
  <c r="CE237" i="54"/>
  <c r="CD151" i="54"/>
  <c r="CD225" i="54"/>
  <c r="CE225" i="54" s="1"/>
  <c r="CD268" i="54"/>
  <c r="CD143" i="54"/>
  <c r="CF143" i="54" s="1"/>
  <c r="CD123" i="54"/>
  <c r="CD132" i="54"/>
  <c r="CF181" i="54"/>
  <c r="CD205" i="54"/>
  <c r="CF205" i="54" s="1"/>
  <c r="CD211" i="54"/>
  <c r="CF211" i="54" s="1"/>
  <c r="CD259" i="54"/>
  <c r="CE259" i="54" s="1"/>
  <c r="CD242" i="54"/>
  <c r="CD244" i="54"/>
  <c r="CE244" i="54" s="1"/>
  <c r="CD18" i="54"/>
  <c r="CE18" i="54" s="1"/>
  <c r="CD153" i="54"/>
  <c r="CF153" i="54" s="1"/>
  <c r="CF117" i="54"/>
  <c r="CD100" i="54"/>
  <c r="CD150" i="54"/>
  <c r="CF150" i="54" s="1"/>
  <c r="CD189" i="54"/>
  <c r="CD247" i="54"/>
  <c r="CE247" i="54" s="1"/>
  <c r="CF215" i="54"/>
  <c r="CD188" i="54"/>
  <c r="CF188" i="54" s="1"/>
  <c r="CD233" i="54"/>
  <c r="CD113" i="54"/>
  <c r="CF113" i="54" s="1"/>
  <c r="CF126" i="54"/>
  <c r="CD111" i="54"/>
  <c r="CF111" i="54" s="1"/>
  <c r="CD261" i="54"/>
  <c r="CE261" i="54" s="1"/>
  <c r="CD175" i="54"/>
  <c r="CF175" i="54" s="1"/>
  <c r="CD229" i="54"/>
  <c r="CE46" i="54"/>
  <c r="CF62" i="54"/>
  <c r="CF214" i="54"/>
  <c r="CF67" i="54"/>
  <c r="CD249" i="54"/>
  <c r="CD91" i="54"/>
  <c r="CF91" i="54" s="1"/>
  <c r="CD198" i="54"/>
  <c r="CF198" i="54" s="1"/>
  <c r="CD163" i="54"/>
  <c r="CF163" i="54" s="1"/>
  <c r="CF83" i="54"/>
  <c r="CE24" i="54"/>
  <c r="CE57" i="54"/>
  <c r="CF194" i="54"/>
  <c r="CD203" i="54"/>
  <c r="CF203" i="54" s="1"/>
  <c r="CD124" i="54"/>
  <c r="CD239" i="54"/>
  <c r="CE239" i="54" s="1"/>
  <c r="CD187" i="54"/>
  <c r="CF187" i="54" s="1"/>
  <c r="CD149" i="54"/>
  <c r="CF149" i="54" s="1"/>
  <c r="CD248" i="54"/>
  <c r="CF95" i="54"/>
  <c r="CE53" i="54"/>
  <c r="CK95" i="54" a="1"/>
  <c r="CK95" i="54" s="1"/>
  <c r="CK68" i="54" a="1"/>
  <c r="CK68" i="54" s="1"/>
  <c r="CK244" i="54" a="1"/>
  <c r="CK244" i="54" s="1"/>
  <c r="CK94" i="54" a="1"/>
  <c r="CK94" i="54" s="1"/>
  <c r="CK243" i="54" a="1"/>
  <c r="CK243" i="54" s="1"/>
  <c r="CK93" i="54" a="1"/>
  <c r="CK93" i="54" s="1"/>
  <c r="CN131" i="54"/>
  <c r="CO131" i="54" s="1"/>
  <c r="CL131" i="54" s="1"/>
  <c r="CK92" i="54" a="1"/>
  <c r="CK92" i="54" s="1"/>
  <c r="CK65" i="54" a="1"/>
  <c r="CK65" i="54" s="1"/>
  <c r="CK199" i="54" a="1"/>
  <c r="CK199" i="54" s="1"/>
  <c r="CK46" i="54" a="1"/>
  <c r="CK46" i="54" s="1"/>
  <c r="CK177" i="54" a="1"/>
  <c r="CK177" i="54" s="1"/>
  <c r="CK24" i="54" a="1"/>
  <c r="CK24" i="54" s="1"/>
  <c r="CN11" i="54"/>
  <c r="CO11" i="54" s="1"/>
  <c r="CL11" i="54" s="1"/>
  <c r="CK107" i="54" a="1"/>
  <c r="CK107" i="54" s="1"/>
  <c r="CK62" i="54" a="1"/>
  <c r="CK62" i="54" s="1"/>
  <c r="CK130" i="54" a="1"/>
  <c r="CK130" i="54" s="1"/>
  <c r="CN138" i="54"/>
  <c r="CO138" i="54" s="1"/>
  <c r="CL138" i="54" s="1"/>
  <c r="CK87" i="54" a="1"/>
  <c r="CK87" i="54" s="1"/>
  <c r="CN59" i="54"/>
  <c r="CO59" i="54" s="1"/>
  <c r="CL59" i="54" s="1"/>
  <c r="CK248" i="54" a="1"/>
  <c r="CK248" i="54" s="1"/>
  <c r="CK235" i="54" a="1"/>
  <c r="CK235" i="54" s="1"/>
  <c r="CK40" i="54" a="1"/>
  <c r="CK40" i="54" s="1"/>
  <c r="CK147" i="54" a="1"/>
  <c r="CK147" i="54" s="1"/>
  <c r="CN215" i="54"/>
  <c r="CO215" i="54" s="1"/>
  <c r="CL215" i="54" s="1"/>
  <c r="CK38" i="54" a="1"/>
  <c r="CK38" i="54" s="1"/>
  <c r="CK26" i="54" a="1"/>
  <c r="CK26" i="54" s="1"/>
  <c r="CK100" i="54" a="1"/>
  <c r="CK100" i="54" s="1"/>
  <c r="CK165" i="54" a="1"/>
  <c r="CK165" i="54" s="1"/>
  <c r="CN95" i="54"/>
  <c r="CO95" i="54" s="1"/>
  <c r="CL95" i="54" s="1"/>
  <c r="CK86" i="54" a="1"/>
  <c r="CK86" i="54" s="1"/>
  <c r="CK139" i="54" a="1"/>
  <c r="CK139" i="54" s="1"/>
  <c r="CK183" i="54" a="1"/>
  <c r="CK183" i="54" s="1"/>
  <c r="CN143" i="54"/>
  <c r="CO143" i="54" s="1"/>
  <c r="CL143" i="54" s="1"/>
  <c r="CK266" i="54" a="1"/>
  <c r="CK266" i="54" s="1"/>
  <c r="CK214" i="54" a="1"/>
  <c r="CK214" i="54" s="1"/>
  <c r="CN144" i="54"/>
  <c r="CO144" i="54" s="1"/>
  <c r="CL144" i="54" s="1"/>
  <c r="CK84" i="54" a="1"/>
  <c r="CK84" i="54" s="1"/>
  <c r="CN29" i="54"/>
  <c r="CO29" i="54" s="1"/>
  <c r="CL29" i="54" s="1"/>
  <c r="CN140" i="54"/>
  <c r="CO140" i="54" s="1"/>
  <c r="CL140" i="54" s="1"/>
  <c r="ER235" i="54" a="1"/>
  <c r="ER235" i="54" s="1"/>
  <c r="ER190" i="54" a="1"/>
  <c r="ER190" i="54" s="1"/>
  <c r="CN91" i="54"/>
  <c r="CO91" i="54" s="1"/>
  <c r="CL91" i="54" s="1"/>
  <c r="ER163" i="54" a="1"/>
  <c r="ER163" i="54" s="1"/>
  <c r="ER32" i="54" a="1"/>
  <c r="ER32" i="54" s="1"/>
  <c r="CN249" i="54"/>
  <c r="CO249" i="54" s="1"/>
  <c r="CL249" i="54" s="1"/>
  <c r="ER65" i="54" a="1"/>
  <c r="ER65" i="54" s="1"/>
  <c r="CN207" i="54"/>
  <c r="CO207" i="54" s="1"/>
  <c r="CL207" i="54" s="1"/>
  <c r="ER24" i="54" a="1"/>
  <c r="ER24" i="54" s="1"/>
  <c r="CN146" i="54"/>
  <c r="CO146" i="54" s="1"/>
  <c r="CL146" i="54" s="1"/>
  <c r="ER214" i="54" a="1"/>
  <c r="ER214" i="54" s="1"/>
  <c r="ER63" i="54" a="1"/>
  <c r="ER63" i="54" s="1"/>
  <c r="ER184" i="54" a="1"/>
  <c r="ER184" i="54" s="1"/>
  <c r="ER134" i="54" a="1"/>
  <c r="ER134" i="54" s="1"/>
  <c r="ER38" i="54" a="1"/>
  <c r="ER38" i="54" s="1"/>
  <c r="ER102" i="54" a="1"/>
  <c r="ER102" i="54" s="1"/>
  <c r="ER250" i="54" a="1"/>
  <c r="ER250" i="54" s="1"/>
  <c r="ER201" i="54" a="1"/>
  <c r="ER201" i="54" s="1"/>
  <c r="CN85" i="54"/>
  <c r="CO85" i="54" s="1"/>
  <c r="CL85" i="54" s="1"/>
  <c r="CN44" i="54"/>
  <c r="CO44" i="54" s="1"/>
  <c r="CL44" i="54" s="1"/>
  <c r="CN260" i="54"/>
  <c r="CO260" i="54" s="1"/>
  <c r="CL260" i="54" s="1"/>
  <c r="ER127" i="54" a="1"/>
  <c r="ER127" i="54" s="1"/>
  <c r="ER101" i="54" a="1"/>
  <c r="ER101" i="54" s="1"/>
  <c r="ER20" i="54" a="1"/>
  <c r="ER20" i="54" s="1"/>
  <c r="ER120" i="54" a="1"/>
  <c r="ER120" i="54" s="1"/>
  <c r="ER71" i="54" a="1"/>
  <c r="ER71" i="54" s="1"/>
  <c r="ER263" i="54" a="1"/>
  <c r="ER263" i="54" s="1"/>
  <c r="CN235" i="54"/>
  <c r="CO235" i="54" s="1"/>
  <c r="CL235" i="54" s="1"/>
  <c r="CN236" i="54"/>
  <c r="CO236" i="54" s="1"/>
  <c r="CL236" i="54" s="1"/>
  <c r="CN201" i="54"/>
  <c r="CO201" i="54" s="1"/>
  <c r="CL201" i="54" s="1"/>
  <c r="CN154" i="54"/>
  <c r="CO154" i="54" s="1"/>
  <c r="CL154" i="54" s="1"/>
  <c r="ER37" i="54" a="1"/>
  <c r="ER37" i="54" s="1"/>
  <c r="ER175" i="54" a="1"/>
  <c r="ER175" i="54" s="1"/>
  <c r="ER146" i="54" a="1"/>
  <c r="ER146" i="54" s="1"/>
  <c r="ER36" i="54" a="1"/>
  <c r="ER36" i="54" s="1"/>
  <c r="ER216" i="54" a="1"/>
  <c r="ER216" i="54" s="1"/>
  <c r="ER141" i="54" a="1"/>
  <c r="ER141" i="54" s="1"/>
  <c r="CN67" i="54"/>
  <c r="CO67" i="54" s="1"/>
  <c r="CL67" i="54" s="1"/>
  <c r="CN68" i="54"/>
  <c r="CO68" i="54" s="1"/>
  <c r="CL68" i="54" s="1"/>
  <c r="CN63" i="54"/>
  <c r="CO63" i="54" s="1"/>
  <c r="CL63" i="54" s="1"/>
  <c r="CN16" i="54"/>
  <c r="CO16" i="54" s="1"/>
  <c r="CL16" i="54" s="1"/>
  <c r="CN232" i="54"/>
  <c r="CO232" i="54" s="1"/>
  <c r="CL232" i="54" s="1"/>
  <c r="CN185" i="54"/>
  <c r="CO185" i="54" s="1"/>
  <c r="CL185" i="54" s="1"/>
  <c r="ER52" i="54" a="1"/>
  <c r="ER52" i="54" s="1"/>
  <c r="ER199" i="54" a="1"/>
  <c r="ER199" i="54" s="1"/>
  <c r="ER173" i="54" a="1"/>
  <c r="ER173" i="54" s="1"/>
  <c r="ER237" i="54" a="1"/>
  <c r="ER237" i="54" s="1"/>
  <c r="ER84" i="54" a="1"/>
  <c r="ER84" i="54" s="1"/>
  <c r="ER189" i="54" a="1"/>
  <c r="ER189" i="54" s="1"/>
  <c r="CN115" i="54"/>
  <c r="CO115" i="54" s="1"/>
  <c r="CL115" i="54" s="1"/>
  <c r="CN122" i="54"/>
  <c r="CO122" i="54" s="1"/>
  <c r="CL122" i="54" s="1"/>
  <c r="CN105" i="54"/>
  <c r="CO105" i="54" s="1"/>
  <c r="CL105" i="54" s="1"/>
  <c r="CN58" i="54"/>
  <c r="CO58" i="54" s="1"/>
  <c r="CL58" i="54" s="1"/>
  <c r="ER22" i="54" a="1"/>
  <c r="ER22" i="54" s="1"/>
  <c r="ER160" i="54" a="1"/>
  <c r="ER160" i="54" s="1"/>
  <c r="ER131" i="54" a="1"/>
  <c r="ER131" i="54" s="1"/>
  <c r="ER79" i="54" a="1"/>
  <c r="ER79" i="54" s="1"/>
  <c r="ER186" i="54" a="1"/>
  <c r="ER186" i="54" s="1"/>
  <c r="ER111" i="54" a="1"/>
  <c r="ER111" i="54" s="1"/>
  <c r="CN37" i="54"/>
  <c r="CO37" i="54" s="1"/>
  <c r="CL37" i="54" s="1"/>
  <c r="CN38" i="54"/>
  <c r="CO38" i="54" s="1"/>
  <c r="CL38" i="54" s="1"/>
  <c r="CN39" i="54"/>
  <c r="CO39" i="54" s="1"/>
  <c r="CL39" i="54" s="1"/>
  <c r="CN255" i="54"/>
  <c r="CO255" i="54" s="1"/>
  <c r="CL255" i="54" s="1"/>
  <c r="ER70" i="54" a="1"/>
  <c r="ER70" i="54" s="1"/>
  <c r="ER208" i="54" a="1"/>
  <c r="ER208" i="54" s="1"/>
  <c r="ER179" i="54" a="1"/>
  <c r="ER179" i="54" s="1"/>
  <c r="ER243" i="54" a="1"/>
  <c r="ER243" i="54" s="1"/>
  <c r="ER112" i="54" a="1"/>
  <c r="ER112" i="54" s="1"/>
  <c r="ER220" i="54" a="1"/>
  <c r="ER220" i="54" s="1"/>
  <c r="ER170" i="54" a="1"/>
  <c r="ER170" i="54" s="1"/>
  <c r="ER45" i="54" a="1"/>
  <c r="ER45" i="54" s="1"/>
  <c r="ER174" i="54" a="1"/>
  <c r="ER174" i="54" s="1"/>
  <c r="ER85" i="54" a="1"/>
  <c r="ER85" i="54" s="1"/>
  <c r="ER248" i="54" a="1"/>
  <c r="ER248" i="54" s="1"/>
  <c r="CN157" i="54"/>
  <c r="CO157" i="54" s="1"/>
  <c r="CL157" i="54" s="1"/>
  <c r="CN116" i="54"/>
  <c r="CO116" i="54" s="1"/>
  <c r="CL116" i="54" s="1"/>
  <c r="ER34" i="54" a="1"/>
  <c r="ER34" i="54" s="1"/>
  <c r="ER172" i="54" a="1"/>
  <c r="ER172" i="54" s="1"/>
  <c r="ER143" i="54" a="1"/>
  <c r="ER143" i="54" s="1"/>
  <c r="ER27" i="54" a="1"/>
  <c r="ER27" i="54" s="1"/>
  <c r="ER204" i="54" a="1"/>
  <c r="ER204" i="54" s="1"/>
  <c r="ER135" i="54" a="1"/>
  <c r="ER135" i="54" s="1"/>
  <c r="CN61" i="54"/>
  <c r="CO61" i="54" s="1"/>
  <c r="CL61" i="54" s="1"/>
  <c r="CN62" i="54"/>
  <c r="CO62" i="54" s="1"/>
  <c r="CL62" i="54" s="1"/>
  <c r="CN57" i="54"/>
  <c r="CO57" i="54" s="1"/>
  <c r="CL57" i="54" s="1"/>
  <c r="CN10" i="54"/>
  <c r="CO10" i="54" s="1"/>
  <c r="CL10" i="54" s="1"/>
  <c r="CN226" i="54"/>
  <c r="CO226" i="54" s="1"/>
  <c r="CL226" i="54" s="1"/>
  <c r="ER88" i="54" a="1"/>
  <c r="ER88" i="54" s="1"/>
  <c r="ER217" i="54" a="1"/>
  <c r="ER217" i="54" s="1"/>
  <c r="ER191" i="54" a="1"/>
  <c r="ER191" i="54" s="1"/>
  <c r="ER255" i="54" a="1"/>
  <c r="ER255" i="54" s="1"/>
  <c r="ER241" i="54" a="1"/>
  <c r="ER241" i="54" s="1"/>
  <c r="ER224" i="54" a="1"/>
  <c r="ER224" i="54" s="1"/>
  <c r="CN151" i="54"/>
  <c r="CO151" i="54" s="1"/>
  <c r="CL151" i="54" s="1"/>
  <c r="CN158" i="54"/>
  <c r="CO158" i="54" s="1"/>
  <c r="CL158" i="54" s="1"/>
  <c r="CN135" i="54"/>
  <c r="CO135" i="54" s="1"/>
  <c r="CL135" i="54" s="1"/>
  <c r="CN88" i="54"/>
  <c r="CO88" i="54" s="1"/>
  <c r="CL88" i="54" s="1"/>
  <c r="CN41" i="54"/>
  <c r="CO41" i="54" s="1"/>
  <c r="CL41" i="54" s="1"/>
  <c r="CN257" i="54"/>
  <c r="CO257" i="54" s="1"/>
  <c r="CL257" i="54" s="1"/>
  <c r="ER115" i="54" a="1"/>
  <c r="ER115" i="54" s="1"/>
  <c r="ER86" i="54" a="1"/>
  <c r="ER86" i="54" s="1"/>
  <c r="ER215" i="54" a="1"/>
  <c r="ER215" i="54" s="1"/>
  <c r="ER90" i="54" a="1"/>
  <c r="ER90" i="54" s="1"/>
  <c r="ER265" i="54" a="1"/>
  <c r="ER265" i="54" s="1"/>
  <c r="ER251" i="54" a="1"/>
  <c r="ER251" i="54" s="1"/>
  <c r="CN205" i="54"/>
  <c r="CO205" i="54" s="1"/>
  <c r="CL205" i="54" s="1"/>
  <c r="CN206" i="54"/>
  <c r="CO206" i="54" s="1"/>
  <c r="CL206" i="54" s="1"/>
  <c r="CN177" i="54"/>
  <c r="CO177" i="54" s="1"/>
  <c r="CL177" i="54" s="1"/>
  <c r="CN130" i="54"/>
  <c r="CO130" i="54" s="1"/>
  <c r="CL130" i="54" s="1"/>
  <c r="ER56" i="54" a="1"/>
  <c r="ER56" i="54" s="1"/>
  <c r="ER205" i="54" a="1"/>
  <c r="ER205" i="54" s="1"/>
  <c r="ER176" i="54" a="1"/>
  <c r="ER176" i="54" s="1"/>
  <c r="ER240" i="54" a="1"/>
  <c r="ER240" i="54" s="1"/>
  <c r="ER226" i="54" a="1"/>
  <c r="ER226" i="54" s="1"/>
  <c r="ER195" i="54" a="1"/>
  <c r="ER195" i="54" s="1"/>
  <c r="CN127" i="54"/>
  <c r="CO127" i="54" s="1"/>
  <c r="CL127" i="54" s="1"/>
  <c r="CN128" i="54"/>
  <c r="CO128" i="54" s="1"/>
  <c r="CL128" i="54" s="1"/>
  <c r="CN111" i="54"/>
  <c r="CO111" i="54" s="1"/>
  <c r="CL111" i="54" s="1"/>
  <c r="CN64" i="54"/>
  <c r="CO64" i="54" s="1"/>
  <c r="CL64" i="54" s="1"/>
  <c r="ER121" i="54" a="1"/>
  <c r="ER121" i="54" s="1"/>
  <c r="ER92" i="54" a="1"/>
  <c r="ER92" i="54" s="1"/>
  <c r="ER221" i="54" a="1"/>
  <c r="ER221" i="54" s="1"/>
  <c r="ER108" i="54" a="1"/>
  <c r="ER108" i="54" s="1"/>
  <c r="ER41" i="54" a="1"/>
  <c r="ER41" i="54" s="1"/>
  <c r="ER257" i="54" a="1"/>
  <c r="ER257" i="54" s="1"/>
  <c r="CN217" i="54"/>
  <c r="CO217" i="54" s="1"/>
  <c r="CL217" i="54" s="1"/>
  <c r="CN218" i="54"/>
  <c r="CO218" i="54" s="1"/>
  <c r="CL218" i="54" s="1"/>
  <c r="CN189" i="54"/>
  <c r="CO189" i="54" s="1"/>
  <c r="CL189" i="54" s="1"/>
  <c r="ER74" i="54" a="1"/>
  <c r="ER74" i="54" s="1"/>
  <c r="ER211" i="54" a="1"/>
  <c r="ER211" i="54" s="1"/>
  <c r="ER13" i="54" a="1"/>
  <c r="ER13" i="54" s="1"/>
  <c r="ER130" i="54" a="1"/>
  <c r="ER130" i="54" s="1"/>
  <c r="ER75" i="54" a="1"/>
  <c r="ER75" i="54" s="1"/>
  <c r="ER188" i="54" a="1"/>
  <c r="ER188" i="54" s="1"/>
  <c r="ER231" i="54" a="1"/>
  <c r="ER231" i="54" s="1"/>
  <c r="ER210" i="54" a="1"/>
  <c r="ER210" i="54" s="1"/>
  <c r="ER93" i="54" a="1"/>
  <c r="ER93" i="54" s="1"/>
  <c r="ER266" i="54" a="1"/>
  <c r="ER266" i="54" s="1"/>
  <c r="CN193" i="54"/>
  <c r="CO193" i="54" s="1"/>
  <c r="CL193" i="54" s="1"/>
  <c r="CN152" i="54"/>
  <c r="CO152" i="54" s="1"/>
  <c r="CL152" i="54" s="1"/>
  <c r="ER21" i="54" a="1"/>
  <c r="ER21" i="54" s="1"/>
  <c r="ER193" i="54" a="1"/>
  <c r="ER193" i="54" s="1"/>
  <c r="ER164" i="54" a="1"/>
  <c r="ER164" i="54" s="1"/>
  <c r="ER228" i="54" a="1"/>
  <c r="ER228" i="54" s="1"/>
  <c r="ER55" i="54" a="1"/>
  <c r="ER55" i="54" s="1"/>
  <c r="ER177" i="54" a="1"/>
  <c r="ER177" i="54" s="1"/>
  <c r="CN103" i="54"/>
  <c r="CO103" i="54" s="1"/>
  <c r="CL103" i="54" s="1"/>
  <c r="CN104" i="54"/>
  <c r="CO104" i="54" s="1"/>
  <c r="CL104" i="54" s="1"/>
  <c r="CN93" i="54"/>
  <c r="CO93" i="54" s="1"/>
  <c r="CL93" i="54" s="1"/>
  <c r="CN46" i="54"/>
  <c r="CO46" i="54" s="1"/>
  <c r="CL46" i="54" s="1"/>
  <c r="CN262" i="54"/>
  <c r="CO262" i="54" s="1"/>
  <c r="CL262" i="54" s="1"/>
  <c r="ER109" i="54" a="1"/>
  <c r="ER109" i="54" s="1"/>
  <c r="ER82" i="54" a="1"/>
  <c r="ER82" i="54" s="1"/>
  <c r="ER212" i="54" a="1"/>
  <c r="ER212" i="54" s="1"/>
  <c r="ER76" i="54" a="1"/>
  <c r="ER76" i="54" s="1"/>
  <c r="ER262" i="54" a="1"/>
  <c r="ER262" i="54" s="1"/>
  <c r="ER245" i="54" a="1"/>
  <c r="ER245" i="54" s="1"/>
  <c r="CN199" i="54"/>
  <c r="CO199" i="54" s="1"/>
  <c r="CL199" i="54" s="1"/>
  <c r="CN200" i="54"/>
  <c r="CO200" i="54" s="1"/>
  <c r="CL200" i="54" s="1"/>
  <c r="CN171" i="54"/>
  <c r="CO171" i="54" s="1"/>
  <c r="CL171" i="54" s="1"/>
  <c r="CN124" i="54"/>
  <c r="CO124" i="54" s="1"/>
  <c r="CL124" i="54" s="1"/>
  <c r="CN77" i="54"/>
  <c r="CO77" i="54" s="1"/>
  <c r="CL77" i="54" s="1"/>
  <c r="CN162" i="54"/>
  <c r="CO162" i="54" s="1"/>
  <c r="CL162" i="54" s="1"/>
  <c r="ER136" i="54" a="1"/>
  <c r="ER136" i="54" s="1"/>
  <c r="ER107" i="54" a="1"/>
  <c r="ER107" i="54" s="1"/>
  <c r="ER29" i="54" a="1"/>
  <c r="ER29" i="54" s="1"/>
  <c r="ER132" i="54" a="1"/>
  <c r="ER132" i="54" s="1"/>
  <c r="ER23" i="54" a="1"/>
  <c r="ER23" i="54" s="1"/>
  <c r="ER73" i="54" a="1"/>
  <c r="ER73" i="54" s="1"/>
  <c r="CN247" i="54"/>
  <c r="CO247" i="54" s="1"/>
  <c r="CL247" i="54" s="1"/>
  <c r="CN248" i="54"/>
  <c r="CO248" i="54" s="1"/>
  <c r="CL248" i="54" s="1"/>
  <c r="CN213" i="54"/>
  <c r="CO213" i="54" s="1"/>
  <c r="CL213" i="54" s="1"/>
  <c r="CN166" i="54"/>
  <c r="CO166" i="54" s="1"/>
  <c r="CL166" i="54" s="1"/>
  <c r="ER97" i="54" a="1"/>
  <c r="ER97" i="54" s="1"/>
  <c r="ER50" i="54" a="1"/>
  <c r="ER50" i="54" s="1"/>
  <c r="ER197" i="54" a="1"/>
  <c r="ER197" i="54" s="1"/>
  <c r="ER261" i="54" a="1"/>
  <c r="ER261" i="54" s="1"/>
  <c r="ER247" i="54" a="1"/>
  <c r="ER247" i="54" s="1"/>
  <c r="ER233" i="54" a="1"/>
  <c r="ER233" i="54" s="1"/>
  <c r="CN169" i="54"/>
  <c r="CO169" i="54" s="1"/>
  <c r="CL169" i="54" s="1"/>
  <c r="CN170" i="54"/>
  <c r="CO170" i="54" s="1"/>
  <c r="CL170" i="54" s="1"/>
  <c r="CN147" i="54"/>
  <c r="CO147" i="54" s="1"/>
  <c r="CL147" i="54" s="1"/>
  <c r="CN100" i="54"/>
  <c r="CO100" i="54" s="1"/>
  <c r="CL100" i="54" s="1"/>
  <c r="ER142" i="54" a="1"/>
  <c r="ER142" i="54" s="1"/>
  <c r="ER113" i="54" a="1"/>
  <c r="ER113" i="54" s="1"/>
  <c r="ER42" i="54" a="1"/>
  <c r="ER42" i="54" s="1"/>
  <c r="ER150" i="54" a="1"/>
  <c r="ER150" i="54" s="1"/>
  <c r="ER58" i="54" a="1"/>
  <c r="ER58" i="54" s="1"/>
  <c r="ER44" i="54" a="1"/>
  <c r="ER44" i="54" s="1"/>
  <c r="CN259" i="54"/>
  <c r="CO259" i="54" s="1"/>
  <c r="CL259" i="54" s="1"/>
  <c r="CN266" i="54"/>
  <c r="CO266" i="54" s="1"/>
  <c r="CL266" i="54" s="1"/>
  <c r="CN225" i="54"/>
  <c r="CO225" i="54" s="1"/>
  <c r="CL225" i="54" s="1"/>
  <c r="ER103" i="54" a="1"/>
  <c r="ER103" i="54" s="1"/>
  <c r="ER166" i="54" a="1"/>
  <c r="ER166" i="54" s="1"/>
  <c r="ER11" i="54" a="1"/>
  <c r="ER11" i="54" s="1"/>
  <c r="ER232" i="54" a="1"/>
  <c r="ER232" i="54" s="1"/>
  <c r="CN49" i="54"/>
  <c r="CO49" i="54" s="1"/>
  <c r="CL49" i="54" s="1"/>
  <c r="CN224" i="54"/>
  <c r="CO224" i="54" s="1"/>
  <c r="CL224" i="54" s="1"/>
  <c r="ER68" i="54" a="1"/>
  <c r="ER68" i="54" s="1"/>
  <c r="ER69" i="54" a="1"/>
  <c r="ER69" i="54" s="1"/>
  <c r="ER242" i="54" a="1"/>
  <c r="ER242" i="54" s="1"/>
  <c r="CN194" i="54"/>
  <c r="CO194" i="54" s="1"/>
  <c r="CL194" i="54" s="1"/>
  <c r="CN118" i="54"/>
  <c r="CO118" i="54" s="1"/>
  <c r="CL118" i="54" s="1"/>
  <c r="ER154" i="54" a="1"/>
  <c r="ER154" i="54" s="1"/>
  <c r="ER61" i="54" a="1"/>
  <c r="ER61" i="54" s="1"/>
  <c r="ER99" i="54" a="1"/>
  <c r="ER99" i="54" s="1"/>
  <c r="CN26" i="54"/>
  <c r="CO26" i="54" s="1"/>
  <c r="CL26" i="54" s="1"/>
  <c r="CN243" i="54"/>
  <c r="CO243" i="54" s="1"/>
  <c r="CL243" i="54" s="1"/>
  <c r="CN149" i="54"/>
  <c r="CO149" i="54" s="1"/>
  <c r="CL149" i="54" s="1"/>
  <c r="ER178" i="54" a="1"/>
  <c r="ER178" i="54" s="1"/>
  <c r="ER53" i="54" a="1"/>
  <c r="ER53" i="54" s="1"/>
  <c r="ER147" i="54" a="1"/>
  <c r="ER147" i="54" s="1"/>
  <c r="CN74" i="54"/>
  <c r="CO74" i="54" s="1"/>
  <c r="CL74" i="54" s="1"/>
  <c r="CN22" i="54"/>
  <c r="CO22" i="54" s="1"/>
  <c r="CL22" i="54" s="1"/>
  <c r="ER139" i="54" a="1"/>
  <c r="ER139" i="54" s="1"/>
  <c r="ER33" i="54" a="1"/>
  <c r="ER33" i="54" s="1"/>
  <c r="ER51" i="54" a="1"/>
  <c r="ER51" i="54" s="1"/>
  <c r="CN253" i="54"/>
  <c r="CO253" i="54" s="1"/>
  <c r="CL253" i="54" s="1"/>
  <c r="CN219" i="54"/>
  <c r="CO219" i="54" s="1"/>
  <c r="CL219" i="54" s="1"/>
  <c r="ER187" i="54" a="1"/>
  <c r="ER187" i="54" s="1"/>
  <c r="ER67" i="54" a="1"/>
  <c r="ER67" i="54" s="1"/>
  <c r="ER117" i="54" a="1"/>
  <c r="ER117" i="54" s="1"/>
  <c r="CN133" i="54"/>
  <c r="CO133" i="54" s="1"/>
  <c r="CL133" i="54" s="1"/>
  <c r="CN45" i="54"/>
  <c r="CO45" i="54" s="1"/>
  <c r="CL45" i="54" s="1"/>
  <c r="ER28" i="54" a="1"/>
  <c r="ER28" i="54" s="1"/>
  <c r="ER64" i="54" a="1"/>
  <c r="ER64" i="54" s="1"/>
  <c r="ER203" i="54" a="1"/>
  <c r="ER203" i="54" s="1"/>
  <c r="ER62" i="54" a="1"/>
  <c r="ER62" i="54" s="1"/>
  <c r="ER256" i="54" a="1"/>
  <c r="ER256" i="54" s="1"/>
  <c r="ER239" i="54" a="1"/>
  <c r="ER239" i="54" s="1"/>
  <c r="CN181" i="54"/>
  <c r="CO181" i="54" s="1"/>
  <c r="CL181" i="54" s="1"/>
  <c r="CN182" i="54"/>
  <c r="CO182" i="54" s="1"/>
  <c r="CL182" i="54" s="1"/>
  <c r="CN159" i="54"/>
  <c r="CO159" i="54" s="1"/>
  <c r="CL159" i="54" s="1"/>
  <c r="CN112" i="54"/>
  <c r="CO112" i="54" s="1"/>
  <c r="CL112" i="54" s="1"/>
  <c r="CN65" i="54"/>
  <c r="CO65" i="54" s="1"/>
  <c r="CL65" i="54" s="1"/>
  <c r="ER202" i="54" a="1"/>
  <c r="ER202" i="54" s="1"/>
  <c r="ER72" i="54" a="1"/>
  <c r="ER72" i="54" s="1"/>
  <c r="ER268" i="54" a="1"/>
  <c r="ER268" i="54" s="1"/>
  <c r="GF3" i="54" s="1"/>
  <c r="FY3" i="54" s="1"/>
  <c r="FZ4" i="54" s="1" a="1"/>
  <c r="FZ4" i="54" s="1"/>
  <c r="GC5" i="54" s="1"/>
  <c r="CN121" i="54"/>
  <c r="CO121" i="54" s="1"/>
  <c r="CL121" i="54" s="1"/>
  <c r="ER10" i="54" a="1"/>
  <c r="ER10" i="54" s="1"/>
  <c r="ER122" i="54" a="1"/>
  <c r="ER122" i="54" s="1"/>
  <c r="ER162" i="54" a="1"/>
  <c r="ER162" i="54" s="1"/>
  <c r="CN19" i="54"/>
  <c r="CO19" i="54" s="1"/>
  <c r="CL19" i="54" s="1"/>
  <c r="CN21" i="54"/>
  <c r="CO21" i="54" s="1"/>
  <c r="CL21" i="54" s="1"/>
  <c r="CN190" i="54"/>
  <c r="CO190" i="54" s="1"/>
  <c r="CL190" i="54" s="1"/>
  <c r="ER196" i="54" a="1"/>
  <c r="ER196" i="54" s="1"/>
  <c r="ER234" i="54" a="1"/>
  <c r="ER234" i="54" s="1"/>
  <c r="ER183" i="54" a="1"/>
  <c r="ER183" i="54" s="1"/>
  <c r="CN110" i="54"/>
  <c r="CO110" i="54" s="1"/>
  <c r="CL110" i="54" s="1"/>
  <c r="CN52" i="54"/>
  <c r="CO52" i="54" s="1"/>
  <c r="CL52" i="54" s="1"/>
  <c r="CN221" i="54"/>
  <c r="CO221" i="54" s="1"/>
  <c r="CL221" i="54" s="1"/>
  <c r="ER223" i="54" a="1"/>
  <c r="ER223" i="54" s="1"/>
  <c r="ER258" i="54" a="1"/>
  <c r="ER258" i="54" s="1"/>
  <c r="ER227" i="54" a="1"/>
  <c r="ER227" i="54" s="1"/>
  <c r="CN164" i="54"/>
  <c r="CO164" i="54" s="1"/>
  <c r="CL164" i="54" s="1"/>
  <c r="CN94" i="54"/>
  <c r="CO94" i="54" s="1"/>
  <c r="CL94" i="54" s="1"/>
  <c r="ER181" i="54" a="1"/>
  <c r="ER181" i="54" s="1"/>
  <c r="ER60" i="54" a="1"/>
  <c r="ER60" i="54" s="1"/>
  <c r="ER153" i="54" a="1"/>
  <c r="ER153" i="54" s="1"/>
  <c r="CN86" i="54"/>
  <c r="CO86" i="54" s="1"/>
  <c r="CL86" i="54" s="1"/>
  <c r="CN28" i="54"/>
  <c r="CO28" i="54" s="1"/>
  <c r="CL28" i="54" s="1"/>
  <c r="ER57" i="54" a="1"/>
  <c r="ER57" i="54" s="1"/>
  <c r="ER264" i="54" a="1"/>
  <c r="ER264" i="54" s="1"/>
  <c r="ER159" i="54" a="1"/>
  <c r="ER159" i="54" s="1"/>
  <c r="CN175" i="54"/>
  <c r="CO175" i="54" s="1"/>
  <c r="CL175" i="54" s="1"/>
  <c r="CN81" i="54"/>
  <c r="CO81" i="54" s="1"/>
  <c r="CL81" i="54" s="1"/>
  <c r="ER17" i="54" a="1"/>
  <c r="ER17" i="54" s="1"/>
  <c r="ER95" i="54" a="1"/>
  <c r="ER95" i="54" s="1"/>
  <c r="ER15" i="54" a="1"/>
  <c r="ER15" i="54" s="1"/>
  <c r="ER114" i="54" a="1"/>
  <c r="ER114" i="54" s="1"/>
  <c r="ER49" i="54" a="1"/>
  <c r="ER49" i="54" s="1"/>
  <c r="ER260" i="54" a="1"/>
  <c r="ER260" i="54" s="1"/>
  <c r="CN223" i="54"/>
  <c r="CO223" i="54" s="1"/>
  <c r="CL223" i="54" s="1"/>
  <c r="CN230" i="54"/>
  <c r="CO230" i="54" s="1"/>
  <c r="CL230" i="54" s="1"/>
  <c r="CN195" i="54"/>
  <c r="CO195" i="54" s="1"/>
  <c r="CL195" i="54" s="1"/>
  <c r="CN148" i="54"/>
  <c r="CO148" i="54" s="1"/>
  <c r="CL148" i="54" s="1"/>
  <c r="CN101" i="54"/>
  <c r="CO101" i="54" s="1"/>
  <c r="CL101" i="54" s="1"/>
  <c r="CN60" i="54"/>
  <c r="CO60" i="54" s="1"/>
  <c r="CL60" i="54" s="1"/>
  <c r="CK102" i="54" a="1"/>
  <c r="CK102" i="54" s="1"/>
  <c r="CK210" i="54" a="1"/>
  <c r="CK210" i="54" s="1"/>
  <c r="CK16" i="54" a="1"/>
  <c r="CK16" i="54" s="1"/>
  <c r="CK124" i="54" a="1"/>
  <c r="CK124" i="54" s="1"/>
  <c r="CK232" i="54" a="1"/>
  <c r="CK232" i="54" s="1"/>
  <c r="CK11" i="54" a="1"/>
  <c r="CK11" i="54" s="1"/>
  <c r="CK71" i="54" a="1"/>
  <c r="CK71" i="54" s="1"/>
  <c r="CK59" i="54" a="1"/>
  <c r="CK59" i="54" s="1"/>
  <c r="CN197" i="54"/>
  <c r="CO197" i="54" s="1"/>
  <c r="CL197" i="54" s="1"/>
  <c r="CK75" i="54" a="1"/>
  <c r="CK75" i="54" s="1"/>
  <c r="CK204" i="54" a="1"/>
  <c r="CK204" i="54" s="1"/>
  <c r="CK31" i="54" a="1"/>
  <c r="CK31" i="54" s="1"/>
  <c r="CK163" i="54" a="1"/>
  <c r="CK163" i="54" s="1"/>
  <c r="CN120" i="54"/>
  <c r="CO120" i="54" s="1"/>
  <c r="CL120" i="54" s="1"/>
  <c r="CK212" i="54" a="1"/>
  <c r="CK212" i="54" s="1"/>
  <c r="CK149" i="54" a="1"/>
  <c r="CK149" i="54" s="1"/>
  <c r="CN155" i="54"/>
  <c r="CO155" i="54" s="1"/>
  <c r="CL155" i="54" s="1"/>
  <c r="CK57" i="54" a="1"/>
  <c r="CK57" i="54" s="1"/>
  <c r="CK186" i="54" a="1"/>
  <c r="CK186" i="54" s="1"/>
  <c r="CK13" i="54" a="1"/>
  <c r="CK13" i="54" s="1"/>
  <c r="CK145" i="54" a="1"/>
  <c r="CK145" i="54" s="1"/>
  <c r="CN78" i="54"/>
  <c r="CO78" i="54" s="1"/>
  <c r="CL78" i="54" s="1"/>
  <c r="CK104" i="54" a="1"/>
  <c r="CK104" i="54" s="1"/>
  <c r="CK221" i="54" a="1"/>
  <c r="CK221" i="54" s="1"/>
  <c r="CN161" i="54"/>
  <c r="CO161" i="54" s="1"/>
  <c r="CL161" i="54" s="1"/>
  <c r="CK60" i="54" a="1"/>
  <c r="CK60" i="54" s="1"/>
  <c r="CK189" i="54" a="1"/>
  <c r="CK189" i="54" s="1"/>
  <c r="CK19" i="54" a="1"/>
  <c r="CK19" i="54" s="1"/>
  <c r="CK148" i="54" a="1"/>
  <c r="CK148" i="54" s="1"/>
  <c r="CN114" i="54"/>
  <c r="CO114" i="54" s="1"/>
  <c r="CL114" i="54" s="1"/>
  <c r="CK122" i="54" a="1"/>
  <c r="CK122" i="54" s="1"/>
  <c r="CN84" i="54"/>
  <c r="CO84" i="54" s="1"/>
  <c r="CL84" i="54" s="1"/>
  <c r="CN167" i="54"/>
  <c r="CO167" i="54" s="1"/>
  <c r="CL167" i="54" s="1"/>
  <c r="CK63" i="54" a="1"/>
  <c r="CK63" i="54" s="1"/>
  <c r="CK195" i="54" a="1"/>
  <c r="CK195" i="54" s="1"/>
  <c r="CK22" i="54" a="1"/>
  <c r="CK22" i="54" s="1"/>
  <c r="CK151" i="54" a="1"/>
  <c r="CK151" i="54" s="1"/>
  <c r="CN150" i="54"/>
  <c r="CO150" i="54" s="1"/>
  <c r="CL150" i="54" s="1"/>
  <c r="CK140" i="54" a="1"/>
  <c r="CK140" i="54" s="1"/>
  <c r="CK131" i="54" a="1"/>
  <c r="CK131" i="54" s="1"/>
  <c r="CN179" i="54"/>
  <c r="CO179" i="54" s="1"/>
  <c r="CL179" i="54" s="1"/>
  <c r="CK69" i="54" a="1"/>
  <c r="CK69" i="54" s="1"/>
  <c r="CK198" i="54" a="1"/>
  <c r="CK198" i="54" s="1"/>
  <c r="CK25" i="54" a="1"/>
  <c r="CK25" i="54" s="1"/>
  <c r="CK154" i="54" a="1"/>
  <c r="CK154" i="54" s="1"/>
  <c r="CN186" i="54"/>
  <c r="CO186" i="54" s="1"/>
  <c r="CL186" i="54" s="1"/>
  <c r="CK176" i="54" a="1"/>
  <c r="CK176" i="54" s="1"/>
  <c r="CK239" i="54" a="1"/>
  <c r="CK239" i="54" s="1"/>
  <c r="CN191" i="54"/>
  <c r="CO191" i="54" s="1"/>
  <c r="CL191" i="54" s="1"/>
  <c r="CK72" i="54" a="1"/>
  <c r="CK72" i="54" s="1"/>
  <c r="CK201" i="54" a="1"/>
  <c r="CK201" i="54" s="1"/>
  <c r="CK28" i="54" a="1"/>
  <c r="CK28" i="54" s="1"/>
  <c r="CK157" i="54" a="1"/>
  <c r="CK157" i="54" s="1"/>
  <c r="CN258" i="54"/>
  <c r="CO258" i="54" s="1"/>
  <c r="CL258" i="54" s="1"/>
  <c r="CK194" i="54" a="1"/>
  <c r="CK194" i="54" s="1"/>
  <c r="CK41" i="54" a="1"/>
  <c r="CK41" i="54" s="1"/>
  <c r="ER31" i="54" a="1"/>
  <c r="ER31" i="54" s="1"/>
  <c r="ER98" i="54" a="1"/>
  <c r="ER98" i="54" s="1"/>
  <c r="ER249" i="54" a="1"/>
  <c r="ER249" i="54" s="1"/>
  <c r="ER129" i="54" a="1"/>
  <c r="ER129" i="54" s="1"/>
  <c r="CN229" i="54"/>
  <c r="CO229" i="54" s="1"/>
  <c r="CL229" i="54" s="1"/>
  <c r="ER81" i="54" a="1"/>
  <c r="ER81" i="54" s="1"/>
  <c r="ER185" i="54" a="1"/>
  <c r="ER185" i="54" s="1"/>
  <c r="ER238" i="54" a="1"/>
  <c r="ER238" i="54" s="1"/>
  <c r="CN145" i="54"/>
  <c r="CO145" i="54" s="1"/>
  <c r="CL145" i="54" s="1"/>
  <c r="CN129" i="54"/>
  <c r="CO129" i="54" s="1"/>
  <c r="CL129" i="54" s="1"/>
  <c r="CN35" i="54"/>
  <c r="CO35" i="54" s="1"/>
  <c r="CL35" i="54" s="1"/>
  <c r="ER104" i="54" a="1"/>
  <c r="ER104" i="54" s="1"/>
  <c r="ER126" i="54" a="1"/>
  <c r="ER126" i="54" s="1"/>
  <c r="ER66" i="54" a="1"/>
  <c r="ER66" i="54" s="1"/>
  <c r="CN242" i="54"/>
  <c r="CO242" i="54" s="1"/>
  <c r="CL242" i="54" s="1"/>
  <c r="CN160" i="54"/>
  <c r="CO160" i="54" s="1"/>
  <c r="CL160" i="54" s="1"/>
  <c r="ER19" i="54" a="1"/>
  <c r="ER19" i="54" s="1"/>
  <c r="ER128" i="54" a="1"/>
  <c r="ER128" i="54" s="1"/>
  <c r="ER180" i="54" a="1"/>
  <c r="ER180" i="54" s="1"/>
  <c r="CN31" i="54"/>
  <c r="CO31" i="54" s="1"/>
  <c r="CL31" i="54" s="1"/>
  <c r="CN33" i="54"/>
  <c r="CO33" i="54" s="1"/>
  <c r="CL33" i="54" s="1"/>
  <c r="CN202" i="54"/>
  <c r="CO202" i="54" s="1"/>
  <c r="CL202" i="54" s="1"/>
  <c r="ER89" i="54" a="1"/>
  <c r="ER89" i="54" s="1"/>
  <c r="ER96" i="54" a="1"/>
  <c r="ER96" i="54" s="1"/>
  <c r="ER254" i="54" a="1"/>
  <c r="ER254" i="54" s="1"/>
  <c r="CN212" i="54"/>
  <c r="CO212" i="54" s="1"/>
  <c r="CL212" i="54" s="1"/>
  <c r="ER25" i="54" a="1"/>
  <c r="ER25" i="54" s="1"/>
  <c r="ER137" i="54" a="1"/>
  <c r="ER137" i="54" s="1"/>
  <c r="ER192" i="54" a="1"/>
  <c r="ER192" i="54" s="1"/>
  <c r="ER207" i="54" a="1"/>
  <c r="ER207" i="54" s="1"/>
  <c r="CN50" i="54"/>
  <c r="CO50" i="54" s="1"/>
  <c r="CL50" i="54" s="1"/>
  <c r="CN117" i="54"/>
  <c r="CO117" i="54" s="1"/>
  <c r="CL117" i="54" s="1"/>
  <c r="ER124" i="54" a="1"/>
  <c r="ER124" i="54" s="1"/>
  <c r="ER119" i="54" a="1"/>
  <c r="ER119" i="54" s="1"/>
  <c r="ER47" i="54" a="1"/>
  <c r="ER47" i="54" s="1"/>
  <c r="ER156" i="54" a="1"/>
  <c r="ER156" i="54" s="1"/>
  <c r="ER80" i="54" a="1"/>
  <c r="ER80" i="54" s="1"/>
  <c r="ER59" i="54" a="1"/>
  <c r="ER59" i="54" s="1"/>
  <c r="CN14" i="54"/>
  <c r="CO14" i="54" s="1"/>
  <c r="CL14" i="54" s="1"/>
  <c r="CN15" i="54"/>
  <c r="CO15" i="54" s="1"/>
  <c r="CL15" i="54" s="1"/>
  <c r="CN231" i="54"/>
  <c r="CO231" i="54" s="1"/>
  <c r="CL231" i="54" s="1"/>
  <c r="CN184" i="54"/>
  <c r="CO184" i="54" s="1"/>
  <c r="CL184" i="54" s="1"/>
  <c r="CN137" i="54"/>
  <c r="CO137" i="54" s="1"/>
  <c r="CL137" i="54" s="1"/>
  <c r="CK12" i="54" a="1"/>
  <c r="CK12" i="54" s="1"/>
  <c r="CK120" i="54" a="1"/>
  <c r="CK120" i="54" s="1"/>
  <c r="CK228" i="54" a="1"/>
  <c r="CK228" i="54" s="1"/>
  <c r="CK34" i="54" a="1"/>
  <c r="CK34" i="54" s="1"/>
  <c r="CK142" i="54" a="1"/>
  <c r="CK142" i="54" s="1"/>
  <c r="CK250" i="54" a="1"/>
  <c r="CK250" i="54" s="1"/>
  <c r="CK119" i="54" a="1"/>
  <c r="CK119" i="54" s="1"/>
  <c r="CK179" i="54" a="1"/>
  <c r="CK179" i="54" s="1"/>
  <c r="CN70" i="54"/>
  <c r="CO70" i="54" s="1"/>
  <c r="CL70" i="54" s="1"/>
  <c r="CN251" i="54"/>
  <c r="CO251" i="54" s="1"/>
  <c r="CL251" i="54" s="1"/>
  <c r="CK96" i="54" a="1"/>
  <c r="CK96" i="54" s="1"/>
  <c r="CK225" i="54" a="1"/>
  <c r="CK225" i="54" s="1"/>
  <c r="CK55" i="54" a="1"/>
  <c r="CK55" i="54" s="1"/>
  <c r="CK184" i="54" a="1"/>
  <c r="CK184" i="54" s="1"/>
  <c r="CK134" i="54" a="1"/>
  <c r="CK134" i="54" s="1"/>
  <c r="CK35" i="54" a="1"/>
  <c r="CK35" i="54" s="1"/>
  <c r="CK203" i="54" a="1"/>
  <c r="CK203" i="54" s="1"/>
  <c r="CN203" i="54"/>
  <c r="CO203" i="54" s="1"/>
  <c r="CL203" i="54" s="1"/>
  <c r="CK78" i="54" a="1"/>
  <c r="CK78" i="54" s="1"/>
  <c r="CK207" i="54" a="1"/>
  <c r="CK207" i="54" s="1"/>
  <c r="ER94" i="54" a="1"/>
  <c r="ER94" i="54" s="1"/>
  <c r="ER152" i="54" a="1"/>
  <c r="ER152" i="54" s="1"/>
  <c r="ER138" i="54" a="1"/>
  <c r="ER138" i="54" s="1"/>
  <c r="ER230" i="54" a="1"/>
  <c r="ER230" i="54" s="1"/>
  <c r="CN80" i="54"/>
  <c r="CO80" i="54" s="1"/>
  <c r="CL80" i="54" s="1"/>
  <c r="ER151" i="54" a="1"/>
  <c r="ER151" i="54" s="1"/>
  <c r="ER54" i="54" a="1"/>
  <c r="ER54" i="54" s="1"/>
  <c r="ER87" i="54" a="1"/>
  <c r="ER87" i="54" s="1"/>
  <c r="CN20" i="54"/>
  <c r="CO20" i="54" s="1"/>
  <c r="CL20" i="54" s="1"/>
  <c r="CN237" i="54"/>
  <c r="CO237" i="54" s="1"/>
  <c r="CL237" i="54" s="1"/>
  <c r="ER26" i="54" a="1"/>
  <c r="ER26" i="54" s="1"/>
  <c r="ER167" i="54" a="1"/>
  <c r="ER167" i="54" s="1"/>
  <c r="ER77" i="54" a="1"/>
  <c r="ER77" i="54" s="1"/>
  <c r="CN109" i="54"/>
  <c r="CO109" i="54" s="1"/>
  <c r="CL109" i="54" s="1"/>
  <c r="CN99" i="54"/>
  <c r="CO99" i="54" s="1"/>
  <c r="CL99" i="54" s="1"/>
  <c r="CN268" i="54"/>
  <c r="CO268" i="54" s="1"/>
  <c r="CL268" i="54" s="1"/>
  <c r="ER91" i="54" a="1"/>
  <c r="ER91" i="54" s="1"/>
  <c r="ER194" i="54" a="1"/>
  <c r="ER194" i="54" s="1"/>
  <c r="ER244" i="54" a="1"/>
  <c r="ER244" i="54" s="1"/>
  <c r="CN163" i="54"/>
  <c r="CO163" i="54" s="1"/>
  <c r="CL163" i="54" s="1"/>
  <c r="CN141" i="54"/>
  <c r="CO141" i="54" s="1"/>
  <c r="CL141" i="54" s="1"/>
  <c r="ER43" i="54" a="1"/>
  <c r="ER43" i="54" s="1"/>
  <c r="ER155" i="54" a="1"/>
  <c r="ER155" i="54" s="1"/>
  <c r="ER18" i="54" a="1"/>
  <c r="ER18" i="54" s="1"/>
  <c r="CN79" i="54"/>
  <c r="CO79" i="54" s="1"/>
  <c r="CL79" i="54" s="1"/>
  <c r="CN75" i="54"/>
  <c r="CO75" i="54" s="1"/>
  <c r="CL75" i="54" s="1"/>
  <c r="ER100" i="54" a="1"/>
  <c r="ER100" i="54" s="1"/>
  <c r="ER200" i="54" a="1"/>
  <c r="ER200" i="54" s="1"/>
  <c r="ER229" i="54" a="1"/>
  <c r="ER229" i="54" s="1"/>
  <c r="CN43" i="54"/>
  <c r="CO43" i="54" s="1"/>
  <c r="CL43" i="54" s="1"/>
  <c r="CN134" i="54"/>
  <c r="CO134" i="54" s="1"/>
  <c r="CL134" i="54" s="1"/>
  <c r="CN261" i="54"/>
  <c r="CO261" i="54" s="1"/>
  <c r="CL261" i="54" s="1"/>
  <c r="ER169" i="54" a="1"/>
  <c r="ER169" i="54" s="1"/>
  <c r="ER161" i="54" a="1"/>
  <c r="ER161" i="54" s="1"/>
  <c r="ER225" i="54" a="1"/>
  <c r="ER225" i="54" s="1"/>
  <c r="ER39" i="54" a="1"/>
  <c r="ER39" i="54" s="1"/>
  <c r="ER171" i="54" a="1"/>
  <c r="ER171" i="54" s="1"/>
  <c r="CN97" i="54"/>
  <c r="CO97" i="54" s="1"/>
  <c r="CL97" i="54" s="1"/>
  <c r="CN98" i="54"/>
  <c r="CO98" i="54" s="1"/>
  <c r="CL98" i="54" s="1"/>
  <c r="CN87" i="54"/>
  <c r="CO87" i="54" s="1"/>
  <c r="CL87" i="54" s="1"/>
  <c r="CN40" i="54"/>
  <c r="CO40" i="54" s="1"/>
  <c r="CL40" i="54" s="1"/>
  <c r="CN256" i="54"/>
  <c r="CO256" i="54" s="1"/>
  <c r="CL256" i="54" s="1"/>
  <c r="CN209" i="54"/>
  <c r="CO209" i="54" s="1"/>
  <c r="CL209" i="54" s="1"/>
  <c r="CK48" i="54" a="1"/>
  <c r="CK48" i="54" s="1"/>
  <c r="CK156" i="54" a="1"/>
  <c r="CK156" i="54" s="1"/>
  <c r="CK264" i="54" a="1"/>
  <c r="CK264" i="54" s="1"/>
  <c r="CK70" i="54" a="1"/>
  <c r="CK70" i="54" s="1"/>
  <c r="CK178" i="54" a="1"/>
  <c r="CK178" i="54" s="1"/>
  <c r="CN222" i="54"/>
  <c r="CO222" i="54" s="1"/>
  <c r="CL222" i="54" s="1"/>
  <c r="CK50" i="54" a="1"/>
  <c r="CK50" i="54" s="1"/>
  <c r="CK110" i="54" a="1"/>
  <c r="CK110" i="54" s="1"/>
  <c r="CN23" i="54"/>
  <c r="CO23" i="54" s="1"/>
  <c r="CL23" i="54" s="1"/>
  <c r="CN240" i="54"/>
  <c r="CO240" i="54" s="1"/>
  <c r="CL240" i="54" s="1"/>
  <c r="CK141" i="54" a="1"/>
  <c r="CK141" i="54" s="1"/>
  <c r="CN30" i="54"/>
  <c r="CO30" i="54" s="1"/>
  <c r="CL30" i="54" s="1"/>
  <c r="CK97" i="54" a="1"/>
  <c r="CK97" i="54" s="1"/>
  <c r="CK226" i="54" a="1"/>
  <c r="CK226" i="54" s="1"/>
  <c r="CK101" i="54" a="1"/>
  <c r="CK101" i="54" s="1"/>
  <c r="CK20" i="54" a="1"/>
  <c r="CK20" i="54" s="1"/>
  <c r="CN214" i="54"/>
  <c r="CO214" i="54" s="1"/>
  <c r="CL214" i="54" s="1"/>
  <c r="CN24" i="54"/>
  <c r="CO24" i="54" s="1"/>
  <c r="CL24" i="54" s="1"/>
  <c r="CK123" i="54" a="1"/>
  <c r="CK123" i="54" s="1"/>
  <c r="CK252" i="54" a="1"/>
  <c r="CK252" i="54" s="1"/>
  <c r="CK79" i="54" a="1"/>
  <c r="CK79" i="54" s="1"/>
  <c r="CK208" i="54" a="1"/>
  <c r="CK208" i="54" s="1"/>
  <c r="CN156" i="54"/>
  <c r="CO156" i="54" s="1"/>
  <c r="CL156" i="54" s="1"/>
  <c r="CK197" i="54" a="1"/>
  <c r="CK197" i="54" s="1"/>
  <c r="CN244" i="54"/>
  <c r="CO244" i="54" s="1"/>
  <c r="CL244" i="54" s="1"/>
  <c r="CN96" i="54"/>
  <c r="CO96" i="54" s="1"/>
  <c r="CL96" i="54" s="1"/>
  <c r="CK126" i="54" a="1"/>
  <c r="CK126" i="54" s="1"/>
  <c r="CK255" i="54" a="1"/>
  <c r="CK255" i="54" s="1"/>
  <c r="CK82" i="54" a="1"/>
  <c r="CK82" i="54" s="1"/>
  <c r="CK211" i="54" a="1"/>
  <c r="CK211" i="54" s="1"/>
  <c r="CK29" i="54" a="1"/>
  <c r="CK29" i="54" s="1"/>
  <c r="CK215" i="54" a="1"/>
  <c r="CK215" i="54" s="1"/>
  <c r="CN250" i="54"/>
  <c r="CO250" i="54" s="1"/>
  <c r="CL250" i="54" s="1"/>
  <c r="CN132" i="54"/>
  <c r="CO132" i="54" s="1"/>
  <c r="CL132" i="54" s="1"/>
  <c r="CK129" i="54" a="1"/>
  <c r="CK129" i="54" s="1"/>
  <c r="CK258" i="54" a="1"/>
  <c r="CK258" i="54" s="1"/>
  <c r="CF93" i="54"/>
  <c r="CF137" i="54"/>
  <c r="CE27" i="54"/>
  <c r="CK254" i="54" a="1"/>
  <c r="CK254" i="54" s="1"/>
  <c r="CK209" i="54" a="1"/>
  <c r="CK209" i="54" s="1"/>
  <c r="CK223" i="54" a="1"/>
  <c r="CK223" i="54" s="1"/>
  <c r="CK73" i="54" a="1"/>
  <c r="CK73" i="54" s="1"/>
  <c r="CK222" i="54" a="1"/>
  <c r="CK222" i="54" s="1"/>
  <c r="CK51" i="54" a="1"/>
  <c r="CK51" i="54" s="1"/>
  <c r="CN83" i="54"/>
  <c r="CO83" i="54" s="1"/>
  <c r="CL83" i="54" s="1"/>
  <c r="CK251" i="54" a="1"/>
  <c r="CK251" i="54" s="1"/>
  <c r="CK224" i="54" a="1"/>
  <c r="CK224" i="54" s="1"/>
  <c r="CK175" i="54" a="1"/>
  <c r="CK175" i="54" s="1"/>
  <c r="CN216" i="54"/>
  <c r="CO216" i="54" s="1"/>
  <c r="CL216" i="54" s="1"/>
  <c r="CK153" i="54" a="1"/>
  <c r="CK153" i="54" s="1"/>
  <c r="CN168" i="54"/>
  <c r="CO168" i="54" s="1"/>
  <c r="CL168" i="54" s="1"/>
  <c r="CN172" i="54"/>
  <c r="CO172" i="54" s="1"/>
  <c r="CL172" i="54" s="1"/>
  <c r="CN12" i="54"/>
  <c r="CO12" i="54" s="1"/>
  <c r="CL12" i="54" s="1"/>
  <c r="CK259" i="54" a="1"/>
  <c r="CK259" i="54" s="1"/>
  <c r="CK109" i="54" a="1"/>
  <c r="CK109" i="54" s="1"/>
  <c r="CK237" i="54" a="1"/>
  <c r="CK237" i="54" s="1"/>
  <c r="CK42" i="54" a="1"/>
  <c r="CK42" i="54" s="1"/>
  <c r="CN142" i="54"/>
  <c r="CO142" i="54" s="1"/>
  <c r="CL142" i="54" s="1"/>
  <c r="CN192" i="54"/>
  <c r="CO192" i="54" s="1"/>
  <c r="CL192" i="54" s="1"/>
  <c r="CK190" i="54" a="1"/>
  <c r="CK190" i="54" s="1"/>
  <c r="CN108" i="54"/>
  <c r="CO108" i="54" s="1"/>
  <c r="CL108" i="54" s="1"/>
  <c r="CK105" i="54" a="1"/>
  <c r="CK105" i="54" s="1"/>
  <c r="CN107" i="54"/>
  <c r="CO107" i="54" s="1"/>
  <c r="CL107" i="54" s="1"/>
  <c r="CK53" i="54" a="1"/>
  <c r="CK53" i="54" s="1"/>
  <c r="CK253" i="54" a="1"/>
  <c r="CK253" i="54" s="1"/>
  <c r="CK58" i="54" a="1"/>
  <c r="CK58" i="54" s="1"/>
  <c r="CK144" i="54" a="1"/>
  <c r="CK144" i="54" s="1"/>
  <c r="CN47" i="54"/>
  <c r="CO47" i="54" s="1"/>
  <c r="CL47" i="54" s="1"/>
  <c r="CK245" i="54" a="1"/>
  <c r="CK245" i="54" s="1"/>
  <c r="CK118" i="54" a="1"/>
  <c r="CK118" i="54" s="1"/>
  <c r="CK162" i="54" a="1"/>
  <c r="CK162" i="54" s="1"/>
  <c r="CN89" i="54"/>
  <c r="CO89" i="54" s="1"/>
  <c r="CL89" i="54" s="1"/>
  <c r="CK158" i="54" a="1"/>
  <c r="CK158" i="54" s="1"/>
  <c r="CK196" i="54" a="1"/>
  <c r="CK196" i="54" s="1"/>
  <c r="CN174" i="54"/>
  <c r="CO174" i="54" s="1"/>
  <c r="CL174" i="54" s="1"/>
  <c r="CK66" i="54" a="1"/>
  <c r="CK66" i="54" s="1"/>
  <c r="CN220" i="54"/>
  <c r="CO220" i="54" s="1"/>
  <c r="CL220" i="54" s="1"/>
  <c r="CN56" i="54"/>
  <c r="CO56" i="54" s="1"/>
  <c r="CL56" i="54" s="1"/>
  <c r="ER198" i="54" a="1"/>
  <c r="ER198" i="54" s="1"/>
  <c r="ER145" i="54" a="1"/>
  <c r="ER145" i="54" s="1"/>
  <c r="ER236" i="54" a="1"/>
  <c r="ER236" i="54" s="1"/>
  <c r="ER46" i="54" a="1"/>
  <c r="ER46" i="54" s="1"/>
  <c r="ER144" i="54" a="1"/>
  <c r="ER144" i="54" s="1"/>
  <c r="CN69" i="54"/>
  <c r="CO69" i="54" s="1"/>
  <c r="CL69" i="54" s="1"/>
  <c r="ER149" i="54" a="1"/>
  <c r="ER149" i="54" s="1"/>
  <c r="CN27" i="54"/>
  <c r="CO27" i="54" s="1"/>
  <c r="CL27" i="54" s="1"/>
  <c r="ER125" i="54" a="1"/>
  <c r="ER125" i="54" s="1"/>
  <c r="CN187" i="54"/>
  <c r="CO187" i="54" s="1"/>
  <c r="CL187" i="54" s="1"/>
  <c r="ER106" i="54" a="1"/>
  <c r="ER106" i="54" s="1"/>
  <c r="ER267" i="54" a="1"/>
  <c r="ER267" i="54" s="1"/>
  <c r="CE257" i="54"/>
  <c r="CF151" i="54"/>
  <c r="CE28" i="54"/>
  <c r="CK128" i="54" a="1"/>
  <c r="CK128" i="54" s="1"/>
  <c r="CK83" i="54" a="1"/>
  <c r="CK83" i="54" s="1"/>
  <c r="CK202" i="54" a="1"/>
  <c r="CK202" i="54" s="1"/>
  <c r="CK49" i="54" a="1"/>
  <c r="CK49" i="54" s="1"/>
  <c r="CK180" i="54" a="1"/>
  <c r="CK180" i="54" s="1"/>
  <c r="CK27" i="54" a="1"/>
  <c r="CK27" i="54" s="1"/>
  <c r="CN17" i="54"/>
  <c r="CO17" i="54" s="1"/>
  <c r="CL17" i="54" s="1"/>
  <c r="CK125" i="54" a="1"/>
  <c r="CK125" i="54" s="1"/>
  <c r="CK98" i="54" a="1"/>
  <c r="CK98" i="54" s="1"/>
  <c r="CK133" i="54" a="1"/>
  <c r="CK133" i="54" s="1"/>
  <c r="CN210" i="54"/>
  <c r="CO210" i="54" s="1"/>
  <c r="CL210" i="54" s="1"/>
  <c r="CK132" i="54" a="1"/>
  <c r="CK132" i="54" s="1"/>
  <c r="CN126" i="54"/>
  <c r="CO126" i="54" s="1"/>
  <c r="CL126" i="54" s="1"/>
  <c r="CK77" i="54" a="1"/>
  <c r="CK77" i="54" s="1"/>
  <c r="CK14" i="54" a="1"/>
  <c r="CK14" i="54" s="1"/>
  <c r="CK238" i="54" a="1"/>
  <c r="CK238" i="54" s="1"/>
  <c r="CK85" i="54" a="1"/>
  <c r="CK85" i="54" s="1"/>
  <c r="CK216" i="54" a="1"/>
  <c r="CK216" i="54" s="1"/>
  <c r="CK21" i="54" a="1"/>
  <c r="CK21" i="54" s="1"/>
  <c r="CK167" i="54" a="1"/>
  <c r="CK167" i="54" s="1"/>
  <c r="CK155" i="54" a="1"/>
  <c r="CK155" i="54" s="1"/>
  <c r="CK169" i="54" a="1"/>
  <c r="CK169" i="54" s="1"/>
  <c r="CN102" i="54"/>
  <c r="CO102" i="54" s="1"/>
  <c r="CL102" i="54" s="1"/>
  <c r="CK81" i="54" a="1"/>
  <c r="CK81" i="54" s="1"/>
  <c r="CN53" i="54"/>
  <c r="CO53" i="54" s="1"/>
  <c r="CL53" i="54" s="1"/>
  <c r="CK230" i="54" a="1"/>
  <c r="CK230" i="54" s="1"/>
  <c r="CK229" i="54" a="1"/>
  <c r="CK229" i="54" s="1"/>
  <c r="CK37" i="54" a="1"/>
  <c r="CK37" i="54" s="1"/>
  <c r="CK99" i="54" a="1"/>
  <c r="CK99" i="54" s="1"/>
  <c r="CN106" i="54"/>
  <c r="CO106" i="54" s="1"/>
  <c r="CL106" i="54" s="1"/>
  <c r="CK260" i="54" a="1"/>
  <c r="CK260" i="54" s="1"/>
  <c r="CK76" i="54" a="1"/>
  <c r="CK76" i="54" s="1"/>
  <c r="CK117" i="54" a="1"/>
  <c r="CK117" i="54" s="1"/>
  <c r="CN208" i="54"/>
  <c r="CO208" i="54" s="1"/>
  <c r="CL208" i="54" s="1"/>
  <c r="CK227" i="54" a="1"/>
  <c r="CK227" i="54" s="1"/>
  <c r="CK160" i="54" a="1"/>
  <c r="CK160" i="54" s="1"/>
  <c r="CK246" i="54" a="1"/>
  <c r="CK246" i="54" s="1"/>
  <c r="CK30" i="54" a="1"/>
  <c r="CK30" i="54" s="1"/>
  <c r="CN76" i="54"/>
  <c r="CO76" i="54" s="1"/>
  <c r="CL76" i="54" s="1"/>
  <c r="CN139" i="54"/>
  <c r="CO139" i="54" s="1"/>
  <c r="CL139" i="54" s="1"/>
  <c r="ER246" i="54" a="1"/>
  <c r="ER246" i="54" s="1"/>
  <c r="CN34" i="54"/>
  <c r="CO34" i="54" s="1"/>
  <c r="CL34" i="54" s="1"/>
  <c r="ER253" i="54" a="1"/>
  <c r="ER253" i="54" s="1"/>
  <c r="CN183" i="54"/>
  <c r="CO183" i="54" s="1"/>
  <c r="CL183" i="54" s="1"/>
  <c r="ER218" i="54" a="1"/>
  <c r="ER218" i="54" s="1"/>
  <c r="CN32" i="54"/>
  <c r="CO32" i="54" s="1"/>
  <c r="CL32" i="54" s="1"/>
  <c r="ER157" i="54" a="1"/>
  <c r="ER157" i="54" s="1"/>
  <c r="CN241" i="54"/>
  <c r="CO241" i="54" s="1"/>
  <c r="CL241" i="54" s="1"/>
  <c r="ER133" i="54" a="1"/>
  <c r="ER133" i="54" s="1"/>
  <c r="ER219" i="54" a="1"/>
  <c r="ER219" i="54" s="1"/>
  <c r="CN188" i="54"/>
  <c r="CO188" i="54" s="1"/>
  <c r="CL188" i="54" s="1"/>
  <c r="ER206" i="54" a="1"/>
  <c r="ER206" i="54" s="1"/>
  <c r="CF146" i="54"/>
  <c r="CF104" i="54"/>
  <c r="CD105" i="54"/>
  <c r="CF105" i="54" s="1"/>
  <c r="CN48" i="54"/>
  <c r="CO48" i="54" s="1"/>
  <c r="CL48" i="54" s="1"/>
  <c r="CK242" i="54" a="1"/>
  <c r="CK242" i="54" s="1"/>
  <c r="CK181" i="54" a="1"/>
  <c r="CK181" i="54" s="1"/>
  <c r="CN252" i="54"/>
  <c r="CO252" i="54" s="1"/>
  <c r="CL252" i="54" s="1"/>
  <c r="CK159" i="54" a="1"/>
  <c r="CK159" i="54" s="1"/>
  <c r="CN204" i="54"/>
  <c r="CO204" i="54" s="1"/>
  <c r="CL204" i="54" s="1"/>
  <c r="CN178" i="54"/>
  <c r="CO178" i="54" s="1"/>
  <c r="CL178" i="54" s="1"/>
  <c r="CN228" i="54"/>
  <c r="CO228" i="54" s="1"/>
  <c r="CL228" i="54" s="1"/>
  <c r="CK262" i="54" a="1"/>
  <c r="CK262" i="54" s="1"/>
  <c r="CK112" i="54" a="1"/>
  <c r="CK112" i="54" s="1"/>
  <c r="CK261" i="54" a="1"/>
  <c r="CK261" i="54" s="1"/>
  <c r="CK111" i="54" a="1"/>
  <c r="CK111" i="54" s="1"/>
  <c r="CN233" i="54"/>
  <c r="CO233" i="54" s="1"/>
  <c r="CL233" i="54" s="1"/>
  <c r="CK200" i="54" a="1"/>
  <c r="CK200" i="54" s="1"/>
  <c r="CK173" i="54" a="1"/>
  <c r="CK173" i="54" s="1"/>
  <c r="CK217" i="54" a="1"/>
  <c r="CK217" i="54" s="1"/>
  <c r="CK64" i="54" a="1"/>
  <c r="CK64" i="54" s="1"/>
  <c r="CK171" i="54" a="1"/>
  <c r="CK171" i="54" s="1"/>
  <c r="CN54" i="54"/>
  <c r="CO54" i="54" s="1"/>
  <c r="CL54" i="54" s="1"/>
  <c r="CK182" i="54" a="1"/>
  <c r="CK182" i="54" s="1"/>
  <c r="CK170" i="54" a="1"/>
  <c r="CK170" i="54" s="1"/>
  <c r="CK127" i="54" a="1"/>
  <c r="CK127" i="54" s="1"/>
  <c r="CK234" i="54" a="1"/>
  <c r="CK234" i="54" s="1"/>
  <c r="CK39" i="54" a="1"/>
  <c r="CK39" i="54" s="1"/>
  <c r="CN136" i="54"/>
  <c r="CO136" i="54" s="1"/>
  <c r="CL136" i="54" s="1"/>
  <c r="CK263" i="54" a="1"/>
  <c r="CK263" i="54" s="1"/>
  <c r="CK187" i="54" a="1"/>
  <c r="CK187" i="54" s="1"/>
  <c r="CN72" i="54"/>
  <c r="CO72" i="54" s="1"/>
  <c r="CL72" i="54" s="1"/>
  <c r="CK36" i="54" a="1"/>
  <c r="CK36" i="54" s="1"/>
  <c r="CK113" i="54" a="1"/>
  <c r="CK113" i="54" s="1"/>
  <c r="CN42" i="54"/>
  <c r="CO42" i="54" s="1"/>
  <c r="CL42" i="54" s="1"/>
  <c r="CK10" i="54" a="1"/>
  <c r="CK10" i="54" s="1"/>
  <c r="CK54" i="54" a="1"/>
  <c r="CK54" i="54" s="1"/>
  <c r="CK23" i="54" a="1"/>
  <c r="CK23" i="54" s="1"/>
  <c r="CK188" i="54" a="1"/>
  <c r="CK188" i="54" s="1"/>
  <c r="CK106" i="54" a="1"/>
  <c r="CK106" i="54" s="1"/>
  <c r="CK192" i="54" a="1"/>
  <c r="CK192" i="54" s="1"/>
  <c r="CN90" i="54"/>
  <c r="CO90" i="54" s="1"/>
  <c r="CL90" i="54" s="1"/>
  <c r="CN267" i="54"/>
  <c r="CO267" i="54" s="1"/>
  <c r="CL267" i="54" s="1"/>
  <c r="CN55" i="54"/>
  <c r="CO55" i="54" s="1"/>
  <c r="CL55" i="54" s="1"/>
  <c r="ER14" i="54" a="1"/>
  <c r="ER14" i="54" s="1"/>
  <c r="CN153" i="54"/>
  <c r="CO153" i="54" s="1"/>
  <c r="CL153" i="54" s="1"/>
  <c r="ER30" i="54" a="1"/>
  <c r="ER30" i="54" s="1"/>
  <c r="CN254" i="54"/>
  <c r="CO254" i="54" s="1"/>
  <c r="CL254" i="54" s="1"/>
  <c r="ER110" i="54" a="1"/>
  <c r="ER110" i="54" s="1"/>
  <c r="CN73" i="54"/>
  <c r="CO73" i="54" s="1"/>
  <c r="CL73" i="54" s="1"/>
  <c r="ER40" i="54" a="1"/>
  <c r="ER40" i="54" s="1"/>
  <c r="CN25" i="54"/>
  <c r="CO25" i="54" s="1"/>
  <c r="CL25" i="54" s="1"/>
  <c r="ER16" i="54" a="1"/>
  <c r="ER16" i="54" s="1"/>
  <c r="ER259" i="54" a="1"/>
  <c r="ER259" i="54" s="1"/>
  <c r="CN265" i="54"/>
  <c r="CO265" i="54" s="1"/>
  <c r="CL265" i="54" s="1"/>
  <c r="ER116" i="54" a="1"/>
  <c r="ER116" i="54" s="1"/>
  <c r="CE230" i="54"/>
  <c r="CK143" i="54" a="1"/>
  <c r="CK143" i="54" s="1"/>
  <c r="CK116" i="54" a="1"/>
  <c r="CK116" i="54" s="1"/>
  <c r="CK136" i="54" a="1"/>
  <c r="CK136" i="54" s="1"/>
  <c r="CN246" i="54"/>
  <c r="CO246" i="54" s="1"/>
  <c r="CL246" i="54" s="1"/>
  <c r="CK135" i="54" a="1"/>
  <c r="CK135" i="54" s="1"/>
  <c r="CN198" i="54"/>
  <c r="CO198" i="54" s="1"/>
  <c r="CL198" i="54" s="1"/>
  <c r="CK185" i="54" a="1"/>
  <c r="CK185" i="54" s="1"/>
  <c r="CK32" i="54" a="1"/>
  <c r="CK32" i="54" s="1"/>
  <c r="CK241" i="54" a="1"/>
  <c r="CK241" i="54" s="1"/>
  <c r="CK91" i="54" a="1"/>
  <c r="CK91" i="54" s="1"/>
  <c r="CK240" i="54" a="1"/>
  <c r="CK240" i="54" s="1"/>
  <c r="CK90" i="54" a="1"/>
  <c r="CK90" i="54" s="1"/>
  <c r="CN125" i="54"/>
  <c r="CO125" i="54" s="1"/>
  <c r="CL125" i="54" s="1"/>
  <c r="CK74" i="54" a="1"/>
  <c r="CK74" i="54" s="1"/>
  <c r="CK47" i="54" a="1"/>
  <c r="CK47" i="54" s="1"/>
  <c r="CK193" i="54" a="1"/>
  <c r="CK193" i="54" s="1"/>
  <c r="CK43" i="54" a="1"/>
  <c r="CK43" i="54" s="1"/>
  <c r="CK150" i="54" a="1"/>
  <c r="CK150" i="54" s="1"/>
  <c r="CN227" i="54"/>
  <c r="CO227" i="54" s="1"/>
  <c r="CL227" i="54" s="1"/>
  <c r="CK56" i="54" a="1"/>
  <c r="CK56" i="54" s="1"/>
  <c r="CK44" i="54" a="1"/>
  <c r="CK44" i="54" s="1"/>
  <c r="CK103" i="54" a="1"/>
  <c r="CK103" i="54" s="1"/>
  <c r="CK213" i="54" a="1"/>
  <c r="CK213" i="54" s="1"/>
  <c r="CK18" i="54" a="1"/>
  <c r="CK18" i="54" s="1"/>
  <c r="CK257" i="54" a="1"/>
  <c r="CK257" i="54" s="1"/>
  <c r="CK137" i="54" a="1"/>
  <c r="CK137" i="54" s="1"/>
  <c r="CK166" i="54" a="1"/>
  <c r="CK166" i="54" s="1"/>
  <c r="CN66" i="54"/>
  <c r="CO66" i="54" s="1"/>
  <c r="CL66" i="54" s="1"/>
  <c r="CK15" i="54" a="1"/>
  <c r="CK15" i="54" s="1"/>
  <c r="CK146" i="54" a="1"/>
  <c r="CK146" i="54" s="1"/>
  <c r="CK247" i="54" a="1"/>
  <c r="CK247" i="54" s="1"/>
  <c r="CN36" i="54"/>
  <c r="CO36" i="54" s="1"/>
  <c r="CL36" i="54" s="1"/>
  <c r="CK33" i="54" a="1"/>
  <c r="CK33" i="54" s="1"/>
  <c r="CK218" i="54" a="1"/>
  <c r="CK218" i="54" s="1"/>
  <c r="CK80" i="54" a="1"/>
  <c r="CK80" i="54" s="1"/>
  <c r="CK88" i="54" a="1"/>
  <c r="CK88" i="54" s="1"/>
  <c r="CK174" i="54" a="1"/>
  <c r="CK174" i="54" s="1"/>
  <c r="CN245" i="54"/>
  <c r="CO245" i="54" s="1"/>
  <c r="CL245" i="54" s="1"/>
  <c r="CN123" i="54"/>
  <c r="CO123" i="54" s="1"/>
  <c r="CL123" i="54" s="1"/>
  <c r="ER213" i="54" a="1"/>
  <c r="ER213" i="54" s="1"/>
  <c r="ER182" i="54" a="1"/>
  <c r="ER182" i="54" s="1"/>
  <c r="CN176" i="54"/>
  <c r="CO176" i="54" s="1"/>
  <c r="CL176" i="54" s="1"/>
  <c r="ER83" i="54" a="1"/>
  <c r="ER83" i="54" s="1"/>
  <c r="CN211" i="54"/>
  <c r="CO211" i="54" s="1"/>
  <c r="CL211" i="54" s="1"/>
  <c r="ER118" i="54" a="1"/>
  <c r="ER118" i="54" s="1"/>
  <c r="ER105" i="54" a="1"/>
  <c r="ER105" i="54" s="1"/>
  <c r="CN113" i="54"/>
  <c r="CO113" i="54" s="1"/>
  <c r="CL113" i="54" s="1"/>
  <c r="ER78" i="54" a="1"/>
  <c r="ER78" i="54" s="1"/>
  <c r="CN82" i="54"/>
  <c r="CO82" i="54" s="1"/>
  <c r="CL82" i="54" s="1"/>
  <c r="ER252" i="54" a="1"/>
  <c r="ER252" i="54" s="1"/>
  <c r="CN13" i="54"/>
  <c r="CO13" i="54" s="1"/>
  <c r="CL13" i="54" s="1"/>
  <c r="ER148" i="54" a="1"/>
  <c r="ER148" i="54" s="1"/>
  <c r="CF213" i="54"/>
  <c r="CF124" i="54"/>
  <c r="CE29" i="54"/>
  <c r="CD155" i="54"/>
  <c r="CF155" i="54" s="1"/>
  <c r="CD267" i="54"/>
  <c r="CE267" i="54" s="1"/>
  <c r="CE51" i="54"/>
  <c r="CF116" i="54"/>
  <c r="CE11" i="54"/>
  <c r="CF58" i="54"/>
  <c r="CF100" i="54"/>
  <c r="CE256" i="54"/>
  <c r="CE17" i="54"/>
  <c r="CE229" i="54"/>
  <c r="CF196" i="54"/>
  <c r="CE242" i="54"/>
  <c r="CF71" i="54"/>
  <c r="CE45" i="54"/>
  <c r="CF189" i="54"/>
  <c r="CE268" i="54"/>
  <c r="CF174" i="54"/>
  <c r="CE231" i="54"/>
  <c r="CE25" i="54"/>
  <c r="CF136" i="54"/>
  <c r="CE219" i="54"/>
  <c r="CE217" i="54"/>
  <c r="CE215" i="54"/>
  <c r="CE55" i="54"/>
  <c r="CE213" i="54"/>
  <c r="CE63" i="54"/>
  <c r="CE68" i="54"/>
  <c r="CE64" i="54"/>
  <c r="CE216" i="54"/>
  <c r="CF148" i="54"/>
  <c r="CE66" i="54"/>
  <c r="CF122" i="54"/>
  <c r="CF68" i="54"/>
  <c r="CE221" i="54"/>
  <c r="CE33" i="54"/>
  <c r="CE262" i="54"/>
  <c r="CE56" i="54"/>
  <c r="CF185" i="54"/>
  <c r="CF88" i="54"/>
  <c r="CF106" i="54"/>
  <c r="CE241" i="54"/>
  <c r="CF191" i="54"/>
  <c r="CF73" i="54"/>
  <c r="CE251" i="54"/>
  <c r="CF180" i="54"/>
  <c r="CE37" i="54"/>
  <c r="CF114" i="54"/>
  <c r="CE252" i="54"/>
  <c r="CF128" i="54"/>
  <c r="CE254" i="54"/>
  <c r="CE39" i="54"/>
  <c r="CE249" i="54"/>
  <c r="CF123" i="54"/>
  <c r="CE232" i="54"/>
  <c r="CF64" i="54"/>
  <c r="CE266" i="54"/>
  <c r="CG4" i="54"/>
  <c r="CH4" i="54"/>
  <c r="CI4" i="54" s="1"/>
  <c r="CE240" i="54"/>
  <c r="CE233" i="54"/>
  <c r="CF131" i="54"/>
  <c r="CE35" i="54"/>
  <c r="CO3" i="54"/>
  <c r="CP3" i="54" a="1"/>
  <c r="CP3" i="54" s="1"/>
  <c r="CF217" i="54"/>
  <c r="CF216" i="54"/>
  <c r="CF157" i="54"/>
  <c r="CG2" i="54"/>
  <c r="CH2" i="54"/>
  <c r="CI2" i="54" s="1"/>
  <c r="CJ2" i="54" s="1"/>
  <c r="CF170" i="54"/>
  <c r="CE238" i="54"/>
  <c r="CE26" i="54"/>
  <c r="CF158" i="54"/>
  <c r="CE34" i="54"/>
  <c r="CF172" i="54"/>
  <c r="CE12" i="54"/>
  <c r="FD4" i="54" a="1"/>
  <c r="FD4" i="54" s="1"/>
  <c r="FE5" i="54" a="1"/>
  <c r="FE5" i="54" s="1"/>
  <c r="FD5" i="54" a="1"/>
  <c r="FD5" i="54" s="1"/>
  <c r="FE4" i="54" a="1"/>
  <c r="FE4" i="54" s="1"/>
  <c r="FH5" i="54" s="1"/>
  <c r="CE30" i="54"/>
  <c r="CE38" i="54"/>
  <c r="CE23" i="54"/>
  <c r="CF97" i="54"/>
  <c r="CE36" i="54"/>
  <c r="DU231" i="54"/>
  <c r="DU15" i="54"/>
  <c r="DU86" i="54"/>
  <c r="DU145" i="54"/>
  <c r="DU168" i="54"/>
  <c r="DU203" i="54"/>
  <c r="DU148" i="54"/>
  <c r="DU89" i="54"/>
  <c r="DU262" i="54"/>
  <c r="DU153" i="54"/>
  <c r="DU188" i="54"/>
  <c r="DU211" i="54"/>
  <c r="DU234" i="54"/>
  <c r="DU18" i="54"/>
  <c r="DU256" i="54"/>
  <c r="DU147" i="54"/>
  <c r="DU182" i="54"/>
  <c r="DU205" i="54"/>
  <c r="DU264" i="54"/>
  <c r="DU48" i="54"/>
  <c r="DU119" i="54"/>
  <c r="DU64" i="54"/>
  <c r="DU178" i="54"/>
  <c r="DU69" i="54"/>
  <c r="DU104" i="54"/>
  <c r="DU127" i="54"/>
  <c r="DU186" i="54"/>
  <c r="DU221" i="54"/>
  <c r="DU130" i="54"/>
  <c r="DU243" i="54"/>
  <c r="DU27" i="54"/>
  <c r="DU62" i="54"/>
  <c r="DU121" i="54"/>
  <c r="DU180" i="54"/>
  <c r="DU215" i="54"/>
  <c r="DU268" i="54"/>
  <c r="DU159" i="54"/>
  <c r="DU194" i="54"/>
  <c r="DU217" i="54"/>
  <c r="DU204" i="54"/>
  <c r="DU167" i="54"/>
  <c r="DU76" i="54"/>
  <c r="DU106" i="54"/>
  <c r="DU225" i="54"/>
  <c r="DU224" i="54"/>
  <c r="DU175" i="54"/>
  <c r="DU162" i="54"/>
  <c r="DU17" i="54"/>
  <c r="DU219" i="54"/>
  <c r="DU218" i="54"/>
  <c r="DU169" i="54"/>
  <c r="DU192" i="54"/>
  <c r="DU227" i="54"/>
  <c r="DU136" i="54"/>
  <c r="DU214" i="54"/>
  <c r="DU33" i="54"/>
  <c r="DU32" i="54"/>
  <c r="DU19" i="54"/>
  <c r="DU42" i="54"/>
  <c r="DU41" i="54"/>
  <c r="DU207" i="54"/>
  <c r="DU206" i="54"/>
  <c r="DU229" i="54"/>
  <c r="DU252" i="54"/>
  <c r="DU251" i="54"/>
  <c r="DU124" i="54"/>
  <c r="DU202" i="54"/>
  <c r="DU93" i="54"/>
  <c r="DU128" i="54"/>
  <c r="DU187" i="54"/>
  <c r="DU210" i="54"/>
  <c r="DU245" i="54"/>
  <c r="DU29" i="54"/>
  <c r="DU232" i="54"/>
  <c r="DU123" i="54"/>
  <c r="DU158" i="54"/>
  <c r="DU181" i="54"/>
  <c r="DU132" i="54"/>
  <c r="DU131" i="54"/>
  <c r="DU40" i="54"/>
  <c r="DU34" i="54"/>
  <c r="DU189" i="54"/>
  <c r="DU152" i="54"/>
  <c r="DU139" i="54"/>
  <c r="DU126" i="54"/>
  <c r="DU70" i="54"/>
  <c r="DU183" i="54"/>
  <c r="DU146" i="54"/>
  <c r="DU133" i="54"/>
  <c r="DU156" i="54"/>
  <c r="DU191" i="54"/>
  <c r="DU100" i="54"/>
  <c r="DU249" i="54"/>
  <c r="DU248" i="54"/>
  <c r="DU235" i="54"/>
  <c r="DU258" i="54"/>
  <c r="DU257" i="54"/>
  <c r="DU22" i="54"/>
  <c r="DU171" i="54"/>
  <c r="DU170" i="54"/>
  <c r="DU193" i="54"/>
  <c r="DU216" i="54"/>
  <c r="DU179" i="54"/>
  <c r="DU88" i="54"/>
  <c r="DU166" i="54"/>
  <c r="DU57" i="54"/>
  <c r="DU92" i="54"/>
  <c r="DU151" i="54"/>
  <c r="DU174" i="54"/>
  <c r="DU209" i="54"/>
  <c r="DU118" i="54"/>
  <c r="DU196" i="54"/>
  <c r="DU87" i="54"/>
  <c r="DU122" i="54"/>
  <c r="DU109" i="54"/>
  <c r="DU96" i="54"/>
  <c r="DU95" i="54"/>
  <c r="DU233" i="54"/>
  <c r="DU94" i="54"/>
  <c r="DU117" i="54"/>
  <c r="DU116" i="54"/>
  <c r="DU103" i="54"/>
  <c r="DU90" i="54"/>
  <c r="DU58" i="54"/>
  <c r="DU111" i="54"/>
  <c r="DU110" i="54"/>
  <c r="DU97" i="54"/>
  <c r="DU120" i="54"/>
  <c r="DU155" i="54"/>
  <c r="DU28" i="54"/>
  <c r="DU213" i="54"/>
  <c r="DU212" i="54"/>
  <c r="DU199" i="54"/>
  <c r="DU222" i="54"/>
  <c r="DU185" i="54"/>
  <c r="DU46" i="54"/>
  <c r="DU135" i="54"/>
  <c r="DU134" i="54"/>
  <c r="DU157" i="54"/>
  <c r="DU144" i="54"/>
  <c r="DU143" i="54"/>
  <c r="DU52" i="54"/>
  <c r="DU237" i="54"/>
  <c r="DU21" i="54"/>
  <c r="DU56" i="54"/>
  <c r="DU115" i="54"/>
  <c r="DU138" i="54"/>
  <c r="DU173" i="54"/>
  <c r="DU160" i="54"/>
  <c r="DU51" i="54"/>
  <c r="DU50" i="54"/>
  <c r="DU73" i="54"/>
  <c r="DU60" i="54"/>
  <c r="DU59" i="54"/>
  <c r="DU161" i="54"/>
  <c r="DU226" i="54"/>
  <c r="DU81" i="54"/>
  <c r="DU80" i="54"/>
  <c r="DU67" i="54"/>
  <c r="DU54" i="54"/>
  <c r="DU220" i="54"/>
  <c r="DU75" i="54"/>
  <c r="DU74" i="54"/>
  <c r="DU61" i="54"/>
  <c r="DU84" i="54"/>
  <c r="DU83" i="54"/>
  <c r="DU154" i="54"/>
  <c r="DU177" i="54"/>
  <c r="DU176" i="54"/>
  <c r="DU163" i="54"/>
  <c r="DU150" i="54"/>
  <c r="DU149" i="54"/>
  <c r="DU244" i="54"/>
  <c r="DU99" i="54"/>
  <c r="DU98" i="54"/>
  <c r="DU85" i="54"/>
  <c r="DU108" i="54"/>
  <c r="DU107" i="54"/>
  <c r="DU16" i="54"/>
  <c r="DU201" i="54"/>
  <c r="DU236" i="54"/>
  <c r="DU20" i="54"/>
  <c r="DU79" i="54"/>
  <c r="DU102" i="54"/>
  <c r="DU137" i="54"/>
  <c r="DU267" i="54"/>
  <c r="DU266" i="54"/>
  <c r="DU14" i="54"/>
  <c r="DU37" i="54"/>
  <c r="DU24" i="54"/>
  <c r="DU23" i="54"/>
  <c r="DU53" i="54"/>
  <c r="DU190" i="54"/>
  <c r="DU45" i="54"/>
  <c r="DU44" i="54"/>
  <c r="DU31" i="54"/>
  <c r="DU197" i="54"/>
  <c r="DU184" i="54"/>
  <c r="DU39" i="54"/>
  <c r="DU38" i="54"/>
  <c r="DU25" i="54"/>
  <c r="DU12" i="54"/>
  <c r="DU47" i="54"/>
  <c r="DU10" i="54"/>
  <c r="DU141" i="54"/>
  <c r="DU140" i="54"/>
  <c r="DU91" i="54"/>
  <c r="DU114" i="54"/>
  <c r="DU113" i="54"/>
  <c r="DU208" i="54"/>
  <c r="DU63" i="54"/>
  <c r="DU26" i="54"/>
  <c r="DU49" i="54"/>
  <c r="DU72" i="54"/>
  <c r="DU71" i="54"/>
  <c r="DU82" i="54"/>
  <c r="DU165" i="54"/>
  <c r="DU200" i="54"/>
  <c r="DU259" i="54"/>
  <c r="DU43" i="54"/>
  <c r="DU66" i="54"/>
  <c r="DU101" i="54"/>
  <c r="DU195" i="54"/>
  <c r="DU230" i="54"/>
  <c r="DU253" i="54"/>
  <c r="DU240" i="54"/>
  <c r="DU239" i="54"/>
  <c r="DU112" i="54"/>
  <c r="DU142" i="54"/>
  <c r="DU261" i="54"/>
  <c r="DU260" i="54"/>
  <c r="DU247" i="54"/>
  <c r="DU198" i="54"/>
  <c r="DU125" i="54"/>
  <c r="DU255" i="54"/>
  <c r="DU254" i="54"/>
  <c r="DU241" i="54"/>
  <c r="DU228" i="54"/>
  <c r="DU263" i="54"/>
  <c r="DU11" i="54"/>
  <c r="DU250" i="54"/>
  <c r="DU105" i="54"/>
  <c r="DU68" i="54"/>
  <c r="DU55" i="54"/>
  <c r="DU78" i="54"/>
  <c r="DU77" i="54"/>
  <c r="DU172" i="54"/>
  <c r="DU242" i="54"/>
  <c r="DU265" i="54"/>
  <c r="DU13" i="54"/>
  <c r="DU36" i="54"/>
  <c r="DU35" i="54"/>
  <c r="DU238" i="54"/>
  <c r="DU129" i="54"/>
  <c r="DU164" i="54"/>
  <c r="DU223" i="54"/>
  <c r="DU246" i="54"/>
  <c r="DU30" i="54"/>
  <c r="DU65" i="54"/>
  <c r="CF132" i="54"/>
  <c r="CF166" i="54"/>
  <c r="CF82" i="54"/>
  <c r="CF167" i="54"/>
  <c r="CE223" i="54"/>
  <c r="CF182" i="54"/>
  <c r="CF87" i="54"/>
  <c r="CF199" i="54"/>
  <c r="CP249" i="54" a="1"/>
  <c r="CP249" i="54" s="1"/>
  <c r="CP177" i="54" a="1"/>
  <c r="CP177" i="54" s="1"/>
  <c r="CP105" i="54" a="1"/>
  <c r="CP105" i="54" s="1"/>
  <c r="CP33" i="54" a="1"/>
  <c r="CP33" i="54" s="1"/>
  <c r="CP212" i="54" a="1"/>
  <c r="CP212" i="54" s="1"/>
  <c r="CP140" i="54" a="1"/>
  <c r="CP140" i="54" s="1"/>
  <c r="CP68" i="54" a="1"/>
  <c r="CP68" i="54" s="1"/>
  <c r="CP235" i="54" a="1"/>
  <c r="CP235" i="54" s="1"/>
  <c r="CP151" i="54" a="1"/>
  <c r="CP151" i="54" s="1"/>
  <c r="CP67" i="54" a="1"/>
  <c r="CP67" i="54" s="1"/>
  <c r="CP115" i="54" a="1"/>
  <c r="CP115" i="54" s="1"/>
  <c r="CP204" i="54" a="1"/>
  <c r="CP204" i="54" s="1"/>
  <c r="CP132" i="54" a="1"/>
  <c r="CP132" i="54" s="1"/>
  <c r="CP60" i="54" a="1"/>
  <c r="CP60" i="54" s="1"/>
  <c r="CP257" i="54" a="1"/>
  <c r="CP257" i="54" s="1"/>
  <c r="CP185" i="54" a="1"/>
  <c r="CP185" i="54" s="1"/>
  <c r="CP113" i="54" a="1"/>
  <c r="CP113" i="54" s="1"/>
  <c r="CP41" i="54" a="1"/>
  <c r="CP41" i="54" s="1"/>
  <c r="CP232" i="54" a="1"/>
  <c r="CP232" i="54" s="1"/>
  <c r="CP160" i="54" a="1"/>
  <c r="CP160" i="54" s="1"/>
  <c r="CP88" i="54" a="1"/>
  <c r="CP88" i="54" s="1"/>
  <c r="CP16" i="54" a="1"/>
  <c r="CP16" i="54" s="1"/>
  <c r="CP207" i="54" a="1"/>
  <c r="CP207" i="54" s="1"/>
  <c r="CP135" i="54" a="1"/>
  <c r="CP135" i="54" s="1"/>
  <c r="CP63" i="54" a="1"/>
  <c r="CP63" i="54" s="1"/>
  <c r="CP254" i="54" a="1"/>
  <c r="CP254" i="54" s="1"/>
  <c r="CP182" i="54" a="1"/>
  <c r="CP182" i="54" s="1"/>
  <c r="CP110" i="54" a="1"/>
  <c r="CP110" i="54" s="1"/>
  <c r="CP38" i="54" a="1"/>
  <c r="CP38" i="54" s="1"/>
  <c r="CP229" i="54" a="1"/>
  <c r="CP229" i="54" s="1"/>
  <c r="CP145" i="54" a="1"/>
  <c r="CP145" i="54" s="1"/>
  <c r="CP73" i="54" a="1"/>
  <c r="CP73" i="54" s="1"/>
  <c r="CP61" i="54" a="1"/>
  <c r="CP61" i="54" s="1"/>
  <c r="CP198" i="54" a="1"/>
  <c r="CP198" i="54" s="1"/>
  <c r="CP126" i="54" a="1"/>
  <c r="CP126" i="54" s="1"/>
  <c r="CP54" i="54" a="1"/>
  <c r="CP54" i="54" s="1"/>
  <c r="CP239" i="54" a="1"/>
  <c r="CP239" i="54" s="1"/>
  <c r="CP167" i="54" a="1"/>
  <c r="CP167" i="54" s="1"/>
  <c r="CP95" i="54" a="1"/>
  <c r="CP95" i="54" s="1"/>
  <c r="CP23" i="54" a="1"/>
  <c r="CP23" i="54" s="1"/>
  <c r="CP214" i="54" a="1"/>
  <c r="CP214" i="54" s="1"/>
  <c r="CP142" i="54" a="1"/>
  <c r="CP142" i="54" s="1"/>
  <c r="CP70" i="54" a="1"/>
  <c r="CP70" i="54" s="1"/>
  <c r="CO2" i="54"/>
  <c r="CP237" i="54" a="1"/>
  <c r="CP237" i="54" s="1"/>
  <c r="CP165" i="54" a="1"/>
  <c r="CP165" i="54" s="1"/>
  <c r="CP93" i="54" a="1"/>
  <c r="CP93" i="54" s="1"/>
  <c r="CP21" i="54" a="1"/>
  <c r="CP21" i="54" s="1"/>
  <c r="CP200" i="54" a="1"/>
  <c r="CP200" i="54" s="1"/>
  <c r="CP128" i="54" a="1"/>
  <c r="CP128" i="54" s="1"/>
  <c r="CP56" i="54" a="1"/>
  <c r="CP56" i="54" s="1"/>
  <c r="CP211" i="54" a="1"/>
  <c r="CP211" i="54" s="1"/>
  <c r="CP139" i="54" a="1"/>
  <c r="CP139" i="54" s="1"/>
  <c r="CP55" i="54" a="1"/>
  <c r="CP55" i="54" s="1"/>
  <c r="CP264" i="54" a="1"/>
  <c r="CP264" i="54" s="1"/>
  <c r="CP192" i="54" a="1"/>
  <c r="CP192" i="54" s="1"/>
  <c r="CP120" i="54" a="1"/>
  <c r="CP120" i="54" s="1"/>
  <c r="CP48" i="54" a="1"/>
  <c r="CP48" i="54" s="1"/>
  <c r="CP245" i="54" a="1"/>
  <c r="CP245" i="54" s="1"/>
  <c r="CP173" i="54" a="1"/>
  <c r="CP173" i="54" s="1"/>
  <c r="CP101" i="54" a="1"/>
  <c r="CP101" i="54" s="1"/>
  <c r="CP29" i="54" a="1"/>
  <c r="CP29" i="54" s="1"/>
  <c r="CP220" i="54" a="1"/>
  <c r="CP220" i="54" s="1"/>
  <c r="CP148" i="54" a="1"/>
  <c r="CP148" i="54" s="1"/>
  <c r="CP76" i="54" a="1"/>
  <c r="CP76" i="54" s="1"/>
  <c r="CP267" i="54" a="1"/>
  <c r="CP267" i="54" s="1"/>
  <c r="CP195" i="54" a="1"/>
  <c r="CP195" i="54" s="1"/>
  <c r="CP123" i="54" a="1"/>
  <c r="CP123" i="54" s="1"/>
  <c r="CP51" i="54" a="1"/>
  <c r="CP51" i="54" s="1"/>
  <c r="CP242" i="54" a="1"/>
  <c r="CP242" i="54" s="1"/>
  <c r="CP170" i="54" a="1"/>
  <c r="CP170" i="54" s="1"/>
  <c r="CP98" i="54" a="1"/>
  <c r="CP98" i="54" s="1"/>
  <c r="CP26" i="54" a="1"/>
  <c r="CP26" i="54" s="1"/>
  <c r="CP217" i="54" a="1"/>
  <c r="CP217" i="54" s="1"/>
  <c r="CP133" i="54" a="1"/>
  <c r="CP133" i="54" s="1"/>
  <c r="CP49" i="54" a="1"/>
  <c r="CP49" i="54" s="1"/>
  <c r="CP258" i="54" a="1"/>
  <c r="CP258" i="54" s="1"/>
  <c r="CP186" i="54" a="1"/>
  <c r="CP186" i="54" s="1"/>
  <c r="CP114" i="54" a="1"/>
  <c r="CP114" i="54" s="1"/>
  <c r="CP42" i="54" a="1"/>
  <c r="CP42" i="54" s="1"/>
  <c r="CP227" i="54" a="1"/>
  <c r="CP227" i="54" s="1"/>
  <c r="CP155" i="54" a="1"/>
  <c r="CP155" i="54" s="1"/>
  <c r="CP83" i="54" a="1"/>
  <c r="CP83" i="54" s="1"/>
  <c r="CP11" i="54" a="1"/>
  <c r="CP11" i="54" s="1"/>
  <c r="CP202" i="54" a="1"/>
  <c r="CP202" i="54" s="1"/>
  <c r="CP130" i="54" a="1"/>
  <c r="CP130" i="54" s="1"/>
  <c r="CP58" i="54" a="1"/>
  <c r="CP58" i="54" s="1"/>
  <c r="CP2" i="54" a="1"/>
  <c r="CP2" i="54" s="1"/>
  <c r="CP225" i="54" a="1"/>
  <c r="CP225" i="54" s="1"/>
  <c r="CP153" i="54" a="1"/>
  <c r="CP153" i="54" s="1"/>
  <c r="CP81" i="54" a="1"/>
  <c r="CP81" i="54" s="1"/>
  <c r="CP260" i="54" a="1"/>
  <c r="CP260" i="54" s="1"/>
  <c r="CP188" i="54" a="1"/>
  <c r="CP188" i="54" s="1"/>
  <c r="CP116" i="54" a="1"/>
  <c r="CP116" i="54" s="1"/>
  <c r="CP44" i="54" a="1"/>
  <c r="CP44" i="54" s="1"/>
  <c r="CP199" i="54" a="1"/>
  <c r="CP199" i="54" s="1"/>
  <c r="CP127" i="54" a="1"/>
  <c r="CP127" i="54" s="1"/>
  <c r="CP43" i="54" a="1"/>
  <c r="CP43" i="54" s="1"/>
  <c r="CP252" i="54" a="1"/>
  <c r="CP252" i="54" s="1"/>
  <c r="CP180" i="54" a="1"/>
  <c r="CP180" i="54" s="1"/>
  <c r="CP108" i="54" a="1"/>
  <c r="CP108" i="54" s="1"/>
  <c r="CP36" i="54" a="1"/>
  <c r="CP36" i="54" s="1"/>
  <c r="CP233" i="54" a="1"/>
  <c r="CP233" i="54" s="1"/>
  <c r="CP161" i="54" a="1"/>
  <c r="CP161" i="54" s="1"/>
  <c r="CP89" i="54" a="1"/>
  <c r="CP89" i="54" s="1"/>
  <c r="CP17" i="54" a="1"/>
  <c r="CP17" i="54" s="1"/>
  <c r="CP208" i="54" a="1"/>
  <c r="CP208" i="54" s="1"/>
  <c r="CP136" i="54" a="1"/>
  <c r="CP136" i="54" s="1"/>
  <c r="CP64" i="54" a="1"/>
  <c r="CP64" i="54" s="1"/>
  <c r="CP255" i="54" a="1"/>
  <c r="CP255" i="54" s="1"/>
  <c r="CP183" i="54" a="1"/>
  <c r="CP183" i="54" s="1"/>
  <c r="CP111" i="54" a="1"/>
  <c r="CP111" i="54" s="1"/>
  <c r="CP39" i="54" a="1"/>
  <c r="CP39" i="54" s="1"/>
  <c r="CP230" i="54" a="1"/>
  <c r="CP230" i="54" s="1"/>
  <c r="CP158" i="54" a="1"/>
  <c r="CP158" i="54" s="1"/>
  <c r="CP86" i="54" a="1"/>
  <c r="CP86" i="54" s="1"/>
  <c r="CP14" i="54" a="1"/>
  <c r="CP14" i="54" s="1"/>
  <c r="CP205" i="54" a="1"/>
  <c r="CP205" i="54" s="1"/>
  <c r="CP121" i="54" a="1"/>
  <c r="CP121" i="54" s="1"/>
  <c r="CP37" i="54" a="1"/>
  <c r="CP37" i="54" s="1"/>
  <c r="CP246" i="54" a="1"/>
  <c r="CP246" i="54" s="1"/>
  <c r="CP174" i="54" a="1"/>
  <c r="CP174" i="54" s="1"/>
  <c r="CP102" i="54" a="1"/>
  <c r="CP102" i="54" s="1"/>
  <c r="CP30" i="54" a="1"/>
  <c r="CP30" i="54" s="1"/>
  <c r="CP215" i="54" a="1"/>
  <c r="CP215" i="54" s="1"/>
  <c r="CP143" i="54" a="1"/>
  <c r="CP143" i="54" s="1"/>
  <c r="CP71" i="54" a="1"/>
  <c r="CP71" i="54" s="1"/>
  <c r="CP262" i="54" a="1"/>
  <c r="CP262" i="54" s="1"/>
  <c r="CP190" i="54" a="1"/>
  <c r="CP190" i="54" s="1"/>
  <c r="CP118" i="54" a="1"/>
  <c r="CP118" i="54" s="1"/>
  <c r="CP46" i="54" a="1"/>
  <c r="CP46" i="54" s="1"/>
  <c r="CP213" i="54" a="1"/>
  <c r="CP213" i="54" s="1"/>
  <c r="CP141" i="54" a="1"/>
  <c r="CP141" i="54" s="1"/>
  <c r="CP69" i="54" a="1"/>
  <c r="CP69" i="54" s="1"/>
  <c r="CP248" i="54" a="1"/>
  <c r="CP248" i="54" s="1"/>
  <c r="CP176" i="54" a="1"/>
  <c r="CP176" i="54" s="1"/>
  <c r="CP104" i="54" a="1"/>
  <c r="CP104" i="54" s="1"/>
  <c r="CP20" i="54" a="1"/>
  <c r="CP20" i="54" s="1"/>
  <c r="CP187" i="54" a="1"/>
  <c r="CP187" i="54" s="1"/>
  <c r="CP103" i="54" a="1"/>
  <c r="CP103" i="54" s="1"/>
  <c r="CP31" i="54" a="1"/>
  <c r="CP31" i="54" s="1"/>
  <c r="CP240" i="54" a="1"/>
  <c r="CP240" i="54" s="1"/>
  <c r="CP168" i="54" a="1"/>
  <c r="CP168" i="54" s="1"/>
  <c r="CP96" i="54" a="1"/>
  <c r="CP96" i="54" s="1"/>
  <c r="CP24" i="54" a="1"/>
  <c r="CP24" i="54" s="1"/>
  <c r="CP221" i="54" a="1"/>
  <c r="CP221" i="54" s="1"/>
  <c r="CP149" i="54" a="1"/>
  <c r="CP149" i="54" s="1"/>
  <c r="CP77" i="54" a="1"/>
  <c r="CP77" i="54" s="1"/>
  <c r="CP268" i="54" a="1"/>
  <c r="CP268" i="54" s="1"/>
  <c r="CP196" i="54" a="1"/>
  <c r="CP196" i="54" s="1"/>
  <c r="CP124" i="54" a="1"/>
  <c r="CP124" i="54" s="1"/>
  <c r="CP52" i="54" a="1"/>
  <c r="CP52" i="54" s="1"/>
  <c r="CP243" i="54" a="1"/>
  <c r="CP243" i="54" s="1"/>
  <c r="CP171" i="54" a="1"/>
  <c r="CP171" i="54" s="1"/>
  <c r="CP99" i="54" a="1"/>
  <c r="CP99" i="54" s="1"/>
  <c r="CP27" i="54" a="1"/>
  <c r="CP27" i="54" s="1"/>
  <c r="CP218" i="54" a="1"/>
  <c r="CP218" i="54" s="1"/>
  <c r="CP146" i="54" a="1"/>
  <c r="CP146" i="54" s="1"/>
  <c r="CP74" i="54" a="1"/>
  <c r="CP74" i="54" s="1"/>
  <c r="CP265" i="54" a="1"/>
  <c r="CP265" i="54" s="1"/>
  <c r="CP193" i="54" a="1"/>
  <c r="CP193" i="54" s="1"/>
  <c r="CP109" i="54" a="1"/>
  <c r="CP109" i="54" s="1"/>
  <c r="CP25" i="54" a="1"/>
  <c r="CP25" i="54" s="1"/>
  <c r="CP234" i="54" a="1"/>
  <c r="CP234" i="54" s="1"/>
  <c r="CP162" i="54" a="1"/>
  <c r="CP162" i="54" s="1"/>
  <c r="CP90" i="54" a="1"/>
  <c r="CP90" i="54" s="1"/>
  <c r="CP18" i="54" a="1"/>
  <c r="CP18" i="54" s="1"/>
  <c r="CP203" i="54" a="1"/>
  <c r="CP203" i="54" s="1"/>
  <c r="CP131" i="54" a="1"/>
  <c r="CP131" i="54" s="1"/>
  <c r="CP59" i="54" a="1"/>
  <c r="CP59" i="54" s="1"/>
  <c r="CP250" i="54" a="1"/>
  <c r="CP250" i="54" s="1"/>
  <c r="CP178" i="54" a="1"/>
  <c r="CP178" i="54" s="1"/>
  <c r="CP106" i="54" a="1"/>
  <c r="CP106" i="54" s="1"/>
  <c r="CP34" i="54" a="1"/>
  <c r="CP34" i="54" s="1"/>
  <c r="CP201" i="54" a="1"/>
  <c r="CP201" i="54" s="1"/>
  <c r="CP129" i="54" a="1"/>
  <c r="CP129" i="54" s="1"/>
  <c r="CP57" i="54" a="1"/>
  <c r="CP57" i="54" s="1"/>
  <c r="CP236" i="54" a="1"/>
  <c r="CP236" i="54" s="1"/>
  <c r="CP164" i="54" a="1"/>
  <c r="CP164" i="54" s="1"/>
  <c r="CP92" i="54" a="1"/>
  <c r="CP92" i="54" s="1"/>
  <c r="CP259" i="54" a="1"/>
  <c r="CP259" i="54" s="1"/>
  <c r="CP175" i="54" a="1"/>
  <c r="CP175" i="54" s="1"/>
  <c r="CP91" i="54" a="1"/>
  <c r="CP91" i="54" s="1"/>
  <c r="CP19" i="54" a="1"/>
  <c r="CP19" i="54" s="1"/>
  <c r="CP228" i="54" a="1"/>
  <c r="CP228" i="54" s="1"/>
  <c r="CP156" i="54" a="1"/>
  <c r="CP156" i="54" s="1"/>
  <c r="CP84" i="54" a="1"/>
  <c r="CP84" i="54" s="1"/>
  <c r="CP12" i="54" a="1"/>
  <c r="CP12" i="54" s="1"/>
  <c r="CP209" i="54" a="1"/>
  <c r="CP209" i="54" s="1"/>
  <c r="CP137" i="54" a="1"/>
  <c r="CP137" i="54" s="1"/>
  <c r="CP65" i="54" a="1"/>
  <c r="CP65" i="54" s="1"/>
  <c r="CP256" i="54" a="1"/>
  <c r="CP256" i="54" s="1"/>
  <c r="CP184" i="54" a="1"/>
  <c r="CP184" i="54" s="1"/>
  <c r="CP112" i="54" a="1"/>
  <c r="CP112" i="54" s="1"/>
  <c r="CP40" i="54" a="1"/>
  <c r="CP40" i="54" s="1"/>
  <c r="CP231" i="54" a="1"/>
  <c r="CP231" i="54" s="1"/>
  <c r="CP159" i="54" a="1"/>
  <c r="CP159" i="54" s="1"/>
  <c r="CP87" i="54" a="1"/>
  <c r="CP87" i="54" s="1"/>
  <c r="CP15" i="54" a="1"/>
  <c r="CP15" i="54" s="1"/>
  <c r="CP206" i="54" a="1"/>
  <c r="CP206" i="54" s="1"/>
  <c r="CP134" i="54" a="1"/>
  <c r="CP134" i="54" s="1"/>
  <c r="CP62" i="54" a="1"/>
  <c r="CP62" i="54" s="1"/>
  <c r="CP253" i="54" a="1"/>
  <c r="CP253" i="54" s="1"/>
  <c r="CP181" i="54" a="1"/>
  <c r="CP181" i="54" s="1"/>
  <c r="CP97" i="54" a="1"/>
  <c r="CP97" i="54" s="1"/>
  <c r="CP13" i="54" a="1"/>
  <c r="CP13" i="54" s="1"/>
  <c r="CP222" i="54" a="1"/>
  <c r="CP222" i="54" s="1"/>
  <c r="CP150" i="54" a="1"/>
  <c r="CP150" i="54" s="1"/>
  <c r="CP78" i="54" a="1"/>
  <c r="CP78" i="54" s="1"/>
  <c r="CP263" i="54" a="1"/>
  <c r="CP263" i="54" s="1"/>
  <c r="CP191" i="54" a="1"/>
  <c r="CP191" i="54" s="1"/>
  <c r="CP119" i="54" a="1"/>
  <c r="CP119" i="54" s="1"/>
  <c r="CP47" i="54" a="1"/>
  <c r="CP47" i="54" s="1"/>
  <c r="CP238" i="54" a="1"/>
  <c r="CP238" i="54" s="1"/>
  <c r="CP166" i="54" a="1"/>
  <c r="CP166" i="54" s="1"/>
  <c r="CP94" i="54" a="1"/>
  <c r="CP94" i="54" s="1"/>
  <c r="CP22" i="54" a="1"/>
  <c r="CP22" i="54" s="1"/>
  <c r="CP261" i="54" a="1"/>
  <c r="CP261" i="54" s="1"/>
  <c r="CP189" i="54" a="1"/>
  <c r="CP189" i="54" s="1"/>
  <c r="CP117" i="54" a="1"/>
  <c r="CP117" i="54" s="1"/>
  <c r="CP45" i="54" a="1"/>
  <c r="CP45" i="54" s="1"/>
  <c r="CP224" i="54" a="1"/>
  <c r="CP224" i="54" s="1"/>
  <c r="CP152" i="54" a="1"/>
  <c r="CP152" i="54" s="1"/>
  <c r="CP80" i="54" a="1"/>
  <c r="CP80" i="54" s="1"/>
  <c r="CP247" i="54" a="1"/>
  <c r="CP247" i="54" s="1"/>
  <c r="CP163" i="54" a="1"/>
  <c r="CP163" i="54" s="1"/>
  <c r="CP79" i="54" a="1"/>
  <c r="CP79" i="54" s="1"/>
  <c r="CP32" i="54" a="1"/>
  <c r="CP32" i="54" s="1"/>
  <c r="CP216" i="54" a="1"/>
  <c r="CP216" i="54" s="1"/>
  <c r="CP144" i="54" a="1"/>
  <c r="CP144" i="54" s="1"/>
  <c r="CP72" i="54" a="1"/>
  <c r="CP72" i="54" s="1"/>
  <c r="CP223" i="54" a="1"/>
  <c r="CP223" i="54" s="1"/>
  <c r="CP197" i="54" a="1"/>
  <c r="CP197" i="54" s="1"/>
  <c r="CP125" i="54" a="1"/>
  <c r="CP125" i="54" s="1"/>
  <c r="CP53" i="54" a="1"/>
  <c r="CP53" i="54" s="1"/>
  <c r="CP244" i="54" a="1"/>
  <c r="CP244" i="54" s="1"/>
  <c r="CP172" i="54" a="1"/>
  <c r="CP172" i="54" s="1"/>
  <c r="CP100" i="54" a="1"/>
  <c r="CP100" i="54" s="1"/>
  <c r="CP28" i="54" a="1"/>
  <c r="CP28" i="54" s="1"/>
  <c r="CP219" i="54" a="1"/>
  <c r="CP219" i="54" s="1"/>
  <c r="CP147" i="54" a="1"/>
  <c r="CP147" i="54" s="1"/>
  <c r="CP75" i="54" a="1"/>
  <c r="CP75" i="54" s="1"/>
  <c r="CP266" i="54" a="1"/>
  <c r="CP266" i="54" s="1"/>
  <c r="CP194" i="54" a="1"/>
  <c r="CP194" i="54" s="1"/>
  <c r="CP122" i="54" a="1"/>
  <c r="CP122" i="54" s="1"/>
  <c r="CP50" i="54" a="1"/>
  <c r="CP50" i="54" s="1"/>
  <c r="CP241" i="54" a="1"/>
  <c r="CP241" i="54" s="1"/>
  <c r="CP157" i="54" a="1"/>
  <c r="CP157" i="54" s="1"/>
  <c r="CP85" i="54" a="1"/>
  <c r="CP85" i="54" s="1"/>
  <c r="CP169" i="54" a="1"/>
  <c r="CP169" i="54" s="1"/>
  <c r="CP210" i="54" a="1"/>
  <c r="CP210" i="54" s="1"/>
  <c r="CP138" i="54" a="1"/>
  <c r="CP138" i="54" s="1"/>
  <c r="CP66" i="54" a="1"/>
  <c r="CP66" i="54" s="1"/>
  <c r="CP251" i="54" a="1"/>
  <c r="CP251" i="54" s="1"/>
  <c r="CP179" i="54" a="1"/>
  <c r="CP179" i="54" s="1"/>
  <c r="CP107" i="54" a="1"/>
  <c r="CP107" i="54" s="1"/>
  <c r="CP35" i="54" a="1"/>
  <c r="CP35" i="54" s="1"/>
  <c r="CP226" i="54" a="1"/>
  <c r="CP226" i="54" s="1"/>
  <c r="CP154" i="54" a="1"/>
  <c r="CP154" i="54" s="1"/>
  <c r="CP82" i="54" a="1"/>
  <c r="CP82" i="54" s="1"/>
  <c r="CP10" i="54" a="1"/>
  <c r="CP10" i="54" s="1"/>
  <c r="CF98" i="54"/>
  <c r="CF135" i="54"/>
  <c r="CF85" i="54"/>
  <c r="CF195" i="54"/>
  <c r="CE234" i="54"/>
  <c r="CE14" i="54"/>
  <c r="CJ4" i="54"/>
  <c r="CE224" i="54"/>
  <c r="CO4" i="54"/>
  <c r="CP4" i="54" a="1"/>
  <c r="CP4" i="54" s="1"/>
  <c r="CF190" i="54"/>
  <c r="CE245" i="54"/>
  <c r="CE13" i="54"/>
  <c r="FL4" i="54" a="1"/>
  <c r="FL4" i="54" s="1"/>
  <c r="FO5" i="54" s="1"/>
  <c r="FK4" i="54" a="1"/>
  <c r="FK4" i="54" s="1"/>
  <c r="FL5" i="54" a="1"/>
  <c r="FL5" i="54" s="1"/>
  <c r="FK5" i="54" a="1"/>
  <c r="FK5" i="54" s="1"/>
  <c r="CE265" i="54"/>
  <c r="CV36" i="54"/>
  <c r="CT36" i="54"/>
  <c r="CU37" i="54" s="1"/>
  <c r="AN32" i="56"/>
  <c r="AF2" i="56"/>
  <c r="CH7" i="54" s="1"/>
  <c r="AF4" i="56"/>
  <c r="Q19" i="56"/>
  <c r="R19" i="56" s="1"/>
  <c r="AN19" i="56" s="1"/>
  <c r="CE248" i="54" l="1"/>
  <c r="CF103" i="54"/>
  <c r="FY5" i="54" a="1"/>
  <c r="FY5" i="54" s="1"/>
  <c r="FY4" i="54" a="1"/>
  <c r="FY4" i="54" s="1"/>
  <c r="FZ5" i="54" a="1"/>
  <c r="FZ5" i="54" s="1"/>
  <c r="GB5" i="54" s="1"/>
  <c r="CF139" i="54"/>
  <c r="GF4" i="54"/>
  <c r="GE3" i="54"/>
  <c r="FR3" i="54" s="1"/>
  <c r="FS5" i="54" s="1" a="1"/>
  <c r="FS5" i="54" s="1"/>
  <c r="GE4" i="54" a="1"/>
  <c r="GE4" i="54" s="1"/>
  <c r="FF5" i="54"/>
  <c r="FO6" i="54"/>
  <c r="FN5" i="54"/>
  <c r="FH6" i="54"/>
  <c r="FG5" i="54"/>
  <c r="FM5" i="54"/>
  <c r="FR4" i="54" a="1"/>
  <c r="FR4" i="54" s="1"/>
  <c r="FR5" i="54" a="1"/>
  <c r="FR5" i="54" s="1"/>
  <c r="FS4" i="54" a="1"/>
  <c r="FS4" i="54" s="1"/>
  <c r="FV5" i="54" s="1"/>
  <c r="CG222" i="54"/>
  <c r="CG150" i="54"/>
  <c r="CG78" i="54"/>
  <c r="CG238" i="54"/>
  <c r="CG213" i="54"/>
  <c r="CG141" i="54"/>
  <c r="CG248" i="54"/>
  <c r="CG176" i="54"/>
  <c r="CG104" i="54"/>
  <c r="CG235" i="54"/>
  <c r="CG151" i="54"/>
  <c r="CG67" i="54"/>
  <c r="CG239" i="54"/>
  <c r="CG167" i="54"/>
  <c r="CG95" i="54"/>
  <c r="CG23" i="54"/>
  <c r="CG202" i="54"/>
  <c r="CG130" i="54"/>
  <c r="CG58" i="54"/>
  <c r="CG32" i="54"/>
  <c r="CG252" i="54"/>
  <c r="CG180" i="54"/>
  <c r="CG108" i="54"/>
  <c r="CG36" i="54"/>
  <c r="CG231" i="54"/>
  <c r="CG159" i="54"/>
  <c r="CG87" i="54"/>
  <c r="CG206" i="54"/>
  <c r="CG134" i="54"/>
  <c r="CG265" i="54"/>
  <c r="CG193" i="54"/>
  <c r="CG109" i="54"/>
  <c r="CG257" i="54"/>
  <c r="CG185" i="54"/>
  <c r="CG113" i="54"/>
  <c r="CG41" i="54"/>
  <c r="CG232" i="54"/>
  <c r="CG160" i="54"/>
  <c r="CG88" i="54"/>
  <c r="CG16" i="54"/>
  <c r="CG15" i="54"/>
  <c r="CG49" i="54"/>
  <c r="CG223" i="54"/>
  <c r="CG198" i="54"/>
  <c r="CG114" i="54"/>
  <c r="CG30" i="54"/>
  <c r="CG225" i="54"/>
  <c r="CG129" i="54"/>
  <c r="CG224" i="54"/>
  <c r="CG140" i="54"/>
  <c r="CG259" i="54"/>
  <c r="CG163" i="54"/>
  <c r="CG55" i="54"/>
  <c r="CG215" i="54"/>
  <c r="CG131" i="54"/>
  <c r="CG47" i="54"/>
  <c r="CG214" i="54"/>
  <c r="CG118" i="54"/>
  <c r="CG22" i="54"/>
  <c r="CG21" i="54"/>
  <c r="CG61" i="54"/>
  <c r="CG192" i="54"/>
  <c r="CG96" i="54"/>
  <c r="CG12" i="54"/>
  <c r="CG195" i="54"/>
  <c r="CG111" i="54"/>
  <c r="CG218" i="54"/>
  <c r="CG122" i="54"/>
  <c r="CG241" i="54"/>
  <c r="CG145" i="54"/>
  <c r="CG37" i="54"/>
  <c r="CG197" i="54"/>
  <c r="CG101" i="54"/>
  <c r="CG17" i="54"/>
  <c r="CG196" i="54"/>
  <c r="CG112" i="54"/>
  <c r="CG28" i="54"/>
  <c r="CG62" i="54"/>
  <c r="CG115" i="54"/>
  <c r="CG186" i="54"/>
  <c r="CG102" i="54"/>
  <c r="CG18" i="54"/>
  <c r="CG201" i="54"/>
  <c r="CG117" i="54"/>
  <c r="CG212" i="54"/>
  <c r="CG128" i="54"/>
  <c r="CG247" i="54"/>
  <c r="CG139" i="54"/>
  <c r="CG31" i="54"/>
  <c r="CG203" i="54"/>
  <c r="CG119" i="54"/>
  <c r="CG35" i="54"/>
  <c r="CG190" i="54"/>
  <c r="CG106" i="54"/>
  <c r="CG10" i="54"/>
  <c r="CG56" i="54"/>
  <c r="CG264" i="54"/>
  <c r="CG168" i="54"/>
  <c r="CG84" i="54"/>
  <c r="CG267" i="54"/>
  <c r="CG183" i="54"/>
  <c r="CG99" i="54"/>
  <c r="CG194" i="54"/>
  <c r="CG110" i="54"/>
  <c r="CG229" i="54"/>
  <c r="CG133" i="54"/>
  <c r="CG25" i="54"/>
  <c r="CG173" i="54"/>
  <c r="CG89" i="54"/>
  <c r="CG268" i="54"/>
  <c r="CG184" i="54"/>
  <c r="CG100" i="54"/>
  <c r="CG75" i="54"/>
  <c r="CG50" i="54"/>
  <c r="CG258" i="54"/>
  <c r="CG174" i="54"/>
  <c r="CG90" i="54"/>
  <c r="CG46" i="54"/>
  <c r="CG189" i="54"/>
  <c r="CG105" i="54"/>
  <c r="CG200" i="54"/>
  <c r="CG116" i="54"/>
  <c r="CG211" i="54"/>
  <c r="CG127" i="54"/>
  <c r="CG19" i="54"/>
  <c r="CG191" i="54"/>
  <c r="CG107" i="54"/>
  <c r="CG11" i="54"/>
  <c r="CG178" i="54"/>
  <c r="CG94" i="54"/>
  <c r="CG81" i="54"/>
  <c r="CG44" i="54"/>
  <c r="CG240" i="54"/>
  <c r="CG156" i="54"/>
  <c r="CG72" i="54"/>
  <c r="CG255" i="54"/>
  <c r="CG171" i="54"/>
  <c r="CG266" i="54"/>
  <c r="CG182" i="54"/>
  <c r="CG98" i="54"/>
  <c r="CG217" i="54"/>
  <c r="CG121" i="54"/>
  <c r="CG245" i="54"/>
  <c r="CG161" i="54"/>
  <c r="CG77" i="54"/>
  <c r="CG256" i="54"/>
  <c r="CG172" i="54"/>
  <c r="CG76" i="54"/>
  <c r="CG63" i="54"/>
  <c r="CG38" i="54"/>
  <c r="CG246" i="54"/>
  <c r="CG162" i="54"/>
  <c r="CG66" i="54"/>
  <c r="CG261" i="54"/>
  <c r="CG177" i="54"/>
  <c r="CG93" i="54"/>
  <c r="CG188" i="54"/>
  <c r="CG92" i="54"/>
  <c r="CG199" i="54"/>
  <c r="CG103" i="54"/>
  <c r="CG263" i="54"/>
  <c r="CG179" i="54"/>
  <c r="CG83" i="54"/>
  <c r="CG262" i="54"/>
  <c r="CG166" i="54"/>
  <c r="CG82" i="54"/>
  <c r="CG69" i="54"/>
  <c r="CG20" i="54"/>
  <c r="CG228" i="54"/>
  <c r="CG144" i="54"/>
  <c r="CG60" i="54"/>
  <c r="CG243" i="54"/>
  <c r="CG147" i="54"/>
  <c r="CG254" i="54"/>
  <c r="CG170" i="54"/>
  <c r="CG86" i="54"/>
  <c r="CG205" i="54"/>
  <c r="CG97" i="54"/>
  <c r="CG233" i="54"/>
  <c r="CG149" i="54"/>
  <c r="CG65" i="54"/>
  <c r="CG244" i="54"/>
  <c r="CG148" i="54"/>
  <c r="CG64" i="54"/>
  <c r="CG51" i="54"/>
  <c r="CG26" i="54"/>
  <c r="CG234" i="54"/>
  <c r="CG138" i="54"/>
  <c r="CG54" i="54"/>
  <c r="CG249" i="54"/>
  <c r="CG165" i="54"/>
  <c r="CG260" i="54"/>
  <c r="CG164" i="54"/>
  <c r="CG80" i="54"/>
  <c r="CG187" i="54"/>
  <c r="CG91" i="54"/>
  <c r="CG251" i="54"/>
  <c r="CG155" i="54"/>
  <c r="CG71" i="54"/>
  <c r="CG250" i="54"/>
  <c r="CG154" i="54"/>
  <c r="CG70" i="54"/>
  <c r="CG45" i="54"/>
  <c r="CG43" i="54"/>
  <c r="CG216" i="54"/>
  <c r="CG132" i="54"/>
  <c r="CG48" i="54"/>
  <c r="CG219" i="54"/>
  <c r="CG135" i="54"/>
  <c r="CG242" i="54"/>
  <c r="CG158" i="54"/>
  <c r="CG74" i="54"/>
  <c r="CG181" i="54"/>
  <c r="CG85" i="54"/>
  <c r="CG221" i="54"/>
  <c r="CG137" i="54"/>
  <c r="CG53" i="54"/>
  <c r="CG220" i="54"/>
  <c r="CG136" i="54"/>
  <c r="CG52" i="54"/>
  <c r="CG39" i="54"/>
  <c r="CG14" i="54"/>
  <c r="CG210" i="54"/>
  <c r="CG126" i="54"/>
  <c r="CG42" i="54"/>
  <c r="CG237" i="54"/>
  <c r="CG153" i="54"/>
  <c r="CG236" i="54"/>
  <c r="CG152" i="54"/>
  <c r="CG175" i="54"/>
  <c r="CG79" i="54"/>
  <c r="CG227" i="54"/>
  <c r="CG143" i="54"/>
  <c r="CG59" i="54"/>
  <c r="CG226" i="54"/>
  <c r="CG142" i="54"/>
  <c r="CG34" i="54"/>
  <c r="CG33" i="54"/>
  <c r="CG169" i="54"/>
  <c r="CG204" i="54"/>
  <c r="CG120" i="54"/>
  <c r="CG24" i="54"/>
  <c r="CG207" i="54"/>
  <c r="CG123" i="54"/>
  <c r="CG230" i="54"/>
  <c r="CG146" i="54"/>
  <c r="CG253" i="54"/>
  <c r="CG157" i="54"/>
  <c r="CG73" i="54"/>
  <c r="CG209" i="54"/>
  <c r="CG125" i="54"/>
  <c r="CG29" i="54"/>
  <c r="CG208" i="54"/>
  <c r="CG124" i="54"/>
  <c r="CG40" i="54"/>
  <c r="CG27" i="54"/>
  <c r="CG13" i="54"/>
  <c r="CV37" i="54"/>
  <c r="CT37" i="54"/>
  <c r="CU38" i="54" s="1"/>
  <c r="B31" i="50"/>
  <c r="E33" i="50"/>
  <c r="E32" i="50"/>
  <c r="E31" i="50"/>
  <c r="B32" i="50"/>
  <c r="GC6" i="54" l="1"/>
  <c r="GA5" i="54"/>
  <c r="GD5" i="54"/>
  <c r="FY6" i="54" s="1"/>
  <c r="GA6" i="54" s="1"/>
  <c r="FI5" i="54"/>
  <c r="FD6" i="54" s="1"/>
  <c r="FC6" i="54" s="1"/>
  <c r="FT5" i="54"/>
  <c r="FP5" i="54"/>
  <c r="FK6" i="54" s="1"/>
  <c r="FV6" i="54"/>
  <c r="FU5" i="54"/>
  <c r="CV38" i="54"/>
  <c r="CT38" i="54"/>
  <c r="CU39" i="54" s="1"/>
  <c r="G7" i="53"/>
  <c r="H8" i="53" s="1"/>
  <c r="H14" i="53" s="1" a="1"/>
  <c r="H14" i="53" s="1"/>
  <c r="FW5" i="54" l="1"/>
  <c r="FR6" i="54" s="1"/>
  <c r="FS6" i="54" s="1"/>
  <c r="FZ6" i="54"/>
  <c r="GC7" i="54" s="1"/>
  <c r="FX6" i="54"/>
  <c r="FE6" i="54"/>
  <c r="FG6" i="54" s="1"/>
  <c r="FF6" i="54"/>
  <c r="FT6" i="54"/>
  <c r="FQ6" i="54"/>
  <c r="FL6" i="54"/>
  <c r="FJ6" i="54"/>
  <c r="FM6" i="54"/>
  <c r="CV39" i="54"/>
  <c r="CT39" i="54"/>
  <c r="CU40" i="54" s="1"/>
  <c r="F14" i="53" a="1"/>
  <c r="F14" i="53" s="1"/>
  <c r="G14" i="53" s="1" a="1"/>
  <c r="G14" i="53" s="1"/>
  <c r="GB6" i="54" l="1"/>
  <c r="GD6" i="54" s="1"/>
  <c r="FY7" i="54" s="1"/>
  <c r="FZ7" i="54" s="1"/>
  <c r="FI6" i="54"/>
  <c r="FD7" i="54" s="1"/>
  <c r="FH7" i="54"/>
  <c r="FO7" i="54"/>
  <c r="FN6" i="54"/>
  <c r="FP6" i="54" s="1"/>
  <c r="FK7" i="54" s="1"/>
  <c r="FC7" i="54"/>
  <c r="FF7" i="54"/>
  <c r="FE7" i="54"/>
  <c r="FV7" i="54"/>
  <c r="FU6" i="54"/>
  <c r="FW6" i="54" s="1"/>
  <c r="FR7" i="54" s="1"/>
  <c r="CV40" i="54"/>
  <c r="CT40" i="54"/>
  <c r="CU41" i="54" s="1"/>
  <c r="I14" i="53" a="1"/>
  <c r="I14" i="53" s="1"/>
  <c r="I6" i="53" s="1"/>
  <c r="H6" i="53"/>
  <c r="C8" i="53"/>
  <c r="GA7" i="54" l="1"/>
  <c r="FX7" i="54"/>
  <c r="FJ7" i="54"/>
  <c r="FL7" i="54"/>
  <c r="FM7" i="54"/>
  <c r="FQ7" i="54"/>
  <c r="FS7" i="54"/>
  <c r="FT7" i="54"/>
  <c r="FG7" i="54"/>
  <c r="FH8" i="54"/>
  <c r="FI7" i="54"/>
  <c r="FD8" i="54" s="1"/>
  <c r="GB7" i="54"/>
  <c r="GC8" i="54"/>
  <c r="CV41" i="54"/>
  <c r="CT41" i="54"/>
  <c r="CU42" i="54" s="1"/>
  <c r="D14" i="53" a="1"/>
  <c r="D14" i="53" s="1"/>
  <c r="C7" i="53"/>
  <c r="C6" i="53"/>
  <c r="GD7" i="54" l="1"/>
  <c r="FY8" i="54" s="1"/>
  <c r="GA8" i="54" s="1"/>
  <c r="FO8" i="54"/>
  <c r="FN7" i="54"/>
  <c r="FP7" i="54" s="1"/>
  <c r="FK8" i="54" s="1"/>
  <c r="FV8" i="54"/>
  <c r="FU7" i="54"/>
  <c r="FW7" i="54" s="1"/>
  <c r="FR8" i="54" s="1"/>
  <c r="FZ8" i="54"/>
  <c r="FF8" i="54"/>
  <c r="FC8" i="54"/>
  <c r="FE8" i="54"/>
  <c r="CV42" i="54"/>
  <c r="CT42" i="54"/>
  <c r="CU43" i="54" s="1"/>
  <c r="D7" i="53"/>
  <c r="D6" i="53"/>
  <c r="FX8" i="54" l="1"/>
  <c r="FG8" i="54"/>
  <c r="FI8" i="54" s="1"/>
  <c r="FD9" i="54" s="1"/>
  <c r="FH9" i="54"/>
  <c r="FQ8" i="54"/>
  <c r="FS8" i="54"/>
  <c r="FT8" i="54"/>
  <c r="GC9" i="54"/>
  <c r="GB8" i="54"/>
  <c r="GD8" i="54" s="1"/>
  <c r="FY9" i="54" s="1"/>
  <c r="FJ8" i="54"/>
  <c r="FL8" i="54"/>
  <c r="FM8" i="54"/>
  <c r="CV43" i="54"/>
  <c r="CT43" i="54"/>
  <c r="CU44" i="54" s="1"/>
  <c r="AE272" i="50"/>
  <c r="AF272" i="50" s="1"/>
  <c r="AE273" i="50"/>
  <c r="AF273" i="50" s="1"/>
  <c r="AE274" i="50"/>
  <c r="AF274" i="50" s="1"/>
  <c r="AE275" i="50"/>
  <c r="AF275" i="50" s="1"/>
  <c r="AE276" i="50"/>
  <c r="AF276" i="50" s="1"/>
  <c r="AE277" i="50"/>
  <c r="AF277" i="50" s="1"/>
  <c r="AE278" i="50"/>
  <c r="AF278" i="50" s="1"/>
  <c r="AE279" i="50"/>
  <c r="AF279" i="50" s="1"/>
  <c r="AE280" i="50"/>
  <c r="AF280" i="50" s="1"/>
  <c r="AE281" i="50"/>
  <c r="AF281" i="50" s="1"/>
  <c r="AE282" i="50"/>
  <c r="AF282" i="50" s="1"/>
  <c r="AE283" i="50"/>
  <c r="AF283" i="50" s="1"/>
  <c r="AE284" i="50"/>
  <c r="AF284" i="50" s="1"/>
  <c r="AE285" i="50"/>
  <c r="AF285" i="50" s="1"/>
  <c r="AE286" i="50"/>
  <c r="AF286" i="50" s="1"/>
  <c r="AE287" i="50"/>
  <c r="AF287" i="50" s="1"/>
  <c r="AE288" i="50"/>
  <c r="AF288" i="50" s="1"/>
  <c r="AE289" i="50"/>
  <c r="AF289" i="50" s="1"/>
  <c r="AE290" i="50"/>
  <c r="AF290" i="50" s="1"/>
  <c r="AE291" i="50"/>
  <c r="AF291" i="50" s="1"/>
  <c r="AE292" i="50"/>
  <c r="AF292" i="50" s="1"/>
  <c r="AE293" i="50"/>
  <c r="AF293" i="50" s="1"/>
  <c r="AE294" i="50"/>
  <c r="AF294" i="50" s="1"/>
  <c r="AE295" i="50"/>
  <c r="AF295" i="50" s="1"/>
  <c r="AE296" i="50"/>
  <c r="AF296" i="50" s="1"/>
  <c r="AE297" i="50"/>
  <c r="AF297" i="50" s="1"/>
  <c r="AE298" i="50"/>
  <c r="AF298" i="50" s="1"/>
  <c r="AE299" i="50"/>
  <c r="AF299" i="50" s="1"/>
  <c r="AE300" i="50"/>
  <c r="AF300" i="50" s="1"/>
  <c r="AE301" i="50"/>
  <c r="AF301" i="50" s="1"/>
  <c r="AE302" i="50"/>
  <c r="AF302" i="50" s="1"/>
  <c r="AE303" i="50"/>
  <c r="AF303" i="50" s="1"/>
  <c r="AE304" i="50"/>
  <c r="AF304" i="50" s="1"/>
  <c r="AE305" i="50"/>
  <c r="AF305" i="50" s="1"/>
  <c r="AE306" i="50"/>
  <c r="AF306" i="50" s="1"/>
  <c r="AE307" i="50"/>
  <c r="AF307" i="50" s="1"/>
  <c r="AE308" i="50"/>
  <c r="AF308" i="50" s="1"/>
  <c r="AE309" i="50"/>
  <c r="AF309" i="50" s="1"/>
  <c r="AE310" i="50"/>
  <c r="AF310" i="50" s="1"/>
  <c r="AE311" i="50"/>
  <c r="AF311" i="50" s="1"/>
  <c r="AE312" i="50"/>
  <c r="AF312" i="50" s="1"/>
  <c r="AE313" i="50"/>
  <c r="AF313" i="50" s="1"/>
  <c r="AE314" i="50"/>
  <c r="AF314" i="50" s="1"/>
  <c r="AE315" i="50"/>
  <c r="AF315" i="50" s="1"/>
  <c r="AE316" i="50"/>
  <c r="AF316" i="50" s="1"/>
  <c r="AE317" i="50"/>
  <c r="AF317" i="50" s="1"/>
  <c r="AE318" i="50"/>
  <c r="AF318" i="50" s="1"/>
  <c r="AE319" i="50"/>
  <c r="AF319" i="50" s="1"/>
  <c r="AE320" i="50"/>
  <c r="AF320" i="50" s="1"/>
  <c r="AE321" i="50"/>
  <c r="AF321" i="50" s="1"/>
  <c r="AE322" i="50"/>
  <c r="AF322" i="50" s="1"/>
  <c r="AE323" i="50"/>
  <c r="AF323" i="50" s="1"/>
  <c r="AE324" i="50"/>
  <c r="AF324" i="50" s="1"/>
  <c r="AE325" i="50"/>
  <c r="AF325" i="50" s="1"/>
  <c r="AE326" i="50"/>
  <c r="AF326" i="50" s="1"/>
  <c r="AE327" i="50"/>
  <c r="AF327" i="50" s="1"/>
  <c r="AE328" i="50"/>
  <c r="AF328" i="50" s="1"/>
  <c r="AE329" i="50"/>
  <c r="AF329" i="50" s="1"/>
  <c r="AE330" i="50"/>
  <c r="AF330" i="50" s="1"/>
  <c r="AE331" i="50"/>
  <c r="AF331" i="50" s="1"/>
  <c r="AE332" i="50"/>
  <c r="AF332" i="50" s="1"/>
  <c r="AE333" i="50"/>
  <c r="AF333" i="50" s="1"/>
  <c r="AE334" i="50"/>
  <c r="AF334" i="50" s="1"/>
  <c r="AE335" i="50"/>
  <c r="AF335" i="50" s="1"/>
  <c r="AE336" i="50"/>
  <c r="AF336" i="50" s="1"/>
  <c r="AE337" i="50"/>
  <c r="AF337" i="50" s="1"/>
  <c r="AE338" i="50"/>
  <c r="AF338" i="50" s="1"/>
  <c r="AE339" i="50"/>
  <c r="AF339" i="50" s="1"/>
  <c r="AE340" i="50"/>
  <c r="AF340" i="50" s="1"/>
  <c r="AE341" i="50"/>
  <c r="AF341" i="50" s="1"/>
  <c r="AE342" i="50"/>
  <c r="AF342" i="50" s="1"/>
  <c r="AE343" i="50"/>
  <c r="AF343" i="50" s="1"/>
  <c r="AE344" i="50"/>
  <c r="AF344" i="50" s="1"/>
  <c r="AE345" i="50"/>
  <c r="AF345" i="50" s="1"/>
  <c r="AE346" i="50"/>
  <c r="AF346" i="50" s="1"/>
  <c r="AE347" i="50"/>
  <c r="AF347" i="50" s="1"/>
  <c r="AE348" i="50"/>
  <c r="AF348" i="50" s="1"/>
  <c r="AE349" i="50"/>
  <c r="AF349" i="50" s="1"/>
  <c r="AE350" i="50"/>
  <c r="AF350" i="50" s="1"/>
  <c r="AE351" i="50"/>
  <c r="AF351" i="50" s="1"/>
  <c r="AE352" i="50"/>
  <c r="AF352" i="50" s="1"/>
  <c r="AE353" i="50"/>
  <c r="AF353" i="50" s="1"/>
  <c r="AE354" i="50"/>
  <c r="AF354" i="50" s="1"/>
  <c r="AE355" i="50"/>
  <c r="AF355" i="50" s="1"/>
  <c r="AE356" i="50"/>
  <c r="AF356" i="50" s="1"/>
  <c r="AE357" i="50"/>
  <c r="AF357" i="50" s="1"/>
  <c r="AE358" i="50"/>
  <c r="AF358" i="50" s="1"/>
  <c r="AE359" i="50"/>
  <c r="AF359" i="50" s="1"/>
  <c r="AE360" i="50"/>
  <c r="AF360" i="50" s="1"/>
  <c r="AE361" i="50"/>
  <c r="AF361" i="50" s="1"/>
  <c r="AE362" i="50"/>
  <c r="AF362" i="50" s="1"/>
  <c r="AE363" i="50"/>
  <c r="AF363" i="50" s="1"/>
  <c r="AE364" i="50"/>
  <c r="AF364" i="50" s="1"/>
  <c r="AE365" i="50"/>
  <c r="AF365" i="50" s="1"/>
  <c r="AE366" i="50"/>
  <c r="AF366" i="50" s="1"/>
  <c r="AE367" i="50"/>
  <c r="AF367" i="50" s="1"/>
  <c r="AE368" i="50"/>
  <c r="AF368" i="50" s="1"/>
  <c r="AE369" i="50"/>
  <c r="AF369" i="50" s="1"/>
  <c r="AE370" i="50"/>
  <c r="AF370" i="50" s="1"/>
  <c r="AE371" i="50"/>
  <c r="AF371" i="50" s="1"/>
  <c r="AE372" i="50"/>
  <c r="AF372" i="50" s="1"/>
  <c r="AE373" i="50"/>
  <c r="AF373" i="50" s="1"/>
  <c r="AE374" i="50"/>
  <c r="AF374" i="50" s="1"/>
  <c r="AE375" i="50"/>
  <c r="AF375" i="50" s="1"/>
  <c r="AE376" i="50"/>
  <c r="AF376" i="50" s="1"/>
  <c r="AE377" i="50"/>
  <c r="AF377" i="50" s="1"/>
  <c r="AE378" i="50"/>
  <c r="AF378" i="50" s="1"/>
  <c r="AE379" i="50"/>
  <c r="AF379" i="50" s="1"/>
  <c r="AE380" i="50"/>
  <c r="AF380" i="50" s="1"/>
  <c r="AE381" i="50"/>
  <c r="AF381" i="50" s="1"/>
  <c r="AE382" i="50"/>
  <c r="AF382" i="50" s="1"/>
  <c r="AE383" i="50"/>
  <c r="AF383" i="50" s="1"/>
  <c r="AE384" i="50"/>
  <c r="AF384" i="50" s="1"/>
  <c r="AE385" i="50"/>
  <c r="AF385" i="50" s="1"/>
  <c r="AE386" i="50"/>
  <c r="AF386" i="50" s="1"/>
  <c r="AE387" i="50"/>
  <c r="AF387" i="50" s="1"/>
  <c r="AE388" i="50"/>
  <c r="AF388" i="50" s="1"/>
  <c r="AE389" i="50"/>
  <c r="AF389" i="50" s="1"/>
  <c r="AE390" i="50"/>
  <c r="AF390" i="50" s="1"/>
  <c r="AE391" i="50"/>
  <c r="AF391" i="50" s="1"/>
  <c r="AE392" i="50"/>
  <c r="AF392" i="50" s="1"/>
  <c r="AE393" i="50"/>
  <c r="AF393" i="50" s="1"/>
  <c r="AE394" i="50"/>
  <c r="AF394" i="50" s="1"/>
  <c r="AE395" i="50"/>
  <c r="AF395" i="50" s="1"/>
  <c r="AE396" i="50"/>
  <c r="AF396" i="50" s="1"/>
  <c r="AE397" i="50"/>
  <c r="AF397" i="50" s="1"/>
  <c r="AE398" i="50"/>
  <c r="AF398" i="50" s="1"/>
  <c r="AE399" i="50"/>
  <c r="AF399" i="50" s="1"/>
  <c r="AE400" i="50"/>
  <c r="AF400" i="50" s="1"/>
  <c r="AE401" i="50"/>
  <c r="AF401" i="50" s="1"/>
  <c r="AE402" i="50"/>
  <c r="AF402" i="50" s="1"/>
  <c r="AE403" i="50"/>
  <c r="AF403" i="50" s="1"/>
  <c r="AE404" i="50"/>
  <c r="AF404" i="50" s="1"/>
  <c r="AE405" i="50"/>
  <c r="AF405" i="50" s="1"/>
  <c r="AE406" i="50"/>
  <c r="AF406" i="50" s="1"/>
  <c r="AE407" i="50"/>
  <c r="AF407" i="50" s="1"/>
  <c r="AE408" i="50"/>
  <c r="AF408" i="50" s="1"/>
  <c r="AE409" i="50"/>
  <c r="AF409" i="50" s="1"/>
  <c r="AE410" i="50"/>
  <c r="AF410" i="50" s="1"/>
  <c r="AE411" i="50"/>
  <c r="AF411" i="50" s="1"/>
  <c r="AE412" i="50"/>
  <c r="AF412" i="50" s="1"/>
  <c r="AE413" i="50"/>
  <c r="AF413" i="50" s="1"/>
  <c r="AE414" i="50"/>
  <c r="AF414" i="50" s="1"/>
  <c r="AE415" i="50"/>
  <c r="AF415" i="50" s="1"/>
  <c r="AE416" i="50"/>
  <c r="AF416" i="50" s="1"/>
  <c r="AE417" i="50"/>
  <c r="AF417" i="50" s="1"/>
  <c r="AE418" i="50"/>
  <c r="AF418" i="50" s="1"/>
  <c r="AE419" i="50"/>
  <c r="AF419" i="50" s="1"/>
  <c r="AE420" i="50"/>
  <c r="AF420" i="50" s="1"/>
  <c r="AE421" i="50"/>
  <c r="AF421" i="50" s="1"/>
  <c r="AE422" i="50"/>
  <c r="AF422" i="50" s="1"/>
  <c r="AE423" i="50"/>
  <c r="AF423" i="50" s="1"/>
  <c r="AE424" i="50"/>
  <c r="AF424" i="50" s="1"/>
  <c r="AE425" i="50"/>
  <c r="AF425" i="50" s="1"/>
  <c r="AE426" i="50"/>
  <c r="AF426" i="50" s="1"/>
  <c r="AE427" i="50"/>
  <c r="AF427" i="50" s="1"/>
  <c r="AE428" i="50"/>
  <c r="AF428" i="50" s="1"/>
  <c r="AE429" i="50"/>
  <c r="AF429" i="50" s="1"/>
  <c r="AE430" i="50"/>
  <c r="AF430" i="50" s="1"/>
  <c r="AE431" i="50"/>
  <c r="AF431" i="50" s="1"/>
  <c r="AE432" i="50"/>
  <c r="AF432" i="50" s="1"/>
  <c r="AE433" i="50"/>
  <c r="AF433" i="50" s="1"/>
  <c r="AE434" i="50"/>
  <c r="AF434" i="50" s="1"/>
  <c r="AE435" i="50"/>
  <c r="AF435" i="50" s="1"/>
  <c r="AE436" i="50"/>
  <c r="AF436" i="50" s="1"/>
  <c r="AE437" i="50"/>
  <c r="AF437" i="50" s="1"/>
  <c r="AE438" i="50"/>
  <c r="AF438" i="50" s="1"/>
  <c r="AE439" i="50"/>
  <c r="AF439" i="50" s="1"/>
  <c r="AE440" i="50"/>
  <c r="AF440" i="50" s="1"/>
  <c r="AE441" i="50"/>
  <c r="AF441" i="50" s="1"/>
  <c r="AE442" i="50"/>
  <c r="AF442" i="50" s="1"/>
  <c r="AE443" i="50"/>
  <c r="AF443" i="50" s="1"/>
  <c r="AE444" i="50"/>
  <c r="AF444" i="50" s="1"/>
  <c r="AE445" i="50"/>
  <c r="AF445" i="50" s="1"/>
  <c r="AE446" i="50"/>
  <c r="AF446" i="50" s="1"/>
  <c r="AE447" i="50"/>
  <c r="AF447" i="50" s="1"/>
  <c r="AE448" i="50"/>
  <c r="AF448" i="50" s="1"/>
  <c r="AE449" i="50"/>
  <c r="AF449" i="50" s="1"/>
  <c r="AE450" i="50"/>
  <c r="AF450" i="50" s="1"/>
  <c r="AE451" i="50"/>
  <c r="AF451" i="50" s="1"/>
  <c r="AE452" i="50"/>
  <c r="AF452" i="50" s="1"/>
  <c r="AE453" i="50"/>
  <c r="AF453" i="50" s="1"/>
  <c r="AE454" i="50"/>
  <c r="AF454" i="50" s="1"/>
  <c r="AE455" i="50"/>
  <c r="AF455" i="50" s="1"/>
  <c r="AE456" i="50"/>
  <c r="AF456" i="50" s="1"/>
  <c r="AE457" i="50"/>
  <c r="AF457" i="50" s="1"/>
  <c r="AE458" i="50"/>
  <c r="AF458" i="50" s="1"/>
  <c r="AE459" i="50"/>
  <c r="AF459" i="50" s="1"/>
  <c r="AE460" i="50"/>
  <c r="AF460" i="50" s="1"/>
  <c r="AE461" i="50"/>
  <c r="AF461" i="50" s="1"/>
  <c r="AE462" i="50"/>
  <c r="AF462" i="50" s="1"/>
  <c r="AE463" i="50"/>
  <c r="AF463" i="50" s="1"/>
  <c r="AE464" i="50"/>
  <c r="AF464" i="50" s="1"/>
  <c r="AE465" i="50"/>
  <c r="AF465" i="50" s="1"/>
  <c r="AE466" i="50"/>
  <c r="AF466" i="50" s="1"/>
  <c r="AE467" i="50"/>
  <c r="AF467" i="50" s="1"/>
  <c r="AE468" i="50"/>
  <c r="AF468" i="50" s="1"/>
  <c r="AE469" i="50"/>
  <c r="AF469" i="50" s="1"/>
  <c r="AE470" i="50"/>
  <c r="AF470" i="50" s="1"/>
  <c r="AE471" i="50"/>
  <c r="AF471" i="50" s="1"/>
  <c r="AE472" i="50"/>
  <c r="AF472" i="50" s="1"/>
  <c r="AE473" i="50"/>
  <c r="AF473" i="50" s="1"/>
  <c r="AE474" i="50"/>
  <c r="AF474" i="50" s="1"/>
  <c r="AE475" i="50"/>
  <c r="AF475" i="50" s="1"/>
  <c r="AE476" i="50"/>
  <c r="AF476" i="50" s="1"/>
  <c r="AE477" i="50"/>
  <c r="AF477" i="50" s="1"/>
  <c r="AE478" i="50"/>
  <c r="AF478" i="50" s="1"/>
  <c r="AE479" i="50"/>
  <c r="AF479" i="50" s="1"/>
  <c r="AE480" i="50"/>
  <c r="AF480" i="50" s="1"/>
  <c r="AE481" i="50"/>
  <c r="AF481" i="50" s="1"/>
  <c r="AE482" i="50"/>
  <c r="AF482" i="50" s="1"/>
  <c r="AE483" i="50"/>
  <c r="AF483" i="50" s="1"/>
  <c r="AE484" i="50"/>
  <c r="AF484" i="50" s="1"/>
  <c r="AE485" i="50"/>
  <c r="AF485" i="50" s="1"/>
  <c r="AE486" i="50"/>
  <c r="AF486" i="50" s="1"/>
  <c r="AE487" i="50"/>
  <c r="AF487" i="50" s="1"/>
  <c r="AE488" i="50"/>
  <c r="AF488" i="50" s="1"/>
  <c r="AE489" i="50"/>
  <c r="AF489" i="50" s="1"/>
  <c r="AE490" i="50"/>
  <c r="AF490" i="50" s="1"/>
  <c r="AE491" i="50"/>
  <c r="AF491" i="50" s="1"/>
  <c r="AE492" i="50"/>
  <c r="AF492" i="50" s="1"/>
  <c r="AE493" i="50"/>
  <c r="AF493" i="50" s="1"/>
  <c r="AE494" i="50"/>
  <c r="AF494" i="50" s="1"/>
  <c r="AE495" i="50"/>
  <c r="AF495" i="50" s="1"/>
  <c r="AE496" i="50"/>
  <c r="AF496" i="50" s="1"/>
  <c r="AE497" i="50"/>
  <c r="AF497" i="50" s="1"/>
  <c r="AE498" i="50"/>
  <c r="AF498" i="50" s="1"/>
  <c r="AE499" i="50"/>
  <c r="AF499" i="50" s="1"/>
  <c r="AE500" i="50"/>
  <c r="AF500" i="50" s="1"/>
  <c r="AE501" i="50"/>
  <c r="AF501" i="50" s="1"/>
  <c r="AE502" i="50"/>
  <c r="AF502" i="50" s="1"/>
  <c r="AE503" i="50"/>
  <c r="AF503" i="50" s="1"/>
  <c r="AE504" i="50"/>
  <c r="AF504" i="50" s="1"/>
  <c r="AE505" i="50"/>
  <c r="AF505" i="50" s="1"/>
  <c r="AE506" i="50"/>
  <c r="AF506" i="50" s="1"/>
  <c r="AE507" i="50"/>
  <c r="AF507" i="50" s="1"/>
  <c r="AE508" i="50"/>
  <c r="AF508" i="50" s="1"/>
  <c r="AE509" i="50"/>
  <c r="AF509" i="50" s="1"/>
  <c r="AE510" i="50"/>
  <c r="AF510" i="50" s="1"/>
  <c r="AE511" i="50"/>
  <c r="AF511" i="50" s="1"/>
  <c r="AE512" i="50"/>
  <c r="AF512" i="50" s="1"/>
  <c r="AE513" i="50"/>
  <c r="AF513" i="50" s="1"/>
  <c r="AE514" i="50"/>
  <c r="AF514" i="50" s="1"/>
  <c r="AE515" i="50"/>
  <c r="AF515" i="50" s="1"/>
  <c r="AE516" i="50"/>
  <c r="AF516" i="50" s="1"/>
  <c r="AE517" i="50"/>
  <c r="AF517" i="50" s="1"/>
  <c r="AE518" i="50"/>
  <c r="AF518" i="50" s="1"/>
  <c r="AE519" i="50"/>
  <c r="AF519" i="50" s="1"/>
  <c r="AE520" i="50"/>
  <c r="AF520" i="50" s="1"/>
  <c r="AE521" i="50"/>
  <c r="AF521" i="50" s="1"/>
  <c r="AE522" i="50"/>
  <c r="AF522" i="50" s="1"/>
  <c r="AE523" i="50"/>
  <c r="AF523" i="50" s="1"/>
  <c r="AE524" i="50"/>
  <c r="AF524" i="50" s="1"/>
  <c r="AE525" i="50"/>
  <c r="AF525" i="50" s="1"/>
  <c r="AE526" i="50"/>
  <c r="AF526" i="50" s="1"/>
  <c r="AE527" i="50"/>
  <c r="AF527" i="50" s="1"/>
  <c r="AE528" i="50"/>
  <c r="AF528" i="50" s="1"/>
  <c r="AE529" i="50"/>
  <c r="AF529" i="50" s="1"/>
  <c r="AE530" i="50"/>
  <c r="AF530" i="50" s="1"/>
  <c r="AE531" i="50"/>
  <c r="AF531" i="50" s="1"/>
  <c r="AE532" i="50"/>
  <c r="AF532" i="50" s="1"/>
  <c r="AE533" i="50"/>
  <c r="AF533" i="50" s="1"/>
  <c r="AE534" i="50"/>
  <c r="AF534" i="50" s="1"/>
  <c r="AE535" i="50"/>
  <c r="AF535" i="50" s="1"/>
  <c r="AE536" i="50"/>
  <c r="AF536" i="50" s="1"/>
  <c r="AE537" i="50"/>
  <c r="AF537" i="50" s="1"/>
  <c r="AE538" i="50"/>
  <c r="AF538" i="50" s="1"/>
  <c r="AE539" i="50"/>
  <c r="AF539" i="50" s="1"/>
  <c r="AE540" i="50"/>
  <c r="AF540" i="50" s="1"/>
  <c r="AE541" i="50"/>
  <c r="AF541" i="50" s="1"/>
  <c r="AE542" i="50"/>
  <c r="AF542" i="50" s="1"/>
  <c r="AE543" i="50"/>
  <c r="AF543" i="50" s="1"/>
  <c r="AE544" i="50"/>
  <c r="AF544" i="50" s="1"/>
  <c r="AE545" i="50"/>
  <c r="AF545" i="50" s="1"/>
  <c r="AE546" i="50"/>
  <c r="AF546" i="50" s="1"/>
  <c r="AE547" i="50"/>
  <c r="AF547" i="50" s="1"/>
  <c r="AE548" i="50"/>
  <c r="AF548" i="50" s="1"/>
  <c r="AE549" i="50"/>
  <c r="AF549" i="50" s="1"/>
  <c r="AE550" i="50"/>
  <c r="AF550" i="50" s="1"/>
  <c r="AE551" i="50"/>
  <c r="AF551" i="50" s="1"/>
  <c r="AE552" i="50"/>
  <c r="AF552" i="50" s="1"/>
  <c r="AE553" i="50"/>
  <c r="AF553" i="50" s="1"/>
  <c r="AE554" i="50"/>
  <c r="AF554" i="50" s="1"/>
  <c r="AE555" i="50"/>
  <c r="AF555" i="50" s="1"/>
  <c r="AE556" i="50"/>
  <c r="AF556" i="50" s="1"/>
  <c r="AE557" i="50"/>
  <c r="AF557" i="50" s="1"/>
  <c r="AE558" i="50"/>
  <c r="AF558" i="50" s="1"/>
  <c r="AE559" i="50"/>
  <c r="AF559" i="50" s="1"/>
  <c r="AE560" i="50"/>
  <c r="AF560" i="50" s="1"/>
  <c r="AE561" i="50"/>
  <c r="AF561" i="50" s="1"/>
  <c r="AE562" i="50"/>
  <c r="AF562" i="50" s="1"/>
  <c r="AE563" i="50"/>
  <c r="AF563" i="50" s="1"/>
  <c r="AE564" i="50"/>
  <c r="AF564" i="50" s="1"/>
  <c r="AE565" i="50"/>
  <c r="AF565" i="50" s="1"/>
  <c r="AE566" i="50"/>
  <c r="AF566" i="50" s="1"/>
  <c r="AE567" i="50"/>
  <c r="AF567" i="50" s="1"/>
  <c r="AE568" i="50"/>
  <c r="AF568" i="50" s="1"/>
  <c r="AE569" i="50"/>
  <c r="AF569" i="50" s="1"/>
  <c r="AE570" i="50"/>
  <c r="AF570" i="50" s="1"/>
  <c r="AE571" i="50"/>
  <c r="AF571" i="50" s="1"/>
  <c r="AE572" i="50"/>
  <c r="AF572" i="50" s="1"/>
  <c r="AE573" i="50"/>
  <c r="AF573" i="50" s="1"/>
  <c r="AE574" i="50"/>
  <c r="AF574" i="50" s="1"/>
  <c r="AE575" i="50"/>
  <c r="AF575" i="50" s="1"/>
  <c r="AE576" i="50"/>
  <c r="AF576" i="50" s="1"/>
  <c r="AE577" i="50"/>
  <c r="AF577" i="50" s="1"/>
  <c r="AE578" i="50"/>
  <c r="AF578" i="50" s="1"/>
  <c r="AE579" i="50"/>
  <c r="AF579" i="50" s="1"/>
  <c r="AE580" i="50"/>
  <c r="AF580" i="50" s="1"/>
  <c r="AE581" i="50"/>
  <c r="AF581" i="50" s="1"/>
  <c r="AE582" i="50"/>
  <c r="AF582" i="50" s="1"/>
  <c r="AE583" i="50"/>
  <c r="AF583" i="50" s="1"/>
  <c r="AE584" i="50"/>
  <c r="AF584" i="50" s="1"/>
  <c r="AE585" i="50"/>
  <c r="AF585" i="50" s="1"/>
  <c r="AE586" i="50"/>
  <c r="AF586" i="50" s="1"/>
  <c r="AE587" i="50"/>
  <c r="AF587" i="50" s="1"/>
  <c r="AE588" i="50"/>
  <c r="AF588" i="50" s="1"/>
  <c r="AE589" i="50"/>
  <c r="AF589" i="50" s="1"/>
  <c r="AE590" i="50"/>
  <c r="AF590" i="50" s="1"/>
  <c r="AE591" i="50"/>
  <c r="AF591" i="50" s="1"/>
  <c r="AE592" i="50"/>
  <c r="AF592" i="50" s="1"/>
  <c r="AE593" i="50"/>
  <c r="AF593" i="50" s="1"/>
  <c r="AE594" i="50"/>
  <c r="AF594" i="50" s="1"/>
  <c r="AE595" i="50"/>
  <c r="AF595" i="50" s="1"/>
  <c r="AE596" i="50"/>
  <c r="AF596" i="50" s="1"/>
  <c r="AE597" i="50"/>
  <c r="AF597" i="50" s="1"/>
  <c r="AE598" i="50"/>
  <c r="AF598" i="50" s="1"/>
  <c r="AE599" i="50"/>
  <c r="AF599" i="50" s="1"/>
  <c r="AE600" i="50"/>
  <c r="AF600" i="50" s="1"/>
  <c r="AE601" i="50"/>
  <c r="AF601" i="50" s="1"/>
  <c r="AE602" i="50"/>
  <c r="AF602" i="50" s="1"/>
  <c r="AE603" i="50"/>
  <c r="AF603" i="50" s="1"/>
  <c r="AE604" i="50"/>
  <c r="AF604" i="50" s="1"/>
  <c r="AE605" i="50"/>
  <c r="AF605" i="50" s="1"/>
  <c r="AE606" i="50"/>
  <c r="AF606" i="50" s="1"/>
  <c r="AE607" i="50"/>
  <c r="AF607" i="50" s="1"/>
  <c r="AE608" i="50"/>
  <c r="AF608" i="50" s="1"/>
  <c r="AE609" i="50"/>
  <c r="AF609" i="50" s="1"/>
  <c r="AE610" i="50"/>
  <c r="AF610" i="50" s="1"/>
  <c r="AE611" i="50"/>
  <c r="AF611" i="50" s="1"/>
  <c r="AE612" i="50"/>
  <c r="AF612" i="50" s="1"/>
  <c r="AE613" i="50"/>
  <c r="AF613" i="50" s="1"/>
  <c r="AE614" i="50"/>
  <c r="AF614" i="50" s="1"/>
  <c r="AE615" i="50"/>
  <c r="AF615" i="50" s="1"/>
  <c r="AE616" i="50"/>
  <c r="AF616" i="50" s="1"/>
  <c r="AE617" i="50"/>
  <c r="AF617" i="50" s="1"/>
  <c r="AE618" i="50"/>
  <c r="AF618" i="50" s="1"/>
  <c r="AE619" i="50"/>
  <c r="AF619" i="50" s="1"/>
  <c r="AE620" i="50"/>
  <c r="AF620" i="50" s="1"/>
  <c r="AE621" i="50"/>
  <c r="AF621" i="50" s="1"/>
  <c r="AE622" i="50"/>
  <c r="AF622" i="50" s="1"/>
  <c r="AE623" i="50"/>
  <c r="AF623" i="50" s="1"/>
  <c r="AE624" i="50"/>
  <c r="AF624" i="50" s="1"/>
  <c r="AE625" i="50"/>
  <c r="AF625" i="50" s="1"/>
  <c r="AE626" i="50"/>
  <c r="AF626" i="50" s="1"/>
  <c r="AE627" i="50"/>
  <c r="AF627" i="50" s="1"/>
  <c r="AE628" i="50"/>
  <c r="AF628" i="50" s="1"/>
  <c r="AE629" i="50"/>
  <c r="AF629" i="50" s="1"/>
  <c r="AE630" i="50"/>
  <c r="AF630" i="50" s="1"/>
  <c r="AE631" i="50"/>
  <c r="AF631" i="50" s="1"/>
  <c r="AE632" i="50"/>
  <c r="AF632" i="50" s="1"/>
  <c r="AE633" i="50"/>
  <c r="AF633" i="50" s="1"/>
  <c r="AE634" i="50"/>
  <c r="AF634" i="50" s="1"/>
  <c r="AE635" i="50"/>
  <c r="AF635" i="50" s="1"/>
  <c r="AE636" i="50"/>
  <c r="AF636" i="50" s="1"/>
  <c r="AE637" i="50"/>
  <c r="AF637" i="50" s="1"/>
  <c r="AE638" i="50"/>
  <c r="AF638" i="50" s="1"/>
  <c r="AE639" i="50"/>
  <c r="AF639" i="50" s="1"/>
  <c r="AE640" i="50"/>
  <c r="AF640" i="50" s="1"/>
  <c r="AE641" i="50"/>
  <c r="AF641" i="50" s="1"/>
  <c r="AE642" i="50"/>
  <c r="AF642" i="50" s="1"/>
  <c r="AE643" i="50"/>
  <c r="AF643" i="50" s="1"/>
  <c r="AE644" i="50"/>
  <c r="AF644" i="50" s="1"/>
  <c r="AE645" i="50"/>
  <c r="AF645" i="50" s="1"/>
  <c r="AE646" i="50"/>
  <c r="AF646" i="50" s="1"/>
  <c r="AE647" i="50"/>
  <c r="AF647" i="50" s="1"/>
  <c r="AE648" i="50"/>
  <c r="AF648" i="50" s="1"/>
  <c r="AE649" i="50"/>
  <c r="AF649" i="50" s="1"/>
  <c r="AE650" i="50"/>
  <c r="AF650" i="50" s="1"/>
  <c r="AE651" i="50"/>
  <c r="AF651" i="50" s="1"/>
  <c r="AE652" i="50"/>
  <c r="AF652" i="50" s="1"/>
  <c r="AE653" i="50"/>
  <c r="AF653" i="50" s="1"/>
  <c r="AE654" i="50"/>
  <c r="AF654" i="50" s="1"/>
  <c r="AE655" i="50"/>
  <c r="AF655" i="50" s="1"/>
  <c r="AE656" i="50"/>
  <c r="AF656" i="50" s="1"/>
  <c r="AE657" i="50"/>
  <c r="AF657" i="50" s="1"/>
  <c r="AE658" i="50"/>
  <c r="AF658" i="50" s="1"/>
  <c r="AE659" i="50"/>
  <c r="AF659" i="50" s="1"/>
  <c r="AE660" i="50"/>
  <c r="AF660" i="50" s="1"/>
  <c r="AE661" i="50"/>
  <c r="AF661" i="50" s="1"/>
  <c r="AE662" i="50"/>
  <c r="AF662" i="50" s="1"/>
  <c r="AE663" i="50"/>
  <c r="AF663" i="50" s="1"/>
  <c r="AF5" i="50"/>
  <c r="AF6" i="50"/>
  <c r="U6" i="50"/>
  <c r="AE271" i="50"/>
  <c r="AF271" i="50" s="1"/>
  <c r="AE270" i="50"/>
  <c r="AF270" i="50" s="1"/>
  <c r="AE269" i="50"/>
  <c r="AF269" i="50" s="1"/>
  <c r="AE268" i="50"/>
  <c r="AF268" i="50" s="1"/>
  <c r="AE267" i="50"/>
  <c r="AF267" i="50" s="1"/>
  <c r="AE266" i="50"/>
  <c r="AF266" i="50" s="1"/>
  <c r="AE265" i="50"/>
  <c r="AF265" i="50" s="1"/>
  <c r="AE264" i="50"/>
  <c r="AF264" i="50" s="1"/>
  <c r="AE263" i="50"/>
  <c r="AF263" i="50" s="1"/>
  <c r="AE262" i="50"/>
  <c r="AF262" i="50" s="1"/>
  <c r="AE261" i="50"/>
  <c r="AF261" i="50" s="1"/>
  <c r="AE260" i="50"/>
  <c r="AF260" i="50" s="1"/>
  <c r="AE259" i="50"/>
  <c r="AF259" i="50" s="1"/>
  <c r="AE258" i="50"/>
  <c r="AF258" i="50" s="1"/>
  <c r="AE257" i="50"/>
  <c r="AF257" i="50" s="1"/>
  <c r="AE256" i="50"/>
  <c r="AF256" i="50" s="1"/>
  <c r="AE255" i="50"/>
  <c r="AF255" i="50" s="1"/>
  <c r="AE254" i="50"/>
  <c r="AF254" i="50" s="1"/>
  <c r="AE253" i="50"/>
  <c r="AF253" i="50" s="1"/>
  <c r="AE252" i="50"/>
  <c r="AF252" i="50" s="1"/>
  <c r="AE251" i="50"/>
  <c r="AF251" i="50" s="1"/>
  <c r="AE250" i="50"/>
  <c r="AF250" i="50" s="1"/>
  <c r="AE249" i="50"/>
  <c r="AF249" i="50" s="1"/>
  <c r="AE248" i="50"/>
  <c r="AF248" i="50" s="1"/>
  <c r="AE247" i="50"/>
  <c r="AF247" i="50" s="1"/>
  <c r="AE246" i="50"/>
  <c r="AF246" i="50" s="1"/>
  <c r="AE245" i="50"/>
  <c r="AF245" i="50" s="1"/>
  <c r="AE244" i="50"/>
  <c r="AF244" i="50" s="1"/>
  <c r="AE243" i="50"/>
  <c r="AF243" i="50" s="1"/>
  <c r="AE242" i="50"/>
  <c r="AF242" i="50" s="1"/>
  <c r="AE241" i="50"/>
  <c r="AF241" i="50" s="1"/>
  <c r="AE240" i="50"/>
  <c r="AF240" i="50" s="1"/>
  <c r="AE239" i="50"/>
  <c r="AF239" i="50" s="1"/>
  <c r="AE238" i="50"/>
  <c r="AF238" i="50" s="1"/>
  <c r="AE237" i="50"/>
  <c r="AF237" i="50" s="1"/>
  <c r="AE236" i="50"/>
  <c r="AF236" i="50" s="1"/>
  <c r="AE235" i="50"/>
  <c r="AF235" i="50" s="1"/>
  <c r="AE234" i="50"/>
  <c r="AF234" i="50" s="1"/>
  <c r="AE233" i="50"/>
  <c r="AF233" i="50" s="1"/>
  <c r="AE232" i="50"/>
  <c r="AF232" i="50" s="1"/>
  <c r="AE231" i="50"/>
  <c r="AF231" i="50" s="1"/>
  <c r="AE230" i="50"/>
  <c r="AF230" i="50" s="1"/>
  <c r="AE229" i="50"/>
  <c r="AF229" i="50" s="1"/>
  <c r="AE228" i="50"/>
  <c r="AF228" i="50" s="1"/>
  <c r="AE227" i="50"/>
  <c r="AF227" i="50" s="1"/>
  <c r="AE226" i="50"/>
  <c r="AF226" i="50" s="1"/>
  <c r="AE225" i="50"/>
  <c r="AF225" i="50" s="1"/>
  <c r="AE224" i="50"/>
  <c r="AF224" i="50" s="1"/>
  <c r="AE223" i="50"/>
  <c r="AF223" i="50" s="1"/>
  <c r="AE222" i="50"/>
  <c r="AF222" i="50" s="1"/>
  <c r="AE221" i="50"/>
  <c r="AF221" i="50" s="1"/>
  <c r="AE220" i="50"/>
  <c r="AF220" i="50" s="1"/>
  <c r="AE219" i="50"/>
  <c r="AF219" i="50" s="1"/>
  <c r="AE218" i="50"/>
  <c r="AF218" i="50" s="1"/>
  <c r="AE217" i="50"/>
  <c r="AF217" i="50" s="1"/>
  <c r="AE216" i="50"/>
  <c r="AF216" i="50" s="1"/>
  <c r="AE215" i="50"/>
  <c r="AF215" i="50" s="1"/>
  <c r="AE214" i="50"/>
  <c r="AF214" i="50" s="1"/>
  <c r="AE213" i="50"/>
  <c r="AF213" i="50" s="1"/>
  <c r="AE212" i="50"/>
  <c r="AF212" i="50" s="1"/>
  <c r="AE211" i="50"/>
  <c r="AF211" i="50" s="1"/>
  <c r="AE210" i="50"/>
  <c r="AF210" i="50" s="1"/>
  <c r="AE209" i="50"/>
  <c r="AF209" i="50" s="1"/>
  <c r="AE208" i="50"/>
  <c r="AF208" i="50" s="1"/>
  <c r="AE207" i="50"/>
  <c r="AF207" i="50" s="1"/>
  <c r="AE206" i="50"/>
  <c r="AF206" i="50" s="1"/>
  <c r="AE205" i="50"/>
  <c r="AF205" i="50" s="1"/>
  <c r="AE204" i="50"/>
  <c r="AF204" i="50" s="1"/>
  <c r="AE203" i="50"/>
  <c r="AF203" i="50" s="1"/>
  <c r="AE202" i="50"/>
  <c r="AF202" i="50" s="1"/>
  <c r="AE201" i="50"/>
  <c r="AF201" i="50" s="1"/>
  <c r="AE200" i="50"/>
  <c r="AF200" i="50" s="1"/>
  <c r="AE199" i="50"/>
  <c r="AF199" i="50" s="1"/>
  <c r="AE198" i="50"/>
  <c r="AF198" i="50" s="1"/>
  <c r="AE197" i="50"/>
  <c r="AF197" i="50" s="1"/>
  <c r="AE196" i="50"/>
  <c r="AF196" i="50" s="1"/>
  <c r="AE195" i="50"/>
  <c r="AF195" i="50" s="1"/>
  <c r="AE194" i="50"/>
  <c r="AF194" i="50" s="1"/>
  <c r="AE193" i="50"/>
  <c r="AF193" i="50" s="1"/>
  <c r="AE192" i="50"/>
  <c r="AF192" i="50" s="1"/>
  <c r="AE191" i="50"/>
  <c r="AF191" i="50" s="1"/>
  <c r="AE190" i="50"/>
  <c r="AF190" i="50" s="1"/>
  <c r="AE189" i="50"/>
  <c r="AF189" i="50" s="1"/>
  <c r="AE188" i="50"/>
  <c r="AF188" i="50" s="1"/>
  <c r="AE187" i="50"/>
  <c r="AF187" i="50" s="1"/>
  <c r="AE186" i="50"/>
  <c r="AF186" i="50" s="1"/>
  <c r="AE185" i="50"/>
  <c r="AF185" i="50" s="1"/>
  <c r="AE184" i="50"/>
  <c r="AF184" i="50" s="1"/>
  <c r="AE183" i="50"/>
  <c r="AF183" i="50" s="1"/>
  <c r="AE182" i="50"/>
  <c r="AF182" i="50" s="1"/>
  <c r="AE181" i="50"/>
  <c r="AF181" i="50" s="1"/>
  <c r="AE180" i="50"/>
  <c r="AF180" i="50" s="1"/>
  <c r="AE179" i="50"/>
  <c r="AF179" i="50" s="1"/>
  <c r="AE178" i="50"/>
  <c r="AF178" i="50" s="1"/>
  <c r="AE177" i="50"/>
  <c r="AF177" i="50" s="1"/>
  <c r="AE176" i="50"/>
  <c r="AF176" i="50" s="1"/>
  <c r="AE175" i="50"/>
  <c r="AF175" i="50" s="1"/>
  <c r="AE174" i="50"/>
  <c r="AF174" i="50" s="1"/>
  <c r="AE173" i="50"/>
  <c r="AF173" i="50" s="1"/>
  <c r="AE172" i="50"/>
  <c r="AF172" i="50" s="1"/>
  <c r="AE171" i="50"/>
  <c r="AF171" i="50" s="1"/>
  <c r="AE170" i="50"/>
  <c r="AF170" i="50" s="1"/>
  <c r="AE169" i="50"/>
  <c r="AF169" i="50" s="1"/>
  <c r="AE168" i="50"/>
  <c r="AF168" i="50" s="1"/>
  <c r="AE167" i="50"/>
  <c r="AF167" i="50" s="1"/>
  <c r="AE166" i="50"/>
  <c r="AF166" i="50" s="1"/>
  <c r="AE165" i="50"/>
  <c r="AF165" i="50" s="1"/>
  <c r="AE164" i="50"/>
  <c r="AF164" i="50" s="1"/>
  <c r="AE163" i="50"/>
  <c r="AF163" i="50" s="1"/>
  <c r="AE162" i="50"/>
  <c r="AF162" i="50" s="1"/>
  <c r="AE161" i="50"/>
  <c r="AF161" i="50" s="1"/>
  <c r="AE160" i="50"/>
  <c r="AF160" i="50" s="1"/>
  <c r="AE159" i="50"/>
  <c r="AF159" i="50" s="1"/>
  <c r="AE158" i="50"/>
  <c r="AF158" i="50" s="1"/>
  <c r="AE157" i="50"/>
  <c r="AF157" i="50" s="1"/>
  <c r="AE156" i="50"/>
  <c r="AF156" i="50" s="1"/>
  <c r="AE155" i="50"/>
  <c r="AF155" i="50" s="1"/>
  <c r="AE154" i="50"/>
  <c r="AF154" i="50" s="1"/>
  <c r="AE153" i="50"/>
  <c r="AF153" i="50" s="1"/>
  <c r="AE152" i="50"/>
  <c r="AF152" i="50" s="1"/>
  <c r="AE151" i="50"/>
  <c r="AF151" i="50" s="1"/>
  <c r="AE150" i="50"/>
  <c r="AF150" i="50" s="1"/>
  <c r="AE149" i="50"/>
  <c r="AF149" i="50" s="1"/>
  <c r="AE148" i="50"/>
  <c r="AF148" i="50" s="1"/>
  <c r="AE147" i="50"/>
  <c r="AF147" i="50" s="1"/>
  <c r="AE146" i="50"/>
  <c r="AF146" i="50" s="1"/>
  <c r="AE145" i="50"/>
  <c r="AF145" i="50" s="1"/>
  <c r="AE144" i="50"/>
  <c r="AF144" i="50" s="1"/>
  <c r="AE143" i="50"/>
  <c r="AF143" i="50" s="1"/>
  <c r="AE142" i="50"/>
  <c r="AF142" i="50" s="1"/>
  <c r="AE141" i="50"/>
  <c r="AF141" i="50" s="1"/>
  <c r="AE140" i="50"/>
  <c r="AF140" i="50" s="1"/>
  <c r="AE139" i="50"/>
  <c r="AF139" i="50" s="1"/>
  <c r="AE138" i="50"/>
  <c r="AF138" i="50" s="1"/>
  <c r="AE137" i="50"/>
  <c r="AF137" i="50" s="1"/>
  <c r="AE136" i="50"/>
  <c r="AF136" i="50" s="1"/>
  <c r="AE135" i="50"/>
  <c r="AF135" i="50" s="1"/>
  <c r="AE134" i="50"/>
  <c r="AF134" i="50" s="1"/>
  <c r="AE133" i="50"/>
  <c r="AF133" i="50" s="1"/>
  <c r="AE132" i="50"/>
  <c r="AF132" i="50" s="1"/>
  <c r="AE131" i="50"/>
  <c r="AF131" i="50" s="1"/>
  <c r="AE130" i="50"/>
  <c r="AF130" i="50" s="1"/>
  <c r="AE129" i="50"/>
  <c r="AF129" i="50" s="1"/>
  <c r="AE128" i="50"/>
  <c r="AF128" i="50" s="1"/>
  <c r="AE127" i="50"/>
  <c r="AF127" i="50" s="1"/>
  <c r="AE126" i="50"/>
  <c r="AF126" i="50" s="1"/>
  <c r="AE125" i="50"/>
  <c r="AF125" i="50" s="1"/>
  <c r="AE124" i="50"/>
  <c r="AF124" i="50" s="1"/>
  <c r="AE123" i="50"/>
  <c r="AF123" i="50" s="1"/>
  <c r="AE122" i="50"/>
  <c r="AF122" i="50" s="1"/>
  <c r="AE121" i="50"/>
  <c r="AF121" i="50" s="1"/>
  <c r="AE120" i="50"/>
  <c r="AF120" i="50" s="1"/>
  <c r="AE119" i="50"/>
  <c r="AF119" i="50" s="1"/>
  <c r="AE118" i="50"/>
  <c r="AF118" i="50" s="1"/>
  <c r="AE117" i="50"/>
  <c r="AF117" i="50" s="1"/>
  <c r="AE116" i="50"/>
  <c r="AF116" i="50" s="1"/>
  <c r="AE115" i="50"/>
  <c r="AF115" i="50" s="1"/>
  <c r="AE114" i="50"/>
  <c r="AF114" i="50" s="1"/>
  <c r="AE113" i="50"/>
  <c r="AF113" i="50" s="1"/>
  <c r="AE112" i="50"/>
  <c r="AF112" i="50" s="1"/>
  <c r="AE111" i="50"/>
  <c r="AF111" i="50" s="1"/>
  <c r="AE110" i="50"/>
  <c r="AF110" i="50" s="1"/>
  <c r="AE109" i="50"/>
  <c r="AF109" i="50" s="1"/>
  <c r="AE108" i="50"/>
  <c r="AF108" i="50" s="1"/>
  <c r="AE107" i="50"/>
  <c r="AF107" i="50" s="1"/>
  <c r="AE106" i="50"/>
  <c r="AF106" i="50" s="1"/>
  <c r="AE105" i="50"/>
  <c r="AF105" i="50" s="1"/>
  <c r="AE104" i="50"/>
  <c r="AF104" i="50" s="1"/>
  <c r="AE103" i="50"/>
  <c r="AF103" i="50" s="1"/>
  <c r="AE102" i="50"/>
  <c r="AF102" i="50" s="1"/>
  <c r="AE101" i="50"/>
  <c r="AF101" i="50" s="1"/>
  <c r="AE100" i="50"/>
  <c r="AF100" i="50" s="1"/>
  <c r="AE99" i="50"/>
  <c r="AF99" i="50" s="1"/>
  <c r="AE98" i="50"/>
  <c r="AF98" i="50" s="1"/>
  <c r="AE97" i="50"/>
  <c r="AF97" i="50" s="1"/>
  <c r="AE96" i="50"/>
  <c r="AF96" i="50" s="1"/>
  <c r="AE95" i="50"/>
  <c r="AF95" i="50" s="1"/>
  <c r="AE94" i="50"/>
  <c r="AF94" i="50" s="1"/>
  <c r="AE93" i="50"/>
  <c r="AF93" i="50" s="1"/>
  <c r="AE92" i="50"/>
  <c r="AF92" i="50" s="1"/>
  <c r="AE91" i="50"/>
  <c r="AF91" i="50" s="1"/>
  <c r="AE90" i="50"/>
  <c r="AF90" i="50" s="1"/>
  <c r="AE89" i="50"/>
  <c r="AF89" i="50" s="1"/>
  <c r="AE88" i="50"/>
  <c r="AF88" i="50" s="1"/>
  <c r="AE87" i="50"/>
  <c r="AF87" i="50" s="1"/>
  <c r="AE86" i="50"/>
  <c r="AF86" i="50" s="1"/>
  <c r="AE85" i="50"/>
  <c r="AF85" i="50" s="1"/>
  <c r="AE84" i="50"/>
  <c r="AF84" i="50" s="1"/>
  <c r="AE83" i="50"/>
  <c r="AF83" i="50" s="1"/>
  <c r="AE82" i="50"/>
  <c r="AF82" i="50" s="1"/>
  <c r="AE81" i="50"/>
  <c r="AF81" i="50" s="1"/>
  <c r="AE80" i="50"/>
  <c r="AF80" i="50" s="1"/>
  <c r="AE79" i="50"/>
  <c r="AF79" i="50" s="1"/>
  <c r="AE78" i="50"/>
  <c r="AF78" i="50" s="1"/>
  <c r="AE77" i="50"/>
  <c r="AF77" i="50" s="1"/>
  <c r="AE76" i="50"/>
  <c r="AF76" i="50" s="1"/>
  <c r="AE75" i="50"/>
  <c r="AF75" i="50" s="1"/>
  <c r="AE74" i="50"/>
  <c r="AF74" i="50" s="1"/>
  <c r="AE73" i="50"/>
  <c r="AF73" i="50" s="1"/>
  <c r="AE72" i="50"/>
  <c r="AF72" i="50" s="1"/>
  <c r="AE71" i="50"/>
  <c r="AF71" i="50" s="1"/>
  <c r="AE70" i="50"/>
  <c r="AF70" i="50" s="1"/>
  <c r="AE69" i="50"/>
  <c r="AF69" i="50" s="1"/>
  <c r="AE68" i="50"/>
  <c r="AF68" i="50" s="1"/>
  <c r="AE67" i="50"/>
  <c r="AF67" i="50" s="1"/>
  <c r="AE66" i="50"/>
  <c r="AF66" i="50" s="1"/>
  <c r="AE65" i="50"/>
  <c r="AF65" i="50" s="1"/>
  <c r="AE64" i="50"/>
  <c r="AF64" i="50" s="1"/>
  <c r="AE63" i="50"/>
  <c r="AF63" i="50" s="1"/>
  <c r="AE62" i="50"/>
  <c r="AF62" i="50" s="1"/>
  <c r="AE61" i="50"/>
  <c r="AF61" i="50" s="1"/>
  <c r="AE60" i="50"/>
  <c r="AF60" i="50" s="1"/>
  <c r="AE59" i="50"/>
  <c r="AF59" i="50" s="1"/>
  <c r="AE58" i="50"/>
  <c r="AF58" i="50" s="1"/>
  <c r="AE57" i="50"/>
  <c r="AF57" i="50" s="1"/>
  <c r="AE56" i="50"/>
  <c r="AF56" i="50" s="1"/>
  <c r="AE55" i="50"/>
  <c r="AF55" i="50" s="1"/>
  <c r="AE54" i="50"/>
  <c r="AF54" i="50" s="1"/>
  <c r="AE53" i="50"/>
  <c r="AF53" i="50" s="1"/>
  <c r="AE52" i="50"/>
  <c r="AF52" i="50" s="1"/>
  <c r="AE51" i="50"/>
  <c r="AF51" i="50" s="1"/>
  <c r="AE50" i="50"/>
  <c r="AF50" i="50" s="1"/>
  <c r="AE49" i="50"/>
  <c r="AF49" i="50" s="1"/>
  <c r="AE48" i="50"/>
  <c r="AF48" i="50" s="1"/>
  <c r="AE47" i="50"/>
  <c r="AF47" i="50" s="1"/>
  <c r="AE46" i="50"/>
  <c r="AF46" i="50" s="1"/>
  <c r="AE45" i="50"/>
  <c r="AF45" i="50" s="1"/>
  <c r="AE44" i="50"/>
  <c r="AF44" i="50" s="1"/>
  <c r="AE43" i="50"/>
  <c r="AF43" i="50" s="1"/>
  <c r="AE42" i="50"/>
  <c r="AF42" i="50" s="1"/>
  <c r="AE41" i="50"/>
  <c r="AF41" i="50" s="1"/>
  <c r="AE40" i="50"/>
  <c r="AF40" i="50" s="1"/>
  <c r="AE39" i="50"/>
  <c r="AF39" i="50" s="1"/>
  <c r="AE38" i="50"/>
  <c r="AF38" i="50" s="1"/>
  <c r="AE37" i="50"/>
  <c r="AF37" i="50" s="1"/>
  <c r="AE36" i="50"/>
  <c r="AF36" i="50" s="1"/>
  <c r="AE35" i="50"/>
  <c r="AF35" i="50" s="1"/>
  <c r="AE34" i="50"/>
  <c r="AF34" i="50" s="1"/>
  <c r="AE33" i="50"/>
  <c r="AF33" i="50" s="1"/>
  <c r="AE32" i="50"/>
  <c r="AF32" i="50" s="1"/>
  <c r="AE31" i="50"/>
  <c r="AF31" i="50" s="1"/>
  <c r="AE30" i="50"/>
  <c r="AF30" i="50" s="1"/>
  <c r="AE29" i="50"/>
  <c r="AF29" i="50" s="1"/>
  <c r="AE28" i="50"/>
  <c r="AF28" i="50" s="1"/>
  <c r="AE27" i="50"/>
  <c r="AF27" i="50" s="1"/>
  <c r="AE26" i="50"/>
  <c r="AF26" i="50" s="1"/>
  <c r="AE25" i="50"/>
  <c r="AF25" i="50" s="1"/>
  <c r="AE24" i="50"/>
  <c r="AF24" i="50" s="1"/>
  <c r="AE23" i="50"/>
  <c r="AF23" i="50" s="1"/>
  <c r="AE22" i="50"/>
  <c r="AF22" i="50" s="1"/>
  <c r="AE21" i="50"/>
  <c r="AF21" i="50" s="1"/>
  <c r="AE20" i="50"/>
  <c r="AF20" i="50" s="1"/>
  <c r="AE19" i="50"/>
  <c r="AF19" i="50" s="1"/>
  <c r="AE18" i="50"/>
  <c r="AF18" i="50" s="1"/>
  <c r="AE17" i="50"/>
  <c r="AF17" i="50" s="1"/>
  <c r="AE16" i="50"/>
  <c r="AF16" i="50" s="1"/>
  <c r="AE15" i="50"/>
  <c r="AF15" i="50" s="1"/>
  <c r="AE14" i="50"/>
  <c r="AF14" i="50" s="1"/>
  <c r="AE13" i="50"/>
  <c r="FX9" i="54" l="1"/>
  <c r="GA9" i="54"/>
  <c r="FZ9" i="54"/>
  <c r="FU8" i="54"/>
  <c r="FW8" i="54" s="1"/>
  <c r="FR9" i="54" s="1"/>
  <c r="FV9" i="54"/>
  <c r="FN8" i="54"/>
  <c r="FP8" i="54" s="1"/>
  <c r="FK9" i="54" s="1"/>
  <c r="FO9" i="54"/>
  <c r="FE9" i="54"/>
  <c r="FC9" i="54"/>
  <c r="FF9" i="54"/>
  <c r="CV44" i="54"/>
  <c r="CT44" i="54"/>
  <c r="CU45" i="54" s="1"/>
  <c r="B35" i="50"/>
  <c r="B34" i="50"/>
  <c r="AF13" i="50"/>
  <c r="AF4" i="50"/>
  <c r="AF7" i="50" s="1"/>
  <c r="AH5" i="50"/>
  <c r="AN5" i="50" s="1"/>
  <c r="AH6" i="50"/>
  <c r="AN6" i="50" s="1"/>
  <c r="AH4" i="50"/>
  <c r="T269" i="50"/>
  <c r="U269" i="50" s="1"/>
  <c r="T270" i="50"/>
  <c r="T271" i="50"/>
  <c r="U271" i="50" s="1"/>
  <c r="T264" i="50"/>
  <c r="U264" i="50" s="1"/>
  <c r="T265" i="50"/>
  <c r="U265" i="50" s="1"/>
  <c r="T266" i="50"/>
  <c r="U266" i="50" s="1"/>
  <c r="T267" i="50"/>
  <c r="U267" i="50" s="1"/>
  <c r="T268" i="50"/>
  <c r="U268" i="50" s="1"/>
  <c r="T255" i="50"/>
  <c r="U255" i="50" s="1"/>
  <c r="T256" i="50"/>
  <c r="U256" i="50" s="1"/>
  <c r="T257" i="50"/>
  <c r="U257" i="50" s="1"/>
  <c r="T258" i="50"/>
  <c r="U258" i="50" s="1"/>
  <c r="T259" i="50"/>
  <c r="U259" i="50" s="1"/>
  <c r="T260" i="50"/>
  <c r="U260" i="50" s="1"/>
  <c r="T261" i="50"/>
  <c r="U261" i="50" s="1"/>
  <c r="T262" i="50"/>
  <c r="U262" i="50" s="1"/>
  <c r="T263" i="50"/>
  <c r="U263" i="50" s="1"/>
  <c r="T246" i="50"/>
  <c r="U246" i="50" s="1"/>
  <c r="T247" i="50"/>
  <c r="U247" i="50" s="1"/>
  <c r="T248" i="50"/>
  <c r="U248" i="50" s="1"/>
  <c r="T249" i="50"/>
  <c r="U249" i="50" s="1"/>
  <c r="T250" i="50"/>
  <c r="U250" i="50" s="1"/>
  <c r="T251" i="50"/>
  <c r="U251" i="50" s="1"/>
  <c r="T252" i="50"/>
  <c r="U252" i="50" s="1"/>
  <c r="T253" i="50"/>
  <c r="U253" i="50" s="1"/>
  <c r="T254" i="50"/>
  <c r="U254" i="50" s="1"/>
  <c r="T118" i="50"/>
  <c r="U118" i="50" s="1"/>
  <c r="T119" i="50"/>
  <c r="U119" i="50" s="1"/>
  <c r="T120" i="50"/>
  <c r="U120" i="50" s="1"/>
  <c r="T121" i="50"/>
  <c r="U121" i="50" s="1"/>
  <c r="T122" i="50"/>
  <c r="U122" i="50" s="1"/>
  <c r="T123" i="50"/>
  <c r="U123" i="50" s="1"/>
  <c r="T124" i="50"/>
  <c r="U124" i="50" s="1"/>
  <c r="T125" i="50"/>
  <c r="U125" i="50" s="1"/>
  <c r="T126" i="50"/>
  <c r="U126" i="50" s="1"/>
  <c r="T127" i="50"/>
  <c r="U127" i="50" s="1"/>
  <c r="T128" i="50"/>
  <c r="U128" i="50" s="1"/>
  <c r="T129" i="50"/>
  <c r="U129" i="50" s="1"/>
  <c r="T130" i="50"/>
  <c r="U130" i="50" s="1"/>
  <c r="T131" i="50"/>
  <c r="U131" i="50" s="1"/>
  <c r="T132" i="50"/>
  <c r="U132" i="50" s="1"/>
  <c r="T133" i="50"/>
  <c r="U133" i="50" s="1"/>
  <c r="T134" i="50"/>
  <c r="U134" i="50" s="1"/>
  <c r="T135" i="50"/>
  <c r="U135" i="50" s="1"/>
  <c r="T136" i="50"/>
  <c r="U136" i="50" s="1"/>
  <c r="T137" i="50"/>
  <c r="U137" i="50" s="1"/>
  <c r="T138" i="50"/>
  <c r="U138" i="50" s="1"/>
  <c r="T139" i="50"/>
  <c r="U139" i="50" s="1"/>
  <c r="T140" i="50"/>
  <c r="U140" i="50" s="1"/>
  <c r="T141" i="50"/>
  <c r="U141" i="50" s="1"/>
  <c r="T142" i="50"/>
  <c r="U142" i="50" s="1"/>
  <c r="T143" i="50"/>
  <c r="U143" i="50" s="1"/>
  <c r="T144" i="50"/>
  <c r="U144" i="50" s="1"/>
  <c r="T145" i="50"/>
  <c r="U145" i="50" s="1"/>
  <c r="T146" i="50"/>
  <c r="U146" i="50" s="1"/>
  <c r="T147" i="50"/>
  <c r="U147" i="50" s="1"/>
  <c r="T148" i="50"/>
  <c r="U148" i="50" s="1"/>
  <c r="T149" i="50"/>
  <c r="U149" i="50" s="1"/>
  <c r="T150" i="50"/>
  <c r="U150" i="50" s="1"/>
  <c r="T151" i="50"/>
  <c r="U151" i="50" s="1"/>
  <c r="T152" i="50"/>
  <c r="U152" i="50" s="1"/>
  <c r="T153" i="50"/>
  <c r="U153" i="50" s="1"/>
  <c r="T154" i="50"/>
  <c r="U154" i="50" s="1"/>
  <c r="T155" i="50"/>
  <c r="U155" i="50" s="1"/>
  <c r="T156" i="50"/>
  <c r="U156" i="50" s="1"/>
  <c r="T157" i="50"/>
  <c r="T158" i="50"/>
  <c r="U158" i="50" s="1"/>
  <c r="T159" i="50"/>
  <c r="T160" i="50"/>
  <c r="U160" i="50" s="1"/>
  <c r="T161" i="50"/>
  <c r="T162" i="50"/>
  <c r="U162" i="50" s="1"/>
  <c r="T163" i="50"/>
  <c r="U163" i="50" s="1"/>
  <c r="T164" i="50"/>
  <c r="U164" i="50" s="1"/>
  <c r="T165" i="50"/>
  <c r="T166" i="50"/>
  <c r="U166" i="50" s="1"/>
  <c r="T167" i="50"/>
  <c r="T168" i="50"/>
  <c r="U168" i="50" s="1"/>
  <c r="T169" i="50"/>
  <c r="T170" i="50"/>
  <c r="U170" i="50" s="1"/>
  <c r="T171" i="50"/>
  <c r="U171" i="50" s="1"/>
  <c r="T172" i="50"/>
  <c r="U172" i="50" s="1"/>
  <c r="T173" i="50"/>
  <c r="T174" i="50"/>
  <c r="U174" i="50" s="1"/>
  <c r="T175" i="50"/>
  <c r="T176" i="50"/>
  <c r="U176" i="50" s="1"/>
  <c r="T177" i="50"/>
  <c r="T178" i="50"/>
  <c r="U178" i="50" s="1"/>
  <c r="T179" i="50"/>
  <c r="T180" i="50"/>
  <c r="U180" i="50" s="1"/>
  <c r="T181" i="50"/>
  <c r="T182" i="50"/>
  <c r="U182" i="50" s="1"/>
  <c r="T183" i="50"/>
  <c r="U183" i="50" s="1"/>
  <c r="T184" i="50"/>
  <c r="U184" i="50" s="1"/>
  <c r="T185" i="50"/>
  <c r="T186" i="50"/>
  <c r="U186" i="50" s="1"/>
  <c r="T187" i="50"/>
  <c r="T188" i="50"/>
  <c r="U188" i="50" s="1"/>
  <c r="T189" i="50"/>
  <c r="T190" i="50"/>
  <c r="U190" i="50" s="1"/>
  <c r="T191" i="50"/>
  <c r="U191" i="50" s="1"/>
  <c r="T192" i="50"/>
  <c r="U192" i="50" s="1"/>
  <c r="T193" i="50"/>
  <c r="U193" i="50" s="1"/>
  <c r="T194" i="50"/>
  <c r="U194" i="50" s="1"/>
  <c r="T195" i="50"/>
  <c r="U195" i="50" s="1"/>
  <c r="T196" i="50"/>
  <c r="U196" i="50" s="1"/>
  <c r="T197" i="50"/>
  <c r="U197" i="50" s="1"/>
  <c r="T198" i="50"/>
  <c r="U198" i="50" s="1"/>
  <c r="T199" i="50"/>
  <c r="U199" i="50" s="1"/>
  <c r="T200" i="50"/>
  <c r="U200" i="50" s="1"/>
  <c r="T201" i="50"/>
  <c r="U201" i="50" s="1"/>
  <c r="T202" i="50"/>
  <c r="T203" i="50"/>
  <c r="U203" i="50" s="1"/>
  <c r="T204" i="50"/>
  <c r="U204" i="50" s="1"/>
  <c r="T205" i="50"/>
  <c r="U205" i="50" s="1"/>
  <c r="T206" i="50"/>
  <c r="U206" i="50" s="1"/>
  <c r="T207" i="50"/>
  <c r="U207" i="50" s="1"/>
  <c r="T208" i="50"/>
  <c r="U208" i="50" s="1"/>
  <c r="T209" i="50"/>
  <c r="U209" i="50" s="1"/>
  <c r="T210" i="50"/>
  <c r="U210" i="50" s="1"/>
  <c r="T211" i="50"/>
  <c r="U211" i="50" s="1"/>
  <c r="T212" i="50"/>
  <c r="U212" i="50" s="1"/>
  <c r="T213" i="50"/>
  <c r="U213" i="50" s="1"/>
  <c r="T214" i="50"/>
  <c r="U214" i="50" s="1"/>
  <c r="T215" i="50"/>
  <c r="U215" i="50" s="1"/>
  <c r="T216" i="50"/>
  <c r="U216" i="50" s="1"/>
  <c r="T217" i="50"/>
  <c r="U217" i="50" s="1"/>
  <c r="T218" i="50"/>
  <c r="U218" i="50" s="1"/>
  <c r="T219" i="50"/>
  <c r="U219" i="50" s="1"/>
  <c r="T220" i="50"/>
  <c r="U220" i="50" s="1"/>
  <c r="T221" i="50"/>
  <c r="U221" i="50" s="1"/>
  <c r="T222" i="50"/>
  <c r="U222" i="50" s="1"/>
  <c r="T223" i="50"/>
  <c r="U223" i="50" s="1"/>
  <c r="T224" i="50"/>
  <c r="U224" i="50" s="1"/>
  <c r="T225" i="50"/>
  <c r="U225" i="50" s="1"/>
  <c r="T226" i="50"/>
  <c r="U226" i="50" s="1"/>
  <c r="T227" i="50"/>
  <c r="U227" i="50" s="1"/>
  <c r="T228" i="50"/>
  <c r="U228" i="50" s="1"/>
  <c r="T229" i="50"/>
  <c r="U229" i="50" s="1"/>
  <c r="T230" i="50"/>
  <c r="U230" i="50" s="1"/>
  <c r="T231" i="50"/>
  <c r="U231" i="50" s="1"/>
  <c r="T232" i="50"/>
  <c r="T233" i="50"/>
  <c r="U233" i="50" s="1"/>
  <c r="T234" i="50"/>
  <c r="U234" i="50" s="1"/>
  <c r="T235" i="50"/>
  <c r="U235" i="50" s="1"/>
  <c r="T236" i="50"/>
  <c r="U236" i="50" s="1"/>
  <c r="T237" i="50"/>
  <c r="U237" i="50" s="1"/>
  <c r="T238" i="50"/>
  <c r="U238" i="50" s="1"/>
  <c r="T239" i="50"/>
  <c r="U239" i="50" s="1"/>
  <c r="T240" i="50"/>
  <c r="U240" i="50" s="1"/>
  <c r="T241" i="50"/>
  <c r="U241" i="50" s="1"/>
  <c r="T242" i="50"/>
  <c r="T243" i="50"/>
  <c r="U243" i="50" s="1"/>
  <c r="T244" i="50"/>
  <c r="U244" i="50" s="1"/>
  <c r="T245" i="50"/>
  <c r="U245" i="50" s="1"/>
  <c r="T55" i="50"/>
  <c r="U55" i="50" s="1"/>
  <c r="T56" i="50"/>
  <c r="U56" i="50" s="1"/>
  <c r="T57" i="50"/>
  <c r="U57" i="50" s="1"/>
  <c r="T58" i="50"/>
  <c r="U58" i="50" s="1"/>
  <c r="T59" i="50"/>
  <c r="U59" i="50" s="1"/>
  <c r="T60" i="50"/>
  <c r="U60" i="50" s="1"/>
  <c r="T61" i="50"/>
  <c r="U61" i="50" s="1"/>
  <c r="T62" i="50"/>
  <c r="U62" i="50" s="1"/>
  <c r="T63" i="50"/>
  <c r="U63" i="50" s="1"/>
  <c r="T64" i="50"/>
  <c r="U64" i="50" s="1"/>
  <c r="T65" i="50"/>
  <c r="U65" i="50" s="1"/>
  <c r="T66" i="50"/>
  <c r="U66" i="50" s="1"/>
  <c r="T67" i="50"/>
  <c r="U67" i="50" s="1"/>
  <c r="T68" i="50"/>
  <c r="U68" i="50" s="1"/>
  <c r="T69" i="50"/>
  <c r="U69" i="50" s="1"/>
  <c r="T70" i="50"/>
  <c r="U70" i="50" s="1"/>
  <c r="T71" i="50"/>
  <c r="T72" i="50"/>
  <c r="U72" i="50" s="1"/>
  <c r="T73" i="50"/>
  <c r="U73" i="50" s="1"/>
  <c r="T74" i="50"/>
  <c r="U74" i="50" s="1"/>
  <c r="T75" i="50"/>
  <c r="U75" i="50" s="1"/>
  <c r="T76" i="50"/>
  <c r="U76" i="50" s="1"/>
  <c r="T77" i="50"/>
  <c r="U77" i="50" s="1"/>
  <c r="T78" i="50"/>
  <c r="U78" i="50" s="1"/>
  <c r="T79" i="50"/>
  <c r="U79" i="50" s="1"/>
  <c r="T80" i="50"/>
  <c r="U80" i="50" s="1"/>
  <c r="T81" i="50"/>
  <c r="U81" i="50" s="1"/>
  <c r="T82" i="50"/>
  <c r="U82" i="50" s="1"/>
  <c r="T83" i="50"/>
  <c r="U83" i="50" s="1"/>
  <c r="T84" i="50"/>
  <c r="U84" i="50" s="1"/>
  <c r="T85" i="50"/>
  <c r="U85" i="50" s="1"/>
  <c r="T86" i="50"/>
  <c r="U86" i="50" s="1"/>
  <c r="T87" i="50"/>
  <c r="U87" i="50" s="1"/>
  <c r="T88" i="50"/>
  <c r="U88" i="50" s="1"/>
  <c r="T89" i="50"/>
  <c r="T90" i="50"/>
  <c r="U90" i="50" s="1"/>
  <c r="T91" i="50"/>
  <c r="U91" i="50" s="1"/>
  <c r="T92" i="50"/>
  <c r="U92" i="50" s="1"/>
  <c r="T93" i="50"/>
  <c r="U93" i="50" s="1"/>
  <c r="T94" i="50"/>
  <c r="U94" i="50" s="1"/>
  <c r="T95" i="50"/>
  <c r="U95" i="50" s="1"/>
  <c r="T96" i="50"/>
  <c r="U96" i="50" s="1"/>
  <c r="T97" i="50"/>
  <c r="U97" i="50" s="1"/>
  <c r="T98" i="50"/>
  <c r="U98" i="50" s="1"/>
  <c r="T99" i="50"/>
  <c r="U99" i="50" s="1"/>
  <c r="T100" i="50"/>
  <c r="U100" i="50" s="1"/>
  <c r="T101" i="50"/>
  <c r="U101" i="50" s="1"/>
  <c r="T102" i="50"/>
  <c r="U102" i="50" s="1"/>
  <c r="T103" i="50"/>
  <c r="U103" i="50" s="1"/>
  <c r="T104" i="50"/>
  <c r="U104" i="50" s="1"/>
  <c r="T105" i="50"/>
  <c r="U105" i="50" s="1"/>
  <c r="T106" i="50"/>
  <c r="T107" i="50"/>
  <c r="U107" i="50" s="1"/>
  <c r="T108" i="50"/>
  <c r="U108" i="50" s="1"/>
  <c r="T109" i="50"/>
  <c r="U109" i="50" s="1"/>
  <c r="T110" i="50"/>
  <c r="U110" i="50" s="1"/>
  <c r="T111" i="50"/>
  <c r="U111" i="50" s="1"/>
  <c r="T112" i="50"/>
  <c r="U112" i="50" s="1"/>
  <c r="T113" i="50"/>
  <c r="U113" i="50" s="1"/>
  <c r="T114" i="50"/>
  <c r="U114" i="50" s="1"/>
  <c r="T115" i="50"/>
  <c r="U115" i="50" s="1"/>
  <c r="T116" i="50"/>
  <c r="U116" i="50" s="1"/>
  <c r="T117" i="50"/>
  <c r="U117" i="50" s="1"/>
  <c r="T30" i="50"/>
  <c r="U30" i="50" s="1"/>
  <c r="T31" i="50"/>
  <c r="U31" i="50" s="1"/>
  <c r="T32" i="50"/>
  <c r="U32" i="50" s="1"/>
  <c r="T33" i="50"/>
  <c r="U33" i="50" s="1"/>
  <c r="T34" i="50"/>
  <c r="U34" i="50" s="1"/>
  <c r="T35" i="50"/>
  <c r="U35" i="50" s="1"/>
  <c r="T36" i="50"/>
  <c r="U36" i="50" s="1"/>
  <c r="T37" i="50"/>
  <c r="U37" i="50" s="1"/>
  <c r="T38" i="50"/>
  <c r="U38" i="50" s="1"/>
  <c r="T39" i="50"/>
  <c r="U39" i="50" s="1"/>
  <c r="T40" i="50"/>
  <c r="U40" i="50" s="1"/>
  <c r="T41" i="50"/>
  <c r="U41" i="50" s="1"/>
  <c r="T42" i="50"/>
  <c r="U42" i="50" s="1"/>
  <c r="T43" i="50"/>
  <c r="U43" i="50" s="1"/>
  <c r="T44" i="50"/>
  <c r="U44" i="50" s="1"/>
  <c r="T45" i="50"/>
  <c r="U45" i="50" s="1"/>
  <c r="T46" i="50"/>
  <c r="U46" i="50" s="1"/>
  <c r="T47" i="50"/>
  <c r="U47" i="50" s="1"/>
  <c r="T48" i="50"/>
  <c r="U48" i="50" s="1"/>
  <c r="T49" i="50"/>
  <c r="U49" i="50" s="1"/>
  <c r="T50" i="50"/>
  <c r="U50" i="50" s="1"/>
  <c r="T51" i="50"/>
  <c r="U51" i="50" s="1"/>
  <c r="T52" i="50"/>
  <c r="U52" i="50" s="1"/>
  <c r="T53" i="50"/>
  <c r="U53" i="50" s="1"/>
  <c r="T54" i="50"/>
  <c r="U54" i="50" s="1"/>
  <c r="T29" i="50"/>
  <c r="U29" i="50" s="1"/>
  <c r="U5" i="50"/>
  <c r="B33" i="50" s="1"/>
  <c r="T13" i="50"/>
  <c r="T14" i="50"/>
  <c r="U14" i="50" s="1"/>
  <c r="T15" i="50"/>
  <c r="U15" i="50" s="1"/>
  <c r="T16" i="50"/>
  <c r="U16" i="50" s="1"/>
  <c r="T17" i="50"/>
  <c r="U17" i="50" s="1"/>
  <c r="T18" i="50"/>
  <c r="U18" i="50" s="1"/>
  <c r="T19" i="50"/>
  <c r="U19" i="50" s="1"/>
  <c r="T20" i="50"/>
  <c r="U20" i="50" s="1"/>
  <c r="T21" i="50"/>
  <c r="U21" i="50" s="1"/>
  <c r="T22" i="50"/>
  <c r="U22" i="50" s="1"/>
  <c r="T23" i="50"/>
  <c r="U23" i="50" s="1"/>
  <c r="T24" i="50"/>
  <c r="U24" i="50" s="1"/>
  <c r="T25" i="50"/>
  <c r="U25" i="50" s="1"/>
  <c r="T26" i="50"/>
  <c r="U26" i="50" s="1"/>
  <c r="T27" i="50"/>
  <c r="U27" i="50" s="1"/>
  <c r="T28" i="50"/>
  <c r="U28" i="50" s="1"/>
  <c r="FL9" i="54" l="1"/>
  <c r="FJ9" i="54"/>
  <c r="FM9" i="54"/>
  <c r="FQ9" i="54"/>
  <c r="FS9" i="54"/>
  <c r="FT9" i="54"/>
  <c r="GC10" i="54"/>
  <c r="GB9" i="54"/>
  <c r="GD9" i="54" s="1"/>
  <c r="FY10" i="54" s="1"/>
  <c r="FH10" i="54"/>
  <c r="FG9" i="54"/>
  <c r="FI9" i="54" s="1"/>
  <c r="FD10" i="54" s="1"/>
  <c r="CV45" i="54"/>
  <c r="CT45" i="54"/>
  <c r="CU46" i="54" s="1"/>
  <c r="E34" i="50"/>
  <c r="AN4" i="50"/>
  <c r="AC5" i="50"/>
  <c r="AC4" i="50"/>
  <c r="AF9" i="50"/>
  <c r="E36" i="50"/>
  <c r="E35" i="50"/>
  <c r="U13" i="50"/>
  <c r="U4" i="50"/>
  <c r="AO276" i="50"/>
  <c r="AO277" i="50"/>
  <c r="AO279" i="50"/>
  <c r="AO282" i="50"/>
  <c r="AO285" i="50"/>
  <c r="AO289" i="50"/>
  <c r="AO291" i="50"/>
  <c r="AO294" i="50"/>
  <c r="AO297" i="50"/>
  <c r="AO300" i="50"/>
  <c r="AO301" i="50"/>
  <c r="AO303" i="50"/>
  <c r="AO306" i="50"/>
  <c r="AO309" i="50"/>
  <c r="AO312" i="50"/>
  <c r="AO315" i="50"/>
  <c r="AO318" i="50"/>
  <c r="AO321" i="50"/>
  <c r="AO324" i="50"/>
  <c r="AO325" i="50"/>
  <c r="AO327" i="50"/>
  <c r="AO330" i="50"/>
  <c r="AO333" i="50"/>
  <c r="AO336" i="50"/>
  <c r="AO348" i="50"/>
  <c r="AO354" i="50"/>
  <c r="AO357" i="50"/>
  <c r="AO360" i="50"/>
  <c r="AO361" i="50"/>
  <c r="AO363" i="50"/>
  <c r="AO366" i="50"/>
  <c r="AO369" i="50"/>
  <c r="AO372" i="50"/>
  <c r="AO373" i="50"/>
  <c r="AO375" i="50"/>
  <c r="AO339" i="50"/>
  <c r="AO342" i="50"/>
  <c r="AO349" i="50"/>
  <c r="AO351" i="50"/>
  <c r="AO345" i="50"/>
  <c r="AO381" i="50"/>
  <c r="AO385" i="50"/>
  <c r="AO397" i="50"/>
  <c r="AO405" i="50"/>
  <c r="AO409" i="50"/>
  <c r="AO411" i="50"/>
  <c r="AO417" i="50"/>
  <c r="AO378" i="50"/>
  <c r="AO390" i="50"/>
  <c r="AO402" i="50"/>
  <c r="AO421" i="50"/>
  <c r="AO423" i="50"/>
  <c r="AO426" i="50"/>
  <c r="AO414" i="50"/>
  <c r="AO384" i="50"/>
  <c r="AO387" i="50"/>
  <c r="AO399" i="50"/>
  <c r="AO420" i="50"/>
  <c r="AO429" i="50"/>
  <c r="AO432" i="50"/>
  <c r="AO435" i="50"/>
  <c r="AO441" i="50"/>
  <c r="AO444" i="50"/>
  <c r="AO445" i="50"/>
  <c r="AO447" i="50"/>
  <c r="AO450" i="50"/>
  <c r="AO453" i="50"/>
  <c r="AO456" i="50"/>
  <c r="AO457" i="50"/>
  <c r="AO459" i="50"/>
  <c r="AO462" i="50"/>
  <c r="AO465" i="50"/>
  <c r="AO469" i="50"/>
  <c r="AO471" i="50"/>
  <c r="AO474" i="50"/>
  <c r="AO477" i="50"/>
  <c r="AO480" i="50"/>
  <c r="AO481" i="50"/>
  <c r="AO483" i="50"/>
  <c r="AO486" i="50"/>
  <c r="AO489" i="50"/>
  <c r="AO492" i="50"/>
  <c r="AO493" i="50"/>
  <c r="AO495" i="50"/>
  <c r="AO498" i="50"/>
  <c r="AO501" i="50"/>
  <c r="AO504" i="50"/>
  <c r="AO408" i="50"/>
  <c r="AO505" i="50"/>
  <c r="AO507" i="50"/>
  <c r="AO510" i="50"/>
  <c r="AO516" i="50"/>
  <c r="AO517" i="50"/>
  <c r="AO522" i="50"/>
  <c r="AO525" i="50"/>
  <c r="AO528" i="50"/>
  <c r="AO529" i="50"/>
  <c r="AO531" i="50"/>
  <c r="AO534" i="50"/>
  <c r="AO537" i="50"/>
  <c r="AO540" i="50"/>
  <c r="AO541" i="50"/>
  <c r="AO543" i="50"/>
  <c r="AO546" i="50"/>
  <c r="AO549" i="50"/>
  <c r="AO552" i="50"/>
  <c r="AO555" i="50"/>
  <c r="AO558" i="50"/>
  <c r="AO561" i="50"/>
  <c r="AO564" i="50"/>
  <c r="AO565" i="50"/>
  <c r="AO567" i="50"/>
  <c r="AO570" i="50"/>
  <c r="AO576" i="50"/>
  <c r="AO577" i="50"/>
  <c r="AO579" i="50"/>
  <c r="AO582" i="50"/>
  <c r="AO585" i="50"/>
  <c r="AO589" i="50"/>
  <c r="AO591" i="50"/>
  <c r="AO594" i="50"/>
  <c r="AO597" i="50"/>
  <c r="AO600" i="50"/>
  <c r="AO601" i="50"/>
  <c r="AO603" i="50"/>
  <c r="AO606" i="50"/>
  <c r="AO609" i="50"/>
  <c r="AO612" i="50"/>
  <c r="AO613" i="50"/>
  <c r="AO615" i="50"/>
  <c r="AO618" i="50"/>
  <c r="AO621" i="50"/>
  <c r="AO624" i="50"/>
  <c r="AO625" i="50"/>
  <c r="AO627" i="50"/>
  <c r="AO630" i="50"/>
  <c r="AO636" i="50"/>
  <c r="AO637" i="50"/>
  <c r="AO639" i="50"/>
  <c r="AO642" i="50"/>
  <c r="AO645" i="50"/>
  <c r="AO648" i="50"/>
  <c r="AO649" i="50"/>
  <c r="AO651" i="50"/>
  <c r="AO654" i="50"/>
  <c r="AO657" i="50"/>
  <c r="AO660" i="50"/>
  <c r="AO661" i="50"/>
  <c r="AO663" i="50"/>
  <c r="AF8" i="50"/>
  <c r="AL7" i="50"/>
  <c r="AL8" i="50"/>
  <c r="AN8" i="50" s="1"/>
  <c r="AL9" i="50" s="1"/>
  <c r="AN9" i="50" s="1"/>
  <c r="AH13" i="50"/>
  <c r="U7" i="50"/>
  <c r="U10" i="50"/>
  <c r="U71" i="50"/>
  <c r="U232" i="50"/>
  <c r="U202" i="50"/>
  <c r="U185" i="50"/>
  <c r="U177" i="50"/>
  <c r="U175" i="50"/>
  <c r="U173" i="50"/>
  <c r="U165" i="50"/>
  <c r="U157" i="50"/>
  <c r="U89" i="50"/>
  <c r="U242" i="50"/>
  <c r="U187" i="50"/>
  <c r="U179" i="50"/>
  <c r="U167" i="50"/>
  <c r="U159" i="50"/>
  <c r="U270" i="50"/>
  <c r="U106" i="50"/>
  <c r="U189" i="50"/>
  <c r="U181" i="50"/>
  <c r="U169" i="50"/>
  <c r="U161" i="50"/>
  <c r="FV10" i="54" l="1"/>
  <c r="FU9" i="54"/>
  <c r="FW9" i="54" s="1"/>
  <c r="FR10" i="54" s="1"/>
  <c r="FE10" i="54"/>
  <c r="FC10" i="54"/>
  <c r="FF10" i="54"/>
  <c r="FX10" i="54"/>
  <c r="FZ10" i="54"/>
  <c r="GA10" i="54"/>
  <c r="FO10" i="54"/>
  <c r="FN9" i="54"/>
  <c r="FP9" i="54" s="1"/>
  <c r="FK10" i="54" s="1"/>
  <c r="CV46" i="54"/>
  <c r="CT46" i="54"/>
  <c r="CU47" i="54" s="1"/>
  <c r="AC7" i="50"/>
  <c r="AG280" i="50"/>
  <c r="AG290" i="50"/>
  <c r="AO290" i="50" s="1"/>
  <c r="AG324" i="50"/>
  <c r="AG325" i="50"/>
  <c r="AH325" i="50" s="1"/>
  <c r="AG326" i="50"/>
  <c r="AO326" i="50" s="1"/>
  <c r="AG327" i="50"/>
  <c r="AG328" i="50"/>
  <c r="AG329" i="50"/>
  <c r="AO329" i="50" s="1"/>
  <c r="AG330" i="50"/>
  <c r="AG331" i="50"/>
  <c r="AG332" i="50"/>
  <c r="AO332" i="50" s="1"/>
  <c r="AG333" i="50"/>
  <c r="AG334" i="50"/>
  <c r="AG335" i="50"/>
  <c r="AO335" i="50" s="1"/>
  <c r="AG336" i="50"/>
  <c r="AG337" i="50"/>
  <c r="AG338" i="50"/>
  <c r="AO338" i="50" s="1"/>
  <c r="AG339" i="50"/>
  <c r="AG340" i="50"/>
  <c r="AG341" i="50"/>
  <c r="AO341" i="50" s="1"/>
  <c r="AG342" i="50"/>
  <c r="AG343" i="50"/>
  <c r="AG344" i="50"/>
  <c r="AO344" i="50" s="1"/>
  <c r="AG345" i="50"/>
  <c r="AG348" i="50"/>
  <c r="AG350" i="50"/>
  <c r="AO350" i="50" s="1"/>
  <c r="AG352" i="50"/>
  <c r="AG353" i="50"/>
  <c r="AO353" i="50" s="1"/>
  <c r="AG354" i="50"/>
  <c r="AG355" i="50"/>
  <c r="AG356" i="50"/>
  <c r="AO356" i="50" s="1"/>
  <c r="AG357" i="50"/>
  <c r="AG358" i="50"/>
  <c r="AG359" i="50"/>
  <c r="AO359" i="50" s="1"/>
  <c r="AG360" i="50"/>
  <c r="AG361" i="50"/>
  <c r="AH361" i="50" s="1"/>
  <c r="AG362" i="50"/>
  <c r="AO362" i="50" s="1"/>
  <c r="AG363" i="50"/>
  <c r="AG364" i="50"/>
  <c r="AG365" i="50"/>
  <c r="AO365" i="50" s="1"/>
  <c r="AG366" i="50"/>
  <c r="AG367" i="50"/>
  <c r="AG368" i="50"/>
  <c r="AO368" i="50" s="1"/>
  <c r="AG369" i="50"/>
  <c r="AG370" i="50"/>
  <c r="AG371" i="50"/>
  <c r="AO371" i="50" s="1"/>
  <c r="AG372" i="50"/>
  <c r="AG373" i="50"/>
  <c r="AH373" i="50" s="1"/>
  <c r="AG374" i="50"/>
  <c r="AO374" i="50" s="1"/>
  <c r="AG375" i="50"/>
  <c r="AG376" i="50"/>
  <c r="AG377" i="50"/>
  <c r="AO377" i="50" s="1"/>
  <c r="AG378" i="50"/>
  <c r="AG379" i="50"/>
  <c r="AG383" i="50"/>
  <c r="AO383" i="50" s="1"/>
  <c r="AG387" i="50"/>
  <c r="AG391" i="50"/>
  <c r="AG395" i="50"/>
  <c r="AO395" i="50" s="1"/>
  <c r="AG399" i="50"/>
  <c r="AG403" i="50"/>
  <c r="AG380" i="50"/>
  <c r="AO380" i="50" s="1"/>
  <c r="AG384" i="50"/>
  <c r="AG388" i="50"/>
  <c r="AG392" i="50"/>
  <c r="AO392" i="50" s="1"/>
  <c r="AG396" i="50"/>
  <c r="AO396" i="50" s="1"/>
  <c r="AG400" i="50"/>
  <c r="AG404" i="50"/>
  <c r="AO404" i="50" s="1"/>
  <c r="AG381" i="50"/>
  <c r="AG385" i="50"/>
  <c r="AH385" i="50" s="1"/>
  <c r="AG389" i="50"/>
  <c r="AO389" i="50" s="1"/>
  <c r="AG393" i="50"/>
  <c r="AO393" i="50" s="1"/>
  <c r="AG397" i="50"/>
  <c r="AH397" i="50" s="1"/>
  <c r="AG401" i="50"/>
  <c r="AO401" i="50" s="1"/>
  <c r="AG405" i="50"/>
  <c r="AG412" i="50"/>
  <c r="AG420" i="50"/>
  <c r="AG410" i="50"/>
  <c r="AO410" i="50" s="1"/>
  <c r="AG418" i="50"/>
  <c r="AG408" i="50"/>
  <c r="AG416" i="50"/>
  <c r="AO416" i="50" s="1"/>
  <c r="AG382" i="50"/>
  <c r="AG386" i="50"/>
  <c r="AO386" i="50" s="1"/>
  <c r="AG390" i="50"/>
  <c r="AG394" i="50"/>
  <c r="AG398" i="50"/>
  <c r="AO398" i="50" s="1"/>
  <c r="AG402" i="50"/>
  <c r="AG406" i="50"/>
  <c r="AG414" i="50"/>
  <c r="AG632" i="50"/>
  <c r="AO632" i="50" s="1"/>
  <c r="AG654" i="50"/>
  <c r="AG638" i="50"/>
  <c r="AO638" i="50" s="1"/>
  <c r="AG622" i="50"/>
  <c r="AG606" i="50"/>
  <c r="AG661" i="50"/>
  <c r="AH661" i="50" s="1"/>
  <c r="AG653" i="50"/>
  <c r="AO653" i="50" s="1"/>
  <c r="AG645" i="50"/>
  <c r="AG637" i="50"/>
  <c r="AH637" i="50" s="1"/>
  <c r="AG629" i="50"/>
  <c r="AO629" i="50" s="1"/>
  <c r="AG621" i="50"/>
  <c r="AG613" i="50"/>
  <c r="AH613" i="50" s="1"/>
  <c r="AG605" i="50"/>
  <c r="AO605" i="50" s="1"/>
  <c r="AG597" i="50"/>
  <c r="AG652" i="50"/>
  <c r="AG616" i="50"/>
  <c r="AG590" i="50"/>
  <c r="AO590" i="50" s="1"/>
  <c r="AG574" i="50"/>
  <c r="AG559" i="50"/>
  <c r="AG555" i="50"/>
  <c r="AG551" i="50"/>
  <c r="AO551" i="50" s="1"/>
  <c r="AG547" i="50"/>
  <c r="AG543" i="50"/>
  <c r="AG531" i="50"/>
  <c r="AG515" i="50"/>
  <c r="AO515" i="50" s="1"/>
  <c r="AG593" i="50"/>
  <c r="AO593" i="50" s="1"/>
  <c r="AG577" i="50"/>
  <c r="AH577" i="50" s="1"/>
  <c r="AG522" i="50"/>
  <c r="AG506" i="50"/>
  <c r="AO506" i="50" s="1"/>
  <c r="AG588" i="50"/>
  <c r="AO588" i="50" s="1"/>
  <c r="AG572" i="50"/>
  <c r="AO572" i="50" s="1"/>
  <c r="AG525" i="50"/>
  <c r="AG509" i="50"/>
  <c r="AO509" i="50" s="1"/>
  <c r="AG587" i="50"/>
  <c r="AO587" i="50" s="1"/>
  <c r="AG571" i="50"/>
  <c r="AG532" i="50"/>
  <c r="AG516" i="50"/>
  <c r="AG504" i="50"/>
  <c r="AG493" i="50"/>
  <c r="AH493" i="50" s="1"/>
  <c r="AG485" i="50"/>
  <c r="AO485" i="50" s="1"/>
  <c r="AG477" i="50"/>
  <c r="AG469" i="50"/>
  <c r="AH469" i="50" s="1"/>
  <c r="AG461" i="50"/>
  <c r="AO461" i="50" s="1"/>
  <c r="AG453" i="50"/>
  <c r="AG445" i="50"/>
  <c r="AH445" i="50" s="1"/>
  <c r="AG437" i="50"/>
  <c r="AO437" i="50" s="1"/>
  <c r="AG429" i="50"/>
  <c r="AG499" i="50"/>
  <c r="AG424" i="50"/>
  <c r="AG411" i="50"/>
  <c r="AG427" i="50"/>
  <c r="AG425" i="50"/>
  <c r="AO425" i="50" s="1"/>
  <c r="AG409" i="50"/>
  <c r="AH409" i="50" s="1"/>
  <c r="AG347" i="50"/>
  <c r="AO347" i="50" s="1"/>
  <c r="AG346" i="50"/>
  <c r="AG321" i="50"/>
  <c r="AG277" i="50"/>
  <c r="AH277" i="50" s="1"/>
  <c r="AG318" i="50"/>
  <c r="AG310" i="50"/>
  <c r="AG302" i="50"/>
  <c r="AO302" i="50" s="1"/>
  <c r="AG313" i="50"/>
  <c r="AG305" i="50"/>
  <c r="AO305" i="50" s="1"/>
  <c r="AG282" i="50"/>
  <c r="AG287" i="50"/>
  <c r="AO287" i="50" s="1"/>
  <c r="AG300" i="50"/>
  <c r="AG296" i="50"/>
  <c r="AO296" i="50" s="1"/>
  <c r="AG292" i="50"/>
  <c r="AG272" i="50"/>
  <c r="AO272" i="50" s="1"/>
  <c r="AG644" i="50"/>
  <c r="AO644" i="50" s="1"/>
  <c r="AG612" i="50"/>
  <c r="AG659" i="50"/>
  <c r="AO659" i="50" s="1"/>
  <c r="AG651" i="50"/>
  <c r="AG643" i="50"/>
  <c r="AG635" i="50"/>
  <c r="AO635" i="50" s="1"/>
  <c r="AG627" i="50"/>
  <c r="AG619" i="50"/>
  <c r="AG611" i="50"/>
  <c r="AO611" i="50" s="1"/>
  <c r="AG603" i="50"/>
  <c r="AG595" i="50"/>
  <c r="AG650" i="50"/>
  <c r="AO650" i="50" s="1"/>
  <c r="AG634" i="50"/>
  <c r="AG618" i="50"/>
  <c r="AG602" i="50"/>
  <c r="AO602" i="50" s="1"/>
  <c r="AG648" i="50"/>
  <c r="AG628" i="50"/>
  <c r="AG604" i="50"/>
  <c r="AG596" i="50"/>
  <c r="AO596" i="50" s="1"/>
  <c r="AG578" i="50"/>
  <c r="AO578" i="50" s="1"/>
  <c r="AG562" i="50"/>
  <c r="AG558" i="50"/>
  <c r="AG554" i="50"/>
  <c r="AO554" i="50" s="1"/>
  <c r="AG550" i="50"/>
  <c r="AG546" i="50"/>
  <c r="AG542" i="50"/>
  <c r="AO542" i="50" s="1"/>
  <c r="AG527" i="50"/>
  <c r="AO527" i="50" s="1"/>
  <c r="AG511" i="50"/>
  <c r="AG581" i="50"/>
  <c r="AO581" i="50" s="1"/>
  <c r="AG565" i="50"/>
  <c r="AH565" i="50" s="1"/>
  <c r="AG539" i="50"/>
  <c r="AO539" i="50" s="1"/>
  <c r="AG534" i="50"/>
  <c r="AG518" i="50"/>
  <c r="AO518" i="50" s="1"/>
  <c r="AG592" i="50"/>
  <c r="AG576" i="50"/>
  <c r="AG564" i="50"/>
  <c r="AG521" i="50"/>
  <c r="AO521" i="50" s="1"/>
  <c r="AG591" i="50"/>
  <c r="AG575" i="50"/>
  <c r="AO575" i="50" s="1"/>
  <c r="AG538" i="50"/>
  <c r="AG528" i="50"/>
  <c r="AG512" i="50"/>
  <c r="AO512" i="50" s="1"/>
  <c r="AG495" i="50"/>
  <c r="AG487" i="50"/>
  <c r="AG479" i="50"/>
  <c r="AO479" i="50" s="1"/>
  <c r="AG471" i="50"/>
  <c r="AG463" i="50"/>
  <c r="AG455" i="50"/>
  <c r="AO455" i="50" s="1"/>
  <c r="AG447" i="50"/>
  <c r="AG439" i="50"/>
  <c r="AG496" i="50"/>
  <c r="AG488" i="50"/>
  <c r="AO488" i="50" s="1"/>
  <c r="AG480" i="50"/>
  <c r="AG472" i="50"/>
  <c r="AG464" i="50"/>
  <c r="AO464" i="50" s="1"/>
  <c r="AG456" i="50"/>
  <c r="AG448" i="50"/>
  <c r="AG440" i="50"/>
  <c r="AO440" i="50" s="1"/>
  <c r="AG432" i="50"/>
  <c r="AG500" i="50"/>
  <c r="AO500" i="50" s="1"/>
  <c r="AG498" i="50"/>
  <c r="AG490" i="50"/>
  <c r="AG482" i="50"/>
  <c r="AO482" i="50" s="1"/>
  <c r="AG474" i="50"/>
  <c r="AG466" i="50"/>
  <c r="AG458" i="50"/>
  <c r="AO458" i="50" s="1"/>
  <c r="AG450" i="50"/>
  <c r="AG442" i="50"/>
  <c r="AG434" i="50"/>
  <c r="AO434" i="50" s="1"/>
  <c r="AG423" i="50"/>
  <c r="AG413" i="50"/>
  <c r="AO413" i="50" s="1"/>
  <c r="AG426" i="50"/>
  <c r="AG407" i="50"/>
  <c r="AO407" i="50" s="1"/>
  <c r="AG316" i="50"/>
  <c r="AG308" i="50"/>
  <c r="AO308" i="50" s="1"/>
  <c r="AG323" i="50"/>
  <c r="AO323" i="50" s="1"/>
  <c r="AG289" i="50"/>
  <c r="AH289" i="50" s="1"/>
  <c r="AG320" i="50"/>
  <c r="AO320" i="50" s="1"/>
  <c r="AG311" i="50"/>
  <c r="AO311" i="50" s="1"/>
  <c r="AG303" i="50"/>
  <c r="AG278" i="50"/>
  <c r="AO278" i="50" s="1"/>
  <c r="AG283" i="50"/>
  <c r="AG299" i="50"/>
  <c r="AO299" i="50" s="1"/>
  <c r="AG295" i="50"/>
  <c r="AG288" i="50"/>
  <c r="AO288" i="50" s="1"/>
  <c r="AG640" i="50"/>
  <c r="AG662" i="50"/>
  <c r="AO662" i="50" s="1"/>
  <c r="AG646" i="50"/>
  <c r="AG630" i="50"/>
  <c r="AG614" i="50"/>
  <c r="AO614" i="50" s="1"/>
  <c r="AG598" i="50"/>
  <c r="AG657" i="50"/>
  <c r="AG649" i="50"/>
  <c r="AH649" i="50" s="1"/>
  <c r="AG641" i="50"/>
  <c r="AO641" i="50" s="1"/>
  <c r="AG633" i="50"/>
  <c r="AO633" i="50" s="1"/>
  <c r="AG625" i="50"/>
  <c r="AH625" i="50" s="1"/>
  <c r="AG617" i="50"/>
  <c r="AO617" i="50" s="1"/>
  <c r="AG609" i="50"/>
  <c r="AG601" i="50"/>
  <c r="AH601" i="50" s="1"/>
  <c r="AG660" i="50"/>
  <c r="AG624" i="50"/>
  <c r="AG582" i="50"/>
  <c r="AG566" i="50"/>
  <c r="AO566" i="50" s="1"/>
  <c r="AG561" i="50"/>
  <c r="AG557" i="50"/>
  <c r="AO557" i="50" s="1"/>
  <c r="AG553" i="50"/>
  <c r="AG549" i="50"/>
  <c r="AG545" i="50"/>
  <c r="AO545" i="50" s="1"/>
  <c r="AG541" i="50"/>
  <c r="AH541" i="50" s="1"/>
  <c r="AG523" i="50"/>
  <c r="AG507" i="50"/>
  <c r="AG585" i="50"/>
  <c r="AG569" i="50"/>
  <c r="AO569" i="50" s="1"/>
  <c r="AG530" i="50"/>
  <c r="AO530" i="50" s="1"/>
  <c r="AG514" i="50"/>
  <c r="AG580" i="50"/>
  <c r="AG533" i="50"/>
  <c r="AO533" i="50" s="1"/>
  <c r="AG517" i="50"/>
  <c r="AH517" i="50" s="1"/>
  <c r="AG579" i="50"/>
  <c r="AG563" i="50"/>
  <c r="AO563" i="50" s="1"/>
  <c r="AG524" i="50"/>
  <c r="AO524" i="50" s="1"/>
  <c r="AG508" i="50"/>
  <c r="AG505" i="50"/>
  <c r="AH505" i="50" s="1"/>
  <c r="AG430" i="50"/>
  <c r="AG497" i="50"/>
  <c r="AO497" i="50" s="1"/>
  <c r="AG489" i="50"/>
  <c r="AG481" i="50"/>
  <c r="AH481" i="50" s="1"/>
  <c r="AG473" i="50"/>
  <c r="AO473" i="50" s="1"/>
  <c r="AG465" i="50"/>
  <c r="AG457" i="50"/>
  <c r="AH457" i="50" s="1"/>
  <c r="AG449" i="50"/>
  <c r="AO449" i="50" s="1"/>
  <c r="AG441" i="50"/>
  <c r="AG433" i="50"/>
  <c r="AG431" i="50"/>
  <c r="AO431" i="50" s="1"/>
  <c r="AG419" i="50"/>
  <c r="AO419" i="50" s="1"/>
  <c r="AG422" i="50"/>
  <c r="AO422" i="50" s="1"/>
  <c r="AG417" i="50"/>
  <c r="AG349" i="50"/>
  <c r="AH349" i="50" s="1"/>
  <c r="AG322" i="50"/>
  <c r="AG314" i="50"/>
  <c r="AO314" i="50" s="1"/>
  <c r="AG306" i="50"/>
  <c r="AG281" i="50"/>
  <c r="AO281" i="50" s="1"/>
  <c r="AG317" i="50"/>
  <c r="AO317" i="50" s="1"/>
  <c r="AG309" i="50"/>
  <c r="AG301" i="50"/>
  <c r="AH301" i="50" s="1"/>
  <c r="AG274" i="50"/>
  <c r="AG279" i="50"/>
  <c r="AG298" i="50"/>
  <c r="AG294" i="50"/>
  <c r="AG284" i="50"/>
  <c r="AO284" i="50" s="1"/>
  <c r="AG636" i="50"/>
  <c r="AG663" i="50"/>
  <c r="AG655" i="50"/>
  <c r="AG647" i="50"/>
  <c r="AO647" i="50" s="1"/>
  <c r="AG639" i="50"/>
  <c r="AG631" i="50"/>
  <c r="AG623" i="50"/>
  <c r="AO623" i="50" s="1"/>
  <c r="AG615" i="50"/>
  <c r="AG607" i="50"/>
  <c r="AG599" i="50"/>
  <c r="AO599" i="50" s="1"/>
  <c r="AG642" i="50"/>
  <c r="AG626" i="50"/>
  <c r="AO626" i="50" s="1"/>
  <c r="AG658" i="50"/>
  <c r="AG610" i="50"/>
  <c r="AG594" i="50"/>
  <c r="AG656" i="50"/>
  <c r="AO656" i="50" s="1"/>
  <c r="AG620" i="50"/>
  <c r="AO620" i="50" s="1"/>
  <c r="AG608" i="50"/>
  <c r="AO608" i="50" s="1"/>
  <c r="AG600" i="50"/>
  <c r="AG586" i="50"/>
  <c r="AG570" i="50"/>
  <c r="AG560" i="50"/>
  <c r="AO560" i="50" s="1"/>
  <c r="AG556" i="50"/>
  <c r="AG552" i="50"/>
  <c r="AG548" i="50"/>
  <c r="AO548" i="50" s="1"/>
  <c r="AG544" i="50"/>
  <c r="AG535" i="50"/>
  <c r="AG519" i="50"/>
  <c r="AO519" i="50" s="1"/>
  <c r="AG589" i="50"/>
  <c r="AH589" i="50" s="1"/>
  <c r="AG573" i="50"/>
  <c r="AO573" i="50" s="1"/>
  <c r="AG537" i="50"/>
  <c r="AG526" i="50"/>
  <c r="AG510" i="50"/>
  <c r="AG584" i="50"/>
  <c r="AO584" i="50" s="1"/>
  <c r="AG568" i="50"/>
  <c r="AG529" i="50"/>
  <c r="AH529" i="50" s="1"/>
  <c r="AG513" i="50"/>
  <c r="AO513" i="50" s="1"/>
  <c r="AG583" i="50"/>
  <c r="AG567" i="50"/>
  <c r="AG540" i="50"/>
  <c r="AG536" i="50"/>
  <c r="AO536" i="50" s="1"/>
  <c r="AG520" i="50"/>
  <c r="AG502" i="50"/>
  <c r="AG491" i="50"/>
  <c r="AO491" i="50" s="1"/>
  <c r="AG483" i="50"/>
  <c r="AG475" i="50"/>
  <c r="AG467" i="50"/>
  <c r="AO467" i="50" s="1"/>
  <c r="AG459" i="50"/>
  <c r="AG451" i="50"/>
  <c r="AG443" i="50"/>
  <c r="AO443" i="50" s="1"/>
  <c r="AG435" i="50"/>
  <c r="AG501" i="50"/>
  <c r="AG492" i="50"/>
  <c r="AG484" i="50"/>
  <c r="AG476" i="50"/>
  <c r="AO476" i="50" s="1"/>
  <c r="AG468" i="50"/>
  <c r="AO468" i="50" s="1"/>
  <c r="AG460" i="50"/>
  <c r="AG452" i="50"/>
  <c r="AO452" i="50" s="1"/>
  <c r="AG444" i="50"/>
  <c r="AG436" i="50"/>
  <c r="AG503" i="50"/>
  <c r="AO503" i="50" s="1"/>
  <c r="AG494" i="50"/>
  <c r="AO494" i="50" s="1"/>
  <c r="AG486" i="50"/>
  <c r="AG478" i="50"/>
  <c r="AG470" i="50"/>
  <c r="AO470" i="50" s="1"/>
  <c r="AG462" i="50"/>
  <c r="AG454" i="50"/>
  <c r="AG446" i="50"/>
  <c r="AO446" i="50" s="1"/>
  <c r="AG438" i="50"/>
  <c r="AO438" i="50" s="1"/>
  <c r="AG428" i="50"/>
  <c r="AO428" i="50" s="1"/>
  <c r="AG421" i="50"/>
  <c r="AH421" i="50" s="1"/>
  <c r="AG415" i="50"/>
  <c r="AG351" i="50"/>
  <c r="AG285" i="50"/>
  <c r="AG312" i="50"/>
  <c r="AG304" i="50"/>
  <c r="AG319" i="50"/>
  <c r="AG273" i="50"/>
  <c r="AO273" i="50" s="1"/>
  <c r="AG315" i="50"/>
  <c r="AG307" i="50"/>
  <c r="AG286" i="50"/>
  <c r="AG291" i="50"/>
  <c r="AG275" i="50"/>
  <c r="AO275" i="50" s="1"/>
  <c r="AG297" i="50"/>
  <c r="AG293" i="50"/>
  <c r="AO293" i="50" s="1"/>
  <c r="AG276" i="50"/>
  <c r="AN7" i="50"/>
  <c r="FL10" i="54" l="1"/>
  <c r="FJ10" i="54"/>
  <c r="FM10" i="54"/>
  <c r="FH11" i="54"/>
  <c r="FG10" i="54"/>
  <c r="FI10" i="54" s="1"/>
  <c r="FD11" i="54" s="1"/>
  <c r="FS10" i="54"/>
  <c r="FQ10" i="54"/>
  <c r="FT10" i="54"/>
  <c r="GB10" i="54"/>
  <c r="GD10" i="54" s="1"/>
  <c r="FY11" i="54" s="1"/>
  <c r="GC11" i="54"/>
  <c r="CV47" i="54"/>
  <c r="CT47" i="54"/>
  <c r="CU48" i="54" s="1"/>
  <c r="AH553" i="50"/>
  <c r="AO553" i="50"/>
  <c r="AH433" i="50"/>
  <c r="AO433" i="50"/>
  <c r="AH313" i="50"/>
  <c r="AO313" i="50"/>
  <c r="AH337" i="50"/>
  <c r="AO337" i="50"/>
  <c r="AO295" i="50"/>
  <c r="AH295" i="50"/>
  <c r="AO511" i="50"/>
  <c r="AH511" i="50"/>
  <c r="AH463" i="50"/>
  <c r="AO463" i="50"/>
  <c r="AO595" i="50"/>
  <c r="AH595" i="50"/>
  <c r="AO427" i="50"/>
  <c r="AH427" i="50"/>
  <c r="AH571" i="50"/>
  <c r="AO571" i="50"/>
  <c r="AO559" i="50"/>
  <c r="AH559" i="50"/>
  <c r="AO475" i="50"/>
  <c r="AH475" i="50"/>
  <c r="AO583" i="50"/>
  <c r="AH583" i="50"/>
  <c r="AH631" i="50"/>
  <c r="AO631" i="50"/>
  <c r="AO619" i="50"/>
  <c r="AH619" i="50"/>
  <c r="AH499" i="50"/>
  <c r="AO499" i="50"/>
  <c r="AH403" i="50"/>
  <c r="AO403" i="50"/>
  <c r="AO307" i="50"/>
  <c r="AH307" i="50"/>
  <c r="AO415" i="50"/>
  <c r="AH415" i="50"/>
  <c r="AH523" i="50"/>
  <c r="AO523" i="50"/>
  <c r="AO283" i="50"/>
  <c r="AH283" i="50"/>
  <c r="AH439" i="50"/>
  <c r="AO439" i="50"/>
  <c r="AH547" i="50"/>
  <c r="AO547" i="50"/>
  <c r="AO379" i="50"/>
  <c r="AH379" i="50"/>
  <c r="AO367" i="50"/>
  <c r="AH367" i="50"/>
  <c r="AO355" i="50"/>
  <c r="AH355" i="50"/>
  <c r="AH343" i="50"/>
  <c r="AO343" i="50"/>
  <c r="AO331" i="50"/>
  <c r="AH331" i="50"/>
  <c r="AH487" i="50"/>
  <c r="AO487" i="50"/>
  <c r="AH319" i="50"/>
  <c r="AO319" i="50"/>
  <c r="AO451" i="50"/>
  <c r="AH451" i="50"/>
  <c r="AH607" i="50"/>
  <c r="AO607" i="50"/>
  <c r="AO535" i="50"/>
  <c r="AH535" i="50"/>
  <c r="AH655" i="50"/>
  <c r="AO655" i="50"/>
  <c r="AH643" i="50"/>
  <c r="AO643" i="50"/>
  <c r="AO391" i="50"/>
  <c r="AH391" i="50"/>
  <c r="AK312" i="50"/>
  <c r="AI312" i="50"/>
  <c r="AJ312" i="50"/>
  <c r="AH312" i="50"/>
  <c r="AK486" i="50"/>
  <c r="AI486" i="50"/>
  <c r="AJ486" i="50"/>
  <c r="AH486" i="50"/>
  <c r="AI435" i="50"/>
  <c r="AK435" i="50"/>
  <c r="AJ435" i="50"/>
  <c r="AH435" i="50"/>
  <c r="AK502" i="50"/>
  <c r="AI502" i="50"/>
  <c r="AJ502" i="50"/>
  <c r="AO502" i="50"/>
  <c r="AH502" i="50"/>
  <c r="AK537" i="50"/>
  <c r="AI537" i="50"/>
  <c r="AJ537" i="50"/>
  <c r="AH537" i="50"/>
  <c r="AK600" i="50"/>
  <c r="AJ600" i="50"/>
  <c r="AM600" i="50" s="1"/>
  <c r="AI600" i="50"/>
  <c r="AL600" i="50" s="1"/>
  <c r="AH600" i="50"/>
  <c r="AJ642" i="50"/>
  <c r="AK642" i="50"/>
  <c r="AI642" i="50"/>
  <c r="AL642" i="50" s="1"/>
  <c r="AH642" i="50"/>
  <c r="AK655" i="50"/>
  <c r="AJ655" i="50"/>
  <c r="AM655" i="50" s="1"/>
  <c r="AI655" i="50"/>
  <c r="AL655" i="50" s="1"/>
  <c r="AJ306" i="50"/>
  <c r="AI306" i="50"/>
  <c r="AK306" i="50"/>
  <c r="AH306" i="50"/>
  <c r="AK433" i="50"/>
  <c r="AI433" i="50"/>
  <c r="AJ433" i="50"/>
  <c r="AM433" i="50" s="1"/>
  <c r="AJ524" i="50"/>
  <c r="AK524" i="50"/>
  <c r="AI524" i="50"/>
  <c r="AH524" i="50"/>
  <c r="AI541" i="50"/>
  <c r="AL541" i="50" s="1"/>
  <c r="AK541" i="50"/>
  <c r="AN541" i="50" s="1"/>
  <c r="AJ541" i="50"/>
  <c r="AM541" i="50" s="1"/>
  <c r="AJ617" i="50"/>
  <c r="AM617" i="50" s="1"/>
  <c r="AK617" i="50"/>
  <c r="AI617" i="50"/>
  <c r="AL617" i="50" s="1"/>
  <c r="AH617" i="50"/>
  <c r="AJ649" i="50"/>
  <c r="AM649" i="50" s="1"/>
  <c r="AK649" i="50"/>
  <c r="AN649" i="50" s="1"/>
  <c r="AI649" i="50"/>
  <c r="AL649" i="50" s="1"/>
  <c r="AI278" i="50"/>
  <c r="AJ278" i="50"/>
  <c r="AK278" i="50"/>
  <c r="AH278" i="50"/>
  <c r="AK434" i="50"/>
  <c r="AJ434" i="50"/>
  <c r="AI434" i="50"/>
  <c r="AH434" i="50"/>
  <c r="AI448" i="50"/>
  <c r="AK448" i="50"/>
  <c r="AJ448" i="50"/>
  <c r="AH448" i="50"/>
  <c r="AO448" i="50"/>
  <c r="AK447" i="50"/>
  <c r="AI447" i="50"/>
  <c r="AJ447" i="50"/>
  <c r="AH447" i="50"/>
  <c r="AK521" i="50"/>
  <c r="AI521" i="50"/>
  <c r="AL521" i="50" s="1"/>
  <c r="AJ521" i="50"/>
  <c r="AH521" i="50"/>
  <c r="AI546" i="50"/>
  <c r="AJ546" i="50"/>
  <c r="AK546" i="50"/>
  <c r="AH546" i="50"/>
  <c r="AK611" i="50"/>
  <c r="AJ611" i="50"/>
  <c r="AM611" i="50" s="1"/>
  <c r="AI611" i="50"/>
  <c r="AL611" i="50" s="1"/>
  <c r="AH611" i="50"/>
  <c r="AJ300" i="50"/>
  <c r="AK300" i="50"/>
  <c r="AI300" i="50"/>
  <c r="AH300" i="50"/>
  <c r="AK424" i="50"/>
  <c r="AI424" i="50"/>
  <c r="AJ424" i="50"/>
  <c r="AO424" i="50"/>
  <c r="AH424" i="50"/>
  <c r="AK516" i="50"/>
  <c r="AJ516" i="50"/>
  <c r="AI516" i="50"/>
  <c r="AH516" i="50"/>
  <c r="AI506" i="50"/>
  <c r="AL506" i="50" s="1"/>
  <c r="AJ506" i="50"/>
  <c r="AK506" i="50"/>
  <c r="AH506" i="50"/>
  <c r="AI590" i="50"/>
  <c r="AJ590" i="50"/>
  <c r="AM590" i="50" s="1"/>
  <c r="AK590" i="50"/>
  <c r="AH590" i="50"/>
  <c r="AJ637" i="50"/>
  <c r="AM637" i="50" s="1"/>
  <c r="AK637" i="50"/>
  <c r="AN637" i="50" s="1"/>
  <c r="AI637" i="50"/>
  <c r="AL637" i="50" s="1"/>
  <c r="AI398" i="50"/>
  <c r="AK398" i="50"/>
  <c r="AJ398" i="50"/>
  <c r="AM398" i="50" s="1"/>
  <c r="AH398" i="50"/>
  <c r="AK401" i="50"/>
  <c r="AJ401" i="50"/>
  <c r="AM401" i="50" s="1"/>
  <c r="AI401" i="50"/>
  <c r="AH401" i="50"/>
  <c r="AJ380" i="50"/>
  <c r="AM380" i="50" s="1"/>
  <c r="AK380" i="50"/>
  <c r="AI380" i="50"/>
  <c r="AH380" i="50"/>
  <c r="AI391" i="50"/>
  <c r="AK391" i="50"/>
  <c r="AN391" i="50" s="1"/>
  <c r="AJ391" i="50"/>
  <c r="AM391" i="50" s="1"/>
  <c r="AI374" i="50"/>
  <c r="AK374" i="50"/>
  <c r="AJ374" i="50"/>
  <c r="AM374" i="50" s="1"/>
  <c r="AH374" i="50"/>
  <c r="AI366" i="50"/>
  <c r="AJ366" i="50"/>
  <c r="AM366" i="50" s="1"/>
  <c r="AK366" i="50"/>
  <c r="AH366" i="50"/>
  <c r="AI358" i="50"/>
  <c r="AJ358" i="50"/>
  <c r="AM358" i="50" s="1"/>
  <c r="AK358" i="50"/>
  <c r="AH358" i="50"/>
  <c r="AO358" i="50"/>
  <c r="AI354" i="50"/>
  <c r="AJ354" i="50"/>
  <c r="AM354" i="50" s="1"/>
  <c r="AK354" i="50"/>
  <c r="AH354" i="50"/>
  <c r="AJ348" i="50"/>
  <c r="AM348" i="50" s="1"/>
  <c r="AI348" i="50"/>
  <c r="AK348" i="50"/>
  <c r="AH348" i="50"/>
  <c r="AJ338" i="50"/>
  <c r="AM338" i="50" s="1"/>
  <c r="AK338" i="50"/>
  <c r="AI338" i="50"/>
  <c r="AH338" i="50"/>
  <c r="AJ330" i="50"/>
  <c r="AM330" i="50" s="1"/>
  <c r="AK330" i="50"/>
  <c r="AI330" i="50"/>
  <c r="AH330" i="50"/>
  <c r="AJ326" i="50"/>
  <c r="AM326" i="50" s="1"/>
  <c r="AK326" i="50"/>
  <c r="AI326" i="50"/>
  <c r="AH326" i="50"/>
  <c r="AI280" i="50"/>
  <c r="AJ280" i="50"/>
  <c r="AK280" i="50"/>
  <c r="AH280" i="50"/>
  <c r="AO280" i="50"/>
  <c r="AI276" i="50"/>
  <c r="AJ276" i="50"/>
  <c r="AK276" i="50"/>
  <c r="AH276" i="50"/>
  <c r="AJ291" i="50"/>
  <c r="AM291" i="50" s="1"/>
  <c r="AI291" i="50"/>
  <c r="AK291" i="50"/>
  <c r="AH291" i="50"/>
  <c r="AI273" i="50"/>
  <c r="AJ273" i="50"/>
  <c r="AK273" i="50"/>
  <c r="AH273" i="50"/>
  <c r="AI285" i="50"/>
  <c r="AJ285" i="50"/>
  <c r="AK285" i="50"/>
  <c r="AH285" i="50"/>
  <c r="AK428" i="50"/>
  <c r="AJ428" i="50"/>
  <c r="AI428" i="50"/>
  <c r="AH428" i="50"/>
  <c r="AK462" i="50"/>
  <c r="AI462" i="50"/>
  <c r="AJ462" i="50"/>
  <c r="AH462" i="50"/>
  <c r="AK494" i="50"/>
  <c r="AI494" i="50"/>
  <c r="AJ494" i="50"/>
  <c r="AH494" i="50"/>
  <c r="AI452" i="50"/>
  <c r="AJ452" i="50"/>
  <c r="AK452" i="50"/>
  <c r="AH452" i="50"/>
  <c r="AI484" i="50"/>
  <c r="AJ484" i="50"/>
  <c r="AK484" i="50"/>
  <c r="AH484" i="50"/>
  <c r="AO484" i="50"/>
  <c r="AI443" i="50"/>
  <c r="AK443" i="50"/>
  <c r="AJ443" i="50"/>
  <c r="AH443" i="50"/>
  <c r="AI475" i="50"/>
  <c r="AL475" i="50" s="1"/>
  <c r="AK475" i="50"/>
  <c r="AJ475" i="50"/>
  <c r="AJ520" i="50"/>
  <c r="AI520" i="50"/>
  <c r="AK520" i="50"/>
  <c r="AO520" i="50"/>
  <c r="AH520" i="50"/>
  <c r="AI583" i="50"/>
  <c r="AL583" i="50" s="1"/>
  <c r="AJ583" i="50"/>
  <c r="AM583" i="50" s="1"/>
  <c r="AK583" i="50"/>
  <c r="AJ584" i="50"/>
  <c r="AM584" i="50" s="1"/>
  <c r="AK584" i="50"/>
  <c r="AI584" i="50"/>
  <c r="AH584" i="50"/>
  <c r="AJ573" i="50"/>
  <c r="AM573" i="50" s="1"/>
  <c r="AI573" i="50"/>
  <c r="AK573" i="50"/>
  <c r="AH573" i="50"/>
  <c r="AI544" i="50"/>
  <c r="AJ544" i="50"/>
  <c r="AK544" i="50"/>
  <c r="AO544" i="50"/>
  <c r="AH544" i="50"/>
  <c r="AI560" i="50"/>
  <c r="AJ560" i="50"/>
  <c r="AK560" i="50"/>
  <c r="AH560" i="50"/>
  <c r="AK608" i="50"/>
  <c r="AJ608" i="50"/>
  <c r="AM608" i="50" s="1"/>
  <c r="AI608" i="50"/>
  <c r="AH608" i="50"/>
  <c r="AJ610" i="50"/>
  <c r="AM610" i="50" s="1"/>
  <c r="AK610" i="50"/>
  <c r="AI610" i="50"/>
  <c r="AH610" i="50"/>
  <c r="AO610" i="50"/>
  <c r="AK599" i="50"/>
  <c r="AI599" i="50"/>
  <c r="AJ599" i="50"/>
  <c r="AM599" i="50" s="1"/>
  <c r="AH599" i="50"/>
  <c r="AK631" i="50"/>
  <c r="AJ631" i="50"/>
  <c r="AM631" i="50" s="1"/>
  <c r="AI631" i="50"/>
  <c r="AL631" i="50" s="1"/>
  <c r="AK663" i="50"/>
  <c r="AN663" i="50" s="1"/>
  <c r="AJ663" i="50"/>
  <c r="AM663" i="50" s="1"/>
  <c r="AI663" i="50"/>
  <c r="AL663" i="50" s="1"/>
  <c r="AH663" i="50"/>
  <c r="AI298" i="50"/>
  <c r="AK298" i="50"/>
  <c r="AJ298" i="50"/>
  <c r="AH298" i="50"/>
  <c r="AO298" i="50"/>
  <c r="AJ309" i="50"/>
  <c r="AI309" i="50"/>
  <c r="AK309" i="50"/>
  <c r="AH309" i="50"/>
  <c r="AJ314" i="50"/>
  <c r="AK314" i="50"/>
  <c r="AI314" i="50"/>
  <c r="AH314" i="50"/>
  <c r="AJ422" i="50"/>
  <c r="AK422" i="50"/>
  <c r="AI422" i="50"/>
  <c r="AH422" i="50"/>
  <c r="AK441" i="50"/>
  <c r="AJ441" i="50"/>
  <c r="AI441" i="50"/>
  <c r="AH441" i="50"/>
  <c r="AK473" i="50"/>
  <c r="AI473" i="50"/>
  <c r="AJ473" i="50"/>
  <c r="AH473" i="50"/>
  <c r="AJ430" i="50"/>
  <c r="AK430" i="50"/>
  <c r="AI430" i="50"/>
  <c r="AH430" i="50"/>
  <c r="AO430" i="50"/>
  <c r="AI563" i="50"/>
  <c r="AL563" i="50" s="1"/>
  <c r="AK563" i="50"/>
  <c r="AJ563" i="50"/>
  <c r="AH563" i="50"/>
  <c r="AJ580" i="50"/>
  <c r="AM580" i="50" s="1"/>
  <c r="AI580" i="50"/>
  <c r="AK580" i="50"/>
  <c r="AO580" i="50"/>
  <c r="AH580" i="50"/>
  <c r="AI585" i="50"/>
  <c r="AJ585" i="50"/>
  <c r="AM585" i="50" s="1"/>
  <c r="AK585" i="50"/>
  <c r="AH585" i="50"/>
  <c r="AI545" i="50"/>
  <c r="AK545" i="50"/>
  <c r="AJ545" i="50"/>
  <c r="AH545" i="50"/>
  <c r="AI561" i="50"/>
  <c r="AK561" i="50"/>
  <c r="AJ561" i="50"/>
  <c r="AH561" i="50"/>
  <c r="AK660" i="50"/>
  <c r="AJ660" i="50"/>
  <c r="AM660" i="50" s="1"/>
  <c r="AI660" i="50"/>
  <c r="AH660" i="50"/>
  <c r="AJ625" i="50"/>
  <c r="AM625" i="50" s="1"/>
  <c r="AK625" i="50"/>
  <c r="AN625" i="50" s="1"/>
  <c r="AI625" i="50"/>
  <c r="AL625" i="50" s="1"/>
  <c r="AJ657" i="50"/>
  <c r="AM657" i="50" s="1"/>
  <c r="AK657" i="50"/>
  <c r="AI657" i="50"/>
  <c r="AL657" i="50" s="1"/>
  <c r="AH657" i="50"/>
  <c r="AJ646" i="50"/>
  <c r="AK646" i="50"/>
  <c r="AI646" i="50"/>
  <c r="AO646" i="50"/>
  <c r="AH646" i="50"/>
  <c r="AJ295" i="50"/>
  <c r="AI295" i="50"/>
  <c r="AK295" i="50"/>
  <c r="AN295" i="50" s="1"/>
  <c r="AK303" i="50"/>
  <c r="AJ303" i="50"/>
  <c r="AI303" i="50"/>
  <c r="AH303" i="50"/>
  <c r="AK323" i="50"/>
  <c r="AI323" i="50"/>
  <c r="AJ323" i="50"/>
  <c r="AM323" i="50" s="1"/>
  <c r="AH323" i="50"/>
  <c r="AJ426" i="50"/>
  <c r="AK426" i="50"/>
  <c r="AI426" i="50"/>
  <c r="AH426" i="50"/>
  <c r="AK442" i="50"/>
  <c r="AJ442" i="50"/>
  <c r="AI442" i="50"/>
  <c r="AH442" i="50"/>
  <c r="AO442" i="50"/>
  <c r="AK474" i="50"/>
  <c r="AJ474" i="50"/>
  <c r="AI474" i="50"/>
  <c r="AH474" i="50"/>
  <c r="AI500" i="50"/>
  <c r="AJ500" i="50"/>
  <c r="AK500" i="50"/>
  <c r="AH500" i="50"/>
  <c r="AI456" i="50"/>
  <c r="AJ456" i="50"/>
  <c r="AK456" i="50"/>
  <c r="AH456" i="50"/>
  <c r="AI488" i="50"/>
  <c r="AK488" i="50"/>
  <c r="AJ488" i="50"/>
  <c r="AH488" i="50"/>
  <c r="AK455" i="50"/>
  <c r="AI455" i="50"/>
  <c r="AJ455" i="50"/>
  <c r="AH455" i="50"/>
  <c r="AK487" i="50"/>
  <c r="AI487" i="50"/>
  <c r="AL487" i="50" s="1"/>
  <c r="AJ487" i="50"/>
  <c r="AI538" i="50"/>
  <c r="AJ538" i="50"/>
  <c r="AK538" i="50"/>
  <c r="AO538" i="50"/>
  <c r="AH538" i="50"/>
  <c r="AJ564" i="50"/>
  <c r="AI564" i="50"/>
  <c r="AK564" i="50"/>
  <c r="AH564" i="50"/>
  <c r="AI534" i="50"/>
  <c r="AK534" i="50"/>
  <c r="AJ534" i="50"/>
  <c r="AH534" i="50"/>
  <c r="AJ511" i="50"/>
  <c r="AM511" i="50" s="1"/>
  <c r="AI511" i="50"/>
  <c r="AL511" i="50" s="1"/>
  <c r="AK511" i="50"/>
  <c r="AI550" i="50"/>
  <c r="AK550" i="50"/>
  <c r="AJ550" i="50"/>
  <c r="AO550" i="50"/>
  <c r="AH550" i="50"/>
  <c r="AJ578" i="50"/>
  <c r="AM578" i="50" s="1"/>
  <c r="AI578" i="50"/>
  <c r="AK578" i="50"/>
  <c r="AH578" i="50"/>
  <c r="AK648" i="50"/>
  <c r="AJ648" i="50"/>
  <c r="AM648" i="50" s="1"/>
  <c r="AI648" i="50"/>
  <c r="AH648" i="50"/>
  <c r="AJ650" i="50"/>
  <c r="AM650" i="50" s="1"/>
  <c r="AK650" i="50"/>
  <c r="AI650" i="50"/>
  <c r="AH650" i="50"/>
  <c r="AK619" i="50"/>
  <c r="AJ619" i="50"/>
  <c r="AM619" i="50" s="1"/>
  <c r="AI619" i="50"/>
  <c r="AL619" i="50" s="1"/>
  <c r="AK651" i="50"/>
  <c r="AJ651" i="50"/>
  <c r="AM651" i="50" s="1"/>
  <c r="AI651" i="50"/>
  <c r="AL651" i="50" s="1"/>
  <c r="AH651" i="50"/>
  <c r="AI272" i="50"/>
  <c r="AJ272" i="50"/>
  <c r="AK272" i="50"/>
  <c r="AH272" i="50"/>
  <c r="AI287" i="50"/>
  <c r="AK287" i="50"/>
  <c r="AJ287" i="50"/>
  <c r="AH287" i="50"/>
  <c r="AI302" i="50"/>
  <c r="AJ302" i="50"/>
  <c r="AK302" i="50"/>
  <c r="AH302" i="50"/>
  <c r="AK321" i="50"/>
  <c r="AJ321" i="50"/>
  <c r="AM321" i="50" s="1"/>
  <c r="AI321" i="50"/>
  <c r="AH321" i="50"/>
  <c r="AK425" i="50"/>
  <c r="AJ425" i="50"/>
  <c r="AI425" i="50"/>
  <c r="AH425" i="50"/>
  <c r="AK499" i="50"/>
  <c r="AN499" i="50" s="1"/>
  <c r="AJ499" i="50"/>
  <c r="AI499" i="50"/>
  <c r="AL499" i="50" s="1"/>
  <c r="AK453" i="50"/>
  <c r="AJ453" i="50"/>
  <c r="AI453" i="50"/>
  <c r="AH453" i="50"/>
  <c r="AK485" i="50"/>
  <c r="AJ485" i="50"/>
  <c r="AI485" i="50"/>
  <c r="AH485" i="50"/>
  <c r="AJ532" i="50"/>
  <c r="AI532" i="50"/>
  <c r="AL532" i="50" s="1"/>
  <c r="AK532" i="50"/>
  <c r="AO532" i="50"/>
  <c r="AH532" i="50"/>
  <c r="AK525" i="50"/>
  <c r="AJ525" i="50"/>
  <c r="AI525" i="50"/>
  <c r="AH525" i="50"/>
  <c r="AI522" i="50"/>
  <c r="AL522" i="50" s="1"/>
  <c r="AJ522" i="50"/>
  <c r="AK522" i="50"/>
  <c r="AH522" i="50"/>
  <c r="AJ531" i="50"/>
  <c r="AI531" i="50"/>
  <c r="AK531" i="50"/>
  <c r="AH531" i="50"/>
  <c r="AI555" i="50"/>
  <c r="AL555" i="50" s="1"/>
  <c r="AJ555" i="50"/>
  <c r="AK555" i="50"/>
  <c r="AH555" i="50"/>
  <c r="AK616" i="50"/>
  <c r="AJ616" i="50"/>
  <c r="AM616" i="50" s="1"/>
  <c r="AI616" i="50"/>
  <c r="AO616" i="50"/>
  <c r="AH616" i="50"/>
  <c r="AJ613" i="50"/>
  <c r="AM613" i="50" s="1"/>
  <c r="AK613" i="50"/>
  <c r="AN613" i="50" s="1"/>
  <c r="AI613" i="50"/>
  <c r="AL613" i="50" s="1"/>
  <c r="AJ645" i="50"/>
  <c r="AM645" i="50" s="1"/>
  <c r="AK645" i="50"/>
  <c r="AI645" i="50"/>
  <c r="AH645" i="50"/>
  <c r="AJ622" i="50"/>
  <c r="AM622" i="50" s="1"/>
  <c r="AK622" i="50"/>
  <c r="AI622" i="50"/>
  <c r="AH622" i="50"/>
  <c r="AO622" i="50"/>
  <c r="AI414" i="50"/>
  <c r="AJ414" i="50"/>
  <c r="AK414" i="50"/>
  <c r="AH414" i="50"/>
  <c r="AI394" i="50"/>
  <c r="AJ394" i="50"/>
  <c r="AK394" i="50"/>
  <c r="AH394" i="50"/>
  <c r="AO394" i="50"/>
  <c r="AI416" i="50"/>
  <c r="AK416" i="50"/>
  <c r="AJ416" i="50"/>
  <c r="AM416" i="50" s="1"/>
  <c r="AH416" i="50"/>
  <c r="AI420" i="50"/>
  <c r="AJ420" i="50"/>
  <c r="AK420" i="50"/>
  <c r="AH420" i="50"/>
  <c r="AK397" i="50"/>
  <c r="AN397" i="50" s="1"/>
  <c r="AI397" i="50"/>
  <c r="AL397" i="50" s="1"/>
  <c r="AJ397" i="50"/>
  <c r="AM397" i="50" s="1"/>
  <c r="AK381" i="50"/>
  <c r="AI381" i="50"/>
  <c r="AJ381" i="50"/>
  <c r="AH381" i="50"/>
  <c r="AJ392" i="50"/>
  <c r="AI392" i="50"/>
  <c r="AK392" i="50"/>
  <c r="AH392" i="50"/>
  <c r="AI403" i="50"/>
  <c r="AJ403" i="50"/>
  <c r="AM403" i="50" s="1"/>
  <c r="AK403" i="50"/>
  <c r="AI387" i="50"/>
  <c r="AJ387" i="50"/>
  <c r="AK387" i="50"/>
  <c r="AH387" i="50"/>
  <c r="AK377" i="50"/>
  <c r="AI377" i="50"/>
  <c r="AJ377" i="50"/>
  <c r="AH377" i="50"/>
  <c r="AK373" i="50"/>
  <c r="AN373" i="50" s="1"/>
  <c r="AI373" i="50"/>
  <c r="AL373" i="50" s="1"/>
  <c r="AJ373" i="50"/>
  <c r="AM373" i="50" s="1"/>
  <c r="AK369" i="50"/>
  <c r="AI369" i="50"/>
  <c r="AJ369" i="50"/>
  <c r="AH369" i="50"/>
  <c r="AJ365" i="50"/>
  <c r="AK365" i="50"/>
  <c r="AI365" i="50"/>
  <c r="AH365" i="50"/>
  <c r="AJ361" i="50"/>
  <c r="AM361" i="50" s="1"/>
  <c r="AK361" i="50"/>
  <c r="AN361" i="50" s="1"/>
  <c r="AI361" i="50"/>
  <c r="AL361" i="50" s="1"/>
  <c r="AJ357" i="50"/>
  <c r="AK357" i="50"/>
  <c r="AI357" i="50"/>
  <c r="AH357" i="50"/>
  <c r="AJ353" i="50"/>
  <c r="AK353" i="50"/>
  <c r="AI353" i="50"/>
  <c r="AH353" i="50"/>
  <c r="AJ345" i="50"/>
  <c r="AI345" i="50"/>
  <c r="AK345" i="50"/>
  <c r="AH345" i="50"/>
  <c r="AJ341" i="50"/>
  <c r="AK341" i="50"/>
  <c r="AI341" i="50"/>
  <c r="AH341" i="50"/>
  <c r="AJ337" i="50"/>
  <c r="AM337" i="50" s="1"/>
  <c r="AK337" i="50"/>
  <c r="AI337" i="50"/>
  <c r="AJ333" i="50"/>
  <c r="AK333" i="50"/>
  <c r="AI333" i="50"/>
  <c r="AH333" i="50"/>
  <c r="AJ329" i="50"/>
  <c r="AK329" i="50"/>
  <c r="AI329" i="50"/>
  <c r="AH329" i="50"/>
  <c r="AJ325" i="50"/>
  <c r="AM325" i="50" s="1"/>
  <c r="AK325" i="50"/>
  <c r="AN325" i="50" s="1"/>
  <c r="AI325" i="50"/>
  <c r="AL325" i="50" s="1"/>
  <c r="AJ275" i="50"/>
  <c r="AI275" i="50"/>
  <c r="AK275" i="50"/>
  <c r="AH275" i="50"/>
  <c r="AJ421" i="50"/>
  <c r="AM421" i="50" s="1"/>
  <c r="AK421" i="50"/>
  <c r="AN421" i="50" s="1"/>
  <c r="AI421" i="50"/>
  <c r="AL421" i="50" s="1"/>
  <c r="AK476" i="50"/>
  <c r="AJ476" i="50"/>
  <c r="AI476" i="50"/>
  <c r="AL476" i="50" s="1"/>
  <c r="AH476" i="50"/>
  <c r="AI567" i="50"/>
  <c r="AJ567" i="50"/>
  <c r="AM567" i="50" s="1"/>
  <c r="AK567" i="50"/>
  <c r="AH567" i="50"/>
  <c r="AI556" i="50"/>
  <c r="AK556" i="50"/>
  <c r="AJ556" i="50"/>
  <c r="AO556" i="50"/>
  <c r="AH556" i="50"/>
  <c r="AK623" i="50"/>
  <c r="AJ623" i="50"/>
  <c r="AM623" i="50" s="1"/>
  <c r="AI623" i="50"/>
  <c r="AH623" i="50"/>
  <c r="AJ301" i="50"/>
  <c r="AM301" i="50" s="1"/>
  <c r="AI301" i="50"/>
  <c r="AL301" i="50" s="1"/>
  <c r="AK301" i="50"/>
  <c r="AN301" i="50" s="1"/>
  <c r="AK465" i="50"/>
  <c r="AJ465" i="50"/>
  <c r="AI465" i="50"/>
  <c r="AH465" i="50"/>
  <c r="AI569" i="50"/>
  <c r="AJ569" i="50"/>
  <c r="AM569" i="50" s="1"/>
  <c r="AK569" i="50"/>
  <c r="AH569" i="50"/>
  <c r="AK624" i="50"/>
  <c r="AJ624" i="50"/>
  <c r="AI624" i="50"/>
  <c r="AL624" i="50" s="1"/>
  <c r="AH624" i="50"/>
  <c r="AJ630" i="50"/>
  <c r="AK630" i="50"/>
  <c r="AI630" i="50"/>
  <c r="AL630" i="50" s="1"/>
  <c r="AH630" i="50"/>
  <c r="AI407" i="50"/>
  <c r="AJ407" i="50"/>
  <c r="AM407" i="50" s="1"/>
  <c r="AK407" i="50"/>
  <c r="AH407" i="50"/>
  <c r="AK498" i="50"/>
  <c r="AJ498" i="50"/>
  <c r="AI498" i="50"/>
  <c r="AH498" i="50"/>
  <c r="AK479" i="50"/>
  <c r="AI479" i="50"/>
  <c r="AJ479" i="50"/>
  <c r="AH479" i="50"/>
  <c r="AJ581" i="50"/>
  <c r="AM581" i="50" s="1"/>
  <c r="AI581" i="50"/>
  <c r="AK581" i="50"/>
  <c r="AH581" i="50"/>
  <c r="AK628" i="50"/>
  <c r="AJ628" i="50"/>
  <c r="AM628" i="50" s="1"/>
  <c r="AI628" i="50"/>
  <c r="AL628" i="50" s="1"/>
  <c r="AO628" i="50"/>
  <c r="AH628" i="50"/>
  <c r="AK644" i="50"/>
  <c r="AJ644" i="50"/>
  <c r="AM644" i="50" s="1"/>
  <c r="AI644" i="50"/>
  <c r="AL644" i="50" s="1"/>
  <c r="AH644" i="50"/>
  <c r="AI277" i="50"/>
  <c r="AL277" i="50" s="1"/>
  <c r="AJ277" i="50"/>
  <c r="AM277" i="50" s="1"/>
  <c r="AK277" i="50"/>
  <c r="AN277" i="50" s="1"/>
  <c r="AK445" i="50"/>
  <c r="AN445" i="50" s="1"/>
  <c r="AJ445" i="50"/>
  <c r="AM445" i="50" s="1"/>
  <c r="AI445" i="50"/>
  <c r="AL445" i="50" s="1"/>
  <c r="AJ515" i="50"/>
  <c r="AI515" i="50"/>
  <c r="AK515" i="50"/>
  <c r="AH515" i="50"/>
  <c r="AJ605" i="50"/>
  <c r="AM605" i="50" s="1"/>
  <c r="AK605" i="50"/>
  <c r="AI605" i="50"/>
  <c r="AH605" i="50"/>
  <c r="AI382" i="50"/>
  <c r="AK382" i="50"/>
  <c r="AJ382" i="50"/>
  <c r="AM382" i="50" s="1"/>
  <c r="AH382" i="50"/>
  <c r="AO382" i="50"/>
  <c r="AK385" i="50"/>
  <c r="AN385" i="50" s="1"/>
  <c r="AJ385" i="50"/>
  <c r="AM385" i="50" s="1"/>
  <c r="AI385" i="50"/>
  <c r="AL385" i="50" s="1"/>
  <c r="AJ342" i="50"/>
  <c r="AK342" i="50"/>
  <c r="AI342" i="50"/>
  <c r="AH342" i="50"/>
  <c r="AI293" i="50"/>
  <c r="AK293" i="50"/>
  <c r="AJ293" i="50"/>
  <c r="AH293" i="50"/>
  <c r="AK351" i="50"/>
  <c r="AI351" i="50"/>
  <c r="AJ351" i="50"/>
  <c r="AH351" i="50"/>
  <c r="AK470" i="50"/>
  <c r="AI470" i="50"/>
  <c r="AJ470" i="50"/>
  <c r="AH470" i="50"/>
  <c r="AJ460" i="50"/>
  <c r="AK460" i="50"/>
  <c r="AI460" i="50"/>
  <c r="AH460" i="50"/>
  <c r="AO460" i="50"/>
  <c r="AK483" i="50"/>
  <c r="AI483" i="50"/>
  <c r="AJ483" i="50"/>
  <c r="AH483" i="50"/>
  <c r="AI510" i="50"/>
  <c r="AK510" i="50"/>
  <c r="AJ510" i="50"/>
  <c r="AH510" i="50"/>
  <c r="AJ570" i="50"/>
  <c r="AM570" i="50" s="1"/>
  <c r="AI570" i="50"/>
  <c r="AK570" i="50"/>
  <c r="AH570" i="50"/>
  <c r="AK607" i="50"/>
  <c r="AJ607" i="50"/>
  <c r="AM607" i="50" s="1"/>
  <c r="AI607" i="50"/>
  <c r="AL607" i="50" s="1"/>
  <c r="AJ279" i="50"/>
  <c r="AI279" i="50"/>
  <c r="AK279" i="50"/>
  <c r="AH279" i="50"/>
  <c r="AJ317" i="50"/>
  <c r="AI317" i="50"/>
  <c r="AK317" i="50"/>
  <c r="AH317" i="50"/>
  <c r="AJ322" i="50"/>
  <c r="AK322" i="50"/>
  <c r="AI322" i="50"/>
  <c r="AO322" i="50"/>
  <c r="AH322" i="50"/>
  <c r="AK419" i="50"/>
  <c r="AI419" i="50"/>
  <c r="AJ419" i="50"/>
  <c r="AH419" i="50"/>
  <c r="AK449" i="50"/>
  <c r="AJ449" i="50"/>
  <c r="AI449" i="50"/>
  <c r="AH449" i="50"/>
  <c r="AK481" i="50"/>
  <c r="AN481" i="50" s="1"/>
  <c r="AJ481" i="50"/>
  <c r="AM481" i="50" s="1"/>
  <c r="AI481" i="50"/>
  <c r="AL481" i="50" s="1"/>
  <c r="AK505" i="50"/>
  <c r="AN505" i="50" s="1"/>
  <c r="AI505" i="50"/>
  <c r="AL505" i="50" s="1"/>
  <c r="AJ505" i="50"/>
  <c r="AM505" i="50" s="1"/>
  <c r="AI579" i="50"/>
  <c r="AK579" i="50"/>
  <c r="AJ579" i="50"/>
  <c r="AM579" i="50" s="1"/>
  <c r="AH579" i="50"/>
  <c r="AI514" i="50"/>
  <c r="AJ514" i="50"/>
  <c r="AK514" i="50"/>
  <c r="AO514" i="50"/>
  <c r="AH514" i="50"/>
  <c r="AJ507" i="50"/>
  <c r="AI507" i="50"/>
  <c r="AK507" i="50"/>
  <c r="AH507" i="50"/>
  <c r="AI549" i="50"/>
  <c r="AK549" i="50"/>
  <c r="AJ549" i="50"/>
  <c r="AH549" i="50"/>
  <c r="AI566" i="50"/>
  <c r="AJ566" i="50"/>
  <c r="AM566" i="50" s="1"/>
  <c r="AK566" i="50"/>
  <c r="AH566" i="50"/>
  <c r="AJ601" i="50"/>
  <c r="AM601" i="50" s="1"/>
  <c r="AK601" i="50"/>
  <c r="AN601" i="50" s="1"/>
  <c r="AI601" i="50"/>
  <c r="AL601" i="50" s="1"/>
  <c r="AJ633" i="50"/>
  <c r="AM633" i="50" s="1"/>
  <c r="AK633" i="50"/>
  <c r="AI633" i="50"/>
  <c r="AH633" i="50"/>
  <c r="AJ598" i="50"/>
  <c r="AM598" i="50" s="1"/>
  <c r="AK598" i="50"/>
  <c r="AI598" i="50"/>
  <c r="AH598" i="50"/>
  <c r="AO598" i="50"/>
  <c r="AJ662" i="50"/>
  <c r="AK662" i="50"/>
  <c r="AI662" i="50"/>
  <c r="AL662" i="50" s="1"/>
  <c r="AH662" i="50"/>
  <c r="AJ299" i="50"/>
  <c r="AK299" i="50"/>
  <c r="AI299" i="50"/>
  <c r="AH299" i="50"/>
  <c r="AK311" i="50"/>
  <c r="AI311" i="50"/>
  <c r="AJ311" i="50"/>
  <c r="AH311" i="50"/>
  <c r="AJ308" i="50"/>
  <c r="AK308" i="50"/>
  <c r="AI308" i="50"/>
  <c r="AH308" i="50"/>
  <c r="AK413" i="50"/>
  <c r="AI413" i="50"/>
  <c r="AJ413" i="50"/>
  <c r="AH413" i="50"/>
  <c r="AK450" i="50"/>
  <c r="AJ450" i="50"/>
  <c r="AI450" i="50"/>
  <c r="AH450" i="50"/>
  <c r="AK482" i="50"/>
  <c r="AJ482" i="50"/>
  <c r="AI482" i="50"/>
  <c r="AH482" i="50"/>
  <c r="AI432" i="50"/>
  <c r="AK432" i="50"/>
  <c r="AJ432" i="50"/>
  <c r="AH432" i="50"/>
  <c r="AI464" i="50"/>
  <c r="AK464" i="50"/>
  <c r="AJ464" i="50"/>
  <c r="AH464" i="50"/>
  <c r="AI496" i="50"/>
  <c r="AK496" i="50"/>
  <c r="AJ496" i="50"/>
  <c r="AH496" i="50"/>
  <c r="AO496" i="50"/>
  <c r="AK463" i="50"/>
  <c r="AI463" i="50"/>
  <c r="AJ463" i="50"/>
  <c r="AM463" i="50" s="1"/>
  <c r="AK495" i="50"/>
  <c r="AI495" i="50"/>
  <c r="AJ495" i="50"/>
  <c r="AH495" i="50"/>
  <c r="AI575" i="50"/>
  <c r="AJ575" i="50"/>
  <c r="AM575" i="50" s="1"/>
  <c r="AK575" i="50"/>
  <c r="AH575" i="50"/>
  <c r="AJ576" i="50"/>
  <c r="AM576" i="50" s="1"/>
  <c r="AI576" i="50"/>
  <c r="AK576" i="50"/>
  <c r="AH576" i="50"/>
  <c r="AJ539" i="50"/>
  <c r="AK539" i="50"/>
  <c r="AI539" i="50"/>
  <c r="AH539" i="50"/>
  <c r="AJ527" i="50"/>
  <c r="AI527" i="50"/>
  <c r="AK527" i="50"/>
  <c r="AH527" i="50"/>
  <c r="AI554" i="50"/>
  <c r="AJ554" i="50"/>
  <c r="AK554" i="50"/>
  <c r="AH554" i="50"/>
  <c r="AK596" i="50"/>
  <c r="AJ596" i="50"/>
  <c r="AM596" i="50" s="1"/>
  <c r="AI596" i="50"/>
  <c r="AH596" i="50"/>
  <c r="AJ602" i="50"/>
  <c r="AM602" i="50" s="1"/>
  <c r="AK602" i="50"/>
  <c r="AI602" i="50"/>
  <c r="AH602" i="50"/>
  <c r="AK595" i="50"/>
  <c r="AJ595" i="50"/>
  <c r="AM595" i="50" s="1"/>
  <c r="AI595" i="50"/>
  <c r="AL595" i="50" s="1"/>
  <c r="AK627" i="50"/>
  <c r="AJ627" i="50"/>
  <c r="AM627" i="50" s="1"/>
  <c r="AI627" i="50"/>
  <c r="AH627" i="50"/>
  <c r="AK659" i="50"/>
  <c r="AJ659" i="50"/>
  <c r="AM659" i="50" s="1"/>
  <c r="AI659" i="50"/>
  <c r="AH659" i="50"/>
  <c r="AI292" i="50"/>
  <c r="AK292" i="50"/>
  <c r="AJ292" i="50"/>
  <c r="AO292" i="50"/>
  <c r="AH292" i="50"/>
  <c r="AI282" i="50"/>
  <c r="AJ282" i="50"/>
  <c r="AK282" i="50"/>
  <c r="AH282" i="50"/>
  <c r="AI310" i="50"/>
  <c r="AJ310" i="50"/>
  <c r="AK310" i="50"/>
  <c r="AO310" i="50"/>
  <c r="AH310" i="50"/>
  <c r="AJ346" i="50"/>
  <c r="AK346" i="50"/>
  <c r="AI346" i="50"/>
  <c r="AH346" i="50"/>
  <c r="AO346" i="50"/>
  <c r="AI427" i="50"/>
  <c r="AJ427" i="50"/>
  <c r="AK427" i="50"/>
  <c r="AK429" i="50"/>
  <c r="AI429" i="50"/>
  <c r="AJ429" i="50"/>
  <c r="AH429" i="50"/>
  <c r="AK461" i="50"/>
  <c r="AJ461" i="50"/>
  <c r="AI461" i="50"/>
  <c r="AH461" i="50"/>
  <c r="AK493" i="50"/>
  <c r="AN493" i="50" s="1"/>
  <c r="AJ493" i="50"/>
  <c r="AM493" i="50" s="1"/>
  <c r="AI493" i="50"/>
  <c r="AL493" i="50" s="1"/>
  <c r="AI571" i="50"/>
  <c r="AL571" i="50" s="1"/>
  <c r="AJ571" i="50"/>
  <c r="AM571" i="50" s="1"/>
  <c r="AK571" i="50"/>
  <c r="AN571" i="50" s="1"/>
  <c r="AJ572" i="50"/>
  <c r="AM572" i="50" s="1"/>
  <c r="AI572" i="50"/>
  <c r="AK572" i="50"/>
  <c r="AH572" i="50"/>
  <c r="AI577" i="50"/>
  <c r="AL577" i="50" s="1"/>
  <c r="AJ577" i="50"/>
  <c r="AM577" i="50" s="1"/>
  <c r="AK577" i="50"/>
  <c r="AN577" i="50" s="1"/>
  <c r="AI543" i="50"/>
  <c r="AL543" i="50" s="1"/>
  <c r="AJ543" i="50"/>
  <c r="AK543" i="50"/>
  <c r="AH543" i="50"/>
  <c r="AI559" i="50"/>
  <c r="AL559" i="50" s="1"/>
  <c r="AJ559" i="50"/>
  <c r="AK559" i="50"/>
  <c r="AK652" i="50"/>
  <c r="AJ652" i="50"/>
  <c r="AM652" i="50" s="1"/>
  <c r="AI652" i="50"/>
  <c r="AL652" i="50" s="1"/>
  <c r="AO652" i="50"/>
  <c r="AH652" i="50"/>
  <c r="AJ621" i="50"/>
  <c r="AM621" i="50" s="1"/>
  <c r="AK621" i="50"/>
  <c r="AI621" i="50"/>
  <c r="AL621" i="50" s="1"/>
  <c r="AH621" i="50"/>
  <c r="AJ653" i="50"/>
  <c r="AM653" i="50" s="1"/>
  <c r="AK653" i="50"/>
  <c r="AI653" i="50"/>
  <c r="AL653" i="50" s="1"/>
  <c r="AH653" i="50"/>
  <c r="AJ638" i="50"/>
  <c r="AM638" i="50" s="1"/>
  <c r="AK638" i="50"/>
  <c r="AI638" i="50"/>
  <c r="AL638" i="50" s="1"/>
  <c r="AH638" i="50"/>
  <c r="AK406" i="50"/>
  <c r="AI406" i="50"/>
  <c r="AJ406" i="50"/>
  <c r="AM406" i="50" s="1"/>
  <c r="AH406" i="50"/>
  <c r="AO406" i="50"/>
  <c r="AI390" i="50"/>
  <c r="AJ390" i="50"/>
  <c r="AK390" i="50"/>
  <c r="AH390" i="50"/>
  <c r="AI408" i="50"/>
  <c r="AK408" i="50"/>
  <c r="AJ408" i="50"/>
  <c r="AH408" i="50"/>
  <c r="AI412" i="50"/>
  <c r="AJ412" i="50"/>
  <c r="AK412" i="50"/>
  <c r="AO412" i="50"/>
  <c r="AH412" i="50"/>
  <c r="AI393" i="50"/>
  <c r="AK393" i="50"/>
  <c r="AJ393" i="50"/>
  <c r="AH393" i="50"/>
  <c r="AI404" i="50"/>
  <c r="AK404" i="50"/>
  <c r="AJ404" i="50"/>
  <c r="AH404" i="50"/>
  <c r="AK388" i="50"/>
  <c r="AI388" i="50"/>
  <c r="AJ388" i="50"/>
  <c r="AM388" i="50" s="1"/>
  <c r="AO388" i="50"/>
  <c r="AH388" i="50"/>
  <c r="AI399" i="50"/>
  <c r="AJ399" i="50"/>
  <c r="AM399" i="50" s="1"/>
  <c r="AK399" i="50"/>
  <c r="AH399" i="50"/>
  <c r="AI383" i="50"/>
  <c r="AJ383" i="50"/>
  <c r="AK383" i="50"/>
  <c r="AH383" i="50"/>
  <c r="AK376" i="50"/>
  <c r="AI376" i="50"/>
  <c r="AJ376" i="50"/>
  <c r="AM376" i="50" s="1"/>
  <c r="AO376" i="50"/>
  <c r="AH376" i="50"/>
  <c r="AJ372" i="50"/>
  <c r="AM372" i="50" s="1"/>
  <c r="AK372" i="50"/>
  <c r="AI372" i="50"/>
  <c r="AH372" i="50"/>
  <c r="AI368" i="50"/>
  <c r="AJ368" i="50"/>
  <c r="AM368" i="50" s="1"/>
  <c r="AK368" i="50"/>
  <c r="AH368" i="50"/>
  <c r="AI364" i="50"/>
  <c r="AJ364" i="50"/>
  <c r="AK364" i="50"/>
  <c r="AO364" i="50"/>
  <c r="AH364" i="50"/>
  <c r="AI360" i="50"/>
  <c r="AJ360" i="50"/>
  <c r="AK360" i="50"/>
  <c r="AH360" i="50"/>
  <c r="AI356" i="50"/>
  <c r="AK356" i="50"/>
  <c r="AJ356" i="50"/>
  <c r="AH356" i="50"/>
  <c r="AI352" i="50"/>
  <c r="AJ352" i="50"/>
  <c r="AK352" i="50"/>
  <c r="AO352" i="50"/>
  <c r="AH352" i="50"/>
  <c r="AI344" i="50"/>
  <c r="AJ344" i="50"/>
  <c r="AK344" i="50"/>
  <c r="AH344" i="50"/>
  <c r="AI340" i="50"/>
  <c r="AJ340" i="50"/>
  <c r="AK340" i="50"/>
  <c r="AH340" i="50"/>
  <c r="AO340" i="50"/>
  <c r="AI336" i="50"/>
  <c r="AK336" i="50"/>
  <c r="AJ336" i="50"/>
  <c r="AM336" i="50" s="1"/>
  <c r="AH336" i="50"/>
  <c r="AI332" i="50"/>
  <c r="AJ332" i="50"/>
  <c r="AK332" i="50"/>
  <c r="AH332" i="50"/>
  <c r="AI328" i="50"/>
  <c r="AK328" i="50"/>
  <c r="AJ328" i="50"/>
  <c r="AM328" i="50" s="1"/>
  <c r="AH328" i="50"/>
  <c r="AO328" i="50"/>
  <c r="AI324" i="50"/>
  <c r="AK324" i="50"/>
  <c r="AJ324" i="50"/>
  <c r="AM324" i="50" s="1"/>
  <c r="AH324" i="50"/>
  <c r="AK315" i="50"/>
  <c r="AJ315" i="50"/>
  <c r="AM315" i="50" s="1"/>
  <c r="AI315" i="50"/>
  <c r="AH315" i="50"/>
  <c r="AK454" i="50"/>
  <c r="AI454" i="50"/>
  <c r="AJ454" i="50"/>
  <c r="AH454" i="50"/>
  <c r="AO454" i="50"/>
  <c r="AI444" i="50"/>
  <c r="AJ444" i="50"/>
  <c r="AK444" i="50"/>
  <c r="AH444" i="50"/>
  <c r="AI467" i="50"/>
  <c r="AK467" i="50"/>
  <c r="AJ467" i="50"/>
  <c r="AH467" i="50"/>
  <c r="AJ568" i="50"/>
  <c r="AM568" i="50" s="1"/>
  <c r="AK568" i="50"/>
  <c r="AI568" i="50"/>
  <c r="AO568" i="50"/>
  <c r="AH568" i="50"/>
  <c r="AJ535" i="50"/>
  <c r="AI535" i="50"/>
  <c r="AL535" i="50" s="1"/>
  <c r="AK535" i="50"/>
  <c r="AJ594" i="50"/>
  <c r="AM594" i="50" s="1"/>
  <c r="AK594" i="50"/>
  <c r="AI594" i="50"/>
  <c r="AH594" i="50"/>
  <c r="AI294" i="50"/>
  <c r="AK294" i="50"/>
  <c r="AJ294" i="50"/>
  <c r="AM294" i="50" s="1"/>
  <c r="AH294" i="50"/>
  <c r="AK417" i="50"/>
  <c r="AI417" i="50"/>
  <c r="AJ417" i="50"/>
  <c r="AH417" i="50"/>
  <c r="AK497" i="50"/>
  <c r="AJ497" i="50"/>
  <c r="AI497" i="50"/>
  <c r="AH497" i="50"/>
  <c r="AK533" i="50"/>
  <c r="AI533" i="50"/>
  <c r="AJ533" i="50"/>
  <c r="AH533" i="50"/>
  <c r="AI557" i="50"/>
  <c r="AL557" i="50" s="1"/>
  <c r="AK557" i="50"/>
  <c r="AJ557" i="50"/>
  <c r="AH557" i="50"/>
  <c r="AI288" i="50"/>
  <c r="AJ288" i="50"/>
  <c r="AK288" i="50"/>
  <c r="AH288" i="50"/>
  <c r="AI289" i="50"/>
  <c r="AL289" i="50" s="1"/>
  <c r="AJ289" i="50"/>
  <c r="AM289" i="50" s="1"/>
  <c r="AK289" i="50"/>
  <c r="AN289" i="50" s="1"/>
  <c r="AK466" i="50"/>
  <c r="AJ466" i="50"/>
  <c r="AI466" i="50"/>
  <c r="AH466" i="50"/>
  <c r="AO466" i="50"/>
  <c r="AI480" i="50"/>
  <c r="AJ480" i="50"/>
  <c r="AK480" i="50"/>
  <c r="AH480" i="50"/>
  <c r="AK528" i="50"/>
  <c r="AJ528" i="50"/>
  <c r="AI528" i="50"/>
  <c r="AH528" i="50"/>
  <c r="AI518" i="50"/>
  <c r="AL518" i="50" s="1"/>
  <c r="AK518" i="50"/>
  <c r="AJ518" i="50"/>
  <c r="AH518" i="50"/>
  <c r="AJ562" i="50"/>
  <c r="AI562" i="50"/>
  <c r="AK562" i="50"/>
  <c r="AO562" i="50"/>
  <c r="AH562" i="50"/>
  <c r="AJ634" i="50"/>
  <c r="AK634" i="50"/>
  <c r="AI634" i="50"/>
  <c r="AH634" i="50"/>
  <c r="AO634" i="50"/>
  <c r="AK643" i="50"/>
  <c r="AJ643" i="50"/>
  <c r="AM643" i="50" s="1"/>
  <c r="AI643" i="50"/>
  <c r="AL643" i="50" s="1"/>
  <c r="AJ313" i="50"/>
  <c r="AM313" i="50" s="1"/>
  <c r="AK313" i="50"/>
  <c r="AI313" i="50"/>
  <c r="AL313" i="50" s="1"/>
  <c r="AK409" i="50"/>
  <c r="AN409" i="50" s="1"/>
  <c r="AI409" i="50"/>
  <c r="AL409" i="50" s="1"/>
  <c r="AJ409" i="50"/>
  <c r="AM409" i="50" s="1"/>
  <c r="AK477" i="50"/>
  <c r="AJ477" i="50"/>
  <c r="AI477" i="50"/>
  <c r="AH477" i="50"/>
  <c r="AK509" i="50"/>
  <c r="AJ509" i="50"/>
  <c r="AI509" i="50"/>
  <c r="AL509" i="50" s="1"/>
  <c r="AH509" i="50"/>
  <c r="AI551" i="50"/>
  <c r="AL551" i="50" s="1"/>
  <c r="AJ551" i="50"/>
  <c r="AK551" i="50"/>
  <c r="AH551" i="50"/>
  <c r="AJ606" i="50"/>
  <c r="AM606" i="50" s="1"/>
  <c r="AK606" i="50"/>
  <c r="AI606" i="50"/>
  <c r="AL606" i="50" s="1"/>
  <c r="AH606" i="50"/>
  <c r="AK632" i="50"/>
  <c r="AJ632" i="50"/>
  <c r="AM632" i="50" s="1"/>
  <c r="AI632" i="50"/>
  <c r="AL632" i="50" s="1"/>
  <c r="AH632" i="50"/>
  <c r="AJ410" i="50"/>
  <c r="AM410" i="50" s="1"/>
  <c r="AK410" i="50"/>
  <c r="AI410" i="50"/>
  <c r="AH410" i="50"/>
  <c r="AJ396" i="50"/>
  <c r="AM396" i="50" s="1"/>
  <c r="AK396" i="50"/>
  <c r="AI396" i="50"/>
  <c r="AH396" i="50"/>
  <c r="AI378" i="50"/>
  <c r="AJ378" i="50"/>
  <c r="AM378" i="50" s="1"/>
  <c r="AK378" i="50"/>
  <c r="AH378" i="50"/>
  <c r="AI370" i="50"/>
  <c r="AJ370" i="50"/>
  <c r="AM370" i="50" s="1"/>
  <c r="AK370" i="50"/>
  <c r="AH370" i="50"/>
  <c r="AO370" i="50"/>
  <c r="AI362" i="50"/>
  <c r="AJ362" i="50"/>
  <c r="AK362" i="50"/>
  <c r="AH362" i="50"/>
  <c r="AJ334" i="50"/>
  <c r="AK334" i="50"/>
  <c r="AI334" i="50"/>
  <c r="AH334" i="50"/>
  <c r="AO334" i="50"/>
  <c r="AI286" i="50"/>
  <c r="AJ286" i="50"/>
  <c r="AK286" i="50"/>
  <c r="AH286" i="50"/>
  <c r="AO286" i="50"/>
  <c r="AK319" i="50"/>
  <c r="AI319" i="50"/>
  <c r="AL319" i="50" s="1"/>
  <c r="AJ319" i="50"/>
  <c r="AM319" i="50" s="1"/>
  <c r="AK438" i="50"/>
  <c r="AI438" i="50"/>
  <c r="AJ438" i="50"/>
  <c r="AH438" i="50"/>
  <c r="AK503" i="50"/>
  <c r="AJ503" i="50"/>
  <c r="AI503" i="50"/>
  <c r="AH503" i="50"/>
  <c r="AK492" i="50"/>
  <c r="AJ492" i="50"/>
  <c r="AI492" i="50"/>
  <c r="AH492" i="50"/>
  <c r="AI451" i="50"/>
  <c r="AK451" i="50"/>
  <c r="AN451" i="50" s="1"/>
  <c r="AJ451" i="50"/>
  <c r="AI536" i="50"/>
  <c r="AL536" i="50" s="1"/>
  <c r="AK536" i="50"/>
  <c r="AJ536" i="50"/>
  <c r="AH536" i="50"/>
  <c r="AK513" i="50"/>
  <c r="AI513" i="50"/>
  <c r="AJ513" i="50"/>
  <c r="AH513" i="50"/>
  <c r="AJ589" i="50"/>
  <c r="AM589" i="50" s="1"/>
  <c r="AI589" i="50"/>
  <c r="AL589" i="50" s="1"/>
  <c r="AK589" i="50"/>
  <c r="AN589" i="50" s="1"/>
  <c r="AI548" i="50"/>
  <c r="AL548" i="50" s="1"/>
  <c r="AK548" i="50"/>
  <c r="AJ548" i="50"/>
  <c r="AH548" i="50"/>
  <c r="AK620" i="50"/>
  <c r="AJ620" i="50"/>
  <c r="AM620" i="50" s="1"/>
  <c r="AI620" i="50"/>
  <c r="AL620" i="50" s="1"/>
  <c r="AH620" i="50"/>
  <c r="AJ658" i="50"/>
  <c r="AM658" i="50" s="1"/>
  <c r="AK658" i="50"/>
  <c r="AI658" i="50"/>
  <c r="AL658" i="50" s="1"/>
  <c r="AH658" i="50"/>
  <c r="AO658" i="50"/>
  <c r="AK639" i="50"/>
  <c r="AJ639" i="50"/>
  <c r="AI639" i="50"/>
  <c r="AH639" i="50"/>
  <c r="AK636" i="50"/>
  <c r="AJ636" i="50"/>
  <c r="AI636" i="50"/>
  <c r="AH636" i="50"/>
  <c r="AI297" i="50"/>
  <c r="AK297" i="50"/>
  <c r="AJ297" i="50"/>
  <c r="AM297" i="50" s="1"/>
  <c r="AH297" i="50"/>
  <c r="AK307" i="50"/>
  <c r="AN307" i="50" s="1"/>
  <c r="AJ307" i="50"/>
  <c r="AM307" i="50" s="1"/>
  <c r="AI307" i="50"/>
  <c r="AJ304" i="50"/>
  <c r="AK304" i="50"/>
  <c r="AI304" i="50"/>
  <c r="AO304" i="50"/>
  <c r="AH304" i="50"/>
  <c r="AJ415" i="50"/>
  <c r="AM415" i="50" s="1"/>
  <c r="AK415" i="50"/>
  <c r="AI415" i="50"/>
  <c r="AK446" i="50"/>
  <c r="AI446" i="50"/>
  <c r="AJ446" i="50"/>
  <c r="AH446" i="50"/>
  <c r="AK478" i="50"/>
  <c r="AI478" i="50"/>
  <c r="AL478" i="50" s="1"/>
  <c r="AJ478" i="50"/>
  <c r="AH478" i="50"/>
  <c r="AO478" i="50"/>
  <c r="AI436" i="50"/>
  <c r="AJ436" i="50"/>
  <c r="AK436" i="50"/>
  <c r="AH436" i="50"/>
  <c r="AO436" i="50"/>
  <c r="AJ468" i="50"/>
  <c r="AI468" i="50"/>
  <c r="AK468" i="50"/>
  <c r="AH468" i="50"/>
  <c r="AK501" i="50"/>
  <c r="AJ501" i="50"/>
  <c r="AI501" i="50"/>
  <c r="AH501" i="50"/>
  <c r="AI459" i="50"/>
  <c r="AK459" i="50"/>
  <c r="AJ459" i="50"/>
  <c r="AH459" i="50"/>
  <c r="AK491" i="50"/>
  <c r="AI491" i="50"/>
  <c r="AJ491" i="50"/>
  <c r="AH491" i="50"/>
  <c r="AI540" i="50"/>
  <c r="AJ540" i="50"/>
  <c r="AK540" i="50"/>
  <c r="AH540" i="50"/>
  <c r="AK529" i="50"/>
  <c r="AN529" i="50" s="1"/>
  <c r="AI529" i="50"/>
  <c r="AL529" i="50" s="1"/>
  <c r="AJ529" i="50"/>
  <c r="AM529" i="50" s="1"/>
  <c r="AI526" i="50"/>
  <c r="AK526" i="50"/>
  <c r="AJ526" i="50"/>
  <c r="AO526" i="50"/>
  <c r="AH526" i="50"/>
  <c r="AJ519" i="50"/>
  <c r="AI519" i="50"/>
  <c r="AK519" i="50"/>
  <c r="AH519" i="50"/>
  <c r="AI552" i="50"/>
  <c r="AJ552" i="50"/>
  <c r="AK552" i="50"/>
  <c r="AH552" i="50"/>
  <c r="AJ586" i="50"/>
  <c r="AM586" i="50" s="1"/>
  <c r="AI586" i="50"/>
  <c r="AK586" i="50"/>
  <c r="AO586" i="50"/>
  <c r="AH586" i="50"/>
  <c r="AK656" i="50"/>
  <c r="AJ656" i="50"/>
  <c r="AM656" i="50" s="1"/>
  <c r="AI656" i="50"/>
  <c r="AL656" i="50" s="1"/>
  <c r="AH656" i="50"/>
  <c r="AJ626" i="50"/>
  <c r="AK626" i="50"/>
  <c r="AI626" i="50"/>
  <c r="AL626" i="50" s="1"/>
  <c r="AH626" i="50"/>
  <c r="AK615" i="50"/>
  <c r="AJ615" i="50"/>
  <c r="AM615" i="50" s="1"/>
  <c r="AI615" i="50"/>
  <c r="AL615" i="50" s="1"/>
  <c r="AH615" i="50"/>
  <c r="AK647" i="50"/>
  <c r="AJ647" i="50"/>
  <c r="AM647" i="50" s="1"/>
  <c r="AI647" i="50"/>
  <c r="AL647" i="50" s="1"/>
  <c r="AH647" i="50"/>
  <c r="AI284" i="50"/>
  <c r="AJ284" i="50"/>
  <c r="AM284" i="50" s="1"/>
  <c r="AK284" i="50"/>
  <c r="AH284" i="50"/>
  <c r="AI274" i="50"/>
  <c r="AJ274" i="50"/>
  <c r="AM274" i="50" s="1"/>
  <c r="AK274" i="50"/>
  <c r="AH274" i="50"/>
  <c r="AO274" i="50"/>
  <c r="AI281" i="50"/>
  <c r="AJ281" i="50"/>
  <c r="AK281" i="50"/>
  <c r="AH281" i="50"/>
  <c r="AI349" i="50"/>
  <c r="AL349" i="50" s="1"/>
  <c r="AJ349" i="50"/>
  <c r="AM349" i="50" s="1"/>
  <c r="AK349" i="50"/>
  <c r="AN349" i="50" s="1"/>
  <c r="AJ431" i="50"/>
  <c r="AK431" i="50"/>
  <c r="AI431" i="50"/>
  <c r="AH431" i="50"/>
  <c r="AK457" i="50"/>
  <c r="AN457" i="50" s="1"/>
  <c r="AJ457" i="50"/>
  <c r="AM457" i="50" s="1"/>
  <c r="AI457" i="50"/>
  <c r="AL457" i="50" s="1"/>
  <c r="AK489" i="50"/>
  <c r="AI489" i="50"/>
  <c r="AJ489" i="50"/>
  <c r="AH489" i="50"/>
  <c r="AJ508" i="50"/>
  <c r="AK508" i="50"/>
  <c r="AI508" i="50"/>
  <c r="AO508" i="50"/>
  <c r="AH508" i="50"/>
  <c r="AK517" i="50"/>
  <c r="AN517" i="50" s="1"/>
  <c r="AJ517" i="50"/>
  <c r="AM517" i="50" s="1"/>
  <c r="AI517" i="50"/>
  <c r="AL517" i="50" s="1"/>
  <c r="AI530" i="50"/>
  <c r="AJ530" i="50"/>
  <c r="AK530" i="50"/>
  <c r="AH530" i="50"/>
  <c r="AJ523" i="50"/>
  <c r="AI523" i="50"/>
  <c r="AL523" i="50" s="1"/>
  <c r="AK523" i="50"/>
  <c r="AN523" i="50" s="1"/>
  <c r="AI553" i="50"/>
  <c r="AL553" i="50" s="1"/>
  <c r="AK553" i="50"/>
  <c r="AN553" i="50" s="1"/>
  <c r="AJ553" i="50"/>
  <c r="AI582" i="50"/>
  <c r="AL582" i="50" s="1"/>
  <c r="AJ582" i="50"/>
  <c r="AM582" i="50" s="1"/>
  <c r="AK582" i="50"/>
  <c r="AH582" i="50"/>
  <c r="AJ609" i="50"/>
  <c r="AM609" i="50" s="1"/>
  <c r="AK609" i="50"/>
  <c r="AI609" i="50"/>
  <c r="AL609" i="50" s="1"/>
  <c r="AH609" i="50"/>
  <c r="AJ641" i="50"/>
  <c r="AM641" i="50" s="1"/>
  <c r="AK641" i="50"/>
  <c r="AI641" i="50"/>
  <c r="AL641" i="50" s="1"/>
  <c r="AH641" i="50"/>
  <c r="AJ614" i="50"/>
  <c r="AM614" i="50" s="1"/>
  <c r="AK614" i="50"/>
  <c r="AI614" i="50"/>
  <c r="AL614" i="50" s="1"/>
  <c r="AH614" i="50"/>
  <c r="AK640" i="50"/>
  <c r="AJ640" i="50"/>
  <c r="AM640" i="50" s="1"/>
  <c r="AI640" i="50"/>
  <c r="AO640" i="50"/>
  <c r="AH640" i="50"/>
  <c r="AJ283" i="50"/>
  <c r="AK283" i="50"/>
  <c r="AI283" i="50"/>
  <c r="AK320" i="50"/>
  <c r="AI320" i="50"/>
  <c r="AJ320" i="50"/>
  <c r="AH320" i="50"/>
  <c r="AK316" i="50"/>
  <c r="AJ316" i="50"/>
  <c r="AI316" i="50"/>
  <c r="AO316" i="50"/>
  <c r="AH316" i="50"/>
  <c r="AI423" i="50"/>
  <c r="AJ423" i="50"/>
  <c r="AK423" i="50"/>
  <c r="AH423" i="50"/>
  <c r="AK458" i="50"/>
  <c r="AJ458" i="50"/>
  <c r="AI458" i="50"/>
  <c r="AH458" i="50"/>
  <c r="AK490" i="50"/>
  <c r="AJ490" i="50"/>
  <c r="AI490" i="50"/>
  <c r="AH490" i="50"/>
  <c r="AO490" i="50"/>
  <c r="AI440" i="50"/>
  <c r="AJ440" i="50"/>
  <c r="AK440" i="50"/>
  <c r="AH440" i="50"/>
  <c r="AI472" i="50"/>
  <c r="AJ472" i="50"/>
  <c r="AK472" i="50"/>
  <c r="AH472" i="50"/>
  <c r="AO472" i="50"/>
  <c r="AK439" i="50"/>
  <c r="AI439" i="50"/>
  <c r="AJ439" i="50"/>
  <c r="AM439" i="50" s="1"/>
  <c r="AK471" i="50"/>
  <c r="AJ471" i="50"/>
  <c r="AI471" i="50"/>
  <c r="AH471" i="50"/>
  <c r="AJ512" i="50"/>
  <c r="AI512" i="50"/>
  <c r="AK512" i="50"/>
  <c r="AH512" i="50"/>
  <c r="AI591" i="50"/>
  <c r="AJ591" i="50"/>
  <c r="AM591" i="50" s="1"/>
  <c r="AK591" i="50"/>
  <c r="AH591" i="50"/>
  <c r="AJ592" i="50"/>
  <c r="AM592" i="50" s="1"/>
  <c r="AK592" i="50"/>
  <c r="AI592" i="50"/>
  <c r="AO592" i="50"/>
  <c r="AH592" i="50"/>
  <c r="AJ565" i="50"/>
  <c r="AM565" i="50" s="1"/>
  <c r="AI565" i="50"/>
  <c r="AL565" i="50" s="1"/>
  <c r="AK565" i="50"/>
  <c r="AN565" i="50" s="1"/>
  <c r="AI542" i="50"/>
  <c r="AK542" i="50"/>
  <c r="AJ542" i="50"/>
  <c r="AH542" i="50"/>
  <c r="AI558" i="50"/>
  <c r="AK558" i="50"/>
  <c r="AJ558" i="50"/>
  <c r="AH558" i="50"/>
  <c r="AK604" i="50"/>
  <c r="AJ604" i="50"/>
  <c r="AM604" i="50" s="1"/>
  <c r="AI604" i="50"/>
  <c r="AO604" i="50"/>
  <c r="AH604" i="50"/>
  <c r="AJ618" i="50"/>
  <c r="AK618" i="50"/>
  <c r="AI618" i="50"/>
  <c r="AL618" i="50" s="1"/>
  <c r="AH618" i="50"/>
  <c r="AK603" i="50"/>
  <c r="AJ603" i="50"/>
  <c r="AM603" i="50" s="1"/>
  <c r="AI603" i="50"/>
  <c r="AL603" i="50" s="1"/>
  <c r="AH603" i="50"/>
  <c r="AK635" i="50"/>
  <c r="AJ635" i="50"/>
  <c r="AI635" i="50"/>
  <c r="AL635" i="50" s="1"/>
  <c r="AH635" i="50"/>
  <c r="AK612" i="50"/>
  <c r="AJ612" i="50"/>
  <c r="AM612" i="50" s="1"/>
  <c r="AI612" i="50"/>
  <c r="AL612" i="50" s="1"/>
  <c r="AH612" i="50"/>
  <c r="AI296" i="50"/>
  <c r="AK296" i="50"/>
  <c r="AJ296" i="50"/>
  <c r="AM296" i="50" s="1"/>
  <c r="AH296" i="50"/>
  <c r="AJ305" i="50"/>
  <c r="AM305" i="50" s="1"/>
  <c r="AK305" i="50"/>
  <c r="AI305" i="50"/>
  <c r="AH305" i="50"/>
  <c r="AI318" i="50"/>
  <c r="AJ318" i="50"/>
  <c r="AK318" i="50"/>
  <c r="AH318" i="50"/>
  <c r="AJ347" i="50"/>
  <c r="AK347" i="50"/>
  <c r="AI347" i="50"/>
  <c r="AH347" i="50"/>
  <c r="AK411" i="50"/>
  <c r="AJ411" i="50"/>
  <c r="AM411" i="50" s="1"/>
  <c r="AI411" i="50"/>
  <c r="AH411" i="50"/>
  <c r="AK437" i="50"/>
  <c r="AJ437" i="50"/>
  <c r="AI437" i="50"/>
  <c r="AH437" i="50"/>
  <c r="AK469" i="50"/>
  <c r="AN469" i="50" s="1"/>
  <c r="AJ469" i="50"/>
  <c r="AM469" i="50" s="1"/>
  <c r="AI469" i="50"/>
  <c r="AL469" i="50" s="1"/>
  <c r="AI504" i="50"/>
  <c r="AJ504" i="50"/>
  <c r="AK504" i="50"/>
  <c r="AH504" i="50"/>
  <c r="AI587" i="50"/>
  <c r="AK587" i="50"/>
  <c r="AJ587" i="50"/>
  <c r="AM587" i="50" s="1"/>
  <c r="AH587" i="50"/>
  <c r="AJ588" i="50"/>
  <c r="AM588" i="50" s="1"/>
  <c r="AI588" i="50"/>
  <c r="AK588" i="50"/>
  <c r="AH588" i="50"/>
  <c r="AI593" i="50"/>
  <c r="AJ593" i="50"/>
  <c r="AM593" i="50" s="1"/>
  <c r="AK593" i="50"/>
  <c r="AH593" i="50"/>
  <c r="AI547" i="50"/>
  <c r="AL547" i="50" s="1"/>
  <c r="AJ547" i="50"/>
  <c r="AM547" i="50" s="1"/>
  <c r="AK547" i="50"/>
  <c r="AI574" i="50"/>
  <c r="AJ574" i="50"/>
  <c r="AM574" i="50" s="1"/>
  <c r="AK574" i="50"/>
  <c r="AO574" i="50"/>
  <c r="AH574" i="50"/>
  <c r="AJ597" i="50"/>
  <c r="AM597" i="50" s="1"/>
  <c r="AK597" i="50"/>
  <c r="AI597" i="50"/>
  <c r="AH597" i="50"/>
  <c r="AJ629" i="50"/>
  <c r="AK629" i="50"/>
  <c r="AI629" i="50"/>
  <c r="AH629" i="50"/>
  <c r="AJ661" i="50"/>
  <c r="AM661" i="50" s="1"/>
  <c r="AK661" i="50"/>
  <c r="AN661" i="50" s="1"/>
  <c r="AI661" i="50"/>
  <c r="AL661" i="50" s="1"/>
  <c r="AJ654" i="50"/>
  <c r="AM654" i="50" s="1"/>
  <c r="AK654" i="50"/>
  <c r="AI654" i="50"/>
  <c r="AH654" i="50"/>
  <c r="AI402" i="50"/>
  <c r="AJ402" i="50"/>
  <c r="AK402" i="50"/>
  <c r="AH402" i="50"/>
  <c r="AI386" i="50"/>
  <c r="AJ386" i="50"/>
  <c r="AK386" i="50"/>
  <c r="AH386" i="50"/>
  <c r="AK418" i="50"/>
  <c r="AI418" i="50"/>
  <c r="AJ418" i="50"/>
  <c r="AH418" i="50"/>
  <c r="AO418" i="50"/>
  <c r="AK405" i="50"/>
  <c r="AI405" i="50"/>
  <c r="AJ405" i="50"/>
  <c r="AH405" i="50"/>
  <c r="AK389" i="50"/>
  <c r="AI389" i="50"/>
  <c r="AJ389" i="50"/>
  <c r="AH389" i="50"/>
  <c r="AK400" i="50"/>
  <c r="AI400" i="50"/>
  <c r="AJ400" i="50"/>
  <c r="AH400" i="50"/>
  <c r="AO400" i="50"/>
  <c r="AK384" i="50"/>
  <c r="AI384" i="50"/>
  <c r="AJ384" i="50"/>
  <c r="AM384" i="50" s="1"/>
  <c r="AH384" i="50"/>
  <c r="AI395" i="50"/>
  <c r="AJ395" i="50"/>
  <c r="AM395" i="50" s="1"/>
  <c r="AK395" i="50"/>
  <c r="AH395" i="50"/>
  <c r="AI379" i="50"/>
  <c r="AJ379" i="50"/>
  <c r="AM379" i="50" s="1"/>
  <c r="AK379" i="50"/>
  <c r="AN379" i="50" s="1"/>
  <c r="AI375" i="50"/>
  <c r="AK375" i="50"/>
  <c r="AJ375" i="50"/>
  <c r="AH375" i="50"/>
  <c r="AI371" i="50"/>
  <c r="AK371" i="50"/>
  <c r="AJ371" i="50"/>
  <c r="AH371" i="50"/>
  <c r="AI367" i="50"/>
  <c r="AJ367" i="50"/>
  <c r="AM367" i="50" s="1"/>
  <c r="AK367" i="50"/>
  <c r="AI363" i="50"/>
  <c r="AJ363" i="50"/>
  <c r="AK363" i="50"/>
  <c r="AH363" i="50"/>
  <c r="AI359" i="50"/>
  <c r="AJ359" i="50"/>
  <c r="AK359" i="50"/>
  <c r="AH359" i="50"/>
  <c r="AI355" i="50"/>
  <c r="AL355" i="50" s="1"/>
  <c r="AJ355" i="50"/>
  <c r="AM355" i="50" s="1"/>
  <c r="AK355" i="50"/>
  <c r="AI350" i="50"/>
  <c r="AK350" i="50"/>
  <c r="AJ350" i="50"/>
  <c r="AM350" i="50" s="1"/>
  <c r="AH350" i="50"/>
  <c r="AI343" i="50"/>
  <c r="AL343" i="50" s="1"/>
  <c r="AJ343" i="50"/>
  <c r="AM343" i="50" s="1"/>
  <c r="AK343" i="50"/>
  <c r="AN343" i="50" s="1"/>
  <c r="AI339" i="50"/>
  <c r="AJ339" i="50"/>
  <c r="AK339" i="50"/>
  <c r="AH339" i="50"/>
  <c r="AI335" i="50"/>
  <c r="AJ335" i="50"/>
  <c r="AK335" i="50"/>
  <c r="AH335" i="50"/>
  <c r="AI331" i="50"/>
  <c r="AJ331" i="50"/>
  <c r="AM331" i="50" s="1"/>
  <c r="AK331" i="50"/>
  <c r="AN331" i="50" s="1"/>
  <c r="AI327" i="50"/>
  <c r="AJ327" i="50"/>
  <c r="AK327" i="50"/>
  <c r="AH327" i="50"/>
  <c r="AI290" i="50"/>
  <c r="AJ290" i="50"/>
  <c r="AK290" i="50"/>
  <c r="AH290" i="50"/>
  <c r="AP61" i="50"/>
  <c r="AP274" i="50"/>
  <c r="AP278" i="50"/>
  <c r="AP282" i="50"/>
  <c r="AP286" i="50"/>
  <c r="AP290" i="50"/>
  <c r="AP273" i="50"/>
  <c r="AP277" i="50"/>
  <c r="AP281" i="50"/>
  <c r="AP285" i="50"/>
  <c r="AP289" i="50"/>
  <c r="AP272" i="50"/>
  <c r="AP276" i="50"/>
  <c r="AP280" i="50"/>
  <c r="AP284" i="50"/>
  <c r="AP288" i="50"/>
  <c r="AP292" i="50"/>
  <c r="AP296" i="50"/>
  <c r="AP275" i="50"/>
  <c r="AP283" i="50"/>
  <c r="AP291" i="50"/>
  <c r="AP295" i="50"/>
  <c r="AP299" i="50"/>
  <c r="AP294" i="50"/>
  <c r="AP298" i="50"/>
  <c r="AP279" i="50"/>
  <c r="AP287" i="50"/>
  <c r="AP293" i="50"/>
  <c r="AP297" i="50"/>
  <c r="AP425" i="50"/>
  <c r="AP421" i="50"/>
  <c r="AP422" i="50"/>
  <c r="AP426" i="50"/>
  <c r="AP423" i="50"/>
  <c r="AP427" i="50"/>
  <c r="AP499" i="50"/>
  <c r="AP503" i="50"/>
  <c r="AP505" i="50"/>
  <c r="AP506" i="50"/>
  <c r="AP507" i="50"/>
  <c r="AP508" i="50"/>
  <c r="AP509" i="50"/>
  <c r="AP510" i="50"/>
  <c r="AP511" i="50"/>
  <c r="AP512" i="50"/>
  <c r="AP513" i="50"/>
  <c r="AP514" i="50"/>
  <c r="AP515" i="50"/>
  <c r="AP516" i="50"/>
  <c r="AP517" i="50"/>
  <c r="AP518" i="50"/>
  <c r="AP519" i="50"/>
  <c r="AP520" i="50"/>
  <c r="AP521" i="50"/>
  <c r="AP522" i="50"/>
  <c r="AP523" i="50"/>
  <c r="AP524" i="50"/>
  <c r="AP525" i="50"/>
  <c r="AP526" i="50"/>
  <c r="AP527" i="50"/>
  <c r="AP528" i="50"/>
  <c r="AP529" i="50"/>
  <c r="AP530" i="50"/>
  <c r="AP531" i="50"/>
  <c r="AP532" i="50"/>
  <c r="AP533" i="50"/>
  <c r="AP534" i="50"/>
  <c r="AP535" i="50"/>
  <c r="AP536" i="50"/>
  <c r="AP537" i="50"/>
  <c r="AP538" i="50"/>
  <c r="AP539" i="50"/>
  <c r="AP500" i="50"/>
  <c r="AP504" i="50"/>
  <c r="AP501" i="50"/>
  <c r="AP563" i="50"/>
  <c r="AP567" i="50"/>
  <c r="AP571" i="50"/>
  <c r="AP575" i="50"/>
  <c r="AP579" i="50"/>
  <c r="AP583" i="50"/>
  <c r="AP587" i="50"/>
  <c r="AP591" i="50"/>
  <c r="AP564" i="50"/>
  <c r="AP568" i="50"/>
  <c r="AP572" i="50"/>
  <c r="AP576" i="50"/>
  <c r="AP580" i="50"/>
  <c r="AP584" i="50"/>
  <c r="AP588" i="50"/>
  <c r="AP592" i="50"/>
  <c r="AP540" i="50"/>
  <c r="AP541" i="50"/>
  <c r="AP542" i="50"/>
  <c r="AP543" i="50"/>
  <c r="AP544" i="50"/>
  <c r="AP545" i="50"/>
  <c r="AP546" i="50"/>
  <c r="AP547" i="50"/>
  <c r="AP548" i="50"/>
  <c r="AP549" i="50"/>
  <c r="AP550" i="50"/>
  <c r="AP551" i="50"/>
  <c r="AP552" i="50"/>
  <c r="AP553" i="50"/>
  <c r="AP554" i="50"/>
  <c r="AP555" i="50"/>
  <c r="AP556" i="50"/>
  <c r="AP557" i="50"/>
  <c r="AP558" i="50"/>
  <c r="AP559" i="50"/>
  <c r="AP560" i="50"/>
  <c r="AP561" i="50"/>
  <c r="AP562" i="50"/>
  <c r="AP593" i="50"/>
  <c r="AP663" i="50"/>
  <c r="AP647" i="50"/>
  <c r="AP619" i="50"/>
  <c r="AP662" i="50"/>
  <c r="AP654" i="50"/>
  <c r="AP646" i="50"/>
  <c r="AP638" i="50"/>
  <c r="AP630" i="50"/>
  <c r="AP622" i="50"/>
  <c r="AP614" i="50"/>
  <c r="AP606" i="50"/>
  <c r="AP598" i="50"/>
  <c r="AP586" i="50"/>
  <c r="AP570" i="50"/>
  <c r="AP585" i="50"/>
  <c r="AP569" i="50"/>
  <c r="AP653" i="50"/>
  <c r="AP637" i="50"/>
  <c r="AP621" i="50"/>
  <c r="AP605" i="50"/>
  <c r="AP635" i="50"/>
  <c r="AP607" i="50"/>
  <c r="AP599" i="50"/>
  <c r="AP498" i="50"/>
  <c r="AP496" i="50"/>
  <c r="AP488" i="50"/>
  <c r="AP480" i="50"/>
  <c r="AP472" i="50"/>
  <c r="AP464" i="50"/>
  <c r="AP456" i="50"/>
  <c r="AP448" i="50"/>
  <c r="AP440" i="50"/>
  <c r="AP432" i="50"/>
  <c r="AP497" i="50"/>
  <c r="AP489" i="50"/>
  <c r="AP481" i="50"/>
  <c r="AP473" i="50"/>
  <c r="AP465" i="50"/>
  <c r="AP457" i="50"/>
  <c r="AP449" i="50"/>
  <c r="AP441" i="50"/>
  <c r="AP433" i="50"/>
  <c r="AP491" i="50"/>
  <c r="AP483" i="50"/>
  <c r="AP475" i="50"/>
  <c r="AP467" i="50"/>
  <c r="AP459" i="50"/>
  <c r="AP451" i="50"/>
  <c r="AP443" i="50"/>
  <c r="AP435" i="50"/>
  <c r="AP414" i="50"/>
  <c r="AP398" i="50"/>
  <c r="AP382" i="50"/>
  <c r="AP408" i="50"/>
  <c r="AP391" i="50"/>
  <c r="AP405" i="50"/>
  <c r="AP389" i="50"/>
  <c r="AP362" i="50"/>
  <c r="AP413" i="50"/>
  <c r="AP404" i="50"/>
  <c r="AP388" i="50"/>
  <c r="AP375" i="50"/>
  <c r="AP365" i="50"/>
  <c r="AP356" i="50"/>
  <c r="AP363" i="50"/>
  <c r="AP330" i="50"/>
  <c r="AP347" i="50"/>
  <c r="AP325" i="50"/>
  <c r="AP328" i="50"/>
  <c r="AP345" i="50"/>
  <c r="AP341" i="50"/>
  <c r="AP335" i="50"/>
  <c r="AP312" i="50"/>
  <c r="AP304" i="50"/>
  <c r="AP317" i="50"/>
  <c r="AP309" i="50"/>
  <c r="AP301" i="50"/>
  <c r="AP321" i="50"/>
  <c r="AP659" i="50"/>
  <c r="AP631" i="50"/>
  <c r="AP582" i="50"/>
  <c r="AP566" i="50"/>
  <c r="AP617" i="50"/>
  <c r="AP601" i="50"/>
  <c r="AP581" i="50"/>
  <c r="AP565" i="50"/>
  <c r="AP649" i="50"/>
  <c r="AP633" i="50"/>
  <c r="AP660" i="50"/>
  <c r="AP652" i="50"/>
  <c r="AP644" i="50"/>
  <c r="AP636" i="50"/>
  <c r="AP628" i="50"/>
  <c r="AP620" i="50"/>
  <c r="AP612" i="50"/>
  <c r="AP604" i="50"/>
  <c r="AP596" i="50"/>
  <c r="AP615" i="50"/>
  <c r="AP430" i="50"/>
  <c r="AP490" i="50"/>
  <c r="AP482" i="50"/>
  <c r="AP474" i="50"/>
  <c r="AP466" i="50"/>
  <c r="AP458" i="50"/>
  <c r="AP450" i="50"/>
  <c r="AP442" i="50"/>
  <c r="AP434" i="50"/>
  <c r="AP428" i="50"/>
  <c r="AP420" i="50"/>
  <c r="AP378" i="50"/>
  <c r="AP394" i="50"/>
  <c r="AP418" i="50"/>
  <c r="AP403" i="50"/>
  <c r="AP387" i="50"/>
  <c r="AP401" i="50"/>
  <c r="AP385" i="50"/>
  <c r="AP358" i="50"/>
  <c r="AP419" i="50"/>
  <c r="AP411" i="50"/>
  <c r="AP400" i="50"/>
  <c r="AP384" i="50"/>
  <c r="AP373" i="50"/>
  <c r="AP361" i="50"/>
  <c r="AP368" i="50"/>
  <c r="AP352" i="50"/>
  <c r="AP359" i="50"/>
  <c r="AP326" i="50"/>
  <c r="AP337" i="50"/>
  <c r="AP346" i="50"/>
  <c r="AP324" i="50"/>
  <c r="AP344" i="50"/>
  <c r="AP340" i="50"/>
  <c r="AP331" i="50"/>
  <c r="AP318" i="50"/>
  <c r="AP310" i="50"/>
  <c r="AP302" i="50"/>
  <c r="AP323" i="50"/>
  <c r="AP315" i="50"/>
  <c r="AP307" i="50"/>
  <c r="AP655" i="50"/>
  <c r="AP627" i="50"/>
  <c r="AP595" i="50"/>
  <c r="AP658" i="50"/>
  <c r="AP650" i="50"/>
  <c r="AP642" i="50"/>
  <c r="AP634" i="50"/>
  <c r="AP626" i="50"/>
  <c r="AP618" i="50"/>
  <c r="AP610" i="50"/>
  <c r="AP602" i="50"/>
  <c r="AP594" i="50"/>
  <c r="AP578" i="50"/>
  <c r="AP613" i="50"/>
  <c r="AP597" i="50"/>
  <c r="AP577" i="50"/>
  <c r="AP661" i="50"/>
  <c r="AP645" i="50"/>
  <c r="AP629" i="50"/>
  <c r="AP643" i="50"/>
  <c r="AP611" i="50"/>
  <c r="AP603" i="50"/>
  <c r="AP492" i="50"/>
  <c r="AP484" i="50"/>
  <c r="AP476" i="50"/>
  <c r="AP468" i="50"/>
  <c r="AP460" i="50"/>
  <c r="AP452" i="50"/>
  <c r="AP444" i="50"/>
  <c r="AP436" i="50"/>
  <c r="AP493" i="50"/>
  <c r="AP485" i="50"/>
  <c r="AP477" i="50"/>
  <c r="AP469" i="50"/>
  <c r="AP461" i="50"/>
  <c r="AP453" i="50"/>
  <c r="AP445" i="50"/>
  <c r="AP437" i="50"/>
  <c r="AP424" i="50"/>
  <c r="AP495" i="50"/>
  <c r="AP487" i="50"/>
  <c r="AP479" i="50"/>
  <c r="AP471" i="50"/>
  <c r="AP463" i="50"/>
  <c r="AP455" i="50"/>
  <c r="AP447" i="50"/>
  <c r="AP439" i="50"/>
  <c r="AP374" i="50"/>
  <c r="AP406" i="50"/>
  <c r="AP390" i="50"/>
  <c r="AP416" i="50"/>
  <c r="AP376" i="50"/>
  <c r="AP399" i="50"/>
  <c r="AP383" i="50"/>
  <c r="AP397" i="50"/>
  <c r="AP381" i="50"/>
  <c r="AP354" i="50"/>
  <c r="AP417" i="50"/>
  <c r="AP409" i="50"/>
  <c r="AP396" i="50"/>
  <c r="AP380" i="50"/>
  <c r="AP371" i="50"/>
  <c r="AP357" i="50"/>
  <c r="AP364" i="50"/>
  <c r="AP355" i="50"/>
  <c r="AP351" i="50"/>
  <c r="AP333" i="50"/>
  <c r="AP336" i="50"/>
  <c r="AP350" i="50"/>
  <c r="AP343" i="50"/>
  <c r="AP339" i="50"/>
  <c r="AP327" i="50"/>
  <c r="AP316" i="50"/>
  <c r="AP308" i="50"/>
  <c r="AP300" i="50"/>
  <c r="AP320" i="50"/>
  <c r="AP313" i="50"/>
  <c r="AP305" i="50"/>
  <c r="AP651" i="50"/>
  <c r="AP623" i="50"/>
  <c r="AP590" i="50"/>
  <c r="AP574" i="50"/>
  <c r="AP657" i="50"/>
  <c r="AP609" i="50"/>
  <c r="AP589" i="50"/>
  <c r="AP573" i="50"/>
  <c r="AP641" i="50"/>
  <c r="AP625" i="50"/>
  <c r="AP656" i="50"/>
  <c r="AP648" i="50"/>
  <c r="AP640" i="50"/>
  <c r="AP632" i="50"/>
  <c r="AP624" i="50"/>
  <c r="AP616" i="50"/>
  <c r="AP608" i="50"/>
  <c r="AP600" i="50"/>
  <c r="AP639" i="50"/>
  <c r="AP502" i="50"/>
  <c r="AP429" i="50"/>
  <c r="AP494" i="50"/>
  <c r="AP486" i="50"/>
  <c r="AP478" i="50"/>
  <c r="AP470" i="50"/>
  <c r="AP462" i="50"/>
  <c r="AP454" i="50"/>
  <c r="AP446" i="50"/>
  <c r="AP438" i="50"/>
  <c r="AP431" i="50"/>
  <c r="AP412" i="50"/>
  <c r="AP370" i="50"/>
  <c r="AP402" i="50"/>
  <c r="AP386" i="50"/>
  <c r="AP372" i="50"/>
  <c r="AP410" i="50"/>
  <c r="AP395" i="50"/>
  <c r="AP379" i="50"/>
  <c r="AP393" i="50"/>
  <c r="AP366" i="50"/>
  <c r="AP415" i="50"/>
  <c r="AP407" i="50"/>
  <c r="AP392" i="50"/>
  <c r="AP377" i="50"/>
  <c r="AP369" i="50"/>
  <c r="AP353" i="50"/>
  <c r="AP360" i="50"/>
  <c r="AP367" i="50"/>
  <c r="AP334" i="50"/>
  <c r="AP349" i="50"/>
  <c r="AP329" i="50"/>
  <c r="AP332" i="50"/>
  <c r="AP348" i="50"/>
  <c r="AP342" i="50"/>
  <c r="AP338" i="50"/>
  <c r="AP322" i="50"/>
  <c r="AP314" i="50"/>
  <c r="AP306" i="50"/>
  <c r="AP319" i="50"/>
  <c r="AP311" i="50"/>
  <c r="AP303" i="50"/>
  <c r="V271" i="50"/>
  <c r="AB271" i="50" s="1"/>
  <c r="V15" i="50"/>
  <c r="AB15" i="50" s="1"/>
  <c r="V40" i="50"/>
  <c r="AB40" i="50" s="1"/>
  <c r="V114" i="50"/>
  <c r="AB114" i="50" s="1"/>
  <c r="V24" i="50"/>
  <c r="AB24" i="50" s="1"/>
  <c r="V89" i="50"/>
  <c r="AB89" i="50" s="1"/>
  <c r="V13" i="50"/>
  <c r="AB13" i="50" s="1"/>
  <c r="V72" i="50"/>
  <c r="AB72" i="50" s="1"/>
  <c r="V30" i="50"/>
  <c r="AB30" i="50" s="1"/>
  <c r="V37" i="50"/>
  <c r="AB37" i="50" s="1"/>
  <c r="V69" i="50"/>
  <c r="AB69" i="50" s="1"/>
  <c r="V242" i="50"/>
  <c r="AB242" i="50" s="1"/>
  <c r="V16" i="50"/>
  <c r="AB16" i="50" s="1"/>
  <c r="V54" i="50"/>
  <c r="AB54" i="50" s="1"/>
  <c r="V49" i="50"/>
  <c r="AB49" i="50" s="1"/>
  <c r="V113" i="50"/>
  <c r="AB113" i="50" s="1"/>
  <c r="V61" i="50"/>
  <c r="AB61" i="50" s="1"/>
  <c r="V218" i="50"/>
  <c r="AB218" i="50" s="1"/>
  <c r="V19" i="50"/>
  <c r="AB19" i="50" s="1"/>
  <c r="V44" i="50"/>
  <c r="AB44" i="50" s="1"/>
  <c r="V39" i="50"/>
  <c r="AB39" i="50" s="1"/>
  <c r="V101" i="50"/>
  <c r="AB101" i="50" s="1"/>
  <c r="V82" i="50"/>
  <c r="AB82" i="50" s="1"/>
  <c r="V25" i="50"/>
  <c r="AB25" i="50" s="1"/>
  <c r="V21" i="50"/>
  <c r="AB21" i="50" s="1"/>
  <c r="V52" i="50"/>
  <c r="AB52" i="50" s="1"/>
  <c r="V36" i="50"/>
  <c r="AB36" i="50" s="1"/>
  <c r="V47" i="50"/>
  <c r="AB47" i="50" s="1"/>
  <c r="V33" i="50"/>
  <c r="AB33" i="50" s="1"/>
  <c r="V109" i="50"/>
  <c r="AB109" i="50" s="1"/>
  <c r="V87" i="50"/>
  <c r="AB87" i="50" s="1"/>
  <c r="V104" i="50"/>
  <c r="AB104" i="50" s="1"/>
  <c r="V245" i="50"/>
  <c r="AB245" i="50" s="1"/>
  <c r="V208" i="50"/>
  <c r="AB208" i="50" s="1"/>
  <c r="V14" i="50"/>
  <c r="AB14" i="50" s="1"/>
  <c r="V17" i="50"/>
  <c r="AB17" i="50" s="1"/>
  <c r="V26" i="50"/>
  <c r="AB26" i="50" s="1"/>
  <c r="V46" i="50"/>
  <c r="AB46" i="50" s="1"/>
  <c r="V32" i="50"/>
  <c r="AB32" i="50" s="1"/>
  <c r="V45" i="50"/>
  <c r="AB45" i="50" s="1"/>
  <c r="V112" i="50"/>
  <c r="AB112" i="50" s="1"/>
  <c r="V103" i="50"/>
  <c r="AB103" i="50" s="1"/>
  <c r="V81" i="50"/>
  <c r="AB81" i="50" s="1"/>
  <c r="V102" i="50"/>
  <c r="AB102" i="50" s="1"/>
  <c r="V233" i="50"/>
  <c r="AB233" i="50" s="1"/>
  <c r="V160" i="50"/>
  <c r="AB160" i="50" s="1"/>
  <c r="V111" i="50"/>
  <c r="AB111" i="50" s="1"/>
  <c r="V97" i="50"/>
  <c r="AB97" i="50" s="1"/>
  <c r="V77" i="50"/>
  <c r="AB77" i="50" s="1"/>
  <c r="V57" i="50"/>
  <c r="AB57" i="50" s="1"/>
  <c r="V96" i="50"/>
  <c r="AB96" i="50" s="1"/>
  <c r="V70" i="50"/>
  <c r="AB70" i="50" s="1"/>
  <c r="V229" i="50"/>
  <c r="AB229" i="50" s="1"/>
  <c r="V199" i="50"/>
  <c r="AB199" i="50" s="1"/>
  <c r="V126" i="50"/>
  <c r="AB126" i="50" s="1"/>
  <c r="V71" i="50"/>
  <c r="AB71" i="50" s="1"/>
  <c r="V55" i="50"/>
  <c r="AB55" i="50" s="1"/>
  <c r="V86" i="50"/>
  <c r="AB86" i="50" s="1"/>
  <c r="V58" i="50"/>
  <c r="AB58" i="50" s="1"/>
  <c r="V215" i="50"/>
  <c r="AB215" i="50" s="1"/>
  <c r="V179" i="50"/>
  <c r="AB179" i="50" s="1"/>
  <c r="V93" i="50"/>
  <c r="AB93" i="50" s="1"/>
  <c r="V79" i="50"/>
  <c r="AB79" i="50" s="1"/>
  <c r="V65" i="50"/>
  <c r="AB65" i="50" s="1"/>
  <c r="V106" i="50"/>
  <c r="AB106" i="50" s="1"/>
  <c r="V94" i="50"/>
  <c r="AB94" i="50" s="1"/>
  <c r="V80" i="50"/>
  <c r="AB80" i="50" s="1"/>
  <c r="V64" i="50"/>
  <c r="AB64" i="50" s="1"/>
  <c r="V241" i="50"/>
  <c r="AB241" i="50" s="1"/>
  <c r="V223" i="50"/>
  <c r="AB223" i="50" s="1"/>
  <c r="V240" i="50"/>
  <c r="AB240" i="50" s="1"/>
  <c r="V197" i="50"/>
  <c r="AB197" i="50" s="1"/>
  <c r="V196" i="50"/>
  <c r="AB196" i="50" s="1"/>
  <c r="V167" i="50"/>
  <c r="AB167" i="50" s="1"/>
  <c r="V90" i="50"/>
  <c r="AB90" i="50" s="1"/>
  <c r="V74" i="50"/>
  <c r="AB74" i="50" s="1"/>
  <c r="V62" i="50"/>
  <c r="AB62" i="50" s="1"/>
  <c r="V239" i="50"/>
  <c r="AB239" i="50" s="1"/>
  <c r="V221" i="50"/>
  <c r="AB221" i="50" s="1"/>
  <c r="V224" i="50"/>
  <c r="AB224" i="50" s="1"/>
  <c r="V183" i="50"/>
  <c r="AB183" i="50" s="1"/>
  <c r="V176" i="50"/>
  <c r="AB176" i="50" s="1"/>
  <c r="V231" i="50"/>
  <c r="AB231" i="50" s="1"/>
  <c r="V217" i="50"/>
  <c r="AB217" i="50" s="1"/>
  <c r="V232" i="50"/>
  <c r="AB232" i="50" s="1"/>
  <c r="V211" i="50"/>
  <c r="AB211" i="50" s="1"/>
  <c r="V195" i="50"/>
  <c r="AB195" i="50" s="1"/>
  <c r="V174" i="50"/>
  <c r="AB174" i="50" s="1"/>
  <c r="V188" i="50"/>
  <c r="AB188" i="50" s="1"/>
  <c r="V158" i="50"/>
  <c r="AB158" i="50" s="1"/>
  <c r="V119" i="50"/>
  <c r="AB119" i="50" s="1"/>
  <c r="V230" i="50"/>
  <c r="AB230" i="50" s="1"/>
  <c r="V207" i="50"/>
  <c r="AB207" i="50" s="1"/>
  <c r="V187" i="50"/>
  <c r="AB187" i="50" s="1"/>
  <c r="V210" i="50"/>
  <c r="AB210" i="50" s="1"/>
  <c r="V186" i="50"/>
  <c r="AB186" i="50" s="1"/>
  <c r="V142" i="50"/>
  <c r="AB142" i="50" s="1"/>
  <c r="V23" i="50"/>
  <c r="AB23" i="50" s="1"/>
  <c r="V20" i="50"/>
  <c r="AB20" i="50" s="1"/>
  <c r="V28" i="50"/>
  <c r="AB28" i="50" s="1"/>
  <c r="V48" i="50"/>
  <c r="AB48" i="50" s="1"/>
  <c r="V38" i="50"/>
  <c r="AB38" i="50" s="1"/>
  <c r="V53" i="50"/>
  <c r="AB53" i="50" s="1"/>
  <c r="V41" i="50"/>
  <c r="AB41" i="50" s="1"/>
  <c r="V31" i="50"/>
  <c r="AB31" i="50" s="1"/>
  <c r="V117" i="50"/>
  <c r="AB117" i="50" s="1"/>
  <c r="V105" i="50"/>
  <c r="AB105" i="50" s="1"/>
  <c r="V95" i="50"/>
  <c r="AB95" i="50" s="1"/>
  <c r="V85" i="50"/>
  <c r="AB85" i="50" s="1"/>
  <c r="V73" i="50"/>
  <c r="AB73" i="50" s="1"/>
  <c r="V63" i="50"/>
  <c r="AB63" i="50" s="1"/>
  <c r="V110" i="50"/>
  <c r="AB110" i="50" s="1"/>
  <c r="V98" i="50"/>
  <c r="AB98" i="50" s="1"/>
  <c r="V88" i="50"/>
  <c r="AB88" i="50" s="1"/>
  <c r="V78" i="50"/>
  <c r="AB78" i="50" s="1"/>
  <c r="V66" i="50"/>
  <c r="AB66" i="50" s="1"/>
  <c r="V56" i="50"/>
  <c r="AB56" i="50" s="1"/>
  <c r="V237" i="50"/>
  <c r="AB237" i="50" s="1"/>
  <c r="V225" i="50"/>
  <c r="AB225" i="50" s="1"/>
  <c r="V170" i="50"/>
  <c r="AB170" i="50" s="1"/>
  <c r="V234" i="50"/>
  <c r="AB234" i="50" s="1"/>
  <c r="V222" i="50"/>
  <c r="AB222" i="50" s="1"/>
  <c r="V205" i="50"/>
  <c r="AB205" i="50" s="1"/>
  <c r="V189" i="50"/>
  <c r="AB189" i="50" s="1"/>
  <c r="V175" i="50"/>
  <c r="AB175" i="50" s="1"/>
  <c r="V200" i="50"/>
  <c r="AB200" i="50" s="1"/>
  <c r="V178" i="50"/>
  <c r="AB178" i="50" s="1"/>
  <c r="V144" i="50"/>
  <c r="AB144" i="50" s="1"/>
  <c r="V135" i="50"/>
  <c r="AB135" i="50" s="1"/>
  <c r="V169" i="50"/>
  <c r="AB169" i="50" s="1"/>
  <c r="V128" i="50"/>
  <c r="AB128" i="50" s="1"/>
  <c r="V153" i="50"/>
  <c r="AB153" i="50" s="1"/>
  <c r="V261" i="50"/>
  <c r="AB261" i="50" s="1"/>
  <c r="V151" i="50"/>
  <c r="AB151" i="50" s="1"/>
  <c r="V137" i="50"/>
  <c r="AB137" i="50" s="1"/>
  <c r="V238" i="50"/>
  <c r="AB238" i="50" s="1"/>
  <c r="V226" i="50"/>
  <c r="AB226" i="50" s="1"/>
  <c r="V213" i="50"/>
  <c r="AB213" i="50" s="1"/>
  <c r="V203" i="50"/>
  <c r="AB203" i="50" s="1"/>
  <c r="V191" i="50"/>
  <c r="AB191" i="50" s="1"/>
  <c r="V181" i="50"/>
  <c r="AB181" i="50" s="1"/>
  <c r="V216" i="50"/>
  <c r="AB216" i="50" s="1"/>
  <c r="V204" i="50"/>
  <c r="AB204" i="50" s="1"/>
  <c r="V194" i="50"/>
  <c r="AB194" i="50" s="1"/>
  <c r="V184" i="50"/>
  <c r="AB184" i="50" s="1"/>
  <c r="V168" i="50"/>
  <c r="AB168" i="50" s="1"/>
  <c r="V152" i="50"/>
  <c r="AB152" i="50" s="1"/>
  <c r="V136" i="50"/>
  <c r="AB136" i="50" s="1"/>
  <c r="V120" i="50"/>
  <c r="AB120" i="50" s="1"/>
  <c r="V161" i="50"/>
  <c r="AB161" i="50" s="1"/>
  <c r="V145" i="50"/>
  <c r="AB145" i="50" s="1"/>
  <c r="V129" i="50"/>
  <c r="AB129" i="50" s="1"/>
  <c r="V260" i="50"/>
  <c r="AB260" i="50" s="1"/>
  <c r="V212" i="50"/>
  <c r="AB212" i="50" s="1"/>
  <c r="V202" i="50"/>
  <c r="AB202" i="50" s="1"/>
  <c r="V192" i="50"/>
  <c r="AB192" i="50" s="1"/>
  <c r="V180" i="50"/>
  <c r="AB180" i="50" s="1"/>
  <c r="V166" i="50"/>
  <c r="AB166" i="50" s="1"/>
  <c r="V150" i="50"/>
  <c r="AB150" i="50" s="1"/>
  <c r="V134" i="50"/>
  <c r="AB134" i="50" s="1"/>
  <c r="V118" i="50"/>
  <c r="AB118" i="50" s="1"/>
  <c r="V159" i="50"/>
  <c r="AB159" i="50" s="1"/>
  <c r="V143" i="50"/>
  <c r="AB143" i="50" s="1"/>
  <c r="V127" i="50"/>
  <c r="AB127" i="50" s="1"/>
  <c r="V266" i="50"/>
  <c r="AB266" i="50" s="1"/>
  <c r="V250" i="50"/>
  <c r="AB250" i="50" s="1"/>
  <c r="V251" i="50"/>
  <c r="AB251" i="50" s="1"/>
  <c r="V121" i="50"/>
  <c r="AB121" i="50" s="1"/>
  <c r="V249" i="50"/>
  <c r="AB249" i="50" s="1"/>
  <c r="V269" i="50"/>
  <c r="AB269" i="50" s="1"/>
  <c r="V248" i="50"/>
  <c r="AB248" i="50" s="1"/>
  <c r="V259" i="50"/>
  <c r="AB259" i="50" s="1"/>
  <c r="V164" i="50"/>
  <c r="X164" i="50" s="1"/>
  <c r="V156" i="50"/>
  <c r="AB156" i="50" s="1"/>
  <c r="V148" i="50"/>
  <c r="AB148" i="50" s="1"/>
  <c r="V140" i="50"/>
  <c r="AB140" i="50" s="1"/>
  <c r="V132" i="50"/>
  <c r="V124" i="50"/>
  <c r="AB124" i="50" s="1"/>
  <c r="V173" i="50"/>
  <c r="AB173" i="50" s="1"/>
  <c r="V165" i="50"/>
  <c r="AB165" i="50" s="1"/>
  <c r="V157" i="50"/>
  <c r="V149" i="50"/>
  <c r="AB149" i="50" s="1"/>
  <c r="V141" i="50"/>
  <c r="AB141" i="50" s="1"/>
  <c r="V133" i="50"/>
  <c r="AB133" i="50" s="1"/>
  <c r="V125" i="50"/>
  <c r="V254" i="50"/>
  <c r="AB254" i="50" s="1"/>
  <c r="V246" i="50"/>
  <c r="AB246" i="50" s="1"/>
  <c r="V247" i="50"/>
  <c r="AB247" i="50" s="1"/>
  <c r="V257" i="50"/>
  <c r="Y257" i="50" s="1"/>
  <c r="V258" i="50"/>
  <c r="AB258" i="50" s="1"/>
  <c r="V264" i="50"/>
  <c r="AB264" i="50" s="1"/>
  <c r="V270" i="50"/>
  <c r="AB270" i="50" s="1"/>
  <c r="V22" i="50"/>
  <c r="AB22" i="50" s="1"/>
  <c r="V18" i="50"/>
  <c r="AB18" i="50" s="1"/>
  <c r="V27" i="50"/>
  <c r="AB27" i="50" s="1"/>
  <c r="V29" i="50"/>
  <c r="AB29" i="50" s="1"/>
  <c r="V50" i="50"/>
  <c r="V42" i="50"/>
  <c r="AB42" i="50" s="1"/>
  <c r="V34" i="50"/>
  <c r="AB34" i="50" s="1"/>
  <c r="V51" i="50"/>
  <c r="AB51" i="50" s="1"/>
  <c r="V43" i="50"/>
  <c r="V35" i="50"/>
  <c r="AB35" i="50" s="1"/>
  <c r="V116" i="50"/>
  <c r="AB116" i="50" s="1"/>
  <c r="V115" i="50"/>
  <c r="AB115" i="50" s="1"/>
  <c r="V107" i="50"/>
  <c r="V99" i="50"/>
  <c r="AB99" i="50" s="1"/>
  <c r="V91" i="50"/>
  <c r="AB91" i="50" s="1"/>
  <c r="V83" i="50"/>
  <c r="AB83" i="50" s="1"/>
  <c r="V75" i="50"/>
  <c r="V67" i="50"/>
  <c r="AB67" i="50" s="1"/>
  <c r="V59" i="50"/>
  <c r="AB59" i="50" s="1"/>
  <c r="V108" i="50"/>
  <c r="AB108" i="50" s="1"/>
  <c r="V100" i="50"/>
  <c r="V92" i="50"/>
  <c r="AB92" i="50" s="1"/>
  <c r="V84" i="50"/>
  <c r="AB84" i="50" s="1"/>
  <c r="V76" i="50"/>
  <c r="AB76" i="50" s="1"/>
  <c r="V68" i="50"/>
  <c r="X68" i="50" s="1"/>
  <c r="V60" i="50"/>
  <c r="AB60" i="50" s="1"/>
  <c r="V243" i="50"/>
  <c r="AB243" i="50" s="1"/>
  <c r="V235" i="50"/>
  <c r="AB235" i="50" s="1"/>
  <c r="V227" i="50"/>
  <c r="V219" i="50"/>
  <c r="AB219" i="50" s="1"/>
  <c r="V244" i="50"/>
  <c r="AB244" i="50" s="1"/>
  <c r="V236" i="50"/>
  <c r="AB236" i="50" s="1"/>
  <c r="V228" i="50"/>
  <c r="V220" i="50"/>
  <c r="AB220" i="50" s="1"/>
  <c r="V209" i="50"/>
  <c r="AB209" i="50" s="1"/>
  <c r="V201" i="50"/>
  <c r="AB201" i="50" s="1"/>
  <c r="V193" i="50"/>
  <c r="W193" i="50" s="1"/>
  <c r="V185" i="50"/>
  <c r="AB185" i="50" s="1"/>
  <c r="V177" i="50"/>
  <c r="AB177" i="50" s="1"/>
  <c r="V214" i="50"/>
  <c r="AB214" i="50" s="1"/>
  <c r="V206" i="50"/>
  <c r="V198" i="50"/>
  <c r="AB198" i="50" s="1"/>
  <c r="V190" i="50"/>
  <c r="AB190" i="50" s="1"/>
  <c r="V182" i="50"/>
  <c r="AB182" i="50" s="1"/>
  <c r="V172" i="50"/>
  <c r="V162" i="50"/>
  <c r="AB162" i="50" s="1"/>
  <c r="V154" i="50"/>
  <c r="AB154" i="50" s="1"/>
  <c r="V146" i="50"/>
  <c r="AB146" i="50" s="1"/>
  <c r="V138" i="50"/>
  <c r="Y138" i="50" s="1"/>
  <c r="V130" i="50"/>
  <c r="AB130" i="50" s="1"/>
  <c r="V122" i="50"/>
  <c r="AB122" i="50" s="1"/>
  <c r="V171" i="50"/>
  <c r="AB171" i="50" s="1"/>
  <c r="V163" i="50"/>
  <c r="Y163" i="50" s="1"/>
  <c r="V155" i="50"/>
  <c r="AB155" i="50" s="1"/>
  <c r="V147" i="50"/>
  <c r="AB147" i="50" s="1"/>
  <c r="V139" i="50"/>
  <c r="AB139" i="50" s="1"/>
  <c r="V131" i="50"/>
  <c r="V123" i="50"/>
  <c r="AB123" i="50" s="1"/>
  <c r="V252" i="50"/>
  <c r="AB252" i="50" s="1"/>
  <c r="V253" i="50"/>
  <c r="AB253" i="50" s="1"/>
  <c r="V263" i="50"/>
  <c r="V255" i="50"/>
  <c r="AB255" i="50" s="1"/>
  <c r="V256" i="50"/>
  <c r="AB256" i="50" s="1"/>
  <c r="V267" i="50"/>
  <c r="AB267" i="50" s="1"/>
  <c r="V262" i="50"/>
  <c r="AB262" i="50" s="1"/>
  <c r="V268" i="50"/>
  <c r="AB268" i="50" s="1"/>
  <c r="V265" i="50"/>
  <c r="AB265" i="50" s="1"/>
  <c r="AP72" i="50"/>
  <c r="AP120" i="50"/>
  <c r="AP200" i="50"/>
  <c r="AP179" i="50"/>
  <c r="AP104" i="50"/>
  <c r="AP115" i="50"/>
  <c r="AP51" i="50"/>
  <c r="AP152" i="50"/>
  <c r="AP45" i="50"/>
  <c r="AP216" i="50"/>
  <c r="AP232" i="50"/>
  <c r="AP56" i="50"/>
  <c r="AP227" i="50"/>
  <c r="AP147" i="50"/>
  <c r="AP67" i="50"/>
  <c r="AP246" i="50"/>
  <c r="AP182" i="50"/>
  <c r="AP118" i="50"/>
  <c r="AP54" i="50"/>
  <c r="AP249" i="50"/>
  <c r="AP185" i="50"/>
  <c r="AP121" i="50"/>
  <c r="AP57" i="50"/>
  <c r="AP244" i="50"/>
  <c r="AP180" i="50"/>
  <c r="AP116" i="50"/>
  <c r="AP52" i="50"/>
  <c r="AP237" i="50"/>
  <c r="AP239" i="50"/>
  <c r="AP175" i="50"/>
  <c r="AP111" i="50"/>
  <c r="AP47" i="50"/>
  <c r="AP242" i="50"/>
  <c r="AP178" i="50"/>
  <c r="AP114" i="50"/>
  <c r="AP50" i="50"/>
  <c r="AP245" i="50"/>
  <c r="AP181" i="50"/>
  <c r="AP117" i="50"/>
  <c r="AP53" i="50"/>
  <c r="AP240" i="50"/>
  <c r="AP176" i="50"/>
  <c r="AP112" i="50"/>
  <c r="AP48" i="50"/>
  <c r="AP215" i="50"/>
  <c r="AP71" i="50"/>
  <c r="AP186" i="50"/>
  <c r="AP58" i="50"/>
  <c r="AP173" i="50"/>
  <c r="AP235" i="50"/>
  <c r="AP171" i="50"/>
  <c r="AP107" i="50"/>
  <c r="AP43" i="50"/>
  <c r="AP238" i="50"/>
  <c r="AP174" i="50"/>
  <c r="AP110" i="50"/>
  <c r="AP46" i="50"/>
  <c r="AP241" i="50"/>
  <c r="AP177" i="50"/>
  <c r="AP113" i="50"/>
  <c r="AP49" i="50"/>
  <c r="AP236" i="50"/>
  <c r="AP172" i="50"/>
  <c r="AP108" i="50"/>
  <c r="AP44" i="50"/>
  <c r="AP199" i="50"/>
  <c r="AP87" i="50"/>
  <c r="AP202" i="50"/>
  <c r="AP74" i="50"/>
  <c r="AP189" i="50"/>
  <c r="AP259" i="50"/>
  <c r="AP32" i="50"/>
  <c r="AP26" i="50"/>
  <c r="AP219" i="50"/>
  <c r="AP91" i="50"/>
  <c r="AP222" i="50"/>
  <c r="AP94" i="50"/>
  <c r="AP225" i="50"/>
  <c r="AP97" i="50"/>
  <c r="AP220" i="50"/>
  <c r="AP92" i="50"/>
  <c r="AP28" i="50"/>
  <c r="AP55" i="50"/>
  <c r="AP42" i="50"/>
  <c r="AP157" i="50"/>
  <c r="AP134" i="50"/>
  <c r="AP201" i="50"/>
  <c r="AP260" i="50"/>
  <c r="AP68" i="50"/>
  <c r="AP191" i="50"/>
  <c r="AP258" i="50"/>
  <c r="AP130" i="50"/>
  <c r="AP197" i="50"/>
  <c r="AP109" i="50"/>
  <c r="AP29" i="50"/>
  <c r="AP77" i="50"/>
  <c r="AP184" i="50"/>
  <c r="AP211" i="50"/>
  <c r="AP131" i="50"/>
  <c r="AP35" i="50"/>
  <c r="AP230" i="50"/>
  <c r="AP166" i="50"/>
  <c r="AP102" i="50"/>
  <c r="AP38" i="50"/>
  <c r="AP233" i="50"/>
  <c r="AP169" i="50"/>
  <c r="AP105" i="50"/>
  <c r="AP41" i="50"/>
  <c r="AP228" i="50"/>
  <c r="AP164" i="50"/>
  <c r="AP100" i="50"/>
  <c r="AP36" i="50"/>
  <c r="AP141" i="50"/>
  <c r="AP223" i="50"/>
  <c r="AP159" i="50"/>
  <c r="AP95" i="50"/>
  <c r="AP31" i="50"/>
  <c r="AP226" i="50"/>
  <c r="AP162" i="50"/>
  <c r="AP98" i="50"/>
  <c r="AP34" i="50"/>
  <c r="AP229" i="50"/>
  <c r="AP165" i="50"/>
  <c r="AP101" i="50"/>
  <c r="AP37" i="50"/>
  <c r="AP224" i="50"/>
  <c r="AP160" i="50"/>
  <c r="AP96" i="50"/>
  <c r="AP183" i="50"/>
  <c r="AP39" i="50"/>
  <c r="AP154" i="50"/>
  <c r="AP125" i="50"/>
  <c r="AP155" i="50"/>
  <c r="AP27" i="50"/>
  <c r="AP158" i="50"/>
  <c r="AP30" i="50"/>
  <c r="AP161" i="50"/>
  <c r="AP33" i="50"/>
  <c r="AP156" i="50"/>
  <c r="AP167" i="50"/>
  <c r="AP170" i="50"/>
  <c r="AP268" i="50"/>
  <c r="AP168" i="50"/>
  <c r="AP163" i="50"/>
  <c r="AP262" i="50"/>
  <c r="AP70" i="50"/>
  <c r="AP137" i="50"/>
  <c r="AP196" i="50"/>
  <c r="AP266" i="50"/>
  <c r="AP63" i="50"/>
  <c r="AP66" i="50"/>
  <c r="AP133" i="50"/>
  <c r="AP24" i="50"/>
  <c r="AP40" i="50"/>
  <c r="AP136" i="50"/>
  <c r="AP248" i="50"/>
  <c r="AP195" i="50"/>
  <c r="AP99" i="50"/>
  <c r="AP19" i="50"/>
  <c r="AP214" i="50"/>
  <c r="AP150" i="50"/>
  <c r="AP86" i="50"/>
  <c r="AP22" i="50"/>
  <c r="AP217" i="50"/>
  <c r="AP153" i="50"/>
  <c r="AP89" i="50"/>
  <c r="AP25" i="50"/>
  <c r="AP212" i="50"/>
  <c r="AP148" i="50"/>
  <c r="AP84" i="50"/>
  <c r="AP20" i="50"/>
  <c r="AP271" i="50"/>
  <c r="AP207" i="50"/>
  <c r="AP143" i="50"/>
  <c r="AP79" i="50"/>
  <c r="AP15" i="50"/>
  <c r="AP210" i="50"/>
  <c r="AP146" i="50"/>
  <c r="AP82" i="50"/>
  <c r="AP18" i="50"/>
  <c r="AP213" i="50"/>
  <c r="AP149" i="50"/>
  <c r="AP85" i="50"/>
  <c r="AP21" i="50"/>
  <c r="AP208" i="50"/>
  <c r="AP144" i="50"/>
  <c r="AP80" i="50"/>
  <c r="AP263" i="50"/>
  <c r="AP151" i="50"/>
  <c r="AP250" i="50"/>
  <c r="AP122" i="50"/>
  <c r="AP253" i="50"/>
  <c r="AP267" i="50"/>
  <c r="AP203" i="50"/>
  <c r="AP139" i="50"/>
  <c r="AP75" i="50"/>
  <c r="AP270" i="50"/>
  <c r="AP206" i="50"/>
  <c r="AP142" i="50"/>
  <c r="AP78" i="50"/>
  <c r="AP14" i="50"/>
  <c r="AP209" i="50"/>
  <c r="AP145" i="50"/>
  <c r="AP81" i="50"/>
  <c r="AP17" i="50"/>
  <c r="AP204" i="50"/>
  <c r="AP140" i="50"/>
  <c r="AP76" i="50"/>
  <c r="AP264" i="50"/>
  <c r="AP135" i="50"/>
  <c r="AP23" i="50"/>
  <c r="AP138" i="50"/>
  <c r="AP269" i="50"/>
  <c r="AP16" i="50"/>
  <c r="AP88" i="50"/>
  <c r="AP13" i="50"/>
  <c r="AP93" i="50"/>
  <c r="AP83" i="50"/>
  <c r="AP198" i="50"/>
  <c r="AP265" i="50"/>
  <c r="AP73" i="50"/>
  <c r="AP132" i="50"/>
  <c r="AP255" i="50"/>
  <c r="AP127" i="50"/>
  <c r="AP194" i="50"/>
  <c r="AP261" i="50"/>
  <c r="AP128" i="50"/>
  <c r="AP218" i="50"/>
  <c r="AP187" i="50"/>
  <c r="AP190" i="50"/>
  <c r="AP193" i="50"/>
  <c r="AP188" i="50"/>
  <c r="AP103" i="50"/>
  <c r="AP243" i="50"/>
  <c r="AP90" i="50"/>
  <c r="AP126" i="50"/>
  <c r="AP129" i="50"/>
  <c r="AP234" i="50"/>
  <c r="AP65" i="50"/>
  <c r="AP192" i="50"/>
  <c r="AP254" i="50"/>
  <c r="AP252" i="50"/>
  <c r="AP69" i="50"/>
  <c r="AP64" i="50"/>
  <c r="AP123" i="50"/>
  <c r="AP124" i="50"/>
  <c r="AP251" i="50"/>
  <c r="AP221" i="50"/>
  <c r="AP256" i="50"/>
  <c r="AP247" i="50"/>
  <c r="AP205" i="50"/>
  <c r="AP59" i="50"/>
  <c r="AP62" i="50"/>
  <c r="AP60" i="50"/>
  <c r="AP106" i="50"/>
  <c r="AP119" i="50"/>
  <c r="AP257" i="50"/>
  <c r="AP231" i="50"/>
  <c r="AG13" i="50"/>
  <c r="AO13" i="50" s="1"/>
  <c r="AG17" i="50"/>
  <c r="AG21" i="50"/>
  <c r="AG25" i="50"/>
  <c r="AG29" i="50"/>
  <c r="AO29" i="50" s="1"/>
  <c r="AG33" i="50"/>
  <c r="AG37" i="50"/>
  <c r="AG41" i="50"/>
  <c r="AG45" i="50"/>
  <c r="AG49" i="50"/>
  <c r="AG53" i="50"/>
  <c r="AG57" i="50"/>
  <c r="AG61" i="50"/>
  <c r="AO61" i="50" s="1"/>
  <c r="AG65" i="50"/>
  <c r="AG69" i="50"/>
  <c r="AG73" i="50"/>
  <c r="AO73" i="50" s="1"/>
  <c r="AG77" i="50"/>
  <c r="AO77" i="50" s="1"/>
  <c r="AG81" i="50"/>
  <c r="AG85" i="50"/>
  <c r="AG89" i="50"/>
  <c r="AO89" i="50" s="1"/>
  <c r="AG15" i="50"/>
  <c r="AG19" i="50"/>
  <c r="AO19" i="50" s="1"/>
  <c r="AG23" i="50"/>
  <c r="AG27" i="50"/>
  <c r="AO27" i="50" s="1"/>
  <c r="AG31" i="50"/>
  <c r="AG35" i="50"/>
  <c r="AG39" i="50"/>
  <c r="AG43" i="50"/>
  <c r="AO43" i="50" s="1"/>
  <c r="AG47" i="50"/>
  <c r="AG51" i="50"/>
  <c r="AO51" i="50" s="1"/>
  <c r="AG55" i="50"/>
  <c r="AO55" i="50" s="1"/>
  <c r="AG59" i="50"/>
  <c r="AG63" i="50"/>
  <c r="AG67" i="50"/>
  <c r="AG71" i="50"/>
  <c r="AG75" i="50"/>
  <c r="AG79" i="50"/>
  <c r="AO79" i="50" s="1"/>
  <c r="AG83" i="50"/>
  <c r="AO83" i="50" s="1"/>
  <c r="AG87" i="50"/>
  <c r="AG18" i="50"/>
  <c r="AO18" i="50" s="1"/>
  <c r="AG26" i="50"/>
  <c r="AG34" i="50"/>
  <c r="AO34" i="50" s="1"/>
  <c r="AG42" i="50"/>
  <c r="AG50" i="50"/>
  <c r="AG58" i="50"/>
  <c r="AO58" i="50" s="1"/>
  <c r="AG66" i="50"/>
  <c r="AG74" i="50"/>
  <c r="AG82" i="50"/>
  <c r="AG90" i="50"/>
  <c r="AG94" i="50"/>
  <c r="AG98" i="50"/>
  <c r="AO98" i="50" s="1"/>
  <c r="AG102" i="50"/>
  <c r="AG106" i="50"/>
  <c r="AO106" i="50" s="1"/>
  <c r="AG110" i="50"/>
  <c r="AG114" i="50"/>
  <c r="AG118" i="50"/>
  <c r="AO118" i="50" s="1"/>
  <c r="AG122" i="50"/>
  <c r="AG126" i="50"/>
  <c r="AG130" i="50"/>
  <c r="AG134" i="50"/>
  <c r="AG138" i="50"/>
  <c r="AO138" i="50" s="1"/>
  <c r="AG142" i="50"/>
  <c r="AO142" i="50" s="1"/>
  <c r="AG146" i="50"/>
  <c r="AG150" i="50"/>
  <c r="AO150" i="50" s="1"/>
  <c r="AG154" i="50"/>
  <c r="AG158" i="50"/>
  <c r="AO158" i="50" s="1"/>
  <c r="AG162" i="50"/>
  <c r="AG166" i="50"/>
  <c r="AG170" i="50"/>
  <c r="AG174" i="50"/>
  <c r="AG178" i="50"/>
  <c r="AO178" i="50" s="1"/>
  <c r="AG182" i="50"/>
  <c r="AG186" i="50"/>
  <c r="AG190" i="50"/>
  <c r="AG194" i="50"/>
  <c r="AO194" i="50" s="1"/>
  <c r="AG198" i="50"/>
  <c r="AO198" i="50" s="1"/>
  <c r="AG202" i="50"/>
  <c r="AG206" i="50"/>
  <c r="AO206" i="50" s="1"/>
  <c r="AG210" i="50"/>
  <c r="AG214" i="50"/>
  <c r="AG218" i="50"/>
  <c r="AO218" i="50" s="1"/>
  <c r="AG222" i="50"/>
  <c r="AG226" i="50"/>
  <c r="AG230" i="50"/>
  <c r="AG234" i="50"/>
  <c r="AG238" i="50"/>
  <c r="AO238" i="50" s="1"/>
  <c r="AG242" i="50"/>
  <c r="AO242" i="50" s="1"/>
  <c r="AG246" i="50"/>
  <c r="AG250" i="50"/>
  <c r="AG254" i="50"/>
  <c r="AG258" i="50"/>
  <c r="AO258" i="50" s="1"/>
  <c r="AG262" i="50"/>
  <c r="AG266" i="50"/>
  <c r="AG270" i="50"/>
  <c r="AG219" i="50"/>
  <c r="AG235" i="50"/>
  <c r="AO235" i="50" s="1"/>
  <c r="AG247" i="50"/>
  <c r="AG255" i="50"/>
  <c r="AG259" i="50"/>
  <c r="AO259" i="50" s="1"/>
  <c r="AG267" i="50"/>
  <c r="AG32" i="50"/>
  <c r="AG48" i="50"/>
  <c r="AO48" i="50" s="1"/>
  <c r="AG80" i="50"/>
  <c r="AG97" i="50"/>
  <c r="AG109" i="50"/>
  <c r="AG117" i="50"/>
  <c r="AO117" i="50" s="1"/>
  <c r="AG129" i="50"/>
  <c r="AG137" i="50"/>
  <c r="AG149" i="50"/>
  <c r="AG161" i="50"/>
  <c r="AO161" i="50" s="1"/>
  <c r="AG169" i="50"/>
  <c r="AG185" i="50"/>
  <c r="AG193" i="50"/>
  <c r="AG201" i="50"/>
  <c r="AG213" i="50"/>
  <c r="AG229" i="50"/>
  <c r="AG237" i="50"/>
  <c r="AO237" i="50" s="1"/>
  <c r="AG249" i="50"/>
  <c r="AO249" i="50" s="1"/>
  <c r="AG257" i="50"/>
  <c r="AG269" i="50"/>
  <c r="AG20" i="50"/>
  <c r="AG28" i="50"/>
  <c r="AO28" i="50" s="1"/>
  <c r="AG36" i="50"/>
  <c r="AG44" i="50"/>
  <c r="AG52" i="50"/>
  <c r="AG60" i="50"/>
  <c r="AG68" i="50"/>
  <c r="AO68" i="50" s="1"/>
  <c r="AG76" i="50"/>
  <c r="AG84" i="50"/>
  <c r="AO84" i="50" s="1"/>
  <c r="AG91" i="50"/>
  <c r="AO91" i="50" s="1"/>
  <c r="AG95" i="50"/>
  <c r="AO95" i="50" s="1"/>
  <c r="AG99" i="50"/>
  <c r="AG103" i="50"/>
  <c r="AG107" i="50"/>
  <c r="AG111" i="50"/>
  <c r="AO111" i="50" s="1"/>
  <c r="AG115" i="50"/>
  <c r="AO115" i="50" s="1"/>
  <c r="AG119" i="50"/>
  <c r="AG123" i="50"/>
  <c r="AG127" i="50"/>
  <c r="AO127" i="50" s="1"/>
  <c r="AG131" i="50"/>
  <c r="AG135" i="50"/>
  <c r="AG139" i="50"/>
  <c r="AG143" i="50"/>
  <c r="AG147" i="50"/>
  <c r="AG151" i="50"/>
  <c r="AO151" i="50" s="1"/>
  <c r="AG155" i="50"/>
  <c r="AG159" i="50"/>
  <c r="AG163" i="50"/>
  <c r="AO163" i="50" s="1"/>
  <c r="AG167" i="50"/>
  <c r="AG171" i="50"/>
  <c r="AG175" i="50"/>
  <c r="AG179" i="50"/>
  <c r="AG183" i="50"/>
  <c r="AO183" i="50" s="1"/>
  <c r="AG187" i="50"/>
  <c r="AO187" i="50" s="1"/>
  <c r="AG191" i="50"/>
  <c r="AO191" i="50" s="1"/>
  <c r="AG195" i="50"/>
  <c r="AO195" i="50" s="1"/>
  <c r="AG199" i="50"/>
  <c r="AO199" i="50" s="1"/>
  <c r="AG203" i="50"/>
  <c r="AG207" i="50"/>
  <c r="AG211" i="50"/>
  <c r="AG215" i="50"/>
  <c r="AG223" i="50"/>
  <c r="AO223" i="50" s="1"/>
  <c r="AG227" i="50"/>
  <c r="AO227" i="50" s="1"/>
  <c r="AG231" i="50"/>
  <c r="AG239" i="50"/>
  <c r="AG243" i="50"/>
  <c r="AG251" i="50"/>
  <c r="AO251" i="50" s="1"/>
  <c r="AG263" i="50"/>
  <c r="AG271" i="50"/>
  <c r="AO271" i="50" s="1"/>
  <c r="AG24" i="50"/>
  <c r="AG64" i="50"/>
  <c r="AG93" i="50"/>
  <c r="AO93" i="50" s="1"/>
  <c r="AG105" i="50"/>
  <c r="AG125" i="50"/>
  <c r="AO125" i="50" s="1"/>
  <c r="AG141" i="50"/>
  <c r="AG157" i="50"/>
  <c r="AO157" i="50" s="1"/>
  <c r="AG177" i="50"/>
  <c r="AG189" i="50"/>
  <c r="AO189" i="50" s="1"/>
  <c r="AG209" i="50"/>
  <c r="AG221" i="50"/>
  <c r="AO221" i="50" s="1"/>
  <c r="AG241" i="50"/>
  <c r="AG253" i="50"/>
  <c r="AO253" i="50" s="1"/>
  <c r="AG14" i="50"/>
  <c r="AG22" i="50"/>
  <c r="AG30" i="50"/>
  <c r="AG38" i="50"/>
  <c r="AO38" i="50" s="1"/>
  <c r="AG46" i="50"/>
  <c r="AG54" i="50"/>
  <c r="AG62" i="50"/>
  <c r="AO62" i="50" s="1"/>
  <c r="AG70" i="50"/>
  <c r="AG78" i="50"/>
  <c r="AO78" i="50" s="1"/>
  <c r="AG86" i="50"/>
  <c r="AG92" i="50"/>
  <c r="AG96" i="50"/>
  <c r="AG100" i="50"/>
  <c r="AG104" i="50"/>
  <c r="AG108" i="50"/>
  <c r="AO108" i="50" s="1"/>
  <c r="AG112" i="50"/>
  <c r="AG116" i="50"/>
  <c r="AG120" i="50"/>
  <c r="AO120" i="50" s="1"/>
  <c r="AG124" i="50"/>
  <c r="AG128" i="50"/>
  <c r="AO128" i="50" s="1"/>
  <c r="AG132" i="50"/>
  <c r="AG136" i="50"/>
  <c r="AG140" i="50"/>
  <c r="AG144" i="50"/>
  <c r="AG148" i="50"/>
  <c r="AO148" i="50" s="1"/>
  <c r="AG152" i="50"/>
  <c r="AG156" i="50"/>
  <c r="AG160" i="50"/>
  <c r="AG164" i="50"/>
  <c r="AG168" i="50"/>
  <c r="AO168" i="50" s="1"/>
  <c r="AG172" i="50"/>
  <c r="AO172" i="50" s="1"/>
  <c r="AG176" i="50"/>
  <c r="AG180" i="50"/>
  <c r="AG184" i="50"/>
  <c r="AG188" i="50"/>
  <c r="AO188" i="50" s="1"/>
  <c r="AG192" i="50"/>
  <c r="AG196" i="50"/>
  <c r="AG200" i="50"/>
  <c r="AG204" i="50"/>
  <c r="AG208" i="50"/>
  <c r="AO208" i="50" s="1"/>
  <c r="AG212" i="50"/>
  <c r="AG216" i="50"/>
  <c r="AO216" i="50" s="1"/>
  <c r="AG220" i="50"/>
  <c r="AG224" i="50"/>
  <c r="AG228" i="50"/>
  <c r="AO228" i="50" s="1"/>
  <c r="AG232" i="50"/>
  <c r="AG236" i="50"/>
  <c r="AG240" i="50"/>
  <c r="AG244" i="50"/>
  <c r="AG248" i="50"/>
  <c r="AO248" i="50" s="1"/>
  <c r="AG252" i="50"/>
  <c r="AG256" i="50"/>
  <c r="AG260" i="50"/>
  <c r="AO260" i="50" s="1"/>
  <c r="AG264" i="50"/>
  <c r="AG268" i="50"/>
  <c r="AG16" i="50"/>
  <c r="AG40" i="50"/>
  <c r="AO40" i="50" s="1"/>
  <c r="AG56" i="50"/>
  <c r="AO56" i="50" s="1"/>
  <c r="AG72" i="50"/>
  <c r="AG88" i="50"/>
  <c r="AO88" i="50" s="1"/>
  <c r="AG101" i="50"/>
  <c r="AG113" i="50"/>
  <c r="AG121" i="50"/>
  <c r="AG133" i="50"/>
  <c r="AG145" i="50"/>
  <c r="AG153" i="50"/>
  <c r="AG165" i="50"/>
  <c r="AG173" i="50"/>
  <c r="AG181" i="50"/>
  <c r="AG197" i="50"/>
  <c r="AG205" i="50"/>
  <c r="AO205" i="50" s="1"/>
  <c r="AG217" i="50"/>
  <c r="AG225" i="50"/>
  <c r="AG233" i="50"/>
  <c r="AG245" i="50"/>
  <c r="AG261" i="50"/>
  <c r="AG265" i="50"/>
  <c r="AL427" i="50" l="1"/>
  <c r="AL283" i="50"/>
  <c r="FX11" i="54"/>
  <c r="FZ11" i="54"/>
  <c r="GA11" i="54"/>
  <c r="FE11" i="54"/>
  <c r="FC11" i="54"/>
  <c r="FF11" i="54"/>
  <c r="FV11" i="54"/>
  <c r="FU10" i="54"/>
  <c r="FW10" i="54" s="1"/>
  <c r="FR11" i="54" s="1"/>
  <c r="FO11" i="54"/>
  <c r="FN10" i="54"/>
  <c r="FP10" i="54" s="1"/>
  <c r="FK11" i="54" s="1"/>
  <c r="CV48" i="54"/>
  <c r="CT48" i="54"/>
  <c r="CU49" i="54" s="1"/>
  <c r="AM559" i="50"/>
  <c r="AN604" i="50"/>
  <c r="AM487" i="50"/>
  <c r="AM553" i="50"/>
  <c r="AL439" i="50"/>
  <c r="AL463" i="50"/>
  <c r="AL337" i="50"/>
  <c r="AL415" i="50"/>
  <c r="AL451" i="50"/>
  <c r="AN502" i="50"/>
  <c r="AM535" i="50"/>
  <c r="AN376" i="50"/>
  <c r="AN628" i="50"/>
  <c r="AN640" i="50"/>
  <c r="AN424" i="50"/>
  <c r="AN388" i="50"/>
  <c r="AN316" i="50"/>
  <c r="AN616" i="50"/>
  <c r="AM475" i="50"/>
  <c r="AL331" i="50"/>
  <c r="AL379" i="50"/>
  <c r="AL307" i="50"/>
  <c r="AM521" i="50"/>
  <c r="AL403" i="50"/>
  <c r="AM523" i="50"/>
  <c r="Y46" i="50"/>
  <c r="AM499" i="50"/>
  <c r="AL437" i="50"/>
  <c r="AL431" i="50"/>
  <c r="AL461" i="50"/>
  <c r="AL446" i="50"/>
  <c r="AM551" i="50"/>
  <c r="AM509" i="50"/>
  <c r="AL454" i="50"/>
  <c r="AM543" i="50"/>
  <c r="AM510" i="50"/>
  <c r="AL465" i="50"/>
  <c r="AL430" i="50"/>
  <c r="AL441" i="50"/>
  <c r="AM546" i="50"/>
  <c r="AL447" i="50"/>
  <c r="AL434" i="50"/>
  <c r="AM537" i="50"/>
  <c r="AM498" i="50"/>
  <c r="AM531" i="50"/>
  <c r="AM485" i="50"/>
  <c r="AM502" i="50"/>
  <c r="AM563" i="50"/>
  <c r="AM556" i="50"/>
  <c r="AM555" i="50"/>
  <c r="AM557" i="50"/>
  <c r="AM554" i="50"/>
  <c r="AM561" i="50"/>
  <c r="AM560" i="50"/>
  <c r="AM562" i="50"/>
  <c r="AM564" i="50"/>
  <c r="AM558" i="50"/>
  <c r="AM549" i="50"/>
  <c r="AM552" i="50"/>
  <c r="AM545" i="50"/>
  <c r="AL433" i="50"/>
  <c r="AM548" i="50"/>
  <c r="AM550" i="50"/>
  <c r="AM544" i="50"/>
  <c r="AM491" i="50"/>
  <c r="AM496" i="50"/>
  <c r="AM514" i="50"/>
  <c r="AM515" i="50"/>
  <c r="AM486" i="50"/>
  <c r="AL467" i="50"/>
  <c r="AL444" i="50"/>
  <c r="AM504" i="50"/>
  <c r="AM530" i="50"/>
  <c r="AM526" i="50"/>
  <c r="AM540" i="50"/>
  <c r="AM501" i="50"/>
  <c r="AM513" i="50"/>
  <c r="AM536" i="50"/>
  <c r="AM492" i="50"/>
  <c r="AM503" i="50"/>
  <c r="AM518" i="50"/>
  <c r="AM533" i="50"/>
  <c r="AM532" i="50"/>
  <c r="AM534" i="50"/>
  <c r="AM488" i="50"/>
  <c r="AM494" i="50"/>
  <c r="AM512" i="50"/>
  <c r="AM490" i="50"/>
  <c r="AM508" i="50"/>
  <c r="AM519" i="50"/>
  <c r="AM528" i="50"/>
  <c r="AM497" i="50"/>
  <c r="AM527" i="50"/>
  <c r="AM539" i="50"/>
  <c r="AM507" i="50"/>
  <c r="AM500" i="50"/>
  <c r="AM506" i="50"/>
  <c r="AM516" i="50"/>
  <c r="AL436" i="50"/>
  <c r="AL480" i="50"/>
  <c r="AM522" i="50"/>
  <c r="AM525" i="50"/>
  <c r="AM538" i="50"/>
  <c r="AM520" i="50"/>
  <c r="AM524" i="50"/>
  <c r="AM542" i="50"/>
  <c r="AM489" i="50"/>
  <c r="AM365" i="50"/>
  <c r="AM318" i="50"/>
  <c r="AM332" i="50"/>
  <c r="AM311" i="50"/>
  <c r="AM351" i="50"/>
  <c r="AM342" i="50"/>
  <c r="AM312" i="50"/>
  <c r="AM320" i="50"/>
  <c r="AM317" i="50"/>
  <c r="AM327" i="50"/>
  <c r="AM347" i="50"/>
  <c r="AM340" i="50"/>
  <c r="AM344" i="50"/>
  <c r="AM356" i="50"/>
  <c r="AM346" i="50"/>
  <c r="AM310" i="50"/>
  <c r="AM314" i="50"/>
  <c r="AM309" i="50"/>
  <c r="AM359" i="50"/>
  <c r="AM363" i="50"/>
  <c r="AM362" i="50"/>
  <c r="AM352" i="50"/>
  <c r="AM360" i="50"/>
  <c r="AM308" i="50"/>
  <c r="AM322" i="50"/>
  <c r="AM341" i="50"/>
  <c r="AM345" i="50"/>
  <c r="AM353" i="50"/>
  <c r="AM357" i="50"/>
  <c r="AM316" i="50"/>
  <c r="AM334" i="50"/>
  <c r="AM364" i="50"/>
  <c r="AM329" i="50"/>
  <c r="AM333" i="50"/>
  <c r="AM335" i="50"/>
  <c r="AM339" i="50"/>
  <c r="AM369" i="50"/>
  <c r="AM425" i="50"/>
  <c r="AM387" i="50"/>
  <c r="AM418" i="50"/>
  <c r="AM417" i="50"/>
  <c r="AM408" i="50"/>
  <c r="AM381" i="50"/>
  <c r="AM420" i="50"/>
  <c r="AM422" i="50"/>
  <c r="AM386" i="50"/>
  <c r="AM402" i="50"/>
  <c r="AM423" i="50"/>
  <c r="AM412" i="50"/>
  <c r="AM390" i="50"/>
  <c r="AM377" i="50"/>
  <c r="AM394" i="50"/>
  <c r="AM414" i="50"/>
  <c r="AM424" i="50"/>
  <c r="AM419" i="50"/>
  <c r="AM392" i="50"/>
  <c r="AM371" i="50"/>
  <c r="AM375" i="50"/>
  <c r="AM400" i="50"/>
  <c r="AM389" i="50"/>
  <c r="AM405" i="50"/>
  <c r="AM383" i="50"/>
  <c r="AM404" i="50"/>
  <c r="AM393" i="50"/>
  <c r="AM413" i="50"/>
  <c r="AM470" i="50"/>
  <c r="AM443" i="50"/>
  <c r="AM448" i="50"/>
  <c r="AM465" i="50"/>
  <c r="AM476" i="50"/>
  <c r="AM453" i="50"/>
  <c r="AM441" i="50"/>
  <c r="AM434" i="50"/>
  <c r="AL367" i="50"/>
  <c r="AM478" i="50"/>
  <c r="AM446" i="50"/>
  <c r="AM454" i="50"/>
  <c r="AL295" i="50"/>
  <c r="AM447" i="50"/>
  <c r="AL320" i="50"/>
  <c r="AM477" i="50"/>
  <c r="AM466" i="50"/>
  <c r="AL406" i="50"/>
  <c r="AM427" i="50"/>
  <c r="AM442" i="50"/>
  <c r="AM451" i="50"/>
  <c r="AM426" i="50"/>
  <c r="AM468" i="50"/>
  <c r="AM460" i="50"/>
  <c r="AM437" i="50"/>
  <c r="AM459" i="50"/>
  <c r="AM438" i="50"/>
  <c r="AM461" i="50"/>
  <c r="AM464" i="50"/>
  <c r="AM432" i="50"/>
  <c r="AM449" i="50"/>
  <c r="AM435" i="50"/>
  <c r="AM471" i="50"/>
  <c r="AM472" i="50"/>
  <c r="AM440" i="50"/>
  <c r="AM431" i="50"/>
  <c r="AM467" i="50"/>
  <c r="AM482" i="50"/>
  <c r="AM450" i="50"/>
  <c r="AM455" i="50"/>
  <c r="AM430" i="50"/>
  <c r="AM462" i="50"/>
  <c r="AM458" i="50"/>
  <c r="AM436" i="50"/>
  <c r="AM480" i="50"/>
  <c r="AM444" i="50"/>
  <c r="AM456" i="50"/>
  <c r="AM474" i="50"/>
  <c r="AM484" i="50"/>
  <c r="AM452" i="50"/>
  <c r="AM428" i="50"/>
  <c r="AL359" i="50"/>
  <c r="AL363" i="50"/>
  <c r="AL386" i="50"/>
  <c r="AL402" i="50"/>
  <c r="AL411" i="50"/>
  <c r="AL347" i="50"/>
  <c r="AL305" i="50"/>
  <c r="AL423" i="50"/>
  <c r="AL297" i="50"/>
  <c r="AL362" i="50"/>
  <c r="AL288" i="50"/>
  <c r="AL294" i="50"/>
  <c r="AL356" i="50"/>
  <c r="AL360" i="50"/>
  <c r="AL408" i="50"/>
  <c r="AL390" i="50"/>
  <c r="AM429" i="50"/>
  <c r="AL346" i="50"/>
  <c r="AM483" i="50"/>
  <c r="AM479" i="50"/>
  <c r="AM473" i="50"/>
  <c r="AL422" i="50"/>
  <c r="AL314" i="50"/>
  <c r="AL424" i="50"/>
  <c r="AL654" i="50"/>
  <c r="AL636" i="50"/>
  <c r="AL639" i="50"/>
  <c r="AL659" i="50"/>
  <c r="AL627" i="50"/>
  <c r="AL633" i="50"/>
  <c r="AL650" i="50"/>
  <c r="AL648" i="50"/>
  <c r="AL660" i="50"/>
  <c r="AL428" i="50"/>
  <c r="AL516" i="50"/>
  <c r="AL418" i="50"/>
  <c r="AL640" i="50"/>
  <c r="AL533" i="50"/>
  <c r="AL417" i="50"/>
  <c r="AL572" i="50"/>
  <c r="AL623" i="50"/>
  <c r="AL392" i="50"/>
  <c r="AL381" i="50"/>
  <c r="AL622" i="50"/>
  <c r="AL645" i="50"/>
  <c r="AL616" i="50"/>
  <c r="AL525" i="50"/>
  <c r="AL578" i="50"/>
  <c r="AL564" i="50"/>
  <c r="AL455" i="50"/>
  <c r="AL646" i="50"/>
  <c r="AL573" i="50"/>
  <c r="AL494" i="50"/>
  <c r="AL462" i="50"/>
  <c r="AL291" i="50"/>
  <c r="AL579" i="50"/>
  <c r="AL449" i="50"/>
  <c r="AL394" i="50"/>
  <c r="AL414" i="50"/>
  <c r="AL531" i="50"/>
  <c r="AL534" i="50"/>
  <c r="AL488" i="50"/>
  <c r="AL456" i="50"/>
  <c r="AL500" i="50"/>
  <c r="AL561" i="50"/>
  <c r="AL545" i="50"/>
  <c r="AL585" i="50"/>
  <c r="AL580" i="50"/>
  <c r="AL484" i="50"/>
  <c r="AL452" i="50"/>
  <c r="AL285" i="50"/>
  <c r="AL273" i="50"/>
  <c r="AL276" i="50"/>
  <c r="AL590" i="50"/>
  <c r="AL629" i="50"/>
  <c r="AL634" i="50"/>
  <c r="AL396" i="50"/>
  <c r="AL410" i="50"/>
  <c r="AL477" i="50"/>
  <c r="AL466" i="50"/>
  <c r="AL315" i="50"/>
  <c r="AL372" i="50"/>
  <c r="AL382" i="50"/>
  <c r="AL420" i="50"/>
  <c r="AL416" i="50"/>
  <c r="AL425" i="50"/>
  <c r="AL321" i="50"/>
  <c r="AL442" i="50"/>
  <c r="AL426" i="50"/>
  <c r="AL303" i="50"/>
  <c r="AL326" i="50"/>
  <c r="AL330" i="50"/>
  <c r="AL338" i="50"/>
  <c r="AL380" i="50"/>
  <c r="AL401" i="50"/>
  <c r="AL300" i="50"/>
  <c r="AL275" i="50"/>
  <c r="AL377" i="50"/>
  <c r="AL323" i="50"/>
  <c r="AL348" i="50"/>
  <c r="AL350" i="50"/>
  <c r="AL281" i="50"/>
  <c r="AL370" i="50"/>
  <c r="AL378" i="50"/>
  <c r="AL324" i="50"/>
  <c r="AL368" i="50"/>
  <c r="AL376" i="50"/>
  <c r="AM495" i="50"/>
  <c r="AL387" i="50"/>
  <c r="AL302" i="50"/>
  <c r="AL287" i="50"/>
  <c r="AL272" i="50"/>
  <c r="AN662" i="50"/>
  <c r="AL335" i="50"/>
  <c r="AL339" i="50"/>
  <c r="AL395" i="50"/>
  <c r="AL400" i="50"/>
  <c r="AL389" i="50"/>
  <c r="AL405" i="50"/>
  <c r="AL588" i="50"/>
  <c r="AL318" i="50"/>
  <c r="AL296" i="50"/>
  <c r="AM618" i="50"/>
  <c r="AL512" i="50"/>
  <c r="AL490" i="50"/>
  <c r="AL458" i="50"/>
  <c r="AL489" i="50"/>
  <c r="AL274" i="50"/>
  <c r="AL284" i="50"/>
  <c r="AM626" i="50"/>
  <c r="AL586" i="50"/>
  <c r="AL519" i="50"/>
  <c r="AL491" i="50"/>
  <c r="AL468" i="50"/>
  <c r="AL438" i="50"/>
  <c r="AL334" i="50"/>
  <c r="AL528" i="50"/>
  <c r="AL497" i="50"/>
  <c r="AL594" i="50"/>
  <c r="AL568" i="50"/>
  <c r="AL328" i="50"/>
  <c r="AL332" i="50"/>
  <c r="AL336" i="50"/>
  <c r="AL383" i="50"/>
  <c r="AL399" i="50"/>
  <c r="AL388" i="50"/>
  <c r="AL527" i="50"/>
  <c r="AL576" i="50"/>
  <c r="AL495" i="50"/>
  <c r="AL413" i="50"/>
  <c r="AL311" i="50"/>
  <c r="AL598" i="50"/>
  <c r="AL507" i="50"/>
  <c r="AL317" i="50"/>
  <c r="AL279" i="50"/>
  <c r="AL510" i="50"/>
  <c r="AL470" i="50"/>
  <c r="AL351" i="50"/>
  <c r="AL515" i="50"/>
  <c r="AL407" i="50"/>
  <c r="AM630" i="50"/>
  <c r="AL569" i="50"/>
  <c r="AL556" i="50"/>
  <c r="AL567" i="50"/>
  <c r="AL329" i="50"/>
  <c r="AL333" i="50"/>
  <c r="AL345" i="50"/>
  <c r="AL474" i="50"/>
  <c r="AL584" i="50"/>
  <c r="AL358" i="50"/>
  <c r="AL366" i="50"/>
  <c r="AL374" i="50"/>
  <c r="AL448" i="50"/>
  <c r="AL278" i="50"/>
  <c r="AL524" i="50"/>
  <c r="AL306" i="50"/>
  <c r="AM642" i="50"/>
  <c r="AL502" i="50"/>
  <c r="AL486" i="50"/>
  <c r="AL312" i="50"/>
  <c r="AL290" i="50"/>
  <c r="AL327" i="50"/>
  <c r="AL371" i="50"/>
  <c r="AL375" i="50"/>
  <c r="AM629" i="50"/>
  <c r="AL593" i="50"/>
  <c r="AL587" i="50"/>
  <c r="AL504" i="50"/>
  <c r="AL558" i="50"/>
  <c r="AL542" i="50"/>
  <c r="AL591" i="50"/>
  <c r="AL472" i="50"/>
  <c r="AL440" i="50"/>
  <c r="AL316" i="50"/>
  <c r="AL530" i="50"/>
  <c r="AL552" i="50"/>
  <c r="AL540" i="50"/>
  <c r="AL459" i="50"/>
  <c r="AL304" i="50"/>
  <c r="AM636" i="50"/>
  <c r="AM639" i="50"/>
  <c r="AL513" i="50"/>
  <c r="AL286" i="50"/>
  <c r="AM634" i="50"/>
  <c r="AL562" i="50"/>
  <c r="AL340" i="50"/>
  <c r="AL344" i="50"/>
  <c r="AL404" i="50"/>
  <c r="AL393" i="50"/>
  <c r="AL310" i="50"/>
  <c r="AL282" i="50"/>
  <c r="AL554" i="50"/>
  <c r="AL575" i="50"/>
  <c r="AL496" i="50"/>
  <c r="AL464" i="50"/>
  <c r="AL432" i="50"/>
  <c r="AM662" i="50"/>
  <c r="AL566" i="50"/>
  <c r="AL549" i="50"/>
  <c r="AL293" i="50"/>
  <c r="AL298" i="50"/>
  <c r="AL560" i="50"/>
  <c r="AL520" i="50"/>
  <c r="AL443" i="50"/>
  <c r="AL435" i="50"/>
  <c r="AL574" i="50"/>
  <c r="AL526" i="50"/>
  <c r="AL352" i="50"/>
  <c r="AL412" i="50"/>
  <c r="AL292" i="50"/>
  <c r="AL514" i="50"/>
  <c r="AL498" i="50"/>
  <c r="AL365" i="50"/>
  <c r="AL485" i="50"/>
  <c r="AL453" i="50"/>
  <c r="AL544" i="50"/>
  <c r="AL384" i="50"/>
  <c r="AL597" i="50"/>
  <c r="AM635" i="50"/>
  <c r="AL604" i="50"/>
  <c r="AL592" i="50"/>
  <c r="AL471" i="50"/>
  <c r="AL508" i="50"/>
  <c r="AL501" i="50"/>
  <c r="AL492" i="50"/>
  <c r="AL503" i="50"/>
  <c r="AL364" i="50"/>
  <c r="AL429" i="50"/>
  <c r="AL602" i="50"/>
  <c r="AL596" i="50"/>
  <c r="AL539" i="50"/>
  <c r="AL482" i="50"/>
  <c r="AL450" i="50"/>
  <c r="AL308" i="50"/>
  <c r="AL299" i="50"/>
  <c r="AL419" i="50"/>
  <c r="AL322" i="50"/>
  <c r="AL570" i="50"/>
  <c r="AL483" i="50"/>
  <c r="AL460" i="50"/>
  <c r="AL342" i="50"/>
  <c r="AL605" i="50"/>
  <c r="AL581" i="50"/>
  <c r="AL479" i="50"/>
  <c r="AM624" i="50"/>
  <c r="AL341" i="50"/>
  <c r="AL353" i="50"/>
  <c r="AL357" i="50"/>
  <c r="AL369" i="50"/>
  <c r="AL550" i="50"/>
  <c r="AL538" i="50"/>
  <c r="AM646" i="50"/>
  <c r="AL473" i="50"/>
  <c r="AL309" i="50"/>
  <c r="AL599" i="50"/>
  <c r="AL610" i="50"/>
  <c r="AL608" i="50"/>
  <c r="AL280" i="50"/>
  <c r="AL354" i="50"/>
  <c r="AL391" i="50"/>
  <c r="AL398" i="50"/>
  <c r="AL546" i="50"/>
  <c r="AL537" i="50"/>
  <c r="X40" i="50"/>
  <c r="Y40" i="50"/>
  <c r="AA40" i="50" s="1"/>
  <c r="Y13" i="50"/>
  <c r="AA13" i="50" s="1"/>
  <c r="AN283" i="50"/>
  <c r="Y70" i="50"/>
  <c r="AA70" i="50" s="1"/>
  <c r="X271" i="50"/>
  <c r="X89" i="50"/>
  <c r="Y37" i="50"/>
  <c r="X15" i="50"/>
  <c r="W208" i="50"/>
  <c r="W89" i="50"/>
  <c r="AN439" i="50"/>
  <c r="AN319" i="50"/>
  <c r="AN607" i="50"/>
  <c r="AN337" i="50"/>
  <c r="W37" i="50"/>
  <c r="X218" i="50"/>
  <c r="X77" i="50"/>
  <c r="X109" i="50"/>
  <c r="W160" i="50"/>
  <c r="AN433" i="50"/>
  <c r="Y15" i="50"/>
  <c r="AA15" i="50" s="1"/>
  <c r="W54" i="50"/>
  <c r="W15" i="50"/>
  <c r="X37" i="50"/>
  <c r="Y89" i="50"/>
  <c r="AN282" i="50"/>
  <c r="AN659" i="50"/>
  <c r="AN554" i="50"/>
  <c r="AN527" i="50"/>
  <c r="AN576" i="50"/>
  <c r="AN575" i="50"/>
  <c r="AN306" i="50"/>
  <c r="Y271" i="50"/>
  <c r="W271" i="50"/>
  <c r="AN290" i="50"/>
  <c r="AN327" i="50"/>
  <c r="AN593" i="50"/>
  <c r="AN340" i="50"/>
  <c r="AN344" i="50"/>
  <c r="AN588" i="50"/>
  <c r="AN504" i="50"/>
  <c r="AN591" i="50"/>
  <c r="AN512" i="50"/>
  <c r="AN472" i="50"/>
  <c r="AN440" i="50"/>
  <c r="AN530" i="50"/>
  <c r="AN552" i="50"/>
  <c r="AN519" i="50"/>
  <c r="AN540" i="50"/>
  <c r="AN468" i="50"/>
  <c r="AN286" i="50"/>
  <c r="AN566" i="50"/>
  <c r="AN507" i="50"/>
  <c r="AN317" i="50"/>
  <c r="AN279" i="50"/>
  <c r="AN515" i="50"/>
  <c r="AN345" i="50"/>
  <c r="AN420" i="50"/>
  <c r="AN660" i="50"/>
  <c r="AN560" i="50"/>
  <c r="AN487" i="50"/>
  <c r="W40" i="50"/>
  <c r="AN547" i="50"/>
  <c r="W49" i="50"/>
  <c r="AN313" i="50"/>
  <c r="AN643" i="50"/>
  <c r="AN463" i="50"/>
  <c r="AN403" i="50"/>
  <c r="AN631" i="50"/>
  <c r="AN655" i="50"/>
  <c r="AN400" i="50"/>
  <c r="AN389" i="50"/>
  <c r="AN405" i="50"/>
  <c r="AN471" i="50"/>
  <c r="AN489" i="50"/>
  <c r="AN526" i="50"/>
  <c r="AN491" i="50"/>
  <c r="AN501" i="50"/>
  <c r="AN492" i="50"/>
  <c r="AN503" i="50"/>
  <c r="AN438" i="50"/>
  <c r="AN568" i="50"/>
  <c r="AN292" i="50"/>
  <c r="AN596" i="50"/>
  <c r="AN495" i="50"/>
  <c r="AN482" i="50"/>
  <c r="AN450" i="50"/>
  <c r="AN413" i="50"/>
  <c r="AN311" i="50"/>
  <c r="AN470" i="50"/>
  <c r="AN351" i="50"/>
  <c r="AN608" i="50"/>
  <c r="AN486" i="50"/>
  <c r="AN312" i="50"/>
  <c r="AN656" i="50"/>
  <c r="AN654" i="50"/>
  <c r="AN642" i="50"/>
  <c r="AM290" i="50"/>
  <c r="AM286" i="50"/>
  <c r="AN652" i="50"/>
  <c r="AM282" i="50"/>
  <c r="AM292" i="50"/>
  <c r="AN415" i="50"/>
  <c r="AM288" i="50"/>
  <c r="AN559" i="50"/>
  <c r="AN427" i="50"/>
  <c r="AM299" i="50"/>
  <c r="AM279" i="50"/>
  <c r="AM287" i="50"/>
  <c r="AM285" i="50"/>
  <c r="AM276" i="50"/>
  <c r="AM306" i="50"/>
  <c r="AN371" i="50"/>
  <c r="AN375" i="50"/>
  <c r="AN629" i="50"/>
  <c r="AN597" i="50"/>
  <c r="AN574" i="50"/>
  <c r="AN587" i="50"/>
  <c r="AN558" i="50"/>
  <c r="AN542" i="50"/>
  <c r="AM283" i="50"/>
  <c r="AM281" i="50"/>
  <c r="AN459" i="50"/>
  <c r="AN658" i="50"/>
  <c r="AN634" i="50"/>
  <c r="AN562" i="50"/>
  <c r="AN352" i="50"/>
  <c r="AN404" i="50"/>
  <c r="AN393" i="50"/>
  <c r="AN412" i="50"/>
  <c r="AN653" i="50"/>
  <c r="AN602" i="50"/>
  <c r="AN539" i="50"/>
  <c r="AN496" i="50"/>
  <c r="AN464" i="50"/>
  <c r="AN432" i="50"/>
  <c r="AN308" i="50"/>
  <c r="AN299" i="50"/>
  <c r="AN549" i="50"/>
  <c r="AN514" i="50"/>
  <c r="AN460" i="50"/>
  <c r="AN293" i="50"/>
  <c r="AN342" i="50"/>
  <c r="AN382" i="50"/>
  <c r="AN605" i="50"/>
  <c r="AN341" i="50"/>
  <c r="AN353" i="50"/>
  <c r="AN357" i="50"/>
  <c r="AN416" i="50"/>
  <c r="AM302" i="50"/>
  <c r="AN619" i="50"/>
  <c r="AM303" i="50"/>
  <c r="AM295" i="50"/>
  <c r="AN657" i="50"/>
  <c r="AN298" i="50"/>
  <c r="AN610" i="50"/>
  <c r="AN544" i="50"/>
  <c r="AN520" i="50"/>
  <c r="AN443" i="50"/>
  <c r="AM280" i="50"/>
  <c r="AN435" i="50"/>
  <c r="AN367" i="50"/>
  <c r="AM304" i="50"/>
  <c r="AN535" i="50"/>
  <c r="AM293" i="50"/>
  <c r="AM275" i="50"/>
  <c r="AM298" i="50"/>
  <c r="AN583" i="50"/>
  <c r="AM300" i="50"/>
  <c r="AM278" i="50"/>
  <c r="AN360" i="50"/>
  <c r="AN390" i="50"/>
  <c r="AN572" i="50"/>
  <c r="AN392" i="50"/>
  <c r="AN394" i="50"/>
  <c r="AN414" i="50"/>
  <c r="AN578" i="50"/>
  <c r="AN564" i="50"/>
  <c r="AN456" i="50"/>
  <c r="AN355" i="50"/>
  <c r="AN511" i="50"/>
  <c r="AN475" i="50"/>
  <c r="AN461" i="50"/>
  <c r="AN429" i="50"/>
  <c r="AN595" i="50"/>
  <c r="AN449" i="50"/>
  <c r="AN419" i="50"/>
  <c r="AN322" i="50"/>
  <c r="AN483" i="50"/>
  <c r="AN473" i="50"/>
  <c r="AN441" i="50"/>
  <c r="AN434" i="50"/>
  <c r="AN600" i="50"/>
  <c r="AN537" i="50"/>
  <c r="AN500" i="50"/>
  <c r="AN585" i="50"/>
  <c r="AN573" i="50"/>
  <c r="AN484" i="50"/>
  <c r="AN452" i="50"/>
  <c r="AN582" i="50"/>
  <c r="AN281" i="50"/>
  <c r="AN370" i="50"/>
  <c r="AN378" i="50"/>
  <c r="AN359" i="50"/>
  <c r="AN363" i="50"/>
  <c r="AN386" i="50"/>
  <c r="AN402" i="50"/>
  <c r="AN423" i="50"/>
  <c r="AN436" i="50"/>
  <c r="AN297" i="50"/>
  <c r="AN536" i="50"/>
  <c r="AN334" i="50"/>
  <c r="AN362" i="50"/>
  <c r="AN518" i="50"/>
  <c r="AN480" i="50"/>
  <c r="AN288" i="50"/>
  <c r="AN557" i="50"/>
  <c r="AN294" i="50"/>
  <c r="AN594" i="50"/>
  <c r="AN467" i="50"/>
  <c r="AN444" i="50"/>
  <c r="AN356" i="50"/>
  <c r="AN364" i="50"/>
  <c r="AN408" i="50"/>
  <c r="AN598" i="50"/>
  <c r="AN633" i="50"/>
  <c r="AN579" i="50"/>
  <c r="AN329" i="50"/>
  <c r="AN333" i="50"/>
  <c r="AN650" i="50"/>
  <c r="AN534" i="50"/>
  <c r="AN538" i="50"/>
  <c r="AN488" i="50"/>
  <c r="AN561" i="50"/>
  <c r="AN545" i="50"/>
  <c r="AN580" i="50"/>
  <c r="AN584" i="50"/>
  <c r="AN285" i="50"/>
  <c r="AM273" i="50"/>
  <c r="AN291" i="50"/>
  <c r="AN276" i="50"/>
  <c r="AN590" i="50"/>
  <c r="AN506" i="50"/>
  <c r="AN524" i="50"/>
  <c r="AN275" i="50"/>
  <c r="AN387" i="50"/>
  <c r="AN555" i="50"/>
  <c r="AN531" i="50"/>
  <c r="AN522" i="50"/>
  <c r="AN302" i="50"/>
  <c r="AN280" i="50"/>
  <c r="AN348" i="50"/>
  <c r="AN384" i="50"/>
  <c r="AN437" i="50"/>
  <c r="AN411" i="50"/>
  <c r="AN418" i="50"/>
  <c r="AN490" i="50"/>
  <c r="AN458" i="50"/>
  <c r="AN304" i="50"/>
  <c r="AN636" i="50"/>
  <c r="AN639" i="50"/>
  <c r="AN513" i="50"/>
  <c r="AN528" i="50"/>
  <c r="AN533" i="50"/>
  <c r="AN497" i="50"/>
  <c r="AN417" i="50"/>
  <c r="AN627" i="50"/>
  <c r="AN381" i="50"/>
  <c r="AN648" i="50"/>
  <c r="AN550" i="50"/>
  <c r="AN455" i="50"/>
  <c r="AN474" i="50"/>
  <c r="AN646" i="50"/>
  <c r="AN494" i="50"/>
  <c r="AN462" i="50"/>
  <c r="AN428" i="50"/>
  <c r="AN516" i="50"/>
  <c r="AN350" i="50"/>
  <c r="AN320" i="50"/>
  <c r="AN614" i="50"/>
  <c r="AN641" i="50"/>
  <c r="AN609" i="50"/>
  <c r="AN478" i="50"/>
  <c r="AN446" i="50"/>
  <c r="AN620" i="50"/>
  <c r="AN548" i="50"/>
  <c r="AN396" i="50"/>
  <c r="AN410" i="50"/>
  <c r="AN632" i="50"/>
  <c r="AN606" i="50"/>
  <c r="AN551" i="50"/>
  <c r="AN509" i="50"/>
  <c r="AN477" i="50"/>
  <c r="AN466" i="50"/>
  <c r="AN454" i="50"/>
  <c r="AN315" i="50"/>
  <c r="AN324" i="50"/>
  <c r="AN368" i="50"/>
  <c r="AN372" i="50"/>
  <c r="AN406" i="50"/>
  <c r="AN638" i="50"/>
  <c r="AN621" i="50"/>
  <c r="AN543" i="50"/>
  <c r="AN644" i="50"/>
  <c r="AN623" i="50"/>
  <c r="AN556" i="50"/>
  <c r="AN377" i="50"/>
  <c r="AN622" i="50"/>
  <c r="AN645" i="50"/>
  <c r="AN525" i="50"/>
  <c r="AN532" i="50"/>
  <c r="AN425" i="50"/>
  <c r="AN321" i="50"/>
  <c r="AN287" i="50"/>
  <c r="AM272" i="50"/>
  <c r="AN651" i="50"/>
  <c r="AN442" i="50"/>
  <c r="AN426" i="50"/>
  <c r="AN323" i="50"/>
  <c r="AN303" i="50"/>
  <c r="AN563" i="50"/>
  <c r="AN273" i="50"/>
  <c r="AN326" i="50"/>
  <c r="AN330" i="50"/>
  <c r="AN338" i="50"/>
  <c r="AN354" i="50"/>
  <c r="AN380" i="50"/>
  <c r="AN401" i="50"/>
  <c r="AN398" i="50"/>
  <c r="AN300" i="50"/>
  <c r="AN611" i="50"/>
  <c r="AN546" i="50"/>
  <c r="AN521" i="50"/>
  <c r="AN447" i="50"/>
  <c r="AN617" i="50"/>
  <c r="AN335" i="50"/>
  <c r="AN339" i="50"/>
  <c r="AN395" i="50"/>
  <c r="AN347" i="50"/>
  <c r="AN318" i="50"/>
  <c r="AN305" i="50"/>
  <c r="AN296" i="50"/>
  <c r="AN612" i="50"/>
  <c r="AN635" i="50"/>
  <c r="AN603" i="50"/>
  <c r="AN618" i="50"/>
  <c r="AN592" i="50"/>
  <c r="AN508" i="50"/>
  <c r="AN431" i="50"/>
  <c r="AN274" i="50"/>
  <c r="AN284" i="50"/>
  <c r="AN647" i="50"/>
  <c r="AN615" i="50"/>
  <c r="AN626" i="50"/>
  <c r="AN586" i="50"/>
  <c r="AN328" i="50"/>
  <c r="AN332" i="50"/>
  <c r="AN336" i="50"/>
  <c r="AN383" i="50"/>
  <c r="AN399" i="50"/>
  <c r="AN346" i="50"/>
  <c r="AN310" i="50"/>
  <c r="AN570" i="50"/>
  <c r="AN510" i="50"/>
  <c r="AN581" i="50"/>
  <c r="AN479" i="50"/>
  <c r="AN498" i="50"/>
  <c r="AN407" i="50"/>
  <c r="AN630" i="50"/>
  <c r="AN624" i="50"/>
  <c r="AN569" i="50"/>
  <c r="AN465" i="50"/>
  <c r="AN567" i="50"/>
  <c r="AN476" i="50"/>
  <c r="AN365" i="50"/>
  <c r="AN369" i="50"/>
  <c r="AN485" i="50"/>
  <c r="AN453" i="50"/>
  <c r="AN272" i="50"/>
  <c r="AN430" i="50"/>
  <c r="AN422" i="50"/>
  <c r="AN314" i="50"/>
  <c r="AN309" i="50"/>
  <c r="AN599" i="50"/>
  <c r="AN358" i="50"/>
  <c r="AN366" i="50"/>
  <c r="AN374" i="50"/>
  <c r="AN448" i="50"/>
  <c r="AN278" i="50"/>
  <c r="AH217" i="50"/>
  <c r="AO217" i="50"/>
  <c r="AH176" i="50"/>
  <c r="AO176" i="50"/>
  <c r="AH144" i="50"/>
  <c r="AO144" i="50"/>
  <c r="AH112" i="50"/>
  <c r="AO112" i="50"/>
  <c r="AH70" i="50"/>
  <c r="AO70" i="50"/>
  <c r="AH24" i="50"/>
  <c r="AO24" i="50"/>
  <c r="AH243" i="50"/>
  <c r="AO243" i="50"/>
  <c r="AH203" i="50"/>
  <c r="AO203" i="50"/>
  <c r="AH155" i="50"/>
  <c r="AO155" i="50"/>
  <c r="AH123" i="50"/>
  <c r="AO123" i="50"/>
  <c r="AH270" i="50"/>
  <c r="AO270" i="50"/>
  <c r="AH254" i="50"/>
  <c r="AO254" i="50"/>
  <c r="AH222" i="50"/>
  <c r="AO222" i="50"/>
  <c r="AH94" i="50"/>
  <c r="AO94" i="50"/>
  <c r="AH66" i="50"/>
  <c r="AO66" i="50"/>
  <c r="AH81" i="50"/>
  <c r="AO81" i="50"/>
  <c r="AH33" i="50"/>
  <c r="AO33" i="50"/>
  <c r="AH245" i="50"/>
  <c r="AO245" i="50"/>
  <c r="AH165" i="50"/>
  <c r="AO165" i="50"/>
  <c r="AH121" i="50"/>
  <c r="AO121" i="50"/>
  <c r="AH72" i="50"/>
  <c r="AO72" i="50"/>
  <c r="AH252" i="50"/>
  <c r="AO252" i="50"/>
  <c r="AH236" i="50"/>
  <c r="AO236" i="50"/>
  <c r="AH220" i="50"/>
  <c r="AO220" i="50"/>
  <c r="AH204" i="50"/>
  <c r="AO204" i="50"/>
  <c r="AH156" i="50"/>
  <c r="AO156" i="50"/>
  <c r="AH124" i="50"/>
  <c r="AO124" i="50"/>
  <c r="AH92" i="50"/>
  <c r="AO92" i="50"/>
  <c r="AH30" i="50"/>
  <c r="AO30" i="50"/>
  <c r="AH241" i="50"/>
  <c r="AO241" i="50"/>
  <c r="AH177" i="50"/>
  <c r="AO177" i="50"/>
  <c r="AH105" i="50"/>
  <c r="AO105" i="50"/>
  <c r="AH239" i="50"/>
  <c r="AO239" i="50"/>
  <c r="AH215" i="50"/>
  <c r="AO215" i="50"/>
  <c r="AH167" i="50"/>
  <c r="AO167" i="50"/>
  <c r="AH135" i="50"/>
  <c r="AO135" i="50"/>
  <c r="AH119" i="50"/>
  <c r="AO119" i="50"/>
  <c r="AH52" i="50"/>
  <c r="AO52" i="50"/>
  <c r="AH20" i="50"/>
  <c r="AO20" i="50"/>
  <c r="AH193" i="50"/>
  <c r="AO193" i="50"/>
  <c r="AH149" i="50"/>
  <c r="AO149" i="50"/>
  <c r="AH32" i="50"/>
  <c r="AO32" i="50"/>
  <c r="AH266" i="50"/>
  <c r="AO266" i="50"/>
  <c r="AH250" i="50"/>
  <c r="AO250" i="50"/>
  <c r="AH234" i="50"/>
  <c r="AO234" i="50"/>
  <c r="AH202" i="50"/>
  <c r="AO202" i="50"/>
  <c r="AH186" i="50"/>
  <c r="AO186" i="50"/>
  <c r="AH170" i="50"/>
  <c r="AO170" i="50"/>
  <c r="AH154" i="50"/>
  <c r="AO154" i="50"/>
  <c r="AH122" i="50"/>
  <c r="AO122" i="50"/>
  <c r="AH90" i="50"/>
  <c r="AO90" i="50"/>
  <c r="AH26" i="50"/>
  <c r="AO26" i="50"/>
  <c r="AH63" i="50"/>
  <c r="AO63" i="50"/>
  <c r="AH47" i="50"/>
  <c r="AO47" i="50"/>
  <c r="AH15" i="50"/>
  <c r="AO15" i="50"/>
  <c r="AH256" i="50"/>
  <c r="AO256" i="50"/>
  <c r="AH240" i="50"/>
  <c r="AO240" i="50"/>
  <c r="AH192" i="50"/>
  <c r="AO192" i="50"/>
  <c r="AH160" i="50"/>
  <c r="AO160" i="50"/>
  <c r="AH60" i="50"/>
  <c r="AO60" i="50"/>
  <c r="AH201" i="50"/>
  <c r="AO201" i="50"/>
  <c r="AH110" i="50"/>
  <c r="AO110" i="50"/>
  <c r="AH35" i="50"/>
  <c r="AO35" i="50"/>
  <c r="AH65" i="50"/>
  <c r="AO65" i="50"/>
  <c r="AH153" i="50"/>
  <c r="AO153" i="50"/>
  <c r="AH264" i="50"/>
  <c r="AO264" i="50"/>
  <c r="AH231" i="50"/>
  <c r="AO231" i="50"/>
  <c r="AH179" i="50"/>
  <c r="AO179" i="50"/>
  <c r="AH76" i="50"/>
  <c r="AO76" i="50"/>
  <c r="AH229" i="50"/>
  <c r="AO229" i="50"/>
  <c r="AH185" i="50"/>
  <c r="AO185" i="50"/>
  <c r="AH97" i="50"/>
  <c r="AO97" i="50"/>
  <c r="AH267" i="50"/>
  <c r="AO267" i="50"/>
  <c r="AH262" i="50"/>
  <c r="AO262" i="50"/>
  <c r="AH246" i="50"/>
  <c r="AO246" i="50"/>
  <c r="AH230" i="50"/>
  <c r="AO230" i="50"/>
  <c r="AH214" i="50"/>
  <c r="AO214" i="50"/>
  <c r="AH182" i="50"/>
  <c r="AO182" i="50"/>
  <c r="AH166" i="50"/>
  <c r="AO166" i="50"/>
  <c r="AH134" i="50"/>
  <c r="AO134" i="50"/>
  <c r="AH102" i="50"/>
  <c r="AO102" i="50"/>
  <c r="AH82" i="50"/>
  <c r="AO82" i="50"/>
  <c r="AH50" i="50"/>
  <c r="AO50" i="50"/>
  <c r="AH75" i="50"/>
  <c r="AO75" i="50"/>
  <c r="AH59" i="50"/>
  <c r="AO59" i="50"/>
  <c r="AH57" i="50"/>
  <c r="AO57" i="50"/>
  <c r="AH41" i="50"/>
  <c r="AO41" i="50"/>
  <c r="AH25" i="50"/>
  <c r="AO25" i="50"/>
  <c r="AH261" i="50"/>
  <c r="AO261" i="50"/>
  <c r="AH133" i="50"/>
  <c r="AO133" i="50"/>
  <c r="AH16" i="50"/>
  <c r="AO16" i="50"/>
  <c r="AH224" i="50"/>
  <c r="AO224" i="50"/>
  <c r="AH96" i="50"/>
  <c r="AO96" i="50"/>
  <c r="AH171" i="50"/>
  <c r="AO171" i="50"/>
  <c r="AH107" i="50"/>
  <c r="AO107" i="50"/>
  <c r="AH255" i="50"/>
  <c r="AO255" i="50"/>
  <c r="AH190" i="50"/>
  <c r="AO190" i="50"/>
  <c r="AH174" i="50"/>
  <c r="AO174" i="50"/>
  <c r="AH126" i="50"/>
  <c r="AO126" i="50"/>
  <c r="AH49" i="50"/>
  <c r="AO49" i="50"/>
  <c r="AH17" i="50"/>
  <c r="AO17" i="50"/>
  <c r="AH233" i="50"/>
  <c r="AO233" i="50"/>
  <c r="AH197" i="50"/>
  <c r="AO197" i="50"/>
  <c r="AH113" i="50"/>
  <c r="AO113" i="50"/>
  <c r="AH232" i="50"/>
  <c r="AO232" i="50"/>
  <c r="AH200" i="50"/>
  <c r="AO200" i="50"/>
  <c r="AH184" i="50"/>
  <c r="AO184" i="50"/>
  <c r="AH152" i="50"/>
  <c r="AO152" i="50"/>
  <c r="AH136" i="50"/>
  <c r="AO136" i="50"/>
  <c r="AH104" i="50"/>
  <c r="AO104" i="50"/>
  <c r="AH86" i="50"/>
  <c r="AO86" i="50"/>
  <c r="AH54" i="50"/>
  <c r="AO54" i="50"/>
  <c r="AH22" i="50"/>
  <c r="AO22" i="50"/>
  <c r="AH263" i="50"/>
  <c r="AO263" i="50"/>
  <c r="AH147" i="50"/>
  <c r="AO147" i="50"/>
  <c r="AH131" i="50"/>
  <c r="AO131" i="50"/>
  <c r="AH99" i="50"/>
  <c r="AO99" i="50"/>
  <c r="AH44" i="50"/>
  <c r="AO44" i="50"/>
  <c r="AH269" i="50"/>
  <c r="AO269" i="50"/>
  <c r="AH137" i="50"/>
  <c r="AO137" i="50"/>
  <c r="AH265" i="50"/>
  <c r="AO265" i="50"/>
  <c r="AH225" i="50"/>
  <c r="AO225" i="50"/>
  <c r="AH181" i="50"/>
  <c r="AO181" i="50"/>
  <c r="AH145" i="50"/>
  <c r="AO145" i="50"/>
  <c r="AH101" i="50"/>
  <c r="AO101" i="50"/>
  <c r="AH244" i="50"/>
  <c r="AO244" i="50"/>
  <c r="AH212" i="50"/>
  <c r="AO212" i="50"/>
  <c r="AH196" i="50"/>
  <c r="AO196" i="50"/>
  <c r="AH180" i="50"/>
  <c r="AO180" i="50"/>
  <c r="AH164" i="50"/>
  <c r="AO164" i="50"/>
  <c r="AH132" i="50"/>
  <c r="AO132" i="50"/>
  <c r="AH116" i="50"/>
  <c r="AO116" i="50"/>
  <c r="AH100" i="50"/>
  <c r="AO100" i="50"/>
  <c r="AH46" i="50"/>
  <c r="AO46" i="50"/>
  <c r="AH14" i="50"/>
  <c r="AO14" i="50"/>
  <c r="AH209" i="50"/>
  <c r="AO209" i="50"/>
  <c r="AH141" i="50"/>
  <c r="AO141" i="50"/>
  <c r="AH64" i="50"/>
  <c r="AO64" i="50"/>
  <c r="AH207" i="50"/>
  <c r="AO207" i="50"/>
  <c r="AH159" i="50"/>
  <c r="AO159" i="50"/>
  <c r="AH143" i="50"/>
  <c r="AO143" i="50"/>
  <c r="AH36" i="50"/>
  <c r="AO36" i="50"/>
  <c r="AH257" i="50"/>
  <c r="AO257" i="50"/>
  <c r="AH213" i="50"/>
  <c r="AO213" i="50"/>
  <c r="AH169" i="50"/>
  <c r="AO169" i="50"/>
  <c r="AH129" i="50"/>
  <c r="AO129" i="50"/>
  <c r="AH80" i="50"/>
  <c r="AO80" i="50"/>
  <c r="AH219" i="50"/>
  <c r="AO219" i="50"/>
  <c r="AH226" i="50"/>
  <c r="AO226" i="50"/>
  <c r="AH210" i="50"/>
  <c r="AO210" i="50"/>
  <c r="AH162" i="50"/>
  <c r="AO162" i="50"/>
  <c r="AH146" i="50"/>
  <c r="AO146" i="50"/>
  <c r="AH130" i="50"/>
  <c r="AO130" i="50"/>
  <c r="AH114" i="50"/>
  <c r="AO114" i="50"/>
  <c r="AH74" i="50"/>
  <c r="AO74" i="50"/>
  <c r="AH42" i="50"/>
  <c r="AO42" i="50"/>
  <c r="AH87" i="50"/>
  <c r="AO87" i="50"/>
  <c r="AH39" i="50"/>
  <c r="AO39" i="50"/>
  <c r="AH23" i="50"/>
  <c r="AO23" i="50"/>
  <c r="AH85" i="50"/>
  <c r="AO85" i="50"/>
  <c r="AH69" i="50"/>
  <c r="AO69" i="50"/>
  <c r="AH53" i="50"/>
  <c r="AO53" i="50"/>
  <c r="AH37" i="50"/>
  <c r="AO37" i="50"/>
  <c r="AH21" i="50"/>
  <c r="AO21" i="50"/>
  <c r="Y114" i="50"/>
  <c r="Y30" i="50"/>
  <c r="X114" i="50"/>
  <c r="W114" i="50"/>
  <c r="X24" i="50"/>
  <c r="Y24" i="50"/>
  <c r="AA24" i="50" s="1"/>
  <c r="W30" i="50"/>
  <c r="W24" i="50"/>
  <c r="X30" i="50"/>
  <c r="W13" i="50"/>
  <c r="W86" i="50"/>
  <c r="Y223" i="50"/>
  <c r="Y81" i="50"/>
  <c r="W93" i="50"/>
  <c r="AH71" i="50"/>
  <c r="AO71" i="50"/>
  <c r="Y195" i="50"/>
  <c r="W19" i="50"/>
  <c r="Y69" i="50"/>
  <c r="X169" i="50"/>
  <c r="X13" i="50"/>
  <c r="Y19" i="50"/>
  <c r="AA19" i="50" s="1"/>
  <c r="X32" i="50"/>
  <c r="X49" i="50"/>
  <c r="W69" i="50"/>
  <c r="Y82" i="50"/>
  <c r="X72" i="50"/>
  <c r="W126" i="50"/>
  <c r="Y96" i="50"/>
  <c r="W102" i="50"/>
  <c r="Y173" i="50"/>
  <c r="W25" i="50"/>
  <c r="X63" i="50"/>
  <c r="Y116" i="50"/>
  <c r="X78" i="50"/>
  <c r="Y242" i="50"/>
  <c r="W225" i="50"/>
  <c r="Y17" i="50"/>
  <c r="AA17" i="50" s="1"/>
  <c r="Y72" i="50"/>
  <c r="W205" i="50"/>
  <c r="X45" i="50"/>
  <c r="W47" i="50"/>
  <c r="W34" i="50"/>
  <c r="Y111" i="50"/>
  <c r="W72" i="50"/>
  <c r="Y105" i="50"/>
  <c r="X242" i="50"/>
  <c r="Y210" i="50"/>
  <c r="X53" i="50"/>
  <c r="W111" i="50"/>
  <c r="Y80" i="50"/>
  <c r="X105" i="50"/>
  <c r="W240" i="50"/>
  <c r="X19" i="50"/>
  <c r="Y49" i="50"/>
  <c r="AA49" i="50" s="1"/>
  <c r="X69" i="50"/>
  <c r="X82" i="50"/>
  <c r="X94" i="50"/>
  <c r="Y200" i="50"/>
  <c r="W222" i="50"/>
  <c r="X57" i="50"/>
  <c r="W82" i="50"/>
  <c r="Y167" i="50"/>
  <c r="Y199" i="50"/>
  <c r="X237" i="50"/>
  <c r="X186" i="50"/>
  <c r="Y33" i="50"/>
  <c r="Y16" i="50"/>
  <c r="AA16" i="50" s="1"/>
  <c r="Y44" i="50"/>
  <c r="X61" i="50"/>
  <c r="W78" i="50"/>
  <c r="Y231" i="50"/>
  <c r="X137" i="50"/>
  <c r="X71" i="50"/>
  <c r="W20" i="50"/>
  <c r="Y26" i="50"/>
  <c r="Y53" i="50"/>
  <c r="W79" i="50"/>
  <c r="W113" i="50"/>
  <c r="W96" i="50"/>
  <c r="Y58" i="50"/>
  <c r="Y119" i="50"/>
  <c r="X190" i="50"/>
  <c r="Y215" i="50"/>
  <c r="X195" i="50"/>
  <c r="Y221" i="50"/>
  <c r="Y178" i="50"/>
  <c r="Y197" i="50"/>
  <c r="W28" i="50"/>
  <c r="X17" i="50"/>
  <c r="Y25" i="50"/>
  <c r="X39" i="50"/>
  <c r="W44" i="50"/>
  <c r="Y63" i="50"/>
  <c r="X91" i="50"/>
  <c r="W64" i="50"/>
  <c r="X80" i="50"/>
  <c r="W104" i="50"/>
  <c r="W58" i="50"/>
  <c r="W90" i="50"/>
  <c r="X143" i="50"/>
  <c r="W231" i="50"/>
  <c r="Y240" i="50"/>
  <c r="Y205" i="50"/>
  <c r="AA205" i="50" s="1"/>
  <c r="W128" i="50"/>
  <c r="Y134" i="50"/>
  <c r="W137" i="50"/>
  <c r="W221" i="50"/>
  <c r="X178" i="50"/>
  <c r="W26" i="50"/>
  <c r="X21" i="50"/>
  <c r="Y39" i="50"/>
  <c r="X112" i="50"/>
  <c r="Y97" i="50"/>
  <c r="W70" i="50"/>
  <c r="X245" i="50"/>
  <c r="W17" i="50"/>
  <c r="X20" i="50"/>
  <c r="X26" i="50"/>
  <c r="Y21" i="50"/>
  <c r="AA21" i="50" s="1"/>
  <c r="W39" i="50"/>
  <c r="Y45" i="50"/>
  <c r="W53" i="50"/>
  <c r="X47" i="50"/>
  <c r="W63" i="50"/>
  <c r="Y79" i="50"/>
  <c r="AA79" i="50" s="1"/>
  <c r="W91" i="50"/>
  <c r="Y113" i="50"/>
  <c r="Y112" i="50"/>
  <c r="W80" i="50"/>
  <c r="X104" i="50"/>
  <c r="X65" i="50"/>
  <c r="X97" i="50"/>
  <c r="W105" i="50"/>
  <c r="W66" i="50"/>
  <c r="X74" i="50"/>
  <c r="X90" i="50"/>
  <c r="X102" i="50"/>
  <c r="X119" i="50"/>
  <c r="X243" i="50"/>
  <c r="Y126" i="50"/>
  <c r="Y174" i="50"/>
  <c r="X128" i="50"/>
  <c r="X152" i="50"/>
  <c r="W195" i="50"/>
  <c r="X230" i="50"/>
  <c r="W242" i="50"/>
  <c r="X145" i="50"/>
  <c r="Y217" i="50"/>
  <c r="Y225" i="50"/>
  <c r="X233" i="50"/>
  <c r="Y245" i="50"/>
  <c r="W178" i="50"/>
  <c r="X210" i="50"/>
  <c r="W16" i="50"/>
  <c r="W33" i="50"/>
  <c r="W71" i="50"/>
  <c r="W61" i="50"/>
  <c r="W191" i="50"/>
  <c r="W215" i="50"/>
  <c r="W144" i="50"/>
  <c r="X134" i="50"/>
  <c r="Y233" i="50"/>
  <c r="W197" i="50"/>
  <c r="Y28" i="50"/>
  <c r="AA28" i="50" s="1"/>
  <c r="X16" i="50"/>
  <c r="Y20" i="50"/>
  <c r="AA20" i="50" s="1"/>
  <c r="X25" i="50"/>
  <c r="W21" i="50"/>
  <c r="W27" i="50"/>
  <c r="X33" i="50"/>
  <c r="W45" i="50"/>
  <c r="X41" i="50"/>
  <c r="X44" i="50"/>
  <c r="Y47" i="50"/>
  <c r="X59" i="50"/>
  <c r="Y71" i="50"/>
  <c r="AA71" i="50" s="1"/>
  <c r="X79" i="50"/>
  <c r="X111" i="50"/>
  <c r="X113" i="50"/>
  <c r="W112" i="50"/>
  <c r="X96" i="50"/>
  <c r="Y104" i="50"/>
  <c r="Y61" i="50"/>
  <c r="W65" i="50"/>
  <c r="W97" i="50"/>
  <c r="X58" i="50"/>
  <c r="X70" i="50"/>
  <c r="Y78" i="50"/>
  <c r="Y90" i="50"/>
  <c r="Y102" i="50"/>
  <c r="W119" i="50"/>
  <c r="X231" i="50"/>
  <c r="X240" i="50"/>
  <c r="X126" i="50"/>
  <c r="X205" i="50"/>
  <c r="X215" i="50"/>
  <c r="Y128" i="50"/>
  <c r="X224" i="50"/>
  <c r="Y230" i="50"/>
  <c r="Y137" i="50"/>
  <c r="X153" i="50"/>
  <c r="X221" i="50"/>
  <c r="X225" i="50"/>
  <c r="W233" i="50"/>
  <c r="W245" i="50"/>
  <c r="Y186" i="50"/>
  <c r="W210" i="50"/>
  <c r="W251" i="50"/>
  <c r="X101" i="50"/>
  <c r="X52" i="50"/>
  <c r="Y179" i="50"/>
  <c r="W218" i="50"/>
  <c r="Y52" i="50"/>
  <c r="X54" i="50"/>
  <c r="X103" i="50"/>
  <c r="Y101" i="50"/>
  <c r="Y208" i="50"/>
  <c r="X160" i="50"/>
  <c r="W46" i="50"/>
  <c r="Y103" i="50"/>
  <c r="W109" i="50"/>
  <c r="W52" i="50"/>
  <c r="X46" i="50"/>
  <c r="Y54" i="50"/>
  <c r="AA54" i="50" s="1"/>
  <c r="W103" i="50"/>
  <c r="W101" i="50"/>
  <c r="Y109" i="50"/>
  <c r="X208" i="50"/>
  <c r="Y218" i="50"/>
  <c r="Y160" i="50"/>
  <c r="X14" i="50"/>
  <c r="X239" i="50"/>
  <c r="W187" i="50"/>
  <c r="Y237" i="50"/>
  <c r="Y158" i="50"/>
  <c r="X23" i="50"/>
  <c r="W32" i="50"/>
  <c r="W57" i="50"/>
  <c r="X81" i="50"/>
  <c r="Y94" i="50"/>
  <c r="X167" i="50"/>
  <c r="Y176" i="50"/>
  <c r="Y23" i="50"/>
  <c r="AA23" i="50" s="1"/>
  <c r="X38" i="50"/>
  <c r="X36" i="50"/>
  <c r="Y87" i="50"/>
  <c r="Y88" i="50"/>
  <c r="Y73" i="50"/>
  <c r="W81" i="50"/>
  <c r="X93" i="50"/>
  <c r="Y86" i="50"/>
  <c r="W94" i="50"/>
  <c r="Y151" i="50"/>
  <c r="W167" i="50"/>
  <c r="Y239" i="50"/>
  <c r="X176" i="50"/>
  <c r="Y211" i="50"/>
  <c r="W14" i="50"/>
  <c r="Y36" i="50"/>
  <c r="X87" i="50"/>
  <c r="W223" i="50"/>
  <c r="W199" i="50"/>
  <c r="Y14" i="50"/>
  <c r="AA14" i="50" s="1"/>
  <c r="Y32" i="50"/>
  <c r="W36" i="50"/>
  <c r="W87" i="50"/>
  <c r="W117" i="50"/>
  <c r="W88" i="50"/>
  <c r="Y57" i="50"/>
  <c r="Y93" i="50"/>
  <c r="X86" i="50"/>
  <c r="W151" i="50"/>
  <c r="X223" i="50"/>
  <c r="W239" i="50"/>
  <c r="W176" i="50"/>
  <c r="X199" i="50"/>
  <c r="Y77" i="50"/>
  <c r="X179" i="50"/>
  <c r="X229" i="50"/>
  <c r="Y55" i="50"/>
  <c r="W77" i="50"/>
  <c r="X62" i="50"/>
  <c r="W179" i="50"/>
  <c r="W183" i="50"/>
  <c r="X207" i="50"/>
  <c r="Y229" i="50"/>
  <c r="X55" i="50"/>
  <c r="W55" i="50"/>
  <c r="W229" i="50"/>
  <c r="X188" i="50"/>
  <c r="X64" i="50"/>
  <c r="Y136" i="50"/>
  <c r="W192" i="50"/>
  <c r="W186" i="50"/>
  <c r="X31" i="50"/>
  <c r="W56" i="50"/>
  <c r="Y95" i="50"/>
  <c r="Y74" i="50"/>
  <c r="X110" i="50"/>
  <c r="X170" i="50"/>
  <c r="X174" i="50"/>
  <c r="X238" i="50"/>
  <c r="Y224" i="50"/>
  <c r="Y189" i="50"/>
  <c r="W230" i="50"/>
  <c r="X129" i="50"/>
  <c r="Y153" i="50"/>
  <c r="X217" i="50"/>
  <c r="Y241" i="50"/>
  <c r="W142" i="50"/>
  <c r="W59" i="50"/>
  <c r="X95" i="50"/>
  <c r="Y64" i="50"/>
  <c r="Y84" i="50"/>
  <c r="Y65" i="50"/>
  <c r="AA65" i="50" s="1"/>
  <c r="W74" i="50"/>
  <c r="W110" i="50"/>
  <c r="X127" i="50"/>
  <c r="W170" i="50"/>
  <c r="W174" i="50"/>
  <c r="Y238" i="50"/>
  <c r="W136" i="50"/>
  <c r="X196" i="50"/>
  <c r="W224" i="50"/>
  <c r="W189" i="50"/>
  <c r="Y129" i="50"/>
  <c r="Y141" i="50"/>
  <c r="W217" i="50"/>
  <c r="Y154" i="50"/>
  <c r="X194" i="50"/>
  <c r="X197" i="50"/>
  <c r="X248" i="50"/>
  <c r="X48" i="50"/>
  <c r="Y62" i="50"/>
  <c r="W98" i="50"/>
  <c r="X106" i="50"/>
  <c r="X232" i="50"/>
  <c r="W188" i="50"/>
  <c r="W196" i="50"/>
  <c r="Y207" i="50"/>
  <c r="X241" i="50"/>
  <c r="X234" i="50"/>
  <c r="W62" i="50"/>
  <c r="Y106" i="50"/>
  <c r="X135" i="50"/>
  <c r="Y232" i="50"/>
  <c r="X183" i="50"/>
  <c r="W207" i="50"/>
  <c r="W241" i="50"/>
  <c r="Y142" i="50"/>
  <c r="W85" i="50"/>
  <c r="W106" i="50"/>
  <c r="W232" i="50"/>
  <c r="Y188" i="50"/>
  <c r="Y196" i="50"/>
  <c r="Y183" i="50"/>
  <c r="X142" i="50"/>
  <c r="Y38" i="50"/>
  <c r="Y117" i="50"/>
  <c r="X73" i="50"/>
  <c r="X159" i="50"/>
  <c r="X200" i="50"/>
  <c r="Y187" i="50"/>
  <c r="X211" i="50"/>
  <c r="Y169" i="50"/>
  <c r="W237" i="50"/>
  <c r="X158" i="50"/>
  <c r="W177" i="50"/>
  <c r="W213" i="50"/>
  <c r="X264" i="50"/>
  <c r="W23" i="50"/>
  <c r="W38" i="50"/>
  <c r="Y67" i="50"/>
  <c r="X117" i="50"/>
  <c r="X88" i="50"/>
  <c r="W73" i="50"/>
  <c r="X151" i="50"/>
  <c r="W200" i="50"/>
  <c r="X187" i="50"/>
  <c r="W211" i="50"/>
  <c r="W169" i="50"/>
  <c r="W158" i="50"/>
  <c r="X222" i="50"/>
  <c r="X124" i="50"/>
  <c r="Y222" i="50"/>
  <c r="X175" i="50"/>
  <c r="X181" i="50"/>
  <c r="W234" i="50"/>
  <c r="W48" i="50"/>
  <c r="Y41" i="50"/>
  <c r="W31" i="50"/>
  <c r="W95" i="50"/>
  <c r="X56" i="50"/>
  <c r="Y85" i="50"/>
  <c r="X66" i="50"/>
  <c r="X98" i="50"/>
  <c r="Y127" i="50"/>
  <c r="W135" i="50"/>
  <c r="Y175" i="50"/>
  <c r="X191" i="50"/>
  <c r="W238" i="50"/>
  <c r="W120" i="50"/>
  <c r="X144" i="50"/>
  <c r="W184" i="50"/>
  <c r="Y192" i="50"/>
  <c r="AA192" i="50" s="1"/>
  <c r="W134" i="50"/>
  <c r="W129" i="50"/>
  <c r="W153" i="50"/>
  <c r="Y194" i="50"/>
  <c r="Y249" i="50"/>
  <c r="W260" i="50"/>
  <c r="Y48" i="50"/>
  <c r="AA48" i="50" s="1"/>
  <c r="Y31" i="50"/>
  <c r="Y135" i="50"/>
  <c r="AA135" i="50" s="1"/>
  <c r="Y180" i="50"/>
  <c r="X28" i="50"/>
  <c r="W41" i="50"/>
  <c r="Y56" i="50"/>
  <c r="AA56" i="50" s="1"/>
  <c r="X85" i="50"/>
  <c r="Y66" i="50"/>
  <c r="Y98" i="50"/>
  <c r="Y110" i="50"/>
  <c r="AA110" i="50" s="1"/>
  <c r="W127" i="50"/>
  <c r="Y170" i="50"/>
  <c r="AA170" i="50" s="1"/>
  <c r="W175" i="50"/>
  <c r="Y191" i="50"/>
  <c r="AA191" i="50" s="1"/>
  <c r="X136" i="50"/>
  <c r="Y144" i="50"/>
  <c r="AA144" i="50" s="1"/>
  <c r="X192" i="50"/>
  <c r="X189" i="50"/>
  <c r="W194" i="50"/>
  <c r="Y234" i="50"/>
  <c r="AA234" i="50" s="1"/>
  <c r="W261" i="50"/>
  <c r="W147" i="50"/>
  <c r="Y181" i="50"/>
  <c r="Y226" i="50"/>
  <c r="W180" i="50"/>
  <c r="Y118" i="50"/>
  <c r="W249" i="50"/>
  <c r="Y266" i="50"/>
  <c r="X118" i="50"/>
  <c r="X260" i="50"/>
  <c r="X261" i="50"/>
  <c r="X266" i="50"/>
  <c r="W181" i="50"/>
  <c r="X226" i="50"/>
  <c r="X120" i="50"/>
  <c r="Y184" i="50"/>
  <c r="X22" i="50"/>
  <c r="W226" i="50"/>
  <c r="Y120" i="50"/>
  <c r="AA120" i="50" s="1"/>
  <c r="X180" i="50"/>
  <c r="X184" i="50"/>
  <c r="W118" i="50"/>
  <c r="X249" i="50"/>
  <c r="W252" i="50"/>
  <c r="Y260" i="50"/>
  <c r="Y261" i="50"/>
  <c r="W266" i="50"/>
  <c r="X212" i="50"/>
  <c r="Y168" i="50"/>
  <c r="Y149" i="50"/>
  <c r="X161" i="50"/>
  <c r="W122" i="50"/>
  <c r="W250" i="50"/>
  <c r="Y258" i="50"/>
  <c r="X166" i="50"/>
  <c r="W35" i="50"/>
  <c r="W42" i="50"/>
  <c r="Y60" i="50"/>
  <c r="W159" i="50"/>
  <c r="Y212" i="50"/>
  <c r="W168" i="50"/>
  <c r="X216" i="50"/>
  <c r="Y161" i="50"/>
  <c r="W166" i="50"/>
  <c r="X269" i="50"/>
  <c r="Y18" i="50"/>
  <c r="AA18" i="50" s="1"/>
  <c r="Y216" i="50"/>
  <c r="W161" i="50"/>
  <c r="Y213" i="50"/>
  <c r="Y250" i="50"/>
  <c r="W212" i="50"/>
  <c r="X18" i="50"/>
  <c r="Y159" i="50"/>
  <c r="W156" i="50"/>
  <c r="X168" i="50"/>
  <c r="W216" i="50"/>
  <c r="Y166" i="50"/>
  <c r="X213" i="50"/>
  <c r="X250" i="50"/>
  <c r="X27" i="50"/>
  <c r="X34" i="50"/>
  <c r="X84" i="50"/>
  <c r="X116" i="50"/>
  <c r="W143" i="50"/>
  <c r="Z143" i="50" s="1"/>
  <c r="W243" i="50"/>
  <c r="Y203" i="50"/>
  <c r="X244" i="50"/>
  <c r="Y190" i="50"/>
  <c r="Y148" i="50"/>
  <c r="Y152" i="50"/>
  <c r="X204" i="50"/>
  <c r="Y209" i="50"/>
  <c r="X141" i="50"/>
  <c r="W145" i="50"/>
  <c r="X173" i="50"/>
  <c r="Y150" i="50"/>
  <c r="W154" i="50"/>
  <c r="Y202" i="50"/>
  <c r="Y248" i="50"/>
  <c r="X246" i="50"/>
  <c r="W264" i="50"/>
  <c r="Y27" i="50"/>
  <c r="Y34" i="50"/>
  <c r="AA34" i="50" s="1"/>
  <c r="Y59" i="50"/>
  <c r="AA59" i="50" s="1"/>
  <c r="Y91" i="50"/>
  <c r="AA91" i="50" s="1"/>
  <c r="W84" i="50"/>
  <c r="W116" i="50"/>
  <c r="Y147" i="50"/>
  <c r="X203" i="50"/>
  <c r="Y244" i="50"/>
  <c r="W190" i="50"/>
  <c r="X148" i="50"/>
  <c r="W152" i="50"/>
  <c r="Y204" i="50"/>
  <c r="X209" i="50"/>
  <c r="W141" i="50"/>
  <c r="W173" i="50"/>
  <c r="Y122" i="50"/>
  <c r="X150" i="50"/>
  <c r="X202" i="50"/>
  <c r="W248" i="50"/>
  <c r="X251" i="50"/>
  <c r="Y246" i="50"/>
  <c r="Y143" i="50"/>
  <c r="AA143" i="50" s="1"/>
  <c r="X147" i="50"/>
  <c r="Y243" i="50"/>
  <c r="W203" i="50"/>
  <c r="W244" i="50"/>
  <c r="W148" i="50"/>
  <c r="W204" i="50"/>
  <c r="W209" i="50"/>
  <c r="Y145" i="50"/>
  <c r="X122" i="50"/>
  <c r="W150" i="50"/>
  <c r="W202" i="50"/>
  <c r="Y177" i="50"/>
  <c r="Y252" i="50"/>
  <c r="Y251" i="50"/>
  <c r="W246" i="50"/>
  <c r="Y256" i="50"/>
  <c r="Y264" i="50"/>
  <c r="AA264" i="50" s="1"/>
  <c r="W83" i="50"/>
  <c r="W76" i="50"/>
  <c r="X219" i="50"/>
  <c r="X99" i="50"/>
  <c r="Y92" i="50"/>
  <c r="W123" i="50"/>
  <c r="X198" i="50"/>
  <c r="X121" i="50"/>
  <c r="Y185" i="50"/>
  <c r="W256" i="50"/>
  <c r="Y268" i="50"/>
  <c r="W108" i="50"/>
  <c r="Y121" i="50"/>
  <c r="Y259" i="50"/>
  <c r="W139" i="50"/>
  <c r="Y235" i="50"/>
  <c r="W171" i="50"/>
  <c r="X182" i="50"/>
  <c r="W140" i="50"/>
  <c r="W268" i="50"/>
  <c r="W18" i="50"/>
  <c r="X67" i="50"/>
  <c r="W99" i="50"/>
  <c r="X60" i="50"/>
  <c r="W92" i="50"/>
  <c r="X155" i="50"/>
  <c r="W219" i="50"/>
  <c r="Y162" i="50"/>
  <c r="Y198" i="50"/>
  <c r="W124" i="50"/>
  <c r="X220" i="50"/>
  <c r="X149" i="50"/>
  <c r="Y130" i="50"/>
  <c r="X185" i="50"/>
  <c r="X254" i="50"/>
  <c r="W258" i="50"/>
  <c r="Y255" i="50"/>
  <c r="W269" i="50"/>
  <c r="X35" i="50"/>
  <c r="Y42" i="50"/>
  <c r="AA42" i="50" s="1"/>
  <c r="W67" i="50"/>
  <c r="X162" i="50"/>
  <c r="W198" i="50"/>
  <c r="Y156" i="50"/>
  <c r="Y220" i="50"/>
  <c r="W149" i="50"/>
  <c r="X130" i="50"/>
  <c r="W185" i="50"/>
  <c r="Y254" i="50"/>
  <c r="X262" i="50"/>
  <c r="W60" i="50"/>
  <c r="X123" i="50"/>
  <c r="Y155" i="50"/>
  <c r="Y35" i="50"/>
  <c r="X42" i="50"/>
  <c r="Y99" i="50"/>
  <c r="X92" i="50"/>
  <c r="Y123" i="50"/>
  <c r="AA123" i="50" s="1"/>
  <c r="W155" i="50"/>
  <c r="Y219" i="50"/>
  <c r="W162" i="50"/>
  <c r="Y124" i="50"/>
  <c r="AA124" i="50" s="1"/>
  <c r="X156" i="50"/>
  <c r="W220" i="50"/>
  <c r="W130" i="50"/>
  <c r="W254" i="50"/>
  <c r="X258" i="50"/>
  <c r="Y269" i="50"/>
  <c r="X29" i="50"/>
  <c r="W115" i="50"/>
  <c r="W121" i="50"/>
  <c r="W259" i="50"/>
  <c r="W51" i="50"/>
  <c r="Y214" i="50"/>
  <c r="W146" i="50"/>
  <c r="X267" i="50"/>
  <c r="Y265" i="50"/>
  <c r="X154" i="50"/>
  <c r="X177" i="50"/>
  <c r="X253" i="50"/>
  <c r="X252" i="50"/>
  <c r="Y247" i="50"/>
  <c r="X256" i="50"/>
  <c r="X259" i="50"/>
  <c r="X268" i="50"/>
  <c r="AB138" i="50"/>
  <c r="W138" i="50"/>
  <c r="AA138" i="50" s="1"/>
  <c r="X138" i="50"/>
  <c r="AB157" i="50"/>
  <c r="X157" i="50"/>
  <c r="Y157" i="50"/>
  <c r="W157" i="50"/>
  <c r="AB263" i="50"/>
  <c r="X263" i="50"/>
  <c r="Y263" i="50"/>
  <c r="AB163" i="50"/>
  <c r="X163" i="50"/>
  <c r="W163" i="50"/>
  <c r="AA163" i="50" s="1"/>
  <c r="AB172" i="50"/>
  <c r="Y172" i="50"/>
  <c r="W172" i="50"/>
  <c r="AB206" i="50"/>
  <c r="W206" i="50"/>
  <c r="Y206" i="50"/>
  <c r="X206" i="50"/>
  <c r="AB193" i="50"/>
  <c r="X193" i="50"/>
  <c r="Z193" i="50" s="1"/>
  <c r="Y193" i="50"/>
  <c r="AA193" i="50" s="1"/>
  <c r="AB228" i="50"/>
  <c r="W228" i="50"/>
  <c r="X228" i="50"/>
  <c r="Y228" i="50"/>
  <c r="AB227" i="50"/>
  <c r="Y227" i="50"/>
  <c r="W227" i="50"/>
  <c r="AB68" i="50"/>
  <c r="Y68" i="50"/>
  <c r="W68" i="50"/>
  <c r="Z68" i="50" s="1"/>
  <c r="AB100" i="50"/>
  <c r="W100" i="50"/>
  <c r="X100" i="50"/>
  <c r="Y100" i="50"/>
  <c r="AB75" i="50"/>
  <c r="W75" i="50"/>
  <c r="X75" i="50"/>
  <c r="Y75" i="50"/>
  <c r="AB107" i="50"/>
  <c r="Y107" i="50"/>
  <c r="W107" i="50"/>
  <c r="AB43" i="50"/>
  <c r="Y43" i="50"/>
  <c r="X43" i="50"/>
  <c r="AB50" i="50"/>
  <c r="X50" i="50"/>
  <c r="AB125" i="50"/>
  <c r="W125" i="50"/>
  <c r="X125" i="50"/>
  <c r="Y125" i="50"/>
  <c r="AB132" i="50"/>
  <c r="W132" i="50"/>
  <c r="X132" i="50"/>
  <c r="Y132" i="50"/>
  <c r="Y22" i="50"/>
  <c r="AA22" i="50" s="1"/>
  <c r="Y50" i="50"/>
  <c r="W43" i="50"/>
  <c r="X227" i="50"/>
  <c r="AB131" i="50"/>
  <c r="W131" i="50"/>
  <c r="Y131" i="50"/>
  <c r="X131" i="50"/>
  <c r="AB257" i="50"/>
  <c r="X257" i="50"/>
  <c r="W257" i="50"/>
  <c r="AA257" i="50" s="1"/>
  <c r="AB164" i="50"/>
  <c r="Y164" i="50"/>
  <c r="W164" i="50"/>
  <c r="Z164" i="50" s="1"/>
  <c r="W22" i="50"/>
  <c r="W50" i="50"/>
  <c r="X107" i="50"/>
  <c r="X172" i="50"/>
  <c r="W263" i="50"/>
  <c r="Y262" i="50"/>
  <c r="X255" i="50"/>
  <c r="W262" i="50"/>
  <c r="W255" i="50"/>
  <c r="X235" i="50"/>
  <c r="W182" i="50"/>
  <c r="Y236" i="50"/>
  <c r="X214" i="50"/>
  <c r="Y133" i="50"/>
  <c r="Y165" i="50"/>
  <c r="Y201" i="50"/>
  <c r="Y253" i="50"/>
  <c r="W247" i="50"/>
  <c r="W267" i="50"/>
  <c r="X265" i="50"/>
  <c r="X270" i="50"/>
  <c r="Y29" i="50"/>
  <c r="W29" i="50"/>
  <c r="X51" i="50"/>
  <c r="X83" i="50"/>
  <c r="X76" i="50"/>
  <c r="X108" i="50"/>
  <c r="Y115" i="50"/>
  <c r="X139" i="50"/>
  <c r="Y171" i="50"/>
  <c r="W235" i="50"/>
  <c r="Y140" i="50"/>
  <c r="X236" i="50"/>
  <c r="W214" i="50"/>
  <c r="X133" i="50"/>
  <c r="X165" i="50"/>
  <c r="Y146" i="50"/>
  <c r="X201" i="50"/>
  <c r="W253" i="50"/>
  <c r="W265" i="50"/>
  <c r="Y270" i="50"/>
  <c r="Y51" i="50"/>
  <c r="AA51" i="50" s="1"/>
  <c r="Y83" i="50"/>
  <c r="Y76" i="50"/>
  <c r="Y108" i="50"/>
  <c r="AA108" i="50" s="1"/>
  <c r="X115" i="50"/>
  <c r="Y139" i="50"/>
  <c r="X171" i="50"/>
  <c r="Y182" i="50"/>
  <c r="X140" i="50"/>
  <c r="W236" i="50"/>
  <c r="W133" i="50"/>
  <c r="W165" i="50"/>
  <c r="X146" i="50"/>
  <c r="W201" i="50"/>
  <c r="X247" i="50"/>
  <c r="Y267" i="50"/>
  <c r="AA267" i="50" s="1"/>
  <c r="W270" i="50"/>
  <c r="AH268" i="50"/>
  <c r="AO268" i="50"/>
  <c r="AH140" i="50"/>
  <c r="AO140" i="50"/>
  <c r="AH173" i="50"/>
  <c r="AO173" i="50"/>
  <c r="AH109" i="50"/>
  <c r="AO109" i="50"/>
  <c r="AH45" i="50"/>
  <c r="AO45" i="50"/>
  <c r="AH175" i="50"/>
  <c r="AO175" i="50"/>
  <c r="AH139" i="50"/>
  <c r="AO139" i="50"/>
  <c r="AH67" i="50"/>
  <c r="AO67" i="50"/>
  <c r="AH103" i="50"/>
  <c r="AO103" i="50"/>
  <c r="AH247" i="50"/>
  <c r="AO247" i="50"/>
  <c r="AH31" i="50"/>
  <c r="AO31" i="50"/>
  <c r="AH211" i="50"/>
  <c r="AO211" i="50"/>
  <c r="AH43" i="50"/>
  <c r="AH127" i="50"/>
  <c r="AH68" i="50"/>
  <c r="AH259" i="50"/>
  <c r="AH178" i="50"/>
  <c r="AH235" i="50"/>
  <c r="AH189" i="50"/>
  <c r="AH187" i="50"/>
  <c r="AH91" i="50"/>
  <c r="AH19" i="50"/>
  <c r="AH115" i="50"/>
  <c r="AH199" i="50"/>
  <c r="AH151" i="50"/>
  <c r="AH79" i="50"/>
  <c r="AH88" i="50"/>
  <c r="AH128" i="50"/>
  <c r="AH117" i="50"/>
  <c r="AH83" i="50"/>
  <c r="AH205" i="50"/>
  <c r="AH188" i="50"/>
  <c r="AH172" i="50"/>
  <c r="AH108" i="50"/>
  <c r="AH62" i="50"/>
  <c r="AH271" i="50"/>
  <c r="AH183" i="50"/>
  <c r="AH84" i="50"/>
  <c r="AH237" i="50"/>
  <c r="AH218" i="50"/>
  <c r="AH138" i="50"/>
  <c r="AH106" i="50"/>
  <c r="AH58" i="50"/>
  <c r="AH77" i="50"/>
  <c r="AH61" i="50"/>
  <c r="AH29" i="50"/>
  <c r="AH38" i="50"/>
  <c r="AH125" i="50"/>
  <c r="AH223" i="50"/>
  <c r="AH249" i="50"/>
  <c r="AH206" i="50"/>
  <c r="AH158" i="50"/>
  <c r="AH34" i="50"/>
  <c r="AH51" i="50"/>
  <c r="AH56" i="50"/>
  <c r="AH248" i="50"/>
  <c r="AH216" i="50"/>
  <c r="AH168" i="50"/>
  <c r="AH120" i="50"/>
  <c r="AH221" i="50"/>
  <c r="AH157" i="50"/>
  <c r="AH93" i="50"/>
  <c r="AH195" i="50"/>
  <c r="AH163" i="50"/>
  <c r="AH198" i="50"/>
  <c r="AH150" i="50"/>
  <c r="AH118" i="50"/>
  <c r="AH18" i="50"/>
  <c r="AH27" i="50"/>
  <c r="AH89" i="50"/>
  <c r="AH73" i="50"/>
  <c r="AH208" i="50"/>
  <c r="AH253" i="50"/>
  <c r="AH28" i="50"/>
  <c r="AH161" i="50"/>
  <c r="AH48" i="50"/>
  <c r="AH238" i="50"/>
  <c r="AH142" i="50"/>
  <c r="AH40" i="50"/>
  <c r="AH260" i="50"/>
  <c r="AH228" i="50"/>
  <c r="AH148" i="50"/>
  <c r="AH78" i="50"/>
  <c r="AH251" i="50"/>
  <c r="AH227" i="50"/>
  <c r="AH191" i="50"/>
  <c r="AH111" i="50"/>
  <c r="AH95" i="50"/>
  <c r="AH258" i="50"/>
  <c r="AH242" i="50"/>
  <c r="AH194" i="50"/>
  <c r="AH98" i="50"/>
  <c r="AH55" i="50"/>
  <c r="AK153" i="50"/>
  <c r="AJ153" i="50"/>
  <c r="AI153" i="50"/>
  <c r="AI56" i="50"/>
  <c r="AK56" i="50"/>
  <c r="AJ56" i="50"/>
  <c r="AM56" i="50" s="1"/>
  <c r="AJ232" i="50"/>
  <c r="AI232" i="50"/>
  <c r="AK232" i="50"/>
  <c r="AJ184" i="50"/>
  <c r="AI184" i="50"/>
  <c r="AK184" i="50"/>
  <c r="AJ152" i="50"/>
  <c r="AI152" i="50"/>
  <c r="AK152" i="50"/>
  <c r="AK104" i="50"/>
  <c r="AN104" i="50" s="1"/>
  <c r="AJ104" i="50"/>
  <c r="AM104" i="50" s="1"/>
  <c r="AI104" i="50"/>
  <c r="AJ22" i="50"/>
  <c r="AM22" i="50" s="1"/>
  <c r="AI22" i="50"/>
  <c r="AK22" i="50"/>
  <c r="AN22" i="50" s="1"/>
  <c r="AK93" i="50"/>
  <c r="AJ93" i="50"/>
  <c r="AI93" i="50"/>
  <c r="AK231" i="50"/>
  <c r="AI231" i="50"/>
  <c r="AJ231" i="50"/>
  <c r="AK179" i="50"/>
  <c r="AI179" i="50"/>
  <c r="AJ179" i="50"/>
  <c r="AK131" i="50"/>
  <c r="AJ131" i="50"/>
  <c r="AM131" i="50" s="1"/>
  <c r="AI131" i="50"/>
  <c r="AK99" i="50"/>
  <c r="AN99" i="50" s="1"/>
  <c r="AJ99" i="50"/>
  <c r="AM99" i="50" s="1"/>
  <c r="AI99" i="50"/>
  <c r="AK229" i="50"/>
  <c r="AJ229" i="50"/>
  <c r="AI229" i="50"/>
  <c r="AK97" i="50"/>
  <c r="AN97" i="50" s="1"/>
  <c r="AJ97" i="50"/>
  <c r="AM97" i="50" s="1"/>
  <c r="AI97" i="50"/>
  <c r="AJ262" i="50"/>
  <c r="AI262" i="50"/>
  <c r="AK262" i="50"/>
  <c r="AK230" i="50"/>
  <c r="AJ230" i="50"/>
  <c r="AI230" i="50"/>
  <c r="AK198" i="50"/>
  <c r="AJ198" i="50"/>
  <c r="AI198" i="50"/>
  <c r="AK150" i="50"/>
  <c r="AJ150" i="50"/>
  <c r="AI150" i="50"/>
  <c r="AK118" i="50"/>
  <c r="AJ118" i="50"/>
  <c r="AI118" i="50"/>
  <c r="AJ50" i="50"/>
  <c r="AM50" i="50" s="1"/>
  <c r="AI50" i="50"/>
  <c r="AK50" i="50"/>
  <c r="AN50" i="50" s="1"/>
  <c r="AI59" i="50"/>
  <c r="AK59" i="50"/>
  <c r="AN59" i="50" s="1"/>
  <c r="AJ59" i="50"/>
  <c r="AM59" i="50" s="1"/>
  <c r="AK89" i="50"/>
  <c r="AJ89" i="50"/>
  <c r="AI89" i="50"/>
  <c r="AK41" i="50"/>
  <c r="AN41" i="50" s="1"/>
  <c r="AJ41" i="50"/>
  <c r="AM41" i="50" s="1"/>
  <c r="AI41" i="50"/>
  <c r="AK25" i="50"/>
  <c r="AN25" i="50" s="1"/>
  <c r="AJ25" i="50"/>
  <c r="AM25" i="50" s="1"/>
  <c r="AI25" i="50"/>
  <c r="AJ265" i="50"/>
  <c r="AK265" i="50"/>
  <c r="AI265" i="50"/>
  <c r="AK225" i="50"/>
  <c r="AJ225" i="50"/>
  <c r="AI225" i="50"/>
  <c r="AK181" i="50"/>
  <c r="AJ181" i="50"/>
  <c r="AI181" i="50"/>
  <c r="AK145" i="50"/>
  <c r="AJ145" i="50"/>
  <c r="AI145" i="50"/>
  <c r="AK101" i="50"/>
  <c r="AN101" i="50" s="1"/>
  <c r="AJ101" i="50"/>
  <c r="AM101" i="50" s="1"/>
  <c r="AI101" i="50"/>
  <c r="AI40" i="50"/>
  <c r="AK40" i="50"/>
  <c r="AJ40" i="50"/>
  <c r="AM40" i="50" s="1"/>
  <c r="AJ260" i="50"/>
  <c r="AI260" i="50"/>
  <c r="AK260" i="50"/>
  <c r="AJ244" i="50"/>
  <c r="AI244" i="50"/>
  <c r="AK244" i="50"/>
  <c r="AJ228" i="50"/>
  <c r="AI228" i="50"/>
  <c r="AK228" i="50"/>
  <c r="AJ212" i="50"/>
  <c r="AI212" i="50"/>
  <c r="AK212" i="50"/>
  <c r="AJ196" i="50"/>
  <c r="AI196" i="50"/>
  <c r="AK196" i="50"/>
  <c r="AJ180" i="50"/>
  <c r="AI180" i="50"/>
  <c r="AK180" i="50"/>
  <c r="AJ164" i="50"/>
  <c r="AI164" i="50"/>
  <c r="AK164" i="50"/>
  <c r="AJ148" i="50"/>
  <c r="AI148" i="50"/>
  <c r="AK148" i="50"/>
  <c r="AJ132" i="50"/>
  <c r="AI132" i="50"/>
  <c r="AK132" i="50"/>
  <c r="AJ116" i="50"/>
  <c r="AI116" i="50"/>
  <c r="AK116" i="50"/>
  <c r="AN116" i="50" s="1"/>
  <c r="AK100" i="50"/>
  <c r="AN100" i="50" s="1"/>
  <c r="AJ100" i="50"/>
  <c r="AM100" i="50" s="1"/>
  <c r="AI100" i="50"/>
  <c r="AK78" i="50"/>
  <c r="AJ78" i="50"/>
  <c r="AI78" i="50"/>
  <c r="AJ46" i="50"/>
  <c r="AM46" i="50" s="1"/>
  <c r="AI46" i="50"/>
  <c r="AK46" i="50"/>
  <c r="AN46" i="50" s="1"/>
  <c r="AJ14" i="50"/>
  <c r="AM14" i="50" s="1"/>
  <c r="AI14" i="50"/>
  <c r="AK14" i="50"/>
  <c r="AN14" i="50" s="1"/>
  <c r="AK209" i="50"/>
  <c r="AJ209" i="50"/>
  <c r="AI209" i="50"/>
  <c r="AK141" i="50"/>
  <c r="AJ141" i="50"/>
  <c r="AI141" i="50"/>
  <c r="AI64" i="50"/>
  <c r="AK64" i="50"/>
  <c r="AN64" i="50" s="1"/>
  <c r="AJ64" i="50"/>
  <c r="AM64" i="50" s="1"/>
  <c r="AK251" i="50"/>
  <c r="AJ251" i="50"/>
  <c r="AI251" i="50"/>
  <c r="AK227" i="50"/>
  <c r="AJ227" i="50"/>
  <c r="AI227" i="50"/>
  <c r="AK207" i="50"/>
  <c r="AJ207" i="50"/>
  <c r="AI207" i="50"/>
  <c r="AK191" i="50"/>
  <c r="AJ191" i="50"/>
  <c r="AI191" i="50"/>
  <c r="AK175" i="50"/>
  <c r="AN175" i="50" s="1"/>
  <c r="AJ175" i="50"/>
  <c r="AI175" i="50"/>
  <c r="AK159" i="50"/>
  <c r="AJ159" i="50"/>
  <c r="AI159" i="50"/>
  <c r="AK143" i="50"/>
  <c r="AJ143" i="50"/>
  <c r="AI143" i="50"/>
  <c r="AK127" i="50"/>
  <c r="AJ127" i="50"/>
  <c r="AI127" i="50"/>
  <c r="AK111" i="50"/>
  <c r="AN111" i="50" s="1"/>
  <c r="AJ111" i="50"/>
  <c r="AI111" i="50"/>
  <c r="AK95" i="50"/>
  <c r="AJ95" i="50"/>
  <c r="AI95" i="50"/>
  <c r="AI68" i="50"/>
  <c r="AK68" i="50"/>
  <c r="AN68" i="50" s="1"/>
  <c r="AJ68" i="50"/>
  <c r="AM68" i="50" s="1"/>
  <c r="AI36" i="50"/>
  <c r="AK36" i="50"/>
  <c r="AN36" i="50" s="1"/>
  <c r="AJ36" i="50"/>
  <c r="AM36" i="50" s="1"/>
  <c r="AJ257" i="50"/>
  <c r="AK257" i="50"/>
  <c r="AI257" i="50"/>
  <c r="AK213" i="50"/>
  <c r="AJ213" i="50"/>
  <c r="AI213" i="50"/>
  <c r="AK169" i="50"/>
  <c r="AJ169" i="50"/>
  <c r="AI169" i="50"/>
  <c r="AK129" i="50"/>
  <c r="AJ129" i="50"/>
  <c r="AM129" i="50" s="1"/>
  <c r="AI129" i="50"/>
  <c r="AK80" i="50"/>
  <c r="AN80" i="50" s="1"/>
  <c r="AJ80" i="50"/>
  <c r="AM80" i="50" s="1"/>
  <c r="AI80" i="50"/>
  <c r="AK259" i="50"/>
  <c r="AI259" i="50"/>
  <c r="AJ259" i="50"/>
  <c r="AK219" i="50"/>
  <c r="AJ219" i="50"/>
  <c r="AI219" i="50"/>
  <c r="AJ258" i="50"/>
  <c r="AI258" i="50"/>
  <c r="AL258" i="50" s="1"/>
  <c r="AK258" i="50"/>
  <c r="AK242" i="50"/>
  <c r="AJ242" i="50"/>
  <c r="AI242" i="50"/>
  <c r="AK226" i="50"/>
  <c r="AJ226" i="50"/>
  <c r="AI226" i="50"/>
  <c r="AK210" i="50"/>
  <c r="AJ210" i="50"/>
  <c r="AI210" i="50"/>
  <c r="AK194" i="50"/>
  <c r="AJ194" i="50"/>
  <c r="AI194" i="50"/>
  <c r="AK178" i="50"/>
  <c r="AJ178" i="50"/>
  <c r="AI178" i="50"/>
  <c r="AK162" i="50"/>
  <c r="AJ162" i="50"/>
  <c r="AI162" i="50"/>
  <c r="AK146" i="50"/>
  <c r="AJ146" i="50"/>
  <c r="AI146" i="50"/>
  <c r="AK130" i="50"/>
  <c r="AJ130" i="50"/>
  <c r="AI130" i="50"/>
  <c r="AK114" i="50"/>
  <c r="AN114" i="50" s="1"/>
  <c r="AJ114" i="50"/>
  <c r="AI114" i="50"/>
  <c r="AK98" i="50"/>
  <c r="AJ98" i="50"/>
  <c r="AI98" i="50"/>
  <c r="AJ74" i="50"/>
  <c r="AM74" i="50" s="1"/>
  <c r="AI74" i="50"/>
  <c r="AK74" i="50"/>
  <c r="AN74" i="50" s="1"/>
  <c r="AJ42" i="50"/>
  <c r="AM42" i="50" s="1"/>
  <c r="AI42" i="50"/>
  <c r="AK42" i="50"/>
  <c r="AN42" i="50" s="1"/>
  <c r="AK87" i="50"/>
  <c r="AN87" i="50" s="1"/>
  <c r="AJ87" i="50"/>
  <c r="AM87" i="50" s="1"/>
  <c r="AI87" i="50"/>
  <c r="AI71" i="50"/>
  <c r="AJ71" i="50"/>
  <c r="AM71" i="50" s="1"/>
  <c r="AK71" i="50"/>
  <c r="AN71" i="50" s="1"/>
  <c r="AI55" i="50"/>
  <c r="AK55" i="50"/>
  <c r="AJ55" i="50"/>
  <c r="AM55" i="50" s="1"/>
  <c r="AI39" i="50"/>
  <c r="AJ39" i="50"/>
  <c r="AM39" i="50" s="1"/>
  <c r="AK39" i="50"/>
  <c r="AN39" i="50" s="1"/>
  <c r="AI23" i="50"/>
  <c r="AK23" i="50"/>
  <c r="AN23" i="50" s="1"/>
  <c r="AJ23" i="50"/>
  <c r="AM23" i="50" s="1"/>
  <c r="AK85" i="50"/>
  <c r="AN85" i="50" s="1"/>
  <c r="AJ85" i="50"/>
  <c r="AM85" i="50" s="1"/>
  <c r="AI85" i="50"/>
  <c r="AK69" i="50"/>
  <c r="AN69" i="50" s="1"/>
  <c r="AJ69" i="50"/>
  <c r="AM69" i="50" s="1"/>
  <c r="AI69" i="50"/>
  <c r="AK53" i="50"/>
  <c r="AN53" i="50" s="1"/>
  <c r="AJ53" i="50"/>
  <c r="AM53" i="50" s="1"/>
  <c r="AI53" i="50"/>
  <c r="AK37" i="50"/>
  <c r="AN37" i="50" s="1"/>
  <c r="AJ37" i="50"/>
  <c r="AM37" i="50" s="1"/>
  <c r="AI37" i="50"/>
  <c r="AK21" i="50"/>
  <c r="AN21" i="50" s="1"/>
  <c r="AJ21" i="50"/>
  <c r="AM21" i="50" s="1"/>
  <c r="AI21" i="50"/>
  <c r="AK197" i="50"/>
  <c r="AJ197" i="50"/>
  <c r="AI197" i="50"/>
  <c r="AJ248" i="50"/>
  <c r="AI248" i="50"/>
  <c r="AK248" i="50"/>
  <c r="AJ200" i="50"/>
  <c r="AI200" i="50"/>
  <c r="AK200" i="50"/>
  <c r="AJ120" i="50"/>
  <c r="AI120" i="50"/>
  <c r="AK120" i="50"/>
  <c r="AJ54" i="50"/>
  <c r="AM54" i="50" s="1"/>
  <c r="AI54" i="50"/>
  <c r="AK54" i="50"/>
  <c r="AN54" i="50" s="1"/>
  <c r="AK263" i="50"/>
  <c r="AI263" i="50"/>
  <c r="AJ263" i="50"/>
  <c r="AK195" i="50"/>
  <c r="AI195" i="50"/>
  <c r="AJ195" i="50"/>
  <c r="AK147" i="50"/>
  <c r="AJ147" i="50"/>
  <c r="AI147" i="50"/>
  <c r="AI44" i="50"/>
  <c r="AK44" i="50"/>
  <c r="AN44" i="50" s="1"/>
  <c r="AJ44" i="50"/>
  <c r="AM44" i="50" s="1"/>
  <c r="AK185" i="50"/>
  <c r="AJ185" i="50"/>
  <c r="AI185" i="50"/>
  <c r="AK267" i="50"/>
  <c r="AI267" i="50"/>
  <c r="AJ267" i="50"/>
  <c r="AK214" i="50"/>
  <c r="AJ214" i="50"/>
  <c r="AI214" i="50"/>
  <c r="AK166" i="50"/>
  <c r="AJ166" i="50"/>
  <c r="AI166" i="50"/>
  <c r="AK82" i="50"/>
  <c r="AN82" i="50" s="1"/>
  <c r="AJ82" i="50"/>
  <c r="AM82" i="50" s="1"/>
  <c r="AI82" i="50"/>
  <c r="AI75" i="50"/>
  <c r="AK75" i="50"/>
  <c r="AN75" i="50" s="1"/>
  <c r="AJ75" i="50"/>
  <c r="AM75" i="50" s="1"/>
  <c r="AK73" i="50"/>
  <c r="AN73" i="50" s="1"/>
  <c r="AJ73" i="50"/>
  <c r="AM73" i="50" s="1"/>
  <c r="AI73" i="50"/>
  <c r="AJ261" i="50"/>
  <c r="AK261" i="50"/>
  <c r="AI261" i="50"/>
  <c r="AK217" i="50"/>
  <c r="AJ217" i="50"/>
  <c r="AI217" i="50"/>
  <c r="AK173" i="50"/>
  <c r="AJ173" i="50"/>
  <c r="AI173" i="50"/>
  <c r="AK133" i="50"/>
  <c r="AJ133" i="50"/>
  <c r="AI133" i="50"/>
  <c r="AK88" i="50"/>
  <c r="AN88" i="50" s="1"/>
  <c r="AJ88" i="50"/>
  <c r="AI88" i="50"/>
  <c r="AI16" i="50"/>
  <c r="AK16" i="50"/>
  <c r="AN16" i="50" s="1"/>
  <c r="AJ16" i="50"/>
  <c r="AM16" i="50" s="1"/>
  <c r="AJ256" i="50"/>
  <c r="AI256" i="50"/>
  <c r="AK256" i="50"/>
  <c r="AJ240" i="50"/>
  <c r="AI240" i="50"/>
  <c r="AK240" i="50"/>
  <c r="AJ224" i="50"/>
  <c r="AM224" i="50" s="1"/>
  <c r="AI224" i="50"/>
  <c r="AK224" i="50"/>
  <c r="AJ208" i="50"/>
  <c r="AI208" i="50"/>
  <c r="AK208" i="50"/>
  <c r="AJ192" i="50"/>
  <c r="AI192" i="50"/>
  <c r="AK192" i="50"/>
  <c r="AJ176" i="50"/>
  <c r="AI176" i="50"/>
  <c r="AK176" i="50"/>
  <c r="AJ160" i="50"/>
  <c r="AI160" i="50"/>
  <c r="AK160" i="50"/>
  <c r="AJ144" i="50"/>
  <c r="AI144" i="50"/>
  <c r="AK144" i="50"/>
  <c r="AJ128" i="50"/>
  <c r="AI128" i="50"/>
  <c r="AK128" i="50"/>
  <c r="AJ112" i="50"/>
  <c r="AM112" i="50" s="1"/>
  <c r="AI112" i="50"/>
  <c r="AK112" i="50"/>
  <c r="AN112" i="50" s="1"/>
  <c r="AK96" i="50"/>
  <c r="AN96" i="50" s="1"/>
  <c r="AJ96" i="50"/>
  <c r="AM96" i="50" s="1"/>
  <c r="AI96" i="50"/>
  <c r="AJ70" i="50"/>
  <c r="AM70" i="50" s="1"/>
  <c r="AI70" i="50"/>
  <c r="AK70" i="50"/>
  <c r="AN70" i="50" s="1"/>
  <c r="AJ38" i="50"/>
  <c r="AM38" i="50" s="1"/>
  <c r="AI38" i="50"/>
  <c r="AK38" i="50"/>
  <c r="AN38" i="50" s="1"/>
  <c r="AJ253" i="50"/>
  <c r="AK253" i="50"/>
  <c r="AI253" i="50"/>
  <c r="AK189" i="50"/>
  <c r="AJ189" i="50"/>
  <c r="AI189" i="50"/>
  <c r="AK125" i="50"/>
  <c r="AJ125" i="50"/>
  <c r="AI125" i="50"/>
  <c r="AI24" i="50"/>
  <c r="AK24" i="50"/>
  <c r="AN24" i="50" s="1"/>
  <c r="AJ24" i="50"/>
  <c r="AM24" i="50" s="1"/>
  <c r="AK243" i="50"/>
  <c r="AJ243" i="50"/>
  <c r="AI243" i="50"/>
  <c r="AK223" i="50"/>
  <c r="AJ223" i="50"/>
  <c r="AI223" i="50"/>
  <c r="AK203" i="50"/>
  <c r="AJ203" i="50"/>
  <c r="AM203" i="50" s="1"/>
  <c r="AI203" i="50"/>
  <c r="AK187" i="50"/>
  <c r="AJ187" i="50"/>
  <c r="AI187" i="50"/>
  <c r="AK171" i="50"/>
  <c r="AI171" i="50"/>
  <c r="AJ171" i="50"/>
  <c r="AK155" i="50"/>
  <c r="AI155" i="50"/>
  <c r="AJ155" i="50"/>
  <c r="AK139" i="50"/>
  <c r="AI139" i="50"/>
  <c r="AJ139" i="50"/>
  <c r="AK123" i="50"/>
  <c r="AI123" i="50"/>
  <c r="AJ123" i="50"/>
  <c r="AM123" i="50" s="1"/>
  <c r="AK107" i="50"/>
  <c r="AN107" i="50" s="1"/>
  <c r="AI107" i="50"/>
  <c r="AJ107" i="50"/>
  <c r="AM107" i="50" s="1"/>
  <c r="AK91" i="50"/>
  <c r="AN91" i="50" s="1"/>
  <c r="AI91" i="50"/>
  <c r="AJ91" i="50"/>
  <c r="AI60" i="50"/>
  <c r="AK60" i="50"/>
  <c r="AN60" i="50" s="1"/>
  <c r="AJ60" i="50"/>
  <c r="AM60" i="50" s="1"/>
  <c r="AI28" i="50"/>
  <c r="AK28" i="50"/>
  <c r="AJ28" i="50"/>
  <c r="AJ249" i="50"/>
  <c r="AK249" i="50"/>
  <c r="AI249" i="50"/>
  <c r="AK201" i="50"/>
  <c r="AJ201" i="50"/>
  <c r="AI201" i="50"/>
  <c r="AK161" i="50"/>
  <c r="AJ161" i="50"/>
  <c r="AI161" i="50"/>
  <c r="AK117" i="50"/>
  <c r="AJ117" i="50"/>
  <c r="AI117" i="50"/>
  <c r="AI48" i="50"/>
  <c r="AK48" i="50"/>
  <c r="AJ48" i="50"/>
  <c r="AM48" i="50" s="1"/>
  <c r="AK255" i="50"/>
  <c r="AJ255" i="50"/>
  <c r="AI255" i="50"/>
  <c r="AJ270" i="50"/>
  <c r="AM270" i="50" s="1"/>
  <c r="AI270" i="50"/>
  <c r="AK270" i="50"/>
  <c r="AJ254" i="50"/>
  <c r="AI254" i="50"/>
  <c r="AK254" i="50"/>
  <c r="AK238" i="50"/>
  <c r="AJ238" i="50"/>
  <c r="AI238" i="50"/>
  <c r="AK222" i="50"/>
  <c r="AJ222" i="50"/>
  <c r="AI222" i="50"/>
  <c r="AK206" i="50"/>
  <c r="AJ206" i="50"/>
  <c r="AI206" i="50"/>
  <c r="AK190" i="50"/>
  <c r="AJ190" i="50"/>
  <c r="AI190" i="50"/>
  <c r="AK174" i="50"/>
  <c r="AJ174" i="50"/>
  <c r="AI174" i="50"/>
  <c r="AK158" i="50"/>
  <c r="AJ158" i="50"/>
  <c r="AI158" i="50"/>
  <c r="AK142" i="50"/>
  <c r="AJ142" i="50"/>
  <c r="AI142" i="50"/>
  <c r="AK126" i="50"/>
  <c r="AJ126" i="50"/>
  <c r="AI126" i="50"/>
  <c r="AK110" i="50"/>
  <c r="AN110" i="50" s="1"/>
  <c r="AJ110" i="50"/>
  <c r="AM110" i="50" s="1"/>
  <c r="AI110" i="50"/>
  <c r="AK94" i="50"/>
  <c r="AN94" i="50" s="1"/>
  <c r="AJ94" i="50"/>
  <c r="AM94" i="50" s="1"/>
  <c r="AI94" i="50"/>
  <c r="AJ66" i="50"/>
  <c r="AM66" i="50" s="1"/>
  <c r="AI66" i="50"/>
  <c r="AK66" i="50"/>
  <c r="AN66" i="50" s="1"/>
  <c r="AJ34" i="50"/>
  <c r="AM34" i="50" s="1"/>
  <c r="AI34" i="50"/>
  <c r="AK34" i="50"/>
  <c r="AN34" i="50" s="1"/>
  <c r="AK83" i="50"/>
  <c r="AN83" i="50" s="1"/>
  <c r="AJ83" i="50"/>
  <c r="AI83" i="50"/>
  <c r="AI67" i="50"/>
  <c r="AK67" i="50"/>
  <c r="AN67" i="50" s="1"/>
  <c r="AJ67" i="50"/>
  <c r="AM67" i="50" s="1"/>
  <c r="AI51" i="50"/>
  <c r="AK51" i="50"/>
  <c r="AJ51" i="50"/>
  <c r="AM51" i="50" s="1"/>
  <c r="AI35" i="50"/>
  <c r="AK35" i="50"/>
  <c r="AN35" i="50" s="1"/>
  <c r="AJ35" i="50"/>
  <c r="AM35" i="50" s="1"/>
  <c r="AI19" i="50"/>
  <c r="AK19" i="50"/>
  <c r="AJ19" i="50"/>
  <c r="AK81" i="50"/>
  <c r="AN81" i="50" s="1"/>
  <c r="AJ81" i="50"/>
  <c r="AM81" i="50" s="1"/>
  <c r="AI81" i="50"/>
  <c r="AK65" i="50"/>
  <c r="AN65" i="50" s="1"/>
  <c r="AJ65" i="50"/>
  <c r="AM65" i="50" s="1"/>
  <c r="AI65" i="50"/>
  <c r="AK49" i="50"/>
  <c r="AN49" i="50" s="1"/>
  <c r="AJ49" i="50"/>
  <c r="AM49" i="50" s="1"/>
  <c r="AI49" i="50"/>
  <c r="AK33" i="50"/>
  <c r="AN33" i="50" s="1"/>
  <c r="AJ33" i="50"/>
  <c r="AM33" i="50" s="1"/>
  <c r="AI33" i="50"/>
  <c r="AK17" i="50"/>
  <c r="AN17" i="50" s="1"/>
  <c r="AJ17" i="50"/>
  <c r="AM17" i="50" s="1"/>
  <c r="AI17" i="50"/>
  <c r="AK233" i="50"/>
  <c r="AJ233" i="50"/>
  <c r="AI233" i="50"/>
  <c r="AK113" i="50"/>
  <c r="AN113" i="50" s="1"/>
  <c r="AJ113" i="50"/>
  <c r="AM113" i="50" s="1"/>
  <c r="AI113" i="50"/>
  <c r="AJ264" i="50"/>
  <c r="AI264" i="50"/>
  <c r="AK264" i="50"/>
  <c r="AJ216" i="50"/>
  <c r="AI216" i="50"/>
  <c r="AK216" i="50"/>
  <c r="AJ168" i="50"/>
  <c r="AI168" i="50"/>
  <c r="AK168" i="50"/>
  <c r="AJ136" i="50"/>
  <c r="AI136" i="50"/>
  <c r="AK136" i="50"/>
  <c r="AN136" i="50" s="1"/>
  <c r="AK86" i="50"/>
  <c r="AN86" i="50" s="1"/>
  <c r="AJ86" i="50"/>
  <c r="AM86" i="50" s="1"/>
  <c r="AI86" i="50"/>
  <c r="AK221" i="50"/>
  <c r="AJ221" i="50"/>
  <c r="AI221" i="50"/>
  <c r="AK157" i="50"/>
  <c r="AJ157" i="50"/>
  <c r="AM157" i="50" s="1"/>
  <c r="AI157" i="50"/>
  <c r="AK211" i="50"/>
  <c r="AJ211" i="50"/>
  <c r="AI211" i="50"/>
  <c r="AK163" i="50"/>
  <c r="AJ163" i="50"/>
  <c r="AI163" i="50"/>
  <c r="AK115" i="50"/>
  <c r="AJ115" i="50"/>
  <c r="AI115" i="50"/>
  <c r="AI76" i="50"/>
  <c r="AK76" i="50"/>
  <c r="AN76" i="50" s="1"/>
  <c r="AJ76" i="50"/>
  <c r="AM76" i="50" s="1"/>
  <c r="AJ269" i="50"/>
  <c r="AK269" i="50"/>
  <c r="AI269" i="50"/>
  <c r="AK137" i="50"/>
  <c r="AJ137" i="50"/>
  <c r="AI137" i="50"/>
  <c r="AK235" i="50"/>
  <c r="AI235" i="50"/>
  <c r="AJ235" i="50"/>
  <c r="AK246" i="50"/>
  <c r="AJ246" i="50"/>
  <c r="AI246" i="50"/>
  <c r="AK182" i="50"/>
  <c r="AJ182" i="50"/>
  <c r="AI182" i="50"/>
  <c r="AK134" i="50"/>
  <c r="AN134" i="50" s="1"/>
  <c r="AJ134" i="50"/>
  <c r="AI134" i="50"/>
  <c r="AK102" i="50"/>
  <c r="AN102" i="50" s="1"/>
  <c r="AJ102" i="50"/>
  <c r="AM102" i="50" s="1"/>
  <c r="AI102" i="50"/>
  <c r="AJ18" i="50"/>
  <c r="AM18" i="50" s="1"/>
  <c r="AI18" i="50"/>
  <c r="AK18" i="50"/>
  <c r="AN18" i="50" s="1"/>
  <c r="AI43" i="50"/>
  <c r="AK43" i="50"/>
  <c r="AJ43" i="50"/>
  <c r="AM43" i="50" s="1"/>
  <c r="AI27" i="50"/>
  <c r="AK27" i="50"/>
  <c r="AJ27" i="50"/>
  <c r="AM27" i="50" s="1"/>
  <c r="AK57" i="50"/>
  <c r="AN57" i="50" s="1"/>
  <c r="AJ57" i="50"/>
  <c r="AM57" i="50" s="1"/>
  <c r="AI57" i="50"/>
  <c r="AK245" i="50"/>
  <c r="AJ245" i="50"/>
  <c r="AI245" i="50"/>
  <c r="AK205" i="50"/>
  <c r="AJ205" i="50"/>
  <c r="AI205" i="50"/>
  <c r="AK165" i="50"/>
  <c r="AJ165" i="50"/>
  <c r="AI165" i="50"/>
  <c r="AK121" i="50"/>
  <c r="AN121" i="50" s="1"/>
  <c r="AJ121" i="50"/>
  <c r="AI121" i="50"/>
  <c r="AI72" i="50"/>
  <c r="AK72" i="50"/>
  <c r="AN72" i="50" s="1"/>
  <c r="AJ72" i="50"/>
  <c r="AM72" i="50" s="1"/>
  <c r="AJ268" i="50"/>
  <c r="AI268" i="50"/>
  <c r="AK268" i="50"/>
  <c r="AN268" i="50" s="1"/>
  <c r="AJ252" i="50"/>
  <c r="AI252" i="50"/>
  <c r="AK252" i="50"/>
  <c r="AJ236" i="50"/>
  <c r="AM236" i="50" s="1"/>
  <c r="AI236" i="50"/>
  <c r="AK236" i="50"/>
  <c r="AJ220" i="50"/>
  <c r="AI220" i="50"/>
  <c r="AK220" i="50"/>
  <c r="AJ204" i="50"/>
  <c r="AI204" i="50"/>
  <c r="AK204" i="50"/>
  <c r="AN204" i="50" s="1"/>
  <c r="AJ188" i="50"/>
  <c r="AI188" i="50"/>
  <c r="AK188" i="50"/>
  <c r="AJ172" i="50"/>
  <c r="AI172" i="50"/>
  <c r="AK172" i="50"/>
  <c r="AJ156" i="50"/>
  <c r="AI156" i="50"/>
  <c r="AK156" i="50"/>
  <c r="AN156" i="50" s="1"/>
  <c r="AJ140" i="50"/>
  <c r="AM140" i="50" s="1"/>
  <c r="AI140" i="50"/>
  <c r="AK140" i="50"/>
  <c r="AJ124" i="50"/>
  <c r="AI124" i="50"/>
  <c r="AK124" i="50"/>
  <c r="AN124" i="50" s="1"/>
  <c r="AK108" i="50"/>
  <c r="AJ108" i="50"/>
  <c r="AM108" i="50" s="1"/>
  <c r="AI108" i="50"/>
  <c r="AK92" i="50"/>
  <c r="AN92" i="50" s="1"/>
  <c r="AJ92" i="50"/>
  <c r="AM92" i="50" s="1"/>
  <c r="AI92" i="50"/>
  <c r="AJ62" i="50"/>
  <c r="AM62" i="50" s="1"/>
  <c r="AI62" i="50"/>
  <c r="AK62" i="50"/>
  <c r="AN62" i="50" s="1"/>
  <c r="AJ30" i="50"/>
  <c r="AM30" i="50" s="1"/>
  <c r="AI30" i="50"/>
  <c r="AK30" i="50"/>
  <c r="AN30" i="50" s="1"/>
  <c r="AK241" i="50"/>
  <c r="AJ241" i="50"/>
  <c r="AI241" i="50"/>
  <c r="AK177" i="50"/>
  <c r="AJ177" i="50"/>
  <c r="AI177" i="50"/>
  <c r="AK105" i="50"/>
  <c r="AN105" i="50" s="1"/>
  <c r="AJ105" i="50"/>
  <c r="AM105" i="50" s="1"/>
  <c r="AI105" i="50"/>
  <c r="AK271" i="50"/>
  <c r="AJ271" i="50"/>
  <c r="AI271" i="50"/>
  <c r="AL271" i="50" s="1"/>
  <c r="AK239" i="50"/>
  <c r="AJ239" i="50"/>
  <c r="AI239" i="50"/>
  <c r="AK215" i="50"/>
  <c r="AI215" i="50"/>
  <c r="AJ215" i="50"/>
  <c r="AK199" i="50"/>
  <c r="AI199" i="50"/>
  <c r="AJ199" i="50"/>
  <c r="AK183" i="50"/>
  <c r="AI183" i="50"/>
  <c r="AJ183" i="50"/>
  <c r="AK167" i="50"/>
  <c r="AN167" i="50" s="1"/>
  <c r="AJ167" i="50"/>
  <c r="AI167" i="50"/>
  <c r="AK151" i="50"/>
  <c r="AI151" i="50"/>
  <c r="AJ151" i="50"/>
  <c r="AK135" i="50"/>
  <c r="AN135" i="50" s="1"/>
  <c r="AI135" i="50"/>
  <c r="AJ135" i="50"/>
  <c r="AM135" i="50" s="1"/>
  <c r="AK119" i="50"/>
  <c r="AN119" i="50" s="1"/>
  <c r="AJ119" i="50"/>
  <c r="AM119" i="50" s="1"/>
  <c r="AI119" i="50"/>
  <c r="AK103" i="50"/>
  <c r="AN103" i="50" s="1"/>
  <c r="AI103" i="50"/>
  <c r="AJ103" i="50"/>
  <c r="AK84" i="50"/>
  <c r="AJ84" i="50"/>
  <c r="AI84" i="50"/>
  <c r="AI52" i="50"/>
  <c r="AK52" i="50"/>
  <c r="AN52" i="50" s="1"/>
  <c r="AJ52" i="50"/>
  <c r="AM52" i="50" s="1"/>
  <c r="AI20" i="50"/>
  <c r="AK20" i="50"/>
  <c r="AN20" i="50" s="1"/>
  <c r="AJ20" i="50"/>
  <c r="AM20" i="50" s="1"/>
  <c r="AK237" i="50"/>
  <c r="AJ237" i="50"/>
  <c r="AI237" i="50"/>
  <c r="AL237" i="50" s="1"/>
  <c r="AK193" i="50"/>
  <c r="AJ193" i="50"/>
  <c r="AI193" i="50"/>
  <c r="AK149" i="50"/>
  <c r="AJ149" i="50"/>
  <c r="AI149" i="50"/>
  <c r="AK109" i="50"/>
  <c r="AJ109" i="50"/>
  <c r="AM109" i="50" s="1"/>
  <c r="AI109" i="50"/>
  <c r="AI32" i="50"/>
  <c r="AK32" i="50"/>
  <c r="AN32" i="50" s="1"/>
  <c r="AJ32" i="50"/>
  <c r="AM32" i="50" s="1"/>
  <c r="AK247" i="50"/>
  <c r="AI247" i="50"/>
  <c r="AJ247" i="50"/>
  <c r="AJ266" i="50"/>
  <c r="AI266" i="50"/>
  <c r="AK266" i="50"/>
  <c r="AJ250" i="50"/>
  <c r="AI250" i="50"/>
  <c r="AK250" i="50"/>
  <c r="AK234" i="50"/>
  <c r="AJ234" i="50"/>
  <c r="AI234" i="50"/>
  <c r="AK218" i="50"/>
  <c r="AJ218" i="50"/>
  <c r="AI218" i="50"/>
  <c r="AK202" i="50"/>
  <c r="AJ202" i="50"/>
  <c r="AI202" i="50"/>
  <c r="AK186" i="50"/>
  <c r="AJ186" i="50"/>
  <c r="AI186" i="50"/>
  <c r="AK170" i="50"/>
  <c r="AJ170" i="50"/>
  <c r="AI170" i="50"/>
  <c r="AK154" i="50"/>
  <c r="AJ154" i="50"/>
  <c r="AI154" i="50"/>
  <c r="AK138" i="50"/>
  <c r="AJ138" i="50"/>
  <c r="AI138" i="50"/>
  <c r="AK122" i="50"/>
  <c r="AN122" i="50" s="1"/>
  <c r="AJ122" i="50"/>
  <c r="AI122" i="50"/>
  <c r="AJ106" i="50"/>
  <c r="AI106" i="50"/>
  <c r="AK106" i="50"/>
  <c r="AJ90" i="50"/>
  <c r="AM90" i="50" s="1"/>
  <c r="AI90" i="50"/>
  <c r="AK90" i="50"/>
  <c r="AN90" i="50" s="1"/>
  <c r="AJ58" i="50"/>
  <c r="AM58" i="50" s="1"/>
  <c r="AI58" i="50"/>
  <c r="AK58" i="50"/>
  <c r="AN58" i="50" s="1"/>
  <c r="AJ26" i="50"/>
  <c r="AM26" i="50" s="1"/>
  <c r="AI26" i="50"/>
  <c r="AK26" i="50"/>
  <c r="AN26" i="50" s="1"/>
  <c r="AK79" i="50"/>
  <c r="AJ79" i="50"/>
  <c r="AM79" i="50" s="1"/>
  <c r="AI79" i="50"/>
  <c r="AI63" i="50"/>
  <c r="AK63" i="50"/>
  <c r="AN63" i="50" s="1"/>
  <c r="AJ63" i="50"/>
  <c r="AM63" i="50" s="1"/>
  <c r="AI47" i="50"/>
  <c r="AK47" i="50"/>
  <c r="AN47" i="50" s="1"/>
  <c r="AJ47" i="50"/>
  <c r="AM47" i="50" s="1"/>
  <c r="AI31" i="50"/>
  <c r="AK31" i="50"/>
  <c r="AJ31" i="50"/>
  <c r="AM31" i="50" s="1"/>
  <c r="AI15" i="50"/>
  <c r="AK15" i="50"/>
  <c r="AN15" i="50" s="1"/>
  <c r="AJ15" i="50"/>
  <c r="AM15" i="50" s="1"/>
  <c r="AK77" i="50"/>
  <c r="AN77" i="50" s="1"/>
  <c r="AJ77" i="50"/>
  <c r="AI77" i="50"/>
  <c r="AK61" i="50"/>
  <c r="AJ61" i="50"/>
  <c r="AI61" i="50"/>
  <c r="AL61" i="50" s="1"/>
  <c r="AK45" i="50"/>
  <c r="AJ45" i="50"/>
  <c r="AM45" i="50" s="1"/>
  <c r="AI45" i="50"/>
  <c r="AK29" i="50"/>
  <c r="AJ29" i="50"/>
  <c r="AM29" i="50" s="1"/>
  <c r="AI29" i="50"/>
  <c r="AK13" i="50"/>
  <c r="AN13" i="50" s="1"/>
  <c r="AI13" i="50"/>
  <c r="AL13" i="50" s="1"/>
  <c r="AJ13" i="50"/>
  <c r="AM13" i="50" s="1"/>
  <c r="AM89" i="50" l="1"/>
  <c r="FS11" i="54"/>
  <c r="FQ11" i="54"/>
  <c r="FT11" i="54"/>
  <c r="FL11" i="54"/>
  <c r="FJ11" i="54"/>
  <c r="FM11" i="54"/>
  <c r="FH12" i="54"/>
  <c r="FG11" i="54"/>
  <c r="FI11" i="54" s="1"/>
  <c r="FD12" i="54" s="1"/>
  <c r="GC12" i="54"/>
  <c r="GB11" i="54"/>
  <c r="GD11" i="54" s="1"/>
  <c r="FY12" i="54" s="1"/>
  <c r="CV49" i="54"/>
  <c r="CT49" i="54"/>
  <c r="CU50" i="54" s="1"/>
  <c r="AL256" i="50"/>
  <c r="AL235" i="50"/>
  <c r="AL254" i="50"/>
  <c r="Z25" i="50"/>
  <c r="Z46" i="50"/>
  <c r="Z58" i="50"/>
  <c r="AL163" i="50"/>
  <c r="Z92" i="50"/>
  <c r="Z35" i="50"/>
  <c r="AL173" i="50"/>
  <c r="AA195" i="50"/>
  <c r="Z259" i="50"/>
  <c r="Z19" i="50"/>
  <c r="Z205" i="50"/>
  <c r="Z223" i="50"/>
  <c r="Z79" i="50"/>
  <c r="Z102" i="50"/>
  <c r="Z136" i="50"/>
  <c r="Z127" i="50"/>
  <c r="Z41" i="50"/>
  <c r="Z142" i="50"/>
  <c r="Z32" i="50"/>
  <c r="Z107" i="50"/>
  <c r="Z258" i="50"/>
  <c r="Z153" i="50"/>
  <c r="Z231" i="50"/>
  <c r="Z261" i="50"/>
  <c r="Z144" i="50"/>
  <c r="Z183" i="50"/>
  <c r="AA46" i="50"/>
  <c r="Z225" i="50"/>
  <c r="Z268" i="50"/>
  <c r="Z251" i="50"/>
  <c r="Z189" i="50"/>
  <c r="Z270" i="50"/>
  <c r="Z247" i="50"/>
  <c r="Z265" i="50"/>
  <c r="Z184" i="50"/>
  <c r="Z56" i="50"/>
  <c r="Z262" i="50"/>
  <c r="Z252" i="50"/>
  <c r="Z260" i="50"/>
  <c r="Z241" i="50"/>
  <c r="Z271" i="50"/>
  <c r="Z267" i="50"/>
  <c r="Z269" i="50"/>
  <c r="Z264" i="50"/>
  <c r="Z240" i="50"/>
  <c r="Z263" i="50"/>
  <c r="Z266" i="50"/>
  <c r="Z244" i="50"/>
  <c r="Z250" i="50"/>
  <c r="Z249" i="50"/>
  <c r="Z227" i="50"/>
  <c r="Z232" i="50"/>
  <c r="Z224" i="50"/>
  <c r="Z233" i="50"/>
  <c r="Z208" i="50"/>
  <c r="AL269" i="50"/>
  <c r="AL257" i="50"/>
  <c r="AL266" i="50"/>
  <c r="AL268" i="50"/>
  <c r="AL253" i="50"/>
  <c r="AL267" i="50"/>
  <c r="AL265" i="50"/>
  <c r="Z222" i="50"/>
  <c r="AL270" i="50"/>
  <c r="AL234" i="50"/>
  <c r="AL167" i="50"/>
  <c r="AL239" i="50"/>
  <c r="AL124" i="50"/>
  <c r="AL222" i="50"/>
  <c r="AL240" i="50"/>
  <c r="AL261" i="50"/>
  <c r="AL207" i="50"/>
  <c r="AL231" i="50"/>
  <c r="AL264" i="50"/>
  <c r="AL255" i="50"/>
  <c r="Z197" i="50"/>
  <c r="AL202" i="50"/>
  <c r="AL215" i="50"/>
  <c r="AL220" i="50"/>
  <c r="AL263" i="50"/>
  <c r="AL230" i="50"/>
  <c r="AL262" i="50"/>
  <c r="Z221" i="50"/>
  <c r="AN40" i="50"/>
  <c r="AN56" i="50"/>
  <c r="Z213" i="50"/>
  <c r="Z216" i="50"/>
  <c r="Z187" i="50"/>
  <c r="Z218" i="50"/>
  <c r="AA66" i="50"/>
  <c r="AA86" i="50"/>
  <c r="AA37" i="50"/>
  <c r="AA36" i="50"/>
  <c r="AA78" i="50"/>
  <c r="AA83" i="50"/>
  <c r="Z185" i="50"/>
  <c r="Z40" i="50"/>
  <c r="Z63" i="50"/>
  <c r="Z173" i="50"/>
  <c r="AA32" i="50"/>
  <c r="AA160" i="50"/>
  <c r="Z37" i="50"/>
  <c r="AA75" i="50"/>
  <c r="Z177" i="50"/>
  <c r="AA182" i="50"/>
  <c r="AA58" i="50"/>
  <c r="AA53" i="50"/>
  <c r="AL156" i="50"/>
  <c r="AL113" i="50"/>
  <c r="AL49" i="50"/>
  <c r="AN254" i="50"/>
  <c r="AN210" i="50"/>
  <c r="AA100" i="50"/>
  <c r="Z191" i="50"/>
  <c r="Z201" i="50"/>
  <c r="Z171" i="50"/>
  <c r="Z207" i="50"/>
  <c r="Z242" i="50"/>
  <c r="Z236" i="50"/>
  <c r="Z255" i="50"/>
  <c r="Z257" i="50"/>
  <c r="Z228" i="50"/>
  <c r="Z253" i="50"/>
  <c r="Z226" i="50"/>
  <c r="Z192" i="50"/>
  <c r="Z248" i="50"/>
  <c r="Z217" i="50"/>
  <c r="Z199" i="50"/>
  <c r="Z210" i="50"/>
  <c r="Z230" i="50"/>
  <c r="Z235" i="50"/>
  <c r="Z172" i="50"/>
  <c r="Z256" i="50"/>
  <c r="Z254" i="50"/>
  <c r="Z220" i="50"/>
  <c r="Z219" i="50"/>
  <c r="Z202" i="50"/>
  <c r="Z246" i="50"/>
  <c r="Z212" i="50"/>
  <c r="Z229" i="50"/>
  <c r="Z239" i="50"/>
  <c r="Z215" i="50"/>
  <c r="Z237" i="50"/>
  <c r="Z214" i="50"/>
  <c r="Z209" i="50"/>
  <c r="Z211" i="50"/>
  <c r="Z234" i="50"/>
  <c r="Z238" i="50"/>
  <c r="Z243" i="50"/>
  <c r="Z245" i="50"/>
  <c r="Z180" i="50"/>
  <c r="Z78" i="50"/>
  <c r="AA93" i="50"/>
  <c r="AA88" i="50"/>
  <c r="AA27" i="50"/>
  <c r="AA102" i="50"/>
  <c r="AA47" i="50"/>
  <c r="AA97" i="50"/>
  <c r="AA132" i="50"/>
  <c r="AA125" i="50"/>
  <c r="AA101" i="50"/>
  <c r="AA113" i="50"/>
  <c r="Z195" i="50"/>
  <c r="Z89" i="50"/>
  <c r="Z204" i="50"/>
  <c r="Z194" i="50"/>
  <c r="Z188" i="50"/>
  <c r="Z190" i="50"/>
  <c r="Z198" i="50"/>
  <c r="Z196" i="50"/>
  <c r="Z203" i="50"/>
  <c r="Z200" i="50"/>
  <c r="Z186" i="50"/>
  <c r="Z15" i="50"/>
  <c r="Z179" i="50"/>
  <c r="AA103" i="50"/>
  <c r="Z54" i="50"/>
  <c r="AA104" i="50"/>
  <c r="AA139" i="50"/>
  <c r="AA68" i="50"/>
  <c r="AA35" i="50"/>
  <c r="AA118" i="50"/>
  <c r="AA62" i="50"/>
  <c r="AA129" i="50"/>
  <c r="AA84" i="50"/>
  <c r="AA74" i="50"/>
  <c r="AA109" i="50"/>
  <c r="AA61" i="50"/>
  <c r="AA39" i="50"/>
  <c r="AA26" i="50"/>
  <c r="AA111" i="50"/>
  <c r="AA271" i="50"/>
  <c r="AA89" i="50"/>
  <c r="AA85" i="50"/>
  <c r="Z109" i="50"/>
  <c r="AA128" i="50"/>
  <c r="AA29" i="50"/>
  <c r="AA131" i="50"/>
  <c r="AA50" i="50"/>
  <c r="AA107" i="50"/>
  <c r="AA130" i="50"/>
  <c r="AA121" i="50"/>
  <c r="AA92" i="50"/>
  <c r="AA122" i="50"/>
  <c r="AA152" i="50"/>
  <c r="AA60" i="50"/>
  <c r="AA149" i="50"/>
  <c r="AA31" i="50"/>
  <c r="AA127" i="50"/>
  <c r="AA41" i="50"/>
  <c r="AA117" i="50"/>
  <c r="AA106" i="50"/>
  <c r="AA154" i="50"/>
  <c r="AA64" i="50"/>
  <c r="AA95" i="50"/>
  <c r="AA77" i="50"/>
  <c r="AA57" i="50"/>
  <c r="AA151" i="50"/>
  <c r="AA25" i="50"/>
  <c r="AA33" i="50"/>
  <c r="AA80" i="50"/>
  <c r="AA72" i="50"/>
  <c r="AA69" i="50"/>
  <c r="AA87" i="50"/>
  <c r="AA43" i="50"/>
  <c r="AA99" i="50"/>
  <c r="AA98" i="50"/>
  <c r="AA38" i="50"/>
  <c r="AA55" i="50"/>
  <c r="AA73" i="50"/>
  <c r="AA94" i="50"/>
  <c r="AA52" i="50"/>
  <c r="AA90" i="50"/>
  <c r="AA45" i="50"/>
  <c r="AA63" i="50"/>
  <c r="AA119" i="50"/>
  <c r="AA105" i="50"/>
  <c r="AA116" i="50"/>
  <c r="AA82" i="50"/>
  <c r="AA30" i="50"/>
  <c r="AA76" i="50"/>
  <c r="AA115" i="50"/>
  <c r="AA67" i="50"/>
  <c r="AA126" i="50"/>
  <c r="AA112" i="50"/>
  <c r="AA44" i="50"/>
  <c r="AA96" i="50"/>
  <c r="AA81" i="50"/>
  <c r="AA114" i="50"/>
  <c r="AA208" i="50"/>
  <c r="Z160" i="50"/>
  <c r="AM271" i="50"/>
  <c r="Z76" i="50"/>
  <c r="Z77" i="50"/>
  <c r="Z115" i="50"/>
  <c r="Z83" i="50"/>
  <c r="AA156" i="50"/>
  <c r="AA136" i="50"/>
  <c r="AA134" i="50"/>
  <c r="AA133" i="50"/>
  <c r="AA157" i="50"/>
  <c r="AA145" i="50"/>
  <c r="AA147" i="50"/>
  <c r="AA150" i="50"/>
  <c r="AA142" i="50"/>
  <c r="AA141" i="50"/>
  <c r="AA153" i="50"/>
  <c r="AA137" i="50"/>
  <c r="AA158" i="50"/>
  <c r="AM204" i="50"/>
  <c r="AN236" i="50"/>
  <c r="AM165" i="50"/>
  <c r="AM136" i="50"/>
  <c r="AL17" i="50"/>
  <c r="AM162" i="50"/>
  <c r="AM226" i="50"/>
  <c r="AN265" i="50"/>
  <c r="AM153" i="50"/>
  <c r="Z94" i="50"/>
  <c r="Z26" i="50"/>
  <c r="Z91" i="50"/>
  <c r="AA200" i="50"/>
  <c r="AA173" i="50"/>
  <c r="Z72" i="50"/>
  <c r="Z27" i="50"/>
  <c r="Z86" i="50"/>
  <c r="Z93" i="50"/>
  <c r="Z49" i="50"/>
  <c r="Z168" i="50"/>
  <c r="AA184" i="50"/>
  <c r="Z47" i="50"/>
  <c r="AA240" i="50"/>
  <c r="AM154" i="50"/>
  <c r="AM177" i="50"/>
  <c r="AM124" i="50"/>
  <c r="AM141" i="50"/>
  <c r="AM130" i="50"/>
  <c r="AM149" i="50"/>
  <c r="AM126" i="50"/>
  <c r="AM132" i="50"/>
  <c r="AM156" i="50"/>
  <c r="AM145" i="50"/>
  <c r="AM137" i="50"/>
  <c r="AM134" i="50"/>
  <c r="AM133" i="50"/>
  <c r="AM146" i="50"/>
  <c r="AM152" i="50"/>
  <c r="AN203" i="50"/>
  <c r="AM170" i="50"/>
  <c r="AN220" i="50"/>
  <c r="AN226" i="50"/>
  <c r="AM220" i="50"/>
  <c r="AN252" i="50"/>
  <c r="AN224" i="50"/>
  <c r="AM210" i="50"/>
  <c r="AN264" i="50"/>
  <c r="AM252" i="50"/>
  <c r="AL135" i="50"/>
  <c r="AL213" i="50"/>
  <c r="AL209" i="50"/>
  <c r="AL244" i="50"/>
  <c r="AL229" i="50"/>
  <c r="AL250" i="50"/>
  <c r="AL241" i="50"/>
  <c r="AL252" i="50"/>
  <c r="AL81" i="50"/>
  <c r="AM254" i="50"/>
  <c r="AL210" i="50"/>
  <c r="AL219" i="50"/>
  <c r="AL225" i="50"/>
  <c r="AL134" i="50"/>
  <c r="AL60" i="50"/>
  <c r="AL193" i="50"/>
  <c r="AL245" i="50"/>
  <c r="AL216" i="50"/>
  <c r="AL233" i="50"/>
  <c r="AL65" i="50"/>
  <c r="AL203" i="50"/>
  <c r="AL224" i="50"/>
  <c r="AL53" i="50"/>
  <c r="AM253" i="50"/>
  <c r="AL242" i="50"/>
  <c r="AL238" i="50"/>
  <c r="AL249" i="50"/>
  <c r="AL236" i="50"/>
  <c r="AL246" i="50"/>
  <c r="AL206" i="50"/>
  <c r="AN270" i="50"/>
  <c r="AL217" i="50"/>
  <c r="AL212" i="50"/>
  <c r="AL247" i="50"/>
  <c r="AL205" i="50"/>
  <c r="AL70" i="50"/>
  <c r="AL87" i="50"/>
  <c r="AL232" i="50"/>
  <c r="AL186" i="50"/>
  <c r="AL119" i="50"/>
  <c r="AL140" i="50"/>
  <c r="AL204" i="50"/>
  <c r="AN269" i="50"/>
  <c r="AL86" i="50"/>
  <c r="AL33" i="50"/>
  <c r="AL243" i="50"/>
  <c r="AL214" i="50"/>
  <c r="AL226" i="50"/>
  <c r="AN271" i="50"/>
  <c r="AL194" i="50"/>
  <c r="Z163" i="50"/>
  <c r="Z166" i="50"/>
  <c r="Z161" i="50"/>
  <c r="Z69" i="50"/>
  <c r="Z128" i="50"/>
  <c r="AA225" i="50"/>
  <c r="AL228" i="50"/>
  <c r="AA229" i="50"/>
  <c r="AC9" i="50"/>
  <c r="Z119" i="50"/>
  <c r="Z114" i="50"/>
  <c r="Z174" i="50"/>
  <c r="Z175" i="50"/>
  <c r="Z170" i="50"/>
  <c r="Z176" i="50"/>
  <c r="Z178" i="50"/>
  <c r="Z30" i="50"/>
  <c r="Z182" i="50"/>
  <c r="Z181" i="50"/>
  <c r="Z169" i="50"/>
  <c r="AM114" i="50"/>
  <c r="AM139" i="50"/>
  <c r="Z167" i="50"/>
  <c r="AM118" i="50"/>
  <c r="AM111" i="50"/>
  <c r="Z151" i="50"/>
  <c r="Z13" i="50"/>
  <c r="Z24" i="50"/>
  <c r="Z73" i="50"/>
  <c r="AA245" i="50"/>
  <c r="Z152" i="50"/>
  <c r="Z74" i="50"/>
  <c r="AA231" i="50"/>
  <c r="Z105" i="50"/>
  <c r="Z85" i="50"/>
  <c r="Z88" i="50"/>
  <c r="AA187" i="50"/>
  <c r="AA183" i="50"/>
  <c r="Z111" i="50"/>
  <c r="AA223" i="50"/>
  <c r="Z45" i="50"/>
  <c r="Z53" i="50"/>
  <c r="AM138" i="50"/>
  <c r="AM173" i="50"/>
  <c r="AM103" i="50"/>
  <c r="AM106" i="50"/>
  <c r="AM127" i="50"/>
  <c r="AM163" i="50"/>
  <c r="AM142" i="50"/>
  <c r="AM168" i="50"/>
  <c r="AA197" i="50"/>
  <c r="AA215" i="50"/>
  <c r="AA199" i="50"/>
  <c r="AA210" i="50"/>
  <c r="AA220" i="50"/>
  <c r="AA185" i="50"/>
  <c r="AA243" i="50"/>
  <c r="AA250" i="50"/>
  <c r="AA261" i="50"/>
  <c r="Z158" i="50"/>
  <c r="Z52" i="50"/>
  <c r="Z126" i="50"/>
  <c r="Z104" i="50"/>
  <c r="Z135" i="50"/>
  <c r="Z124" i="50"/>
  <c r="AA224" i="50"/>
  <c r="Z55" i="50"/>
  <c r="Z33" i="50"/>
  <c r="AA242" i="50"/>
  <c r="Z38" i="50"/>
  <c r="Z101" i="50"/>
  <c r="Z96" i="50"/>
  <c r="AA174" i="50"/>
  <c r="AA221" i="50"/>
  <c r="Z61" i="50"/>
  <c r="AA177" i="50"/>
  <c r="AA249" i="50"/>
  <c r="Z129" i="50"/>
  <c r="AA222" i="50"/>
  <c r="AA188" i="50"/>
  <c r="Z64" i="50"/>
  <c r="AA217" i="50"/>
  <c r="Z80" i="50"/>
  <c r="Z82" i="50"/>
  <c r="AA196" i="50"/>
  <c r="AA218" i="50"/>
  <c r="Z71" i="50"/>
  <c r="Z17" i="50"/>
  <c r="Z44" i="50"/>
  <c r="Z134" i="50"/>
  <c r="Z23" i="50"/>
  <c r="Z16" i="50"/>
  <c r="Z20" i="50"/>
  <c r="Z34" i="50"/>
  <c r="Z65" i="50"/>
  <c r="Z90" i="50"/>
  <c r="Z39" i="50"/>
  <c r="Z137" i="50"/>
  <c r="AA167" i="50"/>
  <c r="Z57" i="50"/>
  <c r="Z87" i="50"/>
  <c r="Z103" i="50"/>
  <c r="AA258" i="50"/>
  <c r="Z48" i="50"/>
  <c r="Z28" i="50"/>
  <c r="AA256" i="50"/>
  <c r="AA212" i="50"/>
  <c r="Z66" i="50"/>
  <c r="Z159" i="50"/>
  <c r="AA232" i="50"/>
  <c r="AA239" i="50"/>
  <c r="AA233" i="50"/>
  <c r="Z21" i="50"/>
  <c r="AA178" i="50"/>
  <c r="Z97" i="50"/>
  <c r="Z112" i="50"/>
  <c r="Z162" i="50"/>
  <c r="AA186" i="50"/>
  <c r="AA176" i="50"/>
  <c r="Z14" i="50"/>
  <c r="AA179" i="50"/>
  <c r="Z70" i="50"/>
  <c r="Z113" i="50"/>
  <c r="Z59" i="50"/>
  <c r="AA265" i="50"/>
  <c r="AA254" i="50"/>
  <c r="AA251" i="50"/>
  <c r="AA204" i="50"/>
  <c r="AA202" i="50"/>
  <c r="Z145" i="50"/>
  <c r="AA203" i="50"/>
  <c r="AA194" i="50"/>
  <c r="AA241" i="50"/>
  <c r="AA230" i="50"/>
  <c r="AA211" i="50"/>
  <c r="Z36" i="50"/>
  <c r="AA237" i="50"/>
  <c r="AA169" i="50"/>
  <c r="Z149" i="50"/>
  <c r="Z147" i="50"/>
  <c r="Z98" i="50"/>
  <c r="Z117" i="50"/>
  <c r="Z62" i="50"/>
  <c r="Z31" i="50"/>
  <c r="Z18" i="50"/>
  <c r="Z110" i="50"/>
  <c r="Z81" i="50"/>
  <c r="AA209" i="50"/>
  <c r="AA190" i="50"/>
  <c r="Z84" i="50"/>
  <c r="AA238" i="50"/>
  <c r="Z106" i="50"/>
  <c r="AA189" i="50"/>
  <c r="AN109" i="50"/>
  <c r="AM88" i="50"/>
  <c r="AM78" i="50"/>
  <c r="AM77" i="50"/>
  <c r="AN115" i="50"/>
  <c r="AL221" i="50"/>
  <c r="AL259" i="50"/>
  <c r="AL218" i="50"/>
  <c r="AL248" i="50"/>
  <c r="AL251" i="50"/>
  <c r="AL260" i="50"/>
  <c r="Z43" i="50"/>
  <c r="AA162" i="50"/>
  <c r="AA168" i="50"/>
  <c r="AA226" i="50"/>
  <c r="AA207" i="50"/>
  <c r="Z51" i="50"/>
  <c r="Z108" i="50"/>
  <c r="AA255" i="50"/>
  <c r="Z50" i="50"/>
  <c r="AA227" i="50"/>
  <c r="Z156" i="50"/>
  <c r="AA155" i="50"/>
  <c r="Z42" i="50"/>
  <c r="Z130" i="50"/>
  <c r="AA198" i="50"/>
  <c r="AA268" i="50"/>
  <c r="AA244" i="50"/>
  <c r="Z148" i="50"/>
  <c r="AA180" i="50"/>
  <c r="AA175" i="50"/>
  <c r="Z95" i="50"/>
  <c r="AA270" i="50"/>
  <c r="AA171" i="50"/>
  <c r="AA172" i="50"/>
  <c r="Z154" i="50"/>
  <c r="Z121" i="50"/>
  <c r="Z99" i="50"/>
  <c r="Z141" i="50"/>
  <c r="Z122" i="50"/>
  <c r="AA252" i="50"/>
  <c r="AA260" i="50"/>
  <c r="AA213" i="50"/>
  <c r="Z146" i="50"/>
  <c r="Z157" i="50"/>
  <c r="AA214" i="50"/>
  <c r="Z155" i="50"/>
  <c r="Z67" i="50"/>
  <c r="Z150" i="50"/>
  <c r="AA248" i="50"/>
  <c r="Z116" i="50"/>
  <c r="AA266" i="50"/>
  <c r="Z120" i="50"/>
  <c r="Z140" i="50"/>
  <c r="Z139" i="50"/>
  <c r="AA181" i="50"/>
  <c r="Z138" i="50"/>
  <c r="AA146" i="50"/>
  <c r="Z22" i="50"/>
  <c r="AA206" i="50"/>
  <c r="AA140" i="50"/>
  <c r="AA262" i="50"/>
  <c r="AA269" i="50"/>
  <c r="AA219" i="50"/>
  <c r="Z123" i="50"/>
  <c r="AA148" i="50"/>
  <c r="AA166" i="50"/>
  <c r="AA159" i="50"/>
  <c r="Z118" i="50"/>
  <c r="Z29" i="50"/>
  <c r="AN43" i="50"/>
  <c r="AN61" i="50"/>
  <c r="AN31" i="50"/>
  <c r="AN27" i="50"/>
  <c r="AN48" i="50"/>
  <c r="AN45" i="50"/>
  <c r="AN55" i="50"/>
  <c r="AN98" i="50"/>
  <c r="AN95" i="50"/>
  <c r="AM61" i="50"/>
  <c r="AN216" i="50"/>
  <c r="AN117" i="50"/>
  <c r="AM91" i="50"/>
  <c r="AN173" i="50"/>
  <c r="AM98" i="50"/>
  <c r="AM95" i="50"/>
  <c r="AN183" i="50"/>
  <c r="AA246" i="50"/>
  <c r="AA216" i="50"/>
  <c r="AA161" i="50"/>
  <c r="AA165" i="50"/>
  <c r="AA263" i="50"/>
  <c r="Z60" i="50"/>
  <c r="AA253" i="50"/>
  <c r="AA164" i="50"/>
  <c r="AA247" i="50"/>
  <c r="AA259" i="50"/>
  <c r="Z206" i="50"/>
  <c r="AA235" i="50"/>
  <c r="Z131" i="50"/>
  <c r="AN51" i="50"/>
  <c r="AN28" i="50"/>
  <c r="AN29" i="50"/>
  <c r="AN19" i="50"/>
  <c r="AN79" i="50"/>
  <c r="AM28" i="50"/>
  <c r="AN78" i="50"/>
  <c r="AN89" i="50"/>
  <c r="AN84" i="50"/>
  <c r="AM19" i="50"/>
  <c r="AN120" i="50"/>
  <c r="AN93" i="50"/>
  <c r="AM84" i="50"/>
  <c r="AM93" i="50"/>
  <c r="AM83" i="50"/>
  <c r="AL227" i="50"/>
  <c r="AM268" i="50"/>
  <c r="AL223" i="50"/>
  <c r="AN108" i="50"/>
  <c r="AN118" i="50"/>
  <c r="AN106" i="50"/>
  <c r="Z165" i="50"/>
  <c r="Z132" i="50"/>
  <c r="Z125" i="50"/>
  <c r="Z75" i="50"/>
  <c r="Z100" i="50"/>
  <c r="AA228" i="50"/>
  <c r="AA201" i="50"/>
  <c r="AA236" i="50"/>
  <c r="Z133" i="50"/>
  <c r="AL175" i="50"/>
  <c r="AM260" i="50"/>
  <c r="AM183" i="50"/>
  <c r="AM178" i="50"/>
  <c r="AL45" i="50"/>
  <c r="AL115" i="50"/>
  <c r="AM158" i="50"/>
  <c r="AM205" i="50"/>
  <c r="AP5" i="50"/>
  <c r="AL183" i="50"/>
  <c r="AL43" i="50"/>
  <c r="AL31" i="50"/>
  <c r="AL118" i="50"/>
  <c r="AM175" i="50"/>
  <c r="AN260" i="50"/>
  <c r="AN253" i="50"/>
  <c r="AN205" i="50"/>
  <c r="AM128" i="50"/>
  <c r="AN163" i="50"/>
  <c r="AN168" i="50"/>
  <c r="AM125" i="50"/>
  <c r="AL29" i="50"/>
  <c r="AN180" i="50"/>
  <c r="AN196" i="50"/>
  <c r="AN140" i="50"/>
  <c r="AL109" i="50"/>
  <c r="AN182" i="50"/>
  <c r="AM117" i="50"/>
  <c r="AN123" i="50"/>
  <c r="AN125" i="50"/>
  <c r="AN133" i="50"/>
  <c r="AN185" i="50"/>
  <c r="AN147" i="50"/>
  <c r="AN195" i="50"/>
  <c r="AM120" i="50"/>
  <c r="AN197" i="50"/>
  <c r="AN129" i="50"/>
  <c r="AN169" i="50"/>
  <c r="AN127" i="50"/>
  <c r="AN143" i="50"/>
  <c r="AN159" i="50"/>
  <c r="AN191" i="50"/>
  <c r="AN141" i="50"/>
  <c r="AM116" i="50"/>
  <c r="AN131" i="50"/>
  <c r="AN179" i="50"/>
  <c r="AN172" i="50"/>
  <c r="AN188" i="50"/>
  <c r="AN200" i="50"/>
  <c r="AN130" i="50"/>
  <c r="AN146" i="50"/>
  <c r="AN162" i="50"/>
  <c r="AN178" i="50"/>
  <c r="AN194" i="50"/>
  <c r="AN132" i="50"/>
  <c r="AN148" i="50"/>
  <c r="AN164" i="50"/>
  <c r="AN198" i="50"/>
  <c r="AM122" i="50"/>
  <c r="AN151" i="50"/>
  <c r="AM115" i="50"/>
  <c r="AN161" i="50"/>
  <c r="AN201" i="50"/>
  <c r="AN139" i="50"/>
  <c r="AN155" i="50"/>
  <c r="AN171" i="50"/>
  <c r="AN187" i="50"/>
  <c r="AN152" i="50"/>
  <c r="AN184" i="50"/>
  <c r="AN232" i="50"/>
  <c r="AN138" i="50"/>
  <c r="AN154" i="50"/>
  <c r="AN170" i="50"/>
  <c r="AN186" i="50"/>
  <c r="AN202" i="50"/>
  <c r="AN149" i="50"/>
  <c r="AN193" i="50"/>
  <c r="AM121" i="50"/>
  <c r="AN150" i="50"/>
  <c r="AN166" i="50"/>
  <c r="AN199" i="50"/>
  <c r="AN177" i="50"/>
  <c r="AN165" i="50"/>
  <c r="AN137" i="50"/>
  <c r="AN157" i="50"/>
  <c r="AN126" i="50"/>
  <c r="AN142" i="50"/>
  <c r="AN158" i="50"/>
  <c r="AN174" i="50"/>
  <c r="AN190" i="50"/>
  <c r="AN189" i="50"/>
  <c r="AN128" i="50"/>
  <c r="AN144" i="50"/>
  <c r="AN160" i="50"/>
  <c r="AN176" i="50"/>
  <c r="AN192" i="50"/>
  <c r="AN208" i="50"/>
  <c r="AN145" i="50"/>
  <c r="AN181" i="50"/>
  <c r="AN153" i="50"/>
  <c r="AN255" i="50"/>
  <c r="AL192" i="50"/>
  <c r="AL208" i="50"/>
  <c r="AL198" i="50"/>
  <c r="AL211" i="50"/>
  <c r="AM245" i="50"/>
  <c r="AL18" i="50"/>
  <c r="AL136" i="50"/>
  <c r="AM233" i="50"/>
  <c r="AM250" i="50"/>
  <c r="AM266" i="50"/>
  <c r="AM264" i="50"/>
  <c r="AL19" i="50"/>
  <c r="AL35" i="50"/>
  <c r="AL51" i="50"/>
  <c r="AM189" i="50"/>
  <c r="AL189" i="50"/>
  <c r="AL104" i="50"/>
  <c r="AL153" i="50"/>
  <c r="AL199" i="50"/>
  <c r="AM239" i="50"/>
  <c r="AM241" i="50"/>
  <c r="AM246" i="50"/>
  <c r="AM238" i="50"/>
  <c r="AM267" i="50"/>
  <c r="AL185" i="50"/>
  <c r="AM263" i="50"/>
  <c r="AL197" i="50"/>
  <c r="AM259" i="50"/>
  <c r="AL191" i="50"/>
  <c r="AM225" i="50"/>
  <c r="AM231" i="50"/>
  <c r="AL190" i="50"/>
  <c r="AL188" i="50"/>
  <c r="AL201" i="50"/>
  <c r="AL195" i="50"/>
  <c r="AL200" i="50"/>
  <c r="AL196" i="50"/>
  <c r="AM232" i="50"/>
  <c r="AM261" i="50"/>
  <c r="AL155" i="50"/>
  <c r="AL171" i="50"/>
  <c r="AL144" i="50"/>
  <c r="AL160" i="50"/>
  <c r="AL176" i="50"/>
  <c r="AM234" i="50"/>
  <c r="AM247" i="50"/>
  <c r="AM237" i="50"/>
  <c r="AM235" i="50"/>
  <c r="AL137" i="50"/>
  <c r="AL157" i="50"/>
  <c r="AL83" i="50"/>
  <c r="AL94" i="50"/>
  <c r="AL110" i="50"/>
  <c r="AL126" i="50"/>
  <c r="AL142" i="50"/>
  <c r="AL158" i="50"/>
  <c r="AL174" i="50"/>
  <c r="AL38" i="50"/>
  <c r="AL69" i="50"/>
  <c r="AL85" i="50"/>
  <c r="AL145" i="50"/>
  <c r="AL181" i="50"/>
  <c r="AL50" i="50"/>
  <c r="AM198" i="50"/>
  <c r="AM151" i="50"/>
  <c r="AM167" i="50"/>
  <c r="AM269" i="50"/>
  <c r="AM155" i="50"/>
  <c r="AM171" i="50"/>
  <c r="AM243" i="50"/>
  <c r="AL73" i="50"/>
  <c r="AL82" i="50"/>
  <c r="AM166" i="50"/>
  <c r="AM214" i="50"/>
  <c r="AM147" i="50"/>
  <c r="AM242" i="50"/>
  <c r="AM219" i="50"/>
  <c r="AM169" i="50"/>
  <c r="AM213" i="50"/>
  <c r="AM143" i="50"/>
  <c r="AM159" i="50"/>
  <c r="AM227" i="50"/>
  <c r="AM251" i="50"/>
  <c r="AM209" i="50"/>
  <c r="AM265" i="50"/>
  <c r="AM229" i="50"/>
  <c r="AM172" i="50"/>
  <c r="AM255" i="50"/>
  <c r="AM161" i="50"/>
  <c r="AM187" i="50"/>
  <c r="AL112" i="50"/>
  <c r="AL128" i="50"/>
  <c r="AM240" i="50"/>
  <c r="AM256" i="50"/>
  <c r="AL166" i="50"/>
  <c r="AM248" i="50"/>
  <c r="AM258" i="50"/>
  <c r="AM257" i="50"/>
  <c r="AM148" i="50"/>
  <c r="AM164" i="50"/>
  <c r="AM244" i="50"/>
  <c r="AM230" i="50"/>
  <c r="AM262" i="50"/>
  <c r="AL48" i="50"/>
  <c r="AM249" i="50"/>
  <c r="AL28" i="50"/>
  <c r="AM144" i="50"/>
  <c r="AM160" i="50"/>
  <c r="AM176" i="50"/>
  <c r="AM192" i="50"/>
  <c r="AM208" i="50"/>
  <c r="AL88" i="50"/>
  <c r="AM150" i="50"/>
  <c r="AL93" i="50"/>
  <c r="AM181" i="50"/>
  <c r="AN215" i="50"/>
  <c r="AL172" i="50"/>
  <c r="AL23" i="50"/>
  <c r="AL39" i="50"/>
  <c r="AL55" i="50"/>
  <c r="AL71" i="50"/>
  <c r="AM207" i="50"/>
  <c r="AL180" i="50"/>
  <c r="AN225" i="50"/>
  <c r="AL76" i="50"/>
  <c r="AM201" i="50"/>
  <c r="AN249" i="50"/>
  <c r="AL77" i="50"/>
  <c r="AL79" i="50"/>
  <c r="AL122" i="50"/>
  <c r="AL138" i="50"/>
  <c r="AL154" i="50"/>
  <c r="AL170" i="50"/>
  <c r="AN250" i="50"/>
  <c r="AN266" i="50"/>
  <c r="AL149" i="50"/>
  <c r="AL84" i="50"/>
  <c r="AL151" i="50"/>
  <c r="AM188" i="50"/>
  <c r="AN233" i="50"/>
  <c r="AM174" i="50"/>
  <c r="AM190" i="50"/>
  <c r="AL147" i="50"/>
  <c r="AM195" i="50"/>
  <c r="AN248" i="50"/>
  <c r="AL21" i="50"/>
  <c r="AL37" i="50"/>
  <c r="AN258" i="50"/>
  <c r="AL80" i="50"/>
  <c r="AL129" i="50"/>
  <c r="AL169" i="50"/>
  <c r="AL95" i="50"/>
  <c r="AL111" i="50"/>
  <c r="AL127" i="50"/>
  <c r="AL143" i="50"/>
  <c r="AL159" i="50"/>
  <c r="AL141" i="50"/>
  <c r="AL78" i="50"/>
  <c r="AL100" i="50"/>
  <c r="AN212" i="50"/>
  <c r="AN228" i="50"/>
  <c r="AN244" i="50"/>
  <c r="AM179" i="50"/>
  <c r="AM186" i="50"/>
  <c r="AM182" i="50"/>
  <c r="AN211" i="50"/>
  <c r="AN221" i="50"/>
  <c r="AN206" i="50"/>
  <c r="AN222" i="50"/>
  <c r="AN217" i="50"/>
  <c r="AM185" i="50"/>
  <c r="AL54" i="50"/>
  <c r="AL120" i="50"/>
  <c r="AM197" i="50"/>
  <c r="AN257" i="50"/>
  <c r="AM191" i="50"/>
  <c r="AL14" i="50"/>
  <c r="AL46" i="50"/>
  <c r="AL116" i="50"/>
  <c r="AL132" i="50"/>
  <c r="AL148" i="50"/>
  <c r="AL164" i="50"/>
  <c r="AL40" i="50"/>
  <c r="AM184" i="50"/>
  <c r="AN218" i="50"/>
  <c r="AN223" i="50"/>
  <c r="AN214" i="50"/>
  <c r="AN267" i="50"/>
  <c r="AL44" i="50"/>
  <c r="AN263" i="50"/>
  <c r="AM200" i="50"/>
  <c r="AN219" i="50"/>
  <c r="AN213" i="50"/>
  <c r="AN207" i="50"/>
  <c r="AN227" i="50"/>
  <c r="AN209" i="50"/>
  <c r="AM180" i="50"/>
  <c r="AN230" i="50"/>
  <c r="AL26" i="50"/>
  <c r="AL58" i="50"/>
  <c r="AL90" i="50"/>
  <c r="AL106" i="50"/>
  <c r="AM202" i="50"/>
  <c r="AM218" i="50"/>
  <c r="AM193" i="50"/>
  <c r="AM199" i="50"/>
  <c r="AM215" i="50"/>
  <c r="AL105" i="50"/>
  <c r="AL177" i="50"/>
  <c r="AL92" i="50"/>
  <c r="AL108" i="50"/>
  <c r="AL121" i="50"/>
  <c r="AL165" i="50"/>
  <c r="AL182" i="50"/>
  <c r="AM211" i="50"/>
  <c r="AM221" i="50"/>
  <c r="AM216" i="50"/>
  <c r="AL34" i="50"/>
  <c r="AL66" i="50"/>
  <c r="AM206" i="50"/>
  <c r="AM222" i="50"/>
  <c r="AL125" i="50"/>
  <c r="AN240" i="50"/>
  <c r="AN256" i="50"/>
  <c r="AL133" i="50"/>
  <c r="AM217" i="50"/>
  <c r="AN261" i="50"/>
  <c r="AL75" i="50"/>
  <c r="AL98" i="50"/>
  <c r="AL114" i="50"/>
  <c r="AL130" i="50"/>
  <c r="AL146" i="50"/>
  <c r="AL162" i="50"/>
  <c r="AL178" i="50"/>
  <c r="AN242" i="50"/>
  <c r="AN259" i="50"/>
  <c r="AL36" i="50"/>
  <c r="AL68" i="50"/>
  <c r="AN251" i="50"/>
  <c r="AL64" i="50"/>
  <c r="AM196" i="50"/>
  <c r="AM212" i="50"/>
  <c r="AM228" i="50"/>
  <c r="AL25" i="50"/>
  <c r="AL41" i="50"/>
  <c r="AL89" i="50"/>
  <c r="AN262" i="50"/>
  <c r="AL97" i="50"/>
  <c r="AL99" i="50"/>
  <c r="AL131" i="50"/>
  <c r="AL22" i="50"/>
  <c r="AL152" i="50"/>
  <c r="AL184" i="50"/>
  <c r="AL102" i="50"/>
  <c r="AP4" i="50"/>
  <c r="AL15" i="50"/>
  <c r="AL47" i="50"/>
  <c r="AL63" i="50"/>
  <c r="AN234" i="50"/>
  <c r="AN237" i="50"/>
  <c r="AL20" i="50"/>
  <c r="AL52" i="50"/>
  <c r="AL103" i="50"/>
  <c r="AL30" i="50"/>
  <c r="AL62" i="50"/>
  <c r="AN245" i="50"/>
  <c r="AL27" i="50"/>
  <c r="AN246" i="50"/>
  <c r="AN235" i="50"/>
  <c r="AL168" i="50"/>
  <c r="AL67" i="50"/>
  <c r="AN238" i="50"/>
  <c r="AL117" i="50"/>
  <c r="AL161" i="50"/>
  <c r="AL91" i="50"/>
  <c r="AL107" i="50"/>
  <c r="AL123" i="50"/>
  <c r="AL187" i="50"/>
  <c r="AM223" i="50"/>
  <c r="AL96" i="50"/>
  <c r="AL42" i="50"/>
  <c r="AL74" i="50"/>
  <c r="AM194" i="50"/>
  <c r="AL101" i="50"/>
  <c r="AL150" i="50"/>
  <c r="AL179" i="50"/>
  <c r="AL56" i="50"/>
  <c r="AN247" i="50"/>
  <c r="AL32" i="50"/>
  <c r="AN239" i="50"/>
  <c r="AN241" i="50"/>
  <c r="AL72" i="50"/>
  <c r="AP6" i="50"/>
  <c r="AL57" i="50"/>
  <c r="AL139" i="50"/>
  <c r="AN243" i="50"/>
  <c r="AL24" i="50"/>
  <c r="AL16" i="50"/>
  <c r="AL59" i="50"/>
  <c r="AN229" i="50"/>
  <c r="AN231" i="50"/>
  <c r="FX12" i="54" l="1"/>
  <c r="FZ12" i="54"/>
  <c r="GA12" i="54"/>
  <c r="FO12" i="54"/>
  <c r="FN11" i="54"/>
  <c r="FP11" i="54" s="1"/>
  <c r="FK12" i="54" s="1"/>
  <c r="FE12" i="54"/>
  <c r="FC12" i="54"/>
  <c r="FF12" i="54"/>
  <c r="FV12" i="54"/>
  <c r="FU11" i="54"/>
  <c r="FW11" i="54" s="1"/>
  <c r="FR12" i="54" s="1"/>
  <c r="CV50" i="54"/>
  <c r="CT50" i="54"/>
  <c r="CU51" i="54" s="1"/>
  <c r="AC6" i="50"/>
  <c r="FG12" i="54" l="1"/>
  <c r="FI12" i="54" s="1"/>
  <c r="FD13" i="54" s="1"/>
  <c r="FH13" i="54"/>
  <c r="FJ12" i="54"/>
  <c r="FL12" i="54"/>
  <c r="FM12" i="54"/>
  <c r="FQ12" i="54"/>
  <c r="FS12" i="54"/>
  <c r="FT12" i="54"/>
  <c r="GC13" i="54"/>
  <c r="GB12" i="54"/>
  <c r="GD12" i="54" s="1"/>
  <c r="FY13" i="54" s="1"/>
  <c r="CV51" i="54"/>
  <c r="CT51" i="54"/>
  <c r="CU52" i="54" s="1"/>
  <c r="AC257" i="50"/>
  <c r="AC68" i="50"/>
  <c r="AC260" i="50"/>
  <c r="AC97" i="50"/>
  <c r="AC153" i="50"/>
  <c r="AC244" i="50"/>
  <c r="AC96" i="50"/>
  <c r="AC63" i="50"/>
  <c r="AC167" i="50"/>
  <c r="AC118" i="50"/>
  <c r="AC271" i="50"/>
  <c r="AC256" i="50"/>
  <c r="AC128" i="50"/>
  <c r="AC160" i="50"/>
  <c r="AC161" i="50"/>
  <c r="AC203" i="50"/>
  <c r="AC206" i="50"/>
  <c r="AC180" i="50"/>
  <c r="AC229" i="50"/>
  <c r="AC169" i="50"/>
  <c r="AC23" i="50"/>
  <c r="AC262" i="50"/>
  <c r="AC122" i="50"/>
  <c r="AC154" i="50"/>
  <c r="AC137" i="50"/>
  <c r="AC197" i="50"/>
  <c r="AC182" i="50"/>
  <c r="AC240" i="50"/>
  <c r="AC223" i="50"/>
  <c r="AC200" i="50"/>
  <c r="AC19" i="50"/>
  <c r="AC83" i="50"/>
  <c r="AC76" i="50"/>
  <c r="AC102" i="50"/>
  <c r="AC255" i="50"/>
  <c r="AC253" i="50"/>
  <c r="AC132" i="50"/>
  <c r="AC164" i="50"/>
  <c r="AC175" i="50"/>
  <c r="AC207" i="50"/>
  <c r="AC218" i="50"/>
  <c r="AC196" i="50"/>
  <c r="AC233" i="50"/>
  <c r="AC170" i="50"/>
  <c r="AC61" i="50"/>
  <c r="AC93" i="50"/>
  <c r="AC113" i="50"/>
  <c r="AC88" i="50"/>
  <c r="AC49" i="50"/>
  <c r="AC51" i="50"/>
  <c r="AC40" i="50"/>
  <c r="AC110" i="50"/>
  <c r="AC100" i="50"/>
  <c r="AC57" i="50"/>
  <c r="AC194" i="50"/>
  <c r="AC147" i="50"/>
  <c r="AC62" i="50"/>
  <c r="AC43" i="50"/>
  <c r="AC22" i="50"/>
  <c r="AC74" i="50"/>
  <c r="AC71" i="50"/>
  <c r="AC216" i="50"/>
  <c r="AC209" i="50"/>
  <c r="AC215" i="50"/>
  <c r="AC27" i="50"/>
  <c r="AC34" i="50"/>
  <c r="AC158" i="50"/>
  <c r="AC45" i="50"/>
  <c r="AC106" i="50"/>
  <c r="AC184" i="50"/>
  <c r="AC193" i="50"/>
  <c r="AC13" i="50"/>
  <c r="AC268" i="50"/>
  <c r="AC246" i="50"/>
  <c r="AC136" i="50"/>
  <c r="AC123" i="50"/>
  <c r="AC179" i="50"/>
  <c r="AC211" i="50"/>
  <c r="AC222" i="50"/>
  <c r="AC212" i="50"/>
  <c r="AC237" i="50"/>
  <c r="AC141" i="50"/>
  <c r="AC267" i="50"/>
  <c r="AC26" i="50"/>
  <c r="AC130" i="50"/>
  <c r="AC162" i="50"/>
  <c r="AC171" i="50"/>
  <c r="AC205" i="50"/>
  <c r="AC213" i="50"/>
  <c r="AC188" i="50"/>
  <c r="AC231" i="50"/>
  <c r="AC157" i="50"/>
  <c r="AC59" i="50"/>
  <c r="AC91" i="50"/>
  <c r="AC108" i="50"/>
  <c r="AC80" i="50"/>
  <c r="AC263" i="50"/>
  <c r="AC29" i="50"/>
  <c r="AC140" i="50"/>
  <c r="AC139" i="50"/>
  <c r="AC183" i="50"/>
  <c r="AC127" i="50"/>
  <c r="AC226" i="50"/>
  <c r="AC186" i="50"/>
  <c r="AC241" i="50"/>
  <c r="AC165" i="50"/>
  <c r="AC69" i="50"/>
  <c r="AC101" i="50"/>
  <c r="AC66" i="50"/>
  <c r="AC114" i="50"/>
  <c r="AC36" i="50"/>
  <c r="AC41" i="50"/>
  <c r="AC33" i="50"/>
  <c r="AC47" i="50"/>
  <c r="AC30" i="50"/>
  <c r="AC116" i="50"/>
  <c r="AC105" i="50"/>
  <c r="AC228" i="50"/>
  <c r="AC142" i="50"/>
  <c r="AC60" i="50"/>
  <c r="AC48" i="50"/>
  <c r="AC111" i="50"/>
  <c r="AC92" i="50"/>
  <c r="AC55" i="50"/>
  <c r="AC235" i="50"/>
  <c r="AC177" i="50"/>
  <c r="AC251" i="50"/>
  <c r="AC17" i="50"/>
  <c r="AC14" i="50"/>
  <c r="AC39" i="50"/>
  <c r="AC35" i="50"/>
  <c r="AC201" i="50"/>
  <c r="AC46" i="50"/>
  <c r="AC81" i="50"/>
  <c r="AC117" i="50"/>
  <c r="AC32" i="50"/>
  <c r="AC95" i="50"/>
  <c r="AC219" i="50"/>
  <c r="AC121" i="50"/>
  <c r="AC18" i="50"/>
  <c r="AC24" i="50"/>
  <c r="AC254" i="50"/>
  <c r="AC144" i="50"/>
  <c r="AC155" i="50"/>
  <c r="AC187" i="50"/>
  <c r="AC143" i="50"/>
  <c r="AC230" i="50"/>
  <c r="AC202" i="50"/>
  <c r="AC245" i="50"/>
  <c r="AC133" i="50"/>
  <c r="AC258" i="50"/>
  <c r="AC248" i="50"/>
  <c r="AC138" i="50"/>
  <c r="AC131" i="50"/>
  <c r="AC181" i="50"/>
  <c r="AC119" i="50"/>
  <c r="AC224" i="50"/>
  <c r="AC178" i="50"/>
  <c r="AC239" i="50"/>
  <c r="AC173" i="50"/>
  <c r="AC67" i="50"/>
  <c r="AC99" i="50"/>
  <c r="AC58" i="50"/>
  <c r="AC264" i="50"/>
  <c r="AC247" i="50"/>
  <c r="AC25" i="50"/>
  <c r="AC148" i="50"/>
  <c r="AC168" i="50"/>
  <c r="AC191" i="50"/>
  <c r="AC159" i="50"/>
  <c r="AC234" i="50"/>
  <c r="AC217" i="50"/>
  <c r="AC176" i="50"/>
  <c r="AC125" i="50"/>
  <c r="AC77" i="50"/>
  <c r="AC109" i="50"/>
  <c r="AC98" i="50"/>
  <c r="AC86" i="50"/>
  <c r="AC44" i="50"/>
  <c r="AC37" i="50"/>
  <c r="AC94" i="50"/>
  <c r="AC31" i="50"/>
  <c r="AC72" i="50"/>
  <c r="AC89" i="50"/>
  <c r="AC214" i="50"/>
  <c r="AC135" i="50"/>
  <c r="AC54" i="50"/>
  <c r="AC38" i="50"/>
  <c r="AC112" i="50"/>
  <c r="AC103" i="50"/>
  <c r="AC21" i="50"/>
  <c r="AC204" i="50"/>
  <c r="AC166" i="50"/>
  <c r="AC266" i="50"/>
  <c r="AC270" i="50"/>
  <c r="AC198" i="50"/>
  <c r="AC70" i="50"/>
  <c r="AC126" i="50"/>
  <c r="AC104" i="50"/>
  <c r="AC78" i="50"/>
  <c r="AC227" i="50"/>
  <c r="AC65" i="50"/>
  <c r="AC16" i="50"/>
  <c r="AC79" i="50"/>
  <c r="AC236" i="50"/>
  <c r="AC150" i="50"/>
  <c r="AC259" i="50"/>
  <c r="AC120" i="50"/>
  <c r="AC152" i="50"/>
  <c r="AC129" i="50"/>
  <c r="AC195" i="50"/>
  <c r="AC174" i="50"/>
  <c r="AC238" i="50"/>
  <c r="AC221" i="50"/>
  <c r="AC192" i="50"/>
  <c r="AC269" i="50"/>
  <c r="AC261" i="50"/>
  <c r="AC249" i="50"/>
  <c r="AC146" i="50"/>
  <c r="AC163" i="50"/>
  <c r="AC189" i="50"/>
  <c r="AC151" i="50"/>
  <c r="AC232" i="50"/>
  <c r="AC210" i="50"/>
  <c r="AC149" i="50"/>
  <c r="AC172" i="50"/>
  <c r="AC75" i="50"/>
  <c r="AC107" i="50"/>
  <c r="AC90" i="50"/>
  <c r="AC265" i="50"/>
  <c r="AC250" i="50"/>
  <c r="AC124" i="50"/>
  <c r="AC156" i="50"/>
  <c r="AC145" i="50"/>
  <c r="AC199" i="50"/>
  <c r="AC190" i="50"/>
  <c r="AC242" i="50"/>
  <c r="AC225" i="50"/>
  <c r="AC208" i="50"/>
  <c r="AC28" i="50"/>
  <c r="AC85" i="50"/>
  <c r="AC84" i="50"/>
  <c r="AC56" i="50"/>
  <c r="AC15" i="50"/>
  <c r="AC52" i="50"/>
  <c r="AC115" i="50"/>
  <c r="AC50" i="50"/>
  <c r="AC20" i="50"/>
  <c r="AC82" i="50"/>
  <c r="AC73" i="50"/>
  <c r="AC243" i="50"/>
  <c r="AC185" i="50"/>
  <c r="AC252" i="50"/>
  <c r="AC42" i="50"/>
  <c r="AC53" i="50"/>
  <c r="AC64" i="50"/>
  <c r="AC87" i="50"/>
  <c r="AC220" i="50"/>
  <c r="AC134" i="50"/>
  <c r="AC8" i="50"/>
  <c r="GA13" i="54" l="1"/>
  <c r="FZ13" i="54"/>
  <c r="FX13" i="54"/>
  <c r="FO13" i="54"/>
  <c r="FN12" i="54"/>
  <c r="FP12" i="54" s="1"/>
  <c r="FK13" i="54" s="1"/>
  <c r="FV13" i="54"/>
  <c r="FU12" i="54"/>
  <c r="FW12" i="54" s="1"/>
  <c r="FR13" i="54" s="1"/>
  <c r="FC13" i="54"/>
  <c r="FE13" i="54"/>
  <c r="FF13" i="54"/>
  <c r="CV52" i="54"/>
  <c r="CT52" i="54"/>
  <c r="CU53" i="54" s="1"/>
  <c r="AQ60" i="56"/>
  <c r="AN60" i="56" s="1"/>
  <c r="AQ59" i="56"/>
  <c r="AN59" i="56" s="1"/>
  <c r="AQ58" i="56"/>
  <c r="FJ13" i="54" l="1"/>
  <c r="FL13" i="54"/>
  <c r="FM13" i="54"/>
  <c r="AN58" i="56"/>
  <c r="BI10" i="54" s="1" a="1"/>
  <c r="BI10" i="54" s="1"/>
  <c r="BI18" i="54"/>
  <c r="FH14" i="54"/>
  <c r="FG13" i="54"/>
  <c r="FI13" i="54" s="1"/>
  <c r="FD14" i="54" s="1"/>
  <c r="GB13" i="54"/>
  <c r="GD13" i="54" s="1"/>
  <c r="FY14" i="54" s="1"/>
  <c r="GC14" i="54"/>
  <c r="FQ13" i="54"/>
  <c r="FS13" i="54"/>
  <c r="FT13" i="54"/>
  <c r="CV53" i="54"/>
  <c r="CT53" i="54"/>
  <c r="CU54" i="54" s="1"/>
  <c r="I4" i="56"/>
  <c r="L4" i="56" s="1"/>
  <c r="I2" i="56"/>
  <c r="FX14" i="54" l="1"/>
  <c r="FZ14" i="54"/>
  <c r="GA14" i="54"/>
  <c r="FF14" i="54"/>
  <c r="FC14" i="54"/>
  <c r="FE14" i="54"/>
  <c r="FV14" i="54"/>
  <c r="FU13" i="54"/>
  <c r="FW13" i="54" s="1"/>
  <c r="FR14" i="54" s="1"/>
  <c r="BI23" i="54" a="1"/>
  <c r="BI23" i="54" s="1"/>
  <c r="BI24" i="54" a="1"/>
  <c r="BI24" i="54" s="1"/>
  <c r="BI25" i="54" a="1"/>
  <c r="BI25" i="54" s="1"/>
  <c r="BI26" i="54" a="1"/>
  <c r="BI26" i="54" s="1"/>
  <c r="L2" i="56"/>
  <c r="AD2" i="56" s="1"/>
  <c r="FO14" i="54"/>
  <c r="FN13" i="54"/>
  <c r="FP13" i="54" s="1"/>
  <c r="FK14" i="54" s="1"/>
  <c r="CV54" i="54"/>
  <c r="CT54" i="54"/>
  <c r="CU55" i="54" s="1"/>
  <c r="AE2" i="56"/>
  <c r="AD4" i="56"/>
  <c r="AE4" i="56"/>
  <c r="BI31" i="54" l="1"/>
  <c r="AC38" i="54" s="1"/>
  <c r="BI36" i="54"/>
  <c r="AE38" i="54" s="1"/>
  <c r="FH15" i="54"/>
  <c r="FG14" i="54"/>
  <c r="FI14" i="54" s="1"/>
  <c r="FD15" i="54" s="1"/>
  <c r="BI35" i="54"/>
  <c r="AE37" i="54" s="1"/>
  <c r="BI30" i="54"/>
  <c r="AC37" i="54" s="1"/>
  <c r="FL14" i="54"/>
  <c r="FM14" i="54"/>
  <c r="FJ14" i="54"/>
  <c r="BI34" i="54"/>
  <c r="AE36" i="54" s="1"/>
  <c r="BI29" i="54"/>
  <c r="AC36" i="54" s="1"/>
  <c r="BI33" i="54"/>
  <c r="AE35" i="54" s="1"/>
  <c r="BI28" i="54"/>
  <c r="AC35" i="54" s="1"/>
  <c r="FQ14" i="54"/>
  <c r="FS14" i="54"/>
  <c r="FT14" i="54"/>
  <c r="GB14" i="54"/>
  <c r="GD14" i="54" s="1"/>
  <c r="FY15" i="54" s="1"/>
  <c r="GC15" i="54"/>
  <c r="CV55" i="54"/>
  <c r="CT55" i="54"/>
  <c r="CU56" i="54" s="1"/>
  <c r="BI11" i="54"/>
  <c r="M50" i="56"/>
  <c r="M52" i="56"/>
  <c r="M51" i="56"/>
  <c r="M49" i="56"/>
  <c r="GW6" i="54" s="1"/>
  <c r="M38" i="56"/>
  <c r="M39" i="56"/>
  <c r="M40" i="56"/>
  <c r="FX15" i="54" l="1"/>
  <c r="GA15" i="54"/>
  <c r="FZ15" i="54"/>
  <c r="FC15" i="54"/>
  <c r="FF15" i="54"/>
  <c r="FE15" i="54"/>
  <c r="FV15" i="54"/>
  <c r="FU14" i="54"/>
  <c r="FW14" i="54" s="1"/>
  <c r="FR15" i="54" s="1"/>
  <c r="FN14" i="54"/>
  <c r="FP14" i="54" s="1"/>
  <c r="FK15" i="54" s="1"/>
  <c r="FO15" i="54"/>
  <c r="CV56" i="54"/>
  <c r="CT56" i="54"/>
  <c r="CU57" i="54" s="1"/>
  <c r="H53" i="56"/>
  <c r="X53" i="56" s="1"/>
  <c r="Z53" i="56" s="1"/>
  <c r="H50" i="56"/>
  <c r="H54" i="56"/>
  <c r="X54" i="56" s="1"/>
  <c r="Z54" i="56" s="1"/>
  <c r="H55" i="56"/>
  <c r="H49" i="56"/>
  <c r="X49" i="56" s="1"/>
  <c r="GR5" i="54" s="1"/>
  <c r="H51" i="56"/>
  <c r="X51" i="56" s="1"/>
  <c r="K51" i="56" s="1"/>
  <c r="H52" i="56"/>
  <c r="V52" i="56" s="1"/>
  <c r="I52" i="56" s="1"/>
  <c r="L12" i="56"/>
  <c r="I15" i="56"/>
  <c r="FH16" i="54" l="1"/>
  <c r="FG15" i="54"/>
  <c r="FI15" i="54" s="1"/>
  <c r="FD16" i="54" s="1"/>
  <c r="FL15" i="54"/>
  <c r="FJ15" i="54"/>
  <c r="FM15" i="54"/>
  <c r="GC16" i="54"/>
  <c r="GB15" i="54"/>
  <c r="GD15" i="54" s="1"/>
  <c r="FY16" i="54" s="1"/>
  <c r="FQ15" i="54"/>
  <c r="FS15" i="54"/>
  <c r="FT15" i="54"/>
  <c r="CV57" i="54"/>
  <c r="CT57" i="54"/>
  <c r="CU58" i="54" s="1"/>
  <c r="L15" i="56"/>
  <c r="N15" i="56"/>
  <c r="Z49" i="56"/>
  <c r="AC49" i="56" s="1"/>
  <c r="V54" i="56"/>
  <c r="O54" i="56" s="1"/>
  <c r="L54" i="56" s="1"/>
  <c r="O52" i="56"/>
  <c r="V49" i="56"/>
  <c r="GR3" i="54" s="1"/>
  <c r="X52" i="56"/>
  <c r="K52" i="56" s="1"/>
  <c r="V51" i="56"/>
  <c r="O51" i="56" s="1"/>
  <c r="V53" i="56"/>
  <c r="AC54" i="56"/>
  <c r="Z51" i="56"/>
  <c r="AC53" i="56"/>
  <c r="Y52" i="56"/>
  <c r="V50" i="56"/>
  <c r="I50" i="56" s="1"/>
  <c r="X50" i="56"/>
  <c r="K50" i="56" s="1"/>
  <c r="V55" i="56"/>
  <c r="X55" i="56"/>
  <c r="Z55" i="56" s="1"/>
  <c r="AD12" i="56"/>
  <c r="AE12" i="56"/>
  <c r="I23" i="56"/>
  <c r="L23" i="56" s="1"/>
  <c r="L11" i="56"/>
  <c r="I3" i="56"/>
  <c r="I20" i="56"/>
  <c r="I19" i="56"/>
  <c r="I14" i="56"/>
  <c r="I21" i="56"/>
  <c r="I24" i="56"/>
  <c r="L24" i="56" s="1"/>
  <c r="I16" i="56"/>
  <c r="I17" i="56"/>
  <c r="I22" i="56"/>
  <c r="L22" i="56" s="1"/>
  <c r="L13" i="56"/>
  <c r="I18" i="56"/>
  <c r="I25" i="56"/>
  <c r="L25" i="56" s="1"/>
  <c r="L3" i="56" l="1"/>
  <c r="CG5" i="54" s="1"/>
  <c r="F39" i="54" a="1"/>
  <c r="F39" i="54" s="1"/>
  <c r="GS197" i="54"/>
  <c r="GV197" i="54" s="1"/>
  <c r="GR244" i="54"/>
  <c r="GU244" i="54" s="1"/>
  <c r="GS75" i="54"/>
  <c r="GV75" i="54" s="1"/>
  <c r="GR74" i="54"/>
  <c r="GU74" i="54" s="1"/>
  <c r="GS242" i="54"/>
  <c r="GV242" i="54" s="1"/>
  <c r="GS234" i="54"/>
  <c r="GV234" i="54" s="1"/>
  <c r="GS88" i="54"/>
  <c r="GV88" i="54" s="1"/>
  <c r="GR135" i="54"/>
  <c r="GU135" i="54" s="1"/>
  <c r="GS226" i="54"/>
  <c r="GV226" i="54" s="1"/>
  <c r="GR10" i="54"/>
  <c r="GU10" i="54" s="1"/>
  <c r="GS50" i="54"/>
  <c r="GV50" i="54" s="1"/>
  <c r="GS49" i="54"/>
  <c r="GV49" i="54" s="1"/>
  <c r="GS65" i="54"/>
  <c r="GV65" i="54" s="1"/>
  <c r="GR112" i="54"/>
  <c r="GU112" i="54" s="1"/>
  <c r="GS176" i="54"/>
  <c r="GV176" i="54" s="1"/>
  <c r="GS167" i="54"/>
  <c r="GV167" i="54" s="1"/>
  <c r="GS39" i="54"/>
  <c r="GV39" i="54" s="1"/>
  <c r="GR38" i="54"/>
  <c r="GU38" i="54" s="1"/>
  <c r="GS36" i="54"/>
  <c r="GV36" i="54" s="1"/>
  <c r="GS210" i="54"/>
  <c r="GV210" i="54" s="1"/>
  <c r="GS161" i="54"/>
  <c r="GV161" i="54" s="1"/>
  <c r="GR208" i="54"/>
  <c r="GU208" i="54" s="1"/>
  <c r="GS24" i="54"/>
  <c r="GV24" i="54" s="1"/>
  <c r="GR83" i="54"/>
  <c r="GU83" i="54" s="1"/>
  <c r="GS177" i="54"/>
  <c r="GV177" i="54" s="1"/>
  <c r="GR194" i="54"/>
  <c r="GU194" i="54" s="1"/>
  <c r="GR52" i="54"/>
  <c r="GU52" i="54" s="1"/>
  <c r="GR103" i="54"/>
  <c r="GU103" i="54" s="1"/>
  <c r="GS96" i="54"/>
  <c r="GV96" i="54" s="1"/>
  <c r="GS29" i="54"/>
  <c r="GV29" i="54" s="1"/>
  <c r="GR76" i="54"/>
  <c r="GU76" i="54" s="1"/>
  <c r="GS134" i="54"/>
  <c r="GV134" i="54" s="1"/>
  <c r="GR131" i="54"/>
  <c r="GU131" i="54" s="1"/>
  <c r="GR254" i="54"/>
  <c r="GU254" i="54" s="1"/>
  <c r="GR51" i="54"/>
  <c r="GU51" i="54" s="1"/>
  <c r="GR174" i="54"/>
  <c r="GU174" i="54" s="1"/>
  <c r="GR172" i="54"/>
  <c r="GU172" i="54" s="1"/>
  <c r="GS219" i="54"/>
  <c r="GV219" i="54" s="1"/>
  <c r="GS247" i="54"/>
  <c r="GV247" i="54" s="1"/>
  <c r="GR94" i="54"/>
  <c r="GU94" i="54" s="1"/>
  <c r="GR152" i="54"/>
  <c r="GU152" i="54" s="1"/>
  <c r="GR151" i="54"/>
  <c r="GU151" i="54" s="1"/>
  <c r="GR232" i="54"/>
  <c r="GU232" i="54" s="1"/>
  <c r="GS62" i="54"/>
  <c r="GV62" i="54" s="1"/>
  <c r="GS54" i="54"/>
  <c r="GV54" i="54" s="1"/>
  <c r="GR107" i="54"/>
  <c r="GU107" i="54" s="1"/>
  <c r="GR224" i="54"/>
  <c r="GU224" i="54" s="1"/>
  <c r="GR40" i="54"/>
  <c r="GU40" i="54" s="1"/>
  <c r="GR211" i="54"/>
  <c r="GU211" i="54" s="1"/>
  <c r="GR97" i="54"/>
  <c r="GU97" i="54" s="1"/>
  <c r="GS89" i="54"/>
  <c r="GV89" i="54" s="1"/>
  <c r="GR183" i="54"/>
  <c r="GU183" i="54" s="1"/>
  <c r="GR206" i="54"/>
  <c r="GU206" i="54" s="1"/>
  <c r="GS198" i="54"/>
  <c r="GV198" i="54" s="1"/>
  <c r="GR227" i="54"/>
  <c r="GU227" i="54" s="1"/>
  <c r="GS58" i="54"/>
  <c r="GV58" i="54" s="1"/>
  <c r="GS108" i="54"/>
  <c r="GV108" i="54" s="1"/>
  <c r="GR13" i="54"/>
  <c r="GU13" i="54" s="1"/>
  <c r="GS182" i="54"/>
  <c r="GV182" i="54" s="1"/>
  <c r="GS45" i="54"/>
  <c r="GV45" i="54" s="1"/>
  <c r="GS42" i="54"/>
  <c r="GV42" i="54" s="1"/>
  <c r="GR59" i="54"/>
  <c r="GU59" i="54" s="1"/>
  <c r="GS162" i="54"/>
  <c r="GV162" i="54" s="1"/>
  <c r="GR236" i="54"/>
  <c r="GU236" i="54" s="1"/>
  <c r="GR102" i="54"/>
  <c r="GU102" i="54" s="1"/>
  <c r="GS147" i="54"/>
  <c r="GV147" i="54" s="1"/>
  <c r="GS191" i="54"/>
  <c r="GV191" i="54" s="1"/>
  <c r="GR22" i="54"/>
  <c r="GU22" i="54" s="1"/>
  <c r="GS69" i="54"/>
  <c r="GV69" i="54" s="1"/>
  <c r="GR160" i="54"/>
  <c r="GU160" i="54" s="1"/>
  <c r="GS229" i="54"/>
  <c r="GV229" i="54" s="1"/>
  <c r="GS228" i="54"/>
  <c r="GV228" i="54" s="1"/>
  <c r="GR259" i="54"/>
  <c r="GU259" i="54" s="1"/>
  <c r="GR239" i="54"/>
  <c r="GU239" i="54" s="1"/>
  <c r="GR120" i="54"/>
  <c r="GU120" i="54" s="1"/>
  <c r="GR25" i="54"/>
  <c r="GU25" i="54" s="1"/>
  <c r="GR197" i="54"/>
  <c r="GU197" i="54" s="1"/>
  <c r="GS72" i="54"/>
  <c r="GV72" i="54" s="1"/>
  <c r="GR119" i="54"/>
  <c r="GU119" i="54" s="1"/>
  <c r="GR213" i="54"/>
  <c r="GU213" i="54" s="1"/>
  <c r="GR242" i="54"/>
  <c r="GU242" i="54" s="1"/>
  <c r="GR234" i="54"/>
  <c r="GU234" i="54" s="1"/>
  <c r="GR88" i="54"/>
  <c r="GU88" i="54" s="1"/>
  <c r="GS144" i="54"/>
  <c r="GV144" i="54" s="1"/>
  <c r="GR49" i="54"/>
  <c r="GU49" i="54" s="1"/>
  <c r="GR176" i="54"/>
  <c r="GU176" i="54" s="1"/>
  <c r="GR167" i="54"/>
  <c r="GU167" i="54" s="1"/>
  <c r="GR39" i="54"/>
  <c r="GU39" i="54" s="1"/>
  <c r="GR36" i="54"/>
  <c r="GU36" i="54" s="1"/>
  <c r="GR210" i="54"/>
  <c r="GU210" i="54" s="1"/>
  <c r="GR161" i="54"/>
  <c r="GU161" i="54" s="1"/>
  <c r="GS33" i="54"/>
  <c r="GV33" i="54" s="1"/>
  <c r="GR24" i="54"/>
  <c r="GU24" i="54" s="1"/>
  <c r="GS221" i="54"/>
  <c r="GV221" i="54" s="1"/>
  <c r="GS99" i="54"/>
  <c r="GV99" i="54" s="1"/>
  <c r="GR96" i="54"/>
  <c r="GU96" i="54" s="1"/>
  <c r="GR190" i="54"/>
  <c r="GU190" i="54" s="1"/>
  <c r="GS237" i="54"/>
  <c r="GV237" i="54" s="1"/>
  <c r="GR29" i="54"/>
  <c r="GU29" i="54" s="1"/>
  <c r="GR134" i="54"/>
  <c r="GU134" i="54" s="1"/>
  <c r="GS178" i="54"/>
  <c r="GV178" i="54" s="1"/>
  <c r="GS92" i="54"/>
  <c r="GV92" i="54" s="1"/>
  <c r="GR125" i="54"/>
  <c r="GU125" i="54" s="1"/>
  <c r="GS248" i="54"/>
  <c r="GV248" i="54" s="1"/>
  <c r="GR247" i="54"/>
  <c r="GU247" i="54" s="1"/>
  <c r="GS263" i="54"/>
  <c r="GV263" i="54" s="1"/>
  <c r="GR47" i="54"/>
  <c r="GU47" i="54" s="1"/>
  <c r="GS141" i="54"/>
  <c r="GV141" i="54" s="1"/>
  <c r="GS185" i="54"/>
  <c r="GV185" i="54" s="1"/>
  <c r="GS63" i="54"/>
  <c r="GV63" i="54" s="1"/>
  <c r="GR54" i="54"/>
  <c r="GU54" i="54" s="1"/>
  <c r="GR154" i="54"/>
  <c r="GU154" i="54" s="1"/>
  <c r="GS201" i="54"/>
  <c r="GV201" i="54" s="1"/>
  <c r="GS223" i="54"/>
  <c r="GV223" i="54" s="1"/>
  <c r="GS256" i="54"/>
  <c r="GV256" i="54" s="1"/>
  <c r="GS86" i="54"/>
  <c r="GV86" i="54" s="1"/>
  <c r="GS142" i="54"/>
  <c r="GV142" i="54" s="1"/>
  <c r="GS212" i="54"/>
  <c r="GV212" i="54" s="1"/>
  <c r="GS56" i="54"/>
  <c r="GV56" i="54" s="1"/>
  <c r="GR89" i="54"/>
  <c r="GU89" i="54" s="1"/>
  <c r="GR198" i="54"/>
  <c r="GU198" i="54" s="1"/>
  <c r="GS109" i="54"/>
  <c r="GV109" i="54" s="1"/>
  <c r="GR108" i="54"/>
  <c r="GU108" i="54" s="1"/>
  <c r="GS196" i="54"/>
  <c r="GV196" i="54" s="1"/>
  <c r="GR243" i="54"/>
  <c r="GU243" i="54" s="1"/>
  <c r="GS71" i="54"/>
  <c r="GV71" i="54" s="1"/>
  <c r="GR118" i="54"/>
  <c r="GU118" i="54" s="1"/>
  <c r="GR182" i="54"/>
  <c r="GU182" i="54" s="1"/>
  <c r="GS181" i="54"/>
  <c r="GV181" i="54" s="1"/>
  <c r="GR173" i="54"/>
  <c r="GU173" i="54" s="1"/>
  <c r="GS220" i="54"/>
  <c r="GV220" i="54" s="1"/>
  <c r="GR44" i="54"/>
  <c r="GU44" i="54" s="1"/>
  <c r="GR42" i="54"/>
  <c r="GU42" i="54" s="1"/>
  <c r="GS153" i="54"/>
  <c r="GV153" i="54" s="1"/>
  <c r="GR162" i="54"/>
  <c r="GU162" i="54" s="1"/>
  <c r="GS61" i="54"/>
  <c r="GV61" i="54" s="1"/>
  <c r="GS157" i="54"/>
  <c r="GV157" i="54" s="1"/>
  <c r="GR156" i="54"/>
  <c r="GU156" i="54" s="1"/>
  <c r="GS67" i="54"/>
  <c r="GV67" i="54" s="1"/>
  <c r="GS113" i="54"/>
  <c r="GV113" i="54" s="1"/>
  <c r="GR229" i="54"/>
  <c r="GU229" i="54" s="1"/>
  <c r="GS251" i="54"/>
  <c r="GV251" i="54" s="1"/>
  <c r="GR35" i="54"/>
  <c r="GU35" i="54" s="1"/>
  <c r="GS129" i="54"/>
  <c r="GV129" i="54" s="1"/>
  <c r="GR132" i="54"/>
  <c r="GU132" i="54" s="1"/>
  <c r="GS137" i="54"/>
  <c r="GV137" i="54" s="1"/>
  <c r="GS258" i="54"/>
  <c r="GV258" i="54" s="1"/>
  <c r="GS70" i="54"/>
  <c r="GV70" i="54" s="1"/>
  <c r="GR117" i="54"/>
  <c r="GU117" i="54" s="1"/>
  <c r="GS121" i="54"/>
  <c r="GV121" i="54" s="1"/>
  <c r="GS241" i="54"/>
  <c r="GV241" i="54" s="1"/>
  <c r="GS28" i="54"/>
  <c r="GV28" i="54" s="1"/>
  <c r="GR75" i="54"/>
  <c r="GU75" i="54" s="1"/>
  <c r="GS73" i="54"/>
  <c r="GV73" i="54" s="1"/>
  <c r="GR72" i="54"/>
  <c r="GU72" i="54" s="1"/>
  <c r="GS41" i="54"/>
  <c r="GV41" i="54" s="1"/>
  <c r="GR146" i="54"/>
  <c r="GU146" i="54" s="1"/>
  <c r="GS145" i="54"/>
  <c r="GV145" i="54" s="1"/>
  <c r="GS179" i="54"/>
  <c r="GV179" i="54" s="1"/>
  <c r="GR226" i="54"/>
  <c r="GU226" i="54" s="1"/>
  <c r="GS57" i="54"/>
  <c r="GV57" i="54" s="1"/>
  <c r="GS48" i="54"/>
  <c r="GV48" i="54" s="1"/>
  <c r="GR65" i="54"/>
  <c r="GU65" i="54" s="1"/>
  <c r="GS159" i="54"/>
  <c r="GV159" i="54" s="1"/>
  <c r="GS168" i="54"/>
  <c r="GV168" i="54" s="1"/>
  <c r="GS261" i="54"/>
  <c r="GV261" i="54" s="1"/>
  <c r="GS37" i="54"/>
  <c r="GV37" i="54" s="1"/>
  <c r="GS169" i="54"/>
  <c r="GV169" i="54" s="1"/>
  <c r="GS255" i="54"/>
  <c r="GV255" i="54" s="1"/>
  <c r="GS130" i="54"/>
  <c r="GV130" i="54" s="1"/>
  <c r="GS193" i="54"/>
  <c r="GV193" i="54" s="1"/>
  <c r="GS192" i="54"/>
  <c r="GV192" i="54" s="1"/>
  <c r="GR268" i="54"/>
  <c r="GU268" i="54" s="1"/>
  <c r="GR143" i="54"/>
  <c r="GU143" i="54" s="1"/>
  <c r="GR266" i="54"/>
  <c r="GU266" i="54" s="1"/>
  <c r="GS265" i="54"/>
  <c r="GV265" i="54" s="1"/>
  <c r="GS245" i="54"/>
  <c r="GV245" i="54" s="1"/>
  <c r="GS123" i="54"/>
  <c r="GV123" i="54" s="1"/>
  <c r="GR126" i="54"/>
  <c r="GU126" i="54" s="1"/>
  <c r="GS254" i="54"/>
  <c r="GV254" i="54" s="1"/>
  <c r="GS252" i="54"/>
  <c r="GV252" i="54" s="1"/>
  <c r="GR133" i="54"/>
  <c r="GU133" i="54" s="1"/>
  <c r="GS172" i="54"/>
  <c r="GV172" i="54" s="1"/>
  <c r="GR248" i="54"/>
  <c r="GU248" i="54" s="1"/>
  <c r="GR141" i="54"/>
  <c r="GU141" i="54" s="1"/>
  <c r="GS150" i="54"/>
  <c r="GV150" i="54" s="1"/>
  <c r="GR185" i="54"/>
  <c r="GU185" i="54" s="1"/>
  <c r="GR223" i="54"/>
  <c r="GU223" i="54" s="1"/>
  <c r="GS222" i="54"/>
  <c r="GV222" i="54" s="1"/>
  <c r="GR86" i="54"/>
  <c r="GU86" i="54" s="1"/>
  <c r="GS85" i="54"/>
  <c r="GV85" i="54" s="1"/>
  <c r="GR142" i="54"/>
  <c r="GU142" i="54" s="1"/>
  <c r="GR212" i="54"/>
  <c r="GU212" i="54" s="1"/>
  <c r="GR56" i="54"/>
  <c r="GU56" i="54" s="1"/>
  <c r="GR136" i="54"/>
  <c r="GU136" i="54" s="1"/>
  <c r="GS183" i="54"/>
  <c r="GV183" i="54" s="1"/>
  <c r="GS199" i="54"/>
  <c r="GV199" i="54" s="1"/>
  <c r="GS11" i="54"/>
  <c r="GV11" i="54" s="1"/>
  <c r="GR58" i="54"/>
  <c r="GU58" i="54" s="1"/>
  <c r="GR109" i="54"/>
  <c r="GU109" i="54" s="1"/>
  <c r="GR196" i="54"/>
  <c r="GU196" i="54" s="1"/>
  <c r="GR14" i="54"/>
  <c r="GU14" i="54" s="1"/>
  <c r="GR12" i="54"/>
  <c r="GU12" i="54" s="1"/>
  <c r="GR71" i="54"/>
  <c r="GU71" i="54" s="1"/>
  <c r="GS180" i="54"/>
  <c r="GV180" i="54" s="1"/>
  <c r="GR267" i="54"/>
  <c r="GU267" i="54" s="1"/>
  <c r="GR45" i="54"/>
  <c r="GU45" i="54" s="1"/>
  <c r="GS43" i="54"/>
  <c r="GV43" i="54" s="1"/>
  <c r="GS163" i="54"/>
  <c r="GV163" i="54" s="1"/>
  <c r="GR61" i="54"/>
  <c r="GU61" i="54" s="1"/>
  <c r="GS100" i="54"/>
  <c r="GV100" i="54" s="1"/>
  <c r="GR147" i="54"/>
  <c r="GU147" i="54" s="1"/>
  <c r="GR157" i="54"/>
  <c r="GU157" i="54" s="1"/>
  <c r="GR238" i="54"/>
  <c r="GU238" i="54" s="1"/>
  <c r="GS22" i="54"/>
  <c r="GV22" i="54" s="1"/>
  <c r="GS68" i="54"/>
  <c r="GV68" i="54" s="1"/>
  <c r="GR67" i="54"/>
  <c r="GU67" i="54" s="1"/>
  <c r="GR113" i="54"/>
  <c r="GU113" i="54" s="1"/>
  <c r="GR251" i="54"/>
  <c r="GU251" i="54" s="1"/>
  <c r="GS140" i="54"/>
  <c r="GV140" i="54" s="1"/>
  <c r="GS260" i="54"/>
  <c r="GV260" i="54" s="1"/>
  <c r="GR258" i="54"/>
  <c r="GU258" i="54" s="1"/>
  <c r="GR70" i="54"/>
  <c r="GU70" i="54" s="1"/>
  <c r="GR121" i="54"/>
  <c r="GU121" i="54" s="1"/>
  <c r="GR241" i="54"/>
  <c r="GU241" i="54" s="1"/>
  <c r="GR28" i="54"/>
  <c r="GU28" i="54" s="1"/>
  <c r="GR73" i="54"/>
  <c r="GU73" i="54" s="1"/>
  <c r="GS213" i="54"/>
  <c r="GV213" i="54" s="1"/>
  <c r="GS235" i="54"/>
  <c r="GV235" i="54" s="1"/>
  <c r="GR41" i="54"/>
  <c r="GU41" i="54" s="1"/>
  <c r="GR145" i="54"/>
  <c r="GU145" i="54" s="1"/>
  <c r="GR179" i="54"/>
  <c r="GU179" i="54" s="1"/>
  <c r="GR50" i="54"/>
  <c r="GU50" i="54" s="1"/>
  <c r="GR48" i="54"/>
  <c r="GU48" i="54" s="1"/>
  <c r="GR159" i="54"/>
  <c r="GU159" i="54" s="1"/>
  <c r="GR168" i="54"/>
  <c r="GU168" i="54" s="1"/>
  <c r="GR37" i="54"/>
  <c r="GU37" i="54" s="1"/>
  <c r="GR169" i="54"/>
  <c r="GU169" i="54" s="1"/>
  <c r="GR33" i="54"/>
  <c r="GU33" i="54" s="1"/>
  <c r="GS31" i="54"/>
  <c r="GV31" i="54" s="1"/>
  <c r="GR130" i="54"/>
  <c r="GU130" i="54" s="1"/>
  <c r="GR177" i="54"/>
  <c r="GU177" i="54" s="1"/>
  <c r="GR193" i="54"/>
  <c r="GU193" i="54" s="1"/>
  <c r="GR192" i="54"/>
  <c r="GU192" i="54" s="1"/>
  <c r="GS52" i="54"/>
  <c r="GV52" i="54" s="1"/>
  <c r="GS103" i="54"/>
  <c r="GV103" i="54" s="1"/>
  <c r="GS190" i="54"/>
  <c r="GV190" i="54" s="1"/>
  <c r="GR265" i="54"/>
  <c r="GU265" i="54" s="1"/>
  <c r="GR123" i="54"/>
  <c r="GU123" i="54" s="1"/>
  <c r="GS131" i="54"/>
  <c r="GV131" i="54" s="1"/>
  <c r="GR225" i="54"/>
  <c r="GU225" i="54" s="1"/>
  <c r="GR252" i="54"/>
  <c r="GU252" i="54" s="1"/>
  <c r="GS51" i="54"/>
  <c r="GV51" i="54" s="1"/>
  <c r="GS174" i="54"/>
  <c r="GV174" i="54" s="1"/>
  <c r="GS240" i="54"/>
  <c r="GV240" i="54" s="1"/>
  <c r="GR263" i="54"/>
  <c r="GU263" i="54" s="1"/>
  <c r="GS94" i="54"/>
  <c r="GV94" i="54" s="1"/>
  <c r="GR150" i="54"/>
  <c r="GU150" i="54" s="1"/>
  <c r="GS16" i="54"/>
  <c r="GV16" i="54" s="1"/>
  <c r="GR62" i="54"/>
  <c r="GU62" i="54" s="1"/>
  <c r="GS55" i="54"/>
  <c r="GV55" i="54" s="1"/>
  <c r="GS154" i="54"/>
  <c r="GV154" i="54" s="1"/>
  <c r="GS209" i="54"/>
  <c r="GV209" i="54" s="1"/>
  <c r="GR256" i="54"/>
  <c r="GU256" i="54" s="1"/>
  <c r="GS87" i="54"/>
  <c r="GV87" i="54" s="1"/>
  <c r="GS84" i="54"/>
  <c r="GV84" i="54" s="1"/>
  <c r="GS95" i="54"/>
  <c r="GV95" i="54" s="1"/>
  <c r="GR189" i="54"/>
  <c r="GU189" i="54" s="1"/>
  <c r="GS204" i="54"/>
  <c r="GV204" i="54" s="1"/>
  <c r="GS15" i="54"/>
  <c r="GV15" i="54" s="1"/>
  <c r="GS138" i="54"/>
  <c r="GV138" i="54" s="1"/>
  <c r="GR199" i="54"/>
  <c r="GU199" i="54" s="1"/>
  <c r="GS149" i="54"/>
  <c r="GV149" i="54" s="1"/>
  <c r="GR21" i="54"/>
  <c r="GU21" i="54" s="1"/>
  <c r="GS14" i="54"/>
  <c r="GV14" i="54" s="1"/>
  <c r="GS165" i="54"/>
  <c r="GV165" i="54" s="1"/>
  <c r="GR180" i="54"/>
  <c r="GU180" i="54" s="1"/>
  <c r="GS173" i="54"/>
  <c r="GV173" i="54" s="1"/>
  <c r="GS106" i="54"/>
  <c r="GV106" i="54" s="1"/>
  <c r="GR153" i="54"/>
  <c r="GU153" i="54" s="1"/>
  <c r="GR163" i="54"/>
  <c r="GU163" i="54" s="1"/>
  <c r="GS20" i="54"/>
  <c r="GV20" i="54" s="1"/>
  <c r="GS158" i="54"/>
  <c r="GV158" i="54" s="1"/>
  <c r="GR69" i="54"/>
  <c r="GU69" i="54" s="1"/>
  <c r="GR68" i="54"/>
  <c r="GU68" i="54" s="1"/>
  <c r="GS207" i="54"/>
  <c r="GV207" i="54" s="1"/>
  <c r="GS230" i="54"/>
  <c r="GV230" i="54" s="1"/>
  <c r="GR228" i="54"/>
  <c r="GU228" i="54" s="1"/>
  <c r="GS82" i="54"/>
  <c r="GV82" i="54" s="1"/>
  <c r="GR129" i="54"/>
  <c r="GU129" i="54" s="1"/>
  <c r="GS139" i="54"/>
  <c r="GV139" i="54" s="1"/>
  <c r="GR184" i="54"/>
  <c r="GU184" i="54" s="1"/>
  <c r="GS231" i="54"/>
  <c r="GV231" i="54" s="1"/>
  <c r="GS259" i="54"/>
  <c r="GV259" i="54" s="1"/>
  <c r="GS23" i="54"/>
  <c r="GV23" i="54" s="1"/>
  <c r="GS122" i="54"/>
  <c r="GV122" i="54" s="1"/>
  <c r="GS200" i="54"/>
  <c r="GV200" i="54" s="1"/>
  <c r="GS66" i="54"/>
  <c r="GV66" i="54" s="1"/>
  <c r="GS244" i="54"/>
  <c r="GV244" i="54" s="1"/>
  <c r="GR166" i="54"/>
  <c r="GU166" i="54" s="1"/>
  <c r="GR235" i="54"/>
  <c r="GU235" i="54" s="1"/>
  <c r="GS257" i="54"/>
  <c r="GV257" i="54" s="1"/>
  <c r="GS135" i="54"/>
  <c r="GV135" i="54" s="1"/>
  <c r="GR144" i="54"/>
  <c r="GU144" i="54" s="1"/>
  <c r="GS10" i="54"/>
  <c r="GV10" i="54" s="1"/>
  <c r="GR57" i="54"/>
  <c r="GU57" i="54" s="1"/>
  <c r="GS112" i="54"/>
  <c r="GV112" i="54" s="1"/>
  <c r="GS175" i="54"/>
  <c r="GV175" i="54" s="1"/>
  <c r="GS214" i="54"/>
  <c r="GV214" i="54" s="1"/>
  <c r="GR261" i="54"/>
  <c r="GU261" i="54" s="1"/>
  <c r="GS38" i="54"/>
  <c r="GV38" i="54" s="1"/>
  <c r="GS128" i="54"/>
  <c r="GV128" i="54" s="1"/>
  <c r="GS208" i="54"/>
  <c r="GV208" i="54" s="1"/>
  <c r="GR255" i="54"/>
  <c r="GU255" i="54" s="1"/>
  <c r="GR32" i="54"/>
  <c r="GU32" i="54" s="1"/>
  <c r="GR31" i="54"/>
  <c r="GU31" i="54" s="1"/>
  <c r="GS83" i="54"/>
  <c r="GV83" i="54" s="1"/>
  <c r="GR221" i="54"/>
  <c r="GU221" i="54" s="1"/>
  <c r="GS104" i="54"/>
  <c r="GV104" i="54" s="1"/>
  <c r="GS264" i="54"/>
  <c r="GV264" i="54" s="1"/>
  <c r="GR245" i="54"/>
  <c r="GU245" i="54" s="1"/>
  <c r="GS76" i="54"/>
  <c r="GV76" i="54" s="1"/>
  <c r="GS127" i="54"/>
  <c r="GV127" i="54" s="1"/>
  <c r="GR178" i="54"/>
  <c r="GU178" i="54" s="1"/>
  <c r="GS253" i="54"/>
  <c r="GV253" i="54" s="1"/>
  <c r="GR92" i="54"/>
  <c r="GU92" i="54" s="1"/>
  <c r="GS125" i="54"/>
  <c r="GV125" i="54" s="1"/>
  <c r="GR219" i="54"/>
  <c r="GU219" i="54" s="1"/>
  <c r="GR240" i="54"/>
  <c r="GU240" i="54" s="1"/>
  <c r="GR16" i="54"/>
  <c r="GU16" i="54" s="1"/>
  <c r="GR55" i="54"/>
  <c r="GU55" i="54" s="1"/>
  <c r="GR87" i="54"/>
  <c r="GU87" i="54" s="1"/>
  <c r="GR84" i="54"/>
  <c r="GU84" i="54" s="1"/>
  <c r="GR95" i="54"/>
  <c r="GU95" i="54" s="1"/>
  <c r="GR204" i="54"/>
  <c r="GU204" i="54" s="1"/>
  <c r="GR15" i="54"/>
  <c r="GU15" i="54" s="1"/>
  <c r="GR138" i="54"/>
  <c r="GU138" i="54" s="1"/>
  <c r="GS136" i="54"/>
  <c r="GV136" i="54" s="1"/>
  <c r="GS227" i="54"/>
  <c r="GV227" i="54" s="1"/>
  <c r="GR11" i="54"/>
  <c r="GU11" i="54" s="1"/>
  <c r="GS105" i="54"/>
  <c r="GV105" i="54" s="1"/>
  <c r="GS110" i="54"/>
  <c r="GV110" i="54" s="1"/>
  <c r="GR149" i="54"/>
  <c r="GU149" i="54" s="1"/>
  <c r="GR181" i="54"/>
  <c r="GU181" i="54" s="1"/>
  <c r="GS44" i="54"/>
  <c r="GV44" i="54" s="1"/>
  <c r="GR43" i="54"/>
  <c r="GU43" i="54" s="1"/>
  <c r="GR106" i="54"/>
  <c r="GU106" i="54" s="1"/>
  <c r="GS170" i="54"/>
  <c r="GV170" i="54" s="1"/>
  <c r="GR20" i="54"/>
  <c r="GU20" i="54" s="1"/>
  <c r="GS53" i="54"/>
  <c r="GV53" i="54" s="1"/>
  <c r="GR100" i="54"/>
  <c r="GU100" i="54" s="1"/>
  <c r="GR158" i="54"/>
  <c r="GU158" i="54" s="1"/>
  <c r="GR191" i="54"/>
  <c r="GU191" i="54" s="1"/>
  <c r="GS238" i="54"/>
  <c r="GV238" i="54" s="1"/>
  <c r="GS60" i="54"/>
  <c r="GV60" i="54" s="1"/>
  <c r="GR230" i="54"/>
  <c r="GU230" i="54" s="1"/>
  <c r="GR139" i="54"/>
  <c r="GU139" i="54" s="1"/>
  <c r="GS132" i="54"/>
  <c r="GV132" i="54" s="1"/>
  <c r="GR231" i="54"/>
  <c r="GU231" i="54" s="1"/>
  <c r="GR122" i="54"/>
  <c r="GU122" i="54" s="1"/>
  <c r="GR200" i="54"/>
  <c r="GU200" i="54" s="1"/>
  <c r="GR66" i="54"/>
  <c r="GU66" i="54" s="1"/>
  <c r="GS74" i="54"/>
  <c r="GV74" i="54" s="1"/>
  <c r="GS119" i="54"/>
  <c r="GV119" i="54" s="1"/>
  <c r="GS166" i="54"/>
  <c r="GV166" i="54" s="1"/>
  <c r="GR257" i="54"/>
  <c r="GU257" i="54" s="1"/>
  <c r="GS146" i="54"/>
  <c r="GV146" i="54" s="1"/>
  <c r="GR175" i="54"/>
  <c r="GU175" i="54" s="1"/>
  <c r="GR214" i="54"/>
  <c r="GU214" i="54" s="1"/>
  <c r="GR128" i="54"/>
  <c r="GU128" i="54" s="1"/>
  <c r="GS32" i="54"/>
  <c r="GV32" i="54" s="1"/>
  <c r="GS194" i="54"/>
  <c r="GV194" i="54" s="1"/>
  <c r="GS268" i="54"/>
  <c r="GV268" i="54" s="1"/>
  <c r="GR99" i="54"/>
  <c r="GU99" i="54" s="1"/>
  <c r="GR104" i="54"/>
  <c r="GU104" i="54" s="1"/>
  <c r="GS143" i="54"/>
  <c r="GV143" i="54" s="1"/>
  <c r="GR237" i="54"/>
  <c r="GU237" i="54" s="1"/>
  <c r="GS266" i="54"/>
  <c r="GV266" i="54" s="1"/>
  <c r="GR264" i="54"/>
  <c r="GU264" i="54" s="1"/>
  <c r="GR127" i="54"/>
  <c r="GU127" i="54" s="1"/>
  <c r="GS126" i="54"/>
  <c r="GV126" i="54" s="1"/>
  <c r="GS225" i="54"/>
  <c r="GV225" i="54" s="1"/>
  <c r="GR253" i="54"/>
  <c r="GU253" i="54" s="1"/>
  <c r="GS133" i="54"/>
  <c r="GV133" i="54" s="1"/>
  <c r="GS47" i="54"/>
  <c r="GV47" i="54" s="1"/>
  <c r="GS152" i="54"/>
  <c r="GV152" i="54" s="1"/>
  <c r="GS151" i="54"/>
  <c r="GV151" i="54" s="1"/>
  <c r="GS232" i="54"/>
  <c r="GV232" i="54" s="1"/>
  <c r="GR63" i="54"/>
  <c r="GU63" i="54" s="1"/>
  <c r="GS107" i="54"/>
  <c r="GV107" i="54" s="1"/>
  <c r="GR201" i="54"/>
  <c r="GU201" i="54" s="1"/>
  <c r="GS224" i="54"/>
  <c r="GV224" i="54" s="1"/>
  <c r="GR222" i="54"/>
  <c r="GU222" i="54" s="1"/>
  <c r="GR209" i="54"/>
  <c r="GU209" i="54" s="1"/>
  <c r="GS40" i="54"/>
  <c r="GV40" i="54" s="1"/>
  <c r="GR85" i="54"/>
  <c r="GU85" i="54" s="1"/>
  <c r="GS189" i="54"/>
  <c r="GV189" i="54" s="1"/>
  <c r="GS211" i="54"/>
  <c r="GV211" i="54" s="1"/>
  <c r="GS97" i="54"/>
  <c r="GV97" i="54" s="1"/>
  <c r="GS206" i="54"/>
  <c r="GV206" i="54" s="1"/>
  <c r="GR105" i="54"/>
  <c r="GU105" i="54" s="1"/>
  <c r="GR110" i="54"/>
  <c r="GU110" i="54" s="1"/>
  <c r="GS243" i="54"/>
  <c r="GV243" i="54" s="1"/>
  <c r="GS21" i="54"/>
  <c r="GV21" i="54" s="1"/>
  <c r="GS13" i="54"/>
  <c r="GV13" i="54" s="1"/>
  <c r="GS12" i="54"/>
  <c r="GV12" i="54" s="1"/>
  <c r="GS118" i="54"/>
  <c r="GV118" i="54" s="1"/>
  <c r="GR165" i="54"/>
  <c r="GU165" i="54" s="1"/>
  <c r="GR220" i="54"/>
  <c r="GU220" i="54" s="1"/>
  <c r="GS267" i="54"/>
  <c r="GV267" i="54" s="1"/>
  <c r="GS59" i="54"/>
  <c r="GV59" i="54" s="1"/>
  <c r="GR170" i="54"/>
  <c r="GU170" i="54" s="1"/>
  <c r="GS236" i="54"/>
  <c r="GV236" i="54" s="1"/>
  <c r="GS102" i="54"/>
  <c r="GV102" i="54" s="1"/>
  <c r="GR53" i="54"/>
  <c r="GU53" i="54" s="1"/>
  <c r="GS156" i="54"/>
  <c r="GV156" i="54" s="1"/>
  <c r="GR60" i="54"/>
  <c r="GU60" i="54" s="1"/>
  <c r="GS160" i="54"/>
  <c r="GV160" i="54" s="1"/>
  <c r="GR207" i="54"/>
  <c r="GU207" i="54" s="1"/>
  <c r="GS35" i="54"/>
  <c r="GV35" i="54" s="1"/>
  <c r="GR82" i="54"/>
  <c r="GU82" i="54" s="1"/>
  <c r="GR140" i="54"/>
  <c r="GU140" i="54" s="1"/>
  <c r="GR137" i="54"/>
  <c r="GU137" i="54" s="1"/>
  <c r="GS184" i="54"/>
  <c r="GV184" i="54" s="1"/>
  <c r="GR260" i="54"/>
  <c r="GU260" i="54" s="1"/>
  <c r="GS239" i="54"/>
  <c r="GV239" i="54" s="1"/>
  <c r="GR23" i="54"/>
  <c r="GU23" i="54" s="1"/>
  <c r="GS117" i="54"/>
  <c r="GV117" i="54" s="1"/>
  <c r="GS120" i="54"/>
  <c r="GV120" i="54" s="1"/>
  <c r="GS25" i="54"/>
  <c r="GV25" i="54" s="1"/>
  <c r="GS17" i="54"/>
  <c r="GV17" i="54" s="1"/>
  <c r="GR64" i="54"/>
  <c r="GU64" i="54" s="1"/>
  <c r="GS116" i="54"/>
  <c r="GV116" i="54" s="1"/>
  <c r="GR115" i="54"/>
  <c r="GU115" i="54" s="1"/>
  <c r="GR155" i="54"/>
  <c r="GU155" i="54" s="1"/>
  <c r="GS202" i="54"/>
  <c r="GV202" i="54" s="1"/>
  <c r="GR26" i="54"/>
  <c r="GU26" i="54" s="1"/>
  <c r="GS18" i="54"/>
  <c r="GV18" i="54" s="1"/>
  <c r="GS171" i="54"/>
  <c r="GV171" i="54" s="1"/>
  <c r="GR188" i="54"/>
  <c r="GU188" i="54" s="1"/>
  <c r="GS46" i="54"/>
  <c r="GV46" i="54" s="1"/>
  <c r="GR93" i="54"/>
  <c r="GU93" i="54" s="1"/>
  <c r="GR91" i="54"/>
  <c r="GU91" i="54" s="1"/>
  <c r="GS90" i="54"/>
  <c r="GV90" i="54" s="1"/>
  <c r="GR195" i="54"/>
  <c r="GU195" i="54" s="1"/>
  <c r="GS217" i="54"/>
  <c r="GV217" i="54" s="1"/>
  <c r="GS250" i="54"/>
  <c r="GV250" i="54" s="1"/>
  <c r="GR34" i="54"/>
  <c r="GU34" i="54" s="1"/>
  <c r="GS80" i="54"/>
  <c r="GV80" i="54" s="1"/>
  <c r="GS164" i="54"/>
  <c r="GV164" i="54" s="1"/>
  <c r="GS30" i="54"/>
  <c r="GV30" i="54" s="1"/>
  <c r="GR17" i="54"/>
  <c r="GU17" i="54" s="1"/>
  <c r="GR116" i="54"/>
  <c r="GU116" i="54" s="1"/>
  <c r="GS27" i="54"/>
  <c r="GV27" i="54" s="1"/>
  <c r="GS26" i="54"/>
  <c r="GV26" i="54" s="1"/>
  <c r="GR18" i="54"/>
  <c r="GU18" i="54" s="1"/>
  <c r="GR90" i="54"/>
  <c r="GU90" i="54" s="1"/>
  <c r="GS148" i="54"/>
  <c r="GV148" i="54" s="1"/>
  <c r="GR217" i="54"/>
  <c r="GU217" i="54" s="1"/>
  <c r="GR250" i="54"/>
  <c r="GU250" i="54" s="1"/>
  <c r="GR80" i="54"/>
  <c r="GU80" i="54" s="1"/>
  <c r="GR164" i="54"/>
  <c r="GU164" i="54" s="1"/>
  <c r="GR30" i="54"/>
  <c r="GU30" i="54" s="1"/>
  <c r="GS233" i="54"/>
  <c r="GV233" i="54" s="1"/>
  <c r="GS111" i="54"/>
  <c r="GV111" i="54" s="1"/>
  <c r="GS114" i="54"/>
  <c r="GV114" i="54" s="1"/>
  <c r="GS155" i="54"/>
  <c r="GV155" i="54" s="1"/>
  <c r="GR27" i="54"/>
  <c r="GU27" i="54" s="1"/>
  <c r="GS124" i="54"/>
  <c r="GV124" i="54" s="1"/>
  <c r="GR171" i="54"/>
  <c r="GU171" i="54" s="1"/>
  <c r="GR187" i="54"/>
  <c r="GU187" i="54" s="1"/>
  <c r="GS186" i="54"/>
  <c r="GV186" i="54" s="1"/>
  <c r="GS262" i="54"/>
  <c r="GV262" i="54" s="1"/>
  <c r="GR46" i="54"/>
  <c r="GU46" i="54" s="1"/>
  <c r="GS98" i="54"/>
  <c r="GV98" i="54" s="1"/>
  <c r="GS218" i="54"/>
  <c r="GV218" i="54" s="1"/>
  <c r="GS203" i="54"/>
  <c r="GV203" i="54" s="1"/>
  <c r="GS81" i="54"/>
  <c r="GV81" i="54" s="1"/>
  <c r="GS78" i="54"/>
  <c r="GV78" i="54" s="1"/>
  <c r="GS246" i="54"/>
  <c r="GV246" i="54" s="1"/>
  <c r="GR233" i="54"/>
  <c r="GU233" i="54" s="1"/>
  <c r="GR114" i="54"/>
  <c r="GU114" i="54" s="1"/>
  <c r="GS19" i="54"/>
  <c r="GV19" i="54" s="1"/>
  <c r="GR124" i="54"/>
  <c r="GU124" i="54" s="1"/>
  <c r="GR186" i="54"/>
  <c r="GU186" i="54" s="1"/>
  <c r="GR98" i="54"/>
  <c r="GU98" i="54" s="1"/>
  <c r="GS91" i="54"/>
  <c r="GV91" i="54" s="1"/>
  <c r="GS101" i="54"/>
  <c r="GV101" i="54" s="1"/>
  <c r="GR148" i="54"/>
  <c r="GU148" i="54" s="1"/>
  <c r="GR203" i="54"/>
  <c r="GU203" i="54" s="1"/>
  <c r="GR78" i="54"/>
  <c r="GU78" i="54" s="1"/>
  <c r="GR246" i="54"/>
  <c r="GU246" i="54" s="1"/>
  <c r="GS64" i="54"/>
  <c r="GV64" i="54" s="1"/>
  <c r="GR111" i="54"/>
  <c r="GU111" i="54" s="1"/>
  <c r="GR202" i="54"/>
  <c r="GU202" i="54" s="1"/>
  <c r="GS249" i="54"/>
  <c r="GV249" i="54" s="1"/>
  <c r="GR19" i="54"/>
  <c r="GU19" i="54" s="1"/>
  <c r="GS77" i="54"/>
  <c r="GV77" i="54" s="1"/>
  <c r="GS187" i="54"/>
  <c r="GV187" i="54" s="1"/>
  <c r="GS215" i="54"/>
  <c r="GV215" i="54" s="1"/>
  <c r="GR262" i="54"/>
  <c r="GU262" i="54" s="1"/>
  <c r="GS93" i="54"/>
  <c r="GV93" i="54" s="1"/>
  <c r="GS216" i="54"/>
  <c r="GV216" i="54" s="1"/>
  <c r="GS34" i="54"/>
  <c r="GV34" i="54" s="1"/>
  <c r="GR81" i="54"/>
  <c r="GU81" i="54" s="1"/>
  <c r="GR79" i="54"/>
  <c r="GU79" i="54" s="1"/>
  <c r="GS205" i="54"/>
  <c r="GV205" i="54" s="1"/>
  <c r="GS115" i="54"/>
  <c r="GV115" i="54" s="1"/>
  <c r="GR249" i="54"/>
  <c r="GU249" i="54" s="1"/>
  <c r="GR77" i="54"/>
  <c r="GU77" i="54" s="1"/>
  <c r="GS188" i="54"/>
  <c r="GV188" i="54" s="1"/>
  <c r="GR215" i="54"/>
  <c r="GU215" i="54" s="1"/>
  <c r="GR101" i="54"/>
  <c r="GU101" i="54" s="1"/>
  <c r="GS195" i="54"/>
  <c r="GV195" i="54" s="1"/>
  <c r="GR218" i="54"/>
  <c r="GU218" i="54" s="1"/>
  <c r="GR216" i="54"/>
  <c r="GU216" i="54" s="1"/>
  <c r="GS79" i="54"/>
  <c r="GV79" i="54" s="1"/>
  <c r="GR205" i="54"/>
  <c r="GU205" i="54" s="1"/>
  <c r="FO16" i="54"/>
  <c r="FN15" i="54"/>
  <c r="FP15" i="54" s="1"/>
  <c r="FK16" i="54" s="1"/>
  <c r="FV16" i="54"/>
  <c r="FU15" i="54"/>
  <c r="FW15" i="54" s="1"/>
  <c r="FR16" i="54" s="1"/>
  <c r="FC16" i="54"/>
  <c r="FE16" i="54"/>
  <c r="FF16" i="54"/>
  <c r="FZ16" i="54"/>
  <c r="FX16" i="54"/>
  <c r="GA16" i="54"/>
  <c r="CV58" i="54"/>
  <c r="CT58" i="54"/>
  <c r="CU59" i="54" s="1"/>
  <c r="AF15" i="56"/>
  <c r="AD15" i="56"/>
  <c r="L21" i="56"/>
  <c r="N21" i="56"/>
  <c r="N17" i="56"/>
  <c r="L17" i="56"/>
  <c r="N14" i="56"/>
  <c r="L14" i="56"/>
  <c r="L18" i="56"/>
  <c r="N18" i="56"/>
  <c r="N16" i="56"/>
  <c r="L16" i="56"/>
  <c r="N19" i="56"/>
  <c r="L19" i="56"/>
  <c r="N20" i="56"/>
  <c r="L20" i="56"/>
  <c r="L7" i="56"/>
  <c r="N7" i="56"/>
  <c r="N10" i="56"/>
  <c r="L10" i="56"/>
  <c r="O49" i="56"/>
  <c r="L49" i="56" s="1"/>
  <c r="GW5" i="54" s="1"/>
  <c r="N5" i="56"/>
  <c r="L5" i="56"/>
  <c r="N9" i="56"/>
  <c r="L9" i="56"/>
  <c r="L8" i="56"/>
  <c r="N8" i="56"/>
  <c r="L6" i="56"/>
  <c r="N6" i="56"/>
  <c r="N52" i="56"/>
  <c r="AH54" i="56"/>
  <c r="Y54" i="56"/>
  <c r="AB54" i="56" s="1"/>
  <c r="Q54" i="56" s="1"/>
  <c r="R54" i="56" s="1"/>
  <c r="AN54" i="56" s="1"/>
  <c r="AH52" i="56"/>
  <c r="N54" i="56"/>
  <c r="AH49" i="56"/>
  <c r="Y49" i="56"/>
  <c r="AA49" i="56" s="1"/>
  <c r="AI51" i="56"/>
  <c r="I51" i="56"/>
  <c r="N51" i="56" s="1"/>
  <c r="O53" i="56"/>
  <c r="AI53" i="56" s="1"/>
  <c r="Z52" i="56"/>
  <c r="AC52" i="56" s="1"/>
  <c r="Y53" i="56"/>
  <c r="AB53" i="56" s="1"/>
  <c r="L52" i="56"/>
  <c r="AD52" i="56" s="1"/>
  <c r="Y51" i="56"/>
  <c r="AB51" i="56" s="1"/>
  <c r="AH53" i="56"/>
  <c r="AC55" i="56"/>
  <c r="AB52" i="56"/>
  <c r="AI52" i="56"/>
  <c r="AH55" i="56"/>
  <c r="Y55" i="56"/>
  <c r="O55" i="56"/>
  <c r="Z50" i="56"/>
  <c r="AG52" i="56"/>
  <c r="AH50" i="56"/>
  <c r="Y50" i="56"/>
  <c r="AB50" i="56" s="1"/>
  <c r="O50" i="56"/>
  <c r="AC51" i="56"/>
  <c r="AD25" i="56"/>
  <c r="AE25" i="56"/>
  <c r="AD13" i="56"/>
  <c r="AE13" i="56"/>
  <c r="AD24" i="56"/>
  <c r="AE24" i="56"/>
  <c r="AE23" i="56"/>
  <c r="AD23" i="56"/>
  <c r="AD22" i="56"/>
  <c r="AE22" i="56"/>
  <c r="AD3" i="56"/>
  <c r="CH5" i="54" s="1"/>
  <c r="AE3" i="56"/>
  <c r="CH6" i="54" s="1"/>
  <c r="AD11" i="56"/>
  <c r="AE11" i="56"/>
  <c r="CG57" i="54" l="1"/>
  <c r="CG68" i="54"/>
  <c r="GX3" i="54"/>
  <c r="GY3" i="54" s="1"/>
  <c r="GZ3" i="54" s="1"/>
  <c r="GW3" i="54"/>
  <c r="FS16" i="54"/>
  <c r="FQ16" i="54"/>
  <c r="FT16" i="54"/>
  <c r="GB16" i="54"/>
  <c r="GD16" i="54" s="1"/>
  <c r="FY17" i="54" s="1"/>
  <c r="GC17" i="54"/>
  <c r="FM16" i="54"/>
  <c r="FL16" i="54"/>
  <c r="FJ16" i="54"/>
  <c r="FG16" i="54"/>
  <c r="FI16" i="54" s="1"/>
  <c r="FD17" i="54" s="1"/>
  <c r="FH17" i="54"/>
  <c r="CV59" i="54"/>
  <c r="CT59" i="54"/>
  <c r="CU60" i="54" s="1"/>
  <c r="AD21" i="56"/>
  <c r="AG49" i="56"/>
  <c r="AD54" i="56"/>
  <c r="AF21" i="56"/>
  <c r="AF18" i="56"/>
  <c r="AF8" i="56"/>
  <c r="AD7" i="56"/>
  <c r="AD18" i="56"/>
  <c r="AD19" i="56"/>
  <c r="AF19" i="56"/>
  <c r="AF17" i="56"/>
  <c r="AD17" i="56"/>
  <c r="AD20" i="56"/>
  <c r="AF20" i="56"/>
  <c r="AD16" i="56"/>
  <c r="AF16" i="56"/>
  <c r="AF14" i="56"/>
  <c r="AD14" i="56"/>
  <c r="AD9" i="56"/>
  <c r="AF10" i="56"/>
  <c r="AD10" i="56"/>
  <c r="AF7" i="56"/>
  <c r="AF9" i="56"/>
  <c r="AF6" i="56"/>
  <c r="N49" i="56"/>
  <c r="AI49" i="56"/>
  <c r="AA54" i="56"/>
  <c r="AB49" i="56"/>
  <c r="AA53" i="56"/>
  <c r="AG54" i="56"/>
  <c r="AI54" i="56"/>
  <c r="AA52" i="56"/>
  <c r="AE52" i="56" s="1"/>
  <c r="AD6" i="56"/>
  <c r="AD8" i="56"/>
  <c r="AF5" i="56"/>
  <c r="AD5" i="56"/>
  <c r="AG53" i="56"/>
  <c r="N53" i="56"/>
  <c r="AF52" i="56"/>
  <c r="AF51" i="56"/>
  <c r="L51" i="56"/>
  <c r="AA51" i="56"/>
  <c r="AD51" i="56"/>
  <c r="AF54" i="56"/>
  <c r="L53" i="56"/>
  <c r="AH51" i="56"/>
  <c r="AG51" i="56"/>
  <c r="Q53" i="56"/>
  <c r="R53" i="56" s="1"/>
  <c r="AN53" i="56" s="1"/>
  <c r="AD49" i="56"/>
  <c r="GX5" i="54" s="1"/>
  <c r="Q51" i="56"/>
  <c r="R51" i="56" s="1"/>
  <c r="AN51" i="56" s="1"/>
  <c r="AG55" i="56"/>
  <c r="AI55" i="56"/>
  <c r="N55" i="56"/>
  <c r="AF55" i="56" s="1"/>
  <c r="L55" i="56"/>
  <c r="AD55" i="56" s="1"/>
  <c r="AG50" i="56"/>
  <c r="AI50" i="56"/>
  <c r="N50" i="56"/>
  <c r="L50" i="56"/>
  <c r="Q50" i="56"/>
  <c r="AC50" i="56"/>
  <c r="AA50" i="56"/>
  <c r="AB55" i="56"/>
  <c r="AA55" i="56"/>
  <c r="AF49" i="56" l="1"/>
  <c r="GX7" i="54" s="1"/>
  <c r="GW7" i="54"/>
  <c r="FE17" i="54"/>
  <c r="FF17" i="54"/>
  <c r="FC17" i="54"/>
  <c r="FX17" i="54"/>
  <c r="FZ17" i="54"/>
  <c r="GA17" i="54"/>
  <c r="GX4" i="54"/>
  <c r="GY4" i="54" s="1"/>
  <c r="GZ4" i="54" s="1"/>
  <c r="GW4" i="54"/>
  <c r="GX2" i="54"/>
  <c r="GY2" i="54" s="1"/>
  <c r="GZ2" i="54" s="1"/>
  <c r="GW2" i="54"/>
  <c r="FN16" i="54"/>
  <c r="FP16" i="54" s="1"/>
  <c r="FK17" i="54" s="1"/>
  <c r="FO17" i="54"/>
  <c r="FV17" i="54"/>
  <c r="FU16" i="54"/>
  <c r="FW16" i="54" s="1"/>
  <c r="FR17" i="54" s="1"/>
  <c r="CV60" i="54"/>
  <c r="CT60" i="54"/>
  <c r="CU61" i="54" s="1"/>
  <c r="AF53" i="56"/>
  <c r="R50" i="56"/>
  <c r="AE49" i="56"/>
  <c r="GX6" i="54" s="1"/>
  <c r="Q52" i="56"/>
  <c r="R52" i="56" s="1"/>
  <c r="AN52" i="56" s="1"/>
  <c r="AD53" i="56"/>
  <c r="AF50" i="56"/>
  <c r="AD50" i="56"/>
  <c r="AE55" i="56"/>
  <c r="Q55" i="56"/>
  <c r="R55" i="56" s="1"/>
  <c r="AN55" i="56" s="1"/>
  <c r="GW221" i="54" l="1"/>
  <c r="GW191" i="54"/>
  <c r="GW256" i="54"/>
  <c r="GW40" i="54"/>
  <c r="GW69" i="54"/>
  <c r="GW98" i="54"/>
  <c r="GW127" i="54"/>
  <c r="GW162" i="54"/>
  <c r="GW185" i="54"/>
  <c r="GW214" i="54"/>
  <c r="GW243" i="54"/>
  <c r="GW27" i="54"/>
  <c r="GW56" i="54"/>
  <c r="GW121" i="54"/>
  <c r="GW192" i="54"/>
  <c r="GW251" i="54"/>
  <c r="GW35" i="54"/>
  <c r="GW64" i="54"/>
  <c r="GW93" i="54"/>
  <c r="GW122" i="54"/>
  <c r="GW187" i="54"/>
  <c r="GW222" i="54"/>
  <c r="GW245" i="54"/>
  <c r="GW29" i="54"/>
  <c r="GW58" i="54"/>
  <c r="GW123" i="54"/>
  <c r="GW188" i="54"/>
  <c r="GW217" i="54"/>
  <c r="GW252" i="54"/>
  <c r="GW36" i="54"/>
  <c r="GW59" i="54"/>
  <c r="GW124" i="54"/>
  <c r="GW189" i="54"/>
  <c r="GW218" i="54"/>
  <c r="GW247" i="54"/>
  <c r="GW31" i="54"/>
  <c r="GW66" i="54"/>
  <c r="GW89" i="54"/>
  <c r="GW154" i="54"/>
  <c r="GW219" i="54"/>
  <c r="GW248" i="54"/>
  <c r="GW32" i="54"/>
  <c r="GW61" i="54"/>
  <c r="GW96" i="54"/>
  <c r="GW155" i="54"/>
  <c r="GW220" i="54"/>
  <c r="GW249" i="54"/>
  <c r="GW33" i="54"/>
  <c r="GW62" i="54"/>
  <c r="GW91" i="54"/>
  <c r="GW126" i="54"/>
  <c r="GW149" i="54"/>
  <c r="GW178" i="54"/>
  <c r="GW207" i="54"/>
  <c r="GW236" i="54"/>
  <c r="GW20" i="54"/>
  <c r="GW85" i="54"/>
  <c r="GW156" i="54"/>
  <c r="GW215" i="54"/>
  <c r="GW244" i="54"/>
  <c r="GW28" i="54"/>
  <c r="GW21" i="54"/>
  <c r="GW86" i="54"/>
  <c r="GW151" i="54"/>
  <c r="GW186" i="54"/>
  <c r="GW209" i="54"/>
  <c r="GW238" i="54"/>
  <c r="GW22" i="54"/>
  <c r="GW87" i="54"/>
  <c r="GW152" i="54"/>
  <c r="GW181" i="54"/>
  <c r="GW216" i="54"/>
  <c r="GW239" i="54"/>
  <c r="GW23" i="54"/>
  <c r="GW88" i="54"/>
  <c r="GW153" i="54"/>
  <c r="GW182" i="54"/>
  <c r="GW211" i="54"/>
  <c r="GW246" i="54"/>
  <c r="GW30" i="54"/>
  <c r="GW53" i="54"/>
  <c r="GW118" i="54"/>
  <c r="GW183" i="54"/>
  <c r="GW212" i="54"/>
  <c r="GW241" i="54"/>
  <c r="GW25" i="54"/>
  <c r="GW60" i="54"/>
  <c r="GW119" i="54"/>
  <c r="GW184" i="54"/>
  <c r="GW213" i="54"/>
  <c r="GW242" i="54"/>
  <c r="GW26" i="54"/>
  <c r="GW55" i="54"/>
  <c r="GW113" i="54"/>
  <c r="GW142" i="54"/>
  <c r="GW171" i="54"/>
  <c r="GW200" i="54"/>
  <c r="GW265" i="54"/>
  <c r="GW49" i="54"/>
  <c r="GW120" i="54"/>
  <c r="GW179" i="54"/>
  <c r="GW208" i="54"/>
  <c r="GW237" i="54"/>
  <c r="GW83" i="54"/>
  <c r="GW148" i="54"/>
  <c r="GW177" i="54"/>
  <c r="GW206" i="54"/>
  <c r="GW235" i="54"/>
  <c r="GW19" i="54"/>
  <c r="GW54" i="54"/>
  <c r="GW77" i="54"/>
  <c r="GW106" i="54"/>
  <c r="GW135" i="54"/>
  <c r="GW164" i="54"/>
  <c r="GW229" i="54"/>
  <c r="GW13" i="54"/>
  <c r="GW84" i="54"/>
  <c r="GW143" i="54"/>
  <c r="GW172" i="54"/>
  <c r="GW201" i="54"/>
  <c r="GW230" i="54"/>
  <c r="GW14" i="54"/>
  <c r="GW79" i="54"/>
  <c r="GW114" i="54"/>
  <c r="GW137" i="54"/>
  <c r="GW166" i="54"/>
  <c r="GW231" i="54"/>
  <c r="GW15" i="54"/>
  <c r="GW80" i="54"/>
  <c r="GW109" i="54"/>
  <c r="GW144" i="54"/>
  <c r="GW167" i="54"/>
  <c r="GW232" i="54"/>
  <c r="GW16" i="54"/>
  <c r="GW81" i="54"/>
  <c r="GW110" i="54"/>
  <c r="GW139" i="54"/>
  <c r="GW174" i="54"/>
  <c r="GW197" i="54"/>
  <c r="GW262" i="54"/>
  <c r="GW46" i="54"/>
  <c r="GW111" i="54"/>
  <c r="GW140" i="54"/>
  <c r="GW169" i="54"/>
  <c r="GW204" i="54"/>
  <c r="GW263" i="54"/>
  <c r="GW47" i="54"/>
  <c r="GW112" i="54"/>
  <c r="GW141" i="54"/>
  <c r="GW170" i="54"/>
  <c r="GW199" i="54"/>
  <c r="GW234" i="54"/>
  <c r="GW18" i="54"/>
  <c r="GW41" i="54"/>
  <c r="GW70" i="54"/>
  <c r="GW99" i="54"/>
  <c r="GW128" i="54"/>
  <c r="GW193" i="54"/>
  <c r="GW264" i="54"/>
  <c r="GW48" i="54"/>
  <c r="GW107" i="54"/>
  <c r="GW136" i="54"/>
  <c r="GW165" i="54"/>
  <c r="GW194" i="54"/>
  <c r="GW259" i="54"/>
  <c r="GW43" i="54"/>
  <c r="GW78" i="54"/>
  <c r="GW101" i="54"/>
  <c r="GW130" i="54"/>
  <c r="GW195" i="54"/>
  <c r="GW260" i="54"/>
  <c r="GW44" i="54"/>
  <c r="GW73" i="54"/>
  <c r="GW108" i="54"/>
  <c r="GW131" i="54"/>
  <c r="GW196" i="54"/>
  <c r="GW261" i="54"/>
  <c r="GW45" i="54"/>
  <c r="GW74" i="54"/>
  <c r="GW103" i="54"/>
  <c r="GW138" i="54"/>
  <c r="GW161" i="54"/>
  <c r="GW226" i="54"/>
  <c r="GW10" i="54"/>
  <c r="GW75" i="54"/>
  <c r="GW104" i="54"/>
  <c r="GW133" i="54"/>
  <c r="GW168" i="54"/>
  <c r="GW227" i="54"/>
  <c r="GW11" i="54"/>
  <c r="GW76" i="54"/>
  <c r="GW105" i="54"/>
  <c r="GW134" i="54"/>
  <c r="GW163" i="54"/>
  <c r="GW198" i="54"/>
  <c r="GW257" i="54"/>
  <c r="GW250" i="54"/>
  <c r="GW34" i="54"/>
  <c r="GW63" i="54"/>
  <c r="GW92" i="54"/>
  <c r="GW157" i="54"/>
  <c r="GW228" i="54"/>
  <c r="GW12" i="54"/>
  <c r="GW71" i="54"/>
  <c r="GW100" i="54"/>
  <c r="GW129" i="54"/>
  <c r="GW158" i="54"/>
  <c r="GW223" i="54"/>
  <c r="GW258" i="54"/>
  <c r="GW42" i="54"/>
  <c r="GW65" i="54"/>
  <c r="GW94" i="54"/>
  <c r="GW159" i="54"/>
  <c r="GW224" i="54"/>
  <c r="GW253" i="54"/>
  <c r="GW37" i="54"/>
  <c r="GW72" i="54"/>
  <c r="GW95" i="54"/>
  <c r="GW160" i="54"/>
  <c r="GW225" i="54"/>
  <c r="GW254" i="54"/>
  <c r="GW38" i="54"/>
  <c r="GW67" i="54"/>
  <c r="GW102" i="54"/>
  <c r="GW125" i="54"/>
  <c r="GW190" i="54"/>
  <c r="GW255" i="54"/>
  <c r="GW39" i="54"/>
  <c r="GW68" i="54"/>
  <c r="GW97" i="54"/>
  <c r="GW132" i="54"/>
  <c r="GW90" i="54"/>
  <c r="GW202" i="54"/>
  <c r="GW203" i="54"/>
  <c r="GW210" i="54"/>
  <c r="GW205" i="54"/>
  <c r="GW266" i="54"/>
  <c r="GW267" i="54"/>
  <c r="GW268" i="54"/>
  <c r="GW233" i="54"/>
  <c r="GW240" i="54"/>
  <c r="GW50" i="54"/>
  <c r="GW51" i="54"/>
  <c r="GW52" i="54"/>
  <c r="GW17" i="54"/>
  <c r="GW24" i="54"/>
  <c r="GW115" i="54"/>
  <c r="GW116" i="54"/>
  <c r="GW117" i="54"/>
  <c r="GW82" i="54"/>
  <c r="GW150" i="54"/>
  <c r="GW145" i="54"/>
  <c r="GW146" i="54"/>
  <c r="GW147" i="54"/>
  <c r="GW173" i="54"/>
  <c r="GW180" i="54"/>
  <c r="GW175" i="54"/>
  <c r="GW176" i="54"/>
  <c r="GW57" i="54"/>
  <c r="FT17" i="54"/>
  <c r="FS17" i="54"/>
  <c r="FQ17" i="54"/>
  <c r="FG17" i="54"/>
  <c r="FI17" i="54" s="1"/>
  <c r="FD18" i="54" s="1"/>
  <c r="FH18" i="54"/>
  <c r="FL17" i="54"/>
  <c r="FJ17" i="54"/>
  <c r="FM17" i="54"/>
  <c r="GC18" i="54"/>
  <c r="GB17" i="54"/>
  <c r="GD17" i="54" s="1"/>
  <c r="FY18" i="54" s="1"/>
  <c r="CV61" i="54"/>
  <c r="CT61" i="54"/>
  <c r="CU62" i="54" s="1"/>
  <c r="AN50" i="56"/>
  <c r="FX18" i="54" l="1"/>
  <c r="FZ18" i="54"/>
  <c r="GA18" i="54"/>
  <c r="FE18" i="54"/>
  <c r="FC18" i="54"/>
  <c r="FF18" i="54"/>
  <c r="FV18" i="54"/>
  <c r="FU17" i="54"/>
  <c r="FW17" i="54" s="1"/>
  <c r="FR18" i="54" s="1"/>
  <c r="FO18" i="54"/>
  <c r="FN17" i="54"/>
  <c r="FP17" i="54" s="1"/>
  <c r="FK18" i="54" s="1"/>
  <c r="CV62" i="54"/>
  <c r="CT62" i="54"/>
  <c r="CU63" i="54" s="1"/>
  <c r="B6" i="61" l="1"/>
  <c r="FQ18" i="54"/>
  <c r="FT18" i="54"/>
  <c r="FS18" i="54"/>
  <c r="FM18" i="54"/>
  <c r="FL18" i="54"/>
  <c r="FJ18" i="54"/>
  <c r="FH19" i="54"/>
  <c r="FG18" i="54"/>
  <c r="FI18" i="54" s="1"/>
  <c r="FD19" i="54" s="1"/>
  <c r="GC19" i="54"/>
  <c r="GB18" i="54"/>
  <c r="GD18" i="54" s="1"/>
  <c r="FY19" i="54" s="1"/>
  <c r="CV63" i="54"/>
  <c r="CT63" i="54"/>
  <c r="CU64" i="54" s="1"/>
  <c r="M45" i="56"/>
  <c r="M43" i="56"/>
  <c r="M41" i="56"/>
  <c r="M37" i="56"/>
  <c r="EN6" i="54" s="1"/>
  <c r="FX19" i="54" l="1"/>
  <c r="FZ19" i="54"/>
  <c r="GA19" i="54"/>
  <c r="FC19" i="54"/>
  <c r="FE19" i="54"/>
  <c r="FF19" i="54"/>
  <c r="FO19" i="54"/>
  <c r="FN18" i="54"/>
  <c r="FP18" i="54" s="1"/>
  <c r="FK19" i="54" s="1"/>
  <c r="FU18" i="54"/>
  <c r="FW18" i="54" s="1"/>
  <c r="FR19" i="54" s="1"/>
  <c r="FV19" i="54"/>
  <c r="CV64" i="54"/>
  <c r="CT64" i="54"/>
  <c r="CU65" i="54" s="1"/>
  <c r="H44" i="56"/>
  <c r="H39" i="56"/>
  <c r="V39" i="56" s="1"/>
  <c r="I39" i="56" s="1"/>
  <c r="H45" i="56"/>
  <c r="H40" i="56"/>
  <c r="H46" i="56"/>
  <c r="H41" i="56"/>
  <c r="H43" i="56"/>
  <c r="H38" i="56"/>
  <c r="V38" i="56" s="1"/>
  <c r="I38" i="56" s="1"/>
  <c r="H42" i="56"/>
  <c r="H37" i="56"/>
  <c r="B6" i="57" l="1"/>
  <c r="B1435" i="57"/>
  <c r="E1435" i="57" s="1"/>
  <c r="B1369" i="57"/>
  <c r="E1369" i="57" s="1"/>
  <c r="B1297" i="57"/>
  <c r="E1297" i="57" s="1"/>
  <c r="B1231" i="57"/>
  <c r="E1231" i="57" s="1"/>
  <c r="B1165" i="57"/>
  <c r="E1165" i="57" s="1"/>
  <c r="B1093" i="57"/>
  <c r="E1093" i="57" s="1"/>
  <c r="B1021" i="57"/>
  <c r="E1021" i="57" s="1"/>
  <c r="B961" i="57"/>
  <c r="E961" i="57" s="1"/>
  <c r="B895" i="57"/>
  <c r="E895" i="57" s="1"/>
  <c r="B835" i="57"/>
  <c r="E835" i="57" s="1"/>
  <c r="B793" i="57"/>
  <c r="E793" i="57" s="1"/>
  <c r="B757" i="57"/>
  <c r="E757" i="57" s="1"/>
  <c r="B721" i="57"/>
  <c r="E721" i="57" s="1"/>
  <c r="B685" i="57"/>
  <c r="E685" i="57" s="1"/>
  <c r="B649" i="57"/>
  <c r="E649" i="57" s="1"/>
  <c r="B2467" i="57"/>
  <c r="E2467" i="57" s="1"/>
  <c r="B2431" i="57"/>
  <c r="E2431" i="57" s="1"/>
  <c r="B2395" i="57"/>
  <c r="E2395" i="57" s="1"/>
  <c r="B2359" i="57"/>
  <c r="E2359" i="57" s="1"/>
  <c r="B2323" i="57"/>
  <c r="E2323" i="57" s="1"/>
  <c r="B2287" i="57"/>
  <c r="E2287" i="57" s="1"/>
  <c r="B2251" i="57"/>
  <c r="E2251" i="57" s="1"/>
  <c r="B1096" i="57"/>
  <c r="E1096" i="57" s="1"/>
  <c r="B514" i="57"/>
  <c r="E514" i="57" s="1"/>
  <c r="B88" i="57"/>
  <c r="E88" i="57" s="1"/>
  <c r="B1156" i="57"/>
  <c r="E1156" i="57" s="1"/>
  <c r="B610" i="57"/>
  <c r="E610" i="57" s="1"/>
  <c r="B328" i="57"/>
  <c r="E328" i="57" s="1"/>
  <c r="B82" i="57"/>
  <c r="E82" i="57" s="1"/>
  <c r="B1312" i="57"/>
  <c r="E1312" i="57" s="1"/>
  <c r="B1405" i="57"/>
  <c r="E1405" i="57" s="1"/>
  <c r="B1333" i="57"/>
  <c r="E1333" i="57" s="1"/>
  <c r="B1249" i="57"/>
  <c r="E1249" i="57" s="1"/>
  <c r="B1171" i="57"/>
  <c r="E1171" i="57" s="1"/>
  <c r="B1099" i="57"/>
  <c r="E1099" i="57" s="1"/>
  <c r="B1027" i="57"/>
  <c r="E1027" i="57" s="1"/>
  <c r="B937" i="57"/>
  <c r="E937" i="57" s="1"/>
  <c r="B859" i="57"/>
  <c r="E859" i="57" s="1"/>
  <c r="B1410" i="57"/>
  <c r="E1410" i="57" s="1"/>
  <c r="B1194" i="57"/>
  <c r="E1194" i="57" s="1"/>
  <c r="B978" i="57"/>
  <c r="E978" i="57" s="1"/>
  <c r="B786" i="57"/>
  <c r="E786" i="57" s="1"/>
  <c r="B672" i="57"/>
  <c r="E672" i="57" s="1"/>
  <c r="B444" i="57"/>
  <c r="E444" i="57" s="1"/>
  <c r="B2221" i="57"/>
  <c r="E2221" i="57" s="1"/>
  <c r="B2185" i="57"/>
  <c r="E2185" i="57" s="1"/>
  <c r="B2149" i="57"/>
  <c r="E2149" i="57" s="1"/>
  <c r="B1423" i="57"/>
  <c r="E1423" i="57" s="1"/>
  <c r="B1357" i="57"/>
  <c r="E1357" i="57" s="1"/>
  <c r="B1285" i="57"/>
  <c r="E1285" i="57" s="1"/>
  <c r="B1225" i="57"/>
  <c r="E1225" i="57" s="1"/>
  <c r="B1153" i="57"/>
  <c r="E1153" i="57" s="1"/>
  <c r="B1081" i="57"/>
  <c r="E1081" i="57" s="1"/>
  <c r="B1009" i="57"/>
  <c r="E1009" i="57" s="1"/>
  <c r="B955" i="57"/>
  <c r="E955" i="57" s="1"/>
  <c r="B883" i="57"/>
  <c r="E883" i="57" s="1"/>
  <c r="B829" i="57"/>
  <c r="E829" i="57" s="1"/>
  <c r="B787" i="57"/>
  <c r="E787" i="57" s="1"/>
  <c r="B751" i="57"/>
  <c r="E751" i="57" s="1"/>
  <c r="B715" i="57"/>
  <c r="E715" i="57" s="1"/>
  <c r="B679" i="57"/>
  <c r="E679" i="57" s="1"/>
  <c r="B643" i="57"/>
  <c r="E643" i="57" s="1"/>
  <c r="B2461" i="57"/>
  <c r="E2461" i="57" s="1"/>
  <c r="B2425" i="57"/>
  <c r="E2425" i="57" s="1"/>
  <c r="B2389" i="57"/>
  <c r="E2389" i="57" s="1"/>
  <c r="B2353" i="57"/>
  <c r="E2353" i="57" s="1"/>
  <c r="B2317" i="57"/>
  <c r="E2317" i="57" s="1"/>
  <c r="B2281" i="57"/>
  <c r="E2281" i="57" s="1"/>
  <c r="B2245" i="57"/>
  <c r="E2245" i="57" s="1"/>
  <c r="B916" i="57"/>
  <c r="E916" i="57" s="1"/>
  <c r="B412" i="57"/>
  <c r="E412" i="57" s="1"/>
  <c r="B76" i="57"/>
  <c r="E76" i="57" s="1"/>
  <c r="B1042" i="57"/>
  <c r="E1042" i="57" s="1"/>
  <c r="B598" i="57"/>
  <c r="E598" i="57" s="1"/>
  <c r="B220" i="57"/>
  <c r="E220" i="57" s="1"/>
  <c r="B70" i="57"/>
  <c r="E70" i="57" s="1"/>
  <c r="B1132" i="57"/>
  <c r="E1132" i="57" s="1"/>
  <c r="B1411" i="57"/>
  <c r="E1411" i="57" s="1"/>
  <c r="B1345" i="57"/>
  <c r="E1345" i="57" s="1"/>
  <c r="B1279" i="57"/>
  <c r="E1279" i="57" s="1"/>
  <c r="B1213" i="57"/>
  <c r="E1213" i="57" s="1"/>
  <c r="B1141" i="57"/>
  <c r="E1141" i="57" s="1"/>
  <c r="B1069" i="57"/>
  <c r="E1069" i="57" s="1"/>
  <c r="B997" i="57"/>
  <c r="E997" i="57" s="1"/>
  <c r="B943" i="57"/>
  <c r="E943" i="57" s="1"/>
  <c r="B877" i="57"/>
  <c r="E877" i="57" s="1"/>
  <c r="B823" i="57"/>
  <c r="E823" i="57" s="1"/>
  <c r="B781" i="57"/>
  <c r="E781" i="57" s="1"/>
  <c r="B745" i="57"/>
  <c r="E745" i="57" s="1"/>
  <c r="B709" i="57"/>
  <c r="E709" i="57" s="1"/>
  <c r="B673" i="57"/>
  <c r="E673" i="57" s="1"/>
  <c r="B637" i="57"/>
  <c r="E637" i="57" s="1"/>
  <c r="B2455" i="57"/>
  <c r="E2455" i="57" s="1"/>
  <c r="B2419" i="57"/>
  <c r="E2419" i="57" s="1"/>
  <c r="B2383" i="57"/>
  <c r="E2383" i="57" s="1"/>
  <c r="B2347" i="57"/>
  <c r="E2347" i="57" s="1"/>
  <c r="B2311" i="57"/>
  <c r="E2311" i="57" s="1"/>
  <c r="B2275" i="57"/>
  <c r="E2275" i="57" s="1"/>
  <c r="B2239" i="57"/>
  <c r="E2239" i="57" s="1"/>
  <c r="B784" i="57"/>
  <c r="E784" i="57" s="1"/>
  <c r="B352" i="57"/>
  <c r="E352" i="57" s="1"/>
  <c r="B64" i="57"/>
  <c r="E64" i="57" s="1"/>
  <c r="B940" i="57"/>
  <c r="E940" i="57" s="1"/>
  <c r="B526" i="57"/>
  <c r="E526" i="57" s="1"/>
  <c r="B184" i="57"/>
  <c r="E184" i="57" s="1"/>
  <c r="B58" i="57"/>
  <c r="E58" i="57" s="1"/>
  <c r="B1442" i="57"/>
  <c r="E1442" i="57" s="1"/>
  <c r="B1399" i="57"/>
  <c r="E1399" i="57" s="1"/>
  <c r="B1327" i="57"/>
  <c r="E1327" i="57" s="1"/>
  <c r="B1267" i="57"/>
  <c r="E1267" i="57" s="1"/>
  <c r="B1201" i="57"/>
  <c r="E1201" i="57" s="1"/>
  <c r="B1129" i="57"/>
  <c r="E1129" i="57" s="1"/>
  <c r="B1057" i="57"/>
  <c r="E1057" i="57" s="1"/>
  <c r="B991" i="57"/>
  <c r="E991" i="57" s="1"/>
  <c r="B931" i="57"/>
  <c r="E931" i="57" s="1"/>
  <c r="B865" i="57"/>
  <c r="E865" i="57" s="1"/>
  <c r="B817" i="57"/>
  <c r="E817" i="57" s="1"/>
  <c r="B775" i="57"/>
  <c r="E775" i="57" s="1"/>
  <c r="B739" i="57"/>
  <c r="E739" i="57" s="1"/>
  <c r="B703" i="57"/>
  <c r="E703" i="57" s="1"/>
  <c r="B667" i="57"/>
  <c r="E667" i="57" s="1"/>
  <c r="B625" i="57"/>
  <c r="E625" i="57" s="1"/>
  <c r="B2449" i="57"/>
  <c r="E2449" i="57" s="1"/>
  <c r="B2413" i="57"/>
  <c r="E2413" i="57" s="1"/>
  <c r="B2377" i="57"/>
  <c r="E2377" i="57" s="1"/>
  <c r="B2341" i="57"/>
  <c r="E2341" i="57" s="1"/>
  <c r="B2305" i="57"/>
  <c r="E2305" i="57" s="1"/>
  <c r="B1387" i="57"/>
  <c r="E1387" i="57" s="1"/>
  <c r="B1321" i="57"/>
  <c r="E1321" i="57" s="1"/>
  <c r="B1255" i="57"/>
  <c r="E1255" i="57" s="1"/>
  <c r="B1189" i="57"/>
  <c r="E1189" i="57" s="1"/>
  <c r="B1117" i="57"/>
  <c r="E1117" i="57" s="1"/>
  <c r="B1045" i="57"/>
  <c r="E1045" i="57" s="1"/>
  <c r="B979" i="57"/>
  <c r="E979" i="57" s="1"/>
  <c r="B919" i="57"/>
  <c r="E919" i="57" s="1"/>
  <c r="B853" i="57"/>
  <c r="E853" i="57" s="1"/>
  <c r="B811" i="57"/>
  <c r="E811" i="57" s="1"/>
  <c r="B769" i="57"/>
  <c r="E769" i="57" s="1"/>
  <c r="B733" i="57"/>
  <c r="E733" i="57" s="1"/>
  <c r="B697" i="57"/>
  <c r="E697" i="57" s="1"/>
  <c r="B661" i="57"/>
  <c r="E661" i="57" s="1"/>
  <c r="B2479" i="57"/>
  <c r="E2479" i="57" s="1"/>
  <c r="B2443" i="57"/>
  <c r="E2443" i="57" s="1"/>
  <c r="B2407" i="57"/>
  <c r="E2407" i="57" s="1"/>
  <c r="B2371" i="57"/>
  <c r="E2371" i="57" s="1"/>
  <c r="B2335" i="57"/>
  <c r="E2335" i="57" s="1"/>
  <c r="B2299" i="57"/>
  <c r="E2299" i="57" s="1"/>
  <c r="B2263" i="57"/>
  <c r="E2263" i="57" s="1"/>
  <c r="B2227" i="57"/>
  <c r="E2227" i="57" s="1"/>
  <c r="B628" i="57"/>
  <c r="E628" i="57" s="1"/>
  <c r="B160" i="57"/>
  <c r="E160" i="57" s="1"/>
  <c r="B34" i="57"/>
  <c r="E34" i="57" s="1"/>
  <c r="B760" i="57"/>
  <c r="E760" i="57" s="1"/>
  <c r="B472" i="57"/>
  <c r="E472" i="57" s="1"/>
  <c r="B106" i="57"/>
  <c r="E106" i="57" s="1"/>
  <c r="B40" i="57"/>
  <c r="E40" i="57" s="1"/>
  <c r="B1375" i="57"/>
  <c r="E1375" i="57" s="1"/>
  <c r="B1309" i="57"/>
  <c r="E1309" i="57" s="1"/>
  <c r="B1243" i="57"/>
  <c r="E1243" i="57" s="1"/>
  <c r="B1177" i="57"/>
  <c r="E1177" i="57" s="1"/>
  <c r="B1105" i="57"/>
  <c r="E1105" i="57" s="1"/>
  <c r="B1033" i="57"/>
  <c r="E1033" i="57" s="1"/>
  <c r="B973" i="57"/>
  <c r="E973" i="57" s="1"/>
  <c r="B907" i="57"/>
  <c r="E907" i="57" s="1"/>
  <c r="B847" i="57"/>
  <c r="E847" i="57" s="1"/>
  <c r="B799" i="57"/>
  <c r="E799" i="57" s="1"/>
  <c r="B763" i="57"/>
  <c r="E763" i="57" s="1"/>
  <c r="B727" i="57"/>
  <c r="E727" i="57" s="1"/>
  <c r="B691" i="57"/>
  <c r="E691" i="57" s="1"/>
  <c r="B655" i="57"/>
  <c r="E655" i="57" s="1"/>
  <c r="B2473" i="57"/>
  <c r="E2473" i="57" s="1"/>
  <c r="B2437" i="57"/>
  <c r="E2437" i="57" s="1"/>
  <c r="B2401" i="57"/>
  <c r="E2401" i="57" s="1"/>
  <c r="B2365" i="57"/>
  <c r="E2365" i="57" s="1"/>
  <c r="B2329" i="57"/>
  <c r="E2329" i="57" s="1"/>
  <c r="B2293" i="57"/>
  <c r="E2293" i="57" s="1"/>
  <c r="B2257" i="57"/>
  <c r="E2257" i="57" s="1"/>
  <c r="B1372" i="57"/>
  <c r="E1372" i="57" s="1"/>
  <c r="B556" i="57"/>
  <c r="E556" i="57" s="1"/>
  <c r="B100" i="57"/>
  <c r="E100" i="57" s="1"/>
  <c r="B1258" i="57"/>
  <c r="E1258" i="57" s="1"/>
  <c r="B724" i="57"/>
  <c r="E724" i="57" s="1"/>
  <c r="B370" i="57"/>
  <c r="E370" i="57" s="1"/>
  <c r="B94" i="57"/>
  <c r="E94" i="57" s="1"/>
  <c r="B1348" i="57"/>
  <c r="E1348" i="57" s="1"/>
  <c r="B1417" i="57"/>
  <c r="E1417" i="57" s="1"/>
  <c r="B1339" i="57"/>
  <c r="E1339" i="57" s="1"/>
  <c r="B1261" i="57"/>
  <c r="E1261" i="57" s="1"/>
  <c r="B1183" i="57"/>
  <c r="E1183" i="57" s="1"/>
  <c r="B1111" i="57"/>
  <c r="E1111" i="57" s="1"/>
  <c r="B1039" i="57"/>
  <c r="E1039" i="57" s="1"/>
  <c r="B949" i="57"/>
  <c r="E949" i="57" s="1"/>
  <c r="B871" i="57"/>
  <c r="E871" i="57" s="1"/>
  <c r="B1422" i="57"/>
  <c r="E1422" i="57" s="1"/>
  <c r="B1206" i="57"/>
  <c r="E1206" i="57" s="1"/>
  <c r="B990" i="57"/>
  <c r="E990" i="57" s="1"/>
  <c r="B798" i="57"/>
  <c r="E798" i="57" s="1"/>
  <c r="B714" i="57"/>
  <c r="E714" i="57" s="1"/>
  <c r="B462" i="57"/>
  <c r="E462" i="57" s="1"/>
  <c r="B348" i="57"/>
  <c r="E348" i="57" s="1"/>
  <c r="B2191" i="57"/>
  <c r="E2191" i="57" s="1"/>
  <c r="B2155" i="57"/>
  <c r="E2155" i="57" s="1"/>
  <c r="B2119" i="57"/>
  <c r="E2119" i="57" s="1"/>
  <c r="B2083" i="57"/>
  <c r="E2083" i="57" s="1"/>
  <c r="B2047" i="57"/>
  <c r="E2047" i="57" s="1"/>
  <c r="B2011" i="57"/>
  <c r="E2011" i="57" s="1"/>
  <c r="B1975" i="57"/>
  <c r="E1975" i="57" s="1"/>
  <c r="B1939" i="57"/>
  <c r="E1939" i="57" s="1"/>
  <c r="B1903" i="57"/>
  <c r="E1903" i="57" s="1"/>
  <c r="B1867" i="57"/>
  <c r="E1867" i="57" s="1"/>
  <c r="B1831" i="57"/>
  <c r="E1831" i="57" s="1"/>
  <c r="B1795" i="57"/>
  <c r="E1795" i="57" s="1"/>
  <c r="B1759" i="57"/>
  <c r="E1759" i="57" s="1"/>
  <c r="B1723" i="57"/>
  <c r="E1723" i="57" s="1"/>
  <c r="B2460" i="57"/>
  <c r="E2460" i="57" s="1"/>
  <c r="B2424" i="57"/>
  <c r="E2424" i="57" s="1"/>
  <c r="B2388" i="57"/>
  <c r="E2388" i="57" s="1"/>
  <c r="B2352" i="57"/>
  <c r="E2352" i="57" s="1"/>
  <c r="B2316" i="57"/>
  <c r="E2316" i="57" s="1"/>
  <c r="B2280" i="57"/>
  <c r="E2280" i="57" s="1"/>
  <c r="B2244" i="57"/>
  <c r="E2244" i="57" s="1"/>
  <c r="B2208" i="57"/>
  <c r="E2208" i="57" s="1"/>
  <c r="B2172" i="57"/>
  <c r="E2172" i="57" s="1"/>
  <c r="B2136" i="57"/>
  <c r="E2136" i="57" s="1"/>
  <c r="B2100" i="57"/>
  <c r="E2100" i="57" s="1"/>
  <c r="B2064" i="57"/>
  <c r="E2064" i="57" s="1"/>
  <c r="B2028" i="57"/>
  <c r="E2028" i="57" s="1"/>
  <c r="B1992" i="57"/>
  <c r="E1992" i="57" s="1"/>
  <c r="B1956" i="57"/>
  <c r="E1956" i="57" s="1"/>
  <c r="B891" i="57"/>
  <c r="E891" i="57" s="1"/>
  <c r="B1424" i="57"/>
  <c r="E1424" i="57" s="1"/>
  <c r="B1316" i="57"/>
  <c r="E1316" i="57" s="1"/>
  <c r="B1208" i="57"/>
  <c r="E1208" i="57" s="1"/>
  <c r="B1100" i="57"/>
  <c r="E1100" i="57" s="1"/>
  <c r="B992" i="57"/>
  <c r="E992" i="57" s="1"/>
  <c r="B884" i="57"/>
  <c r="E884" i="57" s="1"/>
  <c r="B632" i="57"/>
  <c r="E632" i="57" s="1"/>
  <c r="B619" i="57"/>
  <c r="E619" i="57" s="1"/>
  <c r="B583" i="57"/>
  <c r="E583" i="57" s="1"/>
  <c r="B547" i="57"/>
  <c r="E547" i="57" s="1"/>
  <c r="B511" i="57"/>
  <c r="E511" i="57" s="1"/>
  <c r="B475" i="57"/>
  <c r="E475" i="57" s="1"/>
  <c r="B439" i="57"/>
  <c r="E439" i="57" s="1"/>
  <c r="B403" i="57"/>
  <c r="E403" i="57" s="1"/>
  <c r="B367" i="57"/>
  <c r="E367" i="57" s="1"/>
  <c r="B331" i="57"/>
  <c r="E331" i="57" s="1"/>
  <c r="B295" i="57"/>
  <c r="E295" i="57" s="1"/>
  <c r="B259" i="57"/>
  <c r="E259" i="57" s="1"/>
  <c r="B228" i="57"/>
  <c r="E228" i="57" s="1"/>
  <c r="B66" i="57"/>
  <c r="E66" i="57" s="1"/>
  <c r="B1699" i="57"/>
  <c r="E1699" i="57" s="1"/>
  <c r="B1663" i="57"/>
  <c r="E1663" i="57" s="1"/>
  <c r="B1627" i="57"/>
  <c r="E1627" i="57" s="1"/>
  <c r="B1591" i="57"/>
  <c r="E1591" i="57" s="1"/>
  <c r="B1555" i="57"/>
  <c r="E1555" i="57" s="1"/>
  <c r="B1519" i="57"/>
  <c r="E1519" i="57" s="1"/>
  <c r="B1483" i="57"/>
  <c r="E1483" i="57" s="1"/>
  <c r="B1938" i="57"/>
  <c r="E1938" i="57" s="1"/>
  <c r="B1902" i="57"/>
  <c r="E1902" i="57" s="1"/>
  <c r="B1866" i="57"/>
  <c r="E1866" i="57" s="1"/>
  <c r="B1830" i="57"/>
  <c r="E1830" i="57" s="1"/>
  <c r="B1794" i="57"/>
  <c r="E1794" i="57" s="1"/>
  <c r="B1758" i="57"/>
  <c r="E1758" i="57" s="1"/>
  <c r="B1722" i="57"/>
  <c r="E1722" i="57" s="1"/>
  <c r="B1686" i="57"/>
  <c r="E1686" i="57" s="1"/>
  <c r="B1650" i="57"/>
  <c r="E1650" i="57" s="1"/>
  <c r="B1614" i="57"/>
  <c r="E1614" i="57" s="1"/>
  <c r="B1578" i="57"/>
  <c r="E1578" i="57" s="1"/>
  <c r="B1542" i="57"/>
  <c r="E1542" i="57" s="1"/>
  <c r="B1506" i="57"/>
  <c r="E1506" i="57" s="1"/>
  <c r="B1470" i="57"/>
  <c r="E1470" i="57" s="1"/>
  <c r="B243" i="57"/>
  <c r="E243" i="57" s="1"/>
  <c r="B2477" i="57"/>
  <c r="E2477" i="57" s="1"/>
  <c r="B2441" i="57"/>
  <c r="E2441" i="57" s="1"/>
  <c r="B266" i="57"/>
  <c r="E266" i="57" s="1"/>
  <c r="B128" i="57"/>
  <c r="E128" i="57" s="1"/>
  <c r="B2476" i="57"/>
  <c r="E2476" i="57" s="1"/>
  <c r="B2440" i="57"/>
  <c r="E2440" i="57" s="1"/>
  <c r="B211" i="57"/>
  <c r="E211" i="57" s="1"/>
  <c r="B175" i="57"/>
  <c r="E175" i="57" s="1"/>
  <c r="B139" i="57"/>
  <c r="E139" i="57" s="1"/>
  <c r="B103" i="57"/>
  <c r="E103" i="57" s="1"/>
  <c r="B67" i="57"/>
  <c r="E67" i="57" s="1"/>
  <c r="B2481" i="57"/>
  <c r="E2481" i="57" s="1"/>
  <c r="B2444" i="57"/>
  <c r="E2444" i="57" s="1"/>
  <c r="B2408" i="57"/>
  <c r="E2408" i="57" s="1"/>
  <c r="B2372" i="57"/>
  <c r="E2372" i="57" s="1"/>
  <c r="B2336" i="57"/>
  <c r="E2336" i="57" s="1"/>
  <c r="B2300" i="57"/>
  <c r="E2300" i="57" s="1"/>
  <c r="B2264" i="57"/>
  <c r="E2264" i="57" s="1"/>
  <c r="B2228" i="57"/>
  <c r="E2228" i="57" s="1"/>
  <c r="B2192" i="57"/>
  <c r="E2192" i="57" s="1"/>
  <c r="B2156" i="57"/>
  <c r="E2156" i="57" s="1"/>
  <c r="B2120" i="57"/>
  <c r="E2120" i="57" s="1"/>
  <c r="B2084" i="57"/>
  <c r="E2084" i="57" s="1"/>
  <c r="B2048" i="57"/>
  <c r="E2048" i="57" s="1"/>
  <c r="B2012" i="57"/>
  <c r="E2012" i="57" s="1"/>
  <c r="B1976" i="57"/>
  <c r="E1976" i="57" s="1"/>
  <c r="B2399" i="57"/>
  <c r="E2399" i="57" s="1"/>
  <c r="B2363" i="57"/>
  <c r="E2363" i="57" s="1"/>
  <c r="B2327" i="57"/>
  <c r="E2327" i="57" s="1"/>
  <c r="B2291" i="57"/>
  <c r="E2291" i="57" s="1"/>
  <c r="B2255" i="57"/>
  <c r="E2255" i="57" s="1"/>
  <c r="B2219" i="57"/>
  <c r="E2219" i="57" s="1"/>
  <c r="B2183" i="57"/>
  <c r="E2183" i="57" s="1"/>
  <c r="B2147" i="57"/>
  <c r="E2147" i="57" s="1"/>
  <c r="B2111" i="57"/>
  <c r="E2111" i="57" s="1"/>
  <c r="B2075" i="57"/>
  <c r="E2075" i="57" s="1"/>
  <c r="B2039" i="57"/>
  <c r="E2039" i="57" s="1"/>
  <c r="B2003" i="57"/>
  <c r="E2003" i="57" s="1"/>
  <c r="B1967" i="57"/>
  <c r="E1967" i="57" s="1"/>
  <c r="B2404" i="57"/>
  <c r="E2404" i="57" s="1"/>
  <c r="B2368" i="57"/>
  <c r="E2368" i="57" s="1"/>
  <c r="B2332" i="57"/>
  <c r="E2332" i="57" s="1"/>
  <c r="B2296" i="57"/>
  <c r="E2296" i="57" s="1"/>
  <c r="B2260" i="57"/>
  <c r="E2260" i="57" s="1"/>
  <c r="B2224" i="57"/>
  <c r="E2224" i="57" s="1"/>
  <c r="B2188" i="57"/>
  <c r="E2188" i="57" s="1"/>
  <c r="B2152" i="57"/>
  <c r="E2152" i="57" s="1"/>
  <c r="B2116" i="57"/>
  <c r="E2116" i="57" s="1"/>
  <c r="B2080" i="57"/>
  <c r="E2080" i="57" s="1"/>
  <c r="B2044" i="57"/>
  <c r="E2044" i="57" s="1"/>
  <c r="B2008" i="57"/>
  <c r="E2008" i="57" s="1"/>
  <c r="B1972" i="57"/>
  <c r="E1972" i="57" s="1"/>
  <c r="B2445" i="57"/>
  <c r="E2445" i="57" s="1"/>
  <c r="B2409" i="57"/>
  <c r="E2409" i="57" s="1"/>
  <c r="B2269" i="57"/>
  <c r="E2269" i="57" s="1"/>
  <c r="B496" i="57"/>
  <c r="E496" i="57" s="1"/>
  <c r="B1381" i="57"/>
  <c r="E1381" i="57" s="1"/>
  <c r="B1273" i="57"/>
  <c r="E1273" i="57" s="1"/>
  <c r="B1147" i="57"/>
  <c r="E1147" i="57" s="1"/>
  <c r="B1051" i="57"/>
  <c r="E1051" i="57" s="1"/>
  <c r="B913" i="57"/>
  <c r="E913" i="57" s="1"/>
  <c r="B1440" i="57"/>
  <c r="E1440" i="57" s="1"/>
  <c r="B1098" i="57"/>
  <c r="E1098" i="57" s="1"/>
  <c r="B810" i="57"/>
  <c r="E810" i="57" s="1"/>
  <c r="B558" i="57"/>
  <c r="E558" i="57" s="1"/>
  <c r="B390" i="57"/>
  <c r="E390" i="57" s="1"/>
  <c r="B2173" i="57"/>
  <c r="E2173" i="57" s="1"/>
  <c r="B2125" i="57"/>
  <c r="E2125" i="57" s="1"/>
  <c r="B2077" i="57"/>
  <c r="E2077" i="57" s="1"/>
  <c r="B2035" i="57"/>
  <c r="E2035" i="57" s="1"/>
  <c r="B1993" i="57"/>
  <c r="E1993" i="57" s="1"/>
  <c r="B1951" i="57"/>
  <c r="E1951" i="57" s="1"/>
  <c r="B1909" i="57"/>
  <c r="E1909" i="57" s="1"/>
  <c r="B1861" i="57"/>
  <c r="E1861" i="57" s="1"/>
  <c r="B1819" i="57"/>
  <c r="E1819" i="57" s="1"/>
  <c r="B1777" i="57"/>
  <c r="E1777" i="57" s="1"/>
  <c r="B1735" i="57"/>
  <c r="E1735" i="57" s="1"/>
  <c r="B2466" i="57"/>
  <c r="E2466" i="57" s="1"/>
  <c r="B2418" i="57"/>
  <c r="E2418" i="57" s="1"/>
  <c r="B2376" i="57"/>
  <c r="E2376" i="57" s="1"/>
  <c r="B2334" i="57"/>
  <c r="E2334" i="57" s="1"/>
  <c r="B2292" i="57"/>
  <c r="E2292" i="57" s="1"/>
  <c r="B2250" i="57"/>
  <c r="E2250" i="57" s="1"/>
  <c r="B2202" i="57"/>
  <c r="E2202" i="57" s="1"/>
  <c r="B2160" i="57"/>
  <c r="E2160" i="57" s="1"/>
  <c r="B2118" i="57"/>
  <c r="E2118" i="57" s="1"/>
  <c r="B2076" i="57"/>
  <c r="E2076" i="57" s="1"/>
  <c r="B2034" i="57"/>
  <c r="E2034" i="57" s="1"/>
  <c r="B1986" i="57"/>
  <c r="E1986" i="57" s="1"/>
  <c r="B1353" i="57"/>
  <c r="E1353" i="57" s="1"/>
  <c r="B711" i="57"/>
  <c r="E711" i="57" s="1"/>
  <c r="B1352" i="57"/>
  <c r="E1352" i="57" s="1"/>
  <c r="B1226" i="57"/>
  <c r="E1226" i="57" s="1"/>
  <c r="B1082" i="57"/>
  <c r="E1082" i="57" s="1"/>
  <c r="B956" i="57"/>
  <c r="E956" i="57" s="1"/>
  <c r="B770" i="57"/>
  <c r="E770" i="57" s="1"/>
  <c r="B416" i="57"/>
  <c r="E416" i="57" s="1"/>
  <c r="B589" i="57"/>
  <c r="E589" i="57" s="1"/>
  <c r="B541" i="57"/>
  <c r="E541" i="57" s="1"/>
  <c r="B499" i="57"/>
  <c r="E499" i="57" s="1"/>
  <c r="B457" i="57"/>
  <c r="E457" i="57" s="1"/>
  <c r="B415" i="57"/>
  <c r="E415" i="57" s="1"/>
  <c r="B373" i="57"/>
  <c r="E373" i="57" s="1"/>
  <c r="B325" i="57"/>
  <c r="E325" i="57" s="1"/>
  <c r="B283" i="57"/>
  <c r="E283" i="57" s="1"/>
  <c r="B241" i="57"/>
  <c r="E241" i="57" s="1"/>
  <c r="B174" i="57"/>
  <c r="E174" i="57" s="1"/>
  <c r="B1705" i="57"/>
  <c r="E1705" i="57" s="1"/>
  <c r="B1657" i="57"/>
  <c r="E1657" i="57" s="1"/>
  <c r="B1615" i="57"/>
  <c r="E1615" i="57" s="1"/>
  <c r="B1573" i="57"/>
  <c r="E1573" i="57" s="1"/>
  <c r="B1531" i="57"/>
  <c r="E1531" i="57" s="1"/>
  <c r="B1489" i="57"/>
  <c r="E1489" i="57" s="1"/>
  <c r="B1932" i="57"/>
  <c r="E1932" i="57" s="1"/>
  <c r="B1890" i="57"/>
  <c r="E1890" i="57" s="1"/>
  <c r="B1848" i="57"/>
  <c r="E1848" i="57" s="1"/>
  <c r="B1806" i="57"/>
  <c r="E1806" i="57" s="1"/>
  <c r="B1764" i="57"/>
  <c r="E1764" i="57" s="1"/>
  <c r="B1716" i="57"/>
  <c r="E1716" i="57" s="1"/>
  <c r="B1674" i="57"/>
  <c r="E1674" i="57" s="1"/>
  <c r="B1632" i="57"/>
  <c r="E1632" i="57" s="1"/>
  <c r="B1590" i="57"/>
  <c r="E1590" i="57" s="1"/>
  <c r="B1548" i="57"/>
  <c r="E1548" i="57" s="1"/>
  <c r="B1500" i="57"/>
  <c r="E1500" i="57" s="1"/>
  <c r="B1458" i="57"/>
  <c r="E1458" i="57" s="1"/>
  <c r="B63" i="57"/>
  <c r="E63" i="57" s="1"/>
  <c r="B2453" i="57"/>
  <c r="E2453" i="57" s="1"/>
  <c r="B308" i="57"/>
  <c r="E308" i="57" s="1"/>
  <c r="B122" i="57"/>
  <c r="E122" i="57" s="1"/>
  <c r="B2464" i="57"/>
  <c r="E2464" i="57" s="1"/>
  <c r="B229" i="57"/>
  <c r="E229" i="57" s="1"/>
  <c r="B187" i="57"/>
  <c r="E187" i="57" s="1"/>
  <c r="B145" i="57"/>
  <c r="E145" i="57" s="1"/>
  <c r="B97" i="57"/>
  <c r="E97" i="57" s="1"/>
  <c r="B55" i="57"/>
  <c r="E55" i="57" s="1"/>
  <c r="B2462" i="57"/>
  <c r="E2462" i="57" s="1"/>
  <c r="B2420" i="57"/>
  <c r="E2420" i="57" s="1"/>
  <c r="B2378" i="57"/>
  <c r="E2378" i="57" s="1"/>
  <c r="B2330" i="57"/>
  <c r="E2330" i="57" s="1"/>
  <c r="B2233" i="57"/>
  <c r="E2233" i="57" s="1"/>
  <c r="B130" i="57"/>
  <c r="E130" i="57" s="1"/>
  <c r="B1363" i="57"/>
  <c r="E1363" i="57" s="1"/>
  <c r="B1237" i="57"/>
  <c r="E1237" i="57" s="1"/>
  <c r="B1135" i="57"/>
  <c r="E1135" i="57" s="1"/>
  <c r="B1015" i="57"/>
  <c r="E1015" i="57" s="1"/>
  <c r="B901" i="57"/>
  <c r="E901" i="57" s="1"/>
  <c r="B1332" i="57"/>
  <c r="E1332" i="57" s="1"/>
  <c r="B1086" i="57"/>
  <c r="E1086" i="57" s="1"/>
  <c r="B768" i="57"/>
  <c r="E768" i="57" s="1"/>
  <c r="B486" i="57"/>
  <c r="E486" i="57" s="1"/>
  <c r="B2215" i="57"/>
  <c r="E2215" i="57" s="1"/>
  <c r="B2167" i="57"/>
  <c r="E2167" i="57" s="1"/>
  <c r="B2113" i="57"/>
  <c r="E2113" i="57" s="1"/>
  <c r="B2071" i="57"/>
  <c r="E2071" i="57" s="1"/>
  <c r="B2029" i="57"/>
  <c r="E2029" i="57" s="1"/>
  <c r="B1987" i="57"/>
  <c r="E1987" i="57" s="1"/>
  <c r="B1945" i="57"/>
  <c r="E1945" i="57" s="1"/>
  <c r="B1897" i="57"/>
  <c r="E1897" i="57" s="1"/>
  <c r="B1855" i="57"/>
  <c r="E1855" i="57" s="1"/>
  <c r="B1813" i="57"/>
  <c r="E1813" i="57" s="1"/>
  <c r="B1771" i="57"/>
  <c r="E1771" i="57" s="1"/>
  <c r="B1729" i="57"/>
  <c r="E1729" i="57" s="1"/>
  <c r="B2454" i="57"/>
  <c r="E2454" i="57" s="1"/>
  <c r="B2412" i="57"/>
  <c r="E2412" i="57" s="1"/>
  <c r="B2370" i="57"/>
  <c r="E2370" i="57" s="1"/>
  <c r="B2328" i="57"/>
  <c r="E2328" i="57" s="1"/>
  <c r="B2286" i="57"/>
  <c r="E2286" i="57" s="1"/>
  <c r="B2238" i="57"/>
  <c r="E2238" i="57" s="1"/>
  <c r="B2196" i="57"/>
  <c r="E2196" i="57" s="1"/>
  <c r="B2154" i="57"/>
  <c r="E2154" i="57" s="1"/>
  <c r="B2112" i="57"/>
  <c r="E2112" i="57" s="1"/>
  <c r="B2070" i="57"/>
  <c r="E2070" i="57" s="1"/>
  <c r="B2022" i="57"/>
  <c r="E2022" i="57" s="1"/>
  <c r="B1980" i="57"/>
  <c r="E1980" i="57" s="1"/>
  <c r="B1317" i="57"/>
  <c r="E1317" i="57" s="1"/>
  <c r="B639" i="57"/>
  <c r="E639" i="57" s="1"/>
  <c r="B1334" i="57"/>
  <c r="E1334" i="57" s="1"/>
  <c r="B1190" i="57"/>
  <c r="E1190" i="57" s="1"/>
  <c r="B1064" i="57"/>
  <c r="E1064" i="57" s="1"/>
  <c r="B938" i="57"/>
  <c r="E938" i="57" s="1"/>
  <c r="B740" i="57"/>
  <c r="E740" i="57" s="1"/>
  <c r="B338" i="57"/>
  <c r="E338" i="57" s="1"/>
  <c r="B577" i="57"/>
  <c r="E577" i="57" s="1"/>
  <c r="B535" i="57"/>
  <c r="E535" i="57" s="1"/>
  <c r="B493" i="57"/>
  <c r="E493" i="57" s="1"/>
  <c r="B451" i="57"/>
  <c r="E451" i="57" s="1"/>
  <c r="B409" i="57"/>
  <c r="E409" i="57" s="1"/>
  <c r="B361" i="57"/>
  <c r="E361" i="57" s="1"/>
  <c r="B319" i="57"/>
  <c r="E319" i="57" s="1"/>
  <c r="B277" i="57"/>
  <c r="E277" i="57" s="1"/>
  <c r="B235" i="57"/>
  <c r="E235" i="57" s="1"/>
  <c r="B96" i="57"/>
  <c r="E96" i="57" s="1"/>
  <c r="B1693" i="57"/>
  <c r="E1693" i="57" s="1"/>
  <c r="B1651" i="57"/>
  <c r="E1651" i="57" s="1"/>
  <c r="B1609" i="57"/>
  <c r="E1609" i="57" s="1"/>
  <c r="B1567" i="57"/>
  <c r="E1567" i="57" s="1"/>
  <c r="B1525" i="57"/>
  <c r="E1525" i="57" s="1"/>
  <c r="B1477" i="57"/>
  <c r="E1477" i="57" s="1"/>
  <c r="B1926" i="57"/>
  <c r="E1926" i="57" s="1"/>
  <c r="B1884" i="57"/>
  <c r="E1884" i="57" s="1"/>
  <c r="B1842" i="57"/>
  <c r="E1842" i="57" s="1"/>
  <c r="B1800" i="57"/>
  <c r="E1800" i="57" s="1"/>
  <c r="B772" i="57"/>
  <c r="E772" i="57" s="1"/>
  <c r="B52" i="57"/>
  <c r="E52" i="57" s="1"/>
  <c r="B1351" i="57"/>
  <c r="E1351" i="57" s="1"/>
  <c r="B1219" i="57"/>
  <c r="E1219" i="57" s="1"/>
  <c r="B1123" i="57"/>
  <c r="E1123" i="57" s="1"/>
  <c r="B1003" i="57"/>
  <c r="E1003" i="57" s="1"/>
  <c r="B889" i="57"/>
  <c r="E889" i="57" s="1"/>
  <c r="B1314" i="57"/>
  <c r="E1314" i="57" s="1"/>
  <c r="B1008" i="57"/>
  <c r="E1008" i="57" s="1"/>
  <c r="B756" i="57"/>
  <c r="E756" i="57" s="1"/>
  <c r="B474" i="57"/>
  <c r="E474" i="57" s="1"/>
  <c r="B2209" i="57"/>
  <c r="E2209" i="57" s="1"/>
  <c r="B2161" i="57"/>
  <c r="E2161" i="57" s="1"/>
  <c r="B2107" i="57"/>
  <c r="E2107" i="57" s="1"/>
  <c r="B2065" i="57"/>
  <c r="E2065" i="57" s="1"/>
  <c r="B2023" i="57"/>
  <c r="E2023" i="57" s="1"/>
  <c r="B1981" i="57"/>
  <c r="E1981" i="57" s="1"/>
  <c r="B1933" i="57"/>
  <c r="E1933" i="57" s="1"/>
  <c r="B1891" i="57"/>
  <c r="E1891" i="57" s="1"/>
  <c r="B1849" i="57"/>
  <c r="E1849" i="57" s="1"/>
  <c r="B1807" i="57"/>
  <c r="E1807" i="57" s="1"/>
  <c r="B1765" i="57"/>
  <c r="E1765" i="57" s="1"/>
  <c r="B1717" i="57"/>
  <c r="E1717" i="57" s="1"/>
  <c r="B2448" i="57"/>
  <c r="E2448" i="57" s="1"/>
  <c r="B2406" i="57"/>
  <c r="E2406" i="57" s="1"/>
  <c r="B2364" i="57"/>
  <c r="E2364" i="57" s="1"/>
  <c r="B2322" i="57"/>
  <c r="E2322" i="57" s="1"/>
  <c r="B2274" i="57"/>
  <c r="E2274" i="57" s="1"/>
  <c r="B2232" i="57"/>
  <c r="E2232" i="57" s="1"/>
  <c r="B2190" i="57"/>
  <c r="E2190" i="57" s="1"/>
  <c r="B2148" i="57"/>
  <c r="E2148" i="57" s="1"/>
  <c r="B2106" i="57"/>
  <c r="E2106" i="57" s="1"/>
  <c r="B2058" i="57"/>
  <c r="E2058" i="57" s="1"/>
  <c r="B2016" i="57"/>
  <c r="E2016" i="57" s="1"/>
  <c r="B1974" i="57"/>
  <c r="E1974" i="57" s="1"/>
  <c r="B1245" i="57"/>
  <c r="E1245" i="57" s="1"/>
  <c r="B351" i="57"/>
  <c r="E351" i="57" s="1"/>
  <c r="B1298" i="57"/>
  <c r="E1298" i="57" s="1"/>
  <c r="B1172" i="57"/>
  <c r="E1172" i="57" s="1"/>
  <c r="B1046" i="57"/>
  <c r="E1046" i="57" s="1"/>
  <c r="B920" i="57"/>
  <c r="E920" i="57" s="1"/>
  <c r="B662" i="57"/>
  <c r="E662" i="57" s="1"/>
  <c r="B613" i="57"/>
  <c r="E613" i="57" s="1"/>
  <c r="B571" i="57"/>
  <c r="E571" i="57" s="1"/>
  <c r="B529" i="57"/>
  <c r="E529" i="57" s="1"/>
  <c r="B487" i="57"/>
  <c r="E487" i="57" s="1"/>
  <c r="B445" i="57"/>
  <c r="E445" i="57" s="1"/>
  <c r="B397" i="57"/>
  <c r="E397" i="57" s="1"/>
  <c r="B355" i="57"/>
  <c r="E355" i="57" s="1"/>
  <c r="B313" i="57"/>
  <c r="E313" i="57" s="1"/>
  <c r="B271" i="57"/>
  <c r="E271" i="57" s="1"/>
  <c r="B276" i="57"/>
  <c r="E276" i="57" s="1"/>
  <c r="B2480" i="57"/>
  <c r="E2480" i="57" s="1"/>
  <c r="B1687" i="57"/>
  <c r="E1687" i="57" s="1"/>
  <c r="B1645" i="57"/>
  <c r="E1645" i="57" s="1"/>
  <c r="B1603" i="57"/>
  <c r="E1603" i="57" s="1"/>
  <c r="B1561" i="57"/>
  <c r="E1561" i="57" s="1"/>
  <c r="B1513" i="57"/>
  <c r="E1513" i="57" s="1"/>
  <c r="B1471" i="57"/>
  <c r="E1471" i="57" s="1"/>
  <c r="B1920" i="57"/>
  <c r="E1920" i="57" s="1"/>
  <c r="B1878" i="57"/>
  <c r="E1878" i="57" s="1"/>
  <c r="B1836" i="57"/>
  <c r="E1836" i="57" s="1"/>
  <c r="B1788" i="57"/>
  <c r="E1788" i="57" s="1"/>
  <c r="B46" i="57"/>
  <c r="E46" i="57" s="1"/>
  <c r="B1429" i="57"/>
  <c r="E1429" i="57" s="1"/>
  <c r="B1303" i="57"/>
  <c r="E1303" i="57" s="1"/>
  <c r="B1195" i="57"/>
  <c r="E1195" i="57" s="1"/>
  <c r="B1075" i="57"/>
  <c r="E1075" i="57" s="1"/>
  <c r="B967" i="57"/>
  <c r="E967" i="57" s="1"/>
  <c r="B805" i="57"/>
  <c r="E805" i="57" s="1"/>
  <c r="B1224" i="57"/>
  <c r="E1224" i="57" s="1"/>
  <c r="B882" i="57"/>
  <c r="E882" i="57" s="1"/>
  <c r="B726" i="57"/>
  <c r="E726" i="57" s="1"/>
  <c r="B414" i="57"/>
  <c r="E414" i="57" s="1"/>
  <c r="B2197" i="57"/>
  <c r="E2197" i="57" s="1"/>
  <c r="B2137" i="57"/>
  <c r="E2137" i="57" s="1"/>
  <c r="B2095" i="57"/>
  <c r="E2095" i="57" s="1"/>
  <c r="B2053" i="57"/>
  <c r="E2053" i="57" s="1"/>
  <c r="B2005" i="57"/>
  <c r="E2005" i="57" s="1"/>
  <c r="B1963" i="57"/>
  <c r="E1963" i="57" s="1"/>
  <c r="B1921" i="57"/>
  <c r="E1921" i="57" s="1"/>
  <c r="B1879" i="57"/>
  <c r="E1879" i="57" s="1"/>
  <c r="B1837" i="57"/>
  <c r="E1837" i="57" s="1"/>
  <c r="B1789" i="57"/>
  <c r="E1789" i="57" s="1"/>
  <c r="B1747" i="57"/>
  <c r="E1747" i="57" s="1"/>
  <c r="B2478" i="57"/>
  <c r="E2478" i="57" s="1"/>
  <c r="B2436" i="57"/>
  <c r="E2436" i="57" s="1"/>
  <c r="B2394" i="57"/>
  <c r="E2394" i="57" s="1"/>
  <c r="B2346" i="57"/>
  <c r="E2346" i="57" s="1"/>
  <c r="B2304" i="57"/>
  <c r="E2304" i="57" s="1"/>
  <c r="B2262" i="57"/>
  <c r="E2262" i="57" s="1"/>
  <c r="B2220" i="57"/>
  <c r="E2220" i="57" s="1"/>
  <c r="B2178" i="57"/>
  <c r="E2178" i="57" s="1"/>
  <c r="B2130" i="57"/>
  <c r="E2130" i="57" s="1"/>
  <c r="B2088" i="57"/>
  <c r="E2088" i="57" s="1"/>
  <c r="B2046" i="57"/>
  <c r="E2046" i="57" s="1"/>
  <c r="B2004" i="57"/>
  <c r="E2004" i="57" s="1"/>
  <c r="B1962" i="57"/>
  <c r="E1962" i="57" s="1"/>
  <c r="B813" i="57"/>
  <c r="E813" i="57" s="1"/>
  <c r="B1388" i="57"/>
  <c r="E1388" i="57" s="1"/>
  <c r="B1262" i="57"/>
  <c r="E1262" i="57" s="1"/>
  <c r="B1136" i="57"/>
  <c r="E1136" i="57" s="1"/>
  <c r="B1010" i="57"/>
  <c r="E1010" i="57" s="1"/>
  <c r="B866" i="57"/>
  <c r="E866" i="57" s="1"/>
  <c r="B524" i="57"/>
  <c r="E524" i="57" s="1"/>
  <c r="B601" i="57"/>
  <c r="E601" i="57" s="1"/>
  <c r="B559" i="57"/>
  <c r="E559" i="57" s="1"/>
  <c r="B517" i="57"/>
  <c r="E517" i="57" s="1"/>
  <c r="B469" i="57"/>
  <c r="E469" i="57" s="1"/>
  <c r="B427" i="57"/>
  <c r="E427" i="57" s="1"/>
  <c r="B385" i="57"/>
  <c r="E385" i="57" s="1"/>
  <c r="B343" i="57"/>
  <c r="E343" i="57" s="1"/>
  <c r="B301" i="57"/>
  <c r="E301" i="57" s="1"/>
  <c r="B253" i="57"/>
  <c r="E253" i="57" s="1"/>
  <c r="B198" i="57"/>
  <c r="E198" i="57" s="1"/>
  <c r="B2468" i="57"/>
  <c r="E2468" i="57" s="1"/>
  <c r="B1675" i="57"/>
  <c r="E1675" i="57" s="1"/>
  <c r="B1633" i="57"/>
  <c r="E1633" i="57" s="1"/>
  <c r="B1585" i="57"/>
  <c r="E1585" i="57" s="1"/>
  <c r="B1543" i="57"/>
  <c r="E1543" i="57" s="1"/>
  <c r="B1501" i="57"/>
  <c r="E1501" i="57" s="1"/>
  <c r="B1459" i="57"/>
  <c r="E1459" i="57" s="1"/>
  <c r="B1908" i="57"/>
  <c r="E1908" i="57" s="1"/>
  <c r="B1860" i="57"/>
  <c r="E1860" i="57" s="1"/>
  <c r="B1818" i="57"/>
  <c r="E1818" i="57" s="1"/>
  <c r="B880" i="57"/>
  <c r="E880" i="57" s="1"/>
  <c r="B1393" i="57"/>
  <c r="E1393" i="57" s="1"/>
  <c r="B1291" i="57"/>
  <c r="E1291" i="57" s="1"/>
  <c r="B1159" i="57"/>
  <c r="E1159" i="57" s="1"/>
  <c r="B1063" i="57"/>
  <c r="E1063" i="57" s="1"/>
  <c r="B925" i="57"/>
  <c r="E925" i="57" s="1"/>
  <c r="B631" i="57"/>
  <c r="E631" i="57" s="1"/>
  <c r="B1116" i="57"/>
  <c r="E1116" i="57" s="1"/>
  <c r="B870" i="57"/>
  <c r="E870" i="57" s="1"/>
  <c r="B600" i="57"/>
  <c r="E600" i="57" s="1"/>
  <c r="B402" i="57"/>
  <c r="E402" i="57" s="1"/>
  <c r="B2179" i="57"/>
  <c r="E2179" i="57" s="1"/>
  <c r="B2131" i="57"/>
  <c r="E2131" i="57" s="1"/>
  <c r="B2089" i="57"/>
  <c r="E2089" i="57" s="1"/>
  <c r="B2041" i="57"/>
  <c r="E2041" i="57" s="1"/>
  <c r="B1999" i="57"/>
  <c r="E1999" i="57" s="1"/>
  <c r="B1957" i="57"/>
  <c r="E1957" i="57" s="1"/>
  <c r="B1915" i="57"/>
  <c r="E1915" i="57" s="1"/>
  <c r="B1873" i="57"/>
  <c r="E1873" i="57" s="1"/>
  <c r="B1825" i="57"/>
  <c r="E1825" i="57" s="1"/>
  <c r="B1783" i="57"/>
  <c r="E1783" i="57" s="1"/>
  <c r="B1741" i="57"/>
  <c r="E1741" i="57" s="1"/>
  <c r="B2472" i="57"/>
  <c r="E2472" i="57" s="1"/>
  <c r="B2430" i="57"/>
  <c r="E2430" i="57" s="1"/>
  <c r="B2382" i="57"/>
  <c r="E2382" i="57" s="1"/>
  <c r="B2340" i="57"/>
  <c r="E2340" i="57" s="1"/>
  <c r="B2298" i="57"/>
  <c r="E2298" i="57" s="1"/>
  <c r="B2256" i="57"/>
  <c r="E2256" i="57" s="1"/>
  <c r="B2214" i="57"/>
  <c r="E2214" i="57" s="1"/>
  <c r="B2166" i="57"/>
  <c r="E2166" i="57" s="1"/>
  <c r="B2124" i="57"/>
  <c r="E2124" i="57" s="1"/>
  <c r="B2082" i="57"/>
  <c r="E2082" i="57" s="1"/>
  <c r="B2040" i="57"/>
  <c r="E2040" i="57" s="1"/>
  <c r="B1998" i="57"/>
  <c r="E1998" i="57" s="1"/>
  <c r="B1950" i="57"/>
  <c r="E1950" i="57" s="1"/>
  <c r="B777" i="57"/>
  <c r="E777" i="57" s="1"/>
  <c r="B1370" i="57"/>
  <c r="E1370" i="57" s="1"/>
  <c r="B1244" i="57"/>
  <c r="E1244" i="57" s="1"/>
  <c r="B1118" i="57"/>
  <c r="E1118" i="57" s="1"/>
  <c r="B974" i="57"/>
  <c r="E974" i="57" s="1"/>
  <c r="B848" i="57"/>
  <c r="E848" i="57" s="1"/>
  <c r="B446" i="57"/>
  <c r="E446" i="57" s="1"/>
  <c r="B595" i="57"/>
  <c r="E595" i="57" s="1"/>
  <c r="B553" i="57"/>
  <c r="E553" i="57" s="1"/>
  <c r="B505" i="57"/>
  <c r="E505" i="57" s="1"/>
  <c r="B463" i="57"/>
  <c r="E463" i="57" s="1"/>
  <c r="B421" i="57"/>
  <c r="E421" i="57" s="1"/>
  <c r="B379" i="57"/>
  <c r="E379" i="57" s="1"/>
  <c r="B337" i="57"/>
  <c r="E337" i="57" s="1"/>
  <c r="B289" i="57"/>
  <c r="E289" i="57" s="1"/>
  <c r="B247" i="57"/>
  <c r="E247" i="57" s="1"/>
  <c r="B186" i="57"/>
  <c r="E186" i="57" s="1"/>
  <c r="B1711" i="57"/>
  <c r="E1711" i="57" s="1"/>
  <c r="B1669" i="57"/>
  <c r="E1669" i="57" s="1"/>
  <c r="B1621" i="57"/>
  <c r="E1621" i="57" s="1"/>
  <c r="B1579" i="57"/>
  <c r="E1579" i="57" s="1"/>
  <c r="B1537" i="57"/>
  <c r="E1537" i="57" s="1"/>
  <c r="B1495" i="57"/>
  <c r="E1495" i="57" s="1"/>
  <c r="B1944" i="57"/>
  <c r="E1944" i="57" s="1"/>
  <c r="B1896" i="57"/>
  <c r="E1896" i="57" s="1"/>
  <c r="B1854" i="57"/>
  <c r="E1854" i="57" s="1"/>
  <c r="B1812" i="57"/>
  <c r="E1812" i="57" s="1"/>
  <c r="B1770" i="57"/>
  <c r="E1770" i="57" s="1"/>
  <c r="B1728" i="57"/>
  <c r="E1728" i="57" s="1"/>
  <c r="B1680" i="57"/>
  <c r="E1680" i="57" s="1"/>
  <c r="B1638" i="57"/>
  <c r="E1638" i="57" s="1"/>
  <c r="B1596" i="57"/>
  <c r="E1596" i="57" s="1"/>
  <c r="B1554" i="57"/>
  <c r="E1554" i="57" s="1"/>
  <c r="B1512" i="57"/>
  <c r="E1512" i="57" s="1"/>
  <c r="B1464" i="57"/>
  <c r="E1464" i="57" s="1"/>
  <c r="B69" i="57"/>
  <c r="E69" i="57" s="1"/>
  <c r="B2459" i="57"/>
  <c r="E2459" i="57" s="1"/>
  <c r="B2417" i="57"/>
  <c r="E2417" i="57" s="1"/>
  <c r="B158" i="57"/>
  <c r="E158" i="57" s="1"/>
  <c r="B2470" i="57"/>
  <c r="E2470" i="57" s="1"/>
  <c r="B2428" i="57"/>
  <c r="E2428" i="57" s="1"/>
  <c r="B193" i="57"/>
  <c r="E193" i="57" s="1"/>
  <c r="B151" i="57"/>
  <c r="E151" i="57" s="1"/>
  <c r="B109" i="57"/>
  <c r="E109" i="57" s="1"/>
  <c r="B61" i="57"/>
  <c r="E61" i="57" s="1"/>
  <c r="B2469" i="57"/>
  <c r="E2469" i="57" s="1"/>
  <c r="B2426" i="57"/>
  <c r="E2426" i="57" s="1"/>
  <c r="B2384" i="57"/>
  <c r="E2384" i="57" s="1"/>
  <c r="B2342" i="57"/>
  <c r="E2342" i="57" s="1"/>
  <c r="B2294" i="57"/>
  <c r="E2294" i="57" s="1"/>
  <c r="B2252" i="57"/>
  <c r="E2252" i="57" s="1"/>
  <c r="B2210" i="57"/>
  <c r="E2210" i="57" s="1"/>
  <c r="B2168" i="57"/>
  <c r="E2168" i="57" s="1"/>
  <c r="B2126" i="57"/>
  <c r="E2126" i="57" s="1"/>
  <c r="B2078" i="57"/>
  <c r="E2078" i="57" s="1"/>
  <c r="B2036" i="57"/>
  <c r="E2036" i="57" s="1"/>
  <c r="B1994" i="57"/>
  <c r="E1994" i="57" s="1"/>
  <c r="B2411" i="57"/>
  <c r="E2411" i="57" s="1"/>
  <c r="B2369" i="57"/>
  <c r="E2369" i="57" s="1"/>
  <c r="B2321" i="57"/>
  <c r="E2321" i="57" s="1"/>
  <c r="B2279" i="57"/>
  <c r="E2279" i="57" s="1"/>
  <c r="B2237" i="57"/>
  <c r="E2237" i="57" s="1"/>
  <c r="B2195" i="57"/>
  <c r="E2195" i="57" s="1"/>
  <c r="B2153" i="57"/>
  <c r="E2153" i="57" s="1"/>
  <c r="B2105" i="57"/>
  <c r="E2105" i="57" s="1"/>
  <c r="B2063" i="57"/>
  <c r="E2063" i="57" s="1"/>
  <c r="B2021" i="57"/>
  <c r="E2021" i="57" s="1"/>
  <c r="B1979" i="57"/>
  <c r="E1979" i="57" s="1"/>
  <c r="B2410" i="57"/>
  <c r="E2410" i="57" s="1"/>
  <c r="B2362" i="57"/>
  <c r="E2362" i="57" s="1"/>
  <c r="B2320" i="57"/>
  <c r="E2320" i="57" s="1"/>
  <c r="B2278" i="57"/>
  <c r="E2278" i="57" s="1"/>
  <c r="B2236" i="57"/>
  <c r="E2236" i="57" s="1"/>
  <c r="B2194" i="57"/>
  <c r="E2194" i="57" s="1"/>
  <c r="B2146" i="57"/>
  <c r="E2146" i="57" s="1"/>
  <c r="B2104" i="57"/>
  <c r="E2104" i="57" s="1"/>
  <c r="B2062" i="57"/>
  <c r="E2062" i="57" s="1"/>
  <c r="B2020" i="57"/>
  <c r="E2020" i="57" s="1"/>
  <c r="B1978" i="57"/>
  <c r="E1978" i="57" s="1"/>
  <c r="B2439" i="57"/>
  <c r="E2439" i="57" s="1"/>
  <c r="B2397" i="57"/>
  <c r="E2397" i="57" s="1"/>
  <c r="B2361" i="57"/>
  <c r="E2361" i="57" s="1"/>
  <c r="B2325" i="57"/>
  <c r="E2325" i="57" s="1"/>
  <c r="B2289" i="57"/>
  <c r="E2289" i="57" s="1"/>
  <c r="B2253" i="57"/>
  <c r="E2253" i="57" s="1"/>
  <c r="B2217" i="57"/>
  <c r="E2217" i="57" s="1"/>
  <c r="B2181" i="57"/>
  <c r="E2181" i="57" s="1"/>
  <c r="B2145" i="57"/>
  <c r="E2145" i="57" s="1"/>
  <c r="B2109" i="57"/>
  <c r="E2109" i="57" s="1"/>
  <c r="B2073" i="57"/>
  <c r="E2073" i="57" s="1"/>
  <c r="B2037" i="57"/>
  <c r="E2037" i="57" s="1"/>
  <c r="B2001" i="57"/>
  <c r="E2001" i="57" s="1"/>
  <c r="B1965" i="57"/>
  <c r="E1965" i="57" s="1"/>
  <c r="B1928" i="57"/>
  <c r="E1928" i="57" s="1"/>
  <c r="B1892" i="57"/>
  <c r="E1892" i="57" s="1"/>
  <c r="B1856" i="57"/>
  <c r="E1856" i="57" s="1"/>
  <c r="B1820" i="57"/>
  <c r="E1820" i="57" s="1"/>
  <c r="B1784" i="57"/>
  <c r="E1784" i="57" s="1"/>
  <c r="B1748" i="57"/>
  <c r="E1748" i="57" s="1"/>
  <c r="B1712" i="57"/>
  <c r="E1712" i="57" s="1"/>
  <c r="B1676" i="57"/>
  <c r="E1676" i="57" s="1"/>
  <c r="B1640" i="57"/>
  <c r="E1640" i="57" s="1"/>
  <c r="B1604" i="57"/>
  <c r="E1604" i="57" s="1"/>
  <c r="B1568" i="57"/>
  <c r="E1568" i="57" s="1"/>
  <c r="B1532" i="57"/>
  <c r="E1532" i="57" s="1"/>
  <c r="B1496" i="57"/>
  <c r="E1496" i="57" s="1"/>
  <c r="B1460" i="57"/>
  <c r="E1460" i="57" s="1"/>
  <c r="B1925" i="57"/>
  <c r="E1925" i="57" s="1"/>
  <c r="B1889" i="57"/>
  <c r="E1889" i="57" s="1"/>
  <c r="B1853" i="57"/>
  <c r="E1853" i="57" s="1"/>
  <c r="B1817" i="57"/>
  <c r="E1817" i="57" s="1"/>
  <c r="B1781" i="57"/>
  <c r="E1781" i="57" s="1"/>
  <c r="B1745" i="57"/>
  <c r="E1745" i="57" s="1"/>
  <c r="B1709" i="57"/>
  <c r="E1709" i="57" s="1"/>
  <c r="B1673" i="57"/>
  <c r="E1673" i="57" s="1"/>
  <c r="B1637" i="57"/>
  <c r="E1637" i="57" s="1"/>
  <c r="B1601" i="57"/>
  <c r="E1601" i="57" s="1"/>
  <c r="B1565" i="57"/>
  <c r="E1565" i="57" s="1"/>
  <c r="B1529" i="57"/>
  <c r="E1529" i="57" s="1"/>
  <c r="B1493" i="57"/>
  <c r="E1493" i="57" s="1"/>
  <c r="B1457" i="57"/>
  <c r="E1457" i="57" s="1"/>
  <c r="B1936" i="57"/>
  <c r="E1936" i="57" s="1"/>
  <c r="B1900" i="57"/>
  <c r="E1900" i="57" s="1"/>
  <c r="B1864" i="57"/>
  <c r="E1864" i="57" s="1"/>
  <c r="B1828" i="57"/>
  <c r="E1828" i="57" s="1"/>
  <c r="B1792" i="57"/>
  <c r="E1792" i="57" s="1"/>
  <c r="B1756" i="57"/>
  <c r="E1756" i="57" s="1"/>
  <c r="B1720" i="57"/>
  <c r="E1720" i="57" s="1"/>
  <c r="B1684" i="57"/>
  <c r="E1684" i="57" s="1"/>
  <c r="B1648" i="57"/>
  <c r="E1648" i="57" s="1"/>
  <c r="B1612" i="57"/>
  <c r="E1612" i="57" s="1"/>
  <c r="B1576" i="57"/>
  <c r="E1576" i="57" s="1"/>
  <c r="B1540" i="57"/>
  <c r="E1540" i="57" s="1"/>
  <c r="B1504" i="57"/>
  <c r="E1504" i="57" s="1"/>
  <c r="B1468" i="57"/>
  <c r="E1468" i="57" s="1"/>
  <c r="B1935" i="57"/>
  <c r="E1935" i="57" s="1"/>
  <c r="B1899" i="57"/>
  <c r="E1899" i="57" s="1"/>
  <c r="B1863" i="57"/>
  <c r="E1863" i="57" s="1"/>
  <c r="B1827" i="57"/>
  <c r="E1827" i="57" s="1"/>
  <c r="B1791" i="57"/>
  <c r="E1791" i="57" s="1"/>
  <c r="B1755" i="57"/>
  <c r="E1755" i="57" s="1"/>
  <c r="B1719" i="57"/>
  <c r="E1719" i="57" s="1"/>
  <c r="B1683" i="57"/>
  <c r="E1683" i="57" s="1"/>
  <c r="B1647" i="57"/>
  <c r="E1647" i="57" s="1"/>
  <c r="B1611" i="57"/>
  <c r="E1611" i="57" s="1"/>
  <c r="B1575" i="57"/>
  <c r="E1575" i="57" s="1"/>
  <c r="B1539" i="57"/>
  <c r="E1539" i="57" s="1"/>
  <c r="B1503" i="57"/>
  <c r="E1503" i="57" s="1"/>
  <c r="B1467" i="57"/>
  <c r="E1467" i="57" s="1"/>
  <c r="B232" i="57"/>
  <c r="E232" i="57" s="1"/>
  <c r="B841" i="57"/>
  <c r="E841" i="57" s="1"/>
  <c r="B2143" i="57"/>
  <c r="E2143" i="57" s="1"/>
  <c r="B1885" i="57"/>
  <c r="E1885" i="57" s="1"/>
  <c r="B2400" i="57"/>
  <c r="E2400" i="57" s="1"/>
  <c r="B2142" i="57"/>
  <c r="E2142" i="57" s="1"/>
  <c r="B1406" i="57"/>
  <c r="E1406" i="57" s="1"/>
  <c r="B607" i="57"/>
  <c r="E607" i="57" s="1"/>
  <c r="B349" i="57"/>
  <c r="E349" i="57" s="1"/>
  <c r="B1639" i="57"/>
  <c r="E1639" i="57" s="1"/>
  <c r="B1872" i="57"/>
  <c r="E1872" i="57" s="1"/>
  <c r="B1740" i="57"/>
  <c r="E1740" i="57" s="1"/>
  <c r="B1668" i="57"/>
  <c r="E1668" i="57" s="1"/>
  <c r="B1608" i="57"/>
  <c r="E1608" i="57" s="1"/>
  <c r="B1536" i="57"/>
  <c r="E1536" i="57" s="1"/>
  <c r="B1482" i="57"/>
  <c r="E1482" i="57" s="1"/>
  <c r="B45" i="57"/>
  <c r="E45" i="57" s="1"/>
  <c r="B2429" i="57"/>
  <c r="E2429" i="57" s="1"/>
  <c r="B92" i="57"/>
  <c r="E92" i="57" s="1"/>
  <c r="B2446" i="57"/>
  <c r="E2446" i="57" s="1"/>
  <c r="B181" i="57"/>
  <c r="E181" i="57" s="1"/>
  <c r="B121" i="57"/>
  <c r="E121" i="57" s="1"/>
  <c r="B43" i="57"/>
  <c r="E43" i="57" s="1"/>
  <c r="B2438" i="57"/>
  <c r="E2438" i="57" s="1"/>
  <c r="B2366" i="57"/>
  <c r="E2366" i="57" s="1"/>
  <c r="B2312" i="57"/>
  <c r="E2312" i="57" s="1"/>
  <c r="B2258" i="57"/>
  <c r="E2258" i="57" s="1"/>
  <c r="B2204" i="57"/>
  <c r="E2204" i="57" s="1"/>
  <c r="B2150" i="57"/>
  <c r="E2150" i="57" s="1"/>
  <c r="B2102" i="57"/>
  <c r="E2102" i="57" s="1"/>
  <c r="B2054" i="57"/>
  <c r="E2054" i="57" s="1"/>
  <c r="B2000" i="57"/>
  <c r="E2000" i="57" s="1"/>
  <c r="B2405" i="57"/>
  <c r="E2405" i="57" s="1"/>
  <c r="B2351" i="57"/>
  <c r="E2351" i="57" s="1"/>
  <c r="B2303" i="57"/>
  <c r="E2303" i="57" s="1"/>
  <c r="B2249" i="57"/>
  <c r="E2249" i="57" s="1"/>
  <c r="B2201" i="57"/>
  <c r="E2201" i="57" s="1"/>
  <c r="B2141" i="57"/>
  <c r="E2141" i="57" s="1"/>
  <c r="B2093" i="57"/>
  <c r="E2093" i="57" s="1"/>
  <c r="B2045" i="57"/>
  <c r="E2045" i="57" s="1"/>
  <c r="B1991" i="57"/>
  <c r="E1991" i="57" s="1"/>
  <c r="B2416" i="57"/>
  <c r="E2416" i="57" s="1"/>
  <c r="B2356" i="57"/>
  <c r="E2356" i="57" s="1"/>
  <c r="B2308" i="57"/>
  <c r="E2308" i="57" s="1"/>
  <c r="B2254" i="57"/>
  <c r="E2254" i="57" s="1"/>
  <c r="B2206" i="57"/>
  <c r="E2206" i="57" s="1"/>
  <c r="B2158" i="57"/>
  <c r="E2158" i="57" s="1"/>
  <c r="B2098" i="57"/>
  <c r="E2098" i="57" s="1"/>
  <c r="B2050" i="57"/>
  <c r="E2050" i="57" s="1"/>
  <c r="B1996" i="57"/>
  <c r="E1996" i="57" s="1"/>
  <c r="B2457" i="57"/>
  <c r="E2457" i="57" s="1"/>
  <c r="B2403" i="57"/>
  <c r="E2403" i="57" s="1"/>
  <c r="B2355" i="57"/>
  <c r="E2355" i="57" s="1"/>
  <c r="B2313" i="57"/>
  <c r="E2313" i="57" s="1"/>
  <c r="B2271" i="57"/>
  <c r="E2271" i="57" s="1"/>
  <c r="B2229" i="57"/>
  <c r="E2229" i="57" s="1"/>
  <c r="B2187" i="57"/>
  <c r="E2187" i="57" s="1"/>
  <c r="B2139" i="57"/>
  <c r="E2139" i="57" s="1"/>
  <c r="B2097" i="57"/>
  <c r="E2097" i="57" s="1"/>
  <c r="B2055" i="57"/>
  <c r="E2055" i="57" s="1"/>
  <c r="B2013" i="57"/>
  <c r="E2013" i="57" s="1"/>
  <c r="B1971" i="57"/>
  <c r="E1971" i="57" s="1"/>
  <c r="B1922" i="57"/>
  <c r="E1922" i="57" s="1"/>
  <c r="B1880" i="57"/>
  <c r="E1880" i="57" s="1"/>
  <c r="B1838" i="57"/>
  <c r="E1838" i="57" s="1"/>
  <c r="B1796" i="57"/>
  <c r="E1796" i="57" s="1"/>
  <c r="B1754" i="57"/>
  <c r="E1754" i="57" s="1"/>
  <c r="B1706" i="57"/>
  <c r="E1706" i="57" s="1"/>
  <c r="B1664" i="57"/>
  <c r="E1664" i="57" s="1"/>
  <c r="B1622" i="57"/>
  <c r="E1622" i="57" s="1"/>
  <c r="B1580" i="57"/>
  <c r="E1580" i="57" s="1"/>
  <c r="B1538" i="57"/>
  <c r="E1538" i="57" s="1"/>
  <c r="B1490" i="57"/>
  <c r="E1490" i="57" s="1"/>
  <c r="B1949" i="57"/>
  <c r="E1949" i="57" s="1"/>
  <c r="B1907" i="57"/>
  <c r="E1907" i="57" s="1"/>
  <c r="B1865" i="57"/>
  <c r="E1865" i="57" s="1"/>
  <c r="B1823" i="57"/>
  <c r="E1823" i="57" s="1"/>
  <c r="B1775" i="57"/>
  <c r="E1775" i="57" s="1"/>
  <c r="B1733" i="57"/>
  <c r="E1733" i="57" s="1"/>
  <c r="B1691" i="57"/>
  <c r="E1691" i="57" s="1"/>
  <c r="B1649" i="57"/>
  <c r="E1649" i="57" s="1"/>
  <c r="B1607" i="57"/>
  <c r="E1607" i="57" s="1"/>
  <c r="B1559" i="57"/>
  <c r="E1559" i="57" s="1"/>
  <c r="B1517" i="57"/>
  <c r="E1517" i="57" s="1"/>
  <c r="B1475" i="57"/>
  <c r="E1475" i="57" s="1"/>
  <c r="B1948" i="57"/>
  <c r="E1948" i="57" s="1"/>
  <c r="B1441" i="57"/>
  <c r="E1441" i="57" s="1"/>
  <c r="B1302" i="57"/>
  <c r="E1302" i="57" s="1"/>
  <c r="B2101" i="57"/>
  <c r="E2101" i="57" s="1"/>
  <c r="B1843" i="57"/>
  <c r="E1843" i="57" s="1"/>
  <c r="B2358" i="57"/>
  <c r="E2358" i="57" s="1"/>
  <c r="B2094" i="57"/>
  <c r="E2094" i="57" s="1"/>
  <c r="B1280" i="57"/>
  <c r="E1280" i="57" s="1"/>
  <c r="B565" i="57"/>
  <c r="E565" i="57" s="1"/>
  <c r="B307" i="57"/>
  <c r="E307" i="57" s="1"/>
  <c r="B1597" i="57"/>
  <c r="E1597" i="57" s="1"/>
  <c r="B1824" i="57"/>
  <c r="E1824" i="57" s="1"/>
  <c r="B1734" i="57"/>
  <c r="E1734" i="57" s="1"/>
  <c r="B1662" i="57"/>
  <c r="E1662" i="57" s="1"/>
  <c r="B1602" i="57"/>
  <c r="E1602" i="57" s="1"/>
  <c r="B1530" i="57"/>
  <c r="E1530" i="57" s="1"/>
  <c r="B1476" i="57"/>
  <c r="E1476" i="57" s="1"/>
  <c r="B14" i="57"/>
  <c r="E14" i="57" s="1"/>
  <c r="B2423" i="57"/>
  <c r="E2423" i="57" s="1"/>
  <c r="B62" i="57"/>
  <c r="E62" i="57" s="1"/>
  <c r="B2434" i="57"/>
  <c r="E2434" i="57" s="1"/>
  <c r="B169" i="57"/>
  <c r="E169" i="57" s="1"/>
  <c r="B115" i="57"/>
  <c r="E115" i="57" s="1"/>
  <c r="B31" i="57"/>
  <c r="E31" i="57" s="1"/>
  <c r="B2432" i="57"/>
  <c r="E2432" i="57" s="1"/>
  <c r="B2360" i="57"/>
  <c r="E2360" i="57" s="1"/>
  <c r="B2306" i="57"/>
  <c r="E2306" i="57" s="1"/>
  <c r="B2246" i="57"/>
  <c r="E2246" i="57" s="1"/>
  <c r="B2198" i="57"/>
  <c r="E2198" i="57" s="1"/>
  <c r="B2144" i="57"/>
  <c r="E2144" i="57" s="1"/>
  <c r="B2096" i="57"/>
  <c r="E2096" i="57" s="1"/>
  <c r="B2042" i="57"/>
  <c r="E2042" i="57" s="1"/>
  <c r="B1988" i="57"/>
  <c r="E1988" i="57" s="1"/>
  <c r="B2393" i="57"/>
  <c r="E2393" i="57" s="1"/>
  <c r="B2345" i="57"/>
  <c r="E2345" i="57" s="1"/>
  <c r="B2297" i="57"/>
  <c r="E2297" i="57" s="1"/>
  <c r="B2243" i="57"/>
  <c r="E2243" i="57" s="1"/>
  <c r="B2189" i="57"/>
  <c r="E2189" i="57" s="1"/>
  <c r="B2135" i="57"/>
  <c r="E2135" i="57" s="1"/>
  <c r="B2087" i="57"/>
  <c r="E2087" i="57" s="1"/>
  <c r="B2033" i="57"/>
  <c r="E2033" i="57" s="1"/>
  <c r="B1985" i="57"/>
  <c r="E1985" i="57" s="1"/>
  <c r="B2398" i="57"/>
  <c r="E2398" i="57" s="1"/>
  <c r="B2350" i="57"/>
  <c r="E2350" i="57" s="1"/>
  <c r="B2302" i="57"/>
  <c r="E2302" i="57" s="1"/>
  <c r="B2248" i="57"/>
  <c r="E2248" i="57" s="1"/>
  <c r="B2200" i="57"/>
  <c r="E2200" i="57" s="1"/>
  <c r="B2140" i="57"/>
  <c r="E2140" i="57" s="1"/>
  <c r="B2092" i="57"/>
  <c r="E2092" i="57" s="1"/>
  <c r="B2038" i="57"/>
  <c r="E2038" i="57" s="1"/>
  <c r="B1990" i="57"/>
  <c r="E1990" i="57" s="1"/>
  <c r="B2451" i="57"/>
  <c r="E2451" i="57" s="1"/>
  <c r="B2391" i="57"/>
  <c r="E2391" i="57" s="1"/>
  <c r="B2349" i="57"/>
  <c r="E2349" i="57" s="1"/>
  <c r="B2307" i="57"/>
  <c r="E2307" i="57" s="1"/>
  <c r="B2265" i="57"/>
  <c r="E2265" i="57" s="1"/>
  <c r="B2223" i="57"/>
  <c r="E2223" i="57" s="1"/>
  <c r="B2175" i="57"/>
  <c r="E2175" i="57" s="1"/>
  <c r="B2133" i="57"/>
  <c r="E2133" i="57" s="1"/>
  <c r="B2091" i="57"/>
  <c r="E2091" i="57" s="1"/>
  <c r="B2049" i="57"/>
  <c r="E2049" i="57" s="1"/>
  <c r="B2007" i="57"/>
  <c r="E2007" i="57" s="1"/>
  <c r="B1959" i="57"/>
  <c r="E1959" i="57" s="1"/>
  <c r="B1916" i="57"/>
  <c r="E1916" i="57" s="1"/>
  <c r="B1874" i="57"/>
  <c r="E1874" i="57" s="1"/>
  <c r="B1832" i="57"/>
  <c r="E1832" i="57" s="1"/>
  <c r="B1790" i="57"/>
  <c r="E1790" i="57" s="1"/>
  <c r="B1742" i="57"/>
  <c r="E1742" i="57" s="1"/>
  <c r="B1700" i="57"/>
  <c r="E1700" i="57" s="1"/>
  <c r="B1658" i="57"/>
  <c r="E1658" i="57" s="1"/>
  <c r="B1616" i="57"/>
  <c r="E1616" i="57" s="1"/>
  <c r="B1574" i="57"/>
  <c r="E1574" i="57" s="1"/>
  <c r="B1526" i="57"/>
  <c r="E1526" i="57" s="1"/>
  <c r="B1484" i="57"/>
  <c r="E1484" i="57" s="1"/>
  <c r="B1943" i="57"/>
  <c r="E1943" i="57" s="1"/>
  <c r="B1901" i="57"/>
  <c r="E1901" i="57" s="1"/>
  <c r="B1859" i="57"/>
  <c r="E1859" i="57" s="1"/>
  <c r="B1811" i="57"/>
  <c r="E1811" i="57" s="1"/>
  <c r="B1769" i="57"/>
  <c r="E1769" i="57" s="1"/>
  <c r="B1727" i="57"/>
  <c r="E1727" i="57" s="1"/>
  <c r="B1685" i="57"/>
  <c r="E1685" i="57" s="1"/>
  <c r="B1643" i="57"/>
  <c r="E1643" i="57" s="1"/>
  <c r="B1595" i="57"/>
  <c r="E1595" i="57" s="1"/>
  <c r="B1553" i="57"/>
  <c r="E1553" i="57" s="1"/>
  <c r="B1511" i="57"/>
  <c r="E1511" i="57" s="1"/>
  <c r="B1469" i="57"/>
  <c r="E1469" i="57" s="1"/>
  <c r="B1315" i="57"/>
  <c r="E1315" i="57" s="1"/>
  <c r="B900" i="57"/>
  <c r="E900" i="57" s="1"/>
  <c r="B2059" i="57"/>
  <c r="E2059" i="57" s="1"/>
  <c r="B1801" i="57"/>
  <c r="E1801" i="57" s="1"/>
  <c r="B2310" i="57"/>
  <c r="E2310" i="57" s="1"/>
  <c r="B2052" i="57"/>
  <c r="E2052" i="57" s="1"/>
  <c r="B1154" i="57"/>
  <c r="E1154" i="57" s="1"/>
  <c r="B523" i="57"/>
  <c r="E523" i="57" s="1"/>
  <c r="B265" i="57"/>
  <c r="E265" i="57" s="1"/>
  <c r="B1549" i="57"/>
  <c r="E1549" i="57" s="1"/>
  <c r="B1782" i="57"/>
  <c r="E1782" i="57" s="1"/>
  <c r="B1710" i="57"/>
  <c r="E1710" i="57" s="1"/>
  <c r="B1656" i="57"/>
  <c r="E1656" i="57" s="1"/>
  <c r="B1584" i="57"/>
  <c r="E1584" i="57" s="1"/>
  <c r="B1524" i="57"/>
  <c r="E1524" i="57" s="1"/>
  <c r="B2509" i="57"/>
  <c r="E2509" i="57" s="1"/>
  <c r="B2471" i="57"/>
  <c r="E2471" i="57" s="1"/>
  <c r="B236" i="57"/>
  <c r="E236" i="57" s="1"/>
  <c r="B13" i="57"/>
  <c r="E13" i="57" s="1"/>
  <c r="B223" i="57"/>
  <c r="E223" i="57" s="1"/>
  <c r="B163" i="57"/>
  <c r="E163" i="57" s="1"/>
  <c r="B91" i="57"/>
  <c r="E91" i="57" s="1"/>
  <c r="B12" i="57"/>
  <c r="E12" i="57" s="1"/>
  <c r="B2414" i="57"/>
  <c r="E2414" i="57" s="1"/>
  <c r="B2354" i="57"/>
  <c r="E2354" i="57" s="1"/>
  <c r="B2288" i="57"/>
  <c r="E2288" i="57" s="1"/>
  <c r="B2240" i="57"/>
  <c r="E2240" i="57" s="1"/>
  <c r="B2186" i="57"/>
  <c r="E2186" i="57" s="1"/>
  <c r="B2138" i="57"/>
  <c r="E2138" i="57" s="1"/>
  <c r="B2090" i="57"/>
  <c r="E2090" i="57" s="1"/>
  <c r="B2030" i="57"/>
  <c r="E2030" i="57" s="1"/>
  <c r="B1982" i="57"/>
  <c r="E1982" i="57" s="1"/>
  <c r="B2387" i="57"/>
  <c r="B2339" i="57"/>
  <c r="E2339" i="57" s="1"/>
  <c r="B2285" i="57"/>
  <c r="E2285" i="57" s="1"/>
  <c r="B2231" i="57"/>
  <c r="E2231" i="57" s="1"/>
  <c r="B2177" i="57"/>
  <c r="E2177" i="57" s="1"/>
  <c r="B2129" i="57"/>
  <c r="E2129" i="57" s="1"/>
  <c r="B2081" i="57"/>
  <c r="E2081" i="57" s="1"/>
  <c r="B2027" i="57"/>
  <c r="E2027" i="57" s="1"/>
  <c r="B1973" i="57"/>
  <c r="E1973" i="57" s="1"/>
  <c r="B2392" i="57"/>
  <c r="E2392" i="57" s="1"/>
  <c r="B2344" i="57"/>
  <c r="E2344" i="57" s="1"/>
  <c r="B2290" i="57"/>
  <c r="E2290" i="57" s="1"/>
  <c r="B2242" i="57"/>
  <c r="E2242" i="57" s="1"/>
  <c r="B2182" i="57"/>
  <c r="E2182" i="57" s="1"/>
  <c r="B2134" i="57"/>
  <c r="E2134" i="57" s="1"/>
  <c r="B2086" i="57"/>
  <c r="E2086" i="57" s="1"/>
  <c r="B2032" i="57"/>
  <c r="E2032" i="57" s="1"/>
  <c r="B1984" i="57"/>
  <c r="E1984" i="57" s="1"/>
  <c r="B2433" i="57"/>
  <c r="E2433" i="57" s="1"/>
  <c r="B2385" i="57"/>
  <c r="E2385" i="57" s="1"/>
  <c r="B2343" i="57"/>
  <c r="E2343" i="57" s="1"/>
  <c r="B2301" i="57"/>
  <c r="E2301" i="57" s="1"/>
  <c r="B2259" i="57"/>
  <c r="E2259" i="57" s="1"/>
  <c r="B2211" i="57"/>
  <c r="E2211" i="57" s="1"/>
  <c r="B2169" i="57"/>
  <c r="E2169" i="57" s="1"/>
  <c r="B2127" i="57"/>
  <c r="E2127" i="57" s="1"/>
  <c r="B2085" i="57"/>
  <c r="E2085" i="57" s="1"/>
  <c r="B1207" i="57"/>
  <c r="E1207" i="57" s="1"/>
  <c r="B738" i="57"/>
  <c r="E738" i="57" s="1"/>
  <c r="B2017" i="57"/>
  <c r="E2017" i="57" s="1"/>
  <c r="B1753" i="57"/>
  <c r="E1753" i="57" s="1"/>
  <c r="B2268" i="57"/>
  <c r="E2268" i="57" s="1"/>
  <c r="B2010" i="57"/>
  <c r="E2010" i="57" s="1"/>
  <c r="B1028" i="57"/>
  <c r="E1028" i="57" s="1"/>
  <c r="B481" i="57"/>
  <c r="E481" i="57" s="1"/>
  <c r="B216" i="57"/>
  <c r="E216" i="57" s="1"/>
  <c r="B1507" i="57"/>
  <c r="E1507" i="57" s="1"/>
  <c r="B1776" i="57"/>
  <c r="E1776" i="57" s="1"/>
  <c r="B1704" i="57"/>
  <c r="E1704" i="57" s="1"/>
  <c r="B1644" i="57"/>
  <c r="E1644" i="57" s="1"/>
  <c r="B1572" i="57"/>
  <c r="E1572" i="57" s="1"/>
  <c r="B1518" i="57"/>
  <c r="E1518" i="57" s="1"/>
  <c r="B2503" i="57"/>
  <c r="E2503" i="57" s="1"/>
  <c r="B2465" i="57"/>
  <c r="E2465" i="57" s="1"/>
  <c r="B230" i="57"/>
  <c r="E230" i="57" s="1"/>
  <c r="B1452" i="57"/>
  <c r="E1452" i="57" s="1"/>
  <c r="B217" i="57"/>
  <c r="E217" i="57" s="1"/>
  <c r="B157" i="57"/>
  <c r="E157" i="57" s="1"/>
  <c r="B85" i="57"/>
  <c r="E85" i="57" s="1"/>
  <c r="B2475" i="57"/>
  <c r="E2475" i="57" s="1"/>
  <c r="B2402" i="57"/>
  <c r="E2402" i="57" s="1"/>
  <c r="B2348" i="57"/>
  <c r="E2348" i="57" s="1"/>
  <c r="B2282" i="57"/>
  <c r="E2282" i="57" s="1"/>
  <c r="B2234" i="57"/>
  <c r="E2234" i="57" s="1"/>
  <c r="B2180" i="57"/>
  <c r="E2180" i="57" s="1"/>
  <c r="B2132" i="57"/>
  <c r="E2132" i="57" s="1"/>
  <c r="B2072" i="57"/>
  <c r="E2072" i="57" s="1"/>
  <c r="B2024" i="57"/>
  <c r="E2024" i="57" s="1"/>
  <c r="B1970" i="57"/>
  <c r="E1970" i="57" s="1"/>
  <c r="B2381" i="57"/>
  <c r="E2381" i="57" s="1"/>
  <c r="B2333" i="57"/>
  <c r="E2333" i="57" s="1"/>
  <c r="B2273" i="57"/>
  <c r="E2273" i="57" s="1"/>
  <c r="B2225" i="57"/>
  <c r="E2225" i="57" s="1"/>
  <c r="B2171" i="57"/>
  <c r="E2171" i="57" s="1"/>
  <c r="B2123" i="57"/>
  <c r="E2123" i="57" s="1"/>
  <c r="B2069" i="57"/>
  <c r="E2069" i="57" s="1"/>
  <c r="B2015" i="57"/>
  <c r="E2015" i="57" s="1"/>
  <c r="B1961" i="57"/>
  <c r="E1961" i="57" s="1"/>
  <c r="B2386" i="57"/>
  <c r="E2386" i="57" s="1"/>
  <c r="B2338" i="57"/>
  <c r="E2338" i="57" s="1"/>
  <c r="B2284" i="57"/>
  <c r="E2284" i="57" s="1"/>
  <c r="B2230" i="57"/>
  <c r="E2230" i="57" s="1"/>
  <c r="B2176" i="57"/>
  <c r="E2176" i="57" s="1"/>
  <c r="B2128" i="57"/>
  <c r="E2128" i="57" s="1"/>
  <c r="B2074" i="57"/>
  <c r="E2074" i="57" s="1"/>
  <c r="B2026" i="57"/>
  <c r="E2026" i="57" s="1"/>
  <c r="B1966" i="57"/>
  <c r="E1966" i="57" s="1"/>
  <c r="B2427" i="57"/>
  <c r="E2427" i="57" s="1"/>
  <c r="B2379" i="57"/>
  <c r="E2379" i="57" s="1"/>
  <c r="B2337" i="57"/>
  <c r="E2337" i="57" s="1"/>
  <c r="B2295" i="57"/>
  <c r="E2295" i="57" s="1"/>
  <c r="B2247" i="57"/>
  <c r="E2247" i="57" s="1"/>
  <c r="B2205" i="57"/>
  <c r="E2205" i="57" s="1"/>
  <c r="B2163" i="57"/>
  <c r="E2163" i="57" s="1"/>
  <c r="B2121" i="57"/>
  <c r="E2121" i="57" s="1"/>
  <c r="B2079" i="57"/>
  <c r="E2079" i="57" s="1"/>
  <c r="B1087" i="57"/>
  <c r="E1087" i="57" s="1"/>
  <c r="B432" i="57"/>
  <c r="E432" i="57" s="1"/>
  <c r="B1969" i="57"/>
  <c r="E1969" i="57" s="1"/>
  <c r="B16" i="57"/>
  <c r="B2226" i="57"/>
  <c r="E2226" i="57" s="1"/>
  <c r="B1968" i="57"/>
  <c r="E1968" i="57" s="1"/>
  <c r="B902" i="57"/>
  <c r="E902" i="57" s="1"/>
  <c r="B433" i="57"/>
  <c r="E433" i="57" s="1"/>
  <c r="B2474" i="57"/>
  <c r="E2474" i="57" s="1"/>
  <c r="B1465" i="57"/>
  <c r="E1465" i="57" s="1"/>
  <c r="B1752" i="57"/>
  <c r="E1752" i="57" s="1"/>
  <c r="B1698" i="57"/>
  <c r="E1698" i="57" s="1"/>
  <c r="B1626" i="57"/>
  <c r="E1626" i="57" s="1"/>
  <c r="B1566" i="57"/>
  <c r="E1566" i="57" s="1"/>
  <c r="B1494" i="57"/>
  <c r="E1494" i="57" s="1"/>
  <c r="B2497" i="57"/>
  <c r="E2497" i="57" s="1"/>
  <c r="B2447" i="57"/>
  <c r="E2447" i="57" s="1"/>
  <c r="B200" i="57"/>
  <c r="E200" i="57" s="1"/>
  <c r="B2458" i="57"/>
  <c r="E2458" i="57" s="1"/>
  <c r="B205" i="57"/>
  <c r="E205" i="57" s="1"/>
  <c r="B133" i="57"/>
  <c r="E133" i="57" s="1"/>
  <c r="B79" i="57"/>
  <c r="E79" i="57" s="1"/>
  <c r="B2456" i="57"/>
  <c r="E2456" i="57" s="1"/>
  <c r="B2396" i="57"/>
  <c r="E2396" i="57" s="1"/>
  <c r="B2324" i="57"/>
  <c r="E2324" i="57" s="1"/>
  <c r="B2276" i="57"/>
  <c r="E2276" i="57" s="1"/>
  <c r="B2222" i="57"/>
  <c r="E2222" i="57" s="1"/>
  <c r="B2174" i="57"/>
  <c r="E2174" i="57" s="1"/>
  <c r="B2114" i="57"/>
  <c r="E2114" i="57" s="1"/>
  <c r="B2066" i="57"/>
  <c r="E2066" i="57" s="1"/>
  <c r="B2018" i="57"/>
  <c r="E2018" i="57" s="1"/>
  <c r="B1964" i="57"/>
  <c r="E1964" i="57" s="1"/>
  <c r="B2375" i="57"/>
  <c r="E2375" i="57" s="1"/>
  <c r="B2315" i="57"/>
  <c r="E2315" i="57" s="1"/>
  <c r="B2267" i="57"/>
  <c r="E2267" i="57" s="1"/>
  <c r="B2213" i="57"/>
  <c r="E2213" i="57" s="1"/>
  <c r="B2165" i="57"/>
  <c r="E2165" i="57" s="1"/>
  <c r="B2117" i="57"/>
  <c r="E2117" i="57" s="1"/>
  <c r="B2057" i="57"/>
  <c r="E2057" i="57" s="1"/>
  <c r="B2009" i="57"/>
  <c r="E2009" i="57" s="1"/>
  <c r="B1955" i="57"/>
  <c r="E1955" i="57" s="1"/>
  <c r="B2380" i="57"/>
  <c r="E2380" i="57" s="1"/>
  <c r="B2326" i="57"/>
  <c r="E2326" i="57" s="1"/>
  <c r="B2272" i="57"/>
  <c r="E2272" i="57" s="1"/>
  <c r="B2218" i="57"/>
  <c r="E2218" i="57" s="1"/>
  <c r="B2170" i="57"/>
  <c r="E2170" i="57" s="1"/>
  <c r="B2122" i="57"/>
  <c r="E2122" i="57" s="1"/>
  <c r="B2068" i="57"/>
  <c r="E2068" i="57" s="1"/>
  <c r="B2014" i="57"/>
  <c r="E2014" i="57" s="1"/>
  <c r="B1960" i="57"/>
  <c r="E1960" i="57" s="1"/>
  <c r="B2421" i="57"/>
  <c r="E2421" i="57" s="1"/>
  <c r="B2373" i="57"/>
  <c r="E2373" i="57" s="1"/>
  <c r="B2331" i="57"/>
  <c r="E2331" i="57" s="1"/>
  <c r="B2283" i="57"/>
  <c r="E2283" i="57" s="1"/>
  <c r="B2241" i="57"/>
  <c r="E2241" i="57" s="1"/>
  <c r="B2199" i="57"/>
  <c r="E2199" i="57" s="1"/>
  <c r="B2157" i="57"/>
  <c r="E2157" i="57" s="1"/>
  <c r="B2115" i="57"/>
  <c r="E2115" i="57" s="1"/>
  <c r="B2067" i="57"/>
  <c r="E2067" i="57" s="1"/>
  <c r="B2025" i="57"/>
  <c r="E2025" i="57" s="1"/>
  <c r="B985" i="57"/>
  <c r="E985" i="57" s="1"/>
  <c r="B2203" i="57"/>
  <c r="E2203" i="57" s="1"/>
  <c r="B1927" i="57"/>
  <c r="E1927" i="57" s="1"/>
  <c r="B2442" i="57"/>
  <c r="E2442" i="57" s="1"/>
  <c r="B2184" i="57"/>
  <c r="E2184" i="57" s="1"/>
  <c r="B927" i="57"/>
  <c r="E927" i="57" s="1"/>
  <c r="B554" i="57"/>
  <c r="E554" i="57" s="1"/>
  <c r="B391" i="57"/>
  <c r="E391" i="57" s="1"/>
  <c r="B1681" i="57"/>
  <c r="E1681" i="57" s="1"/>
  <c r="B1914" i="57"/>
  <c r="E1914" i="57" s="1"/>
  <c r="B1746" i="57"/>
  <c r="E1746" i="57" s="1"/>
  <c r="B1692" i="57"/>
  <c r="E1692" i="57" s="1"/>
  <c r="B1620" i="57"/>
  <c r="E1620" i="57" s="1"/>
  <c r="B1560" i="57"/>
  <c r="E1560" i="57" s="1"/>
  <c r="B1488" i="57"/>
  <c r="E1488" i="57" s="1"/>
  <c r="B93" i="57"/>
  <c r="E93" i="57" s="1"/>
  <c r="B2435" i="57"/>
  <c r="E2435" i="57" s="1"/>
  <c r="B164" i="57"/>
  <c r="E164" i="57" s="1"/>
  <c r="B2452" i="57"/>
  <c r="E2452" i="57" s="1"/>
  <c r="B199" i="57"/>
  <c r="E199" i="57" s="1"/>
  <c r="B127" i="57"/>
  <c r="E127" i="57" s="1"/>
  <c r="B73" i="57"/>
  <c r="E73" i="57" s="1"/>
  <c r="B2450" i="57"/>
  <c r="E2450" i="57" s="1"/>
  <c r="B2390" i="57"/>
  <c r="E2390" i="57" s="1"/>
  <c r="B2318" i="57"/>
  <c r="E2318" i="57" s="1"/>
  <c r="B2270" i="57"/>
  <c r="E2270" i="57" s="1"/>
  <c r="B2216" i="57"/>
  <c r="E2216" i="57" s="1"/>
  <c r="B2162" i="57"/>
  <c r="E2162" i="57" s="1"/>
  <c r="B2108" i="57"/>
  <c r="E2108" i="57" s="1"/>
  <c r="B2060" i="57"/>
  <c r="E2060" i="57" s="1"/>
  <c r="B2006" i="57"/>
  <c r="E2006" i="57" s="1"/>
  <c r="B1958" i="57"/>
  <c r="E1958" i="57" s="1"/>
  <c r="B2357" i="57"/>
  <c r="E2357" i="57" s="1"/>
  <c r="B2309" i="57"/>
  <c r="E2309" i="57" s="1"/>
  <c r="B2261" i="57"/>
  <c r="E2261" i="57" s="1"/>
  <c r="B2207" i="57"/>
  <c r="E2207" i="57" s="1"/>
  <c r="B2159" i="57"/>
  <c r="E2159" i="57" s="1"/>
  <c r="B2099" i="57"/>
  <c r="E2099" i="57" s="1"/>
  <c r="B2051" i="57"/>
  <c r="E2051" i="57" s="1"/>
  <c r="B1997" i="57"/>
  <c r="E1997" i="57" s="1"/>
  <c r="B2422" i="57"/>
  <c r="E2422" i="57" s="1"/>
  <c r="B2374" i="57"/>
  <c r="E2374" i="57" s="1"/>
  <c r="B2314" i="57"/>
  <c r="E2314" i="57" s="1"/>
  <c r="B2266" i="57"/>
  <c r="E2266" i="57" s="1"/>
  <c r="B2212" i="57"/>
  <c r="E2212" i="57" s="1"/>
  <c r="B2164" i="57"/>
  <c r="E2164" i="57" s="1"/>
  <c r="B2110" i="57"/>
  <c r="E2110" i="57" s="1"/>
  <c r="B2056" i="57"/>
  <c r="E2056" i="57" s="1"/>
  <c r="B2002" i="57"/>
  <c r="E2002" i="57" s="1"/>
  <c r="B2463" i="57"/>
  <c r="E2463" i="57" s="1"/>
  <c r="B2415" i="57"/>
  <c r="E2415" i="57" s="1"/>
  <c r="B2367" i="57"/>
  <c r="E2367" i="57" s="1"/>
  <c r="B2319" i="57"/>
  <c r="E2319" i="57" s="1"/>
  <c r="B2277" i="57"/>
  <c r="E2277" i="57" s="1"/>
  <c r="B2235" i="57"/>
  <c r="E2235" i="57" s="1"/>
  <c r="B2193" i="57"/>
  <c r="E2193" i="57" s="1"/>
  <c r="B2151" i="57"/>
  <c r="E2151" i="57" s="1"/>
  <c r="B2103" i="57"/>
  <c r="E2103" i="57" s="1"/>
  <c r="B2061" i="57"/>
  <c r="E2061" i="57" s="1"/>
  <c r="B2019" i="57"/>
  <c r="E2019" i="57" s="1"/>
  <c r="B1977" i="57"/>
  <c r="E1977" i="57" s="1"/>
  <c r="B1934" i="57"/>
  <c r="E1934" i="57" s="1"/>
  <c r="B1886" i="57"/>
  <c r="E1886" i="57" s="1"/>
  <c r="B1844" i="57"/>
  <c r="E1844" i="57" s="1"/>
  <c r="B1802" i="57"/>
  <c r="E1802" i="57" s="1"/>
  <c r="B1760" i="57"/>
  <c r="E1760" i="57" s="1"/>
  <c r="B1718" i="57"/>
  <c r="E1718" i="57" s="1"/>
  <c r="B1670" i="57"/>
  <c r="E1670" i="57" s="1"/>
  <c r="B1628" i="57"/>
  <c r="E1628" i="57" s="1"/>
  <c r="B1586" i="57"/>
  <c r="E1586" i="57" s="1"/>
  <c r="B1544" i="57"/>
  <c r="E1544" i="57" s="1"/>
  <c r="B1502" i="57"/>
  <c r="E1502" i="57" s="1"/>
  <c r="B2499" i="57"/>
  <c r="E2499" i="57" s="1"/>
  <c r="B1913" i="57"/>
  <c r="E1913" i="57" s="1"/>
  <c r="B1871" i="57"/>
  <c r="E1871" i="57" s="1"/>
  <c r="B1829" i="57"/>
  <c r="E1829" i="57" s="1"/>
  <c r="B1787" i="57"/>
  <c r="E1787" i="57" s="1"/>
  <c r="B1739" i="57"/>
  <c r="E1739" i="57" s="1"/>
  <c r="B1697" i="57"/>
  <c r="E1697" i="57" s="1"/>
  <c r="B1655" i="57"/>
  <c r="E1655" i="57" s="1"/>
  <c r="B1613" i="57"/>
  <c r="E1613" i="57" s="1"/>
  <c r="B1571" i="57"/>
  <c r="E1571" i="57" s="1"/>
  <c r="B1523" i="57"/>
  <c r="E1523" i="57" s="1"/>
  <c r="B1481" i="57"/>
  <c r="E1481" i="57" s="1"/>
  <c r="B1954" i="57"/>
  <c r="E1954" i="57" s="1"/>
  <c r="B1912" i="57"/>
  <c r="E1912" i="57" s="1"/>
  <c r="B1870" i="57"/>
  <c r="E1870" i="57" s="1"/>
  <c r="B1822" i="57"/>
  <c r="E1822" i="57" s="1"/>
  <c r="B1780" i="57"/>
  <c r="E1780" i="57" s="1"/>
  <c r="B1738" i="57"/>
  <c r="E1738" i="57" s="1"/>
  <c r="B1696" i="57"/>
  <c r="E1696" i="57" s="1"/>
  <c r="B1654" i="57"/>
  <c r="E1654" i="57" s="1"/>
  <c r="B1606" i="57"/>
  <c r="E1606" i="57" s="1"/>
  <c r="B1564" i="57"/>
  <c r="E1564" i="57" s="1"/>
  <c r="B1522" i="57"/>
  <c r="E1522" i="57" s="1"/>
  <c r="B1480" i="57"/>
  <c r="E1480" i="57" s="1"/>
  <c r="B1941" i="57"/>
  <c r="E1941" i="57" s="1"/>
  <c r="B1893" i="57"/>
  <c r="E1893" i="57" s="1"/>
  <c r="B1851" i="57"/>
  <c r="E1851" i="57" s="1"/>
  <c r="B1809" i="57"/>
  <c r="E1809" i="57" s="1"/>
  <c r="B1767" i="57"/>
  <c r="E1767" i="57" s="1"/>
  <c r="B1725" i="57"/>
  <c r="E1725" i="57" s="1"/>
  <c r="B1677" i="57"/>
  <c r="E1677" i="57" s="1"/>
  <c r="B1635" i="57"/>
  <c r="E1635" i="57" s="1"/>
  <c r="B1593" i="57"/>
  <c r="E1593" i="57" s="1"/>
  <c r="B1551" i="57"/>
  <c r="E1551" i="57" s="1"/>
  <c r="B1509" i="57"/>
  <c r="E1509" i="57" s="1"/>
  <c r="B1461" i="57"/>
  <c r="E1461" i="57" s="1"/>
  <c r="B1416" i="57"/>
  <c r="E1416" i="57" s="1"/>
  <c r="B1439" i="57"/>
  <c r="E1439" i="57" s="1"/>
  <c r="B1409" i="57"/>
  <c r="E1409" i="57" s="1"/>
  <c r="B1379" i="57"/>
  <c r="E1379" i="57" s="1"/>
  <c r="B1307" i="57"/>
  <c r="E1307" i="57" s="1"/>
  <c r="B1432" i="57"/>
  <c r="E1432" i="57" s="1"/>
  <c r="B1414" i="57"/>
  <c r="E1414" i="57" s="1"/>
  <c r="B1396" i="57"/>
  <c r="E1396" i="57" s="1"/>
  <c r="B1378" i="57"/>
  <c r="E1378" i="57" s="1"/>
  <c r="B1354" i="57"/>
  <c r="E1354" i="57" s="1"/>
  <c r="B1330" i="57"/>
  <c r="E1330" i="57" s="1"/>
  <c r="B1306" i="57"/>
  <c r="E1306" i="57" s="1"/>
  <c r="B1288" i="57"/>
  <c r="E1288" i="57" s="1"/>
  <c r="B1270" i="57"/>
  <c r="E1270" i="57" s="1"/>
  <c r="B1246" i="57"/>
  <c r="E1246" i="57" s="1"/>
  <c r="B1228" i="57"/>
  <c r="E1228" i="57" s="1"/>
  <c r="B1210" i="57"/>
  <c r="E1210" i="57" s="1"/>
  <c r="B1192" i="57"/>
  <c r="E1192" i="57" s="1"/>
  <c r="B1174" i="57"/>
  <c r="E1174" i="57" s="1"/>
  <c r="B1150" i="57"/>
  <c r="E1150" i="57" s="1"/>
  <c r="B1126" i="57"/>
  <c r="E1126" i="57" s="1"/>
  <c r="B1108" i="57"/>
  <c r="E1108" i="57" s="1"/>
  <c r="B1084" i="57"/>
  <c r="E1084" i="57" s="1"/>
  <c r="B1066" i="57"/>
  <c r="E1066" i="57" s="1"/>
  <c r="B1048" i="57"/>
  <c r="E1048" i="57" s="1"/>
  <c r="B1024" i="57"/>
  <c r="E1024" i="57" s="1"/>
  <c r="B1006" i="57"/>
  <c r="E1006" i="57" s="1"/>
  <c r="B988" i="57"/>
  <c r="E988" i="57" s="1"/>
  <c r="B970" i="57"/>
  <c r="E970" i="57" s="1"/>
  <c r="B952" i="57"/>
  <c r="E952" i="57" s="1"/>
  <c r="B928" i="57"/>
  <c r="E928" i="57" s="1"/>
  <c r="B904" i="57"/>
  <c r="E904" i="57" s="1"/>
  <c r="B886" i="57"/>
  <c r="E886" i="57" s="1"/>
  <c r="B862" i="57"/>
  <c r="E862" i="57" s="1"/>
  <c r="B844" i="57"/>
  <c r="E844" i="57" s="1"/>
  <c r="B826" i="57"/>
  <c r="E826" i="57" s="1"/>
  <c r="B808" i="57"/>
  <c r="E808" i="57" s="1"/>
  <c r="B790" i="57"/>
  <c r="E790" i="57" s="1"/>
  <c r="B754" i="57"/>
  <c r="E754" i="57" s="1"/>
  <c r="B736" i="57"/>
  <c r="E736" i="57" s="1"/>
  <c r="B712" i="57"/>
  <c r="E712" i="57" s="1"/>
  <c r="B694" i="57"/>
  <c r="E694" i="57" s="1"/>
  <c r="B676" i="57"/>
  <c r="E676" i="57" s="1"/>
  <c r="B658" i="57"/>
  <c r="E658" i="57" s="1"/>
  <c r="B640" i="57"/>
  <c r="E640" i="57" s="1"/>
  <c r="B616" i="57"/>
  <c r="E616" i="57" s="1"/>
  <c r="B586" i="57"/>
  <c r="E586" i="57" s="1"/>
  <c r="B568" i="57"/>
  <c r="E568" i="57" s="1"/>
  <c r="B1437" i="57"/>
  <c r="E1437" i="57" s="1"/>
  <c r="B1419" i="57"/>
  <c r="E1419" i="57" s="1"/>
  <c r="B1401" i="57"/>
  <c r="E1401" i="57" s="1"/>
  <c r="B1383" i="57"/>
  <c r="E1383" i="57" s="1"/>
  <c r="B1365" i="57"/>
  <c r="E1365" i="57" s="1"/>
  <c r="B1341" i="57"/>
  <c r="E1341" i="57" s="1"/>
  <c r="B1323" i="57"/>
  <c r="E1323" i="57" s="1"/>
  <c r="B1299" i="57"/>
  <c r="E1299" i="57" s="1"/>
  <c r="B1281" i="57"/>
  <c r="E1281" i="57" s="1"/>
  <c r="B1263" i="57"/>
  <c r="E1263" i="57" s="1"/>
  <c r="B1239" i="57"/>
  <c r="E1239" i="57" s="1"/>
  <c r="B1221" i="57"/>
  <c r="E1221" i="57" s="1"/>
  <c r="B1203" i="57"/>
  <c r="E1203" i="57" s="1"/>
  <c r="B1185" i="57"/>
  <c r="E1185" i="57" s="1"/>
  <c r="B1167" i="57"/>
  <c r="E1167" i="57" s="1"/>
  <c r="B1149" i="57"/>
  <c r="E1149" i="57" s="1"/>
  <c r="B1131" i="57"/>
  <c r="E1131" i="57" s="1"/>
  <c r="B1113" i="57"/>
  <c r="E1113" i="57" s="1"/>
  <c r="B1095" i="57"/>
  <c r="E1095" i="57" s="1"/>
  <c r="B1077" i="57"/>
  <c r="E1077" i="57" s="1"/>
  <c r="B1059" i="57"/>
  <c r="E1059" i="57" s="1"/>
  <c r="B1041" i="57"/>
  <c r="E1041" i="57" s="1"/>
  <c r="B1023" i="57"/>
  <c r="E1023" i="57" s="1"/>
  <c r="B1005" i="57"/>
  <c r="E1005" i="57" s="1"/>
  <c r="B987" i="57"/>
  <c r="E987" i="57" s="1"/>
  <c r="B969" i="57"/>
  <c r="E969" i="57" s="1"/>
  <c r="B951" i="57"/>
  <c r="E951" i="57" s="1"/>
  <c r="B933" i="57"/>
  <c r="E933" i="57" s="1"/>
  <c r="B909" i="57"/>
  <c r="E909" i="57" s="1"/>
  <c r="B885" i="57"/>
  <c r="E885" i="57" s="1"/>
  <c r="B867" i="57"/>
  <c r="E867" i="57" s="1"/>
  <c r="B849" i="57"/>
  <c r="E849" i="57" s="1"/>
  <c r="B831" i="57"/>
  <c r="E831" i="57" s="1"/>
  <c r="B2043" i="57"/>
  <c r="E2043" i="57" s="1"/>
  <c r="B1946" i="57"/>
  <c r="E1946" i="57" s="1"/>
  <c r="B1862" i="57"/>
  <c r="E1862" i="57" s="1"/>
  <c r="B1772" i="57"/>
  <c r="E1772" i="57" s="1"/>
  <c r="B1688" i="57"/>
  <c r="E1688" i="57" s="1"/>
  <c r="B1598" i="57"/>
  <c r="E1598" i="57" s="1"/>
  <c r="B1514" i="57"/>
  <c r="E1514" i="57" s="1"/>
  <c r="B1931" i="57"/>
  <c r="E1931" i="57" s="1"/>
  <c r="B1841" i="57"/>
  <c r="E1841" i="57" s="1"/>
  <c r="B1757" i="57"/>
  <c r="E1757" i="57" s="1"/>
  <c r="B1667" i="57"/>
  <c r="E1667" i="57" s="1"/>
  <c r="B1583" i="57"/>
  <c r="E1583" i="57" s="1"/>
  <c r="B1499" i="57"/>
  <c r="E1499" i="57" s="1"/>
  <c r="B1930" i="57"/>
  <c r="E1930" i="57" s="1"/>
  <c r="B1882" i="57"/>
  <c r="E1882" i="57" s="1"/>
  <c r="B1834" i="57"/>
  <c r="E1834" i="57" s="1"/>
  <c r="B1774" i="57"/>
  <c r="E1774" i="57" s="1"/>
  <c r="B1726" i="57"/>
  <c r="E1726" i="57" s="1"/>
  <c r="B1672" i="57"/>
  <c r="E1672" i="57" s="1"/>
  <c r="B1624" i="57"/>
  <c r="E1624" i="57" s="1"/>
  <c r="B1570" i="57"/>
  <c r="E1570" i="57" s="1"/>
  <c r="B1516" i="57"/>
  <c r="E1516" i="57" s="1"/>
  <c r="B1462" i="57"/>
  <c r="E1462" i="57" s="1"/>
  <c r="B1917" i="57"/>
  <c r="E1917" i="57" s="1"/>
  <c r="B1869" i="57"/>
  <c r="E1869" i="57" s="1"/>
  <c r="B1815" i="57"/>
  <c r="E1815" i="57" s="1"/>
  <c r="B1761" i="57"/>
  <c r="E1761" i="57" s="1"/>
  <c r="B1707" i="57"/>
  <c r="E1707" i="57" s="1"/>
  <c r="B1659" i="57"/>
  <c r="E1659" i="57" s="1"/>
  <c r="B1605" i="57"/>
  <c r="E1605" i="57" s="1"/>
  <c r="B1557" i="57"/>
  <c r="E1557" i="57" s="1"/>
  <c r="B1497" i="57"/>
  <c r="E1497" i="57" s="1"/>
  <c r="B11" i="57"/>
  <c r="E11" i="57" s="1"/>
  <c r="B1421" i="57"/>
  <c r="E1421" i="57" s="1"/>
  <c r="B1426" i="57"/>
  <c r="E1426" i="57" s="1"/>
  <c r="B1384" i="57"/>
  <c r="E1384" i="57" s="1"/>
  <c r="B1300" i="57"/>
  <c r="E1300" i="57" s="1"/>
  <c r="B1252" i="57"/>
  <c r="E1252" i="57" s="1"/>
  <c r="B1186" i="57"/>
  <c r="E1186" i="57" s="1"/>
  <c r="B1138" i="57"/>
  <c r="E1138" i="57" s="1"/>
  <c r="B1060" i="57"/>
  <c r="E1060" i="57" s="1"/>
  <c r="B1012" i="57"/>
  <c r="E1012" i="57" s="1"/>
  <c r="B946" i="57"/>
  <c r="E946" i="57" s="1"/>
  <c r="B892" i="57"/>
  <c r="E892" i="57" s="1"/>
  <c r="B820" i="57"/>
  <c r="E820" i="57" s="1"/>
  <c r="B766" i="57"/>
  <c r="E766" i="57" s="1"/>
  <c r="B688" i="57"/>
  <c r="E688" i="57" s="1"/>
  <c r="B646" i="57"/>
  <c r="E646" i="57" s="1"/>
  <c r="B562" i="57"/>
  <c r="E562" i="57" s="1"/>
  <c r="B1407" i="57"/>
  <c r="E1407" i="57" s="1"/>
  <c r="B1335" i="57"/>
  <c r="E1335" i="57" s="1"/>
  <c r="B1287" i="57"/>
  <c r="E1287" i="57" s="1"/>
  <c r="B1215" i="57"/>
  <c r="E1215" i="57" s="1"/>
  <c r="B1173" i="57"/>
  <c r="E1173" i="57" s="1"/>
  <c r="B1107" i="57"/>
  <c r="E1107" i="57" s="1"/>
  <c r="B1065" i="57"/>
  <c r="E1065" i="57" s="1"/>
  <c r="B999" i="57"/>
  <c r="E999" i="57" s="1"/>
  <c r="B957" i="57"/>
  <c r="E957" i="57" s="1"/>
  <c r="B879" i="57"/>
  <c r="E879" i="57" s="1"/>
  <c r="B837" i="57"/>
  <c r="E837" i="57" s="1"/>
  <c r="B840" i="57"/>
  <c r="E840" i="57" s="1"/>
  <c r="B983" i="57"/>
  <c r="E983" i="57" s="1"/>
  <c r="B893" i="57"/>
  <c r="E893" i="57" s="1"/>
  <c r="B618" i="57"/>
  <c r="E618" i="57" s="1"/>
  <c r="B576" i="57"/>
  <c r="E576" i="57" s="1"/>
  <c r="B552" i="57"/>
  <c r="E552" i="57" s="1"/>
  <c r="B516" i="57"/>
  <c r="E516" i="57" s="1"/>
  <c r="B468" i="57"/>
  <c r="E468" i="57" s="1"/>
  <c r="B438" i="57"/>
  <c r="E438" i="57" s="1"/>
  <c r="B378" i="57"/>
  <c r="E378" i="57" s="1"/>
  <c r="B360" i="57"/>
  <c r="E360" i="57" s="1"/>
  <c r="B336" i="57"/>
  <c r="E336" i="57" s="1"/>
  <c r="B300" i="57"/>
  <c r="E300" i="57" s="1"/>
  <c r="B258" i="57"/>
  <c r="E258" i="57" s="1"/>
  <c r="B240" i="57"/>
  <c r="E240" i="57" s="1"/>
  <c r="B180" i="57"/>
  <c r="E180" i="57" s="1"/>
  <c r="B138" i="57"/>
  <c r="E138" i="57" s="1"/>
  <c r="B2031" i="57"/>
  <c r="E2031" i="57" s="1"/>
  <c r="B1940" i="57"/>
  <c r="E1940" i="57" s="1"/>
  <c r="B1850" i="57"/>
  <c r="E1850" i="57" s="1"/>
  <c r="B1766" i="57"/>
  <c r="E1766" i="57" s="1"/>
  <c r="B1682" i="57"/>
  <c r="E1682" i="57" s="1"/>
  <c r="B1592" i="57"/>
  <c r="E1592" i="57" s="1"/>
  <c r="B1508" i="57"/>
  <c r="E1508" i="57" s="1"/>
  <c r="B1919" i="57"/>
  <c r="E1919" i="57" s="1"/>
  <c r="B1835" i="57"/>
  <c r="E1835" i="57" s="1"/>
  <c r="B1751" i="57"/>
  <c r="E1751" i="57" s="1"/>
  <c r="B1661" i="57"/>
  <c r="E1661" i="57" s="1"/>
  <c r="B1577" i="57"/>
  <c r="E1577" i="57" s="1"/>
  <c r="B1487" i="57"/>
  <c r="E1487" i="57" s="1"/>
  <c r="B1924" i="57"/>
  <c r="E1924" i="57" s="1"/>
  <c r="B1876" i="57"/>
  <c r="E1876" i="57" s="1"/>
  <c r="B1816" i="57"/>
  <c r="E1816" i="57" s="1"/>
  <c r="B1768" i="57"/>
  <c r="E1768" i="57" s="1"/>
  <c r="B1714" i="57"/>
  <c r="E1714" i="57" s="1"/>
  <c r="B1666" i="57"/>
  <c r="E1666" i="57" s="1"/>
  <c r="B1618" i="57"/>
  <c r="E1618" i="57" s="1"/>
  <c r="B1558" i="57"/>
  <c r="E1558" i="57" s="1"/>
  <c r="B1510" i="57"/>
  <c r="E1510" i="57" s="1"/>
  <c r="B1456" i="57"/>
  <c r="E1456" i="57" s="1"/>
  <c r="B1911" i="57"/>
  <c r="E1911" i="57" s="1"/>
  <c r="B1857" i="57"/>
  <c r="E1857" i="57" s="1"/>
  <c r="B1803" i="57"/>
  <c r="E1803" i="57" s="1"/>
  <c r="B1749" i="57"/>
  <c r="E1749" i="57" s="1"/>
  <c r="B1701" i="57"/>
  <c r="E1701" i="57" s="1"/>
  <c r="B1653" i="57"/>
  <c r="E1653" i="57" s="1"/>
  <c r="B1599" i="57"/>
  <c r="E1599" i="57" s="1"/>
  <c r="B1545" i="57"/>
  <c r="E1545" i="57" s="1"/>
  <c r="B1491" i="57"/>
  <c r="E1491" i="57" s="1"/>
  <c r="B1445" i="57"/>
  <c r="E1445" i="57" s="1"/>
  <c r="B1444" i="57"/>
  <c r="E1444" i="57" s="1"/>
  <c r="B1402" i="57"/>
  <c r="E1402" i="57" s="1"/>
  <c r="B1324" i="57"/>
  <c r="E1324" i="57" s="1"/>
  <c r="B1276" i="57"/>
  <c r="E1276" i="57" s="1"/>
  <c r="B1204" i="57"/>
  <c r="E1204" i="57" s="1"/>
  <c r="B1162" i="57"/>
  <c r="E1162" i="57" s="1"/>
  <c r="B1078" i="57"/>
  <c r="E1078" i="57" s="1"/>
  <c r="B1030" i="57"/>
  <c r="E1030" i="57" s="1"/>
  <c r="B964" i="57"/>
  <c r="E964" i="57" s="1"/>
  <c r="B910" i="57"/>
  <c r="E910" i="57" s="1"/>
  <c r="B838" i="57"/>
  <c r="E838" i="57" s="1"/>
  <c r="B796" i="57"/>
  <c r="E796" i="57" s="1"/>
  <c r="B706" i="57"/>
  <c r="E706" i="57" s="1"/>
  <c r="B664" i="57"/>
  <c r="E664" i="57" s="1"/>
  <c r="B580" i="57"/>
  <c r="E580" i="57" s="1"/>
  <c r="B1425" i="57"/>
  <c r="E1425" i="57" s="1"/>
  <c r="B1359" i="57"/>
  <c r="E1359" i="57" s="1"/>
  <c r="B1305" i="57"/>
  <c r="E1305" i="57" s="1"/>
  <c r="B1233" i="57"/>
  <c r="E1233" i="57" s="1"/>
  <c r="B1191" i="57"/>
  <c r="E1191" i="57" s="1"/>
  <c r="B1125" i="57"/>
  <c r="E1125" i="57" s="1"/>
  <c r="B1083" i="57"/>
  <c r="E1083" i="57" s="1"/>
  <c r="B1017" i="57"/>
  <c r="E1017" i="57" s="1"/>
  <c r="B975" i="57"/>
  <c r="E975" i="57" s="1"/>
  <c r="B903" i="57"/>
  <c r="E903" i="57" s="1"/>
  <c r="B855" i="57"/>
  <c r="E855" i="57" s="1"/>
  <c r="B807" i="57"/>
  <c r="E807" i="57" s="1"/>
  <c r="B789" i="57"/>
  <c r="E789" i="57" s="1"/>
  <c r="B765" i="57"/>
  <c r="E765" i="57" s="1"/>
  <c r="B747" i="57"/>
  <c r="E747" i="57" s="1"/>
  <c r="B729" i="57"/>
  <c r="E729" i="57" s="1"/>
  <c r="B705" i="57"/>
  <c r="E705" i="57" s="1"/>
  <c r="B687" i="57"/>
  <c r="E687" i="57" s="1"/>
  <c r="B669" i="57"/>
  <c r="E669" i="57" s="1"/>
  <c r="B651" i="57"/>
  <c r="E651" i="57" s="1"/>
  <c r="B1430" i="57"/>
  <c r="E1430" i="57" s="1"/>
  <c r="B1400" i="57"/>
  <c r="E1400" i="57" s="1"/>
  <c r="B1376" i="57"/>
  <c r="E1376" i="57" s="1"/>
  <c r="B1346" i="57"/>
  <c r="E1346" i="57" s="1"/>
  <c r="B1322" i="57"/>
  <c r="E1322" i="57" s="1"/>
  <c r="B1292" i="57"/>
  <c r="E1292" i="57" s="1"/>
  <c r="B1268" i="57"/>
  <c r="E1268" i="57" s="1"/>
  <c r="B1238" i="57"/>
  <c r="E1238" i="57" s="1"/>
  <c r="B1214" i="57"/>
  <c r="E1214" i="57" s="1"/>
  <c r="B1184" i="57"/>
  <c r="E1184" i="57" s="1"/>
  <c r="B1160" i="57"/>
  <c r="E1160" i="57" s="1"/>
  <c r="B1130" i="57"/>
  <c r="E1130" i="57" s="1"/>
  <c r="B1106" i="57"/>
  <c r="E1106" i="57" s="1"/>
  <c r="B1076" i="57"/>
  <c r="E1076" i="57" s="1"/>
  <c r="B1052" i="57"/>
  <c r="E1052" i="57" s="1"/>
  <c r="B1022" i="57"/>
  <c r="E1022" i="57" s="1"/>
  <c r="B998" i="57"/>
  <c r="E998" i="57" s="1"/>
  <c r="B968" i="57"/>
  <c r="E968" i="57" s="1"/>
  <c r="B944" i="57"/>
  <c r="E944" i="57" s="1"/>
  <c r="B914" i="57"/>
  <c r="E914" i="57" s="1"/>
  <c r="B890" i="57"/>
  <c r="E890" i="57" s="1"/>
  <c r="B860" i="57"/>
  <c r="E860" i="57" s="1"/>
  <c r="B836" i="57"/>
  <c r="E836" i="57" s="1"/>
  <c r="B818" i="57"/>
  <c r="E818" i="57" s="1"/>
  <c r="B800" i="57"/>
  <c r="E800" i="57" s="1"/>
  <c r="B782" i="57"/>
  <c r="E782" i="57" s="1"/>
  <c r="B758" i="57"/>
  <c r="E758" i="57" s="1"/>
  <c r="B734" i="57"/>
  <c r="E734" i="57" s="1"/>
  <c r="B716" i="57"/>
  <c r="E716" i="57" s="1"/>
  <c r="B698" i="57"/>
  <c r="E698" i="57" s="1"/>
  <c r="B680" i="57"/>
  <c r="E680" i="57" s="1"/>
  <c r="B656" i="57"/>
  <c r="E656" i="57" s="1"/>
  <c r="B638" i="57"/>
  <c r="E638" i="57" s="1"/>
  <c r="B614" i="57"/>
  <c r="E614" i="57" s="1"/>
  <c r="B1428" i="57"/>
  <c r="E1428" i="57" s="1"/>
  <c r="B1392" i="57"/>
  <c r="E1392" i="57" s="1"/>
  <c r="B1368" i="57"/>
  <c r="E1368" i="57" s="1"/>
  <c r="B1344" i="57"/>
  <c r="E1344" i="57" s="1"/>
  <c r="B1320" i="57"/>
  <c r="E1320" i="57" s="1"/>
  <c r="B1290" i="57"/>
  <c r="E1290" i="57" s="1"/>
  <c r="B1272" i="57"/>
  <c r="E1272" i="57" s="1"/>
  <c r="B1254" i="57"/>
  <c r="E1254" i="57" s="1"/>
  <c r="B1236" i="57"/>
  <c r="E1236" i="57" s="1"/>
  <c r="B1212" i="57"/>
  <c r="E1212" i="57" s="1"/>
  <c r="B1182" i="57"/>
  <c r="E1182" i="57" s="1"/>
  <c r="B1164" i="57"/>
  <c r="E1164" i="57" s="1"/>
  <c r="B1146" i="57"/>
  <c r="E1146" i="57" s="1"/>
  <c r="B1128" i="57"/>
  <c r="E1128" i="57" s="1"/>
  <c r="B1104" i="57"/>
  <c r="E1104" i="57" s="1"/>
  <c r="B1074" i="57"/>
  <c r="E1074" i="57" s="1"/>
  <c r="B1056" i="57"/>
  <c r="E1056" i="57" s="1"/>
  <c r="B1038" i="57"/>
  <c r="E1038" i="57" s="1"/>
  <c r="B1020" i="57"/>
  <c r="E1020" i="57" s="1"/>
  <c r="B996" i="57"/>
  <c r="E996" i="57" s="1"/>
  <c r="B966" i="57"/>
  <c r="E966" i="57" s="1"/>
  <c r="B948" i="57"/>
  <c r="E948" i="57" s="1"/>
  <c r="B930" i="57"/>
  <c r="E930" i="57" s="1"/>
  <c r="B912" i="57"/>
  <c r="E912" i="57" s="1"/>
  <c r="B888" i="57"/>
  <c r="E888" i="57" s="1"/>
  <c r="B858" i="57"/>
  <c r="E858" i="57" s="1"/>
  <c r="B822" i="57"/>
  <c r="E822" i="57" s="1"/>
  <c r="B792" i="57"/>
  <c r="E792" i="57" s="1"/>
  <c r="B762" i="57"/>
  <c r="E762" i="57" s="1"/>
  <c r="B732" i="57"/>
  <c r="E732" i="57" s="1"/>
  <c r="B702" i="57"/>
  <c r="E702" i="57" s="1"/>
  <c r="B684" i="57"/>
  <c r="E684" i="57" s="1"/>
  <c r="B660" i="57"/>
  <c r="E660" i="57" s="1"/>
  <c r="B1433" i="57"/>
  <c r="E1433" i="57" s="1"/>
  <c r="B1385" i="57"/>
  <c r="E1385" i="57" s="1"/>
  <c r="B1349" i="57"/>
  <c r="E1349" i="57" s="1"/>
  <c r="B1331" i="57"/>
  <c r="E1331" i="57" s="1"/>
  <c r="B1313" i="57"/>
  <c r="E1313" i="57" s="1"/>
  <c r="B1289" i="57"/>
  <c r="E1289" i="57" s="1"/>
  <c r="B1271" i="57"/>
  <c r="E1271" i="57" s="1"/>
  <c r="B1253" i="57"/>
  <c r="E1253" i="57" s="1"/>
  <c r="B1235" i="57"/>
  <c r="E1235" i="57" s="1"/>
  <c r="B1217" i="57"/>
  <c r="E1217" i="57" s="1"/>
  <c r="B1199" i="57"/>
  <c r="E1199" i="57" s="1"/>
  <c r="B1181" i="57"/>
  <c r="E1181" i="57" s="1"/>
  <c r="B1163" i="57"/>
  <c r="E1163" i="57" s="1"/>
  <c r="B1145" i="57"/>
  <c r="E1145" i="57" s="1"/>
  <c r="B1127" i="57"/>
  <c r="E1127" i="57" s="1"/>
  <c r="B1109" i="57"/>
  <c r="E1109" i="57" s="1"/>
  <c r="B1091" i="57"/>
  <c r="E1091" i="57" s="1"/>
  <c r="B1073" i="57"/>
  <c r="E1073" i="57" s="1"/>
  <c r="B1055" i="57"/>
  <c r="E1055" i="57" s="1"/>
  <c r="B1037" i="57"/>
  <c r="E1037" i="57" s="1"/>
  <c r="B1019" i="57"/>
  <c r="E1019" i="57" s="1"/>
  <c r="B1001" i="57"/>
  <c r="E1001" i="57" s="1"/>
  <c r="B965" i="57"/>
  <c r="E965" i="57" s="1"/>
  <c r="B947" i="57"/>
  <c r="E947" i="57" s="1"/>
  <c r="B929" i="57"/>
  <c r="E929" i="57" s="1"/>
  <c r="B911" i="57"/>
  <c r="E911" i="57" s="1"/>
  <c r="B875" i="57"/>
  <c r="E875" i="57" s="1"/>
  <c r="B636" i="57"/>
  <c r="E636" i="57" s="1"/>
  <c r="B594" i="57"/>
  <c r="E594" i="57" s="1"/>
  <c r="B534" i="57"/>
  <c r="E534" i="57" s="1"/>
  <c r="B498" i="57"/>
  <c r="E498" i="57" s="1"/>
  <c r="B408" i="57"/>
  <c r="E408" i="57" s="1"/>
  <c r="B318" i="57"/>
  <c r="E318" i="57" s="1"/>
  <c r="B282" i="57"/>
  <c r="E282" i="57" s="1"/>
  <c r="B210" i="57"/>
  <c r="E210" i="57" s="1"/>
  <c r="B1995" i="57"/>
  <c r="E1995" i="57" s="1"/>
  <c r="B1910" i="57"/>
  <c r="E1910" i="57" s="1"/>
  <c r="B1826" i="57"/>
  <c r="E1826" i="57" s="1"/>
  <c r="B1736" i="57"/>
  <c r="E1736" i="57" s="1"/>
  <c r="B1652" i="57"/>
  <c r="E1652" i="57" s="1"/>
  <c r="B1562" i="57"/>
  <c r="E1562" i="57" s="1"/>
  <c r="B1478" i="57"/>
  <c r="E1478" i="57" s="1"/>
  <c r="B1895" i="57"/>
  <c r="E1895" i="57" s="1"/>
  <c r="B1805" i="57"/>
  <c r="E1805" i="57" s="1"/>
  <c r="B1721" i="57"/>
  <c r="E1721" i="57" s="1"/>
  <c r="B1631" i="57"/>
  <c r="E1631" i="57" s="1"/>
  <c r="B1547" i="57"/>
  <c r="E1547" i="57" s="1"/>
  <c r="B1463" i="57"/>
  <c r="E1463" i="57" s="1"/>
  <c r="B1918" i="57"/>
  <c r="E1918" i="57" s="1"/>
  <c r="B1858" i="57"/>
  <c r="E1858" i="57" s="1"/>
  <c r="B1810" i="57"/>
  <c r="E1810" i="57" s="1"/>
  <c r="B1762" i="57"/>
  <c r="E1762" i="57" s="1"/>
  <c r="B1708" i="57"/>
  <c r="E1708" i="57" s="1"/>
  <c r="B1660" i="57"/>
  <c r="E1660" i="57" s="1"/>
  <c r="B1600" i="57"/>
  <c r="E1600" i="57" s="1"/>
  <c r="B1552" i="57"/>
  <c r="E1552" i="57" s="1"/>
  <c r="B1498" i="57"/>
  <c r="E1498" i="57" s="1"/>
  <c r="B1953" i="57"/>
  <c r="E1953" i="57" s="1"/>
  <c r="B1905" i="57"/>
  <c r="E1905" i="57" s="1"/>
  <c r="B1845" i="57"/>
  <c r="E1845" i="57" s="1"/>
  <c r="B1797" i="57"/>
  <c r="E1797" i="57" s="1"/>
  <c r="B1743" i="57"/>
  <c r="E1743" i="57" s="1"/>
  <c r="B1695" i="57"/>
  <c r="E1695" i="57" s="1"/>
  <c r="B1641" i="57"/>
  <c r="E1641" i="57" s="1"/>
  <c r="B1587" i="57"/>
  <c r="E1587" i="57" s="1"/>
  <c r="B1533" i="57"/>
  <c r="E1533" i="57" s="1"/>
  <c r="B1485" i="57"/>
  <c r="E1485" i="57" s="1"/>
  <c r="B1434" i="57"/>
  <c r="E1434" i="57" s="1"/>
  <c r="B1367" i="57"/>
  <c r="E1367" i="57" s="1"/>
  <c r="B1420" i="57"/>
  <c r="E1420" i="57" s="1"/>
  <c r="B1342" i="57"/>
  <c r="E1342" i="57" s="1"/>
  <c r="B1294" i="57"/>
  <c r="E1294" i="57" s="1"/>
  <c r="B1222" i="57"/>
  <c r="E1222" i="57" s="1"/>
  <c r="B1180" i="57"/>
  <c r="E1180" i="57" s="1"/>
  <c r="B1102" i="57"/>
  <c r="E1102" i="57" s="1"/>
  <c r="B1054" i="57"/>
  <c r="E1054" i="57" s="1"/>
  <c r="B982" i="57"/>
  <c r="E982" i="57" s="1"/>
  <c r="B934" i="57"/>
  <c r="E934" i="57" s="1"/>
  <c r="B856" i="57"/>
  <c r="E856" i="57" s="1"/>
  <c r="B814" i="57"/>
  <c r="E814" i="57" s="1"/>
  <c r="B730" i="57"/>
  <c r="E730" i="57" s="1"/>
  <c r="B682" i="57"/>
  <c r="E682" i="57" s="1"/>
  <c r="B604" i="57"/>
  <c r="E604" i="57" s="1"/>
  <c r="B1443" i="57"/>
  <c r="E1443" i="57" s="1"/>
  <c r="B1377" i="57"/>
  <c r="E1377" i="57" s="1"/>
  <c r="B1329" i="57"/>
  <c r="E1329" i="57" s="1"/>
  <c r="B1257" i="57"/>
  <c r="E1257" i="57" s="1"/>
  <c r="B1209" i="57"/>
  <c r="E1209" i="57" s="1"/>
  <c r="B1143" i="57"/>
  <c r="E1143" i="57" s="1"/>
  <c r="B1101" i="57"/>
  <c r="E1101" i="57" s="1"/>
  <c r="B1035" i="57"/>
  <c r="E1035" i="57" s="1"/>
  <c r="B993" i="57"/>
  <c r="E993" i="57" s="1"/>
  <c r="B921" i="57"/>
  <c r="E921" i="57" s="1"/>
  <c r="B873" i="57"/>
  <c r="E873" i="57" s="1"/>
  <c r="B924" i="57"/>
  <c r="E924" i="57" s="1"/>
  <c r="B1067" i="57"/>
  <c r="E1067" i="57" s="1"/>
  <c r="B995" i="57"/>
  <c r="E995" i="57" s="1"/>
  <c r="B959" i="57"/>
  <c r="E959" i="57" s="1"/>
  <c r="B923" i="57"/>
  <c r="E923" i="57" s="1"/>
  <c r="B905" i="57"/>
  <c r="E905" i="57" s="1"/>
  <c r="B648" i="57"/>
  <c r="E648" i="57" s="1"/>
  <c r="B612" i="57"/>
  <c r="E612" i="57" s="1"/>
  <c r="B570" i="57"/>
  <c r="E570" i="57" s="1"/>
  <c r="B546" i="57"/>
  <c r="E546" i="57" s="1"/>
  <c r="B510" i="57"/>
  <c r="E510" i="57" s="1"/>
  <c r="B456" i="57"/>
  <c r="E456" i="57" s="1"/>
  <c r="B396" i="57"/>
  <c r="E396" i="57" s="1"/>
  <c r="B372" i="57"/>
  <c r="E372" i="57" s="1"/>
  <c r="B330" i="57"/>
  <c r="E330" i="57" s="1"/>
  <c r="B312" i="57"/>
  <c r="E312" i="57" s="1"/>
  <c r="B270" i="57"/>
  <c r="E270" i="57" s="1"/>
  <c r="B1989" i="57"/>
  <c r="E1989" i="57" s="1"/>
  <c r="B1904" i="57"/>
  <c r="E1904" i="57" s="1"/>
  <c r="B1814" i="57"/>
  <c r="E1814" i="57" s="1"/>
  <c r="B1730" i="57"/>
  <c r="E1730" i="57" s="1"/>
  <c r="B1646" i="57"/>
  <c r="E1646" i="57" s="1"/>
  <c r="B1556" i="57"/>
  <c r="E1556" i="57" s="1"/>
  <c r="B1472" i="57"/>
  <c r="E1472" i="57" s="1"/>
  <c r="B1883" i="57"/>
  <c r="E1883" i="57" s="1"/>
  <c r="B1799" i="57"/>
  <c r="E1799" i="57" s="1"/>
  <c r="B1715" i="57"/>
  <c r="E1715" i="57" s="1"/>
  <c r="B1625" i="57"/>
  <c r="E1625" i="57" s="1"/>
  <c r="B1541" i="57"/>
  <c r="E1541" i="57" s="1"/>
  <c r="B2490" i="57"/>
  <c r="E2490" i="57" s="1"/>
  <c r="B1906" i="57"/>
  <c r="E1906" i="57" s="1"/>
  <c r="B1852" i="57"/>
  <c r="E1852" i="57" s="1"/>
  <c r="B1804" i="57"/>
  <c r="E1804" i="57" s="1"/>
  <c r="B1750" i="57"/>
  <c r="E1750" i="57" s="1"/>
  <c r="B1702" i="57"/>
  <c r="E1702" i="57" s="1"/>
  <c r="B1642" i="57"/>
  <c r="E1642" i="57" s="1"/>
  <c r="B1594" i="57"/>
  <c r="E1594" i="57" s="1"/>
  <c r="B1546" i="57"/>
  <c r="E1546" i="57" s="1"/>
  <c r="B1492" i="57"/>
  <c r="E1492" i="57" s="1"/>
  <c r="B1947" i="57"/>
  <c r="E1947" i="57" s="1"/>
  <c r="B1887" i="57"/>
  <c r="E1887" i="57" s="1"/>
  <c r="B1839" i="57"/>
  <c r="E1839" i="57" s="1"/>
  <c r="B1785" i="57"/>
  <c r="E1785" i="57" s="1"/>
  <c r="B1737" i="57"/>
  <c r="E1737" i="57" s="1"/>
  <c r="B1689" i="57"/>
  <c r="E1689" i="57" s="1"/>
  <c r="B1629" i="57"/>
  <c r="E1629" i="57" s="1"/>
  <c r="B1581" i="57"/>
  <c r="E1581" i="57" s="1"/>
  <c r="B1527" i="57"/>
  <c r="E1527" i="57" s="1"/>
  <c r="B1479" i="57"/>
  <c r="E1479" i="57" s="1"/>
  <c r="B1403" i="57"/>
  <c r="E1403" i="57" s="1"/>
  <c r="B1438" i="57"/>
  <c r="E1438" i="57" s="1"/>
  <c r="B1366" i="57"/>
  <c r="E1366" i="57" s="1"/>
  <c r="B1318" i="57"/>
  <c r="E1318" i="57" s="1"/>
  <c r="B1240" i="57"/>
  <c r="E1240" i="57" s="1"/>
  <c r="B1198" i="57"/>
  <c r="E1198" i="57" s="1"/>
  <c r="B1120" i="57"/>
  <c r="E1120" i="57" s="1"/>
  <c r="B1072" i="57"/>
  <c r="E1072" i="57" s="1"/>
  <c r="B1000" i="57"/>
  <c r="E1000" i="57" s="1"/>
  <c r="B958" i="57"/>
  <c r="E958" i="57" s="1"/>
  <c r="B874" i="57"/>
  <c r="E874" i="57" s="1"/>
  <c r="B832" i="57"/>
  <c r="E832" i="57" s="1"/>
  <c r="B748" i="57"/>
  <c r="E748" i="57" s="1"/>
  <c r="B700" i="57"/>
  <c r="E700" i="57" s="1"/>
  <c r="B634" i="57"/>
  <c r="E634" i="57" s="1"/>
  <c r="B574" i="57"/>
  <c r="E574" i="57" s="1"/>
  <c r="B1395" i="57"/>
  <c r="E1395" i="57" s="1"/>
  <c r="B1347" i="57"/>
  <c r="E1347" i="57" s="1"/>
  <c r="B1275" i="57"/>
  <c r="E1275" i="57" s="1"/>
  <c r="B1227" i="57"/>
  <c r="E1227" i="57" s="1"/>
  <c r="B1161" i="57"/>
  <c r="E1161" i="57" s="1"/>
  <c r="B1119" i="57"/>
  <c r="E1119" i="57" s="1"/>
  <c r="B1053" i="57"/>
  <c r="E1053" i="57" s="1"/>
  <c r="B1011" i="57"/>
  <c r="E1011" i="57" s="1"/>
  <c r="B945" i="57"/>
  <c r="E945" i="57" s="1"/>
  <c r="B897" i="57"/>
  <c r="E897" i="57" s="1"/>
  <c r="B825" i="57"/>
  <c r="E825" i="57" s="1"/>
  <c r="B801" i="57"/>
  <c r="E801" i="57" s="1"/>
  <c r="B783" i="57"/>
  <c r="E783" i="57" s="1"/>
  <c r="B759" i="57"/>
  <c r="E759" i="57" s="1"/>
  <c r="B741" i="57"/>
  <c r="E741" i="57" s="1"/>
  <c r="B723" i="57"/>
  <c r="E723" i="57" s="1"/>
  <c r="B699" i="57"/>
  <c r="E699" i="57" s="1"/>
  <c r="B681" i="57"/>
  <c r="E681" i="57" s="1"/>
  <c r="B663" i="57"/>
  <c r="E663" i="57" s="1"/>
  <c r="B645" i="57"/>
  <c r="E645" i="57" s="1"/>
  <c r="B1418" i="57"/>
  <c r="E1418" i="57" s="1"/>
  <c r="B1394" i="57"/>
  <c r="E1394" i="57" s="1"/>
  <c r="B1364" i="57"/>
  <c r="E1364" i="57" s="1"/>
  <c r="B1340" i="57"/>
  <c r="E1340" i="57" s="1"/>
  <c r="B1310" i="57"/>
  <c r="E1310" i="57" s="1"/>
  <c r="B1286" i="57"/>
  <c r="E1286" i="57" s="1"/>
  <c r="B1256" i="57"/>
  <c r="E1256" i="57" s="1"/>
  <c r="B1232" i="57"/>
  <c r="E1232" i="57" s="1"/>
  <c r="B1202" i="57"/>
  <c r="E1202" i="57" s="1"/>
  <c r="B1178" i="57"/>
  <c r="E1178" i="57" s="1"/>
  <c r="B1148" i="57"/>
  <c r="E1148" i="57" s="1"/>
  <c r="B1124" i="57"/>
  <c r="E1124" i="57" s="1"/>
  <c r="B1094" i="57"/>
  <c r="E1094" i="57" s="1"/>
  <c r="B1070" i="57"/>
  <c r="E1070" i="57" s="1"/>
  <c r="B1040" i="57"/>
  <c r="E1040" i="57" s="1"/>
  <c r="B1016" i="57"/>
  <c r="E1016" i="57" s="1"/>
  <c r="B986" i="57"/>
  <c r="E986" i="57" s="1"/>
  <c r="B962" i="57"/>
  <c r="E962" i="57" s="1"/>
  <c r="B932" i="57"/>
  <c r="E932" i="57" s="1"/>
  <c r="B908" i="57"/>
  <c r="E908" i="57" s="1"/>
  <c r="B878" i="57"/>
  <c r="E878" i="57" s="1"/>
  <c r="B854" i="57"/>
  <c r="E854" i="57" s="1"/>
  <c r="B830" i="57"/>
  <c r="E830" i="57" s="1"/>
  <c r="B812" i="57"/>
  <c r="E812" i="57" s="1"/>
  <c r="B794" i="57"/>
  <c r="E794" i="57" s="1"/>
  <c r="B776" i="57"/>
  <c r="E776" i="57" s="1"/>
  <c r="B752" i="57"/>
  <c r="E752" i="57" s="1"/>
  <c r="B728" i="57"/>
  <c r="E728" i="57" s="1"/>
  <c r="B710" i="57"/>
  <c r="E710" i="57" s="1"/>
  <c r="B692" i="57"/>
  <c r="E692" i="57" s="1"/>
  <c r="B674" i="57"/>
  <c r="E674" i="57" s="1"/>
  <c r="B650" i="57"/>
  <c r="E650" i="57" s="1"/>
  <c r="B626" i="57"/>
  <c r="E626" i="57" s="1"/>
  <c r="B608" i="57"/>
  <c r="E608" i="57" s="1"/>
  <c r="B1404" i="57"/>
  <c r="E1404" i="57" s="1"/>
  <c r="B1386" i="57"/>
  <c r="E1386" i="57" s="1"/>
  <c r="B1362" i="57"/>
  <c r="E1362" i="57" s="1"/>
  <c r="B1338" i="57"/>
  <c r="E1338" i="57" s="1"/>
  <c r="B1308" i="57"/>
  <c r="E1308" i="57" s="1"/>
  <c r="B1284" i="57"/>
  <c r="E1284" i="57" s="1"/>
  <c r="B1266" i="57"/>
  <c r="E1266" i="57" s="1"/>
  <c r="B1248" i="57"/>
  <c r="E1248" i="57" s="1"/>
  <c r="B1230" i="57"/>
  <c r="E1230" i="57" s="1"/>
  <c r="B1200" i="57"/>
  <c r="E1200" i="57" s="1"/>
  <c r="B1176" i="57"/>
  <c r="E1176" i="57" s="1"/>
  <c r="B1158" i="57"/>
  <c r="E1158" i="57" s="1"/>
  <c r="B1140" i="57"/>
  <c r="E1140" i="57" s="1"/>
  <c r="B1122" i="57"/>
  <c r="E1122" i="57" s="1"/>
  <c r="B1092" i="57"/>
  <c r="E1092" i="57" s="1"/>
  <c r="B1068" i="57"/>
  <c r="E1068" i="57" s="1"/>
  <c r="B1050" i="57"/>
  <c r="E1050" i="57" s="1"/>
  <c r="B1032" i="57"/>
  <c r="E1032" i="57" s="1"/>
  <c r="B1014" i="57"/>
  <c r="E1014" i="57" s="1"/>
  <c r="B984" i="57"/>
  <c r="E984" i="57" s="1"/>
  <c r="B960" i="57"/>
  <c r="E960" i="57" s="1"/>
  <c r="B942" i="57"/>
  <c r="E942" i="57" s="1"/>
  <c r="B906" i="57"/>
  <c r="E906" i="57" s="1"/>
  <c r="B876" i="57"/>
  <c r="E876" i="57" s="1"/>
  <c r="B852" i="57"/>
  <c r="E852" i="57" s="1"/>
  <c r="B834" i="57"/>
  <c r="E834" i="57" s="1"/>
  <c r="B816" i="57"/>
  <c r="E816" i="57" s="1"/>
  <c r="B780" i="57"/>
  <c r="E780" i="57" s="1"/>
  <c r="B750" i="57"/>
  <c r="E750" i="57" s="1"/>
  <c r="B720" i="57"/>
  <c r="E720" i="57" s="1"/>
  <c r="B696" i="57"/>
  <c r="E696" i="57" s="1"/>
  <c r="B678" i="57"/>
  <c r="E678" i="57" s="1"/>
  <c r="B654" i="57"/>
  <c r="E654" i="57" s="1"/>
  <c r="B1415" i="57"/>
  <c r="E1415" i="57" s="1"/>
  <c r="B1373" i="57"/>
  <c r="E1373" i="57" s="1"/>
  <c r="B1343" i="57"/>
  <c r="E1343" i="57" s="1"/>
  <c r="B1325" i="57"/>
  <c r="E1325" i="57" s="1"/>
  <c r="B1301" i="57"/>
  <c r="E1301" i="57" s="1"/>
  <c r="B1283" i="57"/>
  <c r="E1283" i="57" s="1"/>
  <c r="B1265" i="57"/>
  <c r="E1265" i="57" s="1"/>
  <c r="B1247" i="57"/>
  <c r="E1247" i="57" s="1"/>
  <c r="B1229" i="57"/>
  <c r="E1229" i="57" s="1"/>
  <c r="B1211" i="57"/>
  <c r="E1211" i="57" s="1"/>
  <c r="B1193" i="57"/>
  <c r="E1193" i="57" s="1"/>
  <c r="B1175" i="57"/>
  <c r="E1175" i="57" s="1"/>
  <c r="B1157" i="57"/>
  <c r="E1157" i="57" s="1"/>
  <c r="B1139" i="57"/>
  <c r="E1139" i="57" s="1"/>
  <c r="B1121" i="57"/>
  <c r="E1121" i="57" s="1"/>
  <c r="B1103" i="57"/>
  <c r="E1103" i="57" s="1"/>
  <c r="B1085" i="57"/>
  <c r="E1085" i="57" s="1"/>
  <c r="B1049" i="57"/>
  <c r="E1049" i="57" s="1"/>
  <c r="B1031" i="57"/>
  <c r="E1031" i="57" s="1"/>
  <c r="B1013" i="57"/>
  <c r="E1013" i="57" s="1"/>
  <c r="B977" i="57"/>
  <c r="E977" i="57" s="1"/>
  <c r="B941" i="57"/>
  <c r="E941" i="57" s="1"/>
  <c r="B887" i="57"/>
  <c r="E887" i="57" s="1"/>
  <c r="B630" i="57"/>
  <c r="E630" i="57" s="1"/>
  <c r="B588" i="57"/>
  <c r="E588" i="57" s="1"/>
  <c r="B528" i="57"/>
  <c r="E528" i="57" s="1"/>
  <c r="B492" i="57"/>
  <c r="E492" i="57" s="1"/>
  <c r="B426" i="57"/>
  <c r="E426" i="57" s="1"/>
  <c r="B354" i="57"/>
  <c r="E354" i="57" s="1"/>
  <c r="B294" i="57"/>
  <c r="E294" i="57" s="1"/>
  <c r="B1983" i="57"/>
  <c r="E1983" i="57" s="1"/>
  <c r="B1898" i="57"/>
  <c r="E1898" i="57" s="1"/>
  <c r="B1808" i="57"/>
  <c r="E1808" i="57" s="1"/>
  <c r="B1724" i="57"/>
  <c r="E1724" i="57" s="1"/>
  <c r="B1634" i="57"/>
  <c r="E1634" i="57" s="1"/>
  <c r="B1550" i="57"/>
  <c r="E1550" i="57" s="1"/>
  <c r="B1466" i="57"/>
  <c r="E1466" i="57" s="1"/>
  <c r="B1877" i="57"/>
  <c r="E1877" i="57" s="1"/>
  <c r="B1793" i="57"/>
  <c r="E1793" i="57" s="1"/>
  <c r="B1703" i="57"/>
  <c r="E1703" i="57" s="1"/>
  <c r="B1619" i="57"/>
  <c r="E1619" i="57" s="1"/>
  <c r="B1535" i="57"/>
  <c r="E1535" i="57" s="1"/>
  <c r="B2484" i="57"/>
  <c r="E2484" i="57" s="1"/>
  <c r="B1894" i="57"/>
  <c r="E1894" i="57" s="1"/>
  <c r="B1846" i="57"/>
  <c r="E1846" i="57" s="1"/>
  <c r="B1798" i="57"/>
  <c r="E1798" i="57" s="1"/>
  <c r="B1744" i="57"/>
  <c r="E1744" i="57" s="1"/>
  <c r="B1690" i="57"/>
  <c r="E1690" i="57" s="1"/>
  <c r="B1636" i="57"/>
  <c r="E1636" i="57" s="1"/>
  <c r="B1588" i="57"/>
  <c r="E1588" i="57" s="1"/>
  <c r="B1534" i="57"/>
  <c r="E1534" i="57" s="1"/>
  <c r="B1486" i="57"/>
  <c r="E1486" i="57" s="1"/>
  <c r="B1929" i="57"/>
  <c r="E1929" i="57" s="1"/>
  <c r="B1881" i="57"/>
  <c r="E1881" i="57" s="1"/>
  <c r="B1833" i="57"/>
  <c r="E1833" i="57" s="1"/>
  <c r="B1779" i="57"/>
  <c r="E1779" i="57" s="1"/>
  <c r="B1731" i="57"/>
  <c r="E1731" i="57" s="1"/>
  <c r="B1671" i="57"/>
  <c r="E1671" i="57" s="1"/>
  <c r="B1623" i="57"/>
  <c r="E1623" i="57" s="1"/>
  <c r="B1569" i="57"/>
  <c r="E1569" i="57" s="1"/>
  <c r="B1521" i="57"/>
  <c r="E1521" i="57" s="1"/>
  <c r="B1473" i="57"/>
  <c r="E1473" i="57" s="1"/>
  <c r="B1427" i="57"/>
  <c r="E1427" i="57" s="1"/>
  <c r="B1355" i="57"/>
  <c r="E1355" i="57" s="1"/>
  <c r="B1390" i="57"/>
  <c r="E1390" i="57" s="1"/>
  <c r="B1336" i="57"/>
  <c r="E1336" i="57" s="1"/>
  <c r="B1264" i="57"/>
  <c r="E1264" i="57" s="1"/>
  <c r="B1216" i="57"/>
  <c r="E1216" i="57" s="1"/>
  <c r="B1144" i="57"/>
  <c r="E1144" i="57" s="1"/>
  <c r="B1090" i="57"/>
  <c r="E1090" i="57" s="1"/>
  <c r="B1018" i="57"/>
  <c r="E1018" i="57" s="1"/>
  <c r="B976" i="57"/>
  <c r="E976" i="57" s="1"/>
  <c r="B898" i="57"/>
  <c r="E898" i="57" s="1"/>
  <c r="B850" i="57"/>
  <c r="E850" i="57" s="1"/>
  <c r="B778" i="57"/>
  <c r="E778" i="57" s="1"/>
  <c r="B718" i="57"/>
  <c r="E718" i="57" s="1"/>
  <c r="B652" i="57"/>
  <c r="E652" i="57" s="1"/>
  <c r="B592" i="57"/>
  <c r="E592" i="57" s="1"/>
  <c r="B1413" i="57"/>
  <c r="E1413" i="57" s="1"/>
  <c r="B1371" i="57"/>
  <c r="E1371" i="57" s="1"/>
  <c r="B1293" i="57"/>
  <c r="E1293" i="57" s="1"/>
  <c r="B1251" i="57"/>
  <c r="E1251" i="57" s="1"/>
  <c r="B1179" i="57"/>
  <c r="E1179" i="57" s="1"/>
  <c r="B1137" i="57"/>
  <c r="E1137" i="57" s="1"/>
  <c r="B1071" i="57"/>
  <c r="E1071" i="57" s="1"/>
  <c r="B1029" i="57"/>
  <c r="E1029" i="57" s="1"/>
  <c r="B963" i="57"/>
  <c r="E963" i="57" s="1"/>
  <c r="B915" i="57"/>
  <c r="E915" i="57" s="1"/>
  <c r="B843" i="57"/>
  <c r="E843" i="57" s="1"/>
  <c r="B149" i="57"/>
  <c r="E149" i="57" s="1"/>
  <c r="B508" i="57"/>
  <c r="E508" i="57" s="1"/>
  <c r="B424" i="57"/>
  <c r="E424" i="57" s="1"/>
  <c r="B382" i="57"/>
  <c r="E382" i="57" s="1"/>
  <c r="B334" i="57"/>
  <c r="E334" i="57" s="1"/>
  <c r="B292" i="57"/>
  <c r="E292" i="57" s="1"/>
  <c r="B256" i="57"/>
  <c r="E256" i="57" s="1"/>
  <c r="B208" i="57"/>
  <c r="E208" i="57" s="1"/>
  <c r="B166" i="57"/>
  <c r="E166" i="57" s="1"/>
  <c r="B118" i="57"/>
  <c r="E118" i="57" s="1"/>
  <c r="B22" i="57"/>
  <c r="E22" i="57" s="1"/>
  <c r="B627" i="57"/>
  <c r="E627" i="57" s="1"/>
  <c r="B591" i="57"/>
  <c r="E591" i="57" s="1"/>
  <c r="B555" i="57"/>
  <c r="E555" i="57" s="1"/>
  <c r="B537" i="57"/>
  <c r="E537" i="57" s="1"/>
  <c r="B501" i="57"/>
  <c r="E501" i="57" s="1"/>
  <c r="B465" i="57"/>
  <c r="E465" i="57" s="1"/>
  <c r="B429" i="57"/>
  <c r="E429" i="57" s="1"/>
  <c r="B393" i="57"/>
  <c r="E393" i="57" s="1"/>
  <c r="B357" i="57"/>
  <c r="E357" i="57" s="1"/>
  <c r="B315" i="57"/>
  <c r="E315" i="57" s="1"/>
  <c r="B297" i="57"/>
  <c r="E297" i="57" s="1"/>
  <c r="B261" i="57"/>
  <c r="E261" i="57" s="1"/>
  <c r="B219" i="57"/>
  <c r="E219" i="57" s="1"/>
  <c r="B183" i="57"/>
  <c r="E183" i="57" s="1"/>
  <c r="B147" i="57"/>
  <c r="E147" i="57" s="1"/>
  <c r="B111" i="57"/>
  <c r="E111" i="57" s="1"/>
  <c r="B57" i="57"/>
  <c r="E57" i="57" s="1"/>
  <c r="B1453" i="57"/>
  <c r="E1453" i="57" s="1"/>
  <c r="B590" i="57"/>
  <c r="E590" i="57" s="1"/>
  <c r="B548" i="57"/>
  <c r="E548" i="57" s="1"/>
  <c r="B506" i="57"/>
  <c r="E506" i="57" s="1"/>
  <c r="B488" i="57"/>
  <c r="E488" i="57" s="1"/>
  <c r="B1952" i="57"/>
  <c r="E1952" i="57" s="1"/>
  <c r="B1868" i="57"/>
  <c r="E1868" i="57" s="1"/>
  <c r="B1778" i="57"/>
  <c r="E1778" i="57" s="1"/>
  <c r="B1694" i="57"/>
  <c r="E1694" i="57" s="1"/>
  <c r="B1610" i="57"/>
  <c r="E1610" i="57" s="1"/>
  <c r="B1520" i="57"/>
  <c r="E1520" i="57" s="1"/>
  <c r="B1937" i="57"/>
  <c r="E1937" i="57" s="1"/>
  <c r="B1847" i="57"/>
  <c r="E1847" i="57" s="1"/>
  <c r="B1763" i="57"/>
  <c r="E1763" i="57" s="1"/>
  <c r="B1679" i="57"/>
  <c r="E1679" i="57" s="1"/>
  <c r="B1589" i="57"/>
  <c r="E1589" i="57" s="1"/>
  <c r="B1505" i="57"/>
  <c r="E1505" i="57" s="1"/>
  <c r="B1942" i="57"/>
  <c r="E1942" i="57" s="1"/>
  <c r="B1888" i="57"/>
  <c r="E1888" i="57" s="1"/>
  <c r="B1840" i="57"/>
  <c r="E1840" i="57" s="1"/>
  <c r="B1786" i="57"/>
  <c r="E1786" i="57" s="1"/>
  <c r="B1732" i="57"/>
  <c r="E1732" i="57" s="1"/>
  <c r="B1678" i="57"/>
  <c r="E1678" i="57" s="1"/>
  <c r="B1630" i="57"/>
  <c r="E1630" i="57" s="1"/>
  <c r="B1582" i="57"/>
  <c r="E1582" i="57" s="1"/>
  <c r="B1528" i="57"/>
  <c r="E1528" i="57" s="1"/>
  <c r="B1474" i="57"/>
  <c r="E1474" i="57" s="1"/>
  <c r="B1923" i="57"/>
  <c r="E1923" i="57" s="1"/>
  <c r="B1875" i="57"/>
  <c r="E1875" i="57" s="1"/>
  <c r="B1821" i="57"/>
  <c r="E1821" i="57" s="1"/>
  <c r="B1773" i="57"/>
  <c r="E1773" i="57" s="1"/>
  <c r="B1713" i="57"/>
  <c r="E1713" i="57" s="1"/>
  <c r="B1665" i="57"/>
  <c r="E1665" i="57" s="1"/>
  <c r="B1617" i="57"/>
  <c r="E1617" i="57" s="1"/>
  <c r="B1563" i="57"/>
  <c r="E1563" i="57" s="1"/>
  <c r="B1515" i="57"/>
  <c r="E1515" i="57" s="1"/>
  <c r="B1356" i="57"/>
  <c r="E1356" i="57" s="1"/>
  <c r="B1391" i="57"/>
  <c r="E1391" i="57" s="1"/>
  <c r="B1408" i="57"/>
  <c r="E1408" i="57" s="1"/>
  <c r="B1360" i="57"/>
  <c r="E1360" i="57" s="1"/>
  <c r="B1282" i="57"/>
  <c r="E1282" i="57" s="1"/>
  <c r="B1234" i="57"/>
  <c r="E1234" i="57" s="1"/>
  <c r="B1168" i="57"/>
  <c r="E1168" i="57" s="1"/>
  <c r="B1114" i="57"/>
  <c r="E1114" i="57" s="1"/>
  <c r="B1036" i="57"/>
  <c r="E1036" i="57" s="1"/>
  <c r="B994" i="57"/>
  <c r="E994" i="57" s="1"/>
  <c r="B922" i="57"/>
  <c r="E922" i="57" s="1"/>
  <c r="B868" i="57"/>
  <c r="E868" i="57" s="1"/>
  <c r="B802" i="57"/>
  <c r="E802" i="57" s="1"/>
  <c r="B742" i="57"/>
  <c r="E742" i="57" s="1"/>
  <c r="B670" i="57"/>
  <c r="E670" i="57" s="1"/>
  <c r="B622" i="57"/>
  <c r="E622" i="57" s="1"/>
  <c r="B1431" i="57"/>
  <c r="E1431" i="57" s="1"/>
  <c r="B1389" i="57"/>
  <c r="E1389" i="57" s="1"/>
  <c r="B1311" i="57"/>
  <c r="E1311" i="57" s="1"/>
  <c r="B1269" i="57"/>
  <c r="E1269" i="57" s="1"/>
  <c r="B1197" i="57"/>
  <c r="E1197" i="57" s="1"/>
  <c r="B1155" i="57"/>
  <c r="E1155" i="57" s="1"/>
  <c r="B1089" i="57"/>
  <c r="E1089" i="57" s="1"/>
  <c r="B1047" i="57"/>
  <c r="E1047" i="57" s="1"/>
  <c r="B981" i="57"/>
  <c r="E981" i="57" s="1"/>
  <c r="B939" i="57"/>
  <c r="E939" i="57" s="1"/>
  <c r="B861" i="57"/>
  <c r="E861" i="57" s="1"/>
  <c r="B819" i="57"/>
  <c r="E819" i="57" s="1"/>
  <c r="B795" i="57"/>
  <c r="E795" i="57" s="1"/>
  <c r="B771" i="57"/>
  <c r="E771" i="57" s="1"/>
  <c r="B753" i="57"/>
  <c r="E753" i="57" s="1"/>
  <c r="B735" i="57"/>
  <c r="E735" i="57" s="1"/>
  <c r="B717" i="57"/>
  <c r="E717" i="57" s="1"/>
  <c r="B693" i="57"/>
  <c r="E693" i="57" s="1"/>
  <c r="B675" i="57"/>
  <c r="E675" i="57" s="1"/>
  <c r="B657" i="57"/>
  <c r="E657" i="57" s="1"/>
  <c r="B1436" i="57"/>
  <c r="E1436" i="57" s="1"/>
  <c r="B1412" i="57"/>
  <c r="E1412" i="57" s="1"/>
  <c r="B1382" i="57"/>
  <c r="E1382" i="57" s="1"/>
  <c r="B1358" i="57"/>
  <c r="E1358" i="57" s="1"/>
  <c r="B1328" i="57"/>
  <c r="E1328" i="57" s="1"/>
  <c r="B1304" i="57"/>
  <c r="E1304" i="57" s="1"/>
  <c r="B1274" i="57"/>
  <c r="E1274" i="57" s="1"/>
  <c r="B1250" i="57"/>
  <c r="E1250" i="57" s="1"/>
  <c r="B1220" i="57"/>
  <c r="E1220" i="57" s="1"/>
  <c r="B1196" i="57"/>
  <c r="E1196" i="57" s="1"/>
  <c r="B1166" i="57"/>
  <c r="E1166" i="57" s="1"/>
  <c r="B1142" i="57"/>
  <c r="E1142" i="57" s="1"/>
  <c r="B1112" i="57"/>
  <c r="E1112" i="57" s="1"/>
  <c r="B1088" i="57"/>
  <c r="E1088" i="57" s="1"/>
  <c r="B1058" i="57"/>
  <c r="E1058" i="57" s="1"/>
  <c r="B1034" i="57"/>
  <c r="E1034" i="57" s="1"/>
  <c r="B1004" i="57"/>
  <c r="E1004" i="57" s="1"/>
  <c r="B980" i="57"/>
  <c r="E980" i="57" s="1"/>
  <c r="B950" i="57"/>
  <c r="E950" i="57" s="1"/>
  <c r="B926" i="57"/>
  <c r="E926" i="57" s="1"/>
  <c r="B896" i="57"/>
  <c r="E896" i="57" s="1"/>
  <c r="B872" i="57"/>
  <c r="E872" i="57" s="1"/>
  <c r="B842" i="57"/>
  <c r="E842" i="57" s="1"/>
  <c r="B824" i="57"/>
  <c r="E824" i="57" s="1"/>
  <c r="B806" i="57"/>
  <c r="E806" i="57" s="1"/>
  <c r="B788" i="57"/>
  <c r="E788" i="57" s="1"/>
  <c r="B764" i="57"/>
  <c r="E764" i="57" s="1"/>
  <c r="B746" i="57"/>
  <c r="E746" i="57" s="1"/>
  <c r="B722" i="57"/>
  <c r="E722" i="57" s="1"/>
  <c r="B704" i="57"/>
  <c r="E704" i="57" s="1"/>
  <c r="B686" i="57"/>
  <c r="E686" i="57" s="1"/>
  <c r="B668" i="57"/>
  <c r="E668" i="57" s="1"/>
  <c r="B644" i="57"/>
  <c r="E644" i="57" s="1"/>
  <c r="B620" i="57"/>
  <c r="E620" i="57" s="1"/>
  <c r="B602" i="57"/>
  <c r="E602" i="57" s="1"/>
  <c r="B1398" i="57"/>
  <c r="E1398" i="57" s="1"/>
  <c r="B1374" i="57"/>
  <c r="E1374" i="57" s="1"/>
  <c r="B1350" i="57"/>
  <c r="E1350" i="57" s="1"/>
  <c r="B1326" i="57"/>
  <c r="E1326" i="57" s="1"/>
  <c r="B1296" i="57"/>
  <c r="E1296" i="57" s="1"/>
  <c r="B1278" i="57"/>
  <c r="E1278" i="57" s="1"/>
  <c r="B1260" i="57"/>
  <c r="E1260" i="57" s="1"/>
  <c r="B1242" i="57"/>
  <c r="E1242" i="57" s="1"/>
  <c r="B1218" i="57"/>
  <c r="E1218" i="57" s="1"/>
  <c r="B1188" i="57"/>
  <c r="E1188" i="57" s="1"/>
  <c r="B1170" i="57"/>
  <c r="E1170" i="57" s="1"/>
  <c r="B1152" i="57"/>
  <c r="E1152" i="57" s="1"/>
  <c r="B1134" i="57"/>
  <c r="E1134" i="57" s="1"/>
  <c r="B1110" i="57"/>
  <c r="E1110" i="57" s="1"/>
  <c r="B1080" i="57"/>
  <c r="E1080" i="57" s="1"/>
  <c r="B1062" i="57"/>
  <c r="E1062" i="57" s="1"/>
  <c r="B1044" i="57"/>
  <c r="E1044" i="57" s="1"/>
  <c r="B1026" i="57"/>
  <c r="E1026" i="57" s="1"/>
  <c r="B1002" i="57"/>
  <c r="E1002" i="57" s="1"/>
  <c r="B972" i="57"/>
  <c r="E972" i="57" s="1"/>
  <c r="B954" i="57"/>
  <c r="E954" i="57" s="1"/>
  <c r="B936" i="57"/>
  <c r="E936" i="57" s="1"/>
  <c r="B918" i="57"/>
  <c r="E918" i="57" s="1"/>
  <c r="B894" i="57"/>
  <c r="E894" i="57" s="1"/>
  <c r="B864" i="57"/>
  <c r="E864" i="57" s="1"/>
  <c r="B846" i="57"/>
  <c r="E846" i="57" s="1"/>
  <c r="B828" i="57"/>
  <c r="E828" i="57" s="1"/>
  <c r="B804" i="57"/>
  <c r="E804" i="57" s="1"/>
  <c r="B774" i="57"/>
  <c r="E774" i="57" s="1"/>
  <c r="B744" i="57"/>
  <c r="E744" i="57" s="1"/>
  <c r="B708" i="57"/>
  <c r="E708" i="57" s="1"/>
  <c r="B690" i="57"/>
  <c r="E690" i="57" s="1"/>
  <c r="B666" i="57"/>
  <c r="E666" i="57" s="1"/>
  <c r="B1380" i="57"/>
  <c r="E1380" i="57" s="1"/>
  <c r="B1397" i="57"/>
  <c r="E1397" i="57" s="1"/>
  <c r="B1361" i="57"/>
  <c r="E1361" i="57" s="1"/>
  <c r="B1337" i="57"/>
  <c r="E1337" i="57" s="1"/>
  <c r="B1319" i="57"/>
  <c r="E1319" i="57" s="1"/>
  <c r="B1295" i="57"/>
  <c r="E1295" i="57" s="1"/>
  <c r="B1277" i="57"/>
  <c r="E1277" i="57" s="1"/>
  <c r="B1259" i="57"/>
  <c r="E1259" i="57" s="1"/>
  <c r="B1241" i="57"/>
  <c r="E1241" i="57" s="1"/>
  <c r="B1223" i="57"/>
  <c r="E1223" i="57" s="1"/>
  <c r="B1205" i="57"/>
  <c r="E1205" i="57" s="1"/>
  <c r="B1187" i="57"/>
  <c r="E1187" i="57" s="1"/>
  <c r="B1169" i="57"/>
  <c r="E1169" i="57" s="1"/>
  <c r="B1151" i="57"/>
  <c r="E1151" i="57" s="1"/>
  <c r="B1133" i="57"/>
  <c r="E1133" i="57" s="1"/>
  <c r="B1115" i="57"/>
  <c r="E1115" i="57" s="1"/>
  <c r="B1097" i="57"/>
  <c r="E1097" i="57" s="1"/>
  <c r="B1079" i="57"/>
  <c r="E1079" i="57" s="1"/>
  <c r="B1061" i="57"/>
  <c r="E1061" i="57" s="1"/>
  <c r="B1043" i="57"/>
  <c r="E1043" i="57" s="1"/>
  <c r="B1025" i="57"/>
  <c r="E1025" i="57" s="1"/>
  <c r="B1007" i="57"/>
  <c r="E1007" i="57" s="1"/>
  <c r="B989" i="57"/>
  <c r="E989" i="57" s="1"/>
  <c r="B971" i="57"/>
  <c r="E971" i="57" s="1"/>
  <c r="B953" i="57"/>
  <c r="E953" i="57" s="1"/>
  <c r="B935" i="57"/>
  <c r="E935" i="57" s="1"/>
  <c r="B917" i="57"/>
  <c r="E917" i="57" s="1"/>
  <c r="B899" i="57"/>
  <c r="E899" i="57" s="1"/>
  <c r="B881" i="57"/>
  <c r="E881" i="57" s="1"/>
  <c r="B642" i="57"/>
  <c r="E642" i="57" s="1"/>
  <c r="B624" i="57"/>
  <c r="E624" i="57" s="1"/>
  <c r="B606" i="57"/>
  <c r="E606" i="57" s="1"/>
  <c r="B582" i="57"/>
  <c r="E582" i="57" s="1"/>
  <c r="B564" i="57"/>
  <c r="E564" i="57" s="1"/>
  <c r="B540" i="57"/>
  <c r="E540" i="57" s="1"/>
  <c r="B522" i="57"/>
  <c r="E522" i="57" s="1"/>
  <c r="B504" i="57"/>
  <c r="E504" i="57" s="1"/>
  <c r="B480" i="57"/>
  <c r="E480" i="57" s="1"/>
  <c r="B450" i="57"/>
  <c r="E450" i="57" s="1"/>
  <c r="B420" i="57"/>
  <c r="E420" i="57" s="1"/>
  <c r="B384" i="57"/>
  <c r="E384" i="57" s="1"/>
  <c r="B366" i="57"/>
  <c r="E366" i="57" s="1"/>
  <c r="B342" i="57"/>
  <c r="E342" i="57" s="1"/>
  <c r="B324" i="57"/>
  <c r="E324" i="57" s="1"/>
  <c r="B306" i="57"/>
  <c r="E306" i="57" s="1"/>
  <c r="B288" i="57"/>
  <c r="E288" i="57" s="1"/>
  <c r="B264" i="57"/>
  <c r="E264" i="57" s="1"/>
  <c r="B246" i="57"/>
  <c r="E246" i="57" s="1"/>
  <c r="B222" i="57"/>
  <c r="E222" i="57" s="1"/>
  <c r="B192" i="57"/>
  <c r="E192" i="57" s="1"/>
  <c r="B162" i="57"/>
  <c r="E162" i="57" s="1"/>
  <c r="B144" i="57"/>
  <c r="E144" i="57" s="1"/>
  <c r="B126" i="57"/>
  <c r="E126" i="57" s="1"/>
  <c r="B108" i="57"/>
  <c r="E108" i="57" s="1"/>
  <c r="B84" i="57"/>
  <c r="E84" i="57" s="1"/>
  <c r="B60" i="57"/>
  <c r="E60" i="57" s="1"/>
  <c r="B42" i="57"/>
  <c r="E42" i="57" s="1"/>
  <c r="B24" i="57"/>
  <c r="E24" i="57" s="1"/>
  <c r="B2493" i="57"/>
  <c r="E2493" i="57" s="1"/>
  <c r="B869" i="57"/>
  <c r="E869" i="57" s="1"/>
  <c r="B851" i="57"/>
  <c r="E851" i="57" s="1"/>
  <c r="B833" i="57"/>
  <c r="E833" i="57" s="1"/>
  <c r="B815" i="57"/>
  <c r="E815" i="57" s="1"/>
  <c r="B797" i="57"/>
  <c r="E797" i="57" s="1"/>
  <c r="B779" i="57"/>
  <c r="E779" i="57" s="1"/>
  <c r="B761" i="57"/>
  <c r="E761" i="57" s="1"/>
  <c r="B743" i="57"/>
  <c r="E743" i="57" s="1"/>
  <c r="B725" i="57"/>
  <c r="E725" i="57" s="1"/>
  <c r="B707" i="57"/>
  <c r="E707" i="57" s="1"/>
  <c r="B689" i="57"/>
  <c r="E689" i="57" s="1"/>
  <c r="B671" i="57"/>
  <c r="E671" i="57" s="1"/>
  <c r="B653" i="57"/>
  <c r="E653" i="57" s="1"/>
  <c r="B635" i="57"/>
  <c r="E635" i="57" s="1"/>
  <c r="B617" i="57"/>
  <c r="E617" i="57" s="1"/>
  <c r="B599" i="57"/>
  <c r="E599" i="57" s="1"/>
  <c r="B581" i="57"/>
  <c r="E581" i="57" s="1"/>
  <c r="B563" i="57"/>
  <c r="E563" i="57" s="1"/>
  <c r="B545" i="57"/>
  <c r="E545" i="57" s="1"/>
  <c r="B527" i="57"/>
  <c r="E527" i="57" s="1"/>
  <c r="B509" i="57"/>
  <c r="E509" i="57" s="1"/>
  <c r="B491" i="57"/>
  <c r="E491" i="57" s="1"/>
  <c r="B473" i="57"/>
  <c r="E473" i="57" s="1"/>
  <c r="B455" i="57"/>
  <c r="E455" i="57" s="1"/>
  <c r="B437" i="57"/>
  <c r="E437" i="57" s="1"/>
  <c r="B419" i="57"/>
  <c r="E419" i="57" s="1"/>
  <c r="B401" i="57"/>
  <c r="E401" i="57" s="1"/>
  <c r="B383" i="57"/>
  <c r="E383" i="57" s="1"/>
  <c r="B365" i="57"/>
  <c r="E365" i="57" s="1"/>
  <c r="B347" i="57"/>
  <c r="E347" i="57" s="1"/>
  <c r="B329" i="57"/>
  <c r="E329" i="57" s="1"/>
  <c r="B311" i="57"/>
  <c r="E311" i="57" s="1"/>
  <c r="B293" i="57"/>
  <c r="E293" i="57" s="1"/>
  <c r="B275" i="57"/>
  <c r="E275" i="57" s="1"/>
  <c r="B257" i="57"/>
  <c r="E257" i="57" s="1"/>
  <c r="B239" i="57"/>
  <c r="E239" i="57" s="1"/>
  <c r="B221" i="57"/>
  <c r="E221" i="57" s="1"/>
  <c r="B203" i="57"/>
  <c r="E203" i="57" s="1"/>
  <c r="B185" i="57"/>
  <c r="E185" i="57" s="1"/>
  <c r="B167" i="57"/>
  <c r="E167" i="57" s="1"/>
  <c r="B131" i="57"/>
  <c r="E131" i="57" s="1"/>
  <c r="B113" i="57"/>
  <c r="E113" i="57" s="1"/>
  <c r="B95" i="57"/>
  <c r="E95" i="57" s="1"/>
  <c r="B77" i="57"/>
  <c r="E77" i="57" s="1"/>
  <c r="B59" i="57"/>
  <c r="E59" i="57" s="1"/>
  <c r="B41" i="57"/>
  <c r="E41" i="57" s="1"/>
  <c r="B23" i="57"/>
  <c r="E23" i="57" s="1"/>
  <c r="B1449" i="57"/>
  <c r="E1449" i="57" s="1"/>
  <c r="B2510" i="57"/>
  <c r="E2510" i="57" s="1"/>
  <c r="B15" i="57"/>
  <c r="E15" i="57" s="1"/>
  <c r="B538" i="57"/>
  <c r="E538" i="57" s="1"/>
  <c r="B484" i="57"/>
  <c r="E484" i="57" s="1"/>
  <c r="B460" i="57"/>
  <c r="E460" i="57" s="1"/>
  <c r="B442" i="57"/>
  <c r="E442" i="57" s="1"/>
  <c r="B400" i="57"/>
  <c r="E400" i="57" s="1"/>
  <c r="B358" i="57"/>
  <c r="E358" i="57" s="1"/>
  <c r="B310" i="57"/>
  <c r="E310" i="57" s="1"/>
  <c r="B274" i="57"/>
  <c r="E274" i="57" s="1"/>
  <c r="B238" i="57"/>
  <c r="E238" i="57" s="1"/>
  <c r="B190" i="57"/>
  <c r="E190" i="57" s="1"/>
  <c r="B142" i="57"/>
  <c r="E142" i="57" s="1"/>
  <c r="B2491" i="57"/>
  <c r="E2491" i="57" s="1"/>
  <c r="B609" i="57"/>
  <c r="E609" i="57" s="1"/>
  <c r="B573" i="57"/>
  <c r="E573" i="57" s="1"/>
  <c r="B519" i="57"/>
  <c r="E519" i="57" s="1"/>
  <c r="B483" i="57"/>
  <c r="E483" i="57" s="1"/>
  <c r="B447" i="57"/>
  <c r="E447" i="57" s="1"/>
  <c r="B411" i="57"/>
  <c r="E411" i="57" s="1"/>
  <c r="B375" i="57"/>
  <c r="E375" i="57" s="1"/>
  <c r="B333" i="57"/>
  <c r="E333" i="57" s="1"/>
  <c r="B279" i="57"/>
  <c r="E279" i="57" s="1"/>
  <c r="B237" i="57"/>
  <c r="E237" i="57" s="1"/>
  <c r="B201" i="57"/>
  <c r="E201" i="57" s="1"/>
  <c r="B165" i="57"/>
  <c r="E165" i="57" s="1"/>
  <c r="B129" i="57"/>
  <c r="E129" i="57" s="1"/>
  <c r="B87" i="57"/>
  <c r="E87" i="57" s="1"/>
  <c r="B33" i="57"/>
  <c r="E33" i="57" s="1"/>
  <c r="B2502" i="57"/>
  <c r="E2502" i="57" s="1"/>
  <c r="B572" i="57"/>
  <c r="E572" i="57" s="1"/>
  <c r="B530" i="57"/>
  <c r="E530" i="57" s="1"/>
  <c r="B453" i="57"/>
  <c r="E453" i="57" s="1"/>
  <c r="B356" i="57"/>
  <c r="E356" i="57" s="1"/>
  <c r="B176" i="57"/>
  <c r="E176" i="57" s="1"/>
  <c r="B98" i="57"/>
  <c r="E98" i="57" s="1"/>
  <c r="B32" i="57"/>
  <c r="E32" i="57" s="1"/>
  <c r="B49" i="57"/>
  <c r="E49" i="57" s="1"/>
  <c r="B2500" i="57"/>
  <c r="E2500" i="57" s="1"/>
  <c r="B302" i="57"/>
  <c r="E302" i="57" s="1"/>
  <c r="B170" i="57"/>
  <c r="E170" i="57" s="1"/>
  <c r="B68" i="57"/>
  <c r="E68" i="57" s="1"/>
  <c r="B1451" i="57"/>
  <c r="E1451" i="57" s="1"/>
  <c r="B156" i="57"/>
  <c r="E156" i="57" s="1"/>
  <c r="B132" i="57"/>
  <c r="E132" i="57" s="1"/>
  <c r="B54" i="57"/>
  <c r="E54" i="57" s="1"/>
  <c r="B1450" i="57"/>
  <c r="E1450" i="57" s="1"/>
  <c r="B827" i="57"/>
  <c r="E827" i="57" s="1"/>
  <c r="B785" i="57"/>
  <c r="E785" i="57" s="1"/>
  <c r="B719" i="57"/>
  <c r="E719" i="57" s="1"/>
  <c r="B677" i="57"/>
  <c r="E677" i="57" s="1"/>
  <c r="B611" i="57"/>
  <c r="E611" i="57" s="1"/>
  <c r="B569" i="57"/>
  <c r="E569" i="57" s="1"/>
  <c r="B503" i="57"/>
  <c r="E503" i="57" s="1"/>
  <c r="B461" i="57"/>
  <c r="E461" i="57" s="1"/>
  <c r="B395" i="57"/>
  <c r="E395" i="57" s="1"/>
  <c r="B353" i="57"/>
  <c r="E353" i="57" s="1"/>
  <c r="B287" i="57"/>
  <c r="E287" i="57" s="1"/>
  <c r="B245" i="57"/>
  <c r="E245" i="57" s="1"/>
  <c r="B179" i="57"/>
  <c r="E179" i="57" s="1"/>
  <c r="B137" i="57"/>
  <c r="E137" i="57" s="1"/>
  <c r="B71" i="57"/>
  <c r="E71" i="57" s="1"/>
  <c r="B29" i="57"/>
  <c r="E29" i="57" s="1"/>
  <c r="B550" i="57"/>
  <c r="E550" i="57" s="1"/>
  <c r="B490" i="57"/>
  <c r="E490" i="57" s="1"/>
  <c r="B418" i="57"/>
  <c r="E418" i="57" s="1"/>
  <c r="B364" i="57"/>
  <c r="E364" i="57" s="1"/>
  <c r="B286" i="57"/>
  <c r="E286" i="57" s="1"/>
  <c r="B244" i="57"/>
  <c r="E244" i="57" s="1"/>
  <c r="B154" i="57"/>
  <c r="E154" i="57" s="1"/>
  <c r="B28" i="57"/>
  <c r="E28" i="57" s="1"/>
  <c r="B603" i="57"/>
  <c r="E603" i="57" s="1"/>
  <c r="B561" i="57"/>
  <c r="E561" i="57" s="1"/>
  <c r="B339" i="57"/>
  <c r="E339" i="57" s="1"/>
  <c r="B159" i="57"/>
  <c r="E159" i="57" s="1"/>
  <c r="B27" i="57"/>
  <c r="E27" i="57" s="1"/>
  <c r="B434" i="57"/>
  <c r="E434" i="57" s="1"/>
  <c r="B374" i="57"/>
  <c r="E374" i="57" s="1"/>
  <c r="B314" i="57"/>
  <c r="E314" i="57" s="1"/>
  <c r="B248" i="57"/>
  <c r="E248" i="57" s="1"/>
  <c r="B194" i="57"/>
  <c r="E194" i="57" s="1"/>
  <c r="B116" i="57"/>
  <c r="E116" i="57" s="1"/>
  <c r="B50" i="57"/>
  <c r="E50" i="57" s="1"/>
  <c r="B2488" i="57"/>
  <c r="E2488" i="57" s="1"/>
  <c r="B188" i="57"/>
  <c r="E188" i="57" s="1"/>
  <c r="B2501" i="57"/>
  <c r="E2501" i="57" s="1"/>
  <c r="B234" i="57"/>
  <c r="E234" i="57" s="1"/>
  <c r="B78" i="57"/>
  <c r="E78" i="57" s="1"/>
  <c r="B30" i="57"/>
  <c r="E30" i="57" s="1"/>
  <c r="B845" i="57"/>
  <c r="E845" i="57" s="1"/>
  <c r="B803" i="57"/>
  <c r="E803" i="57" s="1"/>
  <c r="B737" i="57"/>
  <c r="E737" i="57" s="1"/>
  <c r="B695" i="57"/>
  <c r="E695" i="57" s="1"/>
  <c r="B629" i="57"/>
  <c r="E629" i="57" s="1"/>
  <c r="B587" i="57"/>
  <c r="E587" i="57" s="1"/>
  <c r="B521" i="57"/>
  <c r="E521" i="57" s="1"/>
  <c r="B479" i="57"/>
  <c r="E479" i="57" s="1"/>
  <c r="B413" i="57"/>
  <c r="E413" i="57" s="1"/>
  <c r="B371" i="57"/>
  <c r="E371" i="57" s="1"/>
  <c r="B305" i="57"/>
  <c r="E305" i="57" s="1"/>
  <c r="B263" i="57"/>
  <c r="E263" i="57" s="1"/>
  <c r="B197" i="57"/>
  <c r="E197" i="57" s="1"/>
  <c r="B155" i="57"/>
  <c r="E155" i="57" s="1"/>
  <c r="B89" i="57"/>
  <c r="E89" i="57" s="1"/>
  <c r="B47" i="57"/>
  <c r="E47" i="57" s="1"/>
  <c r="B2504" i="57"/>
  <c r="E2504" i="57" s="1"/>
  <c r="B520" i="57"/>
  <c r="E520" i="57" s="1"/>
  <c r="B436" i="57"/>
  <c r="E436" i="57" s="1"/>
  <c r="B388" i="57"/>
  <c r="E388" i="57" s="1"/>
  <c r="B304" i="57"/>
  <c r="E304" i="57" s="1"/>
  <c r="B262" i="57"/>
  <c r="E262" i="57" s="1"/>
  <c r="B178" i="57"/>
  <c r="E178" i="57" s="1"/>
  <c r="B124" i="57"/>
  <c r="E124" i="57" s="1"/>
  <c r="B621" i="57"/>
  <c r="E621" i="57" s="1"/>
  <c r="B579" i="57"/>
  <c r="E579" i="57" s="1"/>
  <c r="B513" i="57"/>
  <c r="E513" i="57" s="1"/>
  <c r="B471" i="57"/>
  <c r="E471" i="57" s="1"/>
  <c r="B405" i="57"/>
  <c r="E405" i="57" s="1"/>
  <c r="B363" i="57"/>
  <c r="E363" i="57" s="1"/>
  <c r="B291" i="57"/>
  <c r="E291" i="57" s="1"/>
  <c r="B249" i="57"/>
  <c r="E249" i="57" s="1"/>
  <c r="B177" i="57"/>
  <c r="E177" i="57" s="1"/>
  <c r="B135" i="57"/>
  <c r="E135" i="57" s="1"/>
  <c r="B51" i="57"/>
  <c r="E51" i="57" s="1"/>
  <c r="B2508" i="57"/>
  <c r="E2508" i="57" s="1"/>
  <c r="B542" i="57"/>
  <c r="E542" i="57" s="1"/>
  <c r="B494" i="57"/>
  <c r="E494" i="57" s="1"/>
  <c r="B260" i="57"/>
  <c r="E260" i="57" s="1"/>
  <c r="B110" i="57"/>
  <c r="E110" i="57" s="1"/>
  <c r="B26" i="57"/>
  <c r="E26" i="57" s="1"/>
  <c r="B2482" i="57"/>
  <c r="E2482" i="57" s="1"/>
  <c r="B150" i="57"/>
  <c r="E150" i="57" s="1"/>
  <c r="B102" i="57"/>
  <c r="E102" i="57" s="1"/>
  <c r="B48" i="57"/>
  <c r="E48" i="57" s="1"/>
  <c r="B863" i="57"/>
  <c r="E863" i="57" s="1"/>
  <c r="B821" i="57"/>
  <c r="E821" i="57" s="1"/>
  <c r="B755" i="57"/>
  <c r="E755" i="57" s="1"/>
  <c r="B713" i="57"/>
  <c r="E713" i="57" s="1"/>
  <c r="B647" i="57"/>
  <c r="E647" i="57" s="1"/>
  <c r="B605" i="57"/>
  <c r="E605" i="57" s="1"/>
  <c r="B539" i="57"/>
  <c r="E539" i="57" s="1"/>
  <c r="B497" i="57"/>
  <c r="E497" i="57" s="1"/>
  <c r="B431" i="57"/>
  <c r="E431" i="57" s="1"/>
  <c r="B389" i="57"/>
  <c r="E389" i="57" s="1"/>
  <c r="B323" i="57"/>
  <c r="E323" i="57" s="1"/>
  <c r="B281" i="57"/>
  <c r="E281" i="57" s="1"/>
  <c r="B215" i="57"/>
  <c r="E215" i="57" s="1"/>
  <c r="B173" i="57"/>
  <c r="E173" i="57" s="1"/>
  <c r="B107" i="57"/>
  <c r="E107" i="57" s="1"/>
  <c r="B65" i="57"/>
  <c r="E65" i="57" s="1"/>
  <c r="B2492" i="57"/>
  <c r="E2492" i="57" s="1"/>
  <c r="B544" i="57"/>
  <c r="E544" i="57" s="1"/>
  <c r="B454" i="57"/>
  <c r="E454" i="57" s="1"/>
  <c r="B406" i="57"/>
  <c r="E406" i="57" s="1"/>
  <c r="B322" i="57"/>
  <c r="E322" i="57" s="1"/>
  <c r="B280" i="57"/>
  <c r="E280" i="57" s="1"/>
  <c r="B202" i="57"/>
  <c r="E202" i="57" s="1"/>
  <c r="B148" i="57"/>
  <c r="E148" i="57" s="1"/>
  <c r="B2485" i="57"/>
  <c r="E2485" i="57" s="1"/>
  <c r="B597" i="57"/>
  <c r="E597" i="57" s="1"/>
  <c r="B531" i="57"/>
  <c r="E531" i="57" s="1"/>
  <c r="B489" i="57"/>
  <c r="E489" i="57" s="1"/>
  <c r="B423" i="57"/>
  <c r="E423" i="57" s="1"/>
  <c r="B381" i="57"/>
  <c r="E381" i="57" s="1"/>
  <c r="B309" i="57"/>
  <c r="E309" i="57" s="1"/>
  <c r="B267" i="57"/>
  <c r="E267" i="57" s="1"/>
  <c r="B195" i="57"/>
  <c r="E195" i="57" s="1"/>
  <c r="B153" i="57"/>
  <c r="E153" i="57" s="1"/>
  <c r="B81" i="57"/>
  <c r="E81" i="57" s="1"/>
  <c r="B21" i="57"/>
  <c r="E21" i="57" s="1"/>
  <c r="B566" i="57"/>
  <c r="E566" i="57" s="1"/>
  <c r="B512" i="57"/>
  <c r="E512" i="57" s="1"/>
  <c r="B470" i="57"/>
  <c r="E470" i="57" s="1"/>
  <c r="B452" i="57"/>
  <c r="E452" i="57" s="1"/>
  <c r="B428" i="57"/>
  <c r="E428" i="57" s="1"/>
  <c r="B404" i="57"/>
  <c r="E404" i="57" s="1"/>
  <c r="B386" i="57"/>
  <c r="E386" i="57" s="1"/>
  <c r="B368" i="57"/>
  <c r="E368" i="57" s="1"/>
  <c r="B284" i="57"/>
  <c r="E284" i="57" s="1"/>
  <c r="B242" i="57"/>
  <c r="E242" i="57" s="1"/>
  <c r="B44" i="57"/>
  <c r="E44" i="57" s="1"/>
  <c r="B252" i="57"/>
  <c r="E252" i="57" s="1"/>
  <c r="B168" i="57"/>
  <c r="E168" i="57" s="1"/>
  <c r="B120" i="57"/>
  <c r="E120" i="57" s="1"/>
  <c r="B72" i="57"/>
  <c r="E72" i="57" s="1"/>
  <c r="B2487" i="57"/>
  <c r="E2487" i="57" s="1"/>
  <c r="B839" i="57"/>
  <c r="E839" i="57" s="1"/>
  <c r="B773" i="57"/>
  <c r="E773" i="57" s="1"/>
  <c r="B731" i="57"/>
  <c r="E731" i="57" s="1"/>
  <c r="B665" i="57"/>
  <c r="E665" i="57" s="1"/>
  <c r="B623" i="57"/>
  <c r="E623" i="57" s="1"/>
  <c r="B557" i="57"/>
  <c r="E557" i="57" s="1"/>
  <c r="B515" i="57"/>
  <c r="E515" i="57" s="1"/>
  <c r="B449" i="57"/>
  <c r="E449" i="57" s="1"/>
  <c r="B407" i="57"/>
  <c r="E407" i="57" s="1"/>
  <c r="B341" i="57"/>
  <c r="E341" i="57" s="1"/>
  <c r="B299" i="57"/>
  <c r="E299" i="57" s="1"/>
  <c r="B233" i="57"/>
  <c r="E233" i="57" s="1"/>
  <c r="B191" i="57"/>
  <c r="E191" i="57" s="1"/>
  <c r="B125" i="57"/>
  <c r="E125" i="57" s="1"/>
  <c r="B83" i="57"/>
  <c r="E83" i="57" s="1"/>
  <c r="B17" i="57"/>
  <c r="E17" i="57" s="1"/>
  <c r="B2498" i="57"/>
  <c r="E2498" i="57" s="1"/>
  <c r="B478" i="57"/>
  <c r="E478" i="57" s="1"/>
  <c r="B430" i="57"/>
  <c r="E430" i="57" s="1"/>
  <c r="B346" i="57"/>
  <c r="E346" i="57" s="1"/>
  <c r="B298" i="57"/>
  <c r="E298" i="57" s="1"/>
  <c r="B226" i="57"/>
  <c r="E226" i="57" s="1"/>
  <c r="B172" i="57"/>
  <c r="E172" i="57" s="1"/>
  <c r="B1454" i="57"/>
  <c r="E1454" i="57" s="1"/>
  <c r="B615" i="57"/>
  <c r="E615" i="57" s="1"/>
  <c r="B549" i="57"/>
  <c r="E549" i="57" s="1"/>
  <c r="B507" i="57"/>
  <c r="E507" i="57" s="1"/>
  <c r="B441" i="57"/>
  <c r="E441" i="57" s="1"/>
  <c r="B399" i="57"/>
  <c r="E399" i="57" s="1"/>
  <c r="B327" i="57"/>
  <c r="E327" i="57" s="1"/>
  <c r="B285" i="57"/>
  <c r="E285" i="57" s="1"/>
  <c r="B213" i="57"/>
  <c r="E213" i="57" s="1"/>
  <c r="B171" i="57"/>
  <c r="E171" i="57" s="1"/>
  <c r="B105" i="57"/>
  <c r="E105" i="57" s="1"/>
  <c r="B39" i="57"/>
  <c r="E39" i="57" s="1"/>
  <c r="B584" i="57"/>
  <c r="E584" i="57" s="1"/>
  <c r="B536" i="57"/>
  <c r="E536" i="57" s="1"/>
  <c r="B2507" i="57"/>
  <c r="E2507" i="57" s="1"/>
  <c r="B350" i="57"/>
  <c r="E350" i="57" s="1"/>
  <c r="B140" i="57"/>
  <c r="E140" i="57" s="1"/>
  <c r="B2489" i="57"/>
  <c r="E2489" i="57" s="1"/>
  <c r="B90" i="57"/>
  <c r="E90" i="57" s="1"/>
  <c r="B18" i="57"/>
  <c r="E18" i="57" s="1"/>
  <c r="B857" i="57"/>
  <c r="E857" i="57" s="1"/>
  <c r="B791" i="57"/>
  <c r="E791" i="57" s="1"/>
  <c r="B749" i="57"/>
  <c r="E749" i="57" s="1"/>
  <c r="B683" i="57"/>
  <c r="E683" i="57" s="1"/>
  <c r="B641" i="57"/>
  <c r="E641" i="57" s="1"/>
  <c r="B575" i="57"/>
  <c r="E575" i="57" s="1"/>
  <c r="B533" i="57"/>
  <c r="E533" i="57" s="1"/>
  <c r="B467" i="57"/>
  <c r="E467" i="57" s="1"/>
  <c r="B425" i="57"/>
  <c r="E425" i="57" s="1"/>
  <c r="B359" i="57"/>
  <c r="E359" i="57" s="1"/>
  <c r="B317" i="57"/>
  <c r="E317" i="57" s="1"/>
  <c r="B251" i="57"/>
  <c r="E251" i="57" s="1"/>
  <c r="B209" i="57"/>
  <c r="E209" i="57" s="1"/>
  <c r="B143" i="57"/>
  <c r="E143" i="57" s="1"/>
  <c r="B101" i="57"/>
  <c r="E101" i="57" s="1"/>
  <c r="B35" i="57"/>
  <c r="E35" i="57" s="1"/>
  <c r="B2486" i="57"/>
  <c r="E2486" i="57" s="1"/>
  <c r="B502" i="57"/>
  <c r="E502" i="57" s="1"/>
  <c r="B448" i="57"/>
  <c r="E448" i="57" s="1"/>
  <c r="B376" i="57"/>
  <c r="E376" i="57" s="1"/>
  <c r="B316" i="57"/>
  <c r="E316" i="57" s="1"/>
  <c r="B250" i="57"/>
  <c r="E250" i="57" s="1"/>
  <c r="B196" i="57"/>
  <c r="E196" i="57" s="1"/>
  <c r="B112" i="57"/>
  <c r="E112" i="57" s="1"/>
  <c r="B633" i="57"/>
  <c r="E633" i="57" s="1"/>
  <c r="B567" i="57"/>
  <c r="E567" i="57" s="1"/>
  <c r="B525" i="57"/>
  <c r="E525" i="57" s="1"/>
  <c r="B459" i="57"/>
  <c r="E459" i="57" s="1"/>
  <c r="B417" i="57"/>
  <c r="E417" i="57" s="1"/>
  <c r="B345" i="57"/>
  <c r="E345" i="57" s="1"/>
  <c r="B303" i="57"/>
  <c r="E303" i="57" s="1"/>
  <c r="B231" i="57"/>
  <c r="E231" i="57" s="1"/>
  <c r="B189" i="57"/>
  <c r="E189" i="57" s="1"/>
  <c r="B123" i="57"/>
  <c r="E123" i="57" s="1"/>
  <c r="B75" i="57"/>
  <c r="E75" i="57" s="1"/>
  <c r="B2496" i="57"/>
  <c r="E2496" i="57" s="1"/>
  <c r="B560" i="57"/>
  <c r="E560" i="57" s="1"/>
  <c r="B482" i="57"/>
  <c r="E482" i="57" s="1"/>
  <c r="B464" i="57"/>
  <c r="E464" i="57" s="1"/>
  <c r="B440" i="57"/>
  <c r="E440" i="57" s="1"/>
  <c r="B422" i="57"/>
  <c r="E422" i="57" s="1"/>
  <c r="B398" i="57"/>
  <c r="E398" i="57" s="1"/>
  <c r="B380" i="57"/>
  <c r="E380" i="57" s="1"/>
  <c r="B362" i="57"/>
  <c r="E362" i="57" s="1"/>
  <c r="B344" i="57"/>
  <c r="E344" i="57" s="1"/>
  <c r="B320" i="57"/>
  <c r="E320" i="57" s="1"/>
  <c r="B296" i="57"/>
  <c r="E296" i="57" s="1"/>
  <c r="B278" i="57"/>
  <c r="E278" i="57" s="1"/>
  <c r="B254" i="57"/>
  <c r="E254" i="57" s="1"/>
  <c r="B224" i="57"/>
  <c r="E224" i="57" s="1"/>
  <c r="B206" i="57"/>
  <c r="E206" i="57" s="1"/>
  <c r="B182" i="57"/>
  <c r="E182" i="57" s="1"/>
  <c r="B152" i="57"/>
  <c r="E152" i="57" s="1"/>
  <c r="B134" i="57"/>
  <c r="E134" i="57" s="1"/>
  <c r="B104" i="57"/>
  <c r="E104" i="57" s="1"/>
  <c r="B80" i="57"/>
  <c r="E80" i="57" s="1"/>
  <c r="B56" i="57"/>
  <c r="E56" i="57" s="1"/>
  <c r="B38" i="57"/>
  <c r="E38" i="57" s="1"/>
  <c r="B20" i="57"/>
  <c r="E20" i="57" s="1"/>
  <c r="B2483" i="57"/>
  <c r="E2483" i="57" s="1"/>
  <c r="B2495" i="57"/>
  <c r="E2495" i="57" s="1"/>
  <c r="B25" i="57"/>
  <c r="E25" i="57" s="1"/>
  <c r="B2494" i="57"/>
  <c r="E2494" i="57" s="1"/>
  <c r="B2506" i="57"/>
  <c r="E2506" i="57" s="1"/>
  <c r="B204" i="57"/>
  <c r="E204" i="57" s="1"/>
  <c r="B114" i="57"/>
  <c r="E114" i="57" s="1"/>
  <c r="B36" i="57"/>
  <c r="E36" i="57" s="1"/>
  <c r="B2505" i="57"/>
  <c r="E2505" i="57" s="1"/>
  <c r="B809" i="57"/>
  <c r="E809" i="57" s="1"/>
  <c r="B767" i="57"/>
  <c r="E767" i="57" s="1"/>
  <c r="B701" i="57"/>
  <c r="E701" i="57" s="1"/>
  <c r="B659" i="57"/>
  <c r="E659" i="57" s="1"/>
  <c r="B593" i="57"/>
  <c r="E593" i="57" s="1"/>
  <c r="B551" i="57"/>
  <c r="E551" i="57" s="1"/>
  <c r="B485" i="57"/>
  <c r="E485" i="57" s="1"/>
  <c r="B443" i="57"/>
  <c r="E443" i="57" s="1"/>
  <c r="B377" i="57"/>
  <c r="E377" i="57" s="1"/>
  <c r="B335" i="57"/>
  <c r="E335" i="57" s="1"/>
  <c r="B269" i="57"/>
  <c r="E269" i="57" s="1"/>
  <c r="B227" i="57"/>
  <c r="E227" i="57" s="1"/>
  <c r="B161" i="57"/>
  <c r="E161" i="57" s="1"/>
  <c r="B119" i="57"/>
  <c r="E119" i="57" s="1"/>
  <c r="B53" i="57"/>
  <c r="E53" i="57" s="1"/>
  <c r="B1455" i="57"/>
  <c r="E1455" i="57" s="1"/>
  <c r="B532" i="57"/>
  <c r="E532" i="57" s="1"/>
  <c r="B466" i="57"/>
  <c r="E466" i="57" s="1"/>
  <c r="B394" i="57"/>
  <c r="E394" i="57" s="1"/>
  <c r="B340" i="57"/>
  <c r="E340" i="57" s="1"/>
  <c r="B268" i="57"/>
  <c r="E268" i="57" s="1"/>
  <c r="B214" i="57"/>
  <c r="E214" i="57" s="1"/>
  <c r="B136" i="57"/>
  <c r="E136" i="57" s="1"/>
  <c r="B1448" i="57"/>
  <c r="E1448" i="57" s="1"/>
  <c r="B585" i="57"/>
  <c r="E585" i="57" s="1"/>
  <c r="B543" i="57"/>
  <c r="E543" i="57" s="1"/>
  <c r="B477" i="57"/>
  <c r="E477" i="57" s="1"/>
  <c r="B435" i="57"/>
  <c r="E435" i="57" s="1"/>
  <c r="B369" i="57"/>
  <c r="E369" i="57" s="1"/>
  <c r="B321" i="57"/>
  <c r="E321" i="57" s="1"/>
  <c r="B255" i="57"/>
  <c r="E255" i="57" s="1"/>
  <c r="B207" i="57"/>
  <c r="E207" i="57" s="1"/>
  <c r="B141" i="57"/>
  <c r="E141" i="57" s="1"/>
  <c r="B99" i="57"/>
  <c r="E99" i="57" s="1"/>
  <c r="B1447" i="57"/>
  <c r="E1447" i="57" s="1"/>
  <c r="B578" i="57"/>
  <c r="E578" i="57" s="1"/>
  <c r="B500" i="57"/>
  <c r="E500" i="57" s="1"/>
  <c r="B495" i="57"/>
  <c r="E495" i="57" s="1"/>
  <c r="B387" i="57"/>
  <c r="E387" i="57" s="1"/>
  <c r="B273" i="57"/>
  <c r="E273" i="57" s="1"/>
  <c r="B225" i="57"/>
  <c r="E225" i="57" s="1"/>
  <c r="B117" i="57"/>
  <c r="E117" i="57" s="1"/>
  <c r="B596" i="57"/>
  <c r="E596" i="57" s="1"/>
  <c r="B518" i="57"/>
  <c r="E518" i="57" s="1"/>
  <c r="B476" i="57"/>
  <c r="E476" i="57" s="1"/>
  <c r="B458" i="57"/>
  <c r="E458" i="57" s="1"/>
  <c r="B410" i="57"/>
  <c r="E410" i="57" s="1"/>
  <c r="B392" i="57"/>
  <c r="E392" i="57" s="1"/>
  <c r="B332" i="57"/>
  <c r="E332" i="57" s="1"/>
  <c r="B290" i="57"/>
  <c r="E290" i="57" s="1"/>
  <c r="B272" i="57"/>
  <c r="E272" i="57" s="1"/>
  <c r="B218" i="57"/>
  <c r="E218" i="57" s="1"/>
  <c r="B146" i="57"/>
  <c r="E146" i="57" s="1"/>
  <c r="B74" i="57"/>
  <c r="E74" i="57" s="1"/>
  <c r="B1446" i="57"/>
  <c r="E1446" i="57" s="1"/>
  <c r="B19" i="57"/>
  <c r="E19" i="57" s="1"/>
  <c r="B326" i="57"/>
  <c r="E326" i="57" s="1"/>
  <c r="B212" i="57"/>
  <c r="E212" i="57" s="1"/>
  <c r="B86" i="57"/>
  <c r="E86" i="57" s="1"/>
  <c r="B37" i="57"/>
  <c r="E37" i="57" s="1"/>
  <c r="FH20" i="54"/>
  <c r="FG19" i="54"/>
  <c r="FI19" i="54" s="1"/>
  <c r="FD20" i="54" s="1"/>
  <c r="FJ19" i="54"/>
  <c r="FL19" i="54"/>
  <c r="FM19" i="54"/>
  <c r="FQ19" i="54"/>
  <c r="FS19" i="54"/>
  <c r="FT19" i="54"/>
  <c r="GC20" i="54"/>
  <c r="GB19" i="54"/>
  <c r="GD19" i="54" s="1"/>
  <c r="FY20" i="54" s="1"/>
  <c r="CV65" i="54"/>
  <c r="CT65" i="54"/>
  <c r="CU66" i="54" s="1"/>
  <c r="D1273" i="57"/>
  <c r="D1121" i="57"/>
  <c r="D1303" i="57"/>
  <c r="D1411" i="57"/>
  <c r="D1211" i="57"/>
  <c r="D1315" i="57"/>
  <c r="D783" i="57"/>
  <c r="D1168" i="57"/>
  <c r="D1027" i="57"/>
  <c r="D1086" i="57"/>
  <c r="D986" i="57"/>
  <c r="D998" i="57"/>
  <c r="D691" i="57"/>
  <c r="D565" i="57"/>
  <c r="D1173" i="57"/>
  <c r="D1022" i="57"/>
  <c r="D787" i="57"/>
  <c r="D992" i="57"/>
  <c r="D955" i="57"/>
  <c r="D916" i="57"/>
  <c r="D772" i="57"/>
  <c r="D910" i="57"/>
  <c r="D90" i="57"/>
  <c r="D760" i="57"/>
  <c r="D710" i="57"/>
  <c r="D264" i="57"/>
  <c r="D646" i="57"/>
  <c r="D576" i="57"/>
  <c r="D198" i="57"/>
  <c r="D62" i="57"/>
  <c r="D253" i="57"/>
  <c r="D61" i="57"/>
  <c r="D457" i="57"/>
  <c r="D349" i="57"/>
  <c r="D217" i="57"/>
  <c r="D493" i="57"/>
  <c r="D236" i="57"/>
  <c r="D121" i="57"/>
  <c r="V42" i="56"/>
  <c r="O42" i="56" s="1"/>
  <c r="N42" i="56" s="1"/>
  <c r="V46" i="56"/>
  <c r="O46" i="56" s="1"/>
  <c r="N46" i="56" s="1"/>
  <c r="X42" i="56"/>
  <c r="Z42" i="56" s="1"/>
  <c r="AC42" i="56" s="1"/>
  <c r="V41" i="56"/>
  <c r="I41" i="56" s="1"/>
  <c r="V45" i="56"/>
  <c r="I45" i="56" s="1"/>
  <c r="X43" i="56"/>
  <c r="K43" i="56" s="1"/>
  <c r="X41" i="56"/>
  <c r="K41" i="56" s="1"/>
  <c r="X46" i="56"/>
  <c r="Z46" i="56" s="1"/>
  <c r="AC46" i="56" s="1"/>
  <c r="X45" i="56"/>
  <c r="K45" i="56" s="1"/>
  <c r="V44" i="56"/>
  <c r="O44" i="56" s="1"/>
  <c r="V43" i="56"/>
  <c r="I43" i="56" s="1"/>
  <c r="X44" i="56"/>
  <c r="Z44" i="56" s="1"/>
  <c r="AC44" i="56" s="1"/>
  <c r="O38" i="56"/>
  <c r="X38" i="56"/>
  <c r="K38" i="56" s="1"/>
  <c r="Y39" i="56"/>
  <c r="AB39" i="56" s="1"/>
  <c r="O39" i="56"/>
  <c r="X37" i="56"/>
  <c r="EI5" i="54" s="1"/>
  <c r="V40" i="56"/>
  <c r="I40" i="56" s="1"/>
  <c r="X39" i="56"/>
  <c r="K39" i="56" s="1"/>
  <c r="V37" i="56"/>
  <c r="EI3" i="54" s="1"/>
  <c r="X40" i="56"/>
  <c r="K40" i="56" s="1"/>
  <c r="Y38" i="56"/>
  <c r="AB38" i="56" s="1"/>
  <c r="D20" i="57" l="1"/>
  <c r="G1446" i="57" a="1"/>
  <c r="G1446" i="57" s="1"/>
  <c r="F1446" i="57" a="1"/>
  <c r="F1446" i="57" s="1"/>
  <c r="G332" i="57" a="1"/>
  <c r="G332" i="57" s="1"/>
  <c r="F332" i="57" a="1"/>
  <c r="F332" i="57" s="1"/>
  <c r="G596" i="57" a="1"/>
  <c r="G596" i="57" s="1"/>
  <c r="F596" i="57" a="1"/>
  <c r="F596" i="57" s="1"/>
  <c r="G500" i="57" a="1"/>
  <c r="G500" i="57" s="1"/>
  <c r="F500" i="57" a="1"/>
  <c r="F500" i="57" s="1"/>
  <c r="G255" i="57" a="1"/>
  <c r="G255" i="57" s="1"/>
  <c r="F255" i="57" a="1"/>
  <c r="F255" i="57" s="1"/>
  <c r="G585" i="57" a="1"/>
  <c r="G585" i="57" s="1"/>
  <c r="F585" i="57" a="1"/>
  <c r="F585" i="57" s="1"/>
  <c r="G394" i="57" a="1"/>
  <c r="G394" i="57" s="1"/>
  <c r="F394" i="57" a="1"/>
  <c r="F394" i="57" s="1"/>
  <c r="G161" i="57" a="1"/>
  <c r="G161" i="57" s="1"/>
  <c r="F161" i="57" a="1"/>
  <c r="F161" i="57" s="1"/>
  <c r="G485" i="57" a="1"/>
  <c r="G485" i="57" s="1"/>
  <c r="F485" i="57" a="1"/>
  <c r="F485" i="57" s="1"/>
  <c r="G809" i="57" a="1"/>
  <c r="G809" i="57" s="1"/>
  <c r="F809" i="57" a="1"/>
  <c r="F809" i="57" s="1"/>
  <c r="G2494" i="57" a="1"/>
  <c r="G2494" i="57" s="1"/>
  <c r="F2494" i="57" a="1"/>
  <c r="F2494" i="57" s="1"/>
  <c r="G56" i="57" a="1"/>
  <c r="G56" i="57" s="1"/>
  <c r="F56" i="57" a="1"/>
  <c r="F56" i="57" s="1"/>
  <c r="G206" i="57" a="1"/>
  <c r="G206" i="57" s="1"/>
  <c r="F206" i="57" a="1"/>
  <c r="F206" i="57" s="1"/>
  <c r="G344" i="57" a="1"/>
  <c r="G344" i="57" s="1"/>
  <c r="F344" i="57" a="1"/>
  <c r="F344" i="57" s="1"/>
  <c r="G464" i="57" a="1"/>
  <c r="G464" i="57" s="1"/>
  <c r="F464" i="57" a="1"/>
  <c r="F464" i="57" s="1"/>
  <c r="G189" i="57" a="1"/>
  <c r="G189" i="57" s="1"/>
  <c r="F189" i="57" a="1"/>
  <c r="F189" i="57" s="1"/>
  <c r="G525" i="57" a="1"/>
  <c r="G525" i="57" s="1"/>
  <c r="F525" i="57" a="1"/>
  <c r="F525" i="57" s="1"/>
  <c r="G316" i="57" a="1"/>
  <c r="G316" i="57" s="1"/>
  <c r="F316" i="57" a="1"/>
  <c r="F316" i="57" s="1"/>
  <c r="G101" i="57" a="1"/>
  <c r="G101" i="57" s="1"/>
  <c r="F101" i="57" a="1"/>
  <c r="F101" i="57" s="1"/>
  <c r="G425" i="57" a="1"/>
  <c r="G425" i="57" s="1"/>
  <c r="F425" i="57" a="1"/>
  <c r="F425" i="57" s="1"/>
  <c r="G749" i="57" a="1"/>
  <c r="G749" i="57" s="1"/>
  <c r="F749" i="57" a="1"/>
  <c r="F749" i="57" s="1"/>
  <c r="G140" i="57" a="1"/>
  <c r="G140" i="57" s="1"/>
  <c r="F140" i="57" a="1"/>
  <c r="F140" i="57" s="1"/>
  <c r="G105" i="57" a="1"/>
  <c r="G105" i="57" s="1"/>
  <c r="F105" i="57" a="1"/>
  <c r="F105" i="57" s="1"/>
  <c r="G441" i="57" a="1"/>
  <c r="G441" i="57" s="1"/>
  <c r="F441" i="57" a="1"/>
  <c r="F441" i="57" s="1"/>
  <c r="G226" i="57" a="1"/>
  <c r="G226" i="57" s="1"/>
  <c r="F226" i="57" a="1"/>
  <c r="F226" i="57" s="1"/>
  <c r="F17" i="57" a="1"/>
  <c r="F17" i="57" s="1"/>
  <c r="G341" i="57" a="1"/>
  <c r="G341" i="57" s="1"/>
  <c r="F341" i="57" a="1"/>
  <c r="F341" i="57" s="1"/>
  <c r="G665" i="57" a="1"/>
  <c r="G665" i="57" s="1"/>
  <c r="F665" i="57" a="1"/>
  <c r="F665" i="57" s="1"/>
  <c r="G120" i="57" a="1"/>
  <c r="G120" i="57" s="1"/>
  <c r="F120" i="57" a="1"/>
  <c r="F120" i="57" s="1"/>
  <c r="G368" i="57" a="1"/>
  <c r="G368" i="57" s="1"/>
  <c r="F368" i="57" a="1"/>
  <c r="F368" i="57" s="1"/>
  <c r="G512" i="57" a="1"/>
  <c r="G512" i="57" s="1"/>
  <c r="F512" i="57" a="1"/>
  <c r="F512" i="57" s="1"/>
  <c r="G267" i="57" a="1"/>
  <c r="G267" i="57" s="1"/>
  <c r="F267" i="57" a="1"/>
  <c r="F267" i="57" s="1"/>
  <c r="G597" i="57" a="1"/>
  <c r="G597" i="57" s="1"/>
  <c r="F597" i="57" a="1"/>
  <c r="F597" i="57" s="1"/>
  <c r="G406" i="57" a="1"/>
  <c r="G406" i="57" s="1"/>
  <c r="F406" i="57" a="1"/>
  <c r="F406" i="57" s="1"/>
  <c r="G173" i="57" a="1"/>
  <c r="G173" i="57" s="1"/>
  <c r="F173" i="57" a="1"/>
  <c r="F173" i="57" s="1"/>
  <c r="G497" i="57" a="1"/>
  <c r="G497" i="57" s="1"/>
  <c r="F497" i="57" a="1"/>
  <c r="F497" i="57" s="1"/>
  <c r="G821" i="57" a="1"/>
  <c r="G821" i="57" s="1"/>
  <c r="F821" i="57" a="1"/>
  <c r="F821" i="57" s="1"/>
  <c r="F26" i="57" a="1"/>
  <c r="F26" i="57" s="1"/>
  <c r="G51" i="57" a="1"/>
  <c r="G51" i="57" s="1"/>
  <c r="F51" i="57" a="1"/>
  <c r="F51" i="57" s="1"/>
  <c r="G405" i="57" a="1"/>
  <c r="G405" i="57" s="1"/>
  <c r="F405" i="57" a="1"/>
  <c r="F405" i="57" s="1"/>
  <c r="G178" i="57" a="1"/>
  <c r="G178" i="57" s="1"/>
  <c r="F178" i="57" a="1"/>
  <c r="F178" i="57" s="1"/>
  <c r="G2504" i="57" a="1"/>
  <c r="G2504" i="57" s="1"/>
  <c r="F2504" i="57" a="1"/>
  <c r="F2504" i="57" s="1"/>
  <c r="G305" i="57" a="1"/>
  <c r="G305" i="57" s="1"/>
  <c r="F305" i="57" a="1"/>
  <c r="F305" i="57" s="1"/>
  <c r="G629" i="57" a="1"/>
  <c r="G629" i="57" s="1"/>
  <c r="F629" i="57" a="1"/>
  <c r="F629" i="57" s="1"/>
  <c r="G78" i="57" a="1"/>
  <c r="G78" i="57" s="1"/>
  <c r="F78" i="57" a="1"/>
  <c r="F78" i="57" s="1"/>
  <c r="G116" i="57" a="1"/>
  <c r="G116" i="57" s="1"/>
  <c r="F116" i="57" a="1"/>
  <c r="F116" i="57" s="1"/>
  <c r="G27" i="57" a="1"/>
  <c r="G27" i="57" s="1"/>
  <c r="F27" i="57" a="1"/>
  <c r="F27" i="57" s="1"/>
  <c r="G154" i="57" a="1"/>
  <c r="G154" i="57" s="1"/>
  <c r="F154" i="57" a="1"/>
  <c r="F154" i="57" s="1"/>
  <c r="G550" i="57" a="1"/>
  <c r="G550" i="57" s="1"/>
  <c r="F550" i="57" a="1"/>
  <c r="F550" i="57" s="1"/>
  <c r="G287" i="57" a="1"/>
  <c r="G287" i="57" s="1"/>
  <c r="F287" i="57" a="1"/>
  <c r="F287" i="57" s="1"/>
  <c r="G611" i="57" a="1"/>
  <c r="G611" i="57" s="1"/>
  <c r="F611" i="57" a="1"/>
  <c r="F611" i="57" s="1"/>
  <c r="G54" i="57" a="1"/>
  <c r="G54" i="57" s="1"/>
  <c r="F54" i="57" a="1"/>
  <c r="F54" i="57" s="1"/>
  <c r="G302" i="57" a="1"/>
  <c r="G302" i="57" s="1"/>
  <c r="F302" i="57" a="1"/>
  <c r="F302" i="57" s="1"/>
  <c r="G356" i="57" a="1"/>
  <c r="G356" i="57" s="1"/>
  <c r="F356" i="57" a="1"/>
  <c r="F356" i="57" s="1"/>
  <c r="G87" i="57" a="1"/>
  <c r="G87" i="57" s="1"/>
  <c r="F87" i="57" a="1"/>
  <c r="F87" i="57" s="1"/>
  <c r="G333" i="57" a="1"/>
  <c r="G333" i="57" s="1"/>
  <c r="F333" i="57" a="1"/>
  <c r="F333" i="57" s="1"/>
  <c r="G573" i="57" a="1"/>
  <c r="G573" i="57" s="1"/>
  <c r="F573" i="57" a="1"/>
  <c r="F573" i="57" s="1"/>
  <c r="G274" i="57" a="1"/>
  <c r="G274" i="57" s="1"/>
  <c r="F274" i="57" a="1"/>
  <c r="F274" i="57" s="1"/>
  <c r="G484" i="57" a="1"/>
  <c r="G484" i="57" s="1"/>
  <c r="F484" i="57" a="1"/>
  <c r="F484" i="57" s="1"/>
  <c r="G41" i="57" a="1"/>
  <c r="G41" i="57" s="1"/>
  <c r="F41" i="57" a="1"/>
  <c r="F41" i="57" s="1"/>
  <c r="G167" i="57" a="1"/>
  <c r="G167" i="57" s="1"/>
  <c r="F167" i="57" a="1"/>
  <c r="F167" i="57" s="1"/>
  <c r="G275" i="57" a="1"/>
  <c r="G275" i="57" s="1"/>
  <c r="F275" i="57" a="1"/>
  <c r="F275" i="57" s="1"/>
  <c r="G383" i="57" a="1"/>
  <c r="G383" i="57" s="1"/>
  <c r="F383" i="57" a="1"/>
  <c r="F383" i="57" s="1"/>
  <c r="G491" i="57" a="1"/>
  <c r="G491" i="57" s="1"/>
  <c r="F491" i="57" a="1"/>
  <c r="F491" i="57" s="1"/>
  <c r="G599" i="57" a="1"/>
  <c r="G599" i="57" s="1"/>
  <c r="F599" i="57" a="1"/>
  <c r="F599" i="57" s="1"/>
  <c r="G707" i="57" a="1"/>
  <c r="G707" i="57" s="1"/>
  <c r="F707" i="57" a="1"/>
  <c r="F707" i="57" s="1"/>
  <c r="G815" i="57" a="1"/>
  <c r="G815" i="57" s="1"/>
  <c r="F815" i="57" a="1"/>
  <c r="F815" i="57" s="1"/>
  <c r="G42" i="57" a="1"/>
  <c r="G42" i="57" s="1"/>
  <c r="F42" i="57" a="1"/>
  <c r="F42" i="57" s="1"/>
  <c r="G162" i="57" a="1"/>
  <c r="G162" i="57" s="1"/>
  <c r="F162" i="57" a="1"/>
  <c r="F162" i="57" s="1"/>
  <c r="G306" i="57" a="1"/>
  <c r="G306" i="57" s="1"/>
  <c r="F306" i="57" a="1"/>
  <c r="F306" i="57" s="1"/>
  <c r="G450" i="57" a="1"/>
  <c r="G450" i="57" s="1"/>
  <c r="F450" i="57" a="1"/>
  <c r="F450" i="57" s="1"/>
  <c r="G582" i="57" a="1"/>
  <c r="G582" i="57" s="1"/>
  <c r="F582" i="57" a="1"/>
  <c r="F582" i="57" s="1"/>
  <c r="G917" i="57" a="1"/>
  <c r="G917" i="57" s="1"/>
  <c r="F917" i="57" a="1"/>
  <c r="F917" i="57" s="1"/>
  <c r="G1025" i="57" a="1"/>
  <c r="G1025" i="57" s="1"/>
  <c r="F1025" i="57" a="1"/>
  <c r="F1025" i="57" s="1"/>
  <c r="G1133" i="57" a="1"/>
  <c r="G1133" i="57" s="1"/>
  <c r="F1133" i="57" a="1"/>
  <c r="F1133" i="57" s="1"/>
  <c r="G1241" i="57" a="1"/>
  <c r="G1241" i="57" s="1"/>
  <c r="F1241" i="57" a="1"/>
  <c r="F1241" i="57" s="1"/>
  <c r="G1361" i="57" a="1"/>
  <c r="G1361" i="57" s="1"/>
  <c r="F1361" i="57" a="1"/>
  <c r="F1361" i="57" s="1"/>
  <c r="G744" i="57" a="1"/>
  <c r="G744" i="57" s="1"/>
  <c r="F744" i="57" a="1"/>
  <c r="F744" i="57" s="1"/>
  <c r="G894" i="57" a="1"/>
  <c r="G894" i="57" s="1"/>
  <c r="F894" i="57" a="1"/>
  <c r="F894" i="57" s="1"/>
  <c r="G1026" i="57" a="1"/>
  <c r="G1026" i="57" s="1"/>
  <c r="F1026" i="57" a="1"/>
  <c r="F1026" i="57" s="1"/>
  <c r="G1152" i="57" a="1"/>
  <c r="G1152" i="57" s="1"/>
  <c r="F1152" i="57" a="1"/>
  <c r="F1152" i="57" s="1"/>
  <c r="G1278" i="57" a="1"/>
  <c r="G1278" i="57" s="1"/>
  <c r="F1278" i="57" a="1"/>
  <c r="F1278" i="57" s="1"/>
  <c r="G602" i="57" a="1"/>
  <c r="G602" i="57" s="1"/>
  <c r="F602" i="57" a="1"/>
  <c r="F602" i="57" s="1"/>
  <c r="G722" i="57" a="1"/>
  <c r="G722" i="57" s="1"/>
  <c r="F722" i="57" a="1"/>
  <c r="F722" i="57" s="1"/>
  <c r="G842" i="57" a="1"/>
  <c r="G842" i="57" s="1"/>
  <c r="F842" i="57" a="1"/>
  <c r="F842" i="57" s="1"/>
  <c r="G1004" i="57" a="1"/>
  <c r="G1004" i="57" s="1"/>
  <c r="F1004" i="57" a="1"/>
  <c r="F1004" i="57" s="1"/>
  <c r="G1166" i="57" a="1"/>
  <c r="G1166" i="57" s="1"/>
  <c r="F1166" i="57" a="1"/>
  <c r="F1166" i="57" s="1"/>
  <c r="G1328" i="57" a="1"/>
  <c r="G1328" i="57" s="1"/>
  <c r="F1328" i="57" a="1"/>
  <c r="F1328" i="57" s="1"/>
  <c r="G675" i="57" a="1"/>
  <c r="G675" i="57" s="1"/>
  <c r="F675" i="57" a="1"/>
  <c r="F675" i="57" s="1"/>
  <c r="G795" i="57" a="1"/>
  <c r="G795" i="57" s="1"/>
  <c r="F795" i="57" a="1"/>
  <c r="F795" i="57" s="1"/>
  <c r="G1089" i="57" a="1"/>
  <c r="G1089" i="57" s="1"/>
  <c r="F1089" i="57" a="1"/>
  <c r="F1089" i="57" s="1"/>
  <c r="G1431" i="57" a="1"/>
  <c r="G1431" i="57" s="1"/>
  <c r="F1431" i="57" a="1"/>
  <c r="F1431" i="57" s="1"/>
  <c r="G922" i="57" a="1"/>
  <c r="G922" i="57" s="1"/>
  <c r="F922" i="57" a="1"/>
  <c r="F922" i="57" s="1"/>
  <c r="G1282" i="57" a="1"/>
  <c r="G1282" i="57" s="1"/>
  <c r="F1282" i="57" a="1"/>
  <c r="F1282" i="57" s="1"/>
  <c r="G1563" i="57" a="1"/>
  <c r="G1563" i="57" s="1"/>
  <c r="F1563" i="57" a="1"/>
  <c r="F1563" i="57" s="1"/>
  <c r="G1875" i="57" a="1"/>
  <c r="G1875" i="57" s="1"/>
  <c r="F1875" i="57" a="1"/>
  <c r="F1875" i="57" s="1"/>
  <c r="G1678" i="57" a="1"/>
  <c r="G1678" i="57" s="1"/>
  <c r="F1678" i="57" a="1"/>
  <c r="F1678" i="57" s="1"/>
  <c r="G1505" i="57" a="1"/>
  <c r="G1505" i="57" s="1"/>
  <c r="F1505" i="57" a="1"/>
  <c r="F1505" i="57" s="1"/>
  <c r="G1520" i="57" a="1"/>
  <c r="G1520" i="57" s="1"/>
  <c r="F1520" i="57" a="1"/>
  <c r="F1520" i="57" s="1"/>
  <c r="G488" i="57" a="1"/>
  <c r="G488" i="57" s="1"/>
  <c r="F488" i="57" a="1"/>
  <c r="F488" i="57" s="1"/>
  <c r="G111" i="57" a="1"/>
  <c r="G111" i="57" s="1"/>
  <c r="F111" i="57" a="1"/>
  <c r="F111" i="57" s="1"/>
  <c r="G315" i="57" a="1"/>
  <c r="G315" i="57" s="1"/>
  <c r="F315" i="57" a="1"/>
  <c r="F315" i="57" s="1"/>
  <c r="G537" i="57" a="1"/>
  <c r="G537" i="57" s="1"/>
  <c r="F537" i="57" a="1"/>
  <c r="F537" i="57" s="1"/>
  <c r="G166" i="57" a="1"/>
  <c r="G166" i="57" s="1"/>
  <c r="F166" i="57" a="1"/>
  <c r="F166" i="57" s="1"/>
  <c r="G424" i="57" a="1"/>
  <c r="G424" i="57" s="1"/>
  <c r="F424" i="57" a="1"/>
  <c r="F424" i="57" s="1"/>
  <c r="G1029" i="57" a="1"/>
  <c r="G1029" i="57" s="1"/>
  <c r="F1029" i="57" a="1"/>
  <c r="F1029" i="57" s="1"/>
  <c r="G1371" i="57" a="1"/>
  <c r="G1371" i="57" s="1"/>
  <c r="F1371" i="57" a="1"/>
  <c r="F1371" i="57" s="1"/>
  <c r="G850" i="57" a="1"/>
  <c r="G850" i="57" s="1"/>
  <c r="F850" i="57" a="1"/>
  <c r="F850" i="57" s="1"/>
  <c r="G1216" i="57" a="1"/>
  <c r="G1216" i="57" s="1"/>
  <c r="F1216" i="57" a="1"/>
  <c r="F1216" i="57" s="1"/>
  <c r="G1473" i="57" a="1"/>
  <c r="G1473" i="57" s="1"/>
  <c r="F1473" i="57" a="1"/>
  <c r="F1473" i="57" s="1"/>
  <c r="G1779" i="57" a="1"/>
  <c r="G1779" i="57" s="1"/>
  <c r="F1779" i="57" a="1"/>
  <c r="F1779" i="57" s="1"/>
  <c r="G1588" i="57" a="1"/>
  <c r="G1588" i="57" s="1"/>
  <c r="F1588" i="57" a="1"/>
  <c r="F1588" i="57" s="1"/>
  <c r="G1894" i="57" a="1"/>
  <c r="G1894" i="57" s="1"/>
  <c r="F1894" i="57" a="1"/>
  <c r="F1894" i="57" s="1"/>
  <c r="G1877" i="57" a="1"/>
  <c r="G1877" i="57" s="1"/>
  <c r="F1877" i="57" a="1"/>
  <c r="F1877" i="57" s="1"/>
  <c r="G1898" i="57" a="1"/>
  <c r="G1898" i="57" s="1"/>
  <c r="F1898" i="57" a="1"/>
  <c r="F1898" i="57" s="1"/>
  <c r="G528" i="57" a="1"/>
  <c r="G528" i="57" s="1"/>
  <c r="F528" i="57" a="1"/>
  <c r="F528" i="57" s="1"/>
  <c r="G1013" i="57" a="1"/>
  <c r="G1013" i="57" s="1"/>
  <c r="F1013" i="57" a="1"/>
  <c r="F1013" i="57" s="1"/>
  <c r="G1139" i="57" a="1"/>
  <c r="G1139" i="57" s="1"/>
  <c r="F1139" i="57" a="1"/>
  <c r="F1139" i="57" s="1"/>
  <c r="G1247" i="57" a="1"/>
  <c r="G1247" i="57" s="1"/>
  <c r="F1247" i="57" a="1"/>
  <c r="F1247" i="57" s="1"/>
  <c r="G1373" i="57" a="1"/>
  <c r="G1373" i="57" s="1"/>
  <c r="F1373" i="57" a="1"/>
  <c r="F1373" i="57" s="1"/>
  <c r="G750" i="57" a="1"/>
  <c r="G750" i="57" s="1"/>
  <c r="F750" i="57" a="1"/>
  <c r="F750" i="57" s="1"/>
  <c r="G906" i="57" a="1"/>
  <c r="G906" i="57" s="1"/>
  <c r="F906" i="57" a="1"/>
  <c r="F906" i="57" s="1"/>
  <c r="G1050" i="57" a="1"/>
  <c r="G1050" i="57" s="1"/>
  <c r="F1050" i="57" a="1"/>
  <c r="F1050" i="57" s="1"/>
  <c r="G1176" i="57" a="1"/>
  <c r="G1176" i="57" s="1"/>
  <c r="F1176" i="57" a="1"/>
  <c r="F1176" i="57" s="1"/>
  <c r="G1308" i="57" a="1"/>
  <c r="G1308" i="57" s="1"/>
  <c r="F1308" i="57" a="1"/>
  <c r="F1308" i="57" s="1"/>
  <c r="G626" i="57" a="1"/>
  <c r="G626" i="57" s="1"/>
  <c r="F626" i="57" a="1"/>
  <c r="F626" i="57" s="1"/>
  <c r="G752" i="57" a="1"/>
  <c r="G752" i="57" s="1"/>
  <c r="F752" i="57" a="1"/>
  <c r="F752" i="57" s="1"/>
  <c r="G878" i="57" a="1"/>
  <c r="G878" i="57" s="1"/>
  <c r="F878" i="57" a="1"/>
  <c r="F878" i="57" s="1"/>
  <c r="G1040" i="57" a="1"/>
  <c r="G1040" i="57" s="1"/>
  <c r="F1040" i="57" a="1"/>
  <c r="F1040" i="57" s="1"/>
  <c r="G1202" i="57" a="1"/>
  <c r="G1202" i="57" s="1"/>
  <c r="F1202" i="57" a="1"/>
  <c r="F1202" i="57" s="1"/>
  <c r="G1364" i="57" a="1"/>
  <c r="G1364" i="57" s="1"/>
  <c r="F1364" i="57" a="1"/>
  <c r="F1364" i="57" s="1"/>
  <c r="G699" i="57" a="1"/>
  <c r="G699" i="57" s="1"/>
  <c r="F699" i="57" a="1"/>
  <c r="F699" i="57" s="1"/>
  <c r="G825" i="57" a="1"/>
  <c r="G825" i="57" s="1"/>
  <c r="F825" i="57" a="1"/>
  <c r="F825" i="57" s="1"/>
  <c r="G1161" i="57" a="1"/>
  <c r="G1161" i="57" s="1"/>
  <c r="F1161" i="57" a="1"/>
  <c r="F1161" i="57" s="1"/>
  <c r="G634" i="57" a="1"/>
  <c r="G634" i="57" s="1"/>
  <c r="F634" i="57" a="1"/>
  <c r="F634" i="57" s="1"/>
  <c r="G1000" i="57" a="1"/>
  <c r="G1000" i="57" s="1"/>
  <c r="F1000" i="57" a="1"/>
  <c r="F1000" i="57" s="1"/>
  <c r="G1366" i="57" a="1"/>
  <c r="G1366" i="57" s="1"/>
  <c r="F1366" i="57" a="1"/>
  <c r="F1366" i="57" s="1"/>
  <c r="G1629" i="57" a="1"/>
  <c r="G1629" i="57" s="1"/>
  <c r="F1629" i="57" a="1"/>
  <c r="F1629" i="57" s="1"/>
  <c r="G1947" i="57" a="1"/>
  <c r="G1947" i="57" s="1"/>
  <c r="F1947" i="57" a="1"/>
  <c r="F1947" i="57" s="1"/>
  <c r="G1750" i="57" a="1"/>
  <c r="G1750" i="57" s="1"/>
  <c r="F1750" i="57" a="1"/>
  <c r="F1750" i="57" s="1"/>
  <c r="G1625" i="57" a="1"/>
  <c r="G1625" i="57" s="1"/>
  <c r="F1625" i="57" a="1"/>
  <c r="F1625" i="57" s="1"/>
  <c r="G1646" i="57" a="1"/>
  <c r="G1646" i="57" s="1"/>
  <c r="F1646" i="57" a="1"/>
  <c r="F1646" i="57" s="1"/>
  <c r="G312" i="57" a="1"/>
  <c r="G312" i="57" s="1"/>
  <c r="F312" i="57" a="1"/>
  <c r="F312" i="57" s="1"/>
  <c r="G546" i="57" a="1"/>
  <c r="G546" i="57" s="1"/>
  <c r="F546" i="57" a="1"/>
  <c r="F546" i="57" s="1"/>
  <c r="G959" i="57" a="1"/>
  <c r="G959" i="57" s="1"/>
  <c r="F959" i="57" a="1"/>
  <c r="F959" i="57" s="1"/>
  <c r="G993" i="57" a="1"/>
  <c r="G993" i="57" s="1"/>
  <c r="F993" i="57" a="1"/>
  <c r="F993" i="57" s="1"/>
  <c r="G1329" i="57" a="1"/>
  <c r="G1329" i="57" s="1"/>
  <c r="F1329" i="57" a="1"/>
  <c r="F1329" i="57" s="1"/>
  <c r="G814" i="57" a="1"/>
  <c r="G814" i="57" s="1"/>
  <c r="F814" i="57" a="1"/>
  <c r="F814" i="57" s="1"/>
  <c r="G1180" i="57" a="1"/>
  <c r="G1180" i="57" s="1"/>
  <c r="F1180" i="57" a="1"/>
  <c r="F1180" i="57" s="1"/>
  <c r="G1434" i="57" a="1"/>
  <c r="G1434" i="57" s="1"/>
  <c r="F1434" i="57" a="1"/>
  <c r="F1434" i="57" s="1"/>
  <c r="G1743" i="57" a="1"/>
  <c r="G1743" i="57" s="1"/>
  <c r="F1743" i="57" a="1"/>
  <c r="F1743" i="57" s="1"/>
  <c r="G1552" i="57" a="1"/>
  <c r="G1552" i="57" s="1"/>
  <c r="F1552" i="57" a="1"/>
  <c r="F1552" i="57" s="1"/>
  <c r="G1858" i="57" a="1"/>
  <c r="G1858" i="57" s="1"/>
  <c r="F1858" i="57" a="1"/>
  <c r="F1858" i="57" s="1"/>
  <c r="G1805" i="57" a="1"/>
  <c r="G1805" i="57" s="1"/>
  <c r="F1805" i="57" a="1"/>
  <c r="F1805" i="57" s="1"/>
  <c r="G1826" i="57" a="1"/>
  <c r="G1826" i="57" s="1"/>
  <c r="F1826" i="57" a="1"/>
  <c r="F1826" i="57" s="1"/>
  <c r="G408" i="57" a="1"/>
  <c r="G408" i="57" s="1"/>
  <c r="F408" i="57" a="1"/>
  <c r="F408" i="57" s="1"/>
  <c r="G911" i="57" a="1"/>
  <c r="G911" i="57" s="1"/>
  <c r="F911" i="57" a="1"/>
  <c r="F911" i="57" s="1"/>
  <c r="G1037" i="57" a="1"/>
  <c r="G1037" i="57" s="1"/>
  <c r="F1037" i="57" a="1"/>
  <c r="F1037" i="57" s="1"/>
  <c r="G1145" i="57" a="1"/>
  <c r="G1145" i="57" s="1"/>
  <c r="F1145" i="57" a="1"/>
  <c r="F1145" i="57" s="1"/>
  <c r="G1253" i="57" a="1"/>
  <c r="G1253" i="57" s="1"/>
  <c r="F1253" i="57" a="1"/>
  <c r="F1253" i="57" s="1"/>
  <c r="G1385" i="57" a="1"/>
  <c r="G1385" i="57" s="1"/>
  <c r="F1385" i="57" a="1"/>
  <c r="F1385" i="57" s="1"/>
  <c r="G762" i="57" a="1"/>
  <c r="G762" i="57" s="1"/>
  <c r="F762" i="57" a="1"/>
  <c r="F762" i="57" s="1"/>
  <c r="G930" i="57" a="1"/>
  <c r="G930" i="57" s="1"/>
  <c r="F930" i="57" a="1"/>
  <c r="F930" i="57" s="1"/>
  <c r="G1056" i="57" a="1"/>
  <c r="G1056" i="57" s="1"/>
  <c r="F1056" i="57" a="1"/>
  <c r="F1056" i="57" s="1"/>
  <c r="G1182" i="57" a="1"/>
  <c r="G1182" i="57" s="1"/>
  <c r="F1182" i="57" a="1"/>
  <c r="F1182" i="57" s="1"/>
  <c r="G1320" i="57" a="1"/>
  <c r="G1320" i="57" s="1"/>
  <c r="F1320" i="57" a="1"/>
  <c r="F1320" i="57" s="1"/>
  <c r="G638" i="57" a="1"/>
  <c r="G638" i="57" s="1"/>
  <c r="F638" i="57" a="1"/>
  <c r="F638" i="57" s="1"/>
  <c r="G758" i="57" a="1"/>
  <c r="G758" i="57" s="1"/>
  <c r="F758" i="57" a="1"/>
  <c r="F758" i="57" s="1"/>
  <c r="G890" i="57" a="1"/>
  <c r="G890" i="57" s="1"/>
  <c r="F890" i="57" a="1"/>
  <c r="F890" i="57" s="1"/>
  <c r="G1052" i="57" a="1"/>
  <c r="G1052" i="57" s="1"/>
  <c r="F1052" i="57" a="1"/>
  <c r="F1052" i="57" s="1"/>
  <c r="G1214" i="57" a="1"/>
  <c r="G1214" i="57" s="1"/>
  <c r="F1214" i="57" a="1"/>
  <c r="F1214" i="57" s="1"/>
  <c r="G1376" i="57" a="1"/>
  <c r="G1376" i="57" s="1"/>
  <c r="F1376" i="57" a="1"/>
  <c r="F1376" i="57" s="1"/>
  <c r="G705" i="57" a="1"/>
  <c r="G705" i="57" s="1"/>
  <c r="F705" i="57" a="1"/>
  <c r="F705" i="57" s="1"/>
  <c r="G855" i="57" a="1"/>
  <c r="G855" i="57" s="1"/>
  <c r="F855" i="57" a="1"/>
  <c r="F855" i="57" s="1"/>
  <c r="G1191" i="57" a="1"/>
  <c r="G1191" i="57" s="1"/>
  <c r="F1191" i="57" a="1"/>
  <c r="F1191" i="57" s="1"/>
  <c r="G664" i="57" a="1"/>
  <c r="G664" i="57" s="1"/>
  <c r="F664" i="57" a="1"/>
  <c r="F664" i="57" s="1"/>
  <c r="G1030" i="57" a="1"/>
  <c r="G1030" i="57" s="1"/>
  <c r="F1030" i="57" a="1"/>
  <c r="F1030" i="57" s="1"/>
  <c r="G1402" i="57" a="1"/>
  <c r="G1402" i="57" s="1"/>
  <c r="F1402" i="57" a="1"/>
  <c r="F1402" i="57" s="1"/>
  <c r="G1653" i="57" a="1"/>
  <c r="G1653" i="57" s="1"/>
  <c r="F1653" i="57" a="1"/>
  <c r="F1653" i="57" s="1"/>
  <c r="G1456" i="57" a="1"/>
  <c r="G1456" i="57" s="1"/>
  <c r="F1456" i="57" a="1"/>
  <c r="F1456" i="57" s="1"/>
  <c r="G1768" i="57" a="1"/>
  <c r="G1768" i="57" s="1"/>
  <c r="F1768" i="57" a="1"/>
  <c r="F1768" i="57" s="1"/>
  <c r="G1661" i="57" a="1"/>
  <c r="G1661" i="57" s="1"/>
  <c r="F1661" i="57" a="1"/>
  <c r="F1661" i="57" s="1"/>
  <c r="G1682" i="57" a="1"/>
  <c r="G1682" i="57" s="1"/>
  <c r="F1682" i="57" a="1"/>
  <c r="F1682" i="57" s="1"/>
  <c r="G180" i="57" a="1"/>
  <c r="G180" i="57" s="1"/>
  <c r="F180" i="57" a="1"/>
  <c r="F180" i="57" s="1"/>
  <c r="G378" i="57" a="1"/>
  <c r="G378" i="57" s="1"/>
  <c r="F378" i="57" a="1"/>
  <c r="F378" i="57" s="1"/>
  <c r="G618" i="57" a="1"/>
  <c r="G618" i="57" s="1"/>
  <c r="F618" i="57" a="1"/>
  <c r="F618" i="57" s="1"/>
  <c r="G957" i="57" a="1"/>
  <c r="G957" i="57" s="1"/>
  <c r="F957" i="57" a="1"/>
  <c r="F957" i="57" s="1"/>
  <c r="G1287" i="57" a="1"/>
  <c r="G1287" i="57" s="1"/>
  <c r="F1287" i="57" a="1"/>
  <c r="F1287" i="57" s="1"/>
  <c r="G766" i="57" a="1"/>
  <c r="G766" i="57" s="1"/>
  <c r="F766" i="57" a="1"/>
  <c r="F766" i="57" s="1"/>
  <c r="G1138" i="57" a="1"/>
  <c r="G1138" i="57" s="1"/>
  <c r="F1138" i="57" a="1"/>
  <c r="F1138" i="57" s="1"/>
  <c r="G1421" i="57" a="1"/>
  <c r="G1421" i="57" s="1"/>
  <c r="F1421" i="57" a="1"/>
  <c r="F1421" i="57" s="1"/>
  <c r="G1707" i="57" a="1"/>
  <c r="G1707" i="57" s="1"/>
  <c r="F1707" i="57" a="1"/>
  <c r="F1707" i="57" s="1"/>
  <c r="G1516" i="57" a="1"/>
  <c r="G1516" i="57" s="1"/>
  <c r="F1516" i="57" a="1"/>
  <c r="F1516" i="57" s="1"/>
  <c r="G1834" i="57" a="1"/>
  <c r="G1834" i="57" s="1"/>
  <c r="F1834" i="57" a="1"/>
  <c r="F1834" i="57" s="1"/>
  <c r="G1757" i="57" a="1"/>
  <c r="G1757" i="57" s="1"/>
  <c r="F1757" i="57" a="1"/>
  <c r="F1757" i="57" s="1"/>
  <c r="G1772" i="57" a="1"/>
  <c r="G1772" i="57" s="1"/>
  <c r="F1772" i="57" a="1"/>
  <c r="F1772" i="57" s="1"/>
  <c r="G867" i="57" a="1"/>
  <c r="G867" i="57" s="1"/>
  <c r="F867" i="57" a="1"/>
  <c r="F867" i="57" s="1"/>
  <c r="G987" i="57" a="1"/>
  <c r="G987" i="57" s="1"/>
  <c r="F987" i="57" a="1"/>
  <c r="F987" i="57" s="1"/>
  <c r="G1095" i="57" a="1"/>
  <c r="G1095" i="57" s="1"/>
  <c r="F1095" i="57" a="1"/>
  <c r="F1095" i="57" s="1"/>
  <c r="G1203" i="57" a="1"/>
  <c r="G1203" i="57" s="1"/>
  <c r="F1203" i="57" a="1"/>
  <c r="F1203" i="57" s="1"/>
  <c r="G1323" i="57" a="1"/>
  <c r="G1323" i="57" s="1"/>
  <c r="F1323" i="57" a="1"/>
  <c r="F1323" i="57" s="1"/>
  <c r="G1437" i="57" a="1"/>
  <c r="G1437" i="57" s="1"/>
  <c r="F1437" i="57" a="1"/>
  <c r="F1437" i="57" s="1"/>
  <c r="G676" i="57" a="1"/>
  <c r="G676" i="57" s="1"/>
  <c r="F676" i="57" a="1"/>
  <c r="F676" i="57" s="1"/>
  <c r="G808" i="57" a="1"/>
  <c r="G808" i="57" s="1"/>
  <c r="F808" i="57" a="1"/>
  <c r="F808" i="57" s="1"/>
  <c r="G928" i="57" a="1"/>
  <c r="G928" i="57" s="1"/>
  <c r="F928" i="57" a="1"/>
  <c r="F928" i="57" s="1"/>
  <c r="G1048" i="57" a="1"/>
  <c r="G1048" i="57" s="1"/>
  <c r="F1048" i="57" a="1"/>
  <c r="F1048" i="57" s="1"/>
  <c r="G1174" i="57" a="1"/>
  <c r="G1174" i="57" s="1"/>
  <c r="F1174" i="57" a="1"/>
  <c r="F1174" i="57" s="1"/>
  <c r="G1288" i="57" a="1"/>
  <c r="G1288" i="57" s="1"/>
  <c r="F1288" i="57" a="1"/>
  <c r="F1288" i="57" s="1"/>
  <c r="G1414" i="57" a="1"/>
  <c r="G1414" i="57" s="1"/>
  <c r="F1414" i="57" a="1"/>
  <c r="F1414" i="57" s="1"/>
  <c r="G1416" i="57" a="1"/>
  <c r="G1416" i="57" s="1"/>
  <c r="F1416" i="57" a="1"/>
  <c r="F1416" i="57" s="1"/>
  <c r="G1677" i="57" a="1"/>
  <c r="G1677" i="57" s="1"/>
  <c r="F1677" i="57" a="1"/>
  <c r="F1677" i="57" s="1"/>
  <c r="G1941" i="57" a="1"/>
  <c r="G1941" i="57" s="1"/>
  <c r="F1941" i="57" a="1"/>
  <c r="F1941" i="57" s="1"/>
  <c r="G1696" i="57" a="1"/>
  <c r="G1696" i="57" s="1"/>
  <c r="F1696" i="57" a="1"/>
  <c r="F1696" i="57" s="1"/>
  <c r="G1954" i="57" a="1"/>
  <c r="G1954" i="57" s="1"/>
  <c r="F1954" i="57" a="1"/>
  <c r="F1954" i="57" s="1"/>
  <c r="G1697" i="57" a="1"/>
  <c r="G1697" i="57" s="1"/>
  <c r="F1697" i="57" a="1"/>
  <c r="F1697" i="57" s="1"/>
  <c r="G2499" i="57" a="1"/>
  <c r="G2499" i="57" s="1"/>
  <c r="F2499" i="57" a="1"/>
  <c r="F2499" i="57" s="1"/>
  <c r="G1718" i="57" a="1"/>
  <c r="G1718" i="57" s="1"/>
  <c r="F1718" i="57" a="1"/>
  <c r="F1718" i="57" s="1"/>
  <c r="G1977" i="57" a="1"/>
  <c r="G1977" i="57" s="1"/>
  <c r="F1977" i="57" a="1"/>
  <c r="F1977" i="57" s="1"/>
  <c r="G2235" i="57" a="1"/>
  <c r="G2235" i="57" s="1"/>
  <c r="F2235" i="57" a="1"/>
  <c r="F2235" i="57" s="1"/>
  <c r="G2002" i="57" a="1"/>
  <c r="G2002" i="57" s="1"/>
  <c r="F2002" i="57" a="1"/>
  <c r="F2002" i="57" s="1"/>
  <c r="G2314" i="57" a="1"/>
  <c r="G2314" i="57" s="1"/>
  <c r="F2314" i="57" a="1"/>
  <c r="F2314" i="57" s="1"/>
  <c r="G2159" i="57" a="1"/>
  <c r="G2159" i="57" s="1"/>
  <c r="F2159" i="57" a="1"/>
  <c r="F2159" i="57" s="1"/>
  <c r="G2006" i="57" a="1"/>
  <c r="G2006" i="57" s="1"/>
  <c r="F2006" i="57" a="1"/>
  <c r="F2006" i="57" s="1"/>
  <c r="G2318" i="57" a="1"/>
  <c r="G2318" i="57" s="1"/>
  <c r="F2318" i="57" a="1"/>
  <c r="F2318" i="57" s="1"/>
  <c r="G2452" i="57" a="1"/>
  <c r="G2452" i="57" s="1"/>
  <c r="F2452" i="57" a="1"/>
  <c r="F2452" i="57" s="1"/>
  <c r="G1620" i="57" a="1"/>
  <c r="G1620" i="57" s="1"/>
  <c r="F1620" i="57" a="1"/>
  <c r="F1620" i="57" s="1"/>
  <c r="G554" i="57" a="1"/>
  <c r="G554" i="57" s="1"/>
  <c r="F554" i="57" a="1"/>
  <c r="F554" i="57" s="1"/>
  <c r="G985" i="57" a="1"/>
  <c r="G985" i="57" s="1"/>
  <c r="F985" i="57" a="1"/>
  <c r="F985" i="57" s="1"/>
  <c r="G2241" i="57" a="1"/>
  <c r="G2241" i="57" s="1"/>
  <c r="F2241" i="57" a="1"/>
  <c r="F2241" i="57" s="1"/>
  <c r="G2014" i="57" a="1"/>
  <c r="G2014" i="57" s="1"/>
  <c r="F2014" i="57" a="1"/>
  <c r="F2014" i="57" s="1"/>
  <c r="G2326" i="57" a="1"/>
  <c r="G2326" i="57" s="1"/>
  <c r="F2326" i="57" a="1"/>
  <c r="F2326" i="57" s="1"/>
  <c r="G2165" i="57" a="1"/>
  <c r="G2165" i="57" s="1"/>
  <c r="F2165" i="57" a="1"/>
  <c r="F2165" i="57" s="1"/>
  <c r="G2018" i="57" a="1"/>
  <c r="G2018" i="57" s="1"/>
  <c r="F2018" i="57" a="1"/>
  <c r="F2018" i="57" s="1"/>
  <c r="G2324" i="57" a="1"/>
  <c r="G2324" i="57" s="1"/>
  <c r="F2324" i="57" a="1"/>
  <c r="F2324" i="57" s="1"/>
  <c r="G2458" i="57" a="1"/>
  <c r="G2458" i="57" s="1"/>
  <c r="F2458" i="57" a="1"/>
  <c r="F2458" i="57" s="1"/>
  <c r="G1626" i="57" a="1"/>
  <c r="G1626" i="57" s="1"/>
  <c r="F1626" i="57" a="1"/>
  <c r="F1626" i="57" s="1"/>
  <c r="G902" i="57" a="1"/>
  <c r="G902" i="57" s="1"/>
  <c r="F902" i="57" a="1"/>
  <c r="F902" i="57" s="1"/>
  <c r="G1087" i="57" a="1"/>
  <c r="G1087" i="57" s="1"/>
  <c r="F1087" i="57" a="1"/>
  <c r="F1087" i="57" s="1"/>
  <c r="G2295" i="57" a="1"/>
  <c r="G2295" i="57" s="1"/>
  <c r="F2295" i="57" a="1"/>
  <c r="F2295" i="57" s="1"/>
  <c r="G2074" i="57" a="1"/>
  <c r="G2074" i="57" s="1"/>
  <c r="F2074" i="57" a="1"/>
  <c r="F2074" i="57" s="1"/>
  <c r="G2386" i="57" a="1"/>
  <c r="G2386" i="57" s="1"/>
  <c r="F2386" i="57" a="1"/>
  <c r="F2386" i="57" s="1"/>
  <c r="G2225" i="57" a="1"/>
  <c r="G2225" i="57" s="1"/>
  <c r="F2225" i="57" a="1"/>
  <c r="F2225" i="57" s="1"/>
  <c r="G2072" i="57" a="1"/>
  <c r="G2072" i="57" s="1"/>
  <c r="F2072" i="57" a="1"/>
  <c r="F2072" i="57" s="1"/>
  <c r="G2402" i="57" a="1"/>
  <c r="G2402" i="57" s="1"/>
  <c r="F2402" i="57" a="1"/>
  <c r="F2402" i="57" s="1"/>
  <c r="G230" i="57" a="1"/>
  <c r="G230" i="57" s="1"/>
  <c r="F230" i="57" a="1"/>
  <c r="F230" i="57" s="1"/>
  <c r="G1704" i="57" a="1"/>
  <c r="G1704" i="57" s="1"/>
  <c r="F1704" i="57" a="1"/>
  <c r="F1704" i="57" s="1"/>
  <c r="G2010" i="57" a="1"/>
  <c r="G2010" i="57" s="1"/>
  <c r="F2010" i="57" a="1"/>
  <c r="F2010" i="57" s="1"/>
  <c r="G2085" i="57" a="1"/>
  <c r="G2085" i="57" s="1"/>
  <c r="F2085" i="57" a="1"/>
  <c r="F2085" i="57" s="1"/>
  <c r="G2343" i="57" a="1"/>
  <c r="G2343" i="57" s="1"/>
  <c r="F2343" i="57" a="1"/>
  <c r="F2343" i="57" s="1"/>
  <c r="G2134" i="57" a="1"/>
  <c r="G2134" i="57" s="1"/>
  <c r="F2134" i="57" a="1"/>
  <c r="F2134" i="57" s="1"/>
  <c r="G1973" i="57" a="1"/>
  <c r="G1973" i="57" s="1"/>
  <c r="F1973" i="57" a="1"/>
  <c r="F1973" i="57" s="1"/>
  <c r="G2285" i="57" a="1"/>
  <c r="G2285" i="57" s="1"/>
  <c r="F2285" i="57" a="1"/>
  <c r="F2285" i="57" s="1"/>
  <c r="G2138" i="57" a="1"/>
  <c r="G2138" i="57" s="1"/>
  <c r="F2138" i="57" a="1"/>
  <c r="F2138" i="57" s="1"/>
  <c r="F12" i="57" a="1"/>
  <c r="F12" i="57" s="1"/>
  <c r="G2471" i="57" a="1"/>
  <c r="G2471" i="57" s="1"/>
  <c r="F2471" i="57" a="1"/>
  <c r="F2471" i="57" s="1"/>
  <c r="G1782" i="57" a="1"/>
  <c r="G1782" i="57" s="1"/>
  <c r="F1782" i="57" a="1"/>
  <c r="F1782" i="57" s="1"/>
  <c r="G2310" i="57" a="1"/>
  <c r="G2310" i="57" s="1"/>
  <c r="F2310" i="57" a="1"/>
  <c r="F2310" i="57" s="1"/>
  <c r="G1511" i="57" a="1"/>
  <c r="G1511" i="57" s="1"/>
  <c r="F1511" i="57" a="1"/>
  <c r="F1511" i="57" s="1"/>
  <c r="G1769" i="57" a="1"/>
  <c r="G1769" i="57" s="1"/>
  <c r="F1769" i="57" a="1"/>
  <c r="F1769" i="57" s="1"/>
  <c r="G1526" i="57" a="1"/>
  <c r="G1526" i="57" s="1"/>
  <c r="F1526" i="57" a="1"/>
  <c r="F1526" i="57" s="1"/>
  <c r="G1790" i="57" a="1"/>
  <c r="G1790" i="57" s="1"/>
  <c r="F1790" i="57" a="1"/>
  <c r="F1790" i="57" s="1"/>
  <c r="G2049" i="57" a="1"/>
  <c r="G2049" i="57" s="1"/>
  <c r="F2049" i="57" a="1"/>
  <c r="F2049" i="57" s="1"/>
  <c r="G2307" i="57" a="1"/>
  <c r="G2307" i="57" s="1"/>
  <c r="F2307" i="57" a="1"/>
  <c r="F2307" i="57" s="1"/>
  <c r="G2092" i="57" a="1"/>
  <c r="G2092" i="57" s="1"/>
  <c r="F2092" i="57" a="1"/>
  <c r="F2092" i="57" s="1"/>
  <c r="G2398" i="57" a="1"/>
  <c r="G2398" i="57" s="1"/>
  <c r="F2398" i="57" a="1"/>
  <c r="F2398" i="57" s="1"/>
  <c r="G2243" i="57" a="1"/>
  <c r="G2243" i="57" s="1"/>
  <c r="F2243" i="57" a="1"/>
  <c r="F2243" i="57" s="1"/>
  <c r="G2096" i="57" a="1"/>
  <c r="G2096" i="57" s="1"/>
  <c r="F2096" i="57" a="1"/>
  <c r="F2096" i="57" s="1"/>
  <c r="G2432" i="57" a="1"/>
  <c r="G2432" i="57" s="1"/>
  <c r="F2432" i="57" a="1"/>
  <c r="F2432" i="57" s="1"/>
  <c r="G2423" i="57" a="1"/>
  <c r="G2423" i="57" s="1"/>
  <c r="F2423" i="57" a="1"/>
  <c r="F2423" i="57" s="1"/>
  <c r="G1734" i="57" a="1"/>
  <c r="G1734" i="57" s="1"/>
  <c r="F1734" i="57" a="1"/>
  <c r="F1734" i="57" s="1"/>
  <c r="G2094" i="57" a="1"/>
  <c r="G2094" i="57" s="1"/>
  <c r="F2094" i="57" a="1"/>
  <c r="F2094" i="57" s="1"/>
  <c r="G1948" i="57" a="1"/>
  <c r="G1948" i="57" s="1"/>
  <c r="F1948" i="57" a="1"/>
  <c r="F1948" i="57" s="1"/>
  <c r="G1691" i="57" a="1"/>
  <c r="G1691" i="57" s="1"/>
  <c r="F1691" i="57" a="1"/>
  <c r="F1691" i="57" s="1"/>
  <c r="G1949" i="57" a="1"/>
  <c r="G1949" i="57" s="1"/>
  <c r="F1949" i="57" a="1"/>
  <c r="F1949" i="57" s="1"/>
  <c r="G1706" i="57" a="1"/>
  <c r="G1706" i="57" s="1"/>
  <c r="F1706" i="57" a="1"/>
  <c r="F1706" i="57" s="1"/>
  <c r="G1971" i="57" a="1"/>
  <c r="G1971" i="57" s="1"/>
  <c r="F1971" i="57" a="1"/>
  <c r="F1971" i="57" s="1"/>
  <c r="G2229" i="57" a="1"/>
  <c r="G2229" i="57" s="1"/>
  <c r="F2229" i="57" a="1"/>
  <c r="F2229" i="57" s="1"/>
  <c r="G1996" i="57" a="1"/>
  <c r="G1996" i="57" s="1"/>
  <c r="F1996" i="57" a="1"/>
  <c r="F1996" i="57" s="1"/>
  <c r="G2308" i="57" a="1"/>
  <c r="G2308" i="57" s="1"/>
  <c r="F2308" i="57" a="1"/>
  <c r="F2308" i="57" s="1"/>
  <c r="G2141" i="57" a="1"/>
  <c r="G2141" i="57" s="1"/>
  <c r="F2141" i="57" a="1"/>
  <c r="F2141" i="57" s="1"/>
  <c r="G2000" i="57" a="1"/>
  <c r="G2000" i="57" s="1"/>
  <c r="F2000" i="57" a="1"/>
  <c r="F2000" i="57" s="1"/>
  <c r="G2312" i="57" a="1"/>
  <c r="G2312" i="57" s="1"/>
  <c r="F2312" i="57" a="1"/>
  <c r="F2312" i="57" s="1"/>
  <c r="G2446" i="57" a="1"/>
  <c r="G2446" i="57" s="1"/>
  <c r="F2446" i="57" a="1"/>
  <c r="F2446" i="57" s="1"/>
  <c r="G1608" i="57" a="1"/>
  <c r="G1608" i="57" s="1"/>
  <c r="F1608" i="57" a="1"/>
  <c r="F1608" i="57" s="1"/>
  <c r="G607" i="57" a="1"/>
  <c r="G607" i="57" s="1"/>
  <c r="F607" i="57" a="1"/>
  <c r="F607" i="57" s="1"/>
  <c r="G841" i="57" a="1"/>
  <c r="G841" i="57" s="1"/>
  <c r="F841" i="57" a="1"/>
  <c r="F841" i="57" s="1"/>
  <c r="G1611" i="57" a="1"/>
  <c r="G1611" i="57" s="1"/>
  <c r="F1611" i="57" a="1"/>
  <c r="F1611" i="57" s="1"/>
  <c r="G1827" i="57" a="1"/>
  <c r="G1827" i="57" s="1"/>
  <c r="F1827" i="57" a="1"/>
  <c r="F1827" i="57" s="1"/>
  <c r="G1540" i="57" a="1"/>
  <c r="G1540" i="57" s="1"/>
  <c r="F1540" i="57" a="1"/>
  <c r="F1540" i="57" s="1"/>
  <c r="G1756" i="57" a="1"/>
  <c r="G1756" i="57" s="1"/>
  <c r="F1756" i="57" a="1"/>
  <c r="F1756" i="57" s="1"/>
  <c r="G1457" i="57" a="1"/>
  <c r="G1457" i="57" s="1"/>
  <c r="F1457" i="57" a="1"/>
  <c r="F1457" i="57" s="1"/>
  <c r="G1673" i="57" a="1"/>
  <c r="G1673" i="57" s="1"/>
  <c r="F1673" i="57" a="1"/>
  <c r="F1673" i="57" s="1"/>
  <c r="G1889" i="57" a="1"/>
  <c r="G1889" i="57" s="1"/>
  <c r="F1889" i="57" a="1"/>
  <c r="F1889" i="57" s="1"/>
  <c r="G1604" i="57" a="1"/>
  <c r="G1604" i="57" s="1"/>
  <c r="F1604" i="57" a="1"/>
  <c r="F1604" i="57" s="1"/>
  <c r="G1820" i="57" a="1"/>
  <c r="G1820" i="57" s="1"/>
  <c r="F1820" i="57" a="1"/>
  <c r="F1820" i="57" s="1"/>
  <c r="G2037" i="57" a="1"/>
  <c r="G2037" i="57" s="1"/>
  <c r="F2037" i="57" a="1"/>
  <c r="F2037" i="57" s="1"/>
  <c r="G2253" i="57" a="1"/>
  <c r="G2253" i="57" s="1"/>
  <c r="F2253" i="57" a="1"/>
  <c r="F2253" i="57" s="1"/>
  <c r="G1978" i="57" a="1"/>
  <c r="G1978" i="57" s="1"/>
  <c r="F1978" i="57" a="1"/>
  <c r="F1978" i="57" s="1"/>
  <c r="G2236" i="57" a="1"/>
  <c r="G2236" i="57" s="1"/>
  <c r="F2236" i="57" a="1"/>
  <c r="F2236" i="57" s="1"/>
  <c r="G2021" i="57" a="1"/>
  <c r="G2021" i="57" s="1"/>
  <c r="F2021" i="57" a="1"/>
  <c r="F2021" i="57" s="1"/>
  <c r="G2279" i="57" a="1"/>
  <c r="G2279" i="57" s="1"/>
  <c r="F2279" i="57" a="1"/>
  <c r="F2279" i="57" s="1"/>
  <c r="G2078" i="57" a="1"/>
  <c r="G2078" i="57" s="1"/>
  <c r="F2078" i="57" a="1"/>
  <c r="F2078" i="57" s="1"/>
  <c r="G2342" i="57" a="1"/>
  <c r="G2342" i="57" s="1"/>
  <c r="F2342" i="57" a="1"/>
  <c r="F2342" i="57" s="1"/>
  <c r="G151" i="57" a="1"/>
  <c r="G151" i="57" s="1"/>
  <c r="F151" i="57" a="1"/>
  <c r="F151" i="57" s="1"/>
  <c r="G2459" i="57" a="1"/>
  <c r="G2459" i="57" s="1"/>
  <c r="F2459" i="57" a="1"/>
  <c r="F2459" i="57" s="1"/>
  <c r="G1638" i="57" a="1"/>
  <c r="G1638" i="57" s="1"/>
  <c r="F1638" i="57" a="1"/>
  <c r="F1638" i="57" s="1"/>
  <c r="G1896" i="57" a="1"/>
  <c r="G1896" i="57" s="1"/>
  <c r="F1896" i="57" a="1"/>
  <c r="F1896" i="57" s="1"/>
  <c r="G1669" i="57" a="1"/>
  <c r="G1669" i="57" s="1"/>
  <c r="F1669" i="57" a="1"/>
  <c r="F1669" i="57" s="1"/>
  <c r="G379" i="57" a="1"/>
  <c r="G379" i="57" s="1"/>
  <c r="F379" i="57" a="1"/>
  <c r="F379" i="57" s="1"/>
  <c r="G446" i="57" a="1"/>
  <c r="G446" i="57" s="1"/>
  <c r="F446" i="57" a="1"/>
  <c r="F446" i="57" s="1"/>
  <c r="G777" i="57" a="1"/>
  <c r="G777" i="57" s="1"/>
  <c r="F777" i="57" a="1"/>
  <c r="F777" i="57" s="1"/>
  <c r="G2166" i="57" a="1"/>
  <c r="G2166" i="57" s="1"/>
  <c r="F2166" i="57" a="1"/>
  <c r="F2166" i="57" s="1"/>
  <c r="G2430" i="57" a="1"/>
  <c r="G2430" i="57" s="1"/>
  <c r="F2430" i="57" a="1"/>
  <c r="F2430" i="57" s="1"/>
  <c r="G1915" i="57" a="1"/>
  <c r="G1915" i="57" s="1"/>
  <c r="F1915" i="57" a="1"/>
  <c r="F1915" i="57" s="1"/>
  <c r="G2179" i="57" a="1"/>
  <c r="G2179" i="57" s="1"/>
  <c r="F2179" i="57" a="1"/>
  <c r="F2179" i="57" s="1"/>
  <c r="G925" i="57" a="1"/>
  <c r="G925" i="57" s="1"/>
  <c r="F925" i="57" a="1"/>
  <c r="F925" i="57" s="1"/>
  <c r="G1818" i="57" a="1"/>
  <c r="G1818" i="57" s="1"/>
  <c r="F1818" i="57" a="1"/>
  <c r="F1818" i="57" s="1"/>
  <c r="G1585" i="57" a="1"/>
  <c r="G1585" i="57" s="1"/>
  <c r="F1585" i="57" a="1"/>
  <c r="F1585" i="57" s="1"/>
  <c r="G301" i="57" a="1"/>
  <c r="G301" i="57" s="1"/>
  <c r="F301" i="57" a="1"/>
  <c r="F301" i="57" s="1"/>
  <c r="G559" i="57" a="1"/>
  <c r="G559" i="57" s="1"/>
  <c r="F559" i="57" a="1"/>
  <c r="F559" i="57" s="1"/>
  <c r="G1262" i="57" a="1"/>
  <c r="G1262" i="57" s="1"/>
  <c r="F1262" i="57" a="1"/>
  <c r="F1262" i="57" s="1"/>
  <c r="G2088" i="57" a="1"/>
  <c r="G2088" i="57" s="1"/>
  <c r="F2088" i="57" a="1"/>
  <c r="F2088" i="57" s="1"/>
  <c r="G2346" i="57" a="1"/>
  <c r="G2346" i="57" s="1"/>
  <c r="F2346" i="57" a="1"/>
  <c r="F2346" i="57" s="1"/>
  <c r="G1837" i="57" a="1"/>
  <c r="G1837" i="57" s="1"/>
  <c r="F1837" i="57" a="1"/>
  <c r="F1837" i="57" s="1"/>
  <c r="G2095" i="57" a="1"/>
  <c r="G2095" i="57" s="1"/>
  <c r="F2095" i="57" a="1"/>
  <c r="F2095" i="57" s="1"/>
  <c r="G1224" i="57" a="1"/>
  <c r="G1224" i="57" s="1"/>
  <c r="F1224" i="57" a="1"/>
  <c r="F1224" i="57" s="1"/>
  <c r="G1429" i="57" a="1"/>
  <c r="G1429" i="57" s="1"/>
  <c r="F1429" i="57" a="1"/>
  <c r="F1429" i="57" s="1"/>
  <c r="G1471" i="57" a="1"/>
  <c r="G1471" i="57" s="1"/>
  <c r="F1471" i="57" a="1"/>
  <c r="F1471" i="57" s="1"/>
  <c r="G2480" i="57" a="1"/>
  <c r="G2480" i="57" s="1"/>
  <c r="F2480" i="57" a="1"/>
  <c r="F2480" i="57" s="1"/>
  <c r="G445" i="57" a="1"/>
  <c r="G445" i="57" s="1"/>
  <c r="F445" i="57" a="1"/>
  <c r="F445" i="57" s="1"/>
  <c r="G920" i="57" a="1"/>
  <c r="G920" i="57" s="1"/>
  <c r="F920" i="57" a="1"/>
  <c r="F920" i="57" s="1"/>
  <c r="G1974" i="57" a="1"/>
  <c r="G1974" i="57" s="1"/>
  <c r="F1974" i="57" a="1"/>
  <c r="F1974" i="57" s="1"/>
  <c r="G2232" i="57" a="1"/>
  <c r="G2232" i="57" s="1"/>
  <c r="F2232" i="57" a="1"/>
  <c r="F2232" i="57" s="1"/>
  <c r="G1717" i="57" a="1"/>
  <c r="G1717" i="57" s="1"/>
  <c r="F1717" i="57" a="1"/>
  <c r="F1717" i="57" s="1"/>
  <c r="G1981" i="57" a="1"/>
  <c r="G1981" i="57" s="1"/>
  <c r="F1981" i="57" a="1"/>
  <c r="F1981" i="57" s="1"/>
  <c r="G474" i="57" a="1"/>
  <c r="G474" i="57" s="1"/>
  <c r="F474" i="57" a="1"/>
  <c r="F474" i="57" s="1"/>
  <c r="G1123" i="57" a="1"/>
  <c r="G1123" i="57" s="1"/>
  <c r="F1123" i="57" a="1"/>
  <c r="F1123" i="57" s="1"/>
  <c r="G1842" i="57" a="1"/>
  <c r="G1842" i="57" s="1"/>
  <c r="F1842" i="57" a="1"/>
  <c r="F1842" i="57" s="1"/>
  <c r="G1609" i="57" a="1"/>
  <c r="G1609" i="57" s="1"/>
  <c r="F1609" i="57" a="1"/>
  <c r="F1609" i="57" s="1"/>
  <c r="G319" i="57" a="1"/>
  <c r="G319" i="57" s="1"/>
  <c r="F319" i="57" a="1"/>
  <c r="F319" i="57" s="1"/>
  <c r="G577" i="57" a="1"/>
  <c r="G577" i="57" s="1"/>
  <c r="F577" i="57" a="1"/>
  <c r="F577" i="57" s="1"/>
  <c r="G1334" i="57" a="1"/>
  <c r="G1334" i="57" s="1"/>
  <c r="F1334" i="57" a="1"/>
  <c r="F1334" i="57" s="1"/>
  <c r="G2112" i="57" a="1"/>
  <c r="G2112" i="57" s="1"/>
  <c r="F2112" i="57" a="1"/>
  <c r="F2112" i="57" s="1"/>
  <c r="G2370" i="57" a="1"/>
  <c r="G2370" i="57" s="1"/>
  <c r="F2370" i="57" a="1"/>
  <c r="F2370" i="57" s="1"/>
  <c r="G1855" i="57" a="1"/>
  <c r="G1855" i="57" s="1"/>
  <c r="F1855" i="57" a="1"/>
  <c r="F1855" i="57" s="1"/>
  <c r="G2113" i="57" a="1"/>
  <c r="G2113" i="57" s="1"/>
  <c r="F2113" i="57" a="1"/>
  <c r="F2113" i="57" s="1"/>
  <c r="G1332" i="57" a="1"/>
  <c r="G1332" i="57" s="1"/>
  <c r="F1332" i="57" a="1"/>
  <c r="F1332" i="57" s="1"/>
  <c r="G130" i="57" a="1"/>
  <c r="G130" i="57" s="1"/>
  <c r="F130" i="57" a="1"/>
  <c r="F130" i="57" s="1"/>
  <c r="G55" i="57" a="1"/>
  <c r="G55" i="57" s="1"/>
  <c r="F55" i="57" a="1"/>
  <c r="F55" i="57" s="1"/>
  <c r="G122" i="57" a="1"/>
  <c r="G122" i="57" s="1"/>
  <c r="F122" i="57" a="1"/>
  <c r="F122" i="57" s="1"/>
  <c r="G1548" i="57" a="1"/>
  <c r="G1548" i="57" s="1"/>
  <c r="F1548" i="57" a="1"/>
  <c r="F1548" i="57" s="1"/>
  <c r="G1806" i="57" a="1"/>
  <c r="G1806" i="57" s="1"/>
  <c r="F1806" i="57" a="1"/>
  <c r="F1806" i="57" s="1"/>
  <c r="G1573" i="57" a="1"/>
  <c r="G1573" i="57" s="1"/>
  <c r="F1573" i="57" a="1"/>
  <c r="F1573" i="57" s="1"/>
  <c r="G283" i="57" a="1"/>
  <c r="G283" i="57" s="1"/>
  <c r="F283" i="57" a="1"/>
  <c r="F283" i="57" s="1"/>
  <c r="G541" i="57" a="1"/>
  <c r="G541" i="57" s="1"/>
  <c r="F541" i="57" a="1"/>
  <c r="F541" i="57" s="1"/>
  <c r="G1226" i="57" a="1"/>
  <c r="G1226" i="57" s="1"/>
  <c r="F1226" i="57" a="1"/>
  <c r="F1226" i="57" s="1"/>
  <c r="G2076" i="57" a="1"/>
  <c r="G2076" i="57" s="1"/>
  <c r="F2076" i="57" a="1"/>
  <c r="F2076" i="57" s="1"/>
  <c r="G2334" i="57" a="1"/>
  <c r="G2334" i="57" s="1"/>
  <c r="F2334" i="57" a="1"/>
  <c r="F2334" i="57" s="1"/>
  <c r="G1819" i="57" a="1"/>
  <c r="G1819" i="57" s="1"/>
  <c r="F1819" i="57" a="1"/>
  <c r="F1819" i="57" s="1"/>
  <c r="G2077" i="57" a="1"/>
  <c r="G2077" i="57" s="1"/>
  <c r="F2077" i="57" a="1"/>
  <c r="F2077" i="57" s="1"/>
  <c r="G1098" i="57" a="1"/>
  <c r="G1098" i="57" s="1"/>
  <c r="F1098" i="57" a="1"/>
  <c r="F1098" i="57" s="1"/>
  <c r="G1381" i="57" a="1"/>
  <c r="G1381" i="57" s="1"/>
  <c r="F1381" i="57" a="1"/>
  <c r="F1381" i="57" s="1"/>
  <c r="G2008" i="57" a="1"/>
  <c r="G2008" i="57" s="1"/>
  <c r="F2008" i="57" a="1"/>
  <c r="F2008" i="57" s="1"/>
  <c r="G2224" i="57" a="1"/>
  <c r="G2224" i="57" s="1"/>
  <c r="F2224" i="57" a="1"/>
  <c r="F2224" i="57" s="1"/>
  <c r="G1967" i="57" a="1"/>
  <c r="G1967" i="57" s="1"/>
  <c r="F1967" i="57" a="1"/>
  <c r="F1967" i="57" s="1"/>
  <c r="G2183" i="57" a="1"/>
  <c r="G2183" i="57" s="1"/>
  <c r="F2183" i="57" a="1"/>
  <c r="F2183" i="57" s="1"/>
  <c r="G2399" i="57" a="1"/>
  <c r="G2399" i="57" s="1"/>
  <c r="F2399" i="57" a="1"/>
  <c r="F2399" i="57" s="1"/>
  <c r="G2156" i="57" a="1"/>
  <c r="G2156" i="57" s="1"/>
  <c r="F2156" i="57" a="1"/>
  <c r="F2156" i="57" s="1"/>
  <c r="G2372" i="57" a="1"/>
  <c r="G2372" i="57" s="1"/>
  <c r="F2372" i="57" a="1"/>
  <c r="F2372" i="57" s="1"/>
  <c r="G139" i="57" a="1"/>
  <c r="G139" i="57" s="1"/>
  <c r="F139" i="57" a="1"/>
  <c r="F139" i="57" s="1"/>
  <c r="G266" i="57" a="1"/>
  <c r="G266" i="57" s="1"/>
  <c r="F266" i="57" a="1"/>
  <c r="F266" i="57" s="1"/>
  <c r="G1542" i="57" a="1"/>
  <c r="G1542" i="57" s="1"/>
  <c r="F1542" i="57" a="1"/>
  <c r="F1542" i="57" s="1"/>
  <c r="G1758" i="57" a="1"/>
  <c r="G1758" i="57" s="1"/>
  <c r="F1758" i="57" a="1"/>
  <c r="F1758" i="57" s="1"/>
  <c r="G1483" i="57" a="1"/>
  <c r="G1483" i="57" s="1"/>
  <c r="F1483" i="57" a="1"/>
  <c r="F1483" i="57" s="1"/>
  <c r="G1699" i="57" a="1"/>
  <c r="G1699" i="57" s="1"/>
  <c r="F1699" i="57" a="1"/>
  <c r="F1699" i="57" s="1"/>
  <c r="G367" i="57" a="1"/>
  <c r="G367" i="57" s="1"/>
  <c r="F367" i="57" a="1"/>
  <c r="F367" i="57" s="1"/>
  <c r="G583" i="57" a="1"/>
  <c r="G583" i="57" s="1"/>
  <c r="F583" i="57" a="1"/>
  <c r="F583" i="57" s="1"/>
  <c r="G1208" i="57" a="1"/>
  <c r="G1208" i="57" s="1"/>
  <c r="F1208" i="57" a="1"/>
  <c r="F1208" i="57" s="1"/>
  <c r="G2028" i="57" a="1"/>
  <c r="G2028" i="57" s="1"/>
  <c r="F2028" i="57" a="1"/>
  <c r="F2028" i="57" s="1"/>
  <c r="G2244" i="57" a="1"/>
  <c r="G2244" i="57" s="1"/>
  <c r="F2244" i="57" a="1"/>
  <c r="F2244" i="57" s="1"/>
  <c r="G2460" i="57" a="1"/>
  <c r="G2460" i="57" s="1"/>
  <c r="F2460" i="57" a="1"/>
  <c r="F2460" i="57" s="1"/>
  <c r="G1903" i="57" a="1"/>
  <c r="G1903" i="57" s="1"/>
  <c r="F1903" i="57" a="1"/>
  <c r="F1903" i="57" s="1"/>
  <c r="G2119" i="57" a="1"/>
  <c r="G2119" i="57" s="1"/>
  <c r="F2119" i="57" a="1"/>
  <c r="F2119" i="57" s="1"/>
  <c r="G798" i="57" a="1"/>
  <c r="G798" i="57" s="1"/>
  <c r="F798" i="57" a="1"/>
  <c r="F798" i="57" s="1"/>
  <c r="G1039" i="57" a="1"/>
  <c r="G1039" i="57" s="1"/>
  <c r="F1039" i="57" a="1"/>
  <c r="F1039" i="57" s="1"/>
  <c r="G1348" i="57" a="1"/>
  <c r="G1348" i="57" s="1"/>
  <c r="F1348" i="57" a="1"/>
  <c r="F1348" i="57" s="1"/>
  <c r="G556" i="57" a="1"/>
  <c r="G556" i="57" s="1"/>
  <c r="F556" i="57" a="1"/>
  <c r="F556" i="57" s="1"/>
  <c r="G2401" i="57" a="1"/>
  <c r="G2401" i="57" s="1"/>
  <c r="F2401" i="57" a="1"/>
  <c r="F2401" i="57" s="1"/>
  <c r="G763" i="57" a="1"/>
  <c r="G763" i="57" s="1"/>
  <c r="F763" i="57" a="1"/>
  <c r="F763" i="57" s="1"/>
  <c r="G1105" i="57" a="1"/>
  <c r="G1105" i="57" s="1"/>
  <c r="F1105" i="57" a="1"/>
  <c r="F1105" i="57" s="1"/>
  <c r="G106" i="57" a="1"/>
  <c r="G106" i="57" s="1"/>
  <c r="F106" i="57" a="1"/>
  <c r="F106" i="57" s="1"/>
  <c r="G2227" i="57" a="1"/>
  <c r="G2227" i="57" s="1"/>
  <c r="F2227" i="57" a="1"/>
  <c r="F2227" i="57" s="1"/>
  <c r="G2443" i="57" a="1"/>
  <c r="G2443" i="57" s="1"/>
  <c r="F2443" i="57" a="1"/>
  <c r="F2443" i="57" s="1"/>
  <c r="G811" i="57" a="1"/>
  <c r="G811" i="57" s="1"/>
  <c r="F811" i="57" a="1"/>
  <c r="F811" i="57" s="1"/>
  <c r="G1189" i="57" a="1"/>
  <c r="G1189" i="57" s="1"/>
  <c r="F1189" i="57" a="1"/>
  <c r="F1189" i="57" s="1"/>
  <c r="G2377" i="57" a="1"/>
  <c r="G2377" i="57" s="1"/>
  <c r="F2377" i="57" a="1"/>
  <c r="F2377" i="57" s="1"/>
  <c r="G739" i="57" a="1"/>
  <c r="G739" i="57" s="1"/>
  <c r="F739" i="57" a="1"/>
  <c r="F739" i="57" s="1"/>
  <c r="G1057" i="57" a="1"/>
  <c r="G1057" i="57" s="1"/>
  <c r="F1057" i="57" a="1"/>
  <c r="F1057" i="57" s="1"/>
  <c r="G1442" i="57" a="1"/>
  <c r="G1442" i="57" s="1"/>
  <c r="F1442" i="57" a="1"/>
  <c r="F1442" i="57" s="1"/>
  <c r="G352" i="57" a="1"/>
  <c r="G352" i="57" s="1"/>
  <c r="F352" i="57" a="1"/>
  <c r="F352" i="57" s="1"/>
  <c r="G2383" i="57" a="1"/>
  <c r="G2383" i="57" s="1"/>
  <c r="F2383" i="57" a="1"/>
  <c r="F2383" i="57" s="1"/>
  <c r="G745" i="57" a="1"/>
  <c r="G745" i="57" s="1"/>
  <c r="F745" i="57" a="1"/>
  <c r="F745" i="57" s="1"/>
  <c r="G1069" i="57" a="1"/>
  <c r="G1069" i="57" s="1"/>
  <c r="F1069" i="57" a="1"/>
  <c r="F1069" i="57" s="1"/>
  <c r="G1132" i="57" a="1"/>
  <c r="G1132" i="57" s="1"/>
  <c r="F1132" i="57" a="1"/>
  <c r="F1132" i="57" s="1"/>
  <c r="G412" i="57" a="1"/>
  <c r="G412" i="57" s="1"/>
  <c r="F412" i="57" a="1"/>
  <c r="F412" i="57" s="1"/>
  <c r="G2389" i="57" a="1"/>
  <c r="G2389" i="57" s="1"/>
  <c r="F2389" i="57" a="1"/>
  <c r="F2389" i="57" s="1"/>
  <c r="G751" i="57" a="1"/>
  <c r="G751" i="57" s="1"/>
  <c r="F751" i="57" a="1"/>
  <c r="F751" i="57" s="1"/>
  <c r="G1081" i="57" a="1"/>
  <c r="G1081" i="57" s="1"/>
  <c r="F1081" i="57" a="1"/>
  <c r="F1081" i="57" s="1"/>
  <c r="G2149" i="57" a="1"/>
  <c r="G2149" i="57" s="1"/>
  <c r="F2149" i="57" a="1"/>
  <c r="F2149" i="57" s="1"/>
  <c r="G978" i="57" a="1"/>
  <c r="G978" i="57" s="1"/>
  <c r="F978" i="57" a="1"/>
  <c r="F978" i="57" s="1"/>
  <c r="G1099" i="57" a="1"/>
  <c r="G1099" i="57" s="1"/>
  <c r="F1099" i="57" a="1"/>
  <c r="F1099" i="57" s="1"/>
  <c r="G82" i="57" a="1"/>
  <c r="G82" i="57" s="1"/>
  <c r="F82" i="57" a="1"/>
  <c r="F82" i="57" s="1"/>
  <c r="G1096" i="57" a="1"/>
  <c r="G1096" i="57" s="1"/>
  <c r="F1096" i="57" a="1"/>
  <c r="F1096" i="57" s="1"/>
  <c r="G2431" i="57" a="1"/>
  <c r="G2431" i="57" s="1"/>
  <c r="F2431" i="57" a="1"/>
  <c r="F2431" i="57" s="1"/>
  <c r="G793" i="57" a="1"/>
  <c r="G793" i="57" s="1"/>
  <c r="F793" i="57" a="1"/>
  <c r="F793" i="57" s="1"/>
  <c r="G1165" i="57" a="1"/>
  <c r="G1165" i="57" s="1"/>
  <c r="F1165" i="57" a="1"/>
  <c r="F1165" i="57" s="1"/>
  <c r="G37" i="57" a="1"/>
  <c r="G37" i="57" s="1"/>
  <c r="F37" i="57" a="1"/>
  <c r="F37" i="57" s="1"/>
  <c r="G74" i="57" a="1"/>
  <c r="G74" i="57" s="1"/>
  <c r="F74" i="57" a="1"/>
  <c r="F74" i="57" s="1"/>
  <c r="G392" i="57" a="1"/>
  <c r="G392" i="57" s="1"/>
  <c r="F392" i="57" a="1"/>
  <c r="F392" i="57" s="1"/>
  <c r="G117" i="57" a="1"/>
  <c r="G117" i="57" s="1"/>
  <c r="F117" i="57" a="1"/>
  <c r="F117" i="57" s="1"/>
  <c r="G578" i="57" a="1"/>
  <c r="G578" i="57" s="1"/>
  <c r="F578" i="57" a="1"/>
  <c r="F578" i="57" s="1"/>
  <c r="G321" i="57" a="1"/>
  <c r="G321" i="57" s="1"/>
  <c r="F321" i="57" a="1"/>
  <c r="F321" i="57" s="1"/>
  <c r="G1448" i="57" a="1"/>
  <c r="G1448" i="57" s="1"/>
  <c r="F1448" i="57" a="1"/>
  <c r="F1448" i="57" s="1"/>
  <c r="G466" i="57" a="1"/>
  <c r="G466" i="57" s="1"/>
  <c r="F466" i="57" a="1"/>
  <c r="F466" i="57" s="1"/>
  <c r="G227" i="57" a="1"/>
  <c r="G227" i="57" s="1"/>
  <c r="F227" i="57" a="1"/>
  <c r="F227" i="57" s="1"/>
  <c r="G551" i="57" a="1"/>
  <c r="G551" i="57" s="1"/>
  <c r="F551" i="57" a="1"/>
  <c r="F551" i="57" s="1"/>
  <c r="G2505" i="57" a="1"/>
  <c r="G2505" i="57" s="1"/>
  <c r="F2505" i="57" a="1"/>
  <c r="F2505" i="57" s="1"/>
  <c r="F25" i="57" a="1"/>
  <c r="F25" i="57" s="1"/>
  <c r="G80" i="57" a="1"/>
  <c r="G80" i="57" s="1"/>
  <c r="F80" i="57" a="1"/>
  <c r="F80" i="57" s="1"/>
  <c r="G224" i="57" a="1"/>
  <c r="G224" i="57" s="1"/>
  <c r="F224" i="57" a="1"/>
  <c r="F224" i="57" s="1"/>
  <c r="G362" i="57" a="1"/>
  <c r="G362" i="57" s="1"/>
  <c r="F362" i="57" a="1"/>
  <c r="F362" i="57" s="1"/>
  <c r="G482" i="57" a="1"/>
  <c r="G482" i="57" s="1"/>
  <c r="F482" i="57" a="1"/>
  <c r="F482" i="57" s="1"/>
  <c r="G231" i="57" a="1"/>
  <c r="G231" i="57" s="1"/>
  <c r="F231" i="57" a="1"/>
  <c r="F231" i="57" s="1"/>
  <c r="G567" i="57" a="1"/>
  <c r="G567" i="57" s="1"/>
  <c r="F567" i="57" a="1"/>
  <c r="F567" i="57" s="1"/>
  <c r="G376" i="57" a="1"/>
  <c r="G376" i="57" s="1"/>
  <c r="F376" i="57" a="1"/>
  <c r="F376" i="57" s="1"/>
  <c r="G143" i="57" a="1"/>
  <c r="G143" i="57" s="1"/>
  <c r="F143" i="57" a="1"/>
  <c r="F143" i="57" s="1"/>
  <c r="G467" i="57" a="1"/>
  <c r="G467" i="57" s="1"/>
  <c r="F467" i="57" a="1"/>
  <c r="F467" i="57" s="1"/>
  <c r="G791" i="57" a="1"/>
  <c r="G791" i="57" s="1"/>
  <c r="F791" i="57" a="1"/>
  <c r="F791" i="57" s="1"/>
  <c r="G350" i="57" a="1"/>
  <c r="G350" i="57" s="1"/>
  <c r="F350" i="57" a="1"/>
  <c r="F350" i="57" s="1"/>
  <c r="G171" i="57" a="1"/>
  <c r="G171" i="57" s="1"/>
  <c r="F171" i="57" a="1"/>
  <c r="F171" i="57" s="1"/>
  <c r="G507" i="57" a="1"/>
  <c r="G507" i="57" s="1"/>
  <c r="F507" i="57" a="1"/>
  <c r="F507" i="57" s="1"/>
  <c r="G298" i="57" a="1"/>
  <c r="G298" i="57" s="1"/>
  <c r="F298" i="57" a="1"/>
  <c r="F298" i="57" s="1"/>
  <c r="G83" i="57" a="1"/>
  <c r="G83" i="57" s="1"/>
  <c r="F83" i="57" a="1"/>
  <c r="F83" i="57" s="1"/>
  <c r="G407" i="57" a="1"/>
  <c r="G407" i="57" s="1"/>
  <c r="F407" i="57" a="1"/>
  <c r="F407" i="57" s="1"/>
  <c r="G731" i="57" a="1"/>
  <c r="G731" i="57" s="1"/>
  <c r="F731" i="57" a="1"/>
  <c r="F731" i="57" s="1"/>
  <c r="G168" i="57" a="1"/>
  <c r="G168" i="57" s="1"/>
  <c r="F168" i="57" a="1"/>
  <c r="F168" i="57" s="1"/>
  <c r="G386" i="57" a="1"/>
  <c r="G386" i="57" s="1"/>
  <c r="F386" i="57" a="1"/>
  <c r="F386" i="57" s="1"/>
  <c r="G566" i="57" a="1"/>
  <c r="G566" i="57" s="1"/>
  <c r="F566" i="57" a="1"/>
  <c r="F566" i="57" s="1"/>
  <c r="G309" i="57" a="1"/>
  <c r="G309" i="57" s="1"/>
  <c r="F309" i="57" a="1"/>
  <c r="F309" i="57" s="1"/>
  <c r="G2485" i="57" a="1"/>
  <c r="G2485" i="57" s="1"/>
  <c r="F2485" i="57" a="1"/>
  <c r="F2485" i="57" s="1"/>
  <c r="G454" i="57" a="1"/>
  <c r="G454" i="57" s="1"/>
  <c r="F454" i="57" a="1"/>
  <c r="F454" i="57" s="1"/>
  <c r="G215" i="57" a="1"/>
  <c r="G215" i="57" s="1"/>
  <c r="F215" i="57" a="1"/>
  <c r="F215" i="57" s="1"/>
  <c r="G539" i="57" a="1"/>
  <c r="G539" i="57" s="1"/>
  <c r="F539" i="57" a="1"/>
  <c r="F539" i="57" s="1"/>
  <c r="G863" i="57" a="1"/>
  <c r="G863" i="57" s="1"/>
  <c r="F863" i="57" a="1"/>
  <c r="F863" i="57" s="1"/>
  <c r="G110" i="57" a="1"/>
  <c r="G110" i="57" s="1"/>
  <c r="F110" i="57" a="1"/>
  <c r="F110" i="57" s="1"/>
  <c r="G135" i="57" a="1"/>
  <c r="G135" i="57" s="1"/>
  <c r="F135" i="57" a="1"/>
  <c r="F135" i="57" s="1"/>
  <c r="G471" i="57" a="1"/>
  <c r="G471" i="57" s="1"/>
  <c r="F471" i="57" a="1"/>
  <c r="F471" i="57" s="1"/>
  <c r="G262" i="57" a="1"/>
  <c r="G262" i="57" s="1"/>
  <c r="F262" i="57" a="1"/>
  <c r="F262" i="57" s="1"/>
  <c r="G47" i="57" a="1"/>
  <c r="G47" i="57" s="1"/>
  <c r="F47" i="57" a="1"/>
  <c r="F47" i="57" s="1"/>
  <c r="G371" i="57" a="1"/>
  <c r="G371" i="57" s="1"/>
  <c r="F371" i="57" a="1"/>
  <c r="F371" i="57" s="1"/>
  <c r="G695" i="57" a="1"/>
  <c r="G695" i="57" s="1"/>
  <c r="F695" i="57" a="1"/>
  <c r="F695" i="57" s="1"/>
  <c r="G234" i="57" a="1"/>
  <c r="G234" i="57" s="1"/>
  <c r="F234" i="57" a="1"/>
  <c r="F234" i="57" s="1"/>
  <c r="G194" i="57" a="1"/>
  <c r="G194" i="57" s="1"/>
  <c r="F194" i="57" a="1"/>
  <c r="F194" i="57" s="1"/>
  <c r="G159" i="57" a="1"/>
  <c r="G159" i="57" s="1"/>
  <c r="F159" i="57" a="1"/>
  <c r="F159" i="57" s="1"/>
  <c r="G244" i="57" a="1"/>
  <c r="G244" i="57" s="1"/>
  <c r="F244" i="57" a="1"/>
  <c r="F244" i="57" s="1"/>
  <c r="G29" i="57" a="1"/>
  <c r="G29" i="57" s="1"/>
  <c r="F29" i="57" a="1"/>
  <c r="F29" i="57" s="1"/>
  <c r="G353" i="57" a="1"/>
  <c r="G353" i="57" s="1"/>
  <c r="F353" i="57" a="1"/>
  <c r="F353" i="57" s="1"/>
  <c r="G677" i="57" a="1"/>
  <c r="G677" i="57" s="1"/>
  <c r="F677" i="57" a="1"/>
  <c r="F677" i="57" s="1"/>
  <c r="G132" i="57" a="1"/>
  <c r="G132" i="57" s="1"/>
  <c r="F132" i="57" a="1"/>
  <c r="F132" i="57" s="1"/>
  <c r="G2500" i="57" a="1"/>
  <c r="G2500" i="57" s="1"/>
  <c r="F2500" i="57" a="1"/>
  <c r="F2500" i="57" s="1"/>
  <c r="G453" i="57" a="1"/>
  <c r="G453" i="57" s="1"/>
  <c r="F453" i="57" a="1"/>
  <c r="F453" i="57" s="1"/>
  <c r="G129" i="57" a="1"/>
  <c r="G129" i="57" s="1"/>
  <c r="F129" i="57" a="1"/>
  <c r="F129" i="57" s="1"/>
  <c r="G375" i="57" a="1"/>
  <c r="G375" i="57" s="1"/>
  <c r="F375" i="57" a="1"/>
  <c r="F375" i="57" s="1"/>
  <c r="G609" i="57" a="1"/>
  <c r="G609" i="57" s="1"/>
  <c r="F609" i="57" a="1"/>
  <c r="F609" i="57" s="1"/>
  <c r="G310" i="57" a="1"/>
  <c r="G310" i="57" s="1"/>
  <c r="F310" i="57" a="1"/>
  <c r="F310" i="57" s="1"/>
  <c r="G538" i="57" a="1"/>
  <c r="G538" i="57" s="1"/>
  <c r="F538" i="57" a="1"/>
  <c r="F538" i="57" s="1"/>
  <c r="G59" i="57" a="1"/>
  <c r="G59" i="57" s="1"/>
  <c r="F59" i="57" a="1"/>
  <c r="F59" i="57" s="1"/>
  <c r="G185" i="57" a="1"/>
  <c r="G185" i="57" s="1"/>
  <c r="F185" i="57" a="1"/>
  <c r="F185" i="57" s="1"/>
  <c r="G293" i="57" a="1"/>
  <c r="G293" i="57" s="1"/>
  <c r="F293" i="57" a="1"/>
  <c r="F293" i="57" s="1"/>
  <c r="G401" i="57" a="1"/>
  <c r="G401" i="57" s="1"/>
  <c r="F401" i="57" a="1"/>
  <c r="F401" i="57" s="1"/>
  <c r="G509" i="57" a="1"/>
  <c r="G509" i="57" s="1"/>
  <c r="F509" i="57" a="1"/>
  <c r="F509" i="57" s="1"/>
  <c r="G617" i="57" a="1"/>
  <c r="G617" i="57" s="1"/>
  <c r="F617" i="57" a="1"/>
  <c r="F617" i="57" s="1"/>
  <c r="G725" i="57" a="1"/>
  <c r="G725" i="57" s="1"/>
  <c r="F725" i="57" a="1"/>
  <c r="F725" i="57" s="1"/>
  <c r="G833" i="57" a="1"/>
  <c r="G833" i="57" s="1"/>
  <c r="F833" i="57" a="1"/>
  <c r="F833" i="57" s="1"/>
  <c r="G60" i="57" a="1"/>
  <c r="G60" i="57" s="1"/>
  <c r="F60" i="57" a="1"/>
  <c r="F60" i="57" s="1"/>
  <c r="G192" i="57" a="1"/>
  <c r="G192" i="57" s="1"/>
  <c r="F192" i="57" a="1"/>
  <c r="F192" i="57" s="1"/>
  <c r="G324" i="57" a="1"/>
  <c r="G324" i="57" s="1"/>
  <c r="F324" i="57" a="1"/>
  <c r="F324" i="57" s="1"/>
  <c r="G480" i="57" a="1"/>
  <c r="G480" i="57" s="1"/>
  <c r="F480" i="57" a="1"/>
  <c r="F480" i="57" s="1"/>
  <c r="G606" i="57" a="1"/>
  <c r="G606" i="57" s="1"/>
  <c r="F606" i="57" a="1"/>
  <c r="F606" i="57" s="1"/>
  <c r="G935" i="57" a="1"/>
  <c r="G935" i="57" s="1"/>
  <c r="F935" i="57" a="1"/>
  <c r="F935" i="57" s="1"/>
  <c r="G1043" i="57" a="1"/>
  <c r="G1043" i="57" s="1"/>
  <c r="F1043" i="57" a="1"/>
  <c r="F1043" i="57" s="1"/>
  <c r="G1151" i="57" a="1"/>
  <c r="G1151" i="57" s="1"/>
  <c r="F1151" i="57" a="1"/>
  <c r="F1151" i="57" s="1"/>
  <c r="G1259" i="57" a="1"/>
  <c r="G1259" i="57" s="1"/>
  <c r="F1259" i="57" a="1"/>
  <c r="F1259" i="57" s="1"/>
  <c r="G1397" i="57" a="1"/>
  <c r="G1397" i="57" s="1"/>
  <c r="F1397" i="57" a="1"/>
  <c r="F1397" i="57" s="1"/>
  <c r="G774" i="57" a="1"/>
  <c r="G774" i="57" s="1"/>
  <c r="F774" i="57" a="1"/>
  <c r="F774" i="57" s="1"/>
  <c r="G918" i="57" a="1"/>
  <c r="G918" i="57" s="1"/>
  <c r="F918" i="57" a="1"/>
  <c r="F918" i="57" s="1"/>
  <c r="G1044" i="57" a="1"/>
  <c r="G1044" i="57" s="1"/>
  <c r="F1044" i="57" a="1"/>
  <c r="F1044" i="57" s="1"/>
  <c r="G1170" i="57" a="1"/>
  <c r="G1170" i="57" s="1"/>
  <c r="F1170" i="57" a="1"/>
  <c r="F1170" i="57" s="1"/>
  <c r="G1296" i="57" a="1"/>
  <c r="G1296" i="57" s="1"/>
  <c r="F1296" i="57" a="1"/>
  <c r="F1296" i="57" s="1"/>
  <c r="G620" i="57" a="1"/>
  <c r="G620" i="57" s="1"/>
  <c r="F620" i="57" a="1"/>
  <c r="F620" i="57" s="1"/>
  <c r="G746" i="57" a="1"/>
  <c r="G746" i="57" s="1"/>
  <c r="F746" i="57" a="1"/>
  <c r="F746" i="57" s="1"/>
  <c r="G872" i="57" a="1"/>
  <c r="G872" i="57" s="1"/>
  <c r="F872" i="57" a="1"/>
  <c r="F872" i="57" s="1"/>
  <c r="G1034" i="57" a="1"/>
  <c r="G1034" i="57" s="1"/>
  <c r="F1034" i="57" a="1"/>
  <c r="F1034" i="57" s="1"/>
  <c r="G1196" i="57" a="1"/>
  <c r="G1196" i="57" s="1"/>
  <c r="F1196" i="57" a="1"/>
  <c r="F1196" i="57" s="1"/>
  <c r="G1358" i="57" a="1"/>
  <c r="G1358" i="57" s="1"/>
  <c r="F1358" i="57" a="1"/>
  <c r="F1358" i="57" s="1"/>
  <c r="G693" i="57" a="1"/>
  <c r="G693" i="57" s="1"/>
  <c r="F693" i="57" a="1"/>
  <c r="F693" i="57" s="1"/>
  <c r="G819" i="57" a="1"/>
  <c r="G819" i="57" s="1"/>
  <c r="F819" i="57" a="1"/>
  <c r="F819" i="57" s="1"/>
  <c r="G1155" i="57" a="1"/>
  <c r="G1155" i="57" s="1"/>
  <c r="F1155" i="57" a="1"/>
  <c r="F1155" i="57" s="1"/>
  <c r="G622" i="57" a="1"/>
  <c r="G622" i="57" s="1"/>
  <c r="F622" i="57" a="1"/>
  <c r="F622" i="57" s="1"/>
  <c r="G994" i="57" a="1"/>
  <c r="G994" i="57" s="1"/>
  <c r="F994" i="57" a="1"/>
  <c r="F994" i="57" s="1"/>
  <c r="G1360" i="57" a="1"/>
  <c r="G1360" i="57" s="1"/>
  <c r="F1360" i="57" a="1"/>
  <c r="F1360" i="57" s="1"/>
  <c r="G1617" i="57" a="1"/>
  <c r="G1617" i="57" s="1"/>
  <c r="F1617" i="57" a="1"/>
  <c r="F1617" i="57" s="1"/>
  <c r="G1923" i="57" a="1"/>
  <c r="G1923" i="57" s="1"/>
  <c r="F1923" i="57" a="1"/>
  <c r="F1923" i="57" s="1"/>
  <c r="G1732" i="57" a="1"/>
  <c r="G1732" i="57" s="1"/>
  <c r="F1732" i="57" a="1"/>
  <c r="F1732" i="57" s="1"/>
  <c r="G1589" i="57" a="1"/>
  <c r="G1589" i="57" s="1"/>
  <c r="F1589" i="57" a="1"/>
  <c r="F1589" i="57" s="1"/>
  <c r="G1610" i="57" a="1"/>
  <c r="G1610" i="57" s="1"/>
  <c r="F1610" i="57" a="1"/>
  <c r="F1610" i="57" s="1"/>
  <c r="G506" i="57" a="1"/>
  <c r="G506" i="57" s="1"/>
  <c r="F506" i="57" a="1"/>
  <c r="F506" i="57" s="1"/>
  <c r="G147" i="57" a="1"/>
  <c r="G147" i="57" s="1"/>
  <c r="F147" i="57" a="1"/>
  <c r="F147" i="57" s="1"/>
  <c r="G357" i="57" a="1"/>
  <c r="G357" i="57" s="1"/>
  <c r="F357" i="57" a="1"/>
  <c r="F357" i="57" s="1"/>
  <c r="G555" i="57" a="1"/>
  <c r="G555" i="57" s="1"/>
  <c r="F555" i="57" a="1"/>
  <c r="F555" i="57" s="1"/>
  <c r="G208" i="57" a="1"/>
  <c r="G208" i="57" s="1"/>
  <c r="F208" i="57" a="1"/>
  <c r="F208" i="57" s="1"/>
  <c r="G508" i="57" a="1"/>
  <c r="G508" i="57" s="1"/>
  <c r="F508" i="57" a="1"/>
  <c r="F508" i="57" s="1"/>
  <c r="G1071" i="57" a="1"/>
  <c r="G1071" i="57" s="1"/>
  <c r="F1071" i="57" a="1"/>
  <c r="F1071" i="57" s="1"/>
  <c r="G1413" i="57" a="1"/>
  <c r="G1413" i="57" s="1"/>
  <c r="F1413" i="57" a="1"/>
  <c r="F1413" i="57" s="1"/>
  <c r="G898" i="57" a="1"/>
  <c r="G898" i="57" s="1"/>
  <c r="F898" i="57" a="1"/>
  <c r="F898" i="57" s="1"/>
  <c r="G1264" i="57" a="1"/>
  <c r="G1264" i="57" s="1"/>
  <c r="F1264" i="57" a="1"/>
  <c r="F1264" i="57" s="1"/>
  <c r="G1521" i="57" a="1"/>
  <c r="G1521" i="57" s="1"/>
  <c r="F1521" i="57" a="1"/>
  <c r="F1521" i="57" s="1"/>
  <c r="G1833" i="57" a="1"/>
  <c r="G1833" i="57" s="1"/>
  <c r="F1833" i="57" a="1"/>
  <c r="F1833" i="57" s="1"/>
  <c r="G1636" i="57" a="1"/>
  <c r="G1636" i="57" s="1"/>
  <c r="F1636" i="57" a="1"/>
  <c r="F1636" i="57" s="1"/>
  <c r="G2484" i="57" a="1"/>
  <c r="G2484" i="57" s="1"/>
  <c r="F2484" i="57" a="1"/>
  <c r="F2484" i="57" s="1"/>
  <c r="G1466" i="57" a="1"/>
  <c r="G1466" i="57" s="1"/>
  <c r="F1466" i="57" a="1"/>
  <c r="F1466" i="57" s="1"/>
  <c r="G1983" i="57" a="1"/>
  <c r="G1983" i="57" s="1"/>
  <c r="F1983" i="57" a="1"/>
  <c r="F1983" i="57" s="1"/>
  <c r="G588" i="57" a="1"/>
  <c r="G588" i="57" s="1"/>
  <c r="F588" i="57" a="1"/>
  <c r="F588" i="57" s="1"/>
  <c r="G1031" i="57" a="1"/>
  <c r="G1031" i="57" s="1"/>
  <c r="F1031" i="57" a="1"/>
  <c r="F1031" i="57" s="1"/>
  <c r="G1157" i="57" a="1"/>
  <c r="G1157" i="57" s="1"/>
  <c r="F1157" i="57" a="1"/>
  <c r="F1157" i="57" s="1"/>
  <c r="G1265" i="57" a="1"/>
  <c r="G1265" i="57" s="1"/>
  <c r="F1265" i="57" a="1"/>
  <c r="F1265" i="57" s="1"/>
  <c r="G1415" i="57" a="1"/>
  <c r="G1415" i="57" s="1"/>
  <c r="F1415" i="57" a="1"/>
  <c r="F1415" i="57" s="1"/>
  <c r="G780" i="57" a="1"/>
  <c r="G780" i="57" s="1"/>
  <c r="F780" i="57" a="1"/>
  <c r="F780" i="57" s="1"/>
  <c r="G942" i="57" a="1"/>
  <c r="G942" i="57" s="1"/>
  <c r="F942" i="57" a="1"/>
  <c r="F942" i="57" s="1"/>
  <c r="G1068" i="57" a="1"/>
  <c r="G1068" i="57" s="1"/>
  <c r="F1068" i="57" a="1"/>
  <c r="F1068" i="57" s="1"/>
  <c r="G1200" i="57" a="1"/>
  <c r="G1200" i="57" s="1"/>
  <c r="F1200" i="57" a="1"/>
  <c r="F1200" i="57" s="1"/>
  <c r="G1338" i="57" a="1"/>
  <c r="G1338" i="57" s="1"/>
  <c r="F1338" i="57" a="1"/>
  <c r="F1338" i="57" s="1"/>
  <c r="G650" i="57" a="1"/>
  <c r="G650" i="57" s="1"/>
  <c r="F650" i="57" a="1"/>
  <c r="F650" i="57" s="1"/>
  <c r="G776" i="57" a="1"/>
  <c r="G776" i="57" s="1"/>
  <c r="F776" i="57" a="1"/>
  <c r="F776" i="57" s="1"/>
  <c r="G908" i="57" a="1"/>
  <c r="G908" i="57" s="1"/>
  <c r="F908" i="57" a="1"/>
  <c r="F908" i="57" s="1"/>
  <c r="G1070" i="57" a="1"/>
  <c r="G1070" i="57" s="1"/>
  <c r="F1070" i="57" a="1"/>
  <c r="F1070" i="57" s="1"/>
  <c r="G1232" i="57" a="1"/>
  <c r="G1232" i="57" s="1"/>
  <c r="F1232" i="57" a="1"/>
  <c r="F1232" i="57" s="1"/>
  <c r="G1394" i="57" a="1"/>
  <c r="G1394" i="57" s="1"/>
  <c r="F1394" i="57" a="1"/>
  <c r="F1394" i="57" s="1"/>
  <c r="G723" i="57" a="1"/>
  <c r="G723" i="57" s="1"/>
  <c r="F723" i="57" a="1"/>
  <c r="F723" i="57" s="1"/>
  <c r="G897" i="57" a="1"/>
  <c r="G897" i="57" s="1"/>
  <c r="F897" i="57" a="1"/>
  <c r="F897" i="57" s="1"/>
  <c r="G1227" i="57" a="1"/>
  <c r="G1227" i="57" s="1"/>
  <c r="F1227" i="57" a="1"/>
  <c r="F1227" i="57" s="1"/>
  <c r="G700" i="57" a="1"/>
  <c r="G700" i="57" s="1"/>
  <c r="F700" i="57" a="1"/>
  <c r="F700" i="57" s="1"/>
  <c r="G1072" i="57" a="1"/>
  <c r="G1072" i="57" s="1"/>
  <c r="F1072" i="57" a="1"/>
  <c r="F1072" i="57" s="1"/>
  <c r="G1438" i="57" a="1"/>
  <c r="G1438" i="57" s="1"/>
  <c r="F1438" i="57" a="1"/>
  <c r="F1438" i="57" s="1"/>
  <c r="G1689" i="57" a="1"/>
  <c r="G1689" i="57" s="1"/>
  <c r="F1689" i="57" a="1"/>
  <c r="F1689" i="57" s="1"/>
  <c r="G1492" i="57" a="1"/>
  <c r="G1492" i="57" s="1"/>
  <c r="F1492" i="57" a="1"/>
  <c r="F1492" i="57" s="1"/>
  <c r="G1804" i="57" a="1"/>
  <c r="G1804" i="57" s="1"/>
  <c r="F1804" i="57" a="1"/>
  <c r="F1804" i="57" s="1"/>
  <c r="G1715" i="57" a="1"/>
  <c r="G1715" i="57" s="1"/>
  <c r="F1715" i="57" a="1"/>
  <c r="F1715" i="57" s="1"/>
  <c r="G1730" i="57" a="1"/>
  <c r="G1730" i="57" s="1"/>
  <c r="F1730" i="57" a="1"/>
  <c r="F1730" i="57" s="1"/>
  <c r="G330" i="57" a="1"/>
  <c r="G330" i="57" s="1"/>
  <c r="F330" i="57" a="1"/>
  <c r="F330" i="57" s="1"/>
  <c r="G570" i="57" a="1"/>
  <c r="G570" i="57" s="1"/>
  <c r="F570" i="57" a="1"/>
  <c r="F570" i="57" s="1"/>
  <c r="G995" i="57" a="1"/>
  <c r="G995" i="57" s="1"/>
  <c r="F995" i="57" a="1"/>
  <c r="F995" i="57" s="1"/>
  <c r="G1035" i="57" a="1"/>
  <c r="G1035" i="57" s="1"/>
  <c r="F1035" i="57" a="1"/>
  <c r="F1035" i="57" s="1"/>
  <c r="G1377" i="57" a="1"/>
  <c r="G1377" i="57" s="1"/>
  <c r="F1377" i="57" a="1"/>
  <c r="F1377" i="57" s="1"/>
  <c r="G856" i="57" a="1"/>
  <c r="G856" i="57" s="1"/>
  <c r="F856" i="57" a="1"/>
  <c r="F856" i="57" s="1"/>
  <c r="G1222" i="57" a="1"/>
  <c r="G1222" i="57" s="1"/>
  <c r="F1222" i="57" a="1"/>
  <c r="F1222" i="57" s="1"/>
  <c r="G1485" i="57" a="1"/>
  <c r="G1485" i="57" s="1"/>
  <c r="F1485" i="57" a="1"/>
  <c r="F1485" i="57" s="1"/>
  <c r="G1797" i="57" a="1"/>
  <c r="G1797" i="57" s="1"/>
  <c r="F1797" i="57" a="1"/>
  <c r="F1797" i="57" s="1"/>
  <c r="G1600" i="57" a="1"/>
  <c r="G1600" i="57" s="1"/>
  <c r="F1600" i="57" a="1"/>
  <c r="F1600" i="57" s="1"/>
  <c r="G1918" i="57" a="1"/>
  <c r="G1918" i="57" s="1"/>
  <c r="F1918" i="57" a="1"/>
  <c r="F1918" i="57" s="1"/>
  <c r="G1895" i="57" a="1"/>
  <c r="G1895" i="57" s="1"/>
  <c r="F1895" i="57" a="1"/>
  <c r="F1895" i="57" s="1"/>
  <c r="G1910" i="57" a="1"/>
  <c r="G1910" i="57" s="1"/>
  <c r="F1910" i="57" a="1"/>
  <c r="F1910" i="57" s="1"/>
  <c r="G498" i="57" a="1"/>
  <c r="G498" i="57" s="1"/>
  <c r="F498" i="57" a="1"/>
  <c r="F498" i="57" s="1"/>
  <c r="G929" i="57" a="1"/>
  <c r="G929" i="57" s="1"/>
  <c r="F929" i="57" a="1"/>
  <c r="F929" i="57" s="1"/>
  <c r="G1055" i="57" a="1"/>
  <c r="G1055" i="57" s="1"/>
  <c r="F1055" i="57" a="1"/>
  <c r="F1055" i="57" s="1"/>
  <c r="G1163" i="57" a="1"/>
  <c r="G1163" i="57" s="1"/>
  <c r="F1163" i="57" a="1"/>
  <c r="F1163" i="57" s="1"/>
  <c r="G1271" i="57" a="1"/>
  <c r="G1271" i="57" s="1"/>
  <c r="F1271" i="57" a="1"/>
  <c r="F1271" i="57" s="1"/>
  <c r="G1433" i="57" a="1"/>
  <c r="G1433" i="57" s="1"/>
  <c r="F1433" i="57" a="1"/>
  <c r="F1433" i="57" s="1"/>
  <c r="G792" i="57" a="1"/>
  <c r="G792" i="57" s="1"/>
  <c r="F792" i="57" a="1"/>
  <c r="F792" i="57" s="1"/>
  <c r="G948" i="57" a="1"/>
  <c r="G948" i="57" s="1"/>
  <c r="F948" i="57" a="1"/>
  <c r="F948" i="57" s="1"/>
  <c r="G1074" i="57" a="1"/>
  <c r="G1074" i="57" s="1"/>
  <c r="F1074" i="57" a="1"/>
  <c r="F1074" i="57" s="1"/>
  <c r="G1212" i="57" a="1"/>
  <c r="G1212" i="57" s="1"/>
  <c r="F1212" i="57" a="1"/>
  <c r="F1212" i="57" s="1"/>
  <c r="G1344" i="57" a="1"/>
  <c r="G1344" i="57" s="1"/>
  <c r="F1344" i="57" a="1"/>
  <c r="F1344" i="57" s="1"/>
  <c r="G656" i="57" a="1"/>
  <c r="G656" i="57" s="1"/>
  <c r="F656" i="57" a="1"/>
  <c r="F656" i="57" s="1"/>
  <c r="G782" i="57" a="1"/>
  <c r="G782" i="57" s="1"/>
  <c r="F782" i="57" a="1"/>
  <c r="F782" i="57" s="1"/>
  <c r="G914" i="57" a="1"/>
  <c r="G914" i="57" s="1"/>
  <c r="F914" i="57" a="1"/>
  <c r="F914" i="57" s="1"/>
  <c r="G1076" i="57" a="1"/>
  <c r="G1076" i="57" s="1"/>
  <c r="F1076" i="57" a="1"/>
  <c r="F1076" i="57" s="1"/>
  <c r="G1238" i="57" a="1"/>
  <c r="G1238" i="57" s="1"/>
  <c r="F1238" i="57" a="1"/>
  <c r="F1238" i="57" s="1"/>
  <c r="G1400" i="57" a="1"/>
  <c r="G1400" i="57" s="1"/>
  <c r="F1400" i="57" a="1"/>
  <c r="F1400" i="57" s="1"/>
  <c r="G729" i="57" a="1"/>
  <c r="G729" i="57" s="1"/>
  <c r="F729" i="57" a="1"/>
  <c r="F729" i="57" s="1"/>
  <c r="G903" i="57" a="1"/>
  <c r="G903" i="57" s="1"/>
  <c r="F903" i="57" a="1"/>
  <c r="F903" i="57" s="1"/>
  <c r="G1233" i="57" a="1"/>
  <c r="G1233" i="57" s="1"/>
  <c r="F1233" i="57" a="1"/>
  <c r="F1233" i="57" s="1"/>
  <c r="G706" i="57" a="1"/>
  <c r="G706" i="57" s="1"/>
  <c r="F706" i="57" a="1"/>
  <c r="F706" i="57" s="1"/>
  <c r="G1078" i="57" a="1"/>
  <c r="G1078" i="57" s="1"/>
  <c r="F1078" i="57" a="1"/>
  <c r="F1078" i="57" s="1"/>
  <c r="G1444" i="57" a="1"/>
  <c r="G1444" i="57" s="1"/>
  <c r="F1444" i="57" a="1"/>
  <c r="F1444" i="57" s="1"/>
  <c r="G1701" i="57" a="1"/>
  <c r="G1701" i="57" s="1"/>
  <c r="F1701" i="57" a="1"/>
  <c r="F1701" i="57" s="1"/>
  <c r="G1510" i="57" a="1"/>
  <c r="G1510" i="57" s="1"/>
  <c r="F1510" i="57" a="1"/>
  <c r="F1510" i="57" s="1"/>
  <c r="G1816" i="57" a="1"/>
  <c r="G1816" i="57" s="1"/>
  <c r="F1816" i="57" a="1"/>
  <c r="F1816" i="57" s="1"/>
  <c r="G1751" i="57" a="1"/>
  <c r="G1751" i="57" s="1"/>
  <c r="F1751" i="57" a="1"/>
  <c r="F1751" i="57" s="1"/>
  <c r="G1766" i="57" a="1"/>
  <c r="G1766" i="57" s="1"/>
  <c r="F1766" i="57" a="1"/>
  <c r="F1766" i="57" s="1"/>
  <c r="G240" i="57" a="1"/>
  <c r="G240" i="57" s="1"/>
  <c r="F240" i="57" a="1"/>
  <c r="F240" i="57" s="1"/>
  <c r="G438" i="57" a="1"/>
  <c r="G438" i="57" s="1"/>
  <c r="F438" i="57" a="1"/>
  <c r="F438" i="57" s="1"/>
  <c r="G893" i="57" a="1"/>
  <c r="G893" i="57" s="1"/>
  <c r="F893" i="57" a="1"/>
  <c r="F893" i="57" s="1"/>
  <c r="G999" i="57" a="1"/>
  <c r="G999" i="57" s="1"/>
  <c r="F999" i="57" a="1"/>
  <c r="F999" i="57" s="1"/>
  <c r="G1335" i="57" a="1"/>
  <c r="G1335" i="57" s="1"/>
  <c r="F1335" i="57" a="1"/>
  <c r="F1335" i="57" s="1"/>
  <c r="G820" i="57" a="1"/>
  <c r="G820" i="57" s="1"/>
  <c r="F820" i="57" a="1"/>
  <c r="F820" i="57" s="1"/>
  <c r="G1186" i="57" a="1"/>
  <c r="G1186" i="57" s="1"/>
  <c r="F1186" i="57" a="1"/>
  <c r="F1186" i="57" s="1"/>
  <c r="F11" i="57" a="1"/>
  <c r="F11" i="57" s="1"/>
  <c r="G1761" i="57" a="1"/>
  <c r="G1761" i="57" s="1"/>
  <c r="F1761" i="57" a="1"/>
  <c r="F1761" i="57" s="1"/>
  <c r="G1570" i="57" a="1"/>
  <c r="G1570" i="57" s="1"/>
  <c r="F1570" i="57" a="1"/>
  <c r="F1570" i="57" s="1"/>
  <c r="G1882" i="57" a="1"/>
  <c r="G1882" i="57" s="1"/>
  <c r="F1882" i="57" a="1"/>
  <c r="F1882" i="57" s="1"/>
  <c r="G1841" i="57" a="1"/>
  <c r="G1841" i="57" s="1"/>
  <c r="F1841" i="57" a="1"/>
  <c r="F1841" i="57" s="1"/>
  <c r="G1862" i="57" a="1"/>
  <c r="G1862" i="57" s="1"/>
  <c r="F1862" i="57" a="1"/>
  <c r="F1862" i="57" s="1"/>
  <c r="G885" i="57" a="1"/>
  <c r="G885" i="57" s="1"/>
  <c r="F885" i="57" a="1"/>
  <c r="F885" i="57" s="1"/>
  <c r="G1005" i="57" a="1"/>
  <c r="G1005" i="57" s="1"/>
  <c r="F1005" i="57" a="1"/>
  <c r="F1005" i="57" s="1"/>
  <c r="G1113" i="57" a="1"/>
  <c r="G1113" i="57" s="1"/>
  <c r="F1113" i="57" a="1"/>
  <c r="F1113" i="57" s="1"/>
  <c r="G1221" i="57" a="1"/>
  <c r="G1221" i="57" s="1"/>
  <c r="F1221" i="57" a="1"/>
  <c r="F1221" i="57" s="1"/>
  <c r="G1341" i="57" a="1"/>
  <c r="G1341" i="57" s="1"/>
  <c r="F1341" i="57" a="1"/>
  <c r="F1341" i="57" s="1"/>
  <c r="G568" i="57" a="1"/>
  <c r="G568" i="57" s="1"/>
  <c r="F568" i="57" a="1"/>
  <c r="F568" i="57" s="1"/>
  <c r="G694" i="57" a="1"/>
  <c r="G694" i="57" s="1"/>
  <c r="F694" i="57" a="1"/>
  <c r="F694" i="57" s="1"/>
  <c r="G826" i="57" a="1"/>
  <c r="G826" i="57" s="1"/>
  <c r="F826" i="57" a="1"/>
  <c r="F826" i="57" s="1"/>
  <c r="G952" i="57" a="1"/>
  <c r="G952" i="57" s="1"/>
  <c r="F952" i="57" a="1"/>
  <c r="F952" i="57" s="1"/>
  <c r="G1066" i="57" a="1"/>
  <c r="G1066" i="57" s="1"/>
  <c r="F1066" i="57" a="1"/>
  <c r="F1066" i="57" s="1"/>
  <c r="G1192" i="57" a="1"/>
  <c r="G1192" i="57" s="1"/>
  <c r="F1192" i="57" a="1"/>
  <c r="F1192" i="57" s="1"/>
  <c r="G1306" i="57" a="1"/>
  <c r="G1306" i="57" s="1"/>
  <c r="F1306" i="57" a="1"/>
  <c r="F1306" i="57" s="1"/>
  <c r="G1432" i="57" a="1"/>
  <c r="G1432" i="57" s="1"/>
  <c r="F1432" i="57" a="1"/>
  <c r="F1432" i="57" s="1"/>
  <c r="G1461" i="57" a="1"/>
  <c r="G1461" i="57" s="1"/>
  <c r="F1461" i="57" a="1"/>
  <c r="F1461" i="57" s="1"/>
  <c r="G1725" i="57" a="1"/>
  <c r="G1725" i="57" s="1"/>
  <c r="F1725" i="57" a="1"/>
  <c r="F1725" i="57" s="1"/>
  <c r="G1480" i="57" a="1"/>
  <c r="G1480" i="57" s="1"/>
  <c r="F1480" i="57" a="1"/>
  <c r="F1480" i="57" s="1"/>
  <c r="G1738" i="57" a="1"/>
  <c r="G1738" i="57" s="1"/>
  <c r="F1738" i="57" a="1"/>
  <c r="F1738" i="57" s="1"/>
  <c r="G1481" i="57" a="1"/>
  <c r="G1481" i="57" s="1"/>
  <c r="F1481" i="57" a="1"/>
  <c r="F1481" i="57" s="1"/>
  <c r="G1739" i="57" a="1"/>
  <c r="G1739" i="57" s="1"/>
  <c r="F1739" i="57" a="1"/>
  <c r="F1739" i="57" s="1"/>
  <c r="G1502" i="57" a="1"/>
  <c r="G1502" i="57" s="1"/>
  <c r="F1502" i="57" a="1"/>
  <c r="F1502" i="57" s="1"/>
  <c r="G1760" i="57" a="1"/>
  <c r="G1760" i="57" s="1"/>
  <c r="F1760" i="57" a="1"/>
  <c r="F1760" i="57" s="1"/>
  <c r="G2019" i="57" a="1"/>
  <c r="G2019" i="57" s="1"/>
  <c r="F2019" i="57" a="1"/>
  <c r="F2019" i="57" s="1"/>
  <c r="G2277" i="57" a="1"/>
  <c r="G2277" i="57" s="1"/>
  <c r="F2277" i="57" a="1"/>
  <c r="F2277" i="57" s="1"/>
  <c r="G2056" i="57" a="1"/>
  <c r="G2056" i="57" s="1"/>
  <c r="F2056" i="57" a="1"/>
  <c r="F2056" i="57" s="1"/>
  <c r="G2374" i="57" a="1"/>
  <c r="G2374" i="57" s="1"/>
  <c r="F2374" i="57" a="1"/>
  <c r="F2374" i="57" s="1"/>
  <c r="G2207" i="57" a="1"/>
  <c r="G2207" i="57" s="1"/>
  <c r="F2207" i="57" a="1"/>
  <c r="F2207" i="57" s="1"/>
  <c r="G2060" i="57" a="1"/>
  <c r="G2060" i="57" s="1"/>
  <c r="F2060" i="57" a="1"/>
  <c r="F2060" i="57" s="1"/>
  <c r="G2390" i="57" a="1"/>
  <c r="G2390" i="57" s="1"/>
  <c r="F2390" i="57" a="1"/>
  <c r="F2390" i="57" s="1"/>
  <c r="G164" i="57" a="1"/>
  <c r="G164" i="57" s="1"/>
  <c r="F164" i="57" a="1"/>
  <c r="F164" i="57" s="1"/>
  <c r="G1692" i="57" a="1"/>
  <c r="G1692" i="57" s="1"/>
  <c r="F1692" i="57" a="1"/>
  <c r="F1692" i="57" s="1"/>
  <c r="G927" i="57" a="1"/>
  <c r="G927" i="57" s="1"/>
  <c r="F927" i="57" a="1"/>
  <c r="F927" i="57" s="1"/>
  <c r="G2025" i="57" a="1"/>
  <c r="G2025" i="57" s="1"/>
  <c r="F2025" i="57" a="1"/>
  <c r="F2025" i="57" s="1"/>
  <c r="G2283" i="57" a="1"/>
  <c r="G2283" i="57" s="1"/>
  <c r="F2283" i="57" a="1"/>
  <c r="F2283" i="57" s="1"/>
  <c r="G2068" i="57" a="1"/>
  <c r="G2068" i="57" s="1"/>
  <c r="F2068" i="57" a="1"/>
  <c r="F2068" i="57" s="1"/>
  <c r="G2380" i="57" a="1"/>
  <c r="G2380" i="57" s="1"/>
  <c r="F2380" i="57" a="1"/>
  <c r="F2380" i="57" s="1"/>
  <c r="G2213" i="57" a="1"/>
  <c r="G2213" i="57" s="1"/>
  <c r="F2213" i="57" a="1"/>
  <c r="F2213" i="57" s="1"/>
  <c r="G2066" i="57" a="1"/>
  <c r="G2066" i="57" s="1"/>
  <c r="F2066" i="57" a="1"/>
  <c r="F2066" i="57" s="1"/>
  <c r="G2396" i="57" a="1"/>
  <c r="G2396" i="57" s="1"/>
  <c r="F2396" i="57" a="1"/>
  <c r="F2396" i="57" s="1"/>
  <c r="G200" i="57" a="1"/>
  <c r="G200" i="57" s="1"/>
  <c r="F200" i="57" a="1"/>
  <c r="F200" i="57" s="1"/>
  <c r="G1698" i="57" a="1"/>
  <c r="G1698" i="57" s="1"/>
  <c r="F1698" i="57" a="1"/>
  <c r="F1698" i="57" s="1"/>
  <c r="G1968" i="57" a="1"/>
  <c r="G1968" i="57" s="1"/>
  <c r="F1968" i="57" a="1"/>
  <c r="F1968" i="57" s="1"/>
  <c r="G2079" i="57" a="1"/>
  <c r="G2079" i="57" s="1"/>
  <c r="F2079" i="57" a="1"/>
  <c r="F2079" i="57" s="1"/>
  <c r="G2337" i="57" a="1"/>
  <c r="G2337" i="57" s="1"/>
  <c r="F2337" i="57" a="1"/>
  <c r="F2337" i="57" s="1"/>
  <c r="G2128" i="57" a="1"/>
  <c r="G2128" i="57" s="1"/>
  <c r="F2128" i="57" a="1"/>
  <c r="F2128" i="57" s="1"/>
  <c r="G1961" i="57" a="1"/>
  <c r="G1961" i="57" s="1"/>
  <c r="F1961" i="57" a="1"/>
  <c r="F1961" i="57" s="1"/>
  <c r="G2273" i="57" a="1"/>
  <c r="G2273" i="57" s="1"/>
  <c r="F2273" i="57" a="1"/>
  <c r="F2273" i="57" s="1"/>
  <c r="G2132" i="57" a="1"/>
  <c r="G2132" i="57" s="1"/>
  <c r="F2132" i="57" a="1"/>
  <c r="F2132" i="57" s="1"/>
  <c r="G2475" i="57" a="1"/>
  <c r="G2475" i="57" s="1"/>
  <c r="F2475" i="57" a="1"/>
  <c r="F2475" i="57" s="1"/>
  <c r="G2465" i="57" a="1"/>
  <c r="G2465" i="57" s="1"/>
  <c r="F2465" i="57" a="1"/>
  <c r="F2465" i="57" s="1"/>
  <c r="G1776" i="57" a="1"/>
  <c r="G1776" i="57" s="1"/>
  <c r="F1776" i="57" a="1"/>
  <c r="F1776" i="57" s="1"/>
  <c r="G2268" i="57" a="1"/>
  <c r="G2268" i="57" s="1"/>
  <c r="F2268" i="57" a="1"/>
  <c r="F2268" i="57" s="1"/>
  <c r="G2127" i="57" a="1"/>
  <c r="G2127" i="57" s="1"/>
  <c r="F2127" i="57" a="1"/>
  <c r="F2127" i="57" s="1"/>
  <c r="G2385" i="57" a="1"/>
  <c r="G2385" i="57" s="1"/>
  <c r="F2385" i="57" a="1"/>
  <c r="F2385" i="57" s="1"/>
  <c r="G2182" i="57" a="1"/>
  <c r="G2182" i="57" s="1"/>
  <c r="F2182" i="57" a="1"/>
  <c r="F2182" i="57" s="1"/>
  <c r="G2027" i="57" a="1"/>
  <c r="G2027" i="57" s="1"/>
  <c r="F2027" i="57" a="1"/>
  <c r="F2027" i="57" s="1"/>
  <c r="G2339" i="57" a="1"/>
  <c r="G2339" i="57" s="1"/>
  <c r="F2339" i="57" a="1"/>
  <c r="F2339" i="57" s="1"/>
  <c r="G2186" i="57" a="1"/>
  <c r="G2186" i="57" s="1"/>
  <c r="F2186" i="57" a="1"/>
  <c r="F2186" i="57" s="1"/>
  <c r="G91" i="57" a="1"/>
  <c r="G91" i="57" s="1"/>
  <c r="F91" i="57" a="1"/>
  <c r="F91" i="57" s="1"/>
  <c r="G2509" i="57" a="1"/>
  <c r="G2509" i="57" s="1"/>
  <c r="F2509" i="57" a="1"/>
  <c r="F2509" i="57" s="1"/>
  <c r="G1549" i="57" a="1"/>
  <c r="G1549" i="57" s="1"/>
  <c r="F1549" i="57" a="1"/>
  <c r="F1549" i="57" s="1"/>
  <c r="G1801" i="57" a="1"/>
  <c r="G1801" i="57" s="1"/>
  <c r="F1801" i="57" a="1"/>
  <c r="F1801" i="57" s="1"/>
  <c r="G1553" i="57" a="1"/>
  <c r="G1553" i="57" s="1"/>
  <c r="F1553" i="57" a="1"/>
  <c r="F1553" i="57" s="1"/>
  <c r="G1811" i="57" a="1"/>
  <c r="G1811" i="57" s="1"/>
  <c r="F1811" i="57" a="1"/>
  <c r="F1811" i="57" s="1"/>
  <c r="G1574" i="57" a="1"/>
  <c r="G1574" i="57" s="1"/>
  <c r="F1574" i="57" a="1"/>
  <c r="F1574" i="57" s="1"/>
  <c r="G1832" i="57" a="1"/>
  <c r="G1832" i="57" s="1"/>
  <c r="F1832" i="57" a="1"/>
  <c r="F1832" i="57" s="1"/>
  <c r="G2091" i="57" a="1"/>
  <c r="G2091" i="57" s="1"/>
  <c r="F2091" i="57" a="1"/>
  <c r="F2091" i="57" s="1"/>
  <c r="G2349" i="57" a="1"/>
  <c r="G2349" i="57" s="1"/>
  <c r="F2349" i="57" a="1"/>
  <c r="F2349" i="57" s="1"/>
  <c r="G2140" i="57" a="1"/>
  <c r="G2140" i="57" s="1"/>
  <c r="F2140" i="57" a="1"/>
  <c r="F2140" i="57" s="1"/>
  <c r="G1985" i="57" a="1"/>
  <c r="G1985" i="57" s="1"/>
  <c r="F1985" i="57" a="1"/>
  <c r="F1985" i="57" s="1"/>
  <c r="G2297" i="57" a="1"/>
  <c r="G2297" i="57" s="1"/>
  <c r="F2297" i="57" a="1"/>
  <c r="F2297" i="57" s="1"/>
  <c r="G2144" i="57" a="1"/>
  <c r="G2144" i="57" s="1"/>
  <c r="F2144" i="57" a="1"/>
  <c r="F2144" i="57" s="1"/>
  <c r="G31" i="57" a="1"/>
  <c r="G31" i="57" s="1"/>
  <c r="F31" i="57" a="1"/>
  <c r="F31" i="57" s="1"/>
  <c r="F14" i="57" a="1"/>
  <c r="F14" i="57" s="1"/>
  <c r="G1824" i="57" a="1"/>
  <c r="G1824" i="57" s="1"/>
  <c r="F1824" i="57" a="1"/>
  <c r="F1824" i="57" s="1"/>
  <c r="G2358" i="57" a="1"/>
  <c r="G2358" i="57" s="1"/>
  <c r="F2358" i="57" a="1"/>
  <c r="F2358" i="57" s="1"/>
  <c r="G1475" i="57" a="1"/>
  <c r="G1475" i="57" s="1"/>
  <c r="F1475" i="57" a="1"/>
  <c r="F1475" i="57" s="1"/>
  <c r="G1733" i="57" a="1"/>
  <c r="G1733" i="57" s="1"/>
  <c r="F1733" i="57" a="1"/>
  <c r="F1733" i="57" s="1"/>
  <c r="G1490" i="57" a="1"/>
  <c r="G1490" i="57" s="1"/>
  <c r="F1490" i="57" a="1"/>
  <c r="F1490" i="57" s="1"/>
  <c r="G1754" i="57" a="1"/>
  <c r="G1754" i="57" s="1"/>
  <c r="F1754" i="57" a="1"/>
  <c r="F1754" i="57" s="1"/>
  <c r="G2013" i="57" a="1"/>
  <c r="G2013" i="57" s="1"/>
  <c r="F2013" i="57" a="1"/>
  <c r="F2013" i="57" s="1"/>
  <c r="G2271" i="57" a="1"/>
  <c r="G2271" i="57" s="1"/>
  <c r="F2271" i="57" a="1"/>
  <c r="F2271" i="57" s="1"/>
  <c r="G2050" i="57" a="1"/>
  <c r="G2050" i="57" s="1"/>
  <c r="F2050" i="57" a="1"/>
  <c r="F2050" i="57" s="1"/>
  <c r="G2356" i="57" a="1"/>
  <c r="G2356" i="57" s="1"/>
  <c r="F2356" i="57" a="1"/>
  <c r="F2356" i="57" s="1"/>
  <c r="G2201" i="57" a="1"/>
  <c r="G2201" i="57" s="1"/>
  <c r="F2201" i="57" a="1"/>
  <c r="F2201" i="57" s="1"/>
  <c r="G2054" i="57" a="1"/>
  <c r="G2054" i="57" s="1"/>
  <c r="F2054" i="57" a="1"/>
  <c r="F2054" i="57" s="1"/>
  <c r="G2366" i="57" a="1"/>
  <c r="G2366" i="57" s="1"/>
  <c r="F2366" i="57" a="1"/>
  <c r="F2366" i="57" s="1"/>
  <c r="G92" i="57" a="1"/>
  <c r="G92" i="57" s="1"/>
  <c r="F92" i="57" a="1"/>
  <c r="F92" i="57" s="1"/>
  <c r="G1668" i="57" a="1"/>
  <c r="G1668" i="57" s="1"/>
  <c r="F1668" i="57" a="1"/>
  <c r="F1668" i="57" s="1"/>
  <c r="G1406" i="57" a="1"/>
  <c r="G1406" i="57" s="1"/>
  <c r="F1406" i="57" a="1"/>
  <c r="F1406" i="57" s="1"/>
  <c r="G232" i="57" a="1"/>
  <c r="G232" i="57" s="1"/>
  <c r="F232" i="57" a="1"/>
  <c r="F232" i="57" s="1"/>
  <c r="G1647" i="57" a="1"/>
  <c r="G1647" i="57" s="1"/>
  <c r="F1647" i="57" a="1"/>
  <c r="F1647" i="57" s="1"/>
  <c r="G1863" i="57" a="1"/>
  <c r="G1863" i="57" s="1"/>
  <c r="F1863" i="57" a="1"/>
  <c r="F1863" i="57" s="1"/>
  <c r="G1576" i="57" a="1"/>
  <c r="G1576" i="57" s="1"/>
  <c r="F1576" i="57" a="1"/>
  <c r="F1576" i="57" s="1"/>
  <c r="G1792" i="57" a="1"/>
  <c r="G1792" i="57" s="1"/>
  <c r="F1792" i="57" a="1"/>
  <c r="F1792" i="57" s="1"/>
  <c r="G1493" i="57" a="1"/>
  <c r="G1493" i="57" s="1"/>
  <c r="F1493" i="57" a="1"/>
  <c r="F1493" i="57" s="1"/>
  <c r="G1709" i="57" a="1"/>
  <c r="G1709" i="57" s="1"/>
  <c r="F1709" i="57" a="1"/>
  <c r="F1709" i="57" s="1"/>
  <c r="G1925" i="57" a="1"/>
  <c r="G1925" i="57" s="1"/>
  <c r="F1925" i="57" a="1"/>
  <c r="F1925" i="57" s="1"/>
  <c r="G1640" i="57" a="1"/>
  <c r="G1640" i="57" s="1"/>
  <c r="F1640" i="57" a="1"/>
  <c r="F1640" i="57" s="1"/>
  <c r="G1856" i="57" a="1"/>
  <c r="G1856" i="57" s="1"/>
  <c r="F1856" i="57" a="1"/>
  <c r="F1856" i="57" s="1"/>
  <c r="G2073" i="57" a="1"/>
  <c r="G2073" i="57" s="1"/>
  <c r="F2073" i="57" a="1"/>
  <c r="F2073" i="57" s="1"/>
  <c r="G2289" i="57" a="1"/>
  <c r="G2289" i="57" s="1"/>
  <c r="F2289" i="57" a="1"/>
  <c r="F2289" i="57" s="1"/>
  <c r="G2020" i="57" a="1"/>
  <c r="G2020" i="57" s="1"/>
  <c r="F2020" i="57" a="1"/>
  <c r="F2020" i="57" s="1"/>
  <c r="G2278" i="57" a="1"/>
  <c r="G2278" i="57" s="1"/>
  <c r="F2278" i="57" a="1"/>
  <c r="F2278" i="57" s="1"/>
  <c r="G2063" i="57" a="1"/>
  <c r="G2063" i="57" s="1"/>
  <c r="F2063" i="57" a="1"/>
  <c r="F2063" i="57" s="1"/>
  <c r="G2321" i="57" a="1"/>
  <c r="G2321" i="57" s="1"/>
  <c r="F2321" i="57" a="1"/>
  <c r="F2321" i="57" s="1"/>
  <c r="G2126" i="57" a="1"/>
  <c r="G2126" i="57" s="1"/>
  <c r="F2126" i="57" a="1"/>
  <c r="F2126" i="57" s="1"/>
  <c r="G2384" i="57" a="1"/>
  <c r="G2384" i="57" s="1"/>
  <c r="F2384" i="57" a="1"/>
  <c r="F2384" i="57" s="1"/>
  <c r="G193" i="57" a="1"/>
  <c r="G193" i="57" s="1"/>
  <c r="F193" i="57" a="1"/>
  <c r="F193" i="57" s="1"/>
  <c r="G69" i="57" a="1"/>
  <c r="G69" i="57" s="1"/>
  <c r="F69" i="57" a="1"/>
  <c r="F69" i="57" s="1"/>
  <c r="G1680" i="57" a="1"/>
  <c r="G1680" i="57" s="1"/>
  <c r="F1680" i="57" a="1"/>
  <c r="F1680" i="57" s="1"/>
  <c r="G1944" i="57" a="1"/>
  <c r="G1944" i="57" s="1"/>
  <c r="F1944" i="57" a="1"/>
  <c r="F1944" i="57" s="1"/>
  <c r="G1711" i="57" a="1"/>
  <c r="G1711" i="57" s="1"/>
  <c r="F1711" i="57" a="1"/>
  <c r="F1711" i="57" s="1"/>
  <c r="G421" i="57" a="1"/>
  <c r="G421" i="57" s="1"/>
  <c r="F421" i="57" a="1"/>
  <c r="F421" i="57" s="1"/>
  <c r="G848" i="57" a="1"/>
  <c r="G848" i="57" s="1"/>
  <c r="F848" i="57" a="1"/>
  <c r="F848" i="57" s="1"/>
  <c r="G1950" i="57" a="1"/>
  <c r="G1950" i="57" s="1"/>
  <c r="F1950" i="57" a="1"/>
  <c r="F1950" i="57" s="1"/>
  <c r="G2214" i="57" a="1"/>
  <c r="G2214" i="57" s="1"/>
  <c r="F2214" i="57" a="1"/>
  <c r="F2214" i="57" s="1"/>
  <c r="G2472" i="57" a="1"/>
  <c r="G2472" i="57" s="1"/>
  <c r="F2472" i="57" a="1"/>
  <c r="F2472" i="57" s="1"/>
  <c r="G1957" i="57" a="1"/>
  <c r="G1957" i="57" s="1"/>
  <c r="F1957" i="57" a="1"/>
  <c r="F1957" i="57" s="1"/>
  <c r="G402" i="57" a="1"/>
  <c r="G402" i="57" s="1"/>
  <c r="F402" i="57" a="1"/>
  <c r="F402" i="57" s="1"/>
  <c r="G1063" i="57" a="1"/>
  <c r="G1063" i="57" s="1"/>
  <c r="F1063" i="57" a="1"/>
  <c r="F1063" i="57" s="1"/>
  <c r="G1860" i="57" a="1"/>
  <c r="G1860" i="57" s="1"/>
  <c r="F1860" i="57" a="1"/>
  <c r="F1860" i="57" s="1"/>
  <c r="G1633" i="57" a="1"/>
  <c r="G1633" i="57" s="1"/>
  <c r="F1633" i="57" a="1"/>
  <c r="F1633" i="57" s="1"/>
  <c r="G343" i="57" a="1"/>
  <c r="G343" i="57" s="1"/>
  <c r="F343" i="57" a="1"/>
  <c r="F343" i="57" s="1"/>
  <c r="G601" i="57" a="1"/>
  <c r="G601" i="57" s="1"/>
  <c r="F601" i="57" a="1"/>
  <c r="F601" i="57" s="1"/>
  <c r="G1388" i="57" a="1"/>
  <c r="G1388" i="57" s="1"/>
  <c r="F1388" i="57" a="1"/>
  <c r="F1388" i="57" s="1"/>
  <c r="G2130" i="57" a="1"/>
  <c r="G2130" i="57" s="1"/>
  <c r="F2130" i="57" a="1"/>
  <c r="F2130" i="57" s="1"/>
  <c r="G2394" i="57" a="1"/>
  <c r="G2394" i="57" s="1"/>
  <c r="F2394" i="57" a="1"/>
  <c r="F2394" i="57" s="1"/>
  <c r="G1879" i="57" a="1"/>
  <c r="G1879" i="57" s="1"/>
  <c r="F1879" i="57" a="1"/>
  <c r="F1879" i="57" s="1"/>
  <c r="G2137" i="57" a="1"/>
  <c r="G2137" i="57" s="1"/>
  <c r="F2137" i="57" a="1"/>
  <c r="F2137" i="57" s="1"/>
  <c r="G805" i="57" a="1"/>
  <c r="G805" i="57" s="1"/>
  <c r="F805" i="57" a="1"/>
  <c r="F805" i="57" s="1"/>
  <c r="G46" i="57" a="1"/>
  <c r="G46" i="57" s="1"/>
  <c r="F46" i="57" a="1"/>
  <c r="F46" i="57" s="1"/>
  <c r="G1513" i="57" a="1"/>
  <c r="G1513" i="57" s="1"/>
  <c r="F1513" i="57" a="1"/>
  <c r="F1513" i="57" s="1"/>
  <c r="G276" i="57" a="1"/>
  <c r="G276" i="57" s="1"/>
  <c r="F276" i="57" a="1"/>
  <c r="F276" i="57" s="1"/>
  <c r="G487" i="57" a="1"/>
  <c r="G487" i="57" s="1"/>
  <c r="F487" i="57" a="1"/>
  <c r="F487" i="57" s="1"/>
  <c r="G1046" i="57" a="1"/>
  <c r="G1046" i="57" s="1"/>
  <c r="F1046" i="57" a="1"/>
  <c r="F1046" i="57" s="1"/>
  <c r="G2016" i="57" a="1"/>
  <c r="G2016" i="57" s="1"/>
  <c r="F2016" i="57" a="1"/>
  <c r="F2016" i="57" s="1"/>
  <c r="G2274" i="57" a="1"/>
  <c r="G2274" i="57" s="1"/>
  <c r="F2274" i="57" a="1"/>
  <c r="F2274" i="57" s="1"/>
  <c r="G1765" i="57" a="1"/>
  <c r="G1765" i="57" s="1"/>
  <c r="F1765" i="57" a="1"/>
  <c r="F1765" i="57" s="1"/>
  <c r="G2023" i="57" a="1"/>
  <c r="G2023" i="57" s="1"/>
  <c r="F2023" i="57" a="1"/>
  <c r="F2023" i="57" s="1"/>
  <c r="G756" i="57" a="1"/>
  <c r="G756" i="57" s="1"/>
  <c r="F756" i="57" a="1"/>
  <c r="F756" i="57" s="1"/>
  <c r="G1219" i="57" a="1"/>
  <c r="G1219" i="57" s="1"/>
  <c r="F1219" i="57" a="1"/>
  <c r="F1219" i="57" s="1"/>
  <c r="G1884" i="57" a="1"/>
  <c r="G1884" i="57" s="1"/>
  <c r="F1884" i="57" a="1"/>
  <c r="F1884" i="57" s="1"/>
  <c r="G1651" i="57" a="1"/>
  <c r="G1651" i="57" s="1"/>
  <c r="F1651" i="57" a="1"/>
  <c r="F1651" i="57" s="1"/>
  <c r="G361" i="57" a="1"/>
  <c r="G361" i="57" s="1"/>
  <c r="F361" i="57" a="1"/>
  <c r="F361" i="57" s="1"/>
  <c r="G338" i="57" a="1"/>
  <c r="G338" i="57" s="1"/>
  <c r="F338" i="57" a="1"/>
  <c r="F338" i="57" s="1"/>
  <c r="G639" i="57" a="1"/>
  <c r="G639" i="57" s="1"/>
  <c r="F639" i="57" a="1"/>
  <c r="F639" i="57" s="1"/>
  <c r="G2154" i="57" a="1"/>
  <c r="G2154" i="57" s="1"/>
  <c r="F2154" i="57" a="1"/>
  <c r="F2154" i="57" s="1"/>
  <c r="G2412" i="57" a="1"/>
  <c r="G2412" i="57" s="1"/>
  <c r="F2412" i="57" a="1"/>
  <c r="F2412" i="57" s="1"/>
  <c r="G1897" i="57" a="1"/>
  <c r="G1897" i="57" s="1"/>
  <c r="F1897" i="57" a="1"/>
  <c r="F1897" i="57" s="1"/>
  <c r="G2167" i="57" a="1"/>
  <c r="G2167" i="57" s="1"/>
  <c r="F2167" i="57" a="1"/>
  <c r="F2167" i="57" s="1"/>
  <c r="G901" i="57" a="1"/>
  <c r="G901" i="57" s="1"/>
  <c r="F901" i="57" a="1"/>
  <c r="F901" i="57" s="1"/>
  <c r="G2233" i="57" a="1"/>
  <c r="G2233" i="57" s="1"/>
  <c r="F2233" i="57" a="1"/>
  <c r="F2233" i="57" s="1"/>
  <c r="G97" i="57" a="1"/>
  <c r="G97" i="57" s="1"/>
  <c r="F97" i="57" a="1"/>
  <c r="F97" i="57" s="1"/>
  <c r="G308" i="57" a="1"/>
  <c r="G308" i="57" s="1"/>
  <c r="F308" i="57" a="1"/>
  <c r="F308" i="57" s="1"/>
  <c r="G1590" i="57" a="1"/>
  <c r="G1590" i="57" s="1"/>
  <c r="F1590" i="57" a="1"/>
  <c r="F1590" i="57" s="1"/>
  <c r="G1848" i="57" a="1"/>
  <c r="G1848" i="57" s="1"/>
  <c r="F1848" i="57" a="1"/>
  <c r="F1848" i="57" s="1"/>
  <c r="G1615" i="57" a="1"/>
  <c r="G1615" i="57" s="1"/>
  <c r="F1615" i="57" a="1"/>
  <c r="F1615" i="57" s="1"/>
  <c r="G325" i="57" a="1"/>
  <c r="G325" i="57" s="1"/>
  <c r="F325" i="57" a="1"/>
  <c r="F325" i="57" s="1"/>
  <c r="G589" i="57" a="1"/>
  <c r="G589" i="57" s="1"/>
  <c r="F589" i="57" a="1"/>
  <c r="F589" i="57" s="1"/>
  <c r="G1352" i="57" a="1"/>
  <c r="G1352" i="57" s="1"/>
  <c r="F1352" i="57" a="1"/>
  <c r="F1352" i="57" s="1"/>
  <c r="G2118" i="57" a="1"/>
  <c r="G2118" i="57" s="1"/>
  <c r="F2118" i="57" a="1"/>
  <c r="F2118" i="57" s="1"/>
  <c r="G2376" i="57" a="1"/>
  <c r="G2376" i="57" s="1"/>
  <c r="F2376" i="57" a="1"/>
  <c r="F2376" i="57" s="1"/>
  <c r="G1861" i="57" a="1"/>
  <c r="G1861" i="57" s="1"/>
  <c r="F1861" i="57" a="1"/>
  <c r="F1861" i="57" s="1"/>
  <c r="G2125" i="57" a="1"/>
  <c r="G2125" i="57" s="1"/>
  <c r="F2125" i="57" a="1"/>
  <c r="F2125" i="57" s="1"/>
  <c r="G1440" i="57" a="1"/>
  <c r="G1440" i="57" s="1"/>
  <c r="F1440" i="57" a="1"/>
  <c r="F1440" i="57" s="1"/>
  <c r="G496" i="57" a="1"/>
  <c r="G496" i="57" s="1"/>
  <c r="F496" i="57" a="1"/>
  <c r="F496" i="57" s="1"/>
  <c r="G2044" i="57" a="1"/>
  <c r="G2044" i="57" s="1"/>
  <c r="F2044" i="57" a="1"/>
  <c r="F2044" i="57" s="1"/>
  <c r="G2260" i="57" a="1"/>
  <c r="G2260" i="57" s="1"/>
  <c r="F2260" i="57" a="1"/>
  <c r="F2260" i="57" s="1"/>
  <c r="G2003" i="57" a="1"/>
  <c r="G2003" i="57" s="1"/>
  <c r="F2003" i="57" a="1"/>
  <c r="F2003" i="57" s="1"/>
  <c r="G2219" i="57" a="1"/>
  <c r="G2219" i="57" s="1"/>
  <c r="F2219" i="57" a="1"/>
  <c r="F2219" i="57" s="1"/>
  <c r="G1976" i="57" a="1"/>
  <c r="G1976" i="57" s="1"/>
  <c r="F1976" i="57" a="1"/>
  <c r="F1976" i="57" s="1"/>
  <c r="G2192" i="57" a="1"/>
  <c r="G2192" i="57" s="1"/>
  <c r="F2192" i="57" a="1"/>
  <c r="F2192" i="57" s="1"/>
  <c r="G2408" i="57" a="1"/>
  <c r="G2408" i="57" s="1"/>
  <c r="F2408" i="57" a="1"/>
  <c r="F2408" i="57" s="1"/>
  <c r="G175" i="57" a="1"/>
  <c r="G175" i="57" s="1"/>
  <c r="F175" i="57" a="1"/>
  <c r="F175" i="57" s="1"/>
  <c r="G2441" i="57" a="1"/>
  <c r="G2441" i="57" s="1"/>
  <c r="F2441" i="57" a="1"/>
  <c r="F2441" i="57" s="1"/>
  <c r="G1578" i="57" a="1"/>
  <c r="G1578" i="57" s="1"/>
  <c r="F1578" i="57" a="1"/>
  <c r="F1578" i="57" s="1"/>
  <c r="G1794" i="57" a="1"/>
  <c r="G1794" i="57" s="1"/>
  <c r="F1794" i="57" a="1"/>
  <c r="F1794" i="57" s="1"/>
  <c r="G1519" i="57" a="1"/>
  <c r="G1519" i="57" s="1"/>
  <c r="F1519" i="57" a="1"/>
  <c r="F1519" i="57" s="1"/>
  <c r="G66" i="57" a="1"/>
  <c r="G66" i="57" s="1"/>
  <c r="F66" i="57" a="1"/>
  <c r="F66" i="57" s="1"/>
  <c r="G403" i="57" a="1"/>
  <c r="G403" i="57" s="1"/>
  <c r="F403" i="57" a="1"/>
  <c r="F403" i="57" s="1"/>
  <c r="G619" i="57" a="1"/>
  <c r="G619" i="57" s="1"/>
  <c r="F619" i="57" a="1"/>
  <c r="F619" i="57" s="1"/>
  <c r="G1316" i="57" a="1"/>
  <c r="G1316" i="57" s="1"/>
  <c r="F1316" i="57" a="1"/>
  <c r="F1316" i="57" s="1"/>
  <c r="G2064" i="57" a="1"/>
  <c r="G2064" i="57" s="1"/>
  <c r="F2064" i="57" a="1"/>
  <c r="F2064" i="57" s="1"/>
  <c r="G2280" i="57" a="1"/>
  <c r="G2280" i="57" s="1"/>
  <c r="F2280" i="57" a="1"/>
  <c r="F2280" i="57" s="1"/>
  <c r="G1723" i="57" a="1"/>
  <c r="G1723" i="57" s="1"/>
  <c r="F1723" i="57" a="1"/>
  <c r="F1723" i="57" s="1"/>
  <c r="G1939" i="57" a="1"/>
  <c r="G1939" i="57" s="1"/>
  <c r="F1939" i="57" a="1"/>
  <c r="F1939" i="57" s="1"/>
  <c r="G2155" i="57" a="1"/>
  <c r="G2155" i="57" s="1"/>
  <c r="F2155" i="57" a="1"/>
  <c r="F2155" i="57" s="1"/>
  <c r="G990" i="57" a="1"/>
  <c r="G990" i="57" s="1"/>
  <c r="F990" i="57" a="1"/>
  <c r="F990" i="57" s="1"/>
  <c r="G1111" i="57" a="1"/>
  <c r="G1111" i="57" s="1"/>
  <c r="F1111" i="57" a="1"/>
  <c r="F1111" i="57" s="1"/>
  <c r="G94" i="57" a="1"/>
  <c r="G94" i="57" s="1"/>
  <c r="F94" i="57" a="1"/>
  <c r="F94" i="57" s="1"/>
  <c r="G1372" i="57" a="1"/>
  <c r="G1372" i="57" s="1"/>
  <c r="F1372" i="57" a="1"/>
  <c r="F1372" i="57" s="1"/>
  <c r="G2437" i="57" a="1"/>
  <c r="G2437" i="57" s="1"/>
  <c r="F2437" i="57" a="1"/>
  <c r="F2437" i="57" s="1"/>
  <c r="G799" i="57" a="1"/>
  <c r="G799" i="57" s="1"/>
  <c r="F799" i="57" a="1"/>
  <c r="F799" i="57" s="1"/>
  <c r="G1177" i="57" a="1"/>
  <c r="G1177" i="57" s="1"/>
  <c r="F1177" i="57" a="1"/>
  <c r="F1177" i="57" s="1"/>
  <c r="G472" i="57" a="1"/>
  <c r="G472" i="57" s="1"/>
  <c r="F472" i="57" a="1"/>
  <c r="F472" i="57" s="1"/>
  <c r="G2263" i="57" a="1"/>
  <c r="G2263" i="57" s="1"/>
  <c r="F2263" i="57" a="1"/>
  <c r="F2263" i="57" s="1"/>
  <c r="G2479" i="57" a="1"/>
  <c r="G2479" i="57" s="1"/>
  <c r="F2479" i="57" a="1"/>
  <c r="F2479" i="57" s="1"/>
  <c r="G853" i="57" a="1"/>
  <c r="G853" i="57" s="1"/>
  <c r="F853" i="57" a="1"/>
  <c r="F853" i="57" s="1"/>
  <c r="G1255" i="57" a="1"/>
  <c r="G1255" i="57" s="1"/>
  <c r="F1255" i="57" a="1"/>
  <c r="F1255" i="57" s="1"/>
  <c r="G2413" i="57" a="1"/>
  <c r="G2413" i="57" s="1"/>
  <c r="F2413" i="57" a="1"/>
  <c r="F2413" i="57" s="1"/>
  <c r="G775" i="57" a="1"/>
  <c r="G775" i="57" s="1"/>
  <c r="F775" i="57" a="1"/>
  <c r="F775" i="57" s="1"/>
  <c r="G1129" i="57" a="1"/>
  <c r="G1129" i="57" s="1"/>
  <c r="F1129" i="57" a="1"/>
  <c r="F1129" i="57" s="1"/>
  <c r="G58" i="57" a="1"/>
  <c r="G58" i="57" s="1"/>
  <c r="F58" i="57" a="1"/>
  <c r="F58" i="57" s="1"/>
  <c r="G784" i="57" a="1"/>
  <c r="G784" i="57" s="1"/>
  <c r="F784" i="57" a="1"/>
  <c r="F784" i="57" s="1"/>
  <c r="G2419" i="57" a="1"/>
  <c r="G2419" i="57" s="1"/>
  <c r="F2419" i="57" a="1"/>
  <c r="F2419" i="57" s="1"/>
  <c r="G781" i="57" a="1"/>
  <c r="G781" i="57" s="1"/>
  <c r="F781" i="57" a="1"/>
  <c r="F781" i="57" s="1"/>
  <c r="G1141" i="57" a="1"/>
  <c r="G1141" i="57" s="1"/>
  <c r="F1141" i="57" a="1"/>
  <c r="F1141" i="57" s="1"/>
  <c r="G70" i="57" a="1"/>
  <c r="G70" i="57" s="1"/>
  <c r="F70" i="57" a="1"/>
  <c r="F70" i="57" s="1"/>
  <c r="G916" i="57" a="1"/>
  <c r="G916" i="57" s="1"/>
  <c r="F916" i="57" a="1"/>
  <c r="F916" i="57" s="1"/>
  <c r="G2425" i="57" a="1"/>
  <c r="G2425" i="57" s="1"/>
  <c r="F2425" i="57" a="1"/>
  <c r="F2425" i="57" s="1"/>
  <c r="G787" i="57" a="1"/>
  <c r="G787" i="57" s="1"/>
  <c r="F787" i="57" a="1"/>
  <c r="F787" i="57" s="1"/>
  <c r="G1153" i="57" a="1"/>
  <c r="G1153" i="57" s="1"/>
  <c r="F1153" i="57" a="1"/>
  <c r="F1153" i="57" s="1"/>
  <c r="G2185" i="57" a="1"/>
  <c r="G2185" i="57" s="1"/>
  <c r="F2185" i="57" a="1"/>
  <c r="F2185" i="57" s="1"/>
  <c r="G1194" i="57" a="1"/>
  <c r="G1194" i="57" s="1"/>
  <c r="F1194" i="57" a="1"/>
  <c r="F1194" i="57" s="1"/>
  <c r="G1171" i="57" a="1"/>
  <c r="G1171" i="57" s="1"/>
  <c r="F1171" i="57" a="1"/>
  <c r="F1171" i="57" s="1"/>
  <c r="G328" i="57" a="1"/>
  <c r="G328" i="57" s="1"/>
  <c r="F328" i="57" a="1"/>
  <c r="F328" i="57" s="1"/>
  <c r="G2251" i="57" a="1"/>
  <c r="G2251" i="57" s="1"/>
  <c r="F2251" i="57" a="1"/>
  <c r="F2251" i="57" s="1"/>
  <c r="G2467" i="57" a="1"/>
  <c r="G2467" i="57" s="1"/>
  <c r="F2467" i="57" a="1"/>
  <c r="F2467" i="57" s="1"/>
  <c r="G835" i="57" a="1"/>
  <c r="G835" i="57" s="1"/>
  <c r="F835" i="57" a="1"/>
  <c r="F835" i="57" s="1"/>
  <c r="G1231" i="57" a="1"/>
  <c r="G1231" i="57" s="1"/>
  <c r="F1231" i="57" a="1"/>
  <c r="F1231" i="57" s="1"/>
  <c r="G86" i="57" a="1"/>
  <c r="G86" i="57" s="1"/>
  <c r="F86" i="57" a="1"/>
  <c r="F86" i="57" s="1"/>
  <c r="G146" i="57" a="1"/>
  <c r="G146" i="57" s="1"/>
  <c r="F146" i="57" a="1"/>
  <c r="F146" i="57" s="1"/>
  <c r="G410" i="57" a="1"/>
  <c r="G410" i="57" s="1"/>
  <c r="F410" i="57" a="1"/>
  <c r="F410" i="57" s="1"/>
  <c r="G225" i="57" a="1"/>
  <c r="G225" i="57" s="1"/>
  <c r="F225" i="57" a="1"/>
  <c r="F225" i="57" s="1"/>
  <c r="G1447" i="57" a="1"/>
  <c r="G1447" i="57" s="1"/>
  <c r="F1447" i="57" a="1"/>
  <c r="F1447" i="57" s="1"/>
  <c r="G369" i="57" a="1"/>
  <c r="G369" i="57" s="1"/>
  <c r="F369" i="57" a="1"/>
  <c r="F369" i="57" s="1"/>
  <c r="G136" i="57" a="1"/>
  <c r="G136" i="57" s="1"/>
  <c r="F136" i="57" a="1"/>
  <c r="F136" i="57" s="1"/>
  <c r="G532" i="57" a="1"/>
  <c r="G532" i="57" s="1"/>
  <c r="F532" i="57" a="1"/>
  <c r="F532" i="57" s="1"/>
  <c r="G269" i="57" a="1"/>
  <c r="G269" i="57" s="1"/>
  <c r="F269" i="57" a="1"/>
  <c r="F269" i="57" s="1"/>
  <c r="G593" i="57" a="1"/>
  <c r="G593" i="57" s="1"/>
  <c r="F593" i="57" a="1"/>
  <c r="F593" i="57" s="1"/>
  <c r="G36" i="57" a="1"/>
  <c r="G36" i="57" s="1"/>
  <c r="F36" i="57" a="1"/>
  <c r="F36" i="57" s="1"/>
  <c r="G2495" i="57" a="1"/>
  <c r="G2495" i="57" s="1"/>
  <c r="F2495" i="57" a="1"/>
  <c r="F2495" i="57" s="1"/>
  <c r="G104" i="57" a="1"/>
  <c r="G104" i="57" s="1"/>
  <c r="F104" i="57" a="1"/>
  <c r="F104" i="57" s="1"/>
  <c r="G254" i="57" a="1"/>
  <c r="G254" i="57" s="1"/>
  <c r="F254" i="57" a="1"/>
  <c r="F254" i="57" s="1"/>
  <c r="G380" i="57" a="1"/>
  <c r="G380" i="57" s="1"/>
  <c r="F380" i="57" a="1"/>
  <c r="F380" i="57" s="1"/>
  <c r="G560" i="57" a="1"/>
  <c r="G560" i="57" s="1"/>
  <c r="F560" i="57" a="1"/>
  <c r="F560" i="57" s="1"/>
  <c r="G303" i="57" a="1"/>
  <c r="G303" i="57" s="1"/>
  <c r="F303" i="57" a="1"/>
  <c r="F303" i="57" s="1"/>
  <c r="G633" i="57" a="1"/>
  <c r="G633" i="57" s="1"/>
  <c r="F633" i="57" a="1"/>
  <c r="F633" i="57" s="1"/>
  <c r="G448" i="57" a="1"/>
  <c r="G448" i="57" s="1"/>
  <c r="F448" i="57" a="1"/>
  <c r="F448" i="57" s="1"/>
  <c r="G209" i="57" a="1"/>
  <c r="G209" i="57" s="1"/>
  <c r="F209" i="57" a="1"/>
  <c r="F209" i="57" s="1"/>
  <c r="G533" i="57" a="1"/>
  <c r="G533" i="57" s="1"/>
  <c r="F533" i="57" a="1"/>
  <c r="F533" i="57" s="1"/>
  <c r="G857" i="57" a="1"/>
  <c r="G857" i="57" s="1"/>
  <c r="F857" i="57" a="1"/>
  <c r="F857" i="57" s="1"/>
  <c r="G2507" i="57" a="1"/>
  <c r="G2507" i="57" s="1"/>
  <c r="F2507" i="57" a="1"/>
  <c r="F2507" i="57" s="1"/>
  <c r="G213" i="57" a="1"/>
  <c r="G213" i="57" s="1"/>
  <c r="F213" i="57" a="1"/>
  <c r="F213" i="57" s="1"/>
  <c r="G549" i="57" a="1"/>
  <c r="G549" i="57" s="1"/>
  <c r="F549" i="57" a="1"/>
  <c r="F549" i="57" s="1"/>
  <c r="G346" i="57" a="1"/>
  <c r="G346" i="57" s="1"/>
  <c r="F346" i="57" a="1"/>
  <c r="F346" i="57" s="1"/>
  <c r="G125" i="57" a="1"/>
  <c r="G125" i="57" s="1"/>
  <c r="F125" i="57" a="1"/>
  <c r="F125" i="57" s="1"/>
  <c r="G449" i="57" a="1"/>
  <c r="G449" i="57" s="1"/>
  <c r="F449" i="57" a="1"/>
  <c r="F449" i="57" s="1"/>
  <c r="G773" i="57" a="1"/>
  <c r="G773" i="57" s="1"/>
  <c r="F773" i="57" a="1"/>
  <c r="F773" i="57" s="1"/>
  <c r="G252" i="57" a="1"/>
  <c r="G252" i="57" s="1"/>
  <c r="F252" i="57" a="1"/>
  <c r="F252" i="57" s="1"/>
  <c r="G404" i="57" a="1"/>
  <c r="G404" i="57" s="1"/>
  <c r="F404" i="57" a="1"/>
  <c r="F404" i="57" s="1"/>
  <c r="F21" i="57" a="1"/>
  <c r="F21" i="57" s="1"/>
  <c r="G381" i="57" a="1"/>
  <c r="G381" i="57" s="1"/>
  <c r="F381" i="57" a="1"/>
  <c r="F381" i="57" s="1"/>
  <c r="G148" i="57" a="1"/>
  <c r="G148" i="57" s="1"/>
  <c r="F148" i="57" a="1"/>
  <c r="F148" i="57" s="1"/>
  <c r="G544" i="57" a="1"/>
  <c r="G544" i="57" s="1"/>
  <c r="F544" i="57" a="1"/>
  <c r="F544" i="57" s="1"/>
  <c r="G281" i="57" a="1"/>
  <c r="G281" i="57" s="1"/>
  <c r="F281" i="57" a="1"/>
  <c r="F281" i="57" s="1"/>
  <c r="G605" i="57" a="1"/>
  <c r="G605" i="57" s="1"/>
  <c r="F605" i="57" a="1"/>
  <c r="F605" i="57" s="1"/>
  <c r="G48" i="57" a="1"/>
  <c r="G48" i="57" s="1"/>
  <c r="F48" i="57" a="1"/>
  <c r="F48" i="57" s="1"/>
  <c r="G260" i="57" a="1"/>
  <c r="G260" i="57" s="1"/>
  <c r="F260" i="57" a="1"/>
  <c r="F260" i="57" s="1"/>
  <c r="G177" i="57" a="1"/>
  <c r="G177" i="57" s="1"/>
  <c r="F177" i="57" a="1"/>
  <c r="F177" i="57" s="1"/>
  <c r="G513" i="57" a="1"/>
  <c r="G513" i="57" s="1"/>
  <c r="F513" i="57" a="1"/>
  <c r="F513" i="57" s="1"/>
  <c r="G304" i="57" a="1"/>
  <c r="G304" i="57" s="1"/>
  <c r="F304" i="57" a="1"/>
  <c r="F304" i="57" s="1"/>
  <c r="G89" i="57" a="1"/>
  <c r="G89" i="57" s="1"/>
  <c r="F89" i="57" a="1"/>
  <c r="F89" i="57" s="1"/>
  <c r="G413" i="57" a="1"/>
  <c r="G413" i="57" s="1"/>
  <c r="F413" i="57" a="1"/>
  <c r="F413" i="57" s="1"/>
  <c r="G737" i="57" a="1"/>
  <c r="G737" i="57" s="1"/>
  <c r="F737" i="57" a="1"/>
  <c r="F737" i="57" s="1"/>
  <c r="G2501" i="57" a="1"/>
  <c r="G2501" i="57" s="1"/>
  <c r="F2501" i="57" a="1"/>
  <c r="F2501" i="57" s="1"/>
  <c r="G248" i="57" a="1"/>
  <c r="G248" i="57" s="1"/>
  <c r="F248" i="57" a="1"/>
  <c r="F248" i="57" s="1"/>
  <c r="G339" i="57" a="1"/>
  <c r="G339" i="57" s="1"/>
  <c r="F339" i="57" a="1"/>
  <c r="F339" i="57" s="1"/>
  <c r="G286" i="57" a="1"/>
  <c r="G286" i="57" s="1"/>
  <c r="F286" i="57" a="1"/>
  <c r="F286" i="57" s="1"/>
  <c r="G71" i="57" a="1"/>
  <c r="G71" i="57" s="1"/>
  <c r="F71" i="57" a="1"/>
  <c r="F71" i="57" s="1"/>
  <c r="G395" i="57" a="1"/>
  <c r="G395" i="57" s="1"/>
  <c r="F395" i="57" a="1"/>
  <c r="F395" i="57" s="1"/>
  <c r="G719" i="57" a="1"/>
  <c r="G719" i="57" s="1"/>
  <c r="F719" i="57" a="1"/>
  <c r="F719" i="57" s="1"/>
  <c r="G156" i="57" a="1"/>
  <c r="G156" i="57" s="1"/>
  <c r="F156" i="57" a="1"/>
  <c r="F156" i="57" s="1"/>
  <c r="G49" i="57" a="1"/>
  <c r="G49" i="57" s="1"/>
  <c r="F49" i="57" a="1"/>
  <c r="F49" i="57" s="1"/>
  <c r="G530" i="57" a="1"/>
  <c r="G530" i="57" s="1"/>
  <c r="F530" i="57" a="1"/>
  <c r="F530" i="57" s="1"/>
  <c r="G165" i="57" a="1"/>
  <c r="G165" i="57" s="1"/>
  <c r="F165" i="57" a="1"/>
  <c r="F165" i="57" s="1"/>
  <c r="G411" i="57" a="1"/>
  <c r="G411" i="57" s="1"/>
  <c r="F411" i="57" a="1"/>
  <c r="F411" i="57" s="1"/>
  <c r="G2491" i="57" a="1"/>
  <c r="G2491" i="57" s="1"/>
  <c r="F2491" i="57" a="1"/>
  <c r="F2491" i="57" s="1"/>
  <c r="G358" i="57" a="1"/>
  <c r="G358" i="57" s="1"/>
  <c r="F358" i="57" a="1"/>
  <c r="F358" i="57" s="1"/>
  <c r="F15" i="57" a="1"/>
  <c r="F15" i="57" s="1"/>
  <c r="G77" i="57" a="1"/>
  <c r="G77" i="57" s="1"/>
  <c r="F77" i="57" a="1"/>
  <c r="F77" i="57" s="1"/>
  <c r="G203" i="57" a="1"/>
  <c r="G203" i="57" s="1"/>
  <c r="F203" i="57" a="1"/>
  <c r="F203" i="57" s="1"/>
  <c r="G311" i="57" a="1"/>
  <c r="G311" i="57" s="1"/>
  <c r="F311" i="57" a="1"/>
  <c r="F311" i="57" s="1"/>
  <c r="G419" i="57" a="1"/>
  <c r="G419" i="57" s="1"/>
  <c r="F419" i="57" a="1"/>
  <c r="F419" i="57" s="1"/>
  <c r="G527" i="57" a="1"/>
  <c r="G527" i="57" s="1"/>
  <c r="F527" i="57" a="1"/>
  <c r="F527" i="57" s="1"/>
  <c r="G635" i="57" a="1"/>
  <c r="G635" i="57" s="1"/>
  <c r="F635" i="57" a="1"/>
  <c r="F635" i="57" s="1"/>
  <c r="G743" i="57" a="1"/>
  <c r="G743" i="57" s="1"/>
  <c r="F743" i="57" a="1"/>
  <c r="F743" i="57" s="1"/>
  <c r="G851" i="57" a="1"/>
  <c r="G851" i="57" s="1"/>
  <c r="F851" i="57" a="1"/>
  <c r="F851" i="57" s="1"/>
  <c r="G84" i="57" a="1"/>
  <c r="G84" i="57" s="1"/>
  <c r="F84" i="57" a="1"/>
  <c r="F84" i="57" s="1"/>
  <c r="G222" i="57" a="1"/>
  <c r="G222" i="57" s="1"/>
  <c r="F222" i="57" a="1"/>
  <c r="F222" i="57" s="1"/>
  <c r="G342" i="57" a="1"/>
  <c r="G342" i="57" s="1"/>
  <c r="F342" i="57" a="1"/>
  <c r="F342" i="57" s="1"/>
  <c r="G504" i="57" a="1"/>
  <c r="G504" i="57" s="1"/>
  <c r="F504" i="57" a="1"/>
  <c r="F504" i="57" s="1"/>
  <c r="G624" i="57" a="1"/>
  <c r="G624" i="57" s="1"/>
  <c r="F624" i="57" a="1"/>
  <c r="F624" i="57" s="1"/>
  <c r="G953" i="57" a="1"/>
  <c r="G953" i="57" s="1"/>
  <c r="F953" i="57" a="1"/>
  <c r="F953" i="57" s="1"/>
  <c r="G1061" i="57" a="1"/>
  <c r="G1061" i="57" s="1"/>
  <c r="F1061" i="57" a="1"/>
  <c r="F1061" i="57" s="1"/>
  <c r="G1169" i="57" a="1"/>
  <c r="G1169" i="57" s="1"/>
  <c r="F1169" i="57" a="1"/>
  <c r="F1169" i="57" s="1"/>
  <c r="G1277" i="57" a="1"/>
  <c r="G1277" i="57" s="1"/>
  <c r="F1277" i="57" a="1"/>
  <c r="F1277" i="57" s="1"/>
  <c r="G1380" i="57" a="1"/>
  <c r="G1380" i="57" s="1"/>
  <c r="F1380" i="57" a="1"/>
  <c r="F1380" i="57" s="1"/>
  <c r="G804" i="57" a="1"/>
  <c r="G804" i="57" s="1"/>
  <c r="F804" i="57" a="1"/>
  <c r="F804" i="57" s="1"/>
  <c r="G936" i="57" a="1"/>
  <c r="G936" i="57" s="1"/>
  <c r="F936" i="57" a="1"/>
  <c r="F936" i="57" s="1"/>
  <c r="G1062" i="57" a="1"/>
  <c r="G1062" i="57" s="1"/>
  <c r="F1062" i="57" a="1"/>
  <c r="F1062" i="57" s="1"/>
  <c r="G1188" i="57" a="1"/>
  <c r="G1188" i="57" s="1"/>
  <c r="F1188" i="57" a="1"/>
  <c r="F1188" i="57" s="1"/>
  <c r="G1326" i="57" a="1"/>
  <c r="G1326" i="57" s="1"/>
  <c r="F1326" i="57" a="1"/>
  <c r="F1326" i="57" s="1"/>
  <c r="G644" i="57" a="1"/>
  <c r="G644" i="57" s="1"/>
  <c r="F644" i="57" a="1"/>
  <c r="F644" i="57" s="1"/>
  <c r="G764" i="57" a="1"/>
  <c r="G764" i="57" s="1"/>
  <c r="F764" i="57" a="1"/>
  <c r="F764" i="57" s="1"/>
  <c r="G896" i="57" a="1"/>
  <c r="G896" i="57" s="1"/>
  <c r="F896" i="57" a="1"/>
  <c r="F896" i="57" s="1"/>
  <c r="G1058" i="57" a="1"/>
  <c r="G1058" i="57" s="1"/>
  <c r="F1058" i="57" a="1"/>
  <c r="F1058" i="57" s="1"/>
  <c r="G1220" i="57" a="1"/>
  <c r="G1220" i="57" s="1"/>
  <c r="F1220" i="57" a="1"/>
  <c r="F1220" i="57" s="1"/>
  <c r="G1382" i="57" a="1"/>
  <c r="G1382" i="57" s="1"/>
  <c r="F1382" i="57" a="1"/>
  <c r="F1382" i="57" s="1"/>
  <c r="G717" i="57" a="1"/>
  <c r="G717" i="57" s="1"/>
  <c r="F717" i="57" a="1"/>
  <c r="F717" i="57" s="1"/>
  <c r="G861" i="57" a="1"/>
  <c r="G861" i="57" s="1"/>
  <c r="F861" i="57" a="1"/>
  <c r="F861" i="57" s="1"/>
  <c r="G1197" i="57" a="1"/>
  <c r="G1197" i="57" s="1"/>
  <c r="F1197" i="57" a="1"/>
  <c r="F1197" i="57" s="1"/>
  <c r="G670" i="57" a="1"/>
  <c r="G670" i="57" s="1"/>
  <c r="F670" i="57" a="1"/>
  <c r="F670" i="57" s="1"/>
  <c r="G1036" i="57" a="1"/>
  <c r="G1036" i="57" s="1"/>
  <c r="F1036" i="57" a="1"/>
  <c r="F1036" i="57" s="1"/>
  <c r="G1408" i="57" a="1"/>
  <c r="G1408" i="57" s="1"/>
  <c r="F1408" i="57" a="1"/>
  <c r="F1408" i="57" s="1"/>
  <c r="G1665" i="57" a="1"/>
  <c r="G1665" i="57" s="1"/>
  <c r="F1665" i="57" a="1"/>
  <c r="F1665" i="57" s="1"/>
  <c r="G1474" i="57" a="1"/>
  <c r="G1474" i="57" s="1"/>
  <c r="F1474" i="57" a="1"/>
  <c r="F1474" i="57" s="1"/>
  <c r="G1786" i="57" a="1"/>
  <c r="G1786" i="57" s="1"/>
  <c r="F1786" i="57" a="1"/>
  <c r="F1786" i="57" s="1"/>
  <c r="G1679" i="57" a="1"/>
  <c r="G1679" i="57" s="1"/>
  <c r="F1679" i="57" a="1"/>
  <c r="F1679" i="57" s="1"/>
  <c r="G1694" i="57" a="1"/>
  <c r="G1694" i="57" s="1"/>
  <c r="F1694" i="57" a="1"/>
  <c r="F1694" i="57" s="1"/>
  <c r="G548" i="57" a="1"/>
  <c r="G548" i="57" s="1"/>
  <c r="F548" i="57" a="1"/>
  <c r="F548" i="57" s="1"/>
  <c r="G183" i="57" a="1"/>
  <c r="G183" i="57" s="1"/>
  <c r="F183" i="57" a="1"/>
  <c r="F183" i="57" s="1"/>
  <c r="G393" i="57" a="1"/>
  <c r="G393" i="57" s="1"/>
  <c r="F393" i="57" a="1"/>
  <c r="F393" i="57" s="1"/>
  <c r="G591" i="57" a="1"/>
  <c r="G591" i="57" s="1"/>
  <c r="F591" i="57" a="1"/>
  <c r="F591" i="57" s="1"/>
  <c r="G256" i="57" a="1"/>
  <c r="G256" i="57" s="1"/>
  <c r="F256" i="57" a="1"/>
  <c r="F256" i="57" s="1"/>
  <c r="G149" i="57" a="1"/>
  <c r="G149" i="57" s="1"/>
  <c r="F149" i="57" a="1"/>
  <c r="F149" i="57" s="1"/>
  <c r="G1137" i="57" a="1"/>
  <c r="G1137" i="57" s="1"/>
  <c r="F1137" i="57" a="1"/>
  <c r="F1137" i="57" s="1"/>
  <c r="G592" i="57" a="1"/>
  <c r="G592" i="57" s="1"/>
  <c r="F592" i="57" a="1"/>
  <c r="F592" i="57" s="1"/>
  <c r="G976" i="57" a="1"/>
  <c r="G976" i="57" s="1"/>
  <c r="F976" i="57" a="1"/>
  <c r="F976" i="57" s="1"/>
  <c r="G1336" i="57" a="1"/>
  <c r="G1336" i="57" s="1"/>
  <c r="F1336" i="57" a="1"/>
  <c r="F1336" i="57" s="1"/>
  <c r="G1569" i="57" a="1"/>
  <c r="G1569" i="57" s="1"/>
  <c r="F1569" i="57" a="1"/>
  <c r="F1569" i="57" s="1"/>
  <c r="G1881" i="57" a="1"/>
  <c r="G1881" i="57" s="1"/>
  <c r="F1881" i="57" a="1"/>
  <c r="F1881" i="57" s="1"/>
  <c r="G1690" i="57" a="1"/>
  <c r="G1690" i="57" s="1"/>
  <c r="F1690" i="57" a="1"/>
  <c r="F1690" i="57" s="1"/>
  <c r="G1535" i="57" a="1"/>
  <c r="G1535" i="57" s="1"/>
  <c r="F1535" i="57" a="1"/>
  <c r="F1535" i="57" s="1"/>
  <c r="G1550" i="57" a="1"/>
  <c r="G1550" i="57" s="1"/>
  <c r="F1550" i="57" a="1"/>
  <c r="F1550" i="57" s="1"/>
  <c r="G294" i="57" a="1"/>
  <c r="G294" i="57" s="1"/>
  <c r="F294" i="57" a="1"/>
  <c r="F294" i="57" s="1"/>
  <c r="G630" i="57" a="1"/>
  <c r="G630" i="57" s="1"/>
  <c r="F630" i="57" a="1"/>
  <c r="F630" i="57" s="1"/>
  <c r="G1049" i="57" a="1"/>
  <c r="G1049" i="57" s="1"/>
  <c r="F1049" i="57" a="1"/>
  <c r="F1049" i="57" s="1"/>
  <c r="G1175" i="57" a="1"/>
  <c r="G1175" i="57" s="1"/>
  <c r="F1175" i="57" a="1"/>
  <c r="F1175" i="57" s="1"/>
  <c r="G1283" i="57" a="1"/>
  <c r="G1283" i="57" s="1"/>
  <c r="F1283" i="57" a="1"/>
  <c r="F1283" i="57" s="1"/>
  <c r="G654" i="57" a="1"/>
  <c r="G654" i="57" s="1"/>
  <c r="F654" i="57" a="1"/>
  <c r="F654" i="57" s="1"/>
  <c r="G816" i="57" a="1"/>
  <c r="G816" i="57" s="1"/>
  <c r="F816" i="57" a="1"/>
  <c r="F816" i="57" s="1"/>
  <c r="G960" i="57" a="1"/>
  <c r="G960" i="57" s="1"/>
  <c r="F960" i="57" a="1"/>
  <c r="F960" i="57" s="1"/>
  <c r="G1092" i="57" a="1"/>
  <c r="G1092" i="57" s="1"/>
  <c r="F1092" i="57" a="1"/>
  <c r="F1092" i="57" s="1"/>
  <c r="G1230" i="57" a="1"/>
  <c r="G1230" i="57" s="1"/>
  <c r="F1230" i="57" a="1"/>
  <c r="F1230" i="57" s="1"/>
  <c r="G1362" i="57" a="1"/>
  <c r="G1362" i="57" s="1"/>
  <c r="F1362" i="57" a="1"/>
  <c r="F1362" i="57" s="1"/>
  <c r="G674" i="57" a="1"/>
  <c r="G674" i="57" s="1"/>
  <c r="F674" i="57" a="1"/>
  <c r="F674" i="57" s="1"/>
  <c r="G794" i="57" a="1"/>
  <c r="G794" i="57" s="1"/>
  <c r="F794" i="57" a="1"/>
  <c r="F794" i="57" s="1"/>
  <c r="G932" i="57" a="1"/>
  <c r="G932" i="57" s="1"/>
  <c r="F932" i="57" a="1"/>
  <c r="F932" i="57" s="1"/>
  <c r="G1094" i="57" a="1"/>
  <c r="G1094" i="57" s="1"/>
  <c r="F1094" i="57" a="1"/>
  <c r="F1094" i="57" s="1"/>
  <c r="G1256" i="57" a="1"/>
  <c r="G1256" i="57" s="1"/>
  <c r="F1256" i="57" a="1"/>
  <c r="F1256" i="57" s="1"/>
  <c r="G1418" i="57" a="1"/>
  <c r="G1418" i="57" s="1"/>
  <c r="F1418" i="57" a="1"/>
  <c r="F1418" i="57" s="1"/>
  <c r="G741" i="57" a="1"/>
  <c r="G741" i="57" s="1"/>
  <c r="F741" i="57" a="1"/>
  <c r="F741" i="57" s="1"/>
  <c r="G945" i="57" a="1"/>
  <c r="G945" i="57" s="1"/>
  <c r="F945" i="57" a="1"/>
  <c r="F945" i="57" s="1"/>
  <c r="G1275" i="57" a="1"/>
  <c r="G1275" i="57" s="1"/>
  <c r="F1275" i="57" a="1"/>
  <c r="F1275" i="57" s="1"/>
  <c r="G748" i="57" a="1"/>
  <c r="G748" i="57" s="1"/>
  <c r="F748" i="57" a="1"/>
  <c r="F748" i="57" s="1"/>
  <c r="G1120" i="57" a="1"/>
  <c r="G1120" i="57" s="1"/>
  <c r="F1120" i="57" a="1"/>
  <c r="F1120" i="57" s="1"/>
  <c r="G1403" i="57" a="1"/>
  <c r="G1403" i="57" s="1"/>
  <c r="F1403" i="57" a="1"/>
  <c r="F1403" i="57" s="1"/>
  <c r="G1737" i="57" a="1"/>
  <c r="G1737" i="57" s="1"/>
  <c r="F1737" i="57" a="1"/>
  <c r="F1737" i="57" s="1"/>
  <c r="G1546" i="57" a="1"/>
  <c r="G1546" i="57" s="1"/>
  <c r="F1546" i="57" a="1"/>
  <c r="F1546" i="57" s="1"/>
  <c r="G1852" i="57" a="1"/>
  <c r="G1852" i="57" s="1"/>
  <c r="F1852" i="57" a="1"/>
  <c r="F1852" i="57" s="1"/>
  <c r="G1799" i="57" a="1"/>
  <c r="G1799" i="57" s="1"/>
  <c r="F1799" i="57" a="1"/>
  <c r="F1799" i="57" s="1"/>
  <c r="G1814" i="57" a="1"/>
  <c r="G1814" i="57" s="1"/>
  <c r="F1814" i="57" a="1"/>
  <c r="F1814" i="57" s="1"/>
  <c r="G372" i="57" a="1"/>
  <c r="G372" i="57" s="1"/>
  <c r="F372" i="57" a="1"/>
  <c r="F372" i="57" s="1"/>
  <c r="G612" i="57" a="1"/>
  <c r="G612" i="57" s="1"/>
  <c r="F612" i="57" a="1"/>
  <c r="F612" i="57" s="1"/>
  <c r="G1067" i="57" a="1"/>
  <c r="G1067" i="57" s="1"/>
  <c r="F1067" i="57" a="1"/>
  <c r="F1067" i="57" s="1"/>
  <c r="G1101" i="57" a="1"/>
  <c r="G1101" i="57" s="1"/>
  <c r="F1101" i="57" a="1"/>
  <c r="F1101" i="57" s="1"/>
  <c r="G1443" i="57" a="1"/>
  <c r="G1443" i="57" s="1"/>
  <c r="F1443" i="57" a="1"/>
  <c r="F1443" i="57" s="1"/>
  <c r="G934" i="57" a="1"/>
  <c r="G934" i="57" s="1"/>
  <c r="F934" i="57" a="1"/>
  <c r="F934" i="57" s="1"/>
  <c r="G1294" i="57" a="1"/>
  <c r="G1294" i="57" s="1"/>
  <c r="F1294" i="57" a="1"/>
  <c r="F1294" i="57" s="1"/>
  <c r="G1533" i="57" a="1"/>
  <c r="G1533" i="57" s="1"/>
  <c r="F1533" i="57" a="1"/>
  <c r="F1533" i="57" s="1"/>
  <c r="G1845" i="57" a="1"/>
  <c r="G1845" i="57" s="1"/>
  <c r="F1845" i="57" a="1"/>
  <c r="F1845" i="57" s="1"/>
  <c r="G1660" i="57" a="1"/>
  <c r="G1660" i="57" s="1"/>
  <c r="F1660" i="57" a="1"/>
  <c r="F1660" i="57" s="1"/>
  <c r="G1463" i="57" a="1"/>
  <c r="G1463" i="57" s="1"/>
  <c r="F1463" i="57" a="1"/>
  <c r="F1463" i="57" s="1"/>
  <c r="G1478" i="57" a="1"/>
  <c r="G1478" i="57" s="1"/>
  <c r="F1478" i="57" a="1"/>
  <c r="F1478" i="57" s="1"/>
  <c r="G1995" i="57" a="1"/>
  <c r="G1995" i="57" s="1"/>
  <c r="F1995" i="57" a="1"/>
  <c r="F1995" i="57" s="1"/>
  <c r="G534" i="57" a="1"/>
  <c r="G534" i="57" s="1"/>
  <c r="F534" i="57" a="1"/>
  <c r="F534" i="57" s="1"/>
  <c r="G947" i="57" a="1"/>
  <c r="G947" i="57" s="1"/>
  <c r="F947" i="57" a="1"/>
  <c r="F947" i="57" s="1"/>
  <c r="G1073" i="57" a="1"/>
  <c r="G1073" i="57" s="1"/>
  <c r="F1073" i="57" a="1"/>
  <c r="F1073" i="57" s="1"/>
  <c r="G1181" i="57" a="1"/>
  <c r="G1181" i="57" s="1"/>
  <c r="F1181" i="57" a="1"/>
  <c r="F1181" i="57" s="1"/>
  <c r="G1289" i="57" a="1"/>
  <c r="G1289" i="57" s="1"/>
  <c r="F1289" i="57" a="1"/>
  <c r="F1289" i="57" s="1"/>
  <c r="G660" i="57" a="1"/>
  <c r="G660" i="57" s="1"/>
  <c r="F660" i="57" a="1"/>
  <c r="F660" i="57" s="1"/>
  <c r="G822" i="57" a="1"/>
  <c r="G822" i="57" s="1"/>
  <c r="F822" i="57" a="1"/>
  <c r="F822" i="57" s="1"/>
  <c r="G966" i="57" a="1"/>
  <c r="G966" i="57" s="1"/>
  <c r="F966" i="57" a="1"/>
  <c r="F966" i="57" s="1"/>
  <c r="G1104" i="57" a="1"/>
  <c r="G1104" i="57" s="1"/>
  <c r="F1104" i="57" a="1"/>
  <c r="F1104" i="57" s="1"/>
  <c r="G1236" i="57" a="1"/>
  <c r="G1236" i="57" s="1"/>
  <c r="F1236" i="57" a="1"/>
  <c r="F1236" i="57" s="1"/>
  <c r="G1368" i="57" a="1"/>
  <c r="G1368" i="57" s="1"/>
  <c r="F1368" i="57" a="1"/>
  <c r="F1368" i="57" s="1"/>
  <c r="G680" i="57" a="1"/>
  <c r="G680" i="57" s="1"/>
  <c r="F680" i="57" a="1"/>
  <c r="F680" i="57" s="1"/>
  <c r="G800" i="57" a="1"/>
  <c r="G800" i="57" s="1"/>
  <c r="F800" i="57" a="1"/>
  <c r="F800" i="57" s="1"/>
  <c r="G944" i="57" a="1"/>
  <c r="G944" i="57" s="1"/>
  <c r="F944" i="57" a="1"/>
  <c r="F944" i="57" s="1"/>
  <c r="G1106" i="57" a="1"/>
  <c r="G1106" i="57" s="1"/>
  <c r="F1106" i="57" a="1"/>
  <c r="F1106" i="57" s="1"/>
  <c r="G1268" i="57" a="1"/>
  <c r="G1268" i="57" s="1"/>
  <c r="F1268" i="57" a="1"/>
  <c r="F1268" i="57" s="1"/>
  <c r="G1430" i="57" a="1"/>
  <c r="G1430" i="57" s="1"/>
  <c r="F1430" i="57" a="1"/>
  <c r="F1430" i="57" s="1"/>
  <c r="G747" i="57" a="1"/>
  <c r="G747" i="57" s="1"/>
  <c r="F747" i="57" a="1"/>
  <c r="F747" i="57" s="1"/>
  <c r="G975" i="57" a="1"/>
  <c r="G975" i="57" s="1"/>
  <c r="F975" i="57" a="1"/>
  <c r="F975" i="57" s="1"/>
  <c r="G1305" i="57" a="1"/>
  <c r="G1305" i="57" s="1"/>
  <c r="F1305" i="57" a="1"/>
  <c r="F1305" i="57" s="1"/>
  <c r="G796" i="57" a="1"/>
  <c r="G796" i="57" s="1"/>
  <c r="F796" i="57" a="1"/>
  <c r="F796" i="57" s="1"/>
  <c r="G1162" i="57" a="1"/>
  <c r="G1162" i="57" s="1"/>
  <c r="F1162" i="57" a="1"/>
  <c r="F1162" i="57" s="1"/>
  <c r="G1445" i="57" a="1"/>
  <c r="G1445" i="57" s="1"/>
  <c r="F1445" i="57" a="1"/>
  <c r="F1445" i="57" s="1"/>
  <c r="G1749" i="57" a="1"/>
  <c r="G1749" i="57" s="1"/>
  <c r="F1749" i="57" a="1"/>
  <c r="F1749" i="57" s="1"/>
  <c r="G1558" i="57" a="1"/>
  <c r="G1558" i="57" s="1"/>
  <c r="F1558" i="57" a="1"/>
  <c r="F1558" i="57" s="1"/>
  <c r="G1876" i="57" a="1"/>
  <c r="G1876" i="57" s="1"/>
  <c r="F1876" i="57" a="1"/>
  <c r="F1876" i="57" s="1"/>
  <c r="G1835" i="57" a="1"/>
  <c r="G1835" i="57" s="1"/>
  <c r="F1835" i="57" a="1"/>
  <c r="F1835" i="57" s="1"/>
  <c r="G1850" i="57" a="1"/>
  <c r="G1850" i="57" s="1"/>
  <c r="F1850" i="57" a="1"/>
  <c r="F1850" i="57" s="1"/>
  <c r="G258" i="57" a="1"/>
  <c r="G258" i="57" s="1"/>
  <c r="F258" i="57" a="1"/>
  <c r="F258" i="57" s="1"/>
  <c r="G468" i="57" a="1"/>
  <c r="G468" i="57" s="1"/>
  <c r="F468" i="57" a="1"/>
  <c r="F468" i="57" s="1"/>
  <c r="G983" i="57" a="1"/>
  <c r="G983" i="57" s="1"/>
  <c r="F983" i="57" a="1"/>
  <c r="F983" i="57" s="1"/>
  <c r="G1065" i="57" a="1"/>
  <c r="G1065" i="57" s="1"/>
  <c r="F1065" i="57" a="1"/>
  <c r="F1065" i="57" s="1"/>
  <c r="G1407" i="57" a="1"/>
  <c r="G1407" i="57" s="1"/>
  <c r="F1407" i="57" a="1"/>
  <c r="F1407" i="57" s="1"/>
  <c r="G892" i="57" a="1"/>
  <c r="G892" i="57" s="1"/>
  <c r="F892" i="57" a="1"/>
  <c r="F892" i="57" s="1"/>
  <c r="G1252" i="57" a="1"/>
  <c r="G1252" i="57" s="1"/>
  <c r="F1252" i="57" a="1"/>
  <c r="F1252" i="57" s="1"/>
  <c r="G1497" i="57" a="1"/>
  <c r="G1497" i="57" s="1"/>
  <c r="F1497" i="57" a="1"/>
  <c r="F1497" i="57" s="1"/>
  <c r="G1815" i="57" a="1"/>
  <c r="G1815" i="57" s="1"/>
  <c r="F1815" i="57" a="1"/>
  <c r="F1815" i="57" s="1"/>
  <c r="G1624" i="57" a="1"/>
  <c r="G1624" i="57" s="1"/>
  <c r="F1624" i="57" a="1"/>
  <c r="F1624" i="57" s="1"/>
  <c r="G1930" i="57" a="1"/>
  <c r="G1930" i="57" s="1"/>
  <c r="F1930" i="57" a="1"/>
  <c r="F1930" i="57" s="1"/>
  <c r="G1931" i="57" a="1"/>
  <c r="G1931" i="57" s="1"/>
  <c r="F1931" i="57" a="1"/>
  <c r="F1931" i="57" s="1"/>
  <c r="G1946" i="57" a="1"/>
  <c r="G1946" i="57" s="1"/>
  <c r="F1946" i="57" a="1"/>
  <c r="F1946" i="57" s="1"/>
  <c r="G909" i="57" a="1"/>
  <c r="G909" i="57" s="1"/>
  <c r="F909" i="57" a="1"/>
  <c r="F909" i="57" s="1"/>
  <c r="G1023" i="57" a="1"/>
  <c r="G1023" i="57" s="1"/>
  <c r="F1023" i="57" a="1"/>
  <c r="F1023" i="57" s="1"/>
  <c r="G1131" i="57" a="1"/>
  <c r="G1131" i="57" s="1"/>
  <c r="F1131" i="57" a="1"/>
  <c r="F1131" i="57" s="1"/>
  <c r="G1239" i="57" a="1"/>
  <c r="G1239" i="57" s="1"/>
  <c r="F1239" i="57" a="1"/>
  <c r="F1239" i="57" s="1"/>
  <c r="G1365" i="57" a="1"/>
  <c r="G1365" i="57" s="1"/>
  <c r="F1365" i="57" a="1"/>
  <c r="F1365" i="57" s="1"/>
  <c r="G586" i="57" a="1"/>
  <c r="G586" i="57" s="1"/>
  <c r="F586" i="57" a="1"/>
  <c r="F586" i="57" s="1"/>
  <c r="G712" i="57" a="1"/>
  <c r="G712" i="57" s="1"/>
  <c r="F712" i="57" a="1"/>
  <c r="F712" i="57" s="1"/>
  <c r="G844" i="57" a="1"/>
  <c r="G844" i="57" s="1"/>
  <c r="F844" i="57" a="1"/>
  <c r="F844" i="57" s="1"/>
  <c r="G970" i="57" a="1"/>
  <c r="G970" i="57" s="1"/>
  <c r="F970" i="57" a="1"/>
  <c r="F970" i="57" s="1"/>
  <c r="G1084" i="57" a="1"/>
  <c r="G1084" i="57" s="1"/>
  <c r="F1084" i="57" a="1"/>
  <c r="F1084" i="57" s="1"/>
  <c r="G1210" i="57" a="1"/>
  <c r="G1210" i="57" s="1"/>
  <c r="F1210" i="57" a="1"/>
  <c r="F1210" i="57" s="1"/>
  <c r="G1330" i="57" a="1"/>
  <c r="G1330" i="57" s="1"/>
  <c r="F1330" i="57" a="1"/>
  <c r="F1330" i="57" s="1"/>
  <c r="G1307" i="57" a="1"/>
  <c r="G1307" i="57" s="1"/>
  <c r="F1307" i="57" a="1"/>
  <c r="F1307" i="57" s="1"/>
  <c r="G1509" i="57" a="1"/>
  <c r="G1509" i="57" s="1"/>
  <c r="F1509" i="57" a="1"/>
  <c r="F1509" i="57" s="1"/>
  <c r="G1767" i="57" a="1"/>
  <c r="G1767" i="57" s="1"/>
  <c r="F1767" i="57" a="1"/>
  <c r="F1767" i="57" s="1"/>
  <c r="G1522" i="57" a="1"/>
  <c r="G1522" i="57" s="1"/>
  <c r="F1522" i="57" a="1"/>
  <c r="F1522" i="57" s="1"/>
  <c r="G1780" i="57" a="1"/>
  <c r="G1780" i="57" s="1"/>
  <c r="F1780" i="57" a="1"/>
  <c r="F1780" i="57" s="1"/>
  <c r="G1523" i="57" a="1"/>
  <c r="G1523" i="57" s="1"/>
  <c r="F1523" i="57" a="1"/>
  <c r="F1523" i="57" s="1"/>
  <c r="G1787" i="57" a="1"/>
  <c r="G1787" i="57" s="1"/>
  <c r="F1787" i="57" a="1"/>
  <c r="F1787" i="57" s="1"/>
  <c r="G1544" i="57" a="1"/>
  <c r="G1544" i="57" s="1"/>
  <c r="F1544" i="57" a="1"/>
  <c r="F1544" i="57" s="1"/>
  <c r="G1802" i="57" a="1"/>
  <c r="G1802" i="57" s="1"/>
  <c r="F1802" i="57" a="1"/>
  <c r="F1802" i="57" s="1"/>
  <c r="G2061" i="57" a="1"/>
  <c r="G2061" i="57" s="1"/>
  <c r="F2061" i="57" a="1"/>
  <c r="F2061" i="57" s="1"/>
  <c r="G2319" i="57" a="1"/>
  <c r="G2319" i="57" s="1"/>
  <c r="F2319" i="57" a="1"/>
  <c r="F2319" i="57" s="1"/>
  <c r="G2110" i="57" a="1"/>
  <c r="G2110" i="57" s="1"/>
  <c r="F2110" i="57" a="1"/>
  <c r="F2110" i="57" s="1"/>
  <c r="G2422" i="57" a="1"/>
  <c r="G2422" i="57" s="1"/>
  <c r="F2422" i="57" a="1"/>
  <c r="F2422" i="57" s="1"/>
  <c r="G2261" i="57" a="1"/>
  <c r="G2261" i="57" s="1"/>
  <c r="F2261" i="57" a="1"/>
  <c r="F2261" i="57" s="1"/>
  <c r="G2108" i="57" a="1"/>
  <c r="G2108" i="57" s="1"/>
  <c r="F2108" i="57" a="1"/>
  <c r="F2108" i="57" s="1"/>
  <c r="G2450" i="57" a="1"/>
  <c r="G2450" i="57" s="1"/>
  <c r="F2450" i="57" a="1"/>
  <c r="F2450" i="57" s="1"/>
  <c r="G2435" i="57" a="1"/>
  <c r="G2435" i="57" s="1"/>
  <c r="F2435" i="57" a="1"/>
  <c r="F2435" i="57" s="1"/>
  <c r="G1746" i="57" a="1"/>
  <c r="G1746" i="57" s="1"/>
  <c r="F1746" i="57" a="1"/>
  <c r="F1746" i="57" s="1"/>
  <c r="G2184" i="57" a="1"/>
  <c r="G2184" i="57" s="1"/>
  <c r="F2184" i="57" a="1"/>
  <c r="F2184" i="57" s="1"/>
  <c r="G2067" i="57" a="1"/>
  <c r="G2067" i="57" s="1"/>
  <c r="F2067" i="57" a="1"/>
  <c r="F2067" i="57" s="1"/>
  <c r="G2331" i="57" a="1"/>
  <c r="G2331" i="57" s="1"/>
  <c r="F2331" i="57" a="1"/>
  <c r="F2331" i="57" s="1"/>
  <c r="G2122" i="57" a="1"/>
  <c r="G2122" i="57" s="1"/>
  <c r="F2122" i="57" a="1"/>
  <c r="F2122" i="57" s="1"/>
  <c r="G1955" i="57" a="1"/>
  <c r="G1955" i="57" s="1"/>
  <c r="F1955" i="57" a="1"/>
  <c r="F1955" i="57" s="1"/>
  <c r="G2267" i="57" a="1"/>
  <c r="G2267" i="57" s="1"/>
  <c r="F2267" i="57" a="1"/>
  <c r="F2267" i="57" s="1"/>
  <c r="G2114" i="57" a="1"/>
  <c r="G2114" i="57" s="1"/>
  <c r="F2114" i="57" a="1"/>
  <c r="F2114" i="57" s="1"/>
  <c r="G2456" i="57" a="1"/>
  <c r="G2456" i="57" s="1"/>
  <c r="F2456" i="57" a="1"/>
  <c r="F2456" i="57" s="1"/>
  <c r="G2447" i="57" a="1"/>
  <c r="G2447" i="57" s="1"/>
  <c r="F2447" i="57" a="1"/>
  <c r="F2447" i="57" s="1"/>
  <c r="G1752" i="57" a="1"/>
  <c r="G1752" i="57" s="1"/>
  <c r="F1752" i="57" a="1"/>
  <c r="F1752" i="57" s="1"/>
  <c r="G2226" i="57" a="1"/>
  <c r="G2226" i="57" s="1"/>
  <c r="F2226" i="57" a="1"/>
  <c r="F2226" i="57" s="1"/>
  <c r="G2121" i="57" a="1"/>
  <c r="G2121" i="57" s="1"/>
  <c r="F2121" i="57" a="1"/>
  <c r="F2121" i="57" s="1"/>
  <c r="G2379" i="57" a="1"/>
  <c r="G2379" i="57" s="1"/>
  <c r="F2379" i="57" a="1"/>
  <c r="F2379" i="57" s="1"/>
  <c r="G2176" i="57" a="1"/>
  <c r="G2176" i="57" s="1"/>
  <c r="F2176" i="57" a="1"/>
  <c r="F2176" i="57" s="1"/>
  <c r="G2015" i="57" a="1"/>
  <c r="G2015" i="57" s="1"/>
  <c r="F2015" i="57" a="1"/>
  <c r="F2015" i="57" s="1"/>
  <c r="G2333" i="57" a="1"/>
  <c r="G2333" i="57" s="1"/>
  <c r="F2333" i="57" a="1"/>
  <c r="F2333" i="57" s="1"/>
  <c r="G2180" i="57" a="1"/>
  <c r="G2180" i="57" s="1"/>
  <c r="F2180" i="57" a="1"/>
  <c r="F2180" i="57" s="1"/>
  <c r="G85" i="57" a="1"/>
  <c r="G85" i="57" s="1"/>
  <c r="F85" i="57" a="1"/>
  <c r="F85" i="57" s="1"/>
  <c r="G2503" i="57" a="1"/>
  <c r="G2503" i="57" s="1"/>
  <c r="F2503" i="57" a="1"/>
  <c r="F2503" i="57" s="1"/>
  <c r="G1507" i="57" a="1"/>
  <c r="G1507" i="57" s="1"/>
  <c r="F1507" i="57" a="1"/>
  <c r="F1507" i="57" s="1"/>
  <c r="G1753" i="57" a="1"/>
  <c r="G1753" i="57" s="1"/>
  <c r="F1753" i="57" a="1"/>
  <c r="F1753" i="57" s="1"/>
  <c r="G2169" i="57" a="1"/>
  <c r="G2169" i="57" s="1"/>
  <c r="F2169" i="57" a="1"/>
  <c r="F2169" i="57" s="1"/>
  <c r="G2433" i="57" a="1"/>
  <c r="G2433" i="57" s="1"/>
  <c r="F2433" i="57" a="1"/>
  <c r="F2433" i="57" s="1"/>
  <c r="G2242" i="57" a="1"/>
  <c r="G2242" i="57" s="1"/>
  <c r="F2242" i="57" a="1"/>
  <c r="F2242" i="57" s="1"/>
  <c r="G2081" i="57" a="1"/>
  <c r="G2081" i="57" s="1"/>
  <c r="F2081" i="57" a="1"/>
  <c r="F2081" i="57" s="1"/>
  <c r="G2240" i="57" a="1"/>
  <c r="G2240" i="57" s="1"/>
  <c r="F2240" i="57" a="1"/>
  <c r="F2240" i="57" s="1"/>
  <c r="G163" i="57" a="1"/>
  <c r="G163" i="57" s="1"/>
  <c r="F163" i="57" a="1"/>
  <c r="F163" i="57" s="1"/>
  <c r="G1524" i="57" a="1"/>
  <c r="G1524" i="57" s="1"/>
  <c r="F1524" i="57" a="1"/>
  <c r="F1524" i="57" s="1"/>
  <c r="G265" i="57" a="1"/>
  <c r="G265" i="57" s="1"/>
  <c r="F265" i="57" a="1"/>
  <c r="F265" i="57" s="1"/>
  <c r="G2059" i="57" a="1"/>
  <c r="G2059" i="57" s="1"/>
  <c r="F2059" i="57" a="1"/>
  <c r="F2059" i="57" s="1"/>
  <c r="G1595" i="57" a="1"/>
  <c r="G1595" i="57" s="1"/>
  <c r="F1595" i="57" a="1"/>
  <c r="F1595" i="57" s="1"/>
  <c r="G1859" i="57" a="1"/>
  <c r="G1859" i="57" s="1"/>
  <c r="F1859" i="57" a="1"/>
  <c r="F1859" i="57" s="1"/>
  <c r="G1616" i="57" a="1"/>
  <c r="G1616" i="57" s="1"/>
  <c r="F1616" i="57" a="1"/>
  <c r="F1616" i="57" s="1"/>
  <c r="G1874" i="57" a="1"/>
  <c r="G1874" i="57" s="1"/>
  <c r="F1874" i="57" a="1"/>
  <c r="F1874" i="57" s="1"/>
  <c r="G2133" i="57" a="1"/>
  <c r="G2133" i="57" s="1"/>
  <c r="F2133" i="57" a="1"/>
  <c r="F2133" i="57" s="1"/>
  <c r="G2391" i="57" a="1"/>
  <c r="G2391" i="57" s="1"/>
  <c r="F2391" i="57" a="1"/>
  <c r="F2391" i="57" s="1"/>
  <c r="G2200" i="57" a="1"/>
  <c r="G2200" i="57" s="1"/>
  <c r="F2200" i="57" a="1"/>
  <c r="F2200" i="57" s="1"/>
  <c r="G2033" i="57" a="1"/>
  <c r="G2033" i="57" s="1"/>
  <c r="F2033" i="57" a="1"/>
  <c r="F2033" i="57" s="1"/>
  <c r="G2345" i="57" a="1"/>
  <c r="G2345" i="57" s="1"/>
  <c r="F2345" i="57" a="1"/>
  <c r="F2345" i="57" s="1"/>
  <c r="G2198" i="57" a="1"/>
  <c r="G2198" i="57" s="1"/>
  <c r="F2198" i="57" a="1"/>
  <c r="F2198" i="57" s="1"/>
  <c r="G115" i="57" a="1"/>
  <c r="G115" i="57" s="1"/>
  <c r="F115" i="57" a="1"/>
  <c r="F115" i="57" s="1"/>
  <c r="G1476" i="57" a="1"/>
  <c r="G1476" i="57" s="1"/>
  <c r="F1476" i="57" a="1"/>
  <c r="F1476" i="57" s="1"/>
  <c r="G1597" i="57" a="1"/>
  <c r="G1597" i="57" s="1"/>
  <c r="F1597" i="57" a="1"/>
  <c r="F1597" i="57" s="1"/>
  <c r="G1843" i="57" a="1"/>
  <c r="G1843" i="57" s="1"/>
  <c r="F1843" i="57" a="1"/>
  <c r="F1843" i="57" s="1"/>
  <c r="G1517" i="57" a="1"/>
  <c r="G1517" i="57" s="1"/>
  <c r="F1517" i="57" a="1"/>
  <c r="F1517" i="57" s="1"/>
  <c r="G1775" i="57" a="1"/>
  <c r="G1775" i="57" s="1"/>
  <c r="F1775" i="57" a="1"/>
  <c r="F1775" i="57" s="1"/>
  <c r="G1538" i="57" a="1"/>
  <c r="G1538" i="57" s="1"/>
  <c r="F1538" i="57" a="1"/>
  <c r="F1538" i="57" s="1"/>
  <c r="G1796" i="57" a="1"/>
  <c r="G1796" i="57" s="1"/>
  <c r="F1796" i="57" a="1"/>
  <c r="F1796" i="57" s="1"/>
  <c r="G2055" i="57" a="1"/>
  <c r="G2055" i="57" s="1"/>
  <c r="F2055" i="57" a="1"/>
  <c r="F2055" i="57" s="1"/>
  <c r="G2313" i="57" a="1"/>
  <c r="G2313" i="57" s="1"/>
  <c r="F2313" i="57" a="1"/>
  <c r="F2313" i="57" s="1"/>
  <c r="G2098" i="57" a="1"/>
  <c r="G2098" i="57" s="1"/>
  <c r="F2098" i="57" a="1"/>
  <c r="F2098" i="57" s="1"/>
  <c r="G2416" i="57" a="1"/>
  <c r="G2416" i="57" s="1"/>
  <c r="F2416" i="57" a="1"/>
  <c r="F2416" i="57" s="1"/>
  <c r="G2249" i="57" a="1"/>
  <c r="G2249" i="57" s="1"/>
  <c r="F2249" i="57" a="1"/>
  <c r="F2249" i="57" s="1"/>
  <c r="G2102" i="57" a="1"/>
  <c r="G2102" i="57" s="1"/>
  <c r="F2102" i="57" a="1"/>
  <c r="F2102" i="57" s="1"/>
  <c r="G2438" i="57" a="1"/>
  <c r="G2438" i="57" s="1"/>
  <c r="F2438" i="57" a="1"/>
  <c r="F2438" i="57" s="1"/>
  <c r="G2429" i="57" a="1"/>
  <c r="G2429" i="57" s="1"/>
  <c r="F2429" i="57" a="1"/>
  <c r="F2429" i="57" s="1"/>
  <c r="G1740" i="57" a="1"/>
  <c r="G1740" i="57" s="1"/>
  <c r="F1740" i="57" a="1"/>
  <c r="F1740" i="57" s="1"/>
  <c r="G2142" i="57" a="1"/>
  <c r="G2142" i="57" s="1"/>
  <c r="F2142" i="57" a="1"/>
  <c r="F2142" i="57" s="1"/>
  <c r="G1467" i="57" a="1"/>
  <c r="G1467" i="57" s="1"/>
  <c r="F1467" i="57" a="1"/>
  <c r="F1467" i="57" s="1"/>
  <c r="G1683" i="57" a="1"/>
  <c r="G1683" i="57" s="1"/>
  <c r="F1683" i="57" a="1"/>
  <c r="F1683" i="57" s="1"/>
  <c r="G1899" i="57" a="1"/>
  <c r="G1899" i="57" s="1"/>
  <c r="F1899" i="57" a="1"/>
  <c r="F1899" i="57" s="1"/>
  <c r="G1612" i="57" a="1"/>
  <c r="G1612" i="57" s="1"/>
  <c r="F1612" i="57" a="1"/>
  <c r="F1612" i="57" s="1"/>
  <c r="G1828" i="57" a="1"/>
  <c r="G1828" i="57" s="1"/>
  <c r="F1828" i="57" a="1"/>
  <c r="F1828" i="57" s="1"/>
  <c r="G1529" i="57" a="1"/>
  <c r="G1529" i="57" s="1"/>
  <c r="F1529" i="57" a="1"/>
  <c r="F1529" i="57" s="1"/>
  <c r="G1745" i="57" a="1"/>
  <c r="G1745" i="57" s="1"/>
  <c r="F1745" i="57" a="1"/>
  <c r="F1745" i="57" s="1"/>
  <c r="G1460" i="57" a="1"/>
  <c r="G1460" i="57" s="1"/>
  <c r="F1460" i="57" a="1"/>
  <c r="F1460" i="57" s="1"/>
  <c r="G1676" i="57" a="1"/>
  <c r="G1676" i="57" s="1"/>
  <c r="F1676" i="57" a="1"/>
  <c r="F1676" i="57" s="1"/>
  <c r="G1892" i="57" a="1"/>
  <c r="G1892" i="57" s="1"/>
  <c r="F1892" i="57" a="1"/>
  <c r="F1892" i="57" s="1"/>
  <c r="G2109" i="57" a="1"/>
  <c r="G2109" i="57" s="1"/>
  <c r="F2109" i="57" a="1"/>
  <c r="F2109" i="57" s="1"/>
  <c r="G2325" i="57" a="1"/>
  <c r="G2325" i="57" s="1"/>
  <c r="F2325" i="57" a="1"/>
  <c r="F2325" i="57" s="1"/>
  <c r="G2062" i="57" a="1"/>
  <c r="G2062" i="57" s="1"/>
  <c r="F2062" i="57" a="1"/>
  <c r="F2062" i="57" s="1"/>
  <c r="G2320" i="57" a="1"/>
  <c r="G2320" i="57" s="1"/>
  <c r="F2320" i="57" a="1"/>
  <c r="F2320" i="57" s="1"/>
  <c r="G2105" i="57" a="1"/>
  <c r="G2105" i="57" s="1"/>
  <c r="F2105" i="57" a="1"/>
  <c r="F2105" i="57" s="1"/>
  <c r="G2369" i="57" a="1"/>
  <c r="G2369" i="57" s="1"/>
  <c r="F2369" i="57" a="1"/>
  <c r="F2369" i="57" s="1"/>
  <c r="G2168" i="57" a="1"/>
  <c r="G2168" i="57" s="1"/>
  <c r="F2168" i="57" a="1"/>
  <c r="F2168" i="57" s="1"/>
  <c r="G2426" i="57" a="1"/>
  <c r="G2426" i="57" s="1"/>
  <c r="F2426" i="57" a="1"/>
  <c r="F2426" i="57" s="1"/>
  <c r="G2428" i="57" a="1"/>
  <c r="G2428" i="57" s="1"/>
  <c r="F2428" i="57" a="1"/>
  <c r="F2428" i="57" s="1"/>
  <c r="G1464" i="57" a="1"/>
  <c r="G1464" i="57" s="1"/>
  <c r="F1464" i="57" a="1"/>
  <c r="F1464" i="57" s="1"/>
  <c r="G1728" i="57" a="1"/>
  <c r="G1728" i="57" s="1"/>
  <c r="F1728" i="57" a="1"/>
  <c r="F1728" i="57" s="1"/>
  <c r="G1495" i="57" a="1"/>
  <c r="G1495" i="57" s="1"/>
  <c r="F1495" i="57" a="1"/>
  <c r="F1495" i="57" s="1"/>
  <c r="G186" i="57" a="1"/>
  <c r="G186" i="57" s="1"/>
  <c r="F186" i="57" a="1"/>
  <c r="F186" i="57" s="1"/>
  <c r="G463" i="57" a="1"/>
  <c r="G463" i="57" s="1"/>
  <c r="F463" i="57" a="1"/>
  <c r="F463" i="57" s="1"/>
  <c r="G974" i="57" a="1"/>
  <c r="G974" i="57" s="1"/>
  <c r="F974" i="57" a="1"/>
  <c r="F974" i="57" s="1"/>
  <c r="G1998" i="57" a="1"/>
  <c r="G1998" i="57" s="1"/>
  <c r="F1998" i="57" a="1"/>
  <c r="F1998" i="57" s="1"/>
  <c r="G2256" i="57" a="1"/>
  <c r="G2256" i="57" s="1"/>
  <c r="F2256" i="57" a="1"/>
  <c r="F2256" i="57" s="1"/>
  <c r="G1741" i="57" a="1"/>
  <c r="G1741" i="57" s="1"/>
  <c r="F1741" i="57" a="1"/>
  <c r="F1741" i="57" s="1"/>
  <c r="G1999" i="57" a="1"/>
  <c r="G1999" i="57" s="1"/>
  <c r="F1999" i="57" a="1"/>
  <c r="F1999" i="57" s="1"/>
  <c r="G600" i="57" a="1"/>
  <c r="G600" i="57" s="1"/>
  <c r="F600" i="57" a="1"/>
  <c r="F600" i="57" s="1"/>
  <c r="G1159" i="57" a="1"/>
  <c r="G1159" i="57" s="1"/>
  <c r="F1159" i="57" a="1"/>
  <c r="F1159" i="57" s="1"/>
  <c r="G1908" i="57" a="1"/>
  <c r="G1908" i="57" s="1"/>
  <c r="F1908" i="57" a="1"/>
  <c r="F1908" i="57" s="1"/>
  <c r="G1675" i="57" a="1"/>
  <c r="G1675" i="57" s="1"/>
  <c r="F1675" i="57" a="1"/>
  <c r="F1675" i="57" s="1"/>
  <c r="G385" i="57" a="1"/>
  <c r="G385" i="57" s="1"/>
  <c r="F385" i="57" a="1"/>
  <c r="F385" i="57" s="1"/>
  <c r="G524" i="57" a="1"/>
  <c r="G524" i="57" s="1"/>
  <c r="F524" i="57" a="1"/>
  <c r="F524" i="57" s="1"/>
  <c r="G813" i="57" a="1"/>
  <c r="G813" i="57" s="1"/>
  <c r="F813" i="57" a="1"/>
  <c r="F813" i="57" s="1"/>
  <c r="G2178" i="57" a="1"/>
  <c r="G2178" i="57" s="1"/>
  <c r="F2178" i="57" a="1"/>
  <c r="F2178" i="57" s="1"/>
  <c r="G2436" i="57" a="1"/>
  <c r="G2436" i="57" s="1"/>
  <c r="F2436" i="57" a="1"/>
  <c r="F2436" i="57" s="1"/>
  <c r="G1921" i="57" a="1"/>
  <c r="G1921" i="57" s="1"/>
  <c r="F1921" i="57" a="1"/>
  <c r="F1921" i="57" s="1"/>
  <c r="G2197" i="57" a="1"/>
  <c r="G2197" i="57" s="1"/>
  <c r="F2197" i="57" a="1"/>
  <c r="F2197" i="57" s="1"/>
  <c r="G967" i="57" a="1"/>
  <c r="G967" i="57" s="1"/>
  <c r="F967" i="57" a="1"/>
  <c r="F967" i="57" s="1"/>
  <c r="G1788" i="57" a="1"/>
  <c r="G1788" i="57" s="1"/>
  <c r="F1788" i="57" a="1"/>
  <c r="F1788" i="57" s="1"/>
  <c r="G1561" i="57" a="1"/>
  <c r="G1561" i="57" s="1"/>
  <c r="F1561" i="57" a="1"/>
  <c r="F1561" i="57" s="1"/>
  <c r="G271" i="57" a="1"/>
  <c r="G271" i="57" s="1"/>
  <c r="F271" i="57" a="1"/>
  <c r="F271" i="57" s="1"/>
  <c r="G529" i="57" a="1"/>
  <c r="G529" i="57" s="1"/>
  <c r="F529" i="57" a="1"/>
  <c r="F529" i="57" s="1"/>
  <c r="G1172" i="57" a="1"/>
  <c r="G1172" i="57" s="1"/>
  <c r="F1172" i="57" a="1"/>
  <c r="F1172" i="57" s="1"/>
  <c r="G2058" i="57" a="1"/>
  <c r="G2058" i="57" s="1"/>
  <c r="F2058" i="57" a="1"/>
  <c r="F2058" i="57" s="1"/>
  <c r="G2322" i="57" a="1"/>
  <c r="G2322" i="57" s="1"/>
  <c r="F2322" i="57" a="1"/>
  <c r="F2322" i="57" s="1"/>
  <c r="G1807" i="57" a="1"/>
  <c r="G1807" i="57" s="1"/>
  <c r="F1807" i="57" a="1"/>
  <c r="F1807" i="57" s="1"/>
  <c r="G2065" i="57" a="1"/>
  <c r="G2065" i="57" s="1"/>
  <c r="F2065" i="57" a="1"/>
  <c r="F2065" i="57" s="1"/>
  <c r="G1008" i="57" a="1"/>
  <c r="G1008" i="57" s="1"/>
  <c r="F1008" i="57" a="1"/>
  <c r="F1008" i="57" s="1"/>
  <c r="G1351" i="57" a="1"/>
  <c r="G1351" i="57" s="1"/>
  <c r="F1351" i="57" a="1"/>
  <c r="F1351" i="57" s="1"/>
  <c r="G1926" i="57" a="1"/>
  <c r="G1926" i="57" s="1"/>
  <c r="F1926" i="57" a="1"/>
  <c r="F1926" i="57" s="1"/>
  <c r="G1693" i="57" a="1"/>
  <c r="G1693" i="57" s="1"/>
  <c r="F1693" i="57" a="1"/>
  <c r="F1693" i="57" s="1"/>
  <c r="G409" i="57" a="1"/>
  <c r="G409" i="57" s="1"/>
  <c r="F409" i="57" a="1"/>
  <c r="F409" i="57" s="1"/>
  <c r="G740" i="57" a="1"/>
  <c r="G740" i="57" s="1"/>
  <c r="F740" i="57" a="1"/>
  <c r="F740" i="57" s="1"/>
  <c r="G1317" i="57" a="1"/>
  <c r="G1317" i="57" s="1"/>
  <c r="F1317" i="57" a="1"/>
  <c r="F1317" i="57" s="1"/>
  <c r="G2196" i="57" a="1"/>
  <c r="G2196" i="57" s="1"/>
  <c r="F2196" i="57" a="1"/>
  <c r="F2196" i="57" s="1"/>
  <c r="G2454" i="57" a="1"/>
  <c r="G2454" i="57" s="1"/>
  <c r="F2454" i="57" a="1"/>
  <c r="F2454" i="57" s="1"/>
  <c r="G1945" i="57" a="1"/>
  <c r="G1945" i="57" s="1"/>
  <c r="F1945" i="57" a="1"/>
  <c r="F1945" i="57" s="1"/>
  <c r="G2215" i="57" a="1"/>
  <c r="G2215" i="57" s="1"/>
  <c r="F2215" i="57" a="1"/>
  <c r="F2215" i="57" s="1"/>
  <c r="G1015" i="57" a="1"/>
  <c r="G1015" i="57" s="1"/>
  <c r="F1015" i="57" a="1"/>
  <c r="F1015" i="57" s="1"/>
  <c r="G2330" i="57" a="1"/>
  <c r="G2330" i="57" s="1"/>
  <c r="F2330" i="57" a="1"/>
  <c r="F2330" i="57" s="1"/>
  <c r="G145" i="57" a="1"/>
  <c r="G145" i="57" s="1"/>
  <c r="F145" i="57" a="1"/>
  <c r="F145" i="57" s="1"/>
  <c r="G2453" i="57" a="1"/>
  <c r="G2453" i="57" s="1"/>
  <c r="F2453" i="57" a="1"/>
  <c r="F2453" i="57" s="1"/>
  <c r="G1632" i="57" a="1"/>
  <c r="G1632" i="57" s="1"/>
  <c r="F1632" i="57" a="1"/>
  <c r="F1632" i="57" s="1"/>
  <c r="G1890" i="57" a="1"/>
  <c r="G1890" i="57" s="1"/>
  <c r="F1890" i="57" a="1"/>
  <c r="F1890" i="57" s="1"/>
  <c r="G1657" i="57" a="1"/>
  <c r="G1657" i="57" s="1"/>
  <c r="F1657" i="57" a="1"/>
  <c r="F1657" i="57" s="1"/>
  <c r="G373" i="57" a="1"/>
  <c r="G373" i="57" s="1"/>
  <c r="F373" i="57" a="1"/>
  <c r="F373" i="57" s="1"/>
  <c r="G416" i="57" a="1"/>
  <c r="G416" i="57" s="1"/>
  <c r="F416" i="57" a="1"/>
  <c r="F416" i="57" s="1"/>
  <c r="G711" i="57" a="1"/>
  <c r="G711" i="57" s="1"/>
  <c r="F711" i="57" a="1"/>
  <c r="F711" i="57" s="1"/>
  <c r="G2160" i="57" a="1"/>
  <c r="G2160" i="57" s="1"/>
  <c r="F2160" i="57" a="1"/>
  <c r="F2160" i="57" s="1"/>
  <c r="G2418" i="57" a="1"/>
  <c r="G2418" i="57" s="1"/>
  <c r="F2418" i="57" a="1"/>
  <c r="F2418" i="57" s="1"/>
  <c r="G1909" i="57" a="1"/>
  <c r="G1909" i="57" s="1"/>
  <c r="F1909" i="57" a="1"/>
  <c r="F1909" i="57" s="1"/>
  <c r="G2173" i="57" a="1"/>
  <c r="G2173" i="57" s="1"/>
  <c r="F2173" i="57" a="1"/>
  <c r="F2173" i="57" s="1"/>
  <c r="G913" i="57" a="1"/>
  <c r="G913" i="57" s="1"/>
  <c r="F913" i="57" a="1"/>
  <c r="F913" i="57" s="1"/>
  <c r="G2269" i="57" a="1"/>
  <c r="G2269" i="57" s="1"/>
  <c r="F2269" i="57" a="1"/>
  <c r="F2269" i="57" s="1"/>
  <c r="G2080" i="57" a="1"/>
  <c r="G2080" i="57" s="1"/>
  <c r="F2080" i="57" a="1"/>
  <c r="F2080" i="57" s="1"/>
  <c r="G2296" i="57" a="1"/>
  <c r="G2296" i="57" s="1"/>
  <c r="F2296" i="57" a="1"/>
  <c r="F2296" i="57" s="1"/>
  <c r="G2039" i="57" a="1"/>
  <c r="G2039" i="57" s="1"/>
  <c r="F2039" i="57" a="1"/>
  <c r="F2039" i="57" s="1"/>
  <c r="G2255" i="57" a="1"/>
  <c r="G2255" i="57" s="1"/>
  <c r="F2255" i="57" a="1"/>
  <c r="F2255" i="57" s="1"/>
  <c r="G2012" i="57" a="1"/>
  <c r="G2012" i="57" s="1"/>
  <c r="F2012" i="57" a="1"/>
  <c r="F2012" i="57" s="1"/>
  <c r="G2228" i="57" a="1"/>
  <c r="G2228" i="57" s="1"/>
  <c r="F2228" i="57" a="1"/>
  <c r="F2228" i="57" s="1"/>
  <c r="G2444" i="57" a="1"/>
  <c r="G2444" i="57" s="1"/>
  <c r="F2444" i="57" a="1"/>
  <c r="F2444" i="57" s="1"/>
  <c r="G211" i="57" a="1"/>
  <c r="G211" i="57" s="1"/>
  <c r="F211" i="57" a="1"/>
  <c r="F211" i="57" s="1"/>
  <c r="G2477" i="57" a="1"/>
  <c r="G2477" i="57" s="1"/>
  <c r="F2477" i="57" a="1"/>
  <c r="F2477" i="57" s="1"/>
  <c r="G1614" i="57" a="1"/>
  <c r="G1614" i="57" s="1"/>
  <c r="F1614" i="57" a="1"/>
  <c r="F1614" i="57" s="1"/>
  <c r="G1830" i="57" a="1"/>
  <c r="G1830" i="57" s="1"/>
  <c r="F1830" i="57" a="1"/>
  <c r="F1830" i="57" s="1"/>
  <c r="G1555" i="57" a="1"/>
  <c r="G1555" i="57" s="1"/>
  <c r="F1555" i="57" a="1"/>
  <c r="F1555" i="57" s="1"/>
  <c r="G228" i="57" a="1"/>
  <c r="G228" i="57" s="1"/>
  <c r="F228" i="57" a="1"/>
  <c r="F228" i="57" s="1"/>
  <c r="G439" i="57" a="1"/>
  <c r="G439" i="57" s="1"/>
  <c r="F439" i="57" a="1"/>
  <c r="F439" i="57" s="1"/>
  <c r="G632" i="57" a="1"/>
  <c r="G632" i="57" s="1"/>
  <c r="F632" i="57" a="1"/>
  <c r="F632" i="57" s="1"/>
  <c r="G1424" i="57" a="1"/>
  <c r="G1424" i="57" s="1"/>
  <c r="F1424" i="57" a="1"/>
  <c r="F1424" i="57" s="1"/>
  <c r="G2100" i="57" a="1"/>
  <c r="G2100" i="57" s="1"/>
  <c r="F2100" i="57" a="1"/>
  <c r="F2100" i="57" s="1"/>
  <c r="G2316" i="57" a="1"/>
  <c r="G2316" i="57" s="1"/>
  <c r="F2316" i="57" a="1"/>
  <c r="F2316" i="57" s="1"/>
  <c r="G1759" i="57" a="1"/>
  <c r="G1759" i="57" s="1"/>
  <c r="F1759" i="57" a="1"/>
  <c r="F1759" i="57" s="1"/>
  <c r="G1975" i="57" a="1"/>
  <c r="G1975" i="57" s="1"/>
  <c r="F1975" i="57" a="1"/>
  <c r="F1975" i="57" s="1"/>
  <c r="G2191" i="57" a="1"/>
  <c r="G2191" i="57" s="1"/>
  <c r="F2191" i="57" a="1"/>
  <c r="F2191" i="57" s="1"/>
  <c r="G1206" i="57" a="1"/>
  <c r="G1206" i="57" s="1"/>
  <c r="F1206" i="57" a="1"/>
  <c r="F1206" i="57" s="1"/>
  <c r="G1183" i="57" a="1"/>
  <c r="G1183" i="57" s="1"/>
  <c r="F1183" i="57" a="1"/>
  <c r="F1183" i="57" s="1"/>
  <c r="G370" i="57" a="1"/>
  <c r="G370" i="57" s="1"/>
  <c r="F370" i="57" a="1"/>
  <c r="F370" i="57" s="1"/>
  <c r="G2257" i="57" a="1"/>
  <c r="G2257" i="57" s="1"/>
  <c r="F2257" i="57" a="1"/>
  <c r="F2257" i="57" s="1"/>
  <c r="G2473" i="57" a="1"/>
  <c r="G2473" i="57" s="1"/>
  <c r="F2473" i="57" a="1"/>
  <c r="F2473" i="57" s="1"/>
  <c r="G847" i="57" a="1"/>
  <c r="G847" i="57" s="1"/>
  <c r="F847" i="57" a="1"/>
  <c r="F847" i="57" s="1"/>
  <c r="G1243" i="57" a="1"/>
  <c r="G1243" i="57" s="1"/>
  <c r="F1243" i="57" a="1"/>
  <c r="F1243" i="57" s="1"/>
  <c r="G760" i="57" a="1"/>
  <c r="G760" i="57" s="1"/>
  <c r="F760" i="57" a="1"/>
  <c r="F760" i="57" s="1"/>
  <c r="G2299" i="57" a="1"/>
  <c r="G2299" i="57" s="1"/>
  <c r="F2299" i="57" a="1"/>
  <c r="F2299" i="57" s="1"/>
  <c r="G661" i="57" a="1"/>
  <c r="G661" i="57" s="1"/>
  <c r="F661" i="57" a="1"/>
  <c r="F661" i="57" s="1"/>
  <c r="G919" i="57" a="1"/>
  <c r="G919" i="57" s="1"/>
  <c r="F919" i="57" a="1"/>
  <c r="F919" i="57" s="1"/>
  <c r="G1321" i="57" a="1"/>
  <c r="G1321" i="57" s="1"/>
  <c r="F1321" i="57" a="1"/>
  <c r="F1321" i="57" s="1"/>
  <c r="G2449" i="57" a="1"/>
  <c r="G2449" i="57" s="1"/>
  <c r="F2449" i="57" a="1"/>
  <c r="F2449" i="57" s="1"/>
  <c r="G817" i="57" a="1"/>
  <c r="G817" i="57" s="1"/>
  <c r="F817" i="57" a="1"/>
  <c r="F817" i="57" s="1"/>
  <c r="G1201" i="57" a="1"/>
  <c r="G1201" i="57" s="1"/>
  <c r="F1201" i="57" a="1"/>
  <c r="F1201" i="57" s="1"/>
  <c r="G184" i="57" a="1"/>
  <c r="G184" i="57" s="1"/>
  <c r="F184" i="57" a="1"/>
  <c r="F184" i="57" s="1"/>
  <c r="G2239" i="57" a="1"/>
  <c r="G2239" i="57" s="1"/>
  <c r="F2239" i="57" a="1"/>
  <c r="F2239" i="57" s="1"/>
  <c r="G2455" i="57" a="1"/>
  <c r="G2455" i="57" s="1"/>
  <c r="F2455" i="57" a="1"/>
  <c r="F2455" i="57" s="1"/>
  <c r="G823" i="57" a="1"/>
  <c r="G823" i="57" s="1"/>
  <c r="F823" i="57" a="1"/>
  <c r="F823" i="57" s="1"/>
  <c r="G1213" i="57" a="1"/>
  <c r="G1213" i="57" s="1"/>
  <c r="F1213" i="57" a="1"/>
  <c r="F1213" i="57" s="1"/>
  <c r="G220" i="57" a="1"/>
  <c r="G220" i="57" s="1"/>
  <c r="F220" i="57" a="1"/>
  <c r="F220" i="57" s="1"/>
  <c r="G2245" i="57" a="1"/>
  <c r="G2245" i="57" s="1"/>
  <c r="F2245" i="57" a="1"/>
  <c r="F2245" i="57" s="1"/>
  <c r="G2461" i="57" a="1"/>
  <c r="G2461" i="57" s="1"/>
  <c r="F2461" i="57" a="1"/>
  <c r="F2461" i="57" s="1"/>
  <c r="G829" i="57" a="1"/>
  <c r="G829" i="57" s="1"/>
  <c r="F829" i="57" a="1"/>
  <c r="F829" i="57" s="1"/>
  <c r="G1225" i="57" a="1"/>
  <c r="G1225" i="57" s="1"/>
  <c r="F1225" i="57" a="1"/>
  <c r="F1225" i="57" s="1"/>
  <c r="G2221" i="57" a="1"/>
  <c r="G2221" i="57" s="1"/>
  <c r="F2221" i="57" a="1"/>
  <c r="F2221" i="57" s="1"/>
  <c r="G1410" i="57" a="1"/>
  <c r="G1410" i="57" s="1"/>
  <c r="F1410" i="57" a="1"/>
  <c r="F1410" i="57" s="1"/>
  <c r="G1249" i="57" a="1"/>
  <c r="G1249" i="57" s="1"/>
  <c r="F1249" i="57" a="1"/>
  <c r="F1249" i="57" s="1"/>
  <c r="G610" i="57" a="1"/>
  <c r="G610" i="57" s="1"/>
  <c r="F610" i="57" a="1"/>
  <c r="F610" i="57" s="1"/>
  <c r="G2287" i="57" a="1"/>
  <c r="G2287" i="57" s="1"/>
  <c r="F2287" i="57" a="1"/>
  <c r="F2287" i="57" s="1"/>
  <c r="G649" i="57" a="1"/>
  <c r="G649" i="57" s="1"/>
  <c r="F649" i="57" a="1"/>
  <c r="F649" i="57" s="1"/>
  <c r="G895" i="57" a="1"/>
  <c r="G895" i="57" s="1"/>
  <c r="F895" i="57" a="1"/>
  <c r="F895" i="57" s="1"/>
  <c r="G1297" i="57" a="1"/>
  <c r="G1297" i="57" s="1"/>
  <c r="F1297" i="57" a="1"/>
  <c r="F1297" i="57" s="1"/>
  <c r="G212" i="57" a="1"/>
  <c r="G212" i="57" s="1"/>
  <c r="F212" i="57" a="1"/>
  <c r="F212" i="57" s="1"/>
  <c r="G218" i="57" a="1"/>
  <c r="G218" i="57" s="1"/>
  <c r="F218" i="57" a="1"/>
  <c r="F218" i="57" s="1"/>
  <c r="G458" i="57" a="1"/>
  <c r="G458" i="57" s="1"/>
  <c r="F458" i="57" a="1"/>
  <c r="F458" i="57" s="1"/>
  <c r="G273" i="57" a="1"/>
  <c r="G273" i="57" s="1"/>
  <c r="F273" i="57" a="1"/>
  <c r="F273" i="57" s="1"/>
  <c r="G99" i="57" a="1"/>
  <c r="G99" i="57" s="1"/>
  <c r="F99" i="57" a="1"/>
  <c r="F99" i="57" s="1"/>
  <c r="G435" i="57" a="1"/>
  <c r="G435" i="57" s="1"/>
  <c r="F435" i="57" a="1"/>
  <c r="F435" i="57" s="1"/>
  <c r="G214" i="57" a="1"/>
  <c r="G214" i="57" s="1"/>
  <c r="F214" i="57" a="1"/>
  <c r="F214" i="57" s="1"/>
  <c r="G1455" i="57" a="1"/>
  <c r="G1455" i="57" s="1"/>
  <c r="F1455" i="57" a="1"/>
  <c r="F1455" i="57" s="1"/>
  <c r="G335" i="57" a="1"/>
  <c r="G335" i="57" s="1"/>
  <c r="F335" i="57" a="1"/>
  <c r="F335" i="57" s="1"/>
  <c r="G659" i="57" a="1"/>
  <c r="G659" i="57" s="1"/>
  <c r="F659" i="57" a="1"/>
  <c r="F659" i="57" s="1"/>
  <c r="G114" i="57" a="1"/>
  <c r="G114" i="57" s="1"/>
  <c r="F114" i="57" a="1"/>
  <c r="F114" i="57" s="1"/>
  <c r="G2483" i="57" a="1"/>
  <c r="G2483" i="57" s="1"/>
  <c r="F2483" i="57" a="1"/>
  <c r="F2483" i="57" s="1"/>
  <c r="G134" i="57" a="1"/>
  <c r="G134" i="57" s="1"/>
  <c r="F134" i="57" a="1"/>
  <c r="F134" i="57" s="1"/>
  <c r="G278" i="57" a="1"/>
  <c r="G278" i="57" s="1"/>
  <c r="F278" i="57" a="1"/>
  <c r="F278" i="57" s="1"/>
  <c r="G398" i="57" a="1"/>
  <c r="G398" i="57" s="1"/>
  <c r="F398" i="57" a="1"/>
  <c r="F398" i="57" s="1"/>
  <c r="G2496" i="57" a="1"/>
  <c r="G2496" i="57" s="1"/>
  <c r="F2496" i="57" a="1"/>
  <c r="F2496" i="57" s="1"/>
  <c r="G345" i="57" a="1"/>
  <c r="G345" i="57" s="1"/>
  <c r="F345" i="57" a="1"/>
  <c r="F345" i="57" s="1"/>
  <c r="G112" i="57" a="1"/>
  <c r="G112" i="57" s="1"/>
  <c r="F112" i="57" a="1"/>
  <c r="F112" i="57" s="1"/>
  <c r="G502" i="57" a="1"/>
  <c r="G502" i="57" s="1"/>
  <c r="F502" i="57" a="1"/>
  <c r="F502" i="57" s="1"/>
  <c r="G251" i="57" a="1"/>
  <c r="G251" i="57" s="1"/>
  <c r="F251" i="57" a="1"/>
  <c r="F251" i="57" s="1"/>
  <c r="G575" i="57" a="1"/>
  <c r="G575" i="57" s="1"/>
  <c r="F575" i="57" a="1"/>
  <c r="F575" i="57" s="1"/>
  <c r="F18" i="57" a="1"/>
  <c r="F18" i="57" s="1"/>
  <c r="G536" i="57" a="1"/>
  <c r="G536" i="57" s="1"/>
  <c r="F536" i="57" a="1"/>
  <c r="F536" i="57" s="1"/>
  <c r="G285" i="57" a="1"/>
  <c r="G285" i="57" s="1"/>
  <c r="F285" i="57" a="1"/>
  <c r="F285" i="57" s="1"/>
  <c r="G615" i="57" a="1"/>
  <c r="G615" i="57" s="1"/>
  <c r="F615" i="57" a="1"/>
  <c r="F615" i="57" s="1"/>
  <c r="G430" i="57" a="1"/>
  <c r="G430" i="57" s="1"/>
  <c r="F430" i="57" a="1"/>
  <c r="F430" i="57" s="1"/>
  <c r="G191" i="57" a="1"/>
  <c r="G191" i="57" s="1"/>
  <c r="F191" i="57" a="1"/>
  <c r="F191" i="57" s="1"/>
  <c r="G515" i="57" a="1"/>
  <c r="G515" i="57" s="1"/>
  <c r="F515" i="57" a="1"/>
  <c r="F515" i="57" s="1"/>
  <c r="G839" i="57" a="1"/>
  <c r="G839" i="57" s="1"/>
  <c r="F839" i="57" a="1"/>
  <c r="F839" i="57" s="1"/>
  <c r="G44" i="57" a="1"/>
  <c r="G44" i="57" s="1"/>
  <c r="F44" i="57" a="1"/>
  <c r="F44" i="57" s="1"/>
  <c r="G428" i="57" a="1"/>
  <c r="G428" i="57" s="1"/>
  <c r="F428" i="57" a="1"/>
  <c r="F428" i="57" s="1"/>
  <c r="G81" i="57" a="1"/>
  <c r="G81" i="57" s="1"/>
  <c r="F81" i="57" a="1"/>
  <c r="F81" i="57" s="1"/>
  <c r="G423" i="57" a="1"/>
  <c r="G423" i="57" s="1"/>
  <c r="F423" i="57" a="1"/>
  <c r="F423" i="57" s="1"/>
  <c r="G202" i="57" a="1"/>
  <c r="G202" i="57" s="1"/>
  <c r="F202" i="57" a="1"/>
  <c r="F202" i="57" s="1"/>
  <c r="G2492" i="57" a="1"/>
  <c r="G2492" i="57" s="1"/>
  <c r="F2492" i="57" a="1"/>
  <c r="F2492" i="57" s="1"/>
  <c r="G323" i="57" a="1"/>
  <c r="G323" i="57" s="1"/>
  <c r="F323" i="57" a="1"/>
  <c r="F323" i="57" s="1"/>
  <c r="G647" i="57" a="1"/>
  <c r="G647" i="57" s="1"/>
  <c r="F647" i="57" a="1"/>
  <c r="F647" i="57" s="1"/>
  <c r="G102" i="57" a="1"/>
  <c r="G102" i="57" s="1"/>
  <c r="F102" i="57" a="1"/>
  <c r="F102" i="57" s="1"/>
  <c r="G494" i="57" a="1"/>
  <c r="G494" i="57" s="1"/>
  <c r="F494" i="57" a="1"/>
  <c r="F494" i="57" s="1"/>
  <c r="G249" i="57" a="1"/>
  <c r="G249" i="57" s="1"/>
  <c r="F249" i="57" a="1"/>
  <c r="F249" i="57" s="1"/>
  <c r="G579" i="57" a="1"/>
  <c r="G579" i="57" s="1"/>
  <c r="F579" i="57" a="1"/>
  <c r="F579" i="57" s="1"/>
  <c r="G388" i="57" a="1"/>
  <c r="G388" i="57" s="1"/>
  <c r="F388" i="57" a="1"/>
  <c r="F388" i="57" s="1"/>
  <c r="G155" i="57" a="1"/>
  <c r="G155" i="57" s="1"/>
  <c r="F155" i="57" a="1"/>
  <c r="F155" i="57" s="1"/>
  <c r="G479" i="57" a="1"/>
  <c r="G479" i="57" s="1"/>
  <c r="F479" i="57" a="1"/>
  <c r="F479" i="57" s="1"/>
  <c r="G803" i="57" a="1"/>
  <c r="G803" i="57" s="1"/>
  <c r="F803" i="57" a="1"/>
  <c r="F803" i="57" s="1"/>
  <c r="G188" i="57" a="1"/>
  <c r="G188" i="57" s="1"/>
  <c r="F188" i="57" a="1"/>
  <c r="F188" i="57" s="1"/>
  <c r="G314" i="57" a="1"/>
  <c r="G314" i="57" s="1"/>
  <c r="F314" i="57" a="1"/>
  <c r="F314" i="57" s="1"/>
  <c r="G561" i="57" a="1"/>
  <c r="G561" i="57" s="1"/>
  <c r="F561" i="57" a="1"/>
  <c r="F561" i="57" s="1"/>
  <c r="G364" i="57" a="1"/>
  <c r="G364" i="57" s="1"/>
  <c r="F364" i="57" a="1"/>
  <c r="F364" i="57" s="1"/>
  <c r="G137" i="57" a="1"/>
  <c r="G137" i="57" s="1"/>
  <c r="F137" i="57" a="1"/>
  <c r="F137" i="57" s="1"/>
  <c r="G461" i="57" a="1"/>
  <c r="G461" i="57" s="1"/>
  <c r="F461" i="57" a="1"/>
  <c r="F461" i="57" s="1"/>
  <c r="G785" i="57" a="1"/>
  <c r="G785" i="57" s="1"/>
  <c r="F785" i="57" a="1"/>
  <c r="F785" i="57" s="1"/>
  <c r="G1451" i="57" a="1"/>
  <c r="G1451" i="57" s="1"/>
  <c r="F1451" i="57" a="1"/>
  <c r="F1451" i="57" s="1"/>
  <c r="G32" i="57" a="1"/>
  <c r="G32" i="57" s="1"/>
  <c r="F32" i="57" a="1"/>
  <c r="F32" i="57" s="1"/>
  <c r="G572" i="57" a="1"/>
  <c r="G572" i="57" s="1"/>
  <c r="F572" i="57" a="1"/>
  <c r="F572" i="57" s="1"/>
  <c r="G201" i="57" a="1"/>
  <c r="G201" i="57" s="1"/>
  <c r="F201" i="57" a="1"/>
  <c r="F201" i="57" s="1"/>
  <c r="G447" i="57" a="1"/>
  <c r="G447" i="57" s="1"/>
  <c r="F447" i="57" a="1"/>
  <c r="F447" i="57" s="1"/>
  <c r="G142" i="57" a="1"/>
  <c r="G142" i="57" s="1"/>
  <c r="F142" i="57" a="1"/>
  <c r="F142" i="57" s="1"/>
  <c r="G400" i="57" a="1"/>
  <c r="G400" i="57" s="1"/>
  <c r="F400" i="57" a="1"/>
  <c r="F400" i="57" s="1"/>
  <c r="G2510" i="57" a="1"/>
  <c r="G2510" i="57" s="1"/>
  <c r="F2510" i="57" a="1"/>
  <c r="F2510" i="57" s="1"/>
  <c r="G95" i="57" a="1"/>
  <c r="G95" i="57" s="1"/>
  <c r="F95" i="57" a="1"/>
  <c r="F95" i="57" s="1"/>
  <c r="G221" i="57" a="1"/>
  <c r="G221" i="57" s="1"/>
  <c r="F221" i="57" a="1"/>
  <c r="F221" i="57" s="1"/>
  <c r="G329" i="57" a="1"/>
  <c r="G329" i="57" s="1"/>
  <c r="F329" i="57" a="1"/>
  <c r="F329" i="57" s="1"/>
  <c r="G437" i="57" a="1"/>
  <c r="G437" i="57" s="1"/>
  <c r="F437" i="57" a="1"/>
  <c r="F437" i="57" s="1"/>
  <c r="G545" i="57" a="1"/>
  <c r="G545" i="57" s="1"/>
  <c r="F545" i="57" a="1"/>
  <c r="F545" i="57" s="1"/>
  <c r="G653" i="57" a="1"/>
  <c r="G653" i="57" s="1"/>
  <c r="F653" i="57" a="1"/>
  <c r="F653" i="57" s="1"/>
  <c r="G761" i="57" a="1"/>
  <c r="G761" i="57" s="1"/>
  <c r="F761" i="57" a="1"/>
  <c r="F761" i="57" s="1"/>
  <c r="G869" i="57" a="1"/>
  <c r="G869" i="57" s="1"/>
  <c r="F869" i="57" a="1"/>
  <c r="F869" i="57" s="1"/>
  <c r="G108" i="57" a="1"/>
  <c r="G108" i="57" s="1"/>
  <c r="F108" i="57" a="1"/>
  <c r="F108" i="57" s="1"/>
  <c r="G246" i="57" a="1"/>
  <c r="G246" i="57" s="1"/>
  <c r="F246" i="57" a="1"/>
  <c r="F246" i="57" s="1"/>
  <c r="G366" i="57" a="1"/>
  <c r="G366" i="57" s="1"/>
  <c r="F366" i="57" a="1"/>
  <c r="F366" i="57" s="1"/>
  <c r="G522" i="57" a="1"/>
  <c r="G522" i="57" s="1"/>
  <c r="F522" i="57" a="1"/>
  <c r="F522" i="57" s="1"/>
  <c r="G642" i="57" a="1"/>
  <c r="G642" i="57" s="1"/>
  <c r="F642" i="57" a="1"/>
  <c r="F642" i="57" s="1"/>
  <c r="G971" i="57" a="1"/>
  <c r="G971" i="57" s="1"/>
  <c r="F971" i="57" a="1"/>
  <c r="F971" i="57" s="1"/>
  <c r="G1079" i="57" a="1"/>
  <c r="G1079" i="57" s="1"/>
  <c r="F1079" i="57" a="1"/>
  <c r="F1079" i="57" s="1"/>
  <c r="G1187" i="57" a="1"/>
  <c r="G1187" i="57" s="1"/>
  <c r="F1187" i="57" a="1"/>
  <c r="F1187" i="57" s="1"/>
  <c r="G1295" i="57" a="1"/>
  <c r="G1295" i="57" s="1"/>
  <c r="F1295" i="57" a="1"/>
  <c r="F1295" i="57" s="1"/>
  <c r="G666" i="57" a="1"/>
  <c r="G666" i="57" s="1"/>
  <c r="F666" i="57" a="1"/>
  <c r="F666" i="57" s="1"/>
  <c r="G828" i="57" a="1"/>
  <c r="G828" i="57" s="1"/>
  <c r="F828" i="57" a="1"/>
  <c r="F828" i="57" s="1"/>
  <c r="G954" i="57" a="1"/>
  <c r="G954" i="57" s="1"/>
  <c r="F954" i="57" a="1"/>
  <c r="F954" i="57" s="1"/>
  <c r="G1080" i="57" a="1"/>
  <c r="G1080" i="57" s="1"/>
  <c r="F1080" i="57" a="1"/>
  <c r="F1080" i="57" s="1"/>
  <c r="G1218" i="57" a="1"/>
  <c r="G1218" i="57" s="1"/>
  <c r="F1218" i="57" a="1"/>
  <c r="F1218" i="57" s="1"/>
  <c r="G1350" i="57" a="1"/>
  <c r="G1350" i="57" s="1"/>
  <c r="F1350" i="57" a="1"/>
  <c r="F1350" i="57" s="1"/>
  <c r="G668" i="57" a="1"/>
  <c r="G668" i="57" s="1"/>
  <c r="F668" i="57" a="1"/>
  <c r="F668" i="57" s="1"/>
  <c r="G788" i="57" a="1"/>
  <c r="G788" i="57" s="1"/>
  <c r="F788" i="57" a="1"/>
  <c r="F788" i="57" s="1"/>
  <c r="G926" i="57" a="1"/>
  <c r="G926" i="57" s="1"/>
  <c r="F926" i="57" a="1"/>
  <c r="F926" i="57" s="1"/>
  <c r="G1088" i="57" a="1"/>
  <c r="G1088" i="57" s="1"/>
  <c r="F1088" i="57" a="1"/>
  <c r="F1088" i="57" s="1"/>
  <c r="G1250" i="57" a="1"/>
  <c r="G1250" i="57" s="1"/>
  <c r="F1250" i="57" a="1"/>
  <c r="F1250" i="57" s="1"/>
  <c r="G1412" i="57" a="1"/>
  <c r="G1412" i="57" s="1"/>
  <c r="F1412" i="57" a="1"/>
  <c r="F1412" i="57" s="1"/>
  <c r="G735" i="57" a="1"/>
  <c r="G735" i="57" s="1"/>
  <c r="F735" i="57" a="1"/>
  <c r="F735" i="57" s="1"/>
  <c r="G939" i="57" a="1"/>
  <c r="G939" i="57" s="1"/>
  <c r="F939" i="57" a="1"/>
  <c r="F939" i="57" s="1"/>
  <c r="G1269" i="57" a="1"/>
  <c r="G1269" i="57" s="1"/>
  <c r="F1269" i="57" a="1"/>
  <c r="F1269" i="57" s="1"/>
  <c r="G742" i="57" a="1"/>
  <c r="G742" i="57" s="1"/>
  <c r="F742" i="57" a="1"/>
  <c r="F742" i="57" s="1"/>
  <c r="G1114" i="57" a="1"/>
  <c r="G1114" i="57" s="1"/>
  <c r="F1114" i="57" a="1"/>
  <c r="F1114" i="57" s="1"/>
  <c r="G1391" i="57" a="1"/>
  <c r="G1391" i="57" s="1"/>
  <c r="F1391" i="57" a="1"/>
  <c r="F1391" i="57" s="1"/>
  <c r="G1713" i="57" a="1"/>
  <c r="G1713" i="57" s="1"/>
  <c r="F1713" i="57" a="1"/>
  <c r="F1713" i="57" s="1"/>
  <c r="G1528" i="57" a="1"/>
  <c r="G1528" i="57" s="1"/>
  <c r="F1528" i="57" a="1"/>
  <c r="F1528" i="57" s="1"/>
  <c r="G1840" i="57" a="1"/>
  <c r="G1840" i="57" s="1"/>
  <c r="F1840" i="57" a="1"/>
  <c r="F1840" i="57" s="1"/>
  <c r="G1763" i="57" a="1"/>
  <c r="G1763" i="57" s="1"/>
  <c r="F1763" i="57" a="1"/>
  <c r="F1763" i="57" s="1"/>
  <c r="G1778" i="57" a="1"/>
  <c r="G1778" i="57" s="1"/>
  <c r="F1778" i="57" a="1"/>
  <c r="F1778" i="57" s="1"/>
  <c r="G590" i="57" a="1"/>
  <c r="G590" i="57" s="1"/>
  <c r="F590" i="57" a="1"/>
  <c r="F590" i="57" s="1"/>
  <c r="G219" i="57" a="1"/>
  <c r="G219" i="57" s="1"/>
  <c r="F219" i="57" a="1"/>
  <c r="F219" i="57" s="1"/>
  <c r="G429" i="57" a="1"/>
  <c r="G429" i="57" s="1"/>
  <c r="F429" i="57" a="1"/>
  <c r="F429" i="57" s="1"/>
  <c r="G627" i="57" a="1"/>
  <c r="G627" i="57" s="1"/>
  <c r="F627" i="57" a="1"/>
  <c r="F627" i="57" s="1"/>
  <c r="G292" i="57" a="1"/>
  <c r="G292" i="57" s="1"/>
  <c r="F292" i="57" a="1"/>
  <c r="F292" i="57" s="1"/>
  <c r="G843" i="57" a="1"/>
  <c r="G843" i="57" s="1"/>
  <c r="F843" i="57" a="1"/>
  <c r="F843" i="57" s="1"/>
  <c r="G1179" i="57" a="1"/>
  <c r="G1179" i="57" s="1"/>
  <c r="F1179" i="57" a="1"/>
  <c r="F1179" i="57" s="1"/>
  <c r="G652" i="57" a="1"/>
  <c r="G652" i="57" s="1"/>
  <c r="F652" i="57" a="1"/>
  <c r="F652" i="57" s="1"/>
  <c r="G1018" i="57" a="1"/>
  <c r="G1018" i="57" s="1"/>
  <c r="F1018" i="57" a="1"/>
  <c r="F1018" i="57" s="1"/>
  <c r="G1390" i="57" a="1"/>
  <c r="G1390" i="57" s="1"/>
  <c r="F1390" i="57" a="1"/>
  <c r="F1390" i="57" s="1"/>
  <c r="G1623" i="57" a="1"/>
  <c r="G1623" i="57" s="1"/>
  <c r="F1623" i="57" a="1"/>
  <c r="F1623" i="57" s="1"/>
  <c r="G1929" i="57" a="1"/>
  <c r="G1929" i="57" s="1"/>
  <c r="F1929" i="57" a="1"/>
  <c r="F1929" i="57" s="1"/>
  <c r="G1744" i="57" a="1"/>
  <c r="G1744" i="57" s="1"/>
  <c r="F1744" i="57" a="1"/>
  <c r="F1744" i="57" s="1"/>
  <c r="G1619" i="57" a="1"/>
  <c r="G1619" i="57" s="1"/>
  <c r="F1619" i="57" a="1"/>
  <c r="F1619" i="57" s="1"/>
  <c r="G1634" i="57" a="1"/>
  <c r="G1634" i="57" s="1"/>
  <c r="F1634" i="57" a="1"/>
  <c r="F1634" i="57" s="1"/>
  <c r="G354" i="57" a="1"/>
  <c r="G354" i="57" s="1"/>
  <c r="F354" i="57" a="1"/>
  <c r="F354" i="57" s="1"/>
  <c r="G887" i="57" a="1"/>
  <c r="G887" i="57" s="1"/>
  <c r="F887" i="57" a="1"/>
  <c r="F887" i="57" s="1"/>
  <c r="G1085" i="57" a="1"/>
  <c r="G1085" i="57" s="1"/>
  <c r="F1085" i="57" a="1"/>
  <c r="F1085" i="57" s="1"/>
  <c r="G1193" i="57" a="1"/>
  <c r="G1193" i="57" s="1"/>
  <c r="F1193" i="57" a="1"/>
  <c r="F1193" i="57" s="1"/>
  <c r="G1301" i="57" a="1"/>
  <c r="G1301" i="57" s="1"/>
  <c r="F1301" i="57" a="1"/>
  <c r="F1301" i="57" s="1"/>
  <c r="G678" i="57" a="1"/>
  <c r="G678" i="57" s="1"/>
  <c r="F678" i="57" a="1"/>
  <c r="F678" i="57" s="1"/>
  <c r="G834" i="57" a="1"/>
  <c r="G834" i="57" s="1"/>
  <c r="F834" i="57" a="1"/>
  <c r="F834" i="57" s="1"/>
  <c r="G984" i="57" a="1"/>
  <c r="G984" i="57" s="1"/>
  <c r="F984" i="57" a="1"/>
  <c r="F984" i="57" s="1"/>
  <c r="G1122" i="57" a="1"/>
  <c r="G1122" i="57" s="1"/>
  <c r="F1122" i="57" a="1"/>
  <c r="F1122" i="57" s="1"/>
  <c r="G1248" i="57" a="1"/>
  <c r="G1248" i="57" s="1"/>
  <c r="F1248" i="57" a="1"/>
  <c r="F1248" i="57" s="1"/>
  <c r="G1386" i="57" a="1"/>
  <c r="G1386" i="57" s="1"/>
  <c r="F1386" i="57" a="1"/>
  <c r="F1386" i="57" s="1"/>
  <c r="G692" i="57" a="1"/>
  <c r="G692" i="57" s="1"/>
  <c r="F692" i="57" a="1"/>
  <c r="F692" i="57" s="1"/>
  <c r="G812" i="57" a="1"/>
  <c r="G812" i="57" s="1"/>
  <c r="F812" i="57" a="1"/>
  <c r="F812" i="57" s="1"/>
  <c r="G962" i="57" a="1"/>
  <c r="G962" i="57" s="1"/>
  <c r="F962" i="57" a="1"/>
  <c r="F962" i="57" s="1"/>
  <c r="G1124" i="57" a="1"/>
  <c r="G1124" i="57" s="1"/>
  <c r="F1124" i="57" a="1"/>
  <c r="F1124" i="57" s="1"/>
  <c r="G1286" i="57" a="1"/>
  <c r="G1286" i="57" s="1"/>
  <c r="F1286" i="57" a="1"/>
  <c r="F1286" i="57" s="1"/>
  <c r="G645" i="57" a="1"/>
  <c r="G645" i="57" s="1"/>
  <c r="F645" i="57" a="1"/>
  <c r="F645" i="57" s="1"/>
  <c r="G759" i="57" a="1"/>
  <c r="G759" i="57" s="1"/>
  <c r="F759" i="57" a="1"/>
  <c r="F759" i="57" s="1"/>
  <c r="G1011" i="57" a="1"/>
  <c r="G1011" i="57" s="1"/>
  <c r="F1011" i="57" a="1"/>
  <c r="F1011" i="57" s="1"/>
  <c r="G1347" i="57" a="1"/>
  <c r="G1347" i="57" s="1"/>
  <c r="F1347" i="57" a="1"/>
  <c r="F1347" i="57" s="1"/>
  <c r="G832" i="57" a="1"/>
  <c r="G832" i="57" s="1"/>
  <c r="F832" i="57" a="1"/>
  <c r="F832" i="57" s="1"/>
  <c r="G1198" i="57" a="1"/>
  <c r="G1198" i="57" s="1"/>
  <c r="F1198" i="57" a="1"/>
  <c r="F1198" i="57" s="1"/>
  <c r="G1479" i="57" a="1"/>
  <c r="G1479" i="57" s="1"/>
  <c r="F1479" i="57" a="1"/>
  <c r="F1479" i="57" s="1"/>
  <c r="G1785" i="57" a="1"/>
  <c r="G1785" i="57" s="1"/>
  <c r="F1785" i="57" a="1"/>
  <c r="F1785" i="57" s="1"/>
  <c r="G1594" i="57" a="1"/>
  <c r="G1594" i="57" s="1"/>
  <c r="F1594" i="57" a="1"/>
  <c r="F1594" i="57" s="1"/>
  <c r="G1906" i="57" a="1"/>
  <c r="G1906" i="57" s="1"/>
  <c r="F1906" i="57" a="1"/>
  <c r="F1906" i="57" s="1"/>
  <c r="G1883" i="57" a="1"/>
  <c r="G1883" i="57" s="1"/>
  <c r="F1883" i="57" a="1"/>
  <c r="F1883" i="57" s="1"/>
  <c r="G1904" i="57" a="1"/>
  <c r="G1904" i="57" s="1"/>
  <c r="F1904" i="57" a="1"/>
  <c r="F1904" i="57" s="1"/>
  <c r="G396" i="57" a="1"/>
  <c r="G396" i="57" s="1"/>
  <c r="F396" i="57" a="1"/>
  <c r="F396" i="57" s="1"/>
  <c r="G648" i="57" a="1"/>
  <c r="G648" i="57" s="1"/>
  <c r="F648" i="57" a="1"/>
  <c r="F648" i="57" s="1"/>
  <c r="G924" i="57" a="1"/>
  <c r="G924" i="57" s="1"/>
  <c r="F924" i="57" a="1"/>
  <c r="F924" i="57" s="1"/>
  <c r="G1143" i="57" a="1"/>
  <c r="G1143" i="57" s="1"/>
  <c r="F1143" i="57" a="1"/>
  <c r="F1143" i="57" s="1"/>
  <c r="G604" i="57" a="1"/>
  <c r="G604" i="57" s="1"/>
  <c r="F604" i="57" a="1"/>
  <c r="F604" i="57" s="1"/>
  <c r="G982" i="57" a="1"/>
  <c r="G982" i="57" s="1"/>
  <c r="F982" i="57" a="1"/>
  <c r="F982" i="57" s="1"/>
  <c r="G1342" i="57" a="1"/>
  <c r="G1342" i="57" s="1"/>
  <c r="F1342" i="57" a="1"/>
  <c r="F1342" i="57" s="1"/>
  <c r="G1587" i="57" a="1"/>
  <c r="G1587" i="57" s="1"/>
  <c r="F1587" i="57" a="1"/>
  <c r="F1587" i="57" s="1"/>
  <c r="G1905" i="57" a="1"/>
  <c r="G1905" i="57" s="1"/>
  <c r="F1905" i="57" a="1"/>
  <c r="F1905" i="57" s="1"/>
  <c r="G1708" i="57" a="1"/>
  <c r="G1708" i="57" s="1"/>
  <c r="F1708" i="57" a="1"/>
  <c r="F1708" i="57" s="1"/>
  <c r="G1547" i="57" a="1"/>
  <c r="G1547" i="57" s="1"/>
  <c r="F1547" i="57" a="1"/>
  <c r="F1547" i="57" s="1"/>
  <c r="G1562" i="57" a="1"/>
  <c r="G1562" i="57" s="1"/>
  <c r="F1562" i="57" a="1"/>
  <c r="F1562" i="57" s="1"/>
  <c r="G210" i="57" a="1"/>
  <c r="G210" i="57" s="1"/>
  <c r="F210" i="57" a="1"/>
  <c r="F210" i="57" s="1"/>
  <c r="G594" i="57" a="1"/>
  <c r="G594" i="57" s="1"/>
  <c r="F594" i="57" a="1"/>
  <c r="F594" i="57" s="1"/>
  <c r="G965" i="57" a="1"/>
  <c r="G965" i="57" s="1"/>
  <c r="F965" i="57" a="1"/>
  <c r="F965" i="57" s="1"/>
  <c r="G1091" i="57" a="1"/>
  <c r="G1091" i="57" s="1"/>
  <c r="F1091" i="57" a="1"/>
  <c r="F1091" i="57" s="1"/>
  <c r="G1199" i="57" a="1"/>
  <c r="G1199" i="57" s="1"/>
  <c r="F1199" i="57" a="1"/>
  <c r="F1199" i="57" s="1"/>
  <c r="G1313" i="57" a="1"/>
  <c r="G1313" i="57" s="1"/>
  <c r="F1313" i="57" a="1"/>
  <c r="F1313" i="57" s="1"/>
  <c r="G684" i="57" a="1"/>
  <c r="G684" i="57" s="1"/>
  <c r="F684" i="57" a="1"/>
  <c r="F684" i="57" s="1"/>
  <c r="G858" i="57" a="1"/>
  <c r="G858" i="57" s="1"/>
  <c r="F858" i="57" a="1"/>
  <c r="F858" i="57" s="1"/>
  <c r="G996" i="57" a="1"/>
  <c r="G996" i="57" s="1"/>
  <c r="F996" i="57" a="1"/>
  <c r="F996" i="57" s="1"/>
  <c r="G1128" i="57" a="1"/>
  <c r="G1128" i="57" s="1"/>
  <c r="F1128" i="57" a="1"/>
  <c r="F1128" i="57" s="1"/>
  <c r="G1254" i="57" a="1"/>
  <c r="G1254" i="57" s="1"/>
  <c r="F1254" i="57" a="1"/>
  <c r="F1254" i="57" s="1"/>
  <c r="G1392" i="57" a="1"/>
  <c r="G1392" i="57" s="1"/>
  <c r="F1392" i="57" a="1"/>
  <c r="F1392" i="57" s="1"/>
  <c r="G698" i="57" a="1"/>
  <c r="G698" i="57" s="1"/>
  <c r="F698" i="57" a="1"/>
  <c r="F698" i="57" s="1"/>
  <c r="G818" i="57" a="1"/>
  <c r="G818" i="57" s="1"/>
  <c r="F818" i="57" a="1"/>
  <c r="F818" i="57" s="1"/>
  <c r="G968" i="57" a="1"/>
  <c r="G968" i="57" s="1"/>
  <c r="F968" i="57" a="1"/>
  <c r="F968" i="57" s="1"/>
  <c r="G1130" i="57" a="1"/>
  <c r="G1130" i="57" s="1"/>
  <c r="F1130" i="57" a="1"/>
  <c r="F1130" i="57" s="1"/>
  <c r="G1292" i="57" a="1"/>
  <c r="G1292" i="57" s="1"/>
  <c r="F1292" i="57" a="1"/>
  <c r="F1292" i="57" s="1"/>
  <c r="G651" i="57" a="1"/>
  <c r="G651" i="57" s="1"/>
  <c r="F651" i="57" a="1"/>
  <c r="F651" i="57" s="1"/>
  <c r="G765" i="57" a="1"/>
  <c r="G765" i="57" s="1"/>
  <c r="F765" i="57" a="1"/>
  <c r="F765" i="57" s="1"/>
  <c r="G1017" i="57" a="1"/>
  <c r="G1017" i="57" s="1"/>
  <c r="F1017" i="57" a="1"/>
  <c r="F1017" i="57" s="1"/>
  <c r="G1359" i="57" a="1"/>
  <c r="G1359" i="57" s="1"/>
  <c r="F1359" i="57" a="1"/>
  <c r="F1359" i="57" s="1"/>
  <c r="G838" i="57" a="1"/>
  <c r="G838" i="57" s="1"/>
  <c r="F838" i="57" a="1"/>
  <c r="F838" i="57" s="1"/>
  <c r="G1204" i="57" a="1"/>
  <c r="G1204" i="57" s="1"/>
  <c r="F1204" i="57" a="1"/>
  <c r="F1204" i="57" s="1"/>
  <c r="G1491" i="57" a="1"/>
  <c r="G1491" i="57" s="1"/>
  <c r="F1491" i="57" a="1"/>
  <c r="F1491" i="57" s="1"/>
  <c r="G1803" i="57" a="1"/>
  <c r="G1803" i="57" s="1"/>
  <c r="F1803" i="57" a="1"/>
  <c r="F1803" i="57" s="1"/>
  <c r="G1618" i="57" a="1"/>
  <c r="G1618" i="57" s="1"/>
  <c r="F1618" i="57" a="1"/>
  <c r="F1618" i="57" s="1"/>
  <c r="G1924" i="57" a="1"/>
  <c r="G1924" i="57" s="1"/>
  <c r="F1924" i="57" a="1"/>
  <c r="F1924" i="57" s="1"/>
  <c r="G1919" i="57" a="1"/>
  <c r="G1919" i="57" s="1"/>
  <c r="F1919" i="57" a="1"/>
  <c r="F1919" i="57" s="1"/>
  <c r="G1940" i="57" a="1"/>
  <c r="G1940" i="57" s="1"/>
  <c r="F1940" i="57" a="1"/>
  <c r="F1940" i="57" s="1"/>
  <c r="G300" i="57" a="1"/>
  <c r="G300" i="57" s="1"/>
  <c r="F300" i="57" a="1"/>
  <c r="F300" i="57" s="1"/>
  <c r="G516" i="57" a="1"/>
  <c r="G516" i="57" s="1"/>
  <c r="F516" i="57" a="1"/>
  <c r="F516" i="57" s="1"/>
  <c r="G840" i="57" a="1"/>
  <c r="G840" i="57" s="1"/>
  <c r="F840" i="57" a="1"/>
  <c r="F840" i="57" s="1"/>
  <c r="G1107" i="57" a="1"/>
  <c r="G1107" i="57" s="1"/>
  <c r="F1107" i="57" a="1"/>
  <c r="F1107" i="57" s="1"/>
  <c r="G562" i="57" a="1"/>
  <c r="G562" i="57" s="1"/>
  <c r="F562" i="57" a="1"/>
  <c r="F562" i="57" s="1"/>
  <c r="G946" i="57" a="1"/>
  <c r="G946" i="57" s="1"/>
  <c r="F946" i="57" a="1"/>
  <c r="F946" i="57" s="1"/>
  <c r="G1300" i="57" a="1"/>
  <c r="G1300" i="57" s="1"/>
  <c r="F1300" i="57" a="1"/>
  <c r="F1300" i="57" s="1"/>
  <c r="G1557" i="57" a="1"/>
  <c r="G1557" i="57" s="1"/>
  <c r="F1557" i="57" a="1"/>
  <c r="F1557" i="57" s="1"/>
  <c r="G1869" i="57" a="1"/>
  <c r="G1869" i="57" s="1"/>
  <c r="F1869" i="57" a="1"/>
  <c r="F1869" i="57" s="1"/>
  <c r="G1672" i="57" a="1"/>
  <c r="G1672" i="57" s="1"/>
  <c r="F1672" i="57" a="1"/>
  <c r="F1672" i="57" s="1"/>
  <c r="G1499" i="57" a="1"/>
  <c r="G1499" i="57" s="1"/>
  <c r="F1499" i="57" a="1"/>
  <c r="F1499" i="57" s="1"/>
  <c r="G1514" i="57" a="1"/>
  <c r="G1514" i="57" s="1"/>
  <c r="F1514" i="57" a="1"/>
  <c r="F1514" i="57" s="1"/>
  <c r="G2043" i="57" a="1"/>
  <c r="G2043" i="57" s="1"/>
  <c r="F2043" i="57" a="1"/>
  <c r="F2043" i="57" s="1"/>
  <c r="G933" i="57" a="1"/>
  <c r="G933" i="57" s="1"/>
  <c r="F933" i="57" a="1"/>
  <c r="F933" i="57" s="1"/>
  <c r="G1041" i="57" a="1"/>
  <c r="G1041" i="57" s="1"/>
  <c r="F1041" i="57" a="1"/>
  <c r="F1041" i="57" s="1"/>
  <c r="G1149" i="57" a="1"/>
  <c r="G1149" i="57" s="1"/>
  <c r="F1149" i="57" a="1"/>
  <c r="F1149" i="57" s="1"/>
  <c r="G1263" i="57" a="1"/>
  <c r="G1263" i="57" s="1"/>
  <c r="F1263" i="57" a="1"/>
  <c r="F1263" i="57" s="1"/>
  <c r="G1383" i="57" a="1"/>
  <c r="G1383" i="57" s="1"/>
  <c r="F1383" i="57" a="1"/>
  <c r="F1383" i="57" s="1"/>
  <c r="G616" i="57" a="1"/>
  <c r="G616" i="57" s="1"/>
  <c r="F616" i="57" a="1"/>
  <c r="F616" i="57" s="1"/>
  <c r="G736" i="57" a="1"/>
  <c r="G736" i="57" s="1"/>
  <c r="F736" i="57" a="1"/>
  <c r="F736" i="57" s="1"/>
  <c r="G862" i="57" a="1"/>
  <c r="G862" i="57" s="1"/>
  <c r="F862" i="57" a="1"/>
  <c r="F862" i="57" s="1"/>
  <c r="G988" i="57" a="1"/>
  <c r="G988" i="57" s="1"/>
  <c r="F988" i="57" a="1"/>
  <c r="F988" i="57" s="1"/>
  <c r="G1108" i="57" a="1"/>
  <c r="G1108" i="57" s="1"/>
  <c r="F1108" i="57" a="1"/>
  <c r="F1108" i="57" s="1"/>
  <c r="G1228" i="57" a="1"/>
  <c r="G1228" i="57" s="1"/>
  <c r="F1228" i="57" a="1"/>
  <c r="F1228" i="57" s="1"/>
  <c r="G1354" i="57" a="1"/>
  <c r="G1354" i="57" s="1"/>
  <c r="F1354" i="57" a="1"/>
  <c r="F1354" i="57" s="1"/>
  <c r="G1379" i="57" a="1"/>
  <c r="G1379" i="57" s="1"/>
  <c r="F1379" i="57" a="1"/>
  <c r="F1379" i="57" s="1"/>
  <c r="G1551" i="57" a="1"/>
  <c r="G1551" i="57" s="1"/>
  <c r="F1551" i="57" a="1"/>
  <c r="F1551" i="57" s="1"/>
  <c r="G1809" i="57" a="1"/>
  <c r="G1809" i="57" s="1"/>
  <c r="F1809" i="57" a="1"/>
  <c r="F1809" i="57" s="1"/>
  <c r="G1564" i="57" a="1"/>
  <c r="G1564" i="57" s="1"/>
  <c r="F1564" i="57" a="1"/>
  <c r="F1564" i="57" s="1"/>
  <c r="G1822" i="57" a="1"/>
  <c r="G1822" i="57" s="1"/>
  <c r="F1822" i="57" a="1"/>
  <c r="F1822" i="57" s="1"/>
  <c r="G1571" i="57" a="1"/>
  <c r="G1571" i="57" s="1"/>
  <c r="F1571" i="57" a="1"/>
  <c r="F1571" i="57" s="1"/>
  <c r="G1829" i="57" a="1"/>
  <c r="G1829" i="57" s="1"/>
  <c r="F1829" i="57" a="1"/>
  <c r="F1829" i="57" s="1"/>
  <c r="G1586" i="57" a="1"/>
  <c r="G1586" i="57" s="1"/>
  <c r="F1586" i="57" a="1"/>
  <c r="F1586" i="57" s="1"/>
  <c r="G1844" i="57" a="1"/>
  <c r="G1844" i="57" s="1"/>
  <c r="F1844" i="57" a="1"/>
  <c r="F1844" i="57" s="1"/>
  <c r="G2103" i="57" a="1"/>
  <c r="G2103" i="57" s="1"/>
  <c r="F2103" i="57" a="1"/>
  <c r="F2103" i="57" s="1"/>
  <c r="G2367" i="57" a="1"/>
  <c r="G2367" i="57" s="1"/>
  <c r="F2367" i="57" a="1"/>
  <c r="F2367" i="57" s="1"/>
  <c r="G2164" i="57" a="1"/>
  <c r="G2164" i="57" s="1"/>
  <c r="F2164" i="57" a="1"/>
  <c r="F2164" i="57" s="1"/>
  <c r="G1997" i="57" a="1"/>
  <c r="G1997" i="57" s="1"/>
  <c r="F1997" i="57" a="1"/>
  <c r="F1997" i="57" s="1"/>
  <c r="G2309" i="57" a="1"/>
  <c r="G2309" i="57" s="1"/>
  <c r="F2309" i="57" a="1"/>
  <c r="F2309" i="57" s="1"/>
  <c r="G2162" i="57" a="1"/>
  <c r="G2162" i="57" s="1"/>
  <c r="F2162" i="57" a="1"/>
  <c r="F2162" i="57" s="1"/>
  <c r="G73" i="57" a="1"/>
  <c r="G73" i="57" s="1"/>
  <c r="F73" i="57" a="1"/>
  <c r="F73" i="57" s="1"/>
  <c r="G93" i="57" a="1"/>
  <c r="G93" i="57" s="1"/>
  <c r="F93" i="57" a="1"/>
  <c r="F93" i="57" s="1"/>
  <c r="G1914" i="57" a="1"/>
  <c r="G1914" i="57" s="1"/>
  <c r="F1914" i="57" a="1"/>
  <c r="F1914" i="57" s="1"/>
  <c r="G2442" i="57" a="1"/>
  <c r="G2442" i="57" s="1"/>
  <c r="F2442" i="57" a="1"/>
  <c r="F2442" i="57" s="1"/>
  <c r="G2115" i="57" a="1"/>
  <c r="G2115" i="57" s="1"/>
  <c r="F2115" i="57" a="1"/>
  <c r="F2115" i="57" s="1"/>
  <c r="G2373" i="57" a="1"/>
  <c r="G2373" i="57" s="1"/>
  <c r="F2373" i="57" a="1"/>
  <c r="F2373" i="57" s="1"/>
  <c r="G2170" i="57" a="1"/>
  <c r="G2170" i="57" s="1"/>
  <c r="F2170" i="57" a="1"/>
  <c r="F2170" i="57" s="1"/>
  <c r="G2009" i="57" a="1"/>
  <c r="G2009" i="57" s="1"/>
  <c r="F2009" i="57" a="1"/>
  <c r="F2009" i="57" s="1"/>
  <c r="G2315" i="57" a="1"/>
  <c r="G2315" i="57" s="1"/>
  <c r="F2315" i="57" a="1"/>
  <c r="F2315" i="57" s="1"/>
  <c r="G2174" i="57" a="1"/>
  <c r="G2174" i="57" s="1"/>
  <c r="F2174" i="57" a="1"/>
  <c r="F2174" i="57" s="1"/>
  <c r="G79" i="57" a="1"/>
  <c r="G79" i="57" s="1"/>
  <c r="F79" i="57" a="1"/>
  <c r="F79" i="57" s="1"/>
  <c r="G2497" i="57" a="1"/>
  <c r="G2497" i="57" s="1"/>
  <c r="F2497" i="57" a="1"/>
  <c r="F2497" i="57" s="1"/>
  <c r="G1465" i="57" a="1"/>
  <c r="G1465" i="57" s="1"/>
  <c r="F1465" i="57" a="1"/>
  <c r="F1465" i="57" s="1"/>
  <c r="G2163" i="57" a="1"/>
  <c r="G2163" i="57" s="1"/>
  <c r="F2163" i="57" a="1"/>
  <c r="F2163" i="57" s="1"/>
  <c r="G2427" i="57" a="1"/>
  <c r="G2427" i="57" s="1"/>
  <c r="F2427" i="57" a="1"/>
  <c r="F2427" i="57" s="1"/>
  <c r="G2230" i="57" a="1"/>
  <c r="G2230" i="57" s="1"/>
  <c r="F2230" i="57" a="1"/>
  <c r="F2230" i="57" s="1"/>
  <c r="G2069" i="57" a="1"/>
  <c r="G2069" i="57" s="1"/>
  <c r="F2069" i="57" a="1"/>
  <c r="F2069" i="57" s="1"/>
  <c r="G2381" i="57" a="1"/>
  <c r="G2381" i="57" s="1"/>
  <c r="F2381" i="57" a="1"/>
  <c r="F2381" i="57" s="1"/>
  <c r="G2234" i="57" a="1"/>
  <c r="G2234" i="57" s="1"/>
  <c r="F2234" i="57" a="1"/>
  <c r="F2234" i="57" s="1"/>
  <c r="G157" i="57" a="1"/>
  <c r="G157" i="57" s="1"/>
  <c r="F157" i="57" a="1"/>
  <c r="F157" i="57" s="1"/>
  <c r="G1518" i="57" a="1"/>
  <c r="G1518" i="57" s="1"/>
  <c r="F1518" i="57" a="1"/>
  <c r="F1518" i="57" s="1"/>
  <c r="G216" i="57" a="1"/>
  <c r="G216" i="57" s="1"/>
  <c r="F216" i="57" a="1"/>
  <c r="F216" i="57" s="1"/>
  <c r="G2017" i="57" a="1"/>
  <c r="G2017" i="57" s="1"/>
  <c r="F2017" i="57" a="1"/>
  <c r="F2017" i="57" s="1"/>
  <c r="G2211" i="57" a="1"/>
  <c r="G2211" i="57" s="1"/>
  <c r="F2211" i="57" a="1"/>
  <c r="F2211" i="57" s="1"/>
  <c r="G1984" i="57" a="1"/>
  <c r="G1984" i="57" s="1"/>
  <c r="F1984" i="57" a="1"/>
  <c r="F1984" i="57" s="1"/>
  <c r="G2290" i="57" a="1"/>
  <c r="G2290" i="57" s="1"/>
  <c r="F2290" i="57" a="1"/>
  <c r="F2290" i="57" s="1"/>
  <c r="G2129" i="57" a="1"/>
  <c r="G2129" i="57" s="1"/>
  <c r="F2129" i="57" a="1"/>
  <c r="F2129" i="57" s="1"/>
  <c r="G1982" i="57" a="1"/>
  <c r="G1982" i="57" s="1"/>
  <c r="F1982" i="57" a="1"/>
  <c r="F1982" i="57" s="1"/>
  <c r="G2288" i="57" a="1"/>
  <c r="G2288" i="57" s="1"/>
  <c r="F2288" i="57" a="1"/>
  <c r="F2288" i="57" s="1"/>
  <c r="G223" i="57" a="1"/>
  <c r="G223" i="57" s="1"/>
  <c r="F223" i="57" a="1"/>
  <c r="F223" i="57" s="1"/>
  <c r="G1584" i="57" a="1"/>
  <c r="G1584" i="57" s="1"/>
  <c r="F1584" i="57" a="1"/>
  <c r="F1584" i="57" s="1"/>
  <c r="G523" i="57" a="1"/>
  <c r="G523" i="57" s="1"/>
  <c r="F523" i="57" a="1"/>
  <c r="F523" i="57" s="1"/>
  <c r="G900" i="57" a="1"/>
  <c r="G900" i="57" s="1"/>
  <c r="F900" i="57" a="1"/>
  <c r="F900" i="57" s="1"/>
  <c r="G1643" i="57" a="1"/>
  <c r="G1643" i="57" s="1"/>
  <c r="F1643" i="57" a="1"/>
  <c r="F1643" i="57" s="1"/>
  <c r="G1901" i="57" a="1"/>
  <c r="G1901" i="57" s="1"/>
  <c r="F1901" i="57" a="1"/>
  <c r="F1901" i="57" s="1"/>
  <c r="G1658" i="57" a="1"/>
  <c r="G1658" i="57" s="1"/>
  <c r="F1658" i="57" a="1"/>
  <c r="F1658" i="57" s="1"/>
  <c r="G1916" i="57" a="1"/>
  <c r="G1916" i="57" s="1"/>
  <c r="F1916" i="57" a="1"/>
  <c r="F1916" i="57" s="1"/>
  <c r="G2175" i="57" a="1"/>
  <c r="G2175" i="57" s="1"/>
  <c r="F2175" i="57" a="1"/>
  <c r="F2175" i="57" s="1"/>
  <c r="G2451" i="57" a="1"/>
  <c r="G2451" i="57" s="1"/>
  <c r="F2451" i="57" a="1"/>
  <c r="F2451" i="57" s="1"/>
  <c r="G2248" i="57" a="1"/>
  <c r="G2248" i="57" s="1"/>
  <c r="F2248" i="57" a="1"/>
  <c r="F2248" i="57" s="1"/>
  <c r="G2087" i="57" a="1"/>
  <c r="G2087" i="57" s="1"/>
  <c r="F2087" i="57" a="1"/>
  <c r="F2087" i="57" s="1"/>
  <c r="G2393" i="57" a="1"/>
  <c r="G2393" i="57" s="1"/>
  <c r="F2393" i="57" a="1"/>
  <c r="F2393" i="57" s="1"/>
  <c r="G2246" i="57" a="1"/>
  <c r="G2246" i="57" s="1"/>
  <c r="F2246" i="57" a="1"/>
  <c r="F2246" i="57" s="1"/>
  <c r="G169" i="57" a="1"/>
  <c r="G169" i="57" s="1"/>
  <c r="F169" i="57" a="1"/>
  <c r="F169" i="57" s="1"/>
  <c r="G1530" i="57" a="1"/>
  <c r="G1530" i="57" s="1"/>
  <c r="F1530" i="57" a="1"/>
  <c r="F1530" i="57" s="1"/>
  <c r="G307" i="57" a="1"/>
  <c r="G307" i="57" s="1"/>
  <c r="F307" i="57" a="1"/>
  <c r="F307" i="57" s="1"/>
  <c r="G2101" i="57" a="1"/>
  <c r="G2101" i="57" s="1"/>
  <c r="F2101" i="57" a="1"/>
  <c r="F2101" i="57" s="1"/>
  <c r="G1559" i="57" a="1"/>
  <c r="G1559" i="57" s="1"/>
  <c r="F1559" i="57" a="1"/>
  <c r="F1559" i="57" s="1"/>
  <c r="G1823" i="57" a="1"/>
  <c r="G1823" i="57" s="1"/>
  <c r="F1823" i="57" a="1"/>
  <c r="F1823" i="57" s="1"/>
  <c r="G1580" i="57" a="1"/>
  <c r="G1580" i="57" s="1"/>
  <c r="F1580" i="57" a="1"/>
  <c r="F1580" i="57" s="1"/>
  <c r="G1838" i="57" a="1"/>
  <c r="G1838" i="57" s="1"/>
  <c r="F1838" i="57" a="1"/>
  <c r="F1838" i="57" s="1"/>
  <c r="G2097" i="57" a="1"/>
  <c r="G2097" i="57" s="1"/>
  <c r="F2097" i="57" a="1"/>
  <c r="F2097" i="57" s="1"/>
  <c r="G2355" i="57" a="1"/>
  <c r="G2355" i="57" s="1"/>
  <c r="F2355" i="57" a="1"/>
  <c r="F2355" i="57" s="1"/>
  <c r="G2158" i="57" a="1"/>
  <c r="G2158" i="57" s="1"/>
  <c r="F2158" i="57" a="1"/>
  <c r="F2158" i="57" s="1"/>
  <c r="G1991" i="57" a="1"/>
  <c r="G1991" i="57" s="1"/>
  <c r="F1991" i="57" a="1"/>
  <c r="F1991" i="57" s="1"/>
  <c r="G2303" i="57" a="1"/>
  <c r="G2303" i="57" s="1"/>
  <c r="F2303" i="57" a="1"/>
  <c r="F2303" i="57" s="1"/>
  <c r="G2150" i="57" a="1"/>
  <c r="G2150" i="57" s="1"/>
  <c r="F2150" i="57" a="1"/>
  <c r="F2150" i="57" s="1"/>
  <c r="G43" i="57" a="1"/>
  <c r="G43" i="57" s="1"/>
  <c r="F43" i="57" a="1"/>
  <c r="F43" i="57" s="1"/>
  <c r="G45" i="57" a="1"/>
  <c r="G45" i="57" s="1"/>
  <c r="F45" i="57" a="1"/>
  <c r="F45" i="57" s="1"/>
  <c r="G1872" i="57" a="1"/>
  <c r="G1872" i="57" s="1"/>
  <c r="F1872" i="57" a="1"/>
  <c r="F1872" i="57" s="1"/>
  <c r="G2400" i="57" a="1"/>
  <c r="G2400" i="57" s="1"/>
  <c r="F2400" i="57" a="1"/>
  <c r="F2400" i="57" s="1"/>
  <c r="G1503" i="57" a="1"/>
  <c r="G1503" i="57" s="1"/>
  <c r="F1503" i="57" a="1"/>
  <c r="F1503" i="57" s="1"/>
  <c r="G1719" i="57" a="1"/>
  <c r="G1719" i="57" s="1"/>
  <c r="F1719" i="57" a="1"/>
  <c r="F1719" i="57" s="1"/>
  <c r="G1935" i="57" a="1"/>
  <c r="G1935" i="57" s="1"/>
  <c r="F1935" i="57" a="1"/>
  <c r="F1935" i="57" s="1"/>
  <c r="G1648" i="57" a="1"/>
  <c r="G1648" i="57" s="1"/>
  <c r="F1648" i="57" a="1"/>
  <c r="F1648" i="57" s="1"/>
  <c r="G1864" i="57" a="1"/>
  <c r="G1864" i="57" s="1"/>
  <c r="F1864" i="57" a="1"/>
  <c r="F1864" i="57" s="1"/>
  <c r="G1565" i="57" a="1"/>
  <c r="G1565" i="57" s="1"/>
  <c r="F1565" i="57" a="1"/>
  <c r="F1565" i="57" s="1"/>
  <c r="G1781" i="57" a="1"/>
  <c r="G1781" i="57" s="1"/>
  <c r="F1781" i="57" a="1"/>
  <c r="F1781" i="57" s="1"/>
  <c r="G1496" i="57" a="1"/>
  <c r="G1496" i="57" s="1"/>
  <c r="F1496" i="57" a="1"/>
  <c r="F1496" i="57" s="1"/>
  <c r="G1712" i="57" a="1"/>
  <c r="G1712" i="57" s="1"/>
  <c r="F1712" i="57" a="1"/>
  <c r="F1712" i="57" s="1"/>
  <c r="G1928" i="57" a="1"/>
  <c r="G1928" i="57" s="1"/>
  <c r="F1928" i="57" a="1"/>
  <c r="F1928" i="57" s="1"/>
  <c r="G2145" i="57" a="1"/>
  <c r="G2145" i="57" s="1"/>
  <c r="F2145" i="57" a="1"/>
  <c r="F2145" i="57" s="1"/>
  <c r="G2361" i="57" a="1"/>
  <c r="G2361" i="57" s="1"/>
  <c r="F2361" i="57" a="1"/>
  <c r="F2361" i="57" s="1"/>
  <c r="G2104" i="57" a="1"/>
  <c r="G2104" i="57" s="1"/>
  <c r="F2104" i="57" a="1"/>
  <c r="F2104" i="57" s="1"/>
  <c r="G2362" i="57" a="1"/>
  <c r="G2362" i="57" s="1"/>
  <c r="F2362" i="57" a="1"/>
  <c r="F2362" i="57" s="1"/>
  <c r="G2153" i="57" a="1"/>
  <c r="G2153" i="57" s="1"/>
  <c r="F2153" i="57" a="1"/>
  <c r="F2153" i="57" s="1"/>
  <c r="G2411" i="57" a="1"/>
  <c r="G2411" i="57" s="1"/>
  <c r="F2411" i="57" a="1"/>
  <c r="F2411" i="57" s="1"/>
  <c r="G2210" i="57" a="1"/>
  <c r="G2210" i="57" s="1"/>
  <c r="F2210" i="57" a="1"/>
  <c r="F2210" i="57" s="1"/>
  <c r="G2469" i="57" a="1"/>
  <c r="G2469" i="57" s="1"/>
  <c r="F2469" i="57" a="1"/>
  <c r="F2469" i="57" s="1"/>
  <c r="G2470" i="57" a="1"/>
  <c r="G2470" i="57" s="1"/>
  <c r="F2470" i="57" a="1"/>
  <c r="F2470" i="57" s="1"/>
  <c r="G1512" i="57" a="1"/>
  <c r="G1512" i="57" s="1"/>
  <c r="F1512" i="57" a="1"/>
  <c r="F1512" i="57" s="1"/>
  <c r="G1770" i="57" a="1"/>
  <c r="G1770" i="57" s="1"/>
  <c r="F1770" i="57" a="1"/>
  <c r="F1770" i="57" s="1"/>
  <c r="G1537" i="57" a="1"/>
  <c r="G1537" i="57" s="1"/>
  <c r="F1537" i="57" a="1"/>
  <c r="F1537" i="57" s="1"/>
  <c r="G247" i="57" a="1"/>
  <c r="G247" i="57" s="1"/>
  <c r="F247" i="57" a="1"/>
  <c r="F247" i="57" s="1"/>
  <c r="G505" i="57" a="1"/>
  <c r="G505" i="57" s="1"/>
  <c r="F505" i="57" a="1"/>
  <c r="F505" i="57" s="1"/>
  <c r="G1118" i="57" a="1"/>
  <c r="G1118" i="57" s="1"/>
  <c r="F1118" i="57" a="1"/>
  <c r="F1118" i="57" s="1"/>
  <c r="G2040" i="57" a="1"/>
  <c r="G2040" i="57" s="1"/>
  <c r="F2040" i="57" a="1"/>
  <c r="F2040" i="57" s="1"/>
  <c r="G2298" i="57" a="1"/>
  <c r="G2298" i="57" s="1"/>
  <c r="F2298" i="57" a="1"/>
  <c r="F2298" i="57" s="1"/>
  <c r="G1783" i="57" a="1"/>
  <c r="G1783" i="57" s="1"/>
  <c r="F1783" i="57" a="1"/>
  <c r="F1783" i="57" s="1"/>
  <c r="G2041" i="57" a="1"/>
  <c r="G2041" i="57" s="1"/>
  <c r="F2041" i="57" a="1"/>
  <c r="F2041" i="57" s="1"/>
  <c r="G870" i="57" a="1"/>
  <c r="G870" i="57" s="1"/>
  <c r="F870" i="57" a="1"/>
  <c r="F870" i="57" s="1"/>
  <c r="G1291" i="57" a="1"/>
  <c r="G1291" i="57" s="1"/>
  <c r="F1291" i="57" a="1"/>
  <c r="F1291" i="57" s="1"/>
  <c r="G1459" i="57" a="1"/>
  <c r="G1459" i="57" s="1"/>
  <c r="F1459" i="57" a="1"/>
  <c r="F1459" i="57" s="1"/>
  <c r="G2468" i="57" a="1"/>
  <c r="G2468" i="57" s="1"/>
  <c r="F2468" i="57" a="1"/>
  <c r="F2468" i="57" s="1"/>
  <c r="G427" i="57" a="1"/>
  <c r="G427" i="57" s="1"/>
  <c r="F427" i="57" a="1"/>
  <c r="F427" i="57" s="1"/>
  <c r="G866" i="57" a="1"/>
  <c r="G866" i="57" s="1"/>
  <c r="F866" i="57" a="1"/>
  <c r="F866" i="57" s="1"/>
  <c r="G1962" i="57" a="1"/>
  <c r="G1962" i="57" s="1"/>
  <c r="F1962" i="57" a="1"/>
  <c r="F1962" i="57" s="1"/>
  <c r="G2220" i="57" a="1"/>
  <c r="G2220" i="57" s="1"/>
  <c r="F2220" i="57" a="1"/>
  <c r="F2220" i="57" s="1"/>
  <c r="G2478" i="57" a="1"/>
  <c r="G2478" i="57" s="1"/>
  <c r="F2478" i="57" a="1"/>
  <c r="F2478" i="57" s="1"/>
  <c r="G1963" i="57" a="1"/>
  <c r="G1963" i="57" s="1"/>
  <c r="F1963" i="57" a="1"/>
  <c r="F1963" i="57" s="1"/>
  <c r="G414" i="57" a="1"/>
  <c r="G414" i="57" s="1"/>
  <c r="F414" i="57" a="1"/>
  <c r="F414" i="57" s="1"/>
  <c r="G1075" i="57" a="1"/>
  <c r="G1075" i="57" s="1"/>
  <c r="F1075" i="57" a="1"/>
  <c r="F1075" i="57" s="1"/>
  <c r="G1836" i="57" a="1"/>
  <c r="G1836" i="57" s="1"/>
  <c r="F1836" i="57" a="1"/>
  <c r="F1836" i="57" s="1"/>
  <c r="G1603" i="57" a="1"/>
  <c r="G1603" i="57" s="1"/>
  <c r="F1603" i="57" a="1"/>
  <c r="F1603" i="57" s="1"/>
  <c r="G313" i="57" a="1"/>
  <c r="G313" i="57" s="1"/>
  <c r="F313" i="57" a="1"/>
  <c r="F313" i="57" s="1"/>
  <c r="G571" i="57" a="1"/>
  <c r="G571" i="57" s="1"/>
  <c r="F571" i="57" a="1"/>
  <c r="F571" i="57" s="1"/>
  <c r="G1298" i="57" a="1"/>
  <c r="G1298" i="57" s="1"/>
  <c r="F1298" i="57" a="1"/>
  <c r="F1298" i="57" s="1"/>
  <c r="G2106" i="57" a="1"/>
  <c r="G2106" i="57" s="1"/>
  <c r="F2106" i="57" a="1"/>
  <c r="F2106" i="57" s="1"/>
  <c r="G2364" i="57" a="1"/>
  <c r="G2364" i="57" s="1"/>
  <c r="F2364" i="57" a="1"/>
  <c r="F2364" i="57" s="1"/>
  <c r="G1849" i="57" a="1"/>
  <c r="G1849" i="57" s="1"/>
  <c r="F1849" i="57" a="1"/>
  <c r="F1849" i="57" s="1"/>
  <c r="G2107" i="57" a="1"/>
  <c r="G2107" i="57" s="1"/>
  <c r="F2107" i="57" a="1"/>
  <c r="F2107" i="57" s="1"/>
  <c r="G1314" i="57" a="1"/>
  <c r="G1314" i="57" s="1"/>
  <c r="F1314" i="57" a="1"/>
  <c r="F1314" i="57" s="1"/>
  <c r="G52" i="57" a="1"/>
  <c r="G52" i="57" s="1"/>
  <c r="F52" i="57" a="1"/>
  <c r="F52" i="57" s="1"/>
  <c r="G1477" i="57" a="1"/>
  <c r="G1477" i="57" s="1"/>
  <c r="F1477" i="57" a="1"/>
  <c r="F1477" i="57" s="1"/>
  <c r="G96" i="57" a="1"/>
  <c r="G96" i="57" s="1"/>
  <c r="F96" i="57" a="1"/>
  <c r="F96" i="57" s="1"/>
  <c r="G451" i="57" a="1"/>
  <c r="G451" i="57" s="1"/>
  <c r="F451" i="57" a="1"/>
  <c r="F451" i="57" s="1"/>
  <c r="G938" i="57" a="1"/>
  <c r="G938" i="57" s="1"/>
  <c r="F938" i="57" a="1"/>
  <c r="F938" i="57" s="1"/>
  <c r="G1980" i="57" a="1"/>
  <c r="G1980" i="57" s="1"/>
  <c r="F1980" i="57" a="1"/>
  <c r="F1980" i="57" s="1"/>
  <c r="G2238" i="57" a="1"/>
  <c r="G2238" i="57" s="1"/>
  <c r="F2238" i="57" a="1"/>
  <c r="F2238" i="57" s="1"/>
  <c r="G1729" i="57" a="1"/>
  <c r="G1729" i="57" s="1"/>
  <c r="F1729" i="57" a="1"/>
  <c r="F1729" i="57" s="1"/>
  <c r="G1987" i="57" a="1"/>
  <c r="G1987" i="57" s="1"/>
  <c r="F1987" i="57" a="1"/>
  <c r="F1987" i="57" s="1"/>
  <c r="G486" i="57" a="1"/>
  <c r="G486" i="57" s="1"/>
  <c r="F486" i="57" a="1"/>
  <c r="F486" i="57" s="1"/>
  <c r="G1135" i="57" a="1"/>
  <c r="G1135" i="57" s="1"/>
  <c r="F1135" i="57" a="1"/>
  <c r="F1135" i="57" s="1"/>
  <c r="G2378" i="57" a="1"/>
  <c r="G2378" i="57" s="1"/>
  <c r="F2378" i="57" a="1"/>
  <c r="F2378" i="57" s="1"/>
  <c r="G187" i="57" a="1"/>
  <c r="G187" i="57" s="1"/>
  <c r="F187" i="57" a="1"/>
  <c r="F187" i="57" s="1"/>
  <c r="G63" i="57" a="1"/>
  <c r="G63" i="57" s="1"/>
  <c r="F63" i="57" a="1"/>
  <c r="F63" i="57" s="1"/>
  <c r="G1674" i="57" a="1"/>
  <c r="G1674" i="57" s="1"/>
  <c r="F1674" i="57" a="1"/>
  <c r="F1674" i="57" s="1"/>
  <c r="G1932" i="57" a="1"/>
  <c r="G1932" i="57" s="1"/>
  <c r="F1932" i="57" a="1"/>
  <c r="F1932" i="57" s="1"/>
  <c r="G1705" i="57" a="1"/>
  <c r="G1705" i="57" s="1"/>
  <c r="F1705" i="57" a="1"/>
  <c r="F1705" i="57" s="1"/>
  <c r="G415" i="57" a="1"/>
  <c r="G415" i="57" s="1"/>
  <c r="F415" i="57" a="1"/>
  <c r="F415" i="57" s="1"/>
  <c r="G770" i="57" a="1"/>
  <c r="G770" i="57" s="1"/>
  <c r="F770" i="57" a="1"/>
  <c r="F770" i="57" s="1"/>
  <c r="G1353" i="57" a="1"/>
  <c r="G1353" i="57" s="1"/>
  <c r="F1353" i="57" a="1"/>
  <c r="F1353" i="57" s="1"/>
  <c r="G2202" i="57" a="1"/>
  <c r="G2202" i="57" s="1"/>
  <c r="F2202" i="57" a="1"/>
  <c r="F2202" i="57" s="1"/>
  <c r="G2466" i="57" a="1"/>
  <c r="G2466" i="57" s="1"/>
  <c r="F2466" i="57" a="1"/>
  <c r="F2466" i="57" s="1"/>
  <c r="G1951" i="57" a="1"/>
  <c r="G1951" i="57" s="1"/>
  <c r="F1951" i="57" a="1"/>
  <c r="F1951" i="57" s="1"/>
  <c r="G390" i="57" a="1"/>
  <c r="G390" i="57" s="1"/>
  <c r="F390" i="57" a="1"/>
  <c r="F390" i="57" s="1"/>
  <c r="G1051" i="57" a="1"/>
  <c r="G1051" i="57" s="1"/>
  <c r="F1051" i="57" a="1"/>
  <c r="F1051" i="57" s="1"/>
  <c r="G2409" i="57" a="1"/>
  <c r="G2409" i="57" s="1"/>
  <c r="F2409" i="57" a="1"/>
  <c r="F2409" i="57" s="1"/>
  <c r="G2116" i="57" a="1"/>
  <c r="G2116" i="57" s="1"/>
  <c r="F2116" i="57" a="1"/>
  <c r="F2116" i="57" s="1"/>
  <c r="G2332" i="57" a="1"/>
  <c r="G2332" i="57" s="1"/>
  <c r="F2332" i="57" a="1"/>
  <c r="F2332" i="57" s="1"/>
  <c r="G2075" i="57" a="1"/>
  <c r="G2075" i="57" s="1"/>
  <c r="F2075" i="57" a="1"/>
  <c r="F2075" i="57" s="1"/>
  <c r="G2291" i="57" a="1"/>
  <c r="G2291" i="57" s="1"/>
  <c r="F2291" i="57" a="1"/>
  <c r="F2291" i="57" s="1"/>
  <c r="G2048" i="57" a="1"/>
  <c r="G2048" i="57" s="1"/>
  <c r="F2048" i="57" a="1"/>
  <c r="F2048" i="57" s="1"/>
  <c r="G2264" i="57" a="1"/>
  <c r="G2264" i="57" s="1"/>
  <c r="F2264" i="57" a="1"/>
  <c r="F2264" i="57" s="1"/>
  <c r="G2481" i="57" a="1"/>
  <c r="G2481" i="57" s="1"/>
  <c r="F2481" i="57" a="1"/>
  <c r="F2481" i="57" s="1"/>
  <c r="G2440" i="57" a="1"/>
  <c r="G2440" i="57" s="1"/>
  <c r="F2440" i="57" a="1"/>
  <c r="F2440" i="57" s="1"/>
  <c r="G243" i="57" a="1"/>
  <c r="G243" i="57" s="1"/>
  <c r="F243" i="57" a="1"/>
  <c r="F243" i="57" s="1"/>
  <c r="G1650" i="57" a="1"/>
  <c r="G1650" i="57" s="1"/>
  <c r="F1650" i="57" a="1"/>
  <c r="F1650" i="57" s="1"/>
  <c r="G1866" i="57" a="1"/>
  <c r="G1866" i="57" s="1"/>
  <c r="F1866" i="57" a="1"/>
  <c r="F1866" i="57" s="1"/>
  <c r="G1591" i="57" a="1"/>
  <c r="G1591" i="57" s="1"/>
  <c r="F1591" i="57" a="1"/>
  <c r="F1591" i="57" s="1"/>
  <c r="G259" i="57" a="1"/>
  <c r="G259" i="57" s="1"/>
  <c r="F259" i="57" a="1"/>
  <c r="F259" i="57" s="1"/>
  <c r="G475" i="57" a="1"/>
  <c r="G475" i="57" s="1"/>
  <c r="F475" i="57" a="1"/>
  <c r="F475" i="57" s="1"/>
  <c r="G884" i="57" a="1"/>
  <c r="G884" i="57" s="1"/>
  <c r="F884" i="57" a="1"/>
  <c r="F884" i="57" s="1"/>
  <c r="G891" i="57" a="1"/>
  <c r="G891" i="57" s="1"/>
  <c r="F891" i="57" a="1"/>
  <c r="F891" i="57" s="1"/>
  <c r="G2136" i="57" a="1"/>
  <c r="G2136" i="57" s="1"/>
  <c r="F2136" i="57" a="1"/>
  <c r="F2136" i="57" s="1"/>
  <c r="G2352" i="57" a="1"/>
  <c r="G2352" i="57" s="1"/>
  <c r="F2352" i="57" a="1"/>
  <c r="F2352" i="57" s="1"/>
  <c r="G1795" i="57" a="1"/>
  <c r="G1795" i="57" s="1"/>
  <c r="F1795" i="57" a="1"/>
  <c r="F1795" i="57" s="1"/>
  <c r="G2011" i="57" a="1"/>
  <c r="G2011" i="57" s="1"/>
  <c r="F2011" i="57" a="1"/>
  <c r="F2011" i="57" s="1"/>
  <c r="G348" i="57" a="1"/>
  <c r="G348" i="57" s="1"/>
  <c r="F348" i="57" a="1"/>
  <c r="F348" i="57" s="1"/>
  <c r="G1422" i="57" a="1"/>
  <c r="G1422" i="57" s="1"/>
  <c r="F1422" i="57" a="1"/>
  <c r="F1422" i="57" s="1"/>
  <c r="G1261" i="57" a="1"/>
  <c r="G1261" i="57" s="1"/>
  <c r="F1261" i="57" a="1"/>
  <c r="F1261" i="57" s="1"/>
  <c r="G724" i="57" a="1"/>
  <c r="G724" i="57" s="1"/>
  <c r="F724" i="57" a="1"/>
  <c r="F724" i="57" s="1"/>
  <c r="G2293" i="57" a="1"/>
  <c r="G2293" i="57" s="1"/>
  <c r="F2293" i="57" a="1"/>
  <c r="F2293" i="57" s="1"/>
  <c r="G655" i="57" a="1"/>
  <c r="G655" i="57" s="1"/>
  <c r="F655" i="57" a="1"/>
  <c r="F655" i="57" s="1"/>
  <c r="G907" i="57" a="1"/>
  <c r="G907" i="57" s="1"/>
  <c r="F907" i="57" a="1"/>
  <c r="F907" i="57" s="1"/>
  <c r="G1309" i="57" a="1"/>
  <c r="G1309" i="57" s="1"/>
  <c r="F1309" i="57" a="1"/>
  <c r="F1309" i="57" s="1"/>
  <c r="G34" i="57" a="1"/>
  <c r="G34" i="57" s="1"/>
  <c r="F34" i="57" a="1"/>
  <c r="F34" i="57" s="1"/>
  <c r="G2335" i="57" a="1"/>
  <c r="G2335" i="57" s="1"/>
  <c r="F2335" i="57" a="1"/>
  <c r="F2335" i="57" s="1"/>
  <c r="G697" i="57" a="1"/>
  <c r="G697" i="57" s="1"/>
  <c r="F697" i="57" a="1"/>
  <c r="F697" i="57" s="1"/>
  <c r="G979" i="57" a="1"/>
  <c r="G979" i="57" s="1"/>
  <c r="F979" i="57" a="1"/>
  <c r="F979" i="57" s="1"/>
  <c r="G1387" i="57" a="1"/>
  <c r="G1387" i="57" s="1"/>
  <c r="F1387" i="57" a="1"/>
  <c r="F1387" i="57" s="1"/>
  <c r="G625" i="57" a="1"/>
  <c r="G625" i="57" s="1"/>
  <c r="F625" i="57" a="1"/>
  <c r="F625" i="57" s="1"/>
  <c r="G865" i="57" a="1"/>
  <c r="G865" i="57" s="1"/>
  <c r="F865" i="57" a="1"/>
  <c r="F865" i="57" s="1"/>
  <c r="G1267" i="57" a="1"/>
  <c r="G1267" i="57" s="1"/>
  <c r="F1267" i="57" a="1"/>
  <c r="F1267" i="57" s="1"/>
  <c r="G526" i="57" a="1"/>
  <c r="G526" i="57" s="1"/>
  <c r="F526" i="57" a="1"/>
  <c r="F526" i="57" s="1"/>
  <c r="G2275" i="57" a="1"/>
  <c r="G2275" i="57" s="1"/>
  <c r="F2275" i="57" a="1"/>
  <c r="F2275" i="57" s="1"/>
  <c r="G637" i="57" a="1"/>
  <c r="G637" i="57" s="1"/>
  <c r="F637" i="57" a="1"/>
  <c r="F637" i="57" s="1"/>
  <c r="G877" i="57" a="1"/>
  <c r="G877" i="57" s="1"/>
  <c r="F877" i="57" a="1"/>
  <c r="F877" i="57" s="1"/>
  <c r="G1279" i="57" a="1"/>
  <c r="G1279" i="57" s="1"/>
  <c r="F1279" i="57" a="1"/>
  <c r="F1279" i="57" s="1"/>
  <c r="G598" i="57" a="1"/>
  <c r="G598" i="57" s="1"/>
  <c r="F598" i="57" a="1"/>
  <c r="F598" i="57" s="1"/>
  <c r="G2281" i="57" a="1"/>
  <c r="G2281" i="57" s="1"/>
  <c r="F2281" i="57" a="1"/>
  <c r="F2281" i="57" s="1"/>
  <c r="G643" i="57" a="1"/>
  <c r="G643" i="57" s="1"/>
  <c r="F643" i="57" a="1"/>
  <c r="F643" i="57" s="1"/>
  <c r="G883" i="57" a="1"/>
  <c r="G883" i="57" s="1"/>
  <c r="F883" i="57" a="1"/>
  <c r="F883" i="57" s="1"/>
  <c r="G1285" i="57" a="1"/>
  <c r="G1285" i="57" s="1"/>
  <c r="F1285" i="57" a="1"/>
  <c r="F1285" i="57" s="1"/>
  <c r="G444" i="57" a="1"/>
  <c r="G444" i="57" s="1"/>
  <c r="F444" i="57" a="1"/>
  <c r="F444" i="57" s="1"/>
  <c r="G859" i="57" a="1"/>
  <c r="G859" i="57" s="1"/>
  <c r="F859" i="57" a="1"/>
  <c r="F859" i="57" s="1"/>
  <c r="G1333" i="57" a="1"/>
  <c r="G1333" i="57" s="1"/>
  <c r="F1333" i="57" a="1"/>
  <c r="F1333" i="57" s="1"/>
  <c r="G1156" i="57" a="1"/>
  <c r="G1156" i="57" s="1"/>
  <c r="F1156" i="57" a="1"/>
  <c r="F1156" i="57" s="1"/>
  <c r="G2323" i="57" a="1"/>
  <c r="G2323" i="57" s="1"/>
  <c r="F2323" i="57" a="1"/>
  <c r="F2323" i="57" s="1"/>
  <c r="G685" i="57" a="1"/>
  <c r="G685" i="57" s="1"/>
  <c r="F685" i="57" a="1"/>
  <c r="F685" i="57" s="1"/>
  <c r="G961" i="57" a="1"/>
  <c r="G961" i="57" s="1"/>
  <c r="F961" i="57" a="1"/>
  <c r="F961" i="57" s="1"/>
  <c r="G1369" i="57" a="1"/>
  <c r="G1369" i="57" s="1"/>
  <c r="F1369" i="57" a="1"/>
  <c r="F1369" i="57" s="1"/>
  <c r="G326" i="57" a="1"/>
  <c r="G326" i="57" s="1"/>
  <c r="F326" i="57" a="1"/>
  <c r="F326" i="57" s="1"/>
  <c r="G272" i="57" a="1"/>
  <c r="G272" i="57" s="1"/>
  <c r="F272" i="57" a="1"/>
  <c r="F272" i="57" s="1"/>
  <c r="G476" i="57" a="1"/>
  <c r="G476" i="57" s="1"/>
  <c r="F476" i="57" a="1"/>
  <c r="F476" i="57" s="1"/>
  <c r="G387" i="57" a="1"/>
  <c r="G387" i="57" s="1"/>
  <c r="F387" i="57" a="1"/>
  <c r="F387" i="57" s="1"/>
  <c r="G141" i="57" a="1"/>
  <c r="G141" i="57" s="1"/>
  <c r="F141" i="57" a="1"/>
  <c r="F141" i="57" s="1"/>
  <c r="G477" i="57" a="1"/>
  <c r="G477" i="57" s="1"/>
  <c r="F477" i="57" a="1"/>
  <c r="F477" i="57" s="1"/>
  <c r="G268" i="57" a="1"/>
  <c r="G268" i="57" s="1"/>
  <c r="F268" i="57" a="1"/>
  <c r="F268" i="57" s="1"/>
  <c r="G53" i="57" a="1"/>
  <c r="G53" i="57" s="1"/>
  <c r="F53" i="57" a="1"/>
  <c r="F53" i="57" s="1"/>
  <c r="G377" i="57" a="1"/>
  <c r="G377" i="57" s="1"/>
  <c r="F377" i="57" a="1"/>
  <c r="F377" i="57" s="1"/>
  <c r="G701" i="57" a="1"/>
  <c r="G701" i="57" s="1"/>
  <c r="F701" i="57" a="1"/>
  <c r="F701" i="57" s="1"/>
  <c r="G204" i="57" a="1"/>
  <c r="G204" i="57" s="1"/>
  <c r="F204" i="57" a="1"/>
  <c r="F204" i="57" s="1"/>
  <c r="G20" i="57" a="1"/>
  <c r="G20" i="57" s="1"/>
  <c r="F20" i="57" a="1"/>
  <c r="F20" i="57" s="1"/>
  <c r="G152" i="57" a="1"/>
  <c r="G152" i="57" s="1"/>
  <c r="F152" i="57" a="1"/>
  <c r="F152" i="57" s="1"/>
  <c r="G296" i="57" a="1"/>
  <c r="G296" i="57" s="1"/>
  <c r="F296" i="57" a="1"/>
  <c r="F296" i="57" s="1"/>
  <c r="G422" i="57" a="1"/>
  <c r="G422" i="57" s="1"/>
  <c r="F422" i="57" a="1"/>
  <c r="F422" i="57" s="1"/>
  <c r="G75" i="57" a="1"/>
  <c r="G75" i="57" s="1"/>
  <c r="F75" i="57" a="1"/>
  <c r="F75" i="57" s="1"/>
  <c r="G417" i="57" a="1"/>
  <c r="G417" i="57" s="1"/>
  <c r="F417" i="57" a="1"/>
  <c r="F417" i="57" s="1"/>
  <c r="G196" i="57" a="1"/>
  <c r="G196" i="57" s="1"/>
  <c r="F196" i="57" a="1"/>
  <c r="F196" i="57" s="1"/>
  <c r="G2486" i="57" a="1"/>
  <c r="G2486" i="57" s="1"/>
  <c r="F2486" i="57" a="1"/>
  <c r="F2486" i="57" s="1"/>
  <c r="G317" i="57" a="1"/>
  <c r="G317" i="57" s="1"/>
  <c r="F317" i="57" a="1"/>
  <c r="F317" i="57" s="1"/>
  <c r="G641" i="57" a="1"/>
  <c r="G641" i="57" s="1"/>
  <c r="F641" i="57" a="1"/>
  <c r="F641" i="57" s="1"/>
  <c r="G90" i="57" a="1"/>
  <c r="G90" i="57" s="1"/>
  <c r="F90" i="57" a="1"/>
  <c r="F90" i="57" s="1"/>
  <c r="G584" i="57" a="1"/>
  <c r="G584" i="57" s="1"/>
  <c r="F584" i="57" a="1"/>
  <c r="F584" i="57" s="1"/>
  <c r="G327" i="57" a="1"/>
  <c r="G327" i="57" s="1"/>
  <c r="F327" i="57" a="1"/>
  <c r="F327" i="57" s="1"/>
  <c r="G1454" i="57" a="1"/>
  <c r="G1454" i="57" s="1"/>
  <c r="F1454" i="57" a="1"/>
  <c r="F1454" i="57" s="1"/>
  <c r="G478" i="57" a="1"/>
  <c r="G478" i="57" s="1"/>
  <c r="F478" i="57" a="1"/>
  <c r="F478" i="57" s="1"/>
  <c r="G233" i="57" a="1"/>
  <c r="G233" i="57" s="1"/>
  <c r="F233" i="57" a="1"/>
  <c r="F233" i="57" s="1"/>
  <c r="G557" i="57" a="1"/>
  <c r="G557" i="57" s="1"/>
  <c r="F557" i="57" a="1"/>
  <c r="F557" i="57" s="1"/>
  <c r="G2487" i="57" a="1"/>
  <c r="G2487" i="57" s="1"/>
  <c r="F2487" i="57" a="1"/>
  <c r="F2487" i="57" s="1"/>
  <c r="G242" i="57" a="1"/>
  <c r="G242" i="57" s="1"/>
  <c r="F242" i="57" a="1"/>
  <c r="F242" i="57" s="1"/>
  <c r="G452" i="57" a="1"/>
  <c r="G452" i="57" s="1"/>
  <c r="F452" i="57" a="1"/>
  <c r="F452" i="57" s="1"/>
  <c r="G153" i="57" a="1"/>
  <c r="G153" i="57" s="1"/>
  <c r="F153" i="57" a="1"/>
  <c r="F153" i="57" s="1"/>
  <c r="G489" i="57" a="1"/>
  <c r="G489" i="57" s="1"/>
  <c r="F489" i="57" a="1"/>
  <c r="F489" i="57" s="1"/>
  <c r="G280" i="57" a="1"/>
  <c r="G280" i="57" s="1"/>
  <c r="F280" i="57" a="1"/>
  <c r="F280" i="57" s="1"/>
  <c r="G65" i="57" a="1"/>
  <c r="G65" i="57" s="1"/>
  <c r="F65" i="57" a="1"/>
  <c r="F65" i="57" s="1"/>
  <c r="G389" i="57" a="1"/>
  <c r="G389" i="57" s="1"/>
  <c r="F389" i="57" a="1"/>
  <c r="F389" i="57" s="1"/>
  <c r="G713" i="57" a="1"/>
  <c r="G713" i="57" s="1"/>
  <c r="F713" i="57" a="1"/>
  <c r="F713" i="57" s="1"/>
  <c r="G150" i="57" a="1"/>
  <c r="G150" i="57" s="1"/>
  <c r="F150" i="57" a="1"/>
  <c r="F150" i="57" s="1"/>
  <c r="G542" i="57" a="1"/>
  <c r="G542" i="57" s="1"/>
  <c r="F542" i="57" a="1"/>
  <c r="F542" i="57" s="1"/>
  <c r="G291" i="57" a="1"/>
  <c r="G291" i="57" s="1"/>
  <c r="F291" i="57" a="1"/>
  <c r="F291" i="57" s="1"/>
  <c r="G621" i="57" a="1"/>
  <c r="G621" i="57" s="1"/>
  <c r="F621" i="57" a="1"/>
  <c r="F621" i="57" s="1"/>
  <c r="G436" i="57" a="1"/>
  <c r="G436" i="57" s="1"/>
  <c r="F436" i="57" a="1"/>
  <c r="F436" i="57" s="1"/>
  <c r="G197" i="57" a="1"/>
  <c r="G197" i="57" s="1"/>
  <c r="F197" i="57" a="1"/>
  <c r="F197" i="57" s="1"/>
  <c r="G521" i="57" a="1"/>
  <c r="G521" i="57" s="1"/>
  <c r="F521" i="57" a="1"/>
  <c r="F521" i="57" s="1"/>
  <c r="G845" i="57" a="1"/>
  <c r="G845" i="57" s="1"/>
  <c r="F845" i="57" a="1"/>
  <c r="F845" i="57" s="1"/>
  <c r="G2488" i="57" a="1"/>
  <c r="G2488" i="57" s="1"/>
  <c r="F2488" i="57" a="1"/>
  <c r="F2488" i="57" s="1"/>
  <c r="G374" i="57" a="1"/>
  <c r="G374" i="57" s="1"/>
  <c r="F374" i="57" a="1"/>
  <c r="F374" i="57" s="1"/>
  <c r="G603" i="57" a="1"/>
  <c r="G603" i="57" s="1"/>
  <c r="F603" i="57" a="1"/>
  <c r="F603" i="57" s="1"/>
  <c r="G418" i="57" a="1"/>
  <c r="G418" i="57" s="1"/>
  <c r="F418" i="57" a="1"/>
  <c r="F418" i="57" s="1"/>
  <c r="G179" i="57" a="1"/>
  <c r="G179" i="57" s="1"/>
  <c r="F179" i="57" a="1"/>
  <c r="F179" i="57" s="1"/>
  <c r="G503" i="57" a="1"/>
  <c r="G503" i="57" s="1"/>
  <c r="F503" i="57" a="1"/>
  <c r="F503" i="57" s="1"/>
  <c r="G827" i="57" a="1"/>
  <c r="G827" i="57" s="1"/>
  <c r="F827" i="57" a="1"/>
  <c r="F827" i="57" s="1"/>
  <c r="G68" i="57" a="1"/>
  <c r="G68" i="57" s="1"/>
  <c r="F68" i="57" a="1"/>
  <c r="F68" i="57" s="1"/>
  <c r="G98" i="57" a="1"/>
  <c r="G98" i="57" s="1"/>
  <c r="F98" i="57" a="1"/>
  <c r="F98" i="57" s="1"/>
  <c r="G2502" i="57" a="1"/>
  <c r="G2502" i="57" s="1"/>
  <c r="F2502" i="57" a="1"/>
  <c r="F2502" i="57" s="1"/>
  <c r="G237" i="57" a="1"/>
  <c r="G237" i="57" s="1"/>
  <c r="F237" i="57" a="1"/>
  <c r="F237" i="57" s="1"/>
  <c r="G483" i="57" a="1"/>
  <c r="G483" i="57" s="1"/>
  <c r="F483" i="57" a="1"/>
  <c r="F483" i="57" s="1"/>
  <c r="G190" i="57" a="1"/>
  <c r="G190" i="57" s="1"/>
  <c r="F190" i="57" a="1"/>
  <c r="F190" i="57" s="1"/>
  <c r="G442" i="57" a="1"/>
  <c r="G442" i="57" s="1"/>
  <c r="F442" i="57" a="1"/>
  <c r="F442" i="57" s="1"/>
  <c r="G1449" i="57" a="1"/>
  <c r="G1449" i="57" s="1"/>
  <c r="F1449" i="57" a="1"/>
  <c r="F1449" i="57" s="1"/>
  <c r="G113" i="57" a="1"/>
  <c r="G113" i="57" s="1"/>
  <c r="F113" i="57" a="1"/>
  <c r="F113" i="57" s="1"/>
  <c r="G239" i="57" a="1"/>
  <c r="G239" i="57" s="1"/>
  <c r="F239" i="57" a="1"/>
  <c r="F239" i="57" s="1"/>
  <c r="G347" i="57" a="1"/>
  <c r="G347" i="57" s="1"/>
  <c r="F347" i="57" a="1"/>
  <c r="F347" i="57" s="1"/>
  <c r="G455" i="57" a="1"/>
  <c r="G455" i="57" s="1"/>
  <c r="F455" i="57" a="1"/>
  <c r="F455" i="57" s="1"/>
  <c r="G563" i="57" a="1"/>
  <c r="G563" i="57" s="1"/>
  <c r="F563" i="57" a="1"/>
  <c r="F563" i="57" s="1"/>
  <c r="G671" i="57" a="1"/>
  <c r="G671" i="57" s="1"/>
  <c r="F671" i="57" a="1"/>
  <c r="F671" i="57" s="1"/>
  <c r="G779" i="57" a="1"/>
  <c r="G779" i="57" s="1"/>
  <c r="F779" i="57" a="1"/>
  <c r="F779" i="57" s="1"/>
  <c r="G2493" i="57" a="1"/>
  <c r="G2493" i="57" s="1"/>
  <c r="F2493" i="57" a="1"/>
  <c r="F2493" i="57" s="1"/>
  <c r="G126" i="57" a="1"/>
  <c r="G126" i="57" s="1"/>
  <c r="F126" i="57" a="1"/>
  <c r="F126" i="57" s="1"/>
  <c r="G264" i="57" a="1"/>
  <c r="G264" i="57" s="1"/>
  <c r="F264" i="57" a="1"/>
  <c r="F264" i="57" s="1"/>
  <c r="G384" i="57" a="1"/>
  <c r="G384" i="57" s="1"/>
  <c r="F384" i="57" a="1"/>
  <c r="F384" i="57" s="1"/>
  <c r="G540" i="57" a="1"/>
  <c r="G540" i="57" s="1"/>
  <c r="F540" i="57" a="1"/>
  <c r="F540" i="57" s="1"/>
  <c r="G881" i="57" a="1"/>
  <c r="G881" i="57" s="1"/>
  <c r="F881" i="57" a="1"/>
  <c r="F881" i="57" s="1"/>
  <c r="G989" i="57" a="1"/>
  <c r="G989" i="57" s="1"/>
  <c r="F989" i="57" a="1"/>
  <c r="F989" i="57" s="1"/>
  <c r="G1097" i="57" a="1"/>
  <c r="G1097" i="57" s="1"/>
  <c r="F1097" i="57" a="1"/>
  <c r="F1097" i="57" s="1"/>
  <c r="G1205" i="57" a="1"/>
  <c r="G1205" i="57" s="1"/>
  <c r="F1205" i="57" a="1"/>
  <c r="F1205" i="57" s="1"/>
  <c r="G1319" i="57" a="1"/>
  <c r="G1319" i="57" s="1"/>
  <c r="F1319" i="57" a="1"/>
  <c r="F1319" i="57" s="1"/>
  <c r="G690" i="57" a="1"/>
  <c r="G690" i="57" s="1"/>
  <c r="F690" i="57" a="1"/>
  <c r="F690" i="57" s="1"/>
  <c r="G846" i="57" a="1"/>
  <c r="G846" i="57" s="1"/>
  <c r="F846" i="57" a="1"/>
  <c r="F846" i="57" s="1"/>
  <c r="G972" i="57" a="1"/>
  <c r="G972" i="57" s="1"/>
  <c r="F972" i="57" a="1"/>
  <c r="F972" i="57" s="1"/>
  <c r="G1110" i="57" a="1"/>
  <c r="G1110" i="57" s="1"/>
  <c r="F1110" i="57" a="1"/>
  <c r="F1110" i="57" s="1"/>
  <c r="G1242" i="57" a="1"/>
  <c r="G1242" i="57" s="1"/>
  <c r="F1242" i="57" a="1"/>
  <c r="F1242" i="57" s="1"/>
  <c r="G1374" i="57" a="1"/>
  <c r="G1374" i="57" s="1"/>
  <c r="F1374" i="57" a="1"/>
  <c r="F1374" i="57" s="1"/>
  <c r="G686" i="57" a="1"/>
  <c r="G686" i="57" s="1"/>
  <c r="F686" i="57" a="1"/>
  <c r="F686" i="57" s="1"/>
  <c r="G806" i="57" a="1"/>
  <c r="G806" i="57" s="1"/>
  <c r="F806" i="57" a="1"/>
  <c r="F806" i="57" s="1"/>
  <c r="G950" i="57" a="1"/>
  <c r="G950" i="57" s="1"/>
  <c r="F950" i="57" a="1"/>
  <c r="F950" i="57" s="1"/>
  <c r="G1112" i="57" a="1"/>
  <c r="G1112" i="57" s="1"/>
  <c r="F1112" i="57" a="1"/>
  <c r="F1112" i="57" s="1"/>
  <c r="G1274" i="57" a="1"/>
  <c r="G1274" i="57" s="1"/>
  <c r="F1274" i="57" a="1"/>
  <c r="F1274" i="57" s="1"/>
  <c r="G1436" i="57" a="1"/>
  <c r="G1436" i="57" s="1"/>
  <c r="F1436" i="57" a="1"/>
  <c r="F1436" i="57" s="1"/>
  <c r="G753" i="57" a="1"/>
  <c r="G753" i="57" s="1"/>
  <c r="F753" i="57" a="1"/>
  <c r="F753" i="57" s="1"/>
  <c r="G981" i="57" a="1"/>
  <c r="G981" i="57" s="1"/>
  <c r="F981" i="57" a="1"/>
  <c r="F981" i="57" s="1"/>
  <c r="G1311" i="57" a="1"/>
  <c r="G1311" i="57" s="1"/>
  <c r="F1311" i="57" a="1"/>
  <c r="F1311" i="57" s="1"/>
  <c r="G802" i="57" a="1"/>
  <c r="G802" i="57" s="1"/>
  <c r="F802" i="57" a="1"/>
  <c r="F802" i="57" s="1"/>
  <c r="G1168" i="57" a="1"/>
  <c r="G1168" i="57" s="1"/>
  <c r="F1168" i="57" a="1"/>
  <c r="F1168" i="57" s="1"/>
  <c r="G1356" i="57" a="1"/>
  <c r="G1356" i="57" s="1"/>
  <c r="F1356" i="57" a="1"/>
  <c r="F1356" i="57" s="1"/>
  <c r="G1773" i="57" a="1"/>
  <c r="G1773" i="57" s="1"/>
  <c r="F1773" i="57" a="1"/>
  <c r="F1773" i="57" s="1"/>
  <c r="G1582" i="57" a="1"/>
  <c r="G1582" i="57" s="1"/>
  <c r="F1582" i="57" a="1"/>
  <c r="F1582" i="57" s="1"/>
  <c r="G1888" i="57" a="1"/>
  <c r="G1888" i="57" s="1"/>
  <c r="F1888" i="57" a="1"/>
  <c r="F1888" i="57" s="1"/>
  <c r="G1847" i="57" a="1"/>
  <c r="G1847" i="57" s="1"/>
  <c r="F1847" i="57" a="1"/>
  <c r="F1847" i="57" s="1"/>
  <c r="G1868" i="57" a="1"/>
  <c r="G1868" i="57" s="1"/>
  <c r="F1868" i="57" a="1"/>
  <c r="F1868" i="57" s="1"/>
  <c r="G1453" i="57" a="1"/>
  <c r="G1453" i="57" s="1"/>
  <c r="F1453" i="57" a="1"/>
  <c r="F1453" i="57" s="1"/>
  <c r="G261" i="57" a="1"/>
  <c r="G261" i="57" s="1"/>
  <c r="F261" i="57" a="1"/>
  <c r="F261" i="57" s="1"/>
  <c r="G465" i="57" a="1"/>
  <c r="G465" i="57" s="1"/>
  <c r="F465" i="57" a="1"/>
  <c r="F465" i="57" s="1"/>
  <c r="F22" i="57" a="1"/>
  <c r="F22" i="57" s="1"/>
  <c r="G334" i="57" a="1"/>
  <c r="G334" i="57" s="1"/>
  <c r="F334" i="57" a="1"/>
  <c r="F334" i="57" s="1"/>
  <c r="G915" i="57" a="1"/>
  <c r="G915" i="57" s="1"/>
  <c r="F915" i="57" a="1"/>
  <c r="F915" i="57" s="1"/>
  <c r="G1251" i="57" a="1"/>
  <c r="G1251" i="57" s="1"/>
  <c r="F1251" i="57" a="1"/>
  <c r="F1251" i="57" s="1"/>
  <c r="G718" i="57" a="1"/>
  <c r="G718" i="57" s="1"/>
  <c r="F718" i="57" a="1"/>
  <c r="F718" i="57" s="1"/>
  <c r="G1090" i="57" a="1"/>
  <c r="G1090" i="57" s="1"/>
  <c r="F1090" i="57" a="1"/>
  <c r="F1090" i="57" s="1"/>
  <c r="G1355" i="57" a="1"/>
  <c r="G1355" i="57" s="1"/>
  <c r="F1355" i="57" a="1"/>
  <c r="F1355" i="57" s="1"/>
  <c r="G1671" i="57" a="1"/>
  <c r="G1671" i="57" s="1"/>
  <c r="F1671" i="57" a="1"/>
  <c r="F1671" i="57" s="1"/>
  <c r="G1486" i="57" a="1"/>
  <c r="G1486" i="57" s="1"/>
  <c r="F1486" i="57" a="1"/>
  <c r="F1486" i="57" s="1"/>
  <c r="G1798" i="57" a="1"/>
  <c r="G1798" i="57" s="1"/>
  <c r="F1798" i="57" a="1"/>
  <c r="F1798" i="57" s="1"/>
  <c r="G1703" i="57" a="1"/>
  <c r="G1703" i="57" s="1"/>
  <c r="F1703" i="57" a="1"/>
  <c r="F1703" i="57" s="1"/>
  <c r="G1724" i="57" a="1"/>
  <c r="G1724" i="57" s="1"/>
  <c r="F1724" i="57" a="1"/>
  <c r="F1724" i="57" s="1"/>
  <c r="G426" i="57" a="1"/>
  <c r="G426" i="57" s="1"/>
  <c r="F426" i="57" a="1"/>
  <c r="F426" i="57" s="1"/>
  <c r="G941" i="57" a="1"/>
  <c r="G941" i="57" s="1"/>
  <c r="F941" i="57" a="1"/>
  <c r="F941" i="57" s="1"/>
  <c r="G1103" i="57" a="1"/>
  <c r="G1103" i="57" s="1"/>
  <c r="F1103" i="57" a="1"/>
  <c r="F1103" i="57" s="1"/>
  <c r="G1211" i="57" a="1"/>
  <c r="G1211" i="57" s="1"/>
  <c r="F1211" i="57" a="1"/>
  <c r="F1211" i="57" s="1"/>
  <c r="G1325" i="57" a="1"/>
  <c r="G1325" i="57" s="1"/>
  <c r="F1325" i="57" a="1"/>
  <c r="F1325" i="57" s="1"/>
  <c r="G696" i="57" a="1"/>
  <c r="G696" i="57" s="1"/>
  <c r="F696" i="57" a="1"/>
  <c r="F696" i="57" s="1"/>
  <c r="G852" i="57" a="1"/>
  <c r="G852" i="57" s="1"/>
  <c r="F852" i="57" a="1"/>
  <c r="F852" i="57" s="1"/>
  <c r="G1014" i="57" a="1"/>
  <c r="G1014" i="57" s="1"/>
  <c r="F1014" i="57" a="1"/>
  <c r="F1014" i="57" s="1"/>
  <c r="G1140" i="57" a="1"/>
  <c r="G1140" i="57" s="1"/>
  <c r="F1140" i="57" a="1"/>
  <c r="F1140" i="57" s="1"/>
  <c r="G1266" i="57" a="1"/>
  <c r="G1266" i="57" s="1"/>
  <c r="F1266" i="57" a="1"/>
  <c r="F1266" i="57" s="1"/>
  <c r="G1404" i="57" a="1"/>
  <c r="G1404" i="57" s="1"/>
  <c r="F1404" i="57" a="1"/>
  <c r="F1404" i="57" s="1"/>
  <c r="G710" i="57" a="1"/>
  <c r="G710" i="57" s="1"/>
  <c r="F710" i="57" a="1"/>
  <c r="F710" i="57" s="1"/>
  <c r="G830" i="57" a="1"/>
  <c r="G830" i="57" s="1"/>
  <c r="F830" i="57" a="1"/>
  <c r="F830" i="57" s="1"/>
  <c r="G986" i="57" a="1"/>
  <c r="G986" i="57" s="1"/>
  <c r="F986" i="57" a="1"/>
  <c r="F986" i="57" s="1"/>
  <c r="G1148" i="57" a="1"/>
  <c r="G1148" i="57" s="1"/>
  <c r="F1148" i="57" a="1"/>
  <c r="F1148" i="57" s="1"/>
  <c r="G1310" i="57" a="1"/>
  <c r="G1310" i="57" s="1"/>
  <c r="F1310" i="57" a="1"/>
  <c r="F1310" i="57" s="1"/>
  <c r="G663" i="57" a="1"/>
  <c r="G663" i="57" s="1"/>
  <c r="F663" i="57" a="1"/>
  <c r="F663" i="57" s="1"/>
  <c r="G783" i="57" a="1"/>
  <c r="G783" i="57" s="1"/>
  <c r="F783" i="57" a="1"/>
  <c r="F783" i="57" s="1"/>
  <c r="G1053" i="57" a="1"/>
  <c r="G1053" i="57" s="1"/>
  <c r="F1053" i="57" a="1"/>
  <c r="F1053" i="57" s="1"/>
  <c r="G1395" i="57" a="1"/>
  <c r="G1395" i="57" s="1"/>
  <c r="F1395" i="57" a="1"/>
  <c r="F1395" i="57" s="1"/>
  <c r="G874" i="57" a="1"/>
  <c r="G874" i="57" s="1"/>
  <c r="F874" i="57" a="1"/>
  <c r="F874" i="57" s="1"/>
  <c r="G1240" i="57" a="1"/>
  <c r="G1240" i="57" s="1"/>
  <c r="F1240" i="57" a="1"/>
  <c r="F1240" i="57" s="1"/>
  <c r="G1527" i="57" a="1"/>
  <c r="G1527" i="57" s="1"/>
  <c r="F1527" i="57" a="1"/>
  <c r="F1527" i="57" s="1"/>
  <c r="G1839" i="57" a="1"/>
  <c r="G1839" i="57" s="1"/>
  <c r="F1839" i="57" a="1"/>
  <c r="F1839" i="57" s="1"/>
  <c r="G1642" i="57" a="1"/>
  <c r="G1642" i="57" s="1"/>
  <c r="F1642" i="57" a="1"/>
  <c r="F1642" i="57" s="1"/>
  <c r="G2490" i="57" a="1"/>
  <c r="G2490" i="57" s="1"/>
  <c r="F2490" i="57" a="1"/>
  <c r="F2490" i="57" s="1"/>
  <c r="G1472" i="57" a="1"/>
  <c r="G1472" i="57" s="1"/>
  <c r="F1472" i="57" a="1"/>
  <c r="F1472" i="57" s="1"/>
  <c r="G1989" i="57" a="1"/>
  <c r="G1989" i="57" s="1"/>
  <c r="F1989" i="57" a="1"/>
  <c r="F1989" i="57" s="1"/>
  <c r="G456" i="57" a="1"/>
  <c r="G456" i="57" s="1"/>
  <c r="F456" i="57" a="1"/>
  <c r="F456" i="57" s="1"/>
  <c r="G905" i="57" a="1"/>
  <c r="G905" i="57" s="1"/>
  <c r="F905" i="57" a="1"/>
  <c r="F905" i="57" s="1"/>
  <c r="G873" i="57" a="1"/>
  <c r="G873" i="57" s="1"/>
  <c r="F873" i="57" a="1"/>
  <c r="F873" i="57" s="1"/>
  <c r="G1209" i="57" a="1"/>
  <c r="G1209" i="57" s="1"/>
  <c r="F1209" i="57" a="1"/>
  <c r="F1209" i="57" s="1"/>
  <c r="G682" i="57" a="1"/>
  <c r="G682" i="57" s="1"/>
  <c r="F682" i="57" a="1"/>
  <c r="F682" i="57" s="1"/>
  <c r="G1054" i="57" a="1"/>
  <c r="G1054" i="57" s="1"/>
  <c r="F1054" i="57" a="1"/>
  <c r="F1054" i="57" s="1"/>
  <c r="G1420" i="57" a="1"/>
  <c r="G1420" i="57" s="1"/>
  <c r="F1420" i="57" a="1"/>
  <c r="F1420" i="57" s="1"/>
  <c r="G1641" i="57" a="1"/>
  <c r="G1641" i="57" s="1"/>
  <c r="F1641" i="57" a="1"/>
  <c r="F1641" i="57" s="1"/>
  <c r="G1953" i="57" a="1"/>
  <c r="G1953" i="57" s="1"/>
  <c r="F1953" i="57" a="1"/>
  <c r="F1953" i="57" s="1"/>
  <c r="G1762" i="57" a="1"/>
  <c r="G1762" i="57" s="1"/>
  <c r="F1762" i="57" a="1"/>
  <c r="F1762" i="57" s="1"/>
  <c r="G1631" i="57" a="1"/>
  <c r="G1631" i="57" s="1"/>
  <c r="F1631" i="57" a="1"/>
  <c r="F1631" i="57" s="1"/>
  <c r="G1652" i="57" a="1"/>
  <c r="G1652" i="57" s="1"/>
  <c r="F1652" i="57" a="1"/>
  <c r="F1652" i="57" s="1"/>
  <c r="G282" i="57" a="1"/>
  <c r="G282" i="57" s="1"/>
  <c r="F282" i="57" a="1"/>
  <c r="F282" i="57" s="1"/>
  <c r="G636" i="57" a="1"/>
  <c r="G636" i="57" s="1"/>
  <c r="F636" i="57" a="1"/>
  <c r="F636" i="57" s="1"/>
  <c r="G1001" i="57" a="1"/>
  <c r="G1001" i="57" s="1"/>
  <c r="F1001" i="57" a="1"/>
  <c r="F1001" i="57" s="1"/>
  <c r="G1109" i="57" a="1"/>
  <c r="G1109" i="57" s="1"/>
  <c r="F1109" i="57" a="1"/>
  <c r="F1109" i="57" s="1"/>
  <c r="G1217" i="57" a="1"/>
  <c r="G1217" i="57" s="1"/>
  <c r="F1217" i="57" a="1"/>
  <c r="F1217" i="57" s="1"/>
  <c r="G1331" i="57" a="1"/>
  <c r="G1331" i="57" s="1"/>
  <c r="F1331" i="57" a="1"/>
  <c r="F1331" i="57" s="1"/>
  <c r="G702" i="57" a="1"/>
  <c r="G702" i="57" s="1"/>
  <c r="F702" i="57" a="1"/>
  <c r="F702" i="57" s="1"/>
  <c r="G888" i="57" a="1"/>
  <c r="G888" i="57" s="1"/>
  <c r="F888" i="57" a="1"/>
  <c r="F888" i="57" s="1"/>
  <c r="G1020" i="57" a="1"/>
  <c r="G1020" i="57" s="1"/>
  <c r="F1020" i="57" a="1"/>
  <c r="F1020" i="57" s="1"/>
  <c r="G1146" i="57" a="1"/>
  <c r="G1146" i="57" s="1"/>
  <c r="F1146" i="57" a="1"/>
  <c r="F1146" i="57" s="1"/>
  <c r="G1272" i="57" a="1"/>
  <c r="G1272" i="57" s="1"/>
  <c r="F1272" i="57" a="1"/>
  <c r="F1272" i="57" s="1"/>
  <c r="G1428" i="57" a="1"/>
  <c r="G1428" i="57" s="1"/>
  <c r="F1428" i="57" a="1"/>
  <c r="F1428" i="57" s="1"/>
  <c r="G716" i="57" a="1"/>
  <c r="G716" i="57" s="1"/>
  <c r="F716" i="57" a="1"/>
  <c r="F716" i="57" s="1"/>
  <c r="G836" i="57" a="1"/>
  <c r="G836" i="57" s="1"/>
  <c r="F836" i="57" a="1"/>
  <c r="F836" i="57" s="1"/>
  <c r="G998" i="57" a="1"/>
  <c r="G998" i="57" s="1"/>
  <c r="F998" i="57" a="1"/>
  <c r="F998" i="57" s="1"/>
  <c r="G1160" i="57" a="1"/>
  <c r="G1160" i="57" s="1"/>
  <c r="F1160" i="57" a="1"/>
  <c r="F1160" i="57" s="1"/>
  <c r="G1322" i="57" a="1"/>
  <c r="G1322" i="57" s="1"/>
  <c r="F1322" i="57" a="1"/>
  <c r="F1322" i="57" s="1"/>
  <c r="G669" i="57" a="1"/>
  <c r="G669" i="57" s="1"/>
  <c r="F669" i="57" a="1"/>
  <c r="F669" i="57" s="1"/>
  <c r="G789" i="57" a="1"/>
  <c r="G789" i="57" s="1"/>
  <c r="F789" i="57" a="1"/>
  <c r="F789" i="57" s="1"/>
  <c r="G1083" i="57" a="1"/>
  <c r="G1083" i="57" s="1"/>
  <c r="F1083" i="57" a="1"/>
  <c r="F1083" i="57" s="1"/>
  <c r="G1425" i="57" a="1"/>
  <c r="G1425" i="57" s="1"/>
  <c r="F1425" i="57" a="1"/>
  <c r="F1425" i="57" s="1"/>
  <c r="G910" i="57" a="1"/>
  <c r="G910" i="57" s="1"/>
  <c r="F910" i="57" a="1"/>
  <c r="F910" i="57" s="1"/>
  <c r="G1276" i="57" a="1"/>
  <c r="G1276" i="57" s="1"/>
  <c r="F1276" i="57" a="1"/>
  <c r="F1276" i="57" s="1"/>
  <c r="G1545" i="57" a="1"/>
  <c r="G1545" i="57" s="1"/>
  <c r="F1545" i="57" a="1"/>
  <c r="F1545" i="57" s="1"/>
  <c r="G1857" i="57" a="1"/>
  <c r="G1857" i="57" s="1"/>
  <c r="F1857" i="57" a="1"/>
  <c r="F1857" i="57" s="1"/>
  <c r="G1666" i="57" a="1"/>
  <c r="G1666" i="57" s="1"/>
  <c r="F1666" i="57" a="1"/>
  <c r="F1666" i="57" s="1"/>
  <c r="G1487" i="57" a="1"/>
  <c r="G1487" i="57" s="1"/>
  <c r="F1487" i="57" a="1"/>
  <c r="F1487" i="57" s="1"/>
  <c r="G1508" i="57" a="1"/>
  <c r="G1508" i="57" s="1"/>
  <c r="F1508" i="57" a="1"/>
  <c r="F1508" i="57" s="1"/>
  <c r="G2031" i="57" a="1"/>
  <c r="G2031" i="57" s="1"/>
  <c r="F2031" i="57" a="1"/>
  <c r="F2031" i="57" s="1"/>
  <c r="G336" i="57" a="1"/>
  <c r="G336" i="57" s="1"/>
  <c r="F336" i="57" a="1"/>
  <c r="F336" i="57" s="1"/>
  <c r="G552" i="57" a="1"/>
  <c r="G552" i="57" s="1"/>
  <c r="F552" i="57" a="1"/>
  <c r="F552" i="57" s="1"/>
  <c r="G837" i="57" a="1"/>
  <c r="G837" i="57" s="1"/>
  <c r="F837" i="57" a="1"/>
  <c r="F837" i="57" s="1"/>
  <c r="G1173" i="57" a="1"/>
  <c r="G1173" i="57" s="1"/>
  <c r="F1173" i="57" a="1"/>
  <c r="F1173" i="57" s="1"/>
  <c r="G646" i="57" a="1"/>
  <c r="G646" i="57" s="1"/>
  <c r="F646" i="57" a="1"/>
  <c r="F646" i="57" s="1"/>
  <c r="G1012" i="57" a="1"/>
  <c r="G1012" i="57" s="1"/>
  <c r="F1012" i="57" a="1"/>
  <c r="F1012" i="57" s="1"/>
  <c r="G1384" i="57" a="1"/>
  <c r="G1384" i="57" s="1"/>
  <c r="F1384" i="57" a="1"/>
  <c r="F1384" i="57" s="1"/>
  <c r="G1605" i="57" a="1"/>
  <c r="G1605" i="57" s="1"/>
  <c r="F1605" i="57" a="1"/>
  <c r="F1605" i="57" s="1"/>
  <c r="G1917" i="57" a="1"/>
  <c r="G1917" i="57" s="1"/>
  <c r="F1917" i="57" a="1"/>
  <c r="F1917" i="57" s="1"/>
  <c r="G1726" i="57" a="1"/>
  <c r="G1726" i="57" s="1"/>
  <c r="F1726" i="57" a="1"/>
  <c r="F1726" i="57" s="1"/>
  <c r="G1583" i="57" a="1"/>
  <c r="G1583" i="57" s="1"/>
  <c r="F1583" i="57" a="1"/>
  <c r="F1583" i="57" s="1"/>
  <c r="G1598" i="57" a="1"/>
  <c r="G1598" i="57" s="1"/>
  <c r="F1598" i="57" a="1"/>
  <c r="F1598" i="57" s="1"/>
  <c r="G831" i="57" a="1"/>
  <c r="G831" i="57" s="1"/>
  <c r="F831" i="57" a="1"/>
  <c r="F831" i="57" s="1"/>
  <c r="G951" i="57" a="1"/>
  <c r="G951" i="57" s="1"/>
  <c r="F951" i="57" a="1"/>
  <c r="F951" i="57" s="1"/>
  <c r="G1059" i="57" a="1"/>
  <c r="G1059" i="57" s="1"/>
  <c r="F1059" i="57" a="1"/>
  <c r="F1059" i="57" s="1"/>
  <c r="G1167" i="57" a="1"/>
  <c r="G1167" i="57" s="1"/>
  <c r="F1167" i="57" a="1"/>
  <c r="F1167" i="57" s="1"/>
  <c r="G1281" i="57" a="1"/>
  <c r="G1281" i="57" s="1"/>
  <c r="F1281" i="57" a="1"/>
  <c r="F1281" i="57" s="1"/>
  <c r="G1401" i="57" a="1"/>
  <c r="G1401" i="57" s="1"/>
  <c r="F1401" i="57" a="1"/>
  <c r="F1401" i="57" s="1"/>
  <c r="G640" i="57" a="1"/>
  <c r="G640" i="57" s="1"/>
  <c r="F640" i="57" a="1"/>
  <c r="F640" i="57" s="1"/>
  <c r="G754" i="57" a="1"/>
  <c r="G754" i="57" s="1"/>
  <c r="F754" i="57" a="1"/>
  <c r="F754" i="57" s="1"/>
  <c r="G886" i="57" a="1"/>
  <c r="G886" i="57" s="1"/>
  <c r="F886" i="57" a="1"/>
  <c r="F886" i="57" s="1"/>
  <c r="G1006" i="57" a="1"/>
  <c r="G1006" i="57" s="1"/>
  <c r="F1006" i="57" a="1"/>
  <c r="F1006" i="57" s="1"/>
  <c r="G1126" i="57" a="1"/>
  <c r="G1126" i="57" s="1"/>
  <c r="F1126" i="57" a="1"/>
  <c r="F1126" i="57" s="1"/>
  <c r="G1246" i="57" a="1"/>
  <c r="G1246" i="57" s="1"/>
  <c r="F1246" i="57" a="1"/>
  <c r="F1246" i="57" s="1"/>
  <c r="G1378" i="57" a="1"/>
  <c r="G1378" i="57" s="1"/>
  <c r="F1378" i="57" a="1"/>
  <c r="F1378" i="57" s="1"/>
  <c r="G1409" i="57" a="1"/>
  <c r="G1409" i="57" s="1"/>
  <c r="F1409" i="57" a="1"/>
  <c r="F1409" i="57" s="1"/>
  <c r="G1593" i="57" a="1"/>
  <c r="G1593" i="57" s="1"/>
  <c r="F1593" i="57" a="1"/>
  <c r="F1593" i="57" s="1"/>
  <c r="G1851" i="57" a="1"/>
  <c r="G1851" i="57" s="1"/>
  <c r="F1851" i="57" a="1"/>
  <c r="F1851" i="57" s="1"/>
  <c r="G1606" i="57" a="1"/>
  <c r="G1606" i="57" s="1"/>
  <c r="F1606" i="57" a="1"/>
  <c r="F1606" i="57" s="1"/>
  <c r="G1870" i="57" a="1"/>
  <c r="G1870" i="57" s="1"/>
  <c r="F1870" i="57" a="1"/>
  <c r="F1870" i="57" s="1"/>
  <c r="G1613" i="57" a="1"/>
  <c r="G1613" i="57" s="1"/>
  <c r="F1613" i="57" a="1"/>
  <c r="F1613" i="57" s="1"/>
  <c r="G1871" i="57" a="1"/>
  <c r="G1871" i="57" s="1"/>
  <c r="F1871" i="57" a="1"/>
  <c r="F1871" i="57" s="1"/>
  <c r="G1628" i="57" a="1"/>
  <c r="G1628" i="57" s="1"/>
  <c r="F1628" i="57" a="1"/>
  <c r="F1628" i="57" s="1"/>
  <c r="G1886" i="57" a="1"/>
  <c r="G1886" i="57" s="1"/>
  <c r="F1886" i="57" a="1"/>
  <c r="F1886" i="57" s="1"/>
  <c r="G2151" i="57" a="1"/>
  <c r="G2151" i="57" s="1"/>
  <c r="F2151" i="57" a="1"/>
  <c r="F2151" i="57" s="1"/>
  <c r="G2415" i="57" a="1"/>
  <c r="G2415" i="57" s="1"/>
  <c r="F2415" i="57" a="1"/>
  <c r="F2415" i="57" s="1"/>
  <c r="G2212" i="57" a="1"/>
  <c r="G2212" i="57" s="1"/>
  <c r="F2212" i="57" a="1"/>
  <c r="F2212" i="57" s="1"/>
  <c r="G2051" i="57" a="1"/>
  <c r="G2051" i="57" s="1"/>
  <c r="F2051" i="57" a="1"/>
  <c r="F2051" i="57" s="1"/>
  <c r="G2357" i="57" a="1"/>
  <c r="G2357" i="57" s="1"/>
  <c r="F2357" i="57" a="1"/>
  <c r="F2357" i="57" s="1"/>
  <c r="G2216" i="57" a="1"/>
  <c r="G2216" i="57" s="1"/>
  <c r="F2216" i="57" a="1"/>
  <c r="F2216" i="57" s="1"/>
  <c r="G127" i="57" a="1"/>
  <c r="G127" i="57" s="1"/>
  <c r="F127" i="57" a="1"/>
  <c r="F127" i="57" s="1"/>
  <c r="G1488" i="57" a="1"/>
  <c r="G1488" i="57" s="1"/>
  <c r="F1488" i="57" a="1"/>
  <c r="F1488" i="57" s="1"/>
  <c r="G1681" i="57" a="1"/>
  <c r="G1681" i="57" s="1"/>
  <c r="F1681" i="57" a="1"/>
  <c r="F1681" i="57" s="1"/>
  <c r="G1927" i="57" a="1"/>
  <c r="G1927" i="57" s="1"/>
  <c r="F1927" i="57" a="1"/>
  <c r="F1927" i="57" s="1"/>
  <c r="G2157" i="57" a="1"/>
  <c r="G2157" i="57" s="1"/>
  <c r="F2157" i="57" a="1"/>
  <c r="F2157" i="57" s="1"/>
  <c r="G2421" i="57" a="1"/>
  <c r="G2421" i="57" s="1"/>
  <c r="F2421" i="57" a="1"/>
  <c r="F2421" i="57" s="1"/>
  <c r="G2218" i="57" a="1"/>
  <c r="G2218" i="57" s="1"/>
  <c r="F2218" i="57" a="1"/>
  <c r="F2218" i="57" s="1"/>
  <c r="G2057" i="57" a="1"/>
  <c r="G2057" i="57" s="1"/>
  <c r="F2057" i="57" a="1"/>
  <c r="F2057" i="57" s="1"/>
  <c r="G2375" i="57" a="1"/>
  <c r="G2375" i="57" s="1"/>
  <c r="F2375" i="57" a="1"/>
  <c r="F2375" i="57" s="1"/>
  <c r="G2222" i="57" a="1"/>
  <c r="G2222" i="57" s="1"/>
  <c r="F2222" i="57" a="1"/>
  <c r="F2222" i="57" s="1"/>
  <c r="G133" i="57" a="1"/>
  <c r="G133" i="57" s="1"/>
  <c r="F133" i="57" a="1"/>
  <c r="F133" i="57" s="1"/>
  <c r="G1494" i="57" a="1"/>
  <c r="G1494" i="57" s="1"/>
  <c r="F1494" i="57" a="1"/>
  <c r="F1494" i="57" s="1"/>
  <c r="G2474" i="57" a="1"/>
  <c r="G2474" i="57" s="1"/>
  <c r="F2474" i="57" a="1"/>
  <c r="F2474" i="57" s="1"/>
  <c r="G1969" i="57" a="1"/>
  <c r="G1969" i="57" s="1"/>
  <c r="F1969" i="57" a="1"/>
  <c r="F1969" i="57" s="1"/>
  <c r="G2205" i="57" a="1"/>
  <c r="G2205" i="57" s="1"/>
  <c r="F2205" i="57" a="1"/>
  <c r="F2205" i="57" s="1"/>
  <c r="G1966" i="57" a="1"/>
  <c r="G1966" i="57" s="1"/>
  <c r="F1966" i="57" a="1"/>
  <c r="F1966" i="57" s="1"/>
  <c r="G2284" i="57" a="1"/>
  <c r="G2284" i="57" s="1"/>
  <c r="F2284" i="57" a="1"/>
  <c r="F2284" i="57" s="1"/>
  <c r="G2123" i="57" a="1"/>
  <c r="G2123" i="57" s="1"/>
  <c r="F2123" i="57" a="1"/>
  <c r="F2123" i="57" s="1"/>
  <c r="G1970" i="57" a="1"/>
  <c r="G1970" i="57" s="1"/>
  <c r="F1970" i="57" a="1"/>
  <c r="F1970" i="57" s="1"/>
  <c r="G2282" i="57" a="1"/>
  <c r="G2282" i="57" s="1"/>
  <c r="F2282" i="57" a="1"/>
  <c r="F2282" i="57" s="1"/>
  <c r="G217" i="57" a="1"/>
  <c r="G217" i="57" s="1"/>
  <c r="F217" i="57" a="1"/>
  <c r="F217" i="57" s="1"/>
  <c r="G1572" i="57" a="1"/>
  <c r="G1572" i="57" s="1"/>
  <c r="F1572" i="57" a="1"/>
  <c r="F1572" i="57" s="1"/>
  <c r="G481" i="57" a="1"/>
  <c r="G481" i="57" s="1"/>
  <c r="F481" i="57" a="1"/>
  <c r="F481" i="57" s="1"/>
  <c r="G738" i="57" a="1"/>
  <c r="G738" i="57" s="1"/>
  <c r="F738" i="57" a="1"/>
  <c r="F738" i="57" s="1"/>
  <c r="G2259" i="57" a="1"/>
  <c r="G2259" i="57" s="1"/>
  <c r="F2259" i="57" a="1"/>
  <c r="F2259" i="57" s="1"/>
  <c r="G2032" i="57" a="1"/>
  <c r="G2032" i="57" s="1"/>
  <c r="F2032" i="57" a="1"/>
  <c r="F2032" i="57" s="1"/>
  <c r="G2344" i="57" a="1"/>
  <c r="G2344" i="57" s="1"/>
  <c r="F2344" i="57" a="1"/>
  <c r="F2344" i="57" s="1"/>
  <c r="G2177" i="57" a="1"/>
  <c r="G2177" i="57" s="1"/>
  <c r="F2177" i="57" a="1"/>
  <c r="F2177" i="57" s="1"/>
  <c r="G2030" i="57" a="1"/>
  <c r="G2030" i="57" s="1"/>
  <c r="F2030" i="57" a="1"/>
  <c r="F2030" i="57" s="1"/>
  <c r="G2354" i="57" a="1"/>
  <c r="G2354" i="57" s="1"/>
  <c r="F2354" i="57" a="1"/>
  <c r="F2354" i="57" s="1"/>
  <c r="F13" i="57" a="1"/>
  <c r="F13" i="57" s="1"/>
  <c r="G1656" i="57" a="1"/>
  <c r="G1656" i="57" s="1"/>
  <c r="F1656" i="57" a="1"/>
  <c r="F1656" i="57" s="1"/>
  <c r="G1154" i="57" a="1"/>
  <c r="G1154" i="57" s="1"/>
  <c r="F1154" i="57" a="1"/>
  <c r="F1154" i="57" s="1"/>
  <c r="G1315" i="57" a="1"/>
  <c r="G1315" i="57" s="1"/>
  <c r="F1315" i="57" a="1"/>
  <c r="F1315" i="57" s="1"/>
  <c r="G1685" i="57" a="1"/>
  <c r="G1685" i="57" s="1"/>
  <c r="F1685" i="57" a="1"/>
  <c r="F1685" i="57" s="1"/>
  <c r="G1943" i="57" a="1"/>
  <c r="G1943" i="57" s="1"/>
  <c r="F1943" i="57" a="1"/>
  <c r="F1943" i="57" s="1"/>
  <c r="G1700" i="57" a="1"/>
  <c r="G1700" i="57" s="1"/>
  <c r="F1700" i="57" a="1"/>
  <c r="F1700" i="57" s="1"/>
  <c r="G1959" i="57" a="1"/>
  <c r="G1959" i="57" s="1"/>
  <c r="F1959" i="57" a="1"/>
  <c r="F1959" i="57" s="1"/>
  <c r="G2223" i="57" a="1"/>
  <c r="G2223" i="57" s="1"/>
  <c r="F2223" i="57" a="1"/>
  <c r="F2223" i="57" s="1"/>
  <c r="G1990" i="57" a="1"/>
  <c r="G1990" i="57" s="1"/>
  <c r="F1990" i="57" a="1"/>
  <c r="F1990" i="57" s="1"/>
  <c r="G2302" i="57" a="1"/>
  <c r="G2302" i="57" s="1"/>
  <c r="F2302" i="57" a="1"/>
  <c r="F2302" i="57" s="1"/>
  <c r="G2135" i="57" a="1"/>
  <c r="G2135" i="57" s="1"/>
  <c r="F2135" i="57" a="1"/>
  <c r="F2135" i="57" s="1"/>
  <c r="G1988" i="57" a="1"/>
  <c r="G1988" i="57" s="1"/>
  <c r="F1988" i="57" a="1"/>
  <c r="F1988" i="57" s="1"/>
  <c r="G2306" i="57" a="1"/>
  <c r="G2306" i="57" s="1"/>
  <c r="F2306" i="57" a="1"/>
  <c r="F2306" i="57" s="1"/>
  <c r="G2434" i="57" a="1"/>
  <c r="G2434" i="57" s="1"/>
  <c r="F2434" i="57" a="1"/>
  <c r="F2434" i="57" s="1"/>
  <c r="G1602" i="57" a="1"/>
  <c r="G1602" i="57" s="1"/>
  <c r="F1602" i="57" a="1"/>
  <c r="F1602" i="57" s="1"/>
  <c r="G565" i="57" a="1"/>
  <c r="G565" i="57" s="1"/>
  <c r="F565" i="57" a="1"/>
  <c r="F565" i="57" s="1"/>
  <c r="G1302" i="57" a="1"/>
  <c r="G1302" i="57" s="1"/>
  <c r="F1302" i="57" a="1"/>
  <c r="F1302" i="57" s="1"/>
  <c r="G1607" i="57" a="1"/>
  <c r="G1607" i="57" s="1"/>
  <c r="F1607" i="57" a="1"/>
  <c r="F1607" i="57" s="1"/>
  <c r="G1865" i="57" a="1"/>
  <c r="G1865" i="57" s="1"/>
  <c r="F1865" i="57" a="1"/>
  <c r="F1865" i="57" s="1"/>
  <c r="G1622" i="57" a="1"/>
  <c r="G1622" i="57" s="1"/>
  <c r="F1622" i="57" a="1"/>
  <c r="F1622" i="57" s="1"/>
  <c r="G1880" i="57" a="1"/>
  <c r="G1880" i="57" s="1"/>
  <c r="F1880" i="57" a="1"/>
  <c r="F1880" i="57" s="1"/>
  <c r="G2139" i="57" a="1"/>
  <c r="G2139" i="57" s="1"/>
  <c r="F2139" i="57" a="1"/>
  <c r="F2139" i="57" s="1"/>
  <c r="G2403" i="57" a="1"/>
  <c r="G2403" i="57" s="1"/>
  <c r="F2403" i="57" a="1"/>
  <c r="F2403" i="57" s="1"/>
  <c r="G2206" i="57" a="1"/>
  <c r="G2206" i="57" s="1"/>
  <c r="F2206" i="57" a="1"/>
  <c r="F2206" i="57" s="1"/>
  <c r="G2045" i="57" a="1"/>
  <c r="G2045" i="57" s="1"/>
  <c r="F2045" i="57" a="1"/>
  <c r="F2045" i="57" s="1"/>
  <c r="G2351" i="57" a="1"/>
  <c r="G2351" i="57" s="1"/>
  <c r="F2351" i="57" a="1"/>
  <c r="F2351" i="57" s="1"/>
  <c r="G2204" i="57" a="1"/>
  <c r="G2204" i="57" s="1"/>
  <c r="F2204" i="57" a="1"/>
  <c r="F2204" i="57" s="1"/>
  <c r="G121" i="57" a="1"/>
  <c r="G121" i="57" s="1"/>
  <c r="F121" i="57" a="1"/>
  <c r="F121" i="57" s="1"/>
  <c r="G1482" i="57" a="1"/>
  <c r="G1482" i="57" s="1"/>
  <c r="F1482" i="57" a="1"/>
  <c r="F1482" i="57" s="1"/>
  <c r="G1639" i="57" a="1"/>
  <c r="G1639" i="57" s="1"/>
  <c r="F1639" i="57" a="1"/>
  <c r="F1639" i="57" s="1"/>
  <c r="G1885" i="57" a="1"/>
  <c r="G1885" i="57" s="1"/>
  <c r="F1885" i="57" a="1"/>
  <c r="F1885" i="57" s="1"/>
  <c r="G1539" i="57" a="1"/>
  <c r="G1539" i="57" s="1"/>
  <c r="F1539" i="57" a="1"/>
  <c r="F1539" i="57" s="1"/>
  <c r="G1755" i="57" a="1"/>
  <c r="G1755" i="57" s="1"/>
  <c r="F1755" i="57" a="1"/>
  <c r="F1755" i="57" s="1"/>
  <c r="G1468" i="57" a="1"/>
  <c r="G1468" i="57" s="1"/>
  <c r="F1468" i="57" a="1"/>
  <c r="F1468" i="57" s="1"/>
  <c r="G1684" i="57" a="1"/>
  <c r="G1684" i="57" s="1"/>
  <c r="F1684" i="57" a="1"/>
  <c r="F1684" i="57" s="1"/>
  <c r="G1900" i="57" a="1"/>
  <c r="G1900" i="57" s="1"/>
  <c r="F1900" i="57" a="1"/>
  <c r="F1900" i="57" s="1"/>
  <c r="G1601" i="57" a="1"/>
  <c r="G1601" i="57" s="1"/>
  <c r="F1601" i="57" a="1"/>
  <c r="F1601" i="57" s="1"/>
  <c r="G1817" i="57" a="1"/>
  <c r="G1817" i="57" s="1"/>
  <c r="F1817" i="57" a="1"/>
  <c r="F1817" i="57" s="1"/>
  <c r="G1532" i="57" a="1"/>
  <c r="G1532" i="57" s="1"/>
  <c r="F1532" i="57" a="1"/>
  <c r="F1532" i="57" s="1"/>
  <c r="G1748" i="57" a="1"/>
  <c r="G1748" i="57" s="1"/>
  <c r="F1748" i="57" a="1"/>
  <c r="F1748" i="57" s="1"/>
  <c r="G1965" i="57" a="1"/>
  <c r="G1965" i="57" s="1"/>
  <c r="F1965" i="57" a="1"/>
  <c r="F1965" i="57" s="1"/>
  <c r="G2181" i="57" a="1"/>
  <c r="G2181" i="57" s="1"/>
  <c r="F2181" i="57" a="1"/>
  <c r="F2181" i="57" s="1"/>
  <c r="G2397" i="57" a="1"/>
  <c r="G2397" i="57" s="1"/>
  <c r="F2397" i="57" a="1"/>
  <c r="F2397" i="57" s="1"/>
  <c r="G2146" i="57" a="1"/>
  <c r="G2146" i="57" s="1"/>
  <c r="F2146" i="57" a="1"/>
  <c r="F2146" i="57" s="1"/>
  <c r="G2410" i="57" a="1"/>
  <c r="G2410" i="57" s="1"/>
  <c r="F2410" i="57" a="1"/>
  <c r="F2410" i="57" s="1"/>
  <c r="G2195" i="57" a="1"/>
  <c r="G2195" i="57" s="1"/>
  <c r="F2195" i="57" a="1"/>
  <c r="F2195" i="57" s="1"/>
  <c r="G1994" i="57" a="1"/>
  <c r="G1994" i="57" s="1"/>
  <c r="F1994" i="57" a="1"/>
  <c r="F1994" i="57" s="1"/>
  <c r="G2252" i="57" a="1"/>
  <c r="G2252" i="57" s="1"/>
  <c r="F2252" i="57" a="1"/>
  <c r="F2252" i="57" s="1"/>
  <c r="G61" i="57" a="1"/>
  <c r="G61" i="57" s="1"/>
  <c r="F61" i="57" a="1"/>
  <c r="F61" i="57" s="1"/>
  <c r="G158" i="57" a="1"/>
  <c r="G158" i="57" s="1"/>
  <c r="F158" i="57" a="1"/>
  <c r="F158" i="57" s="1"/>
  <c r="G1554" i="57" a="1"/>
  <c r="G1554" i="57" s="1"/>
  <c r="F1554" i="57" a="1"/>
  <c r="F1554" i="57" s="1"/>
  <c r="G1812" i="57" a="1"/>
  <c r="G1812" i="57" s="1"/>
  <c r="F1812" i="57" a="1"/>
  <c r="F1812" i="57" s="1"/>
  <c r="G1579" i="57" a="1"/>
  <c r="G1579" i="57" s="1"/>
  <c r="F1579" i="57" a="1"/>
  <c r="F1579" i="57" s="1"/>
  <c r="G289" i="57" a="1"/>
  <c r="G289" i="57" s="1"/>
  <c r="F289" i="57" a="1"/>
  <c r="F289" i="57" s="1"/>
  <c r="G553" i="57" a="1"/>
  <c r="G553" i="57" s="1"/>
  <c r="F553" i="57" a="1"/>
  <c r="F553" i="57" s="1"/>
  <c r="G1244" i="57" a="1"/>
  <c r="G1244" i="57" s="1"/>
  <c r="F1244" i="57" a="1"/>
  <c r="F1244" i="57" s="1"/>
  <c r="G2082" i="57" a="1"/>
  <c r="G2082" i="57" s="1"/>
  <c r="F2082" i="57" a="1"/>
  <c r="F2082" i="57" s="1"/>
  <c r="G2340" i="57" a="1"/>
  <c r="G2340" i="57" s="1"/>
  <c r="F2340" i="57" a="1"/>
  <c r="F2340" i="57" s="1"/>
  <c r="G1825" i="57" a="1"/>
  <c r="G1825" i="57" s="1"/>
  <c r="F1825" i="57" a="1"/>
  <c r="F1825" i="57" s="1"/>
  <c r="G2089" i="57" a="1"/>
  <c r="G2089" i="57" s="1"/>
  <c r="F2089" i="57" a="1"/>
  <c r="F2089" i="57" s="1"/>
  <c r="G1116" i="57" a="1"/>
  <c r="G1116" i="57" s="1"/>
  <c r="F1116" i="57" a="1"/>
  <c r="F1116" i="57" s="1"/>
  <c r="G1393" i="57" a="1"/>
  <c r="G1393" i="57" s="1"/>
  <c r="F1393" i="57" a="1"/>
  <c r="F1393" i="57" s="1"/>
  <c r="G1501" i="57" a="1"/>
  <c r="G1501" i="57" s="1"/>
  <c r="F1501" i="57" a="1"/>
  <c r="F1501" i="57" s="1"/>
  <c r="G198" i="57" a="1"/>
  <c r="G198" i="57" s="1"/>
  <c r="F198" i="57" a="1"/>
  <c r="F198" i="57" s="1"/>
  <c r="G469" i="57" a="1"/>
  <c r="G469" i="57" s="1"/>
  <c r="F469" i="57" a="1"/>
  <c r="F469" i="57" s="1"/>
  <c r="G1010" i="57" a="1"/>
  <c r="G1010" i="57" s="1"/>
  <c r="F1010" i="57" a="1"/>
  <c r="F1010" i="57" s="1"/>
  <c r="G2004" i="57" a="1"/>
  <c r="G2004" i="57" s="1"/>
  <c r="F2004" i="57" a="1"/>
  <c r="F2004" i="57" s="1"/>
  <c r="G2262" i="57" a="1"/>
  <c r="G2262" i="57" s="1"/>
  <c r="F2262" i="57" a="1"/>
  <c r="F2262" i="57" s="1"/>
  <c r="G1747" i="57" a="1"/>
  <c r="G1747" i="57" s="1"/>
  <c r="F1747" i="57" a="1"/>
  <c r="F1747" i="57" s="1"/>
  <c r="G2005" i="57" a="1"/>
  <c r="G2005" i="57" s="1"/>
  <c r="F2005" i="57" a="1"/>
  <c r="F2005" i="57" s="1"/>
  <c r="G726" i="57" a="1"/>
  <c r="G726" i="57" s="1"/>
  <c r="F726" i="57" a="1"/>
  <c r="F726" i="57" s="1"/>
  <c r="G1195" i="57" a="1"/>
  <c r="G1195" i="57" s="1"/>
  <c r="F1195" i="57" a="1"/>
  <c r="F1195" i="57" s="1"/>
  <c r="G1878" i="57" a="1"/>
  <c r="G1878" i="57" s="1"/>
  <c r="F1878" i="57" a="1"/>
  <c r="F1878" i="57" s="1"/>
  <c r="G1645" i="57" a="1"/>
  <c r="G1645" i="57" s="1"/>
  <c r="F1645" i="57" a="1"/>
  <c r="F1645" i="57" s="1"/>
  <c r="G355" i="57" a="1"/>
  <c r="G355" i="57" s="1"/>
  <c r="F355" i="57" a="1"/>
  <c r="F355" i="57" s="1"/>
  <c r="G613" i="57" a="1"/>
  <c r="G613" i="57" s="1"/>
  <c r="F613" i="57" a="1"/>
  <c r="F613" i="57" s="1"/>
  <c r="G351" i="57" a="1"/>
  <c r="G351" i="57" s="1"/>
  <c r="F351" i="57" a="1"/>
  <c r="F351" i="57" s="1"/>
  <c r="G2148" i="57" a="1"/>
  <c r="G2148" i="57" s="1"/>
  <c r="F2148" i="57" a="1"/>
  <c r="F2148" i="57" s="1"/>
  <c r="G2406" i="57" a="1"/>
  <c r="G2406" i="57" s="1"/>
  <c r="F2406" i="57" a="1"/>
  <c r="F2406" i="57" s="1"/>
  <c r="G1891" i="57" a="1"/>
  <c r="G1891" i="57" s="1"/>
  <c r="F1891" i="57" a="1"/>
  <c r="F1891" i="57" s="1"/>
  <c r="G2161" i="57" a="1"/>
  <c r="G2161" i="57" s="1"/>
  <c r="F2161" i="57" a="1"/>
  <c r="F2161" i="57" s="1"/>
  <c r="G889" i="57" a="1"/>
  <c r="G889" i="57" s="1"/>
  <c r="F889" i="57" a="1"/>
  <c r="F889" i="57" s="1"/>
  <c r="G772" i="57" a="1"/>
  <c r="G772" i="57" s="1"/>
  <c r="F772" i="57" a="1"/>
  <c r="F772" i="57" s="1"/>
  <c r="G1525" i="57" a="1"/>
  <c r="G1525" i="57" s="1"/>
  <c r="F1525" i="57" a="1"/>
  <c r="F1525" i="57" s="1"/>
  <c r="G235" i="57" a="1"/>
  <c r="G235" i="57" s="1"/>
  <c r="F235" i="57" a="1"/>
  <c r="F235" i="57" s="1"/>
  <c r="G493" i="57" a="1"/>
  <c r="G493" i="57" s="1"/>
  <c r="F493" i="57" a="1"/>
  <c r="F493" i="57" s="1"/>
  <c r="G1064" i="57" a="1"/>
  <c r="G1064" i="57" s="1"/>
  <c r="F1064" i="57" a="1"/>
  <c r="F1064" i="57" s="1"/>
  <c r="G2022" i="57" a="1"/>
  <c r="G2022" i="57" s="1"/>
  <c r="F2022" i="57" a="1"/>
  <c r="F2022" i="57" s="1"/>
  <c r="G2286" i="57" a="1"/>
  <c r="G2286" i="57" s="1"/>
  <c r="F2286" i="57" a="1"/>
  <c r="F2286" i="57" s="1"/>
  <c r="G1771" i="57" a="1"/>
  <c r="G1771" i="57" s="1"/>
  <c r="F1771" i="57" a="1"/>
  <c r="F1771" i="57" s="1"/>
  <c r="G2029" i="57" a="1"/>
  <c r="G2029" i="57" s="1"/>
  <c r="F2029" i="57" a="1"/>
  <c r="F2029" i="57" s="1"/>
  <c r="G768" i="57" a="1"/>
  <c r="G768" i="57" s="1"/>
  <c r="F768" i="57" a="1"/>
  <c r="F768" i="57" s="1"/>
  <c r="G1237" i="57" a="1"/>
  <c r="G1237" i="57" s="1"/>
  <c r="F1237" i="57" a="1"/>
  <c r="F1237" i="57" s="1"/>
  <c r="G2420" i="57" a="1"/>
  <c r="G2420" i="57" s="1"/>
  <c r="F2420" i="57" a="1"/>
  <c r="F2420" i="57" s="1"/>
  <c r="G229" i="57" a="1"/>
  <c r="G229" i="57" s="1"/>
  <c r="F229" i="57" a="1"/>
  <c r="F229" i="57" s="1"/>
  <c r="G1458" i="57" a="1"/>
  <c r="G1458" i="57" s="1"/>
  <c r="F1458" i="57" a="1"/>
  <c r="F1458" i="57" s="1"/>
  <c r="G1716" i="57" a="1"/>
  <c r="G1716" i="57" s="1"/>
  <c r="F1716" i="57" a="1"/>
  <c r="F1716" i="57" s="1"/>
  <c r="G1489" i="57" a="1"/>
  <c r="G1489" i="57" s="1"/>
  <c r="F1489" i="57" a="1"/>
  <c r="F1489" i="57" s="1"/>
  <c r="G174" i="57" a="1"/>
  <c r="G174" i="57" s="1"/>
  <c r="F174" i="57" a="1"/>
  <c r="F174" i="57" s="1"/>
  <c r="G457" i="57" a="1"/>
  <c r="G457" i="57" s="1"/>
  <c r="F457" i="57" a="1"/>
  <c r="F457" i="57" s="1"/>
  <c r="G956" i="57" a="1"/>
  <c r="G956" i="57" s="1"/>
  <c r="F956" i="57" a="1"/>
  <c r="F956" i="57" s="1"/>
  <c r="G1986" i="57" a="1"/>
  <c r="G1986" i="57" s="1"/>
  <c r="F1986" i="57" a="1"/>
  <c r="F1986" i="57" s="1"/>
  <c r="G2250" i="57" a="1"/>
  <c r="G2250" i="57" s="1"/>
  <c r="F2250" i="57" a="1"/>
  <c r="F2250" i="57" s="1"/>
  <c r="G1735" i="57" a="1"/>
  <c r="G1735" i="57" s="1"/>
  <c r="F1735" i="57" a="1"/>
  <c r="F1735" i="57" s="1"/>
  <c r="G1993" i="57" a="1"/>
  <c r="G1993" i="57" s="1"/>
  <c r="F1993" i="57" a="1"/>
  <c r="F1993" i="57" s="1"/>
  <c r="G558" i="57" a="1"/>
  <c r="G558" i="57" s="1"/>
  <c r="F558" i="57" a="1"/>
  <c r="F558" i="57" s="1"/>
  <c r="G1147" i="57" a="1"/>
  <c r="G1147" i="57" s="1"/>
  <c r="F1147" i="57" a="1"/>
  <c r="F1147" i="57" s="1"/>
  <c r="G2445" i="57" a="1"/>
  <c r="G2445" i="57" s="1"/>
  <c r="F2445" i="57" a="1"/>
  <c r="F2445" i="57" s="1"/>
  <c r="G2152" i="57" a="1"/>
  <c r="G2152" i="57" s="1"/>
  <c r="F2152" i="57" a="1"/>
  <c r="F2152" i="57" s="1"/>
  <c r="G2368" i="57" a="1"/>
  <c r="G2368" i="57" s="1"/>
  <c r="F2368" i="57" a="1"/>
  <c r="F2368" i="57" s="1"/>
  <c r="G2111" i="57" a="1"/>
  <c r="G2111" i="57" s="1"/>
  <c r="F2111" i="57" a="1"/>
  <c r="F2111" i="57" s="1"/>
  <c r="G2327" i="57" a="1"/>
  <c r="G2327" i="57" s="1"/>
  <c r="F2327" i="57" a="1"/>
  <c r="F2327" i="57" s="1"/>
  <c r="G2084" i="57" a="1"/>
  <c r="G2084" i="57" s="1"/>
  <c r="F2084" i="57" a="1"/>
  <c r="F2084" i="57" s="1"/>
  <c r="G2300" i="57" a="1"/>
  <c r="G2300" i="57" s="1"/>
  <c r="F2300" i="57" a="1"/>
  <c r="F2300" i="57" s="1"/>
  <c r="G67" i="57" a="1"/>
  <c r="G67" i="57" s="1"/>
  <c r="F67" i="57" a="1"/>
  <c r="F67" i="57" s="1"/>
  <c r="G2476" i="57" a="1"/>
  <c r="G2476" i="57" s="1"/>
  <c r="F2476" i="57" a="1"/>
  <c r="F2476" i="57" s="1"/>
  <c r="G1470" i="57" a="1"/>
  <c r="G1470" i="57" s="1"/>
  <c r="F1470" i="57" a="1"/>
  <c r="F1470" i="57" s="1"/>
  <c r="G1686" i="57" a="1"/>
  <c r="G1686" i="57" s="1"/>
  <c r="F1686" i="57" a="1"/>
  <c r="F1686" i="57" s="1"/>
  <c r="G1902" i="57" a="1"/>
  <c r="G1902" i="57" s="1"/>
  <c r="F1902" i="57" a="1"/>
  <c r="F1902" i="57" s="1"/>
  <c r="G1627" i="57" a="1"/>
  <c r="G1627" i="57" s="1"/>
  <c r="F1627" i="57" a="1"/>
  <c r="F1627" i="57" s="1"/>
  <c r="G295" i="57" a="1"/>
  <c r="G295" i="57" s="1"/>
  <c r="F295" i="57" a="1"/>
  <c r="F295" i="57" s="1"/>
  <c r="G511" i="57" a="1"/>
  <c r="G511" i="57" s="1"/>
  <c r="F511" i="57" a="1"/>
  <c r="F511" i="57" s="1"/>
  <c r="G992" i="57" a="1"/>
  <c r="G992" i="57" s="1"/>
  <c r="F992" i="57" a="1"/>
  <c r="F992" i="57" s="1"/>
  <c r="G1956" i="57" a="1"/>
  <c r="G1956" i="57" s="1"/>
  <c r="F1956" i="57" a="1"/>
  <c r="F1956" i="57" s="1"/>
  <c r="G2172" i="57" a="1"/>
  <c r="G2172" i="57" s="1"/>
  <c r="F2172" i="57" a="1"/>
  <c r="F2172" i="57" s="1"/>
  <c r="G2388" i="57" a="1"/>
  <c r="G2388" i="57" s="1"/>
  <c r="F2388" i="57" a="1"/>
  <c r="F2388" i="57" s="1"/>
  <c r="G1831" i="57" a="1"/>
  <c r="G1831" i="57" s="1"/>
  <c r="F1831" i="57" a="1"/>
  <c r="F1831" i="57" s="1"/>
  <c r="G2047" i="57" a="1"/>
  <c r="G2047" i="57" s="1"/>
  <c r="F2047" i="57" a="1"/>
  <c r="F2047" i="57" s="1"/>
  <c r="G462" i="57" a="1"/>
  <c r="G462" i="57" s="1"/>
  <c r="F462" i="57" a="1"/>
  <c r="F462" i="57" s="1"/>
  <c r="G871" i="57" a="1"/>
  <c r="G871" i="57" s="1"/>
  <c r="F871" i="57" a="1"/>
  <c r="F871" i="57" s="1"/>
  <c r="G1339" i="57" a="1"/>
  <c r="G1339" i="57" s="1"/>
  <c r="F1339" i="57" a="1"/>
  <c r="F1339" i="57" s="1"/>
  <c r="G1258" i="57" a="1"/>
  <c r="G1258" i="57" s="1"/>
  <c r="F1258" i="57" a="1"/>
  <c r="F1258" i="57" s="1"/>
  <c r="G2329" i="57" a="1"/>
  <c r="G2329" i="57" s="1"/>
  <c r="F2329" i="57" a="1"/>
  <c r="F2329" i="57" s="1"/>
  <c r="G691" i="57" a="1"/>
  <c r="G691" i="57" s="1"/>
  <c r="F691" i="57" a="1"/>
  <c r="F691" i="57" s="1"/>
  <c r="G973" i="57" a="1"/>
  <c r="G973" i="57" s="1"/>
  <c r="F973" i="57" a="1"/>
  <c r="F973" i="57" s="1"/>
  <c r="G1375" i="57" a="1"/>
  <c r="G1375" i="57" s="1"/>
  <c r="F1375" i="57" a="1"/>
  <c r="F1375" i="57" s="1"/>
  <c r="G160" i="57" a="1"/>
  <c r="G160" i="57" s="1"/>
  <c r="F160" i="57" a="1"/>
  <c r="F160" i="57" s="1"/>
  <c r="G2371" i="57" a="1"/>
  <c r="G2371" i="57" s="1"/>
  <c r="F2371" i="57" a="1"/>
  <c r="F2371" i="57" s="1"/>
  <c r="G733" i="57" a="1"/>
  <c r="G733" i="57" s="1"/>
  <c r="F733" i="57" a="1"/>
  <c r="F733" i="57" s="1"/>
  <c r="G1045" i="57" a="1"/>
  <c r="G1045" i="57" s="1"/>
  <c r="F1045" i="57" a="1"/>
  <c r="F1045" i="57" s="1"/>
  <c r="G2305" i="57" a="1"/>
  <c r="G2305" i="57" s="1"/>
  <c r="F2305" i="57" a="1"/>
  <c r="F2305" i="57" s="1"/>
  <c r="G667" i="57" a="1"/>
  <c r="G667" i="57" s="1"/>
  <c r="F667" i="57" a="1"/>
  <c r="F667" i="57" s="1"/>
  <c r="G931" i="57" a="1"/>
  <c r="G931" i="57" s="1"/>
  <c r="F931" i="57" a="1"/>
  <c r="F931" i="57" s="1"/>
  <c r="G1327" i="57" a="1"/>
  <c r="G1327" i="57" s="1"/>
  <c r="F1327" i="57" a="1"/>
  <c r="F1327" i="57" s="1"/>
  <c r="G940" i="57" a="1"/>
  <c r="G940" i="57" s="1"/>
  <c r="F940" i="57" a="1"/>
  <c r="F940" i="57" s="1"/>
  <c r="G2311" i="57" a="1"/>
  <c r="G2311" i="57" s="1"/>
  <c r="F2311" i="57" a="1"/>
  <c r="F2311" i="57" s="1"/>
  <c r="G673" i="57" a="1"/>
  <c r="G673" i="57" s="1"/>
  <c r="F673" i="57" a="1"/>
  <c r="F673" i="57" s="1"/>
  <c r="G943" i="57" a="1"/>
  <c r="G943" i="57" s="1"/>
  <c r="F943" i="57" a="1"/>
  <c r="F943" i="57" s="1"/>
  <c r="G1345" i="57" a="1"/>
  <c r="G1345" i="57" s="1"/>
  <c r="F1345" i="57" a="1"/>
  <c r="F1345" i="57" s="1"/>
  <c r="G1042" i="57" a="1"/>
  <c r="G1042" i="57" s="1"/>
  <c r="F1042" i="57" a="1"/>
  <c r="F1042" i="57" s="1"/>
  <c r="G2317" i="57" a="1"/>
  <c r="G2317" i="57" s="1"/>
  <c r="F2317" i="57" a="1"/>
  <c r="F2317" i="57" s="1"/>
  <c r="G679" i="57" a="1"/>
  <c r="G679" i="57" s="1"/>
  <c r="F679" i="57" a="1"/>
  <c r="F679" i="57" s="1"/>
  <c r="G955" i="57" a="1"/>
  <c r="G955" i="57" s="1"/>
  <c r="F955" i="57" a="1"/>
  <c r="F955" i="57" s="1"/>
  <c r="G1357" i="57" a="1"/>
  <c r="G1357" i="57" s="1"/>
  <c r="F1357" i="57" a="1"/>
  <c r="F1357" i="57" s="1"/>
  <c r="G672" i="57" a="1"/>
  <c r="G672" i="57" s="1"/>
  <c r="F672" i="57" a="1"/>
  <c r="F672" i="57" s="1"/>
  <c r="G937" i="57" a="1"/>
  <c r="G937" i="57" s="1"/>
  <c r="F937" i="57" a="1"/>
  <c r="F937" i="57" s="1"/>
  <c r="G1405" i="57" a="1"/>
  <c r="G1405" i="57" s="1"/>
  <c r="F1405" i="57" a="1"/>
  <c r="F1405" i="57" s="1"/>
  <c r="G88" i="57" a="1"/>
  <c r="G88" i="57" s="1"/>
  <c r="F88" i="57" a="1"/>
  <c r="F88" i="57" s="1"/>
  <c r="G2359" i="57" a="1"/>
  <c r="G2359" i="57" s="1"/>
  <c r="F2359" i="57" a="1"/>
  <c r="F2359" i="57" s="1"/>
  <c r="G721" i="57" a="1"/>
  <c r="G721" i="57" s="1"/>
  <c r="F721" i="57" a="1"/>
  <c r="F721" i="57" s="1"/>
  <c r="G1021" i="57" a="1"/>
  <c r="G1021" i="57" s="1"/>
  <c r="F1021" i="57" a="1"/>
  <c r="F1021" i="57" s="1"/>
  <c r="G1435" i="57" a="1"/>
  <c r="G1435" i="57" s="1"/>
  <c r="F1435" i="57" a="1"/>
  <c r="F1435" i="57" s="1"/>
  <c r="F19" i="57" a="1"/>
  <c r="F19" i="57" s="1"/>
  <c r="G290" i="57" a="1"/>
  <c r="G290" i="57" s="1"/>
  <c r="F290" i="57" a="1"/>
  <c r="F290" i="57" s="1"/>
  <c r="G518" i="57" a="1"/>
  <c r="G518" i="57" s="1"/>
  <c r="F518" i="57" a="1"/>
  <c r="F518" i="57" s="1"/>
  <c r="G495" i="57" a="1"/>
  <c r="G495" i="57" s="1"/>
  <c r="F495" i="57" a="1"/>
  <c r="F495" i="57" s="1"/>
  <c r="G207" i="57" a="1"/>
  <c r="G207" i="57" s="1"/>
  <c r="F207" i="57" a="1"/>
  <c r="F207" i="57" s="1"/>
  <c r="G543" i="57" a="1"/>
  <c r="G543" i="57" s="1"/>
  <c r="F543" i="57" a="1"/>
  <c r="F543" i="57" s="1"/>
  <c r="G340" i="57" a="1"/>
  <c r="G340" i="57" s="1"/>
  <c r="F340" i="57" a="1"/>
  <c r="F340" i="57" s="1"/>
  <c r="G119" i="57" a="1"/>
  <c r="G119" i="57" s="1"/>
  <c r="F119" i="57" a="1"/>
  <c r="F119" i="57" s="1"/>
  <c r="G443" i="57" a="1"/>
  <c r="G443" i="57" s="1"/>
  <c r="F443" i="57" a="1"/>
  <c r="F443" i="57" s="1"/>
  <c r="G767" i="57" a="1"/>
  <c r="G767" i="57" s="1"/>
  <c r="F767" i="57" a="1"/>
  <c r="F767" i="57" s="1"/>
  <c r="G2506" i="57" a="1"/>
  <c r="G2506" i="57" s="1"/>
  <c r="F2506" i="57" a="1"/>
  <c r="F2506" i="57" s="1"/>
  <c r="G38" i="57" a="1"/>
  <c r="G38" i="57" s="1"/>
  <c r="F38" i="57" a="1"/>
  <c r="F38" i="57" s="1"/>
  <c r="G182" i="57" a="1"/>
  <c r="G182" i="57" s="1"/>
  <c r="F182" i="57" a="1"/>
  <c r="F182" i="57" s="1"/>
  <c r="G320" i="57" a="1"/>
  <c r="G320" i="57" s="1"/>
  <c r="F320" i="57" a="1"/>
  <c r="F320" i="57" s="1"/>
  <c r="G440" i="57" a="1"/>
  <c r="G440" i="57" s="1"/>
  <c r="F440" i="57" a="1"/>
  <c r="F440" i="57" s="1"/>
  <c r="G123" i="57" a="1"/>
  <c r="G123" i="57" s="1"/>
  <c r="F123" i="57" a="1"/>
  <c r="F123" i="57" s="1"/>
  <c r="G459" i="57" a="1"/>
  <c r="G459" i="57" s="1"/>
  <c r="F459" i="57" a="1"/>
  <c r="F459" i="57" s="1"/>
  <c r="G250" i="57" a="1"/>
  <c r="G250" i="57" s="1"/>
  <c r="F250" i="57" a="1"/>
  <c r="F250" i="57" s="1"/>
  <c r="G35" i="57" a="1"/>
  <c r="G35" i="57" s="1"/>
  <c r="F35" i="57" a="1"/>
  <c r="F35" i="57" s="1"/>
  <c r="G359" i="57" a="1"/>
  <c r="G359" i="57" s="1"/>
  <c r="F359" i="57" a="1"/>
  <c r="F359" i="57" s="1"/>
  <c r="G683" i="57" a="1"/>
  <c r="G683" i="57" s="1"/>
  <c r="F683" i="57" a="1"/>
  <c r="F683" i="57" s="1"/>
  <c r="G2489" i="57" a="1"/>
  <c r="G2489" i="57" s="1"/>
  <c r="F2489" i="57" a="1"/>
  <c r="F2489" i="57" s="1"/>
  <c r="G39" i="57" a="1"/>
  <c r="G39" i="57" s="1"/>
  <c r="F39" i="57" a="1"/>
  <c r="F39" i="57" s="1"/>
  <c r="G399" i="57" a="1"/>
  <c r="G399" i="57" s="1"/>
  <c r="F399" i="57" a="1"/>
  <c r="F399" i="57" s="1"/>
  <c r="G172" i="57" a="1"/>
  <c r="G172" i="57" s="1"/>
  <c r="F172" i="57" a="1"/>
  <c r="F172" i="57" s="1"/>
  <c r="G2498" i="57" a="1"/>
  <c r="G2498" i="57" s="1"/>
  <c r="F2498" i="57" a="1"/>
  <c r="F2498" i="57" s="1"/>
  <c r="G299" i="57" a="1"/>
  <c r="G299" i="57" s="1"/>
  <c r="F299" i="57" a="1"/>
  <c r="F299" i="57" s="1"/>
  <c r="G623" i="57" a="1"/>
  <c r="G623" i="57" s="1"/>
  <c r="F623" i="57" a="1"/>
  <c r="F623" i="57" s="1"/>
  <c r="G72" i="57" a="1"/>
  <c r="G72" i="57" s="1"/>
  <c r="F72" i="57" a="1"/>
  <c r="F72" i="57" s="1"/>
  <c r="G284" i="57" a="1"/>
  <c r="G284" i="57" s="1"/>
  <c r="F284" i="57" a="1"/>
  <c r="F284" i="57" s="1"/>
  <c r="G470" i="57" a="1"/>
  <c r="G470" i="57" s="1"/>
  <c r="F470" i="57" a="1"/>
  <c r="F470" i="57" s="1"/>
  <c r="G195" i="57" a="1"/>
  <c r="G195" i="57" s="1"/>
  <c r="F195" i="57" a="1"/>
  <c r="F195" i="57" s="1"/>
  <c r="G531" i="57" a="1"/>
  <c r="G531" i="57" s="1"/>
  <c r="F531" i="57" a="1"/>
  <c r="F531" i="57" s="1"/>
  <c r="G322" i="57" a="1"/>
  <c r="G322" i="57" s="1"/>
  <c r="F322" i="57" a="1"/>
  <c r="F322" i="57" s="1"/>
  <c r="G107" i="57" a="1"/>
  <c r="G107" i="57" s="1"/>
  <c r="F107" i="57" a="1"/>
  <c r="F107" i="57" s="1"/>
  <c r="G431" i="57" a="1"/>
  <c r="G431" i="57" s="1"/>
  <c r="F431" i="57" a="1"/>
  <c r="F431" i="57" s="1"/>
  <c r="G755" i="57" a="1"/>
  <c r="G755" i="57" s="1"/>
  <c r="F755" i="57" a="1"/>
  <c r="F755" i="57" s="1"/>
  <c r="G2482" i="57" a="1"/>
  <c r="G2482" i="57" s="1"/>
  <c r="F2482" i="57" a="1"/>
  <c r="F2482" i="57" s="1"/>
  <c r="G2508" i="57" a="1"/>
  <c r="G2508" i="57" s="1"/>
  <c r="F2508" i="57" a="1"/>
  <c r="F2508" i="57" s="1"/>
  <c r="G363" i="57" a="1"/>
  <c r="G363" i="57" s="1"/>
  <c r="F363" i="57" a="1"/>
  <c r="F363" i="57" s="1"/>
  <c r="G124" i="57" a="1"/>
  <c r="G124" i="57" s="1"/>
  <c r="F124" i="57" a="1"/>
  <c r="F124" i="57" s="1"/>
  <c r="G520" i="57" a="1"/>
  <c r="G520" i="57" s="1"/>
  <c r="F520" i="57" a="1"/>
  <c r="F520" i="57" s="1"/>
  <c r="G263" i="57" a="1"/>
  <c r="G263" i="57" s="1"/>
  <c r="F263" i="57" a="1"/>
  <c r="F263" i="57" s="1"/>
  <c r="G587" i="57" a="1"/>
  <c r="G587" i="57" s="1"/>
  <c r="F587" i="57" a="1"/>
  <c r="F587" i="57" s="1"/>
  <c r="G30" i="57" a="1"/>
  <c r="G30" i="57" s="1"/>
  <c r="F30" i="57" a="1"/>
  <c r="F30" i="57" s="1"/>
  <c r="G50" i="57" a="1"/>
  <c r="G50" i="57" s="1"/>
  <c r="F50" i="57" a="1"/>
  <c r="F50" i="57" s="1"/>
  <c r="G434" i="57" a="1"/>
  <c r="G434" i="57" s="1"/>
  <c r="F434" i="57" a="1"/>
  <c r="F434" i="57" s="1"/>
  <c r="G28" i="57" a="1"/>
  <c r="G28" i="57" s="1"/>
  <c r="F28" i="57" a="1"/>
  <c r="F28" i="57" s="1"/>
  <c r="G490" i="57" a="1"/>
  <c r="G490" i="57" s="1"/>
  <c r="F490" i="57" a="1"/>
  <c r="F490" i="57" s="1"/>
  <c r="G245" i="57" a="1"/>
  <c r="G245" i="57" s="1"/>
  <c r="F245" i="57" a="1"/>
  <c r="F245" i="57" s="1"/>
  <c r="G569" i="57" a="1"/>
  <c r="G569" i="57" s="1"/>
  <c r="F569" i="57" a="1"/>
  <c r="F569" i="57" s="1"/>
  <c r="G1450" i="57" a="1"/>
  <c r="G1450" i="57" s="1"/>
  <c r="F1450" i="57" a="1"/>
  <c r="F1450" i="57" s="1"/>
  <c r="G170" i="57" a="1"/>
  <c r="G170" i="57" s="1"/>
  <c r="F170" i="57" a="1"/>
  <c r="F170" i="57" s="1"/>
  <c r="G176" i="57" a="1"/>
  <c r="G176" i="57" s="1"/>
  <c r="F176" i="57" a="1"/>
  <c r="F176" i="57" s="1"/>
  <c r="G33" i="57" a="1"/>
  <c r="G33" i="57" s="1"/>
  <c r="F33" i="57" a="1"/>
  <c r="F33" i="57" s="1"/>
  <c r="G279" i="57" a="1"/>
  <c r="G279" i="57" s="1"/>
  <c r="F279" i="57" a="1"/>
  <c r="F279" i="57" s="1"/>
  <c r="G519" i="57" a="1"/>
  <c r="G519" i="57" s="1"/>
  <c r="F519" i="57" a="1"/>
  <c r="F519" i="57" s="1"/>
  <c r="G238" i="57" a="1"/>
  <c r="G238" i="57" s="1"/>
  <c r="F238" i="57" a="1"/>
  <c r="F238" i="57" s="1"/>
  <c r="G460" i="57" a="1"/>
  <c r="G460" i="57" s="1"/>
  <c r="F460" i="57" a="1"/>
  <c r="F460" i="57" s="1"/>
  <c r="F23" i="57" a="1"/>
  <c r="F23" i="57" s="1"/>
  <c r="G131" i="57" a="1"/>
  <c r="G131" i="57" s="1"/>
  <c r="F131" i="57" a="1"/>
  <c r="F131" i="57" s="1"/>
  <c r="G257" i="57" a="1"/>
  <c r="G257" i="57" s="1"/>
  <c r="F257" i="57" a="1"/>
  <c r="F257" i="57" s="1"/>
  <c r="G365" i="57" a="1"/>
  <c r="G365" i="57" s="1"/>
  <c r="F365" i="57" a="1"/>
  <c r="F365" i="57" s="1"/>
  <c r="G473" i="57" a="1"/>
  <c r="G473" i="57" s="1"/>
  <c r="F473" i="57" a="1"/>
  <c r="F473" i="57" s="1"/>
  <c r="G581" i="57" a="1"/>
  <c r="G581" i="57" s="1"/>
  <c r="F581" i="57" a="1"/>
  <c r="F581" i="57" s="1"/>
  <c r="G689" i="57" a="1"/>
  <c r="G689" i="57" s="1"/>
  <c r="F689" i="57" a="1"/>
  <c r="F689" i="57" s="1"/>
  <c r="G797" i="57" a="1"/>
  <c r="G797" i="57" s="1"/>
  <c r="F797" i="57" a="1"/>
  <c r="F797" i="57" s="1"/>
  <c r="F24" i="57" a="1"/>
  <c r="F24" i="57" s="1"/>
  <c r="G144" i="57" a="1"/>
  <c r="G144" i="57" s="1"/>
  <c r="F144" i="57" a="1"/>
  <c r="F144" i="57" s="1"/>
  <c r="G288" i="57" a="1"/>
  <c r="G288" i="57" s="1"/>
  <c r="F288" i="57" a="1"/>
  <c r="F288" i="57" s="1"/>
  <c r="G420" i="57" a="1"/>
  <c r="G420" i="57" s="1"/>
  <c r="F420" i="57" a="1"/>
  <c r="F420" i="57" s="1"/>
  <c r="G564" i="57" a="1"/>
  <c r="G564" i="57" s="1"/>
  <c r="F564" i="57" a="1"/>
  <c r="F564" i="57" s="1"/>
  <c r="G899" i="57" a="1"/>
  <c r="G899" i="57" s="1"/>
  <c r="F899" i="57" a="1"/>
  <c r="F899" i="57" s="1"/>
  <c r="G1007" i="57" a="1"/>
  <c r="G1007" i="57" s="1"/>
  <c r="F1007" i="57" a="1"/>
  <c r="F1007" i="57" s="1"/>
  <c r="G1115" i="57" a="1"/>
  <c r="G1115" i="57" s="1"/>
  <c r="F1115" i="57" a="1"/>
  <c r="F1115" i="57" s="1"/>
  <c r="G1223" i="57" a="1"/>
  <c r="G1223" i="57" s="1"/>
  <c r="F1223" i="57" a="1"/>
  <c r="F1223" i="57" s="1"/>
  <c r="G1337" i="57" a="1"/>
  <c r="G1337" i="57" s="1"/>
  <c r="F1337" i="57" a="1"/>
  <c r="F1337" i="57" s="1"/>
  <c r="G708" i="57" a="1"/>
  <c r="G708" i="57" s="1"/>
  <c r="F708" i="57" a="1"/>
  <c r="F708" i="57" s="1"/>
  <c r="G864" i="57" a="1"/>
  <c r="G864" i="57" s="1"/>
  <c r="F864" i="57" a="1"/>
  <c r="F864" i="57" s="1"/>
  <c r="G1002" i="57" a="1"/>
  <c r="G1002" i="57" s="1"/>
  <c r="F1002" i="57" a="1"/>
  <c r="F1002" i="57" s="1"/>
  <c r="G1134" i="57" a="1"/>
  <c r="G1134" i="57" s="1"/>
  <c r="F1134" i="57" a="1"/>
  <c r="F1134" i="57" s="1"/>
  <c r="G1260" i="57" a="1"/>
  <c r="G1260" i="57" s="1"/>
  <c r="F1260" i="57" a="1"/>
  <c r="F1260" i="57" s="1"/>
  <c r="G1398" i="57" a="1"/>
  <c r="G1398" i="57" s="1"/>
  <c r="F1398" i="57" a="1"/>
  <c r="F1398" i="57" s="1"/>
  <c r="G704" i="57" a="1"/>
  <c r="G704" i="57" s="1"/>
  <c r="F704" i="57" a="1"/>
  <c r="F704" i="57" s="1"/>
  <c r="G824" i="57" a="1"/>
  <c r="G824" i="57" s="1"/>
  <c r="F824" i="57" a="1"/>
  <c r="F824" i="57" s="1"/>
  <c r="G980" i="57" a="1"/>
  <c r="G980" i="57" s="1"/>
  <c r="F980" i="57" a="1"/>
  <c r="F980" i="57" s="1"/>
  <c r="G1142" i="57" a="1"/>
  <c r="G1142" i="57" s="1"/>
  <c r="F1142" i="57" a="1"/>
  <c r="F1142" i="57" s="1"/>
  <c r="G1304" i="57" a="1"/>
  <c r="G1304" i="57" s="1"/>
  <c r="F1304" i="57" a="1"/>
  <c r="F1304" i="57" s="1"/>
  <c r="G657" i="57" a="1"/>
  <c r="G657" i="57" s="1"/>
  <c r="F657" i="57" a="1"/>
  <c r="F657" i="57" s="1"/>
  <c r="G771" i="57" a="1"/>
  <c r="G771" i="57" s="1"/>
  <c r="F771" i="57" a="1"/>
  <c r="F771" i="57" s="1"/>
  <c r="G1047" i="57" a="1"/>
  <c r="G1047" i="57" s="1"/>
  <c r="F1047" i="57" a="1"/>
  <c r="F1047" i="57" s="1"/>
  <c r="G1389" i="57" a="1"/>
  <c r="G1389" i="57" s="1"/>
  <c r="F1389" i="57" a="1"/>
  <c r="F1389" i="57" s="1"/>
  <c r="G868" i="57" a="1"/>
  <c r="G868" i="57" s="1"/>
  <c r="F868" i="57" a="1"/>
  <c r="F868" i="57" s="1"/>
  <c r="G1234" i="57" a="1"/>
  <c r="G1234" i="57" s="1"/>
  <c r="F1234" i="57" a="1"/>
  <c r="F1234" i="57" s="1"/>
  <c r="G1515" i="57" a="1"/>
  <c r="G1515" i="57" s="1"/>
  <c r="F1515" i="57" a="1"/>
  <c r="F1515" i="57" s="1"/>
  <c r="G1821" i="57" a="1"/>
  <c r="G1821" i="57" s="1"/>
  <c r="F1821" i="57" a="1"/>
  <c r="F1821" i="57" s="1"/>
  <c r="G1630" i="57" a="1"/>
  <c r="G1630" i="57" s="1"/>
  <c r="F1630" i="57" a="1"/>
  <c r="F1630" i="57" s="1"/>
  <c r="G1942" i="57" a="1"/>
  <c r="G1942" i="57" s="1"/>
  <c r="F1942" i="57" a="1"/>
  <c r="F1942" i="57" s="1"/>
  <c r="G1937" i="57" a="1"/>
  <c r="G1937" i="57" s="1"/>
  <c r="F1937" i="57" a="1"/>
  <c r="F1937" i="57" s="1"/>
  <c r="G1952" i="57" a="1"/>
  <c r="G1952" i="57" s="1"/>
  <c r="F1952" i="57" a="1"/>
  <c r="F1952" i="57" s="1"/>
  <c r="G57" i="57" a="1"/>
  <c r="G57" i="57" s="1"/>
  <c r="F57" i="57" a="1"/>
  <c r="F57" i="57" s="1"/>
  <c r="G297" i="57" a="1"/>
  <c r="G297" i="57" s="1"/>
  <c r="F297" i="57" a="1"/>
  <c r="F297" i="57" s="1"/>
  <c r="G501" i="57" a="1"/>
  <c r="G501" i="57" s="1"/>
  <c r="F501" i="57" a="1"/>
  <c r="F501" i="57" s="1"/>
  <c r="G118" i="57" a="1"/>
  <c r="G118" i="57" s="1"/>
  <c r="F118" i="57" a="1"/>
  <c r="F118" i="57" s="1"/>
  <c r="G382" i="57" a="1"/>
  <c r="G382" i="57" s="1"/>
  <c r="F382" i="57" a="1"/>
  <c r="F382" i="57" s="1"/>
  <c r="G963" i="57" a="1"/>
  <c r="G963" i="57" s="1"/>
  <c r="F963" i="57" a="1"/>
  <c r="F963" i="57" s="1"/>
  <c r="G1293" i="57" a="1"/>
  <c r="G1293" i="57" s="1"/>
  <c r="F1293" i="57" a="1"/>
  <c r="F1293" i="57" s="1"/>
  <c r="G778" i="57" a="1"/>
  <c r="G778" i="57" s="1"/>
  <c r="F778" i="57" a="1"/>
  <c r="F778" i="57" s="1"/>
  <c r="G1144" i="57" a="1"/>
  <c r="G1144" i="57" s="1"/>
  <c r="F1144" i="57" a="1"/>
  <c r="F1144" i="57" s="1"/>
  <c r="G1427" i="57" a="1"/>
  <c r="G1427" i="57" s="1"/>
  <c r="F1427" i="57" a="1"/>
  <c r="F1427" i="57" s="1"/>
  <c r="G1731" i="57" a="1"/>
  <c r="G1731" i="57" s="1"/>
  <c r="F1731" i="57" a="1"/>
  <c r="F1731" i="57" s="1"/>
  <c r="G1534" i="57" a="1"/>
  <c r="G1534" i="57" s="1"/>
  <c r="F1534" i="57" a="1"/>
  <c r="F1534" i="57" s="1"/>
  <c r="G1846" i="57" a="1"/>
  <c r="G1846" i="57" s="1"/>
  <c r="F1846" i="57" a="1"/>
  <c r="F1846" i="57" s="1"/>
  <c r="G1793" i="57" a="1"/>
  <c r="G1793" i="57" s="1"/>
  <c r="F1793" i="57" a="1"/>
  <c r="F1793" i="57" s="1"/>
  <c r="G1808" i="57" a="1"/>
  <c r="G1808" i="57" s="1"/>
  <c r="F1808" i="57" a="1"/>
  <c r="F1808" i="57" s="1"/>
  <c r="G492" i="57" a="1"/>
  <c r="G492" i="57" s="1"/>
  <c r="F492" i="57" a="1"/>
  <c r="F492" i="57" s="1"/>
  <c r="G977" i="57" a="1"/>
  <c r="G977" i="57" s="1"/>
  <c r="F977" i="57" a="1"/>
  <c r="F977" i="57" s="1"/>
  <c r="G1121" i="57" a="1"/>
  <c r="G1121" i="57" s="1"/>
  <c r="F1121" i="57" a="1"/>
  <c r="F1121" i="57" s="1"/>
  <c r="G1229" i="57" a="1"/>
  <c r="G1229" i="57" s="1"/>
  <c r="F1229" i="57" a="1"/>
  <c r="F1229" i="57" s="1"/>
  <c r="G1343" i="57" a="1"/>
  <c r="G1343" i="57" s="1"/>
  <c r="F1343" i="57" a="1"/>
  <c r="F1343" i="57" s="1"/>
  <c r="G720" i="57" a="1"/>
  <c r="G720" i="57" s="1"/>
  <c r="F720" i="57" a="1"/>
  <c r="F720" i="57" s="1"/>
  <c r="G876" i="57" a="1"/>
  <c r="G876" i="57" s="1"/>
  <c r="F876" i="57" a="1"/>
  <c r="F876" i="57" s="1"/>
  <c r="G1032" i="57" a="1"/>
  <c r="G1032" i="57" s="1"/>
  <c r="F1032" i="57" a="1"/>
  <c r="F1032" i="57" s="1"/>
  <c r="G1158" i="57" a="1"/>
  <c r="G1158" i="57" s="1"/>
  <c r="F1158" i="57" a="1"/>
  <c r="F1158" i="57" s="1"/>
  <c r="G1284" i="57" a="1"/>
  <c r="G1284" i="57" s="1"/>
  <c r="F1284" i="57" a="1"/>
  <c r="F1284" i="57" s="1"/>
  <c r="G608" i="57" a="1"/>
  <c r="G608" i="57" s="1"/>
  <c r="F608" i="57" a="1"/>
  <c r="F608" i="57" s="1"/>
  <c r="G728" i="57" a="1"/>
  <c r="G728" i="57" s="1"/>
  <c r="F728" i="57" a="1"/>
  <c r="F728" i="57" s="1"/>
  <c r="G854" i="57" a="1"/>
  <c r="G854" i="57" s="1"/>
  <c r="F854" i="57" a="1"/>
  <c r="F854" i="57" s="1"/>
  <c r="G1016" i="57" a="1"/>
  <c r="G1016" i="57" s="1"/>
  <c r="F1016" i="57" a="1"/>
  <c r="F1016" i="57" s="1"/>
  <c r="G1178" i="57" a="1"/>
  <c r="G1178" i="57" s="1"/>
  <c r="F1178" i="57" a="1"/>
  <c r="F1178" i="57" s="1"/>
  <c r="G1340" i="57" a="1"/>
  <c r="G1340" i="57" s="1"/>
  <c r="F1340" i="57" a="1"/>
  <c r="F1340" i="57" s="1"/>
  <c r="G681" i="57" a="1"/>
  <c r="G681" i="57" s="1"/>
  <c r="F681" i="57" a="1"/>
  <c r="F681" i="57" s="1"/>
  <c r="G801" i="57" a="1"/>
  <c r="G801" i="57" s="1"/>
  <c r="F801" i="57" a="1"/>
  <c r="F801" i="57" s="1"/>
  <c r="G1119" i="57" a="1"/>
  <c r="G1119" i="57" s="1"/>
  <c r="F1119" i="57" a="1"/>
  <c r="F1119" i="57" s="1"/>
  <c r="G574" i="57" a="1"/>
  <c r="G574" i="57" s="1"/>
  <c r="F574" i="57" a="1"/>
  <c r="F574" i="57" s="1"/>
  <c r="G958" i="57" a="1"/>
  <c r="G958" i="57" s="1"/>
  <c r="F958" i="57" a="1"/>
  <c r="F958" i="57" s="1"/>
  <c r="G1318" i="57" a="1"/>
  <c r="G1318" i="57" s="1"/>
  <c r="F1318" i="57" a="1"/>
  <c r="F1318" i="57" s="1"/>
  <c r="G1581" i="57" a="1"/>
  <c r="G1581" i="57" s="1"/>
  <c r="F1581" i="57" a="1"/>
  <c r="F1581" i="57" s="1"/>
  <c r="G1887" i="57" a="1"/>
  <c r="G1887" i="57" s="1"/>
  <c r="F1887" i="57" a="1"/>
  <c r="F1887" i="57" s="1"/>
  <c r="G1702" i="57" a="1"/>
  <c r="G1702" i="57" s="1"/>
  <c r="F1702" i="57" a="1"/>
  <c r="F1702" i="57" s="1"/>
  <c r="G1541" i="57" a="1"/>
  <c r="G1541" i="57" s="1"/>
  <c r="F1541" i="57" a="1"/>
  <c r="F1541" i="57" s="1"/>
  <c r="G1556" i="57" a="1"/>
  <c r="G1556" i="57" s="1"/>
  <c r="F1556" i="57" a="1"/>
  <c r="F1556" i="57" s="1"/>
  <c r="G270" i="57" a="1"/>
  <c r="G270" i="57" s="1"/>
  <c r="F270" i="57" a="1"/>
  <c r="F270" i="57" s="1"/>
  <c r="G510" i="57" a="1"/>
  <c r="G510" i="57" s="1"/>
  <c r="F510" i="57" a="1"/>
  <c r="F510" i="57" s="1"/>
  <c r="G923" i="57" a="1"/>
  <c r="G923" i="57" s="1"/>
  <c r="F923" i="57" a="1"/>
  <c r="F923" i="57" s="1"/>
  <c r="G921" i="57" a="1"/>
  <c r="G921" i="57" s="1"/>
  <c r="F921" i="57" a="1"/>
  <c r="F921" i="57" s="1"/>
  <c r="G1257" i="57" a="1"/>
  <c r="G1257" i="57" s="1"/>
  <c r="F1257" i="57" a="1"/>
  <c r="F1257" i="57" s="1"/>
  <c r="G730" i="57" a="1"/>
  <c r="G730" i="57" s="1"/>
  <c r="F730" i="57" a="1"/>
  <c r="F730" i="57" s="1"/>
  <c r="G1102" i="57" a="1"/>
  <c r="G1102" i="57" s="1"/>
  <c r="F1102" i="57" a="1"/>
  <c r="F1102" i="57" s="1"/>
  <c r="G1367" i="57" a="1"/>
  <c r="G1367" i="57" s="1"/>
  <c r="F1367" i="57" a="1"/>
  <c r="F1367" i="57" s="1"/>
  <c r="G1695" i="57" a="1"/>
  <c r="G1695" i="57" s="1"/>
  <c r="F1695" i="57" a="1"/>
  <c r="F1695" i="57" s="1"/>
  <c r="G1498" i="57" a="1"/>
  <c r="G1498" i="57" s="1"/>
  <c r="F1498" i="57" a="1"/>
  <c r="F1498" i="57" s="1"/>
  <c r="G1810" i="57" a="1"/>
  <c r="G1810" i="57" s="1"/>
  <c r="F1810" i="57" a="1"/>
  <c r="F1810" i="57" s="1"/>
  <c r="G1721" i="57" a="1"/>
  <c r="G1721" i="57" s="1"/>
  <c r="F1721" i="57" a="1"/>
  <c r="F1721" i="57" s="1"/>
  <c r="G1736" i="57" a="1"/>
  <c r="G1736" i="57" s="1"/>
  <c r="F1736" i="57" a="1"/>
  <c r="F1736" i="57" s="1"/>
  <c r="G318" i="57" a="1"/>
  <c r="G318" i="57" s="1"/>
  <c r="F318" i="57" a="1"/>
  <c r="F318" i="57" s="1"/>
  <c r="G875" i="57" a="1"/>
  <c r="G875" i="57" s="1"/>
  <c r="F875" i="57" a="1"/>
  <c r="F875" i="57" s="1"/>
  <c r="G1019" i="57" a="1"/>
  <c r="G1019" i="57" s="1"/>
  <c r="F1019" i="57" a="1"/>
  <c r="F1019" i="57" s="1"/>
  <c r="G1127" i="57" a="1"/>
  <c r="G1127" i="57" s="1"/>
  <c r="F1127" i="57" a="1"/>
  <c r="F1127" i="57" s="1"/>
  <c r="G1235" i="57" a="1"/>
  <c r="G1235" i="57" s="1"/>
  <c r="F1235" i="57" a="1"/>
  <c r="F1235" i="57" s="1"/>
  <c r="G1349" i="57" a="1"/>
  <c r="G1349" i="57" s="1"/>
  <c r="F1349" i="57" a="1"/>
  <c r="F1349" i="57" s="1"/>
  <c r="G732" i="57" a="1"/>
  <c r="G732" i="57" s="1"/>
  <c r="F732" i="57" a="1"/>
  <c r="F732" i="57" s="1"/>
  <c r="G912" i="57" a="1"/>
  <c r="G912" i="57" s="1"/>
  <c r="F912" i="57" a="1"/>
  <c r="F912" i="57" s="1"/>
  <c r="G1038" i="57" a="1"/>
  <c r="G1038" i="57" s="1"/>
  <c r="F1038" i="57" a="1"/>
  <c r="F1038" i="57" s="1"/>
  <c r="G1164" i="57" a="1"/>
  <c r="G1164" i="57" s="1"/>
  <c r="F1164" i="57" a="1"/>
  <c r="F1164" i="57" s="1"/>
  <c r="G1290" i="57" a="1"/>
  <c r="G1290" i="57" s="1"/>
  <c r="F1290" i="57" a="1"/>
  <c r="F1290" i="57" s="1"/>
  <c r="G614" i="57" a="1"/>
  <c r="G614" i="57" s="1"/>
  <c r="F614" i="57" a="1"/>
  <c r="F614" i="57" s="1"/>
  <c r="G734" i="57" a="1"/>
  <c r="G734" i="57" s="1"/>
  <c r="F734" i="57" a="1"/>
  <c r="F734" i="57" s="1"/>
  <c r="G860" i="57" a="1"/>
  <c r="G860" i="57" s="1"/>
  <c r="F860" i="57" a="1"/>
  <c r="F860" i="57" s="1"/>
  <c r="G1022" i="57" a="1"/>
  <c r="G1022" i="57" s="1"/>
  <c r="F1022" i="57" a="1"/>
  <c r="F1022" i="57" s="1"/>
  <c r="G1184" i="57" a="1"/>
  <c r="G1184" i="57" s="1"/>
  <c r="F1184" i="57" a="1"/>
  <c r="F1184" i="57" s="1"/>
  <c r="G1346" i="57" a="1"/>
  <c r="G1346" i="57" s="1"/>
  <c r="F1346" i="57" a="1"/>
  <c r="F1346" i="57" s="1"/>
  <c r="G687" i="57" a="1"/>
  <c r="G687" i="57" s="1"/>
  <c r="F687" i="57" a="1"/>
  <c r="F687" i="57" s="1"/>
  <c r="G807" i="57" a="1"/>
  <c r="G807" i="57" s="1"/>
  <c r="F807" i="57" a="1"/>
  <c r="F807" i="57" s="1"/>
  <c r="G1125" i="57" a="1"/>
  <c r="G1125" i="57" s="1"/>
  <c r="F1125" i="57" a="1"/>
  <c r="F1125" i="57" s="1"/>
  <c r="G580" i="57" a="1"/>
  <c r="G580" i="57" s="1"/>
  <c r="F580" i="57" a="1"/>
  <c r="F580" i="57" s="1"/>
  <c r="G964" i="57" a="1"/>
  <c r="G964" i="57" s="1"/>
  <c r="F964" i="57" a="1"/>
  <c r="F964" i="57" s="1"/>
  <c r="G1324" i="57" a="1"/>
  <c r="G1324" i="57" s="1"/>
  <c r="F1324" i="57" a="1"/>
  <c r="F1324" i="57" s="1"/>
  <c r="G1599" i="57" a="1"/>
  <c r="G1599" i="57" s="1"/>
  <c r="F1599" i="57" a="1"/>
  <c r="F1599" i="57" s="1"/>
  <c r="G1911" i="57" a="1"/>
  <c r="G1911" i="57" s="1"/>
  <c r="F1911" i="57" a="1"/>
  <c r="F1911" i="57" s="1"/>
  <c r="G1714" i="57" a="1"/>
  <c r="G1714" i="57" s="1"/>
  <c r="F1714" i="57" a="1"/>
  <c r="F1714" i="57" s="1"/>
  <c r="G1577" i="57" a="1"/>
  <c r="G1577" i="57" s="1"/>
  <c r="F1577" i="57" a="1"/>
  <c r="F1577" i="57" s="1"/>
  <c r="G1592" i="57" a="1"/>
  <c r="G1592" i="57" s="1"/>
  <c r="F1592" i="57" a="1"/>
  <c r="F1592" i="57" s="1"/>
  <c r="G138" i="57" a="1"/>
  <c r="G138" i="57" s="1"/>
  <c r="F138" i="57" a="1"/>
  <c r="F138" i="57" s="1"/>
  <c r="G360" i="57" a="1"/>
  <c r="G360" i="57" s="1"/>
  <c r="F360" i="57" a="1"/>
  <c r="F360" i="57" s="1"/>
  <c r="G576" i="57" a="1"/>
  <c r="G576" i="57" s="1"/>
  <c r="F576" i="57" a="1"/>
  <c r="F576" i="57" s="1"/>
  <c r="G879" i="57" a="1"/>
  <c r="G879" i="57" s="1"/>
  <c r="F879" i="57" a="1"/>
  <c r="F879" i="57" s="1"/>
  <c r="G1215" i="57" a="1"/>
  <c r="G1215" i="57" s="1"/>
  <c r="F1215" i="57" a="1"/>
  <c r="F1215" i="57" s="1"/>
  <c r="G688" i="57" a="1"/>
  <c r="G688" i="57" s="1"/>
  <c r="F688" i="57" a="1"/>
  <c r="F688" i="57" s="1"/>
  <c r="G1060" i="57" a="1"/>
  <c r="G1060" i="57" s="1"/>
  <c r="F1060" i="57" a="1"/>
  <c r="F1060" i="57" s="1"/>
  <c r="G1426" i="57" a="1"/>
  <c r="G1426" i="57" s="1"/>
  <c r="F1426" i="57" a="1"/>
  <c r="F1426" i="57" s="1"/>
  <c r="G1659" i="57" a="1"/>
  <c r="G1659" i="57" s="1"/>
  <c r="F1659" i="57" a="1"/>
  <c r="F1659" i="57" s="1"/>
  <c r="G1462" i="57" a="1"/>
  <c r="G1462" i="57" s="1"/>
  <c r="F1462" i="57" a="1"/>
  <c r="F1462" i="57" s="1"/>
  <c r="G1774" i="57" a="1"/>
  <c r="G1774" i="57" s="1"/>
  <c r="F1774" i="57" a="1"/>
  <c r="F1774" i="57" s="1"/>
  <c r="G1667" i="57" a="1"/>
  <c r="G1667" i="57" s="1"/>
  <c r="F1667" i="57" a="1"/>
  <c r="F1667" i="57" s="1"/>
  <c r="G1688" i="57" a="1"/>
  <c r="G1688" i="57" s="1"/>
  <c r="F1688" i="57" a="1"/>
  <c r="F1688" i="57" s="1"/>
  <c r="G849" i="57" a="1"/>
  <c r="G849" i="57" s="1"/>
  <c r="F849" i="57" a="1"/>
  <c r="F849" i="57" s="1"/>
  <c r="G969" i="57" a="1"/>
  <c r="G969" i="57" s="1"/>
  <c r="F969" i="57" a="1"/>
  <c r="F969" i="57" s="1"/>
  <c r="G1077" i="57" a="1"/>
  <c r="G1077" i="57" s="1"/>
  <c r="F1077" i="57" a="1"/>
  <c r="F1077" i="57" s="1"/>
  <c r="G1185" i="57" a="1"/>
  <c r="G1185" i="57" s="1"/>
  <c r="F1185" i="57" a="1"/>
  <c r="F1185" i="57" s="1"/>
  <c r="G1299" i="57" a="1"/>
  <c r="G1299" i="57" s="1"/>
  <c r="F1299" i="57" a="1"/>
  <c r="F1299" i="57" s="1"/>
  <c r="G1419" i="57" a="1"/>
  <c r="G1419" i="57" s="1"/>
  <c r="F1419" i="57" a="1"/>
  <c r="F1419" i="57" s="1"/>
  <c r="G658" i="57" a="1"/>
  <c r="G658" i="57" s="1"/>
  <c r="F658" i="57" a="1"/>
  <c r="F658" i="57" s="1"/>
  <c r="G790" i="57" a="1"/>
  <c r="G790" i="57" s="1"/>
  <c r="F790" i="57" a="1"/>
  <c r="F790" i="57" s="1"/>
  <c r="G904" i="57" a="1"/>
  <c r="G904" i="57" s="1"/>
  <c r="F904" i="57" a="1"/>
  <c r="F904" i="57" s="1"/>
  <c r="G1024" i="57" a="1"/>
  <c r="G1024" i="57" s="1"/>
  <c r="F1024" i="57" a="1"/>
  <c r="F1024" i="57" s="1"/>
  <c r="G1150" i="57" a="1"/>
  <c r="G1150" i="57" s="1"/>
  <c r="F1150" i="57" a="1"/>
  <c r="F1150" i="57" s="1"/>
  <c r="G1270" i="57" a="1"/>
  <c r="G1270" i="57" s="1"/>
  <c r="F1270" i="57" a="1"/>
  <c r="F1270" i="57" s="1"/>
  <c r="G1396" i="57" a="1"/>
  <c r="G1396" i="57" s="1"/>
  <c r="F1396" i="57" a="1"/>
  <c r="F1396" i="57" s="1"/>
  <c r="G1439" i="57" a="1"/>
  <c r="G1439" i="57" s="1"/>
  <c r="F1439" i="57" a="1"/>
  <c r="F1439" i="57" s="1"/>
  <c r="G1635" i="57" a="1"/>
  <c r="G1635" i="57" s="1"/>
  <c r="F1635" i="57" a="1"/>
  <c r="F1635" i="57" s="1"/>
  <c r="G1893" i="57" a="1"/>
  <c r="G1893" i="57" s="1"/>
  <c r="F1893" i="57" a="1"/>
  <c r="F1893" i="57" s="1"/>
  <c r="G1654" i="57" a="1"/>
  <c r="G1654" i="57" s="1"/>
  <c r="F1654" i="57" a="1"/>
  <c r="F1654" i="57" s="1"/>
  <c r="G1912" i="57" a="1"/>
  <c r="G1912" i="57" s="1"/>
  <c r="F1912" i="57" a="1"/>
  <c r="F1912" i="57" s="1"/>
  <c r="G1655" i="57" a="1"/>
  <c r="G1655" i="57" s="1"/>
  <c r="F1655" i="57" a="1"/>
  <c r="F1655" i="57" s="1"/>
  <c r="G1913" i="57" a="1"/>
  <c r="G1913" i="57" s="1"/>
  <c r="F1913" i="57" a="1"/>
  <c r="F1913" i="57" s="1"/>
  <c r="G1670" i="57" a="1"/>
  <c r="G1670" i="57" s="1"/>
  <c r="F1670" i="57" a="1"/>
  <c r="F1670" i="57" s="1"/>
  <c r="G1934" i="57" a="1"/>
  <c r="G1934" i="57" s="1"/>
  <c r="F1934" i="57" a="1"/>
  <c r="F1934" i="57" s="1"/>
  <c r="G2193" i="57" a="1"/>
  <c r="G2193" i="57" s="1"/>
  <c r="F2193" i="57" a="1"/>
  <c r="F2193" i="57" s="1"/>
  <c r="G2463" i="57" a="1"/>
  <c r="G2463" i="57" s="1"/>
  <c r="F2463" i="57" a="1"/>
  <c r="F2463" i="57" s="1"/>
  <c r="G2266" i="57" a="1"/>
  <c r="G2266" i="57" s="1"/>
  <c r="F2266" i="57" a="1"/>
  <c r="F2266" i="57" s="1"/>
  <c r="G2099" i="57" a="1"/>
  <c r="G2099" i="57" s="1"/>
  <c r="F2099" i="57" a="1"/>
  <c r="F2099" i="57" s="1"/>
  <c r="G1958" i="57" a="1"/>
  <c r="G1958" i="57" s="1"/>
  <c r="F1958" i="57" a="1"/>
  <c r="F1958" i="57" s="1"/>
  <c r="G2270" i="57" a="1"/>
  <c r="G2270" i="57" s="1"/>
  <c r="F2270" i="57" a="1"/>
  <c r="F2270" i="57" s="1"/>
  <c r="G199" i="57" a="1"/>
  <c r="G199" i="57" s="1"/>
  <c r="F199" i="57" a="1"/>
  <c r="F199" i="57" s="1"/>
  <c r="G1560" i="57" a="1"/>
  <c r="G1560" i="57" s="1"/>
  <c r="F1560" i="57" a="1"/>
  <c r="F1560" i="57" s="1"/>
  <c r="G391" i="57" a="1"/>
  <c r="G391" i="57" s="1"/>
  <c r="F391" i="57" a="1"/>
  <c r="F391" i="57" s="1"/>
  <c r="G2203" i="57" a="1"/>
  <c r="G2203" i="57" s="1"/>
  <c r="F2203" i="57" a="1"/>
  <c r="F2203" i="57" s="1"/>
  <c r="G2199" i="57" a="1"/>
  <c r="G2199" i="57" s="1"/>
  <c r="F2199" i="57" a="1"/>
  <c r="F2199" i="57" s="1"/>
  <c r="G1960" i="57" a="1"/>
  <c r="G1960" i="57" s="1"/>
  <c r="F1960" i="57" a="1"/>
  <c r="F1960" i="57" s="1"/>
  <c r="G2272" i="57" a="1"/>
  <c r="G2272" i="57" s="1"/>
  <c r="F2272" i="57" a="1"/>
  <c r="F2272" i="57" s="1"/>
  <c r="G2117" i="57" a="1"/>
  <c r="G2117" i="57" s="1"/>
  <c r="F2117" i="57" a="1"/>
  <c r="F2117" i="57" s="1"/>
  <c r="G1964" i="57" a="1"/>
  <c r="G1964" i="57" s="1"/>
  <c r="F1964" i="57" a="1"/>
  <c r="F1964" i="57" s="1"/>
  <c r="G2276" i="57" a="1"/>
  <c r="G2276" i="57" s="1"/>
  <c r="F2276" i="57" a="1"/>
  <c r="F2276" i="57" s="1"/>
  <c r="G205" i="57" a="1"/>
  <c r="G205" i="57" s="1"/>
  <c r="F205" i="57" a="1"/>
  <c r="F205" i="57" s="1"/>
  <c r="G1566" i="57" a="1"/>
  <c r="G1566" i="57" s="1"/>
  <c r="F1566" i="57" a="1"/>
  <c r="F1566" i="57" s="1"/>
  <c r="G433" i="57" a="1"/>
  <c r="G433" i="57" s="1"/>
  <c r="F433" i="57" a="1"/>
  <c r="F433" i="57" s="1"/>
  <c r="G432" i="57" a="1"/>
  <c r="G432" i="57" s="1"/>
  <c r="F432" i="57" a="1"/>
  <c r="F432" i="57" s="1"/>
  <c r="G2247" i="57" a="1"/>
  <c r="G2247" i="57" s="1"/>
  <c r="F2247" i="57" a="1"/>
  <c r="F2247" i="57" s="1"/>
  <c r="G2026" i="57" a="1"/>
  <c r="G2026" i="57" s="1"/>
  <c r="F2026" i="57" a="1"/>
  <c r="F2026" i="57" s="1"/>
  <c r="G2338" i="57" a="1"/>
  <c r="G2338" i="57" s="1"/>
  <c r="F2338" i="57" a="1"/>
  <c r="F2338" i="57" s="1"/>
  <c r="G2171" i="57" a="1"/>
  <c r="G2171" i="57" s="1"/>
  <c r="F2171" i="57" a="1"/>
  <c r="F2171" i="57" s="1"/>
  <c r="G2024" i="57" a="1"/>
  <c r="G2024" i="57" s="1"/>
  <c r="F2024" i="57" a="1"/>
  <c r="F2024" i="57" s="1"/>
  <c r="G2348" i="57" a="1"/>
  <c r="G2348" i="57" s="1"/>
  <c r="F2348" i="57" a="1"/>
  <c r="F2348" i="57" s="1"/>
  <c r="G1452" i="57" a="1"/>
  <c r="G1452" i="57" s="1"/>
  <c r="F1452" i="57" a="1"/>
  <c r="F1452" i="57" s="1"/>
  <c r="G1644" i="57" a="1"/>
  <c r="G1644" i="57" s="1"/>
  <c r="F1644" i="57" a="1"/>
  <c r="F1644" i="57" s="1"/>
  <c r="G1028" i="57" a="1"/>
  <c r="G1028" i="57" s="1"/>
  <c r="F1028" i="57" a="1"/>
  <c r="F1028" i="57" s="1"/>
  <c r="G1207" i="57" a="1"/>
  <c r="G1207" i="57" s="1"/>
  <c r="F1207" i="57" a="1"/>
  <c r="F1207" i="57" s="1"/>
  <c r="G2301" i="57" a="1"/>
  <c r="G2301" i="57" s="1"/>
  <c r="F2301" i="57" a="1"/>
  <c r="F2301" i="57" s="1"/>
  <c r="G2086" i="57" a="1"/>
  <c r="G2086" i="57" s="1"/>
  <c r="F2086" i="57" a="1"/>
  <c r="F2086" i="57" s="1"/>
  <c r="G2392" i="57" a="1"/>
  <c r="G2392" i="57" s="1"/>
  <c r="F2392" i="57" a="1"/>
  <c r="F2392" i="57" s="1"/>
  <c r="G2231" i="57" a="1"/>
  <c r="G2231" i="57" s="1"/>
  <c r="F2231" i="57" a="1"/>
  <c r="F2231" i="57" s="1"/>
  <c r="G2090" i="57" a="1"/>
  <c r="G2090" i="57" s="1"/>
  <c r="F2090" i="57" a="1"/>
  <c r="F2090" i="57" s="1"/>
  <c r="G2414" i="57" a="1"/>
  <c r="G2414" i="57" s="1"/>
  <c r="F2414" i="57" a="1"/>
  <c r="F2414" i="57" s="1"/>
  <c r="G236" i="57" a="1"/>
  <c r="G236" i="57" s="1"/>
  <c r="F236" i="57" a="1"/>
  <c r="F236" i="57" s="1"/>
  <c r="G1710" i="57" a="1"/>
  <c r="G1710" i="57" s="1"/>
  <c r="F1710" i="57" a="1"/>
  <c r="F1710" i="57" s="1"/>
  <c r="G2052" i="57" a="1"/>
  <c r="G2052" i="57" s="1"/>
  <c r="F2052" i="57" a="1"/>
  <c r="F2052" i="57" s="1"/>
  <c r="G1469" i="57" a="1"/>
  <c r="G1469" i="57" s="1"/>
  <c r="F1469" i="57" a="1"/>
  <c r="F1469" i="57" s="1"/>
  <c r="G1727" i="57" a="1"/>
  <c r="G1727" i="57" s="1"/>
  <c r="F1727" i="57" a="1"/>
  <c r="F1727" i="57" s="1"/>
  <c r="G1484" i="57" a="1"/>
  <c r="G1484" i="57" s="1"/>
  <c r="F1484" i="57" a="1"/>
  <c r="F1484" i="57" s="1"/>
  <c r="G1742" i="57" a="1"/>
  <c r="G1742" i="57" s="1"/>
  <c r="F1742" i="57" a="1"/>
  <c r="F1742" i="57" s="1"/>
  <c r="G2007" i="57" a="1"/>
  <c r="G2007" i="57" s="1"/>
  <c r="F2007" i="57" a="1"/>
  <c r="F2007" i="57" s="1"/>
  <c r="G2265" i="57" a="1"/>
  <c r="G2265" i="57" s="1"/>
  <c r="F2265" i="57" a="1"/>
  <c r="F2265" i="57" s="1"/>
  <c r="G2038" i="57" a="1"/>
  <c r="G2038" i="57" s="1"/>
  <c r="F2038" i="57" a="1"/>
  <c r="F2038" i="57" s="1"/>
  <c r="G2350" i="57" a="1"/>
  <c r="G2350" i="57" s="1"/>
  <c r="F2350" i="57" a="1"/>
  <c r="F2350" i="57" s="1"/>
  <c r="G2189" i="57" a="1"/>
  <c r="G2189" i="57" s="1"/>
  <c r="F2189" i="57" a="1"/>
  <c r="F2189" i="57" s="1"/>
  <c r="G2042" i="57" a="1"/>
  <c r="G2042" i="57" s="1"/>
  <c r="F2042" i="57" a="1"/>
  <c r="F2042" i="57" s="1"/>
  <c r="G2360" i="57" a="1"/>
  <c r="G2360" i="57" s="1"/>
  <c r="F2360" i="57" a="1"/>
  <c r="F2360" i="57" s="1"/>
  <c r="G62" i="57" a="1"/>
  <c r="G62" i="57" s="1"/>
  <c r="F62" i="57" a="1"/>
  <c r="F62" i="57" s="1"/>
  <c r="G1662" i="57" a="1"/>
  <c r="G1662" i="57" s="1"/>
  <c r="F1662" i="57" a="1"/>
  <c r="F1662" i="57" s="1"/>
  <c r="G1280" i="57" a="1"/>
  <c r="G1280" i="57" s="1"/>
  <c r="F1280" i="57" a="1"/>
  <c r="F1280" i="57" s="1"/>
  <c r="G1441" i="57" a="1"/>
  <c r="G1441" i="57" s="1"/>
  <c r="F1441" i="57" a="1"/>
  <c r="F1441" i="57" s="1"/>
  <c r="G1649" i="57" a="1"/>
  <c r="G1649" i="57" s="1"/>
  <c r="F1649" i="57" a="1"/>
  <c r="F1649" i="57" s="1"/>
  <c r="G1907" i="57" a="1"/>
  <c r="G1907" i="57" s="1"/>
  <c r="F1907" i="57" a="1"/>
  <c r="F1907" i="57" s="1"/>
  <c r="G1664" i="57" a="1"/>
  <c r="G1664" i="57" s="1"/>
  <c r="F1664" i="57" a="1"/>
  <c r="F1664" i="57" s="1"/>
  <c r="G1922" i="57" a="1"/>
  <c r="G1922" i="57" s="1"/>
  <c r="F1922" i="57" a="1"/>
  <c r="F1922" i="57" s="1"/>
  <c r="G2187" i="57" a="1"/>
  <c r="G2187" i="57" s="1"/>
  <c r="F2187" i="57" a="1"/>
  <c r="F2187" i="57" s="1"/>
  <c r="G2457" i="57" a="1"/>
  <c r="G2457" i="57" s="1"/>
  <c r="F2457" i="57" a="1"/>
  <c r="F2457" i="57" s="1"/>
  <c r="G2254" i="57" a="1"/>
  <c r="G2254" i="57" s="1"/>
  <c r="F2254" i="57" a="1"/>
  <c r="F2254" i="57" s="1"/>
  <c r="G2093" i="57" a="1"/>
  <c r="G2093" i="57" s="1"/>
  <c r="F2093" i="57" a="1"/>
  <c r="F2093" i="57" s="1"/>
  <c r="G2405" i="57" a="1"/>
  <c r="G2405" i="57" s="1"/>
  <c r="F2405" i="57" a="1"/>
  <c r="F2405" i="57" s="1"/>
  <c r="G2258" i="57" a="1"/>
  <c r="G2258" i="57" s="1"/>
  <c r="F2258" i="57" a="1"/>
  <c r="F2258" i="57" s="1"/>
  <c r="G181" i="57" a="1"/>
  <c r="G181" i="57" s="1"/>
  <c r="F181" i="57" a="1"/>
  <c r="F181" i="57" s="1"/>
  <c r="G1536" i="57" a="1"/>
  <c r="G1536" i="57" s="1"/>
  <c r="F1536" i="57" a="1"/>
  <c r="F1536" i="57" s="1"/>
  <c r="G349" i="57" a="1"/>
  <c r="G349" i="57" s="1"/>
  <c r="F349" i="57" a="1"/>
  <c r="F349" i="57" s="1"/>
  <c r="G2143" i="57" a="1"/>
  <c r="G2143" i="57" s="1"/>
  <c r="F2143" i="57" a="1"/>
  <c r="F2143" i="57" s="1"/>
  <c r="G1575" i="57" a="1"/>
  <c r="G1575" i="57" s="1"/>
  <c r="F1575" i="57" a="1"/>
  <c r="F1575" i="57" s="1"/>
  <c r="G1791" i="57" a="1"/>
  <c r="G1791" i="57" s="1"/>
  <c r="F1791" i="57" a="1"/>
  <c r="F1791" i="57" s="1"/>
  <c r="G1504" i="57" a="1"/>
  <c r="G1504" i="57" s="1"/>
  <c r="F1504" i="57" a="1"/>
  <c r="F1504" i="57" s="1"/>
  <c r="G1720" i="57" a="1"/>
  <c r="G1720" i="57" s="1"/>
  <c r="F1720" i="57" a="1"/>
  <c r="F1720" i="57" s="1"/>
  <c r="G1936" i="57" a="1"/>
  <c r="G1936" i="57" s="1"/>
  <c r="F1936" i="57" a="1"/>
  <c r="F1936" i="57" s="1"/>
  <c r="G1637" i="57" a="1"/>
  <c r="G1637" i="57" s="1"/>
  <c r="F1637" i="57" a="1"/>
  <c r="F1637" i="57" s="1"/>
  <c r="G1853" i="57" a="1"/>
  <c r="G1853" i="57" s="1"/>
  <c r="F1853" i="57" a="1"/>
  <c r="F1853" i="57" s="1"/>
  <c r="G1568" i="57" a="1"/>
  <c r="G1568" i="57" s="1"/>
  <c r="F1568" i="57" a="1"/>
  <c r="F1568" i="57" s="1"/>
  <c r="G1784" i="57" a="1"/>
  <c r="G1784" i="57" s="1"/>
  <c r="F1784" i="57" a="1"/>
  <c r="F1784" i="57" s="1"/>
  <c r="G2001" i="57" a="1"/>
  <c r="G2001" i="57" s="1"/>
  <c r="F2001" i="57" a="1"/>
  <c r="F2001" i="57" s="1"/>
  <c r="G2217" i="57" a="1"/>
  <c r="G2217" i="57" s="1"/>
  <c r="F2217" i="57" a="1"/>
  <c r="F2217" i="57" s="1"/>
  <c r="G2439" i="57" a="1"/>
  <c r="G2439" i="57" s="1"/>
  <c r="F2439" i="57" a="1"/>
  <c r="F2439" i="57" s="1"/>
  <c r="G2194" i="57" a="1"/>
  <c r="G2194" i="57" s="1"/>
  <c r="F2194" i="57" a="1"/>
  <c r="F2194" i="57" s="1"/>
  <c r="G1979" i="57" a="1"/>
  <c r="G1979" i="57" s="1"/>
  <c r="F1979" i="57" a="1"/>
  <c r="F1979" i="57" s="1"/>
  <c r="G2237" i="57" a="1"/>
  <c r="G2237" i="57" s="1"/>
  <c r="F2237" i="57" a="1"/>
  <c r="F2237" i="57" s="1"/>
  <c r="G2036" i="57" a="1"/>
  <c r="G2036" i="57" s="1"/>
  <c r="F2036" i="57" a="1"/>
  <c r="F2036" i="57" s="1"/>
  <c r="G2294" i="57" a="1"/>
  <c r="G2294" i="57" s="1"/>
  <c r="F2294" i="57" a="1"/>
  <c r="F2294" i="57" s="1"/>
  <c r="G109" i="57" a="1"/>
  <c r="G109" i="57" s="1"/>
  <c r="F109" i="57" a="1"/>
  <c r="F109" i="57" s="1"/>
  <c r="G2417" i="57" a="1"/>
  <c r="G2417" i="57" s="1"/>
  <c r="F2417" i="57" a="1"/>
  <c r="F2417" i="57" s="1"/>
  <c r="G1596" i="57" a="1"/>
  <c r="G1596" i="57" s="1"/>
  <c r="F1596" i="57" a="1"/>
  <c r="F1596" i="57" s="1"/>
  <c r="G1854" i="57" a="1"/>
  <c r="G1854" i="57" s="1"/>
  <c r="F1854" i="57" a="1"/>
  <c r="F1854" i="57" s="1"/>
  <c r="G1621" i="57" a="1"/>
  <c r="G1621" i="57" s="1"/>
  <c r="F1621" i="57" a="1"/>
  <c r="F1621" i="57" s="1"/>
  <c r="G337" i="57" a="1"/>
  <c r="G337" i="57" s="1"/>
  <c r="F337" i="57" a="1"/>
  <c r="F337" i="57" s="1"/>
  <c r="G595" i="57" a="1"/>
  <c r="G595" i="57" s="1"/>
  <c r="F595" i="57" a="1"/>
  <c r="F595" i="57" s="1"/>
  <c r="G1370" i="57" a="1"/>
  <c r="G1370" i="57" s="1"/>
  <c r="F1370" i="57" a="1"/>
  <c r="F1370" i="57" s="1"/>
  <c r="G2124" i="57" a="1"/>
  <c r="G2124" i="57" s="1"/>
  <c r="F2124" i="57" a="1"/>
  <c r="F2124" i="57" s="1"/>
  <c r="G2382" i="57" a="1"/>
  <c r="G2382" i="57" s="1"/>
  <c r="F2382" i="57" a="1"/>
  <c r="F2382" i="57" s="1"/>
  <c r="G1873" i="57" a="1"/>
  <c r="G1873" i="57" s="1"/>
  <c r="F1873" i="57" a="1"/>
  <c r="F1873" i="57" s="1"/>
  <c r="G2131" i="57" a="1"/>
  <c r="G2131" i="57" s="1"/>
  <c r="F2131" i="57" a="1"/>
  <c r="F2131" i="57" s="1"/>
  <c r="G631" i="57" a="1"/>
  <c r="G631" i="57" s="1"/>
  <c r="F631" i="57" a="1"/>
  <c r="F631" i="57" s="1"/>
  <c r="G880" i="57" a="1"/>
  <c r="G880" i="57" s="1"/>
  <c r="F880" i="57" a="1"/>
  <c r="F880" i="57" s="1"/>
  <c r="G1543" i="57" a="1"/>
  <c r="G1543" i="57" s="1"/>
  <c r="F1543" i="57" a="1"/>
  <c r="F1543" i="57" s="1"/>
  <c r="G253" i="57" a="1"/>
  <c r="G253" i="57" s="1"/>
  <c r="F253" i="57" a="1"/>
  <c r="F253" i="57" s="1"/>
  <c r="G517" i="57" a="1"/>
  <c r="G517" i="57" s="1"/>
  <c r="F517" i="57" a="1"/>
  <c r="F517" i="57" s="1"/>
  <c r="G1136" i="57" a="1"/>
  <c r="G1136" i="57" s="1"/>
  <c r="F1136" i="57" a="1"/>
  <c r="F1136" i="57" s="1"/>
  <c r="G2046" i="57" a="1"/>
  <c r="G2046" i="57" s="1"/>
  <c r="F2046" i="57" a="1"/>
  <c r="F2046" i="57" s="1"/>
  <c r="G2304" i="57" a="1"/>
  <c r="G2304" i="57" s="1"/>
  <c r="F2304" i="57" a="1"/>
  <c r="F2304" i="57" s="1"/>
  <c r="G1789" i="57" a="1"/>
  <c r="G1789" i="57" s="1"/>
  <c r="F1789" i="57" a="1"/>
  <c r="F1789" i="57" s="1"/>
  <c r="G2053" i="57" a="1"/>
  <c r="G2053" i="57" s="1"/>
  <c r="F2053" i="57" a="1"/>
  <c r="F2053" i="57" s="1"/>
  <c r="G882" i="57" a="1"/>
  <c r="G882" i="57" s="1"/>
  <c r="F882" i="57" a="1"/>
  <c r="F882" i="57" s="1"/>
  <c r="G1303" i="57" a="1"/>
  <c r="G1303" i="57" s="1"/>
  <c r="F1303" i="57" a="1"/>
  <c r="F1303" i="57" s="1"/>
  <c r="G1920" i="57" a="1"/>
  <c r="G1920" i="57" s="1"/>
  <c r="F1920" i="57" a="1"/>
  <c r="F1920" i="57" s="1"/>
  <c r="G1687" i="57" a="1"/>
  <c r="G1687" i="57" s="1"/>
  <c r="F1687" i="57" a="1"/>
  <c r="F1687" i="57" s="1"/>
  <c r="G397" i="57" a="1"/>
  <c r="G397" i="57" s="1"/>
  <c r="F397" i="57" a="1"/>
  <c r="F397" i="57" s="1"/>
  <c r="G662" i="57" a="1"/>
  <c r="G662" i="57" s="1"/>
  <c r="F662" i="57" a="1"/>
  <c r="F662" i="57" s="1"/>
  <c r="G1245" i="57" a="1"/>
  <c r="G1245" i="57" s="1"/>
  <c r="F1245" i="57" a="1"/>
  <c r="F1245" i="57" s="1"/>
  <c r="G2190" i="57" a="1"/>
  <c r="G2190" i="57" s="1"/>
  <c r="F2190" i="57" a="1"/>
  <c r="F2190" i="57" s="1"/>
  <c r="G2448" i="57" a="1"/>
  <c r="G2448" i="57" s="1"/>
  <c r="F2448" i="57" a="1"/>
  <c r="F2448" i="57" s="1"/>
  <c r="G1933" i="57" a="1"/>
  <c r="G1933" i="57" s="1"/>
  <c r="F1933" i="57" a="1"/>
  <c r="F1933" i="57" s="1"/>
  <c r="G2209" i="57" a="1"/>
  <c r="G2209" i="57" s="1"/>
  <c r="F2209" i="57" a="1"/>
  <c r="F2209" i="57" s="1"/>
  <c r="G1003" i="57" a="1"/>
  <c r="G1003" i="57" s="1"/>
  <c r="F1003" i="57" a="1"/>
  <c r="F1003" i="57" s="1"/>
  <c r="G1800" i="57" a="1"/>
  <c r="G1800" i="57" s="1"/>
  <c r="F1800" i="57" a="1"/>
  <c r="F1800" i="57" s="1"/>
  <c r="G1567" i="57" a="1"/>
  <c r="G1567" i="57" s="1"/>
  <c r="F1567" i="57" a="1"/>
  <c r="F1567" i="57" s="1"/>
  <c r="G277" i="57" a="1"/>
  <c r="G277" i="57" s="1"/>
  <c r="F277" i="57" a="1"/>
  <c r="F277" i="57" s="1"/>
  <c r="G535" i="57" a="1"/>
  <c r="G535" i="57" s="1"/>
  <c r="F535" i="57" a="1"/>
  <c r="F535" i="57" s="1"/>
  <c r="G1190" i="57" a="1"/>
  <c r="G1190" i="57" s="1"/>
  <c r="F1190" i="57" a="1"/>
  <c r="F1190" i="57" s="1"/>
  <c r="G2070" i="57" a="1"/>
  <c r="G2070" i="57" s="1"/>
  <c r="F2070" i="57" a="1"/>
  <c r="F2070" i="57" s="1"/>
  <c r="G2328" i="57" a="1"/>
  <c r="G2328" i="57" s="1"/>
  <c r="F2328" i="57" a="1"/>
  <c r="F2328" i="57" s="1"/>
  <c r="G1813" i="57" a="1"/>
  <c r="G1813" i="57" s="1"/>
  <c r="F1813" i="57" a="1"/>
  <c r="F1813" i="57" s="1"/>
  <c r="G2071" i="57" a="1"/>
  <c r="G2071" i="57" s="1"/>
  <c r="F2071" i="57" a="1"/>
  <c r="F2071" i="57" s="1"/>
  <c r="G1086" i="57" a="1"/>
  <c r="G1086" i="57" s="1"/>
  <c r="F1086" i="57" a="1"/>
  <c r="F1086" i="57" s="1"/>
  <c r="G1363" i="57" a="1"/>
  <c r="G1363" i="57" s="1"/>
  <c r="F1363" i="57" a="1"/>
  <c r="F1363" i="57" s="1"/>
  <c r="G2462" i="57" a="1"/>
  <c r="G2462" i="57" s="1"/>
  <c r="F2462" i="57" a="1"/>
  <c r="F2462" i="57" s="1"/>
  <c r="G2464" i="57" a="1"/>
  <c r="G2464" i="57" s="1"/>
  <c r="F2464" i="57" a="1"/>
  <c r="F2464" i="57" s="1"/>
  <c r="G1500" i="57" a="1"/>
  <c r="G1500" i="57" s="1"/>
  <c r="F1500" i="57" a="1"/>
  <c r="F1500" i="57" s="1"/>
  <c r="G1764" i="57" a="1"/>
  <c r="G1764" i="57" s="1"/>
  <c r="F1764" i="57" a="1"/>
  <c r="F1764" i="57" s="1"/>
  <c r="G1531" i="57" a="1"/>
  <c r="G1531" i="57" s="1"/>
  <c r="F1531" i="57" a="1"/>
  <c r="F1531" i="57" s="1"/>
  <c r="G241" i="57" a="1"/>
  <c r="G241" i="57" s="1"/>
  <c r="F241" i="57" a="1"/>
  <c r="F241" i="57" s="1"/>
  <c r="G499" i="57" a="1"/>
  <c r="G499" i="57" s="1"/>
  <c r="F499" i="57" a="1"/>
  <c r="F499" i="57" s="1"/>
  <c r="G1082" i="57" a="1"/>
  <c r="G1082" i="57" s="1"/>
  <c r="F1082" i="57" a="1"/>
  <c r="F1082" i="57" s="1"/>
  <c r="G2034" i="57" a="1"/>
  <c r="G2034" i="57" s="1"/>
  <c r="F2034" i="57" a="1"/>
  <c r="F2034" i="57" s="1"/>
  <c r="G2292" i="57" a="1"/>
  <c r="G2292" i="57" s="1"/>
  <c r="F2292" i="57" a="1"/>
  <c r="F2292" i="57" s="1"/>
  <c r="G1777" i="57" a="1"/>
  <c r="G1777" i="57" s="1"/>
  <c r="F1777" i="57" a="1"/>
  <c r="F1777" i="57" s="1"/>
  <c r="G2035" i="57" a="1"/>
  <c r="G2035" i="57" s="1"/>
  <c r="F2035" i="57" a="1"/>
  <c r="F2035" i="57" s="1"/>
  <c r="G810" i="57" a="1"/>
  <c r="G810" i="57" s="1"/>
  <c r="F810" i="57" a="1"/>
  <c r="F810" i="57" s="1"/>
  <c r="G1273" i="57" a="1"/>
  <c r="G1273" i="57" s="1"/>
  <c r="F1273" i="57" a="1"/>
  <c r="F1273" i="57" s="1"/>
  <c r="G1972" i="57" a="1"/>
  <c r="G1972" i="57" s="1"/>
  <c r="F1972" i="57" a="1"/>
  <c r="F1972" i="57" s="1"/>
  <c r="G2188" i="57" a="1"/>
  <c r="G2188" i="57" s="1"/>
  <c r="F2188" i="57" a="1"/>
  <c r="F2188" i="57" s="1"/>
  <c r="G2404" i="57" a="1"/>
  <c r="G2404" i="57" s="1"/>
  <c r="F2404" i="57" a="1"/>
  <c r="F2404" i="57" s="1"/>
  <c r="G2147" i="57" a="1"/>
  <c r="G2147" i="57" s="1"/>
  <c r="F2147" i="57" a="1"/>
  <c r="F2147" i="57" s="1"/>
  <c r="G2363" i="57" a="1"/>
  <c r="G2363" i="57" s="1"/>
  <c r="F2363" i="57" a="1"/>
  <c r="F2363" i="57" s="1"/>
  <c r="G2120" i="57" a="1"/>
  <c r="G2120" i="57" s="1"/>
  <c r="F2120" i="57" a="1"/>
  <c r="F2120" i="57" s="1"/>
  <c r="G2336" i="57" a="1"/>
  <c r="G2336" i="57" s="1"/>
  <c r="F2336" i="57" a="1"/>
  <c r="F2336" i="57" s="1"/>
  <c r="G103" i="57" a="1"/>
  <c r="G103" i="57" s="1"/>
  <c r="F103" i="57" a="1"/>
  <c r="F103" i="57" s="1"/>
  <c r="G128" i="57" a="1"/>
  <c r="G128" i="57" s="1"/>
  <c r="F128" i="57" a="1"/>
  <c r="F128" i="57" s="1"/>
  <c r="G1506" i="57" a="1"/>
  <c r="G1506" i="57" s="1"/>
  <c r="F1506" i="57" a="1"/>
  <c r="F1506" i="57" s="1"/>
  <c r="G1722" i="57" a="1"/>
  <c r="G1722" i="57" s="1"/>
  <c r="F1722" i="57" a="1"/>
  <c r="F1722" i="57" s="1"/>
  <c r="G1938" i="57" a="1"/>
  <c r="G1938" i="57" s="1"/>
  <c r="F1938" i="57" a="1"/>
  <c r="F1938" i="57" s="1"/>
  <c r="G1663" i="57" a="1"/>
  <c r="G1663" i="57" s="1"/>
  <c r="F1663" i="57" a="1"/>
  <c r="F1663" i="57" s="1"/>
  <c r="G331" i="57" a="1"/>
  <c r="G331" i="57" s="1"/>
  <c r="F331" i="57" a="1"/>
  <c r="F331" i="57" s="1"/>
  <c r="G547" i="57" a="1"/>
  <c r="G547" i="57" s="1"/>
  <c r="F547" i="57" a="1"/>
  <c r="F547" i="57" s="1"/>
  <c r="G1100" i="57" a="1"/>
  <c r="G1100" i="57" s="1"/>
  <c r="F1100" i="57" a="1"/>
  <c r="F1100" i="57" s="1"/>
  <c r="G1992" i="57" a="1"/>
  <c r="G1992" i="57" s="1"/>
  <c r="F1992" i="57" a="1"/>
  <c r="F1992" i="57" s="1"/>
  <c r="G2208" i="57" a="1"/>
  <c r="G2208" i="57" s="1"/>
  <c r="F2208" i="57" a="1"/>
  <c r="F2208" i="57" s="1"/>
  <c r="G2424" i="57" a="1"/>
  <c r="G2424" i="57" s="1"/>
  <c r="F2424" i="57" a="1"/>
  <c r="F2424" i="57" s="1"/>
  <c r="G1867" i="57" a="1"/>
  <c r="G1867" i="57" s="1"/>
  <c r="F1867" i="57" a="1"/>
  <c r="F1867" i="57" s="1"/>
  <c r="G2083" i="57" a="1"/>
  <c r="G2083" i="57" s="1"/>
  <c r="F2083" i="57" a="1"/>
  <c r="F2083" i="57" s="1"/>
  <c r="G714" i="57" a="1"/>
  <c r="G714" i="57" s="1"/>
  <c r="F714" i="57" a="1"/>
  <c r="F714" i="57" s="1"/>
  <c r="G949" i="57" a="1"/>
  <c r="G949" i="57" s="1"/>
  <c r="F949" i="57" a="1"/>
  <c r="F949" i="57" s="1"/>
  <c r="G1417" i="57" a="1"/>
  <c r="G1417" i="57" s="1"/>
  <c r="F1417" i="57" a="1"/>
  <c r="F1417" i="57" s="1"/>
  <c r="G100" i="57" a="1"/>
  <c r="G100" i="57" s="1"/>
  <c r="F100" i="57" a="1"/>
  <c r="F100" i="57" s="1"/>
  <c r="G2365" i="57" a="1"/>
  <c r="G2365" i="57" s="1"/>
  <c r="F2365" i="57" a="1"/>
  <c r="F2365" i="57" s="1"/>
  <c r="G727" i="57" a="1"/>
  <c r="G727" i="57" s="1"/>
  <c r="F727" i="57" a="1"/>
  <c r="F727" i="57" s="1"/>
  <c r="G1033" i="57" a="1"/>
  <c r="G1033" i="57" s="1"/>
  <c r="F1033" i="57" a="1"/>
  <c r="F1033" i="57" s="1"/>
  <c r="G40" i="57" a="1"/>
  <c r="G40" i="57" s="1"/>
  <c r="F40" i="57" a="1"/>
  <c r="F40" i="57" s="1"/>
  <c r="G628" i="57" a="1"/>
  <c r="G628" i="57" s="1"/>
  <c r="F628" i="57" a="1"/>
  <c r="F628" i="57" s="1"/>
  <c r="G2407" i="57" a="1"/>
  <c r="G2407" i="57" s="1"/>
  <c r="F2407" i="57" a="1"/>
  <c r="F2407" i="57" s="1"/>
  <c r="G769" i="57" a="1"/>
  <c r="G769" i="57" s="1"/>
  <c r="F769" i="57" a="1"/>
  <c r="F769" i="57" s="1"/>
  <c r="G1117" i="57" a="1"/>
  <c r="G1117" i="57" s="1"/>
  <c r="F1117" i="57" a="1"/>
  <c r="F1117" i="57" s="1"/>
  <c r="G2341" i="57" a="1"/>
  <c r="G2341" i="57" s="1"/>
  <c r="F2341" i="57" a="1"/>
  <c r="F2341" i="57" s="1"/>
  <c r="G703" i="57" a="1"/>
  <c r="G703" i="57" s="1"/>
  <c r="F703" i="57" a="1"/>
  <c r="F703" i="57" s="1"/>
  <c r="G991" i="57" a="1"/>
  <c r="G991" i="57" s="1"/>
  <c r="F991" i="57" a="1"/>
  <c r="F991" i="57" s="1"/>
  <c r="G1399" i="57" a="1"/>
  <c r="G1399" i="57" s="1"/>
  <c r="F1399" i="57" a="1"/>
  <c r="F1399" i="57" s="1"/>
  <c r="G64" i="57" a="1"/>
  <c r="G64" i="57" s="1"/>
  <c r="F64" i="57" a="1"/>
  <c r="F64" i="57" s="1"/>
  <c r="G2347" i="57" a="1"/>
  <c r="G2347" i="57" s="1"/>
  <c r="F2347" i="57" a="1"/>
  <c r="F2347" i="57" s="1"/>
  <c r="G709" i="57" a="1"/>
  <c r="G709" i="57" s="1"/>
  <c r="F709" i="57" a="1"/>
  <c r="F709" i="57" s="1"/>
  <c r="G997" i="57" a="1"/>
  <c r="G997" i="57" s="1"/>
  <c r="F997" i="57" a="1"/>
  <c r="F997" i="57" s="1"/>
  <c r="G1411" i="57" a="1"/>
  <c r="G1411" i="57" s="1"/>
  <c r="F1411" i="57" a="1"/>
  <c r="F1411" i="57" s="1"/>
  <c r="G76" i="57" a="1"/>
  <c r="G76" i="57" s="1"/>
  <c r="F76" i="57" a="1"/>
  <c r="F76" i="57" s="1"/>
  <c r="G2353" i="57" a="1"/>
  <c r="G2353" i="57" s="1"/>
  <c r="F2353" i="57" a="1"/>
  <c r="F2353" i="57" s="1"/>
  <c r="G715" i="57" a="1"/>
  <c r="G715" i="57" s="1"/>
  <c r="F715" i="57" a="1"/>
  <c r="F715" i="57" s="1"/>
  <c r="G1009" i="57" a="1"/>
  <c r="G1009" i="57" s="1"/>
  <c r="F1009" i="57" a="1"/>
  <c r="F1009" i="57" s="1"/>
  <c r="G1423" i="57" a="1"/>
  <c r="G1423" i="57" s="1"/>
  <c r="F1423" i="57" a="1"/>
  <c r="F1423" i="57" s="1"/>
  <c r="G786" i="57" a="1"/>
  <c r="G786" i="57" s="1"/>
  <c r="F786" i="57" a="1"/>
  <c r="F786" i="57" s="1"/>
  <c r="G1027" i="57" a="1"/>
  <c r="G1027" i="57" s="1"/>
  <c r="F1027" i="57" a="1"/>
  <c r="F1027" i="57" s="1"/>
  <c r="G1312" i="57" a="1"/>
  <c r="G1312" i="57" s="1"/>
  <c r="F1312" i="57" a="1"/>
  <c r="F1312" i="57" s="1"/>
  <c r="G514" i="57" a="1"/>
  <c r="G514" i="57" s="1"/>
  <c r="F514" i="57" a="1"/>
  <c r="F514" i="57" s="1"/>
  <c r="G2395" i="57" a="1"/>
  <c r="G2395" i="57" s="1"/>
  <c r="F2395" i="57" a="1"/>
  <c r="F2395" i="57" s="1"/>
  <c r="G757" i="57" a="1"/>
  <c r="G757" i="57" s="1"/>
  <c r="F757" i="57" a="1"/>
  <c r="F757" i="57" s="1"/>
  <c r="G1093" i="57" a="1"/>
  <c r="G1093" i="57" s="1"/>
  <c r="F1093" i="57" a="1"/>
  <c r="F1093" i="57" s="1"/>
  <c r="D545" i="57"/>
  <c r="D313" i="57"/>
  <c r="D348" i="57"/>
  <c r="D2393" i="57"/>
  <c r="D736" i="57"/>
  <c r="D221" i="57"/>
  <c r="D1118" i="57"/>
  <c r="D216" i="57"/>
  <c r="D637" i="57"/>
  <c r="D138" i="57"/>
  <c r="D614" i="57"/>
  <c r="D574" i="57"/>
  <c r="E16" i="57"/>
  <c r="D501" i="57"/>
  <c r="D110" i="57"/>
  <c r="D11" i="57"/>
  <c r="G11" i="57" s="1" a="1"/>
  <c r="G11" i="57" s="1"/>
  <c r="D508" i="57"/>
  <c r="D731" i="57"/>
  <c r="D106" i="57"/>
  <c r="D578" i="57"/>
  <c r="D240" i="57"/>
  <c r="D994" i="57"/>
  <c r="D1013" i="57"/>
  <c r="D1113" i="57"/>
  <c r="D1352" i="57"/>
  <c r="D602" i="57"/>
  <c r="D780" i="57"/>
  <c r="D650" i="57"/>
  <c r="D168" i="57"/>
  <c r="D234" i="57"/>
  <c r="D1233" i="57"/>
  <c r="D74" i="57"/>
  <c r="D308" i="57"/>
  <c r="D609" i="57"/>
  <c r="D799" i="57"/>
  <c r="D1035" i="57"/>
  <c r="D1163" i="57"/>
  <c r="D119" i="57"/>
  <c r="D284" i="57"/>
  <c r="D131" i="57"/>
  <c r="D638" i="57"/>
  <c r="D1226" i="57"/>
  <c r="D798" i="57"/>
  <c r="D664" i="57"/>
  <c r="D978" i="57"/>
  <c r="D556" i="57"/>
  <c r="D319" i="57"/>
  <c r="D811" i="57"/>
  <c r="D745" i="57"/>
  <c r="D537" i="57"/>
  <c r="D42" i="57"/>
  <c r="D744" i="57"/>
  <c r="D316" i="57"/>
  <c r="D573" i="57"/>
  <c r="D406" i="57"/>
  <c r="D332" i="57"/>
  <c r="D512" i="57"/>
  <c r="D274" i="57"/>
  <c r="D166" i="57"/>
  <c r="D1026" i="57"/>
  <c r="D842" i="57"/>
  <c r="D464" i="57"/>
  <c r="D120" i="57"/>
  <c r="D485" i="57"/>
  <c r="D1050" i="57"/>
  <c r="D399" i="57"/>
  <c r="D708" i="57"/>
  <c r="D290" i="57"/>
  <c r="D459" i="57"/>
  <c r="D44" i="57"/>
  <c r="D99" i="57"/>
  <c r="D112" i="57"/>
  <c r="D1014" i="57"/>
  <c r="D429" i="57"/>
  <c r="D1204" i="57"/>
  <c r="D1114" i="57"/>
  <c r="D950" i="57"/>
  <c r="D323" i="57"/>
  <c r="D984" i="57"/>
  <c r="D114" i="57"/>
  <c r="D1149" i="57"/>
  <c r="D1140" i="57"/>
  <c r="D1242" i="57"/>
  <c r="D1103" i="57"/>
  <c r="D157" i="57"/>
  <c r="D137" i="57"/>
  <c r="D1254" i="57"/>
  <c r="D674" i="57"/>
  <c r="D269" i="57"/>
  <c r="D294" i="57"/>
  <c r="D542" i="57"/>
  <c r="D442" i="57"/>
  <c r="D827" i="57"/>
  <c r="D196" i="57"/>
  <c r="D347" i="57"/>
  <c r="D2387" i="57"/>
  <c r="E2387" i="57"/>
  <c r="D85" i="57"/>
  <c r="D605" i="57"/>
  <c r="D610" i="57"/>
  <c r="D892" i="57"/>
  <c r="D220" i="57"/>
  <c r="D592" i="57"/>
  <c r="D857" i="57"/>
  <c r="D411" i="57"/>
  <c r="D544" i="57"/>
  <c r="D945" i="57"/>
  <c r="D823" i="57"/>
  <c r="D331" i="57"/>
  <c r="D482" i="57"/>
  <c r="D230" i="57"/>
  <c r="D296" i="57"/>
  <c r="D133" i="57"/>
  <c r="D252" i="57"/>
  <c r="D82" i="57"/>
  <c r="D502" i="57"/>
  <c r="D838" i="57"/>
  <c r="D462" i="57"/>
  <c r="D76" i="57"/>
  <c r="D834" i="57"/>
  <c r="D991" i="57"/>
  <c r="D310" i="57"/>
  <c r="D520" i="57"/>
  <c r="D948" i="57"/>
  <c r="D727" i="57"/>
  <c r="D100" i="57"/>
  <c r="D611" i="57"/>
  <c r="D479" i="57"/>
  <c r="D297" i="57"/>
  <c r="D496" i="57"/>
  <c r="D818" i="57"/>
  <c r="D1345" i="57"/>
  <c r="D622" i="57"/>
  <c r="D679" i="57"/>
  <c r="D1337" i="57"/>
  <c r="D397" i="57"/>
  <c r="D566" i="57"/>
  <c r="D722" i="57"/>
  <c r="D1228" i="57"/>
  <c r="D785" i="57"/>
  <c r="D1060" i="57"/>
  <c r="D875" i="57"/>
  <c r="D413" i="57"/>
  <c r="D581" i="57"/>
  <c r="D873" i="57"/>
  <c r="D1024" i="57"/>
  <c r="D1326" i="57"/>
  <c r="D530" i="57"/>
  <c r="D639" i="57"/>
  <c r="D686" i="57"/>
  <c r="D174" i="57"/>
  <c r="D743" i="57"/>
  <c r="D1346" i="57"/>
  <c r="D809" i="57"/>
  <c r="FX20" i="54"/>
  <c r="GA20" i="54"/>
  <c r="FZ20" i="54"/>
  <c r="FE20" i="54"/>
  <c r="FF20" i="54"/>
  <c r="FC20" i="54"/>
  <c r="FO20" i="54"/>
  <c r="FN19" i="54"/>
  <c r="FP19" i="54" s="1"/>
  <c r="FK20" i="54" s="1"/>
  <c r="EJ173" i="54"/>
  <c r="EM173" i="54" s="1"/>
  <c r="EI148" i="54"/>
  <c r="EL148" i="54" s="1"/>
  <c r="EI135" i="54"/>
  <c r="EL135" i="54" s="1"/>
  <c r="EJ81" i="54"/>
  <c r="EM81" i="54" s="1"/>
  <c r="EJ80" i="54"/>
  <c r="EM80" i="54" s="1"/>
  <c r="EJ79" i="54"/>
  <c r="EM79" i="54" s="1"/>
  <c r="EI78" i="54"/>
  <c r="EL78" i="54" s="1"/>
  <c r="EJ31" i="54"/>
  <c r="EM31" i="54" s="1"/>
  <c r="EI17" i="54"/>
  <c r="EL17" i="54" s="1"/>
  <c r="EJ144" i="54"/>
  <c r="EM144" i="54" s="1"/>
  <c r="EI164" i="54"/>
  <c r="EL164" i="54" s="1"/>
  <c r="EJ246" i="54"/>
  <c r="EM246" i="54" s="1"/>
  <c r="EI140" i="54"/>
  <c r="EL140" i="54" s="1"/>
  <c r="EI86" i="54"/>
  <c r="EL86" i="54" s="1"/>
  <c r="EI84" i="54"/>
  <c r="EL84" i="54" s="1"/>
  <c r="EI83" i="54"/>
  <c r="EL83" i="54" s="1"/>
  <c r="EI28" i="54"/>
  <c r="EL28" i="54" s="1"/>
  <c r="EJ29" i="54"/>
  <c r="EM29" i="54" s="1"/>
  <c r="EJ232" i="54"/>
  <c r="EM232" i="54" s="1"/>
  <c r="EJ194" i="54"/>
  <c r="EM194" i="54" s="1"/>
  <c r="EJ191" i="54"/>
  <c r="EM191" i="54" s="1"/>
  <c r="EI105" i="54"/>
  <c r="EL105" i="54" s="1"/>
  <c r="EI104" i="54"/>
  <c r="EL104" i="54" s="1"/>
  <c r="EI96" i="54"/>
  <c r="EL96" i="54" s="1"/>
  <c r="EI251" i="54"/>
  <c r="EL251" i="54" s="1"/>
  <c r="EJ35" i="54"/>
  <c r="EM35" i="54" s="1"/>
  <c r="EJ98" i="54"/>
  <c r="EM98" i="54" s="1"/>
  <c r="EJ41" i="54"/>
  <c r="EM41" i="54" s="1"/>
  <c r="EI255" i="54"/>
  <c r="EL255" i="54" s="1"/>
  <c r="EJ254" i="54"/>
  <c r="EM254" i="54" s="1"/>
  <c r="EI253" i="54"/>
  <c r="EL253" i="54" s="1"/>
  <c r="EJ206" i="54"/>
  <c r="EM206" i="54" s="1"/>
  <c r="EJ149" i="54"/>
  <c r="EM149" i="54" s="1"/>
  <c r="EJ54" i="54"/>
  <c r="EM54" i="54" s="1"/>
  <c r="EJ133" i="54"/>
  <c r="EM133" i="54" s="1"/>
  <c r="EJ174" i="54"/>
  <c r="EM174" i="54" s="1"/>
  <c r="EJ142" i="54"/>
  <c r="EM142" i="54" s="1"/>
  <c r="EJ50" i="54"/>
  <c r="EM50" i="54" s="1"/>
  <c r="EJ49" i="54"/>
  <c r="EM49" i="54" s="1"/>
  <c r="EI48" i="54"/>
  <c r="EL48" i="54" s="1"/>
  <c r="EI213" i="54"/>
  <c r="EL213" i="54" s="1"/>
  <c r="EI212" i="54"/>
  <c r="EL212" i="54" s="1"/>
  <c r="EJ158" i="54"/>
  <c r="EM158" i="54" s="1"/>
  <c r="EI156" i="54"/>
  <c r="EL156" i="54" s="1"/>
  <c r="EJ110" i="54"/>
  <c r="EM110" i="54" s="1"/>
  <c r="EI109" i="54"/>
  <c r="EL109" i="54" s="1"/>
  <c r="EJ101" i="54"/>
  <c r="EM101" i="54" s="1"/>
  <c r="EI13" i="54"/>
  <c r="EL13" i="54" s="1"/>
  <c r="EJ12" i="54"/>
  <c r="EM12" i="54" s="1"/>
  <c r="EI138" i="54"/>
  <c r="EL138" i="54" s="1"/>
  <c r="EJ179" i="54"/>
  <c r="EM179" i="54" s="1"/>
  <c r="EI106" i="54"/>
  <c r="EL106" i="54" s="1"/>
  <c r="EI256" i="54"/>
  <c r="EL256" i="54" s="1"/>
  <c r="EI218" i="54"/>
  <c r="EL218" i="54" s="1"/>
  <c r="EJ217" i="54"/>
  <c r="EM217" i="54" s="1"/>
  <c r="EI170" i="54"/>
  <c r="EL170" i="54" s="1"/>
  <c r="EI163" i="54"/>
  <c r="EL163" i="54" s="1"/>
  <c r="EJ161" i="54"/>
  <c r="EM161" i="54" s="1"/>
  <c r="EJ130" i="54"/>
  <c r="EM130" i="54" s="1"/>
  <c r="EI113" i="54"/>
  <c r="EL113" i="54" s="1"/>
  <c r="EI69" i="54"/>
  <c r="EL69" i="54" s="1"/>
  <c r="EI230" i="54"/>
  <c r="EL230" i="54" s="1"/>
  <c r="EI195" i="54"/>
  <c r="EL195" i="54" s="1"/>
  <c r="EJ236" i="54"/>
  <c r="EM236" i="54" s="1"/>
  <c r="EI190" i="54"/>
  <c r="EL190" i="54" s="1"/>
  <c r="EI180" i="54"/>
  <c r="EL180" i="54" s="1"/>
  <c r="EJ148" i="54"/>
  <c r="EM148" i="54" s="1"/>
  <c r="EJ135" i="54"/>
  <c r="EM135" i="54" s="1"/>
  <c r="EI88" i="54"/>
  <c r="EL88" i="54" s="1"/>
  <c r="EI81" i="54"/>
  <c r="EL81" i="54" s="1"/>
  <c r="EI80" i="54"/>
  <c r="EL80" i="54" s="1"/>
  <c r="EI79" i="54"/>
  <c r="EL79" i="54" s="1"/>
  <c r="EI22" i="54"/>
  <c r="EL22" i="54" s="1"/>
  <c r="EI31" i="54"/>
  <c r="EL31" i="54" s="1"/>
  <c r="EI24" i="54"/>
  <c r="EL24" i="54" s="1"/>
  <c r="EI243" i="54"/>
  <c r="EL243" i="54" s="1"/>
  <c r="EJ235" i="54"/>
  <c r="EM235" i="54" s="1"/>
  <c r="EI220" i="54"/>
  <c r="EL220" i="54" s="1"/>
  <c r="EI147" i="54"/>
  <c r="EL147" i="54" s="1"/>
  <c r="EI123" i="54"/>
  <c r="EL123" i="54" s="1"/>
  <c r="EI205" i="54"/>
  <c r="EL205" i="54" s="1"/>
  <c r="EI118" i="54"/>
  <c r="EL118" i="54" s="1"/>
  <c r="EI141" i="54"/>
  <c r="EL141" i="54" s="1"/>
  <c r="EJ140" i="54"/>
  <c r="EM140" i="54" s="1"/>
  <c r="EI132" i="54"/>
  <c r="EL132" i="54" s="1"/>
  <c r="EJ86" i="54"/>
  <c r="EM86" i="54" s="1"/>
  <c r="EJ85" i="54"/>
  <c r="EM85" i="54" s="1"/>
  <c r="EJ84" i="54"/>
  <c r="EM84" i="54" s="1"/>
  <c r="EJ28" i="54"/>
  <c r="EM28" i="54" s="1"/>
  <c r="EI36" i="54"/>
  <c r="EL36" i="54" s="1"/>
  <c r="EI29" i="54"/>
  <c r="EL29" i="54" s="1"/>
  <c r="EI249" i="54"/>
  <c r="EL249" i="54" s="1"/>
  <c r="EI248" i="54"/>
  <c r="EL248" i="54" s="1"/>
  <c r="EJ193" i="54"/>
  <c r="EM193" i="54" s="1"/>
  <c r="EI192" i="54"/>
  <c r="EL192" i="54" s="1"/>
  <c r="EJ105" i="54"/>
  <c r="EM105" i="54" s="1"/>
  <c r="EJ104" i="54"/>
  <c r="EM104" i="54" s="1"/>
  <c r="EJ96" i="54"/>
  <c r="EM96" i="54" s="1"/>
  <c r="EI210" i="54"/>
  <c r="EL210" i="54" s="1"/>
  <c r="EJ251" i="54"/>
  <c r="EM251" i="54" s="1"/>
  <c r="EI99" i="54"/>
  <c r="EL99" i="54" s="1"/>
  <c r="EI45" i="54"/>
  <c r="EL45" i="54" s="1"/>
  <c r="EJ43" i="54"/>
  <c r="EM43" i="54" s="1"/>
  <c r="EI42" i="54"/>
  <c r="EL42" i="54" s="1"/>
  <c r="EI245" i="54"/>
  <c r="EL245" i="54" s="1"/>
  <c r="EI172" i="54"/>
  <c r="EL172" i="54" s="1"/>
  <c r="EI153" i="54"/>
  <c r="EL153" i="54" s="1"/>
  <c r="EJ150" i="54"/>
  <c r="EM150" i="54" s="1"/>
  <c r="EI112" i="54"/>
  <c r="EL112" i="54" s="1"/>
  <c r="EI63" i="54"/>
  <c r="EL63" i="54" s="1"/>
  <c r="EJ55" i="54"/>
  <c r="EM55" i="54" s="1"/>
  <c r="EI92" i="54"/>
  <c r="EL92" i="54" s="1"/>
  <c r="EI133" i="54"/>
  <c r="EL133" i="54" s="1"/>
  <c r="EI57" i="54"/>
  <c r="EL57" i="54" s="1"/>
  <c r="EJ48" i="54"/>
  <c r="EM48" i="54" s="1"/>
  <c r="EI257" i="54"/>
  <c r="EL257" i="54" s="1"/>
  <c r="EJ213" i="54"/>
  <c r="EM213" i="54" s="1"/>
  <c r="EJ212" i="54"/>
  <c r="EM212" i="54" s="1"/>
  <c r="EI165" i="54"/>
  <c r="EL165" i="54" s="1"/>
  <c r="EI157" i="54"/>
  <c r="EL157" i="54" s="1"/>
  <c r="EJ156" i="54"/>
  <c r="EM156" i="54" s="1"/>
  <c r="EI108" i="54"/>
  <c r="EL108" i="54" s="1"/>
  <c r="EJ21" i="54"/>
  <c r="EM21" i="54" s="1"/>
  <c r="EJ97" i="54"/>
  <c r="EM97" i="54" s="1"/>
  <c r="EJ138" i="54"/>
  <c r="EM138" i="54" s="1"/>
  <c r="EI266" i="54"/>
  <c r="EL266" i="54" s="1"/>
  <c r="EI263" i="54"/>
  <c r="EL263" i="54" s="1"/>
  <c r="EJ256" i="54"/>
  <c r="EM256" i="54" s="1"/>
  <c r="EJ219" i="54"/>
  <c r="EM219" i="54" s="1"/>
  <c r="EJ218" i="54"/>
  <c r="EM218" i="54" s="1"/>
  <c r="EI217" i="54"/>
  <c r="EL217" i="54" s="1"/>
  <c r="EJ170" i="54"/>
  <c r="EM170" i="54" s="1"/>
  <c r="EI162" i="54"/>
  <c r="EL162" i="54" s="1"/>
  <c r="EI114" i="54"/>
  <c r="EL114" i="54" s="1"/>
  <c r="EJ113" i="54"/>
  <c r="EM113" i="54" s="1"/>
  <c r="EI64" i="54"/>
  <c r="EL64" i="54" s="1"/>
  <c r="EI68" i="54"/>
  <c r="EL68" i="54" s="1"/>
  <c r="EI60" i="54"/>
  <c r="EL60" i="54" s="1"/>
  <c r="EJ230" i="54"/>
  <c r="EM230" i="54" s="1"/>
  <c r="EJ229" i="54"/>
  <c r="EM229" i="54" s="1"/>
  <c r="EJ195" i="54"/>
  <c r="EM195" i="54" s="1"/>
  <c r="EI143" i="54"/>
  <c r="EL143" i="54" s="1"/>
  <c r="EJ190" i="54"/>
  <c r="EM190" i="54" s="1"/>
  <c r="EI221" i="54"/>
  <c r="EL221" i="54" s="1"/>
  <c r="EJ177" i="54"/>
  <c r="EM177" i="54" s="1"/>
  <c r="EJ176" i="54"/>
  <c r="EM176" i="54" s="1"/>
  <c r="EJ180" i="54"/>
  <c r="EM180" i="54" s="1"/>
  <c r="EJ127" i="54"/>
  <c r="EM127" i="54" s="1"/>
  <c r="EI125" i="54"/>
  <c r="EL125" i="54" s="1"/>
  <c r="EJ88" i="54"/>
  <c r="EM88" i="54" s="1"/>
  <c r="EJ17" i="54"/>
  <c r="EM17" i="54" s="1"/>
  <c r="EJ243" i="54"/>
  <c r="EM243" i="54" s="1"/>
  <c r="EI235" i="54"/>
  <c r="EL235" i="54" s="1"/>
  <c r="EI234" i="54"/>
  <c r="EL234" i="54" s="1"/>
  <c r="EI233" i="54"/>
  <c r="EL233" i="54" s="1"/>
  <c r="EI146" i="54"/>
  <c r="EL146" i="54" s="1"/>
  <c r="EJ145" i="54"/>
  <c r="EM145" i="54" s="1"/>
  <c r="EI137" i="54"/>
  <c r="EL137" i="54" s="1"/>
  <c r="EJ164" i="54"/>
  <c r="EM164" i="54" s="1"/>
  <c r="EI71" i="54"/>
  <c r="EL71" i="54" s="1"/>
  <c r="EJ141" i="54"/>
  <c r="EM141" i="54" s="1"/>
  <c r="EI94" i="54"/>
  <c r="EL94" i="54" s="1"/>
  <c r="EI93" i="54"/>
  <c r="EL93" i="54" s="1"/>
  <c r="EI85" i="54"/>
  <c r="EL85" i="54" s="1"/>
  <c r="EJ83" i="54"/>
  <c r="EM83" i="54" s="1"/>
  <c r="EJ36" i="54"/>
  <c r="EM36" i="54" s="1"/>
  <c r="EJ249" i="54"/>
  <c r="EM249" i="54" s="1"/>
  <c r="EI240" i="54"/>
  <c r="EL240" i="54" s="1"/>
  <c r="EI201" i="54"/>
  <c r="EL201" i="54" s="1"/>
  <c r="EI193" i="54"/>
  <c r="EL193" i="54" s="1"/>
  <c r="EI191" i="54"/>
  <c r="EL191" i="54" s="1"/>
  <c r="EJ103" i="54"/>
  <c r="EM103" i="54" s="1"/>
  <c r="EI52" i="54"/>
  <c r="EL52" i="54" s="1"/>
  <c r="EJ169" i="54"/>
  <c r="EM169" i="54" s="1"/>
  <c r="EJ210" i="54"/>
  <c r="EM210" i="54" s="1"/>
  <c r="EJ178" i="54"/>
  <c r="EM178" i="54" s="1"/>
  <c r="EJ99" i="54"/>
  <c r="EM99" i="54" s="1"/>
  <c r="EJ91" i="54"/>
  <c r="EM91" i="54" s="1"/>
  <c r="EI40" i="54"/>
  <c r="EL40" i="54" s="1"/>
  <c r="EJ45" i="54"/>
  <c r="EM45" i="54" s="1"/>
  <c r="EJ44" i="54"/>
  <c r="EM44" i="54" s="1"/>
  <c r="EI43" i="54"/>
  <c r="EL43" i="54" s="1"/>
  <c r="EI252" i="54"/>
  <c r="EL252" i="54" s="1"/>
  <c r="EI207" i="54"/>
  <c r="EL207" i="54" s="1"/>
  <c r="EJ199" i="54"/>
  <c r="EM199" i="54" s="1"/>
  <c r="EJ172" i="54"/>
  <c r="EM172" i="54" s="1"/>
  <c r="EJ153" i="54"/>
  <c r="EM153" i="54" s="1"/>
  <c r="EI152" i="54"/>
  <c r="EL152" i="54" s="1"/>
  <c r="EJ151" i="54"/>
  <c r="EM151" i="54" s="1"/>
  <c r="EJ63" i="54"/>
  <c r="EM63" i="54" s="1"/>
  <c r="EI55" i="54"/>
  <c r="EL55" i="54" s="1"/>
  <c r="EI53" i="54"/>
  <c r="EL53" i="54" s="1"/>
  <c r="EI51" i="54"/>
  <c r="EL51" i="54" s="1"/>
  <c r="EJ92" i="54"/>
  <c r="EM92" i="54" s="1"/>
  <c r="EI46" i="54"/>
  <c r="EL46" i="54" s="1"/>
  <c r="EJ57" i="54"/>
  <c r="EM57" i="54" s="1"/>
  <c r="EI49" i="54"/>
  <c r="EL49" i="54" s="1"/>
  <c r="EJ257" i="54"/>
  <c r="EM257" i="54" s="1"/>
  <c r="EI244" i="54"/>
  <c r="EL244" i="54" s="1"/>
  <c r="EI204" i="54"/>
  <c r="EL204" i="54" s="1"/>
  <c r="EJ165" i="54"/>
  <c r="EM165" i="54" s="1"/>
  <c r="EJ155" i="54"/>
  <c r="EM155" i="54" s="1"/>
  <c r="EI124" i="54"/>
  <c r="EL124" i="54" s="1"/>
  <c r="EJ108" i="54"/>
  <c r="EM108" i="54" s="1"/>
  <c r="EI56" i="54"/>
  <c r="EL56" i="54" s="1"/>
  <c r="EI97" i="54"/>
  <c r="EL97" i="54" s="1"/>
  <c r="EJ106" i="54"/>
  <c r="EM106" i="54" s="1"/>
  <c r="EJ263" i="54"/>
  <c r="EM263" i="54" s="1"/>
  <c r="EI219" i="54"/>
  <c r="EL219" i="54" s="1"/>
  <c r="EI209" i="54"/>
  <c r="EL209" i="54" s="1"/>
  <c r="EI117" i="54"/>
  <c r="EL117" i="54" s="1"/>
  <c r="EJ69" i="54"/>
  <c r="EM69" i="54" s="1"/>
  <c r="EJ68" i="54"/>
  <c r="EM68" i="54" s="1"/>
  <c r="EJ60" i="54"/>
  <c r="EM60" i="54" s="1"/>
  <c r="EI59" i="54"/>
  <c r="EL59" i="54" s="1"/>
  <c r="EI237" i="54"/>
  <c r="EL237" i="54" s="1"/>
  <c r="EI228" i="54"/>
  <c r="EL228" i="54" s="1"/>
  <c r="EJ227" i="54"/>
  <c r="EM227" i="54" s="1"/>
  <c r="EI208" i="54"/>
  <c r="EL208" i="54" s="1"/>
  <c r="EI102" i="54"/>
  <c r="EL102" i="54" s="1"/>
  <c r="EJ143" i="54"/>
  <c r="EM143" i="54" s="1"/>
  <c r="EI23" i="54"/>
  <c r="EL23" i="54" s="1"/>
  <c r="EI70" i="54"/>
  <c r="EL70" i="54" s="1"/>
  <c r="EI225" i="54"/>
  <c r="EL225" i="54" s="1"/>
  <c r="EI222" i="54"/>
  <c r="EL222" i="54" s="1"/>
  <c r="EJ221" i="54"/>
  <c r="EM221" i="54" s="1"/>
  <c r="EI202" i="54"/>
  <c r="EL202" i="54" s="1"/>
  <c r="EI168" i="54"/>
  <c r="EL168" i="54" s="1"/>
  <c r="EI136" i="54"/>
  <c r="EL136" i="54" s="1"/>
  <c r="EJ129" i="54"/>
  <c r="EM129" i="54" s="1"/>
  <c r="EJ72" i="54"/>
  <c r="EM72" i="54" s="1"/>
  <c r="EI27" i="54"/>
  <c r="EL27" i="54" s="1"/>
  <c r="EJ19" i="54"/>
  <c r="EM19" i="54" s="1"/>
  <c r="EJ181" i="54"/>
  <c r="EM181" i="54" s="1"/>
  <c r="EI127" i="54"/>
  <c r="EL127" i="54" s="1"/>
  <c r="EI126" i="54"/>
  <c r="EL126" i="54" s="1"/>
  <c r="EJ125" i="54"/>
  <c r="EM125" i="54" s="1"/>
  <c r="EI77" i="54"/>
  <c r="EL77" i="54" s="1"/>
  <c r="EI33" i="54"/>
  <c r="EL33" i="54" s="1"/>
  <c r="EI32" i="54"/>
  <c r="EL32" i="54" s="1"/>
  <c r="EI242" i="54"/>
  <c r="EL242" i="54" s="1"/>
  <c r="EJ234" i="54"/>
  <c r="EM234" i="54" s="1"/>
  <c r="EJ220" i="54"/>
  <c r="EM220" i="54" s="1"/>
  <c r="EJ147" i="54"/>
  <c r="EM147" i="54" s="1"/>
  <c r="EJ146" i="54"/>
  <c r="EM146" i="54" s="1"/>
  <c r="EI145" i="54"/>
  <c r="EL145" i="54" s="1"/>
  <c r="EJ137" i="54"/>
  <c r="EM137" i="54" s="1"/>
  <c r="EJ123" i="54"/>
  <c r="EM123" i="54" s="1"/>
  <c r="EI30" i="54"/>
  <c r="EL30" i="54" s="1"/>
  <c r="EJ118" i="54"/>
  <c r="EM118" i="54" s="1"/>
  <c r="EJ132" i="54"/>
  <c r="EM132" i="54" s="1"/>
  <c r="EJ94" i="54"/>
  <c r="EM94" i="54" s="1"/>
  <c r="EJ93" i="54"/>
  <c r="EM93" i="54" s="1"/>
  <c r="EI37" i="54"/>
  <c r="EL37" i="54" s="1"/>
  <c r="EJ248" i="54"/>
  <c r="EM248" i="54" s="1"/>
  <c r="EJ240" i="54"/>
  <c r="EM240" i="54" s="1"/>
  <c r="EJ201" i="54"/>
  <c r="EM201" i="54" s="1"/>
  <c r="EJ192" i="54"/>
  <c r="EM192" i="54" s="1"/>
  <c r="EJ166" i="54"/>
  <c r="EM166" i="54" s="1"/>
  <c r="EI95" i="54"/>
  <c r="EL95" i="54" s="1"/>
  <c r="EJ52" i="54"/>
  <c r="EM52" i="54" s="1"/>
  <c r="EI128" i="54"/>
  <c r="EL128" i="54" s="1"/>
  <c r="EI169" i="54"/>
  <c r="EL169" i="54" s="1"/>
  <c r="EI178" i="54"/>
  <c r="EL178" i="54" s="1"/>
  <c r="EJ40" i="54"/>
  <c r="EM40" i="54" s="1"/>
  <c r="EI44" i="54"/>
  <c r="EL44" i="54" s="1"/>
  <c r="EJ42" i="54"/>
  <c r="EM42" i="54" s="1"/>
  <c r="EJ252" i="54"/>
  <c r="EM252" i="54" s="1"/>
  <c r="EJ245" i="54"/>
  <c r="EM245" i="54" s="1"/>
  <c r="EJ238" i="54"/>
  <c r="EM238" i="54" s="1"/>
  <c r="EJ152" i="54"/>
  <c r="EM152" i="54" s="1"/>
  <c r="EI150" i="54"/>
  <c r="EL150" i="54" s="1"/>
  <c r="EJ112" i="54"/>
  <c r="EM112" i="54" s="1"/>
  <c r="EI62" i="54"/>
  <c r="EL62" i="54" s="1"/>
  <c r="EJ53" i="54"/>
  <c r="EM53" i="54" s="1"/>
  <c r="EI267" i="54"/>
  <c r="EL267" i="54" s="1"/>
  <c r="EJ51" i="54"/>
  <c r="EM51" i="54" s="1"/>
  <c r="EI262" i="54"/>
  <c r="EL262" i="54" s="1"/>
  <c r="EJ46" i="54"/>
  <c r="EM46" i="54" s="1"/>
  <c r="EI142" i="54"/>
  <c r="EL142" i="54" s="1"/>
  <c r="EI261" i="54"/>
  <c r="EL261" i="54" s="1"/>
  <c r="EJ259" i="54"/>
  <c r="EM259" i="54" s="1"/>
  <c r="EI258" i="54"/>
  <c r="EL258" i="54" s="1"/>
  <c r="EJ244" i="54"/>
  <c r="EM244" i="54" s="1"/>
  <c r="EJ211" i="54"/>
  <c r="EM211" i="54" s="1"/>
  <c r="EI203" i="54"/>
  <c r="EL203" i="54" s="1"/>
  <c r="EI184" i="54"/>
  <c r="EL184" i="54" s="1"/>
  <c r="EJ124" i="54"/>
  <c r="EM124" i="54" s="1"/>
  <c r="EJ58" i="54"/>
  <c r="EM58" i="54" s="1"/>
  <c r="EI14" i="54"/>
  <c r="EL14" i="54" s="1"/>
  <c r="EI15" i="54"/>
  <c r="EL15" i="54" s="1"/>
  <c r="EJ56" i="54"/>
  <c r="EM56" i="54" s="1"/>
  <c r="EI10" i="54"/>
  <c r="EL10" i="54" s="1"/>
  <c r="EJ266" i="54"/>
  <c r="EM266" i="54" s="1"/>
  <c r="EJ265" i="54"/>
  <c r="EM265" i="54" s="1"/>
  <c r="EI264" i="54"/>
  <c r="EL264" i="54" s="1"/>
  <c r="EI171" i="54"/>
  <c r="EL171" i="54" s="1"/>
  <c r="EJ117" i="54"/>
  <c r="EM117" i="54" s="1"/>
  <c r="EI116" i="54"/>
  <c r="EL116" i="54" s="1"/>
  <c r="EJ115" i="54"/>
  <c r="EM115" i="54" s="1"/>
  <c r="EJ64" i="54"/>
  <c r="EM64" i="54" s="1"/>
  <c r="EJ67" i="54"/>
  <c r="EM67" i="54" s="1"/>
  <c r="EI229" i="54"/>
  <c r="EL229" i="54" s="1"/>
  <c r="EJ228" i="54"/>
  <c r="EM228" i="54" s="1"/>
  <c r="EJ208" i="54"/>
  <c r="EM208" i="54" s="1"/>
  <c r="EJ61" i="54"/>
  <c r="EM61" i="54" s="1"/>
  <c r="EJ102" i="54"/>
  <c r="EM102" i="54" s="1"/>
  <c r="EJ23" i="54"/>
  <c r="EM23" i="54" s="1"/>
  <c r="EJ70" i="54"/>
  <c r="EM70" i="54" s="1"/>
  <c r="EJ222" i="54"/>
  <c r="EM222" i="54" s="1"/>
  <c r="EJ167" i="54"/>
  <c r="EM167" i="54" s="1"/>
  <c r="EI183" i="54"/>
  <c r="EL183" i="54" s="1"/>
  <c r="EI182" i="54"/>
  <c r="EL182" i="54" s="1"/>
  <c r="EI181" i="54"/>
  <c r="EL181" i="54" s="1"/>
  <c r="EI173" i="54"/>
  <c r="EL173" i="54" s="1"/>
  <c r="EI134" i="54"/>
  <c r="EL134" i="54" s="1"/>
  <c r="EJ77" i="54"/>
  <c r="EM77" i="54" s="1"/>
  <c r="EJ33" i="54"/>
  <c r="EM33" i="54" s="1"/>
  <c r="EJ24" i="54"/>
  <c r="EM24" i="54" s="1"/>
  <c r="EJ242" i="54"/>
  <c r="EM242" i="54" s="1"/>
  <c r="EJ233" i="54"/>
  <c r="EM233" i="54" s="1"/>
  <c r="EI144" i="54"/>
  <c r="EL144" i="54" s="1"/>
  <c r="EI100" i="54"/>
  <c r="EL100" i="54" s="1"/>
  <c r="EI246" i="54"/>
  <c r="EL246" i="54" s="1"/>
  <c r="EJ71" i="54"/>
  <c r="EM71" i="54" s="1"/>
  <c r="EJ214" i="54"/>
  <c r="EM214" i="54" s="1"/>
  <c r="EJ139" i="54"/>
  <c r="EM139" i="54" s="1"/>
  <c r="EJ131" i="54"/>
  <c r="EM131" i="54" s="1"/>
  <c r="EJ39" i="54"/>
  <c r="EM39" i="54" s="1"/>
  <c r="EI38" i="54"/>
  <c r="EL38" i="54" s="1"/>
  <c r="EJ37" i="54"/>
  <c r="EM37" i="54" s="1"/>
  <c r="EJ247" i="54"/>
  <c r="EM247" i="54" s="1"/>
  <c r="EI239" i="54"/>
  <c r="EL239" i="54" s="1"/>
  <c r="EI232" i="54"/>
  <c r="EL232" i="54" s="1"/>
  <c r="EI166" i="54"/>
  <c r="EL166" i="54" s="1"/>
  <c r="EI103" i="54"/>
  <c r="EL103" i="54" s="1"/>
  <c r="EJ95" i="54"/>
  <c r="EM95" i="54" s="1"/>
  <c r="EI87" i="54"/>
  <c r="EL87" i="54" s="1"/>
  <c r="EJ128" i="54"/>
  <c r="EM128" i="54" s="1"/>
  <c r="EI82" i="54"/>
  <c r="EL82" i="54" s="1"/>
  <c r="EI91" i="54"/>
  <c r="EL91" i="54" s="1"/>
  <c r="EI90" i="54"/>
  <c r="EL90" i="54" s="1"/>
  <c r="EI89" i="54"/>
  <c r="EL89" i="54" s="1"/>
  <c r="EJ207" i="54"/>
  <c r="EM207" i="54" s="1"/>
  <c r="EI199" i="54"/>
  <c r="EL199" i="54" s="1"/>
  <c r="EI198" i="54"/>
  <c r="EL198" i="54" s="1"/>
  <c r="EI197" i="54"/>
  <c r="EL197" i="54" s="1"/>
  <c r="EI151" i="54"/>
  <c r="EL151" i="54" s="1"/>
  <c r="EJ267" i="54"/>
  <c r="EM267" i="54" s="1"/>
  <c r="EI215" i="54"/>
  <c r="EL215" i="54" s="1"/>
  <c r="EJ262" i="54"/>
  <c r="EM262" i="54" s="1"/>
  <c r="EI50" i="54"/>
  <c r="EL50" i="54" s="1"/>
  <c r="EI47" i="54"/>
  <c r="EL47" i="54" s="1"/>
  <c r="EJ261" i="54"/>
  <c r="EM261" i="54" s="1"/>
  <c r="EJ260" i="54"/>
  <c r="EM260" i="54" s="1"/>
  <c r="EI259" i="54"/>
  <c r="EL259" i="54" s="1"/>
  <c r="EI211" i="54"/>
  <c r="EL211" i="54" s="1"/>
  <c r="EJ204" i="54"/>
  <c r="EM204" i="54" s="1"/>
  <c r="EJ203" i="54"/>
  <c r="EM203" i="54" s="1"/>
  <c r="EJ184" i="54"/>
  <c r="EM184" i="54" s="1"/>
  <c r="EI155" i="54"/>
  <c r="EL155" i="54" s="1"/>
  <c r="EI111" i="54"/>
  <c r="EL111" i="54" s="1"/>
  <c r="EI110" i="54"/>
  <c r="EL110" i="54" s="1"/>
  <c r="EI101" i="54"/>
  <c r="EL101" i="54" s="1"/>
  <c r="EJ14" i="54"/>
  <c r="EM14" i="54" s="1"/>
  <c r="EJ13" i="54"/>
  <c r="EM13" i="54" s="1"/>
  <c r="EI268" i="54"/>
  <c r="EL268" i="54" s="1"/>
  <c r="EI231" i="54"/>
  <c r="EL231" i="54" s="1"/>
  <c r="EJ15" i="54"/>
  <c r="EM15" i="54" s="1"/>
  <c r="EI226" i="54"/>
  <c r="EL226" i="54" s="1"/>
  <c r="EJ10" i="54"/>
  <c r="EM10" i="54" s="1"/>
  <c r="EI265" i="54"/>
  <c r="EL265" i="54" s="1"/>
  <c r="EJ264" i="54"/>
  <c r="EM264" i="54" s="1"/>
  <c r="EI216" i="54"/>
  <c r="EL216" i="54" s="1"/>
  <c r="EJ209" i="54"/>
  <c r="EM209" i="54" s="1"/>
  <c r="EI196" i="54"/>
  <c r="EL196" i="54" s="1"/>
  <c r="EJ171" i="54"/>
  <c r="EM171" i="54" s="1"/>
  <c r="EI130" i="54"/>
  <c r="EL130" i="54" s="1"/>
  <c r="EJ116" i="54"/>
  <c r="EM116" i="54" s="1"/>
  <c r="EI115" i="54"/>
  <c r="EL115" i="54" s="1"/>
  <c r="EI67" i="54"/>
  <c r="EL67" i="54" s="1"/>
  <c r="EJ237" i="54"/>
  <c r="EM237" i="54" s="1"/>
  <c r="EI20" i="54"/>
  <c r="EL20" i="54" s="1"/>
  <c r="EI61" i="54"/>
  <c r="EL61" i="54" s="1"/>
  <c r="EJ225" i="54"/>
  <c r="EM225" i="54" s="1"/>
  <c r="EI224" i="54"/>
  <c r="EL224" i="54" s="1"/>
  <c r="EJ223" i="54"/>
  <c r="EM223" i="54" s="1"/>
  <c r="EJ183" i="54"/>
  <c r="EM183" i="54" s="1"/>
  <c r="EJ182" i="54"/>
  <c r="EM182" i="54" s="1"/>
  <c r="EJ134" i="54"/>
  <c r="EM134" i="54" s="1"/>
  <c r="EJ126" i="54"/>
  <c r="EM126" i="54" s="1"/>
  <c r="EJ78" i="54"/>
  <c r="EM78" i="54" s="1"/>
  <c r="EJ22" i="54"/>
  <c r="EM22" i="54" s="1"/>
  <c r="EJ32" i="54"/>
  <c r="EM32" i="54" s="1"/>
  <c r="EJ100" i="54"/>
  <c r="EM100" i="54" s="1"/>
  <c r="EJ205" i="54"/>
  <c r="EM205" i="54" s="1"/>
  <c r="EJ30" i="54"/>
  <c r="EM30" i="54" s="1"/>
  <c r="EI214" i="54"/>
  <c r="EL214" i="54" s="1"/>
  <c r="EI139" i="54"/>
  <c r="EL139" i="54" s="1"/>
  <c r="EI131" i="54"/>
  <c r="EL131" i="54" s="1"/>
  <c r="EI39" i="54"/>
  <c r="EL39" i="54" s="1"/>
  <c r="EJ38" i="54"/>
  <c r="EM38" i="54" s="1"/>
  <c r="EI247" i="54"/>
  <c r="EL247" i="54" s="1"/>
  <c r="EJ239" i="54"/>
  <c r="EM239" i="54" s="1"/>
  <c r="EI194" i="54"/>
  <c r="EL194" i="54" s="1"/>
  <c r="EJ87" i="54"/>
  <c r="EM87" i="54" s="1"/>
  <c r="EI35" i="54"/>
  <c r="EL35" i="54" s="1"/>
  <c r="EJ82" i="54"/>
  <c r="EM82" i="54" s="1"/>
  <c r="EI98" i="54"/>
  <c r="EL98" i="54" s="1"/>
  <c r="EJ90" i="54"/>
  <c r="EM90" i="54" s="1"/>
  <c r="EJ89" i="54"/>
  <c r="EM89" i="54" s="1"/>
  <c r="EI41" i="54"/>
  <c r="EL41" i="54" s="1"/>
  <c r="EJ255" i="54"/>
  <c r="EM255" i="54" s="1"/>
  <c r="EI254" i="54"/>
  <c r="EL254" i="54" s="1"/>
  <c r="EJ253" i="54"/>
  <c r="EM253" i="54" s="1"/>
  <c r="EI238" i="54"/>
  <c r="EL238" i="54" s="1"/>
  <c r="EI206" i="54"/>
  <c r="EL206" i="54" s="1"/>
  <c r="EJ198" i="54"/>
  <c r="EM198" i="54" s="1"/>
  <c r="EJ197" i="54"/>
  <c r="EM197" i="54" s="1"/>
  <c r="EI149" i="54"/>
  <c r="EL149" i="54" s="1"/>
  <c r="EJ62" i="54"/>
  <c r="EM62" i="54" s="1"/>
  <c r="EI54" i="54"/>
  <c r="EL54" i="54" s="1"/>
  <c r="EI174" i="54"/>
  <c r="EL174" i="54" s="1"/>
  <c r="EJ215" i="54"/>
  <c r="EM215" i="54" s="1"/>
  <c r="EJ47" i="54"/>
  <c r="EM47" i="54" s="1"/>
  <c r="EI260" i="54"/>
  <c r="EL260" i="54" s="1"/>
  <c r="EJ258" i="54"/>
  <c r="EM258" i="54" s="1"/>
  <c r="EI158" i="54"/>
  <c r="EL158" i="54" s="1"/>
  <c r="EJ157" i="54"/>
  <c r="EM157" i="54" s="1"/>
  <c r="EJ111" i="54"/>
  <c r="EM111" i="54" s="1"/>
  <c r="EJ109" i="54"/>
  <c r="EM109" i="54" s="1"/>
  <c r="EI58" i="54"/>
  <c r="EL58" i="54" s="1"/>
  <c r="EI21" i="54"/>
  <c r="EL21" i="54" s="1"/>
  <c r="EI12" i="54"/>
  <c r="EL12" i="54" s="1"/>
  <c r="EJ268" i="54"/>
  <c r="EM268" i="54" s="1"/>
  <c r="EJ231" i="54"/>
  <c r="EM231" i="54" s="1"/>
  <c r="EI179" i="54"/>
  <c r="EL179" i="54" s="1"/>
  <c r="EJ226" i="54"/>
  <c r="EM226" i="54" s="1"/>
  <c r="EJ216" i="54"/>
  <c r="EM216" i="54" s="1"/>
  <c r="EJ196" i="54"/>
  <c r="EM196" i="54" s="1"/>
  <c r="EJ163" i="54"/>
  <c r="EM163" i="54" s="1"/>
  <c r="EJ162" i="54"/>
  <c r="EM162" i="54" s="1"/>
  <c r="EI161" i="54"/>
  <c r="EL161" i="54" s="1"/>
  <c r="EJ114" i="54"/>
  <c r="EM114" i="54" s="1"/>
  <c r="EJ59" i="54"/>
  <c r="EM59" i="54" s="1"/>
  <c r="EI227" i="54"/>
  <c r="EL227" i="54" s="1"/>
  <c r="EI236" i="54"/>
  <c r="EL236" i="54" s="1"/>
  <c r="EJ20" i="54"/>
  <c r="EM20" i="54" s="1"/>
  <c r="EJ224" i="54"/>
  <c r="EM224" i="54" s="1"/>
  <c r="EI223" i="54"/>
  <c r="EL223" i="54" s="1"/>
  <c r="EI175" i="54"/>
  <c r="EL175" i="54" s="1"/>
  <c r="EI167" i="54"/>
  <c r="EL167" i="54" s="1"/>
  <c r="EJ119" i="54"/>
  <c r="EM119" i="54" s="1"/>
  <c r="EJ74" i="54"/>
  <c r="EM74" i="54" s="1"/>
  <c r="EJ65" i="54"/>
  <c r="EM65" i="54" s="1"/>
  <c r="EI11" i="54"/>
  <c r="EL11" i="54" s="1"/>
  <c r="EJ189" i="54"/>
  <c r="EM189" i="54" s="1"/>
  <c r="EI188" i="54"/>
  <c r="EL188" i="54" s="1"/>
  <c r="EI160" i="54"/>
  <c r="EL160" i="54" s="1"/>
  <c r="EJ25" i="54"/>
  <c r="EM25" i="54" s="1"/>
  <c r="EJ66" i="54"/>
  <c r="EM66" i="54" s="1"/>
  <c r="EJ34" i="54"/>
  <c r="EM34" i="54" s="1"/>
  <c r="EI122" i="54"/>
  <c r="EL122" i="54" s="1"/>
  <c r="EI121" i="54"/>
  <c r="EL121" i="54" s="1"/>
  <c r="EI120" i="54"/>
  <c r="EL120" i="54" s="1"/>
  <c r="EI119" i="54"/>
  <c r="EL119" i="54" s="1"/>
  <c r="EI73" i="54"/>
  <c r="EL73" i="54" s="1"/>
  <c r="EI16" i="54"/>
  <c r="EL16" i="54" s="1"/>
  <c r="EI19" i="54"/>
  <c r="EL19" i="54" s="1"/>
  <c r="EJ187" i="54"/>
  <c r="EM187" i="54" s="1"/>
  <c r="EJ186" i="54"/>
  <c r="EM186" i="54" s="1"/>
  <c r="EJ160" i="54"/>
  <c r="EM160" i="54" s="1"/>
  <c r="EJ241" i="54"/>
  <c r="EM241" i="54" s="1"/>
  <c r="EI25" i="54"/>
  <c r="EL25" i="54" s="1"/>
  <c r="EI176" i="54"/>
  <c r="EL176" i="54" s="1"/>
  <c r="EJ122" i="54"/>
  <c r="EM122" i="54" s="1"/>
  <c r="EJ120" i="54"/>
  <c r="EM120" i="54" s="1"/>
  <c r="EI72" i="54"/>
  <c r="EL72" i="54" s="1"/>
  <c r="EJ27" i="54"/>
  <c r="EM27" i="54" s="1"/>
  <c r="EI18" i="54"/>
  <c r="EL18" i="54" s="1"/>
  <c r="EJ188" i="54"/>
  <c r="EM188" i="54" s="1"/>
  <c r="EI187" i="54"/>
  <c r="EL187" i="54" s="1"/>
  <c r="EI200" i="54"/>
  <c r="EL200" i="54" s="1"/>
  <c r="EI241" i="54"/>
  <c r="EL241" i="54" s="1"/>
  <c r="EI177" i="54"/>
  <c r="EL177" i="54" s="1"/>
  <c r="EJ168" i="54"/>
  <c r="EM168" i="54" s="1"/>
  <c r="EI129" i="54"/>
  <c r="EL129" i="54" s="1"/>
  <c r="EJ16" i="54"/>
  <c r="EM16" i="54" s="1"/>
  <c r="EI26" i="54"/>
  <c r="EL26" i="54" s="1"/>
  <c r="EI186" i="54"/>
  <c r="EL186" i="54" s="1"/>
  <c r="EI185" i="54"/>
  <c r="EL185" i="54" s="1"/>
  <c r="EI159" i="54"/>
  <c r="EL159" i="54" s="1"/>
  <c r="EJ200" i="54"/>
  <c r="EM200" i="54" s="1"/>
  <c r="EI154" i="54"/>
  <c r="EL154" i="54" s="1"/>
  <c r="EJ202" i="54"/>
  <c r="EM202" i="54" s="1"/>
  <c r="EJ121" i="54"/>
  <c r="EM121" i="54" s="1"/>
  <c r="EI76" i="54"/>
  <c r="EL76" i="54" s="1"/>
  <c r="EI75" i="54"/>
  <c r="EL75" i="54" s="1"/>
  <c r="EJ73" i="54"/>
  <c r="EM73" i="54" s="1"/>
  <c r="EJ26" i="54"/>
  <c r="EM26" i="54" s="1"/>
  <c r="EJ18" i="54"/>
  <c r="EM18" i="54" s="1"/>
  <c r="EJ11" i="54"/>
  <c r="EM11" i="54" s="1"/>
  <c r="EJ159" i="54"/>
  <c r="EM159" i="54" s="1"/>
  <c r="EI107" i="54"/>
  <c r="EL107" i="54" s="1"/>
  <c r="EJ154" i="54"/>
  <c r="EM154" i="54" s="1"/>
  <c r="EI250" i="54"/>
  <c r="EL250" i="54" s="1"/>
  <c r="EI34" i="54"/>
  <c r="EL34" i="54" s="1"/>
  <c r="EJ175" i="54"/>
  <c r="EM175" i="54" s="1"/>
  <c r="EJ136" i="54"/>
  <c r="EM136" i="54" s="1"/>
  <c r="EJ76" i="54"/>
  <c r="EM76" i="54" s="1"/>
  <c r="EJ75" i="54"/>
  <c r="EM75" i="54" s="1"/>
  <c r="EI74" i="54"/>
  <c r="EL74" i="54" s="1"/>
  <c r="EI65" i="54"/>
  <c r="EL65" i="54" s="1"/>
  <c r="EI189" i="54"/>
  <c r="EL189" i="54" s="1"/>
  <c r="EJ185" i="54"/>
  <c r="EM185" i="54" s="1"/>
  <c r="EI66" i="54"/>
  <c r="EL66" i="54" s="1"/>
  <c r="EJ107" i="54"/>
  <c r="EM107" i="54" s="1"/>
  <c r="EJ250" i="54"/>
  <c r="EM250" i="54" s="1"/>
  <c r="FV20" i="54"/>
  <c r="FU19" i="54"/>
  <c r="FW19" i="54" s="1"/>
  <c r="FR20" i="54" s="1"/>
  <c r="CV66" i="54"/>
  <c r="CU67" i="54"/>
  <c r="CT66" i="54"/>
  <c r="D1403" i="57"/>
  <c r="D2477" i="57"/>
  <c r="D507" i="57"/>
  <c r="D91" i="57"/>
  <c r="D387" i="57"/>
  <c r="D615" i="57"/>
  <c r="D564" i="57"/>
  <c r="D606" i="57"/>
  <c r="D583" i="57"/>
  <c r="D244" i="57"/>
  <c r="D1391" i="57"/>
  <c r="D1090" i="57"/>
  <c r="D1291" i="57"/>
  <c r="D1067" i="57"/>
  <c r="D434" i="57"/>
  <c r="D165" i="57"/>
  <c r="D452" i="57"/>
  <c r="D1286" i="57"/>
  <c r="D41" i="57"/>
  <c r="D1152" i="57"/>
  <c r="D43" i="57"/>
  <c r="D470" i="57"/>
  <c r="D201" i="57"/>
  <c r="D488" i="57"/>
  <c r="D57" i="57"/>
  <c r="D151" i="57"/>
  <c r="D93" i="57"/>
  <c r="D380" i="57"/>
  <c r="D116" i="57"/>
  <c r="D463" i="57"/>
  <c r="D129" i="57"/>
  <c r="D481" i="57"/>
  <c r="D506" i="57"/>
  <c r="D398" i="57"/>
  <c r="D416" i="57"/>
  <c r="D1310" i="57"/>
  <c r="D12" i="57"/>
  <c r="G12" i="57" s="1" a="1"/>
  <c r="G12" i="57" s="1"/>
  <c r="D84" i="57"/>
  <c r="D690" i="57"/>
  <c r="D966" i="57"/>
  <c r="D652" i="57"/>
  <c r="D805" i="57"/>
  <c r="D1131" i="57"/>
  <c r="D843" i="57"/>
  <c r="D1381" i="57"/>
  <c r="D1399" i="57"/>
  <c r="D1388" i="57"/>
  <c r="D1409" i="57"/>
  <c r="D55" i="57"/>
  <c r="D80" i="57"/>
  <c r="D181" i="57"/>
  <c r="D754" i="57"/>
  <c r="D718" i="57"/>
  <c r="D672" i="57"/>
  <c r="D302" i="57"/>
  <c r="D136" i="57"/>
  <c r="D208" i="57"/>
  <c r="D995" i="57"/>
  <c r="D1369" i="57"/>
  <c r="D825" i="57"/>
  <c r="D337" i="57"/>
  <c r="D56" i="57"/>
  <c r="D521" i="57"/>
  <c r="D189" i="57"/>
  <c r="D700" i="57"/>
  <c r="D248" i="57"/>
  <c r="D669" i="57"/>
  <c r="D492" i="57"/>
  <c r="D832" i="57"/>
  <c r="D448" i="57"/>
  <c r="D1018" i="57"/>
  <c r="D293" i="57"/>
  <c r="D988" i="57"/>
  <c r="D739" i="57"/>
  <c r="D437" i="57"/>
  <c r="D886" i="57"/>
  <c r="D958" i="57"/>
  <c r="D375" i="57"/>
  <c r="D1223" i="57"/>
  <c r="D1308" i="57"/>
  <c r="D821" i="57"/>
  <c r="D1037" i="57"/>
  <c r="D709" i="57"/>
  <c r="D1280" i="57"/>
  <c r="D1128" i="57"/>
  <c r="D1327" i="57"/>
  <c r="D22" i="57"/>
  <c r="G22" i="57" s="1" a="1"/>
  <c r="G22" i="57" s="1"/>
  <c r="D389" i="57"/>
  <c r="D159" i="57"/>
  <c r="D599" i="57"/>
  <c r="D101" i="57"/>
  <c r="D555" i="57"/>
  <c r="D964" i="57"/>
  <c r="D898" i="57"/>
  <c r="D868" i="57"/>
  <c r="D540" i="57"/>
  <c r="D238" i="57"/>
  <c r="D249" i="57"/>
  <c r="D738" i="57"/>
  <c r="D649" i="57"/>
  <c r="D517" i="57"/>
  <c r="D1028" i="57"/>
  <c r="D828" i="57"/>
  <c r="D769" i="57"/>
  <c r="D730" i="57"/>
  <c r="D889" i="57"/>
  <c r="D741" i="57"/>
  <c r="D759" i="57"/>
  <c r="D678" i="57"/>
  <c r="D339" i="57"/>
  <c r="D391" i="57"/>
  <c r="D89" i="57"/>
  <c r="D385" i="57"/>
  <c r="D212" i="57"/>
  <c r="D77" i="57"/>
  <c r="D219" i="57"/>
  <c r="D163" i="57"/>
  <c r="D317" i="57"/>
  <c r="D169" i="57"/>
  <c r="D668" i="57"/>
  <c r="D305" i="57"/>
  <c r="D591" i="57"/>
  <c r="D572" i="57"/>
  <c r="D278" i="57"/>
  <c r="D232" i="57"/>
  <c r="D441" i="57"/>
  <c r="D728" i="57"/>
  <c r="D342" i="57"/>
  <c r="D850" i="57"/>
  <c r="D990" i="57"/>
  <c r="D108" i="57"/>
  <c r="D1009" i="57"/>
  <c r="D750" i="57"/>
  <c r="D667" i="57"/>
  <c r="D864" i="57"/>
  <c r="D1021" i="57"/>
  <c r="D768" i="57"/>
  <c r="D897" i="57"/>
  <c r="D526" i="57"/>
  <c r="D1033" i="57"/>
  <c r="D1283" i="57"/>
  <c r="D1193" i="57"/>
  <c r="D445" i="57"/>
  <c r="D164" i="57"/>
  <c r="D453" i="57"/>
  <c r="D359" i="57"/>
  <c r="D561" i="57"/>
  <c r="D970" i="57"/>
  <c r="D330" i="57"/>
  <c r="D629" i="57"/>
  <c r="D96" i="57"/>
  <c r="D880" i="57"/>
  <c r="D585" i="57"/>
  <c r="D365" i="57"/>
  <c r="D280" i="57"/>
  <c r="D1002" i="57"/>
  <c r="D658" i="57"/>
  <c r="D900" i="57"/>
  <c r="D841" i="57"/>
  <c r="D814" i="57"/>
  <c r="D226" i="57"/>
  <c r="D788" i="57"/>
  <c r="D1004" i="57"/>
  <c r="D837" i="57"/>
  <c r="D909" i="57"/>
  <c r="D1055" i="57"/>
  <c r="D915" i="57"/>
  <c r="D187" i="57"/>
  <c r="D171" i="57"/>
  <c r="D134" i="57"/>
  <c r="D203" i="57"/>
  <c r="D494" i="57"/>
  <c r="D726" i="57"/>
  <c r="D178" i="57"/>
  <c r="D246" i="57"/>
  <c r="D191" i="57"/>
  <c r="D630" i="57"/>
  <c r="D1160" i="57"/>
  <c r="D694" i="57"/>
  <c r="D924" i="57"/>
  <c r="D504" i="57"/>
  <c r="D763" i="57"/>
  <c r="D535" i="57"/>
  <c r="D1034" i="57"/>
  <c r="D1185" i="57"/>
  <c r="D923" i="57"/>
  <c r="D1109" i="57"/>
  <c r="D819" i="57"/>
  <c r="D1025" i="57"/>
  <c r="D977" i="57"/>
  <c r="D879" i="57"/>
  <c r="D1336" i="57"/>
  <c r="D1192" i="57"/>
  <c r="D1126" i="57"/>
  <c r="D346" i="57"/>
  <c r="D424" i="57"/>
  <c r="D815" i="57"/>
  <c r="D911" i="57"/>
  <c r="D1080" i="57"/>
  <c r="D1293" i="57"/>
  <c r="D1097" i="57"/>
  <c r="D1378" i="57"/>
  <c r="D1423" i="57"/>
  <c r="D1277" i="57"/>
  <c r="D1019" i="57"/>
  <c r="D1427" i="57"/>
  <c r="D1031" i="57"/>
  <c r="D773" i="57"/>
  <c r="D1340" i="57"/>
  <c r="D1438" i="57"/>
  <c r="D1202" i="57"/>
  <c r="D1082" i="57"/>
  <c r="D653" i="57"/>
  <c r="D1072" i="57"/>
  <c r="D926" i="57"/>
  <c r="D869" i="57"/>
  <c r="D1102" i="57"/>
  <c r="D2435" i="57"/>
  <c r="D1445" i="57"/>
  <c r="D1008" i="57"/>
  <c r="D1252" i="57"/>
  <c r="D259" i="57"/>
  <c r="D272" i="57"/>
  <c r="D104" i="57"/>
  <c r="D54" i="57"/>
  <c r="D735" i="57"/>
  <c r="D928" i="57"/>
  <c r="D862" i="57"/>
  <c r="D95" i="57"/>
  <c r="D582" i="57"/>
  <c r="D859" i="57"/>
  <c r="D996" i="57"/>
  <c r="D753" i="57"/>
  <c r="D237" i="57"/>
  <c r="D18" i="57"/>
  <c r="G18" i="57" s="1" a="1"/>
  <c r="G18" i="57" s="1"/>
  <c r="D211" i="57"/>
  <c r="D146" i="57"/>
  <c r="D229" i="57"/>
  <c r="D197" i="57"/>
  <c r="D185" i="57"/>
  <c r="D14" i="57"/>
  <c r="G14" i="57" s="1" a="1"/>
  <c r="G14" i="57" s="1"/>
  <c r="D338" i="57"/>
  <c r="D299" i="57"/>
  <c r="D35" i="57"/>
  <c r="D37" i="57"/>
  <c r="D325" i="57"/>
  <c r="D206" i="57"/>
  <c r="D31" i="57"/>
  <c r="D247" i="57"/>
  <c r="D265" i="57"/>
  <c r="D224" i="57"/>
  <c r="D366" i="57"/>
  <c r="D1042" i="57"/>
  <c r="D19" i="57"/>
  <c r="G19" i="57" s="1" a="1"/>
  <c r="G19" i="57" s="1"/>
  <c r="D70" i="57"/>
  <c r="D588" i="57"/>
  <c r="D579" i="57"/>
  <c r="D118" i="57"/>
  <c r="D63" i="57"/>
  <c r="D675" i="57"/>
  <c r="D324" i="57"/>
  <c r="D532" i="57"/>
  <c r="D607" i="57"/>
  <c r="D702" i="57"/>
  <c r="D334" i="57"/>
  <c r="D878" i="57"/>
  <c r="D487" i="57"/>
  <c r="D912" i="57"/>
  <c r="D386" i="57"/>
  <c r="D286" i="57"/>
  <c r="D717" i="57"/>
  <c r="D666" i="57"/>
  <c r="D906" i="57"/>
  <c r="D888" i="57"/>
  <c r="D546" i="57"/>
  <c r="D697" i="57"/>
  <c r="D111" i="57"/>
  <c r="D51" i="57"/>
  <c r="D273" i="57"/>
  <c r="D81" i="57"/>
  <c r="D69" i="57"/>
  <c r="D505" i="57"/>
  <c r="D327" i="57"/>
  <c r="D597" i="57"/>
  <c r="D340" i="57"/>
  <c r="D723" i="57"/>
  <c r="D1003" i="57"/>
  <c r="D877" i="57"/>
  <c r="D1241" i="57"/>
  <c r="D1144" i="57"/>
  <c r="D1361" i="57"/>
  <c r="D350" i="57"/>
  <c r="D368" i="57"/>
  <c r="D395" i="57"/>
  <c r="D884" i="57"/>
  <c r="D695" i="57"/>
  <c r="D661" i="57"/>
  <c r="D1093" i="57"/>
  <c r="D1145" i="57"/>
  <c r="D1296" i="57"/>
  <c r="D866" i="57"/>
  <c r="D1275" i="57"/>
  <c r="D383" i="57"/>
  <c r="D1392" i="57"/>
  <c r="D1404" i="57"/>
  <c r="D1038" i="57"/>
  <c r="D1333" i="57"/>
  <c r="D1218" i="57"/>
  <c r="D1406" i="57"/>
  <c r="D794" i="57"/>
  <c r="D1329" i="57"/>
  <c r="D1407" i="57"/>
  <c r="D1367" i="57"/>
  <c r="D714" i="57"/>
  <c r="D776" i="57"/>
  <c r="D803" i="57"/>
  <c r="D1056" i="57"/>
  <c r="D1157" i="57"/>
  <c r="D856" i="57"/>
  <c r="D976" i="57"/>
  <c r="D410" i="57"/>
  <c r="D466" i="57"/>
  <c r="D328" i="57"/>
  <c r="D840" i="57"/>
  <c r="D921" i="57"/>
  <c r="D903" i="57"/>
  <c r="D1049" i="57"/>
  <c r="D223" i="57"/>
  <c r="D97" i="57"/>
  <c r="D86" i="57"/>
  <c r="D130" i="57"/>
  <c r="D143" i="57"/>
  <c r="D83" i="57"/>
  <c r="D209" i="57"/>
  <c r="D162" i="57"/>
  <c r="D102" i="57"/>
  <c r="D1015" i="57"/>
  <c r="D311" i="57"/>
  <c r="D917" i="57"/>
  <c r="D1244" i="57"/>
  <c r="D902" i="57"/>
  <c r="D1358" i="57"/>
  <c r="D1174" i="57"/>
  <c r="D1379" i="57"/>
  <c r="D1200" i="57"/>
  <c r="D1400" i="57"/>
  <c r="D516" i="57"/>
  <c r="D1319" i="57"/>
  <c r="D1262" i="57"/>
  <c r="D374" i="57"/>
  <c r="D560" i="57"/>
  <c r="D680" i="57"/>
  <c r="D279" i="57"/>
  <c r="D518" i="57"/>
  <c r="D620" i="57"/>
  <c r="D124" i="57"/>
  <c r="D688" i="57"/>
  <c r="D670" i="57"/>
  <c r="D351" i="57"/>
  <c r="D747" i="57"/>
  <c r="D1394" i="57"/>
  <c r="D1066" i="57"/>
  <c r="D447" i="57"/>
  <c r="D1265" i="57"/>
  <c r="D1390" i="57"/>
  <c r="D1129" i="57"/>
  <c r="D1000" i="57"/>
  <c r="D1016" i="57"/>
  <c r="D1302" i="57"/>
  <c r="D1007" i="57"/>
  <c r="D1092" i="57"/>
  <c r="D1266" i="57"/>
  <c r="D914" i="57"/>
  <c r="D440" i="57"/>
  <c r="D845" i="57"/>
  <c r="D1287" i="57"/>
  <c r="D1443" i="57"/>
  <c r="D1005" i="57"/>
  <c r="D801" i="57"/>
  <c r="D1405" i="57"/>
  <c r="D367" i="57"/>
  <c r="D1429" i="57"/>
  <c r="D1142" i="57"/>
  <c r="D1064" i="57"/>
  <c r="D1282" i="57"/>
  <c r="D755" i="57"/>
  <c r="D1260" i="57"/>
  <c r="D1249" i="57"/>
  <c r="D419" i="57"/>
  <c r="D1119" i="57"/>
  <c r="D1048" i="57"/>
  <c r="D1373" i="57"/>
  <c r="D1116" i="57"/>
  <c r="D983" i="57"/>
  <c r="D190" i="57"/>
  <c r="D770" i="57"/>
  <c r="D855" i="57"/>
  <c r="D1301" i="57"/>
  <c r="D1397" i="57"/>
  <c r="D934" i="57"/>
  <c r="D432" i="57"/>
  <c r="D604" i="57"/>
  <c r="D774" i="57"/>
  <c r="D568" i="57"/>
  <c r="D454" i="57"/>
  <c r="D806" i="57"/>
  <c r="D613" i="57"/>
  <c r="D476" i="57"/>
  <c r="D531" i="57"/>
  <c r="D184" i="57"/>
  <c r="D687" i="57"/>
  <c r="D624" i="57"/>
  <c r="D186" i="57"/>
  <c r="D810" i="57"/>
  <c r="D640" i="57"/>
  <c r="D752" i="57"/>
  <c r="D1263" i="57"/>
  <c r="D715" i="57"/>
  <c r="D1342" i="57"/>
  <c r="D1338" i="57"/>
  <c r="D1098" i="57"/>
  <c r="D1305" i="57"/>
  <c r="D1205" i="57"/>
  <c r="D1417" i="57"/>
  <c r="D1435" i="57"/>
  <c r="D1297" i="57"/>
  <c r="D1237" i="57"/>
  <c r="D1164" i="57"/>
  <c r="D1343" i="57"/>
  <c r="D458" i="57"/>
  <c r="D989" i="57"/>
  <c r="D1162" i="57"/>
  <c r="D1074" i="57"/>
  <c r="D1070" i="57"/>
  <c r="D250" i="57"/>
  <c r="D625" i="57"/>
  <c r="D1258" i="57"/>
  <c r="D1071" i="57"/>
  <c r="D1117" i="57"/>
  <c r="D1159" i="57"/>
  <c r="D1201" i="57"/>
  <c r="D1172" i="57"/>
  <c r="D1132" i="57"/>
  <c r="D1375" i="57"/>
  <c r="D761" i="57"/>
  <c r="D420" i="57"/>
  <c r="D587" i="57"/>
  <c r="D1408" i="57"/>
  <c r="D1158" i="57"/>
  <c r="D1430" i="57"/>
  <c r="D1235" i="57"/>
  <c r="D1178" i="57"/>
  <c r="D1151" i="57"/>
  <c r="D1234" i="57"/>
  <c r="D1171" i="57"/>
  <c r="D1383" i="57"/>
  <c r="D1357" i="57"/>
  <c r="D1444" i="57"/>
  <c r="D1088" i="57"/>
  <c r="D1111" i="57"/>
  <c r="D1125" i="57"/>
  <c r="D533" i="57"/>
  <c r="D1044" i="57"/>
  <c r="D1122" i="57"/>
  <c r="D1065" i="57"/>
  <c r="D1316" i="57"/>
  <c r="D1389" i="57"/>
  <c r="D1355" i="57"/>
  <c r="D562" i="57"/>
  <c r="D571" i="57"/>
  <c r="D393" i="57"/>
  <c r="D777" i="57"/>
  <c r="D352" i="57"/>
  <c r="D1328" i="57"/>
  <c r="D1259" i="57"/>
  <c r="D1364" i="57"/>
  <c r="D746" i="57"/>
  <c r="D1083" i="57"/>
  <c r="D1227" i="57"/>
  <c r="D1387" i="57"/>
  <c r="D1272" i="57"/>
  <c r="D1370" i="57"/>
  <c r="D951" i="57"/>
  <c r="D793" i="57"/>
  <c r="D918" i="57"/>
  <c r="D1248" i="57"/>
  <c r="D703" i="57"/>
  <c r="D214" i="57"/>
  <c r="D813" i="57"/>
  <c r="D144" i="57"/>
  <c r="D547" i="57"/>
  <c r="D1213" i="57"/>
  <c r="D1224" i="57"/>
  <c r="D1156" i="57"/>
  <c r="D489" i="57"/>
  <c r="D1396" i="57"/>
  <c r="D920" i="57"/>
  <c r="D1139" i="57"/>
  <c r="D396" i="57"/>
  <c r="D891" i="57"/>
  <c r="D764" i="57"/>
  <c r="D357" i="57"/>
  <c r="D863" i="57"/>
  <c r="D139" i="57"/>
  <c r="D79" i="57"/>
  <c r="D295" i="57"/>
  <c r="D52" i="57"/>
  <c r="D207" i="57"/>
  <c r="D403" i="57"/>
  <c r="D113" i="57"/>
  <c r="D469" i="57"/>
  <c r="D177" i="57"/>
  <c r="D23" i="57"/>
  <c r="G23" i="57" s="1" a="1"/>
  <c r="G23" i="57" s="1"/>
  <c r="D126" i="57"/>
  <c r="D748" i="57"/>
  <c r="D268" i="57"/>
  <c r="D132" i="57"/>
  <c r="D477" i="57"/>
  <c r="D654" i="57"/>
  <c r="D222" i="57"/>
  <c r="D431" i="57"/>
  <c r="D514" i="57"/>
  <c r="D645" i="57"/>
  <c r="D456" i="57"/>
  <c r="D341" i="57"/>
  <c r="D808" i="57"/>
  <c r="D816" i="57"/>
  <c r="D930" i="57"/>
  <c r="D480" i="57"/>
  <c r="D641" i="57"/>
  <c r="D885" i="57"/>
  <c r="D1077" i="57"/>
  <c r="D1167" i="57"/>
  <c r="D1344" i="57"/>
  <c r="D1222" i="57"/>
  <c r="D1084" i="57"/>
  <c r="D971" i="57"/>
  <c r="D1134" i="57"/>
  <c r="D1182" i="57"/>
  <c r="D1363" i="57"/>
  <c r="D1414" i="57"/>
  <c r="D1339" i="57"/>
  <c r="D683" i="57"/>
  <c r="D195" i="57"/>
  <c r="D115" i="57"/>
  <c r="D193" i="57"/>
  <c r="D125" i="57"/>
  <c r="D73" i="57"/>
  <c r="D25" i="57"/>
  <c r="G25" i="57" s="1" a="1"/>
  <c r="G25" i="57" s="1"/>
  <c r="D421" i="57"/>
  <c r="D390" i="57"/>
  <c r="D904" i="57"/>
  <c r="D179" i="57"/>
  <c r="D427" i="57"/>
  <c r="D13" i="57"/>
  <c r="G13" i="57" s="1" a="1"/>
  <c r="G13" i="57" s="1"/>
  <c r="D266" i="57"/>
  <c r="D145" i="57"/>
  <c r="D98" i="57"/>
  <c r="D256" i="57"/>
  <c r="D474" i="57"/>
  <c r="D704" i="57"/>
  <c r="D627" i="57"/>
  <c r="D498" i="57"/>
  <c r="D300" i="57"/>
  <c r="D608" i="57"/>
  <c r="D940" i="57"/>
  <c r="D156" i="57"/>
  <c r="D548" i="57"/>
  <c r="D449" i="57"/>
  <c r="D425" i="57"/>
  <c r="D558" i="57"/>
  <c r="D522" i="57"/>
  <c r="D956" i="57"/>
  <c r="D922" i="57"/>
  <c r="D721" i="57"/>
  <c r="D943" i="57"/>
  <c r="D1100" i="57"/>
  <c r="D549" i="57"/>
  <c r="D329" i="57"/>
  <c r="D804" i="57"/>
  <c r="D981" i="57"/>
  <c r="D1239" i="57"/>
  <c r="D795" i="57"/>
  <c r="D1061" i="57"/>
  <c r="D1177" i="57"/>
  <c r="D647" i="57"/>
  <c r="D1270" i="57"/>
  <c r="D1356" i="57"/>
  <c r="D732" i="57"/>
  <c r="D1199" i="57"/>
  <c r="D1332" i="57"/>
  <c r="D262" i="57"/>
  <c r="D1289" i="57"/>
  <c r="D1415" i="57"/>
  <c r="D1322" i="57"/>
  <c r="D1418" i="57"/>
  <c r="D1442" i="57"/>
  <c r="D303" i="57"/>
  <c r="D1292" i="57"/>
  <c r="D227" i="57"/>
  <c r="D255" i="57"/>
  <c r="D127" i="57"/>
  <c r="D320" i="57"/>
  <c r="D68" i="57"/>
  <c r="D392" i="57"/>
  <c r="D307" i="57"/>
  <c r="D471" i="57"/>
  <c r="D58" i="57"/>
  <c r="D46" i="57"/>
  <c r="D210" i="57"/>
  <c r="D71" i="57"/>
  <c r="D1006" i="57"/>
  <c r="D567" i="57"/>
  <c r="D318" i="57"/>
  <c r="D225" i="57"/>
  <c r="D635" i="57"/>
  <c r="D1040" i="57"/>
  <c r="D594" i="57"/>
  <c r="D473" i="57"/>
  <c r="D822" i="57"/>
  <c r="D824" i="57"/>
  <c r="D712" i="57"/>
  <c r="D936" i="57"/>
  <c r="D382" i="57"/>
  <c r="D689" i="57"/>
  <c r="D1197" i="57"/>
  <c r="D851" i="57"/>
  <c r="D1225" i="57"/>
  <c r="D1017" i="57"/>
  <c r="D1314" i="57"/>
  <c r="D529" i="57"/>
  <c r="D1230" i="57"/>
  <c r="D589" i="57"/>
  <c r="D499" i="57"/>
  <c r="D30" i="57"/>
  <c r="D39" i="57"/>
  <c r="D50" i="57"/>
  <c r="D188" i="57"/>
  <c r="D105" i="57"/>
  <c r="D241" i="57"/>
  <c r="D369" i="57"/>
  <c r="D515" i="57"/>
  <c r="D1012" i="57"/>
  <c r="D239" i="57"/>
  <c r="D40" i="57"/>
  <c r="D628" i="57"/>
  <c r="D882" i="57"/>
  <c r="D1196" i="57"/>
  <c r="D580" i="57"/>
  <c r="D1059" i="57"/>
  <c r="D673" i="57"/>
  <c r="D905" i="57"/>
  <c r="D213" i="57"/>
  <c r="D553" i="57"/>
  <c r="D525" i="57"/>
  <c r="D292" i="57"/>
  <c r="D867" i="57"/>
  <c r="D304" i="57"/>
  <c r="D552" i="57"/>
  <c r="D830" i="57"/>
  <c r="D1331" i="57"/>
  <c r="D312" i="57"/>
  <c r="D510" i="57"/>
  <c r="D66" i="57"/>
  <c r="D706" i="57"/>
  <c r="D59" i="57"/>
  <c r="D172" i="57"/>
  <c r="D938" i="57"/>
  <c r="D94" i="57"/>
  <c r="D103" i="57"/>
  <c r="D28" i="57"/>
  <c r="D242" i="57"/>
  <c r="D152" i="57"/>
  <c r="D528" i="57"/>
  <c r="D287" i="57"/>
  <c r="D263" i="57"/>
  <c r="D534" i="57"/>
  <c r="D835" i="57"/>
  <c r="D288" i="57"/>
  <c r="D88" i="57"/>
  <c r="D676" i="57"/>
  <c r="D853" i="57"/>
  <c r="D634" i="57"/>
  <c r="D598" i="57"/>
  <c r="D1274" i="57"/>
  <c r="D681" i="57"/>
  <c r="D852" i="57"/>
  <c r="D47" i="57"/>
  <c r="D16" i="57"/>
  <c r="D931" i="57"/>
  <c r="D538" i="57"/>
  <c r="D490" i="57"/>
  <c r="D972" i="57"/>
  <c r="D161" i="57"/>
  <c r="D34" i="57"/>
  <c r="D235" i="57"/>
  <c r="D149" i="57"/>
  <c r="D78" i="57"/>
  <c r="D215" i="57"/>
  <c r="D1220" i="57"/>
  <c r="D967" i="57"/>
  <c r="D786" i="57"/>
  <c r="D980" i="57"/>
  <c r="D961" i="57"/>
  <c r="D643" i="57"/>
  <c r="D182" i="57"/>
  <c r="D49" i="57"/>
  <c r="D205" i="57"/>
  <c r="D475" i="57"/>
  <c r="D663" i="57"/>
  <c r="D790" i="57"/>
  <c r="D173" i="57"/>
  <c r="D275" i="57"/>
  <c r="D682" i="57"/>
  <c r="D942" i="57"/>
  <c r="D979" i="57"/>
  <c r="D849" i="57"/>
  <c r="D1349" i="57"/>
  <c r="D218" i="57"/>
  <c r="D199" i="57"/>
  <c r="D122" i="57"/>
  <c r="D446" i="57"/>
  <c r="D17" i="57"/>
  <c r="G17" i="57" s="1" a="1"/>
  <c r="G17" i="57" s="1"/>
  <c r="D699" i="57"/>
  <c r="D484" i="57"/>
  <c r="D336" i="57"/>
  <c r="D543" i="57"/>
  <c r="D944" i="57"/>
  <c r="D960" i="57"/>
  <c r="D180" i="57"/>
  <c r="D858" i="57"/>
  <c r="D616" i="57"/>
  <c r="D876" i="57"/>
  <c r="D817" i="57"/>
  <c r="D298" i="57"/>
  <c r="D619" i="57"/>
  <c r="D962" i="57"/>
  <c r="D321" i="57"/>
  <c r="D854" i="57"/>
  <c r="D1425" i="57"/>
  <c r="D1087" i="57"/>
  <c r="D412" i="57"/>
  <c r="D1212" i="57"/>
  <c r="D1416" i="57"/>
  <c r="D734" i="57"/>
  <c r="D550" i="57"/>
  <c r="D874" i="57"/>
  <c r="D792" i="57"/>
  <c r="D1309" i="57"/>
  <c r="D784" i="57"/>
  <c r="D322" i="57"/>
  <c r="D1313" i="57"/>
  <c r="D947" i="57"/>
  <c r="D148" i="57"/>
  <c r="D1095" i="57"/>
  <c r="D204" i="57"/>
  <c r="D1020" i="57"/>
  <c r="D935" i="57"/>
  <c r="D1206" i="57"/>
  <c r="D260" i="57"/>
  <c r="D907" i="57"/>
  <c r="D974" i="57"/>
  <c r="D1304" i="57"/>
  <c r="D908" i="57"/>
  <c r="D655" i="57"/>
  <c r="D623" i="57"/>
  <c r="D21" i="57"/>
  <c r="G21" i="57" s="1" a="1"/>
  <c r="G21" i="57" s="1"/>
  <c r="D381" i="57"/>
  <c r="D1366" i="57"/>
  <c r="D1385" i="57"/>
  <c r="D1170" i="57"/>
  <c r="D771" i="57"/>
  <c r="D1323" i="57"/>
  <c r="D724" i="57"/>
  <c r="D1243" i="57"/>
  <c r="D200" i="57"/>
  <c r="D946" i="57"/>
  <c r="D314" i="57"/>
  <c r="D539" i="57"/>
  <c r="D720" i="57"/>
  <c r="D883" i="57"/>
  <c r="D559" i="57"/>
  <c r="D865" i="57"/>
  <c r="D590" i="57"/>
  <c r="D618" i="57"/>
  <c r="D781" i="57"/>
  <c r="D997" i="57"/>
  <c r="D1107" i="57"/>
  <c r="D1032" i="57"/>
  <c r="D797" i="57"/>
  <c r="D1318" i="57"/>
  <c r="D1261" i="57"/>
  <c r="D1147" i="57"/>
  <c r="D807" i="57"/>
  <c r="D953" i="57"/>
  <c r="D595" i="57"/>
  <c r="D1011" i="57"/>
  <c r="D430" i="57"/>
  <c r="D408" i="57"/>
  <c r="D150" i="57"/>
  <c r="D660" i="57"/>
  <c r="D751" i="57"/>
  <c r="D789" i="57"/>
  <c r="D1374" i="57"/>
  <c r="D1186" i="57"/>
  <c r="D315" i="57"/>
  <c r="D48" i="57"/>
  <c r="D1347" i="57"/>
  <c r="D1096" i="57"/>
  <c r="D1365" i="57"/>
  <c r="D276" i="57"/>
  <c r="D872" i="57"/>
  <c r="D29" i="57"/>
  <c r="D175" i="57"/>
  <c r="D326" i="57"/>
  <c r="D443" i="57"/>
  <c r="D409" i="57"/>
  <c r="D128" i="57"/>
  <c r="D53" i="57"/>
  <c r="D26" i="57"/>
  <c r="G26" i="57" s="1" a="1"/>
  <c r="G26" i="57" s="1"/>
  <c r="D33" i="57"/>
  <c r="D32" i="57"/>
  <c r="D194" i="57"/>
  <c r="D154" i="57"/>
  <c r="D711" i="57"/>
  <c r="D651" i="57"/>
  <c r="D844" i="57"/>
  <c r="D870" i="57"/>
  <c r="D472" i="57"/>
  <c r="D839" i="57"/>
  <c r="D147" i="57"/>
  <c r="D67" i="57"/>
  <c r="D283" i="57"/>
  <c r="D281" i="57"/>
  <c r="D87" i="57"/>
  <c r="D301" i="57"/>
  <c r="D309" i="57"/>
  <c r="D353" i="57"/>
  <c r="D153" i="57"/>
  <c r="D289" i="57"/>
  <c r="D527" i="57"/>
  <c r="D141" i="57"/>
  <c r="D451" i="57"/>
  <c r="D140" i="57"/>
  <c r="D258" i="57"/>
  <c r="D486" i="57"/>
  <c r="D633" i="57"/>
  <c r="D826" i="57"/>
  <c r="D270" i="57"/>
  <c r="D345" i="57"/>
  <c r="D438" i="57"/>
  <c r="D796" i="57"/>
  <c r="D285" i="57"/>
  <c r="D982" i="57"/>
  <c r="D233" i="57"/>
  <c r="D952" i="57"/>
  <c r="D422" i="57"/>
  <c r="D358" i="57"/>
  <c r="D778" i="57"/>
  <c r="D762" i="57"/>
  <c r="D685" i="57"/>
  <c r="D919" i="57"/>
  <c r="D64" i="57"/>
  <c r="D636" i="57"/>
  <c r="D659" i="57"/>
  <c r="D631" i="57"/>
  <c r="D1058" i="57"/>
  <c r="D742" i="57"/>
  <c r="D756" i="57"/>
  <c r="D913" i="57"/>
  <c r="D932" i="57"/>
  <c r="D861" i="57"/>
  <c r="D1251" i="57"/>
  <c r="D779" i="57"/>
  <c r="D483" i="57"/>
  <c r="D831" i="57"/>
  <c r="D642" i="57"/>
  <c r="D1169" i="57"/>
  <c r="D927" i="57"/>
  <c r="D1271" i="57"/>
  <c r="D1079" i="57"/>
  <c r="D1354" i="57"/>
  <c r="D1350" i="57"/>
  <c r="D1299" i="57"/>
  <c r="D1195" i="57"/>
  <c r="D701" i="57"/>
  <c r="D749" i="57"/>
  <c r="D183" i="57"/>
  <c r="D38" i="57"/>
  <c r="D254" i="57"/>
  <c r="D335" i="57"/>
  <c r="D123" i="57"/>
  <c r="D363" i="57"/>
  <c r="D135" i="57"/>
  <c r="D271" i="57"/>
  <c r="D176" i="57"/>
  <c r="D500" i="57"/>
  <c r="D563" i="57"/>
  <c r="D117" i="57"/>
  <c r="D109" i="57"/>
  <c r="D202" i="57"/>
  <c r="D596" i="57"/>
  <c r="D192" i="57"/>
  <c r="D519" i="57"/>
  <c r="D569" i="57"/>
  <c r="D60" i="57"/>
  <c r="D423" i="57"/>
  <c r="D155" i="57"/>
  <c r="D716" i="57"/>
  <c r="D306" i="57"/>
  <c r="D228" i="57"/>
  <c r="D333" i="57"/>
  <c r="D444" i="57"/>
  <c r="D245" i="57"/>
  <c r="D402" i="57"/>
  <c r="D656" i="57"/>
  <c r="D65" i="57"/>
  <c r="D554" i="57"/>
  <c r="D160" i="57"/>
  <c r="D684" i="57"/>
  <c r="D937" i="57"/>
  <c r="D1094" i="57"/>
  <c r="D511" i="57"/>
  <c r="D894" i="57"/>
  <c r="D968" i="57"/>
  <c r="D1208" i="57"/>
  <c r="D949" i="57"/>
  <c r="D570" i="57"/>
  <c r="D401" i="57"/>
  <c r="D586" i="57"/>
  <c r="D1041" i="57"/>
  <c r="D1257" i="57"/>
  <c r="D1155" i="57"/>
  <c r="D1209" i="57"/>
  <c r="D1001" i="57"/>
  <c r="D541" i="57"/>
  <c r="D1127" i="57"/>
  <c r="D833" i="57"/>
  <c r="D1010" i="57"/>
  <c r="D999" i="57"/>
  <c r="D373" i="57"/>
  <c r="D92" i="57"/>
  <c r="D417" i="57"/>
  <c r="D158" i="57"/>
  <c r="D24" i="57"/>
  <c r="G24" i="57" s="1" a="1"/>
  <c r="G24" i="57" s="1"/>
  <c r="D557" i="57"/>
  <c r="D277" i="57"/>
  <c r="D170" i="57"/>
  <c r="D257" i="57"/>
  <c r="D632" i="57"/>
  <c r="D251" i="57"/>
  <c r="D356" i="57"/>
  <c r="D617" i="57"/>
  <c r="D142" i="57"/>
  <c r="D705" i="57"/>
  <c r="D575" i="57"/>
  <c r="D536" i="57"/>
  <c r="D72" i="57"/>
  <c r="D600" i="57"/>
  <c r="D414" i="57"/>
  <c r="D282" i="57"/>
  <c r="D167" i="57"/>
  <c r="D407" i="57"/>
  <c r="D107" i="57"/>
  <c r="D692" i="57"/>
  <c r="D36" i="57"/>
  <c r="D662" i="57"/>
  <c r="D848" i="57"/>
  <c r="D1148" i="57"/>
  <c r="D954" i="57"/>
  <c r="D895" i="57"/>
  <c r="D973" i="57"/>
  <c r="D812" i="57"/>
  <c r="D729" i="57"/>
  <c r="D871" i="57"/>
  <c r="D626" i="57"/>
  <c r="D985" i="57"/>
  <c r="D513" i="57"/>
  <c r="D765" i="57"/>
  <c r="D1029" i="57"/>
  <c r="D1203" i="57"/>
  <c r="D890" i="57"/>
  <c r="D1268" i="57"/>
  <c r="D1057" i="57"/>
  <c r="D1069" i="57"/>
  <c r="D959" i="57"/>
  <c r="D696" i="57"/>
  <c r="D1181" i="57"/>
  <c r="D941" i="57"/>
  <c r="D1288" i="57"/>
  <c r="D929" i="57"/>
  <c r="D1284" i="57"/>
  <c r="D1075" i="57"/>
  <c r="D1108" i="57"/>
  <c r="D1091" i="57"/>
  <c r="D601" i="57"/>
  <c r="D1068" i="57"/>
  <c r="D1256" i="57"/>
  <c r="D965" i="57"/>
  <c r="D1165" i="57"/>
  <c r="D733" i="57"/>
  <c r="D791" i="57"/>
  <c r="D1110" i="57"/>
  <c r="D1285" i="57"/>
  <c r="D1278" i="57"/>
  <c r="D1295" i="57"/>
  <c r="D1198" i="57"/>
  <c r="D1384" i="57"/>
  <c r="D1175" i="57"/>
  <c r="D1085" i="57"/>
  <c r="D465" i="57"/>
  <c r="D523" i="57"/>
  <c r="D1433" i="57"/>
  <c r="D364" i="57"/>
  <c r="D1052" i="57"/>
  <c r="D468" i="57"/>
  <c r="D1130" i="57"/>
  <c r="D836" i="57"/>
  <c r="D707" i="57"/>
  <c r="D1191" i="57"/>
  <c r="D1245" i="57"/>
  <c r="D1023" i="57"/>
  <c r="D1348" i="57"/>
  <c r="D1422" i="57"/>
  <c r="D963" i="57"/>
  <c r="D1362" i="57"/>
  <c r="D418" i="57"/>
  <c r="D1360" i="57"/>
  <c r="D899" i="57"/>
  <c r="D1426" i="57"/>
  <c r="D1219" i="57"/>
  <c r="D1236" i="57"/>
  <c r="D1146" i="57"/>
  <c r="D1436" i="57"/>
  <c r="D1229" i="57"/>
  <c r="D404" i="57"/>
  <c r="D433" i="57"/>
  <c r="D820" i="57"/>
  <c r="D267" i="57"/>
  <c r="D495" i="57"/>
  <c r="D829" i="57"/>
  <c r="D1101" i="57"/>
  <c r="D698" i="57"/>
  <c r="D1238" i="57"/>
  <c r="D577" i="57"/>
  <c r="D460" i="57"/>
  <c r="D758" i="57"/>
  <c r="D901" i="57"/>
  <c r="D896" i="57"/>
  <c r="D993" i="57"/>
  <c r="D1073" i="57"/>
  <c r="D975" i="57"/>
  <c r="D1290" i="57"/>
  <c r="D415" i="57"/>
  <c r="D354" i="57"/>
  <c r="D657" i="57"/>
  <c r="D969" i="57"/>
  <c r="D243" i="57"/>
  <c r="D1376" i="57"/>
  <c r="D1188" i="57"/>
  <c r="D1030" i="57"/>
  <c r="D436" i="57"/>
  <c r="D509" i="57"/>
  <c r="D1104" i="57"/>
  <c r="D1166" i="57"/>
  <c r="D1078" i="57"/>
  <c r="D767" i="57"/>
  <c r="D1294" i="57"/>
  <c r="D1431" i="57"/>
  <c r="D1089" i="57"/>
  <c r="D1187" i="57"/>
  <c r="D881" i="57"/>
  <c r="D1398" i="57"/>
  <c r="D1210" i="57"/>
  <c r="D737" i="57"/>
  <c r="D1120" i="57"/>
  <c r="D1062" i="57"/>
  <c r="D1047" i="57"/>
  <c r="D800" i="57"/>
  <c r="D291" i="57"/>
  <c r="D1380" i="57"/>
  <c r="D757" i="57"/>
  <c r="D1434" i="57"/>
  <c r="D612" i="57"/>
  <c r="D933" i="57"/>
  <c r="D939" i="57"/>
  <c r="D1216" i="57"/>
  <c r="D1194" i="57"/>
  <c r="D665" i="57"/>
  <c r="D1123" i="57"/>
  <c r="D1372" i="57"/>
  <c r="D1267" i="57"/>
  <c r="D1368" i="57"/>
  <c r="D1180" i="57"/>
  <c r="D775" i="57"/>
  <c r="D1325" i="57"/>
  <c r="D987" i="57"/>
  <c r="D1276" i="57"/>
  <c r="D1176" i="57"/>
  <c r="D1421" i="57"/>
  <c r="D1279" i="57"/>
  <c r="D428" i="57"/>
  <c r="D435" i="57"/>
  <c r="D377" i="57"/>
  <c r="D802" i="57"/>
  <c r="D648" i="57"/>
  <c r="D621" i="57"/>
  <c r="D1353" i="57"/>
  <c r="D1441" i="57"/>
  <c r="D1432" i="57"/>
  <c r="D27" i="57"/>
  <c r="D1351" i="57"/>
  <c r="D1255" i="57"/>
  <c r="D1334" i="57"/>
  <c r="D725" i="57"/>
  <c r="D1424" i="57"/>
  <c r="D75" i="57"/>
  <c r="D362" i="57"/>
  <c r="D439" i="57"/>
  <c r="D45" i="57"/>
  <c r="D261" i="57"/>
  <c r="D450" i="57"/>
  <c r="D847" i="57"/>
  <c r="D1298" i="57"/>
  <c r="D1410" i="57"/>
  <c r="D1371" i="57"/>
  <c r="D343" i="57"/>
  <c r="D551" i="57"/>
  <c r="D524" i="57"/>
  <c r="D384" i="57"/>
  <c r="D644" i="57"/>
  <c r="D231" i="57"/>
  <c r="D584" i="57"/>
  <c r="D846" i="57"/>
  <c r="D400" i="57"/>
  <c r="D693" i="57"/>
  <c r="D860" i="57"/>
  <c r="D1137" i="57"/>
  <c r="D1036" i="57"/>
  <c r="D1382" i="57"/>
  <c r="D1412" i="57"/>
  <c r="D461" i="57"/>
  <c r="D379" i="57"/>
  <c r="D467" i="57"/>
  <c r="D603" i="57"/>
  <c r="D426" i="57"/>
  <c r="D766" i="57"/>
  <c r="D405" i="57"/>
  <c r="D478" i="57"/>
  <c r="D740" i="57"/>
  <c r="D887" i="57"/>
  <c r="D782" i="57"/>
  <c r="D1217" i="57"/>
  <c r="D455" i="57"/>
  <c r="D1386" i="57"/>
  <c r="D344" i="57"/>
  <c r="D925" i="57"/>
  <c r="D360" i="57"/>
  <c r="D671" i="57"/>
  <c r="D1136" i="57"/>
  <c r="D1154" i="57"/>
  <c r="D1115" i="57"/>
  <c r="D1135" i="57"/>
  <c r="D1419" i="57"/>
  <c r="D1138" i="57"/>
  <c r="D1393" i="57"/>
  <c r="D1076" i="57"/>
  <c r="D677" i="57"/>
  <c r="D957" i="57"/>
  <c r="D1215" i="57"/>
  <c r="D1281" i="57"/>
  <c r="D893" i="57"/>
  <c r="D1320" i="57"/>
  <c r="D497" i="57"/>
  <c r="D376" i="57"/>
  <c r="D593" i="57"/>
  <c r="D1214" i="57"/>
  <c r="D1179" i="57"/>
  <c r="D1269" i="57"/>
  <c r="D378" i="57"/>
  <c r="D503" i="57"/>
  <c r="D372" i="57"/>
  <c r="D1190" i="57"/>
  <c r="D1231" i="57"/>
  <c r="D1321" i="57"/>
  <c r="D394" i="57"/>
  <c r="D719" i="57"/>
  <c r="D1440" i="57"/>
  <c r="D371" i="57"/>
  <c r="D1112" i="57"/>
  <c r="D713" i="57"/>
  <c r="D1053" i="57"/>
  <c r="D1143" i="57"/>
  <c r="D1099" i="57"/>
  <c r="D1253" i="57"/>
  <c r="D491" i="57"/>
  <c r="D1330" i="57"/>
  <c r="D1054" i="57"/>
  <c r="D1207" i="57"/>
  <c r="D1153" i="57"/>
  <c r="D1250" i="57"/>
  <c r="D1184" i="57"/>
  <c r="D1150" i="57"/>
  <c r="D1045" i="57"/>
  <c r="D1439" i="57"/>
  <c r="D1246" i="57"/>
  <c r="D1124" i="57"/>
  <c r="D1046" i="57"/>
  <c r="D1161" i="57"/>
  <c r="D1402" i="57"/>
  <c r="D1106" i="57"/>
  <c r="D1420" i="57"/>
  <c r="D1232" i="57"/>
  <c r="D1307" i="57"/>
  <c r="D361" i="57"/>
  <c r="D1221" i="57"/>
  <c r="D1189" i="57"/>
  <c r="D1428" i="57"/>
  <c r="D1341" i="57"/>
  <c r="D1051" i="57"/>
  <c r="D1306" i="57"/>
  <c r="D1401" i="57"/>
  <c r="D1324" i="57"/>
  <c r="D370" i="57"/>
  <c r="D1133" i="57"/>
  <c r="D1247" i="57"/>
  <c r="D1043" i="57"/>
  <c r="D388" i="57"/>
  <c r="D1311" i="57"/>
  <c r="D1063" i="57"/>
  <c r="D1183" i="57"/>
  <c r="D1312" i="57"/>
  <c r="D1240" i="57"/>
  <c r="D1105" i="57"/>
  <c r="D1141" i="57"/>
  <c r="D1264" i="57"/>
  <c r="D1081" i="57"/>
  <c r="D1359" i="57"/>
  <c r="D1437" i="57"/>
  <c r="D1377" i="57"/>
  <c r="D355" i="57"/>
  <c r="D1413" i="57"/>
  <c r="D1317" i="57"/>
  <c r="D1300" i="57"/>
  <c r="D1335" i="57"/>
  <c r="D1039" i="57"/>
  <c r="D1395" i="57"/>
  <c r="D15" i="57"/>
  <c r="G15" i="57" s="1" a="1"/>
  <c r="G15" i="57" s="1"/>
  <c r="D2506" i="57"/>
  <c r="D2495" i="57"/>
  <c r="D2504" i="57"/>
  <c r="D2505" i="57"/>
  <c r="D2486" i="57"/>
  <c r="D2499" i="57"/>
  <c r="D2498" i="57"/>
  <c r="D2471" i="57"/>
  <c r="D2327" i="57"/>
  <c r="D1447" i="57"/>
  <c r="D2507" i="57"/>
  <c r="D2501" i="57"/>
  <c r="D1446" i="57"/>
  <c r="D1972" i="57"/>
  <c r="D2492" i="57"/>
  <c r="D2411" i="57"/>
  <c r="D2510" i="57"/>
  <c r="D2509" i="57"/>
  <c r="D2508" i="57"/>
  <c r="D2500" i="57"/>
  <c r="D2503" i="57"/>
  <c r="D2502" i="57"/>
  <c r="D2491" i="57"/>
  <c r="D2497" i="57"/>
  <c r="D2496" i="57"/>
  <c r="D2489" i="57"/>
  <c r="D2482" i="57"/>
  <c r="D2315" i="57"/>
  <c r="D2485" i="57"/>
  <c r="D2351" i="57"/>
  <c r="D2490" i="57"/>
  <c r="D2484" i="57"/>
  <c r="D2494" i="57"/>
  <c r="D2483" i="57"/>
  <c r="D2488" i="57"/>
  <c r="D2493" i="57"/>
  <c r="D2487" i="57"/>
  <c r="D2369" i="57"/>
  <c r="D1966" i="57"/>
  <c r="D2405" i="57"/>
  <c r="D2333" i="57"/>
  <c r="D2441" i="57"/>
  <c r="D1453" i="57"/>
  <c r="D2442" i="57"/>
  <c r="D2420" i="57"/>
  <c r="D2439" i="57"/>
  <c r="D2455" i="57"/>
  <c r="D2308" i="57"/>
  <c r="D2353" i="57"/>
  <c r="D2386" i="57"/>
  <c r="D2401" i="57"/>
  <c r="D2479" i="57"/>
  <c r="D2436" i="57"/>
  <c r="D2389" i="57"/>
  <c r="D2336" i="57"/>
  <c r="D2285" i="57"/>
  <c r="D2233" i="57"/>
  <c r="D2182" i="57"/>
  <c r="D2130" i="57"/>
  <c r="D2077" i="57"/>
  <c r="D2026" i="57"/>
  <c r="D1974" i="57"/>
  <c r="D1825" i="57"/>
  <c r="D2257" i="57"/>
  <c r="D2206" i="57"/>
  <c r="D2154" i="57"/>
  <c r="D2102" i="57"/>
  <c r="D2051" i="57"/>
  <c r="D1998" i="57"/>
  <c r="D1908" i="57"/>
  <c r="D2282" i="57"/>
  <c r="D2231" i="57"/>
  <c r="D2178" i="57"/>
  <c r="D2126" i="57"/>
  <c r="D2075" i="57"/>
  <c r="D2023" i="57"/>
  <c r="D1818" i="57"/>
  <c r="D2272" i="57"/>
  <c r="D2220" i="57"/>
  <c r="D2168" i="57"/>
  <c r="D2117" i="57"/>
  <c r="D2065" i="57"/>
  <c r="D2012" i="57"/>
  <c r="D1951" i="57"/>
  <c r="D1777" i="57"/>
  <c r="D2474" i="57"/>
  <c r="D2431" i="57"/>
  <c r="D2383" i="57"/>
  <c r="D2332" i="57"/>
  <c r="D2279" i="57"/>
  <c r="D2227" i="57"/>
  <c r="D2176" i="57"/>
  <c r="D2124" i="57"/>
  <c r="D2072" i="57"/>
  <c r="D2020" i="57"/>
  <c r="D1968" i="57"/>
  <c r="D1806" i="57"/>
  <c r="D2444" i="57"/>
  <c r="D2399" i="57"/>
  <c r="D2347" i="57"/>
  <c r="D2296" i="57"/>
  <c r="D2243" i="57"/>
  <c r="D2191" i="57"/>
  <c r="D2140" i="57"/>
  <c r="D2088" i="57"/>
  <c r="D2036" i="57"/>
  <c r="D1984" i="57"/>
  <c r="D1866" i="57"/>
  <c r="D2452" i="57"/>
  <c r="D2416" i="57"/>
  <c r="D2374" i="57"/>
  <c r="D2330" i="57"/>
  <c r="D2287" i="57"/>
  <c r="D2244" i="57"/>
  <c r="D2201" i="57"/>
  <c r="D2158" i="57"/>
  <c r="D2114" i="57"/>
  <c r="D2071" i="57"/>
  <c r="D2028" i="57"/>
  <c r="D1985" i="57"/>
  <c r="D1896" i="57"/>
  <c r="D1854" i="57"/>
  <c r="D2403" i="57"/>
  <c r="D2367" i="57"/>
  <c r="D2331" i="57"/>
  <c r="D2295" i="57"/>
  <c r="D2259" i="57"/>
  <c r="D2223" i="57"/>
  <c r="D2187" i="57"/>
  <c r="D2151" i="57"/>
  <c r="D2115" i="57"/>
  <c r="D2079" i="57"/>
  <c r="D2043" i="57"/>
  <c r="D2007" i="57"/>
  <c r="D1971" i="57"/>
  <c r="D1873" i="57"/>
  <c r="D1965" i="57"/>
  <c r="D1929" i="57"/>
  <c r="D1893" i="57"/>
  <c r="D1857" i="57"/>
  <c r="D1821" i="57"/>
  <c r="D1785" i="57"/>
  <c r="D1749" i="57"/>
  <c r="D1713" i="57"/>
  <c r="D1677" i="57"/>
  <c r="D1641" i="57"/>
  <c r="D1605" i="57"/>
  <c r="D1569" i="57"/>
  <c r="D1533" i="57"/>
  <c r="D1497" i="57"/>
  <c r="D1461" i="57"/>
  <c r="D1934" i="57"/>
  <c r="D1898" i="57"/>
  <c r="D1862" i="57"/>
  <c r="D1826" i="57"/>
  <c r="D1790" i="57"/>
  <c r="D1754" i="57"/>
  <c r="D1718" i="57"/>
  <c r="D1682" i="57"/>
  <c r="D1646" i="57"/>
  <c r="D1610" i="57"/>
  <c r="D1574" i="57"/>
  <c r="D1538" i="57"/>
  <c r="D1502" i="57"/>
  <c r="D1466" i="57"/>
  <c r="D1741" i="57"/>
  <c r="D1705" i="57"/>
  <c r="D1669" i="57"/>
  <c r="D1633" i="57"/>
  <c r="D1597" i="57"/>
  <c r="D1561" i="57"/>
  <c r="D1525" i="57"/>
  <c r="D1489" i="57"/>
  <c r="D1764" i="57"/>
  <c r="D1728" i="57"/>
  <c r="D1692" i="57"/>
  <c r="D1656" i="57"/>
  <c r="D1620" i="57"/>
  <c r="D1584" i="57"/>
  <c r="D1548" i="57"/>
  <c r="D1512" i="57"/>
  <c r="D1476" i="57"/>
  <c r="D1949" i="57"/>
  <c r="D1913" i="57"/>
  <c r="D1877" i="57"/>
  <c r="D1841" i="57"/>
  <c r="D1805" i="57"/>
  <c r="D1769" i="57"/>
  <c r="D1733" i="57"/>
  <c r="D1697" i="57"/>
  <c r="D1661" i="57"/>
  <c r="D1625" i="57"/>
  <c r="D1589" i="57"/>
  <c r="D1553" i="57"/>
  <c r="D1517" i="57"/>
  <c r="D1481" i="57"/>
  <c r="D1954" i="57"/>
  <c r="D1918" i="57"/>
  <c r="D1882" i="57"/>
  <c r="D1846" i="57"/>
  <c r="D1810" i="57"/>
  <c r="D1774" i="57"/>
  <c r="D1738" i="57"/>
  <c r="D1702" i="57"/>
  <c r="D1666" i="57"/>
  <c r="D1630" i="57"/>
  <c r="D1594" i="57"/>
  <c r="D1558" i="57"/>
  <c r="D1522" i="57"/>
  <c r="D1486" i="57"/>
  <c r="D1451" i="57"/>
  <c r="D2425" i="57"/>
  <c r="D2394" i="57"/>
  <c r="D2413" i="57"/>
  <c r="D2454" i="57"/>
  <c r="D2300" i="57"/>
  <c r="D2469" i="57"/>
  <c r="D2326" i="57"/>
  <c r="D2462" i="57"/>
  <c r="D2475" i="57"/>
  <c r="D2384" i="57"/>
  <c r="D2472" i="57"/>
  <c r="D2429" i="57"/>
  <c r="D2380" i="57"/>
  <c r="D2328" i="57"/>
  <c r="D2276" i="57"/>
  <c r="D2225" i="57"/>
  <c r="D2173" i="57"/>
  <c r="D2120" i="57"/>
  <c r="D2069" i="57"/>
  <c r="D2017" i="57"/>
  <c r="D1795" i="57"/>
  <c r="D2249" i="57"/>
  <c r="D2197" i="57"/>
  <c r="D2146" i="57"/>
  <c r="D2094" i="57"/>
  <c r="D2041" i="57"/>
  <c r="D1990" i="57"/>
  <c r="D1884" i="57"/>
  <c r="D2274" i="57"/>
  <c r="D2221" i="57"/>
  <c r="D2170" i="57"/>
  <c r="D2118" i="57"/>
  <c r="D2066" i="57"/>
  <c r="D2015" i="57"/>
  <c r="D1956" i="57"/>
  <c r="D1782" i="57"/>
  <c r="D2263" i="57"/>
  <c r="D2212" i="57"/>
  <c r="D2160" i="57"/>
  <c r="D2108" i="57"/>
  <c r="D2056" i="57"/>
  <c r="D2004" i="57"/>
  <c r="D1926" i="57"/>
  <c r="D2467" i="57"/>
  <c r="D2424" i="57"/>
  <c r="D2375" i="57"/>
  <c r="D2322" i="57"/>
  <c r="D2270" i="57"/>
  <c r="D2219" i="57"/>
  <c r="D2167" i="57"/>
  <c r="D2116" i="57"/>
  <c r="D2063" i="57"/>
  <c r="D2011" i="57"/>
  <c r="D1950" i="57"/>
  <c r="D1776" i="57"/>
  <c r="D2480" i="57"/>
  <c r="D2437" i="57"/>
  <c r="D2390" i="57"/>
  <c r="D2339" i="57"/>
  <c r="D2286" i="57"/>
  <c r="D2234" i="57"/>
  <c r="D2183" i="57"/>
  <c r="D2131" i="57"/>
  <c r="D2080" i="57"/>
  <c r="D2027" i="57"/>
  <c r="D1975" i="57"/>
  <c r="D1836" i="57"/>
  <c r="D2446" i="57"/>
  <c r="D2410" i="57"/>
  <c r="D2366" i="57"/>
  <c r="D2323" i="57"/>
  <c r="D2280" i="57"/>
  <c r="D2237" i="57"/>
  <c r="D2194" i="57"/>
  <c r="D2150" i="57"/>
  <c r="D2107" i="57"/>
  <c r="D2064" i="57"/>
  <c r="D2021" i="57"/>
  <c r="D1978" i="57"/>
  <c r="D1872" i="57"/>
  <c r="D1831" i="57"/>
  <c r="D2397" i="57"/>
  <c r="D2361" i="57"/>
  <c r="D2325" i="57"/>
  <c r="D2289" i="57"/>
  <c r="D2253" i="57"/>
  <c r="D2217" i="57"/>
  <c r="D2181" i="57"/>
  <c r="D2145" i="57"/>
  <c r="D2109" i="57"/>
  <c r="D2073" i="57"/>
  <c r="D2037" i="57"/>
  <c r="D2001" i="57"/>
  <c r="D1963" i="57"/>
  <c r="D1855" i="57"/>
  <c r="D1959" i="57"/>
  <c r="D1923" i="57"/>
  <c r="D1887" i="57"/>
  <c r="D1851" i="57"/>
  <c r="D1815" i="57"/>
  <c r="D1779" i="57"/>
  <c r="D1743" i="57"/>
  <c r="D1707" i="57"/>
  <c r="D1671" i="57"/>
  <c r="D1635" i="57"/>
  <c r="D1599" i="57"/>
  <c r="D1563" i="57"/>
  <c r="D1527" i="57"/>
  <c r="D1491" i="57"/>
  <c r="D1964" i="57"/>
  <c r="D1928" i="57"/>
  <c r="D1892" i="57"/>
  <c r="D1856" i="57"/>
  <c r="D1820" i="57"/>
  <c r="D1784" i="57"/>
  <c r="D1748" i="57"/>
  <c r="D1712" i="57"/>
  <c r="D1676" i="57"/>
  <c r="D1640" i="57"/>
  <c r="D1604" i="57"/>
  <c r="D1568" i="57"/>
  <c r="D1532" i="57"/>
  <c r="D1496" i="57"/>
  <c r="D1460" i="57"/>
  <c r="D1735" i="57"/>
  <c r="D1699" i="57"/>
  <c r="D1663" i="57"/>
  <c r="D1627" i="57"/>
  <c r="D1591" i="57"/>
  <c r="D1555" i="57"/>
  <c r="D1519" i="57"/>
  <c r="D1483" i="57"/>
  <c r="D1758" i="57"/>
  <c r="D1722" i="57"/>
  <c r="D1686" i="57"/>
  <c r="D1650" i="57"/>
  <c r="D1614" i="57"/>
  <c r="D1578" i="57"/>
  <c r="D1542" i="57"/>
  <c r="D1506" i="57"/>
  <c r="D1470" i="57"/>
  <c r="D1943" i="57"/>
  <c r="D1907" i="57"/>
  <c r="D1871" i="57"/>
  <c r="D1835" i="57"/>
  <c r="D1799" i="57"/>
  <c r="D1763" i="57"/>
  <c r="D1727" i="57"/>
  <c r="D1691" i="57"/>
  <c r="D1655" i="57"/>
  <c r="D1619" i="57"/>
  <c r="D1583" i="57"/>
  <c r="D1547" i="57"/>
  <c r="D1511" i="57"/>
  <c r="D1475" i="57"/>
  <c r="D1948" i="57"/>
  <c r="D1912" i="57"/>
  <c r="D1876" i="57"/>
  <c r="D1840" i="57"/>
  <c r="D1804" i="57"/>
  <c r="D1768" i="57"/>
  <c r="D1732" i="57"/>
  <c r="D1696" i="57"/>
  <c r="D1660" i="57"/>
  <c r="D1624" i="57"/>
  <c r="D1588" i="57"/>
  <c r="D1552" i="57"/>
  <c r="D1516" i="57"/>
  <c r="D1480" i="57"/>
  <c r="D2396" i="57"/>
  <c r="D2370" i="57"/>
  <c r="D2412" i="57"/>
  <c r="D2427" i="57"/>
  <c r="D2449" i="57"/>
  <c r="D2299" i="57"/>
  <c r="D2448" i="57"/>
  <c r="D2461" i="57"/>
  <c r="D2368" i="57"/>
  <c r="D2465" i="57"/>
  <c r="D2421" i="57"/>
  <c r="D2371" i="57"/>
  <c r="D2320" i="57"/>
  <c r="D2268" i="57"/>
  <c r="D2216" i="57"/>
  <c r="D2164" i="57"/>
  <c r="D2112" i="57"/>
  <c r="D2060" i="57"/>
  <c r="D2009" i="57"/>
  <c r="D1939" i="57"/>
  <c r="D2292" i="57"/>
  <c r="D2240" i="57"/>
  <c r="D2189" i="57"/>
  <c r="D2137" i="57"/>
  <c r="D2084" i="57"/>
  <c r="D2033" i="57"/>
  <c r="D1981" i="57"/>
  <c r="D1860" i="57"/>
  <c r="D2264" i="57"/>
  <c r="D2213" i="57"/>
  <c r="D2161" i="57"/>
  <c r="D2110" i="57"/>
  <c r="D2058" i="57"/>
  <c r="D2005" i="57"/>
  <c r="D1932" i="57"/>
  <c r="D2306" i="57"/>
  <c r="D2255" i="57"/>
  <c r="D2203" i="57"/>
  <c r="D2152" i="57"/>
  <c r="D2099" i="57"/>
  <c r="D2047" i="57"/>
  <c r="D1996" i="57"/>
  <c r="D1902" i="57"/>
  <c r="D2460" i="57"/>
  <c r="D2417" i="57"/>
  <c r="D2365" i="57"/>
  <c r="D2314" i="57"/>
  <c r="D2262" i="57"/>
  <c r="D2210" i="57"/>
  <c r="D2159" i="57"/>
  <c r="D2106" i="57"/>
  <c r="D2054" i="57"/>
  <c r="D2003" i="57"/>
  <c r="D1921" i="57"/>
  <c r="D2473" i="57"/>
  <c r="D2430" i="57"/>
  <c r="D2382" i="57"/>
  <c r="D2329" i="57"/>
  <c r="D2278" i="57"/>
  <c r="D2226" i="57"/>
  <c r="D2174" i="57"/>
  <c r="D2123" i="57"/>
  <c r="D2070" i="57"/>
  <c r="D2018" i="57"/>
  <c r="D1967" i="57"/>
  <c r="D1800" i="57"/>
  <c r="D2476" i="57"/>
  <c r="D2440" i="57"/>
  <c r="D2402" i="57"/>
  <c r="D2359" i="57"/>
  <c r="D2316" i="57"/>
  <c r="D2273" i="57"/>
  <c r="D2230" i="57"/>
  <c r="D2186" i="57"/>
  <c r="D2143" i="57"/>
  <c r="D2100" i="57"/>
  <c r="D2057" i="57"/>
  <c r="D2014" i="57"/>
  <c r="D1970" i="57"/>
  <c r="D1849" i="57"/>
  <c r="D1812" i="57"/>
  <c r="D2391" i="57"/>
  <c r="D2355" i="57"/>
  <c r="D2319" i="57"/>
  <c r="D2283" i="57"/>
  <c r="D2247" i="57"/>
  <c r="D2211" i="57"/>
  <c r="D2175" i="57"/>
  <c r="D2139" i="57"/>
  <c r="D2103" i="57"/>
  <c r="D2067" i="57"/>
  <c r="D2031" i="57"/>
  <c r="D1995" i="57"/>
  <c r="D1945" i="57"/>
  <c r="D1837" i="57"/>
  <c r="D1953" i="57"/>
  <c r="D1917" i="57"/>
  <c r="D1881" i="57"/>
  <c r="D1845" i="57"/>
  <c r="D1809" i="57"/>
  <c r="D1773" i="57"/>
  <c r="D1737" i="57"/>
  <c r="D1701" i="57"/>
  <c r="D1665" i="57"/>
  <c r="D1629" i="57"/>
  <c r="D1593" i="57"/>
  <c r="D1557" i="57"/>
  <c r="D1521" i="57"/>
  <c r="D1485" i="57"/>
  <c r="D1958" i="57"/>
  <c r="D1922" i="57"/>
  <c r="D1886" i="57"/>
  <c r="D1850" i="57"/>
  <c r="D1814" i="57"/>
  <c r="D1778" i="57"/>
  <c r="D1742" i="57"/>
  <c r="D1706" i="57"/>
  <c r="D1670" i="57"/>
  <c r="D1634" i="57"/>
  <c r="D1598" i="57"/>
  <c r="D1562" i="57"/>
  <c r="D1526" i="57"/>
  <c r="D1490" i="57"/>
  <c r="D1765" i="57"/>
  <c r="D1729" i="57"/>
  <c r="D1693" i="57"/>
  <c r="D1657" i="57"/>
  <c r="D1621" i="57"/>
  <c r="D1585" i="57"/>
  <c r="D1549" i="57"/>
  <c r="D1513" i="57"/>
  <c r="D1477" i="57"/>
  <c r="D1752" i="57"/>
  <c r="D1716" i="57"/>
  <c r="D1680" i="57"/>
  <c r="D1644" i="57"/>
  <c r="D1608" i="57"/>
  <c r="D1572" i="57"/>
  <c r="D1536" i="57"/>
  <c r="D1500" i="57"/>
  <c r="D1464" i="57"/>
  <c r="D1937" i="57"/>
  <c r="D1901" i="57"/>
  <c r="D1865" i="57"/>
  <c r="D1829" i="57"/>
  <c r="D1793" i="57"/>
  <c r="D1757" i="57"/>
  <c r="D1721" i="57"/>
  <c r="D1685" i="57"/>
  <c r="D1649" i="57"/>
  <c r="D1613" i="57"/>
  <c r="D1577" i="57"/>
  <c r="D1541" i="57"/>
  <c r="D1505" i="57"/>
  <c r="D1469" i="57"/>
  <c r="D1942" i="57"/>
  <c r="D1906" i="57"/>
  <c r="D1870" i="57"/>
  <c r="D1834" i="57"/>
  <c r="D1798" i="57"/>
  <c r="D1762" i="57"/>
  <c r="D1726" i="57"/>
  <c r="D1690" i="57"/>
  <c r="D1654" i="57"/>
  <c r="D1618" i="57"/>
  <c r="D1582" i="57"/>
  <c r="D1546" i="57"/>
  <c r="D1510" i="57"/>
  <c r="D1474" i="57"/>
  <c r="D2376" i="57"/>
  <c r="D2342" i="57"/>
  <c r="D2362" i="57"/>
  <c r="D2426" i="57"/>
  <c r="D2433" i="57"/>
  <c r="D2334" i="57"/>
  <c r="D2447" i="57"/>
  <c r="D2350" i="57"/>
  <c r="D2457" i="57"/>
  <c r="D2414" i="57"/>
  <c r="D2363" i="57"/>
  <c r="D2311" i="57"/>
  <c r="D2260" i="57"/>
  <c r="D2207" i="57"/>
  <c r="D2155" i="57"/>
  <c r="D2104" i="57"/>
  <c r="D2052" i="57"/>
  <c r="D2000" i="57"/>
  <c r="D1914" i="57"/>
  <c r="D2284" i="57"/>
  <c r="D2232" i="57"/>
  <c r="D2180" i="57"/>
  <c r="D2128" i="57"/>
  <c r="D2076" i="57"/>
  <c r="D2024" i="57"/>
  <c r="D1973" i="57"/>
  <c r="D1824" i="57"/>
  <c r="D2256" i="57"/>
  <c r="D2204" i="57"/>
  <c r="D2153" i="57"/>
  <c r="D2101" i="57"/>
  <c r="D2048" i="57"/>
  <c r="D1997" i="57"/>
  <c r="D1903" i="57"/>
  <c r="D2298" i="57"/>
  <c r="D2246" i="57"/>
  <c r="D2195" i="57"/>
  <c r="D2142" i="57"/>
  <c r="D2090" i="57"/>
  <c r="D2039" i="57"/>
  <c r="D1987" i="57"/>
  <c r="D1878" i="57"/>
  <c r="D2453" i="57"/>
  <c r="D2408" i="57"/>
  <c r="D2357" i="57"/>
  <c r="D2305" i="57"/>
  <c r="D2254" i="57"/>
  <c r="D2202" i="57"/>
  <c r="D2149" i="57"/>
  <c r="D2098" i="57"/>
  <c r="D2046" i="57"/>
  <c r="D1994" i="57"/>
  <c r="D1897" i="57"/>
  <c r="D2466" i="57"/>
  <c r="D2423" i="57"/>
  <c r="D2372" i="57"/>
  <c r="D2321" i="57"/>
  <c r="D2269" i="57"/>
  <c r="D2218" i="57"/>
  <c r="D2166" i="57"/>
  <c r="D2113" i="57"/>
  <c r="D2062" i="57"/>
  <c r="D2010" i="57"/>
  <c r="D1944" i="57"/>
  <c r="D1771" i="57"/>
  <c r="D2470" i="57"/>
  <c r="D2434" i="57"/>
  <c r="D2395" i="57"/>
  <c r="D2352" i="57"/>
  <c r="D2309" i="57"/>
  <c r="D2266" i="57"/>
  <c r="D2222" i="57"/>
  <c r="D2179" i="57"/>
  <c r="D2136" i="57"/>
  <c r="D2093" i="57"/>
  <c r="D2050" i="57"/>
  <c r="D2006" i="57"/>
  <c r="D1957" i="57"/>
  <c r="D1830" i="57"/>
  <c r="D1789" i="57"/>
  <c r="D2385" i="57"/>
  <c r="D2349" i="57"/>
  <c r="D2313" i="57"/>
  <c r="D2277" i="57"/>
  <c r="D2241" i="57"/>
  <c r="D2205" i="57"/>
  <c r="D2169" i="57"/>
  <c r="D2133" i="57"/>
  <c r="D2097" i="57"/>
  <c r="D2061" i="57"/>
  <c r="D2025" i="57"/>
  <c r="D1989" i="57"/>
  <c r="D1927" i="57"/>
  <c r="D1819" i="57"/>
  <c r="D1947" i="57"/>
  <c r="D1911" i="57"/>
  <c r="D1875" i="57"/>
  <c r="D1839" i="57"/>
  <c r="D1803" i="57"/>
  <c r="D1767" i="57"/>
  <c r="D1731" i="57"/>
  <c r="D1695" i="57"/>
  <c r="D1659" i="57"/>
  <c r="D1623" i="57"/>
  <c r="D1587" i="57"/>
  <c r="D1551" i="57"/>
  <c r="D1515" i="57"/>
  <c r="D1479" i="57"/>
  <c r="D1952" i="57"/>
  <c r="D1916" i="57"/>
  <c r="D1880" i="57"/>
  <c r="D1844" i="57"/>
  <c r="D1808" i="57"/>
  <c r="D1772" i="57"/>
  <c r="D1736" i="57"/>
  <c r="D1700" i="57"/>
  <c r="D1664" i="57"/>
  <c r="D1628" i="57"/>
  <c r="D1592" i="57"/>
  <c r="D1556" i="57"/>
  <c r="D1520" i="57"/>
  <c r="D1484" i="57"/>
  <c r="D1759" i="57"/>
  <c r="D1723" i="57"/>
  <c r="D1687" i="57"/>
  <c r="D1651" i="57"/>
  <c r="D1615" i="57"/>
  <c r="D1579" i="57"/>
  <c r="D1543" i="57"/>
  <c r="D1507" i="57"/>
  <c r="D1471" i="57"/>
  <c r="D1746" i="57"/>
  <c r="D1710" i="57"/>
  <c r="D1674" i="57"/>
  <c r="D1638" i="57"/>
  <c r="D1602" i="57"/>
  <c r="D1566" i="57"/>
  <c r="D1530" i="57"/>
  <c r="D1494" i="57"/>
  <c r="D1458" i="57"/>
  <c r="D1931" i="57"/>
  <c r="D1895" i="57"/>
  <c r="D1859" i="57"/>
  <c r="D1823" i="57"/>
  <c r="D1787" i="57"/>
  <c r="D1751" i="57"/>
  <c r="D1715" i="57"/>
  <c r="D1679" i="57"/>
  <c r="D1643" i="57"/>
  <c r="D1607" i="57"/>
  <c r="D1571" i="57"/>
  <c r="D1535" i="57"/>
  <c r="D1499" i="57"/>
  <c r="D1463" i="57"/>
  <c r="D1936" i="57"/>
  <c r="D1900" i="57"/>
  <c r="D1864" i="57"/>
  <c r="D1828" i="57"/>
  <c r="D1792" i="57"/>
  <c r="D1756" i="57"/>
  <c r="D1720" i="57"/>
  <c r="D1684" i="57"/>
  <c r="D1648" i="57"/>
  <c r="D1612" i="57"/>
  <c r="D1576" i="57"/>
  <c r="D1540" i="57"/>
  <c r="D1504" i="57"/>
  <c r="D1468" i="57"/>
  <c r="D2344" i="57"/>
  <c r="D2463" i="57"/>
  <c r="D2318" i="57"/>
  <c r="D2341" i="57"/>
  <c r="D2360" i="57"/>
  <c r="D2378" i="57"/>
  <c r="D2419" i="57"/>
  <c r="D2317" i="57"/>
  <c r="D2432" i="57"/>
  <c r="D2450" i="57"/>
  <c r="D2406" i="57"/>
  <c r="D2354" i="57"/>
  <c r="D2303" i="57"/>
  <c r="D2250" i="57"/>
  <c r="D2198" i="57"/>
  <c r="D2147" i="57"/>
  <c r="D2095" i="57"/>
  <c r="D2044" i="57"/>
  <c r="D1991" i="57"/>
  <c r="D1885" i="57"/>
  <c r="D2275" i="57"/>
  <c r="D2224" i="57"/>
  <c r="D2171" i="57"/>
  <c r="D2119" i="57"/>
  <c r="D2068" i="57"/>
  <c r="D2016" i="57"/>
  <c r="D1962" i="57"/>
  <c r="D1794" i="57"/>
  <c r="D2248" i="57"/>
  <c r="D2196" i="57"/>
  <c r="D2144" i="57"/>
  <c r="D2092" i="57"/>
  <c r="D2040" i="57"/>
  <c r="D1988" i="57"/>
  <c r="D1879" i="57"/>
  <c r="D2290" i="57"/>
  <c r="D2238" i="57"/>
  <c r="D2185" i="57"/>
  <c r="D2134" i="57"/>
  <c r="D2082" i="57"/>
  <c r="D2030" i="57"/>
  <c r="D1979" i="57"/>
  <c r="D1843" i="57"/>
  <c r="D2445" i="57"/>
  <c r="D2400" i="57"/>
  <c r="D2348" i="57"/>
  <c r="D2297" i="57"/>
  <c r="D2245" i="57"/>
  <c r="D2192" i="57"/>
  <c r="D2141" i="57"/>
  <c r="D2089" i="57"/>
  <c r="D2038" i="57"/>
  <c r="D1986" i="57"/>
  <c r="D1867" i="57"/>
  <c r="D2459" i="57"/>
  <c r="D2415" i="57"/>
  <c r="D2364" i="57"/>
  <c r="D2312" i="57"/>
  <c r="D2261" i="57"/>
  <c r="D2209" i="57"/>
  <c r="D2156" i="57"/>
  <c r="D2105" i="57"/>
  <c r="D2053" i="57"/>
  <c r="D2002" i="57"/>
  <c r="D1920" i="57"/>
  <c r="D2464" i="57"/>
  <c r="D2428" i="57"/>
  <c r="D2388" i="57"/>
  <c r="D2345" i="57"/>
  <c r="D2302" i="57"/>
  <c r="D2258" i="57"/>
  <c r="D2215" i="57"/>
  <c r="D2172" i="57"/>
  <c r="D2129" i="57"/>
  <c r="D2086" i="57"/>
  <c r="D2042" i="57"/>
  <c r="D1999" i="57"/>
  <c r="D1938" i="57"/>
  <c r="D1807" i="57"/>
  <c r="D1770" i="57"/>
  <c r="D2379" i="57"/>
  <c r="D2343" i="57"/>
  <c r="D2307" i="57"/>
  <c r="D2271" i="57"/>
  <c r="D2235" i="57"/>
  <c r="D2199" i="57"/>
  <c r="D2163" i="57"/>
  <c r="D2127" i="57"/>
  <c r="D2091" i="57"/>
  <c r="D2055" i="57"/>
  <c r="D2019" i="57"/>
  <c r="D1983" i="57"/>
  <c r="D1909" i="57"/>
  <c r="D1801" i="57"/>
  <c r="D1941" i="57"/>
  <c r="D1905" i="57"/>
  <c r="D1869" i="57"/>
  <c r="D1833" i="57"/>
  <c r="D1797" i="57"/>
  <c r="D1761" i="57"/>
  <c r="D1725" i="57"/>
  <c r="D1689" i="57"/>
  <c r="D1653" i="57"/>
  <c r="D1617" i="57"/>
  <c r="D1581" i="57"/>
  <c r="D1545" i="57"/>
  <c r="D1509" i="57"/>
  <c r="D1473" i="57"/>
  <c r="D1946" i="57"/>
  <c r="D1910" i="57"/>
  <c r="D1874" i="57"/>
  <c r="D1838" i="57"/>
  <c r="D1802" i="57"/>
  <c r="D1766" i="57"/>
  <c r="D1730" i="57"/>
  <c r="D1694" i="57"/>
  <c r="D1658" i="57"/>
  <c r="D1622" i="57"/>
  <c r="D1586" i="57"/>
  <c r="D1550" i="57"/>
  <c r="D1514" i="57"/>
  <c r="D1478" i="57"/>
  <c r="D1753" i="57"/>
  <c r="D1717" i="57"/>
  <c r="D1681" i="57"/>
  <c r="D1645" i="57"/>
  <c r="D1609" i="57"/>
  <c r="D1573" i="57"/>
  <c r="D1537" i="57"/>
  <c r="D1501" i="57"/>
  <c r="D1465" i="57"/>
  <c r="D1740" i="57"/>
  <c r="D1704" i="57"/>
  <c r="D1668" i="57"/>
  <c r="D1632" i="57"/>
  <c r="D1596" i="57"/>
  <c r="D1560" i="57"/>
  <c r="D1524" i="57"/>
  <c r="D1488" i="57"/>
  <c r="D1961" i="57"/>
  <c r="D1925" i="57"/>
  <c r="D1889" i="57"/>
  <c r="D1853" i="57"/>
  <c r="D1817" i="57"/>
  <c r="D1781" i="57"/>
  <c r="D1745" i="57"/>
  <c r="D1709" i="57"/>
  <c r="D1673" i="57"/>
  <c r="D1637" i="57"/>
  <c r="D1601" i="57"/>
  <c r="D1565" i="57"/>
  <c r="D1529" i="57"/>
  <c r="D1493" i="57"/>
  <c r="D1457" i="57"/>
  <c r="D1930" i="57"/>
  <c r="D1894" i="57"/>
  <c r="D1858" i="57"/>
  <c r="D1822" i="57"/>
  <c r="D1786" i="57"/>
  <c r="D1750" i="57"/>
  <c r="D1714" i="57"/>
  <c r="D1678" i="57"/>
  <c r="D1642" i="57"/>
  <c r="D1606" i="57"/>
  <c r="D1570" i="57"/>
  <c r="D1534" i="57"/>
  <c r="D1498" i="57"/>
  <c r="D1462" i="57"/>
  <c r="D2468" i="57"/>
  <c r="D2324" i="57"/>
  <c r="D2456" i="57"/>
  <c r="D2310" i="57"/>
  <c r="D2478" i="57"/>
  <c r="D2335" i="57"/>
  <c r="D2358" i="57"/>
  <c r="D2377" i="57"/>
  <c r="D2404" i="57"/>
  <c r="D2418" i="57"/>
  <c r="D2443" i="57"/>
  <c r="D2398" i="57"/>
  <c r="D2346" i="57"/>
  <c r="D2293" i="57"/>
  <c r="D2242" i="57"/>
  <c r="D2190" i="57"/>
  <c r="D2138" i="57"/>
  <c r="D2087" i="57"/>
  <c r="D2034" i="57"/>
  <c r="D1982" i="57"/>
  <c r="D1861" i="57"/>
  <c r="D2267" i="57"/>
  <c r="D2214" i="57"/>
  <c r="D2162" i="57"/>
  <c r="D2111" i="57"/>
  <c r="D2059" i="57"/>
  <c r="D2008" i="57"/>
  <c r="D1933" i="57"/>
  <c r="D2291" i="57"/>
  <c r="D2239" i="57"/>
  <c r="D2188" i="57"/>
  <c r="D2135" i="57"/>
  <c r="D2083" i="57"/>
  <c r="D2032" i="57"/>
  <c r="D1980" i="57"/>
  <c r="D1848" i="57"/>
  <c r="D2281" i="57"/>
  <c r="D2228" i="57"/>
  <c r="D2177" i="57"/>
  <c r="D2125" i="57"/>
  <c r="D2074" i="57"/>
  <c r="D2022" i="57"/>
  <c r="D1969" i="57"/>
  <c r="D1813" i="57"/>
  <c r="D2481" i="57"/>
  <c r="D2438" i="57"/>
  <c r="D2392" i="57"/>
  <c r="D2340" i="57"/>
  <c r="D2288" i="57"/>
  <c r="D2236" i="57"/>
  <c r="D2184" i="57"/>
  <c r="D2132" i="57"/>
  <c r="D2081" i="57"/>
  <c r="D2029" i="57"/>
  <c r="D1976" i="57"/>
  <c r="D1842" i="57"/>
  <c r="D2451" i="57"/>
  <c r="D2407" i="57"/>
  <c r="D2356" i="57"/>
  <c r="D2304" i="57"/>
  <c r="D2252" i="57"/>
  <c r="D2200" i="57"/>
  <c r="D2148" i="57"/>
  <c r="D2096" i="57"/>
  <c r="D2045" i="57"/>
  <c r="D1993" i="57"/>
  <c r="D1890" i="57"/>
  <c r="D2458" i="57"/>
  <c r="D2422" i="57"/>
  <c r="D2381" i="57"/>
  <c r="D2338" i="57"/>
  <c r="D2294" i="57"/>
  <c r="D2251" i="57"/>
  <c r="D2208" i="57"/>
  <c r="D2165" i="57"/>
  <c r="D2122" i="57"/>
  <c r="D2078" i="57"/>
  <c r="D2035" i="57"/>
  <c r="D1992" i="57"/>
  <c r="D1915" i="57"/>
  <c r="D1788" i="57"/>
  <c r="D2409" i="57"/>
  <c r="D2373" i="57"/>
  <c r="D2337" i="57"/>
  <c r="D2301" i="57"/>
  <c r="D2265" i="57"/>
  <c r="D2229" i="57"/>
  <c r="D2193" i="57"/>
  <c r="D2157" i="57"/>
  <c r="D2121" i="57"/>
  <c r="D2085" i="57"/>
  <c r="D2049" i="57"/>
  <c r="D2013" i="57"/>
  <c r="D1977" i="57"/>
  <c r="D1891" i="57"/>
  <c r="D1783" i="57"/>
  <c r="D1935" i="57"/>
  <c r="D1899" i="57"/>
  <c r="D1863" i="57"/>
  <c r="D1827" i="57"/>
  <c r="D1791" i="57"/>
  <c r="D1755" i="57"/>
  <c r="D1719" i="57"/>
  <c r="D1683" i="57"/>
  <c r="D1647" i="57"/>
  <c r="D1611" i="57"/>
  <c r="D1575" i="57"/>
  <c r="D1539" i="57"/>
  <c r="D1503" i="57"/>
  <c r="D1467" i="57"/>
  <c r="D1940" i="57"/>
  <c r="D1904" i="57"/>
  <c r="D1868" i="57"/>
  <c r="D1832" i="57"/>
  <c r="D1796" i="57"/>
  <c r="D1760" i="57"/>
  <c r="D1724" i="57"/>
  <c r="D1688" i="57"/>
  <c r="D1652" i="57"/>
  <c r="D1616" i="57"/>
  <c r="D1580" i="57"/>
  <c r="D1544" i="57"/>
  <c r="D1508" i="57"/>
  <c r="D1472" i="57"/>
  <c r="D1747" i="57"/>
  <c r="D1711" i="57"/>
  <c r="D1675" i="57"/>
  <c r="D1639" i="57"/>
  <c r="D1603" i="57"/>
  <c r="D1567" i="57"/>
  <c r="D1531" i="57"/>
  <c r="D1495" i="57"/>
  <c r="D1459" i="57"/>
  <c r="D1734" i="57"/>
  <c r="D1698" i="57"/>
  <c r="D1662" i="57"/>
  <c r="D1626" i="57"/>
  <c r="D1590" i="57"/>
  <c r="D1554" i="57"/>
  <c r="D1518" i="57"/>
  <c r="D1482" i="57"/>
  <c r="D1955" i="57"/>
  <c r="D1919" i="57"/>
  <c r="D1883" i="57"/>
  <c r="D1847" i="57"/>
  <c r="D1811" i="57"/>
  <c r="D1775" i="57"/>
  <c r="D1739" i="57"/>
  <c r="D1703" i="57"/>
  <c r="D1667" i="57"/>
  <c r="D1631" i="57"/>
  <c r="D1595" i="57"/>
  <c r="D1559" i="57"/>
  <c r="D1523" i="57"/>
  <c r="D1487" i="57"/>
  <c r="D1960" i="57"/>
  <c r="D1924" i="57"/>
  <c r="D1888" i="57"/>
  <c r="D1852" i="57"/>
  <c r="D1816" i="57"/>
  <c r="D1780" i="57"/>
  <c r="D1744" i="57"/>
  <c r="D1708" i="57"/>
  <c r="D1672" i="57"/>
  <c r="D1636" i="57"/>
  <c r="D1600" i="57"/>
  <c r="D1564" i="57"/>
  <c r="D1528" i="57"/>
  <c r="D1492" i="57"/>
  <c r="D1456" i="57"/>
  <c r="D1449" i="57"/>
  <c r="D1450" i="57"/>
  <c r="D1454" i="57"/>
  <c r="D1452" i="57"/>
  <c r="D1448" i="57"/>
  <c r="D1455" i="57"/>
  <c r="Y45" i="56"/>
  <c r="AB45" i="56" s="1"/>
  <c r="AH45" i="56"/>
  <c r="Z45" i="56"/>
  <c r="Y42" i="56"/>
  <c r="AB42" i="56" s="1"/>
  <c r="AH42" i="56"/>
  <c r="L42" i="56"/>
  <c r="Y44" i="56"/>
  <c r="AB44" i="56" s="1"/>
  <c r="Q44" i="56" s="1"/>
  <c r="R44" i="56" s="1"/>
  <c r="AN44" i="56" s="1"/>
  <c r="Z43" i="56"/>
  <c r="AC43" i="56" s="1"/>
  <c r="AH46" i="56"/>
  <c r="L46" i="56"/>
  <c r="O45" i="56"/>
  <c r="N45" i="56" s="1"/>
  <c r="AH41" i="56"/>
  <c r="Y46" i="56"/>
  <c r="O41" i="56"/>
  <c r="AH43" i="56"/>
  <c r="Y43" i="56"/>
  <c r="AB43" i="56" s="1"/>
  <c r="Z37" i="56"/>
  <c r="AC37" i="56" s="1"/>
  <c r="Y41" i="56"/>
  <c r="AB41" i="56" s="1"/>
  <c r="Z41" i="56"/>
  <c r="AC41" i="56" s="1"/>
  <c r="AH44" i="56"/>
  <c r="O43" i="56"/>
  <c r="Z38" i="56"/>
  <c r="AA38" i="56" s="1"/>
  <c r="L38" i="56"/>
  <c r="AH38" i="56"/>
  <c r="AH39" i="56"/>
  <c r="AF46" i="56"/>
  <c r="Z40" i="56"/>
  <c r="Y37" i="56"/>
  <c r="O37" i="56"/>
  <c r="Z39" i="56"/>
  <c r="AI38" i="56"/>
  <c r="N44" i="56"/>
  <c r="L44" i="56"/>
  <c r="Y40" i="56"/>
  <c r="AH40" i="56"/>
  <c r="O40" i="56"/>
  <c r="AG38" i="56"/>
  <c r="AI39" i="56"/>
  <c r="N39" i="56"/>
  <c r="AG39" i="56"/>
  <c r="L39" i="56"/>
  <c r="G2387" i="57" l="1" a="1"/>
  <c r="G2387" i="57" s="1"/>
  <c r="F2387" i="57" a="1"/>
  <c r="F2387" i="57" s="1"/>
  <c r="G16" i="57" a="1"/>
  <c r="G16" i="57" s="1"/>
  <c r="F16" i="57" a="1"/>
  <c r="F16" i="57" s="1"/>
  <c r="FT20" i="54"/>
  <c r="FQ20" i="54"/>
  <c r="FS20" i="54"/>
  <c r="FH21" i="54"/>
  <c r="FG20" i="54"/>
  <c r="FI20" i="54" s="1"/>
  <c r="FD21" i="54" s="1"/>
  <c r="GC21" i="54"/>
  <c r="GB20" i="54"/>
  <c r="GD20" i="54" s="1"/>
  <c r="FY21" i="54" s="1"/>
  <c r="FM20" i="54"/>
  <c r="FJ20" i="54"/>
  <c r="FL20" i="54"/>
  <c r="CV67" i="54"/>
  <c r="CT67" i="54"/>
  <c r="CU68" i="54" s="1"/>
  <c r="AA45" i="56"/>
  <c r="Q45" i="56" s="1"/>
  <c r="R45" i="56" s="1"/>
  <c r="AN45" i="56" s="1"/>
  <c r="AI42" i="56"/>
  <c r="AC45" i="56"/>
  <c r="AF45" i="56" s="1"/>
  <c r="AA42" i="56"/>
  <c r="Q42" i="56"/>
  <c r="R42" i="56" s="1"/>
  <c r="AN42" i="56" s="1"/>
  <c r="AD42" i="56"/>
  <c r="AG42" i="56"/>
  <c r="AD46" i="56"/>
  <c r="AG45" i="56"/>
  <c r="AF42" i="56"/>
  <c r="AI45" i="56"/>
  <c r="AA46" i="56"/>
  <c r="AE46" i="56" s="1"/>
  <c r="AA44" i="56"/>
  <c r="Q38" i="56"/>
  <c r="R38" i="56" s="1"/>
  <c r="AN38" i="56" s="1"/>
  <c r="AG41" i="56"/>
  <c r="AA43" i="56"/>
  <c r="AB46" i="56"/>
  <c r="AA41" i="56"/>
  <c r="AI41" i="56"/>
  <c r="AG46" i="56"/>
  <c r="AI46" i="56"/>
  <c r="L45" i="56"/>
  <c r="AD45" i="56" s="1"/>
  <c r="AI44" i="56"/>
  <c r="AI43" i="56"/>
  <c r="L41" i="56"/>
  <c r="N41" i="56"/>
  <c r="AH37" i="56"/>
  <c r="Q41" i="56"/>
  <c r="R41" i="56" s="1"/>
  <c r="AN41" i="56" s="1"/>
  <c r="AA37" i="56"/>
  <c r="AG44" i="56"/>
  <c r="AD44" i="56"/>
  <c r="L43" i="56"/>
  <c r="N43" i="56"/>
  <c r="AG43" i="56"/>
  <c r="Q43" i="56"/>
  <c r="R43" i="56" s="1"/>
  <c r="AN43" i="56" s="1"/>
  <c r="AD39" i="56"/>
  <c r="AC38" i="56"/>
  <c r="AF44" i="56"/>
  <c r="N38" i="56"/>
  <c r="AD38" i="56" s="1"/>
  <c r="AA39" i="56"/>
  <c r="AC39" i="56"/>
  <c r="Q39" i="56" s="1"/>
  <c r="AB40" i="56"/>
  <c r="AG37" i="56"/>
  <c r="L37" i="56"/>
  <c r="AI37" i="56"/>
  <c r="N37" i="56"/>
  <c r="EN7" i="54" s="1"/>
  <c r="AI40" i="56"/>
  <c r="AG40" i="56"/>
  <c r="L40" i="56"/>
  <c r="AD40" i="56" s="1"/>
  <c r="N40" i="56"/>
  <c r="AB37" i="56"/>
  <c r="AC40" i="56"/>
  <c r="AA40" i="56"/>
  <c r="ET11" i="42" l="1" a="1"/>
  <c r="ET11" i="42" s="1"/>
  <c r="AQ10" i="42" a="1"/>
  <c r="AQ10" i="42" s="1"/>
  <c r="EN2" i="54"/>
  <c r="EO2" i="54"/>
  <c r="EP2" i="54" s="1"/>
  <c r="EQ2" i="54" s="1"/>
  <c r="FZ21" i="54"/>
  <c r="FX21" i="54"/>
  <c r="GA21" i="54"/>
  <c r="FE21" i="54"/>
  <c r="FC21" i="54"/>
  <c r="FF21" i="54"/>
  <c r="FN20" i="54"/>
  <c r="FP20" i="54" s="1"/>
  <c r="FK21" i="54" s="1"/>
  <c r="FO21" i="54"/>
  <c r="EO4" i="54"/>
  <c r="EP4" i="54" s="1"/>
  <c r="EQ4" i="54" s="1"/>
  <c r="EN4" i="54"/>
  <c r="EO3" i="54"/>
  <c r="EP3" i="54" s="1"/>
  <c r="EQ3" i="54" s="1"/>
  <c r="EN3" i="54"/>
  <c r="ET3" i="54" s="1"/>
  <c r="EU3" i="54" s="1"/>
  <c r="FV21" i="54"/>
  <c r="FU20" i="54"/>
  <c r="FW20" i="54" s="1"/>
  <c r="FR21" i="54" s="1"/>
  <c r="AD37" i="56"/>
  <c r="EO5" i="54" s="1"/>
  <c r="EN5" i="54"/>
  <c r="CV68" i="54"/>
  <c r="CT68" i="54"/>
  <c r="CU69" i="54" s="1"/>
  <c r="R39" i="56"/>
  <c r="AF39" i="56"/>
  <c r="Q46" i="56"/>
  <c r="R46" i="56" s="1"/>
  <c r="AN46" i="56" s="1"/>
  <c r="AD43" i="56"/>
  <c r="AF41" i="56"/>
  <c r="AE45" i="56"/>
  <c r="AF38" i="56"/>
  <c r="AD41" i="56"/>
  <c r="AF43" i="56"/>
  <c r="AF37" i="56"/>
  <c r="EO7" i="54" s="1"/>
  <c r="AF40" i="56"/>
  <c r="Q40" i="56"/>
  <c r="R40" i="56" s="1"/>
  <c r="AN40" i="56" s="1"/>
  <c r="AE40" i="56"/>
  <c r="AE37" i="56"/>
  <c r="EO6" i="54" s="1"/>
  <c r="ET9" i="42" l="1" a="1"/>
  <c r="ET9" i="42" s="1"/>
  <c r="ET31" i="42" s="1" a="1"/>
  <c r="ET31" i="42" s="1"/>
  <c r="BP10" i="42" a="1"/>
  <c r="BP10" i="42" s="1"/>
  <c r="A53" i="42" a="1"/>
  <c r="A53" i="42" s="1"/>
  <c r="AQ16" i="42"/>
  <c r="CE10" i="42" s="1" a="1"/>
  <c r="CE10" i="42" s="1"/>
  <c r="AQ12" i="42"/>
  <c r="EM20" i="42"/>
  <c r="ET58" i="42"/>
  <c r="FQ21" i="54"/>
  <c r="FS21" i="54"/>
  <c r="FT21" i="54"/>
  <c r="FH22" i="54"/>
  <c r="FG21" i="54"/>
  <c r="FI21" i="54" s="1"/>
  <c r="FD22" i="54" s="1"/>
  <c r="FM21" i="54"/>
  <c r="FL21" i="54"/>
  <c r="FJ21" i="54"/>
  <c r="GC22" i="54"/>
  <c r="GB21" i="54"/>
  <c r="GD21" i="54" s="1"/>
  <c r="FY22" i="54" s="1"/>
  <c r="EV3" i="54"/>
  <c r="EW3" i="54" s="1" a="1"/>
  <c r="EW3" i="54" s="1"/>
  <c r="EW142" i="54" a="1"/>
  <c r="EW142" i="54" s="1"/>
  <c r="EW26" i="54" a="1"/>
  <c r="EW26" i="54" s="1"/>
  <c r="EW12" i="54" a="1"/>
  <c r="EW12" i="54" s="1"/>
  <c r="EW146" i="54" a="1"/>
  <c r="EW146" i="54" s="1"/>
  <c r="EW233" i="54" a="1"/>
  <c r="EW233" i="54" s="1"/>
  <c r="EW147" i="54" a="1"/>
  <c r="EW147" i="54" s="1"/>
  <c r="EW25" i="54" a="1"/>
  <c r="EW25" i="54" s="1"/>
  <c r="EW124" i="54" a="1"/>
  <c r="EW124" i="54" s="1"/>
  <c r="EW253" i="54" a="1"/>
  <c r="EW253" i="54" s="1"/>
  <c r="EW262" i="54" a="1"/>
  <c r="EW262" i="54" s="1"/>
  <c r="EW128" i="54" a="1"/>
  <c r="EW128" i="54" s="1"/>
  <c r="EW215" i="54" a="1"/>
  <c r="EW215" i="54" s="1"/>
  <c r="EW129" i="54" a="1"/>
  <c r="EW129" i="54" s="1"/>
  <c r="EW258" i="54" a="1"/>
  <c r="EW258" i="54" s="1"/>
  <c r="EW214" i="54" a="1"/>
  <c r="EW214" i="54" s="1"/>
  <c r="EW98" i="54" a="1"/>
  <c r="EW98" i="54" s="1"/>
  <c r="EW95" i="54" a="1"/>
  <c r="EW95" i="54" s="1"/>
  <c r="EW218" i="54" a="1"/>
  <c r="EW218" i="54" s="1"/>
  <c r="EW102" i="54" a="1"/>
  <c r="EW102" i="54" s="1"/>
  <c r="EW219" i="54" a="1"/>
  <c r="EW219" i="54" s="1"/>
  <c r="EW97" i="54" a="1"/>
  <c r="EW97" i="54" s="1"/>
  <c r="EW162" i="54" a="1"/>
  <c r="EW162" i="54" s="1"/>
  <c r="EW33" i="54" a="1"/>
  <c r="EW33" i="54" s="1"/>
  <c r="EW48" i="54" a="1"/>
  <c r="EW48" i="54" s="1"/>
  <c r="EW171" i="54" a="1"/>
  <c r="EW171" i="54" s="1"/>
  <c r="EW31" i="54" a="1"/>
  <c r="EW31" i="54" s="1"/>
  <c r="EW166" i="54" a="1"/>
  <c r="EW166" i="54" s="1"/>
  <c r="EW32" i="54" a="1"/>
  <c r="EW32" i="54" s="1"/>
  <c r="EW137" i="54" a="1"/>
  <c r="EW137" i="54" s="1"/>
  <c r="EW231" i="54" a="1"/>
  <c r="EW231" i="54" s="1"/>
  <c r="EW91" i="54" a="1"/>
  <c r="EW91" i="54" s="1"/>
  <c r="EW100" i="54" a="1"/>
  <c r="EW100" i="54" s="1"/>
  <c r="EW229" i="54" a="1"/>
  <c r="EW229" i="54" s="1"/>
  <c r="EW53" i="54" a="1"/>
  <c r="EW53" i="54" s="1"/>
  <c r="EW230" i="54" a="1"/>
  <c r="EW230" i="54" s="1"/>
  <c r="EW268" i="54" a="1"/>
  <c r="EW268" i="54" s="1"/>
  <c r="EW152" i="54" a="1"/>
  <c r="EW152" i="54" s="1"/>
  <c r="EW149" i="54" a="1"/>
  <c r="EW149" i="54" s="1"/>
  <c r="EW27" i="54" a="1"/>
  <c r="EW27" i="54" s="1"/>
  <c r="EW156" i="54" a="1"/>
  <c r="EW156" i="54" s="1"/>
  <c r="EW22" i="54" a="1"/>
  <c r="EW22" i="54" s="1"/>
  <c r="EW151" i="54" a="1"/>
  <c r="EW151" i="54" s="1"/>
  <c r="EW209" i="54" a="1"/>
  <c r="EW209" i="54" s="1"/>
  <c r="EW34" i="54" a="1"/>
  <c r="EW34" i="54" s="1"/>
  <c r="EW163" i="54" a="1"/>
  <c r="EW163" i="54" s="1"/>
  <c r="EW172" i="54" a="1"/>
  <c r="EW172" i="54" s="1"/>
  <c r="EW38" i="54" a="1"/>
  <c r="EW38" i="54" s="1"/>
  <c r="EW125" i="54" a="1"/>
  <c r="EW125" i="54" s="1"/>
  <c r="EW39" i="54" a="1"/>
  <c r="EW39" i="54" s="1"/>
  <c r="EW191" i="54" a="1"/>
  <c r="EW191" i="54" s="1"/>
  <c r="EW16" i="54" a="1"/>
  <c r="EW16" i="54" s="1"/>
  <c r="EW145" i="54" a="1"/>
  <c r="EW145" i="54" s="1"/>
  <c r="EW154" i="54" a="1"/>
  <c r="EW154" i="54" s="1"/>
  <c r="EW20" i="54" a="1"/>
  <c r="EW20" i="54" s="1"/>
  <c r="EW107" i="54" a="1"/>
  <c r="EW107" i="54" s="1"/>
  <c r="EW21" i="54" a="1"/>
  <c r="EW21" i="54" s="1"/>
  <c r="EW132" i="54" a="1"/>
  <c r="EW132" i="54" s="1"/>
  <c r="EW106" i="54" a="1"/>
  <c r="EW106" i="54" s="1"/>
  <c r="EW235" i="54" a="1"/>
  <c r="EW235" i="54" s="1"/>
  <c r="EW244" i="54" a="1"/>
  <c r="EW244" i="54" s="1"/>
  <c r="EW110" i="54" a="1"/>
  <c r="EW110" i="54" s="1"/>
  <c r="EW197" i="54" a="1"/>
  <c r="EW197" i="54" s="1"/>
  <c r="EW111" i="54" a="1"/>
  <c r="EW111" i="54" s="1"/>
  <c r="EW240" i="54" a="1"/>
  <c r="EW240" i="54" s="1"/>
  <c r="EW66" i="54" a="1"/>
  <c r="EW66" i="54" s="1"/>
  <c r="EW188" i="54" a="1"/>
  <c r="EW188" i="54" s="1"/>
  <c r="EW185" i="54" a="1"/>
  <c r="EW185" i="54" s="1"/>
  <c r="EW63" i="54" a="1"/>
  <c r="EW63" i="54" s="1"/>
  <c r="EW192" i="54" a="1"/>
  <c r="EW192" i="54" s="1"/>
  <c r="EW58" i="54" a="1"/>
  <c r="EW58" i="54" s="1"/>
  <c r="EW187" i="54" a="1"/>
  <c r="EW187" i="54" s="1"/>
  <c r="EW29" i="54" a="1"/>
  <c r="EW29" i="54" s="1"/>
  <c r="EW123" i="54" a="1"/>
  <c r="EW123" i="54" s="1"/>
  <c r="EW180" i="54" a="1"/>
  <c r="EW180" i="54" s="1"/>
  <c r="EW261" i="54" a="1"/>
  <c r="EW261" i="54" s="1"/>
  <c r="EW121" i="54" a="1"/>
  <c r="EW121" i="54" s="1"/>
  <c r="EW256" i="54" a="1"/>
  <c r="EW256" i="54" s="1"/>
  <c r="EW122" i="54" a="1"/>
  <c r="EW122" i="54" s="1"/>
  <c r="EW150" i="54" a="1"/>
  <c r="EW150" i="54" s="1"/>
  <c r="EW160" i="54" a="1"/>
  <c r="EW160" i="54" s="1"/>
  <c r="EW44" i="54" a="1"/>
  <c r="EW44" i="54" s="1"/>
  <c r="EW41" i="54" a="1"/>
  <c r="EW41" i="54" s="1"/>
  <c r="EW164" i="54" a="1"/>
  <c r="EW164" i="54" s="1"/>
  <c r="EW251" i="54" a="1"/>
  <c r="EW251" i="54" s="1"/>
  <c r="EW165" i="54" a="1"/>
  <c r="EW165" i="54" s="1"/>
  <c r="EW43" i="54" a="1"/>
  <c r="EW43" i="54" s="1"/>
  <c r="EW101" i="54" a="1"/>
  <c r="EW101" i="54" s="1"/>
  <c r="EW195" i="54" a="1"/>
  <c r="EW195" i="54" s="1"/>
  <c r="EW55" i="54" a="1"/>
  <c r="EW55" i="54" s="1"/>
  <c r="EW64" i="54" a="1"/>
  <c r="EW64" i="54" s="1"/>
  <c r="EW193" i="54" a="1"/>
  <c r="EW193" i="54" s="1"/>
  <c r="EW17" i="54" a="1"/>
  <c r="EW17" i="54" s="1"/>
  <c r="EW194" i="54" a="1"/>
  <c r="EW194" i="54" s="1"/>
  <c r="EW83" i="54" a="1"/>
  <c r="EW83" i="54" s="1"/>
  <c r="EW177" i="54" a="1"/>
  <c r="EW177" i="54" s="1"/>
  <c r="EW37" i="54" a="1"/>
  <c r="EW37" i="54" s="1"/>
  <c r="EW46" i="54" a="1"/>
  <c r="EW46" i="54" s="1"/>
  <c r="EW175" i="54" a="1"/>
  <c r="EW175" i="54" s="1"/>
  <c r="EW186" i="54" a="1"/>
  <c r="EW186" i="54" s="1"/>
  <c r="EW176" i="54" a="1"/>
  <c r="EW176" i="54" s="1"/>
  <c r="EW173" i="54" a="1"/>
  <c r="EW173" i="54" s="1"/>
  <c r="EW267" i="54" a="1"/>
  <c r="EW267" i="54" s="1"/>
  <c r="EW127" i="54" a="1"/>
  <c r="EW127" i="54" s="1"/>
  <c r="EW136" i="54" a="1"/>
  <c r="EW136" i="54" s="1"/>
  <c r="EW265" i="54" a="1"/>
  <c r="EW265" i="54" s="1"/>
  <c r="EW89" i="54" a="1"/>
  <c r="EW89" i="54" s="1"/>
  <c r="EW266" i="54" a="1"/>
  <c r="EW266" i="54" s="1"/>
  <c r="EW114" i="54" a="1"/>
  <c r="EW114" i="54" s="1"/>
  <c r="EW196" i="54" a="1"/>
  <c r="EW196" i="54" s="1"/>
  <c r="EW80" i="54" a="1"/>
  <c r="EW80" i="54" s="1"/>
  <c r="EW77" i="54" a="1"/>
  <c r="EW77" i="54" s="1"/>
  <c r="EW200" i="54" a="1"/>
  <c r="EW200" i="54" s="1"/>
  <c r="EW84" i="54" a="1"/>
  <c r="EW84" i="54" s="1"/>
  <c r="EW201" i="54" a="1"/>
  <c r="EW201" i="54" s="1"/>
  <c r="EW79" i="54" a="1"/>
  <c r="EW79" i="54" s="1"/>
  <c r="EW126" i="54" a="1"/>
  <c r="EW126" i="54" s="1"/>
  <c r="EW15" i="54" a="1"/>
  <c r="EW15" i="54" s="1"/>
  <c r="EW60" i="54" a="1"/>
  <c r="EW60" i="54" s="1"/>
  <c r="EW153" i="54" a="1"/>
  <c r="EW153" i="54" s="1"/>
  <c r="EW13" i="54" a="1"/>
  <c r="EW13" i="54" s="1"/>
  <c r="EW148" i="54" a="1"/>
  <c r="EW148" i="54" s="1"/>
  <c r="EW14" i="54" a="1"/>
  <c r="EW14" i="54" s="1"/>
  <c r="EW227" i="54" a="1"/>
  <c r="EW227" i="54" s="1"/>
  <c r="EW52" i="54" a="1"/>
  <c r="EW52" i="54" s="1"/>
  <c r="EW181" i="54" a="1"/>
  <c r="EW181" i="54" s="1"/>
  <c r="EW190" i="54" a="1"/>
  <c r="EW190" i="54" s="1"/>
  <c r="EW56" i="54" a="1"/>
  <c r="EW56" i="54" s="1"/>
  <c r="EW143" i="54" a="1"/>
  <c r="EW143" i="54" s="1"/>
  <c r="EW57" i="54" a="1"/>
  <c r="EW57" i="54" s="1"/>
  <c r="EW168" i="54" a="1"/>
  <c r="EW168" i="54" s="1"/>
  <c r="EW252" i="54" a="1"/>
  <c r="EW252" i="54" s="1"/>
  <c r="EW87" i="54" a="1"/>
  <c r="EW87" i="54" s="1"/>
  <c r="EW90" i="54" a="1"/>
  <c r="EW90" i="54" s="1"/>
  <c r="EW225" i="54" a="1"/>
  <c r="EW225" i="54" s="1"/>
  <c r="EW85" i="54" a="1"/>
  <c r="EW85" i="54" s="1"/>
  <c r="EW220" i="54" a="1"/>
  <c r="EW220" i="54" s="1"/>
  <c r="EW86" i="54" a="1"/>
  <c r="EW86" i="54" s="1"/>
  <c r="EW234" i="54" a="1"/>
  <c r="EW234" i="54" s="1"/>
  <c r="EW69" i="54" a="1"/>
  <c r="EW69" i="54" s="1"/>
  <c r="EW54" i="54" a="1"/>
  <c r="EW54" i="54" s="1"/>
  <c r="EW207" i="54" a="1"/>
  <c r="EW207" i="54" s="1"/>
  <c r="EW67" i="54" a="1"/>
  <c r="EW67" i="54" s="1"/>
  <c r="EW202" i="54" a="1"/>
  <c r="EW202" i="54" s="1"/>
  <c r="EW68" i="54" a="1"/>
  <c r="EW68" i="54" s="1"/>
  <c r="EW65" i="54" a="1"/>
  <c r="EW65" i="54" s="1"/>
  <c r="EW159" i="54" a="1"/>
  <c r="EW159" i="54" s="1"/>
  <c r="EW19" i="54" a="1"/>
  <c r="EW19" i="54" s="1"/>
  <c r="EW28" i="54" a="1"/>
  <c r="EW28" i="54" s="1"/>
  <c r="EW157" i="54" a="1"/>
  <c r="EW157" i="54" s="1"/>
  <c r="EW96" i="54" a="1"/>
  <c r="EW96" i="54" s="1"/>
  <c r="EW158" i="54" a="1"/>
  <c r="EW158" i="54" s="1"/>
  <c r="EW263" i="54" a="1"/>
  <c r="EW263" i="54" s="1"/>
  <c r="EW88" i="54" a="1"/>
  <c r="EW88" i="54" s="1"/>
  <c r="EW217" i="54" a="1"/>
  <c r="EW217" i="54" s="1"/>
  <c r="EW226" i="54" a="1"/>
  <c r="EW226" i="54" s="1"/>
  <c r="EW92" i="54" a="1"/>
  <c r="EW92" i="54" s="1"/>
  <c r="EW179" i="54" a="1"/>
  <c r="EW179" i="54" s="1"/>
  <c r="EW93" i="54" a="1"/>
  <c r="EW93" i="54" s="1"/>
  <c r="EW222" i="54" a="1"/>
  <c r="EW222" i="54" s="1"/>
  <c r="EW42" i="54" a="1"/>
  <c r="EW42" i="54" s="1"/>
  <c r="EW170" i="54" a="1"/>
  <c r="EW170" i="54" s="1"/>
  <c r="EW167" i="54" a="1"/>
  <c r="EW167" i="54" s="1"/>
  <c r="EW45" i="54" a="1"/>
  <c r="EW45" i="54" s="1"/>
  <c r="EW174" i="54" a="1"/>
  <c r="EW174" i="54" s="1"/>
  <c r="EW40" i="54" a="1"/>
  <c r="EW40" i="54" s="1"/>
  <c r="EW169" i="54" a="1"/>
  <c r="EW169" i="54" s="1"/>
  <c r="EW119" i="54" a="1"/>
  <c r="EW119" i="54" s="1"/>
  <c r="EW213" i="54" a="1"/>
  <c r="EW213" i="54" s="1"/>
  <c r="EW73" i="54" a="1"/>
  <c r="EW73" i="54" s="1"/>
  <c r="EW82" i="54" a="1"/>
  <c r="EW82" i="54" s="1"/>
  <c r="EW211" i="54" a="1"/>
  <c r="EW211" i="54" s="1"/>
  <c r="EW35" i="54" a="1"/>
  <c r="EW35" i="54" s="1"/>
  <c r="EW212" i="54" a="1"/>
  <c r="EW212" i="54" s="1"/>
  <c r="EW72" i="54" a="1"/>
  <c r="EW72" i="54" s="1"/>
  <c r="EW242" i="54" a="1"/>
  <c r="EW242" i="54" s="1"/>
  <c r="EW239" i="54" a="1"/>
  <c r="EW239" i="54" s="1"/>
  <c r="EW117" i="54" a="1"/>
  <c r="EW117" i="54" s="1"/>
  <c r="EW246" i="54" a="1"/>
  <c r="EW246" i="54" s="1"/>
  <c r="EW112" i="54" a="1"/>
  <c r="EW112" i="54" s="1"/>
  <c r="EW241" i="54" a="1"/>
  <c r="EW241" i="54" s="1"/>
  <c r="EW36" i="54" a="1"/>
  <c r="EW36" i="54" s="1"/>
  <c r="EW224" i="54" a="1"/>
  <c r="EW224" i="54" s="1"/>
  <c r="EW221" i="54" a="1"/>
  <c r="EW221" i="54" s="1"/>
  <c r="EW99" i="54" a="1"/>
  <c r="EW99" i="54" s="1"/>
  <c r="EW228" i="54" a="1"/>
  <c r="EW228" i="54" s="1"/>
  <c r="EW94" i="54" a="1"/>
  <c r="EW94" i="54" s="1"/>
  <c r="EW223" i="54" a="1"/>
  <c r="EW223" i="54" s="1"/>
  <c r="EW198" i="54" a="1"/>
  <c r="EW198" i="54" s="1"/>
  <c r="EW51" i="54" a="1"/>
  <c r="EW51" i="54" s="1"/>
  <c r="EW18" i="54" a="1"/>
  <c r="EW18" i="54" s="1"/>
  <c r="EW189" i="54" a="1"/>
  <c r="EW189" i="54" s="1"/>
  <c r="EW49" i="54" a="1"/>
  <c r="EW49" i="54" s="1"/>
  <c r="EW184" i="54" a="1"/>
  <c r="EW184" i="54" s="1"/>
  <c r="EW50" i="54" a="1"/>
  <c r="EW50" i="54" s="1"/>
  <c r="EW155" i="54" a="1"/>
  <c r="EW155" i="54" s="1"/>
  <c r="EW249" i="54" a="1"/>
  <c r="EW249" i="54" s="1"/>
  <c r="EW109" i="54" a="1"/>
  <c r="EW109" i="54" s="1"/>
  <c r="EW118" i="54" a="1"/>
  <c r="EW118" i="54" s="1"/>
  <c r="EW247" i="54" a="1"/>
  <c r="EW247" i="54" s="1"/>
  <c r="EW71" i="54" a="1"/>
  <c r="EW71" i="54" s="1"/>
  <c r="EW248" i="54" a="1"/>
  <c r="EW248" i="54" s="1"/>
  <c r="EW78" i="54" a="1"/>
  <c r="EW78" i="54" s="1"/>
  <c r="EW178" i="54" a="1"/>
  <c r="EW178" i="54" s="1"/>
  <c r="EW62" i="54" a="1"/>
  <c r="EW62" i="54" s="1"/>
  <c r="EW59" i="54" a="1"/>
  <c r="EW59" i="54" s="1"/>
  <c r="EW182" i="54" a="1"/>
  <c r="EW182" i="54" s="1"/>
  <c r="EW30" i="54" a="1"/>
  <c r="EW30" i="54" s="1"/>
  <c r="EW183" i="54" a="1"/>
  <c r="EW183" i="54" s="1"/>
  <c r="EW61" i="54" a="1"/>
  <c r="EW61" i="54" s="1"/>
  <c r="EW11" i="54" a="1"/>
  <c r="EW11" i="54" s="1"/>
  <c r="EW105" i="54" a="1"/>
  <c r="EW105" i="54" s="1"/>
  <c r="EW144" i="54" a="1"/>
  <c r="EW144" i="54" s="1"/>
  <c r="EW243" i="54" a="1"/>
  <c r="EW243" i="54" s="1"/>
  <c r="EW103" i="54" a="1"/>
  <c r="EW103" i="54" s="1"/>
  <c r="EW238" i="54" a="1"/>
  <c r="EW238" i="54" s="1"/>
  <c r="EW104" i="54" a="1"/>
  <c r="EW104" i="54" s="1"/>
  <c r="EW250" i="54" a="1"/>
  <c r="EW250" i="54" s="1"/>
  <c r="EW134" i="54" a="1"/>
  <c r="EW134" i="54" s="1"/>
  <c r="EW131" i="54" a="1"/>
  <c r="EW131" i="54" s="1"/>
  <c r="EW254" i="54" a="1"/>
  <c r="EW254" i="54" s="1"/>
  <c r="EW138" i="54" a="1"/>
  <c r="EW138" i="54" s="1"/>
  <c r="EW255" i="54" a="1"/>
  <c r="EW255" i="54" s="1"/>
  <c r="EW133" i="54" a="1"/>
  <c r="EW133" i="54" s="1"/>
  <c r="EW232" i="54" a="1"/>
  <c r="EW232" i="54" s="1"/>
  <c r="EW116" i="54" a="1"/>
  <c r="EW116" i="54" s="1"/>
  <c r="EW113" i="54" a="1"/>
  <c r="EW113" i="54" s="1"/>
  <c r="EW236" i="54" a="1"/>
  <c r="EW236" i="54" s="1"/>
  <c r="EW120" i="54" a="1"/>
  <c r="EW120" i="54" s="1"/>
  <c r="EW237" i="54" a="1"/>
  <c r="EW237" i="54" s="1"/>
  <c r="EW115" i="54" a="1"/>
  <c r="EW115" i="54" s="1"/>
  <c r="EW23" i="54" a="1"/>
  <c r="EW23" i="54" s="1"/>
  <c r="EW206" i="54" a="1"/>
  <c r="EW206" i="54" s="1"/>
  <c r="EW203" i="54" a="1"/>
  <c r="EW203" i="54" s="1"/>
  <c r="EW81" i="54" a="1"/>
  <c r="EW81" i="54" s="1"/>
  <c r="EW210" i="54" a="1"/>
  <c r="EW210" i="54" s="1"/>
  <c r="EW76" i="54" a="1"/>
  <c r="EW76" i="54" s="1"/>
  <c r="EW205" i="54" a="1"/>
  <c r="EW205" i="54" s="1"/>
  <c r="EW47" i="54" a="1"/>
  <c r="EW47" i="54" s="1"/>
  <c r="EW141" i="54" a="1"/>
  <c r="EW141" i="54" s="1"/>
  <c r="EW216" i="54" a="1"/>
  <c r="EW216" i="54" s="1"/>
  <c r="EW10" i="54" a="1"/>
  <c r="EW10" i="54" s="1"/>
  <c r="EW139" i="54" a="1"/>
  <c r="EW139" i="54" s="1"/>
  <c r="EW24" i="54" a="1"/>
  <c r="EW24" i="54" s="1"/>
  <c r="EW140" i="54" a="1"/>
  <c r="EW140" i="54" s="1"/>
  <c r="EW245" i="54" a="1"/>
  <c r="EW245" i="54" s="1"/>
  <c r="EW70" i="54" a="1"/>
  <c r="EW70" i="54" s="1"/>
  <c r="EW199" i="54" a="1"/>
  <c r="EW199" i="54" s="1"/>
  <c r="EW208" i="54" a="1"/>
  <c r="EW208" i="54" s="1"/>
  <c r="EW74" i="54" a="1"/>
  <c r="EW74" i="54" s="1"/>
  <c r="EW161" i="54" a="1"/>
  <c r="EW161" i="54" s="1"/>
  <c r="EW75" i="54" a="1"/>
  <c r="EW75" i="54" s="1"/>
  <c r="EW204" i="54" a="1"/>
  <c r="EW204" i="54" s="1"/>
  <c r="EW108" i="54" a="1"/>
  <c r="EW108" i="54" s="1"/>
  <c r="EW260" i="54" a="1"/>
  <c r="EW260" i="54" s="1"/>
  <c r="EW257" i="54" a="1"/>
  <c r="EW257" i="54" s="1"/>
  <c r="EW135" i="54" a="1"/>
  <c r="EW135" i="54" s="1"/>
  <c r="EW264" i="54" a="1"/>
  <c r="EW264" i="54" s="1"/>
  <c r="EW130" i="54" a="1"/>
  <c r="EW130" i="54" s="1"/>
  <c r="EW259" i="54" a="1"/>
  <c r="EW259" i="54" s="1"/>
  <c r="EN75" i="54"/>
  <c r="EN204" i="54"/>
  <c r="EN95" i="54"/>
  <c r="EN224" i="54"/>
  <c r="EN256" i="54"/>
  <c r="EN14" i="54"/>
  <c r="EN59" i="54"/>
  <c r="EN69" i="54"/>
  <c r="EN72" i="54"/>
  <c r="EN135" i="54"/>
  <c r="EN264" i="54"/>
  <c r="EN148" i="54"/>
  <c r="EN169" i="54"/>
  <c r="EN137" i="54"/>
  <c r="EN116" i="54"/>
  <c r="EN77" i="54"/>
  <c r="EN27" i="54"/>
  <c r="EN156" i="54"/>
  <c r="EN40" i="54"/>
  <c r="EN61" i="54"/>
  <c r="EN232" i="54"/>
  <c r="EN253" i="54"/>
  <c r="EN161" i="54"/>
  <c r="EN164" i="54"/>
  <c r="EN48" i="54"/>
  <c r="EN183" i="54"/>
  <c r="EN96" i="54"/>
  <c r="EN124" i="54"/>
  <c r="EN145" i="54"/>
  <c r="EN190" i="54"/>
  <c r="EN56" i="54"/>
  <c r="EN89" i="54"/>
  <c r="EN230" i="54"/>
  <c r="EN227" i="54"/>
  <c r="EN16" i="54"/>
  <c r="EN37" i="54"/>
  <c r="EN82" i="54"/>
  <c r="EN211" i="54"/>
  <c r="EN122" i="54"/>
  <c r="EN65" i="54"/>
  <c r="EN177" i="54"/>
  <c r="EN180" i="54"/>
  <c r="EN243" i="54"/>
  <c r="EN103" i="54"/>
  <c r="EN174" i="54"/>
  <c r="EN45" i="54"/>
  <c r="EN185" i="54"/>
  <c r="EN134" i="54"/>
  <c r="EN250" i="54"/>
  <c r="EN114" i="54"/>
  <c r="EN248" i="54"/>
  <c r="EN125" i="54"/>
  <c r="EN92" i="54"/>
  <c r="EN226" i="54"/>
  <c r="EN181" i="54"/>
  <c r="EN52" i="54"/>
  <c r="EN119" i="54"/>
  <c r="EN50" i="54"/>
  <c r="EN184" i="54"/>
  <c r="EN13" i="54"/>
  <c r="EN153" i="54"/>
  <c r="EN90" i="54"/>
  <c r="EN242" i="54"/>
  <c r="EN149" i="54"/>
  <c r="EN222" i="54"/>
  <c r="EN93" i="54"/>
  <c r="EN84" i="54"/>
  <c r="EN200" i="54"/>
  <c r="EN71" i="54"/>
  <c r="EN44" i="54"/>
  <c r="EN160" i="54"/>
  <c r="EN24" i="54"/>
  <c r="EN158" i="54"/>
  <c r="EN121" i="54"/>
  <c r="EN261" i="54"/>
  <c r="EN198" i="54"/>
  <c r="EN87" i="54"/>
  <c r="EN191" i="54"/>
  <c r="EN79" i="54"/>
  <c r="EN201" i="54"/>
  <c r="EN192" i="54"/>
  <c r="EN63" i="54"/>
  <c r="EN257" i="54"/>
  <c r="EN152" i="54"/>
  <c r="EN268" i="54"/>
  <c r="EN132" i="54"/>
  <c r="EN266" i="54"/>
  <c r="EN229" i="54"/>
  <c r="EN100" i="54"/>
  <c r="EN55" i="54"/>
  <c r="EN195" i="54"/>
  <c r="EN113" i="54"/>
  <c r="EN187" i="54"/>
  <c r="EN58" i="54"/>
  <c r="EN31" i="54"/>
  <c r="EN171" i="54"/>
  <c r="EN108" i="54"/>
  <c r="EN260" i="54"/>
  <c r="EN203" i="54"/>
  <c r="EN240" i="54"/>
  <c r="EN111" i="54"/>
  <c r="EN251" i="54"/>
  <c r="EN74" i="54"/>
  <c r="EN208" i="54"/>
  <c r="EN163" i="54"/>
  <c r="EN34" i="54"/>
  <c r="EN101" i="54"/>
  <c r="EN32" i="54"/>
  <c r="EN166" i="54"/>
  <c r="EN139" i="54"/>
  <c r="EN10" i="54"/>
  <c r="EN216" i="54"/>
  <c r="EN105" i="54"/>
  <c r="EN245" i="54"/>
  <c r="EN97" i="54"/>
  <c r="EN219" i="54"/>
  <c r="EN66" i="54"/>
  <c r="EN182" i="54"/>
  <c r="EN131" i="54"/>
  <c r="EN26" i="54"/>
  <c r="EN142" i="54"/>
  <c r="EN263" i="54"/>
  <c r="EN140" i="54"/>
  <c r="EN247" i="54"/>
  <c r="EN118" i="54"/>
  <c r="EN73" i="54"/>
  <c r="EN213" i="54"/>
  <c r="EN167" i="54"/>
  <c r="EN205" i="54"/>
  <c r="EN76" i="54"/>
  <c r="EN215" i="54"/>
  <c r="EN110" i="54"/>
  <c r="EN244" i="54"/>
  <c r="EN199" i="54"/>
  <c r="EN70" i="54"/>
  <c r="EN155" i="54"/>
  <c r="EN68" i="54"/>
  <c r="EN202" i="54"/>
  <c r="EN102" i="54"/>
  <c r="EN218" i="54"/>
  <c r="EN107" i="54"/>
  <c r="EN62" i="54"/>
  <c r="EN178" i="54"/>
  <c r="EN42" i="54"/>
  <c r="EN176" i="54"/>
  <c r="EN210" i="54"/>
  <c r="EN81" i="54"/>
  <c r="EN18" i="54"/>
  <c r="EN170" i="54"/>
  <c r="EN35" i="54"/>
  <c r="EN150" i="54"/>
  <c r="EN21" i="54"/>
  <c r="EN228" i="54"/>
  <c r="EN99" i="54"/>
  <c r="EN36" i="54"/>
  <c r="EN188" i="54"/>
  <c r="EN49" i="54"/>
  <c r="EN189" i="54"/>
  <c r="EN126" i="54"/>
  <c r="EN15" i="54"/>
  <c r="EN239" i="54"/>
  <c r="EN258" i="54"/>
  <c r="EN129" i="54"/>
  <c r="EN157" i="54"/>
  <c r="EN28" i="54"/>
  <c r="EN234" i="54"/>
  <c r="EN123" i="54"/>
  <c r="EN53" i="54"/>
  <c r="EN115" i="54"/>
  <c r="EN237" i="54"/>
  <c r="EN175" i="54"/>
  <c r="EN46" i="54"/>
  <c r="EN252" i="54"/>
  <c r="EN141" i="54"/>
  <c r="EN265" i="54"/>
  <c r="EN136" i="54"/>
  <c r="EN91" i="54"/>
  <c r="EN231" i="54"/>
  <c r="EN221" i="54"/>
  <c r="EN223" i="54"/>
  <c r="EN94" i="54"/>
  <c r="EN20" i="54"/>
  <c r="EN154" i="54"/>
  <c r="EN109" i="54"/>
  <c r="EN249" i="54"/>
  <c r="EN120" i="54"/>
  <c r="EN197" i="54"/>
  <c r="EN196" i="54"/>
  <c r="EN60" i="54"/>
  <c r="EN194" i="54"/>
  <c r="EN85" i="54"/>
  <c r="EN225" i="54"/>
  <c r="EN162" i="54"/>
  <c r="EN51" i="54"/>
  <c r="EN83" i="54"/>
  <c r="EN43" i="54"/>
  <c r="EN165" i="54"/>
  <c r="EN38" i="54"/>
  <c r="EN67" i="54"/>
  <c r="EN144" i="54"/>
  <c r="EN179" i="54"/>
  <c r="EN168" i="54"/>
  <c r="EN39" i="54"/>
  <c r="EN193" i="54"/>
  <c r="EN64" i="54"/>
  <c r="EN19" i="54"/>
  <c r="EN159" i="54"/>
  <c r="EN233" i="54"/>
  <c r="EN151" i="54"/>
  <c r="EN22" i="54"/>
  <c r="EN47" i="54"/>
  <c r="EN128" i="54"/>
  <c r="EN217" i="54"/>
  <c r="EN11" i="54"/>
  <c r="EN25" i="54"/>
  <c r="EN147" i="54"/>
  <c r="EN267" i="54"/>
  <c r="EN259" i="54"/>
  <c r="EN130" i="54"/>
  <c r="EN236" i="54"/>
  <c r="EN80" i="54"/>
  <c r="EN143" i="54"/>
  <c r="EN133" i="54"/>
  <c r="EN255" i="54"/>
  <c r="EN30" i="54"/>
  <c r="EN146" i="54"/>
  <c r="EN17" i="54"/>
  <c r="EN235" i="54"/>
  <c r="EN106" i="54"/>
  <c r="EN209" i="54"/>
  <c r="EN104" i="54"/>
  <c r="EN238" i="54"/>
  <c r="EN172" i="54"/>
  <c r="EN207" i="54"/>
  <c r="EN33" i="54"/>
  <c r="EN29" i="54"/>
  <c r="EN241" i="54"/>
  <c r="EN112" i="54"/>
  <c r="EN138" i="54"/>
  <c r="EN254" i="54"/>
  <c r="EN23" i="54"/>
  <c r="EN98" i="54"/>
  <c r="EN214" i="54"/>
  <c r="EN78" i="54"/>
  <c r="EN212" i="54"/>
  <c r="EN127" i="54"/>
  <c r="EN12" i="54"/>
  <c r="EN262" i="54"/>
  <c r="EN88" i="54"/>
  <c r="EN173" i="54"/>
  <c r="EN86" i="54"/>
  <c r="EN220" i="54"/>
  <c r="EN246" i="54"/>
  <c r="EN117" i="54"/>
  <c r="EN54" i="54"/>
  <c r="EN206" i="54"/>
  <c r="EN41" i="54"/>
  <c r="EN186" i="54"/>
  <c r="EN57" i="54"/>
  <c r="AE42" i="54" a="1"/>
  <c r="AE42" i="54" s="1"/>
  <c r="CV69" i="54"/>
  <c r="CT69" i="54"/>
  <c r="CU70" i="54" s="1"/>
  <c r="AN39" i="56"/>
  <c r="BW10" i="42" l="1" a="1"/>
  <c r="BW10" i="42" s="1"/>
  <c r="BM10" i="42" a="1"/>
  <c r="BM10" i="42" s="1"/>
  <c r="DN10" i="42" a="1"/>
  <c r="DN10" i="42" s="1"/>
  <c r="CS10" i="42" a="1"/>
  <c r="CS10" i="42" s="1"/>
  <c r="CW10" i="42" s="1" a="1"/>
  <c r="CW10" i="42" s="1"/>
  <c r="ET47" i="42" a="1"/>
  <c r="ET47" i="42" s="1"/>
  <c r="CP24" i="42"/>
  <c r="DE10" i="42" s="1" a="1"/>
  <c r="DE10" i="42" s="1"/>
  <c r="ET10" i="42" a="1"/>
  <c r="ET10" i="42" s="1"/>
  <c r="ET14" i="42" s="1" a="1"/>
  <c r="ET14" i="42" s="1"/>
  <c r="CG10" i="42" a="1"/>
  <c r="CG10" i="42" s="1"/>
  <c r="CF10" i="42" a="1"/>
  <c r="CF10" i="42" s="1"/>
  <c r="AQ14" i="42"/>
  <c r="FC22" i="54"/>
  <c r="FF22" i="54"/>
  <c r="FE22" i="54"/>
  <c r="FZ22" i="54"/>
  <c r="FX22" i="54"/>
  <c r="GA22" i="54"/>
  <c r="FV22" i="54"/>
  <c r="FU21" i="54"/>
  <c r="FW21" i="54" s="1"/>
  <c r="FR22" i="54" s="1"/>
  <c r="FO22" i="54"/>
  <c r="FN21" i="54"/>
  <c r="FP21" i="54" s="1"/>
  <c r="FK22" i="54" s="1"/>
  <c r="AD47" i="54"/>
  <c r="CV70" i="54"/>
  <c r="CT70" i="54"/>
  <c r="CU71" i="54" s="1"/>
  <c r="ET75" i="42" l="1" a="1"/>
  <c r="ET75" i="42" s="1"/>
  <c r="AQ24" i="42" s="1"/>
  <c r="C30" i="42" a="1"/>
  <c r="C30" i="42" s="1"/>
  <c r="DO10" i="42" a="1"/>
  <c r="DO10" i="42" s="1"/>
  <c r="C3" i="58" s="1" a="1"/>
  <c r="C3" i="58" s="1"/>
  <c r="DQ10" i="42" a="1"/>
  <c r="DQ10" i="42" s="1"/>
  <c r="DP10" i="42" a="1"/>
  <c r="DP10" i="42" s="1"/>
  <c r="DS10" i="42" a="1"/>
  <c r="DS10" i="42" s="1"/>
  <c r="DT10" i="42" a="1"/>
  <c r="DT10" i="42" s="1"/>
  <c r="DR10" i="42" a="1"/>
  <c r="DR10" i="42" s="1"/>
  <c r="D3" i="58" s="1" a="1"/>
  <c r="D3" i="58" s="1"/>
  <c r="DF10" i="42" a="1"/>
  <c r="DF10" i="42" s="1"/>
  <c r="EU46" i="42" a="1"/>
  <c r="EU46" i="42" s="1"/>
  <c r="ET61" i="42" a="1"/>
  <c r="ET61" i="42" s="1"/>
  <c r="ET65" i="42" s="1"/>
  <c r="B45" i="42" s="1"/>
  <c r="CU10" i="42" a="1"/>
  <c r="CU10" i="42" s="1"/>
  <c r="AY10" i="42" a="1"/>
  <c r="AY10" i="42" s="1"/>
  <c r="BR10" i="42" a="1"/>
  <c r="BR10" i="42" s="1"/>
  <c r="ES75" i="42" a="1"/>
  <c r="ES75" i="42" s="1"/>
  <c r="EU75" i="42" s="1" a="1"/>
  <c r="EU75" i="42" s="1"/>
  <c r="BG12" i="42"/>
  <c r="BQ20" i="42"/>
  <c r="AX34" i="42"/>
  <c r="BC10" i="42" s="1" a="1"/>
  <c r="BC10" i="42" s="1"/>
  <c r="CQ10" i="42" a="1"/>
  <c r="CQ10" i="42" s="1"/>
  <c r="DX10" i="42" a="1"/>
  <c r="DX10" i="42" s="1"/>
  <c r="ED10" i="42" s="1" a="1"/>
  <c r="ED10" i="42" s="1"/>
  <c r="AR12" i="42"/>
  <c r="EF10" i="42" a="1"/>
  <c r="EF10" i="42" s="1"/>
  <c r="EL10" i="42" s="1" a="1"/>
  <c r="EL10" i="42" s="1"/>
  <c r="AS10" i="42" a="1"/>
  <c r="AS10" i="42" s="1"/>
  <c r="DJ10" i="42" a="1"/>
  <c r="DJ10" i="42" s="1"/>
  <c r="AD46" i="54"/>
  <c r="FL22" i="54"/>
  <c r="FJ22" i="54"/>
  <c r="FM22" i="54"/>
  <c r="GC23" i="54"/>
  <c r="GB22" i="54"/>
  <c r="GD22" i="54" s="1"/>
  <c r="FY23" i="54" s="1"/>
  <c r="FH23" i="54"/>
  <c r="FG22" i="54"/>
  <c r="FI22" i="54" s="1"/>
  <c r="FD23" i="54" s="1"/>
  <c r="FT22" i="54"/>
  <c r="FS22" i="54"/>
  <c r="FQ22" i="54"/>
  <c r="A3" i="58" a="1"/>
  <c r="A3" i="58" s="1"/>
  <c r="CV71" i="54"/>
  <c r="CT71" i="54"/>
  <c r="CU72" i="54" s="1"/>
  <c r="M58" i="56"/>
  <c r="HQ6" i="54" s="1" a="1"/>
  <c r="HQ6" i="54" s="1"/>
  <c r="HQ139" i="54" s="1"/>
  <c r="M59" i="56"/>
  <c r="N60" i="56"/>
  <c r="AF60" i="56" s="1"/>
  <c r="M60" i="56"/>
  <c r="L60" i="56"/>
  <c r="AQ26" i="42" l="1" a="1"/>
  <c r="AQ26" i="42" s="1"/>
  <c r="EH10" i="42" a="1"/>
  <c r="EH10" i="42" s="1"/>
  <c r="EN10" i="42" a="1"/>
  <c r="EN10" i="42" s="1"/>
  <c r="AQ20" i="42"/>
  <c r="AQ22" i="42"/>
  <c r="BS10" i="42" a="1"/>
  <c r="BS10" i="42" s="1"/>
  <c r="BT10" i="42" a="1"/>
  <c r="BT10" i="42" s="1"/>
  <c r="CV10" i="42" a="1"/>
  <c r="CV10" i="42" s="1"/>
  <c r="CX10" i="42" s="1" a="1"/>
  <c r="CX10" i="42" s="1"/>
  <c r="CY10" i="42" s="1" a="1"/>
  <c r="CY10" i="42" s="1"/>
  <c r="CZ10" i="42" a="1"/>
  <c r="CZ10" i="42" s="1"/>
  <c r="DA10" i="42" a="1"/>
  <c r="DA10" i="42" s="1"/>
  <c r="ET17" i="42" a="1"/>
  <c r="ET17" i="42" s="1"/>
  <c r="CR10" i="42" a="1"/>
  <c r="CR10" i="42" s="1"/>
  <c r="ET22" i="42" a="1"/>
  <c r="ET22" i="42" s="1"/>
  <c r="ET41" i="42" a="1"/>
  <c r="ET21" i="42" a="1"/>
  <c r="ET21" i="42" s="1"/>
  <c r="ET19" i="42" a="1"/>
  <c r="ET19" i="42" s="1"/>
  <c r="ET18" i="42" a="1"/>
  <c r="ET18" i="42" s="1"/>
  <c r="ET24" i="42" s="1" a="1"/>
  <c r="ET24" i="42" s="1"/>
  <c r="ET20" i="42" a="1"/>
  <c r="ET20" i="42" s="1"/>
  <c r="DH10" i="42" a="1"/>
  <c r="DH10" i="42" s="1"/>
  <c r="DL10" i="42" a="1"/>
  <c r="DL10" i="42" s="1"/>
  <c r="DG10" i="42" a="1"/>
  <c r="DG10" i="42" s="1"/>
  <c r="FZ23" i="54"/>
  <c r="GA23" i="54"/>
  <c r="FX23" i="54"/>
  <c r="FV23" i="54"/>
  <c r="FU22" i="54"/>
  <c r="FW22" i="54" s="1"/>
  <c r="FR23" i="54" s="1"/>
  <c r="FE23" i="54"/>
  <c r="FC23" i="54"/>
  <c r="FF23" i="54"/>
  <c r="FO23" i="54"/>
  <c r="FN22" i="54"/>
  <c r="FP22" i="54" s="1"/>
  <c r="FK23" i="54" s="1"/>
  <c r="CV72" i="54"/>
  <c r="CT72" i="54"/>
  <c r="CU73" i="54" s="1"/>
  <c r="L58" i="56"/>
  <c r="HQ5" i="54" s="1" a="1"/>
  <c r="HQ5" i="54" s="1"/>
  <c r="HQ185" i="54" s="1"/>
  <c r="N58" i="56"/>
  <c r="HQ7" i="54" s="1" a="1"/>
  <c r="HQ7" i="54" s="1"/>
  <c r="AD60" i="56"/>
  <c r="AE60" i="56"/>
  <c r="N59" i="56"/>
  <c r="L59" i="56"/>
  <c r="DC10" i="42" l="1" a="1"/>
  <c r="DC10" i="42" s="1"/>
  <c r="EM40" i="42"/>
  <c r="EQ10" i="42" a="1"/>
  <c r="EQ10" i="42" s="1"/>
  <c r="DK10" i="42" a="1"/>
  <c r="DK10" i="42" s="1"/>
  <c r="DU10" i="42" s="1" a="1"/>
  <c r="DU10" i="42" s="1"/>
  <c r="BU10" i="42" a="1"/>
  <c r="BU10" i="42" s="1"/>
  <c r="DI10" i="42" a="1"/>
  <c r="DI10" i="42" s="1"/>
  <c r="DM10" i="42" a="1"/>
  <c r="DM10" i="42" s="1"/>
  <c r="ET41" i="42"/>
  <c r="EM24" i="42"/>
  <c r="ET23" i="42" a="1"/>
  <c r="ET23" i="42" s="1"/>
  <c r="ET26" i="42" a="1"/>
  <c r="ET26" i="42" s="1"/>
  <c r="AR42" i="42" s="1"/>
  <c r="AR44" i="42" s="1"/>
  <c r="ET15" i="42" a="1"/>
  <c r="ET15" i="42" s="1"/>
  <c r="ET16" i="42" a="1"/>
  <c r="ET16" i="42" s="1"/>
  <c r="FJ23" i="54"/>
  <c r="FM23" i="54"/>
  <c r="FL23" i="54"/>
  <c r="FH24" i="54"/>
  <c r="FG23" i="54"/>
  <c r="FI23" i="54" s="1"/>
  <c r="FD24" i="54" s="1"/>
  <c r="FQ23" i="54"/>
  <c r="FT23" i="54"/>
  <c r="FS23" i="54"/>
  <c r="GC24" i="54"/>
  <c r="GB23" i="54"/>
  <c r="GD23" i="54" s="1"/>
  <c r="FY24" i="54" s="1"/>
  <c r="CV73" i="54"/>
  <c r="CT73" i="54"/>
  <c r="CU74" i="54" s="1"/>
  <c r="AD58" i="56"/>
  <c r="HR5" i="54" s="1" a="1"/>
  <c r="HR5" i="54" s="1"/>
  <c r="AF58" i="56"/>
  <c r="HR7" i="54" s="1" a="1"/>
  <c r="HR7" i="54" s="1"/>
  <c r="AD59" i="56"/>
  <c r="AF59" i="56"/>
  <c r="CT10" i="42" l="1" a="1"/>
  <c r="CT10" i="42" s="1"/>
  <c r="DB10" i="42" s="1" a="1"/>
  <c r="DB10" i="42" s="1"/>
  <c r="DD10" i="42" s="1" a="1"/>
  <c r="DD10" i="42" s="1"/>
  <c r="BX10" i="42" a="1"/>
  <c r="BX10" i="42" s="1"/>
  <c r="BZ10" i="42" a="1"/>
  <c r="BZ10" i="42" s="1"/>
  <c r="CP30" i="42"/>
  <c r="AT10" i="42" a="1"/>
  <c r="AT10" i="42" s="1"/>
  <c r="AR18" i="42" a="1"/>
  <c r="AR18" i="42" s="1"/>
  <c r="ET34" i="42" a="1"/>
  <c r="CP36" i="42" a="1"/>
  <c r="CP36" i="42" s="1"/>
  <c r="CP39" i="42" s="1" a="1"/>
  <c r="CP39" i="42" s="1"/>
  <c r="CP42" i="42" s="1" a="1"/>
  <c r="CP42" i="42" s="1"/>
  <c r="CP45" i="42" s="1" a="1"/>
  <c r="CP45" i="42" s="1"/>
  <c r="DV10" i="42" a="1"/>
  <c r="DV10" i="42" s="1"/>
  <c r="EM28" i="42"/>
  <c r="EM38" i="42" s="1"/>
  <c r="EM34" i="42"/>
  <c r="ET48" i="42" a="1"/>
  <c r="ET48" i="42" s="1"/>
  <c r="ET49" i="42" a="1"/>
  <c r="ET49" i="42" s="1"/>
  <c r="AD45" i="54" s="1" a="1"/>
  <c r="AD45" i="54" s="1"/>
  <c r="FE24" i="54"/>
  <c r="FC24" i="54"/>
  <c r="FF24" i="54"/>
  <c r="FX24" i="54"/>
  <c r="FZ24" i="54"/>
  <c r="GA24" i="54"/>
  <c r="FV24" i="54"/>
  <c r="FU23" i="54"/>
  <c r="FW23" i="54" s="1"/>
  <c r="FR24" i="54" s="1"/>
  <c r="FO24" i="54"/>
  <c r="FN23" i="54"/>
  <c r="FP23" i="54" s="1"/>
  <c r="FK24" i="54" s="1"/>
  <c r="CV74" i="54"/>
  <c r="CT74" i="54"/>
  <c r="CU75" i="54" s="1"/>
  <c r="AB14" i="53" a="1"/>
  <c r="AB14" i="53" s="1"/>
  <c r="AC14" i="53" s="1" a="1"/>
  <c r="AC14" i="53" s="1"/>
  <c r="CH10" i="42" l="1" a="1"/>
  <c r="CH10" i="42" s="1"/>
  <c r="ET50" i="42" a="1"/>
  <c r="ET50" i="42" s="1"/>
  <c r="ET25" i="42" a="1"/>
  <c r="ET25" i="42" s="1"/>
  <c r="ET34" i="42"/>
  <c r="AX22" i="42" s="1"/>
  <c r="C40" i="42" s="1"/>
  <c r="EM22" i="42"/>
  <c r="AR20" i="42"/>
  <c r="AR10" i="42" s="1"/>
  <c r="AR38" i="42"/>
  <c r="AX36" i="42"/>
  <c r="BG32" i="42"/>
  <c r="AX30" i="42"/>
  <c r="BG30" i="42"/>
  <c r="AV10" i="42" a="1"/>
  <c r="AV10" i="42" s="1"/>
  <c r="AX38" i="42"/>
  <c r="AU10" i="42" a="1"/>
  <c r="AU10" i="42" s="1"/>
  <c r="CP48" i="42" a="1"/>
  <c r="CP48" i="42" s="1"/>
  <c r="CP10" i="42" s="1"/>
  <c r="GC25" i="54"/>
  <c r="GB24" i="54"/>
  <c r="GD24" i="54" s="1"/>
  <c r="FY25" i="54" s="1"/>
  <c r="FM24" i="54"/>
  <c r="FL24" i="54"/>
  <c r="FJ24" i="54"/>
  <c r="FS24" i="54"/>
  <c r="FT24" i="54"/>
  <c r="FQ24" i="54"/>
  <c r="FG24" i="54"/>
  <c r="FI24" i="54" s="1"/>
  <c r="FD25" i="54" s="1"/>
  <c r="FH25" i="54"/>
  <c r="CV75" i="54"/>
  <c r="CT75" i="54"/>
  <c r="CU76" i="54" s="1"/>
  <c r="AB6" i="53"/>
  <c r="AB8" i="53"/>
  <c r="AB10" i="53"/>
  <c r="AB7" i="53"/>
  <c r="AE14" i="53" a="1"/>
  <c r="AE14" i="53" s="1"/>
  <c r="AC10" i="53" s="1"/>
  <c r="BG34" i="42" l="1"/>
  <c r="BI10" i="42" s="1" a="1"/>
  <c r="BI10" i="42" s="1"/>
  <c r="BG48" i="42" s="1"/>
  <c r="AX40" i="42"/>
  <c r="BD10" i="42" s="1" a="1"/>
  <c r="BD10" i="42" s="1"/>
  <c r="AX54" i="42" s="1"/>
  <c r="BG22" i="42"/>
  <c r="D40" i="42" s="1"/>
  <c r="BV10" i="42" a="1"/>
  <c r="BV10" i="42" s="1"/>
  <c r="EG10" i="42" a="1"/>
  <c r="EG10" i="42" s="1"/>
  <c r="EI10" i="42" s="1" a="1"/>
  <c r="EI10" i="42" s="1"/>
  <c r="EJ10" i="42" s="1" a="1"/>
  <c r="EJ10" i="42" s="1"/>
  <c r="EP10" i="42" a="1"/>
  <c r="EP10" i="42" s="1"/>
  <c r="ET12" i="42" a="1"/>
  <c r="ET12" i="42" s="1"/>
  <c r="ET51" i="42" a="1"/>
  <c r="ET51" i="42" s="1"/>
  <c r="ET13" i="42" s="1" a="1"/>
  <c r="ET13" i="42" s="1"/>
  <c r="DZ10" i="42" a="1"/>
  <c r="DZ10" i="42" s="1"/>
  <c r="EO10" i="42" a="1"/>
  <c r="EO10" i="42" s="1"/>
  <c r="AR32" i="42"/>
  <c r="AR36" i="42" s="1"/>
  <c r="AR24" i="42" s="1"/>
  <c r="AR26" i="42" s="1"/>
  <c r="AR28" i="42" s="1"/>
  <c r="AR30" i="42"/>
  <c r="ET39" i="42" a="1"/>
  <c r="ET39" i="42" s="1"/>
  <c r="AW10" i="42" a="1"/>
  <c r="AW10" i="42" s="1"/>
  <c r="BB10" i="42" a="1"/>
  <c r="BB10" i="42" s="1"/>
  <c r="AX32" i="42" s="1"/>
  <c r="EM32" i="42"/>
  <c r="EM26" i="42"/>
  <c r="EM36" i="42" s="1"/>
  <c r="AD43" i="54"/>
  <c r="FX25" i="54"/>
  <c r="FZ25" i="54"/>
  <c r="GA25" i="54"/>
  <c r="FC25" i="54"/>
  <c r="FE25" i="54"/>
  <c r="FF25" i="54"/>
  <c r="FO25" i="54"/>
  <c r="FN24" i="54"/>
  <c r="FP24" i="54" s="1"/>
  <c r="FK25" i="54" s="1"/>
  <c r="FU24" i="54"/>
  <c r="FW24" i="54" s="1"/>
  <c r="FR25" i="54" s="1"/>
  <c r="FV25" i="54"/>
  <c r="CV76" i="54"/>
  <c r="CT76" i="54"/>
  <c r="CU77" i="54" s="1"/>
  <c r="AC6" i="53"/>
  <c r="AC7" i="53"/>
  <c r="DY10" i="42" l="1" a="1"/>
  <c r="DY10" i="42" s="1"/>
  <c r="EA10" i="42" s="1" a="1"/>
  <c r="EA10" i="42" s="1"/>
  <c r="EB10" i="42" s="1" a="1"/>
  <c r="EB10" i="42" s="1"/>
  <c r="AZ10" i="42" a="1"/>
  <c r="AZ10" i="42" s="1"/>
  <c r="BA10" i="42" s="1" a="1"/>
  <c r="BA10" i="42" s="1"/>
  <c r="AX28" i="42" s="1"/>
  <c r="EM10" i="42"/>
  <c r="BL18" i="42" a="1"/>
  <c r="BL18" i="42" s="1"/>
  <c r="BL10" i="42" s="1"/>
  <c r="D53" i="42" a="1"/>
  <c r="D53" i="42" s="1"/>
  <c r="ET27" i="42" s="1" a="1"/>
  <c r="ET27" i="42" s="1"/>
  <c r="BN10" i="42" a="1"/>
  <c r="BN10" i="42" s="1"/>
  <c r="BO10" i="42" a="1"/>
  <c r="BO10" i="42" s="1"/>
  <c r="BY10" i="42" a="1"/>
  <c r="BY10" i="42" s="1"/>
  <c r="CB10" i="42" s="1" a="1"/>
  <c r="CB10" i="42" s="1"/>
  <c r="CA10" i="42" a="1"/>
  <c r="CA10" i="42" s="1"/>
  <c r="AR22" i="42"/>
  <c r="AR40" i="42"/>
  <c r="AR16" i="42" s="1"/>
  <c r="B40" i="42"/>
  <c r="EE22" i="42"/>
  <c r="EE20" i="42"/>
  <c r="FH26" i="54"/>
  <c r="FG25" i="54"/>
  <c r="FI25" i="54" s="1"/>
  <c r="FD26" i="54" s="1"/>
  <c r="FT25" i="54"/>
  <c r="FQ25" i="54"/>
  <c r="FS25" i="54"/>
  <c r="FM25" i="54"/>
  <c r="FJ25" i="54"/>
  <c r="FL25" i="54"/>
  <c r="GC26" i="54"/>
  <c r="GB25" i="54"/>
  <c r="GD25" i="54" s="1"/>
  <c r="FY26" i="54" s="1"/>
  <c r="CV77" i="54"/>
  <c r="CT77" i="54"/>
  <c r="CU78" i="54" s="1"/>
  <c r="B3" i="58" a="1"/>
  <c r="B3" i="58" s="1"/>
  <c r="EK10" i="42" l="1" a="1"/>
  <c r="EK10" i="42" s="1"/>
  <c r="DW20" i="42"/>
  <c r="DW22" i="42"/>
  <c r="BE10" i="42" a="1"/>
  <c r="BE10" i="42" s="1"/>
  <c r="BF10" i="42" a="1"/>
  <c r="BF10" i="42" s="1"/>
  <c r="BK10" i="42" a="1"/>
  <c r="BK10" i="42" s="1"/>
  <c r="AX26" i="42"/>
  <c r="C42" i="42" s="1"/>
  <c r="BG24" i="42"/>
  <c r="D41" i="42" s="1"/>
  <c r="AX24" i="42"/>
  <c r="C41" i="42" s="1"/>
  <c r="BG26" i="42"/>
  <c r="BJ10" i="42" a="1"/>
  <c r="BJ10" i="42" s="1"/>
  <c r="CD10" i="42" a="1"/>
  <c r="CD10" i="42" s="1"/>
  <c r="CC10" i="42" a="1"/>
  <c r="CC10" i="42" s="1"/>
  <c r="ET30" i="42" a="1"/>
  <c r="ET30" i="42" s="1"/>
  <c r="CM10" i="42" s="1" a="1"/>
  <c r="CM10" i="42" s="1"/>
  <c r="CN10" i="42" s="1" a="1"/>
  <c r="CN10" i="42" s="1"/>
  <c r="ET28" i="42"/>
  <c r="ET29" i="42" a="1"/>
  <c r="ET29" i="42" s="1"/>
  <c r="C53" i="42" s="1" a="1"/>
  <c r="C53" i="42" s="1"/>
  <c r="AR14" i="42"/>
  <c r="AX12" i="42"/>
  <c r="GA26" i="54"/>
  <c r="FZ26" i="54"/>
  <c r="FX26" i="54"/>
  <c r="FU25" i="54"/>
  <c r="FW25" i="54" s="1"/>
  <c r="FR26" i="54" s="1"/>
  <c r="FV26" i="54"/>
  <c r="FN25" i="54"/>
  <c r="FP25" i="54" s="1"/>
  <c r="FK26" i="54" s="1"/>
  <c r="FO26" i="54"/>
  <c r="FF26" i="54"/>
  <c r="FC26" i="54"/>
  <c r="FE26" i="54"/>
  <c r="CV78" i="54"/>
  <c r="CT78" i="54"/>
  <c r="CU79" i="54" s="1"/>
  <c r="AX42" i="42" l="1" a="1"/>
  <c r="AX42" i="42" s="1"/>
  <c r="AX46" i="42" s="1"/>
  <c r="AX50" i="42" s="1"/>
  <c r="AX14" i="42" s="1"/>
  <c r="AQ28" i="42"/>
  <c r="EC10" i="42" a="1"/>
  <c r="EC10" i="42" s="1"/>
  <c r="BG36" i="42" a="1"/>
  <c r="BG36" i="42" s="1"/>
  <c r="BG40" i="42" s="1"/>
  <c r="AQ30" i="42"/>
  <c r="D42" i="42"/>
  <c r="CL10" i="42" a="1"/>
  <c r="CL10" i="42" s="1"/>
  <c r="CO10" i="42" s="1" a="1"/>
  <c r="CO10" i="42" s="1"/>
  <c r="CJ10" i="42" a="1"/>
  <c r="CJ10" i="42" s="1"/>
  <c r="CK10" i="42" s="1" a="1"/>
  <c r="CK10" i="42" s="1"/>
  <c r="BQ24" i="42" s="1"/>
  <c r="BQ30" i="42" s="1" a="1"/>
  <c r="BQ30" i="42" s="1"/>
  <c r="BQ34" i="42" s="1" a="1"/>
  <c r="BQ34" i="42" s="1"/>
  <c r="BQ28" i="42" s="1"/>
  <c r="BQ10" i="42" s="1"/>
  <c r="CI10" i="42" a="1"/>
  <c r="CI10" i="42" s="1"/>
  <c r="B49" i="42"/>
  <c r="ET54" i="42" a="1"/>
  <c r="ET54" i="42" s="1"/>
  <c r="ET68" i="42" s="1"/>
  <c r="FQ26" i="54"/>
  <c r="FS26" i="54"/>
  <c r="FT26" i="54"/>
  <c r="FM26" i="54"/>
  <c r="FJ26" i="54"/>
  <c r="FL26" i="54"/>
  <c r="FH27" i="54"/>
  <c r="FG26" i="54"/>
  <c r="FI26" i="54" s="1"/>
  <c r="FD27" i="54" s="1"/>
  <c r="GB26" i="54"/>
  <c r="GD26" i="54" s="1"/>
  <c r="FY27" i="54" s="1"/>
  <c r="GC27" i="54"/>
  <c r="CV79" i="54"/>
  <c r="CT79" i="54"/>
  <c r="CU80" i="54" s="1"/>
  <c r="AX52" i="42" l="1"/>
  <c r="AX16" i="42" s="1"/>
  <c r="AX48" i="42"/>
  <c r="AX20" i="42" s="1"/>
  <c r="BG42" i="42"/>
  <c r="BG20" i="42" s="1"/>
  <c r="BG44" i="42"/>
  <c r="BG14" i="42" s="1"/>
  <c r="BG46" i="42"/>
  <c r="BG16" i="42" s="1"/>
  <c r="ET55" i="42"/>
  <c r="ET60" i="42" s="1"/>
  <c r="ET56" i="42" a="1"/>
  <c r="ET56" i="42" s="1"/>
  <c r="FO27" i="54"/>
  <c r="FN26" i="54"/>
  <c r="FP26" i="54" s="1"/>
  <c r="FK27" i="54" s="1"/>
  <c r="FZ27" i="54"/>
  <c r="FX27" i="54"/>
  <c r="GA27" i="54"/>
  <c r="FC27" i="54"/>
  <c r="FF27" i="54"/>
  <c r="FE27" i="54"/>
  <c r="FV27" i="54"/>
  <c r="FU26" i="54"/>
  <c r="FW26" i="54" s="1"/>
  <c r="FR27" i="54" s="1"/>
  <c r="CV80" i="54"/>
  <c r="CT80" i="54"/>
  <c r="CU81" i="54" s="1"/>
  <c r="ET63" i="42" l="1" a="1"/>
  <c r="ET63" i="42" s="1"/>
  <c r="ET67" i="42" s="1"/>
  <c r="B47" i="42" s="1"/>
  <c r="ET62" i="42" a="1"/>
  <c r="ET62" i="42" s="1"/>
  <c r="ET66" i="42" s="1"/>
  <c r="B46" i="42" s="1"/>
  <c r="ET64" i="42" a="1"/>
  <c r="ET64" i="42" s="1"/>
  <c r="ET69" i="42" s="1"/>
  <c r="B48" i="42" s="1"/>
  <c r="FS27" i="54"/>
  <c r="FT27" i="54"/>
  <c r="FQ27" i="54"/>
  <c r="FL27" i="54"/>
  <c r="FJ27" i="54"/>
  <c r="FM27" i="54"/>
  <c r="GC28" i="54"/>
  <c r="GB27" i="54"/>
  <c r="GD27" i="54" s="1"/>
  <c r="FY28" i="54" s="1"/>
  <c r="FH28" i="54"/>
  <c r="FG27" i="54"/>
  <c r="FI27" i="54" s="1"/>
  <c r="FD28" i="54" s="1"/>
  <c r="CV81" i="54"/>
  <c r="CT81" i="54"/>
  <c r="CU82" i="54" s="1"/>
  <c r="FX28" i="54" l="1"/>
  <c r="FZ28" i="54"/>
  <c r="GA28" i="54"/>
  <c r="FO28" i="54"/>
  <c r="FN27" i="54"/>
  <c r="FP27" i="54" s="1"/>
  <c r="FK28" i="54" s="1"/>
  <c r="FV28" i="54"/>
  <c r="FU27" i="54"/>
  <c r="FW27" i="54" s="1"/>
  <c r="FR28" i="54" s="1"/>
  <c r="FE28" i="54"/>
  <c r="FF28" i="54"/>
  <c r="FC28" i="54"/>
  <c r="CV82" i="54"/>
  <c r="CT82" i="54"/>
  <c r="CU83" i="54" s="1"/>
  <c r="FJ28" i="54" l="1"/>
  <c r="FM28" i="54"/>
  <c r="FL28" i="54"/>
  <c r="GB28" i="54"/>
  <c r="GD28" i="54" s="1"/>
  <c r="FY29" i="54" s="1"/>
  <c r="GC29" i="54"/>
  <c r="FG28" i="54"/>
  <c r="FI28" i="54" s="1"/>
  <c r="FD29" i="54" s="1"/>
  <c r="FH29" i="54"/>
  <c r="FQ28" i="54"/>
  <c r="FT28" i="54"/>
  <c r="FS28" i="54"/>
  <c r="CV83" i="54"/>
  <c r="CT83" i="54"/>
  <c r="CU84" i="54" s="1"/>
  <c r="FC29" i="54" l="1"/>
  <c r="FF29" i="54"/>
  <c r="FE29" i="54"/>
  <c r="FU28" i="54"/>
  <c r="FW28" i="54" s="1"/>
  <c r="FR29" i="54" s="1"/>
  <c r="FV29" i="54"/>
  <c r="FX29" i="54"/>
  <c r="FZ29" i="54"/>
  <c r="GA29" i="54"/>
  <c r="FN28" i="54"/>
  <c r="FP28" i="54" s="1"/>
  <c r="FK29" i="54" s="1"/>
  <c r="FO29" i="54"/>
  <c r="CV84" i="54"/>
  <c r="CT84" i="54"/>
  <c r="CU85" i="54" s="1"/>
  <c r="FS29" i="54" l="1"/>
  <c r="FQ29" i="54"/>
  <c r="FT29" i="54"/>
  <c r="FH30" i="54"/>
  <c r="FG29" i="54"/>
  <c r="FI29" i="54" s="1"/>
  <c r="FD30" i="54" s="1"/>
  <c r="FM29" i="54"/>
  <c r="FL29" i="54"/>
  <c r="FJ29" i="54"/>
  <c r="GC30" i="54"/>
  <c r="GB29" i="54"/>
  <c r="GD29" i="54" s="1"/>
  <c r="FY30" i="54" s="1"/>
  <c r="CV85" i="54"/>
  <c r="CT85" i="54"/>
  <c r="CU86" i="54" s="1"/>
  <c r="FC30" i="54" l="1"/>
  <c r="FE30" i="54"/>
  <c r="FF30" i="54"/>
  <c r="FZ30" i="54"/>
  <c r="GA30" i="54"/>
  <c r="FX30" i="54"/>
  <c r="FO30" i="54"/>
  <c r="FN29" i="54"/>
  <c r="FP29" i="54" s="1"/>
  <c r="FK30" i="54" s="1"/>
  <c r="FU29" i="54"/>
  <c r="FW29" i="54" s="1"/>
  <c r="FR30" i="54" s="1"/>
  <c r="FV30" i="54"/>
  <c r="CV86" i="54"/>
  <c r="CT86" i="54"/>
  <c r="CU87" i="54" s="1"/>
  <c r="GC31" i="54" l="1"/>
  <c r="GB30" i="54"/>
  <c r="GD30" i="54" s="1"/>
  <c r="FY31" i="54" s="1"/>
  <c r="FQ30" i="54"/>
  <c r="FS30" i="54"/>
  <c r="FT30" i="54"/>
  <c r="FM30" i="54"/>
  <c r="FL30" i="54"/>
  <c r="FJ30" i="54"/>
  <c r="FH31" i="54"/>
  <c r="FG30" i="54"/>
  <c r="FI30" i="54" s="1"/>
  <c r="FD31" i="54" s="1"/>
  <c r="CV87" i="54"/>
  <c r="CT87" i="54"/>
  <c r="CU88" i="54" s="1"/>
  <c r="FX31" i="54" l="1"/>
  <c r="FZ31" i="54"/>
  <c r="GA31" i="54"/>
  <c r="FV31" i="54"/>
  <c r="FU30" i="54"/>
  <c r="FW30" i="54" s="1"/>
  <c r="FR31" i="54" s="1"/>
  <c r="FE31" i="54"/>
  <c r="FC31" i="54"/>
  <c r="FF31" i="54"/>
  <c r="FO31" i="54"/>
  <c r="FN30" i="54"/>
  <c r="FP30" i="54" s="1"/>
  <c r="FK31" i="54" s="1"/>
  <c r="CV88" i="54"/>
  <c r="CT88" i="54"/>
  <c r="CU89" i="54" s="1"/>
  <c r="FH32" i="54" l="1"/>
  <c r="FG31" i="54"/>
  <c r="FI31" i="54" s="1"/>
  <c r="FD32" i="54" s="1"/>
  <c r="FQ31" i="54"/>
  <c r="FS31" i="54"/>
  <c r="FT31" i="54"/>
  <c r="FJ31" i="54"/>
  <c r="FL31" i="54"/>
  <c r="FM31" i="54"/>
  <c r="GC32" i="54"/>
  <c r="GB31" i="54"/>
  <c r="GD31" i="54" s="1"/>
  <c r="FY32" i="54" s="1"/>
  <c r="CV89" i="54"/>
  <c r="CT89" i="54"/>
  <c r="CU90" i="54" s="1"/>
  <c r="FF32" i="54" l="1"/>
  <c r="FC32" i="54"/>
  <c r="FE32" i="54"/>
  <c r="FV32" i="54"/>
  <c r="FU31" i="54"/>
  <c r="FW31" i="54" s="1"/>
  <c r="FR32" i="54" s="1"/>
  <c r="FX32" i="54"/>
  <c r="FZ32" i="54"/>
  <c r="GA32" i="54"/>
  <c r="FN31" i="54"/>
  <c r="FP31" i="54" s="1"/>
  <c r="FK32" i="54" s="1"/>
  <c r="FO32" i="54"/>
  <c r="CV90" i="54"/>
  <c r="CT90" i="54"/>
  <c r="CU91" i="54" s="1"/>
  <c r="FQ32" i="54" l="1"/>
  <c r="FS32" i="54"/>
  <c r="FT32" i="54"/>
  <c r="FH33" i="54"/>
  <c r="FG32" i="54"/>
  <c r="FI32" i="54" s="1"/>
  <c r="FD33" i="54" s="1"/>
  <c r="FL32" i="54"/>
  <c r="FM32" i="54"/>
  <c r="FJ32" i="54"/>
  <c r="GB32" i="54"/>
  <c r="GD32" i="54" s="1"/>
  <c r="FY33" i="54" s="1"/>
  <c r="GC33" i="54"/>
  <c r="CV91" i="54"/>
  <c r="CT91" i="54"/>
  <c r="CU92" i="54" s="1"/>
  <c r="FN32" i="54" l="1"/>
  <c r="FP32" i="54" s="1"/>
  <c r="FK33" i="54" s="1"/>
  <c r="FO33" i="54"/>
  <c r="FF33" i="54"/>
  <c r="FE33" i="54"/>
  <c r="FC33" i="54"/>
  <c r="FZ33" i="54"/>
  <c r="FX33" i="54"/>
  <c r="GA33" i="54"/>
  <c r="FV33" i="54"/>
  <c r="FU32" i="54"/>
  <c r="FW32" i="54" s="1"/>
  <c r="FR33" i="54" s="1"/>
  <c r="CV92" i="54"/>
  <c r="CT92" i="54"/>
  <c r="CU93" i="54" s="1"/>
  <c r="GC34" i="54" l="1"/>
  <c r="GB33" i="54"/>
  <c r="GD33" i="54" s="1"/>
  <c r="FY34" i="54" s="1"/>
  <c r="FH34" i="54"/>
  <c r="FG33" i="54"/>
  <c r="FI33" i="54" s="1"/>
  <c r="FD34" i="54" s="1"/>
  <c r="FQ33" i="54"/>
  <c r="FS33" i="54"/>
  <c r="FT33" i="54"/>
  <c r="FL33" i="54"/>
  <c r="FJ33" i="54"/>
  <c r="FM33" i="54"/>
  <c r="CV93" i="54"/>
  <c r="CT93" i="54"/>
  <c r="CU94" i="54" s="1"/>
  <c r="FE34" i="54" l="1"/>
  <c r="FF34" i="54"/>
  <c r="FC34" i="54"/>
  <c r="FZ34" i="54"/>
  <c r="GA34" i="54"/>
  <c r="FX34" i="54"/>
  <c r="FO34" i="54"/>
  <c r="FN33" i="54"/>
  <c r="FP33" i="54" s="1"/>
  <c r="FK34" i="54" s="1"/>
  <c r="FV34" i="54"/>
  <c r="FU33" i="54"/>
  <c r="FW33" i="54" s="1"/>
  <c r="FR34" i="54" s="1"/>
  <c r="CV94" i="54"/>
  <c r="CT94" i="54"/>
  <c r="CU95" i="54" s="1"/>
  <c r="FT34" i="54" l="1"/>
  <c r="FQ34" i="54"/>
  <c r="FS34" i="54"/>
  <c r="GB34" i="54"/>
  <c r="GD34" i="54" s="1"/>
  <c r="FY35" i="54" s="1"/>
  <c r="GC35" i="54"/>
  <c r="FM34" i="54"/>
  <c r="FL34" i="54"/>
  <c r="FJ34" i="54"/>
  <c r="FH35" i="54"/>
  <c r="FG34" i="54"/>
  <c r="FI34" i="54" s="1"/>
  <c r="FD35" i="54" s="1"/>
  <c r="CV95" i="54"/>
  <c r="CT95" i="54"/>
  <c r="CU96" i="54" s="1"/>
  <c r="FE35" i="54" l="1"/>
  <c r="FC35" i="54"/>
  <c r="FF35" i="54"/>
  <c r="FX35" i="54"/>
  <c r="GA35" i="54"/>
  <c r="FZ35" i="54"/>
  <c r="FV35" i="54"/>
  <c r="FU34" i="54"/>
  <c r="FW34" i="54" s="1"/>
  <c r="FR35" i="54" s="1"/>
  <c r="FO35" i="54"/>
  <c r="FN34" i="54"/>
  <c r="FP34" i="54" s="1"/>
  <c r="FK35" i="54" s="1"/>
  <c r="CV96" i="54"/>
  <c r="CT96" i="54"/>
  <c r="CU97" i="54" s="1"/>
  <c r="GC36" i="54" l="1"/>
  <c r="GB35" i="54"/>
  <c r="GD35" i="54" s="1"/>
  <c r="FY36" i="54" s="1"/>
  <c r="FJ35" i="54"/>
  <c r="FM35" i="54"/>
  <c r="FL35" i="54"/>
  <c r="FT35" i="54"/>
  <c r="FS35" i="54"/>
  <c r="FQ35" i="54"/>
  <c r="FH36" i="54"/>
  <c r="FG35" i="54"/>
  <c r="FI35" i="54" s="1"/>
  <c r="FD36" i="54" s="1"/>
  <c r="CV97" i="54"/>
  <c r="CT97" i="54"/>
  <c r="CU98" i="54" s="1"/>
  <c r="FC36" i="54" l="1"/>
  <c r="FF36" i="54"/>
  <c r="FE36" i="54"/>
  <c r="FO36" i="54"/>
  <c r="FN35" i="54"/>
  <c r="FP35" i="54" s="1"/>
  <c r="FK36" i="54" s="1"/>
  <c r="GA36" i="54"/>
  <c r="FX36" i="54"/>
  <c r="FZ36" i="54"/>
  <c r="FV36" i="54"/>
  <c r="FU35" i="54"/>
  <c r="FW35" i="54" s="1"/>
  <c r="FR36" i="54" s="1"/>
  <c r="CV98" i="54"/>
  <c r="CT98" i="54"/>
  <c r="CU99" i="54" s="1"/>
  <c r="FT36" i="54" l="1"/>
  <c r="FQ36" i="54"/>
  <c r="FS36" i="54"/>
  <c r="FJ36" i="54"/>
  <c r="FL36" i="54"/>
  <c r="FM36" i="54"/>
  <c r="FG36" i="54"/>
  <c r="FI36" i="54" s="1"/>
  <c r="FD37" i="54" s="1"/>
  <c r="FH37" i="54"/>
  <c r="GB36" i="54"/>
  <c r="GD36" i="54" s="1"/>
  <c r="FY37" i="54" s="1"/>
  <c r="GC37" i="54"/>
  <c r="CV99" i="54"/>
  <c r="CT99" i="54"/>
  <c r="CU100" i="54" s="1"/>
  <c r="FO37" i="54" l="1"/>
  <c r="FN36" i="54"/>
  <c r="FP36" i="54" s="1"/>
  <c r="FK37" i="54" s="1"/>
  <c r="FV37" i="54"/>
  <c r="FU36" i="54"/>
  <c r="FW36" i="54" s="1"/>
  <c r="FR37" i="54" s="1"/>
  <c r="FX37" i="54"/>
  <c r="FZ37" i="54"/>
  <c r="GA37" i="54"/>
  <c r="FF37" i="54"/>
  <c r="FE37" i="54"/>
  <c r="FC37" i="54"/>
  <c r="CV100" i="54"/>
  <c r="CT100" i="54"/>
  <c r="CU101" i="54" s="1"/>
  <c r="GB37" i="54" l="1"/>
  <c r="GD37" i="54" s="1"/>
  <c r="FY38" i="54" s="1"/>
  <c r="GC38" i="54"/>
  <c r="FT37" i="54"/>
  <c r="FQ37" i="54"/>
  <c r="FS37" i="54"/>
  <c r="FG37" i="54"/>
  <c r="FI37" i="54" s="1"/>
  <c r="FD38" i="54" s="1"/>
  <c r="FH38" i="54"/>
  <c r="FL37" i="54"/>
  <c r="FJ37" i="54"/>
  <c r="FM37" i="54"/>
  <c r="CV101" i="54"/>
  <c r="CT101" i="54"/>
  <c r="CU102" i="54" s="1"/>
  <c r="FE38" i="54" l="1"/>
  <c r="FF38" i="54"/>
  <c r="FC38" i="54"/>
  <c r="FU37" i="54"/>
  <c r="FW37" i="54" s="1"/>
  <c r="FR38" i="54" s="1"/>
  <c r="FV38" i="54"/>
  <c r="FO38" i="54"/>
  <c r="FN37" i="54"/>
  <c r="FP37" i="54" s="1"/>
  <c r="FK38" i="54" s="1"/>
  <c r="FZ38" i="54"/>
  <c r="GA38" i="54"/>
  <c r="FX38" i="54"/>
  <c r="CV102" i="54"/>
  <c r="CT102" i="54"/>
  <c r="CU103" i="54" s="1"/>
  <c r="FQ38" i="54" l="1"/>
  <c r="FS38" i="54"/>
  <c r="FT38" i="54"/>
  <c r="GB38" i="54"/>
  <c r="GD38" i="54" s="1"/>
  <c r="FY39" i="54" s="1"/>
  <c r="GC39" i="54"/>
  <c r="FJ38" i="54"/>
  <c r="FL38" i="54"/>
  <c r="FM38" i="54"/>
  <c r="FG38" i="54"/>
  <c r="FI38" i="54" s="1"/>
  <c r="FD39" i="54" s="1"/>
  <c r="FH39" i="54"/>
  <c r="CV103" i="54"/>
  <c r="CT103" i="54"/>
  <c r="CU104" i="54" s="1"/>
  <c r="FC39" i="54" l="1"/>
  <c r="FE39" i="54"/>
  <c r="FF39" i="54"/>
  <c r="FN38" i="54"/>
  <c r="FP38" i="54" s="1"/>
  <c r="FK39" i="54" s="1"/>
  <c r="FO39" i="54"/>
  <c r="GA39" i="54"/>
  <c r="FZ39" i="54"/>
  <c r="FX39" i="54"/>
  <c r="FU38" i="54"/>
  <c r="FW38" i="54" s="1"/>
  <c r="FR39" i="54" s="1"/>
  <c r="FV39" i="54"/>
  <c r="CV104" i="54"/>
  <c r="CT104" i="54"/>
  <c r="CU105" i="54" s="1"/>
  <c r="FM39" i="54" l="1"/>
  <c r="FJ39" i="54"/>
  <c r="FL39" i="54"/>
  <c r="FS39" i="54"/>
  <c r="FT39" i="54"/>
  <c r="FQ39" i="54"/>
  <c r="FH40" i="54"/>
  <c r="FG39" i="54"/>
  <c r="FI39" i="54" s="1"/>
  <c r="FD40" i="54" s="1"/>
  <c r="GC40" i="54"/>
  <c r="GB39" i="54"/>
  <c r="GD39" i="54" s="1"/>
  <c r="FY40" i="54" s="1"/>
  <c r="CV105" i="54"/>
  <c r="CT105" i="54"/>
  <c r="CU106" i="54" s="1"/>
  <c r="FZ40" i="54" l="1"/>
  <c r="FX40" i="54"/>
  <c r="GA40" i="54"/>
  <c r="FV40" i="54"/>
  <c r="FU39" i="54"/>
  <c r="FW39" i="54" s="1"/>
  <c r="FR40" i="54" s="1"/>
  <c r="FN39" i="54"/>
  <c r="FP39" i="54" s="1"/>
  <c r="FK40" i="54" s="1"/>
  <c r="FO40" i="54"/>
  <c r="FF40" i="54"/>
  <c r="FE40" i="54"/>
  <c r="FC40" i="54"/>
  <c r="CV106" i="54"/>
  <c r="CT106" i="54"/>
  <c r="CU107" i="54" s="1"/>
  <c r="FM40" i="54" l="1"/>
  <c r="FJ40" i="54"/>
  <c r="FL40" i="54"/>
  <c r="FS40" i="54"/>
  <c r="FQ40" i="54"/>
  <c r="FT40" i="54"/>
  <c r="FH41" i="54"/>
  <c r="FG40" i="54"/>
  <c r="FI40" i="54" s="1"/>
  <c r="FD41" i="54" s="1"/>
  <c r="GC41" i="54"/>
  <c r="GB40" i="54"/>
  <c r="GD40" i="54" s="1"/>
  <c r="FY41" i="54" s="1"/>
  <c r="CV107" i="54"/>
  <c r="CT107" i="54"/>
  <c r="CU108" i="54" s="1"/>
  <c r="FZ41" i="54" l="1"/>
  <c r="GA41" i="54"/>
  <c r="FX41" i="54"/>
  <c r="FV41" i="54"/>
  <c r="FU40" i="54"/>
  <c r="FW40" i="54" s="1"/>
  <c r="FR41" i="54" s="1"/>
  <c r="FO41" i="54"/>
  <c r="FN40" i="54"/>
  <c r="FP40" i="54" s="1"/>
  <c r="FK41" i="54" s="1"/>
  <c r="FE41" i="54"/>
  <c r="FC41" i="54"/>
  <c r="FF41" i="54"/>
  <c r="CV108" i="54"/>
  <c r="CT108" i="54"/>
  <c r="CU109" i="54" s="1"/>
  <c r="FS41" i="54" l="1"/>
  <c r="FQ41" i="54"/>
  <c r="FT41" i="54"/>
  <c r="FH42" i="54"/>
  <c r="FG41" i="54"/>
  <c r="FI41" i="54" s="1"/>
  <c r="FD42" i="54" s="1"/>
  <c r="FM41" i="54"/>
  <c r="FJ41" i="54"/>
  <c r="FL41" i="54"/>
  <c r="GB41" i="54"/>
  <c r="GD41" i="54" s="1"/>
  <c r="FY42" i="54" s="1"/>
  <c r="GC42" i="54"/>
  <c r="CV109" i="54"/>
  <c r="CT109" i="54"/>
  <c r="CU110" i="54" s="1"/>
  <c r="FX42" i="54" l="1"/>
  <c r="GA42" i="54"/>
  <c r="FZ42" i="54"/>
  <c r="FE42" i="54"/>
  <c r="FC42" i="54"/>
  <c r="FF42" i="54"/>
  <c r="FO42" i="54"/>
  <c r="FN41" i="54"/>
  <c r="FP41" i="54" s="1"/>
  <c r="FK42" i="54" s="1"/>
  <c r="FV42" i="54"/>
  <c r="FU41" i="54"/>
  <c r="FW41" i="54" s="1"/>
  <c r="FR42" i="54" s="1"/>
  <c r="CV110" i="54"/>
  <c r="CT110" i="54"/>
  <c r="CU111" i="54" s="1"/>
  <c r="FQ42" i="54" l="1"/>
  <c r="FS42" i="54"/>
  <c r="FT42" i="54"/>
  <c r="FM42" i="54"/>
  <c r="FL42" i="54"/>
  <c r="FJ42" i="54"/>
  <c r="FG42" i="54"/>
  <c r="FI42" i="54" s="1"/>
  <c r="FD43" i="54" s="1"/>
  <c r="FH43" i="54"/>
  <c r="GC43" i="54"/>
  <c r="GB42" i="54"/>
  <c r="GD42" i="54" s="1"/>
  <c r="FY43" i="54" s="1"/>
  <c r="CV111" i="54"/>
  <c r="CT111" i="54"/>
  <c r="CU112" i="54" s="1"/>
  <c r="FC43" i="54" l="1"/>
  <c r="FE43" i="54"/>
  <c r="FF43" i="54"/>
  <c r="FN42" i="54"/>
  <c r="FP42" i="54" s="1"/>
  <c r="FK43" i="54" s="1"/>
  <c r="FO43" i="54"/>
  <c r="FX43" i="54"/>
  <c r="FZ43" i="54"/>
  <c r="GA43" i="54"/>
  <c r="FV43" i="54"/>
  <c r="FU42" i="54"/>
  <c r="FW42" i="54" s="1"/>
  <c r="FR43" i="54" s="1"/>
  <c r="CV112" i="54"/>
  <c r="CT112" i="54"/>
  <c r="CU113" i="54" s="1"/>
  <c r="FT43" i="54" l="1"/>
  <c r="FQ43" i="54"/>
  <c r="FS43" i="54"/>
  <c r="FL43" i="54"/>
  <c r="FM43" i="54"/>
  <c r="FJ43" i="54"/>
  <c r="FH44" i="54"/>
  <c r="FG43" i="54"/>
  <c r="FI43" i="54" s="1"/>
  <c r="FD44" i="54" s="1"/>
  <c r="GC44" i="54"/>
  <c r="GB43" i="54"/>
  <c r="GD43" i="54" s="1"/>
  <c r="FY44" i="54" s="1"/>
  <c r="CV113" i="54"/>
  <c r="CT113" i="54"/>
  <c r="CU114" i="54" s="1"/>
  <c r="FO44" i="54" l="1"/>
  <c r="FN43" i="54"/>
  <c r="FP43" i="54" s="1"/>
  <c r="FK44" i="54" s="1"/>
  <c r="FV44" i="54"/>
  <c r="FU43" i="54"/>
  <c r="FW43" i="54" s="1"/>
  <c r="FR44" i="54" s="1"/>
  <c r="FX44" i="54"/>
  <c r="FZ44" i="54"/>
  <c r="GA44" i="54"/>
  <c r="FE44" i="54"/>
  <c r="FF44" i="54"/>
  <c r="FC44" i="54"/>
  <c r="CV114" i="54"/>
  <c r="CT114" i="54"/>
  <c r="CU115" i="54" s="1"/>
  <c r="GC45" i="54" l="1"/>
  <c r="GB44" i="54"/>
  <c r="FG44" i="54"/>
  <c r="FI44" i="54" s="1"/>
  <c r="FD45" i="54" s="1"/>
  <c r="FH45" i="54"/>
  <c r="GD44" i="54"/>
  <c r="FY45" i="54" s="1"/>
  <c r="FS44" i="54"/>
  <c r="FT44" i="54"/>
  <c r="FQ44" i="54"/>
  <c r="FM44" i="54"/>
  <c r="FJ44" i="54"/>
  <c r="FL44" i="54"/>
  <c r="CV115" i="54"/>
  <c r="CT115" i="54"/>
  <c r="CU116" i="54" s="1"/>
  <c r="FU44" i="54" l="1"/>
  <c r="FW44" i="54" s="1"/>
  <c r="FR45" i="54" s="1"/>
  <c r="FV45" i="54"/>
  <c r="GA45" i="54"/>
  <c r="FX45" i="54"/>
  <c r="FZ45" i="54"/>
  <c r="FN44" i="54"/>
  <c r="FP44" i="54" s="1"/>
  <c r="FK45" i="54" s="1"/>
  <c r="FO45" i="54"/>
  <c r="FE45" i="54"/>
  <c r="FC45" i="54"/>
  <c r="FF45" i="54"/>
  <c r="CV116" i="54"/>
  <c r="CT116" i="54"/>
  <c r="CU117" i="54" s="1"/>
  <c r="FJ45" i="54" l="1"/>
  <c r="FM45" i="54"/>
  <c r="FL45" i="54"/>
  <c r="GC46" i="54"/>
  <c r="GB45" i="54"/>
  <c r="GD45" i="54" s="1"/>
  <c r="FY46" i="54" s="1"/>
  <c r="FH46" i="54"/>
  <c r="FG45" i="54"/>
  <c r="FI45" i="54" s="1"/>
  <c r="FD46" i="54" s="1"/>
  <c r="FQ45" i="54"/>
  <c r="FS45" i="54"/>
  <c r="FT45" i="54"/>
  <c r="CV117" i="54"/>
  <c r="CT117" i="54"/>
  <c r="CU118" i="54" s="1"/>
  <c r="GA46" i="54" l="1"/>
  <c r="FZ46" i="54"/>
  <c r="FX46" i="54"/>
  <c r="FE46" i="54"/>
  <c r="FC46" i="54"/>
  <c r="FF46" i="54"/>
  <c r="FV46" i="54"/>
  <c r="FU45" i="54"/>
  <c r="FW45" i="54" s="1"/>
  <c r="FR46" i="54" s="1"/>
  <c r="FN45" i="54"/>
  <c r="FP45" i="54" s="1"/>
  <c r="FK46" i="54" s="1"/>
  <c r="FO46" i="54"/>
  <c r="CV118" i="54"/>
  <c r="CT118" i="54"/>
  <c r="CU119" i="54" s="1"/>
  <c r="FH47" i="54" l="1"/>
  <c r="FG46" i="54"/>
  <c r="FI46" i="54" s="1"/>
  <c r="FD47" i="54" s="1"/>
  <c r="FM46" i="54"/>
  <c r="FJ46" i="54"/>
  <c r="FL46" i="54"/>
  <c r="GC47" i="54"/>
  <c r="GB46" i="54"/>
  <c r="GD46" i="54" s="1"/>
  <c r="FY47" i="54" s="1"/>
  <c r="FQ46" i="54"/>
  <c r="FT46" i="54"/>
  <c r="FS46" i="54"/>
  <c r="CV119" i="54"/>
  <c r="CT119" i="54"/>
  <c r="CU120" i="54" s="1"/>
  <c r="FF47" i="54" l="1"/>
  <c r="FE47" i="54"/>
  <c r="FC47" i="54"/>
  <c r="FO47" i="54"/>
  <c r="FN46" i="54"/>
  <c r="FP46" i="54" s="1"/>
  <c r="FK47" i="54" s="1"/>
  <c r="FV47" i="54"/>
  <c r="FU46" i="54"/>
  <c r="FW46" i="54" s="1"/>
  <c r="FR47" i="54" s="1"/>
  <c r="FX47" i="54"/>
  <c r="FZ47" i="54"/>
  <c r="GA47" i="54"/>
  <c r="CV120" i="54"/>
  <c r="CT120" i="54"/>
  <c r="CU121" i="54" s="1"/>
  <c r="FJ47" i="54" l="1"/>
  <c r="FM47" i="54"/>
  <c r="FL47" i="54"/>
  <c r="GC48" i="54"/>
  <c r="GB47" i="54"/>
  <c r="GD47" i="54" s="1"/>
  <c r="FY48" i="54" s="1"/>
  <c r="FH48" i="54"/>
  <c r="FG47" i="54"/>
  <c r="FI47" i="54" s="1"/>
  <c r="FD48" i="54" s="1"/>
  <c r="FQ47" i="54"/>
  <c r="FT47" i="54"/>
  <c r="FS47" i="54"/>
  <c r="CV121" i="54"/>
  <c r="CT121" i="54"/>
  <c r="CU122" i="54" s="1"/>
  <c r="FF48" i="54" l="1"/>
  <c r="FE48" i="54"/>
  <c r="FC48" i="54"/>
  <c r="FX48" i="54"/>
  <c r="FZ48" i="54"/>
  <c r="GA48" i="54"/>
  <c r="FV48" i="54"/>
  <c r="FU47" i="54"/>
  <c r="FW47" i="54" s="1"/>
  <c r="FR48" i="54" s="1"/>
  <c r="FN47" i="54"/>
  <c r="FP47" i="54" s="1"/>
  <c r="FK48" i="54" s="1"/>
  <c r="FO48" i="54"/>
  <c r="CV122" i="54"/>
  <c r="CT122" i="54"/>
  <c r="CU123" i="54" s="1"/>
  <c r="GC49" i="54" l="1"/>
  <c r="GB48" i="54"/>
  <c r="GD48" i="54" s="1"/>
  <c r="FY49" i="54" s="1"/>
  <c r="FS48" i="54"/>
  <c r="FQ48" i="54"/>
  <c r="FT48" i="54"/>
  <c r="FG48" i="54"/>
  <c r="FI48" i="54" s="1"/>
  <c r="FD49" i="54" s="1"/>
  <c r="FH49" i="54"/>
  <c r="FL48" i="54"/>
  <c r="FM48" i="54"/>
  <c r="FJ48" i="54"/>
  <c r="CV123" i="54"/>
  <c r="CT123" i="54"/>
  <c r="CU124" i="54" s="1"/>
  <c r="FE49" i="54" l="1"/>
  <c r="FF49" i="54"/>
  <c r="FC49" i="54"/>
  <c r="FV49" i="54"/>
  <c r="FU48" i="54"/>
  <c r="FW48" i="54" s="1"/>
  <c r="FR49" i="54" s="1"/>
  <c r="FN48" i="54"/>
  <c r="FP48" i="54" s="1"/>
  <c r="FK49" i="54" s="1"/>
  <c r="FO49" i="54"/>
  <c r="GA49" i="54"/>
  <c r="FZ49" i="54"/>
  <c r="FX49" i="54"/>
  <c r="CV124" i="54"/>
  <c r="CT124" i="54"/>
  <c r="CU125" i="54" s="1"/>
  <c r="FL49" i="54" l="1"/>
  <c r="FM49" i="54"/>
  <c r="FJ49" i="54"/>
  <c r="FQ49" i="54"/>
  <c r="FS49" i="54"/>
  <c r="FT49" i="54"/>
  <c r="GC50" i="54"/>
  <c r="GB49" i="54"/>
  <c r="GD49" i="54" s="1"/>
  <c r="FY50" i="54" s="1"/>
  <c r="FH50" i="54"/>
  <c r="FG49" i="54"/>
  <c r="FI49" i="54" s="1"/>
  <c r="FD50" i="54" s="1"/>
  <c r="CV125" i="54"/>
  <c r="CT125" i="54"/>
  <c r="CU126" i="54" s="1"/>
  <c r="FV50" i="54" l="1"/>
  <c r="FU49" i="54"/>
  <c r="FW49" i="54" s="1"/>
  <c r="FR50" i="54" s="1"/>
  <c r="FZ50" i="54"/>
  <c r="GA50" i="54"/>
  <c r="FX50" i="54"/>
  <c r="FF50" i="54"/>
  <c r="FC50" i="54"/>
  <c r="FE50" i="54"/>
  <c r="FO50" i="54"/>
  <c r="FN49" i="54"/>
  <c r="FP49" i="54" s="1"/>
  <c r="FK50" i="54" s="1"/>
  <c r="CV126" i="54"/>
  <c r="CT126" i="54"/>
  <c r="CU127" i="54" s="1"/>
  <c r="FS50" i="54" l="1"/>
  <c r="FT50" i="54"/>
  <c r="FQ50" i="54"/>
  <c r="FL50" i="54"/>
  <c r="FM50" i="54"/>
  <c r="FJ50" i="54"/>
  <c r="GD50" i="54"/>
  <c r="FY51" i="54" s="1"/>
  <c r="GC51" i="54"/>
  <c r="GB50" i="54"/>
  <c r="FG50" i="54"/>
  <c r="FI50" i="54" s="1"/>
  <c r="FD51" i="54" s="1"/>
  <c r="FH51" i="54"/>
  <c r="CV127" i="54"/>
  <c r="CT127" i="54"/>
  <c r="CU128" i="54" s="1"/>
  <c r="FN50" i="54" l="1"/>
  <c r="FP50" i="54" s="1"/>
  <c r="FK51" i="54" s="1"/>
  <c r="FO51" i="54"/>
  <c r="FE51" i="54"/>
  <c r="FC51" i="54"/>
  <c r="FF51" i="54"/>
  <c r="FX51" i="54"/>
  <c r="GA51" i="54"/>
  <c r="FZ51" i="54"/>
  <c r="FU50" i="54"/>
  <c r="FW50" i="54" s="1"/>
  <c r="FR51" i="54" s="1"/>
  <c r="FV51" i="54"/>
  <c r="CV128" i="54"/>
  <c r="CT128" i="54"/>
  <c r="CU129" i="54" s="1"/>
  <c r="GC52" i="54" l="1"/>
  <c r="GB51" i="54"/>
  <c r="GD51" i="54" s="1"/>
  <c r="FY52" i="54" s="1"/>
  <c r="FT51" i="54"/>
  <c r="FQ51" i="54"/>
  <c r="FS51" i="54"/>
  <c r="FH52" i="54"/>
  <c r="FG51" i="54"/>
  <c r="FI51" i="54" s="1"/>
  <c r="FD52" i="54" s="1"/>
  <c r="FL51" i="54"/>
  <c r="FJ51" i="54"/>
  <c r="FM51" i="54"/>
  <c r="CV129" i="54"/>
  <c r="CT129" i="54"/>
  <c r="CU130" i="54" s="1"/>
  <c r="FU51" i="54" l="1"/>
  <c r="FW51" i="54" s="1"/>
  <c r="FR52" i="54" s="1"/>
  <c r="FV52" i="54"/>
  <c r="FO52" i="54"/>
  <c r="FN51" i="54"/>
  <c r="FP51" i="54" s="1"/>
  <c r="FK52" i="54" s="1"/>
  <c r="FZ52" i="54"/>
  <c r="FX52" i="54"/>
  <c r="GA52" i="54"/>
  <c r="FC52" i="54"/>
  <c r="FF52" i="54"/>
  <c r="FE52" i="54"/>
  <c r="CV130" i="54"/>
  <c r="CT130" i="54"/>
  <c r="CU131" i="54" s="1"/>
  <c r="GC53" i="54" l="1"/>
  <c r="GB52" i="54"/>
  <c r="GD52" i="54" s="1"/>
  <c r="FY53" i="54" s="1"/>
  <c r="FL52" i="54"/>
  <c r="FJ52" i="54"/>
  <c r="FM52" i="54"/>
  <c r="FG52" i="54"/>
  <c r="FI52" i="54" s="1"/>
  <c r="FD53" i="54" s="1"/>
  <c r="FH53" i="54"/>
  <c r="FT52" i="54"/>
  <c r="FS52" i="54"/>
  <c r="FQ52" i="54"/>
  <c r="CV131" i="54"/>
  <c r="CT131" i="54"/>
  <c r="CU132" i="54" s="1"/>
  <c r="FE53" i="54" l="1"/>
  <c r="FC53" i="54"/>
  <c r="FF53" i="54"/>
  <c r="FO53" i="54"/>
  <c r="FN52" i="54"/>
  <c r="FP52" i="54" s="1"/>
  <c r="FK53" i="54" s="1"/>
  <c r="FV53" i="54"/>
  <c r="FU52" i="54"/>
  <c r="FW52" i="54" s="1"/>
  <c r="FR53" i="54" s="1"/>
  <c r="FX53" i="54"/>
  <c r="FZ53" i="54"/>
  <c r="GA53" i="54"/>
  <c r="CV132" i="54"/>
  <c r="CT132" i="54"/>
  <c r="CU133" i="54" s="1"/>
  <c r="FS53" i="54" l="1"/>
  <c r="FT53" i="54"/>
  <c r="FQ53" i="54"/>
  <c r="FL53" i="54"/>
  <c r="FM53" i="54"/>
  <c r="FJ53" i="54"/>
  <c r="GC54" i="54"/>
  <c r="GB53" i="54"/>
  <c r="GD53" i="54" s="1"/>
  <c r="FY54" i="54" s="1"/>
  <c r="FH54" i="54"/>
  <c r="FG53" i="54"/>
  <c r="FI53" i="54" s="1"/>
  <c r="FD54" i="54" s="1"/>
  <c r="CV133" i="54"/>
  <c r="CT133" i="54"/>
  <c r="CU134" i="54" s="1"/>
  <c r="FN53" i="54" l="1"/>
  <c r="FP53" i="54" s="1"/>
  <c r="FK54" i="54" s="1"/>
  <c r="FO54" i="54"/>
  <c r="FE54" i="54"/>
  <c r="FC54" i="54"/>
  <c r="FF54" i="54"/>
  <c r="FX54" i="54"/>
  <c r="FZ54" i="54"/>
  <c r="GA54" i="54"/>
  <c r="FV54" i="54"/>
  <c r="FU53" i="54"/>
  <c r="FW53" i="54" s="1"/>
  <c r="FR54" i="54" s="1"/>
  <c r="CV134" i="54"/>
  <c r="CT134" i="54"/>
  <c r="CU135" i="54" s="1"/>
  <c r="GC55" i="54" l="1"/>
  <c r="GB54" i="54"/>
  <c r="GD54" i="54" s="1"/>
  <c r="FY55" i="54" s="1"/>
  <c r="FQ54" i="54"/>
  <c r="FS54" i="54"/>
  <c r="FT54" i="54"/>
  <c r="FH55" i="54"/>
  <c r="FG54" i="54"/>
  <c r="FI54" i="54" s="1"/>
  <c r="FD55" i="54" s="1"/>
  <c r="FJ54" i="54"/>
  <c r="FL54" i="54"/>
  <c r="FM54" i="54"/>
  <c r="CV135" i="54"/>
  <c r="CT135" i="54"/>
  <c r="CU136" i="54" s="1"/>
  <c r="FX55" i="54" l="1"/>
  <c r="FZ55" i="54"/>
  <c r="GA55" i="54"/>
  <c r="FC55" i="54"/>
  <c r="FF55" i="54"/>
  <c r="FE55" i="54"/>
  <c r="FV55" i="54"/>
  <c r="FU54" i="54"/>
  <c r="FW54" i="54" s="1"/>
  <c r="FR55" i="54" s="1"/>
  <c r="FO55" i="54"/>
  <c r="FN54" i="54"/>
  <c r="FP54" i="54" s="1"/>
  <c r="FK55" i="54" s="1"/>
  <c r="CV136" i="54"/>
  <c r="CT136" i="54"/>
  <c r="CU137" i="54" s="1"/>
  <c r="FH56" i="54" l="1"/>
  <c r="FG55" i="54"/>
  <c r="FI55" i="54" s="1"/>
  <c r="FD56" i="54" s="1"/>
  <c r="FL55" i="54"/>
  <c r="FJ55" i="54"/>
  <c r="FM55" i="54"/>
  <c r="GC56" i="54"/>
  <c r="GB55" i="54"/>
  <c r="GD55" i="54" s="1"/>
  <c r="FY56" i="54" s="1"/>
  <c r="FS55" i="54"/>
  <c r="FT55" i="54"/>
  <c r="FQ55" i="54"/>
  <c r="CV137" i="54"/>
  <c r="CT137" i="54"/>
  <c r="CU138" i="54" s="1"/>
  <c r="GA56" i="54" l="1"/>
  <c r="FX56" i="54"/>
  <c r="FZ56" i="54"/>
  <c r="FO56" i="54"/>
  <c r="FN55" i="54"/>
  <c r="FP55" i="54" s="1"/>
  <c r="FK56" i="54" s="1"/>
  <c r="FV56" i="54"/>
  <c r="FU55" i="54"/>
  <c r="FW55" i="54" s="1"/>
  <c r="FR56" i="54" s="1"/>
  <c r="FF56" i="54"/>
  <c r="FC56" i="54"/>
  <c r="FE56" i="54"/>
  <c r="CV138" i="54"/>
  <c r="CT138" i="54"/>
  <c r="CU139" i="54" s="1"/>
  <c r="FJ56" i="54" l="1"/>
  <c r="FL56" i="54"/>
  <c r="FM56" i="54"/>
  <c r="GB56" i="54"/>
  <c r="GD56" i="54" s="1"/>
  <c r="FY57" i="54" s="1"/>
  <c r="GC57" i="54"/>
  <c r="FH57" i="54"/>
  <c r="FG56" i="54"/>
  <c r="FI56" i="54" s="1"/>
  <c r="FD57" i="54" s="1"/>
  <c r="FT56" i="54"/>
  <c r="FQ56" i="54"/>
  <c r="FS56" i="54"/>
  <c r="CV139" i="54"/>
  <c r="CT139" i="54"/>
  <c r="CU140" i="54" s="1"/>
  <c r="FE57" i="54" l="1"/>
  <c r="FC57" i="54"/>
  <c r="FF57" i="54"/>
  <c r="FV57" i="54"/>
  <c r="FU56" i="54"/>
  <c r="FW56" i="54" s="1"/>
  <c r="FR57" i="54" s="1"/>
  <c r="FZ57" i="54"/>
  <c r="FX57" i="54"/>
  <c r="GA57" i="54"/>
  <c r="FO57" i="54"/>
  <c r="FN56" i="54"/>
  <c r="FP56" i="54" s="1"/>
  <c r="FK57" i="54" s="1"/>
  <c r="CV140" i="54"/>
  <c r="CT140" i="54"/>
  <c r="CU141" i="54" s="1"/>
  <c r="GC58" i="54" l="1"/>
  <c r="GB57" i="54"/>
  <c r="GD57" i="54" s="1"/>
  <c r="FY58" i="54" s="1"/>
  <c r="FS57" i="54"/>
  <c r="FT57" i="54"/>
  <c r="FQ57" i="54"/>
  <c r="FL57" i="54"/>
  <c r="FJ57" i="54"/>
  <c r="FM57" i="54"/>
  <c r="FH58" i="54"/>
  <c r="FG57" i="54"/>
  <c r="FI57" i="54" s="1"/>
  <c r="FD58" i="54" s="1"/>
  <c r="CV141" i="54"/>
  <c r="CT141" i="54"/>
  <c r="CU142" i="54" s="1"/>
  <c r="FO58" i="54" l="1"/>
  <c r="FN57" i="54"/>
  <c r="FP57" i="54" s="1"/>
  <c r="FK58" i="54" s="1"/>
  <c r="FF58" i="54"/>
  <c r="FE58" i="54"/>
  <c r="FC58" i="54"/>
  <c r="FU57" i="54"/>
  <c r="FW57" i="54" s="1"/>
  <c r="FR58" i="54" s="1"/>
  <c r="FV58" i="54"/>
  <c r="FZ58" i="54"/>
  <c r="GA58" i="54"/>
  <c r="FX58" i="54"/>
  <c r="CV142" i="54"/>
  <c r="CT142" i="54"/>
  <c r="CU143" i="54" s="1"/>
  <c r="FQ58" i="54" l="1"/>
  <c r="FS58" i="54"/>
  <c r="FT58" i="54"/>
  <c r="FG58" i="54"/>
  <c r="FI58" i="54" s="1"/>
  <c r="FD59" i="54" s="1"/>
  <c r="FH59" i="54"/>
  <c r="GC59" i="54"/>
  <c r="GB58" i="54"/>
  <c r="GD58" i="54"/>
  <c r="FY59" i="54" s="1"/>
  <c r="FL58" i="54"/>
  <c r="FJ58" i="54"/>
  <c r="FM58" i="54"/>
  <c r="CV143" i="54"/>
  <c r="CT143" i="54"/>
  <c r="CU144" i="54" s="1"/>
  <c r="FE59" i="54" l="1"/>
  <c r="FC59" i="54"/>
  <c r="FF59" i="54"/>
  <c r="FO59" i="54"/>
  <c r="FN58" i="54"/>
  <c r="FP58" i="54" s="1"/>
  <c r="FK59" i="54" s="1"/>
  <c r="FV59" i="54"/>
  <c r="FU58" i="54"/>
  <c r="FW58" i="54" s="1"/>
  <c r="FR59" i="54" s="1"/>
  <c r="FX59" i="54"/>
  <c r="FZ59" i="54"/>
  <c r="GA59" i="54"/>
  <c r="CV144" i="54"/>
  <c r="CT144" i="54"/>
  <c r="CU145" i="54" s="1"/>
  <c r="FT59" i="54" l="1"/>
  <c r="FS59" i="54"/>
  <c r="FQ59" i="54"/>
  <c r="FJ59" i="54"/>
  <c r="FM59" i="54"/>
  <c r="FL59" i="54"/>
  <c r="GC60" i="54"/>
  <c r="GB59" i="54"/>
  <c r="GD59" i="54" s="1"/>
  <c r="FY60" i="54" s="1"/>
  <c r="FG59" i="54"/>
  <c r="FI59" i="54" s="1"/>
  <c r="FD60" i="54" s="1"/>
  <c r="FH60" i="54"/>
  <c r="CV145" i="54"/>
  <c r="CT145" i="54"/>
  <c r="CU146" i="54" s="1"/>
  <c r="FE60" i="54" l="1"/>
  <c r="FC60" i="54"/>
  <c r="FF60" i="54"/>
  <c r="FO60" i="54"/>
  <c r="FN59" i="54"/>
  <c r="FP59" i="54" s="1"/>
  <c r="FK60" i="54" s="1"/>
  <c r="GA60" i="54"/>
  <c r="FX60" i="54"/>
  <c r="FZ60" i="54"/>
  <c r="FV60" i="54"/>
  <c r="FU59" i="54"/>
  <c r="FW59" i="54" s="1"/>
  <c r="FR60" i="54" s="1"/>
  <c r="CV146" i="54"/>
  <c r="CT146" i="54"/>
  <c r="CU147" i="54" s="1"/>
  <c r="FJ60" i="54" l="1"/>
  <c r="FM60" i="54"/>
  <c r="FL60" i="54"/>
  <c r="FS60" i="54"/>
  <c r="FT60" i="54"/>
  <c r="FQ60" i="54"/>
  <c r="GB60" i="54"/>
  <c r="GD60" i="54" s="1"/>
  <c r="FY61" i="54" s="1"/>
  <c r="GC61" i="54"/>
  <c r="FH61" i="54"/>
  <c r="FG60" i="54"/>
  <c r="FI60" i="54" s="1"/>
  <c r="FD61" i="54" s="1"/>
  <c r="CV147" i="54"/>
  <c r="CT147" i="54"/>
  <c r="CU148" i="54" s="1"/>
  <c r="FF61" i="54" l="1"/>
  <c r="FE61" i="54"/>
  <c r="FC61" i="54"/>
  <c r="FV61" i="54"/>
  <c r="FU60" i="54"/>
  <c r="FW60" i="54" s="1"/>
  <c r="FR61" i="54" s="1"/>
  <c r="FO61" i="54"/>
  <c r="FN60" i="54"/>
  <c r="FP60" i="54" s="1"/>
  <c r="FK61" i="54" s="1"/>
  <c r="GA61" i="54"/>
  <c r="FX61" i="54"/>
  <c r="FZ61" i="54"/>
  <c r="CV148" i="54"/>
  <c r="CT148" i="54"/>
  <c r="CU149" i="54" s="1"/>
  <c r="FQ61" i="54" l="1"/>
  <c r="FT61" i="54"/>
  <c r="FS61" i="54"/>
  <c r="GB61" i="54"/>
  <c r="GD61" i="54" s="1"/>
  <c r="FY62" i="54" s="1"/>
  <c r="GC62" i="54"/>
  <c r="FL61" i="54"/>
  <c r="FM61" i="54"/>
  <c r="FJ61" i="54"/>
  <c r="FH62" i="54"/>
  <c r="FG61" i="54"/>
  <c r="FI61" i="54" s="1"/>
  <c r="FD62" i="54" s="1"/>
  <c r="CV149" i="54"/>
  <c r="CT149" i="54"/>
  <c r="CU150" i="54" s="1"/>
  <c r="FO62" i="54" l="1"/>
  <c r="FN61" i="54"/>
  <c r="FP61" i="54" s="1"/>
  <c r="FK62" i="54" s="1"/>
  <c r="FC62" i="54"/>
  <c r="FF62" i="54"/>
  <c r="FE62" i="54"/>
  <c r="FZ62" i="54"/>
  <c r="GA62" i="54"/>
  <c r="FX62" i="54"/>
  <c r="FV62" i="54"/>
  <c r="FU61" i="54"/>
  <c r="FW61" i="54" s="1"/>
  <c r="FR62" i="54" s="1"/>
  <c r="CV150" i="54"/>
  <c r="CT150" i="54"/>
  <c r="CU151" i="54" s="1"/>
  <c r="GB62" i="54" l="1"/>
  <c r="GD62" i="54" s="1"/>
  <c r="FY63" i="54" s="1"/>
  <c r="GC63" i="54"/>
  <c r="FH63" i="54"/>
  <c r="FG62" i="54"/>
  <c r="FI62" i="54" s="1"/>
  <c r="FD63" i="54" s="1"/>
  <c r="FS62" i="54"/>
  <c r="FT62" i="54"/>
  <c r="FQ62" i="54"/>
  <c r="FM62" i="54"/>
  <c r="FJ62" i="54"/>
  <c r="FL62" i="54"/>
  <c r="CV151" i="54"/>
  <c r="CT151" i="54"/>
  <c r="CU152" i="54" s="1"/>
  <c r="FV63" i="54" l="1"/>
  <c r="FU62" i="54"/>
  <c r="FW62" i="54" s="1"/>
  <c r="FR63" i="54" s="1"/>
  <c r="FN62" i="54"/>
  <c r="FP62" i="54" s="1"/>
  <c r="FK63" i="54" s="1"/>
  <c r="FO63" i="54"/>
  <c r="FF63" i="54"/>
  <c r="FE63" i="54"/>
  <c r="FC63" i="54"/>
  <c r="GA63" i="54"/>
  <c r="FZ63" i="54"/>
  <c r="FX63" i="54"/>
  <c r="CV152" i="54"/>
  <c r="CT152" i="54"/>
  <c r="CU153" i="54" s="1"/>
  <c r="FQ63" i="54" l="1"/>
  <c r="FS63" i="54"/>
  <c r="FT63" i="54"/>
  <c r="FM63" i="54"/>
  <c r="FL63" i="54"/>
  <c r="FJ63" i="54"/>
  <c r="GC64" i="54"/>
  <c r="GB63" i="54"/>
  <c r="GD63" i="54" s="1"/>
  <c r="FY64" i="54" s="1"/>
  <c r="FH64" i="54"/>
  <c r="FG63" i="54"/>
  <c r="FI63" i="54" s="1"/>
  <c r="FD64" i="54" s="1"/>
  <c r="CV153" i="54"/>
  <c r="CT153" i="54"/>
  <c r="CU154" i="54" s="1"/>
  <c r="FE64" i="54" l="1"/>
  <c r="FC64" i="54"/>
  <c r="FF64" i="54"/>
  <c r="FO64" i="54"/>
  <c r="FN63" i="54"/>
  <c r="FP63" i="54" s="1"/>
  <c r="FK64" i="54" s="1"/>
  <c r="FZ64" i="54"/>
  <c r="FX64" i="54"/>
  <c r="GA64" i="54"/>
  <c r="FU63" i="54"/>
  <c r="FW63" i="54" s="1"/>
  <c r="FR64" i="54" s="1"/>
  <c r="FV64" i="54"/>
  <c r="CV154" i="54"/>
  <c r="CT154" i="54"/>
  <c r="CU155" i="54" s="1"/>
  <c r="FQ64" i="54" l="1"/>
  <c r="FT64" i="54"/>
  <c r="FS64" i="54"/>
  <c r="GB64" i="54"/>
  <c r="GC65" i="54"/>
  <c r="FL64" i="54"/>
  <c r="FJ64" i="54"/>
  <c r="FM64" i="54"/>
  <c r="FI64" i="54"/>
  <c r="FD65" i="54" s="1"/>
  <c r="GD64" i="54"/>
  <c r="FY65" i="54" s="1"/>
  <c r="FG64" i="54"/>
  <c r="FH65" i="54"/>
  <c r="CV155" i="54"/>
  <c r="CT155" i="54"/>
  <c r="CU156" i="54" s="1"/>
  <c r="FO65" i="54" l="1"/>
  <c r="FN64" i="54"/>
  <c r="FP64" i="54" s="1"/>
  <c r="FK65" i="54" s="1"/>
  <c r="FE65" i="54"/>
  <c r="FC65" i="54"/>
  <c r="FF65" i="54"/>
  <c r="GA65" i="54"/>
  <c r="FX65" i="54"/>
  <c r="FZ65" i="54"/>
  <c r="FV65" i="54"/>
  <c r="FU64" i="54"/>
  <c r="FW64" i="54" s="1"/>
  <c r="FR65" i="54" s="1"/>
  <c r="CV156" i="54"/>
  <c r="CT156" i="54"/>
  <c r="CU157" i="54" s="1"/>
  <c r="GB65" i="54" l="1"/>
  <c r="GD65" i="54" s="1"/>
  <c r="FY66" i="54" s="1"/>
  <c r="GC66" i="54"/>
  <c r="FS65" i="54"/>
  <c r="FQ65" i="54"/>
  <c r="FT65" i="54"/>
  <c r="FG65" i="54"/>
  <c r="FI65" i="54" s="1"/>
  <c r="FD66" i="54" s="1"/>
  <c r="FH66" i="54"/>
  <c r="FL65" i="54"/>
  <c r="FJ65" i="54"/>
  <c r="FM65" i="54"/>
  <c r="CV157" i="54"/>
  <c r="CT157" i="54"/>
  <c r="CU158" i="54" s="1"/>
  <c r="FV66" i="54" l="1"/>
  <c r="FU65" i="54"/>
  <c r="FW65" i="54" s="1"/>
  <c r="FR66" i="54" s="1"/>
  <c r="FO66" i="54"/>
  <c r="FN65" i="54"/>
  <c r="FP65" i="54" s="1"/>
  <c r="FK66" i="54" s="1"/>
  <c r="FX66" i="54"/>
  <c r="GA66" i="54"/>
  <c r="FZ66" i="54"/>
  <c r="FE66" i="54"/>
  <c r="FC66" i="54"/>
  <c r="FF66" i="54"/>
  <c r="CV158" i="54"/>
  <c r="CT158" i="54"/>
  <c r="CU159" i="54" s="1"/>
  <c r="FT66" i="54" l="1"/>
  <c r="FS66" i="54"/>
  <c r="FQ66" i="54"/>
  <c r="FL66" i="54"/>
  <c r="FJ66" i="54"/>
  <c r="FM66" i="54"/>
  <c r="FG66" i="54"/>
  <c r="FI66" i="54" s="1"/>
  <c r="FD67" i="54" s="1"/>
  <c r="FH67" i="54"/>
  <c r="GC67" i="54"/>
  <c r="GB66" i="54"/>
  <c r="GD66" i="54" s="1"/>
  <c r="FY67" i="54" s="1"/>
  <c r="CV159" i="54"/>
  <c r="CT159" i="54"/>
  <c r="CU160" i="54" s="1"/>
  <c r="FO67" i="54" l="1"/>
  <c r="FN66" i="54"/>
  <c r="FP66" i="54" s="1"/>
  <c r="FK67" i="54" s="1"/>
  <c r="FX67" i="54"/>
  <c r="FZ67" i="54"/>
  <c r="GA67" i="54"/>
  <c r="FV67" i="54"/>
  <c r="FU66" i="54"/>
  <c r="FW66" i="54" s="1"/>
  <c r="FR67" i="54" s="1"/>
  <c r="FE67" i="54"/>
  <c r="FC67" i="54"/>
  <c r="FF67" i="54"/>
  <c r="CV160" i="54"/>
  <c r="CT160" i="54"/>
  <c r="CU161" i="54" s="1"/>
  <c r="FG67" i="54" l="1"/>
  <c r="FI67" i="54" s="1"/>
  <c r="FD68" i="54" s="1"/>
  <c r="FH68" i="54"/>
  <c r="GC68" i="54"/>
  <c r="GB67" i="54"/>
  <c r="GD67" i="54" s="1"/>
  <c r="FY68" i="54" s="1"/>
  <c r="FQ67" i="54"/>
  <c r="FS67" i="54"/>
  <c r="FT67" i="54"/>
  <c r="FM67" i="54"/>
  <c r="FJ67" i="54"/>
  <c r="FL67" i="54"/>
  <c r="CV161" i="54"/>
  <c r="CT161" i="54"/>
  <c r="CU162" i="54" s="1"/>
  <c r="FV68" i="54" l="1"/>
  <c r="FU67" i="54"/>
  <c r="FW67" i="54" s="1"/>
  <c r="FR68" i="54" s="1"/>
  <c r="FX68" i="54"/>
  <c r="FZ68" i="54"/>
  <c r="GA68" i="54"/>
  <c r="FO68" i="54"/>
  <c r="FN67" i="54"/>
  <c r="FP67" i="54" s="1"/>
  <c r="FK68" i="54" s="1"/>
  <c r="FC68" i="54"/>
  <c r="FE68" i="54"/>
  <c r="FF68" i="54"/>
  <c r="CV162" i="54"/>
  <c r="CT162" i="54"/>
  <c r="CU163" i="54" s="1"/>
  <c r="GB68" i="54" l="1"/>
  <c r="GD68" i="54" s="1"/>
  <c r="FY69" i="54" s="1"/>
  <c r="GC69" i="54"/>
  <c r="FH69" i="54"/>
  <c r="FG68" i="54"/>
  <c r="FI68" i="54" s="1"/>
  <c r="FD69" i="54" s="1"/>
  <c r="FQ68" i="54"/>
  <c r="FS68" i="54"/>
  <c r="FT68" i="54"/>
  <c r="FM68" i="54"/>
  <c r="FJ68" i="54"/>
  <c r="FL68" i="54"/>
  <c r="CV163" i="54"/>
  <c r="CT163" i="54"/>
  <c r="CU164" i="54" s="1"/>
  <c r="GA69" i="54" l="1"/>
  <c r="FZ69" i="54"/>
  <c r="FX69" i="54"/>
  <c r="FE69" i="54"/>
  <c r="FF69" i="54"/>
  <c r="FC69" i="54"/>
  <c r="FO69" i="54"/>
  <c r="FN68" i="54"/>
  <c r="FP68" i="54" s="1"/>
  <c r="FK69" i="54" s="1"/>
  <c r="FU68" i="54"/>
  <c r="FW68" i="54" s="1"/>
  <c r="FR69" i="54" s="1"/>
  <c r="FV69" i="54"/>
  <c r="CV164" i="54"/>
  <c r="CT164" i="54"/>
  <c r="CU165" i="54" s="1"/>
  <c r="FJ69" i="54" l="1"/>
  <c r="FM69" i="54"/>
  <c r="FL69" i="54"/>
  <c r="FG69" i="54"/>
  <c r="FI69" i="54" s="1"/>
  <c r="FD70" i="54" s="1"/>
  <c r="FH70" i="54"/>
  <c r="FT69" i="54"/>
  <c r="FQ69" i="54"/>
  <c r="FS69" i="54"/>
  <c r="GC70" i="54"/>
  <c r="GB69" i="54"/>
  <c r="GD69" i="54" s="1"/>
  <c r="FY70" i="54" s="1"/>
  <c r="CV165" i="54"/>
  <c r="CT165" i="54"/>
  <c r="CU166" i="54" s="1"/>
  <c r="FZ70" i="54" l="1"/>
  <c r="FX70" i="54"/>
  <c r="GA70" i="54"/>
  <c r="FV70" i="54"/>
  <c r="FU69" i="54"/>
  <c r="FW69" i="54" s="1"/>
  <c r="FR70" i="54" s="1"/>
  <c r="FC70" i="54"/>
  <c r="FF70" i="54"/>
  <c r="FE70" i="54"/>
  <c r="FO70" i="54"/>
  <c r="FN69" i="54"/>
  <c r="FP69" i="54" s="1"/>
  <c r="FK70" i="54" s="1"/>
  <c r="CV166" i="54"/>
  <c r="CT166" i="54"/>
  <c r="CU167" i="54" s="1"/>
  <c r="FT70" i="54" l="1"/>
  <c r="FS70" i="54"/>
  <c r="FQ70" i="54"/>
  <c r="FJ70" i="54"/>
  <c r="FM70" i="54"/>
  <c r="FL70" i="54"/>
  <c r="FH71" i="54"/>
  <c r="FG70" i="54"/>
  <c r="FI70" i="54" s="1"/>
  <c r="FD71" i="54" s="1"/>
  <c r="GB70" i="54"/>
  <c r="GD70" i="54" s="1"/>
  <c r="FY71" i="54" s="1"/>
  <c r="GC71" i="54"/>
  <c r="CV167" i="54"/>
  <c r="CT167" i="54"/>
  <c r="CU168" i="54" s="1"/>
  <c r="FE71" i="54" l="1"/>
  <c r="FC71" i="54"/>
  <c r="FF71" i="54"/>
  <c r="FX71" i="54"/>
  <c r="FZ71" i="54"/>
  <c r="GA71" i="54"/>
  <c r="FV71" i="54"/>
  <c r="FU70" i="54"/>
  <c r="FW70" i="54" s="1"/>
  <c r="FR71" i="54" s="1"/>
  <c r="FO71" i="54"/>
  <c r="FN70" i="54"/>
  <c r="FP70" i="54" s="1"/>
  <c r="FK71" i="54" s="1"/>
  <c r="CV168" i="54"/>
  <c r="CT168" i="54"/>
  <c r="CU169" i="54" s="1"/>
  <c r="GC72" i="54" l="1"/>
  <c r="GB71" i="54"/>
  <c r="GD71" i="54" s="1"/>
  <c r="FY72" i="54" s="1"/>
  <c r="FQ71" i="54"/>
  <c r="FT71" i="54"/>
  <c r="FS71" i="54"/>
  <c r="FJ71" i="54"/>
  <c r="FM71" i="54"/>
  <c r="FL71" i="54"/>
  <c r="FH72" i="54"/>
  <c r="FG71" i="54"/>
  <c r="FI71" i="54" s="1"/>
  <c r="FD72" i="54" s="1"/>
  <c r="CV169" i="54"/>
  <c r="CT169" i="54"/>
  <c r="CU170" i="54" s="1"/>
  <c r="FU71" i="54" l="1"/>
  <c r="FW71" i="54" s="1"/>
  <c r="FR72" i="54" s="1"/>
  <c r="FV72" i="54"/>
  <c r="FF72" i="54"/>
  <c r="FC72" i="54"/>
  <c r="FE72" i="54"/>
  <c r="FO72" i="54"/>
  <c r="FN71" i="54"/>
  <c r="FP71" i="54" s="1"/>
  <c r="FK72" i="54" s="1"/>
  <c r="FX72" i="54"/>
  <c r="FZ72" i="54"/>
  <c r="GA72" i="54"/>
  <c r="CV170" i="54"/>
  <c r="CT170" i="54"/>
  <c r="CU171" i="54" s="1"/>
  <c r="FG72" i="54" l="1"/>
  <c r="FI72" i="54" s="1"/>
  <c r="FD73" i="54" s="1"/>
  <c r="FH73" i="54"/>
  <c r="GC73" i="54"/>
  <c r="GB72" i="54"/>
  <c r="GD72" i="54" s="1"/>
  <c r="FY73" i="54" s="1"/>
  <c r="FL72" i="54"/>
  <c r="FJ72" i="54"/>
  <c r="FM72" i="54"/>
  <c r="FT72" i="54"/>
  <c r="FQ72" i="54"/>
  <c r="FS72" i="54"/>
  <c r="CV171" i="54"/>
  <c r="CT171" i="54"/>
  <c r="CU172" i="54" s="1"/>
  <c r="GA73" i="54" l="1"/>
  <c r="FZ73" i="54"/>
  <c r="FX73" i="54"/>
  <c r="FN72" i="54"/>
  <c r="FP72" i="54" s="1"/>
  <c r="FK73" i="54" s="1"/>
  <c r="FO73" i="54"/>
  <c r="FV73" i="54"/>
  <c r="FU72" i="54"/>
  <c r="FW72" i="54" s="1"/>
  <c r="FR73" i="54" s="1"/>
  <c r="FE73" i="54"/>
  <c r="FF73" i="54"/>
  <c r="FC73" i="54"/>
  <c r="CV172" i="54"/>
  <c r="CT172" i="54"/>
  <c r="CU173" i="54" s="1"/>
  <c r="FJ73" i="54" l="1"/>
  <c r="FM73" i="54"/>
  <c r="FL73" i="54"/>
  <c r="GC74" i="54"/>
  <c r="GB73" i="54"/>
  <c r="GD73" i="54" s="1"/>
  <c r="FY74" i="54" s="1"/>
  <c r="FH74" i="54"/>
  <c r="FG73" i="54"/>
  <c r="FI73" i="54" s="1"/>
  <c r="FD74" i="54" s="1"/>
  <c r="FQ73" i="54"/>
  <c r="FS73" i="54"/>
  <c r="FT73" i="54"/>
  <c r="CV173" i="54"/>
  <c r="CT173" i="54"/>
  <c r="CU174" i="54" s="1"/>
  <c r="FC74" i="54" l="1"/>
  <c r="FF74" i="54"/>
  <c r="FE74" i="54"/>
  <c r="FX74" i="54"/>
  <c r="FZ74" i="54"/>
  <c r="GA74" i="54"/>
  <c r="FU73" i="54"/>
  <c r="FW73" i="54" s="1"/>
  <c r="FR74" i="54" s="1"/>
  <c r="FV74" i="54"/>
  <c r="FN73" i="54"/>
  <c r="FP73" i="54" s="1"/>
  <c r="FK74" i="54" s="1"/>
  <c r="FO74" i="54"/>
  <c r="CV174" i="54"/>
  <c r="CT174" i="54"/>
  <c r="CU175" i="54" s="1"/>
  <c r="FQ74" i="54" l="1"/>
  <c r="FS74" i="54"/>
  <c r="FT74" i="54"/>
  <c r="GB74" i="54"/>
  <c r="GD74" i="54" s="1"/>
  <c r="FY75" i="54" s="1"/>
  <c r="GC75" i="54"/>
  <c r="FH75" i="54"/>
  <c r="FG74" i="54"/>
  <c r="FI74" i="54" s="1"/>
  <c r="FD75" i="54" s="1"/>
  <c r="FJ74" i="54"/>
  <c r="FL74" i="54"/>
  <c r="FM74" i="54"/>
  <c r="CV175" i="54"/>
  <c r="CT175" i="54"/>
  <c r="CU176" i="54" s="1"/>
  <c r="GA75" i="54" l="1"/>
  <c r="FX75" i="54"/>
  <c r="FZ75" i="54"/>
  <c r="FO75" i="54"/>
  <c r="FN74" i="54"/>
  <c r="FP74" i="54" s="1"/>
  <c r="FK75" i="54" s="1"/>
  <c r="FW74" i="54"/>
  <c r="FR75" i="54" s="1"/>
  <c r="FU74" i="54"/>
  <c r="FV75" i="54"/>
  <c r="FC75" i="54"/>
  <c r="FE75" i="54"/>
  <c r="FF75" i="54"/>
  <c r="CV176" i="54"/>
  <c r="CT176" i="54"/>
  <c r="CU177" i="54" s="1"/>
  <c r="FQ75" i="54" l="1"/>
  <c r="FS75" i="54"/>
  <c r="FT75" i="54"/>
  <c r="FJ75" i="54"/>
  <c r="FM75" i="54"/>
  <c r="FL75" i="54"/>
  <c r="GC76" i="54"/>
  <c r="GB75" i="54"/>
  <c r="GD75" i="54" s="1"/>
  <c r="FY76" i="54" s="1"/>
  <c r="FH76" i="54"/>
  <c r="FG75" i="54"/>
  <c r="FI75" i="54" s="1"/>
  <c r="FD76" i="54" s="1"/>
  <c r="CV177" i="54"/>
  <c r="CT177" i="54"/>
  <c r="CU178" i="54" s="1"/>
  <c r="GA76" i="54" l="1"/>
  <c r="FX76" i="54"/>
  <c r="FZ76" i="54"/>
  <c r="FO76" i="54"/>
  <c r="FN75" i="54"/>
  <c r="FP75" i="54" s="1"/>
  <c r="FK76" i="54" s="1"/>
  <c r="FE76" i="54"/>
  <c r="FC76" i="54"/>
  <c r="FF76" i="54"/>
  <c r="FV76" i="54"/>
  <c r="FU75" i="54"/>
  <c r="FW75" i="54" s="1"/>
  <c r="FR76" i="54" s="1"/>
  <c r="CV178" i="54"/>
  <c r="CT178" i="54"/>
  <c r="CU179" i="54" s="1"/>
  <c r="FQ76" i="54" l="1"/>
  <c r="FS76" i="54"/>
  <c r="FT76" i="54"/>
  <c r="FH77" i="54"/>
  <c r="FG76" i="54"/>
  <c r="FI76" i="54" s="1"/>
  <c r="FD77" i="54" s="1"/>
  <c r="FM76" i="54"/>
  <c r="FL76" i="54"/>
  <c r="FJ76" i="54"/>
  <c r="GC77" i="54"/>
  <c r="GB76" i="54"/>
  <c r="GD76" i="54" s="1"/>
  <c r="FY77" i="54" s="1"/>
  <c r="CV179" i="54"/>
  <c r="CT179" i="54"/>
  <c r="CU180" i="54" s="1"/>
  <c r="FF77" i="54" l="1"/>
  <c r="FE77" i="54"/>
  <c r="FC77" i="54"/>
  <c r="FZ77" i="54"/>
  <c r="GA77" i="54"/>
  <c r="FX77" i="54"/>
  <c r="FV77" i="54"/>
  <c r="FU76" i="54"/>
  <c r="FW76" i="54" s="1"/>
  <c r="FR77" i="54" s="1"/>
  <c r="FN76" i="54"/>
  <c r="FP76" i="54" s="1"/>
  <c r="FK77" i="54" s="1"/>
  <c r="FO77" i="54"/>
  <c r="CV180" i="54"/>
  <c r="CT180" i="54"/>
  <c r="CU181" i="54" s="1"/>
  <c r="FS77" i="54" l="1"/>
  <c r="FQ77" i="54"/>
  <c r="FT77" i="54"/>
  <c r="GB77" i="54"/>
  <c r="GD77" i="54" s="1"/>
  <c r="FY78" i="54" s="1"/>
  <c r="GC78" i="54"/>
  <c r="FJ77" i="54"/>
  <c r="FL77" i="54"/>
  <c r="FM77" i="54"/>
  <c r="FH78" i="54"/>
  <c r="FG77" i="54"/>
  <c r="FI77" i="54" s="1"/>
  <c r="FD78" i="54" s="1"/>
  <c r="CV181" i="54"/>
  <c r="CT181" i="54"/>
  <c r="CU182" i="54" s="1"/>
  <c r="FZ78" i="54" l="1"/>
  <c r="GA78" i="54"/>
  <c r="FX78" i="54"/>
  <c r="FE78" i="54"/>
  <c r="FF78" i="54"/>
  <c r="FC78" i="54"/>
  <c r="FO78" i="54"/>
  <c r="FN77" i="54"/>
  <c r="FP77" i="54" s="1"/>
  <c r="FK78" i="54" s="1"/>
  <c r="FV78" i="54"/>
  <c r="FU77" i="54"/>
  <c r="FW77" i="54" s="1"/>
  <c r="FR78" i="54" s="1"/>
  <c r="CV182" i="54"/>
  <c r="CT182" i="54"/>
  <c r="CU183" i="54" s="1"/>
  <c r="FS78" i="54" l="1"/>
  <c r="FT78" i="54"/>
  <c r="FQ78" i="54"/>
  <c r="FH79" i="54"/>
  <c r="FG78" i="54"/>
  <c r="FI78" i="54" s="1"/>
  <c r="FD79" i="54" s="1"/>
  <c r="FJ78" i="54"/>
  <c r="FM78" i="54"/>
  <c r="FL78" i="54"/>
  <c r="GC79" i="54"/>
  <c r="GB78" i="54"/>
  <c r="GD78" i="54" s="1"/>
  <c r="FY79" i="54" s="1"/>
  <c r="CV183" i="54"/>
  <c r="CT183" i="54"/>
  <c r="CU184" i="54" s="1"/>
  <c r="FE79" i="54" l="1"/>
  <c r="FC79" i="54"/>
  <c r="FF79" i="54"/>
  <c r="FZ79" i="54"/>
  <c r="GA79" i="54"/>
  <c r="FX79" i="54"/>
  <c r="FO79" i="54"/>
  <c r="FN78" i="54"/>
  <c r="FP78" i="54" s="1"/>
  <c r="FK79" i="54" s="1"/>
  <c r="FV79" i="54"/>
  <c r="FU78" i="54"/>
  <c r="FW78" i="54" s="1"/>
  <c r="FR79" i="54" s="1"/>
  <c r="CV184" i="54"/>
  <c r="CT184" i="54"/>
  <c r="CU185" i="54" s="1"/>
  <c r="GC80" i="54" l="1"/>
  <c r="GB79" i="54"/>
  <c r="GD79" i="54" s="1"/>
  <c r="FY80" i="54" s="1"/>
  <c r="FQ79" i="54"/>
  <c r="FS79" i="54"/>
  <c r="FT79" i="54"/>
  <c r="FL79" i="54"/>
  <c r="FM79" i="54"/>
  <c r="FJ79" i="54"/>
  <c r="FH80" i="54"/>
  <c r="FG79" i="54"/>
  <c r="FI79" i="54" s="1"/>
  <c r="FD80" i="54" s="1"/>
  <c r="CV185" i="54"/>
  <c r="CT185" i="54"/>
  <c r="CU186" i="54" s="1"/>
  <c r="FE80" i="54" l="1"/>
  <c r="FF80" i="54"/>
  <c r="FC80" i="54"/>
  <c r="FX80" i="54"/>
  <c r="FZ80" i="54"/>
  <c r="GA80" i="54"/>
  <c r="FV80" i="54"/>
  <c r="FU79" i="54"/>
  <c r="FW79" i="54" s="1"/>
  <c r="FR80" i="54" s="1"/>
  <c r="FO80" i="54"/>
  <c r="FN79" i="54"/>
  <c r="FP79" i="54" s="1"/>
  <c r="FK80" i="54" s="1"/>
  <c r="CV186" i="54"/>
  <c r="CT186" i="54"/>
  <c r="CU187" i="54" s="1"/>
  <c r="GB80" i="54" l="1"/>
  <c r="GD80" i="54" s="1"/>
  <c r="FY81" i="54" s="1"/>
  <c r="GC81" i="54"/>
  <c r="FJ80" i="54"/>
  <c r="FL80" i="54"/>
  <c r="FM80" i="54"/>
  <c r="FS80" i="54"/>
  <c r="FT80" i="54"/>
  <c r="FQ80" i="54"/>
  <c r="FG80" i="54"/>
  <c r="FI80" i="54" s="1"/>
  <c r="FD81" i="54" s="1"/>
  <c r="FH81" i="54"/>
  <c r="CV187" i="54"/>
  <c r="CT187" i="54"/>
  <c r="CU188" i="54" s="1"/>
  <c r="FC81" i="54" l="1"/>
  <c r="FE81" i="54"/>
  <c r="FF81" i="54"/>
  <c r="FN80" i="54"/>
  <c r="FP80" i="54" s="1"/>
  <c r="FK81" i="54" s="1"/>
  <c r="FO81" i="54"/>
  <c r="FV81" i="54"/>
  <c r="FU80" i="54"/>
  <c r="FW80" i="54" s="1"/>
  <c r="FR81" i="54" s="1"/>
  <c r="FZ81" i="54"/>
  <c r="FX81" i="54"/>
  <c r="GA81" i="54"/>
  <c r="CV188" i="54"/>
  <c r="CT188" i="54"/>
  <c r="CU189" i="54" s="1"/>
  <c r="FL81" i="54" l="1"/>
  <c r="FJ81" i="54"/>
  <c r="FM81" i="54"/>
  <c r="FH82" i="54"/>
  <c r="FG81" i="54"/>
  <c r="FI81" i="54" s="1"/>
  <c r="FD82" i="54" s="1"/>
  <c r="GB81" i="54"/>
  <c r="GD81" i="54" s="1"/>
  <c r="FY82" i="54" s="1"/>
  <c r="GC82" i="54"/>
  <c r="FT81" i="54"/>
  <c r="FQ81" i="54"/>
  <c r="FS81" i="54"/>
  <c r="CV189" i="54"/>
  <c r="CT189" i="54"/>
  <c r="CU190" i="54" s="1"/>
  <c r="GA82" i="54" l="1"/>
  <c r="FZ82" i="54"/>
  <c r="FX82" i="54"/>
  <c r="FC82" i="54"/>
  <c r="FF82" i="54"/>
  <c r="FE82" i="54"/>
  <c r="FU81" i="54"/>
  <c r="FW81" i="54" s="1"/>
  <c r="FR82" i="54" s="1"/>
  <c r="FV82" i="54"/>
  <c r="FO82" i="54"/>
  <c r="FN81" i="54"/>
  <c r="FP81" i="54" s="1"/>
  <c r="FK82" i="54" s="1"/>
  <c r="CV190" i="54"/>
  <c r="CT190" i="54"/>
  <c r="CU191" i="54" s="1"/>
  <c r="FH83" i="54" l="1"/>
  <c r="FG82" i="54"/>
  <c r="FI82" i="54" s="1"/>
  <c r="FD83" i="54" s="1"/>
  <c r="FL82" i="54"/>
  <c r="FJ82" i="54"/>
  <c r="FM82" i="54"/>
  <c r="GB82" i="54"/>
  <c r="GD82" i="54" s="1"/>
  <c r="FY83" i="54" s="1"/>
  <c r="GC83" i="54"/>
  <c r="FS82" i="54"/>
  <c r="FQ82" i="54"/>
  <c r="FT82" i="54"/>
  <c r="CV191" i="54"/>
  <c r="CT191" i="54"/>
  <c r="CU192" i="54" s="1"/>
  <c r="GA83" i="54" l="1"/>
  <c r="FX83" i="54"/>
  <c r="FZ83" i="54"/>
  <c r="FO83" i="54"/>
  <c r="FN82" i="54"/>
  <c r="FP82" i="54" s="1"/>
  <c r="FK83" i="54" s="1"/>
  <c r="FE83" i="54"/>
  <c r="FF83" i="54"/>
  <c r="FC83" i="54"/>
  <c r="FV83" i="54"/>
  <c r="FU82" i="54"/>
  <c r="FW82" i="54" s="1"/>
  <c r="FR83" i="54" s="1"/>
  <c r="CV192" i="54"/>
  <c r="CT192" i="54"/>
  <c r="CU193" i="54" s="1"/>
  <c r="FH84" i="54" l="1"/>
  <c r="FG83" i="54"/>
  <c r="FL83" i="54"/>
  <c r="FJ83" i="54"/>
  <c r="FM83" i="54"/>
  <c r="GC84" i="54"/>
  <c r="GB83" i="54"/>
  <c r="FT83" i="54"/>
  <c r="FS83" i="54"/>
  <c r="FQ83" i="54"/>
  <c r="FI83" i="54"/>
  <c r="FD84" i="54" s="1"/>
  <c r="GD83" i="54"/>
  <c r="FY84" i="54" s="1"/>
  <c r="CV193" i="54"/>
  <c r="CT193" i="54"/>
  <c r="CU194" i="54" s="1"/>
  <c r="GA84" i="54" l="1"/>
  <c r="FX84" i="54"/>
  <c r="FZ84" i="54"/>
  <c r="FO84" i="54"/>
  <c r="FN83" i="54"/>
  <c r="FP83" i="54" s="1"/>
  <c r="FK84" i="54" s="1"/>
  <c r="FE84" i="54"/>
  <c r="FC84" i="54"/>
  <c r="FF84" i="54"/>
  <c r="FV84" i="54"/>
  <c r="FU83" i="54"/>
  <c r="FW83" i="54" s="1"/>
  <c r="FR84" i="54" s="1"/>
  <c r="CV194" i="54"/>
  <c r="CT194" i="54"/>
  <c r="CU195" i="54" s="1"/>
  <c r="FH85" i="54" l="1"/>
  <c r="FG84" i="54"/>
  <c r="FM84" i="54"/>
  <c r="FL84" i="54"/>
  <c r="FJ84" i="54"/>
  <c r="GC85" i="54"/>
  <c r="GB84" i="54"/>
  <c r="FQ84" i="54"/>
  <c r="FS84" i="54"/>
  <c r="FT84" i="54"/>
  <c r="FI84" i="54"/>
  <c r="FD85" i="54" s="1"/>
  <c r="GD84" i="54"/>
  <c r="FY85" i="54" s="1"/>
  <c r="CV195" i="54"/>
  <c r="CT195" i="54"/>
  <c r="CU196" i="54" s="1"/>
  <c r="FZ85" i="54" l="1"/>
  <c r="GA85" i="54"/>
  <c r="FX85" i="54"/>
  <c r="FO85" i="54"/>
  <c r="FN84" i="54"/>
  <c r="FP84" i="54" s="1"/>
  <c r="FK85" i="54" s="1"/>
  <c r="FU84" i="54"/>
  <c r="FW84" i="54" s="1"/>
  <c r="FR85" i="54" s="1"/>
  <c r="FV85" i="54"/>
  <c r="FF85" i="54"/>
  <c r="FC85" i="54"/>
  <c r="FE85" i="54"/>
  <c r="CV196" i="54"/>
  <c r="CT196" i="54"/>
  <c r="CU197" i="54" s="1"/>
  <c r="FS85" i="54" l="1"/>
  <c r="FQ85" i="54"/>
  <c r="FT85" i="54"/>
  <c r="FL85" i="54"/>
  <c r="FM85" i="54"/>
  <c r="FJ85" i="54"/>
  <c r="FG85" i="54"/>
  <c r="FI85" i="54" s="1"/>
  <c r="FD86" i="54" s="1"/>
  <c r="FH86" i="54"/>
  <c r="GB85" i="54"/>
  <c r="GD85" i="54" s="1"/>
  <c r="FY86" i="54" s="1"/>
  <c r="GC86" i="54"/>
  <c r="CV197" i="54"/>
  <c r="CT197" i="54"/>
  <c r="CU198" i="54" s="1"/>
  <c r="FZ86" i="54" l="1"/>
  <c r="GA86" i="54"/>
  <c r="FX86" i="54"/>
  <c r="FO86" i="54"/>
  <c r="FN85" i="54"/>
  <c r="FP85" i="54" s="1"/>
  <c r="FK86" i="54" s="1"/>
  <c r="FF86" i="54"/>
  <c r="FC86" i="54"/>
  <c r="FE86" i="54"/>
  <c r="FV86" i="54"/>
  <c r="FU85" i="54"/>
  <c r="FW85" i="54" s="1"/>
  <c r="FR86" i="54" s="1"/>
  <c r="CV198" i="54"/>
  <c r="CT198" i="54"/>
  <c r="CU199" i="54" s="1"/>
  <c r="FQ86" i="54" l="1"/>
  <c r="FS86" i="54"/>
  <c r="FT86" i="54"/>
  <c r="FL86" i="54"/>
  <c r="FM86" i="54"/>
  <c r="FJ86" i="54"/>
  <c r="FH87" i="54"/>
  <c r="FG86" i="54"/>
  <c r="FI86" i="54" s="1"/>
  <c r="FD87" i="54" s="1"/>
  <c r="GB86" i="54"/>
  <c r="GD86" i="54" s="1"/>
  <c r="FY87" i="54" s="1"/>
  <c r="GC87" i="54"/>
  <c r="CV199" i="54"/>
  <c r="CT199" i="54"/>
  <c r="CU200" i="54" s="1"/>
  <c r="GA87" i="54" l="1"/>
  <c r="FZ87" i="54"/>
  <c r="FX87" i="54"/>
  <c r="FN86" i="54"/>
  <c r="FP86" i="54" s="1"/>
  <c r="FK87" i="54" s="1"/>
  <c r="FO87" i="54"/>
  <c r="FU86" i="54"/>
  <c r="FW86" i="54" s="1"/>
  <c r="FR87" i="54" s="1"/>
  <c r="FV87" i="54"/>
  <c r="FE87" i="54"/>
  <c r="FC87" i="54"/>
  <c r="FF87" i="54"/>
  <c r="CV200" i="54"/>
  <c r="CT200" i="54"/>
  <c r="CU201" i="54" s="1"/>
  <c r="FT87" i="54" l="1"/>
  <c r="FQ87" i="54"/>
  <c r="FS87" i="54"/>
  <c r="FJ87" i="54"/>
  <c r="FL87" i="54"/>
  <c r="FM87" i="54"/>
  <c r="GB87" i="54"/>
  <c r="GD87" i="54" s="1"/>
  <c r="FY88" i="54" s="1"/>
  <c r="GC88" i="54"/>
  <c r="FH88" i="54"/>
  <c r="FG87" i="54"/>
  <c r="FI87" i="54" s="1"/>
  <c r="FD88" i="54" s="1"/>
  <c r="CV201" i="54"/>
  <c r="CT201" i="54"/>
  <c r="CU202" i="54" s="1"/>
  <c r="FC88" i="54" l="1"/>
  <c r="FF88" i="54"/>
  <c r="FE88" i="54"/>
  <c r="FO88" i="54"/>
  <c r="FN87" i="54"/>
  <c r="FP87" i="54" s="1"/>
  <c r="FK88" i="54" s="1"/>
  <c r="FV88" i="54"/>
  <c r="FU87" i="54"/>
  <c r="FW87" i="54" s="1"/>
  <c r="FR88" i="54" s="1"/>
  <c r="FX88" i="54"/>
  <c r="GA88" i="54"/>
  <c r="FZ88" i="54"/>
  <c r="CV202" i="54"/>
  <c r="CT202" i="54"/>
  <c r="CU203" i="54" s="1"/>
  <c r="FL88" i="54" l="1"/>
  <c r="FM88" i="54"/>
  <c r="FJ88" i="54"/>
  <c r="FH89" i="54"/>
  <c r="FG88" i="54"/>
  <c r="FI88" i="54" s="1"/>
  <c r="FD89" i="54" s="1"/>
  <c r="GB88" i="54"/>
  <c r="GD88" i="54" s="1"/>
  <c r="FY89" i="54" s="1"/>
  <c r="GC89" i="54"/>
  <c r="FS88" i="54"/>
  <c r="FQ88" i="54"/>
  <c r="FT88" i="54"/>
  <c r="CV203" i="54"/>
  <c r="CT203" i="54"/>
  <c r="CU204" i="54" s="1"/>
  <c r="FC89" i="54" l="1"/>
  <c r="FE89" i="54"/>
  <c r="FF89" i="54"/>
  <c r="FX89" i="54"/>
  <c r="GA89" i="54"/>
  <c r="FZ89" i="54"/>
  <c r="FV89" i="54"/>
  <c r="FU88" i="54"/>
  <c r="FW88" i="54" s="1"/>
  <c r="FR89" i="54" s="1"/>
  <c r="FO89" i="54"/>
  <c r="FN88" i="54"/>
  <c r="FP88" i="54" s="1"/>
  <c r="FK89" i="54" s="1"/>
  <c r="CV204" i="54"/>
  <c r="CT204" i="54"/>
  <c r="CU205" i="54" s="1"/>
  <c r="FQ89" i="54" l="1"/>
  <c r="FT89" i="54"/>
  <c r="FS89" i="54"/>
  <c r="GC90" i="54"/>
  <c r="GB89" i="54"/>
  <c r="GD89" i="54" s="1"/>
  <c r="FY90" i="54" s="1"/>
  <c r="FL89" i="54"/>
  <c r="FM89" i="54"/>
  <c r="FJ89" i="54"/>
  <c r="FH90" i="54"/>
  <c r="FG89" i="54"/>
  <c r="FI89" i="54" s="1"/>
  <c r="FD90" i="54" s="1"/>
  <c r="CV205" i="54"/>
  <c r="CT205" i="54"/>
  <c r="CU206" i="54" s="1"/>
  <c r="FO90" i="54" l="1"/>
  <c r="FN89" i="54"/>
  <c r="FP89" i="54" s="1"/>
  <c r="FK90" i="54" s="1"/>
  <c r="FC90" i="54"/>
  <c r="FF90" i="54"/>
  <c r="FE90" i="54"/>
  <c r="FU89" i="54"/>
  <c r="FW89" i="54" s="1"/>
  <c r="FR90" i="54" s="1"/>
  <c r="FV90" i="54"/>
  <c r="GA90" i="54"/>
  <c r="FZ90" i="54"/>
  <c r="FX90" i="54"/>
  <c r="CV206" i="54"/>
  <c r="CT206" i="54"/>
  <c r="CU207" i="54" s="1"/>
  <c r="FH91" i="54" l="1"/>
  <c r="FG90" i="54"/>
  <c r="FQ90" i="54"/>
  <c r="FS90" i="54"/>
  <c r="FT90" i="54"/>
  <c r="FI90" i="54"/>
  <c r="FD91" i="54" s="1"/>
  <c r="GC91" i="54"/>
  <c r="GB90" i="54"/>
  <c r="GD90" i="54" s="1"/>
  <c r="FY91" i="54" s="1"/>
  <c r="FM90" i="54"/>
  <c r="FL90" i="54"/>
  <c r="FJ90" i="54"/>
  <c r="CV207" i="54"/>
  <c r="CT207" i="54"/>
  <c r="CU208" i="54" s="1"/>
  <c r="FC91" i="54" l="1"/>
  <c r="FE91" i="54"/>
  <c r="FF91" i="54"/>
  <c r="FV91" i="54"/>
  <c r="FU90" i="54"/>
  <c r="FW90" i="54" s="1"/>
  <c r="FR91" i="54" s="1"/>
  <c r="FO91" i="54"/>
  <c r="FN90" i="54"/>
  <c r="FP90" i="54" s="1"/>
  <c r="FK91" i="54" s="1"/>
  <c r="GA91" i="54"/>
  <c r="FX91" i="54"/>
  <c r="FZ91" i="54"/>
  <c r="CV208" i="54"/>
  <c r="CT208" i="54"/>
  <c r="CU209" i="54" s="1"/>
  <c r="FQ91" i="54" l="1"/>
  <c r="FT91" i="54"/>
  <c r="FS91" i="54"/>
  <c r="GC92" i="54"/>
  <c r="GB91" i="54"/>
  <c r="GD91" i="54" s="1"/>
  <c r="FY92" i="54" s="1"/>
  <c r="FH92" i="54"/>
  <c r="FG91" i="54"/>
  <c r="FI91" i="54" s="1"/>
  <c r="FD92" i="54" s="1"/>
  <c r="FL91" i="54"/>
  <c r="FM91" i="54"/>
  <c r="FJ91" i="54"/>
  <c r="CV209" i="54"/>
  <c r="CT209" i="54"/>
  <c r="CU210" i="54" s="1"/>
  <c r="GA92" i="54" l="1"/>
  <c r="FX92" i="54"/>
  <c r="FZ92" i="54"/>
  <c r="FE92" i="54"/>
  <c r="FF92" i="54"/>
  <c r="FC92" i="54"/>
  <c r="FN91" i="54"/>
  <c r="FP91" i="54" s="1"/>
  <c r="FK92" i="54" s="1"/>
  <c r="FO92" i="54"/>
  <c r="FV92" i="54"/>
  <c r="FU91" i="54"/>
  <c r="FW91" i="54" s="1"/>
  <c r="FR92" i="54" s="1"/>
  <c r="CV210" i="54"/>
  <c r="CT210" i="54"/>
  <c r="CU211" i="54" s="1"/>
  <c r="FQ92" i="54" l="1"/>
  <c r="FS92" i="54"/>
  <c r="FT92" i="54"/>
  <c r="FG92" i="54"/>
  <c r="FI92" i="54" s="1"/>
  <c r="FD93" i="54" s="1"/>
  <c r="FH93" i="54"/>
  <c r="GB92" i="54"/>
  <c r="GD92" i="54" s="1"/>
  <c r="FY93" i="54" s="1"/>
  <c r="GC93" i="54"/>
  <c r="FM92" i="54"/>
  <c r="FL92" i="54"/>
  <c r="FJ92" i="54"/>
  <c r="CV211" i="54"/>
  <c r="CT211" i="54"/>
  <c r="CU212" i="54" s="1"/>
  <c r="FC93" i="54" l="1"/>
  <c r="FF93" i="54"/>
  <c r="FE93" i="54"/>
  <c r="FZ93" i="54"/>
  <c r="FX93" i="54"/>
  <c r="GA93" i="54"/>
  <c r="FU92" i="54"/>
  <c r="FW92" i="54" s="1"/>
  <c r="FR93" i="54" s="1"/>
  <c r="FV93" i="54"/>
  <c r="FO93" i="54"/>
  <c r="FN92" i="54"/>
  <c r="FP92" i="54" s="1"/>
  <c r="FK93" i="54" s="1"/>
  <c r="CV212" i="54"/>
  <c r="CT212" i="54"/>
  <c r="CU213" i="54" s="1"/>
  <c r="FQ93" i="54" l="1"/>
  <c r="FS93" i="54"/>
  <c r="FT93" i="54"/>
  <c r="GB93" i="54"/>
  <c r="GD93" i="54" s="1"/>
  <c r="FY94" i="54" s="1"/>
  <c r="GC94" i="54"/>
  <c r="FH94" i="54"/>
  <c r="FG93" i="54"/>
  <c r="FM93" i="54"/>
  <c r="FL93" i="54"/>
  <c r="FJ93" i="54"/>
  <c r="FI93" i="54"/>
  <c r="FD94" i="54" s="1"/>
  <c r="CV213" i="54"/>
  <c r="CT213" i="54"/>
  <c r="CU214" i="54" s="1"/>
  <c r="FC94" i="54" l="1"/>
  <c r="FE94" i="54"/>
  <c r="FF94" i="54"/>
  <c r="FZ94" i="54"/>
  <c r="FX94" i="54"/>
  <c r="GA94" i="54"/>
  <c r="FO94" i="54"/>
  <c r="FN93" i="54"/>
  <c r="FP93" i="54" s="1"/>
  <c r="FK94" i="54" s="1"/>
  <c r="FV94" i="54"/>
  <c r="FU93" i="54"/>
  <c r="FW93" i="54" s="1"/>
  <c r="FR94" i="54" s="1"/>
  <c r="CV214" i="54"/>
  <c r="CT214" i="54"/>
  <c r="CU215" i="54" s="1"/>
  <c r="GC95" i="54" l="1"/>
  <c r="GB94" i="54"/>
  <c r="GD94" i="54" s="1"/>
  <c r="FY95" i="54" s="1"/>
  <c r="FQ94" i="54"/>
  <c r="FT94" i="54"/>
  <c r="FS94" i="54"/>
  <c r="FL94" i="54"/>
  <c r="FM94" i="54"/>
  <c r="FJ94" i="54"/>
  <c r="FG94" i="54"/>
  <c r="FI94" i="54" s="1"/>
  <c r="FD95" i="54" s="1"/>
  <c r="FH95" i="54"/>
  <c r="CV215" i="54"/>
  <c r="CT215" i="54"/>
  <c r="CU216" i="54" s="1"/>
  <c r="FO95" i="54" l="1"/>
  <c r="FN94" i="54"/>
  <c r="FP94" i="54" s="1"/>
  <c r="FK95" i="54" s="1"/>
  <c r="FV95" i="54"/>
  <c r="FU94" i="54"/>
  <c r="FW94" i="54" s="1"/>
  <c r="FR95" i="54" s="1"/>
  <c r="FF95" i="54"/>
  <c r="FE95" i="54"/>
  <c r="FC95" i="54"/>
  <c r="FX95" i="54"/>
  <c r="FZ95" i="54"/>
  <c r="GA95" i="54"/>
  <c r="CV216" i="54"/>
  <c r="CT216" i="54"/>
  <c r="CU217" i="54" s="1"/>
  <c r="FH96" i="54" l="1"/>
  <c r="FG95" i="54"/>
  <c r="FI95" i="54" s="1"/>
  <c r="FD96" i="54" s="1"/>
  <c r="FS95" i="54"/>
  <c r="FQ95" i="54"/>
  <c r="FT95" i="54"/>
  <c r="GC96" i="54"/>
  <c r="GB95" i="54"/>
  <c r="GD95" i="54" s="1"/>
  <c r="FY96" i="54" s="1"/>
  <c r="FM95" i="54"/>
  <c r="FL95" i="54"/>
  <c r="FJ95" i="54"/>
  <c r="CV217" i="54"/>
  <c r="CT217" i="54"/>
  <c r="CU218" i="54" s="1"/>
  <c r="FV96" i="54" l="1"/>
  <c r="FU95" i="54"/>
  <c r="FW95" i="54" s="1"/>
  <c r="FR96" i="54" s="1"/>
  <c r="FE96" i="54"/>
  <c r="FC96" i="54"/>
  <c r="FF96" i="54"/>
  <c r="FN95" i="54"/>
  <c r="FP95" i="54" s="1"/>
  <c r="FK96" i="54" s="1"/>
  <c r="FO96" i="54"/>
  <c r="FX96" i="54"/>
  <c r="FZ96" i="54"/>
  <c r="GA96" i="54"/>
  <c r="CV218" i="54"/>
  <c r="CT218" i="54"/>
  <c r="CU219" i="54" s="1"/>
  <c r="FQ96" i="54" l="1"/>
  <c r="FS96" i="54"/>
  <c r="FT96" i="54"/>
  <c r="FH97" i="54"/>
  <c r="FG96" i="54"/>
  <c r="FI96" i="54" s="1"/>
  <c r="FD97" i="54" s="1"/>
  <c r="GC97" i="54"/>
  <c r="GB96" i="54"/>
  <c r="GD96" i="54" s="1"/>
  <c r="FY97" i="54" s="1"/>
  <c r="FL96" i="54"/>
  <c r="FM96" i="54"/>
  <c r="FJ96" i="54"/>
  <c r="CV219" i="54"/>
  <c r="CT219" i="54"/>
  <c r="CU220" i="54" s="1"/>
  <c r="FE97" i="54" l="1"/>
  <c r="FC97" i="54"/>
  <c r="FF97" i="54"/>
  <c r="FV97" i="54"/>
  <c r="FU96" i="54"/>
  <c r="FW96" i="54" s="1"/>
  <c r="FR97" i="54" s="1"/>
  <c r="FO97" i="54"/>
  <c r="FN96" i="54"/>
  <c r="FP96" i="54" s="1"/>
  <c r="FK97" i="54" s="1"/>
  <c r="FX97" i="54"/>
  <c r="FZ97" i="54"/>
  <c r="GA97" i="54"/>
  <c r="CV220" i="54"/>
  <c r="CT220" i="54"/>
  <c r="CU221" i="54" s="1"/>
  <c r="FQ97" i="54" l="1"/>
  <c r="FT97" i="54"/>
  <c r="FS97" i="54"/>
  <c r="GC98" i="54"/>
  <c r="GB97" i="54"/>
  <c r="GD97" i="54" s="1"/>
  <c r="FY98" i="54" s="1"/>
  <c r="FM97" i="54"/>
  <c r="FL97" i="54"/>
  <c r="FJ97" i="54"/>
  <c r="FH98" i="54"/>
  <c r="FG97" i="54"/>
  <c r="FI97" i="54" s="1"/>
  <c r="FD98" i="54" s="1"/>
  <c r="CV221" i="54"/>
  <c r="CT221" i="54"/>
  <c r="CU222" i="54" s="1"/>
  <c r="FC98" i="54" l="1"/>
  <c r="FE98" i="54"/>
  <c r="FF98" i="54"/>
  <c r="GA98" i="54"/>
  <c r="FX98" i="54"/>
  <c r="FZ98" i="54"/>
  <c r="FV98" i="54"/>
  <c r="FU97" i="54"/>
  <c r="FW97" i="54" s="1"/>
  <c r="FR98" i="54" s="1"/>
  <c r="FO98" i="54"/>
  <c r="FN97" i="54"/>
  <c r="FP97" i="54" s="1"/>
  <c r="FK98" i="54" s="1"/>
  <c r="CV222" i="54"/>
  <c r="CT222" i="54"/>
  <c r="CU223" i="54" s="1"/>
  <c r="GB98" i="54" l="1"/>
  <c r="GD98" i="54" s="1"/>
  <c r="FY99" i="54" s="1"/>
  <c r="GC99" i="54"/>
  <c r="FJ98" i="54"/>
  <c r="FL98" i="54"/>
  <c r="FM98" i="54"/>
  <c r="FH99" i="54"/>
  <c r="FG98" i="54"/>
  <c r="FI98" i="54" s="1"/>
  <c r="FD99" i="54" s="1"/>
  <c r="FQ98" i="54"/>
  <c r="FT98" i="54"/>
  <c r="FS98" i="54"/>
  <c r="CV223" i="54"/>
  <c r="CT223" i="54"/>
  <c r="CU224" i="54" s="1"/>
  <c r="FN98" i="54" l="1"/>
  <c r="FP98" i="54" s="1"/>
  <c r="FK99" i="54" s="1"/>
  <c r="FO99" i="54"/>
  <c r="FU98" i="54"/>
  <c r="FW98" i="54" s="1"/>
  <c r="FR99" i="54" s="1"/>
  <c r="FV99" i="54"/>
  <c r="FE99" i="54"/>
  <c r="FC99" i="54"/>
  <c r="FF99" i="54"/>
  <c r="FX99" i="54"/>
  <c r="GA99" i="54"/>
  <c r="FZ99" i="54"/>
  <c r="CV224" i="54"/>
  <c r="CT224" i="54"/>
  <c r="CU225" i="54" s="1"/>
  <c r="FT99" i="54" l="1"/>
  <c r="FQ99" i="54"/>
  <c r="FS99" i="54"/>
  <c r="FH100" i="54"/>
  <c r="FG99" i="54"/>
  <c r="FI99" i="54" s="1"/>
  <c r="FD100" i="54" s="1"/>
  <c r="GC100" i="54"/>
  <c r="GB99" i="54"/>
  <c r="GD99" i="54" s="1"/>
  <c r="FY100" i="54" s="1"/>
  <c r="FM99" i="54"/>
  <c r="FL99" i="54"/>
  <c r="FJ99" i="54"/>
  <c r="CV225" i="54"/>
  <c r="CT225" i="54"/>
  <c r="CU226" i="54" s="1"/>
  <c r="FF100" i="54" l="1"/>
  <c r="FC100" i="54"/>
  <c r="FE100" i="54"/>
  <c r="FV100" i="54"/>
  <c r="FU99" i="54"/>
  <c r="FW99" i="54" s="1"/>
  <c r="FR100" i="54" s="1"/>
  <c r="FO100" i="54"/>
  <c r="FN99" i="54"/>
  <c r="FP99" i="54" s="1"/>
  <c r="FK100" i="54" s="1"/>
  <c r="FX100" i="54"/>
  <c r="GA100" i="54"/>
  <c r="FZ100" i="54"/>
  <c r="CV226" i="54"/>
  <c r="CT226" i="54"/>
  <c r="CU227" i="54" s="1"/>
  <c r="FQ100" i="54" l="1"/>
  <c r="FS100" i="54"/>
  <c r="FT100" i="54"/>
  <c r="GC101" i="54"/>
  <c r="GB100" i="54"/>
  <c r="GD100" i="54" s="1"/>
  <c r="FY101" i="54" s="1"/>
  <c r="FH101" i="54"/>
  <c r="FG100" i="54"/>
  <c r="FI100" i="54" s="1"/>
  <c r="FD101" i="54" s="1"/>
  <c r="FL100" i="54"/>
  <c r="FJ100" i="54"/>
  <c r="FM100" i="54"/>
  <c r="CV227" i="54"/>
  <c r="CT227" i="54"/>
  <c r="CU228" i="54" s="1"/>
  <c r="GA101" i="54" l="1"/>
  <c r="FX101" i="54"/>
  <c r="FZ101" i="54"/>
  <c r="FV101" i="54"/>
  <c r="FU100" i="54"/>
  <c r="FW100" i="54" s="1"/>
  <c r="FR101" i="54" s="1"/>
  <c r="FO101" i="54"/>
  <c r="FN100" i="54"/>
  <c r="FP100" i="54" s="1"/>
  <c r="FK101" i="54" s="1"/>
  <c r="FC101" i="54"/>
  <c r="FF101" i="54"/>
  <c r="FE101" i="54"/>
  <c r="CV228" i="54"/>
  <c r="CT228" i="54"/>
  <c r="CU229" i="54" s="1"/>
  <c r="FT101" i="54" l="1"/>
  <c r="FS101" i="54"/>
  <c r="FQ101" i="54"/>
  <c r="FG101" i="54"/>
  <c r="FI101" i="54" s="1"/>
  <c r="FD102" i="54" s="1"/>
  <c r="FH102" i="54"/>
  <c r="GC102" i="54"/>
  <c r="GB101" i="54"/>
  <c r="FM101" i="54"/>
  <c r="FL101" i="54"/>
  <c r="FJ101" i="54"/>
  <c r="GD101" i="54"/>
  <c r="FY102" i="54" s="1"/>
  <c r="CV229" i="54"/>
  <c r="CT229" i="54"/>
  <c r="CU230" i="54" s="1"/>
  <c r="FX102" i="54" l="1"/>
  <c r="GA102" i="54"/>
  <c r="FZ102" i="54"/>
  <c r="FE102" i="54"/>
  <c r="FC102" i="54"/>
  <c r="FF102" i="54"/>
  <c r="FN101" i="54"/>
  <c r="FP101" i="54" s="1"/>
  <c r="FK102" i="54" s="1"/>
  <c r="FO102" i="54"/>
  <c r="FV102" i="54"/>
  <c r="FU101" i="54"/>
  <c r="FW101" i="54" s="1"/>
  <c r="FR102" i="54" s="1"/>
  <c r="CV230" i="54"/>
  <c r="CT230" i="54"/>
  <c r="CU231" i="54" s="1"/>
  <c r="FT102" i="54" l="1"/>
  <c r="FQ102" i="54"/>
  <c r="FS102" i="54"/>
  <c r="FH103" i="54"/>
  <c r="FG102" i="54"/>
  <c r="FI102" i="54" s="1"/>
  <c r="FD103" i="54" s="1"/>
  <c r="GC103" i="54"/>
  <c r="GB102" i="54"/>
  <c r="GD102" i="54"/>
  <c r="FY103" i="54" s="1"/>
  <c r="FM102" i="54"/>
  <c r="FJ102" i="54"/>
  <c r="FL102" i="54"/>
  <c r="CV231" i="54"/>
  <c r="CT231" i="54"/>
  <c r="CU232" i="54" s="1"/>
  <c r="FC103" i="54" l="1"/>
  <c r="FE103" i="54"/>
  <c r="FF103" i="54"/>
  <c r="FO103" i="54"/>
  <c r="FN102" i="54"/>
  <c r="FP102" i="54" s="1"/>
  <c r="FK103" i="54" s="1"/>
  <c r="FV103" i="54"/>
  <c r="FU102" i="54"/>
  <c r="FW102" i="54" s="1"/>
  <c r="FR103" i="54" s="1"/>
  <c r="FX103" i="54"/>
  <c r="FZ103" i="54"/>
  <c r="GA103" i="54"/>
  <c r="CV232" i="54"/>
  <c r="CT232" i="54"/>
  <c r="CU233" i="54" s="1"/>
  <c r="FJ103" i="54" l="1"/>
  <c r="FL103" i="54"/>
  <c r="FM103" i="54"/>
  <c r="GC104" i="54"/>
  <c r="GB103" i="54"/>
  <c r="GD103" i="54" s="1"/>
  <c r="FY104" i="54" s="1"/>
  <c r="FH104" i="54"/>
  <c r="FG103" i="54"/>
  <c r="FI103" i="54" s="1"/>
  <c r="FD104" i="54" s="1"/>
  <c r="FS103" i="54"/>
  <c r="FT103" i="54"/>
  <c r="FQ103" i="54"/>
  <c r="CV233" i="54"/>
  <c r="CT233" i="54"/>
  <c r="CU234" i="54" s="1"/>
  <c r="FC104" i="54" l="1"/>
  <c r="FE104" i="54"/>
  <c r="FF104" i="54"/>
  <c r="FX104" i="54"/>
  <c r="FZ104" i="54"/>
  <c r="GA104" i="54"/>
  <c r="FU103" i="54"/>
  <c r="FW103" i="54" s="1"/>
  <c r="FR104" i="54" s="1"/>
  <c r="FV104" i="54"/>
  <c r="FO104" i="54"/>
  <c r="FN103" i="54"/>
  <c r="FP103" i="54" s="1"/>
  <c r="FK104" i="54" s="1"/>
  <c r="CV234" i="54"/>
  <c r="CT234" i="54"/>
  <c r="CU235" i="54" s="1"/>
  <c r="FT104" i="54" l="1"/>
  <c r="FQ104" i="54"/>
  <c r="FS104" i="54"/>
  <c r="GC105" i="54"/>
  <c r="GB104" i="54"/>
  <c r="GD104" i="54" s="1"/>
  <c r="FY105" i="54" s="1"/>
  <c r="FL104" i="54"/>
  <c r="FM104" i="54"/>
  <c r="FJ104" i="54"/>
  <c r="FH105" i="54"/>
  <c r="FG104" i="54"/>
  <c r="FI104" i="54" s="1"/>
  <c r="FD105" i="54" s="1"/>
  <c r="CV235" i="54"/>
  <c r="CT235" i="54"/>
  <c r="CU236" i="54" s="1"/>
  <c r="GA105" i="54" l="1"/>
  <c r="FZ105" i="54"/>
  <c r="FX105" i="54"/>
  <c r="FE105" i="54"/>
  <c r="FC105" i="54"/>
  <c r="FF105" i="54"/>
  <c r="FU104" i="54"/>
  <c r="FW104" i="54" s="1"/>
  <c r="FR105" i="54" s="1"/>
  <c r="FV105" i="54"/>
  <c r="FO105" i="54"/>
  <c r="FN104" i="54"/>
  <c r="FP104" i="54" s="1"/>
  <c r="FK105" i="54" s="1"/>
  <c r="CV236" i="54"/>
  <c r="CT236" i="54"/>
  <c r="CU237" i="54" s="1"/>
  <c r="FH106" i="54" l="1"/>
  <c r="FG105" i="54"/>
  <c r="FI105" i="54" s="1"/>
  <c r="FD106" i="54" s="1"/>
  <c r="GC106" i="54"/>
  <c r="GB105" i="54"/>
  <c r="FM105" i="54"/>
  <c r="FL105" i="54"/>
  <c r="FJ105" i="54"/>
  <c r="FQ105" i="54"/>
  <c r="FS105" i="54"/>
  <c r="FT105" i="54"/>
  <c r="GD105" i="54"/>
  <c r="FY106" i="54" s="1"/>
  <c r="CV237" i="54"/>
  <c r="CT237" i="54"/>
  <c r="CU238" i="54" s="1"/>
  <c r="FE106" i="54" l="1"/>
  <c r="FC106" i="54"/>
  <c r="FF106" i="54"/>
  <c r="FV106" i="54"/>
  <c r="FU105" i="54"/>
  <c r="FW105" i="54" s="1"/>
  <c r="FR106" i="54" s="1"/>
  <c r="GA106" i="54"/>
  <c r="FZ106" i="54"/>
  <c r="FX106" i="54"/>
  <c r="FO106" i="54"/>
  <c r="FN105" i="54"/>
  <c r="FP105" i="54" s="1"/>
  <c r="FK106" i="54" s="1"/>
  <c r="CV238" i="54"/>
  <c r="CT238" i="54"/>
  <c r="CU239" i="54" s="1"/>
  <c r="FQ106" i="54" l="1"/>
  <c r="FS106" i="54"/>
  <c r="FT106" i="54"/>
  <c r="FJ106" i="54"/>
  <c r="FM106" i="54"/>
  <c r="FL106" i="54"/>
  <c r="GB106" i="54"/>
  <c r="GD106" i="54" s="1"/>
  <c r="FY107" i="54" s="1"/>
  <c r="GC107" i="54"/>
  <c r="FH107" i="54"/>
  <c r="FG106" i="54"/>
  <c r="FI106" i="54" s="1"/>
  <c r="FD107" i="54" s="1"/>
  <c r="CV239" i="54"/>
  <c r="CT239" i="54"/>
  <c r="CU240" i="54" s="1"/>
  <c r="FO107" i="54" l="1"/>
  <c r="FN106" i="54"/>
  <c r="FP106" i="54" s="1"/>
  <c r="FK107" i="54" s="1"/>
  <c r="FE107" i="54"/>
  <c r="FF107" i="54"/>
  <c r="FC107" i="54"/>
  <c r="FV107" i="54"/>
  <c r="FU106" i="54"/>
  <c r="FW106" i="54" s="1"/>
  <c r="FR107" i="54" s="1"/>
  <c r="FX107" i="54"/>
  <c r="FZ107" i="54"/>
  <c r="GA107" i="54"/>
  <c r="CV240" i="54"/>
  <c r="CT240" i="54"/>
  <c r="CU241" i="54" s="1"/>
  <c r="FT107" i="54" l="1"/>
  <c r="FS107" i="54"/>
  <c r="FQ107" i="54"/>
  <c r="GB107" i="54"/>
  <c r="GD107" i="54" s="1"/>
  <c r="FY108" i="54" s="1"/>
  <c r="GC108" i="54"/>
  <c r="FH108" i="54"/>
  <c r="FG107" i="54"/>
  <c r="FI107" i="54" s="1"/>
  <c r="FD108" i="54" s="1"/>
  <c r="FJ107" i="54"/>
  <c r="FL107" i="54"/>
  <c r="FM107" i="54"/>
  <c r="CV241" i="54"/>
  <c r="CT241" i="54"/>
  <c r="CU242" i="54" s="1"/>
  <c r="FE108" i="54" l="1"/>
  <c r="FC108" i="54"/>
  <c r="FF108" i="54"/>
  <c r="FN107" i="54"/>
  <c r="FP107" i="54" s="1"/>
  <c r="FK108" i="54" s="1"/>
  <c r="FO108" i="54"/>
  <c r="GA108" i="54"/>
  <c r="FX108" i="54"/>
  <c r="FZ108" i="54"/>
  <c r="FV108" i="54"/>
  <c r="FU107" i="54"/>
  <c r="FW107" i="54" s="1"/>
  <c r="FR108" i="54" s="1"/>
  <c r="CV242" i="54"/>
  <c r="CT242" i="54"/>
  <c r="CU243" i="54" s="1"/>
  <c r="FL108" i="54" l="1"/>
  <c r="FM108" i="54"/>
  <c r="FJ108" i="54"/>
  <c r="FQ108" i="54"/>
  <c r="FS108" i="54"/>
  <c r="FT108" i="54"/>
  <c r="GB108" i="54"/>
  <c r="GD108" i="54" s="1"/>
  <c r="FY109" i="54" s="1"/>
  <c r="GC109" i="54"/>
  <c r="FH109" i="54"/>
  <c r="FG108" i="54"/>
  <c r="FI108" i="54" s="1"/>
  <c r="FD109" i="54" s="1"/>
  <c r="CV243" i="54"/>
  <c r="CT243" i="54"/>
  <c r="CU244" i="54" s="1"/>
  <c r="FC109" i="54" l="1"/>
  <c r="FF109" i="54"/>
  <c r="FE109" i="54"/>
  <c r="GA109" i="54"/>
  <c r="FX109" i="54"/>
  <c r="FZ109" i="54"/>
  <c r="FV109" i="54"/>
  <c r="FU108" i="54"/>
  <c r="FO109" i="54"/>
  <c r="FN108" i="54"/>
  <c r="FP108" i="54" s="1"/>
  <c r="FK109" i="54" s="1"/>
  <c r="FW108" i="54"/>
  <c r="FR109" i="54" s="1"/>
  <c r="CV244" i="54"/>
  <c r="CT244" i="54"/>
  <c r="CU245" i="54" s="1"/>
  <c r="GB109" i="54" l="1"/>
  <c r="GD109" i="54" s="1"/>
  <c r="FY110" i="54" s="1"/>
  <c r="GC110" i="54"/>
  <c r="FS109" i="54"/>
  <c r="FQ109" i="54"/>
  <c r="FT109" i="54"/>
  <c r="FM109" i="54"/>
  <c r="FJ109" i="54"/>
  <c r="FL109" i="54"/>
  <c r="FH110" i="54"/>
  <c r="FG109" i="54"/>
  <c r="FI109" i="54" s="1"/>
  <c r="FD110" i="54" s="1"/>
  <c r="CV245" i="54"/>
  <c r="CT245" i="54"/>
  <c r="CU246" i="54" s="1"/>
  <c r="FF110" i="54" l="1"/>
  <c r="FC110" i="54"/>
  <c r="FE110" i="54"/>
  <c r="FV110" i="54"/>
  <c r="FU109" i="54"/>
  <c r="FW109" i="54" s="1"/>
  <c r="FR110" i="54" s="1"/>
  <c r="FN109" i="54"/>
  <c r="FP109" i="54" s="1"/>
  <c r="FK110" i="54" s="1"/>
  <c r="FO110" i="54"/>
  <c r="GA110" i="54"/>
  <c r="FX110" i="54"/>
  <c r="FZ110" i="54"/>
  <c r="CV246" i="54"/>
  <c r="CT246" i="54"/>
  <c r="CU247" i="54" s="1"/>
  <c r="FJ110" i="54" l="1"/>
  <c r="FL110" i="54"/>
  <c r="FM110" i="54"/>
  <c r="FS110" i="54"/>
  <c r="FT110" i="54"/>
  <c r="FQ110" i="54"/>
  <c r="FG110" i="54"/>
  <c r="FI110" i="54" s="1"/>
  <c r="FD111" i="54" s="1"/>
  <c r="FH111" i="54"/>
  <c r="GB110" i="54"/>
  <c r="GD110" i="54" s="1"/>
  <c r="FY111" i="54" s="1"/>
  <c r="GC111" i="54"/>
  <c r="CV247" i="54"/>
  <c r="CT247" i="54"/>
  <c r="CU248" i="54" s="1"/>
  <c r="FZ111" i="54" l="1"/>
  <c r="FX111" i="54"/>
  <c r="GA111" i="54"/>
  <c r="FE111" i="54"/>
  <c r="FC111" i="54"/>
  <c r="FF111" i="54"/>
  <c r="FU110" i="54"/>
  <c r="FW110" i="54" s="1"/>
  <c r="FR111" i="54" s="1"/>
  <c r="FV111" i="54"/>
  <c r="FN110" i="54"/>
  <c r="FP110" i="54" s="1"/>
  <c r="FK111" i="54" s="1"/>
  <c r="FO111" i="54"/>
  <c r="CV248" i="54"/>
  <c r="CT248" i="54"/>
  <c r="CU249" i="54" s="1"/>
  <c r="FQ111" i="54" l="1"/>
  <c r="FT111" i="54"/>
  <c r="FS111" i="54"/>
  <c r="FH112" i="54"/>
  <c r="FG111" i="54"/>
  <c r="FI111" i="54" s="1"/>
  <c r="FD112" i="54" s="1"/>
  <c r="FL111" i="54"/>
  <c r="FJ111" i="54"/>
  <c r="FM111" i="54"/>
  <c r="GC112" i="54"/>
  <c r="GB111" i="54"/>
  <c r="GD111" i="54" s="1"/>
  <c r="FY112" i="54" s="1"/>
  <c r="CV249" i="54"/>
  <c r="CT249" i="54"/>
  <c r="CU250" i="54" s="1"/>
  <c r="FO112" i="54" l="1"/>
  <c r="FN111" i="54"/>
  <c r="FP111" i="54" s="1"/>
  <c r="FK112" i="54" s="1"/>
  <c r="FC112" i="54"/>
  <c r="FF112" i="54"/>
  <c r="FE112" i="54"/>
  <c r="GA112" i="54"/>
  <c r="FZ112" i="54"/>
  <c r="FX112" i="54"/>
  <c r="FV112" i="54"/>
  <c r="FU111" i="54"/>
  <c r="FW111" i="54" s="1"/>
  <c r="FR112" i="54" s="1"/>
  <c r="CV250" i="54"/>
  <c r="CT250" i="54"/>
  <c r="CU251" i="54" s="1"/>
  <c r="FH113" i="54" l="1"/>
  <c r="FG112" i="54"/>
  <c r="GC113" i="54"/>
  <c r="GB112" i="54"/>
  <c r="GD112" i="54" s="1"/>
  <c r="FY113" i="54" s="1"/>
  <c r="FQ112" i="54"/>
  <c r="FS112" i="54"/>
  <c r="FT112" i="54"/>
  <c r="FI112" i="54"/>
  <c r="FD113" i="54" s="1"/>
  <c r="FJ112" i="54"/>
  <c r="FM112" i="54"/>
  <c r="FL112" i="54"/>
  <c r="CV251" i="54"/>
  <c r="CT251" i="54"/>
  <c r="CU252" i="54" s="1"/>
  <c r="FV113" i="54" l="1"/>
  <c r="FU112" i="54"/>
  <c r="FX113" i="54"/>
  <c r="FZ113" i="54"/>
  <c r="GA113" i="54"/>
  <c r="FO113" i="54"/>
  <c r="FN112" i="54"/>
  <c r="FP112" i="54" s="1"/>
  <c r="FK113" i="54" s="1"/>
  <c r="FC113" i="54"/>
  <c r="FF113" i="54"/>
  <c r="FE113" i="54"/>
  <c r="FW112" i="54"/>
  <c r="FR113" i="54" s="1"/>
  <c r="CV252" i="54"/>
  <c r="CT252" i="54"/>
  <c r="CU253" i="54" s="1"/>
  <c r="GC114" i="54" l="1"/>
  <c r="GB113" i="54"/>
  <c r="GD113" i="54" s="1"/>
  <c r="FY114" i="54" s="1"/>
  <c r="FQ113" i="54"/>
  <c r="FT113" i="54"/>
  <c r="FS113" i="54"/>
  <c r="FH114" i="54"/>
  <c r="FG113" i="54"/>
  <c r="FI113" i="54" s="1"/>
  <c r="FD114" i="54" s="1"/>
  <c r="FL113" i="54"/>
  <c r="FJ113" i="54"/>
  <c r="FM113" i="54"/>
  <c r="CV253" i="54"/>
  <c r="CT253" i="54"/>
  <c r="CU254" i="54" s="1"/>
  <c r="FV114" i="54" l="1"/>
  <c r="FU113" i="54"/>
  <c r="FW113" i="54" s="1"/>
  <c r="FR114" i="54" s="1"/>
  <c r="FN113" i="54"/>
  <c r="FP113" i="54" s="1"/>
  <c r="FK114" i="54" s="1"/>
  <c r="FO114" i="54"/>
  <c r="FX114" i="54"/>
  <c r="FZ114" i="54"/>
  <c r="GA114" i="54"/>
  <c r="FF114" i="54"/>
  <c r="FC114" i="54"/>
  <c r="FE114" i="54"/>
  <c r="CV254" i="54"/>
  <c r="CT254" i="54"/>
  <c r="CU255" i="54" s="1"/>
  <c r="FJ114" i="54" l="1"/>
  <c r="FL114" i="54"/>
  <c r="FM114" i="54"/>
  <c r="FH115" i="54"/>
  <c r="FG114" i="54"/>
  <c r="FI114" i="54" s="1"/>
  <c r="FD115" i="54" s="1"/>
  <c r="FQ114" i="54"/>
  <c r="FS114" i="54"/>
  <c r="FT114" i="54"/>
  <c r="GC115" i="54"/>
  <c r="GB114" i="54"/>
  <c r="GD114" i="54" s="1"/>
  <c r="FY115" i="54" s="1"/>
  <c r="CV255" i="54"/>
  <c r="CT255" i="54"/>
  <c r="CU256" i="54" s="1"/>
  <c r="FF115" i="54" l="1"/>
  <c r="FE115" i="54"/>
  <c r="FC115" i="54"/>
  <c r="FX115" i="54"/>
  <c r="GA115" i="54"/>
  <c r="FZ115" i="54"/>
  <c r="FU114" i="54"/>
  <c r="FW114" i="54" s="1"/>
  <c r="FR115" i="54" s="1"/>
  <c r="FV115" i="54"/>
  <c r="FO115" i="54"/>
  <c r="FN114" i="54"/>
  <c r="FP114" i="54" s="1"/>
  <c r="FK115" i="54" s="1"/>
  <c r="CV256" i="54"/>
  <c r="CT256" i="54"/>
  <c r="CU257" i="54" s="1"/>
  <c r="FQ115" i="54" l="1"/>
  <c r="FS115" i="54"/>
  <c r="FT115" i="54"/>
  <c r="FL115" i="54"/>
  <c r="FJ115" i="54"/>
  <c r="FM115" i="54"/>
  <c r="FH116" i="54"/>
  <c r="FG115" i="54"/>
  <c r="FI115" i="54" s="1"/>
  <c r="FD116" i="54" s="1"/>
  <c r="GC116" i="54"/>
  <c r="GB115" i="54"/>
  <c r="GD115" i="54" s="1"/>
  <c r="FY116" i="54" s="1"/>
  <c r="CV257" i="54"/>
  <c r="CT257" i="54"/>
  <c r="CU258" i="54" s="1"/>
  <c r="FN115" i="54" l="1"/>
  <c r="FP115" i="54" s="1"/>
  <c r="FK116" i="54" s="1"/>
  <c r="FO116" i="54"/>
  <c r="FU115" i="54"/>
  <c r="FW115" i="54" s="1"/>
  <c r="FR116" i="54" s="1"/>
  <c r="FV116" i="54"/>
  <c r="FX116" i="54"/>
  <c r="FZ116" i="54"/>
  <c r="GA116" i="54"/>
  <c r="FF116" i="54"/>
  <c r="FC116" i="54"/>
  <c r="FE116" i="54"/>
  <c r="CV258" i="54"/>
  <c r="CT258" i="54"/>
  <c r="CU259" i="54" s="1"/>
  <c r="FS116" i="54" l="1"/>
  <c r="FQ116" i="54"/>
  <c r="FT116" i="54"/>
  <c r="GC117" i="54"/>
  <c r="GB116" i="54"/>
  <c r="GD116" i="54" s="1"/>
  <c r="FY117" i="54" s="1"/>
  <c r="FH117" i="54"/>
  <c r="FG116" i="54"/>
  <c r="FI116" i="54" s="1"/>
  <c r="FD117" i="54" s="1"/>
  <c r="FJ116" i="54"/>
  <c r="FL116" i="54"/>
  <c r="FM116" i="54"/>
  <c r="CV259" i="54"/>
  <c r="CT259" i="54"/>
  <c r="CU260" i="54" s="1"/>
  <c r="FE117" i="54" l="1"/>
  <c r="FF117" i="54"/>
  <c r="FC117" i="54"/>
  <c r="FZ117" i="54"/>
  <c r="FX117" i="54"/>
  <c r="GA117" i="54"/>
  <c r="FN116" i="54"/>
  <c r="FP116" i="54" s="1"/>
  <c r="FK117" i="54" s="1"/>
  <c r="FO117" i="54"/>
  <c r="FU116" i="54"/>
  <c r="FW116" i="54" s="1"/>
  <c r="FR117" i="54" s="1"/>
  <c r="FV117" i="54"/>
  <c r="CV260" i="54"/>
  <c r="CT260" i="54"/>
  <c r="CU261" i="54" s="1"/>
  <c r="GC118" i="54" l="1"/>
  <c r="GB117" i="54"/>
  <c r="GD117" i="54" s="1"/>
  <c r="FY118" i="54" s="1"/>
  <c r="FS117" i="54"/>
  <c r="FQ117" i="54"/>
  <c r="FT117" i="54"/>
  <c r="FJ117" i="54"/>
  <c r="FM117" i="54"/>
  <c r="FL117" i="54"/>
  <c r="FG117" i="54"/>
  <c r="FI117" i="54" s="1"/>
  <c r="FD118" i="54" s="1"/>
  <c r="FH118" i="54"/>
  <c r="CV261" i="54"/>
  <c r="CT261" i="54"/>
  <c r="CU262" i="54" s="1"/>
  <c r="FE118" i="54" l="1"/>
  <c r="FC118" i="54"/>
  <c r="FF118" i="54"/>
  <c r="FU117" i="54"/>
  <c r="FW117" i="54" s="1"/>
  <c r="FR118" i="54" s="1"/>
  <c r="FV118" i="54"/>
  <c r="FO118" i="54"/>
  <c r="FN117" i="54"/>
  <c r="FP117" i="54" s="1"/>
  <c r="FK118" i="54" s="1"/>
  <c r="FX118" i="54"/>
  <c r="GA118" i="54"/>
  <c r="FZ118" i="54"/>
  <c r="CV262" i="54"/>
  <c r="CT262" i="54"/>
  <c r="CU263" i="54" s="1"/>
  <c r="FT118" i="54" l="1"/>
  <c r="FS118" i="54"/>
  <c r="FQ118" i="54"/>
  <c r="GB118" i="54"/>
  <c r="GD118" i="54" s="1"/>
  <c r="FY119" i="54" s="1"/>
  <c r="GC119" i="54"/>
  <c r="FJ118" i="54"/>
  <c r="FL118" i="54"/>
  <c r="FM118" i="54"/>
  <c r="FH119" i="54"/>
  <c r="FG118" i="54"/>
  <c r="FI118" i="54" s="1"/>
  <c r="FD119" i="54" s="1"/>
  <c r="CV263" i="54"/>
  <c r="CT263" i="54"/>
  <c r="CU264" i="54" s="1"/>
  <c r="FZ119" i="54" l="1"/>
  <c r="FX119" i="54"/>
  <c r="GA119" i="54"/>
  <c r="FE119" i="54"/>
  <c r="FC119" i="54"/>
  <c r="FF119" i="54"/>
  <c r="FO119" i="54"/>
  <c r="FN118" i="54"/>
  <c r="FP118" i="54" s="1"/>
  <c r="FK119" i="54" s="1"/>
  <c r="FV119" i="54"/>
  <c r="FU118" i="54"/>
  <c r="FW118" i="54" s="1"/>
  <c r="FR119" i="54" s="1"/>
  <c r="CV264" i="54"/>
  <c r="CT264" i="54"/>
  <c r="CU265" i="54" s="1"/>
  <c r="FQ119" i="54" l="1"/>
  <c r="FT119" i="54"/>
  <c r="FS119" i="54"/>
  <c r="FG119" i="54"/>
  <c r="FI119" i="54" s="1"/>
  <c r="FD120" i="54" s="1"/>
  <c r="FH120" i="54"/>
  <c r="FM119" i="54"/>
  <c r="FL119" i="54"/>
  <c r="FJ119" i="54"/>
  <c r="GC120" i="54"/>
  <c r="GB119" i="54"/>
  <c r="GD119" i="54" s="1"/>
  <c r="FY120" i="54" s="1"/>
  <c r="CV265" i="54"/>
  <c r="CT265" i="54"/>
  <c r="CU266" i="54" s="1"/>
  <c r="FZ120" i="54" l="1"/>
  <c r="FX120" i="54"/>
  <c r="GA120" i="54"/>
  <c r="FC120" i="54"/>
  <c r="FF120" i="54"/>
  <c r="FE120" i="54"/>
  <c r="FU119" i="54"/>
  <c r="FW119" i="54" s="1"/>
  <c r="FR120" i="54" s="1"/>
  <c r="FV120" i="54"/>
  <c r="FO120" i="54"/>
  <c r="FN119" i="54"/>
  <c r="FP119" i="54" s="1"/>
  <c r="FK120" i="54" s="1"/>
  <c r="CV266" i="54"/>
  <c r="CT266" i="54"/>
  <c r="CU267" i="54" s="1"/>
  <c r="FH121" i="54" l="1"/>
  <c r="FG120" i="54"/>
  <c r="FI120" i="54" s="1"/>
  <c r="FD121" i="54" s="1"/>
  <c r="FQ120" i="54"/>
  <c r="FS120" i="54"/>
  <c r="FT120" i="54"/>
  <c r="FL120" i="54"/>
  <c r="FJ120" i="54"/>
  <c r="FM120" i="54"/>
  <c r="GC121" i="54"/>
  <c r="GB120" i="54"/>
  <c r="GD120" i="54" s="1"/>
  <c r="FY121" i="54" s="1"/>
  <c r="CV267" i="54"/>
  <c r="CT267" i="54"/>
  <c r="CU268" i="54" s="1"/>
  <c r="FN120" i="54" l="1"/>
  <c r="FP120" i="54" s="1"/>
  <c r="FK121" i="54" s="1"/>
  <c r="FO121" i="54"/>
  <c r="FV121" i="54"/>
  <c r="FU120" i="54"/>
  <c r="FW120" i="54" s="1"/>
  <c r="FR121" i="54" s="1"/>
  <c r="FX121" i="54"/>
  <c r="FZ121" i="54"/>
  <c r="GA121" i="54"/>
  <c r="FF121" i="54"/>
  <c r="FE121" i="54"/>
  <c r="FC121" i="54"/>
  <c r="CV268" i="54"/>
  <c r="CV5" i="54" s="1" a="1"/>
  <c r="CV5" i="54" s="1"/>
  <c r="CT268" i="54"/>
  <c r="CT5" i="54" s="1" a="1"/>
  <c r="CT5" i="54" s="1"/>
  <c r="CU5" i="54" a="1"/>
  <c r="CU5" i="54" s="1"/>
  <c r="GC122" i="54" l="1"/>
  <c r="GB121" i="54"/>
  <c r="FQ121" i="54"/>
  <c r="FS121" i="54"/>
  <c r="FT121" i="54"/>
  <c r="GD121" i="54"/>
  <c r="FY122" i="54" s="1"/>
  <c r="FH122" i="54"/>
  <c r="FG121" i="54"/>
  <c r="FI121" i="54" s="1"/>
  <c r="FD122" i="54" s="1"/>
  <c r="FJ121" i="54"/>
  <c r="FL121" i="54"/>
  <c r="FM121" i="54"/>
  <c r="FX122" i="54" l="1"/>
  <c r="FZ122" i="54"/>
  <c r="GA122" i="54"/>
  <c r="FU121" i="54"/>
  <c r="FW121" i="54" s="1"/>
  <c r="FR122" i="54" s="1"/>
  <c r="FV122" i="54"/>
  <c r="FC122" i="54"/>
  <c r="FF122" i="54"/>
  <c r="FE122" i="54"/>
  <c r="FO122" i="54"/>
  <c r="FN121" i="54"/>
  <c r="FP121" i="54" s="1"/>
  <c r="FK122" i="54" s="1"/>
  <c r="FQ122" i="54" l="1"/>
  <c r="FS122" i="54"/>
  <c r="FT122" i="54"/>
  <c r="FJ122" i="54"/>
  <c r="FM122" i="54"/>
  <c r="FL122" i="54"/>
  <c r="FG122" i="54"/>
  <c r="FI122" i="54" s="1"/>
  <c r="FD123" i="54" s="1"/>
  <c r="FH123" i="54"/>
  <c r="GB122" i="54"/>
  <c r="GD122" i="54" s="1"/>
  <c r="FY123" i="54" s="1"/>
  <c r="GC123" i="54"/>
  <c r="FN122" i="54" l="1"/>
  <c r="FP122" i="54" s="1"/>
  <c r="FK123" i="54" s="1"/>
  <c r="FO123" i="54"/>
  <c r="FZ123" i="54"/>
  <c r="GA123" i="54"/>
  <c r="FX123" i="54"/>
  <c r="FV123" i="54"/>
  <c r="FU122" i="54"/>
  <c r="FW122" i="54" s="1"/>
  <c r="FR123" i="54" s="1"/>
  <c r="FC123" i="54"/>
  <c r="FF123" i="54"/>
  <c r="FE123" i="54"/>
  <c r="FS123" i="54" l="1"/>
  <c r="FQ123" i="54"/>
  <c r="FT123" i="54"/>
  <c r="FH124" i="54"/>
  <c r="FG123" i="54"/>
  <c r="FI123" i="54" s="1"/>
  <c r="FD124" i="54" s="1"/>
  <c r="GC124" i="54"/>
  <c r="GB123" i="54"/>
  <c r="GD123" i="54" s="1"/>
  <c r="FY124" i="54" s="1"/>
  <c r="FL123" i="54"/>
  <c r="FM123" i="54"/>
  <c r="FJ123" i="54"/>
  <c r="FF124" i="54" l="1"/>
  <c r="FE124" i="54"/>
  <c r="FC124" i="54"/>
  <c r="FO124" i="54"/>
  <c r="FN123" i="54"/>
  <c r="FP123" i="54" s="1"/>
  <c r="FK124" i="54" s="1"/>
  <c r="FX124" i="54"/>
  <c r="FZ124" i="54"/>
  <c r="GA124" i="54"/>
  <c r="FV124" i="54"/>
  <c r="FU123" i="54"/>
  <c r="FW123" i="54" s="1"/>
  <c r="FR124" i="54" s="1"/>
  <c r="FT124" i="54" l="1"/>
  <c r="FS124" i="54"/>
  <c r="FQ124" i="54"/>
  <c r="FL124" i="54"/>
  <c r="FJ124" i="54"/>
  <c r="FM124" i="54"/>
  <c r="FH125" i="54"/>
  <c r="FG124" i="54"/>
  <c r="GC125" i="54"/>
  <c r="GB124" i="54"/>
  <c r="GD124" i="54" s="1"/>
  <c r="FY125" i="54" s="1"/>
  <c r="FI124" i="54"/>
  <c r="FD125" i="54" s="1"/>
  <c r="FO125" i="54" l="1"/>
  <c r="FN124" i="54"/>
  <c r="FP124" i="54" s="1"/>
  <c r="FK125" i="54" s="1"/>
  <c r="FE125" i="54"/>
  <c r="FF125" i="54"/>
  <c r="FC125" i="54"/>
  <c r="FV125" i="54"/>
  <c r="FU124" i="54"/>
  <c r="FW124" i="54" s="1"/>
  <c r="FR125" i="54" s="1"/>
  <c r="FX125" i="54"/>
  <c r="FZ125" i="54"/>
  <c r="GA125" i="54"/>
  <c r="FT125" i="54" l="1"/>
  <c r="FS125" i="54"/>
  <c r="FQ125" i="54"/>
  <c r="GD125" i="54"/>
  <c r="FY126" i="54" s="1"/>
  <c r="FI125" i="54"/>
  <c r="FD126" i="54" s="1"/>
  <c r="GC126" i="54"/>
  <c r="GB125" i="54"/>
  <c r="FH126" i="54"/>
  <c r="FG125" i="54"/>
  <c r="FM125" i="54"/>
  <c r="FL125" i="54"/>
  <c r="FJ125" i="54"/>
  <c r="FE126" i="54" l="1"/>
  <c r="FF126" i="54"/>
  <c r="FC126" i="54"/>
  <c r="FX126" i="54"/>
  <c r="FZ126" i="54"/>
  <c r="GA126" i="54"/>
  <c r="FO126" i="54"/>
  <c r="FN125" i="54"/>
  <c r="FP125" i="54" s="1"/>
  <c r="FK126" i="54" s="1"/>
  <c r="FV126" i="54"/>
  <c r="FU125" i="54"/>
  <c r="FW125" i="54" s="1"/>
  <c r="FR126" i="54" s="1"/>
  <c r="GB126" i="54" l="1"/>
  <c r="GD126" i="54" s="1"/>
  <c r="FY127" i="54" s="1"/>
  <c r="GC127" i="54"/>
  <c r="FT126" i="54"/>
  <c r="FQ126" i="54"/>
  <c r="FS126" i="54"/>
  <c r="FJ126" i="54"/>
  <c r="FM126" i="54"/>
  <c r="FL126" i="54"/>
  <c r="FH127" i="54"/>
  <c r="FG126" i="54"/>
  <c r="FI126" i="54" s="1"/>
  <c r="FD127" i="54" s="1"/>
  <c r="FV127" i="54" l="1"/>
  <c r="FU126" i="54"/>
  <c r="FC127" i="54"/>
  <c r="FF127" i="54"/>
  <c r="FE127" i="54"/>
  <c r="FW126" i="54"/>
  <c r="FR127" i="54" s="1"/>
  <c r="FO127" i="54"/>
  <c r="FN126" i="54"/>
  <c r="FP126" i="54" s="1"/>
  <c r="FK127" i="54" s="1"/>
  <c r="GA127" i="54"/>
  <c r="FX127" i="54"/>
  <c r="FZ127" i="54"/>
  <c r="FT127" i="54" l="1"/>
  <c r="FS127" i="54"/>
  <c r="FQ127" i="54"/>
  <c r="FH128" i="54"/>
  <c r="FG127" i="54"/>
  <c r="FI127" i="54" s="1"/>
  <c r="FD128" i="54" s="1"/>
  <c r="GB127" i="54"/>
  <c r="GD127" i="54" s="1"/>
  <c r="FY128" i="54" s="1"/>
  <c r="GC128" i="54"/>
  <c r="FJ127" i="54"/>
  <c r="FL127" i="54"/>
  <c r="FM127" i="54"/>
  <c r="FC128" i="54" l="1"/>
  <c r="FE128" i="54"/>
  <c r="FF128" i="54"/>
  <c r="FO128" i="54"/>
  <c r="FN127" i="54"/>
  <c r="FP127" i="54" s="1"/>
  <c r="FK128" i="54" s="1"/>
  <c r="FV128" i="54"/>
  <c r="FU127" i="54"/>
  <c r="FW127" i="54" s="1"/>
  <c r="FR128" i="54" s="1"/>
  <c r="FX128" i="54"/>
  <c r="FZ128" i="54"/>
  <c r="GA128" i="54"/>
  <c r="FM128" i="54" l="1"/>
  <c r="FJ128" i="54"/>
  <c r="FL128" i="54"/>
  <c r="GC129" i="54"/>
  <c r="GB128" i="54"/>
  <c r="GD128" i="54" s="1"/>
  <c r="FY129" i="54" s="1"/>
  <c r="FH129" i="54"/>
  <c r="FG128" i="54"/>
  <c r="FI128" i="54" s="1"/>
  <c r="FD129" i="54" s="1"/>
  <c r="FT128" i="54"/>
  <c r="FS128" i="54"/>
  <c r="FQ128" i="54"/>
  <c r="FU128" i="54" l="1"/>
  <c r="FV129" i="54"/>
  <c r="FE129" i="54"/>
  <c r="FC129" i="54"/>
  <c r="FF129" i="54"/>
  <c r="FW128" i="54"/>
  <c r="FR129" i="54" s="1"/>
  <c r="FZ129" i="54"/>
  <c r="FX129" i="54"/>
  <c r="GA129" i="54"/>
  <c r="FN128" i="54"/>
  <c r="FP128" i="54" s="1"/>
  <c r="FK129" i="54" s="1"/>
  <c r="FO129" i="54"/>
  <c r="FS129" i="54" l="1"/>
  <c r="FT129" i="54"/>
  <c r="FQ129" i="54"/>
  <c r="FJ129" i="54"/>
  <c r="FM129" i="54"/>
  <c r="FL129" i="54"/>
  <c r="FG129" i="54"/>
  <c r="FI129" i="54" s="1"/>
  <c r="FD130" i="54" s="1"/>
  <c r="FH130" i="54"/>
  <c r="GB129" i="54"/>
  <c r="GD129" i="54" s="1"/>
  <c r="FY130" i="54" s="1"/>
  <c r="GC130" i="54"/>
  <c r="FZ130" i="54" l="1"/>
  <c r="FX130" i="54"/>
  <c r="GA130" i="54"/>
  <c r="FO130" i="54"/>
  <c r="FN129" i="54"/>
  <c r="FP129" i="54" s="1"/>
  <c r="FK130" i="54" s="1"/>
  <c r="FE130" i="54"/>
  <c r="FC130" i="54"/>
  <c r="FF130" i="54"/>
  <c r="FV130" i="54"/>
  <c r="FU129" i="54"/>
  <c r="FW129" i="54" s="1"/>
  <c r="FR130" i="54" s="1"/>
  <c r="FQ130" i="54" l="1"/>
  <c r="FT130" i="54"/>
  <c r="FS130" i="54"/>
  <c r="FH131" i="54"/>
  <c r="FG130" i="54"/>
  <c r="FI130" i="54" s="1"/>
  <c r="FD131" i="54" s="1"/>
  <c r="FJ130" i="54"/>
  <c r="FM130" i="54"/>
  <c r="FL130" i="54"/>
  <c r="GC131" i="54"/>
  <c r="GB130" i="54"/>
  <c r="GD130" i="54" s="1"/>
  <c r="FY131" i="54" s="1"/>
  <c r="FC131" i="54" l="1"/>
  <c r="FF131" i="54"/>
  <c r="FE131" i="54"/>
  <c r="FX131" i="54"/>
  <c r="FZ131" i="54"/>
  <c r="GA131" i="54"/>
  <c r="FU130" i="54"/>
  <c r="FV131" i="54"/>
  <c r="FO131" i="54"/>
  <c r="FN130" i="54"/>
  <c r="FP130" i="54" s="1"/>
  <c r="FK131" i="54" s="1"/>
  <c r="FW130" i="54"/>
  <c r="FR131" i="54" s="1"/>
  <c r="GC132" i="54" l="1"/>
  <c r="GB131" i="54"/>
  <c r="GD131" i="54" s="1"/>
  <c r="FY132" i="54" s="1"/>
  <c r="FM131" i="54"/>
  <c r="FL131" i="54"/>
  <c r="FJ131" i="54"/>
  <c r="FH132" i="54"/>
  <c r="FG131" i="54"/>
  <c r="FS131" i="54"/>
  <c r="FQ131" i="54"/>
  <c r="FT131" i="54"/>
  <c r="FI131" i="54"/>
  <c r="FD132" i="54" s="1"/>
  <c r="FC132" i="54" l="1"/>
  <c r="FF132" i="54"/>
  <c r="FE132" i="54"/>
  <c r="FO132" i="54"/>
  <c r="FN131" i="54"/>
  <c r="FP131" i="54" s="1"/>
  <c r="FK132" i="54" s="1"/>
  <c r="FX132" i="54"/>
  <c r="FZ132" i="54"/>
  <c r="GA132" i="54"/>
  <c r="FU131" i="54"/>
  <c r="FW131" i="54" s="1"/>
  <c r="FR132" i="54" s="1"/>
  <c r="FV132" i="54"/>
  <c r="FQ132" i="54" l="1"/>
  <c r="FS132" i="54"/>
  <c r="FT132" i="54"/>
  <c r="FJ132" i="54"/>
  <c r="FL132" i="54"/>
  <c r="FM132" i="54"/>
  <c r="FH133" i="54"/>
  <c r="FG132" i="54"/>
  <c r="GB132" i="54"/>
  <c r="GD132" i="54" s="1"/>
  <c r="FY133" i="54" s="1"/>
  <c r="GC133" i="54"/>
  <c r="FI132" i="54"/>
  <c r="FD133" i="54" s="1"/>
  <c r="FN132" i="54" l="1"/>
  <c r="FP132" i="54" s="1"/>
  <c r="FK133" i="54" s="1"/>
  <c r="FO133" i="54"/>
  <c r="FX133" i="54"/>
  <c r="FZ133" i="54"/>
  <c r="GA133" i="54"/>
  <c r="FV133" i="54"/>
  <c r="FU132" i="54"/>
  <c r="FW132" i="54" s="1"/>
  <c r="FR133" i="54" s="1"/>
  <c r="FF133" i="54"/>
  <c r="FC133" i="54"/>
  <c r="FE133" i="54"/>
  <c r="FQ133" i="54" l="1"/>
  <c r="FT133" i="54"/>
  <c r="FS133" i="54"/>
  <c r="FI133" i="54"/>
  <c r="FD134" i="54" s="1"/>
  <c r="GC134" i="54"/>
  <c r="GB133" i="54"/>
  <c r="GD133" i="54" s="1"/>
  <c r="FY134" i="54" s="1"/>
  <c r="FH134" i="54"/>
  <c r="FG133" i="54"/>
  <c r="FL133" i="54"/>
  <c r="FM133" i="54"/>
  <c r="FJ133" i="54"/>
  <c r="FX134" i="54" l="1"/>
  <c r="FZ134" i="54"/>
  <c r="GA134" i="54"/>
  <c r="FF134" i="54"/>
  <c r="FE134" i="54"/>
  <c r="FC134" i="54"/>
  <c r="FU133" i="54"/>
  <c r="FW133" i="54" s="1"/>
  <c r="FR134" i="54" s="1"/>
  <c r="FV134" i="54"/>
  <c r="FN133" i="54"/>
  <c r="FP133" i="54" s="1"/>
  <c r="FK134" i="54" s="1"/>
  <c r="FO134" i="54"/>
  <c r="FH135" i="54" l="1"/>
  <c r="FG134" i="54"/>
  <c r="FI134" i="54" s="1"/>
  <c r="FD135" i="54" s="1"/>
  <c r="FL134" i="54"/>
  <c r="FJ134" i="54"/>
  <c r="FM134" i="54"/>
  <c r="GD134" i="54"/>
  <c r="FY135" i="54" s="1"/>
  <c r="GB134" i="54"/>
  <c r="GC135" i="54"/>
  <c r="FS134" i="54"/>
  <c r="FT134" i="54"/>
  <c r="FQ134" i="54"/>
  <c r="FZ135" i="54" l="1"/>
  <c r="FX135" i="54"/>
  <c r="GA135" i="54"/>
  <c r="FN134" i="54"/>
  <c r="FP134" i="54" s="1"/>
  <c r="FK135" i="54" s="1"/>
  <c r="FO135" i="54"/>
  <c r="FC135" i="54"/>
  <c r="FE135" i="54"/>
  <c r="FF135" i="54"/>
  <c r="FU134" i="54"/>
  <c r="FW134" i="54" s="1"/>
  <c r="FR135" i="54" s="1"/>
  <c r="FV135" i="54"/>
  <c r="FQ135" i="54" l="1"/>
  <c r="FS135" i="54"/>
  <c r="FT135" i="54"/>
  <c r="FL135" i="54"/>
  <c r="FJ135" i="54"/>
  <c r="FM135" i="54"/>
  <c r="FH136" i="54"/>
  <c r="FG135" i="54"/>
  <c r="FI135" i="54" s="1"/>
  <c r="FD136" i="54" s="1"/>
  <c r="GC136" i="54"/>
  <c r="GB135" i="54"/>
  <c r="GD135" i="54" s="1"/>
  <c r="FY136" i="54" s="1"/>
  <c r="FE136" i="54" l="1"/>
  <c r="FF136" i="54"/>
  <c r="FC136" i="54"/>
  <c r="FO136" i="54"/>
  <c r="FN135" i="54"/>
  <c r="FP135" i="54" s="1"/>
  <c r="FK136" i="54" s="1"/>
  <c r="GA136" i="54"/>
  <c r="FZ136" i="54"/>
  <c r="FX136" i="54"/>
  <c r="FV136" i="54"/>
  <c r="FU135" i="54"/>
  <c r="FW135" i="54" s="1"/>
  <c r="FR136" i="54" s="1"/>
  <c r="FS136" i="54" l="1"/>
  <c r="FQ136" i="54"/>
  <c r="FT136" i="54"/>
  <c r="FJ136" i="54"/>
  <c r="FM136" i="54"/>
  <c r="FL136" i="54"/>
  <c r="GC137" i="54"/>
  <c r="GB136" i="54"/>
  <c r="GD136" i="54" s="1"/>
  <c r="FY137" i="54" s="1"/>
  <c r="FH137" i="54"/>
  <c r="FG136" i="54"/>
  <c r="FI136" i="54" s="1"/>
  <c r="FD137" i="54" s="1"/>
  <c r="FO137" i="54" l="1"/>
  <c r="FN136" i="54"/>
  <c r="FP136" i="54" s="1"/>
  <c r="FK137" i="54" s="1"/>
  <c r="FC137" i="54"/>
  <c r="FF137" i="54"/>
  <c r="FE137" i="54"/>
  <c r="FZ137" i="54"/>
  <c r="GA137" i="54"/>
  <c r="FX137" i="54"/>
  <c r="FU136" i="54"/>
  <c r="FW136" i="54" s="1"/>
  <c r="FR137" i="54" s="1"/>
  <c r="FV137" i="54"/>
  <c r="FT137" i="54" l="1"/>
  <c r="FS137" i="54"/>
  <c r="FQ137" i="54"/>
  <c r="GC138" i="54"/>
  <c r="GB137" i="54"/>
  <c r="GD137" i="54" s="1"/>
  <c r="FY138" i="54" s="1"/>
  <c r="FG137" i="54"/>
  <c r="FI137" i="54" s="1"/>
  <c r="FD138" i="54" s="1"/>
  <c r="FH138" i="54"/>
  <c r="FL137" i="54"/>
  <c r="FJ137" i="54"/>
  <c r="FM137" i="54"/>
  <c r="FE138" i="54" l="1"/>
  <c r="FC138" i="54"/>
  <c r="FF138" i="54"/>
  <c r="FX138" i="54"/>
  <c r="FZ138" i="54"/>
  <c r="GA138" i="54"/>
  <c r="FN137" i="54"/>
  <c r="FP137" i="54" s="1"/>
  <c r="FK138" i="54" s="1"/>
  <c r="FO138" i="54"/>
  <c r="FU137" i="54"/>
  <c r="FV138" i="54"/>
  <c r="FW137" i="54"/>
  <c r="FR138" i="54" s="1"/>
  <c r="FJ138" i="54" l="1"/>
  <c r="FL138" i="54"/>
  <c r="FM138" i="54"/>
  <c r="GC139" i="54"/>
  <c r="GB138" i="54"/>
  <c r="GD138" i="54" s="1"/>
  <c r="FY139" i="54" s="1"/>
  <c r="FQ138" i="54"/>
  <c r="FS138" i="54"/>
  <c r="FT138" i="54"/>
  <c r="FG138" i="54"/>
  <c r="FI138" i="54" s="1"/>
  <c r="FD139" i="54" s="1"/>
  <c r="FH139" i="54"/>
  <c r="FX139" i="54" l="1"/>
  <c r="FZ139" i="54"/>
  <c r="GA139" i="54"/>
  <c r="FE139" i="54"/>
  <c r="FC139" i="54"/>
  <c r="FF139" i="54"/>
  <c r="FV139" i="54"/>
  <c r="FU138" i="54"/>
  <c r="FO139" i="54"/>
  <c r="FN138" i="54"/>
  <c r="FP138" i="54" s="1"/>
  <c r="FK139" i="54" s="1"/>
  <c r="FW138" i="54"/>
  <c r="FR139" i="54" s="1"/>
  <c r="FQ139" i="54" l="1"/>
  <c r="FS139" i="54"/>
  <c r="FT139" i="54"/>
  <c r="FH140" i="54"/>
  <c r="FG139" i="54"/>
  <c r="FI139" i="54" s="1"/>
  <c r="FD140" i="54" s="1"/>
  <c r="GC140" i="54"/>
  <c r="GB139" i="54"/>
  <c r="GD139" i="54" s="1"/>
  <c r="FY140" i="54" s="1"/>
  <c r="FM139" i="54"/>
  <c r="FJ139" i="54"/>
  <c r="FL139" i="54"/>
  <c r="FC140" i="54" l="1"/>
  <c r="FE140" i="54"/>
  <c r="FF140" i="54"/>
  <c r="FO140" i="54"/>
  <c r="FN139" i="54"/>
  <c r="FP139" i="54" s="1"/>
  <c r="FK140" i="54" s="1"/>
  <c r="FU139" i="54"/>
  <c r="FW139" i="54" s="1"/>
  <c r="FR140" i="54" s="1"/>
  <c r="FV140" i="54"/>
  <c r="FX140" i="54"/>
  <c r="FZ140" i="54"/>
  <c r="GA140" i="54"/>
  <c r="FS140" i="54" l="1"/>
  <c r="FT140" i="54"/>
  <c r="FQ140" i="54"/>
  <c r="FM140" i="54"/>
  <c r="FJ140" i="54"/>
  <c r="FL140" i="54"/>
  <c r="GB140" i="54"/>
  <c r="GD140" i="54" s="1"/>
  <c r="FY141" i="54" s="1"/>
  <c r="GC141" i="54"/>
  <c r="FH141" i="54"/>
  <c r="FG140" i="54"/>
  <c r="FI140" i="54" s="1"/>
  <c r="FD141" i="54" s="1"/>
  <c r="FZ141" i="54" l="1"/>
  <c r="FX141" i="54"/>
  <c r="GA141" i="54"/>
  <c r="FO141" i="54"/>
  <c r="FN140" i="54"/>
  <c r="FP140" i="54" s="1"/>
  <c r="FK141" i="54" s="1"/>
  <c r="FE141" i="54"/>
  <c r="FC141" i="54"/>
  <c r="FF141" i="54"/>
  <c r="FU140" i="54"/>
  <c r="FW140" i="54" s="1"/>
  <c r="FR141" i="54" s="1"/>
  <c r="FV141" i="54"/>
  <c r="FQ141" i="54" l="1"/>
  <c r="FT141" i="54"/>
  <c r="FS141" i="54"/>
  <c r="FH142" i="54"/>
  <c r="FG141" i="54"/>
  <c r="FI141" i="54" s="1"/>
  <c r="FD142" i="54" s="1"/>
  <c r="FM141" i="54"/>
  <c r="FJ141" i="54"/>
  <c r="FL141" i="54"/>
  <c r="GC142" i="54"/>
  <c r="GB141" i="54"/>
  <c r="GD141" i="54" s="1"/>
  <c r="FY142" i="54" s="1"/>
  <c r="FE142" i="54" l="1"/>
  <c r="FC142" i="54"/>
  <c r="FF142" i="54"/>
  <c r="GA142" i="54"/>
  <c r="FZ142" i="54"/>
  <c r="FX142" i="54"/>
  <c r="FV142" i="54"/>
  <c r="FU141" i="54"/>
  <c r="FO142" i="54"/>
  <c r="FN141" i="54"/>
  <c r="FP141" i="54" s="1"/>
  <c r="FK142" i="54" s="1"/>
  <c r="FW141" i="54"/>
  <c r="FR142" i="54" s="1"/>
  <c r="GC143" i="54" l="1"/>
  <c r="GB142" i="54"/>
  <c r="FJ142" i="54"/>
  <c r="FM142" i="54"/>
  <c r="FL142" i="54"/>
  <c r="GD142" i="54"/>
  <c r="FY143" i="54" s="1"/>
  <c r="FS142" i="54"/>
  <c r="FQ142" i="54"/>
  <c r="FT142" i="54"/>
  <c r="FH143" i="54"/>
  <c r="FG142" i="54"/>
  <c r="FI142" i="54" s="1"/>
  <c r="FD143" i="54" s="1"/>
  <c r="FE143" i="54" l="1"/>
  <c r="FC143" i="54"/>
  <c r="FF143" i="54"/>
  <c r="FX143" i="54"/>
  <c r="FZ143" i="54"/>
  <c r="GA143" i="54"/>
  <c r="FO143" i="54"/>
  <c r="FN142" i="54"/>
  <c r="FP142" i="54" s="1"/>
  <c r="FK143" i="54" s="1"/>
  <c r="FV143" i="54"/>
  <c r="FU142" i="54"/>
  <c r="FW142" i="54" s="1"/>
  <c r="FR143" i="54" s="1"/>
  <c r="FQ143" i="54" l="1"/>
  <c r="FT143" i="54"/>
  <c r="FS143" i="54"/>
  <c r="GC144" i="54"/>
  <c r="GB143" i="54"/>
  <c r="GD143" i="54" s="1"/>
  <c r="FY144" i="54" s="1"/>
  <c r="FJ143" i="54"/>
  <c r="FM143" i="54"/>
  <c r="FL143" i="54"/>
  <c r="FH144" i="54"/>
  <c r="FG143" i="54"/>
  <c r="FI143" i="54" s="1"/>
  <c r="FD144" i="54" s="1"/>
  <c r="FZ144" i="54" l="1"/>
  <c r="GA144" i="54"/>
  <c r="FX144" i="54"/>
  <c r="FC144" i="54"/>
  <c r="FE144" i="54"/>
  <c r="FF144" i="54"/>
  <c r="FO144" i="54"/>
  <c r="FN143" i="54"/>
  <c r="FP143" i="54" s="1"/>
  <c r="FK144" i="54" s="1"/>
  <c r="FV144" i="54"/>
  <c r="FU143" i="54"/>
  <c r="FW143" i="54" s="1"/>
  <c r="FR144" i="54" s="1"/>
  <c r="FG144" i="54" l="1"/>
  <c r="FI144" i="54" s="1"/>
  <c r="FD145" i="54" s="1"/>
  <c r="FH145" i="54"/>
  <c r="FT144" i="54"/>
  <c r="FQ144" i="54"/>
  <c r="FS144" i="54"/>
  <c r="FJ144" i="54"/>
  <c r="FM144" i="54"/>
  <c r="FL144" i="54"/>
  <c r="GC145" i="54"/>
  <c r="GB144" i="54"/>
  <c r="GD144" i="54" s="1"/>
  <c r="FY145" i="54" s="1"/>
  <c r="FV145" i="54" l="1"/>
  <c r="FU144" i="54"/>
  <c r="FZ145" i="54"/>
  <c r="GA145" i="54"/>
  <c r="FX145" i="54"/>
  <c r="FW144" i="54"/>
  <c r="FR145" i="54" s="1"/>
  <c r="FO145" i="54"/>
  <c r="FN144" i="54"/>
  <c r="FP144" i="54" s="1"/>
  <c r="FK145" i="54" s="1"/>
  <c r="FE145" i="54"/>
  <c r="FC145" i="54"/>
  <c r="FF145" i="54"/>
  <c r="FT145" i="54" l="1"/>
  <c r="FS145" i="54"/>
  <c r="FQ145" i="54"/>
  <c r="FG145" i="54"/>
  <c r="FI145" i="54" s="1"/>
  <c r="FD146" i="54" s="1"/>
  <c r="FH146" i="54"/>
  <c r="GC146" i="54"/>
  <c r="GB145" i="54"/>
  <c r="GD145" i="54" s="1"/>
  <c r="FY146" i="54" s="1"/>
  <c r="FM145" i="54"/>
  <c r="FJ145" i="54"/>
  <c r="FL145" i="54"/>
  <c r="FX146" i="54" l="1"/>
  <c r="FZ146" i="54"/>
  <c r="GA146" i="54"/>
  <c r="FO146" i="54"/>
  <c r="FN145" i="54"/>
  <c r="FP145" i="54" s="1"/>
  <c r="FK146" i="54" s="1"/>
  <c r="FF146" i="54"/>
  <c r="FC146" i="54"/>
  <c r="FE146" i="54"/>
  <c r="FV146" i="54"/>
  <c r="FU145" i="54"/>
  <c r="FW145" i="54" s="1"/>
  <c r="FR146" i="54" s="1"/>
  <c r="FM146" i="54" l="1"/>
  <c r="FJ146" i="54"/>
  <c r="FL146" i="54"/>
  <c r="FQ146" i="54"/>
  <c r="FS146" i="54"/>
  <c r="FT146" i="54"/>
  <c r="GB146" i="54"/>
  <c r="GD146" i="54" s="1"/>
  <c r="FY147" i="54" s="1"/>
  <c r="GC147" i="54"/>
  <c r="FG146" i="54"/>
  <c r="FI146" i="54" s="1"/>
  <c r="FD147" i="54" s="1"/>
  <c r="FH147" i="54"/>
  <c r="FF147" i="54" l="1"/>
  <c r="FE147" i="54"/>
  <c r="FC147" i="54"/>
  <c r="FU146" i="54"/>
  <c r="FW146" i="54" s="1"/>
  <c r="FR147" i="54" s="1"/>
  <c r="FV147" i="54"/>
  <c r="FN146" i="54"/>
  <c r="FP146" i="54" s="1"/>
  <c r="FK147" i="54" s="1"/>
  <c r="FO147" i="54"/>
  <c r="FZ147" i="54"/>
  <c r="FX147" i="54"/>
  <c r="GA147" i="54"/>
  <c r="FM147" i="54" l="1"/>
  <c r="FJ147" i="54"/>
  <c r="FL147" i="54"/>
  <c r="FS147" i="54"/>
  <c r="FT147" i="54"/>
  <c r="FQ147" i="54"/>
  <c r="GC148" i="54"/>
  <c r="GB147" i="54"/>
  <c r="GD147" i="54" s="1"/>
  <c r="FY148" i="54" s="1"/>
  <c r="FH148" i="54"/>
  <c r="FG147" i="54"/>
  <c r="FI147" i="54" s="1"/>
  <c r="FD148" i="54" s="1"/>
  <c r="FF148" i="54" l="1"/>
  <c r="FE148" i="54"/>
  <c r="FC148" i="54"/>
  <c r="FX148" i="54"/>
  <c r="GA148" i="54"/>
  <c r="FZ148" i="54"/>
  <c r="FU147" i="54"/>
  <c r="FW147" i="54" s="1"/>
  <c r="FR148" i="54" s="1"/>
  <c r="FV148" i="54"/>
  <c r="FO148" i="54"/>
  <c r="FN147" i="54"/>
  <c r="FP147" i="54" s="1"/>
  <c r="FK148" i="54" s="1"/>
  <c r="FS148" i="54" l="1"/>
  <c r="FQ148" i="54"/>
  <c r="FT148" i="54"/>
  <c r="GC149" i="54"/>
  <c r="GB148" i="54"/>
  <c r="GD148" i="54" s="1"/>
  <c r="FY149" i="54" s="1"/>
  <c r="FJ148" i="54"/>
  <c r="FM148" i="54"/>
  <c r="FL148" i="54"/>
  <c r="FH149" i="54"/>
  <c r="FG148" i="54"/>
  <c r="FI148" i="54" s="1"/>
  <c r="FD149" i="54" s="1"/>
  <c r="FX149" i="54" l="1"/>
  <c r="FZ149" i="54"/>
  <c r="GA149" i="54"/>
  <c r="FE149" i="54"/>
  <c r="FC149" i="54"/>
  <c r="FF149" i="54"/>
  <c r="FO149" i="54"/>
  <c r="FN148" i="54"/>
  <c r="FP148" i="54" s="1"/>
  <c r="FK149" i="54" s="1"/>
  <c r="FV149" i="54"/>
  <c r="FU148" i="54"/>
  <c r="FW148" i="54" s="1"/>
  <c r="FR149" i="54" s="1"/>
  <c r="FJ149" i="54" l="1"/>
  <c r="FM149" i="54"/>
  <c r="FL149" i="54"/>
  <c r="FH150" i="54"/>
  <c r="FG149" i="54"/>
  <c r="FI149" i="54" s="1"/>
  <c r="FD150" i="54" s="1"/>
  <c r="FS149" i="54"/>
  <c r="FT149" i="54"/>
  <c r="FQ149" i="54"/>
  <c r="GC150" i="54"/>
  <c r="GB149" i="54"/>
  <c r="GD149" i="54" s="1"/>
  <c r="FY150" i="54" s="1"/>
  <c r="FE150" i="54" l="1"/>
  <c r="FC150" i="54"/>
  <c r="FF150" i="54"/>
  <c r="FV150" i="54"/>
  <c r="FU149" i="54"/>
  <c r="FW149" i="54" s="1"/>
  <c r="FR150" i="54" s="1"/>
  <c r="FZ150" i="54"/>
  <c r="GA150" i="54"/>
  <c r="FX150" i="54"/>
  <c r="FO150" i="54"/>
  <c r="FN149" i="54"/>
  <c r="FP149" i="54" s="1"/>
  <c r="FK150" i="54" s="1"/>
  <c r="FT150" i="54" l="1"/>
  <c r="FS150" i="54"/>
  <c r="FQ150" i="54"/>
  <c r="GC151" i="54"/>
  <c r="GB150" i="54"/>
  <c r="GD150" i="54" s="1"/>
  <c r="FY151" i="54" s="1"/>
  <c r="FJ150" i="54"/>
  <c r="FM150" i="54"/>
  <c r="FL150" i="54"/>
  <c r="FH151" i="54"/>
  <c r="FG150" i="54"/>
  <c r="FI150" i="54" s="1"/>
  <c r="FD151" i="54" s="1"/>
  <c r="FX151" i="54" l="1"/>
  <c r="FZ151" i="54"/>
  <c r="GA151" i="54"/>
  <c r="FE151" i="54"/>
  <c r="FC151" i="54"/>
  <c r="FF151" i="54"/>
  <c r="FO151" i="54"/>
  <c r="FN150" i="54"/>
  <c r="FP150" i="54" s="1"/>
  <c r="FK151" i="54" s="1"/>
  <c r="FU150" i="54"/>
  <c r="FV151" i="54"/>
  <c r="FW150" i="54"/>
  <c r="FR151" i="54" s="1"/>
  <c r="FM151" i="54" l="1"/>
  <c r="FJ151" i="54"/>
  <c r="FL151" i="54"/>
  <c r="FQ151" i="54"/>
  <c r="FS151" i="54"/>
  <c r="FT151" i="54"/>
  <c r="FH152" i="54"/>
  <c r="FG151" i="54"/>
  <c r="FI151" i="54" s="1"/>
  <c r="FD152" i="54" s="1"/>
  <c r="GC152" i="54"/>
  <c r="GB151" i="54"/>
  <c r="GD151" i="54" s="1"/>
  <c r="FY152" i="54" s="1"/>
  <c r="FZ152" i="54" l="1"/>
  <c r="GA152" i="54"/>
  <c r="FX152" i="54"/>
  <c r="FE152" i="54"/>
  <c r="FC152" i="54"/>
  <c r="FF152" i="54"/>
  <c r="FV152" i="54"/>
  <c r="FU151" i="54"/>
  <c r="FW151" i="54"/>
  <c r="FR152" i="54" s="1"/>
  <c r="FO152" i="54"/>
  <c r="FN151" i="54"/>
  <c r="FP151" i="54" s="1"/>
  <c r="FK152" i="54" s="1"/>
  <c r="FM152" i="54" l="1"/>
  <c r="FL152" i="54"/>
  <c r="FJ152" i="54"/>
  <c r="FH153" i="54"/>
  <c r="FG152" i="54"/>
  <c r="FI152" i="54" s="1"/>
  <c r="FD153" i="54" s="1"/>
  <c r="FT152" i="54"/>
  <c r="FQ152" i="54"/>
  <c r="FS152" i="54"/>
  <c r="GD152" i="54"/>
  <c r="FY153" i="54" s="1"/>
  <c r="GB152" i="54"/>
  <c r="GC153" i="54"/>
  <c r="FF153" i="54" l="1"/>
  <c r="FE153" i="54"/>
  <c r="FC153" i="54"/>
  <c r="FZ153" i="54"/>
  <c r="FX153" i="54"/>
  <c r="GA153" i="54"/>
  <c r="FO153" i="54"/>
  <c r="FN152" i="54"/>
  <c r="FP152" i="54" s="1"/>
  <c r="FK153" i="54" s="1"/>
  <c r="FU152" i="54"/>
  <c r="FW152" i="54" s="1"/>
  <c r="FR153" i="54" s="1"/>
  <c r="FV153" i="54"/>
  <c r="GC154" i="54" l="1"/>
  <c r="GB153" i="54"/>
  <c r="GD153" i="54" s="1"/>
  <c r="FY154" i="54" s="1"/>
  <c r="FT153" i="54"/>
  <c r="FS153" i="54"/>
  <c r="FQ153" i="54"/>
  <c r="FJ153" i="54"/>
  <c r="FM153" i="54"/>
  <c r="FL153" i="54"/>
  <c r="FH154" i="54"/>
  <c r="FG153" i="54"/>
  <c r="FI153" i="54" s="1"/>
  <c r="FD154" i="54" s="1"/>
  <c r="FE154" i="54" l="1"/>
  <c r="FC154" i="54"/>
  <c r="FF154" i="54"/>
  <c r="FZ154" i="54"/>
  <c r="FX154" i="54"/>
  <c r="GA154" i="54"/>
  <c r="FV154" i="54"/>
  <c r="FU153" i="54"/>
  <c r="FW153" i="54" s="1"/>
  <c r="FR154" i="54" s="1"/>
  <c r="FO154" i="54"/>
  <c r="FN153" i="54"/>
  <c r="FP153" i="54" s="1"/>
  <c r="FK154" i="54" s="1"/>
  <c r="FL154" i="54" l="1"/>
  <c r="FJ154" i="54"/>
  <c r="FM154" i="54"/>
  <c r="GB154" i="54"/>
  <c r="GD154" i="54" s="1"/>
  <c r="FY155" i="54" s="1"/>
  <c r="GC155" i="54"/>
  <c r="FS154" i="54"/>
  <c r="FQ154" i="54"/>
  <c r="FT154" i="54"/>
  <c r="FG154" i="54"/>
  <c r="FI154" i="54" s="1"/>
  <c r="FD155" i="54" s="1"/>
  <c r="FH155" i="54"/>
  <c r="FE155" i="54" l="1"/>
  <c r="FC155" i="54"/>
  <c r="FF155" i="54"/>
  <c r="FV155" i="54"/>
  <c r="FU154" i="54"/>
  <c r="FW154" i="54" s="1"/>
  <c r="FR155" i="54" s="1"/>
  <c r="FX155" i="54"/>
  <c r="FZ155" i="54"/>
  <c r="GA155" i="54"/>
  <c r="FN154" i="54"/>
  <c r="FP154" i="54" s="1"/>
  <c r="FK155" i="54" s="1"/>
  <c r="FO155" i="54"/>
  <c r="FQ155" i="54" l="1"/>
  <c r="FT155" i="54"/>
  <c r="FS155" i="54"/>
  <c r="FJ155" i="54"/>
  <c r="FM155" i="54"/>
  <c r="FL155" i="54"/>
  <c r="GC156" i="54"/>
  <c r="GB155" i="54"/>
  <c r="GD155" i="54" s="1"/>
  <c r="FY156" i="54" s="1"/>
  <c r="FG155" i="54"/>
  <c r="FI155" i="54" s="1"/>
  <c r="FD156" i="54" s="1"/>
  <c r="FH156" i="54"/>
  <c r="FE156" i="54" l="1"/>
  <c r="FF156" i="54"/>
  <c r="FC156" i="54"/>
  <c r="FZ156" i="54"/>
  <c r="GA156" i="54"/>
  <c r="FX156" i="54"/>
  <c r="FN155" i="54"/>
  <c r="FP155" i="54" s="1"/>
  <c r="FK156" i="54" s="1"/>
  <c r="FO156" i="54"/>
  <c r="FU155" i="54"/>
  <c r="FV156" i="54"/>
  <c r="FW155" i="54"/>
  <c r="FR156" i="54" s="1"/>
  <c r="FQ156" i="54" l="1"/>
  <c r="FS156" i="54"/>
  <c r="FT156" i="54"/>
  <c r="GB156" i="54"/>
  <c r="GD156" i="54" s="1"/>
  <c r="FY157" i="54" s="1"/>
  <c r="GC157" i="54"/>
  <c r="FM156" i="54"/>
  <c r="FJ156" i="54"/>
  <c r="FL156" i="54"/>
  <c r="FH157" i="54"/>
  <c r="FG156" i="54"/>
  <c r="FI156" i="54" s="1"/>
  <c r="FD157" i="54" s="1"/>
  <c r="FF157" i="54" l="1"/>
  <c r="FC157" i="54"/>
  <c r="FE157" i="54"/>
  <c r="FX157" i="54"/>
  <c r="FZ157" i="54"/>
  <c r="GA157" i="54"/>
  <c r="FN156" i="54"/>
  <c r="FP156" i="54" s="1"/>
  <c r="FK157" i="54" s="1"/>
  <c r="FO157" i="54"/>
  <c r="FV157" i="54"/>
  <c r="FU156" i="54"/>
  <c r="FW156" i="54" s="1"/>
  <c r="FR157" i="54" s="1"/>
  <c r="GB157" i="54" l="1"/>
  <c r="GD157" i="54" s="1"/>
  <c r="FY158" i="54" s="1"/>
  <c r="GC158" i="54"/>
  <c r="FQ157" i="54"/>
  <c r="FS157" i="54"/>
  <c r="FT157" i="54"/>
  <c r="FH158" i="54"/>
  <c r="FG157" i="54"/>
  <c r="FL157" i="54"/>
  <c r="FJ157" i="54"/>
  <c r="FM157" i="54"/>
  <c r="FI157" i="54"/>
  <c r="FD158" i="54" s="1"/>
  <c r="FX158" i="54" l="1"/>
  <c r="FZ158" i="54"/>
  <c r="GA158" i="54"/>
  <c r="FE158" i="54"/>
  <c r="FC158" i="54"/>
  <c r="FF158" i="54"/>
  <c r="FU157" i="54"/>
  <c r="FW157" i="54" s="1"/>
  <c r="FR158" i="54" s="1"/>
  <c r="FV158" i="54"/>
  <c r="FN157" i="54"/>
  <c r="FP157" i="54" s="1"/>
  <c r="FK158" i="54" s="1"/>
  <c r="FO158" i="54"/>
  <c r="FG158" i="54" l="1"/>
  <c r="FI158" i="54" s="1"/>
  <c r="FD159" i="54" s="1"/>
  <c r="FH159" i="54"/>
  <c r="FL158" i="54"/>
  <c r="FM158" i="54"/>
  <c r="FJ158" i="54"/>
  <c r="GB158" i="54"/>
  <c r="GD158" i="54" s="1"/>
  <c r="FY159" i="54" s="1"/>
  <c r="GC159" i="54"/>
  <c r="FS158" i="54"/>
  <c r="FT158" i="54"/>
  <c r="FQ158" i="54"/>
  <c r="FX159" i="54" l="1"/>
  <c r="GA159" i="54"/>
  <c r="FZ159" i="54"/>
  <c r="FE159" i="54"/>
  <c r="FC159" i="54"/>
  <c r="FF159" i="54"/>
  <c r="FO159" i="54"/>
  <c r="FN158" i="54"/>
  <c r="FP158" i="54" s="1"/>
  <c r="FK159" i="54" s="1"/>
  <c r="FV159" i="54"/>
  <c r="FU158" i="54"/>
  <c r="FW158" i="54" s="1"/>
  <c r="FR159" i="54" s="1"/>
  <c r="FQ159" i="54" l="1"/>
  <c r="FS159" i="54"/>
  <c r="FT159" i="54"/>
  <c r="FG159" i="54"/>
  <c r="FI159" i="54" s="1"/>
  <c r="FD160" i="54" s="1"/>
  <c r="FH160" i="54"/>
  <c r="GB159" i="54"/>
  <c r="GD159" i="54" s="1"/>
  <c r="FY160" i="54" s="1"/>
  <c r="GC160" i="54"/>
  <c r="FJ159" i="54"/>
  <c r="FM159" i="54"/>
  <c r="FL159" i="54"/>
  <c r="FE160" i="54" l="1"/>
  <c r="FF160" i="54"/>
  <c r="FC160" i="54"/>
  <c r="FO160" i="54"/>
  <c r="FN159" i="54"/>
  <c r="FP159" i="54" s="1"/>
  <c r="FK160" i="54" s="1"/>
  <c r="FV160" i="54"/>
  <c r="FU159" i="54"/>
  <c r="FW159" i="54" s="1"/>
  <c r="FR160" i="54" s="1"/>
  <c r="FX160" i="54"/>
  <c r="FZ160" i="54"/>
  <c r="GA160" i="54"/>
  <c r="FL160" i="54" l="1"/>
  <c r="FJ160" i="54"/>
  <c r="FM160" i="54"/>
  <c r="GC161" i="54"/>
  <c r="GB160" i="54"/>
  <c r="GD160" i="54" s="1"/>
  <c r="FY161" i="54" s="1"/>
  <c r="FT160" i="54"/>
  <c r="FS160" i="54"/>
  <c r="FQ160" i="54"/>
  <c r="FH161" i="54"/>
  <c r="FG160" i="54"/>
  <c r="FI160" i="54" s="1"/>
  <c r="FD161" i="54" s="1"/>
  <c r="FX161" i="54" l="1"/>
  <c r="FZ161" i="54"/>
  <c r="GA161" i="54"/>
  <c r="FF161" i="54"/>
  <c r="FE161" i="54"/>
  <c r="FC161" i="54"/>
  <c r="FU160" i="54"/>
  <c r="FW160" i="54" s="1"/>
  <c r="FR161" i="54" s="1"/>
  <c r="FV161" i="54"/>
  <c r="FN160" i="54"/>
  <c r="FP160" i="54" s="1"/>
  <c r="FK161" i="54" s="1"/>
  <c r="FO161" i="54"/>
  <c r="FH162" i="54" l="1"/>
  <c r="FG161" i="54"/>
  <c r="FI161" i="54" s="1"/>
  <c r="FD162" i="54" s="1"/>
  <c r="FJ161" i="54"/>
  <c r="FM161" i="54"/>
  <c r="FL161" i="54"/>
  <c r="GD161" i="54"/>
  <c r="FY162" i="54" s="1"/>
  <c r="GB161" i="54"/>
  <c r="GC162" i="54"/>
  <c r="FS161" i="54"/>
  <c r="FQ161" i="54"/>
  <c r="FT161" i="54"/>
  <c r="FX162" i="54" l="1"/>
  <c r="FZ162" i="54"/>
  <c r="GA162" i="54"/>
  <c r="FO162" i="54"/>
  <c r="FN161" i="54"/>
  <c r="FP161" i="54" s="1"/>
  <c r="FK162" i="54" s="1"/>
  <c r="FF162" i="54"/>
  <c r="FE162" i="54"/>
  <c r="FC162" i="54"/>
  <c r="FU161" i="54"/>
  <c r="FW161" i="54" s="1"/>
  <c r="FR162" i="54" s="1"/>
  <c r="FV162" i="54"/>
  <c r="FL162" i="54" l="1"/>
  <c r="FJ162" i="54"/>
  <c r="FM162" i="54"/>
  <c r="FS162" i="54"/>
  <c r="FT162" i="54"/>
  <c r="FQ162" i="54"/>
  <c r="GC163" i="54"/>
  <c r="GB162" i="54"/>
  <c r="GD162" i="54" s="1"/>
  <c r="FY163" i="54" s="1"/>
  <c r="FH163" i="54"/>
  <c r="FG162" i="54"/>
  <c r="FI162" i="54" s="1"/>
  <c r="FD163" i="54" s="1"/>
  <c r="FE163" i="54" l="1"/>
  <c r="FC163" i="54"/>
  <c r="FF163" i="54"/>
  <c r="FX163" i="54"/>
  <c r="FZ163" i="54"/>
  <c r="GA163" i="54"/>
  <c r="FV163" i="54"/>
  <c r="FU162" i="54"/>
  <c r="FW162" i="54" s="1"/>
  <c r="FR163" i="54" s="1"/>
  <c r="FO163" i="54"/>
  <c r="FN162" i="54"/>
  <c r="FP162" i="54" s="1"/>
  <c r="FK163" i="54" s="1"/>
  <c r="GC164" i="54" l="1"/>
  <c r="GB163" i="54"/>
  <c r="GD163" i="54" s="1"/>
  <c r="FY164" i="54" s="1"/>
  <c r="FM163" i="54"/>
  <c r="FJ163" i="54"/>
  <c r="FL163" i="54"/>
  <c r="FT163" i="54"/>
  <c r="FQ163" i="54"/>
  <c r="FS163" i="54"/>
  <c r="FH164" i="54"/>
  <c r="FG163" i="54"/>
  <c r="FI163" i="54" s="1"/>
  <c r="FD164" i="54" s="1"/>
  <c r="FF164" i="54" l="1"/>
  <c r="FC164" i="54"/>
  <c r="FE164" i="54"/>
  <c r="FN163" i="54"/>
  <c r="FP163" i="54" s="1"/>
  <c r="FK164" i="54" s="1"/>
  <c r="FO164" i="54"/>
  <c r="FX164" i="54"/>
  <c r="FZ164" i="54"/>
  <c r="GA164" i="54"/>
  <c r="FU163" i="54"/>
  <c r="FW163" i="54" s="1"/>
  <c r="FR164" i="54" s="1"/>
  <c r="FV164" i="54"/>
  <c r="FJ164" i="54" l="1"/>
  <c r="FL164" i="54"/>
  <c r="FM164" i="54"/>
  <c r="FG164" i="54"/>
  <c r="FI164" i="54" s="1"/>
  <c r="FD165" i="54" s="1"/>
  <c r="FH165" i="54"/>
  <c r="FQ164" i="54"/>
  <c r="FS164" i="54"/>
  <c r="FT164" i="54"/>
  <c r="GB164" i="54"/>
  <c r="GD164" i="54" s="1"/>
  <c r="FY165" i="54" s="1"/>
  <c r="GC165" i="54"/>
  <c r="FU164" i="54" l="1"/>
  <c r="FV165" i="54"/>
  <c r="FZ165" i="54"/>
  <c r="GA165" i="54"/>
  <c r="FX165" i="54"/>
  <c r="FW164" i="54"/>
  <c r="FR165" i="54" s="1"/>
  <c r="FE165" i="54"/>
  <c r="FC165" i="54"/>
  <c r="FF165" i="54"/>
  <c r="FN164" i="54"/>
  <c r="FP164" i="54" s="1"/>
  <c r="FK165" i="54" s="1"/>
  <c r="FO165" i="54"/>
  <c r="FT165" i="54" l="1"/>
  <c r="FS165" i="54"/>
  <c r="FQ165" i="54"/>
  <c r="FM165" i="54"/>
  <c r="FL165" i="54"/>
  <c r="FJ165" i="54"/>
  <c r="GC166" i="54"/>
  <c r="GB165" i="54"/>
  <c r="GD165" i="54" s="1"/>
  <c r="FY166" i="54" s="1"/>
  <c r="FG165" i="54"/>
  <c r="FI165" i="54" s="1"/>
  <c r="FD166" i="54" s="1"/>
  <c r="FH166" i="54"/>
  <c r="FE166" i="54" l="1"/>
  <c r="FC166" i="54"/>
  <c r="FF166" i="54"/>
  <c r="FN165" i="54"/>
  <c r="FP165" i="54" s="1"/>
  <c r="FK166" i="54" s="1"/>
  <c r="FO166" i="54"/>
  <c r="FV166" i="54"/>
  <c r="FU165" i="54"/>
  <c r="FW165" i="54" s="1"/>
  <c r="FR166" i="54" s="1"/>
  <c r="FX166" i="54"/>
  <c r="GA166" i="54"/>
  <c r="FZ166" i="54"/>
  <c r="FJ166" i="54" l="1"/>
  <c r="FL166" i="54"/>
  <c r="FM166" i="54"/>
  <c r="FQ166" i="54"/>
  <c r="FS166" i="54"/>
  <c r="FT166" i="54"/>
  <c r="GB166" i="54"/>
  <c r="GD166" i="54" s="1"/>
  <c r="FY167" i="54" s="1"/>
  <c r="GC167" i="54"/>
  <c r="FH167" i="54"/>
  <c r="FG166" i="54"/>
  <c r="FI166" i="54" s="1"/>
  <c r="FD167" i="54" s="1"/>
  <c r="GA167" i="54" l="1"/>
  <c r="FX167" i="54"/>
  <c r="FZ167" i="54"/>
  <c r="FE167" i="54"/>
  <c r="FC167" i="54"/>
  <c r="FF167" i="54"/>
  <c r="FV167" i="54"/>
  <c r="FU166" i="54"/>
  <c r="FW166" i="54" s="1"/>
  <c r="FR167" i="54" s="1"/>
  <c r="FO167" i="54"/>
  <c r="FN166" i="54"/>
  <c r="FP166" i="54" s="1"/>
  <c r="FK167" i="54" s="1"/>
  <c r="FG167" i="54" l="1"/>
  <c r="FI167" i="54" s="1"/>
  <c r="FD168" i="54" s="1"/>
  <c r="FH168" i="54"/>
  <c r="GC168" i="54"/>
  <c r="GB167" i="54"/>
  <c r="FM167" i="54"/>
  <c r="FL167" i="54"/>
  <c r="FJ167" i="54"/>
  <c r="FT167" i="54"/>
  <c r="FQ167" i="54"/>
  <c r="FS167" i="54"/>
  <c r="GD167" i="54"/>
  <c r="FY168" i="54" s="1"/>
  <c r="FC168" i="54" l="1"/>
  <c r="FF168" i="54"/>
  <c r="FE168" i="54"/>
  <c r="FZ168" i="54"/>
  <c r="GA168" i="54"/>
  <c r="FX168" i="54"/>
  <c r="FV168" i="54"/>
  <c r="FU167" i="54"/>
  <c r="FW167" i="54" s="1"/>
  <c r="FR168" i="54" s="1"/>
  <c r="FN167" i="54"/>
  <c r="FP167" i="54" s="1"/>
  <c r="FK168" i="54" s="1"/>
  <c r="FO168" i="54"/>
  <c r="GC169" i="54" l="1"/>
  <c r="GB168" i="54"/>
  <c r="GD168" i="54" s="1"/>
  <c r="FY169" i="54" s="1"/>
  <c r="FH169" i="54"/>
  <c r="FG168" i="54"/>
  <c r="FI168" i="54" s="1"/>
  <c r="FD169" i="54" s="1"/>
  <c r="FJ168" i="54"/>
  <c r="FL168" i="54"/>
  <c r="FM168" i="54"/>
  <c r="FQ168" i="54"/>
  <c r="FT168" i="54"/>
  <c r="FS168" i="54"/>
  <c r="FF169" i="54" l="1"/>
  <c r="FE169" i="54"/>
  <c r="FC169" i="54"/>
  <c r="FZ169" i="54"/>
  <c r="GA169" i="54"/>
  <c r="FX169" i="54"/>
  <c r="FV169" i="54"/>
  <c r="FU168" i="54"/>
  <c r="FW168" i="54" s="1"/>
  <c r="FR169" i="54" s="1"/>
  <c r="FN168" i="54"/>
  <c r="FP168" i="54" s="1"/>
  <c r="FK169" i="54" s="1"/>
  <c r="FO169" i="54"/>
  <c r="GC170" i="54" l="1"/>
  <c r="GB169" i="54"/>
  <c r="GD169" i="54" s="1"/>
  <c r="FY170" i="54" s="1"/>
  <c r="FM169" i="54"/>
  <c r="FJ169" i="54"/>
  <c r="FL169" i="54"/>
  <c r="FH170" i="54"/>
  <c r="FG169" i="54"/>
  <c r="FI169" i="54" s="1"/>
  <c r="FD170" i="54" s="1"/>
  <c r="FQ169" i="54"/>
  <c r="FS169" i="54"/>
  <c r="FT169" i="54"/>
  <c r="FX170" i="54" l="1"/>
  <c r="FZ170" i="54"/>
  <c r="GA170" i="54"/>
  <c r="FO170" i="54"/>
  <c r="FN169" i="54"/>
  <c r="FP169" i="54" s="1"/>
  <c r="FK170" i="54" s="1"/>
  <c r="FE170" i="54"/>
  <c r="FF170" i="54"/>
  <c r="FC170" i="54"/>
  <c r="FV170" i="54"/>
  <c r="FU169" i="54"/>
  <c r="FW169" i="54" s="1"/>
  <c r="FR170" i="54" s="1"/>
  <c r="FG170" i="54" l="1"/>
  <c r="FI170" i="54" s="1"/>
  <c r="FD171" i="54" s="1"/>
  <c r="FH171" i="54"/>
  <c r="FM170" i="54"/>
  <c r="FJ170" i="54"/>
  <c r="FL170" i="54"/>
  <c r="GB170" i="54"/>
  <c r="GD170" i="54" s="1"/>
  <c r="FY171" i="54" s="1"/>
  <c r="GC171" i="54"/>
  <c r="FQ170" i="54"/>
  <c r="FT170" i="54"/>
  <c r="FS170" i="54"/>
  <c r="FX171" i="54" l="1"/>
  <c r="GA171" i="54"/>
  <c r="FZ171" i="54"/>
  <c r="FO171" i="54"/>
  <c r="FN170" i="54"/>
  <c r="FP170" i="54" s="1"/>
  <c r="FK171" i="54" s="1"/>
  <c r="FU170" i="54"/>
  <c r="FW170" i="54" s="1"/>
  <c r="FR171" i="54" s="1"/>
  <c r="FV171" i="54"/>
  <c r="FE171" i="54"/>
  <c r="FC171" i="54"/>
  <c r="FF171" i="54"/>
  <c r="FQ171" i="54" l="1"/>
  <c r="FS171" i="54"/>
  <c r="FT171" i="54"/>
  <c r="FL171" i="54"/>
  <c r="FJ171" i="54"/>
  <c r="FM171" i="54"/>
  <c r="GB171" i="54"/>
  <c r="GD171" i="54" s="1"/>
  <c r="FY172" i="54" s="1"/>
  <c r="GC172" i="54"/>
  <c r="FG171" i="54"/>
  <c r="FH172" i="54"/>
  <c r="FI171" i="54"/>
  <c r="FD172" i="54" s="1"/>
  <c r="FO172" i="54" l="1"/>
  <c r="FN171" i="54"/>
  <c r="FP171" i="54" s="1"/>
  <c r="FK172" i="54" s="1"/>
  <c r="FE172" i="54"/>
  <c r="FC172" i="54"/>
  <c r="FF172" i="54"/>
  <c r="FU171" i="54"/>
  <c r="FW171" i="54" s="1"/>
  <c r="FR172" i="54" s="1"/>
  <c r="FV172" i="54"/>
  <c r="FX172" i="54"/>
  <c r="GA172" i="54"/>
  <c r="FZ172" i="54"/>
  <c r="FS172" i="54" l="1"/>
  <c r="FQ172" i="54"/>
  <c r="FT172" i="54"/>
  <c r="GC173" i="54"/>
  <c r="GB172" i="54"/>
  <c r="GD172" i="54" s="1"/>
  <c r="FY173" i="54" s="1"/>
  <c r="FH173" i="54"/>
  <c r="FG172" i="54"/>
  <c r="FI172" i="54" s="1"/>
  <c r="FD173" i="54" s="1"/>
  <c r="FM172" i="54"/>
  <c r="FL172" i="54"/>
  <c r="FJ172" i="54"/>
  <c r="FX173" i="54" l="1"/>
  <c r="FZ173" i="54"/>
  <c r="GA173" i="54"/>
  <c r="FO173" i="54"/>
  <c r="FN172" i="54"/>
  <c r="FP172" i="54" s="1"/>
  <c r="FK173" i="54" s="1"/>
  <c r="FF173" i="54"/>
  <c r="FC173" i="54"/>
  <c r="FE173" i="54"/>
  <c r="FV173" i="54"/>
  <c r="FU172" i="54"/>
  <c r="FW172" i="54" s="1"/>
  <c r="FR173" i="54" s="1"/>
  <c r="FJ173" i="54" l="1"/>
  <c r="FM173" i="54"/>
  <c r="FL173" i="54"/>
  <c r="FS173" i="54"/>
  <c r="FQ173" i="54"/>
  <c r="FT173" i="54"/>
  <c r="GC174" i="54"/>
  <c r="GB173" i="54"/>
  <c r="GD173" i="54" s="1"/>
  <c r="FY174" i="54" s="1"/>
  <c r="FH174" i="54"/>
  <c r="FG173" i="54"/>
  <c r="FI173" i="54" s="1"/>
  <c r="FD174" i="54" s="1"/>
  <c r="GA174" i="54" l="1"/>
  <c r="FX174" i="54"/>
  <c r="FZ174" i="54"/>
  <c r="FF174" i="54"/>
  <c r="FC174" i="54"/>
  <c r="FE174" i="54"/>
  <c r="FV174" i="54"/>
  <c r="FU173" i="54"/>
  <c r="FW173" i="54" s="1"/>
  <c r="FR174" i="54" s="1"/>
  <c r="FO174" i="54"/>
  <c r="FN173" i="54"/>
  <c r="FP173" i="54" s="1"/>
  <c r="FK174" i="54" s="1"/>
  <c r="FH175" i="54" l="1"/>
  <c r="FG174" i="54"/>
  <c r="FI174" i="54"/>
  <c r="FD175" i="54" s="1"/>
  <c r="GC175" i="54"/>
  <c r="GB174" i="54"/>
  <c r="GD174" i="54" s="1"/>
  <c r="FY175" i="54" s="1"/>
  <c r="FL174" i="54"/>
  <c r="FJ174" i="54"/>
  <c r="FM174" i="54"/>
  <c r="FS174" i="54"/>
  <c r="FT174" i="54"/>
  <c r="FQ174" i="54"/>
  <c r="FN174" i="54" l="1"/>
  <c r="FP174" i="54" s="1"/>
  <c r="FK175" i="54" s="1"/>
  <c r="FO175" i="54"/>
  <c r="FX175" i="54"/>
  <c r="FZ175" i="54"/>
  <c r="GA175" i="54"/>
  <c r="FV175" i="54"/>
  <c r="FU174" i="54"/>
  <c r="FW174" i="54" s="1"/>
  <c r="FR175" i="54" s="1"/>
  <c r="FE175" i="54"/>
  <c r="FF175" i="54"/>
  <c r="FC175" i="54"/>
  <c r="FQ175" i="54" l="1"/>
  <c r="FS175" i="54"/>
  <c r="FT175" i="54"/>
  <c r="FH176" i="54"/>
  <c r="FG175" i="54"/>
  <c r="FI175" i="54" s="1"/>
  <c r="FD176" i="54" s="1"/>
  <c r="GC176" i="54"/>
  <c r="GB175" i="54"/>
  <c r="GD175" i="54" s="1"/>
  <c r="FY176" i="54" s="1"/>
  <c r="FJ175" i="54"/>
  <c r="FL175" i="54"/>
  <c r="FM175" i="54"/>
  <c r="FC176" i="54" l="1"/>
  <c r="FE176" i="54"/>
  <c r="FF176" i="54"/>
  <c r="FO176" i="54"/>
  <c r="FN175" i="54"/>
  <c r="FP175" i="54" s="1"/>
  <c r="FK176" i="54" s="1"/>
  <c r="FV176" i="54"/>
  <c r="FU175" i="54"/>
  <c r="FW175" i="54" s="1"/>
  <c r="FR176" i="54" s="1"/>
  <c r="FX176" i="54"/>
  <c r="FZ176" i="54"/>
  <c r="GA176" i="54"/>
  <c r="FL176" i="54" l="1"/>
  <c r="FM176" i="54"/>
  <c r="FJ176" i="54"/>
  <c r="GB176" i="54"/>
  <c r="GD176" i="54" s="1"/>
  <c r="FY177" i="54" s="1"/>
  <c r="GC177" i="54"/>
  <c r="FH177" i="54"/>
  <c r="FG176" i="54"/>
  <c r="FI176" i="54" s="1"/>
  <c r="FD177" i="54" s="1"/>
  <c r="FS176" i="54"/>
  <c r="FT176" i="54"/>
  <c r="FQ176" i="54"/>
  <c r="FU176" i="54" l="1"/>
  <c r="FW176" i="54" s="1"/>
  <c r="FR177" i="54" s="1"/>
  <c r="FV177" i="54"/>
  <c r="FF177" i="54"/>
  <c r="FE177" i="54"/>
  <c r="FC177" i="54"/>
  <c r="GA177" i="54"/>
  <c r="FZ177" i="54"/>
  <c r="FX177" i="54"/>
  <c r="FN176" i="54"/>
  <c r="FP176" i="54" s="1"/>
  <c r="FK177" i="54" s="1"/>
  <c r="FO177" i="54"/>
  <c r="FH178" i="54" l="1"/>
  <c r="FG177" i="54"/>
  <c r="FI177" i="54" s="1"/>
  <c r="FD178" i="54" s="1"/>
  <c r="FS177" i="54"/>
  <c r="FT177" i="54"/>
  <c r="FQ177" i="54"/>
  <c r="FJ177" i="54"/>
  <c r="FM177" i="54"/>
  <c r="FL177" i="54"/>
  <c r="GC178" i="54"/>
  <c r="GB177" i="54"/>
  <c r="GD177" i="54" s="1"/>
  <c r="FY178" i="54" s="1"/>
  <c r="GA178" i="54" l="1"/>
  <c r="FZ178" i="54"/>
  <c r="FX178" i="54"/>
  <c r="FE178" i="54"/>
  <c r="FC178" i="54"/>
  <c r="FF178" i="54"/>
  <c r="FV178" i="54"/>
  <c r="FU177" i="54"/>
  <c r="FW177" i="54" s="1"/>
  <c r="FR178" i="54" s="1"/>
  <c r="FO178" i="54"/>
  <c r="FN177" i="54"/>
  <c r="FP177" i="54" s="1"/>
  <c r="FK178" i="54" s="1"/>
  <c r="FQ178" i="54" l="1"/>
  <c r="FT178" i="54"/>
  <c r="FS178" i="54"/>
  <c r="FG178" i="54"/>
  <c r="FI178" i="54" s="1"/>
  <c r="FD179" i="54" s="1"/>
  <c r="FH179" i="54"/>
  <c r="FM178" i="54"/>
  <c r="FL178" i="54"/>
  <c r="FJ178" i="54"/>
  <c r="GC179" i="54"/>
  <c r="GB178" i="54"/>
  <c r="GD178" i="54" s="1"/>
  <c r="FY179" i="54" s="1"/>
  <c r="FZ179" i="54" l="1"/>
  <c r="GA179" i="54"/>
  <c r="FX179" i="54"/>
  <c r="FE179" i="54"/>
  <c r="FC179" i="54"/>
  <c r="FF179" i="54"/>
  <c r="FU178" i="54"/>
  <c r="FW178" i="54" s="1"/>
  <c r="FR179" i="54" s="1"/>
  <c r="FV179" i="54"/>
  <c r="FO179" i="54"/>
  <c r="FN178" i="54"/>
  <c r="FP178" i="54" s="1"/>
  <c r="FK179" i="54" s="1"/>
  <c r="FT179" i="54" l="1"/>
  <c r="FQ179" i="54"/>
  <c r="FS179" i="54"/>
  <c r="FH180" i="54"/>
  <c r="FG179" i="54"/>
  <c r="FI179" i="54" s="1"/>
  <c r="FD180" i="54" s="1"/>
  <c r="FJ179" i="54"/>
  <c r="FM179" i="54"/>
  <c r="FL179" i="54"/>
  <c r="GC180" i="54"/>
  <c r="GB179" i="54"/>
  <c r="GD179" i="54" s="1"/>
  <c r="FY180" i="54" s="1"/>
  <c r="FX180" i="54" l="1"/>
  <c r="FZ180" i="54"/>
  <c r="GA180" i="54"/>
  <c r="FF180" i="54"/>
  <c r="FE180" i="54"/>
  <c r="FC180" i="54"/>
  <c r="FV180" i="54"/>
  <c r="FU179" i="54"/>
  <c r="FN179" i="54"/>
  <c r="FP179" i="54" s="1"/>
  <c r="FK180" i="54" s="1"/>
  <c r="FO180" i="54"/>
  <c r="FW179" i="54"/>
  <c r="FR180" i="54" s="1"/>
  <c r="FH181" i="54" l="1"/>
  <c r="FG180" i="54"/>
  <c r="FQ180" i="54"/>
  <c r="FS180" i="54"/>
  <c r="FT180" i="54"/>
  <c r="FI180" i="54"/>
  <c r="FD181" i="54" s="1"/>
  <c r="FJ180" i="54"/>
  <c r="FL180" i="54"/>
  <c r="FM180" i="54"/>
  <c r="GB180" i="54"/>
  <c r="GD180" i="54" s="1"/>
  <c r="FY181" i="54" s="1"/>
  <c r="GC181" i="54"/>
  <c r="FE181" i="54" l="1"/>
  <c r="FC181" i="54"/>
  <c r="FF181" i="54"/>
  <c r="FU180" i="54"/>
  <c r="FW180" i="54" s="1"/>
  <c r="FR181" i="54" s="1"/>
  <c r="FV181" i="54"/>
  <c r="FN180" i="54"/>
  <c r="FP180" i="54" s="1"/>
  <c r="FK181" i="54" s="1"/>
  <c r="FO181" i="54"/>
  <c r="FX181" i="54"/>
  <c r="FZ181" i="54"/>
  <c r="GA181" i="54"/>
  <c r="FM181" i="54" l="1"/>
  <c r="FL181" i="54"/>
  <c r="FJ181" i="54"/>
  <c r="FT181" i="54"/>
  <c r="FQ181" i="54"/>
  <c r="FS181" i="54"/>
  <c r="GB181" i="54"/>
  <c r="GD181" i="54" s="1"/>
  <c r="FY182" i="54" s="1"/>
  <c r="GC182" i="54"/>
  <c r="FI181" i="54"/>
  <c r="FD182" i="54" s="1"/>
  <c r="FG181" i="54"/>
  <c r="FH182" i="54"/>
  <c r="FV182" i="54" l="1"/>
  <c r="FU181" i="54"/>
  <c r="FW181" i="54" s="1"/>
  <c r="FR182" i="54" s="1"/>
  <c r="FE182" i="54"/>
  <c r="FF182" i="54"/>
  <c r="FC182" i="54"/>
  <c r="FX182" i="54"/>
  <c r="FZ182" i="54"/>
  <c r="GA182" i="54"/>
  <c r="FO182" i="54"/>
  <c r="FN181" i="54"/>
  <c r="FP181" i="54" s="1"/>
  <c r="FK182" i="54" s="1"/>
  <c r="FM182" i="54" l="1"/>
  <c r="FJ182" i="54"/>
  <c r="FL182" i="54"/>
  <c r="FG182" i="54"/>
  <c r="FI182" i="54" s="1"/>
  <c r="FD183" i="54" s="1"/>
  <c r="FH183" i="54"/>
  <c r="FS182" i="54"/>
  <c r="FT182" i="54"/>
  <c r="FQ182" i="54"/>
  <c r="GB182" i="54"/>
  <c r="GD182" i="54" s="1"/>
  <c r="FY183" i="54" s="1"/>
  <c r="GC183" i="54"/>
  <c r="FX183" i="54" l="1"/>
  <c r="FZ183" i="54"/>
  <c r="GA183" i="54"/>
  <c r="FU182" i="54"/>
  <c r="FW182" i="54" s="1"/>
  <c r="FR183" i="54" s="1"/>
  <c r="FV183" i="54"/>
  <c r="FC183" i="54"/>
  <c r="FE183" i="54"/>
  <c r="FF183" i="54"/>
  <c r="FN182" i="54"/>
  <c r="FP182" i="54" s="1"/>
  <c r="FK183" i="54" s="1"/>
  <c r="FO183" i="54"/>
  <c r="FS183" i="54" l="1"/>
  <c r="FT183" i="54"/>
  <c r="FQ183" i="54"/>
  <c r="FL183" i="54"/>
  <c r="FJ183" i="54"/>
  <c r="FM183" i="54"/>
  <c r="GC184" i="54"/>
  <c r="GB183" i="54"/>
  <c r="GD183" i="54" s="1"/>
  <c r="FY184" i="54" s="1"/>
  <c r="FH184" i="54"/>
  <c r="FG183" i="54"/>
  <c r="FI183" i="54" s="1"/>
  <c r="FD184" i="54" s="1"/>
  <c r="FE184" i="54" l="1"/>
  <c r="FC184" i="54"/>
  <c r="FF184" i="54"/>
  <c r="FN183" i="54"/>
  <c r="FP183" i="54" s="1"/>
  <c r="FK184" i="54" s="1"/>
  <c r="FO184" i="54"/>
  <c r="GA184" i="54"/>
  <c r="FZ184" i="54"/>
  <c r="FX184" i="54"/>
  <c r="FV184" i="54"/>
  <c r="FU183" i="54"/>
  <c r="FW183" i="54" s="1"/>
  <c r="FR184" i="54" s="1"/>
  <c r="FM184" i="54" l="1"/>
  <c r="FJ184" i="54"/>
  <c r="FL184" i="54"/>
  <c r="FQ184" i="54"/>
  <c r="FT184" i="54"/>
  <c r="FS184" i="54"/>
  <c r="GB184" i="54"/>
  <c r="GD184" i="54" s="1"/>
  <c r="FY185" i="54" s="1"/>
  <c r="GC185" i="54"/>
  <c r="FH185" i="54"/>
  <c r="FG184" i="54"/>
  <c r="FI184" i="54" s="1"/>
  <c r="FD185" i="54" s="1"/>
  <c r="FU184" i="54" l="1"/>
  <c r="FW184" i="54" s="1"/>
  <c r="FR185" i="54" s="1"/>
  <c r="FV185" i="54"/>
  <c r="FX185" i="54"/>
  <c r="FZ185" i="54"/>
  <c r="GA185" i="54"/>
  <c r="FF185" i="54"/>
  <c r="FC185" i="54"/>
  <c r="FE185" i="54"/>
  <c r="FO185" i="54"/>
  <c r="FN184" i="54"/>
  <c r="FP184" i="54" s="1"/>
  <c r="FK185" i="54" s="1"/>
  <c r="GB185" i="54" l="1"/>
  <c r="GD185" i="54" s="1"/>
  <c r="FY186" i="54" s="1"/>
  <c r="GC186" i="54"/>
  <c r="FH186" i="54"/>
  <c r="FG185" i="54"/>
  <c r="FI185" i="54" s="1"/>
  <c r="FD186" i="54" s="1"/>
  <c r="FJ185" i="54"/>
  <c r="FL185" i="54"/>
  <c r="FM185" i="54"/>
  <c r="FT185" i="54"/>
  <c r="FS185" i="54"/>
  <c r="FQ185" i="54"/>
  <c r="FF186" i="54" l="1"/>
  <c r="FC186" i="54"/>
  <c r="FE186" i="54"/>
  <c r="FX186" i="54"/>
  <c r="FZ186" i="54"/>
  <c r="GA186" i="54"/>
  <c r="FV186" i="54"/>
  <c r="FU185" i="54"/>
  <c r="FW185" i="54" s="1"/>
  <c r="FR186" i="54" s="1"/>
  <c r="FN185" i="54"/>
  <c r="FP185" i="54" s="1"/>
  <c r="FK186" i="54" s="1"/>
  <c r="FO186" i="54"/>
  <c r="GC187" i="54" l="1"/>
  <c r="GB186" i="54"/>
  <c r="GD186" i="54" s="1"/>
  <c r="FY187" i="54" s="1"/>
  <c r="FH187" i="54"/>
  <c r="FG186" i="54"/>
  <c r="FS186" i="54"/>
  <c r="FT186" i="54"/>
  <c r="FQ186" i="54"/>
  <c r="FJ186" i="54"/>
  <c r="FM186" i="54"/>
  <c r="FL186" i="54"/>
  <c r="FI186" i="54"/>
  <c r="FD187" i="54" s="1"/>
  <c r="FV187" i="54" l="1"/>
  <c r="FU186" i="54"/>
  <c r="FW186" i="54" s="1"/>
  <c r="FR187" i="54" s="1"/>
  <c r="FE187" i="54"/>
  <c r="FC187" i="54"/>
  <c r="FF187" i="54"/>
  <c r="FZ187" i="54"/>
  <c r="GA187" i="54"/>
  <c r="FX187" i="54"/>
  <c r="FN186" i="54"/>
  <c r="FP186" i="54" s="1"/>
  <c r="FK187" i="54" s="1"/>
  <c r="FO187" i="54"/>
  <c r="GB187" i="54" l="1"/>
  <c r="GC188" i="54"/>
  <c r="FG187" i="54"/>
  <c r="FI187" i="54" s="1"/>
  <c r="FD188" i="54" s="1"/>
  <c r="FH188" i="54"/>
  <c r="FS187" i="54"/>
  <c r="FQ187" i="54"/>
  <c r="FT187" i="54"/>
  <c r="FM187" i="54"/>
  <c r="FJ187" i="54"/>
  <c r="FL187" i="54"/>
  <c r="GD187" i="54"/>
  <c r="FY188" i="54" s="1"/>
  <c r="FV188" i="54" l="1"/>
  <c r="FU187" i="54"/>
  <c r="FZ188" i="54"/>
  <c r="FX188" i="54"/>
  <c r="GA188" i="54"/>
  <c r="FO188" i="54"/>
  <c r="FN187" i="54"/>
  <c r="FP187" i="54" s="1"/>
  <c r="FK188" i="54" s="1"/>
  <c r="FC188" i="54"/>
  <c r="FE188" i="54"/>
  <c r="FF188" i="54"/>
  <c r="FW187" i="54"/>
  <c r="FR188" i="54" s="1"/>
  <c r="FT188" i="54" l="1"/>
  <c r="FQ188" i="54"/>
  <c r="FS188" i="54"/>
  <c r="GB188" i="54"/>
  <c r="GD188" i="54" s="1"/>
  <c r="FY189" i="54" s="1"/>
  <c r="GC189" i="54"/>
  <c r="FH189" i="54"/>
  <c r="FG188" i="54"/>
  <c r="FI188" i="54" s="1"/>
  <c r="FD189" i="54" s="1"/>
  <c r="FM188" i="54"/>
  <c r="FJ188" i="54"/>
  <c r="FL188" i="54"/>
  <c r="FN188" i="54" l="1"/>
  <c r="FP188" i="54" s="1"/>
  <c r="FK189" i="54" s="1"/>
  <c r="FO189" i="54"/>
  <c r="FX189" i="54"/>
  <c r="GA189" i="54"/>
  <c r="FZ189" i="54"/>
  <c r="FU188" i="54"/>
  <c r="FW188" i="54" s="1"/>
  <c r="FR189" i="54" s="1"/>
  <c r="FV189" i="54"/>
  <c r="FE189" i="54"/>
  <c r="FC189" i="54"/>
  <c r="FF189" i="54"/>
  <c r="GC190" i="54" l="1"/>
  <c r="GB189" i="54"/>
  <c r="GD189" i="54" s="1"/>
  <c r="FY190" i="54" s="1"/>
  <c r="FH190" i="54"/>
  <c r="FG189" i="54"/>
  <c r="FI189" i="54" s="1"/>
  <c r="FD190" i="54" s="1"/>
  <c r="FS189" i="54"/>
  <c r="FT189" i="54"/>
  <c r="FQ189" i="54"/>
  <c r="FJ189" i="54"/>
  <c r="FM189" i="54"/>
  <c r="FL189" i="54"/>
  <c r="FE190" i="54" l="1"/>
  <c r="FF190" i="54"/>
  <c r="FC190" i="54"/>
  <c r="FX190" i="54"/>
  <c r="GA190" i="54"/>
  <c r="FZ190" i="54"/>
  <c r="FO190" i="54"/>
  <c r="FN189" i="54"/>
  <c r="FP189" i="54" s="1"/>
  <c r="FK190" i="54" s="1"/>
  <c r="FU189" i="54"/>
  <c r="FV190" i="54"/>
  <c r="FW189" i="54"/>
  <c r="FR190" i="54" s="1"/>
  <c r="GC191" i="54" l="1"/>
  <c r="GB190" i="54"/>
  <c r="GD190" i="54" s="1"/>
  <c r="FY191" i="54" s="1"/>
  <c r="FS190" i="54"/>
  <c r="FQ190" i="54"/>
  <c r="FT190" i="54"/>
  <c r="FM190" i="54"/>
  <c r="FL190" i="54"/>
  <c r="FJ190" i="54"/>
  <c r="FG190" i="54"/>
  <c r="FI190" i="54" s="1"/>
  <c r="FD191" i="54" s="1"/>
  <c r="FH191" i="54"/>
  <c r="FE191" i="54" l="1"/>
  <c r="FC191" i="54"/>
  <c r="FF191" i="54"/>
  <c r="FV191" i="54"/>
  <c r="FU190" i="54"/>
  <c r="FW190" i="54" s="1"/>
  <c r="FR191" i="54" s="1"/>
  <c r="GA191" i="54"/>
  <c r="FX191" i="54"/>
  <c r="FZ191" i="54"/>
  <c r="FN190" i="54"/>
  <c r="FP190" i="54" s="1"/>
  <c r="FK191" i="54" s="1"/>
  <c r="FO191" i="54"/>
  <c r="FQ191" i="54" l="1"/>
  <c r="FT191" i="54"/>
  <c r="FS191" i="54"/>
  <c r="FJ191" i="54"/>
  <c r="FM191" i="54"/>
  <c r="FL191" i="54"/>
  <c r="GC192" i="54"/>
  <c r="GB191" i="54"/>
  <c r="GD191" i="54"/>
  <c r="FY192" i="54" s="1"/>
  <c r="FG191" i="54"/>
  <c r="FI191" i="54" s="1"/>
  <c r="FD192" i="54" s="1"/>
  <c r="FH192" i="54"/>
  <c r="FE192" i="54" l="1"/>
  <c r="FC192" i="54"/>
  <c r="FF192" i="54"/>
  <c r="FN191" i="54"/>
  <c r="FP191" i="54" s="1"/>
  <c r="FK192" i="54" s="1"/>
  <c r="FO192" i="54"/>
  <c r="FU191" i="54"/>
  <c r="FW191" i="54" s="1"/>
  <c r="FR192" i="54" s="1"/>
  <c r="FV192" i="54"/>
  <c r="FX192" i="54"/>
  <c r="GA192" i="54"/>
  <c r="FZ192" i="54"/>
  <c r="FQ192" i="54" l="1"/>
  <c r="FS192" i="54"/>
  <c r="FT192" i="54"/>
  <c r="FJ192" i="54"/>
  <c r="FL192" i="54"/>
  <c r="FM192" i="54"/>
  <c r="GC193" i="54"/>
  <c r="GB192" i="54"/>
  <c r="GD192" i="54" s="1"/>
  <c r="FY193" i="54" s="1"/>
  <c r="FG192" i="54"/>
  <c r="FI192" i="54" s="1"/>
  <c r="FD193" i="54" s="1"/>
  <c r="FH193" i="54"/>
  <c r="FC193" i="54" l="1"/>
  <c r="FE193" i="54"/>
  <c r="FF193" i="54"/>
  <c r="FN192" i="54"/>
  <c r="FP192" i="54" s="1"/>
  <c r="FK193" i="54" s="1"/>
  <c r="FO193" i="54"/>
  <c r="FV193" i="54"/>
  <c r="FU192" i="54"/>
  <c r="FW192" i="54" s="1"/>
  <c r="FR193" i="54" s="1"/>
  <c r="GA193" i="54"/>
  <c r="FX193" i="54"/>
  <c r="FZ193" i="54"/>
  <c r="FQ193" i="54" l="1"/>
  <c r="FS193" i="54"/>
  <c r="FT193" i="54"/>
  <c r="FJ193" i="54"/>
  <c r="FL193" i="54"/>
  <c r="FM193" i="54"/>
  <c r="FH194" i="54"/>
  <c r="FG193" i="54"/>
  <c r="FI193" i="54" s="1"/>
  <c r="FD194" i="54" s="1"/>
  <c r="GC194" i="54"/>
  <c r="GB193" i="54"/>
  <c r="GD193" i="54" s="1"/>
  <c r="FY194" i="54" s="1"/>
  <c r="FZ194" i="54" l="1"/>
  <c r="GA194" i="54"/>
  <c r="FX194" i="54"/>
  <c r="FN193" i="54"/>
  <c r="FP193" i="54" s="1"/>
  <c r="FK194" i="54" s="1"/>
  <c r="FO194" i="54"/>
  <c r="FF194" i="54"/>
  <c r="FC194" i="54"/>
  <c r="FE194" i="54"/>
  <c r="FV194" i="54"/>
  <c r="FU193" i="54"/>
  <c r="FW193" i="54" s="1"/>
  <c r="FR194" i="54" s="1"/>
  <c r="FJ194" i="54" l="1"/>
  <c r="FL194" i="54"/>
  <c r="FM194" i="54"/>
  <c r="FQ194" i="54"/>
  <c r="FS194" i="54"/>
  <c r="FT194" i="54"/>
  <c r="FH195" i="54"/>
  <c r="FG194" i="54"/>
  <c r="FI194" i="54" s="1"/>
  <c r="FD195" i="54" s="1"/>
  <c r="GB194" i="54"/>
  <c r="GD194" i="54" s="1"/>
  <c r="FY195" i="54" s="1"/>
  <c r="GC195" i="54"/>
  <c r="FX195" i="54" l="1"/>
  <c r="GA195" i="54"/>
  <c r="FZ195" i="54"/>
  <c r="FU194" i="54"/>
  <c r="FW194" i="54" s="1"/>
  <c r="FR195" i="54" s="1"/>
  <c r="FV195" i="54"/>
  <c r="FE195" i="54"/>
  <c r="FC195" i="54"/>
  <c r="FF195" i="54"/>
  <c r="FO195" i="54"/>
  <c r="FN194" i="54"/>
  <c r="FP194" i="54" s="1"/>
  <c r="FK195" i="54" s="1"/>
  <c r="FQ195" i="54" l="1"/>
  <c r="FS195" i="54"/>
  <c r="FT195" i="54"/>
  <c r="FM195" i="54"/>
  <c r="FL195" i="54"/>
  <c r="FJ195" i="54"/>
  <c r="GB195" i="54"/>
  <c r="GD195" i="54" s="1"/>
  <c r="FY196" i="54" s="1"/>
  <c r="GC196" i="54"/>
  <c r="FG195" i="54"/>
  <c r="FI195" i="54" s="1"/>
  <c r="FD196" i="54" s="1"/>
  <c r="FH196" i="54"/>
  <c r="FE196" i="54" l="1"/>
  <c r="FC196" i="54"/>
  <c r="FF196" i="54"/>
  <c r="FO196" i="54"/>
  <c r="FN195" i="54"/>
  <c r="FP195" i="54" s="1"/>
  <c r="FK196" i="54" s="1"/>
  <c r="FV196" i="54"/>
  <c r="FU195" i="54"/>
  <c r="FW195" i="54" s="1"/>
  <c r="FR196" i="54" s="1"/>
  <c r="FZ196" i="54"/>
  <c r="FX196" i="54"/>
  <c r="GA196" i="54"/>
  <c r="FM196" i="54" l="1"/>
  <c r="FL196" i="54"/>
  <c r="FJ196" i="54"/>
  <c r="GC197" i="54"/>
  <c r="GB196" i="54"/>
  <c r="GD196" i="54" s="1"/>
  <c r="FY197" i="54" s="1"/>
  <c r="FS196" i="54"/>
  <c r="FT196" i="54"/>
  <c r="FQ196" i="54"/>
  <c r="FH197" i="54"/>
  <c r="FG196" i="54"/>
  <c r="FI196" i="54" s="1"/>
  <c r="FD197" i="54" s="1"/>
  <c r="FX197" i="54" l="1"/>
  <c r="FZ197" i="54"/>
  <c r="GA197" i="54"/>
  <c r="FE197" i="54"/>
  <c r="FC197" i="54"/>
  <c r="FF197" i="54"/>
  <c r="FV197" i="54"/>
  <c r="FU196" i="54"/>
  <c r="FW196" i="54" s="1"/>
  <c r="FR197" i="54" s="1"/>
  <c r="FO197" i="54"/>
  <c r="FN196" i="54"/>
  <c r="FP196" i="54" s="1"/>
  <c r="FK197" i="54" s="1"/>
  <c r="FG197" i="54" l="1"/>
  <c r="FI197" i="54" s="1"/>
  <c r="FD198" i="54" s="1"/>
  <c r="FH198" i="54"/>
  <c r="GC198" i="54"/>
  <c r="GB197" i="54"/>
  <c r="GD197" i="54" s="1"/>
  <c r="FY198" i="54" s="1"/>
  <c r="FM197" i="54"/>
  <c r="FL197" i="54"/>
  <c r="FJ197" i="54"/>
  <c r="FQ197" i="54"/>
  <c r="FT197" i="54"/>
  <c r="FS197" i="54"/>
  <c r="FZ198" i="54" l="1"/>
  <c r="FX198" i="54"/>
  <c r="GA198" i="54"/>
  <c r="FE198" i="54"/>
  <c r="FC198" i="54"/>
  <c r="FF198" i="54"/>
  <c r="FV198" i="54"/>
  <c r="FU197" i="54"/>
  <c r="FW197" i="54" s="1"/>
  <c r="FR198" i="54" s="1"/>
  <c r="FO198" i="54"/>
  <c r="FN197" i="54"/>
  <c r="FP197" i="54" s="1"/>
  <c r="FK198" i="54" s="1"/>
  <c r="FG198" i="54" l="1"/>
  <c r="FI198" i="54" s="1"/>
  <c r="FD199" i="54" s="1"/>
  <c r="FH199" i="54"/>
  <c r="FM198" i="54"/>
  <c r="FJ198" i="54"/>
  <c r="FL198" i="54"/>
  <c r="FQ198" i="54"/>
  <c r="FS198" i="54"/>
  <c r="FT198" i="54"/>
  <c r="GC199" i="54"/>
  <c r="GB198" i="54"/>
  <c r="GD198" i="54" s="1"/>
  <c r="FY199" i="54" s="1"/>
  <c r="FE199" i="54" l="1"/>
  <c r="FC199" i="54"/>
  <c r="FF199" i="54"/>
  <c r="FZ199" i="54"/>
  <c r="GA199" i="54"/>
  <c r="FX199" i="54"/>
  <c r="FU198" i="54"/>
  <c r="FW198" i="54" s="1"/>
  <c r="FR199" i="54" s="1"/>
  <c r="FV199" i="54"/>
  <c r="FO199" i="54"/>
  <c r="FN198" i="54"/>
  <c r="FP198" i="54" s="1"/>
  <c r="FK199" i="54" s="1"/>
  <c r="FM199" i="54" l="1"/>
  <c r="FJ199" i="54"/>
  <c r="FL199" i="54"/>
  <c r="GC200" i="54"/>
  <c r="GB199" i="54"/>
  <c r="GD199" i="54" s="1"/>
  <c r="FY200" i="54" s="1"/>
  <c r="FQ199" i="54"/>
  <c r="FS199" i="54"/>
  <c r="FT199" i="54"/>
  <c r="FH200" i="54"/>
  <c r="FG199" i="54"/>
  <c r="FI199" i="54" s="1"/>
  <c r="FD200" i="54" s="1"/>
  <c r="FV200" i="54" l="1"/>
  <c r="FU199" i="54"/>
  <c r="FW199" i="54" s="1"/>
  <c r="FR200" i="54" s="1"/>
  <c r="GA200" i="54"/>
  <c r="FX200" i="54"/>
  <c r="FZ200" i="54"/>
  <c r="FC200" i="54"/>
  <c r="FE200" i="54"/>
  <c r="FF200" i="54"/>
  <c r="FO200" i="54"/>
  <c r="FN199" i="54"/>
  <c r="FP199" i="54" s="1"/>
  <c r="FK200" i="54" s="1"/>
  <c r="GC201" i="54" l="1"/>
  <c r="GB200" i="54"/>
  <c r="FJ200" i="54"/>
  <c r="FL200" i="54"/>
  <c r="FM200" i="54"/>
  <c r="GD200" i="54"/>
  <c r="FY201" i="54" s="1"/>
  <c r="FS200" i="54"/>
  <c r="FT200" i="54"/>
  <c r="FQ200" i="54"/>
  <c r="FG200" i="54"/>
  <c r="FI200" i="54" s="1"/>
  <c r="FD201" i="54" s="1"/>
  <c r="FH201" i="54"/>
  <c r="FX201" i="54" l="1"/>
  <c r="GA201" i="54"/>
  <c r="FZ201" i="54"/>
  <c r="FN200" i="54"/>
  <c r="FP200" i="54" s="1"/>
  <c r="FK201" i="54" s="1"/>
  <c r="FO201" i="54"/>
  <c r="FE201" i="54"/>
  <c r="FF201" i="54"/>
  <c r="FC201" i="54"/>
  <c r="FV201" i="54"/>
  <c r="FU200" i="54"/>
  <c r="FW200" i="54" s="1"/>
  <c r="FR201" i="54" s="1"/>
  <c r="FT201" i="54" l="1"/>
  <c r="FQ201" i="54"/>
  <c r="FS201" i="54"/>
  <c r="FG201" i="54"/>
  <c r="FH202" i="54"/>
  <c r="FL201" i="54"/>
  <c r="FJ201" i="54"/>
  <c r="FM201" i="54"/>
  <c r="GC202" i="54"/>
  <c r="GB201" i="54"/>
  <c r="GD201" i="54" s="1"/>
  <c r="FY202" i="54" s="1"/>
  <c r="FI201" i="54"/>
  <c r="FD202" i="54" s="1"/>
  <c r="FN201" i="54" l="1"/>
  <c r="FP201" i="54" s="1"/>
  <c r="FK202" i="54" s="1"/>
  <c r="FO202" i="54"/>
  <c r="FZ202" i="54"/>
  <c r="FX202" i="54"/>
  <c r="GA202" i="54"/>
  <c r="FF202" i="54"/>
  <c r="FE202" i="54"/>
  <c r="FC202" i="54"/>
  <c r="FU201" i="54"/>
  <c r="FW201" i="54" s="1"/>
  <c r="FR202" i="54" s="1"/>
  <c r="FV202" i="54"/>
  <c r="FS202" i="54" l="1"/>
  <c r="FQ202" i="54"/>
  <c r="FT202" i="54"/>
  <c r="FH203" i="54"/>
  <c r="FG202" i="54"/>
  <c r="FI202" i="54" s="1"/>
  <c r="FD203" i="54" s="1"/>
  <c r="GC203" i="54"/>
  <c r="GB202" i="54"/>
  <c r="GD202" i="54" s="1"/>
  <c r="FY203" i="54" s="1"/>
  <c r="FJ202" i="54"/>
  <c r="FM202" i="54"/>
  <c r="FL202" i="54"/>
  <c r="FZ203" i="54" l="1"/>
  <c r="FX203" i="54"/>
  <c r="GA203" i="54"/>
  <c r="FF203" i="54"/>
  <c r="FE203" i="54"/>
  <c r="FC203" i="54"/>
  <c r="FO203" i="54"/>
  <c r="FN202" i="54"/>
  <c r="FP202" i="54" s="1"/>
  <c r="FK203" i="54" s="1"/>
  <c r="FV203" i="54"/>
  <c r="FU202" i="54"/>
  <c r="FW202" i="54" s="1"/>
  <c r="FR203" i="54" s="1"/>
  <c r="FQ203" i="54" l="1"/>
  <c r="FS203" i="54"/>
  <c r="FT203" i="54"/>
  <c r="FG203" i="54"/>
  <c r="FI203" i="54" s="1"/>
  <c r="FD204" i="54" s="1"/>
  <c r="FH204" i="54"/>
  <c r="FJ203" i="54"/>
  <c r="FM203" i="54"/>
  <c r="FL203" i="54"/>
  <c r="GC204" i="54"/>
  <c r="GB203" i="54"/>
  <c r="GD203" i="54" s="1"/>
  <c r="FY204" i="54" s="1"/>
  <c r="FE204" i="54" l="1"/>
  <c r="FC204" i="54"/>
  <c r="FF204" i="54"/>
  <c r="FX204" i="54"/>
  <c r="GA204" i="54"/>
  <c r="FZ204" i="54"/>
  <c r="FO204" i="54"/>
  <c r="FN203" i="54"/>
  <c r="FP203" i="54" s="1"/>
  <c r="FK204" i="54" s="1"/>
  <c r="FV204" i="54"/>
  <c r="FU203" i="54"/>
  <c r="FW203" i="54" s="1"/>
  <c r="FR204" i="54" s="1"/>
  <c r="FQ204" i="54" l="1"/>
  <c r="FS204" i="54"/>
  <c r="FT204" i="54"/>
  <c r="GC205" i="54"/>
  <c r="GB204" i="54"/>
  <c r="GD204" i="54" s="1"/>
  <c r="FY205" i="54" s="1"/>
  <c r="FL204" i="54"/>
  <c r="FM204" i="54"/>
  <c r="FJ204" i="54"/>
  <c r="FH205" i="54"/>
  <c r="FG204" i="54"/>
  <c r="FI204" i="54" s="1"/>
  <c r="FD205" i="54" s="1"/>
  <c r="FX205" i="54" l="1"/>
  <c r="FZ205" i="54"/>
  <c r="GA205" i="54"/>
  <c r="FE205" i="54"/>
  <c r="FC205" i="54"/>
  <c r="FF205" i="54"/>
  <c r="FU204" i="54"/>
  <c r="FW204" i="54" s="1"/>
  <c r="FR205" i="54" s="1"/>
  <c r="FV205" i="54"/>
  <c r="FN204" i="54"/>
  <c r="FP204" i="54" s="1"/>
  <c r="FK205" i="54" s="1"/>
  <c r="FO205" i="54"/>
  <c r="FS205" i="54" l="1"/>
  <c r="FT205" i="54"/>
  <c r="FQ205" i="54"/>
  <c r="FH206" i="54"/>
  <c r="FG205" i="54"/>
  <c r="FI205" i="54" s="1"/>
  <c r="FD206" i="54" s="1"/>
  <c r="GD205" i="54"/>
  <c r="FY206" i="54" s="1"/>
  <c r="GC206" i="54"/>
  <c r="GB205" i="54"/>
  <c r="FJ205" i="54"/>
  <c r="FL205" i="54"/>
  <c r="FM205" i="54"/>
  <c r="FC206" i="54" l="1"/>
  <c r="FE206" i="54"/>
  <c r="FF206" i="54"/>
  <c r="FZ206" i="54"/>
  <c r="GA206" i="54"/>
  <c r="FX206" i="54"/>
  <c r="FN205" i="54"/>
  <c r="FP205" i="54" s="1"/>
  <c r="FK206" i="54" s="1"/>
  <c r="FO206" i="54"/>
  <c r="FV206" i="54"/>
  <c r="FU205" i="54"/>
  <c r="FW205" i="54" s="1"/>
  <c r="FR206" i="54" s="1"/>
  <c r="FQ206" i="54" l="1"/>
  <c r="FS206" i="54"/>
  <c r="FT206" i="54"/>
  <c r="GC207" i="54"/>
  <c r="GB206" i="54"/>
  <c r="GD206" i="54" s="1"/>
  <c r="FY207" i="54" s="1"/>
  <c r="FG206" i="54"/>
  <c r="FI206" i="54" s="1"/>
  <c r="FD207" i="54" s="1"/>
  <c r="FH207" i="54"/>
  <c r="FL206" i="54"/>
  <c r="FM206" i="54"/>
  <c r="FJ206" i="54"/>
  <c r="FZ207" i="54" l="1"/>
  <c r="FX207" i="54"/>
  <c r="GA207" i="54"/>
  <c r="FO207" i="54"/>
  <c r="FN206" i="54"/>
  <c r="FP206" i="54" s="1"/>
  <c r="FK207" i="54" s="1"/>
  <c r="FU206" i="54"/>
  <c r="FW206" i="54" s="1"/>
  <c r="FR207" i="54" s="1"/>
  <c r="FV207" i="54"/>
  <c r="FF207" i="54"/>
  <c r="FE207" i="54"/>
  <c r="FC207" i="54"/>
  <c r="FQ207" i="54" l="1"/>
  <c r="FS207" i="54"/>
  <c r="FT207" i="54"/>
  <c r="FJ207" i="54"/>
  <c r="FM207" i="54"/>
  <c r="FL207" i="54"/>
  <c r="FH208" i="54"/>
  <c r="FG207" i="54"/>
  <c r="FI207" i="54" s="1"/>
  <c r="FD208" i="54" s="1"/>
  <c r="GC208" i="54"/>
  <c r="GB207" i="54"/>
  <c r="GD207" i="54" s="1"/>
  <c r="FY208" i="54" s="1"/>
  <c r="FZ208" i="54" l="1"/>
  <c r="FX208" i="54"/>
  <c r="GA208" i="54"/>
  <c r="FO208" i="54"/>
  <c r="FN207" i="54"/>
  <c r="FP207" i="54" s="1"/>
  <c r="FK208" i="54" s="1"/>
  <c r="FU207" i="54"/>
  <c r="FW207" i="54" s="1"/>
  <c r="FR208" i="54" s="1"/>
  <c r="FV208" i="54"/>
  <c r="FC208" i="54"/>
  <c r="FF208" i="54"/>
  <c r="FE208" i="54"/>
  <c r="FQ208" i="54" l="1"/>
  <c r="FT208" i="54"/>
  <c r="FS208" i="54"/>
  <c r="FM208" i="54"/>
  <c r="FL208" i="54"/>
  <c r="FJ208" i="54"/>
  <c r="FH209" i="54"/>
  <c r="FG208" i="54"/>
  <c r="FI208" i="54" s="1"/>
  <c r="FD209" i="54" s="1"/>
  <c r="GC209" i="54"/>
  <c r="GB208" i="54"/>
  <c r="GD208" i="54" s="1"/>
  <c r="FY209" i="54" s="1"/>
  <c r="FE209" i="54" l="1"/>
  <c r="FC209" i="54"/>
  <c r="FF209" i="54"/>
  <c r="FO209" i="54"/>
  <c r="FN208" i="54"/>
  <c r="FP208" i="54" s="1"/>
  <c r="FK209" i="54" s="1"/>
  <c r="FV209" i="54"/>
  <c r="FU208" i="54"/>
  <c r="FW208" i="54" s="1"/>
  <c r="FR209" i="54" s="1"/>
  <c r="FX209" i="54"/>
  <c r="FZ209" i="54"/>
  <c r="GA209" i="54"/>
  <c r="FL209" i="54" l="1"/>
  <c r="FJ209" i="54"/>
  <c r="FM209" i="54"/>
  <c r="GC210" i="54"/>
  <c r="GB209" i="54"/>
  <c r="GD209" i="54" s="1"/>
  <c r="FY210" i="54" s="1"/>
  <c r="FT209" i="54"/>
  <c r="FS209" i="54"/>
  <c r="FQ209" i="54"/>
  <c r="FH210" i="54"/>
  <c r="FG209" i="54"/>
  <c r="FI209" i="54" s="1"/>
  <c r="FD210" i="54" s="1"/>
  <c r="FE210" i="54" l="1"/>
  <c r="FC210" i="54"/>
  <c r="FF210" i="54"/>
  <c r="FX210" i="54"/>
  <c r="FZ210" i="54"/>
  <c r="GA210" i="54"/>
  <c r="FV210" i="54"/>
  <c r="FU209" i="54"/>
  <c r="FW209" i="54" s="1"/>
  <c r="FR210" i="54" s="1"/>
  <c r="FN209" i="54"/>
  <c r="FP209" i="54" s="1"/>
  <c r="FK210" i="54" s="1"/>
  <c r="FO210" i="54"/>
  <c r="GC211" i="54" l="1"/>
  <c r="GB210" i="54"/>
  <c r="GD210" i="54" s="1"/>
  <c r="FY211" i="54" s="1"/>
  <c r="FL210" i="54"/>
  <c r="FM210" i="54"/>
  <c r="FJ210" i="54"/>
  <c r="FT210" i="54"/>
  <c r="FQ210" i="54"/>
  <c r="FS210" i="54"/>
  <c r="FG210" i="54"/>
  <c r="FI210" i="54" s="1"/>
  <c r="FD211" i="54" s="1"/>
  <c r="FH211" i="54"/>
  <c r="FE211" i="54" l="1"/>
  <c r="FC211" i="54"/>
  <c r="FF211" i="54"/>
  <c r="GA211" i="54"/>
  <c r="FX211" i="54"/>
  <c r="FZ211" i="54"/>
  <c r="FO211" i="54"/>
  <c r="FN210" i="54"/>
  <c r="FP210" i="54" s="1"/>
  <c r="FK211" i="54" s="1"/>
  <c r="FU210" i="54"/>
  <c r="FW210" i="54" s="1"/>
  <c r="FR211" i="54" s="1"/>
  <c r="FV211" i="54"/>
  <c r="FS211" i="54" l="1"/>
  <c r="FT211" i="54"/>
  <c r="FQ211" i="54"/>
  <c r="GB211" i="54"/>
  <c r="GD211" i="54" s="1"/>
  <c r="FY212" i="54" s="1"/>
  <c r="GC212" i="54"/>
  <c r="FM211" i="54"/>
  <c r="FJ211" i="54"/>
  <c r="FL211" i="54"/>
  <c r="FH212" i="54"/>
  <c r="FG211" i="54"/>
  <c r="FI211" i="54" s="1"/>
  <c r="FD212" i="54" s="1"/>
  <c r="FZ212" i="54" l="1"/>
  <c r="GA212" i="54"/>
  <c r="FX212" i="54"/>
  <c r="FE212" i="54"/>
  <c r="FF212" i="54"/>
  <c r="FC212" i="54"/>
  <c r="FN211" i="54"/>
  <c r="FP211" i="54" s="1"/>
  <c r="FK212" i="54" s="1"/>
  <c r="FO212" i="54"/>
  <c r="FV212" i="54"/>
  <c r="FU211" i="54"/>
  <c r="FW211" i="54" s="1"/>
  <c r="FR212" i="54" s="1"/>
  <c r="FL212" i="54" l="1"/>
  <c r="FJ212" i="54"/>
  <c r="FM212" i="54"/>
  <c r="FH213" i="54"/>
  <c r="FG212" i="54"/>
  <c r="FI212" i="54" s="1"/>
  <c r="FD213" i="54" s="1"/>
  <c r="FS212" i="54"/>
  <c r="FT212" i="54"/>
  <c r="FQ212" i="54"/>
  <c r="GB212" i="54"/>
  <c r="GD212" i="54" s="1"/>
  <c r="FY213" i="54" s="1"/>
  <c r="GC213" i="54"/>
  <c r="FU212" i="54" l="1"/>
  <c r="FV213" i="54"/>
  <c r="GA213" i="54"/>
  <c r="FZ213" i="54"/>
  <c r="FX213" i="54"/>
  <c r="FW212" i="54"/>
  <c r="FR213" i="54" s="1"/>
  <c r="FC213" i="54"/>
  <c r="FF213" i="54"/>
  <c r="FE213" i="54"/>
  <c r="FO213" i="54"/>
  <c r="FN212" i="54"/>
  <c r="FP212" i="54" s="1"/>
  <c r="FK213" i="54" s="1"/>
  <c r="FQ213" i="54" l="1"/>
  <c r="FS213" i="54"/>
  <c r="FT213" i="54"/>
  <c r="GC214" i="54"/>
  <c r="GB213" i="54"/>
  <c r="GD213" i="54" s="1"/>
  <c r="FY214" i="54" s="1"/>
  <c r="FH214" i="54"/>
  <c r="FG213" i="54"/>
  <c r="FJ213" i="54"/>
  <c r="FL213" i="54"/>
  <c r="FM213" i="54"/>
  <c r="FI213" i="54"/>
  <c r="FD214" i="54" s="1"/>
  <c r="FZ214" i="54" l="1"/>
  <c r="FX214" i="54"/>
  <c r="GA214" i="54"/>
  <c r="FE214" i="54"/>
  <c r="FC214" i="54"/>
  <c r="FF214" i="54"/>
  <c r="FV214" i="54"/>
  <c r="FU213" i="54"/>
  <c r="FW213" i="54" s="1"/>
  <c r="FR214" i="54" s="1"/>
  <c r="FO214" i="54"/>
  <c r="FN213" i="54"/>
  <c r="FP213" i="54" s="1"/>
  <c r="FK214" i="54" s="1"/>
  <c r="FH215" i="54" l="1"/>
  <c r="FG214" i="54"/>
  <c r="FI214" i="54" s="1"/>
  <c r="FD215" i="54" s="1"/>
  <c r="FJ214" i="54"/>
  <c r="FM214" i="54"/>
  <c r="FL214" i="54"/>
  <c r="FS214" i="54"/>
  <c r="FQ214" i="54"/>
  <c r="FT214" i="54"/>
  <c r="GC215" i="54"/>
  <c r="GB214" i="54"/>
  <c r="GD214" i="54" s="1"/>
  <c r="FY215" i="54" s="1"/>
  <c r="FE215" i="54" l="1"/>
  <c r="FC215" i="54"/>
  <c r="FF215" i="54"/>
  <c r="FN214" i="54"/>
  <c r="FP214" i="54" s="1"/>
  <c r="FK215" i="54" s="1"/>
  <c r="FO215" i="54"/>
  <c r="FX215" i="54"/>
  <c r="FZ215" i="54"/>
  <c r="GA215" i="54"/>
  <c r="FU214" i="54"/>
  <c r="FW214" i="54" s="1"/>
  <c r="FR215" i="54" s="1"/>
  <c r="FV215" i="54"/>
  <c r="FQ215" i="54" l="1"/>
  <c r="FS215" i="54"/>
  <c r="FT215" i="54"/>
  <c r="FL215" i="54"/>
  <c r="FM215" i="54"/>
  <c r="FJ215" i="54"/>
  <c r="GC216" i="54"/>
  <c r="GB215" i="54"/>
  <c r="GD215" i="54" s="1"/>
  <c r="FY216" i="54" s="1"/>
  <c r="FH216" i="54"/>
  <c r="FG215" i="54"/>
  <c r="FI215" i="54" s="1"/>
  <c r="FD216" i="54" s="1"/>
  <c r="FF216" i="54" l="1"/>
  <c r="FE216" i="54"/>
  <c r="FC216" i="54"/>
  <c r="GA216" i="54"/>
  <c r="FX216" i="54"/>
  <c r="FZ216" i="54"/>
  <c r="FN215" i="54"/>
  <c r="FP215" i="54" s="1"/>
  <c r="FK216" i="54" s="1"/>
  <c r="FO216" i="54"/>
  <c r="FU215" i="54"/>
  <c r="FW215" i="54" s="1"/>
  <c r="FR216" i="54" s="1"/>
  <c r="FV216" i="54"/>
  <c r="FS216" i="54" l="1"/>
  <c r="FQ216" i="54"/>
  <c r="FT216" i="54"/>
  <c r="GC217" i="54"/>
  <c r="GB216" i="54"/>
  <c r="GD216" i="54" s="1"/>
  <c r="FY217" i="54" s="1"/>
  <c r="FH217" i="54"/>
  <c r="FG216" i="54"/>
  <c r="FJ216" i="54"/>
  <c r="FM216" i="54"/>
  <c r="FL216" i="54"/>
  <c r="FI216" i="54"/>
  <c r="FD217" i="54" s="1"/>
  <c r="FE217" i="54" l="1"/>
  <c r="FC217" i="54"/>
  <c r="FF217" i="54"/>
  <c r="FZ217" i="54"/>
  <c r="FX217" i="54"/>
  <c r="GA217" i="54"/>
  <c r="FO217" i="54"/>
  <c r="FN216" i="54"/>
  <c r="FP216" i="54" s="1"/>
  <c r="FK217" i="54" s="1"/>
  <c r="FU216" i="54"/>
  <c r="FW216" i="54" s="1"/>
  <c r="FR217" i="54" s="1"/>
  <c r="FV217" i="54"/>
  <c r="GC218" i="54" l="1"/>
  <c r="GB217" i="54"/>
  <c r="GD217" i="54" s="1"/>
  <c r="FY218" i="54" s="1"/>
  <c r="FQ217" i="54"/>
  <c r="FS217" i="54"/>
  <c r="FT217" i="54"/>
  <c r="FM217" i="54"/>
  <c r="FJ217" i="54"/>
  <c r="FL217" i="54"/>
  <c r="FH218" i="54"/>
  <c r="FG217" i="54"/>
  <c r="FI217" i="54" s="1"/>
  <c r="FD218" i="54" s="1"/>
  <c r="FX218" i="54" l="1"/>
  <c r="FZ218" i="54"/>
  <c r="GA218" i="54"/>
  <c r="FV218" i="54"/>
  <c r="FU217" i="54"/>
  <c r="FW217" i="54" s="1"/>
  <c r="FR218" i="54" s="1"/>
  <c r="FC218" i="54"/>
  <c r="FE218" i="54"/>
  <c r="FF218" i="54"/>
  <c r="FO218" i="54"/>
  <c r="FN217" i="54"/>
  <c r="FP217" i="54" s="1"/>
  <c r="FK218" i="54" s="1"/>
  <c r="FS218" i="54" l="1"/>
  <c r="FQ218" i="54"/>
  <c r="FT218" i="54"/>
  <c r="FJ218" i="54"/>
  <c r="FL218" i="54"/>
  <c r="FM218" i="54"/>
  <c r="GD218" i="54"/>
  <c r="FY219" i="54" s="1"/>
  <c r="GB218" i="54"/>
  <c r="GC219" i="54"/>
  <c r="FG218" i="54"/>
  <c r="FI218" i="54" s="1"/>
  <c r="FD219" i="54" s="1"/>
  <c r="FH219" i="54"/>
  <c r="FE219" i="54" l="1"/>
  <c r="FC219" i="54"/>
  <c r="FF219" i="54"/>
  <c r="FO219" i="54"/>
  <c r="FN218" i="54"/>
  <c r="FP218" i="54" s="1"/>
  <c r="FK219" i="54" s="1"/>
  <c r="GA219" i="54"/>
  <c r="FX219" i="54"/>
  <c r="FZ219" i="54"/>
  <c r="FU218" i="54"/>
  <c r="FW218" i="54" s="1"/>
  <c r="FR219" i="54" s="1"/>
  <c r="FV219" i="54"/>
  <c r="FL219" i="54" l="1"/>
  <c r="FJ219" i="54"/>
  <c r="FM219" i="54"/>
  <c r="FS219" i="54"/>
  <c r="FT219" i="54"/>
  <c r="FQ219" i="54"/>
  <c r="GC220" i="54"/>
  <c r="GB219" i="54"/>
  <c r="GD219" i="54" s="1"/>
  <c r="FY220" i="54" s="1"/>
  <c r="FG219" i="54"/>
  <c r="FI219" i="54" s="1"/>
  <c r="FD220" i="54" s="1"/>
  <c r="FH220" i="54"/>
  <c r="FZ220" i="54" l="1"/>
  <c r="FX220" i="54"/>
  <c r="GA220" i="54"/>
  <c r="FE220" i="54"/>
  <c r="FC220" i="54"/>
  <c r="FF220" i="54"/>
  <c r="FW219" i="54"/>
  <c r="FR220" i="54" s="1"/>
  <c r="FV220" i="54"/>
  <c r="FU219" i="54"/>
  <c r="FO220" i="54"/>
  <c r="FN219" i="54"/>
  <c r="FP219" i="54" s="1"/>
  <c r="FK220" i="54" s="1"/>
  <c r="FT220" i="54" l="1"/>
  <c r="FS220" i="54"/>
  <c r="FQ220" i="54"/>
  <c r="FL220" i="54"/>
  <c r="FJ220" i="54"/>
  <c r="FM220" i="54"/>
  <c r="FH221" i="54"/>
  <c r="FG220" i="54"/>
  <c r="FI220" i="54" s="1"/>
  <c r="FD221" i="54" s="1"/>
  <c r="GC221" i="54"/>
  <c r="GB220" i="54"/>
  <c r="GD220" i="54" s="1"/>
  <c r="FY221" i="54" s="1"/>
  <c r="FE221" i="54" l="1"/>
  <c r="FC221" i="54"/>
  <c r="FF221" i="54"/>
  <c r="FO221" i="54"/>
  <c r="FN220" i="54"/>
  <c r="FP220" i="54" s="1"/>
  <c r="FK221" i="54" s="1"/>
  <c r="FZ221" i="54"/>
  <c r="GA221" i="54"/>
  <c r="FX221" i="54"/>
  <c r="FV221" i="54"/>
  <c r="FU220" i="54"/>
  <c r="FW220" i="54"/>
  <c r="FR221" i="54" s="1"/>
  <c r="GC222" i="54" l="1"/>
  <c r="GB221" i="54"/>
  <c r="GD221" i="54" s="1"/>
  <c r="FY222" i="54" s="1"/>
  <c r="FM221" i="54"/>
  <c r="FL221" i="54"/>
  <c r="FJ221" i="54"/>
  <c r="FS221" i="54"/>
  <c r="FQ221" i="54"/>
  <c r="FT221" i="54"/>
  <c r="FH222" i="54"/>
  <c r="FG221" i="54"/>
  <c r="FI221" i="54" s="1"/>
  <c r="FD222" i="54" s="1"/>
  <c r="FE222" i="54" l="1"/>
  <c r="FC222" i="54"/>
  <c r="FF222" i="54"/>
  <c r="FV222" i="54"/>
  <c r="FU221" i="54"/>
  <c r="FW221" i="54" s="1"/>
  <c r="FR222" i="54" s="1"/>
  <c r="FO222" i="54"/>
  <c r="FN221" i="54"/>
  <c r="FP221" i="54" s="1"/>
  <c r="FK222" i="54" s="1"/>
  <c r="GA222" i="54"/>
  <c r="FX222" i="54"/>
  <c r="FZ222" i="54"/>
  <c r="FQ222" i="54" l="1"/>
  <c r="FS222" i="54"/>
  <c r="FT222" i="54"/>
  <c r="GC223" i="54"/>
  <c r="GB222" i="54"/>
  <c r="GD222" i="54" s="1"/>
  <c r="FY223" i="54" s="1"/>
  <c r="FJ222" i="54"/>
  <c r="FL222" i="54"/>
  <c r="FM222" i="54"/>
  <c r="FG222" i="54"/>
  <c r="FI222" i="54" s="1"/>
  <c r="FD223" i="54" s="1"/>
  <c r="FH223" i="54"/>
  <c r="FX223" i="54" l="1"/>
  <c r="FZ223" i="54"/>
  <c r="GA223" i="54"/>
  <c r="FC223" i="54"/>
  <c r="FF223" i="54"/>
  <c r="FE223" i="54"/>
  <c r="FN222" i="54"/>
  <c r="FP222" i="54" s="1"/>
  <c r="FK223" i="54" s="1"/>
  <c r="FO223" i="54"/>
  <c r="FV223" i="54"/>
  <c r="FU222" i="54"/>
  <c r="FW222" i="54" s="1"/>
  <c r="FR223" i="54" s="1"/>
  <c r="FS223" i="54" l="1"/>
  <c r="FT223" i="54"/>
  <c r="FQ223" i="54"/>
  <c r="FG223" i="54"/>
  <c r="FI223" i="54" s="1"/>
  <c r="FD224" i="54" s="1"/>
  <c r="FH224" i="54"/>
  <c r="GC224" i="54"/>
  <c r="GB223" i="54"/>
  <c r="GD223" i="54" s="1"/>
  <c r="FY224" i="54" s="1"/>
  <c r="FJ223" i="54"/>
  <c r="FM223" i="54"/>
  <c r="FL223" i="54"/>
  <c r="FX224" i="54" l="1"/>
  <c r="FZ224" i="54"/>
  <c r="GA224" i="54"/>
  <c r="FN223" i="54"/>
  <c r="FP223" i="54" s="1"/>
  <c r="FK224" i="54" s="1"/>
  <c r="FO224" i="54"/>
  <c r="FE224" i="54"/>
  <c r="FF224" i="54"/>
  <c r="FC224" i="54"/>
  <c r="FU223" i="54"/>
  <c r="FW223" i="54" s="1"/>
  <c r="FR224" i="54" s="1"/>
  <c r="FV224" i="54"/>
  <c r="FT224" i="54" l="1"/>
  <c r="FS224" i="54"/>
  <c r="FQ224" i="54"/>
  <c r="FH225" i="54"/>
  <c r="FG224" i="54"/>
  <c r="FI224" i="54" s="1"/>
  <c r="FD225" i="54" s="1"/>
  <c r="FJ224" i="54"/>
  <c r="FL224" i="54"/>
  <c r="FM224" i="54"/>
  <c r="GB224" i="54"/>
  <c r="GD224" i="54" s="1"/>
  <c r="FY225" i="54" s="1"/>
  <c r="GC225" i="54"/>
  <c r="FE225" i="54" l="1"/>
  <c r="FC225" i="54"/>
  <c r="FF225" i="54"/>
  <c r="GA225" i="54"/>
  <c r="FZ225" i="54"/>
  <c r="FX225" i="54"/>
  <c r="FV225" i="54"/>
  <c r="FU224" i="54"/>
  <c r="FO225" i="54"/>
  <c r="FN224" i="54"/>
  <c r="FP224" i="54" s="1"/>
  <c r="FK225" i="54" s="1"/>
  <c r="FW224" i="54"/>
  <c r="FR225" i="54" s="1"/>
  <c r="FS225" i="54" l="1"/>
  <c r="FT225" i="54"/>
  <c r="FQ225" i="54"/>
  <c r="GC226" i="54"/>
  <c r="GB225" i="54"/>
  <c r="GD225" i="54" s="1"/>
  <c r="FY226" i="54" s="1"/>
  <c r="FL225" i="54"/>
  <c r="FJ225" i="54"/>
  <c r="FM225" i="54"/>
  <c r="FH226" i="54"/>
  <c r="FG225" i="54"/>
  <c r="FI225" i="54" s="1"/>
  <c r="FD226" i="54" s="1"/>
  <c r="FC226" i="54" l="1"/>
  <c r="FE226" i="54"/>
  <c r="FF226" i="54"/>
  <c r="FO226" i="54"/>
  <c r="FN225" i="54"/>
  <c r="FP225" i="54" s="1"/>
  <c r="FK226" i="54" s="1"/>
  <c r="FZ226" i="54"/>
  <c r="FX226" i="54"/>
  <c r="GA226" i="54"/>
  <c r="FU225" i="54"/>
  <c r="FW225" i="54" s="1"/>
  <c r="FR226" i="54" s="1"/>
  <c r="FV226" i="54"/>
  <c r="GC227" i="54" l="1"/>
  <c r="GB226" i="54"/>
  <c r="FM226" i="54"/>
  <c r="FJ226" i="54"/>
  <c r="FL226" i="54"/>
  <c r="FS226" i="54"/>
  <c r="FQ226" i="54"/>
  <c r="FT226" i="54"/>
  <c r="FH227" i="54"/>
  <c r="FG226" i="54"/>
  <c r="FI226" i="54" s="1"/>
  <c r="FD227" i="54" s="1"/>
  <c r="GD226" i="54"/>
  <c r="FY227" i="54" s="1"/>
  <c r="FC227" i="54" l="1"/>
  <c r="FF227" i="54"/>
  <c r="FE227" i="54"/>
  <c r="FV227" i="54"/>
  <c r="FU226" i="54"/>
  <c r="FW226" i="54" s="1"/>
  <c r="FR227" i="54" s="1"/>
  <c r="FO227" i="54"/>
  <c r="FN226" i="54"/>
  <c r="FP226" i="54" s="1"/>
  <c r="FK227" i="54" s="1"/>
  <c r="FZ227" i="54"/>
  <c r="GA227" i="54"/>
  <c r="FX227" i="54"/>
  <c r="FT227" i="54" l="1"/>
  <c r="FS227" i="54"/>
  <c r="FQ227" i="54"/>
  <c r="GD227" i="54"/>
  <c r="FY228" i="54" s="1"/>
  <c r="FH228" i="54"/>
  <c r="FG227" i="54"/>
  <c r="FI227" i="54" s="1"/>
  <c r="FD228" i="54" s="1"/>
  <c r="GB227" i="54"/>
  <c r="GC228" i="54"/>
  <c r="FL227" i="54"/>
  <c r="FJ227" i="54"/>
  <c r="FM227" i="54"/>
  <c r="FE228" i="54" l="1"/>
  <c r="FC228" i="54"/>
  <c r="FF228" i="54"/>
  <c r="FZ228" i="54"/>
  <c r="FX228" i="54"/>
  <c r="GA228" i="54"/>
  <c r="FO228" i="54"/>
  <c r="FN227" i="54"/>
  <c r="FP227" i="54" s="1"/>
  <c r="FK228" i="54" s="1"/>
  <c r="FU227" i="54"/>
  <c r="FW227" i="54" s="1"/>
  <c r="FR228" i="54" s="1"/>
  <c r="FV228" i="54"/>
  <c r="GC229" i="54" l="1"/>
  <c r="GB228" i="54"/>
  <c r="GD228" i="54" s="1"/>
  <c r="FY229" i="54" s="1"/>
  <c r="FQ228" i="54"/>
  <c r="FS228" i="54"/>
  <c r="FT228" i="54"/>
  <c r="FL228" i="54"/>
  <c r="FM228" i="54"/>
  <c r="FJ228" i="54"/>
  <c r="FG228" i="54"/>
  <c r="FI228" i="54" s="1"/>
  <c r="FD229" i="54" s="1"/>
  <c r="FH229" i="54"/>
  <c r="FC229" i="54" l="1"/>
  <c r="FE229" i="54"/>
  <c r="FF229" i="54"/>
  <c r="FX229" i="54"/>
  <c r="FZ229" i="54"/>
  <c r="GA229" i="54"/>
  <c r="FU228" i="54"/>
  <c r="FW228" i="54" s="1"/>
  <c r="FR229" i="54" s="1"/>
  <c r="FV229" i="54"/>
  <c r="FO229" i="54"/>
  <c r="FN228" i="54"/>
  <c r="FP228" i="54" s="1"/>
  <c r="FK229" i="54" s="1"/>
  <c r="GC230" i="54" l="1"/>
  <c r="GB229" i="54"/>
  <c r="GD229" i="54" s="1"/>
  <c r="FY230" i="54" s="1"/>
  <c r="FM229" i="54"/>
  <c r="FJ229" i="54"/>
  <c r="FL229" i="54"/>
  <c r="FH230" i="54"/>
  <c r="FG229" i="54"/>
  <c r="FI229" i="54" s="1"/>
  <c r="FD230" i="54" s="1"/>
  <c r="FQ229" i="54"/>
  <c r="FS229" i="54"/>
  <c r="FT229" i="54"/>
  <c r="FO230" i="54" l="1"/>
  <c r="FN229" i="54"/>
  <c r="FP229" i="54" s="1"/>
  <c r="FK230" i="54" s="1"/>
  <c r="FZ230" i="54"/>
  <c r="FX230" i="54"/>
  <c r="GA230" i="54"/>
  <c r="FU229" i="54"/>
  <c r="FW229" i="54" s="1"/>
  <c r="FR230" i="54" s="1"/>
  <c r="FV230" i="54"/>
  <c r="FE230" i="54"/>
  <c r="FF230" i="54"/>
  <c r="FC230" i="54"/>
  <c r="FQ230" i="54" l="1"/>
  <c r="FS230" i="54"/>
  <c r="FT230" i="54"/>
  <c r="FH231" i="54"/>
  <c r="FG230" i="54"/>
  <c r="FI230" i="54" s="1"/>
  <c r="FD231" i="54" s="1"/>
  <c r="GD230" i="54"/>
  <c r="FY231" i="54" s="1"/>
  <c r="GB230" i="54"/>
  <c r="GC231" i="54"/>
  <c r="FM230" i="54"/>
  <c r="FL230" i="54"/>
  <c r="FJ230" i="54"/>
  <c r="FE231" i="54" l="1"/>
  <c r="FC231" i="54"/>
  <c r="FF231" i="54"/>
  <c r="FZ231" i="54"/>
  <c r="FX231" i="54"/>
  <c r="GA231" i="54"/>
  <c r="FN230" i="54"/>
  <c r="FP230" i="54" s="1"/>
  <c r="FK231" i="54" s="1"/>
  <c r="FO231" i="54"/>
  <c r="FU230" i="54"/>
  <c r="FW230" i="54" s="1"/>
  <c r="FR231" i="54" s="1"/>
  <c r="FV231" i="54"/>
  <c r="FT231" i="54" l="1"/>
  <c r="FQ231" i="54"/>
  <c r="FS231" i="54"/>
  <c r="GC232" i="54"/>
  <c r="GB231" i="54"/>
  <c r="GD231" i="54" s="1"/>
  <c r="FY232" i="54" s="1"/>
  <c r="FM231" i="54"/>
  <c r="FJ231" i="54"/>
  <c r="FL231" i="54"/>
  <c r="FH232" i="54"/>
  <c r="FG231" i="54"/>
  <c r="FI231" i="54" s="1"/>
  <c r="FD232" i="54" s="1"/>
  <c r="FZ232" i="54" l="1"/>
  <c r="FX232" i="54"/>
  <c r="GA232" i="54"/>
  <c r="FF232" i="54"/>
  <c r="FE232" i="54"/>
  <c r="FC232" i="54"/>
  <c r="FO232" i="54"/>
  <c r="FN231" i="54"/>
  <c r="FP231" i="54" s="1"/>
  <c r="FK232" i="54" s="1"/>
  <c r="FV232" i="54"/>
  <c r="FU231" i="54"/>
  <c r="FW231" i="54" s="1"/>
  <c r="FR232" i="54" s="1"/>
  <c r="FH233" i="54" l="1"/>
  <c r="FG232" i="54"/>
  <c r="FI232" i="54" s="1"/>
  <c r="FD233" i="54" s="1"/>
  <c r="FQ232" i="54"/>
  <c r="FS232" i="54"/>
  <c r="FT232" i="54"/>
  <c r="FJ232" i="54"/>
  <c r="FM232" i="54"/>
  <c r="FL232" i="54"/>
  <c r="GC233" i="54"/>
  <c r="GB232" i="54"/>
  <c r="GD232" i="54" s="1"/>
  <c r="FY233" i="54" s="1"/>
  <c r="FX233" i="54" l="1"/>
  <c r="FZ233" i="54"/>
  <c r="GA233" i="54"/>
  <c r="FU232" i="54"/>
  <c r="FW232" i="54" s="1"/>
  <c r="FR233" i="54" s="1"/>
  <c r="FV233" i="54"/>
  <c r="FO233" i="54"/>
  <c r="FN232" i="54"/>
  <c r="FP232" i="54" s="1"/>
  <c r="FK233" i="54" s="1"/>
  <c r="FC233" i="54"/>
  <c r="FE233" i="54"/>
  <c r="FF233" i="54"/>
  <c r="FS233" i="54" l="1"/>
  <c r="FQ233" i="54"/>
  <c r="FT233" i="54"/>
  <c r="FG233" i="54"/>
  <c r="FI233" i="54" s="1"/>
  <c r="FD234" i="54" s="1"/>
  <c r="FH234" i="54"/>
  <c r="GC234" i="54"/>
  <c r="GB233" i="54"/>
  <c r="GD233" i="54" s="1"/>
  <c r="FY234" i="54" s="1"/>
  <c r="FM233" i="54"/>
  <c r="FJ233" i="54"/>
  <c r="FL233" i="54"/>
  <c r="FE234" i="54" l="1"/>
  <c r="FC234" i="54"/>
  <c r="FF234" i="54"/>
  <c r="GA234" i="54"/>
  <c r="FX234" i="54"/>
  <c r="FZ234" i="54"/>
  <c r="FN233" i="54"/>
  <c r="FP233" i="54" s="1"/>
  <c r="FK234" i="54" s="1"/>
  <c r="FO234" i="54"/>
  <c r="FV234" i="54"/>
  <c r="FU233" i="54"/>
  <c r="FW233" i="54" s="1"/>
  <c r="FR234" i="54" s="1"/>
  <c r="GC235" i="54" l="1"/>
  <c r="GB234" i="54"/>
  <c r="FJ234" i="54"/>
  <c r="FM234" i="54"/>
  <c r="FL234" i="54"/>
  <c r="FS234" i="54"/>
  <c r="FT234" i="54"/>
  <c r="FQ234" i="54"/>
  <c r="GD234" i="54"/>
  <c r="FY235" i="54" s="1"/>
  <c r="FH235" i="54"/>
  <c r="FG234" i="54"/>
  <c r="FI234" i="54" s="1"/>
  <c r="FD235" i="54" s="1"/>
  <c r="FF235" i="54" l="1"/>
  <c r="FE235" i="54"/>
  <c r="FC235" i="54"/>
  <c r="FV235" i="54"/>
  <c r="FU234" i="54"/>
  <c r="FW234" i="54" s="1"/>
  <c r="FR235" i="54" s="1"/>
  <c r="FO235" i="54"/>
  <c r="FN234" i="54"/>
  <c r="FP234" i="54" s="1"/>
  <c r="FK235" i="54" s="1"/>
  <c r="FZ235" i="54"/>
  <c r="FX235" i="54"/>
  <c r="GA235" i="54"/>
  <c r="FQ235" i="54" l="1"/>
  <c r="FT235" i="54"/>
  <c r="FS235" i="54"/>
  <c r="GB235" i="54"/>
  <c r="GD235" i="54" s="1"/>
  <c r="FY236" i="54" s="1"/>
  <c r="GC236" i="54"/>
  <c r="FG235" i="54"/>
  <c r="FI235" i="54" s="1"/>
  <c r="FD236" i="54" s="1"/>
  <c r="FH236" i="54"/>
  <c r="FL235" i="54"/>
  <c r="FM235" i="54"/>
  <c r="FJ235" i="54"/>
  <c r="FX236" i="54" l="1"/>
  <c r="FZ236" i="54"/>
  <c r="GA236" i="54"/>
  <c r="FV236" i="54"/>
  <c r="FU235" i="54"/>
  <c r="FW235" i="54" s="1"/>
  <c r="FR236" i="54" s="1"/>
  <c r="FO236" i="54"/>
  <c r="FN235" i="54"/>
  <c r="FP235" i="54" s="1"/>
  <c r="FK236" i="54" s="1"/>
  <c r="FE236" i="54"/>
  <c r="FF236" i="54"/>
  <c r="FC236" i="54"/>
  <c r="FT236" i="54" l="1"/>
  <c r="FS236" i="54"/>
  <c r="FQ236" i="54"/>
  <c r="FH237" i="54"/>
  <c r="FG236" i="54"/>
  <c r="FI236" i="54" s="1"/>
  <c r="FD237" i="54" s="1"/>
  <c r="GC237" i="54"/>
  <c r="GB236" i="54"/>
  <c r="GD236" i="54" s="1"/>
  <c r="FY237" i="54" s="1"/>
  <c r="FJ236" i="54"/>
  <c r="FL236" i="54"/>
  <c r="FM236" i="54"/>
  <c r="FE237" i="54" l="1"/>
  <c r="FC237" i="54"/>
  <c r="FF237" i="54"/>
  <c r="FN236" i="54"/>
  <c r="FP236" i="54" s="1"/>
  <c r="FK237" i="54" s="1"/>
  <c r="FO237" i="54"/>
  <c r="FU236" i="54"/>
  <c r="FW236" i="54" s="1"/>
  <c r="FR237" i="54" s="1"/>
  <c r="FV237" i="54"/>
  <c r="FZ237" i="54"/>
  <c r="FX237" i="54"/>
  <c r="GA237" i="54"/>
  <c r="FM237" i="54" l="1"/>
  <c r="FL237" i="54"/>
  <c r="FJ237" i="54"/>
  <c r="GC238" i="54"/>
  <c r="GB237" i="54"/>
  <c r="GD237" i="54" s="1"/>
  <c r="FY238" i="54" s="1"/>
  <c r="FT237" i="54"/>
  <c r="FQ237" i="54"/>
  <c r="FS237" i="54"/>
  <c r="FH238" i="54"/>
  <c r="FG237" i="54"/>
  <c r="FI237" i="54" s="1"/>
  <c r="FD238" i="54" s="1"/>
  <c r="FX238" i="54" l="1"/>
  <c r="GA238" i="54"/>
  <c r="FZ238" i="54"/>
  <c r="FF238" i="54"/>
  <c r="FE238" i="54"/>
  <c r="FC238" i="54"/>
  <c r="FV238" i="54"/>
  <c r="FU237" i="54"/>
  <c r="FW237" i="54" s="1"/>
  <c r="FR238" i="54" s="1"/>
  <c r="FO238" i="54"/>
  <c r="FN237" i="54"/>
  <c r="FP237" i="54" s="1"/>
  <c r="FK238" i="54" s="1"/>
  <c r="FH239" i="54" l="1"/>
  <c r="FG238" i="54"/>
  <c r="FI238" i="54" s="1"/>
  <c r="FD239" i="54" s="1"/>
  <c r="GB238" i="54"/>
  <c r="GD238" i="54" s="1"/>
  <c r="FY239" i="54" s="1"/>
  <c r="GC239" i="54"/>
  <c r="FL238" i="54"/>
  <c r="FJ238" i="54"/>
  <c r="FM238" i="54"/>
  <c r="FQ238" i="54"/>
  <c r="FT238" i="54"/>
  <c r="FS238" i="54"/>
  <c r="FO239" i="54" l="1"/>
  <c r="FN238" i="54"/>
  <c r="FP238" i="54" s="1"/>
  <c r="FK239" i="54" s="1"/>
  <c r="FV239" i="54"/>
  <c r="FU238" i="54"/>
  <c r="FW238" i="54" s="1"/>
  <c r="FR239" i="54" s="1"/>
  <c r="FX239" i="54"/>
  <c r="FZ239" i="54"/>
  <c r="GA239" i="54"/>
  <c r="FC239" i="54"/>
  <c r="FF239" i="54"/>
  <c r="FE239" i="54"/>
  <c r="FQ239" i="54" l="1"/>
  <c r="FS239" i="54"/>
  <c r="FT239" i="54"/>
  <c r="FH240" i="54"/>
  <c r="FG239" i="54"/>
  <c r="FI239" i="54" s="1"/>
  <c r="FD240" i="54" s="1"/>
  <c r="GB239" i="54"/>
  <c r="GD239" i="54" s="1"/>
  <c r="FY240" i="54" s="1"/>
  <c r="GC240" i="54"/>
  <c r="FL239" i="54"/>
  <c r="FJ239" i="54"/>
  <c r="FM239" i="54"/>
  <c r="FZ240" i="54" l="1"/>
  <c r="GA240" i="54"/>
  <c r="FX240" i="54"/>
  <c r="FE240" i="54"/>
  <c r="FC240" i="54"/>
  <c r="FF240" i="54"/>
  <c r="FW239" i="54"/>
  <c r="FR240" i="54" s="1"/>
  <c r="FV240" i="54"/>
  <c r="FU239" i="54"/>
  <c r="FO240" i="54"/>
  <c r="FN239" i="54"/>
  <c r="FP239" i="54" s="1"/>
  <c r="FK240" i="54" s="1"/>
  <c r="FT240" i="54" l="1"/>
  <c r="FQ240" i="54"/>
  <c r="FS240" i="54"/>
  <c r="FM240" i="54"/>
  <c r="FJ240" i="54"/>
  <c r="FL240" i="54"/>
  <c r="FG240" i="54"/>
  <c r="FI240" i="54" s="1"/>
  <c r="FD241" i="54" s="1"/>
  <c r="FH241" i="54"/>
  <c r="GC241" i="54"/>
  <c r="GB240" i="54"/>
  <c r="GD240" i="54" s="1"/>
  <c r="FY241" i="54" s="1"/>
  <c r="FX241" i="54" l="1"/>
  <c r="FZ241" i="54"/>
  <c r="GA241" i="54"/>
  <c r="FO241" i="54"/>
  <c r="FN240" i="54"/>
  <c r="FP240" i="54" s="1"/>
  <c r="FK241" i="54" s="1"/>
  <c r="FV241" i="54"/>
  <c r="FU240" i="54"/>
  <c r="FF241" i="54"/>
  <c r="FE241" i="54"/>
  <c r="FC241" i="54"/>
  <c r="FW240" i="54"/>
  <c r="FR241" i="54" s="1"/>
  <c r="FJ241" i="54" l="1"/>
  <c r="FM241" i="54"/>
  <c r="FL241" i="54"/>
  <c r="FH242" i="54"/>
  <c r="FG241" i="54"/>
  <c r="FI241" i="54" s="1"/>
  <c r="FD242" i="54" s="1"/>
  <c r="GC242" i="54"/>
  <c r="GB241" i="54"/>
  <c r="GD241" i="54" s="1"/>
  <c r="FY242" i="54" s="1"/>
  <c r="FS241" i="54"/>
  <c r="FT241" i="54"/>
  <c r="FQ241" i="54"/>
  <c r="FX242" i="54" l="1"/>
  <c r="FZ242" i="54"/>
  <c r="GA242" i="54"/>
  <c r="FF242" i="54"/>
  <c r="FC242" i="54"/>
  <c r="FE242" i="54"/>
  <c r="FO242" i="54"/>
  <c r="FN241" i="54"/>
  <c r="FP241" i="54" s="1"/>
  <c r="FK242" i="54" s="1"/>
  <c r="FV242" i="54"/>
  <c r="FU241" i="54"/>
  <c r="FW241" i="54" s="1"/>
  <c r="FR242" i="54" s="1"/>
  <c r="FQ242" i="54" l="1"/>
  <c r="FS242" i="54"/>
  <c r="FT242" i="54"/>
  <c r="FH243" i="54"/>
  <c r="FG242" i="54"/>
  <c r="FI242" i="54" s="1"/>
  <c r="FD243" i="54" s="1"/>
  <c r="FJ242" i="54"/>
  <c r="FL242" i="54"/>
  <c r="FM242" i="54"/>
  <c r="GB242" i="54"/>
  <c r="GD242" i="54" s="1"/>
  <c r="FY243" i="54" s="1"/>
  <c r="GC243" i="54"/>
  <c r="FE243" i="54" l="1"/>
  <c r="FC243" i="54"/>
  <c r="FF243" i="54"/>
  <c r="FZ243" i="54"/>
  <c r="FX243" i="54"/>
  <c r="GA243" i="54"/>
  <c r="FU242" i="54"/>
  <c r="FW242" i="54" s="1"/>
  <c r="FR243" i="54" s="1"/>
  <c r="FV243" i="54"/>
  <c r="FO243" i="54"/>
  <c r="FN242" i="54"/>
  <c r="FP242" i="54" s="1"/>
  <c r="FK243" i="54" s="1"/>
  <c r="GB243" i="54" l="1"/>
  <c r="GD243" i="54" s="1"/>
  <c r="FY244" i="54" s="1"/>
  <c r="GC244" i="54"/>
  <c r="FJ243" i="54"/>
  <c r="FM243" i="54"/>
  <c r="FL243" i="54"/>
  <c r="FS243" i="54"/>
  <c r="FT243" i="54"/>
  <c r="FQ243" i="54"/>
  <c r="FH244" i="54"/>
  <c r="FG243" i="54"/>
  <c r="FI243" i="54" s="1"/>
  <c r="FD244" i="54" s="1"/>
  <c r="FC244" i="54" l="1"/>
  <c r="FF244" i="54"/>
  <c r="FE244" i="54"/>
  <c r="FO244" i="54"/>
  <c r="FN243" i="54"/>
  <c r="FP243" i="54" s="1"/>
  <c r="FK244" i="54" s="1"/>
  <c r="FU243" i="54"/>
  <c r="FW243" i="54" s="1"/>
  <c r="FR244" i="54" s="1"/>
  <c r="FV244" i="54"/>
  <c r="FZ244" i="54"/>
  <c r="FX244" i="54"/>
  <c r="GA244" i="54"/>
  <c r="FQ244" i="54" l="1"/>
  <c r="FS244" i="54"/>
  <c r="FT244" i="54"/>
  <c r="FL244" i="54"/>
  <c r="FJ244" i="54"/>
  <c r="FM244" i="54"/>
  <c r="FH245" i="54"/>
  <c r="FG244" i="54"/>
  <c r="FI244" i="54" s="1"/>
  <c r="FD245" i="54" s="1"/>
  <c r="GC245" i="54"/>
  <c r="GB244" i="54"/>
  <c r="GD244" i="54" s="1"/>
  <c r="FY245" i="54" s="1"/>
  <c r="FZ245" i="54" l="1"/>
  <c r="GA245" i="54"/>
  <c r="FX245" i="54"/>
  <c r="FO245" i="54"/>
  <c r="FN244" i="54"/>
  <c r="FP244" i="54" s="1"/>
  <c r="FK245" i="54" s="1"/>
  <c r="FV245" i="54"/>
  <c r="FU244" i="54"/>
  <c r="FW244" i="54" s="1"/>
  <c r="FR245" i="54" s="1"/>
  <c r="FC245" i="54"/>
  <c r="FF245" i="54"/>
  <c r="FE245" i="54"/>
  <c r="FS245" i="54" l="1"/>
  <c r="FQ245" i="54"/>
  <c r="FT245" i="54"/>
  <c r="FJ245" i="54"/>
  <c r="FM245" i="54"/>
  <c r="FL245" i="54"/>
  <c r="FI245" i="54"/>
  <c r="FD246" i="54" s="1"/>
  <c r="FH246" i="54"/>
  <c r="FG245" i="54"/>
  <c r="GC246" i="54"/>
  <c r="GB245" i="54"/>
  <c r="GD245" i="54" s="1"/>
  <c r="FY246" i="54" s="1"/>
  <c r="FX246" i="54" l="1"/>
  <c r="FZ246" i="54"/>
  <c r="GA246" i="54"/>
  <c r="FO246" i="54"/>
  <c r="FN245" i="54"/>
  <c r="FP245" i="54" s="1"/>
  <c r="FK246" i="54" s="1"/>
  <c r="FE246" i="54"/>
  <c r="FC246" i="54"/>
  <c r="FF246" i="54"/>
  <c r="FV246" i="54"/>
  <c r="FU245" i="54"/>
  <c r="FW245" i="54" s="1"/>
  <c r="FR246" i="54" s="1"/>
  <c r="FS246" i="54" l="1"/>
  <c r="FT246" i="54"/>
  <c r="FQ246" i="54"/>
  <c r="FL246" i="54"/>
  <c r="FM246" i="54"/>
  <c r="FJ246" i="54"/>
  <c r="FI246" i="54"/>
  <c r="FD247" i="54" s="1"/>
  <c r="GC247" i="54"/>
  <c r="GB246" i="54"/>
  <c r="GD246" i="54" s="1"/>
  <c r="FY247" i="54" s="1"/>
  <c r="FG246" i="54"/>
  <c r="FH247" i="54"/>
  <c r="FZ247" i="54" l="1"/>
  <c r="FX247" i="54"/>
  <c r="GA247" i="54"/>
  <c r="FO247" i="54"/>
  <c r="FN246" i="54"/>
  <c r="FP246" i="54" s="1"/>
  <c r="FK247" i="54" s="1"/>
  <c r="FE247" i="54"/>
  <c r="FC247" i="54"/>
  <c r="FF247" i="54"/>
  <c r="FV247" i="54"/>
  <c r="FU246" i="54"/>
  <c r="FW246" i="54" s="1"/>
  <c r="FR247" i="54" s="1"/>
  <c r="FQ247" i="54" l="1"/>
  <c r="FS247" i="54"/>
  <c r="FT247" i="54"/>
  <c r="FH248" i="54"/>
  <c r="FG247" i="54"/>
  <c r="FI247" i="54" s="1"/>
  <c r="FD248" i="54" s="1"/>
  <c r="FJ247" i="54"/>
  <c r="FL247" i="54"/>
  <c r="FM247" i="54"/>
  <c r="GB247" i="54"/>
  <c r="GD247" i="54" s="1"/>
  <c r="FY248" i="54" s="1"/>
  <c r="GC248" i="54"/>
  <c r="FE248" i="54" l="1"/>
  <c r="FC248" i="54"/>
  <c r="FF248" i="54"/>
  <c r="FX248" i="54"/>
  <c r="FZ248" i="54"/>
  <c r="GA248" i="54"/>
  <c r="FU247" i="54"/>
  <c r="FW247" i="54" s="1"/>
  <c r="FR248" i="54" s="1"/>
  <c r="FV248" i="54"/>
  <c r="FO248" i="54"/>
  <c r="FN247" i="54"/>
  <c r="FP247" i="54" s="1"/>
  <c r="FK248" i="54" s="1"/>
  <c r="FS248" i="54" l="1"/>
  <c r="FT248" i="54"/>
  <c r="FQ248" i="54"/>
  <c r="GC249" i="54"/>
  <c r="GB248" i="54"/>
  <c r="GD248" i="54" s="1"/>
  <c r="FY249" i="54" s="1"/>
  <c r="FJ248" i="54"/>
  <c r="FL248" i="54"/>
  <c r="FM248" i="54"/>
  <c r="FH249" i="54"/>
  <c r="FG248" i="54"/>
  <c r="FI248" i="54" s="1"/>
  <c r="FD249" i="54" s="1"/>
  <c r="GA249" i="54" l="1"/>
  <c r="FZ249" i="54"/>
  <c r="FX249" i="54"/>
  <c r="FE249" i="54"/>
  <c r="FC249" i="54"/>
  <c r="FF249" i="54"/>
  <c r="FO249" i="54"/>
  <c r="FN248" i="54"/>
  <c r="FP248" i="54" s="1"/>
  <c r="FK249" i="54" s="1"/>
  <c r="FV249" i="54"/>
  <c r="FU248" i="54"/>
  <c r="FW248" i="54" s="1"/>
  <c r="FR249" i="54" s="1"/>
  <c r="FQ249" i="54" l="1"/>
  <c r="FS249" i="54"/>
  <c r="FT249" i="54"/>
  <c r="FM249" i="54"/>
  <c r="FJ249" i="54"/>
  <c r="FL249" i="54"/>
  <c r="FG249" i="54"/>
  <c r="FI249" i="54" s="1"/>
  <c r="FD250" i="54" s="1"/>
  <c r="FH250" i="54"/>
  <c r="GC250" i="54"/>
  <c r="GB249" i="54"/>
  <c r="GD249" i="54" s="1"/>
  <c r="FY250" i="54" s="1"/>
  <c r="FF250" i="54" l="1"/>
  <c r="FE250" i="54"/>
  <c r="FC250" i="54"/>
  <c r="FO250" i="54"/>
  <c r="FN249" i="54"/>
  <c r="FP249" i="54" s="1"/>
  <c r="FK250" i="54" s="1"/>
  <c r="FV250" i="54"/>
  <c r="FU249" i="54"/>
  <c r="FW249" i="54" s="1"/>
  <c r="FR250" i="54" s="1"/>
  <c r="FX250" i="54"/>
  <c r="FZ250" i="54"/>
  <c r="GA250" i="54"/>
  <c r="FJ250" i="54" l="1"/>
  <c r="FM250" i="54"/>
  <c r="FL250" i="54"/>
  <c r="GC251" i="54"/>
  <c r="GB250" i="54"/>
  <c r="GD250" i="54" s="1"/>
  <c r="FY251" i="54" s="1"/>
  <c r="FH251" i="54"/>
  <c r="FG250" i="54"/>
  <c r="FI250" i="54" s="1"/>
  <c r="FD251" i="54" s="1"/>
  <c r="FT250" i="54"/>
  <c r="FS250" i="54"/>
  <c r="FQ250" i="54"/>
  <c r="FV251" i="54" l="1"/>
  <c r="FU250" i="54"/>
  <c r="FE251" i="54"/>
  <c r="FC251" i="54"/>
  <c r="FF251" i="54"/>
  <c r="FW250" i="54"/>
  <c r="FR251" i="54" s="1"/>
  <c r="FX251" i="54"/>
  <c r="FZ251" i="54"/>
  <c r="GA251" i="54"/>
  <c r="FO251" i="54"/>
  <c r="FN250" i="54"/>
  <c r="FP250" i="54" s="1"/>
  <c r="FK251" i="54" s="1"/>
  <c r="FS251" i="54" l="1"/>
  <c r="FQ251" i="54"/>
  <c r="FT251" i="54"/>
  <c r="FM251" i="54"/>
  <c r="FJ251" i="54"/>
  <c r="FL251" i="54"/>
  <c r="FH252" i="54"/>
  <c r="FG251" i="54"/>
  <c r="FI251" i="54" s="1"/>
  <c r="FD252" i="54" s="1"/>
  <c r="GC252" i="54"/>
  <c r="GB251" i="54"/>
  <c r="GD251" i="54" s="1"/>
  <c r="FY252" i="54" s="1"/>
  <c r="FE252" i="54" l="1"/>
  <c r="FC252" i="54"/>
  <c r="FF252" i="54"/>
  <c r="FO252" i="54"/>
  <c r="FN251" i="54"/>
  <c r="FP251" i="54" s="1"/>
  <c r="FK252" i="54" s="1"/>
  <c r="FX252" i="54"/>
  <c r="FZ252" i="54"/>
  <c r="GA252" i="54"/>
  <c r="FV252" i="54"/>
  <c r="FU251" i="54"/>
  <c r="FW251" i="54" s="1"/>
  <c r="FR252" i="54" s="1"/>
  <c r="FQ252" i="54" l="1"/>
  <c r="FT252" i="54"/>
  <c r="FS252" i="54"/>
  <c r="FL252" i="54"/>
  <c r="FM252" i="54"/>
  <c r="FJ252" i="54"/>
  <c r="GB252" i="54"/>
  <c r="GD252" i="54" s="1"/>
  <c r="FY253" i="54" s="1"/>
  <c r="GC253" i="54"/>
  <c r="FH253" i="54"/>
  <c r="FG252" i="54"/>
  <c r="FI252" i="54" s="1"/>
  <c r="FD253" i="54" s="1"/>
  <c r="FF253" i="54" l="1"/>
  <c r="FE253" i="54"/>
  <c r="FC253" i="54"/>
  <c r="GA253" i="54"/>
  <c r="FX253" i="54"/>
  <c r="FZ253" i="54"/>
  <c r="FO253" i="54"/>
  <c r="FN252" i="54"/>
  <c r="FP252" i="54" s="1"/>
  <c r="FK253" i="54" s="1"/>
  <c r="FV253" i="54"/>
  <c r="FU252" i="54"/>
  <c r="FW252" i="54" s="1"/>
  <c r="FR253" i="54" s="1"/>
  <c r="GB253" i="54" l="1"/>
  <c r="GC254" i="54"/>
  <c r="GD253" i="54"/>
  <c r="FY254" i="54" s="1"/>
  <c r="FS253" i="54"/>
  <c r="FQ253" i="54"/>
  <c r="FT253" i="54"/>
  <c r="FL253" i="54"/>
  <c r="FJ253" i="54"/>
  <c r="FM253" i="54"/>
  <c r="FH254" i="54"/>
  <c r="FG253" i="54"/>
  <c r="FI253" i="54" s="1"/>
  <c r="FD254" i="54" s="1"/>
  <c r="FC254" i="54" l="1"/>
  <c r="FE254" i="54"/>
  <c r="FF254" i="54"/>
  <c r="FV254" i="54"/>
  <c r="FU253" i="54"/>
  <c r="FW253" i="54" s="1"/>
  <c r="FR254" i="54" s="1"/>
  <c r="GA254" i="54"/>
  <c r="FX254" i="54"/>
  <c r="FZ254" i="54"/>
  <c r="FN253" i="54"/>
  <c r="FP253" i="54" s="1"/>
  <c r="FK254" i="54" s="1"/>
  <c r="FO254" i="54"/>
  <c r="FS254" i="54" l="1"/>
  <c r="FT254" i="54"/>
  <c r="FQ254" i="54"/>
  <c r="FM254" i="54"/>
  <c r="FJ254" i="54"/>
  <c r="FL254" i="54"/>
  <c r="FG254" i="54"/>
  <c r="FI254" i="54" s="1"/>
  <c r="FD255" i="54" s="1"/>
  <c r="FH255" i="54"/>
  <c r="GC255" i="54"/>
  <c r="GB254" i="54"/>
  <c r="GD254" i="54" s="1"/>
  <c r="FY255" i="54" s="1"/>
  <c r="FZ255" i="54" l="1"/>
  <c r="FX255" i="54"/>
  <c r="GA255" i="54"/>
  <c r="FF255" i="54"/>
  <c r="FE255" i="54"/>
  <c r="FC255" i="54"/>
  <c r="FW254" i="54"/>
  <c r="FR255" i="54" s="1"/>
  <c r="FV255" i="54"/>
  <c r="FU254" i="54"/>
  <c r="FO255" i="54"/>
  <c r="FN254" i="54"/>
  <c r="FP254" i="54" s="1"/>
  <c r="FK255" i="54" s="1"/>
  <c r="FH256" i="54" l="1"/>
  <c r="FG255" i="54"/>
  <c r="FI255" i="54" s="1"/>
  <c r="FD256" i="54" s="1"/>
  <c r="FQ255" i="54"/>
  <c r="FS255" i="54"/>
  <c r="FT255" i="54"/>
  <c r="FL255" i="54"/>
  <c r="FJ255" i="54"/>
  <c r="FM255" i="54"/>
  <c r="GC256" i="54"/>
  <c r="GB255" i="54"/>
  <c r="GD255" i="54" s="1"/>
  <c r="FY256" i="54" s="1"/>
  <c r="FV256" i="54" l="1"/>
  <c r="FU255" i="54"/>
  <c r="FW255" i="54" s="1"/>
  <c r="FR256" i="54" s="1"/>
  <c r="GA256" i="54"/>
  <c r="FZ256" i="54"/>
  <c r="FX256" i="54"/>
  <c r="FE256" i="54"/>
  <c r="FC256" i="54"/>
  <c r="FF256" i="54"/>
  <c r="FO256" i="54"/>
  <c r="FN255" i="54"/>
  <c r="FP255" i="54" s="1"/>
  <c r="FK256" i="54" s="1"/>
  <c r="FS256" i="54" l="1"/>
  <c r="FT256" i="54"/>
  <c r="FQ256" i="54"/>
  <c r="GC257" i="54"/>
  <c r="GB256" i="54"/>
  <c r="GD256" i="54" s="1"/>
  <c r="FY257" i="54" s="1"/>
  <c r="FL256" i="54"/>
  <c r="FM256" i="54"/>
  <c r="FJ256" i="54"/>
  <c r="FH257" i="54"/>
  <c r="FG256" i="54"/>
  <c r="FI256" i="54" s="1"/>
  <c r="FD257" i="54" s="1"/>
  <c r="FE257" i="54" l="1"/>
  <c r="FC257" i="54"/>
  <c r="FF257" i="54"/>
  <c r="FO257" i="54"/>
  <c r="FN256" i="54"/>
  <c r="FP256" i="54" s="1"/>
  <c r="FK257" i="54" s="1"/>
  <c r="FX257" i="54"/>
  <c r="FZ257" i="54"/>
  <c r="GA257" i="54"/>
  <c r="FV257" i="54"/>
  <c r="FU256" i="54"/>
  <c r="FW256" i="54" s="1"/>
  <c r="FR257" i="54" s="1"/>
  <c r="FJ257" i="54" l="1"/>
  <c r="FM257" i="54"/>
  <c r="FL257" i="54"/>
  <c r="FQ257" i="54"/>
  <c r="FS257" i="54"/>
  <c r="FT257" i="54"/>
  <c r="GB257" i="54"/>
  <c r="GD257" i="54" s="1"/>
  <c r="FY258" i="54" s="1"/>
  <c r="GC258" i="54"/>
  <c r="FG257" i="54"/>
  <c r="FI257" i="54" s="1"/>
  <c r="FD258" i="54" s="1"/>
  <c r="FH258" i="54"/>
  <c r="FZ258" i="54" l="1"/>
  <c r="GA258" i="54"/>
  <c r="FX258" i="54"/>
  <c r="FV258" i="54"/>
  <c r="FU257" i="54"/>
  <c r="FW257" i="54" s="1"/>
  <c r="FR258" i="54" s="1"/>
  <c r="FF258" i="54"/>
  <c r="FE258" i="54"/>
  <c r="FC258" i="54"/>
  <c r="FN257" i="54"/>
  <c r="FP257" i="54" s="1"/>
  <c r="FK258" i="54" s="1"/>
  <c r="FO258" i="54"/>
  <c r="FT258" i="54" l="1"/>
  <c r="FQ258" i="54"/>
  <c r="FS258" i="54"/>
  <c r="FM258" i="54"/>
  <c r="FJ258" i="54"/>
  <c r="FL258" i="54"/>
  <c r="FG258" i="54"/>
  <c r="FI258" i="54" s="1"/>
  <c r="FD259" i="54" s="1"/>
  <c r="FH259" i="54"/>
  <c r="GB258" i="54"/>
  <c r="GD258" i="54" s="1"/>
  <c r="FY259" i="54" s="1"/>
  <c r="GC259" i="54"/>
  <c r="FZ259" i="54" l="1"/>
  <c r="GA259" i="54"/>
  <c r="FX259" i="54"/>
  <c r="FF259" i="54"/>
  <c r="FC259" i="54"/>
  <c r="FE259" i="54"/>
  <c r="FV259" i="54"/>
  <c r="FU258" i="54"/>
  <c r="FO259" i="54"/>
  <c r="FN258" i="54"/>
  <c r="FP258" i="54" s="1"/>
  <c r="FK259" i="54" s="1"/>
  <c r="FW258" i="54"/>
  <c r="FR259" i="54" s="1"/>
  <c r="FG259" i="54" l="1"/>
  <c r="FH260" i="54"/>
  <c r="FS259" i="54"/>
  <c r="FQ259" i="54"/>
  <c r="FT259" i="54"/>
  <c r="FM259" i="54"/>
  <c r="FJ259" i="54"/>
  <c r="FL259" i="54"/>
  <c r="FI259" i="54"/>
  <c r="FD260" i="54" s="1"/>
  <c r="GC260" i="54"/>
  <c r="GB259" i="54"/>
  <c r="GD259" i="54" s="1"/>
  <c r="FY260" i="54" s="1"/>
  <c r="FX260" i="54" l="1"/>
  <c r="FZ260" i="54"/>
  <c r="GA260" i="54"/>
  <c r="FF260" i="54"/>
  <c r="FE260" i="54"/>
  <c r="FC260" i="54"/>
  <c r="FU259" i="54"/>
  <c r="FW259" i="54" s="1"/>
  <c r="FR260" i="54" s="1"/>
  <c r="FV260" i="54"/>
  <c r="FO260" i="54"/>
  <c r="FN259" i="54"/>
  <c r="FP259" i="54" s="1"/>
  <c r="FK260" i="54" s="1"/>
  <c r="FQ260" i="54" l="1"/>
  <c r="FT260" i="54"/>
  <c r="FS260" i="54"/>
  <c r="FM260" i="54"/>
  <c r="FJ260" i="54"/>
  <c r="FL260" i="54"/>
  <c r="GB260" i="54"/>
  <c r="GD260" i="54" s="1"/>
  <c r="FY261" i="54" s="1"/>
  <c r="GC261" i="54"/>
  <c r="FG260" i="54"/>
  <c r="FH261" i="54"/>
  <c r="FI260" i="54"/>
  <c r="FD261" i="54" s="1"/>
  <c r="FX261" i="54" l="1"/>
  <c r="GA261" i="54"/>
  <c r="FZ261" i="54"/>
  <c r="FN260" i="54"/>
  <c r="FP260" i="54" s="1"/>
  <c r="FK261" i="54" s="1"/>
  <c r="FO261" i="54"/>
  <c r="FE261" i="54"/>
  <c r="FC261" i="54"/>
  <c r="FF261" i="54"/>
  <c r="FU260" i="54"/>
  <c r="FW260" i="54" s="1"/>
  <c r="FR261" i="54" s="1"/>
  <c r="FV261" i="54"/>
  <c r="FH262" i="54" l="1"/>
  <c r="FG261" i="54"/>
  <c r="GC262" i="54"/>
  <c r="GB261" i="54"/>
  <c r="GD261" i="54" s="1"/>
  <c r="FY262" i="54" s="1"/>
  <c r="FM261" i="54"/>
  <c r="FJ261" i="54"/>
  <c r="FL261" i="54"/>
  <c r="FS261" i="54"/>
  <c r="FT261" i="54"/>
  <c r="FQ261" i="54"/>
  <c r="FI261" i="54"/>
  <c r="FD262" i="54" s="1"/>
  <c r="FZ262" i="54" l="1"/>
  <c r="FX262" i="54"/>
  <c r="GA262" i="54"/>
  <c r="FF262" i="54"/>
  <c r="FE262" i="54"/>
  <c r="FC262" i="54"/>
  <c r="FV262" i="54"/>
  <c r="FU261" i="54"/>
  <c r="FW261" i="54" s="1"/>
  <c r="FR262" i="54" s="1"/>
  <c r="FO262" i="54"/>
  <c r="FN261" i="54"/>
  <c r="FP261" i="54" s="1"/>
  <c r="FK262" i="54" s="1"/>
  <c r="FH263" i="54" l="1"/>
  <c r="FG262" i="54"/>
  <c r="FI262" i="54" s="1"/>
  <c r="FD263" i="54" s="1"/>
  <c r="FJ262" i="54"/>
  <c r="FM262" i="54"/>
  <c r="FL262" i="54"/>
  <c r="FS262" i="54"/>
  <c r="FQ262" i="54"/>
  <c r="FT262" i="54"/>
  <c r="GC263" i="54"/>
  <c r="GB262" i="54"/>
  <c r="GD262" i="54" s="1"/>
  <c r="FY263" i="54" s="1"/>
  <c r="FO263" i="54" l="1"/>
  <c r="FN262" i="54"/>
  <c r="FP262" i="54" s="1"/>
  <c r="FK263" i="54" s="1"/>
  <c r="FE263" i="54"/>
  <c r="FC263" i="54"/>
  <c r="FF263" i="54"/>
  <c r="FZ263" i="54"/>
  <c r="GA263" i="54"/>
  <c r="FX263" i="54"/>
  <c r="FV263" i="54"/>
  <c r="FU262" i="54"/>
  <c r="FW262" i="54" s="1"/>
  <c r="FR263" i="54" s="1"/>
  <c r="GC264" i="54" l="1"/>
  <c r="GB263" i="54"/>
  <c r="GD263" i="54" s="1"/>
  <c r="FY264" i="54" s="1"/>
  <c r="FS263" i="54"/>
  <c r="FT263" i="54"/>
  <c r="FQ263" i="54"/>
  <c r="FH264" i="54"/>
  <c r="FG263" i="54"/>
  <c r="FI263" i="54" s="1"/>
  <c r="FD264" i="54" s="1"/>
  <c r="FM263" i="54"/>
  <c r="FJ263" i="54"/>
  <c r="FL263" i="54"/>
  <c r="FE264" i="54" l="1"/>
  <c r="FC264" i="54"/>
  <c r="FF264" i="54"/>
  <c r="FO264" i="54"/>
  <c r="FN263" i="54"/>
  <c r="FP263" i="54" s="1"/>
  <c r="FK264" i="54" s="1"/>
  <c r="FX264" i="54"/>
  <c r="FZ264" i="54"/>
  <c r="GA264" i="54"/>
  <c r="FV264" i="54"/>
  <c r="FU263" i="54"/>
  <c r="FW263" i="54" s="1"/>
  <c r="FR264" i="54" s="1"/>
  <c r="GC265" i="54" l="1"/>
  <c r="GB264" i="54"/>
  <c r="GD264" i="54" s="1"/>
  <c r="FY265" i="54" s="1"/>
  <c r="FJ264" i="54"/>
  <c r="FM264" i="54"/>
  <c r="FL264" i="54"/>
  <c r="FT264" i="54"/>
  <c r="FS264" i="54"/>
  <c r="FQ264" i="54"/>
  <c r="FH265" i="54"/>
  <c r="FG264" i="54"/>
  <c r="FI264" i="54" s="1"/>
  <c r="FD265" i="54" s="1"/>
  <c r="FE265" i="54" l="1"/>
  <c r="FF265" i="54"/>
  <c r="FC265" i="54"/>
  <c r="FO265" i="54"/>
  <c r="FN264" i="54"/>
  <c r="FP264" i="54" s="1"/>
  <c r="FK265" i="54" s="1"/>
  <c r="FZ265" i="54"/>
  <c r="GA265" i="54"/>
  <c r="FX265" i="54"/>
  <c r="FV265" i="54"/>
  <c r="FU264" i="54"/>
  <c r="FW264" i="54" s="1"/>
  <c r="FR265" i="54" s="1"/>
  <c r="GC266" i="54" l="1"/>
  <c r="GB265" i="54"/>
  <c r="FQ265" i="54"/>
  <c r="FT265" i="54"/>
  <c r="FS265" i="54"/>
  <c r="GD265" i="54"/>
  <c r="FY266" i="54" s="1"/>
  <c r="FM265" i="54"/>
  <c r="FJ265" i="54"/>
  <c r="FL265" i="54"/>
  <c r="FH266" i="54"/>
  <c r="FG265" i="54"/>
  <c r="FI265" i="54" s="1"/>
  <c r="FD266" i="54" s="1"/>
  <c r="FF266" i="54" l="1"/>
  <c r="FC266" i="54"/>
  <c r="FE266" i="54"/>
  <c r="GA266" i="54"/>
  <c r="FX266" i="54"/>
  <c r="FZ266" i="54"/>
  <c r="FU265" i="54"/>
  <c r="FV266" i="54"/>
  <c r="FW265" i="54"/>
  <c r="FR266" i="54" s="1"/>
  <c r="FO266" i="54"/>
  <c r="FN265" i="54"/>
  <c r="FP265" i="54" s="1"/>
  <c r="FK266" i="54" s="1"/>
  <c r="GB266" i="54" l="1"/>
  <c r="GD266" i="54" s="1"/>
  <c r="FY267" i="54" s="1"/>
  <c r="GC267" i="54"/>
  <c r="FH267" i="54"/>
  <c r="FG266" i="54"/>
  <c r="FI266" i="54" s="1"/>
  <c r="FD267" i="54" s="1"/>
  <c r="FJ266" i="54"/>
  <c r="FL266" i="54"/>
  <c r="FM266" i="54"/>
  <c r="FQ266" i="54"/>
  <c r="FS266" i="54"/>
  <c r="FT266" i="54"/>
  <c r="FO267" i="54" l="1"/>
  <c r="FN266" i="54"/>
  <c r="FP266" i="54" s="1"/>
  <c r="FK267" i="54" s="1"/>
  <c r="FE267" i="54"/>
  <c r="FC267" i="54"/>
  <c r="FF267" i="54"/>
  <c r="FU266" i="54"/>
  <c r="FW266" i="54" s="1"/>
  <c r="FR267" i="54" s="1"/>
  <c r="FV267" i="54"/>
  <c r="FZ267" i="54"/>
  <c r="GA267" i="54"/>
  <c r="FX267" i="54"/>
  <c r="FT267" i="54" l="1"/>
  <c r="FS267" i="54"/>
  <c r="FQ267" i="54"/>
  <c r="GC268" i="54"/>
  <c r="GB267" i="54"/>
  <c r="GD267" i="54" s="1"/>
  <c r="FY268" i="54" s="1"/>
  <c r="FH268" i="54"/>
  <c r="FG267" i="54"/>
  <c r="FI267" i="54" s="1"/>
  <c r="FD268" i="54" s="1"/>
  <c r="FJ267" i="54"/>
  <c r="FM267" i="54"/>
  <c r="FL267" i="54"/>
  <c r="FZ268" i="54" l="1"/>
  <c r="GB268" i="54" s="1"/>
  <c r="FX268" i="54"/>
  <c r="FA5" i="54" s="1" a="1"/>
  <c r="FA5" i="54" s="1"/>
  <c r="GA268" i="54"/>
  <c r="FN267" i="54"/>
  <c r="FP267" i="54" s="1"/>
  <c r="FK268" i="54" s="1"/>
  <c r="FO268" i="54"/>
  <c r="FU267" i="54"/>
  <c r="FW267" i="54" s="1"/>
  <c r="FR268" i="54" s="1"/>
  <c r="FV268" i="54"/>
  <c r="FE268" i="54"/>
  <c r="FG268" i="54" s="1"/>
  <c r="FF268" i="54"/>
  <c r="FC268" i="54"/>
  <c r="EZ3" i="54" s="1" a="1"/>
  <c r="EZ3" i="54" s="1"/>
  <c r="FL268" i="54" l="1"/>
  <c r="FN268" i="54" s="1"/>
  <c r="FJ268" i="54"/>
  <c r="FA4" i="54" s="1" a="1"/>
  <c r="FA4" i="54" s="1"/>
  <c r="FM268" i="54"/>
  <c r="FI268" i="54"/>
  <c r="GD268" i="54"/>
  <c r="FS268" i="54"/>
  <c r="FU268" i="54" s="1"/>
  <c r="FT268" i="54"/>
  <c r="FQ268" i="54"/>
  <c r="EZ5" i="54" s="1" a="1"/>
  <c r="EZ5" i="54" s="1"/>
  <c r="FW268" i="54" l="1"/>
  <c r="FP268" i="5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<sst xmlns="http://schemas.openxmlformats.org/spreadsheetml/2006/main" count="2579" uniqueCount="1136">
  <si>
    <t>Gennemsnit</t>
  </si>
  <si>
    <t>Standardafvigelse</t>
  </si>
  <si>
    <t>Andel</t>
  </si>
  <si>
    <t>Intensitet</t>
  </si>
  <si>
    <t>Konfidensniveau</t>
  </si>
  <si>
    <t>Formålet er at fremme læring af beskrivende statistik og statistisk analyse.</t>
  </si>
  <si>
    <t>Data</t>
  </si>
  <si>
    <t>Overskrift input</t>
  </si>
  <si>
    <t>Beskrivende statistik</t>
  </si>
  <si>
    <t>Beregn parameterværdier der beskriver et observationssæt</t>
  </si>
  <si>
    <t>Afrundet simpel brøk</t>
  </si>
  <si>
    <t>Uforkortet simpel brøk</t>
  </si>
  <si>
    <t>Valg til analyse</t>
  </si>
  <si>
    <t>Observationssæt</t>
  </si>
  <si>
    <t>Forudsætninger</t>
  </si>
  <si>
    <t>Datatypen er interval</t>
  </si>
  <si>
    <t>Indeks</t>
  </si>
  <si>
    <t>X akse</t>
  </si>
  <si>
    <t>Analyse input</t>
  </si>
  <si>
    <t>Anvendelse af JBKstat</t>
  </si>
  <si>
    <t>Manual i brug af data arket</t>
  </si>
  <si>
    <t>Manual i brug af Beskrivende Statistik arket</t>
  </si>
  <si>
    <t>Manual i brug af Konfidens og Hypoteser arket</t>
  </si>
  <si>
    <t>Manual i brug af Lineær Regression arket</t>
  </si>
  <si>
    <t>Eksempel 1 (interval)</t>
  </si>
  <si>
    <t>Median, 𝑥̃</t>
  </si>
  <si>
    <r>
      <t xml:space="preserve">Typetal, </t>
    </r>
    <r>
      <rPr>
        <i/>
        <sz val="11"/>
        <color theme="1"/>
        <rFont val="Tw Cen MT"/>
        <family val="2"/>
        <scheme val="minor"/>
      </rPr>
      <t>Mo</t>
    </r>
  </si>
  <si>
    <r>
      <t xml:space="preserve">Variationsbredde, </t>
    </r>
    <r>
      <rPr>
        <i/>
        <sz val="11"/>
        <color theme="1"/>
        <rFont val="Tw Cen MT"/>
        <family val="2"/>
        <scheme val="minor"/>
      </rPr>
      <t>t</t>
    </r>
  </si>
  <si>
    <r>
      <t xml:space="preserve">Interkvartilbredde, </t>
    </r>
    <r>
      <rPr>
        <i/>
        <sz val="11"/>
        <color theme="1"/>
        <rFont val="Tw Cen MT"/>
        <family val="2"/>
        <scheme val="minor"/>
      </rPr>
      <t>IQR</t>
    </r>
  </si>
  <si>
    <t>Antal observationer</t>
  </si>
  <si>
    <t>Min</t>
  </si>
  <si>
    <t>Max</t>
  </si>
  <si>
    <t>1. kvartil</t>
  </si>
  <si>
    <t>2. kvartil</t>
  </si>
  <si>
    <t>3. kvartil</t>
  </si>
  <si>
    <t>4. kvartil</t>
  </si>
  <si>
    <t>X min</t>
  </si>
  <si>
    <t>X max</t>
  </si>
  <si>
    <t>Lineær regression</t>
  </si>
  <si>
    <t>Udarbejd en lineær regressionsmodel</t>
  </si>
  <si>
    <t>Variabel</t>
  </si>
  <si>
    <t>Konstant</t>
  </si>
  <si>
    <t>konstant</t>
  </si>
  <si>
    <t>Forudsigelsesinterval</t>
  </si>
  <si>
    <t>Konfidensinterval</t>
  </si>
  <si>
    <t>Minimum</t>
  </si>
  <si>
    <t>Maximum</t>
  </si>
  <si>
    <t>Residual</t>
  </si>
  <si>
    <t>Kvadreret residual</t>
  </si>
  <si>
    <t>Koefficient</t>
  </si>
  <si>
    <t>Afhængig variabel</t>
  </si>
  <si>
    <t>Signifikant</t>
  </si>
  <si>
    <t>Antal uafhængige variable</t>
  </si>
  <si>
    <t>Overskrift</t>
  </si>
  <si>
    <t>x1</t>
  </si>
  <si>
    <t>2. Udfør en statistisk analyse på en af de 3 øvrige ark:</t>
  </si>
  <si>
    <t>2a. Udfør analyse af parameterværdier på arket Beskrivende Statistik</t>
  </si>
  <si>
    <t>1. Indsæt data i tabellen på data arket</t>
  </si>
  <si>
    <t>2b. Analyser sandsynligheder på arket Konfidens og Hypoteser</t>
  </si>
  <si>
    <t>2c. Analyser lineære sammenhænge på arket Lineær Regression</t>
  </si>
  <si>
    <t xml:space="preserve">Gå til Manual i brug af Data arket                                          </t>
  </si>
  <si>
    <t xml:space="preserve">Gå til Data                                                                                             </t>
  </si>
  <si>
    <t xml:space="preserve">Gå til Manual i brug af Beskrivende Statistik arket                                     </t>
  </si>
  <si>
    <t xml:space="preserve">Gå til Manual i brug af Konfidens og Hypoteser arket                              </t>
  </si>
  <si>
    <t xml:space="preserve">Gå til Manual i brug af Lineær Regression arket                                      </t>
  </si>
  <si>
    <t xml:space="preserve">Gå til Lineær Regression                                                                     </t>
  </si>
  <si>
    <t xml:space="preserve">Gå til Konfidens og Hypoteser                                                  </t>
  </si>
  <si>
    <t xml:space="preserve">Gå til Beskrivende Statistik                                                                      </t>
  </si>
  <si>
    <t>Formål med JBKstat</t>
  </si>
  <si>
    <t>JBKstat er et værktøj til studerende på Erhvervsakademi Aarhus.</t>
  </si>
  <si>
    <t>1. Vælg et observationssæt</t>
  </si>
  <si>
    <t>Observationssættet er normalfordelt, hvis følgende kriterier er opfyldt:</t>
  </si>
  <si>
    <t>Fortolkning af normalfraktildiagram</t>
  </si>
  <si>
    <t>Observationerne er jævnt fordelt over og under linjen</t>
  </si>
  <si>
    <t>Fortolkning af Histogram</t>
  </si>
  <si>
    <t>Afvigelserne fra linjen følger nogenlunde en normalfordeling</t>
  </si>
  <si>
    <t>Der er ingen tendens at se i afvigelserne</t>
  </si>
  <si>
    <t>Hvis en stor del af arealet under den sorte kurve er dækket af blå, så er observationssættet normalfordelt.</t>
  </si>
  <si>
    <t>Vær opmærksom på, at små observationssæt kan give dramatiske udsving i histogrammet.</t>
  </si>
  <si>
    <t>Fortolkning af Andelsdiagram</t>
  </si>
  <si>
    <t>Arealet under den sorte kurve viser sandsynligheden i en normalfordeling.</t>
  </si>
  <si>
    <t>Det orange areal viser hvor stor en andel af observationssættet der har værdien FALSE.</t>
  </si>
  <si>
    <t>Fortolkning af Kvartilsæt</t>
  </si>
  <si>
    <t>Det blå areal viser de mindste 25% af observationerne.</t>
  </si>
  <si>
    <t>Det grønne areal viser de største 25% af observationerne.</t>
  </si>
  <si>
    <t>Det orange areal viser observationerne fra 25% til 50%.</t>
  </si>
  <si>
    <t>Det orange areal viser observationerne fra 50% til 75%.</t>
  </si>
  <si>
    <t>Højden af de 4 arealer er vægtet i dette diagram, så de alle har samme areal.</t>
  </si>
  <si>
    <t>Det afspejler, at alle 4 arealer indeholder lige mange observationer, men ikke lige store intervaller.</t>
  </si>
  <si>
    <t>2. Fortolk resultaterne fra diagrammerne</t>
  </si>
  <si>
    <t>1. Vælg et observationssæt, som er lineært afhængigt af andre observationssæt</t>
  </si>
  <si>
    <t>Alle variable kan vælges med drop-down menuer (se figur 3)</t>
  </si>
  <si>
    <t>2. Vælg op til 5 observationssæt, som kan bruges til at forudsige den afhængige variable</t>
  </si>
  <si>
    <t>3. Vælg et konfidensniveau til analysen</t>
  </si>
  <si>
    <t>95% som konfidensniveau er almindeligt, hvis ikke andet er nødvendigt</t>
  </si>
  <si>
    <t>Resultat output</t>
  </si>
  <si>
    <t>Hvis du vil have en værdi med flere decimaler, så kan du anvende formattering fra Hjem fanen (se figur 8)</t>
  </si>
  <si>
    <t>Derfor anbefales det, at man eksperimenterer sig frem med udeladelse af variable</t>
  </si>
  <si>
    <t>Vær opmærksom på, at en variabel godt kan blive signifikant når en anden udelades</t>
  </si>
  <si>
    <t>En model er god, hvis alt hvad der er inkluderet er signifikant</t>
  </si>
  <si>
    <t>Hvis flere modeller opfylder dette kriterie, så anbefales det at vælge efter justeret R²</t>
  </si>
  <si>
    <t>En højere justeret R² værdi viser at modellen forklarer den afhængige variabel bedre</t>
  </si>
  <si>
    <t>De blå cirkler viser observationer</t>
  </si>
  <si>
    <t>Det svarer til R² værdien for regressionsmodellen</t>
  </si>
  <si>
    <t>I overskriften ses den procentdel af variationen i den afhængige variabel der er forklaret</t>
  </si>
  <si>
    <t>Små afvigelser fra regressionslinjen er tegn på en præcis model</t>
  </si>
  <si>
    <t>Den sorte streg viser regressionslinjen</t>
  </si>
  <si>
    <t>Hvis der er flere uafhængige variable inkluderet er der tale om multipel lineær regression</t>
  </si>
  <si>
    <t>Multipel lineær regression danner også en ret linje, men i n dimensioner i stedet for 2</t>
  </si>
  <si>
    <t>De blå cirkler viser observationernes y-værdi, minus effekten af de øvrige variable</t>
  </si>
  <si>
    <t>Det kan fortolkes som den del af variationen i y-værdier, som denne variabel skal forklare</t>
  </si>
  <si>
    <t>Derfor kan regressionslinjen ikke vises på et enkelt diagram</t>
  </si>
  <si>
    <t>Den gule søjle viser effekten af konstanten.</t>
  </si>
  <si>
    <t>Den sorte søje viser den totale beregnede værdi for den afhængige variable.</t>
  </si>
  <si>
    <t>X værdi af interesse</t>
  </si>
  <si>
    <t>Du kan også vælge at angive værdier for uafhængige variable ved at vælge Inkluderet</t>
  </si>
  <si>
    <t>Konfidensintervallet viser, hvor regressionslinjen også kunne have været.</t>
  </si>
  <si>
    <t>Forudsigelsesintervallet viser, hvor observationerne også kunne have været.</t>
  </si>
  <si>
    <t>Tager vi en ny stikprøve fra samme population, vil vi med den angivne konfidens få observationer indenfor forudsigelsesintervallet</t>
  </si>
  <si>
    <t>Tager vi en ny stikprøve fra samme population, vil vi med den angivne konfidens få en linje indenfor konfidensintervallet</t>
  </si>
  <si>
    <t>Afstanden til linjen er den del af variationen, som ikke forklares af modellen (også kaldet residualet)</t>
  </si>
  <si>
    <t>Krydserne er der ikke hvis angivne værdier for uafhængige variable er Udeladt</t>
  </si>
  <si>
    <t>Krydserne viser den præcise effekt af variablen på y værdien, ved den angivne værdi</t>
  </si>
  <si>
    <t xml:space="preserve">Gå til Manual i brug af Beskrivende Statistik arket                                                                                                                                  </t>
  </si>
  <si>
    <t>x-værdi</t>
  </si>
  <si>
    <t>Teststørrelse</t>
  </si>
  <si>
    <t>Ensidet</t>
  </si>
  <si>
    <t>Tosidet</t>
  </si>
  <si>
    <t>Normalfordeling</t>
  </si>
  <si>
    <t>Frihedsgrader</t>
  </si>
  <si>
    <t>t-fordeling</t>
  </si>
  <si>
    <t>Normalfordeling med kendt standardafvigelse</t>
  </si>
  <si>
    <t>Venstresidet hypotese om værdi</t>
  </si>
  <si>
    <t>Højresidet hypotese om værdi</t>
  </si>
  <si>
    <t>Tosidet hypotese om værdi</t>
  </si>
  <si>
    <t>Venstresidet hypotese om forskel</t>
  </si>
  <si>
    <t>Højresidet hypotese om forskel</t>
  </si>
  <si>
    <t>Tosidet hypotese om forskel</t>
  </si>
  <si>
    <t>Parameter</t>
  </si>
  <si>
    <t>t-fordeling med pooled standardafvigelse</t>
  </si>
  <si>
    <t>Normalfordeling med kendte standardafvigelser</t>
  </si>
  <si>
    <t>t-fordeling uden pooled standardafvigelse</t>
  </si>
  <si>
    <t>Chi-i-anden-fordeling</t>
  </si>
  <si>
    <t>F-fordeling</t>
  </si>
  <si>
    <t>Normalfordeling med forbedret teststørrelse</t>
  </si>
  <si>
    <t>Hypotesetype</t>
  </si>
  <si>
    <t>Synlig</t>
  </si>
  <si>
    <t>Alternativ hypotese</t>
  </si>
  <si>
    <t>Nulhypotese</t>
  </si>
  <si>
    <t>Fordeling</t>
  </si>
  <si>
    <t>Forklaring</t>
  </si>
  <si>
    <t>X akse titel</t>
  </si>
  <si>
    <t>Indeks for valg</t>
  </si>
  <si>
    <t>Diagram titel</t>
  </si>
  <si>
    <t>Kontrol</t>
  </si>
  <si>
    <t>Forudsætning 1</t>
  </si>
  <si>
    <t>Forudsætning 2</t>
  </si>
  <si>
    <t>Standardafvigelse i populationen er kendt</t>
  </si>
  <si>
    <t>Standardafvigelse i populationen er ikke kendt</t>
  </si>
  <si>
    <t>Populationen er normalfordelt</t>
  </si>
  <si>
    <t>Forudsætning 3</t>
  </si>
  <si>
    <t>Observationerne består af antal successer fra lige store tidsintervaller</t>
  </si>
  <si>
    <r>
      <t xml:space="preserve">Forudsætningsformlen n * </t>
    </r>
    <r>
      <rPr>
        <sz val="11"/>
        <color theme="1"/>
        <rFont val="Tw Cen MT"/>
        <family val="2"/>
      </rPr>
      <t>p</t>
    </r>
    <r>
      <rPr>
        <sz val="11"/>
        <color theme="1"/>
        <rFont val="Calibri"/>
        <family val="2"/>
      </rPr>
      <t>̂ * ( 1 - p̂ ) &gt; 9 er opfyldt</t>
    </r>
  </si>
  <si>
    <r>
      <t xml:space="preserve">Forudsætningsformlen </t>
    </r>
    <r>
      <rPr>
        <sz val="11"/>
        <color theme="1"/>
        <rFont val="Calibri"/>
        <family val="2"/>
      </rPr>
      <t>λ̂</t>
    </r>
    <r>
      <rPr>
        <sz val="12.65"/>
        <color theme="1"/>
        <rFont val="Tw Cen MT"/>
        <family val="2"/>
      </rPr>
      <t xml:space="preserve"> * n</t>
    </r>
    <r>
      <rPr>
        <sz val="11"/>
        <color theme="1"/>
        <rFont val="Calibri"/>
        <family val="2"/>
      </rPr>
      <t xml:space="preserve"> &gt; 9 er opfyldt</t>
    </r>
  </si>
  <si>
    <t>Begge populationer er normalfordelt</t>
  </si>
  <si>
    <t>Forudsætning 4</t>
  </si>
  <si>
    <t>Antal observationer er større end 30</t>
  </si>
  <si>
    <t>Antal observationer er mindre end 30</t>
  </si>
  <si>
    <t>Begge observationssæt har flere end 30 observationer</t>
  </si>
  <si>
    <t>Begge observationssæt har ikke flere end 30 observationer</t>
  </si>
  <si>
    <r>
      <t xml:space="preserve">Forudsætningsformlen n * </t>
    </r>
    <r>
      <rPr>
        <sz val="11"/>
        <color theme="1"/>
        <rFont val="Tw Cen MT"/>
        <family val="2"/>
      </rPr>
      <t>p</t>
    </r>
    <r>
      <rPr>
        <sz val="11"/>
        <color theme="1"/>
        <rFont val="Calibri"/>
        <family val="2"/>
      </rPr>
      <t>̂ * ( 1 - p̂ ) &gt; 9 er opfyldt for begge observationssæt</t>
    </r>
  </si>
  <si>
    <r>
      <t xml:space="preserve">Forudsætningsformlen </t>
    </r>
    <r>
      <rPr>
        <sz val="11"/>
        <color theme="1"/>
        <rFont val="Calibri"/>
        <family val="2"/>
      </rPr>
      <t>λ̂</t>
    </r>
    <r>
      <rPr>
        <sz val="12.65"/>
        <color theme="1"/>
        <rFont val="Tw Cen MT"/>
        <family val="2"/>
      </rPr>
      <t xml:space="preserve"> * n</t>
    </r>
    <r>
      <rPr>
        <sz val="11"/>
        <color theme="1"/>
        <rFont val="Calibri"/>
        <family val="2"/>
      </rPr>
      <t xml:space="preserve"> &gt; 9 er opfyldt</t>
    </r>
    <r>
      <rPr>
        <sz val="11"/>
        <color theme="1"/>
        <rFont val="Tw Cen MT"/>
        <family val="2"/>
        <scheme val="minor"/>
      </rPr>
      <t xml:space="preserve"> for begge observationssæt</t>
    </r>
  </si>
  <si>
    <t>Kontrol af forudsætning 1</t>
  </si>
  <si>
    <t>Kontrol af forudsætning 2</t>
  </si>
  <si>
    <t>En hypotese om gennemsnittet i populationen er angivet</t>
  </si>
  <si>
    <t>En hypotese om gennemsnittet i hver population er angivet</t>
  </si>
  <si>
    <t>Kontrol af forudsætning 3</t>
  </si>
  <si>
    <t>En hypotese om standardafvigelsen i populationen er angivet</t>
  </si>
  <si>
    <t>En hypotese om standardafvigelsen i hver populationen er angivet</t>
  </si>
  <si>
    <t>En hypotese om andelen i populationen er angivet</t>
  </si>
  <si>
    <t>En hypotese om samme andel i begge populationer er angivet</t>
  </si>
  <si>
    <t>En hypotese om intensiteten i populationen er angivet</t>
  </si>
  <si>
    <t>En hypotese om forskellig andel i hver population er angivet</t>
  </si>
  <si>
    <t>Standardafvigelser i begge populationer er ikke kendt</t>
  </si>
  <si>
    <t>Standardafvigelser i begge populationer er kendt</t>
  </si>
  <si>
    <t>Standardafvigelser i begge populationer er ikke kendt, men antages at være ens</t>
  </si>
  <si>
    <t>Standardafvigelser i begge populationer er ikke kendt, og antages ikke at være ens</t>
  </si>
  <si>
    <t>Kontrol af forudsætning 4</t>
  </si>
  <si>
    <t>Skal vurderes</t>
  </si>
  <si>
    <t>Skal vurderes og testes</t>
  </si>
  <si>
    <t>Fortolkning af præcise værdier</t>
  </si>
  <si>
    <t>Parameterværdier, stikprøve bruges blandt andet til beregning af konfidensintervaller</t>
  </si>
  <si>
    <t>Parameterværdier, kendt population bruges blandt andet som hypoteser i hypotesetest</t>
  </si>
  <si>
    <t>Parameterværdier, kendt population bruges også som kendte værdier i enkelte hypotesetest</t>
  </si>
  <si>
    <t>Parameterværdier, kendt population hentes fra indtastning på data arket i tabellen over data tabellen (se figur 10)</t>
  </si>
  <si>
    <t>Parameterværdier, stikprøve beregnes på baggrund af observationssættet (se figur 9)</t>
  </si>
  <si>
    <t>Kun data arket skal udfyldes, før en analyse kan udføres</t>
  </si>
  <si>
    <t>Analysen på hvert af de øvrige ark kan udføres uafhængigt</t>
  </si>
  <si>
    <t>Hvis du klikker på cellerne, vises dine valgmuligheder i en drop-down menu (se figur 3).</t>
  </si>
  <si>
    <t>Det er kun nødvendigt at vælge observationssæt y, hvis du ønsker at teste en hypotese om forskel</t>
  </si>
  <si>
    <t>1. Vælg observationssæt x</t>
  </si>
  <si>
    <t>3. Vælg et konfidensniveau</t>
  </si>
  <si>
    <t>2. Vælg eventuelt observationssæt y</t>
  </si>
  <si>
    <t>Vælg navnet på de observationssæt du ønsker at analysere (se figur 11)</t>
  </si>
  <si>
    <t>Kvartilsættet er en måde at vise observationernes værdier sorteret efter størrelse (se figur 7)</t>
  </si>
  <si>
    <t>Det blå areal viser hvor stor en andel af observationssættet har værdien TRUE (se figur 6)</t>
  </si>
  <si>
    <t>Det blå areal viser100% af værdierne i observationssættet (se figur 5)</t>
  </si>
  <si>
    <t>Observationer er vist med blå cirkler (se figur 4)</t>
  </si>
  <si>
    <t>X-aksen viser værdier, som den er i observationssættet</t>
  </si>
  <si>
    <t>Y-aksen viser, hvor mange standardafvigelser værdien er fra gennemsnittet</t>
  </si>
  <si>
    <t>En normalfordeling er vist med den sorte linje</t>
  </si>
  <si>
    <t>Hvis du klikker på cellen, vises dine valgmuligheder i en drop-down menu (se figur 3)</t>
  </si>
  <si>
    <t>Vælg navnet på det observationssæt du ønsker at analysere</t>
  </si>
  <si>
    <t>Det kan være en fordel at skrive datatypen ind i overskriften, hvis det ikke giver sig selv</t>
  </si>
  <si>
    <t>Det anbefales at bruge korte, beskrivende overskrifter</t>
  </si>
  <si>
    <t>Formålet med arket Data er at indeholde alt data, som bruges til videre analyse</t>
  </si>
  <si>
    <t>Formålet med arket Beskrivende Statistik er at beskrive et observationssæt</t>
  </si>
  <si>
    <t>Formålet med arket Konfidens og Hypoteser er at analysere observationssæt</t>
  </si>
  <si>
    <t>Formålet med arket Lineær Regression er at udarbejde en lineær regressionsmodel</t>
  </si>
  <si>
    <t>4. Vælg en parameter</t>
  </si>
  <si>
    <t>5. Vælg en hypotesetype</t>
  </si>
  <si>
    <t>6. Vælg en beregningsmetode</t>
  </si>
  <si>
    <t>Beregningsmetode</t>
  </si>
  <si>
    <t>Hvis en beregningsmetode ikke kan vælges, så skyldes det at den hører til en analyse, som ikke er valgt</t>
  </si>
  <si>
    <t>Fx kan en t-fordeling med pooled standardafvigelse ikke vælges her, fordi den kun kan bruges til hypotesetest om forskel imellem gennemsnit</t>
  </si>
  <si>
    <t>Vælg mellem de 7 analyser: Konfidensinterval, 3 hypotesetest om værdi og 3 hypotesetest om forskel (se figur 13)</t>
  </si>
  <si>
    <t>Vælg mellem de 4 parametre: Gennemsnit, standardafvigelse, andel og intensitet (se figur 12)</t>
  </si>
  <si>
    <t>Vælg mellem op til 4 relevante beregningsmetoder (se figur 14)</t>
  </si>
  <si>
    <t>Hvis en hypotesetype ikke kan vælges (markeret med grå tekst), så ryd filtrene i Beregningsmetode (se figur 15)</t>
  </si>
  <si>
    <t>Hvis en parameter ikke kan vælges (markeret med grå tekst), så ryd filtrene i Beregningsmetode (se figur 15)</t>
  </si>
  <si>
    <t>Hvis flere beregningsmetoder er mulige (markeret med sort tekst), så vælg den der bedst opfylder sine forudsætninger</t>
  </si>
  <si>
    <t>Forudsætningerne for den valgte analyse kan aflæses under diagrammet (se figur 16)</t>
  </si>
  <si>
    <t>7. Kontroller at forudsætningerne for beregningen er opfyldt</t>
  </si>
  <si>
    <t>8. Fortolk resultaterne</t>
  </si>
  <si>
    <t>Op til 4 forudsætninger kontrolleres for hver analyse (se figur 16)</t>
  </si>
  <si>
    <t>De fleste forudsætninger kontrolleres automatisk, her angives Opfyldt eller Ikke opfyldt i kontrol feltet</t>
  </si>
  <si>
    <t>Nogle forudsætninger skal kontrolleres manuelt, her angives Skal vurderes eller Skal vurderes og testes i kontrol feltet</t>
  </si>
  <si>
    <t>Er forudsætninger ikke opfyldt, så bør der enten vælges en anden beregningsmetode eller angives en note til resultatet</t>
  </si>
  <si>
    <t>Resultaterne fremgår flere steder i diagrammet (se figur 17)</t>
  </si>
  <si>
    <t>Overskriften angiver om nulhypotesen kan afvises eller ikke kan afvises</t>
  </si>
  <si>
    <t>Når p-værdien er højere end 1-konfidensniveauet, så kan nulhypotesen ikke afvises</t>
  </si>
  <si>
    <t>Når p-værdien er lavere end 1-konfidensniveauet, så afvises nulhypotesen</t>
  </si>
  <si>
    <t>Visuelt kan man afvise nulhypotesen, hvis næsten hele fordelingen er orange, for så er der næsten intet blåt</t>
  </si>
  <si>
    <t>Man kan kontrollere denne konklusion visuelt eller ved at aflæse p-værdierne, der er skrevet over fordelingen</t>
  </si>
  <si>
    <t>Procentsatsen ved den blå, alternative hypotese er p-værdien for hypotesetesten</t>
  </si>
  <si>
    <t>Under x-aksen er der en beskrivelse af, hvad der er på aksen</t>
  </si>
  <si>
    <t>På x-aksen er der angivet værdier imellem nulhypotesen og den alternative hypotese</t>
  </si>
  <si>
    <t>I figur 17 angiver værdien 0,149 gennemsnittet i det observationssæt, som hypotesetesten handler om</t>
  </si>
  <si>
    <t>I figur 17 er der tale om en sandsynlighedsfordeling for gennemsnit fra stikprøver med 12 observationer</t>
  </si>
  <si>
    <t>Midtpunktet for sandsynlighedsfordelingen er 0,1, hvilket svarer til nulhypoteseværdien</t>
  </si>
  <si>
    <t>Standardafvigelsen i populationen estimeres til 1,057, hvilket svarer til observationssættets standardafvigelse</t>
  </si>
  <si>
    <t>I denne fordeling er der 29,539% chance for at tage en sitkprøve bestående af 12 observationer og få et gennemsnit over 0,149</t>
  </si>
  <si>
    <t>Modsat er der 70,461% chance for at tage en sitkprøve bestående af 12 observationer og få et gennemsnit under 0,149</t>
  </si>
  <si>
    <t>3. Aflæs eventuelt præcise værdier i resultattabellen</t>
  </si>
  <si>
    <t>Den afhængige variabel skal have samme antal observationer som de uafhængige variable (se figur 18)</t>
  </si>
  <si>
    <t>Vælg et konfidensniveau som er større end 50% og mindre end 100% (se figur 11)</t>
  </si>
  <si>
    <t>Hvis en uafhængig variabel ikke skal inkluderes bør den udelades</t>
  </si>
  <si>
    <t>Udeladelse af variable og konstanten kan gøres ved at fjerne fluebenet i checkboksen ved "Inkluder i model" (se figur 19)</t>
  </si>
  <si>
    <t>Vælg et konfidensniveau som er større end 50% og mindre end 100% (se figur 20)</t>
  </si>
  <si>
    <t>Ufhængige variable kontrolleres automatisk for korrekt antal observationer (se figur 18)</t>
  </si>
  <si>
    <t>4. Brug signifikans og R^2 til at optimere regressionsmodellen</t>
  </si>
  <si>
    <t>Hvis en uafhængige variabel ikke har en signifkant koefficient bør den udelades (se figur 21)</t>
  </si>
  <si>
    <t>Her kan signifikans diagrammet være en hjælp til visualisering (se figur 22)</t>
  </si>
  <si>
    <t>Analyse input checkbox</t>
  </si>
  <si>
    <t>5. Vælg om du er interesseret i resultater for specifikke værdier af de uafhængige variable</t>
  </si>
  <si>
    <t>Hvis ikke der er nogen specifikke værdier du er interesseret i, så vælg Udeladt (se figur 23)</t>
  </si>
  <si>
    <t>Det er vigtigt, at du angiver værdier for alle uafhængige variable der er inkluderet i modellen (se figur 24)</t>
  </si>
  <si>
    <t>6. Fortolk resultater i modellen</t>
  </si>
  <si>
    <t>Beregning af y værdien ved de angivne værdier er visualiseret i et vandfaldsdiagram (se figur 25)</t>
  </si>
  <si>
    <t>Den lilla søjle viser effekten af uafhægig variabel 1 ved en givet værdi.</t>
  </si>
  <si>
    <t>Den røde søjle viser effekten af uafhægig variabel 2 ved en givet værdi.</t>
  </si>
  <si>
    <t>Den grønne søjle viser effekten af uafhægig variabel 3 ved en givet værdi.</t>
  </si>
  <si>
    <t>Den orange søjle viser effekten af uafhægig variabel 4 ved en givet værdi.</t>
  </si>
  <si>
    <t>Den lyseblå søjle viser effekten af uafhægig variabel 5 ved en givet værdi.</t>
  </si>
  <si>
    <t>Hvis der kun er 1 uafhængig variabel inkluderet er der tale om simpel lineær regression (se figur 26)</t>
  </si>
  <si>
    <t>I konfidensinterval diagrammet ses en dybere analyse af den simple lineære regression (se figur 27)</t>
  </si>
  <si>
    <t>I forudsigelsesinterval diagrammet ses en dybere analyse af den simple lineære regression (se figur 28)</t>
  </si>
  <si>
    <t>I stedet vises effekten af hver variabel isoleret fra de øvrige variable (se figur 29)</t>
  </si>
  <si>
    <t>Under diagrammerne vises, hvordan modellen anvendes til beregning med de angivne værdier (se figur 30)</t>
  </si>
  <si>
    <t>Værdier, der skal angives er markeret orange.</t>
  </si>
  <si>
    <t>Eksempel 3 (nominal)</t>
  </si>
  <si>
    <t>Eksempel 2 (interval)</t>
  </si>
  <si>
    <t>Koefficient i regressionsmodel</t>
  </si>
  <si>
    <t>Antal variable</t>
  </si>
  <si>
    <t>Outlier</t>
  </si>
  <si>
    <t>Eksempel 4 (nominal)</t>
  </si>
  <si>
    <t>Observation</t>
  </si>
  <si>
    <t>Variationsbredde</t>
  </si>
  <si>
    <t>Korrelationer</t>
  </si>
  <si>
    <t>Generisk formel for hypotesetest</t>
  </si>
  <si>
    <t>x base</t>
  </si>
  <si>
    <t>Parameter 1</t>
  </si>
  <si>
    <t>Parameter 2</t>
  </si>
  <si>
    <t>Frihedsgrader 1</t>
  </si>
  <si>
    <t>Frihedsgrader 2</t>
  </si>
  <si>
    <t>x akse label</t>
  </si>
  <si>
    <t>Valgt fordeling</t>
  </si>
  <si>
    <t>Emne</t>
  </si>
  <si>
    <t>Mindre end teststørrelse</t>
  </si>
  <si>
    <t>Større end teststørrelse</t>
  </si>
  <si>
    <t>Forskellig fra teststørrelse</t>
  </si>
  <si>
    <t>Lig med teststørrelse</t>
  </si>
  <si>
    <t>Venstresidet</t>
  </si>
  <si>
    <t>Højresidet</t>
  </si>
  <si>
    <t>Hypotese</t>
  </si>
  <si>
    <t>Midtpunkt label</t>
  </si>
  <si>
    <t>Midtpunkt position</t>
  </si>
  <si>
    <t>Teststørrelse omvendt</t>
  </si>
  <si>
    <t>Venstre label</t>
  </si>
  <si>
    <t>Venstre position</t>
  </si>
  <si>
    <t>Venstre teststørrelse</t>
  </si>
  <si>
    <t>Højre teststørrelse</t>
  </si>
  <si>
    <t>Mindre end venstre %</t>
  </si>
  <si>
    <t>Større end venstre %</t>
  </si>
  <si>
    <t>Mindre end højre %</t>
  </si>
  <si>
    <t>Midt %</t>
  </si>
  <si>
    <t>Større end højre %</t>
  </si>
  <si>
    <t>Højre label</t>
  </si>
  <si>
    <t>Højre position</t>
  </si>
  <si>
    <t>Midtpunkt teststørrelse</t>
  </si>
  <si>
    <t>Midt position</t>
  </si>
  <si>
    <t>Index</t>
  </si>
  <si>
    <t>Venstre forklaring</t>
  </si>
  <si>
    <t>Midtpunkt forklaring</t>
  </si>
  <si>
    <t>Højre forklaring</t>
  </si>
  <si>
    <t>Venstre tekst</t>
  </si>
  <si>
    <t>Midt tekst</t>
  </si>
  <si>
    <t>Højre tekst</t>
  </si>
  <si>
    <t>Konfidensniveaubaseret x akse</t>
  </si>
  <si>
    <t>Venstre label base</t>
  </si>
  <si>
    <t>Midtpunkt label base</t>
  </si>
  <si>
    <t>Højre label base</t>
  </si>
  <si>
    <t>Orientering</t>
  </si>
  <si>
    <t>Værdi i fordeling</t>
  </si>
  <si>
    <t>X position i fordeling</t>
  </si>
  <si>
    <t>Nulhypotese kan ikke afvises</t>
  </si>
  <si>
    <t>p-værdi</t>
  </si>
  <si>
    <t>Indeks (1 base)</t>
  </si>
  <si>
    <t>Sandsynlighed</t>
  </si>
  <si>
    <t>Sandsynlighed af interesse</t>
  </si>
  <si>
    <t>Valg til analyse med normalfordeling</t>
  </si>
  <si>
    <t>Valg til analyse med binomialfordeling</t>
  </si>
  <si>
    <t xml:space="preserve">Gå til Manual i brug af Sandsynlighed arket               </t>
  </si>
  <si>
    <t>Antal indeks</t>
  </si>
  <si>
    <t>X base</t>
  </si>
  <si>
    <t>Indeks (base 0)</t>
  </si>
  <si>
    <t>Z-værdi</t>
  </si>
  <si>
    <t>Venstre</t>
  </si>
  <si>
    <t>Højre</t>
  </si>
  <si>
    <t>Mindre end</t>
  </si>
  <si>
    <t>Større end</t>
  </si>
  <si>
    <t>Indeks (base 1)</t>
  </si>
  <si>
    <t>Venstre position (base 1)</t>
  </si>
  <si>
    <t>Højre position (base 1)</t>
  </si>
  <si>
    <t>Venstre fordeling værdi</t>
  </si>
  <si>
    <t>Højre fordeling værdi</t>
  </si>
  <si>
    <t>Antal forsøg</t>
  </si>
  <si>
    <t>P(k&lt;x)</t>
  </si>
  <si>
    <t>P(k=x)</t>
  </si>
  <si>
    <t>P(k&gt;x)</t>
  </si>
  <si>
    <t>Binomialfordeling</t>
  </si>
  <si>
    <t>Lig med</t>
  </si>
  <si>
    <t>Step</t>
  </si>
  <si>
    <t>Sidste position</t>
  </si>
  <si>
    <t>Midt</t>
  </si>
  <si>
    <t>Midt fordeling værdi</t>
  </si>
  <si>
    <t>Eller</t>
  </si>
  <si>
    <t>1. Analyser sandsynligheder på arket Sandsynlighed</t>
  </si>
  <si>
    <t xml:space="preserve">Gå til Sandsynlighed                                                                     </t>
  </si>
  <si>
    <t xml:space="preserve">Gå til Manual i brug af Sandsynlighed arket                                      </t>
  </si>
  <si>
    <t>Manual i brug af Sandsynlighed arket</t>
  </si>
  <si>
    <t>Formålet med arket Sandsynlighed er at beregne sandsynligheder i fordelinger med kendte paraterværdier</t>
  </si>
  <si>
    <t xml:space="preserve">Gå til Sandsynlighed                                                                      </t>
  </si>
  <si>
    <t>Parameterværdi</t>
  </si>
  <si>
    <t>1. Indtast parameterværdier</t>
  </si>
  <si>
    <t>2. Fortolk resultater</t>
  </si>
  <si>
    <t xml:space="preserve">Gå til Manual i brug af ANOVA arket               </t>
  </si>
  <si>
    <t>ANOVA</t>
  </si>
  <si>
    <t>Mellem observationssæt</t>
  </si>
  <si>
    <t>I observationssæt</t>
  </si>
  <si>
    <t>Total</t>
  </si>
  <si>
    <t>Sum af kvadrater</t>
  </si>
  <si>
    <t>Gennemsnit af kvadrater</t>
  </si>
  <si>
    <t>F-teststørrelse</t>
  </si>
  <si>
    <t>Sum of squares for treatments</t>
  </si>
  <si>
    <t>Sum of squares for error</t>
  </si>
  <si>
    <t>Konklusion på hypotesetest</t>
  </si>
  <si>
    <t>p værdi</t>
  </si>
  <si>
    <t>H0: Alle populationsgennemsnit er ens</t>
  </si>
  <si>
    <t>Residualer</t>
  </si>
  <si>
    <t>Forskel i gennemsnit</t>
  </si>
  <si>
    <t>Tilfældig værdi</t>
  </si>
  <si>
    <t>Parameterværdi ønsket</t>
  </si>
  <si>
    <t xml:space="preserve">Gå til Data Generator                                                                      </t>
  </si>
  <si>
    <t>Manual i brug af Data Generator arket</t>
  </si>
  <si>
    <t>Data Generator</t>
  </si>
  <si>
    <t xml:space="preserve">Gå til Manual i brug af Data generator arket               </t>
  </si>
  <si>
    <t>Valg til generation af nominal data</t>
  </si>
  <si>
    <t xml:space="preserve">Gå til Manual i brug af Data Generator arket                                      </t>
  </si>
  <si>
    <t xml:space="preserve">Gå til Data Generator                                                                     </t>
  </si>
  <si>
    <t>2. Vælg antal observationer</t>
  </si>
  <si>
    <t>Klik og træk højre nederste hjørne af tabellen for at ændre størrelsen af observationssættet.</t>
  </si>
  <si>
    <t>Formlerne følger automatisk med.</t>
  </si>
  <si>
    <t>3. Kopier data, når du er tilfreds med det genererede observationssæt</t>
  </si>
  <si>
    <t>Klik øverst i overskriften, for at markere alle data i kolonnen.</t>
  </si>
  <si>
    <t>Tryk kopier, eller brug genvejstasten ctrl + c</t>
  </si>
  <si>
    <t>4. Indsæt værdier, der hvor du skal bruge observationssættet</t>
  </si>
  <si>
    <t>Tryk indsæt værdier, eller brug genvejstasten højreklik + v</t>
  </si>
  <si>
    <t>Vær opmærksom på, at genvejstasten ctrl + v ikke giver det ønskede resultat, eftersom det kopierer formlerne i stedet for værdierne.</t>
  </si>
  <si>
    <t>This work is licensed under a Creative Commons Attribution-ShareAlike 4.0 International Public License</t>
  </si>
  <si>
    <t>Valg til generation af ordinal data</t>
  </si>
  <si>
    <t>Ønsket frekvens</t>
  </si>
  <si>
    <t>Observationsværdi</t>
  </si>
  <si>
    <t>Valg til generation af normalfordelt interval data</t>
  </si>
  <si>
    <t>Maksimum</t>
  </si>
  <si>
    <t>Antal indeks -1</t>
  </si>
  <si>
    <t>Antal unikke værdier</t>
  </si>
  <si>
    <t>1. Generer data på arket Data Generator, fx til brug på data arket</t>
  </si>
  <si>
    <t>Skævhed</t>
  </si>
  <si>
    <t>Nedre kvartil</t>
  </si>
  <si>
    <t>Øvre kvartil</t>
  </si>
  <si>
    <t>Vis procenttal</t>
  </si>
  <si>
    <t>Mindre end værdi af interesse</t>
  </si>
  <si>
    <t>Større end værdi af interesse</t>
  </si>
  <si>
    <t>Sandsynligheder i normalfordeling</t>
  </si>
  <si>
    <t>Sandsynligheder i binomialfordeling</t>
  </si>
  <si>
    <t>Lig med værdi af interesse</t>
  </si>
  <si>
    <t>Beregn sandsynligheder og kritiske værdier i fordelinger</t>
  </si>
  <si>
    <t>Generer datasæt med ønskede fordelinger og parameterværdier</t>
  </si>
  <si>
    <t>Resultater</t>
  </si>
  <si>
    <t>Fejlmargin</t>
  </si>
  <si>
    <t>Nødvendig stikprøvestørrelse</t>
  </si>
  <si>
    <t>Ønsket fejlmargin</t>
  </si>
  <si>
    <t>Stikprøvestørrelse for ønsket fejlmargin</t>
  </si>
  <si>
    <t xml:space="preserve">Gå til Manual i brug af Estimation arket                              </t>
  </si>
  <si>
    <t>Beregn konfidensintervaller og hypotesetests for observationssæt</t>
  </si>
  <si>
    <t>Valg til estimation af gennemsnit</t>
  </si>
  <si>
    <t>Stikprøvestørrelse</t>
  </si>
  <si>
    <t>Observationssæt titel</t>
  </si>
  <si>
    <t>P-værdi</t>
  </si>
  <si>
    <t>Valg om hypotesetest</t>
  </si>
  <si>
    <t>Vælg parameterværdi for observationssæt x</t>
  </si>
  <si>
    <t>Vælg parameterværdi for observationssæt y</t>
  </si>
  <si>
    <t>Estimation  af gennemsnit</t>
  </si>
  <si>
    <t>Hypotese om forskel</t>
  </si>
  <si>
    <t>Hypotese om værdi</t>
  </si>
  <si>
    <t>Kendt standardafvigelse i population</t>
  </si>
  <si>
    <t>Hypotese om gennemsnit i population</t>
  </si>
  <si>
    <t>Beregning til estimation</t>
  </si>
  <si>
    <t>Sorterede forudsætninger</t>
  </si>
  <si>
    <t>Sorteringsindeks</t>
  </si>
  <si>
    <t>Kurtosis</t>
  </si>
  <si>
    <t>Valg til estimation af standardafvigelse</t>
  </si>
  <si>
    <t>Estimation  af standardafvigelse</t>
  </si>
  <si>
    <t>Kontrol af forudsætninger</t>
  </si>
  <si>
    <t>Forudsætning vurdering sorteret</t>
  </si>
  <si>
    <t>Sortering af forudsætninger</t>
  </si>
  <si>
    <t>Indeks for sortering af forudsætninger</t>
  </si>
  <si>
    <t>Vurdering af forudsætninger</t>
  </si>
  <si>
    <t>Hypotese om standardafvigelse i population</t>
  </si>
  <si>
    <t>Gennemsnit i stikprøve</t>
  </si>
  <si>
    <t>Standardafvigelse i stikprøve</t>
  </si>
  <si>
    <t>Valg til estimation af andel</t>
  </si>
  <si>
    <t>Andel i stikprøve</t>
  </si>
  <si>
    <t>Hypotese om andel i population</t>
  </si>
  <si>
    <t>Valg til estimation af intensitet</t>
  </si>
  <si>
    <t>Hypotese om intensitet i population</t>
  </si>
  <si>
    <t>Intensitet i stikprøve</t>
  </si>
  <si>
    <t>Estimation  af andel</t>
  </si>
  <si>
    <t>Estimation  af intensitet</t>
  </si>
  <si>
    <t>Valg til estimation af koefficient i lineær regressionsmodel</t>
  </si>
  <si>
    <t>Antal koefficienter i model</t>
  </si>
  <si>
    <t>Koefficient i lineær regressionsmodel</t>
  </si>
  <si>
    <t>Hypotese om koefficient</t>
  </si>
  <si>
    <t>Standardafvigelse for koefficient</t>
  </si>
  <si>
    <t>Estimation  af koefficient</t>
  </si>
  <si>
    <t>Beregning med kendt standardafvigelse</t>
  </si>
  <si>
    <t>Konfidensinterval nedre grænse</t>
  </si>
  <si>
    <t>Konfidensinterval øvre grænse</t>
  </si>
  <si>
    <t>Konklusion om nulhypotese</t>
  </si>
  <si>
    <t>Testfordeling</t>
  </si>
  <si>
    <t>Første parameter i testfordeling</t>
  </si>
  <si>
    <t>Anden parameter i testfordeling</t>
  </si>
  <si>
    <t>Relevante parameterværdier fra observationssæt</t>
  </si>
  <si>
    <t>Er inkluderet i aktiv regression</t>
  </si>
  <si>
    <t>Relevante parameterværdier fra observationssæt i den aktive regression</t>
  </si>
  <si>
    <t>Valg til analyse med poissonfordeling</t>
  </si>
  <si>
    <t>X Værdi af interesse</t>
  </si>
  <si>
    <t>Poissonfordeling</t>
  </si>
  <si>
    <t>Max, X</t>
  </si>
  <si>
    <t>Sandsynligheder i poissonfordeling</t>
  </si>
  <si>
    <t>Alle populationer er normalfordelte</t>
  </si>
  <si>
    <t>Populationernes standardafvigelser er ens</t>
  </si>
  <si>
    <t>Skal testes med en hypotesetest</t>
  </si>
  <si>
    <t>Alle stikprøver har mindst 3 observationer</t>
  </si>
  <si>
    <t>Stikprøverne er uafhængige af hinanden</t>
  </si>
  <si>
    <t>H0: alle populationers standardafvigelser er ens</t>
  </si>
  <si>
    <t>Standardafvigelsesestimat fra stikprøve</t>
  </si>
  <si>
    <t>Variansestimat fra stikprøve</t>
  </si>
  <si>
    <t>Forudsætningerne for den lineære regression er opfyldt</t>
  </si>
  <si>
    <t>Valg om styrke for hypotesetest om gennemsnit</t>
  </si>
  <si>
    <t>Styrke</t>
  </si>
  <si>
    <t>Styrkeberegninger</t>
  </si>
  <si>
    <t>Styrkefunktion relevant</t>
  </si>
  <si>
    <t>Aktiv styrkefunktion</t>
  </si>
  <si>
    <t>Styrke venstre</t>
  </si>
  <si>
    <t>Styrke højre</t>
  </si>
  <si>
    <t>Styrke tosidet</t>
  </si>
  <si>
    <t>Styrke, aktiv</t>
  </si>
  <si>
    <t>Sand positiv
Nulhypotese accepteres
Korrekt</t>
  </si>
  <si>
    <t>Falsk negativ
Nulhypotese afvises
Fejltype 2</t>
  </si>
  <si>
    <t>Sand negativ
Nulhypotese afvises
Korrekt</t>
  </si>
  <si>
    <t>Falsk positiv
Nulhypotese accepteres
Fejltype 1</t>
  </si>
  <si>
    <t>X base venstre</t>
  </si>
  <si>
    <t>X base højre</t>
  </si>
  <si>
    <t>Tosidet approximation</t>
  </si>
  <si>
    <t>Mellemregning til approximation</t>
  </si>
  <si>
    <t>Approximeret power</t>
  </si>
  <si>
    <t>Start værdi</t>
  </si>
  <si>
    <t>Styrkefunktion, x akse</t>
  </si>
  <si>
    <t>Power</t>
  </si>
  <si>
    <t>Base position</t>
  </si>
  <si>
    <t>Mellemregning til beregnet power</t>
  </si>
  <si>
    <t>Ønsket parameterværdi</t>
  </si>
  <si>
    <t>Mulig parameterværdi, givet øvrige ønsker</t>
  </si>
  <si>
    <t>X base som procent</t>
  </si>
  <si>
    <t>Kilde</t>
  </si>
  <si>
    <t>https://www.stata.com/manuals13/psspoweroneproportion.pdf</t>
  </si>
  <si>
    <t>Valg om styrke for hypotesetest om andel</t>
  </si>
  <si>
    <t>Start værdi 1</t>
  </si>
  <si>
    <t>Start værdi 2</t>
  </si>
  <si>
    <t>Indeks for power</t>
  </si>
  <si>
    <t>Difference base</t>
  </si>
  <si>
    <t>Difference power</t>
  </si>
  <si>
    <t>Ny x base</t>
  </si>
  <si>
    <t>Ønsket difference power</t>
  </si>
  <si>
    <t>Mellemregning til approximation af højresidet</t>
  </si>
  <si>
    <t>Mellemregning til approximation af venstresidet</t>
  </si>
  <si>
    <t>Mellemregning til approximation af tosidet, (højre)</t>
  </si>
  <si>
    <t>Approximation med gradient descent til brug i forklaringer i power graf</t>
  </si>
  <si>
    <t>Fejlmargin, højre</t>
  </si>
  <si>
    <t>Fejlmargin, venstre</t>
  </si>
  <si>
    <t>Problemer med 0% grænse</t>
  </si>
  <si>
    <t>Problemer med 100% grænse</t>
  </si>
  <si>
    <t>Mellemregning til approximation af tosidet, (venstre)</t>
  </si>
  <si>
    <t>Højre, tosidet</t>
  </si>
  <si>
    <t>Venstre, tosidet</t>
  </si>
  <si>
    <t>Estimation</t>
  </si>
  <si>
    <t>Kolonne med data</t>
  </si>
  <si>
    <t>Genereret normalfordelt population</t>
  </si>
  <si>
    <t>Populationsstørrelse</t>
  </si>
  <si>
    <t>Populationsstørrelse skal være et multipel af</t>
  </si>
  <si>
    <t>Genereret nominal population</t>
  </si>
  <si>
    <t>Generation af normalfordelt interval data</t>
  </si>
  <si>
    <t>Generation af nominal data</t>
  </si>
  <si>
    <t>Genereret stikprøve fra population</t>
  </si>
  <si>
    <t>Parameterværdi i genereret population</t>
  </si>
  <si>
    <t>Parameterestimat fra genereret stikprøve</t>
  </si>
  <si>
    <t>Genereret uniformt fordelt population</t>
  </si>
  <si>
    <t>Summeret frekvens</t>
  </si>
  <si>
    <t>Sekvens</t>
  </si>
  <si>
    <t>Genereret ordinal population</t>
  </si>
  <si>
    <t>Valg til generation af uniformt fordelt interval data</t>
  </si>
  <si>
    <t>Generation af uniformt fordelt interval data</t>
  </si>
  <si>
    <t>Valg til generation af skævt fordelt interval data</t>
  </si>
  <si>
    <t>Max tilfældig værdi</t>
  </si>
  <si>
    <t>Generation af ordinal data</t>
  </si>
  <si>
    <t>Skævhed (positiv)</t>
  </si>
  <si>
    <t>Generation af skævt fordelt interval data</t>
  </si>
  <si>
    <t>Genereret skævt fordelt population</t>
  </si>
  <si>
    <t>Normalfraktildiagram navn</t>
  </si>
  <si>
    <t>Normalfraktildiagram serie 1</t>
  </si>
  <si>
    <t>Normalfraktildiagram serie 2</t>
  </si>
  <si>
    <t>Sorterede data, BsData</t>
  </si>
  <si>
    <t>Z score, BzData</t>
  </si>
  <si>
    <t>Forventet Z værdi, BfZ</t>
  </si>
  <si>
    <t>Afrundet gennemsnit i stikprøve</t>
  </si>
  <si>
    <t>Afrundet standardafvigelsesestimat fra stikprøve</t>
  </si>
  <si>
    <t>Antal intervaller i histogram</t>
  </si>
  <si>
    <t>Interval ID</t>
  </si>
  <si>
    <t>x akse minimum</t>
  </si>
  <si>
    <t>x akse maksimum</t>
  </si>
  <si>
    <t>Histogram med normalfordeling navn</t>
  </si>
  <si>
    <t>Maximal absolut Z score</t>
  </si>
  <si>
    <t>x akse minimum, Z</t>
  </si>
  <si>
    <t>x akse maksimum, Z</t>
  </si>
  <si>
    <t>Intervalbredde</t>
  </si>
  <si>
    <t>Interval nedre grænse</t>
  </si>
  <si>
    <t>Interval øvre grænse</t>
  </si>
  <si>
    <t>Identitet kolonne for data</t>
  </si>
  <si>
    <t>Frekvens i interval</t>
  </si>
  <si>
    <t>Histogram med normalfordeling serie 1</t>
  </si>
  <si>
    <t>Histogram med normalfordeling serie 2</t>
  </si>
  <si>
    <t>Ønsket antal punkter i visualisering</t>
  </si>
  <si>
    <t>Antal punkter i visualisering</t>
  </si>
  <si>
    <t>Data ID</t>
  </si>
  <si>
    <t>Histogram ID</t>
  </si>
  <si>
    <t>Interval i histogram</t>
  </si>
  <si>
    <t>Frekvens i histogram</t>
  </si>
  <si>
    <t>Histogram Z</t>
  </si>
  <si>
    <t>Punktbredde, Z</t>
  </si>
  <si>
    <t>Normalfordeling i histogram, BzHist</t>
  </si>
  <si>
    <t>Vægtet frekvens i histogram, BfHist</t>
  </si>
  <si>
    <t>Punkter per interval</t>
  </si>
  <si>
    <t>Histogram x akse, BxHist</t>
  </si>
  <si>
    <t>Afrunding til x akse</t>
  </si>
  <si>
    <t>Maksimum cifferantal uden decimaler, x akse</t>
  </si>
  <si>
    <t>Maksimum acceptabelt cifferantal</t>
  </si>
  <si>
    <t>Søjlediagram navn</t>
  </si>
  <si>
    <t>Søjlediagram serie 1</t>
  </si>
  <si>
    <t>Søjlediagram ID</t>
  </si>
  <si>
    <t>Søjle nummer</t>
  </si>
  <si>
    <t>Antal punkter per søjle</t>
  </si>
  <si>
    <t>Mellemrum</t>
  </si>
  <si>
    <t>Unikke værdier</t>
  </si>
  <si>
    <t>Frekvens ved unik værdi</t>
  </si>
  <si>
    <t>Søjlediagram x akse, BxS</t>
  </si>
  <si>
    <t>Placering af x akse titel</t>
  </si>
  <si>
    <t>Procent som tekst</t>
  </si>
  <si>
    <t>Unik observation frekvens, Buf</t>
  </si>
  <si>
    <t>Unikke værdier som tekst</t>
  </si>
  <si>
    <t>Kvartilsæt navn</t>
  </si>
  <si>
    <t>Kvartilsæt serienavne</t>
  </si>
  <si>
    <t>Kvartil antal</t>
  </si>
  <si>
    <t>Kvartil værdier eklusiv beregning</t>
  </si>
  <si>
    <t>Kvartil ID</t>
  </si>
  <si>
    <t>Kvartilsæt antal værdier</t>
  </si>
  <si>
    <t>Minimum punkter i visualisering</t>
  </si>
  <si>
    <t>Kvartilsæt ID</t>
  </si>
  <si>
    <t>Kvartil værdi placering i visualisering</t>
  </si>
  <si>
    <t>Kvartil nummer</t>
  </si>
  <si>
    <t>Kvartilsæt identitet</t>
  </si>
  <si>
    <t>Kvartilgrænse ID</t>
  </si>
  <si>
    <t>Antal punkter i kvartil</t>
  </si>
  <si>
    <t>Kvartil vægt</t>
  </si>
  <si>
    <t>Vægtet kvartil til visualisering</t>
  </si>
  <si>
    <t>1. kvartil i visualisering, Bk_1</t>
  </si>
  <si>
    <t>2. kvartil i visualisering, Bk_2</t>
  </si>
  <si>
    <t>3. kvartil i visualisering, Bk_3</t>
  </si>
  <si>
    <t>4. kvartil i visualisering, Bk_4</t>
  </si>
  <si>
    <t>Kvartilsæt x akse, BxK</t>
  </si>
  <si>
    <t>Kvartil værdi, afrundet</t>
  </si>
  <si>
    <t>Boksplot navn</t>
  </si>
  <si>
    <t xml:space="preserve">Boksplot serie 1
</t>
  </si>
  <si>
    <t xml:space="preserve">Boksplot serie 2
</t>
  </si>
  <si>
    <t>Boksplot serie 3</t>
  </si>
  <si>
    <t>Median</t>
  </si>
  <si>
    <t>Boksplot</t>
  </si>
  <si>
    <t>Minimum y</t>
  </si>
  <si>
    <t>Maksimum y</t>
  </si>
  <si>
    <t>Interkvartilbredde</t>
  </si>
  <si>
    <t xml:space="preserve">Boksplot outlier faktor
</t>
  </si>
  <si>
    <t>Boksplot nedre outlier grænse</t>
  </si>
  <si>
    <t>Boksplot øvre outlier grænse</t>
  </si>
  <si>
    <t>Boksplot ID</t>
  </si>
  <si>
    <t>Er outlier</t>
  </si>
  <si>
    <t>Data, sorteret</t>
  </si>
  <si>
    <t>Data, uden outliers</t>
  </si>
  <si>
    <t>Maksimum uden outliers</t>
  </si>
  <si>
    <t>Minimum uden outliers</t>
  </si>
  <si>
    <t>Boksplot x værdier</t>
  </si>
  <si>
    <t>Boksplot y værdier</t>
  </si>
  <si>
    <t>Median x værdier i boksplot</t>
  </si>
  <si>
    <t>Median y værdier i boksplot</t>
  </si>
  <si>
    <t>Outlier, Bo</t>
  </si>
  <si>
    <t>Outlier, x værdier, BoY</t>
  </si>
  <si>
    <t>Fraktildiagram navn</t>
  </si>
  <si>
    <t>Antal fraktiler</t>
  </si>
  <si>
    <t>Fraktiler</t>
  </si>
  <si>
    <t>Fraktil ID</t>
  </si>
  <si>
    <t>Fraktil værdi</t>
  </si>
  <si>
    <t>Fraktil procent</t>
  </si>
  <si>
    <t>Fraktildiagram ID</t>
  </si>
  <si>
    <t>Fraktil i fraktildiagram</t>
  </si>
  <si>
    <t>Fraktil værdi placering i visualisering</t>
  </si>
  <si>
    <t>Fraktilgrænse ID</t>
  </si>
  <si>
    <t>Fraktil antal punkter</t>
  </si>
  <si>
    <t>Fraktil vægt</t>
  </si>
  <si>
    <t>Fraktil identitet</t>
  </si>
  <si>
    <t>Fraktildiagram x akase, BxF</t>
  </si>
  <si>
    <t>Fraktil vægt i fraktildiagram, ByF</t>
  </si>
  <si>
    <t>Fraktildiagram serie</t>
  </si>
  <si>
    <t>Fraktil værdi og procent til x akse</t>
  </si>
  <si>
    <t>Histogram x akse 2, Bx2Hist</t>
  </si>
  <si>
    <t>Antal Z scores der vises</t>
  </si>
  <si>
    <t>Antal Z scores der kan vises</t>
  </si>
  <si>
    <t>Maksimalt ønskeligt antal Z scores</t>
  </si>
  <si>
    <t>Z score ID</t>
  </si>
  <si>
    <t>Midterste Z score</t>
  </si>
  <si>
    <t>Hvis hver anden Z score</t>
  </si>
  <si>
    <t>Z score</t>
  </si>
  <si>
    <t>Position Z score</t>
  </si>
  <si>
    <t>Inkluder konstant</t>
  </si>
  <si>
    <t>Konstant inkluderet</t>
  </si>
  <si>
    <t>Afhængig variabel ID</t>
  </si>
  <si>
    <t>Uafhængige variable ID</t>
  </si>
  <si>
    <t>Data, LyData</t>
  </si>
  <si>
    <t>Placering i datatabel</t>
  </si>
  <si>
    <t>Sekvens for uafhængige variable</t>
  </si>
  <si>
    <t>Standardafvigelse for estimat</t>
  </si>
  <si>
    <t>Linest koefficienter</t>
  </si>
  <si>
    <t>Linest standardafvigelser</t>
  </si>
  <si>
    <t>Linest r^2 og standardafvigelse for y estimat</t>
  </si>
  <si>
    <t>Linest F og frihedsgrader</t>
  </si>
  <si>
    <t>Linest regression sum of squares og residual sum of squares</t>
  </si>
  <si>
    <t>Signifikanssandsynlighed</t>
  </si>
  <si>
    <t>R^2 for mulige simple lineære regressioner</t>
  </si>
  <si>
    <t>Linest for bedste simple lineære regression</t>
  </si>
  <si>
    <t>Forklaringsgrad som afrundet procent</t>
  </si>
  <si>
    <t>Uafhængig variabel navn</t>
  </si>
  <si>
    <t>Simpel linjeplot ID</t>
  </si>
  <si>
    <t>Observationer x, LxSimpel</t>
  </si>
  <si>
    <t>Sorterede observationer x, LsxSimpel</t>
  </si>
  <si>
    <t>Sorterede observationer, LsySimpel</t>
  </si>
  <si>
    <t>Simpel lineær regression linjeplot, overskrift</t>
  </si>
  <si>
    <t>Simpel lineær regression linjeplot, serie 1</t>
  </si>
  <si>
    <t>Simpel lineær regression linjeplot, serie 2</t>
  </si>
  <si>
    <t>Maksimum cifferantal</t>
  </si>
  <si>
    <t>Koefficient for x1 som afrundet tal</t>
  </si>
  <si>
    <t>konstant som afrundet tal</t>
  </si>
  <si>
    <t>Konstant er negativ</t>
  </si>
  <si>
    <t>Linjetilpasningsplot</t>
  </si>
  <si>
    <t>Simpel lineær regression linjeplot, serie 3</t>
  </si>
  <si>
    <t>Konstant som tekst i formel</t>
  </si>
  <si>
    <t>Estimat x værdi af interesse</t>
  </si>
  <si>
    <t>Konfidensinterval ID</t>
  </si>
  <si>
    <t>Simpel lineær regression konfidensinterval, serie 1</t>
  </si>
  <si>
    <t>Simpel lineær regression konfidensinterval, overskrift</t>
  </si>
  <si>
    <t>Simpel lineær regression konfidensinterval, serie 2</t>
  </si>
  <si>
    <t>Simpel lineær regression konfidensinterval, serie 3</t>
  </si>
  <si>
    <t>Simpel lineær regression konfidensinterval, serie 4</t>
  </si>
  <si>
    <t>Øvre grænse</t>
  </si>
  <si>
    <t>Nedre grænse</t>
  </si>
  <si>
    <t>Sum af kvadreret residual</t>
  </si>
  <si>
    <t>Gennemsnit af uafhængig variabel</t>
  </si>
  <si>
    <t>Kvadreret forskel fra gennemsnit for uafhængig variabel</t>
  </si>
  <si>
    <t>Sum af kvadreret forskel fra gennemsnit for uafhængig variabel</t>
  </si>
  <si>
    <t>ID til konfidensintervalkurve smoothing</t>
  </si>
  <si>
    <t>Antal punkter til smooth konfidensinterval kurve</t>
  </si>
  <si>
    <t>Minimum x</t>
  </si>
  <si>
    <t>Maksimum x</t>
  </si>
  <si>
    <t>Regressionslinje y, Lsy2Simpel</t>
  </si>
  <si>
    <t>Simpel lineær regression konfidensinterval, serie 5</t>
  </si>
  <si>
    <t>Maksimum cifferantal uden decimaler, y akse</t>
  </si>
  <si>
    <t>Afrunding til y akse</t>
  </si>
  <si>
    <t>Øvre grænse, afrundet</t>
  </si>
  <si>
    <t>Nedre grænse, afrundet</t>
  </si>
  <si>
    <t>Nedre konfidensinterval, LkNedre</t>
  </si>
  <si>
    <t>Øvre konfidensinterval, LkOevre</t>
  </si>
  <si>
    <t>X position, LkX</t>
  </si>
  <si>
    <t>Estimeret gennemsnit ved x værdi af interesse</t>
  </si>
  <si>
    <t>Gennemsnit, afrundet</t>
  </si>
  <si>
    <t>Antal punkter til smooth forudsigelsesinterval kurve</t>
  </si>
  <si>
    <t>ID til forudsigelsesintervalkurve smoothing</t>
  </si>
  <si>
    <t>X position, LfX</t>
  </si>
  <si>
    <t>Øvre forudsigelsesinterval, LfOevre</t>
  </si>
  <si>
    <t>Nedre forudsigelsesinterval, LfNedre</t>
  </si>
  <si>
    <t>Navne på uafhængige variable</t>
  </si>
  <si>
    <t>Symbol i model</t>
  </si>
  <si>
    <t>xmean</t>
  </si>
  <si>
    <t>ymean</t>
  </si>
  <si>
    <t>m = sump / sumsq</t>
  </si>
  <si>
    <t>b = ymean - m * xmean</t>
  </si>
  <si>
    <t>sst</t>
  </si>
  <si>
    <t>ssr</t>
  </si>
  <si>
    <t>sumpr</t>
  </si>
  <si>
    <t>sumsq</t>
  </si>
  <si>
    <t>xsum</t>
  </si>
  <si>
    <t>Signifikanssandsynlighed, Lss</t>
  </si>
  <si>
    <t>Signifikans af uafhængige variable, overskrift</t>
  </si>
  <si>
    <t>Signifikans af uafhængige variable, serie 1</t>
  </si>
  <si>
    <t>Signifikans af uafhængige variable, serie 2</t>
  </si>
  <si>
    <t>Antal signifikante variable</t>
  </si>
  <si>
    <t>Signifikante uahængige variable, Lssy1</t>
  </si>
  <si>
    <t>Ikke signifikante uafhængige variable, Lssy2</t>
  </si>
  <si>
    <t>Navne på uafhængige variable, lssx</t>
  </si>
  <si>
    <t>Grænse for signifikans</t>
  </si>
  <si>
    <t>Signifikans af uafhængige variable, serie 3</t>
  </si>
  <si>
    <t>Ikke signifikant</t>
  </si>
  <si>
    <t>Multipel lineær regression, overskrift</t>
  </si>
  <si>
    <t>stddev.p</t>
  </si>
  <si>
    <t>row</t>
  </si>
  <si>
    <t>column</t>
  </si>
  <si>
    <t>Yscore, stacked</t>
  </si>
  <si>
    <t>Zscore, stacked</t>
  </si>
  <si>
    <t>Standardiseret score for uafhængig variabel</t>
  </si>
  <si>
    <t>Effekt på afhængig variabel</t>
  </si>
  <si>
    <t>MinMax ID</t>
  </si>
  <si>
    <t>Maxif, x</t>
  </si>
  <si>
    <t>Minif, x</t>
  </si>
  <si>
    <t>Maxif, y</t>
  </si>
  <si>
    <t>Minif, y</t>
  </si>
  <si>
    <t>Koefficientplot ID</t>
  </si>
  <si>
    <t>Type</t>
  </si>
  <si>
    <t>Række</t>
  </si>
  <si>
    <t>Koefficientplot x, LmkX</t>
  </si>
  <si>
    <t>Koefficientplot y, LmkY</t>
  </si>
  <si>
    <t>Dokumentation</t>
  </si>
  <si>
    <t>Effekt per standardafvigelse</t>
  </si>
  <si>
    <t>Max effekt per standardafvigelse variabel</t>
  </si>
  <si>
    <t>Vægtet effekt</t>
  </si>
  <si>
    <t>Antal variable med stor effekt</t>
  </si>
  <si>
    <t>Maksimalt antal variable nævnt i overskrift</t>
  </si>
  <si>
    <t>Antal variable i overskrift</t>
  </si>
  <si>
    <t>Match</t>
  </si>
  <si>
    <t>Antal observationer i alt</t>
  </si>
  <si>
    <t>Matchende par, y til max x</t>
  </si>
  <si>
    <t>Sårbare formler gemmes på dette ark, for at undgå indsættelse af rækker og kolonner.</t>
  </si>
  <si>
    <t>Labels til sammenligning af koefficienter</t>
  </si>
  <si>
    <t>Labels er ikke dynamisk i plottet, men bundet til en 150 celler stor range gennem value to cells data labels funktionen. Dermed håndteres max 50 koefficienter. Labels er gemt på Beregningsark.</t>
  </si>
  <si>
    <t>Stacked x</t>
  </si>
  <si>
    <t>ymin</t>
  </si>
  <si>
    <t>ymax</t>
  </si>
  <si>
    <t>xmax</t>
  </si>
  <si>
    <t>xmin</t>
  </si>
  <si>
    <t>X ID</t>
  </si>
  <si>
    <t>Parallelle koordinater, overskrift</t>
  </si>
  <si>
    <t>Parallelle koordinater, serie 1</t>
  </si>
  <si>
    <t>Parallelle koordinater, serie 2</t>
  </si>
  <si>
    <t>Parallelle koordinater, x akse</t>
  </si>
  <si>
    <t>Parallelle koordinater, y akse</t>
  </si>
  <si>
    <t>Uafhængig variabel ID</t>
  </si>
  <si>
    <t>Transformation lineær, min 0 max 1</t>
  </si>
  <si>
    <t>Serie ID</t>
  </si>
  <si>
    <t>Kombination ID</t>
  </si>
  <si>
    <t>Kombinationer</t>
  </si>
  <si>
    <t>Par ID</t>
  </si>
  <si>
    <t>Par position lodret</t>
  </si>
  <si>
    <t>Par position vandret</t>
  </si>
  <si>
    <t>Position opslag</t>
  </si>
  <si>
    <t>Observation ID</t>
  </si>
  <si>
    <t>Par ID til labels</t>
  </si>
  <si>
    <t>Vandret spacing</t>
  </si>
  <si>
    <t>Lodret spacing</t>
  </si>
  <si>
    <t>Lodret label</t>
  </si>
  <si>
    <t>Vandret label</t>
  </si>
  <si>
    <t>Lodret navn</t>
  </si>
  <si>
    <t>Vandret navn</t>
  </si>
  <si>
    <t>Labels til korrelationskoefficienter</t>
  </si>
  <si>
    <t>ID til position til kategorinavne</t>
  </si>
  <si>
    <t>Labels til korrelationskoefficienter, y akse kategorier</t>
  </si>
  <si>
    <t>Labels til korrelationskoefficienter, x akse kategorier</t>
  </si>
  <si>
    <t>Korrelationskoefficienter</t>
  </si>
  <si>
    <t>Højre side uafhængige variabel</t>
  </si>
  <si>
    <t>Venstre side uafhængige variabel</t>
  </si>
  <si>
    <t>Parallelle koordinater</t>
  </si>
  <si>
    <t>Parallelle koordinater x, LpX</t>
  </si>
  <si>
    <t>Parallelle koordinater y, LpY</t>
  </si>
  <si>
    <t>Korrelationskoefficient label y, LpRy</t>
  </si>
  <si>
    <t>Korrelationskoefficient label x, LpRx</t>
  </si>
  <si>
    <t>Lodret navn x, LpYlx</t>
  </si>
  <si>
    <t>Lodret navn y, LpYly</t>
  </si>
  <si>
    <t>Vandret navn x, LpXlx</t>
  </si>
  <si>
    <t>Vandret navn y, LpXly</t>
  </si>
  <si>
    <t>Labels er ikke dynamisk i plottet, men bundet til en 1700 celler stor range gennem value to cells data labels funktionen. Dermed håndteres max 58 koefficienter. Labels er gemt på Beregningsark.</t>
  </si>
  <si>
    <t>Korrelation stærk nok til overskrift</t>
  </si>
  <si>
    <t>Absolut korrelation</t>
  </si>
  <si>
    <t>Max anatal korrelationer i overskrift</t>
  </si>
  <si>
    <t>Antal korrelationer i overskrift</t>
  </si>
  <si>
    <t>Antal korrelationer mulige til overskrift</t>
  </si>
  <si>
    <t>Stærkeste korrelationer</t>
  </si>
  <si>
    <t>Afrundet</t>
  </si>
  <si>
    <t>Indeks på stærkeste korrelationer</t>
  </si>
  <si>
    <t>Stærkeste korrelationer, korrekt fortegn</t>
  </si>
  <si>
    <t>De stærkeste absolutte korrelationer</t>
  </si>
  <si>
    <t>Simpel lineær regression, normalfraktildiagram af residualer, overskrift</t>
  </si>
  <si>
    <t>Simpel, residualer, serie 1</t>
  </si>
  <si>
    <t>Simpel, residualer, serie 2</t>
  </si>
  <si>
    <t>Simpel, residualer, x akse</t>
  </si>
  <si>
    <t>Simpel, residualer, y akse</t>
  </si>
  <si>
    <t>Værdier og forventede værdier for residualer</t>
  </si>
  <si>
    <t>Standardafvigelse i normalfordeling for residualer</t>
  </si>
  <si>
    <t xml:space="preserve"> Residualer</t>
  </si>
  <si>
    <t xml:space="preserve"> Normalfordeling for residualer</t>
  </si>
  <si>
    <t>Residual ID</t>
  </si>
  <si>
    <t>Regressionslinje y</t>
  </si>
  <si>
    <t>Sorterede observationer y</t>
  </si>
  <si>
    <t>Sorteret residual, LrS</t>
  </si>
  <si>
    <t>Z score, LrZ</t>
  </si>
  <si>
    <t>Forventet Z værdi, LrfZ</t>
  </si>
  <si>
    <t>Simpel lineær regression
Normalfraktildiagram af residualer</t>
  </si>
  <si>
    <t>Multipel lineær regression, normalfraktildiagram af residualer, overskrift</t>
  </si>
  <si>
    <t>Multipel, residualer, serie 1</t>
  </si>
  <si>
    <t>Multipel, residualer, serie 2</t>
  </si>
  <si>
    <t>Multipel, residualer, x akse</t>
  </si>
  <si>
    <t>Multipel, residualer, y akse</t>
  </si>
  <si>
    <t>Regressionslinje y, sorteret</t>
  </si>
  <si>
    <t>Observationer y</t>
  </si>
  <si>
    <t>Sorteret residual, LrSm</t>
  </si>
  <si>
    <t>Z score, LrZm</t>
  </si>
  <si>
    <t>Forventet Z værdi, LrfZm</t>
  </si>
  <si>
    <t>Simpel og multipel lineær regression, forklaringsgradsvisualisering, overskrift</t>
  </si>
  <si>
    <t>Forklaringsgrad, serie 1</t>
  </si>
  <si>
    <t>Forklaringsgrad, serie 2</t>
  </si>
  <si>
    <t>Forklaringsgrad, x akse</t>
  </si>
  <si>
    <t>Forklaringsgrad, y akse</t>
  </si>
  <si>
    <t>Beregnet værdi i regression</t>
  </si>
  <si>
    <t xml:space="preserve"> Referencelinje ved perfekt forklaringsgrad</t>
  </si>
  <si>
    <t>Forklaringsgrad, serie 3</t>
  </si>
  <si>
    <t xml:space="preserve"> Beregnet værdi, simpel lineær regression</t>
  </si>
  <si>
    <t xml:space="preserve"> Beregnet værdi, multipel lineær regression</t>
  </si>
  <si>
    <t>Forklaringsgrad simpel</t>
  </si>
  <si>
    <t>Forklaringsgrad multipel</t>
  </si>
  <si>
    <t>Justeret forklaringsgrad simpel</t>
  </si>
  <si>
    <t>Justeret forklaringsgrad multipel</t>
  </si>
  <si>
    <t>Afrundet Forklaringsgrad simpel</t>
  </si>
  <si>
    <t>Afrundet Forklaringsgrad multipel</t>
  </si>
  <si>
    <t>Afrundet Justeret forklaringsgrad simpel</t>
  </si>
  <si>
    <t>Afrundet Justeret forklaringsgrad multipel</t>
  </si>
  <si>
    <t>Afrunding, antal cifre</t>
  </si>
  <si>
    <t>Observationer, y sorteret, Lfsy</t>
  </si>
  <si>
    <t>Regression, multipel, Lfm</t>
  </si>
  <si>
    <t>Regression, simpel, Lfs</t>
  </si>
  <si>
    <t>Observationer y, Lfyx</t>
  </si>
  <si>
    <t>Ymin aksestyringspunkt</t>
  </si>
  <si>
    <t>Ymax aksestyringspunkt</t>
  </si>
  <si>
    <t>Aksestyringspunkt, x</t>
  </si>
  <si>
    <t>Inkluderet_liste</t>
  </si>
  <si>
    <t>Inkluderet</t>
  </si>
  <si>
    <t>Udeladt</t>
  </si>
  <si>
    <t>Visualisering</t>
  </si>
  <si>
    <t>Variabel ID</t>
  </si>
  <si>
    <t>Indenfor range</t>
  </si>
  <si>
    <t>Intet overlap</t>
  </si>
  <si>
    <t>Uafhængige variable, hjælpeberegning</t>
  </si>
  <si>
    <t>Anbefaling</t>
  </si>
  <si>
    <t>Beregninger til slicer om afhængig og uafhængige variable</t>
  </si>
  <si>
    <t>Valg til lineær regression</t>
  </si>
  <si>
    <t>Vælg en afhængig variabel</t>
  </si>
  <si>
    <t>Uafhængige variable</t>
  </si>
  <si>
    <t>SandFalsk_liste</t>
  </si>
  <si>
    <t>Estimat x værdi af interesse, afrundet</t>
  </si>
  <si>
    <t>Normaliseret effekt af uafhængig variabel</t>
  </si>
  <si>
    <t>Unik max effekt per standardafvigelse variabel</t>
  </si>
  <si>
    <t>Maksimal R^2 for simpel lineær regression</t>
  </si>
  <si>
    <t>Indeks for maksimal R^2 blandt mulige uafhængige variable</t>
  </si>
  <si>
    <t>X data</t>
  </si>
  <si>
    <t>Indeks til reorganisering</t>
  </si>
  <si>
    <t>Linest koefficienter, multipel lineær regression</t>
  </si>
  <si>
    <t>Reorganisering af linest, multipel</t>
  </si>
  <si>
    <t>Følgende spill-arrays er horisontale og skal derfor være længst til højre på arket</t>
  </si>
  <si>
    <t>Dette spill-arrays er både horisontalt og vertikalt og skal derfor være længst til højre, nederst på arket</t>
  </si>
  <si>
    <t>Lineær sammenhæng mellem afhængig og uafhængige variable</t>
  </si>
  <si>
    <t>Residualer er normalfordelt</t>
  </si>
  <si>
    <t>Residualers standardafvigelse afhænger ikke af uafhængige variable</t>
  </si>
  <si>
    <t>Uafhængige variable er ikke stærkt korrelerede med hinanden</t>
  </si>
  <si>
    <t>Valg til analyse af simpel lineær regression</t>
  </si>
  <si>
    <t>Visualisering ved X værdi af interesse</t>
  </si>
  <si>
    <t>Gennemsnit ved X værdi af interesse</t>
  </si>
  <si>
    <t>Interval øvre grænse ved X værdi af interesse</t>
  </si>
  <si>
    <t>Interval nedre grænse ved X værdi af interesse</t>
  </si>
  <si>
    <t>Koefficienteffekt</t>
  </si>
  <si>
    <t>Uafhængig varibel i multipel lineær regression</t>
  </si>
  <si>
    <t>Værdi af interesse</t>
  </si>
  <si>
    <t>Signifikant uafhængig variabel</t>
  </si>
  <si>
    <t>Analyse af multipel lineær regression</t>
  </si>
  <si>
    <t>Eksempel beregning med værdier af interesse</t>
  </si>
  <si>
    <t>Afrundede koefficienter</t>
  </si>
  <si>
    <t>Afrundning, antal decimaler for koefficienter</t>
  </si>
  <si>
    <t>Afrundet konstant</t>
  </si>
  <si>
    <t xml:space="preserve">y = </t>
  </si>
  <si>
    <t>Modelspecifikation med symboler</t>
  </si>
  <si>
    <t>Præcist resultat af beregning</t>
  </si>
  <si>
    <t>Modelspecifikation beregninger for multipel lineær regression</t>
  </si>
  <si>
    <t>Symbol afhængig variabel</t>
  </si>
  <si>
    <t>Symboler og koefficienter, uafhængige variable</t>
  </si>
  <si>
    <t xml:space="preserve">β0 + </t>
  </si>
  <si>
    <t>Værdi, konstant</t>
  </si>
  <si>
    <t>Symbol, konstant</t>
  </si>
  <si>
    <t>Modelspecifikation med symboler og koefficienter</t>
  </si>
  <si>
    <t>Modelspecifikation med navne og koefficienter</t>
  </si>
  <si>
    <t>Symboler, uafhængige variable</t>
  </si>
  <si>
    <t>Modelspecifikation, symboler og koefficienter</t>
  </si>
  <si>
    <t>Modelspecifikation, symboler</t>
  </si>
  <si>
    <t>Navne og koefficienter, uafhængige variable</t>
  </si>
  <si>
    <t>Modelspecifikation, navne og koefficienter</t>
  </si>
  <si>
    <t>Værdi af interesse, uafhængige variable</t>
  </si>
  <si>
    <t>Værdi af interesse, uafhængige variable i multipel lineær regression</t>
  </si>
  <si>
    <t>Afrundet y værdi ved værdier af interesse</t>
  </si>
  <si>
    <t>y værdi ved værdier af interesse i multipel lineær regression</t>
  </si>
  <si>
    <t>Koefficienteffekt ved værdier af interesse</t>
  </si>
  <si>
    <t>Matchende par, y til min x</t>
  </si>
  <si>
    <t>Hældning på linje</t>
  </si>
  <si>
    <t>Z score, værdi af interesse</t>
  </si>
  <si>
    <t>Forskel xmax til værdi af interesse Z</t>
  </si>
  <si>
    <t>Værdi af interesse, Z score, LmkVxX</t>
  </si>
  <si>
    <t>Y ved værdi af interesse, LmkVxY</t>
  </si>
  <si>
    <t>Multipel lineær regression koefficienteffekt, serie 1</t>
  </si>
  <si>
    <t>Multipel lineær regression koefficienteffekt, serie 2</t>
  </si>
  <si>
    <t>Multipel lineær regression koefficienteffekt, x akse</t>
  </si>
  <si>
    <t>Multipel lineær regression koefficienteffekt, y akse</t>
  </si>
  <si>
    <t>Koefficienteffekt ved værdi af interesse</t>
  </si>
  <si>
    <t>Slicer til valg om inkludering af variable i ANOVA</t>
  </si>
  <si>
    <t>Slicer til valg om inkludering af afhængig og uafhængige variable i lineær regression</t>
  </si>
  <si>
    <t>Beregninger til slicer om variable</t>
  </si>
  <si>
    <t>Max antal variable, baseret på tabelstørrelse</t>
  </si>
  <si>
    <t>Tabel ID</t>
  </si>
  <si>
    <t>Variabel i ANOVA</t>
  </si>
  <si>
    <t>Max rækker i data tabel</t>
  </si>
  <si>
    <t>Variabel position i Data</t>
  </si>
  <si>
    <t>Sum antal observationer</t>
  </si>
  <si>
    <t>Vægtet total gennemsnit</t>
  </si>
  <si>
    <t>Antal observationer -1</t>
  </si>
  <si>
    <t>Varians</t>
  </si>
  <si>
    <t>Sum af kvadrater mellem observationssæt</t>
  </si>
  <si>
    <t>Sum af kvadrater i observationssæt</t>
  </si>
  <si>
    <t>Gennemsnit af kvadrater mellem observationssæt</t>
  </si>
  <si>
    <t>Gennemsnit af kvadrater i observationssæt</t>
  </si>
  <si>
    <t>Negativ 3 standardafvigelser fra gennemsnit</t>
  </si>
  <si>
    <t>Positiv 3 standardafvigelser fra gennemsnit</t>
  </si>
  <si>
    <t>Minimum af negativ 3 afvigelser fra gennemsnit</t>
  </si>
  <si>
    <t>Maksimum af positiv 3 afvigelser fra gennemsnit</t>
  </si>
  <si>
    <t>Mindste intervalbredde for et observationssæt</t>
  </si>
  <si>
    <t>Minimum antal punkter i en kurve</t>
  </si>
  <si>
    <t>Forhold mellem total og mindste intervalbredde</t>
  </si>
  <si>
    <t>Diagram ID</t>
  </si>
  <si>
    <t>Mod, stacked ID</t>
  </si>
  <si>
    <t>Div, stacked ID</t>
  </si>
  <si>
    <t>Sammenligning af normalfordelinger, titel</t>
  </si>
  <si>
    <t>X akse, AxNorm</t>
  </si>
  <si>
    <t>Y akse, AyNorm</t>
  </si>
  <si>
    <t>Label, AlNorm</t>
  </si>
  <si>
    <t>Antal rækker i diagram</t>
  </si>
  <si>
    <t>Antal x akse punkter i diagram</t>
  </si>
  <si>
    <t>Afrundet gennemsnit</t>
  </si>
  <si>
    <t>Afrundet standardafvigelse</t>
  </si>
  <si>
    <t>Label x, AlxNorm</t>
  </si>
  <si>
    <t>Label y, AlyNorm</t>
  </si>
  <si>
    <t>Sammenligning af normalfordelinger, serie 1</t>
  </si>
  <si>
    <t>Sammenligning af normalfordelinger, serie 2</t>
  </si>
  <si>
    <t>Sammenligning med estimerede normalfordelinger</t>
  </si>
  <si>
    <t>Estimeret normalfordeling</t>
  </si>
  <si>
    <t>Antal parvise sammenligninger</t>
  </si>
  <si>
    <t>Par position opslag</t>
  </si>
  <si>
    <t>Antal variable ID</t>
  </si>
  <si>
    <t>Variabel navn, lodret</t>
  </si>
  <si>
    <t>Variabel navn, vandret</t>
  </si>
  <si>
    <t>t værdi for forskel i gennemsnit</t>
  </si>
  <si>
    <t>Signifikant med bonferroni justering</t>
  </si>
  <si>
    <t>Bonferroni justeret alpha</t>
  </si>
  <si>
    <t>Afrunding</t>
  </si>
  <si>
    <t>Kategorier, lodret label</t>
  </si>
  <si>
    <t>Kategorier, lodret x</t>
  </si>
  <si>
    <t>Kategorier, lodret y</t>
  </si>
  <si>
    <t>Kategorier, vandret x</t>
  </si>
  <si>
    <t>Kategorier, vandret y</t>
  </si>
  <si>
    <t>Kategorier, vandret label</t>
  </si>
  <si>
    <t>Kategorier ID</t>
  </si>
  <si>
    <t>Div kategorier ID</t>
  </si>
  <si>
    <t>Mod kategorier ID</t>
  </si>
  <si>
    <t>Multiple sammenligninger, titel</t>
  </si>
  <si>
    <t>Multiple sammenligninger, serie 1</t>
  </si>
  <si>
    <t>Multiple sammenligninger, serie 2</t>
  </si>
  <si>
    <t>Forskel mellem gennemsnit</t>
  </si>
  <si>
    <t>Signifikans, visualisering, AsMs</t>
  </si>
  <si>
    <t>Label, AlMs</t>
  </si>
  <si>
    <t>Par position lodret, AxMs</t>
  </si>
  <si>
    <t>Par position vandret, AyMs</t>
  </si>
  <si>
    <t>Kategorier x, AkxMs</t>
  </si>
  <si>
    <t>Kategorier y, AkyMs</t>
  </si>
  <si>
    <t>Kategorier, label, AklMs</t>
  </si>
  <si>
    <t>Bobbelstørrelse, label, AksMs</t>
  </si>
  <si>
    <t>Bobbelstørrelse</t>
  </si>
  <si>
    <t>Antal signifikante par</t>
  </si>
  <si>
    <t>Hypotesetest om forskel mellem flere gennemsnit, titel</t>
  </si>
  <si>
    <t>Hypotesetest om forskel mellem flere gennemsnit, serie 1</t>
  </si>
  <si>
    <t>Hypotesetest om forskel mellem flere gennemsnit, serie 2</t>
  </si>
  <si>
    <t>Antal datapunkter i tabel</t>
  </si>
  <si>
    <t>Maksimum x akse</t>
  </si>
  <si>
    <t>Nulhypotese, AyGn</t>
  </si>
  <si>
    <t>Alternativhypotese, AyGa</t>
  </si>
  <si>
    <t>F.dist, AyGs</t>
  </si>
  <si>
    <t>Hypotesetest om forskel mellem flere gennemsnit, serie 3</t>
  </si>
  <si>
    <t>Visualisering ID, AxG</t>
  </si>
  <si>
    <t>X akse label, AlG</t>
  </si>
  <si>
    <t>X position, nulhypotese label</t>
  </si>
  <si>
    <t>Y position, nulhypotese label</t>
  </si>
  <si>
    <t>Nulhypotese label</t>
  </si>
  <si>
    <t>X position, alternativ hypotese label</t>
  </si>
  <si>
    <t>Y position, alternativ hypotese label</t>
  </si>
  <si>
    <t>Alternativ hypotese label</t>
  </si>
  <si>
    <t>Nulhypotese afvises</t>
  </si>
  <si>
    <t>Variable i ANOVA</t>
  </si>
  <si>
    <t>Visualisering ID, AxS</t>
  </si>
  <si>
    <t>Nulhypotese, AySn</t>
  </si>
  <si>
    <t>Alternativhypotese, AySa</t>
  </si>
  <si>
    <t>X akse label, AlS</t>
  </si>
  <si>
    <t>Frihedsgrader i fordeling</t>
  </si>
  <si>
    <t>Chisq.dist, AySs</t>
  </si>
  <si>
    <t>Bartlett's test, teststørrelse</t>
  </si>
  <si>
    <t>Bartlett's test, nulhypotesen afvises</t>
  </si>
  <si>
    <t>Bartlett's test, hjælpeberegning (n-k)</t>
  </si>
  <si>
    <t>Hypotesetest om forskel mellem flere standardafvigelser, titel</t>
  </si>
  <si>
    <t>Hypotesetest om forskel mellem flere standardafvigelser, serie 1</t>
  </si>
  <si>
    <t>Hypotesetest om forskel mellem flere standardafvigelser, serie 2</t>
  </si>
  <si>
    <t>Hypotesetest om forskel mellem flere standardafvigelser, serie 3</t>
  </si>
  <si>
    <t>Sammenlign flere gennemsnit og standardafvigelser</t>
  </si>
  <si>
    <t>Valg til analyse af multipel lineær regression</t>
  </si>
  <si>
    <t>Navn, afhængig variabel</t>
  </si>
  <si>
    <t>Dette spill-arrays er horisontalt og skal derfor være længst til højre på arket</t>
  </si>
  <si>
    <t>Resultater af multiple sammenligninger</t>
  </si>
  <si>
    <t>Absolutte forskelle</t>
  </si>
  <si>
    <t>Kontrol af forudsætninger for hypotesetest om forskelle i gennemsnit</t>
  </si>
  <si>
    <t>Kontrol af forudsætninger for hypotesetest om forskelle i standardafvigelser</t>
  </si>
  <si>
    <t>Signifikant forskel mellem gennemsnit</t>
  </si>
  <si>
    <t>Par af variable, sorteret efter forskel mellem gennemsnit</t>
  </si>
  <si>
    <t>ANOVA tabel</t>
  </si>
  <si>
    <t>Afstand mellem X akse labels</t>
  </si>
  <si>
    <t>Nødvendig stikprøvestørrelse for ønsket fejlmargin</t>
  </si>
  <si>
    <t>Hypotese_liste</t>
  </si>
  <si>
    <t>Fordeling_liste</t>
  </si>
  <si>
    <t>v. 1.2</t>
  </si>
  <si>
    <t>Hypotesetesetype_liste</t>
  </si>
  <si>
    <t>Beregningsmetode_liste</t>
  </si>
  <si>
    <t>Max antal observationer</t>
  </si>
  <si>
    <t>Har overskrift</t>
  </si>
  <si>
    <t>Sidste position for variabel</t>
  </si>
  <si>
    <t>Resultat overblik</t>
  </si>
  <si>
    <t>Præcise resultater af analyse</t>
  </si>
  <si>
    <t>Valgt variabel</t>
  </si>
  <si>
    <t>Position af valgt variabel</t>
  </si>
  <si>
    <t>Observationer, vertikal spill</t>
  </si>
  <si>
    <t>Vælg uafhængige variable (Multi-Select)</t>
  </si>
  <si>
    <t xml:space="preserve">     Resultat overblik</t>
  </si>
  <si>
    <t>DataTitel_liste</t>
  </si>
  <si>
    <t>Overskriften anvendes som reference til dine data i al videre analyse og skal derfor være unik</t>
  </si>
  <si>
    <t>1. Giv hvert observationssæt en unik overskrift</t>
  </si>
  <si>
    <t>2. Indsæt data under hver overskrift</t>
  </si>
  <si>
    <t>Data er indsat korrekt, hvis det står under en overskrift og ikke indeholder blanke celler</t>
  </si>
  <si>
    <t>Den sikreste måde at indsætte data på, er igennem indsæt speciel =&gt; indsæt værdier (se figur 1)</t>
  </si>
  <si>
    <t>Alle variable har samme antal observationer</t>
  </si>
  <si>
    <t>Ægte antal observationer</t>
  </si>
  <si>
    <t>3. Fortsæt til en af de 6 øvrige ark for at udføre statistisk analyse af dine data</t>
  </si>
  <si>
    <t>Gennemsnit, variabel 1</t>
  </si>
  <si>
    <t>Gennemsnit, variabel 2</t>
  </si>
  <si>
    <t xml:space="preserve">          Resultat overblik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</si>
</sst>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00"/>
    <numFmt numFmtId="165" formatCode="0.000%"/>
    <numFmt numFmtId="166" formatCode="#,##0.000"/>
    <numFmt numFmtId="167" formatCode="#,##0.00\ &quot;kr.&quot;"/>
    <numFmt numFmtId="168" formatCode="#,##0\ &quot;kr.&quot;"/>
    <numFmt numFmtId="169" formatCode="#,##0.0000"/>
  </numFmts>
  <fonts count="24" x14ac:knownFonts="1">
    <font>
      <sz val="11"/>
      <color theme="1"/>
      <name val="Tw Cen MT"/>
      <family val="2"/>
      <scheme val="minor"/>
    </font>
    <font>
      <sz val="11"/>
      <color theme="1"/>
      <name val="Tw Cen MT"/>
      <family val="2"/>
      <scheme val="minor"/>
    </font>
    <font>
      <sz val="11"/>
      <color rgb="FF006100"/>
      <name val="Tw Cen MT"/>
      <family val="2"/>
      <scheme val="minor"/>
    </font>
    <font>
      <sz val="11"/>
      <color rgb="FF9C0006"/>
      <name val="Tw Cen MT"/>
      <family val="2"/>
      <scheme val="minor"/>
    </font>
    <font>
      <sz val="11"/>
      <color rgb="FF9C6500"/>
      <name val="Tw Cen MT"/>
      <family val="2"/>
      <scheme val="minor"/>
    </font>
    <font>
      <sz val="11"/>
      <color rgb="FF3F3F76"/>
      <name val="Tw Cen MT"/>
      <family val="2"/>
      <scheme val="minor"/>
    </font>
    <font>
      <sz val="11"/>
      <color rgb="FFFA7D00"/>
      <name val="Tw Cen MT"/>
      <family val="2"/>
      <scheme val="minor"/>
    </font>
    <font>
      <b/>
      <sz val="11"/>
      <color theme="0"/>
      <name val="Tw Cen MT"/>
      <family val="2"/>
      <scheme val="minor"/>
    </font>
    <font>
      <sz val="11"/>
      <color rgb="FFFF0000"/>
      <name val="Tw Cen MT"/>
      <family val="2"/>
      <scheme val="minor"/>
    </font>
    <font>
      <b/>
      <sz val="11"/>
      <color theme="1"/>
      <name val="Tw Cen MT"/>
      <family val="2"/>
      <scheme val="minor"/>
    </font>
    <font>
      <b/>
      <sz val="14"/>
      <name val="Tw Cen MT"/>
      <family val="2"/>
      <scheme val="minor"/>
    </font>
    <font>
      <b/>
      <sz val="11"/>
      <name val="Tw Cen MT"/>
      <family val="2"/>
      <scheme val="minor"/>
    </font>
    <font>
      <sz val="14"/>
      <color theme="1"/>
      <name val="Tw Cen MT"/>
      <family val="2"/>
      <scheme val="major"/>
    </font>
    <font>
      <i/>
      <sz val="11"/>
      <color rgb="FF7F7F7F"/>
      <name val="Tw Cen MT"/>
      <family val="2"/>
      <scheme val="minor"/>
    </font>
    <font>
      <sz val="11"/>
      <color theme="0"/>
      <name val="Tw Cen MT"/>
      <family val="2"/>
      <scheme val="minor"/>
    </font>
    <font>
      <sz val="8"/>
      <name val="Tw Cen MT"/>
      <family val="2"/>
      <scheme val="minor"/>
    </font>
    <font>
      <sz val="11"/>
      <name val="Tw Cen MT"/>
      <family val="2"/>
      <scheme val="minor"/>
    </font>
    <font>
      <i/>
      <sz val="11"/>
      <color theme="1"/>
      <name val="Tw Cen MT"/>
      <family val="2"/>
      <scheme val="minor"/>
    </font>
    <font>
      <sz val="11"/>
      <color theme="1"/>
      <name val="Calibri"/>
      <family val="2"/>
    </font>
    <font>
      <b/>
      <sz val="14"/>
      <color theme="0"/>
      <name val="Tw Cen MT"/>
      <family val="2"/>
      <scheme val="minor"/>
    </font>
    <font>
      <sz val="11"/>
      <color theme="1"/>
      <name val="Tw Cen MT"/>
      <family val="2"/>
    </font>
    <font>
      <sz val="12.65"/>
      <color theme="1"/>
      <name val="Tw Cen MT"/>
      <family val="2"/>
    </font>
    <font>
      <u/>
      <sz val="11"/>
      <color theme="10"/>
      <name val="Tw Cen MT"/>
      <family val="2"/>
      <scheme val="minor"/>
    </font>
    <font>
      <b/>
      <sz val="11"/>
      <color rgb="FF9C0006"/>
      <name val="Tw Cen MT"/>
      <family val="2"/>
      <scheme val="minor"/>
    </font>
  </fonts>
  <fills count="3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6" tint="0.79998168889431442"/>
        <bgColor indexed="65"/>
      </patternFill>
    </fill>
    <fill>
      <patternFill patternType="solid">
        <fgColor theme="7"/>
      </patternFill>
    </fill>
    <fill>
      <patternFill patternType="solid">
        <fgColor theme="4"/>
        <bgColor indexed="64"/>
      </patternFill>
    </fill>
    <fill>
      <patternFill patternType="solid">
        <fgColor theme="4"/>
      </patternFill>
    </fill>
    <fill>
      <patternFill patternType="solid">
        <fgColor theme="4"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5"/>
        <bgColor indexed="64"/>
      </patternFill>
    </fill>
    <fill>
      <patternFill patternType="solid">
        <fgColor theme="5" tint="0.39997558519241921"/>
        <bgColor indexed="64"/>
      </patternFill>
    </fill>
    <fill>
      <patternFill patternType="solid">
        <fgColor theme="4" tint="0.79998168889431442"/>
        <bgColor indexed="65"/>
      </patternFill>
    </fill>
    <fill>
      <patternFill patternType="solid">
        <fgColor theme="5"/>
      </patternFill>
    </fill>
    <fill>
      <patternFill patternType="solid">
        <fgColor theme="5" tint="0.79998168889431442"/>
        <bgColor indexed="65"/>
      </patternFill>
    </fill>
    <fill>
      <patternFill patternType="solid">
        <fgColor theme="5" tint="0.39997558519241921"/>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59999389629810485"/>
        <bgColor indexed="65"/>
      </patternFill>
    </fill>
    <fill>
      <patternFill patternType="solid">
        <fgColor theme="3"/>
        <bgColor indexed="64"/>
      </patternFill>
    </fill>
    <fill>
      <patternFill patternType="solid">
        <fgColor theme="3" tint="0.39997558519241921"/>
        <bgColor indexed="64"/>
      </patternFill>
    </fill>
    <fill>
      <patternFill patternType="solid">
        <fgColor rgb="FFFFC7CE"/>
        <bgColor indexed="64"/>
      </patternFill>
    </fill>
  </fills>
  <borders count="11">
    <border>
      <left/>
      <right/>
      <top/>
      <bottom/>
      <diagonal/>
    </border>
    <border>
      <left/>
      <right/>
      <top/>
      <bottom style="double">
        <color rgb="FFFF80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double">
        <color auto="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4" tint="0.39994506668294322"/>
      </left>
      <right style="thin">
        <color theme="4" tint="0.39994506668294322"/>
      </right>
      <top/>
      <bottom style="thin">
        <color theme="4" tint="0.39994506668294322"/>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s>
  <cellStyleXfs count="37">
    <xf numFmtId="0" fontId="0" fillId="0" borderId="0">
      <alignment vertical="top"/>
    </xf>
    <xf numFmtId="0" fontId="12" fillId="0" borderId="0" applyNumberFormat="0" applyFill="0" applyBorder="0" applyProtection="0">
      <alignment vertical="top"/>
    </xf>
    <xf numFmtId="0" fontId="10" fillId="0" borderId="0" applyNumberFormat="0" applyFill="0" applyBorder="0" applyProtection="0">
      <alignment vertical="top"/>
    </xf>
    <xf numFmtId="0" fontId="11" fillId="0" borderId="0" applyNumberFormat="0" applyFill="0" applyBorder="0" applyProtection="0">
      <alignment vertical="top"/>
    </xf>
    <xf numFmtId="0" fontId="16" fillId="0" borderId="2" applyNumberFormat="0" applyFont="0" applyFill="0" applyAlignment="0" applyProtection="0">
      <alignment vertical="top"/>
    </xf>
    <xf numFmtId="0" fontId="11" fillId="0" borderId="0" applyNumberFormat="0" applyFill="0" applyBorder="0" applyProtection="0">
      <alignment horizontal="centerContinuous" vertical="top" wrapText="1"/>
    </xf>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2" applyNumberFormat="0" applyAlignment="0" applyProtection="0"/>
    <xf numFmtId="164" fontId="11" fillId="0" borderId="2" applyNumberFormat="0" applyAlignment="0" applyProtection="0"/>
    <xf numFmtId="0" fontId="5" fillId="6" borderId="2" applyNumberFormat="0" applyAlignment="0" applyProtection="0"/>
    <xf numFmtId="0" fontId="6" fillId="0" borderId="1" applyNumberFormat="0" applyFill="0" applyAlignment="0" applyProtection="0"/>
    <xf numFmtId="0" fontId="7" fillId="7" borderId="2" applyNumberFormat="0" applyAlignment="0" applyProtection="0"/>
    <xf numFmtId="0" fontId="8" fillId="0" borderId="0" applyNumberFormat="0" applyFill="0" applyBorder="0" applyAlignment="0" applyProtection="0"/>
    <xf numFmtId="0" fontId="1" fillId="8" borderId="2" applyNumberFormat="0" applyAlignment="0" applyProtection="0">
      <alignment vertical="top" wrapText="1"/>
    </xf>
    <xf numFmtId="166" fontId="9" fillId="0" borderId="3" applyNumberFormat="0" applyFill="0" applyAlignment="0" applyProtection="0"/>
    <xf numFmtId="0" fontId="13" fillId="0" borderId="0" applyNumberFormat="0" applyAlignment="0" applyProtection="0">
      <alignment vertical="top"/>
    </xf>
    <xf numFmtId="166" fontId="1" fillId="0" borderId="0" applyFont="0" applyFill="0" applyBorder="0" applyAlignment="0" applyProtection="0"/>
    <xf numFmtId="3"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0" fontId="1" fillId="0" borderId="0" applyNumberFormat="0" applyFill="0" applyBorder="0" applyAlignment="0" applyProtection="0">
      <alignment vertical="top"/>
    </xf>
    <xf numFmtId="0" fontId="1" fillId="0" borderId="0" applyNumberFormat="0" applyFont="0" applyBorder="0" applyAlignment="0" applyProtection="0">
      <alignment vertical="top"/>
    </xf>
    <xf numFmtId="0" fontId="16" fillId="19" borderId="0" applyNumberFormat="0" applyBorder="0" applyAlignment="0" applyProtection="0"/>
    <xf numFmtId="0" fontId="1" fillId="13" borderId="0" applyNumberFormat="0" applyBorder="0" applyAlignment="0" applyProtection="0"/>
    <xf numFmtId="0" fontId="1" fillId="16" borderId="0" applyNumberFormat="0" applyBorder="0" applyAlignment="0" applyProtection="0"/>
    <xf numFmtId="0" fontId="1" fillId="18" borderId="0" applyNumberFormat="0" applyBorder="0" applyAlignment="0" applyProtection="0"/>
    <xf numFmtId="0" fontId="22" fillId="0" borderId="0" applyNumberFormat="0" applyFill="0" applyBorder="0" applyAlignment="0" applyProtection="0">
      <alignment vertical="top"/>
    </xf>
    <xf numFmtId="0" fontId="1" fillId="22" borderId="0" applyNumberFormat="0" applyBorder="0" applyAlignment="0" applyProtection="0"/>
    <xf numFmtId="0" fontId="14" fillId="23" borderId="0" applyNumberFormat="0" applyBorder="0" applyAlignment="0" applyProtection="0"/>
    <xf numFmtId="0" fontId="1" fillId="9"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cellStyleXfs>
  <cellXfs count="211">
    <xf numFmtId="0" fontId="0" fillId="0" borderId="0" xfId="0">
      <alignment vertical="top"/>
    </xf>
    <xf numFmtId="0" fontId="10" fillId="0" borderId="0" xfId="2">
      <alignment vertical="top"/>
    </xf>
    <xf numFmtId="0" fontId="5" fillId="5" borderId="2" xfId="9" applyAlignment="1">
      <alignment vertical="top"/>
    </xf>
    <xf numFmtId="0" fontId="11" fillId="0" borderId="0" xfId="3">
      <alignment vertical="top"/>
    </xf>
    <xf numFmtId="0" fontId="13" fillId="0" borderId="0" xfId="17">
      <alignment vertical="top"/>
    </xf>
    <xf numFmtId="166" fontId="0" fillId="0" borderId="0" xfId="18" applyFont="1" applyAlignment="1">
      <alignment vertical="top"/>
    </xf>
    <xf numFmtId="0" fontId="13" fillId="0" borderId="0" xfId="17" applyAlignment="1">
      <alignment horizontal="left" vertical="top"/>
    </xf>
    <xf numFmtId="165" fontId="0" fillId="0" borderId="0" xfId="22" applyFont="1" applyAlignment="1">
      <alignment vertical="top"/>
    </xf>
    <xf numFmtId="165" fontId="0" fillId="0" borderId="0" xfId="0" applyNumberFormat="1">
      <alignment vertical="top"/>
    </xf>
    <xf numFmtId="0" fontId="1" fillId="13" borderId="0" xfId="23" applyFill="1" applyAlignment="1">
      <alignment horizontal="left" vertical="top"/>
    </xf>
    <xf numFmtId="0" fontId="1" fillId="15" borderId="0" xfId="23" applyFill="1" applyAlignment="1">
      <alignment horizontal="left" vertical="top"/>
    </xf>
    <xf numFmtId="0" fontId="1" fillId="16" borderId="0" xfId="23" applyFill="1" applyAlignment="1">
      <alignment horizontal="left" vertical="top"/>
    </xf>
    <xf numFmtId="0" fontId="1" fillId="18" borderId="0" xfId="23" applyFill="1" applyAlignment="1">
      <alignment horizontal="left" vertical="top"/>
    </xf>
    <xf numFmtId="0" fontId="1" fillId="0" borderId="0" xfId="23" applyAlignment="1">
      <alignment horizontal="left" vertical="top"/>
    </xf>
    <xf numFmtId="0" fontId="0" fillId="0" borderId="0" xfId="0" applyAlignment="1">
      <alignment horizontal="left" vertical="top" indent="1"/>
    </xf>
    <xf numFmtId="0" fontId="1" fillId="12" borderId="0" xfId="23" applyFill="1" applyAlignment="1">
      <alignment horizontal="left" vertical="top"/>
    </xf>
    <xf numFmtId="0" fontId="1" fillId="14" borderId="0" xfId="23" applyFill="1" applyAlignment="1">
      <alignment horizontal="left" vertical="top"/>
    </xf>
    <xf numFmtId="0" fontId="14" fillId="10" borderId="0" xfId="23" applyFont="1" applyFill="1" applyAlignment="1">
      <alignment horizontal="left" vertical="top"/>
    </xf>
    <xf numFmtId="0" fontId="14" fillId="17" borderId="0" xfId="23" applyFont="1" applyFill="1" applyAlignment="1">
      <alignment horizontal="left" vertical="top"/>
    </xf>
    <xf numFmtId="0" fontId="10" fillId="13" borderId="0" xfId="2" applyFill="1">
      <alignment vertical="top"/>
    </xf>
    <xf numFmtId="0" fontId="13" fillId="0" borderId="0" xfId="17" applyFill="1">
      <alignment vertical="top"/>
    </xf>
    <xf numFmtId="0" fontId="10" fillId="15" borderId="0" xfId="2" applyFill="1">
      <alignment vertical="top"/>
    </xf>
    <xf numFmtId="0" fontId="10" fillId="16" borderId="0" xfId="2" applyFill="1">
      <alignment vertical="top"/>
    </xf>
    <xf numFmtId="0" fontId="10" fillId="18" borderId="0" xfId="2" applyFill="1">
      <alignment vertical="top"/>
    </xf>
    <xf numFmtId="0" fontId="1" fillId="9" borderId="2" xfId="4" applyFont="1" applyFill="1" applyAlignment="1">
      <alignment vertical="top"/>
    </xf>
    <xf numFmtId="0" fontId="10" fillId="12" borderId="0" xfId="2" applyFill="1">
      <alignment vertical="top"/>
    </xf>
    <xf numFmtId="0" fontId="10" fillId="14" borderId="0" xfId="2" applyFill="1">
      <alignment vertical="top"/>
    </xf>
    <xf numFmtId="0" fontId="19" fillId="10" borderId="0" xfId="2" applyFont="1" applyFill="1">
      <alignment vertical="top"/>
    </xf>
    <xf numFmtId="0" fontId="19" fillId="17" borderId="0" xfId="2" applyFont="1" applyFill="1">
      <alignment vertical="top"/>
    </xf>
    <xf numFmtId="0" fontId="0" fillId="0" borderId="0" xfId="18" applyNumberFormat="1" applyFont="1" applyAlignment="1">
      <alignment vertical="top"/>
    </xf>
    <xf numFmtId="0" fontId="0" fillId="0" borderId="0" xfId="0" applyBorder="1">
      <alignment vertical="top"/>
    </xf>
    <xf numFmtId="0" fontId="0" fillId="0" borderId="0" xfId="0" applyNumberFormat="1" applyBorder="1">
      <alignment vertical="top"/>
    </xf>
    <xf numFmtId="0" fontId="13" fillId="0" borderId="0" xfId="17" applyAlignment="1">
      <alignment horizontal="left" vertical="top" indent="1"/>
    </xf>
    <xf numFmtId="0" fontId="13" fillId="0" borderId="0" xfId="17" applyFill="1" applyAlignment="1">
      <alignment horizontal="left" vertical="top" indent="1"/>
    </xf>
    <xf numFmtId="0" fontId="13" fillId="0" borderId="0" xfId="17" applyFill="1" applyAlignment="1">
      <alignment horizontal="left" vertical="top"/>
    </xf>
    <xf numFmtId="0" fontId="1" fillId="18" borderId="0" xfId="28" applyAlignment="1">
      <alignment vertical="top"/>
    </xf>
    <xf numFmtId="0" fontId="1" fillId="16" borderId="0" xfId="27" applyAlignment="1">
      <alignment vertical="top"/>
    </xf>
    <xf numFmtId="0" fontId="1" fillId="13" borderId="0" xfId="26" applyAlignment="1">
      <alignment vertical="top"/>
    </xf>
    <xf numFmtId="0" fontId="22" fillId="0" borderId="0" xfId="29">
      <alignment vertical="top"/>
    </xf>
    <xf numFmtId="0" fontId="1" fillId="0" borderId="0" xfId="24" applyAlignment="1">
      <alignment vertical="top"/>
    </xf>
    <xf numFmtId="165" fontId="0" fillId="0" borderId="0" xfId="22" applyFont="1" applyBorder="1" applyAlignment="1">
      <alignment vertical="top"/>
    </xf>
    <xf numFmtId="0" fontId="5" fillId="5" borderId="2" xfId="9" applyAlignment="1" applyProtection="1">
      <alignment vertical="top"/>
      <protection locked="0"/>
    </xf>
    <xf numFmtId="0" fontId="0" fillId="0" borderId="0" xfId="0" applyProtection="1">
      <alignment vertical="top"/>
      <protection locked="0"/>
    </xf>
    <xf numFmtId="9" fontId="5" fillId="5" borderId="2" xfId="22" applyNumberFormat="1" applyFont="1" applyFill="1" applyBorder="1" applyAlignment="1" applyProtection="1">
      <alignment vertical="top"/>
      <protection locked="0"/>
    </xf>
    <xf numFmtId="0" fontId="10" fillId="0" borderId="0" xfId="2" applyProtection="1">
      <alignment vertical="top"/>
      <protection locked="0"/>
    </xf>
    <xf numFmtId="0" fontId="13" fillId="0" borderId="0" xfId="17" applyProtection="1">
      <alignment vertical="top"/>
      <protection locked="0"/>
    </xf>
    <xf numFmtId="0" fontId="18" fillId="0" borderId="0" xfId="0" applyFont="1" applyProtection="1">
      <alignment vertical="top"/>
      <protection locked="0"/>
    </xf>
    <xf numFmtId="0" fontId="11" fillId="0" borderId="0" xfId="3" applyProtection="1">
      <alignment vertical="top"/>
      <protection locked="0"/>
    </xf>
    <xf numFmtId="166" fontId="0" fillId="0" borderId="0" xfId="18" applyFont="1" applyAlignment="1" applyProtection="1">
      <alignment vertical="top"/>
      <protection locked="0"/>
    </xf>
    <xf numFmtId="166" fontId="0" fillId="0" borderId="0" xfId="0" applyNumberFormat="1" applyProtection="1">
      <alignment vertical="top"/>
      <protection locked="0"/>
    </xf>
    <xf numFmtId="165" fontId="5" fillId="5" borderId="2" xfId="22" applyNumberFormat="1" applyFont="1" applyFill="1" applyBorder="1" applyAlignment="1" applyProtection="1">
      <alignment vertical="top"/>
      <protection locked="0"/>
    </xf>
    <xf numFmtId="165" fontId="0" fillId="0" borderId="0" xfId="22" applyFont="1" applyAlignment="1" applyProtection="1">
      <alignment vertical="top"/>
      <protection locked="0"/>
    </xf>
    <xf numFmtId="0" fontId="0" fillId="0" borderId="0" xfId="0" quotePrefix="1" applyProtection="1">
      <alignment vertical="top"/>
      <protection locked="0"/>
    </xf>
    <xf numFmtId="0" fontId="10" fillId="0" borderId="0" xfId="2" applyProtection="1">
      <alignment vertical="top"/>
    </xf>
    <xf numFmtId="0" fontId="0" fillId="0" borderId="0" xfId="0" applyProtection="1">
      <alignment vertical="top"/>
    </xf>
    <xf numFmtId="165" fontId="0" fillId="0" borderId="0" xfId="22" applyFont="1" applyAlignment="1" applyProtection="1">
      <alignment vertical="top"/>
    </xf>
    <xf numFmtId="166" fontId="0" fillId="0" borderId="0" xfId="18" applyFont="1" applyAlignment="1" applyProtection="1">
      <alignment vertical="top"/>
    </xf>
    <xf numFmtId="0" fontId="11" fillId="0" borderId="2" xfId="3" applyBorder="1" applyProtection="1">
      <alignment vertical="top"/>
    </xf>
    <xf numFmtId="0" fontId="0" fillId="0" borderId="2" xfId="4" applyFont="1" applyProtection="1">
      <alignment vertical="top"/>
    </xf>
    <xf numFmtId="0" fontId="0" fillId="0" borderId="2" xfId="4" applyFont="1" applyFill="1" applyProtection="1">
      <alignment vertical="top"/>
    </xf>
    <xf numFmtId="0" fontId="5" fillId="6" borderId="2" xfId="11" applyAlignment="1" applyProtection="1">
      <alignment vertical="top"/>
    </xf>
    <xf numFmtId="0" fontId="7" fillId="7" borderId="2" xfId="13" applyAlignment="1" applyProtection="1">
      <alignment vertical="top"/>
    </xf>
    <xf numFmtId="0" fontId="0" fillId="0" borderId="0" xfId="0" applyAlignment="1" applyProtection="1">
      <alignment vertical="top"/>
      <protection locked="0"/>
    </xf>
    <xf numFmtId="0" fontId="11" fillId="0" borderId="5" xfId="3" applyBorder="1" applyProtection="1">
      <alignment vertical="top"/>
    </xf>
    <xf numFmtId="0" fontId="0" fillId="0" borderId="7" xfId="4" applyFont="1" applyBorder="1" applyProtection="1">
      <alignment vertical="top"/>
    </xf>
    <xf numFmtId="0" fontId="1" fillId="0" borderId="2" xfId="4" applyFont="1" applyProtection="1">
      <alignment vertical="top"/>
    </xf>
    <xf numFmtId="0" fontId="0" fillId="0" borderId="5" xfId="4" applyFont="1" applyBorder="1" applyProtection="1">
      <alignment vertical="top"/>
    </xf>
    <xf numFmtId="0" fontId="19" fillId="17" borderId="0" xfId="2" applyFont="1" applyFill="1" applyProtection="1">
      <alignment vertical="top"/>
    </xf>
    <xf numFmtId="0" fontId="13" fillId="0" borderId="0" xfId="17" applyProtection="1">
      <alignment vertical="top"/>
    </xf>
    <xf numFmtId="0" fontId="1" fillId="16" borderId="0" xfId="23" applyFill="1" applyAlignment="1" applyProtection="1">
      <alignment horizontal="left"/>
    </xf>
    <xf numFmtId="0" fontId="10" fillId="0" borderId="0" xfId="2" applyAlignment="1" applyProtection="1">
      <alignment vertical="top"/>
    </xf>
    <xf numFmtId="0" fontId="1" fillId="8" borderId="2" xfId="15" applyAlignment="1" applyProtection="1">
      <alignment vertical="top"/>
    </xf>
    <xf numFmtId="166" fontId="1" fillId="8" borderId="2" xfId="15" applyNumberFormat="1" applyAlignment="1" applyProtection="1">
      <alignment vertical="top"/>
    </xf>
    <xf numFmtId="0" fontId="0" fillId="0" borderId="0" xfId="0" applyAlignment="1" applyProtection="1">
      <alignment vertical="top"/>
    </xf>
    <xf numFmtId="0" fontId="10" fillId="14" borderId="0" xfId="2" applyFill="1" applyProtection="1">
      <alignment vertical="top"/>
    </xf>
    <xf numFmtId="0" fontId="16" fillId="0" borderId="2" xfId="4" applyNumberFormat="1" applyFont="1" applyAlignment="1" applyProtection="1">
      <alignment vertical="top"/>
    </xf>
    <xf numFmtId="0" fontId="0" fillId="0" borderId="0" xfId="0" applyAlignment="1" applyProtection="1">
      <alignment vertical="top" wrapText="1"/>
      <protection locked="0"/>
    </xf>
    <xf numFmtId="166" fontId="5" fillId="5" borderId="2" xfId="18" applyFont="1" applyFill="1" applyBorder="1" applyAlignment="1" applyProtection="1">
      <alignment vertical="top"/>
      <protection locked="0"/>
    </xf>
    <xf numFmtId="165" fontId="5" fillId="5" borderId="2" xfId="22" applyFont="1" applyFill="1" applyBorder="1" applyAlignment="1" applyProtection="1">
      <alignment vertical="top"/>
      <protection locked="0"/>
    </xf>
    <xf numFmtId="3" fontId="5" fillId="6" borderId="2" xfId="11" applyNumberFormat="1" applyAlignment="1" applyProtection="1">
      <alignment vertical="top"/>
    </xf>
    <xf numFmtId="166" fontId="5" fillId="6" borderId="2" xfId="11" applyNumberFormat="1" applyAlignment="1" applyProtection="1">
      <alignment vertical="top"/>
    </xf>
    <xf numFmtId="0" fontId="10" fillId="20" borderId="0" xfId="2" applyFill="1" applyProtection="1">
      <alignment vertical="top"/>
    </xf>
    <xf numFmtId="0" fontId="1" fillId="21" borderId="0" xfId="23" applyFill="1" applyAlignment="1" applyProtection="1"/>
    <xf numFmtId="165" fontId="5" fillId="6" borderId="2" xfId="22" applyFont="1" applyFill="1" applyBorder="1" applyAlignment="1" applyProtection="1">
      <alignment vertical="top"/>
    </xf>
    <xf numFmtId="0" fontId="0" fillId="0" borderId="0" xfId="0" applyFill="1" applyBorder="1" applyProtection="1">
      <alignment vertical="top"/>
    </xf>
    <xf numFmtId="3" fontId="1" fillId="8" borderId="2" xfId="19" applyFill="1" applyBorder="1" applyAlignment="1" applyProtection="1">
      <alignment vertical="top"/>
    </xf>
    <xf numFmtId="0" fontId="14" fillId="23" borderId="0" xfId="31" applyAlignment="1">
      <alignment horizontal="left" vertical="top"/>
    </xf>
    <xf numFmtId="0" fontId="10" fillId="23" borderId="0" xfId="2" applyFill="1">
      <alignment vertical="top"/>
    </xf>
    <xf numFmtId="0" fontId="1" fillId="9" borderId="0" xfId="32" applyAlignment="1">
      <alignment vertical="top"/>
    </xf>
    <xf numFmtId="0" fontId="1" fillId="22" borderId="0" xfId="30" applyAlignment="1">
      <alignment vertical="top"/>
    </xf>
    <xf numFmtId="0" fontId="1" fillId="26" borderId="0" xfId="33" applyAlignment="1">
      <alignment vertical="top"/>
    </xf>
    <xf numFmtId="0" fontId="1" fillId="26" borderId="0" xfId="33" applyAlignment="1">
      <alignment horizontal="left" vertical="top" indent="1"/>
    </xf>
    <xf numFmtId="0" fontId="1" fillId="27" borderId="0" xfId="34" applyAlignment="1">
      <alignment vertical="top"/>
    </xf>
    <xf numFmtId="0" fontId="10" fillId="25" borderId="0" xfId="2" applyFill="1">
      <alignment vertical="top"/>
    </xf>
    <xf numFmtId="0" fontId="1" fillId="15" borderId="0" xfId="23" applyFill="1" applyAlignment="1" applyProtection="1"/>
    <xf numFmtId="166" fontId="11" fillId="0" borderId="2" xfId="10" applyNumberFormat="1" applyAlignment="1" applyProtection="1">
      <alignment horizontal="right" vertical="top"/>
    </xf>
    <xf numFmtId="0" fontId="1" fillId="0" borderId="7" xfId="4" applyFont="1" applyBorder="1" applyProtection="1">
      <alignment vertical="top"/>
    </xf>
    <xf numFmtId="3" fontId="5" fillId="5" borderId="2" xfId="19" applyFont="1" applyFill="1" applyBorder="1" applyAlignment="1" applyProtection="1">
      <alignment vertical="top"/>
      <protection locked="0"/>
    </xf>
    <xf numFmtId="165" fontId="5" fillId="6" borderId="2" xfId="11" applyNumberFormat="1" applyAlignment="1" applyProtection="1">
      <alignment vertical="top"/>
    </xf>
    <xf numFmtId="0" fontId="0" fillId="0" borderId="0" xfId="0" applyNumberFormat="1" applyProtection="1">
      <alignment vertical="top"/>
    </xf>
    <xf numFmtId="0" fontId="0" fillId="0" borderId="2" xfId="4" applyFont="1">
      <alignment vertical="top"/>
    </xf>
    <xf numFmtId="0" fontId="0" fillId="0" borderId="0" xfId="0" quotePrefix="1">
      <alignment vertical="top"/>
    </xf>
    <xf numFmtId="0" fontId="11" fillId="0" borderId="2" xfId="10" applyNumberFormat="1" applyAlignment="1">
      <alignment vertical="top"/>
    </xf>
    <xf numFmtId="166" fontId="11" fillId="0" borderId="2" xfId="18" applyFont="1" applyBorder="1" applyAlignment="1">
      <alignment vertical="top"/>
    </xf>
    <xf numFmtId="3" fontId="11" fillId="0" borderId="2" xfId="19" applyFont="1" applyBorder="1" applyAlignment="1">
      <alignment vertical="top"/>
    </xf>
    <xf numFmtId="165" fontId="11" fillId="0" borderId="2" xfId="10" applyNumberFormat="1" applyAlignment="1">
      <alignment vertical="top"/>
    </xf>
    <xf numFmtId="0" fontId="5" fillId="6" borderId="2" xfId="11" applyAlignment="1" applyProtection="1">
      <alignment vertical="top"/>
      <protection locked="0"/>
    </xf>
    <xf numFmtId="0" fontId="1" fillId="8" borderId="2" xfId="15" applyAlignment="1">
      <alignment vertical="top"/>
    </xf>
    <xf numFmtId="0" fontId="5" fillId="6" borderId="2" xfId="11" applyAlignment="1">
      <alignment vertical="top"/>
    </xf>
    <xf numFmtId="166" fontId="11" fillId="0" borderId="2" xfId="10" applyNumberFormat="1" applyAlignment="1">
      <alignment vertical="top"/>
    </xf>
    <xf numFmtId="0" fontId="1" fillId="24" borderId="0" xfId="35" applyAlignment="1">
      <alignment vertical="top"/>
    </xf>
    <xf numFmtId="0" fontId="19" fillId="29" borderId="0" xfId="24" applyFont="1" applyFill="1" applyProtection="1">
      <alignment vertical="top"/>
    </xf>
    <xf numFmtId="0" fontId="19" fillId="29" borderId="0" xfId="2" applyFont="1" applyFill="1">
      <alignment vertical="top"/>
    </xf>
    <xf numFmtId="0" fontId="14" fillId="29" borderId="0" xfId="0" applyFont="1" applyFill="1">
      <alignment vertical="top"/>
    </xf>
    <xf numFmtId="0" fontId="10" fillId="30" borderId="0" xfId="2" applyFill="1">
      <alignment vertical="top"/>
    </xf>
    <xf numFmtId="0" fontId="1" fillId="30" borderId="0" xfId="23" applyFill="1" applyAlignment="1" applyProtection="1"/>
    <xf numFmtId="0" fontId="1" fillId="21" borderId="0" xfId="23" applyFill="1" applyAlignment="1">
      <alignment horizontal="left" vertical="top"/>
    </xf>
    <xf numFmtId="0" fontId="1" fillId="30" borderId="0" xfId="23" applyFill="1" applyAlignment="1">
      <alignment horizontal="left" vertical="top"/>
    </xf>
    <xf numFmtId="0" fontId="14" fillId="29" borderId="0" xfId="23" applyFont="1" applyFill="1" applyAlignment="1">
      <alignment horizontal="left" vertical="top"/>
    </xf>
    <xf numFmtId="0" fontId="10" fillId="19" borderId="0" xfId="2" applyFill="1" applyProtection="1">
      <alignment vertical="top"/>
    </xf>
    <xf numFmtId="0" fontId="1" fillId="28" borderId="0" xfId="36" applyAlignment="1" applyProtection="1"/>
    <xf numFmtId="0" fontId="0" fillId="0" borderId="0" xfId="0" applyFill="1">
      <alignment vertical="top"/>
    </xf>
    <xf numFmtId="0" fontId="0" fillId="0" borderId="6" xfId="4" applyFont="1" applyBorder="1">
      <alignment vertical="top"/>
    </xf>
    <xf numFmtId="0" fontId="0" fillId="0" borderId="7" xfId="4" applyFont="1" applyBorder="1">
      <alignment vertical="top"/>
    </xf>
    <xf numFmtId="0" fontId="5" fillId="6" borderId="2" xfId="11" applyBorder="1" applyAlignment="1">
      <alignment vertical="top"/>
    </xf>
    <xf numFmtId="0" fontId="5" fillId="6" borderId="2" xfId="11" applyNumberFormat="1" applyBorder="1" applyAlignment="1">
      <alignment vertical="top"/>
    </xf>
    <xf numFmtId="0" fontId="0" fillId="0" borderId="5" xfId="4" applyFont="1" applyBorder="1">
      <alignment vertical="top"/>
    </xf>
    <xf numFmtId="0" fontId="0" fillId="0" borderId="0" xfId="0" applyNumberFormat="1" applyProtection="1">
      <alignment vertical="top"/>
      <protection locked="0"/>
    </xf>
    <xf numFmtId="12" fontId="11" fillId="0" borderId="2" xfId="10" applyNumberFormat="1" applyAlignment="1" applyProtection="1">
      <alignment horizontal="right" vertical="top"/>
    </xf>
    <xf numFmtId="165" fontId="11" fillId="0" borderId="2" xfId="10" applyNumberFormat="1" applyAlignment="1" applyProtection="1">
      <alignment horizontal="right" vertical="top"/>
    </xf>
    <xf numFmtId="166" fontId="11" fillId="0" borderId="2" xfId="18" applyFont="1" applyBorder="1" applyAlignment="1" applyProtection="1">
      <alignment horizontal="right" vertical="top"/>
    </xf>
    <xf numFmtId="0" fontId="0" fillId="0" borderId="2" xfId="4" applyFont="1" applyProtection="1">
      <alignment vertical="top"/>
      <protection locked="0"/>
    </xf>
    <xf numFmtId="3" fontId="11" fillId="0" borderId="2" xfId="19" applyFont="1" applyBorder="1" applyAlignment="1" applyProtection="1">
      <alignment horizontal="right" vertical="top"/>
    </xf>
    <xf numFmtId="0" fontId="11" fillId="0" borderId="2" xfId="10" applyNumberFormat="1" applyAlignment="1" applyProtection="1">
      <alignment vertical="top"/>
      <protection locked="0"/>
    </xf>
    <xf numFmtId="165" fontId="11" fillId="0" borderId="2" xfId="10" applyNumberFormat="1" applyAlignment="1" applyProtection="1">
      <alignment vertical="top"/>
      <protection locked="0"/>
    </xf>
    <xf numFmtId="166" fontId="11" fillId="0" borderId="2" xfId="10" applyNumberFormat="1" applyAlignment="1" applyProtection="1">
      <alignment vertical="top"/>
      <protection locked="0"/>
    </xf>
    <xf numFmtId="3" fontId="11" fillId="0" borderId="2" xfId="19" applyFont="1" applyBorder="1" applyAlignment="1" applyProtection="1">
      <alignment vertical="top"/>
      <protection locked="0"/>
    </xf>
    <xf numFmtId="165" fontId="11" fillId="0" borderId="2" xfId="22" applyFont="1" applyBorder="1" applyAlignment="1" applyProtection="1">
      <alignment vertical="top"/>
      <protection locked="0"/>
    </xf>
    <xf numFmtId="166" fontId="11" fillId="0" borderId="2" xfId="18" applyFont="1" applyBorder="1" applyAlignment="1" applyProtection="1">
      <alignment vertical="top"/>
      <protection locked="0"/>
    </xf>
    <xf numFmtId="0" fontId="0" fillId="0" borderId="0" xfId="0" applyBorder="1" applyProtection="1">
      <alignment vertical="top"/>
    </xf>
    <xf numFmtId="166" fontId="1" fillId="8" borderId="4" xfId="15" applyNumberFormat="1" applyBorder="1" applyAlignment="1" applyProtection="1">
      <alignment vertical="top"/>
    </xf>
    <xf numFmtId="0" fontId="7" fillId="11" borderId="8" xfId="0" applyFont="1" applyFill="1" applyBorder="1">
      <alignment vertical="top"/>
    </xf>
    <xf numFmtId="0" fontId="10" fillId="0" borderId="2" xfId="2" applyBorder="1">
      <alignment vertical="top"/>
    </xf>
    <xf numFmtId="165" fontId="11" fillId="0" borderId="2" xfId="10" applyNumberFormat="1" applyAlignment="1">
      <alignment horizontal="right" vertical="top"/>
    </xf>
    <xf numFmtId="166" fontId="11" fillId="0" borderId="2" xfId="18" applyFont="1" applyBorder="1" applyAlignment="1">
      <alignment horizontal="right" vertical="top"/>
    </xf>
    <xf numFmtId="165" fontId="11" fillId="0" borderId="2" xfId="22" applyFont="1" applyBorder="1" applyAlignment="1">
      <alignment horizontal="right" vertical="top"/>
    </xf>
    <xf numFmtId="166" fontId="11" fillId="0" borderId="0" xfId="18" applyFont="1" applyBorder="1" applyAlignment="1">
      <alignment horizontal="right" vertical="top"/>
    </xf>
    <xf numFmtId="165" fontId="11" fillId="0" borderId="0" xfId="22" applyFont="1" applyBorder="1" applyAlignment="1">
      <alignment horizontal="right" vertical="top"/>
    </xf>
    <xf numFmtId="0" fontId="7" fillId="7" borderId="2" xfId="13" applyAlignment="1">
      <alignment vertical="top"/>
    </xf>
    <xf numFmtId="0" fontId="5" fillId="0" borderId="2" xfId="24" applyFont="1" applyBorder="1" applyAlignment="1">
      <alignment vertical="top"/>
    </xf>
    <xf numFmtId="165" fontId="5" fillId="6" borderId="2" xfId="22" applyFont="1" applyFill="1" applyBorder="1" applyAlignment="1">
      <alignment vertical="top"/>
    </xf>
    <xf numFmtId="166" fontId="0" fillId="0" borderId="0" xfId="18" applyNumberFormat="1" applyFont="1" applyAlignment="1" applyProtection="1">
      <alignment vertical="top"/>
      <protection locked="0"/>
    </xf>
    <xf numFmtId="0" fontId="1" fillId="0" borderId="4" xfId="23" applyBorder="1" applyAlignment="1">
      <alignment vertical="top"/>
    </xf>
    <xf numFmtId="0" fontId="1" fillId="0" borderId="9" xfId="23" applyBorder="1" applyAlignment="1">
      <alignment vertical="top"/>
    </xf>
    <xf numFmtId="0" fontId="1" fillId="0" borderId="10" xfId="23" applyBorder="1" applyAlignment="1">
      <alignment vertical="top"/>
    </xf>
    <xf numFmtId="0" fontId="0" fillId="0" borderId="0" xfId="24" applyFont="1" applyBorder="1">
      <alignment vertical="top"/>
    </xf>
    <xf numFmtId="166" fontId="5" fillId="6" borderId="2" xfId="18" applyFont="1" applyFill="1" applyBorder="1" applyAlignment="1">
      <alignment vertical="top"/>
    </xf>
    <xf numFmtId="166" fontId="5" fillId="0" borderId="2" xfId="18" applyFont="1" applyBorder="1" applyAlignment="1">
      <alignment vertical="top"/>
    </xf>
    <xf numFmtId="9" fontId="0" fillId="0" borderId="0" xfId="0" applyNumberFormat="1">
      <alignment vertical="top"/>
    </xf>
    <xf numFmtId="0" fontId="0" fillId="0" borderId="0" xfId="0" applyAlignment="1">
      <alignment vertical="top"/>
    </xf>
    <xf numFmtId="165" fontId="11" fillId="0" borderId="2" xfId="22" applyFont="1" applyBorder="1" applyAlignment="1">
      <alignment vertical="top"/>
    </xf>
    <xf numFmtId="0" fontId="0" fillId="0" borderId="0" xfId="0" applyFont="1">
      <alignment vertical="top"/>
    </xf>
    <xf numFmtId="0" fontId="17" fillId="0" borderId="0" xfId="0" applyFont="1">
      <alignment vertical="top"/>
    </xf>
    <xf numFmtId="166" fontId="17" fillId="0" borderId="0" xfId="18" applyFont="1" applyAlignment="1">
      <alignment vertical="top"/>
    </xf>
    <xf numFmtId="0" fontId="0" fillId="0" borderId="0" xfId="0" quotePrefix="1" applyFont="1">
      <alignment vertical="top"/>
    </xf>
    <xf numFmtId="9" fontId="0" fillId="0" borderId="0" xfId="0" applyNumberFormat="1" applyFont="1">
      <alignment vertical="top"/>
    </xf>
    <xf numFmtId="166" fontId="1" fillId="0" borderId="0" xfId="18" applyFont="1" applyAlignment="1">
      <alignment vertical="top"/>
    </xf>
    <xf numFmtId="165" fontId="1" fillId="0" borderId="0" xfId="22" applyFont="1" applyAlignment="1">
      <alignment vertical="top"/>
    </xf>
    <xf numFmtId="169" fontId="0" fillId="0" borderId="0" xfId="18" applyNumberFormat="1" applyFont="1" applyAlignment="1" applyProtection="1">
      <alignment vertical="top"/>
      <protection locked="0"/>
    </xf>
    <xf numFmtId="169" fontId="0" fillId="0" borderId="0" xfId="0" applyNumberFormat="1" applyProtection="1">
      <alignment vertical="top"/>
      <protection locked="0"/>
    </xf>
    <xf numFmtId="166" fontId="0" fillId="0" borderId="0" xfId="0" applyNumberFormat="1" applyFont="1">
      <alignment vertical="top"/>
    </xf>
    <xf numFmtId="3" fontId="5" fillId="5" borderId="2" xfId="18" applyNumberFormat="1" applyFont="1" applyFill="1" applyBorder="1" applyAlignment="1" applyProtection="1">
      <alignment vertical="top"/>
      <protection locked="0"/>
    </xf>
    <xf numFmtId="3" fontId="11" fillId="0" borderId="2" xfId="10" applyNumberFormat="1" applyAlignment="1">
      <alignment vertical="top"/>
    </xf>
    <xf numFmtId="0" fontId="0" fillId="0" borderId="9" xfId="0" applyBorder="1">
      <alignment vertical="top"/>
    </xf>
    <xf numFmtId="0" fontId="11" fillId="0" borderId="2" xfId="10" applyNumberFormat="1" applyBorder="1" applyAlignment="1">
      <alignment vertical="top"/>
    </xf>
    <xf numFmtId="0" fontId="0" fillId="0" borderId="0" xfId="0" applyFill="1" applyBorder="1">
      <alignment vertical="top"/>
    </xf>
    <xf numFmtId="0" fontId="0" fillId="0" borderId="4" xfId="0" applyBorder="1">
      <alignment vertical="top"/>
    </xf>
    <xf numFmtId="0" fontId="5" fillId="6" borderId="2" xfId="11" applyNumberFormat="1" applyAlignment="1" applyProtection="1">
      <alignment vertical="top"/>
      <protection locked="0"/>
    </xf>
    <xf numFmtId="166" fontId="0" fillId="0" borderId="2" xfId="4" applyNumberFormat="1" applyFont="1" applyAlignment="1" applyProtection="1">
      <alignment vertical="top"/>
      <protection locked="0"/>
    </xf>
    <xf numFmtId="0" fontId="0" fillId="0" borderId="2" xfId="4" applyFont="1" applyAlignment="1" applyProtection="1">
      <alignment vertical="top"/>
      <protection locked="0"/>
    </xf>
    <xf numFmtId="0" fontId="0" fillId="0" borderId="2" xfId="4" applyNumberFormat="1" applyFont="1" applyAlignment="1" applyProtection="1">
      <alignment vertical="top"/>
      <protection locked="0"/>
    </xf>
    <xf numFmtId="0" fontId="0" fillId="0" borderId="0" xfId="0" applyAlignment="1">
      <alignment vertical="top" wrapText="1"/>
    </xf>
    <xf numFmtId="0" fontId="0" fillId="0" borderId="2" xfId="4" applyFont="1" applyFill="1" applyAlignment="1" applyProtection="1">
      <alignment vertical="top"/>
      <protection locked="0"/>
    </xf>
    <xf numFmtId="0" fontId="0" fillId="0" borderId="2" xfId="4" applyFont="1" applyAlignment="1">
      <alignment vertical="top"/>
    </xf>
    <xf numFmtId="166" fontId="0" fillId="0" borderId="2" xfId="4" applyNumberFormat="1" applyFont="1" applyAlignment="1" applyProtection="1">
      <alignment vertical="top"/>
    </xf>
    <xf numFmtId="0" fontId="0" fillId="0" borderId="0" xfId="0" applyNumberFormat="1" applyAlignment="1" applyProtection="1">
      <alignment vertical="top"/>
      <protection locked="0"/>
    </xf>
    <xf numFmtId="166" fontId="0" fillId="0" borderId="0" xfId="0" applyNumberFormat="1" applyAlignment="1" applyProtection="1">
      <alignment vertical="top"/>
    </xf>
    <xf numFmtId="0" fontId="0" fillId="0" borderId="0" xfId="0" quotePrefix="1" applyAlignment="1">
      <alignment vertical="top"/>
    </xf>
    <xf numFmtId="0" fontId="0" fillId="0" borderId="0" xfId="0" applyNumberFormat="1">
      <alignment vertical="top"/>
    </xf>
    <xf numFmtId="166" fontId="5" fillId="6" borderId="2" xfId="11" applyNumberFormat="1" applyAlignment="1" applyProtection="1">
      <alignment vertical="top"/>
      <protection locked="0"/>
    </xf>
    <xf numFmtId="0" fontId="5" fillId="6" borderId="2" xfId="18" applyNumberFormat="1" applyFont="1" applyFill="1" applyBorder="1" applyAlignment="1" applyProtection="1">
      <alignment vertical="top"/>
      <protection locked="0"/>
    </xf>
    <xf numFmtId="165" fontId="5" fillId="6" borderId="2" xfId="11" applyNumberFormat="1" applyAlignment="1" applyProtection="1">
      <alignment vertical="top"/>
      <protection locked="0"/>
    </xf>
    <xf numFmtId="0" fontId="0" fillId="0" borderId="0" xfId="18" applyNumberFormat="1" applyFont="1" applyAlignment="1" applyProtection="1">
      <alignment vertical="top"/>
      <protection locked="0"/>
    </xf>
    <xf numFmtId="0" fontId="0" fillId="0" borderId="5" xfId="4" applyFont="1" applyBorder="1" applyAlignment="1" applyProtection="1">
      <alignment vertical="top"/>
      <protection locked="0"/>
    </xf>
    <xf numFmtId="0" fontId="0" fillId="0" borderId="5" xfId="4" applyFont="1" applyBorder="1" applyProtection="1">
      <alignment vertical="top"/>
      <protection locked="0"/>
    </xf>
    <xf numFmtId="0" fontId="0" fillId="0" borderId="7" xfId="4" applyFont="1" applyBorder="1" applyProtection="1">
      <alignment vertical="top"/>
      <protection locked="0"/>
    </xf>
    <xf numFmtId="0" fontId="0" fillId="0" borderId="2" xfId="4" applyFont="1" applyBorder="1">
      <alignment vertical="top"/>
    </xf>
    <xf numFmtId="0" fontId="0" fillId="0" borderId="2" xfId="4" applyFont="1" applyBorder="1" applyProtection="1">
      <alignment vertical="top"/>
      <protection locked="0"/>
    </xf>
    <xf numFmtId="0" fontId="5" fillId="5" borderId="2" xfId="9" applyBorder="1" applyAlignment="1" applyProtection="1">
      <alignment vertical="top"/>
      <protection locked="0"/>
    </xf>
    <xf numFmtId="0" fontId="5" fillId="5" borderId="4" xfId="9" applyBorder="1" applyAlignment="1" applyProtection="1">
      <alignment vertical="top"/>
      <protection locked="0"/>
    </xf>
    <xf numFmtId="0" fontId="11" fillId="0" borderId="5" xfId="10" applyNumberFormat="1" applyBorder="1" applyAlignment="1" applyProtection="1">
      <alignment vertical="top"/>
      <protection locked="0"/>
    </xf>
    <xf numFmtId="0" fontId="11" fillId="0" borderId="6" xfId="10" applyNumberFormat="1" applyBorder="1" applyAlignment="1" applyProtection="1">
      <alignment vertical="top"/>
      <protection locked="0"/>
    </xf>
    <xf numFmtId="0" fontId="11" fillId="0" borderId="7" xfId="10" applyNumberFormat="1" applyBorder="1" applyAlignment="1" applyProtection="1">
      <alignment vertical="top"/>
      <protection locked="0"/>
    </xf>
    <xf numFmtId="0" fontId="0" fillId="0" borderId="2" xfId="4" applyFont="1" applyFill="1">
      <alignment vertical="top"/>
    </xf>
    <xf numFmtId="166" fontId="5" fillId="6" borderId="2" xfId="11" applyNumberFormat="1" applyAlignment="1">
      <alignment vertical="top"/>
    </xf>
    <xf numFmtId="3" fontId="5" fillId="6" borderId="2" xfId="11" applyNumberFormat="1" applyAlignment="1">
      <alignment vertical="top"/>
    </xf>
    <xf numFmtId="0" fontId="16" fillId="0" borderId="2" xfId="3" applyFont="1" applyBorder="1">
      <alignment vertical="top"/>
    </xf>
    <xf numFmtId="0" fontId="23" fillId="31" borderId="2" xfId="10" applyNumberFormat="1" applyFont="1" applyFill="1" applyAlignment="1">
      <alignment vertical="top"/>
    </xf>
    <xf numFmtId="0" fontId="11" fillId="5" borderId="2" xfId="3" applyFill="1" applyBorder="1">
      <alignment vertical="top"/>
    </xf>
    <xf numFmtId="0" fontId="11" fillId="0" borderId="0" xfId="5" applyProtection="1">
      <alignment horizontal="centerContinuous" vertical="top" wrapText="1"/>
      <protection locked="0"/>
    </xf>
    <xf numFmtId="0" fontId="1" fillId="18" borderId="0" xfId="23" applyFill="1" applyAlignment="1" applyProtection="1">
      <alignment horizontal="left"/>
    </xf>
  </cellXfs>
  <cellStyles count="37">
    <cellStyle name="20% - Accent1" xfId="30" builtinId="30"/>
    <cellStyle name="20% - Accent2" xfId="35" builtinId="34"/>
    <cellStyle name="20% - Accent3" xfId="32" builtinId="38"/>
    <cellStyle name="20% - Accent4" xfId="33" builtinId="42"/>
    <cellStyle name="20% - Accent5" xfId="34" builtinId="46"/>
    <cellStyle name="40% - Accent6" xfId="36" builtinId="51"/>
    <cellStyle name="60% - Accent1" xfId="26" builtinId="32"/>
    <cellStyle name="60% - Accent4" xfId="27" builtinId="44"/>
    <cellStyle name="60% - Accent5" xfId="28" builtinId="48"/>
    <cellStyle name="Accent2" xfId="31" builtinId="33"/>
    <cellStyle name="Accent6" xfId="25" builtinId="49" customBuiltin="1"/>
    <cellStyle name="Bad" xfId="7" builtinId="27" hidden="1"/>
    <cellStyle name="Calculation" xfId="11" builtinId="22" customBuiltin="1"/>
    <cellStyle name="Check Cell" xfId="13" builtinId="23" customBuiltin="1"/>
    <cellStyle name="Comma" xfId="18" builtinId="3" customBuiltin="1"/>
    <cellStyle name="Comma [0]" xfId="19" builtinId="6" customBuiltin="1"/>
    <cellStyle name="Currency" xfId="20" builtinId="4" customBuiltin="1"/>
    <cellStyle name="Currency [0]" xfId="21" builtinId="7" customBuiltin="1"/>
    <cellStyle name="Explanatory Text" xfId="17" builtinId="53" customBuiltin="1"/>
    <cellStyle name="Good" xfId="6" builtinId="26" hidden="1"/>
    <cellStyle name="Heading 1" xfId="2" builtinId="16" customBuiltin="1"/>
    <cellStyle name="Heading 2" xfId="3" builtinId="17" customBuiltin="1"/>
    <cellStyle name="Heading 3" xfId="4" builtinId="18" customBuiltin="1"/>
    <cellStyle name="Heading 4" xfId="5" builtinId="19" customBuiltin="1"/>
    <cellStyle name="Hyperlink" xfId="29" builtinId="8"/>
    <cellStyle name="Input" xfId="9" builtinId="20" customBuiltin="1"/>
    <cellStyle name="Linked Cell" xfId="12" builtinId="24" hidden="1"/>
    <cellStyle name="Neutral" xfId="8" builtinId="28" hidden="1"/>
    <cellStyle name="Normal" xfId="0" builtinId="0" customBuiltin="1"/>
    <cellStyle name="Normal Fill" xfId="24" xr:uid="{F8B51D0D-85A6-44BC-88ED-53A39908D51E}"/>
    <cellStyle name="Normal Font" xfId="23" xr:uid="{38BB73A8-EBB3-49D5-98B5-B3C1275E03C2}"/>
    <cellStyle name="Note" xfId="15" builtinId="10" customBuiltin="1"/>
    <cellStyle name="Output" xfId="10" builtinId="21" customBuiltin="1"/>
    <cellStyle name="Percent" xfId="22" builtinId="5" customBuiltin="1"/>
    <cellStyle name="Title" xfId="1" builtinId="15" hidden="1" customBuiltin="1"/>
    <cellStyle name="Total" xfId="16" builtinId="25" customBuiltin="1"/>
    <cellStyle name="Warning Text" xfId="14" builtinId="11" hidden="1"/>
  </cellStyles>
  <dxfs count="354">
    <dxf>
      <font>
        <color rgb="FF006100"/>
      </font>
      <fill>
        <patternFill>
          <bgColor rgb="FFC6EFCE"/>
        </patternFill>
      </fill>
    </dxf>
    <dxf>
      <font>
        <color rgb="FF006100"/>
      </font>
      <fill>
        <patternFill>
          <bgColor rgb="FFC6EFCE"/>
        </patternFill>
      </fill>
    </dxf>
    <dxf>
      <border>
        <left/>
        <right/>
        <bottom/>
        <vertical/>
        <horizontal/>
      </border>
    </dxf>
    <dxf>
      <font>
        <color rgb="FF9C0006"/>
      </font>
      <fill>
        <patternFill>
          <bgColor rgb="FFFFC7CE"/>
        </patternFill>
      </fill>
    </dxf>
    <dxf>
      <font>
        <color rgb="FF9C0006"/>
      </font>
      <fill>
        <patternFill>
          <bgColor rgb="FFFFC7CE"/>
        </patternFill>
      </fill>
    </dxf>
    <dxf>
      <font>
        <color theme="0"/>
      </font>
      <fill>
        <patternFill patternType="none">
          <bgColor auto="1"/>
        </patternFill>
      </fill>
      <border>
        <left/>
        <right/>
        <bottom/>
        <vertical/>
        <horizontal/>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FF0000"/>
        </patternFill>
      </fill>
    </dxf>
    <dxf>
      <fill>
        <patternFill>
          <bgColor theme="0"/>
        </patternFill>
      </fill>
    </dxf>
    <dxf>
      <font>
        <b/>
        <i val="0"/>
        <color theme="0"/>
      </font>
      <fill>
        <patternFill>
          <bgColor rgb="FFFF0000"/>
        </patternFill>
      </fill>
    </dxf>
    <dxf>
      <font>
        <b/>
        <i val="0"/>
        <color theme="0"/>
      </font>
      <fill>
        <patternFill>
          <bgColor rgb="FFFF00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diagonalUp="0" diagonalDown="0">
        <left style="thin">
          <color theme="0" tint="-0.24994659260841701"/>
        </left>
        <right style="thin">
          <color theme="0" tint="-0.24994659260841701"/>
        </right>
        <top/>
        <bottom/>
        <vertical style="thin">
          <color theme="0" tint="-0.24994659260841701"/>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numFmt numFmtId="0" formatCode="General"/>
    </dxf>
    <dxf>
      <numFmt numFmtId="0" formatCode="General"/>
    </dxf>
    <dxf>
      <border outline="0">
        <top style="thin">
          <color theme="4" tint="0.39994506668294322"/>
        </top>
      </border>
    </dxf>
    <dxf>
      <border outline="0">
        <bottom style="thin">
          <color theme="4" tint="0.39994506668294322"/>
        </bottom>
      </border>
    </dxf>
    <dxf>
      <font>
        <b/>
        <i val="0"/>
        <strike val="0"/>
        <condense val="0"/>
        <extend val="0"/>
        <outline val="0"/>
        <shadow val="0"/>
        <u val="none"/>
        <vertAlign val="baseline"/>
        <sz val="11"/>
        <color theme="0"/>
        <name val="Tw Cen MT"/>
        <family val="2"/>
        <scheme val="minor"/>
      </font>
      <fill>
        <patternFill patternType="solid">
          <fgColor indexed="64"/>
          <bgColor theme="4"/>
        </patternFill>
      </fill>
      <border diagonalUp="0" diagonalDown="0" outline="0">
        <left style="thin">
          <color theme="4" tint="0.39994506668294322"/>
        </left>
        <right style="thin">
          <color theme="4" tint="0.39994506668294322"/>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dxf>
    <dxf>
      <numFmt numFmtId="0" formatCode="General"/>
    </dxf>
    <dxf>
      <numFmt numFmtId="0" formatCode="General"/>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0" formatCode="General"/>
      <protection locked="1" hidden="0"/>
    </dxf>
    <dxf>
      <numFmt numFmtId="165" formatCode="0.000%"/>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0" formatCode="General"/>
      <border>
        <left style="thin">
          <color theme="0" tint="-0.24994659260841701"/>
        </left>
      </border>
      <protection locked="1" hidden="0"/>
    </dxf>
    <dxf>
      <protection locked="1" hidden="0"/>
    </dxf>
    <dxf>
      <numFmt numFmtId="0" formatCode="General"/>
      <border>
        <right style="thin">
          <color theme="0" tint="-0.24994659260841701"/>
        </right>
      </border>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protection locked="1" hidden="0"/>
    </dxf>
    <dxf>
      <protection locked="1" hidden="0"/>
    </dxf>
    <dxf>
      <numFmt numFmtId="0" formatCode="General"/>
      <border>
        <left style="thin">
          <color theme="0" tint="-0.24994659260841701"/>
        </left>
      </border>
      <protection locked="1" hidden="0"/>
    </dxf>
    <dxf>
      <numFmt numFmtId="3" formatCode="#,##0"/>
      <protection locked="1" hidden="0"/>
    </dxf>
    <dxf>
      <numFmt numFmtId="0" formatCode="General"/>
      <border>
        <right style="thin">
          <color theme="0" tint="-0.24994659260841701"/>
        </right>
      </border>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protection locked="1" hidden="0"/>
    </dxf>
    <dxf>
      <protection locked="1" hidden="0"/>
    </dxf>
    <dxf>
      <numFmt numFmtId="0" formatCode="General"/>
      <border>
        <left style="thin">
          <color theme="0" tint="-0.24994659260841701"/>
        </left>
      </border>
      <protection locked="1" hidden="0"/>
    </dxf>
    <dxf>
      <numFmt numFmtId="166" formatCode="#,##0.000"/>
      <protection locked="1" hidden="0"/>
    </dxf>
    <dxf>
      <numFmt numFmtId="0" formatCode="General"/>
      <border>
        <right style="thin">
          <color theme="0" tint="-0.24994659260841701"/>
        </right>
      </border>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protection locked="1" hidden="0"/>
    </dxf>
    <dxf>
      <protection locked="1" hidden="0"/>
    </dxf>
    <dxf>
      <fill>
        <patternFill>
          <bgColor theme="3" tint="0.79998168889431442"/>
        </patternFill>
      </fill>
    </dxf>
    <dxf>
      <fill>
        <patternFill>
          <bgColor theme="3" tint="0.79998168889431442"/>
        </patternFill>
      </fill>
    </dxf>
    <dxf>
      <fill>
        <patternFill patternType="none">
          <bgColor auto="1"/>
        </patternFill>
      </fill>
      <border>
        <left style="thick">
          <color theme="3" tint="-0.24994659260841701"/>
        </left>
      </border>
    </dxf>
    <dxf>
      <font>
        <b/>
        <i val="0"/>
        <color theme="0"/>
      </font>
      <fill>
        <patternFill>
          <bgColor theme="3"/>
        </patternFill>
      </fill>
    </dxf>
    <dxf>
      <border>
        <top style="thick">
          <color theme="3" tint="-0.24994659260841701"/>
        </top>
      </border>
    </dxf>
    <dxf>
      <font>
        <b/>
        <i val="0"/>
        <color theme="0"/>
      </font>
      <fill>
        <patternFill>
          <bgColor theme="3"/>
        </patternFill>
      </fill>
    </dxf>
    <dxf>
      <border>
        <left style="thin">
          <color theme="3" tint="0.39994506668294322"/>
        </left>
        <right style="thin">
          <color theme="3" tint="0.39994506668294322"/>
        </right>
        <top style="thin">
          <color theme="3" tint="0.39994506668294322"/>
        </top>
        <bottom style="thin">
          <color theme="3" tint="0.39994506668294322"/>
        </bottom>
        <vertical style="thin">
          <color theme="3" tint="0.39994506668294322"/>
        </vertical>
        <horizontal style="thin">
          <color theme="3" tint="0.39994506668294322"/>
        </horizontal>
      </border>
    </dxf>
    <dxf>
      <fill>
        <patternFill>
          <bgColor theme="9" tint="0.79998168889431442"/>
        </patternFill>
      </fill>
    </dxf>
    <dxf>
      <fill>
        <patternFill>
          <bgColor theme="9" tint="0.79998168889431442"/>
        </patternFill>
      </fill>
    </dxf>
    <dxf>
      <fill>
        <patternFill patternType="none">
          <bgColor auto="1"/>
        </patternFill>
      </fill>
      <border>
        <left style="thick">
          <color theme="9" tint="-0.24994659260841701"/>
        </left>
      </border>
    </dxf>
    <dxf>
      <font>
        <b/>
        <i val="0"/>
        <color theme="0"/>
      </font>
      <fill>
        <patternFill>
          <bgColor theme="9"/>
        </patternFill>
      </fill>
    </dxf>
    <dxf>
      <border>
        <top style="thick">
          <color theme="9" tint="-0.24994659260841701"/>
        </top>
      </border>
    </dxf>
    <dxf>
      <font>
        <b/>
        <i val="0"/>
        <color theme="0"/>
      </font>
      <fill>
        <patternFill>
          <bgColor theme="9"/>
        </patternFill>
      </fill>
    </dxf>
    <dxf>
      <border>
        <left style="thin">
          <color theme="9" tint="0.39994506668294322"/>
        </left>
        <right style="thin">
          <color theme="9" tint="0.39994506668294322"/>
        </right>
        <top style="thin">
          <color theme="9" tint="0.39994506668294322"/>
        </top>
        <bottom style="thin">
          <color theme="9" tint="0.39994506668294322"/>
        </bottom>
        <vertical style="thin">
          <color theme="9" tint="0.39994506668294322"/>
        </vertical>
        <horizontal style="thin">
          <color theme="9" tint="0.39994506668294322"/>
        </horizontal>
      </border>
    </dxf>
    <dxf>
      <fill>
        <patternFill>
          <bgColor theme="8" tint="0.79998168889431442"/>
        </patternFill>
      </fill>
    </dxf>
    <dxf>
      <fill>
        <patternFill>
          <bgColor theme="8" tint="0.79998168889431442"/>
        </patternFill>
      </fill>
    </dxf>
    <dxf>
      <fill>
        <patternFill patternType="none">
          <bgColor auto="1"/>
        </patternFill>
      </fill>
      <border>
        <left style="thick">
          <color theme="8" tint="-0.24994659260841701"/>
        </left>
      </border>
    </dxf>
    <dxf>
      <font>
        <b/>
        <i val="0"/>
        <color theme="0"/>
      </font>
      <fill>
        <patternFill>
          <bgColor theme="8"/>
        </patternFill>
      </fill>
    </dxf>
    <dxf>
      <border>
        <top style="thick">
          <color theme="8" tint="-0.24994659260841701"/>
        </top>
      </border>
    </dxf>
    <dxf>
      <font>
        <b/>
        <i val="0"/>
        <color theme="0"/>
      </font>
      <fill>
        <patternFill>
          <bgColor theme="8"/>
        </patternFill>
      </fill>
    </dxf>
    <dxf>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ill>
        <patternFill>
          <bgColor theme="7" tint="0.79998168889431442"/>
        </patternFill>
      </fill>
    </dxf>
    <dxf>
      <fill>
        <patternFill>
          <bgColor theme="7" tint="0.79998168889431442"/>
        </patternFill>
      </fill>
    </dxf>
    <dxf>
      <fill>
        <patternFill patternType="none">
          <bgColor auto="1"/>
        </patternFill>
      </fill>
      <border>
        <left style="thick">
          <color theme="7" tint="-0.24994659260841701"/>
        </left>
      </border>
    </dxf>
    <dxf>
      <font>
        <b/>
        <i val="0"/>
        <color theme="0"/>
      </font>
      <fill>
        <patternFill>
          <bgColor theme="7"/>
        </patternFill>
      </fill>
    </dxf>
    <dxf>
      <border>
        <top style="thick">
          <color theme="7" tint="-0.24994659260841701"/>
        </top>
      </border>
    </dxf>
    <dxf>
      <font>
        <b/>
        <i val="0"/>
        <color theme="0"/>
      </font>
      <fill>
        <patternFill>
          <bgColor theme="7"/>
        </patternFill>
      </fill>
    </dxf>
    <dxf>
      <border>
        <left style="thin">
          <color theme="7" tint="0.39994506668294322"/>
        </left>
        <right style="thin">
          <color theme="7" tint="0.39994506668294322"/>
        </right>
        <top style="thin">
          <color theme="7" tint="0.39994506668294322"/>
        </top>
        <bottom style="thin">
          <color theme="7" tint="0.39994506668294322"/>
        </bottom>
        <vertical style="thin">
          <color theme="7" tint="0.39994506668294322"/>
        </vertical>
        <horizontal style="thin">
          <color theme="7" tint="0.39994506668294322"/>
        </horizontal>
      </border>
    </dxf>
    <dxf>
      <fill>
        <patternFill>
          <bgColor theme="6" tint="0.79998168889431442"/>
        </patternFill>
      </fill>
    </dxf>
    <dxf>
      <fill>
        <patternFill>
          <bgColor theme="6" tint="0.79998168889431442"/>
        </patternFill>
      </fill>
    </dxf>
    <dxf>
      <fill>
        <patternFill patternType="none">
          <bgColor auto="1"/>
        </patternFill>
      </fill>
      <border>
        <left style="thick">
          <color theme="6" tint="-0.24994659260841701"/>
        </left>
      </border>
    </dxf>
    <dxf>
      <font>
        <b/>
        <i val="0"/>
        <color theme="0"/>
      </font>
      <fill>
        <patternFill>
          <bgColor theme="6"/>
        </patternFill>
      </fill>
    </dxf>
    <dxf>
      <border>
        <top style="thick">
          <color theme="6" tint="-0.24994659260841701"/>
        </top>
      </border>
    </dxf>
    <dxf>
      <font>
        <b/>
        <i val="0"/>
        <color theme="0"/>
      </font>
      <fill>
        <patternFill>
          <bgColor theme="6"/>
        </patternFill>
      </fill>
    </dxf>
    <dxf>
      <border>
        <left style="thin">
          <color theme="6" tint="0.39994506668294322"/>
        </left>
        <right style="thin">
          <color theme="6" tint="0.39994506668294322"/>
        </right>
        <top style="thin">
          <color theme="6" tint="0.39994506668294322"/>
        </top>
        <bottom style="thin">
          <color theme="6" tint="0.39994506668294322"/>
        </bottom>
        <vertical style="thin">
          <color theme="6" tint="0.39994506668294322"/>
        </vertical>
        <horizontal style="thin">
          <color theme="6" tint="0.39994506668294322"/>
        </horizontal>
      </border>
    </dxf>
    <dxf>
      <fill>
        <patternFill>
          <bgColor theme="5" tint="0.79998168889431442"/>
        </patternFill>
      </fill>
    </dxf>
    <dxf>
      <fill>
        <patternFill>
          <bgColor theme="5" tint="0.79998168889431442"/>
        </patternFill>
      </fill>
    </dxf>
    <dxf>
      <fill>
        <patternFill patternType="none">
          <bgColor auto="1"/>
        </patternFill>
      </fill>
      <border>
        <left style="thick">
          <color theme="5" tint="-0.24994659260841701"/>
        </left>
      </border>
    </dxf>
    <dxf>
      <font>
        <b/>
        <i val="0"/>
        <color theme="0"/>
      </font>
      <fill>
        <patternFill>
          <bgColor theme="5"/>
        </patternFill>
      </fill>
    </dxf>
    <dxf>
      <border>
        <top style="thick">
          <color theme="5" tint="-0.24994659260841701"/>
        </top>
      </border>
    </dxf>
    <dxf>
      <font>
        <b/>
        <i val="0"/>
        <color theme="0"/>
      </font>
      <fill>
        <patternFill>
          <bgColor theme="5"/>
        </patternFill>
      </fill>
    </dxf>
    <dxf>
      <border>
        <left style="thin">
          <color theme="5" tint="0.39994506668294322"/>
        </left>
        <right style="thin">
          <color theme="5" tint="0.39994506668294322"/>
        </right>
        <top style="thin">
          <color theme="5" tint="0.39994506668294322"/>
        </top>
        <bottom style="thin">
          <color theme="5" tint="0.39994506668294322"/>
        </bottom>
        <vertical style="thin">
          <color theme="5" tint="0.39994506668294322"/>
        </vertical>
        <horizontal style="thin">
          <color theme="5" tint="0.39994506668294322"/>
        </horizontal>
      </border>
    </dxf>
    <dxf>
      <fill>
        <patternFill>
          <bgColor theme="4" tint="0.79998168889431442"/>
        </patternFill>
      </fill>
    </dxf>
    <dxf>
      <fill>
        <patternFill>
          <bgColor theme="4" tint="0.79998168889431442"/>
        </patternFill>
      </fill>
    </dxf>
    <dxf>
      <fill>
        <patternFill patternType="none">
          <bgColor auto="1"/>
        </patternFill>
      </fill>
      <border>
        <left style="thick">
          <color theme="4" tint="-0.24994659260841701"/>
        </left>
      </border>
    </dxf>
    <dxf>
      <font>
        <b/>
        <i val="0"/>
        <color theme="0"/>
      </font>
      <fill>
        <patternFill>
          <bgColor theme="4"/>
        </patternFill>
      </fill>
    </dxf>
    <dxf>
      <border>
        <top style="thick">
          <color theme="4" tint="-0.24994659260841701"/>
        </top>
      </border>
    </dxf>
    <dxf>
      <font>
        <b/>
        <i val="0"/>
        <color theme="0"/>
      </font>
      <fill>
        <patternFill>
          <bgColor theme="4"/>
        </patternFill>
      </fill>
    </dxf>
    <dxf>
      <border>
        <left style="thin">
          <color theme="4" tint="0.39994506668294322"/>
        </left>
        <right style="thin">
          <color theme="4" tint="0.39994506668294322"/>
        </right>
        <top style="thin">
          <color theme="4" tint="0.39994506668294322"/>
        </top>
        <bottom style="thin">
          <color theme="4" tint="0.39994506668294322"/>
        </bottom>
        <vertical style="thin">
          <color theme="4" tint="0.39994506668294322"/>
        </vertical>
        <horizontal style="thin">
          <color theme="4" tint="0.39994506668294322"/>
        </horizontal>
      </border>
    </dxf>
    <dxf>
      <fill>
        <patternFill>
          <bgColor theme="0" tint="-0.24994659260841701"/>
        </patternFill>
      </fill>
    </dxf>
    <dxf>
      <fill>
        <patternFill>
          <bgColor theme="0" tint="-0.24994659260841701"/>
        </patternFill>
      </fill>
    </dxf>
    <dxf>
      <fill>
        <patternFill patternType="none">
          <bgColor auto="1"/>
        </patternFill>
      </fill>
      <border>
        <left style="thick">
          <color theme="1" tint="0.24994659260841701"/>
        </left>
      </border>
    </dxf>
    <dxf>
      <font>
        <b/>
        <i val="0"/>
        <color theme="0"/>
      </font>
      <fill>
        <patternFill>
          <bgColor theme="1"/>
        </patternFill>
      </fill>
    </dxf>
    <dxf>
      <border>
        <top style="thick">
          <color theme="1" tint="0.24994659260841701"/>
        </top>
      </border>
    </dxf>
    <dxf>
      <font>
        <b/>
        <i val="0"/>
        <color theme="0"/>
      </font>
      <fill>
        <patternFill>
          <bgColor theme="1"/>
        </patternFill>
      </fill>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9" tint="0.39994506668294322"/>
        </left>
        <right style="thin">
          <color theme="9" tint="0.39994506668294322"/>
        </right>
        <vertical style="thin">
          <color theme="9" tint="0.39994506668294322"/>
        </vertical>
      </border>
    </dxf>
    <dxf>
      <border>
        <left style="thin">
          <color theme="9" tint="0.39994506668294322"/>
        </left>
        <right style="thin">
          <color theme="9" tint="0.39994506668294322"/>
        </right>
        <vertical style="thin">
          <color theme="9" tint="0.39994506668294322"/>
        </vertical>
      </border>
    </dxf>
    <dxf>
      <border>
        <top style="thin">
          <color theme="9" tint="0.39994506668294322"/>
        </top>
        <bottom style="thin">
          <color theme="9" tint="0.39994506668294322"/>
        </bottom>
        <horizontal style="thin">
          <color theme="9" tint="0.39994506668294322"/>
        </horizontal>
      </border>
    </dxf>
    <dxf>
      <border>
        <top style="thin">
          <color theme="9" tint="0.39994506668294322"/>
        </top>
        <bottom style="thin">
          <color theme="9" tint="0.39994506668294322"/>
        </bottom>
        <horizontal style="thin">
          <color theme="9" tint="0.39994506668294322"/>
        </horizontal>
      </border>
    </dxf>
    <dxf>
      <fill>
        <patternFill patternType="none">
          <bgColor auto="1"/>
        </patternFill>
      </fill>
      <border>
        <left style="thick">
          <color theme="9" tint="-0.24994659260841701"/>
        </left>
      </border>
    </dxf>
    <dxf>
      <border>
        <top style="thick">
          <color theme="9" tint="-0.24994659260841701"/>
        </top>
      </border>
    </dxf>
    <dxf>
      <font>
        <b/>
        <i val="0"/>
        <color theme="0"/>
      </font>
      <fill>
        <patternFill>
          <bgColor theme="9"/>
        </patternFill>
      </fill>
    </dxf>
    <dxf>
      <border>
        <left style="thin">
          <color theme="9" tint="0.39994506668294322"/>
        </left>
        <right style="thin">
          <color theme="9" tint="0.39994506668294322"/>
        </right>
        <top style="thin">
          <color theme="9" tint="0.39994506668294322"/>
        </top>
        <bottom style="thin">
          <color theme="9" tint="0.39994506668294322"/>
        </bottom>
        <vertical/>
        <horizontal/>
      </border>
    </dxf>
    <dxf>
      <border>
        <left style="thin">
          <color theme="8" tint="0.39994506668294322"/>
        </left>
        <right style="thin">
          <color theme="8" tint="0.39994506668294322"/>
        </right>
        <vertical style="thin">
          <color theme="8" tint="0.39994506668294322"/>
        </vertical>
      </border>
    </dxf>
    <dxf>
      <border>
        <left style="thin">
          <color theme="8" tint="0.39994506668294322"/>
        </left>
        <right style="thin">
          <color theme="8" tint="0.39994506668294322"/>
        </right>
        <vertical style="thin">
          <color theme="8" tint="0.39994506668294322"/>
        </vertical>
      </border>
    </dxf>
    <dxf>
      <border>
        <top style="thin">
          <color theme="8" tint="0.39994506668294322"/>
        </top>
        <bottom style="thin">
          <color theme="8" tint="0.39994506668294322"/>
        </bottom>
        <horizontal style="thin">
          <color theme="8" tint="0.39994506668294322"/>
        </horizontal>
      </border>
    </dxf>
    <dxf>
      <border>
        <top style="thin">
          <color theme="8" tint="0.39994506668294322"/>
        </top>
        <bottom style="thin">
          <color theme="8" tint="0.39994506668294322"/>
        </bottom>
        <horizontal style="thin">
          <color theme="8" tint="0.39994506668294322"/>
        </horizontal>
      </border>
    </dxf>
    <dxf>
      <fill>
        <patternFill patternType="none">
          <bgColor auto="1"/>
        </patternFill>
      </fill>
      <border>
        <left style="thick">
          <color theme="8" tint="-0.24994659260841701"/>
        </left>
      </border>
    </dxf>
    <dxf>
      <border>
        <top style="thick">
          <color theme="8" tint="-0.24994659260841701"/>
        </top>
      </border>
    </dxf>
    <dxf>
      <font>
        <b/>
        <i val="0"/>
        <color theme="0"/>
      </font>
      <fill>
        <patternFill>
          <bgColor theme="8"/>
        </patternFill>
      </fill>
    </dxf>
    <dxf>
      <border>
        <left style="thin">
          <color theme="8" tint="0.39994506668294322"/>
        </left>
        <right style="thin">
          <color theme="8" tint="0.39994506668294322"/>
        </right>
        <top style="thin">
          <color theme="8" tint="0.39994506668294322"/>
        </top>
        <bottom style="thin">
          <color theme="8" tint="0.39994506668294322"/>
        </bottom>
        <vertical/>
        <horizontal/>
      </border>
    </dxf>
    <dxf>
      <border>
        <left style="thin">
          <color theme="7" tint="0.39994506668294322"/>
        </left>
        <right style="thin">
          <color theme="7" tint="0.39994506668294322"/>
        </right>
        <vertical style="thin">
          <color theme="7" tint="0.39994506668294322"/>
        </vertical>
      </border>
    </dxf>
    <dxf>
      <border>
        <left style="thin">
          <color theme="7" tint="0.39994506668294322"/>
        </left>
        <right style="thin">
          <color theme="7" tint="0.39994506668294322"/>
        </right>
        <vertical style="thin">
          <color theme="7" tint="0.39994506668294322"/>
        </vertical>
      </border>
    </dxf>
    <dxf>
      <border>
        <top style="thin">
          <color theme="7" tint="0.39994506668294322"/>
        </top>
        <bottom style="thin">
          <color theme="7" tint="0.39994506668294322"/>
        </bottom>
        <horizontal style="thin">
          <color theme="7" tint="0.39994506668294322"/>
        </horizontal>
      </border>
    </dxf>
    <dxf>
      <border>
        <top style="thin">
          <color theme="7" tint="0.39994506668294322"/>
        </top>
        <bottom style="thin">
          <color theme="7" tint="0.39994506668294322"/>
        </bottom>
        <horizontal style="thin">
          <color theme="7" tint="0.39994506668294322"/>
        </horizontal>
      </border>
    </dxf>
    <dxf>
      <fill>
        <patternFill patternType="none">
          <bgColor auto="1"/>
        </patternFill>
      </fill>
      <border>
        <left style="thick">
          <color theme="7" tint="-0.24994659260841701"/>
        </left>
      </border>
    </dxf>
    <dxf>
      <border>
        <top style="thick">
          <color theme="7" tint="-0.24994659260841701"/>
        </top>
      </border>
    </dxf>
    <dxf>
      <font>
        <b/>
        <i val="0"/>
        <color theme="0"/>
      </font>
      <fill>
        <patternFill>
          <bgColor theme="7"/>
        </patternFill>
      </fill>
    </dxf>
    <dxf>
      <border>
        <left style="thin">
          <color theme="7" tint="0.39994506668294322"/>
        </left>
        <right style="thin">
          <color theme="7" tint="0.39994506668294322"/>
        </right>
        <top style="thin">
          <color theme="7" tint="0.39994506668294322"/>
        </top>
        <bottom style="thin">
          <color theme="7" tint="0.39994506668294322"/>
        </bottom>
        <vertical/>
        <horizontal/>
      </border>
    </dxf>
    <dxf>
      <border>
        <left style="thin">
          <color theme="6" tint="0.39994506668294322"/>
        </left>
        <right style="thin">
          <color theme="6" tint="0.39994506668294322"/>
        </right>
        <vertical style="thin">
          <color theme="6" tint="0.39994506668294322"/>
        </vertical>
      </border>
    </dxf>
    <dxf>
      <border>
        <left style="thin">
          <color theme="6" tint="0.39994506668294322"/>
        </left>
        <right style="thin">
          <color theme="6" tint="0.39994506668294322"/>
        </right>
        <vertical style="thin">
          <color theme="6" tint="0.39994506668294322"/>
        </vertical>
      </border>
    </dxf>
    <dxf>
      <border>
        <top style="thin">
          <color theme="6" tint="0.39994506668294322"/>
        </top>
        <bottom style="thin">
          <color theme="6" tint="0.39994506668294322"/>
        </bottom>
        <horizontal style="thin">
          <color theme="6" tint="0.39994506668294322"/>
        </horizontal>
      </border>
    </dxf>
    <dxf>
      <border>
        <top style="thin">
          <color theme="6" tint="0.39994506668294322"/>
        </top>
        <bottom style="thin">
          <color theme="6" tint="0.39994506668294322"/>
        </bottom>
        <horizontal style="thin">
          <color theme="6" tint="0.39994506668294322"/>
        </horizontal>
      </border>
    </dxf>
    <dxf>
      <fill>
        <patternFill patternType="none">
          <bgColor auto="1"/>
        </patternFill>
      </fill>
      <border>
        <left style="thick">
          <color theme="6" tint="-0.24994659260841701"/>
        </left>
      </border>
    </dxf>
    <dxf>
      <border>
        <top style="thick">
          <color theme="6" tint="-0.24994659260841701"/>
        </top>
      </border>
    </dxf>
    <dxf>
      <font>
        <b/>
        <i val="0"/>
        <color theme="0"/>
      </font>
      <fill>
        <patternFill>
          <bgColor theme="6"/>
        </patternFill>
      </fill>
    </dxf>
    <dxf>
      <border>
        <left style="thin">
          <color theme="6" tint="0.39994506668294322"/>
        </left>
        <right style="thin">
          <color theme="6" tint="0.39994506668294322"/>
        </right>
        <top style="thin">
          <color theme="6" tint="0.39994506668294322"/>
        </top>
        <bottom style="thin">
          <color theme="6" tint="0.39994506668294322"/>
        </bottom>
        <vertical/>
        <horizontal/>
      </border>
    </dxf>
    <dxf>
      <border>
        <left style="thin">
          <color theme="5" tint="0.39994506668294322"/>
        </left>
        <right style="thin">
          <color theme="5" tint="0.39994506668294322"/>
        </right>
        <vertical style="thin">
          <color theme="5" tint="0.39994506668294322"/>
        </vertical>
      </border>
    </dxf>
    <dxf>
      <border>
        <left style="thin">
          <color theme="5" tint="0.39994506668294322"/>
        </left>
        <right style="thin">
          <color theme="5" tint="0.39994506668294322"/>
        </right>
        <vertical style="thin">
          <color theme="5" tint="0.39994506668294322"/>
        </vertical>
      </border>
    </dxf>
    <dxf>
      <border>
        <top style="thin">
          <color theme="5" tint="0.39994506668294322"/>
        </top>
        <bottom style="thin">
          <color theme="5" tint="0.39994506668294322"/>
        </bottom>
        <horizontal style="thin">
          <color theme="5" tint="0.39994506668294322"/>
        </horizontal>
      </border>
    </dxf>
    <dxf>
      <border>
        <top style="thin">
          <color theme="5" tint="0.39994506668294322"/>
        </top>
        <bottom style="thin">
          <color theme="5" tint="0.39994506668294322"/>
        </bottom>
        <horizontal style="thin">
          <color theme="5" tint="0.39994506668294322"/>
        </horizontal>
      </border>
    </dxf>
    <dxf>
      <fill>
        <patternFill patternType="none">
          <bgColor auto="1"/>
        </patternFill>
      </fill>
      <border>
        <left style="thick">
          <color theme="5" tint="-0.24994659260841701"/>
        </left>
      </border>
    </dxf>
    <dxf>
      <border>
        <top style="thick">
          <color theme="5" tint="-0.24994659260841701"/>
        </top>
      </border>
    </dxf>
    <dxf>
      <font>
        <b/>
        <i val="0"/>
        <color theme="0"/>
      </font>
      <fill>
        <patternFill>
          <bgColor theme="5"/>
        </patternFill>
      </fill>
    </dxf>
    <dxf>
      <border>
        <left style="thin">
          <color theme="5" tint="0.39994506668294322"/>
        </left>
        <right style="thin">
          <color theme="5" tint="0.39994506668294322"/>
        </right>
        <top style="thin">
          <color theme="5" tint="0.39994506668294322"/>
        </top>
        <bottom style="thin">
          <color theme="5" tint="0.39994506668294322"/>
        </bottom>
        <vertical/>
        <horizontal/>
      </border>
    </dxf>
    <dxf>
      <border>
        <left style="thin">
          <color theme="4" tint="0.39994506668294322"/>
        </left>
        <right style="thin">
          <color theme="4" tint="0.39994506668294322"/>
        </right>
        <vertical style="thin">
          <color theme="4" tint="0.39994506668294322"/>
        </vertical>
      </border>
    </dxf>
    <dxf>
      <border>
        <left style="thin">
          <color theme="4" tint="0.39994506668294322"/>
        </left>
        <right style="thin">
          <color theme="4" tint="0.39994506668294322"/>
        </right>
        <vertical style="thin">
          <color theme="4" tint="0.39994506668294322"/>
        </vertical>
      </border>
    </dxf>
    <dxf>
      <border>
        <top style="thin">
          <color theme="4" tint="0.39994506668294322"/>
        </top>
        <bottom style="thin">
          <color theme="4" tint="0.39994506668294322"/>
        </bottom>
        <horizontal style="thin">
          <color theme="4" tint="0.39994506668294322"/>
        </horizontal>
      </border>
    </dxf>
    <dxf>
      <border>
        <top style="thin">
          <color theme="4" tint="0.39994506668294322"/>
        </top>
        <bottom style="thin">
          <color theme="4" tint="0.39994506668294322"/>
        </bottom>
        <horizontal style="thin">
          <color theme="4" tint="0.39994506668294322"/>
        </horizontal>
      </border>
    </dxf>
    <dxf>
      <fill>
        <patternFill patternType="none">
          <bgColor auto="1"/>
        </patternFill>
      </fill>
      <border>
        <left style="thick">
          <color theme="4" tint="-0.24994659260841701"/>
        </left>
      </border>
    </dxf>
    <dxf>
      <border>
        <top style="thick">
          <color theme="4" tint="-0.24994659260841701"/>
        </top>
      </border>
    </dxf>
    <dxf>
      <font>
        <b/>
        <i val="0"/>
        <color theme="0"/>
      </font>
      <fill>
        <patternFill>
          <bgColor theme="4"/>
        </patternFill>
      </fill>
    </dxf>
    <dxf>
      <border>
        <left style="thin">
          <color theme="4" tint="0.39994506668294322"/>
        </left>
        <right style="thin">
          <color theme="4" tint="0.39994506668294322"/>
        </right>
        <top style="thin">
          <color theme="4" tint="0.39994506668294322"/>
        </top>
        <bottom style="thin">
          <color theme="4" tint="0.39994506668294322"/>
        </bottom>
        <vertical/>
        <horizontal/>
      </border>
    </dxf>
    <dxf>
      <border>
        <left style="thin">
          <color theme="1" tint="0.34998626667073579"/>
        </left>
        <right style="thin">
          <color theme="1" tint="0.34998626667073579"/>
        </right>
        <vertical style="thin">
          <color theme="1" tint="0.34998626667073579"/>
        </vertical>
      </border>
    </dxf>
    <dxf>
      <border>
        <left style="thin">
          <color theme="1" tint="0.34998626667073579"/>
        </left>
        <right style="thin">
          <color theme="1" tint="0.34998626667073579"/>
        </right>
        <vertical style="thin">
          <color theme="1" tint="0.34998626667073579"/>
        </vertical>
      </border>
    </dxf>
    <dxf>
      <border>
        <top style="thin">
          <color theme="1" tint="0.34998626667073579"/>
        </top>
        <bottom style="thin">
          <color theme="1" tint="0.34998626667073579"/>
        </bottom>
        <horizontal style="thin">
          <color theme="1" tint="0.34998626667073579"/>
        </horizontal>
      </border>
    </dxf>
    <dxf>
      <border>
        <top style="thin">
          <color theme="1" tint="0.34998626667073579"/>
        </top>
        <bottom style="thin">
          <color theme="1" tint="0.34998626667073579"/>
        </bottom>
        <horizontal style="thin">
          <color theme="1" tint="0.34998626667073579"/>
        </horizontal>
      </border>
    </dxf>
    <dxf>
      <fill>
        <patternFill patternType="none">
          <bgColor auto="1"/>
        </patternFill>
      </fill>
      <border>
        <left style="thick">
          <color theme="1" tint="0.24994659260841701"/>
        </left>
      </border>
    </dxf>
    <dxf>
      <border>
        <top style="thick">
          <color theme="1" tint="0.24994659260841701"/>
        </top>
      </border>
    </dxf>
    <dxf>
      <font>
        <b/>
        <i val="0"/>
        <color theme="0"/>
      </font>
      <fill>
        <patternFill>
          <bgColor theme="1"/>
        </patternFill>
      </fill>
    </dxf>
    <dxf>
      <border>
        <left style="thin">
          <color theme="1" tint="0.34998626667073579"/>
        </left>
        <right style="thin">
          <color theme="1" tint="0.34998626667073579"/>
        </right>
        <top style="thin">
          <color theme="1" tint="0.34998626667073579"/>
        </top>
        <bottom style="thin">
          <color theme="1" tint="0.34998626667073579"/>
        </bottom>
        <vertical/>
        <horizontal/>
      </border>
    </dxf>
  </dxfs>
  <tableStyles count="15" defaultTableStyle="Table 1" defaultPivotStyle="PivotStyleLight16">
    <tableStyle name="List 0" pivot="0" count="8" xr9:uid="{00000000-0011-0000-FFFF-FFFF00000000}">
      <tableStyleElement type="wholeTable" dxfId="353"/>
      <tableStyleElement type="headerRow" dxfId="352"/>
      <tableStyleElement type="totalRow" dxfId="351"/>
      <tableStyleElement type="lastColumn" dxfId="350"/>
      <tableStyleElement type="firstRowStripe" dxfId="349"/>
      <tableStyleElement type="secondRowStripe" dxfId="348"/>
      <tableStyleElement type="firstColumnStripe" dxfId="347"/>
      <tableStyleElement type="secondColumnStripe" dxfId="346"/>
    </tableStyle>
    <tableStyle name="List 1" pivot="0" count="8" xr9:uid="{00000000-0011-0000-FFFF-FFFF01000000}">
      <tableStyleElement type="wholeTable" dxfId="345"/>
      <tableStyleElement type="headerRow" dxfId="344"/>
      <tableStyleElement type="totalRow" dxfId="343"/>
      <tableStyleElement type="lastColumn" dxfId="342"/>
      <tableStyleElement type="firstRowStripe" dxfId="341"/>
      <tableStyleElement type="secondRowStripe" dxfId="340"/>
      <tableStyleElement type="firstColumnStripe" dxfId="339"/>
      <tableStyleElement type="secondColumnStripe" dxfId="338"/>
    </tableStyle>
    <tableStyle name="List 2" pivot="0" count="8" xr9:uid="{00000000-0011-0000-FFFF-FFFF02000000}">
      <tableStyleElement type="wholeTable" dxfId="337"/>
      <tableStyleElement type="headerRow" dxfId="336"/>
      <tableStyleElement type="totalRow" dxfId="335"/>
      <tableStyleElement type="lastColumn" dxfId="334"/>
      <tableStyleElement type="firstRowStripe" dxfId="333"/>
      <tableStyleElement type="secondRowStripe" dxfId="332"/>
      <tableStyleElement type="firstColumnStripe" dxfId="331"/>
      <tableStyleElement type="secondColumnStripe" dxfId="330"/>
    </tableStyle>
    <tableStyle name="List 3" pivot="0" count="8" xr9:uid="{00000000-0011-0000-FFFF-FFFF03000000}">
      <tableStyleElement type="wholeTable" dxfId="329"/>
      <tableStyleElement type="headerRow" dxfId="328"/>
      <tableStyleElement type="totalRow" dxfId="327"/>
      <tableStyleElement type="lastColumn" dxfId="326"/>
      <tableStyleElement type="firstRowStripe" dxfId="325"/>
      <tableStyleElement type="secondRowStripe" dxfId="324"/>
      <tableStyleElement type="firstColumnStripe" dxfId="323"/>
      <tableStyleElement type="secondColumnStripe" dxfId="322"/>
    </tableStyle>
    <tableStyle name="List 4" pivot="0" count="8" xr9:uid="{00000000-0011-0000-FFFF-FFFF04000000}">
      <tableStyleElement type="wholeTable" dxfId="321"/>
      <tableStyleElement type="headerRow" dxfId="320"/>
      <tableStyleElement type="totalRow" dxfId="319"/>
      <tableStyleElement type="lastColumn" dxfId="318"/>
      <tableStyleElement type="firstRowStripe" dxfId="317"/>
      <tableStyleElement type="secondRowStripe" dxfId="316"/>
      <tableStyleElement type="firstColumnStripe" dxfId="315"/>
      <tableStyleElement type="secondColumnStripe" dxfId="314"/>
    </tableStyle>
    <tableStyle name="List 5" pivot="0" count="8" xr9:uid="{00000000-0011-0000-FFFF-FFFF05000000}">
      <tableStyleElement type="wholeTable" dxfId="313"/>
      <tableStyleElement type="headerRow" dxfId="312"/>
      <tableStyleElement type="totalRow" dxfId="311"/>
      <tableStyleElement type="lastColumn" dxfId="310"/>
      <tableStyleElement type="firstRowStripe" dxfId="309"/>
      <tableStyleElement type="secondRowStripe" dxfId="308"/>
      <tableStyleElement type="firstColumnStripe" dxfId="307"/>
      <tableStyleElement type="secondColumnStripe" dxfId="306"/>
    </tableStyle>
    <tableStyle name="List 6" pivot="0" count="8" xr9:uid="{00000000-0011-0000-FFFF-FFFF06000000}">
      <tableStyleElement type="wholeTable" dxfId="305"/>
      <tableStyleElement type="headerRow" dxfId="304"/>
      <tableStyleElement type="totalRow" dxfId="303"/>
      <tableStyleElement type="lastColumn" dxfId="302"/>
      <tableStyleElement type="firstRowStripe" dxfId="301"/>
      <tableStyleElement type="secondRowStripe" dxfId="300"/>
      <tableStyleElement type="firstColumnStripe" dxfId="299"/>
      <tableStyleElement type="secondColumnStripe" dxfId="298"/>
    </tableStyle>
    <tableStyle name="Table 0" pivot="0" count="7" xr9:uid="{00000000-0011-0000-FFFF-FFFF07000000}">
      <tableStyleElement type="wholeTable" dxfId="297"/>
      <tableStyleElement type="headerRow" dxfId="296"/>
      <tableStyleElement type="totalRow" dxfId="295"/>
      <tableStyleElement type="firstColumn" dxfId="294"/>
      <tableStyleElement type="lastColumn" dxfId="293"/>
      <tableStyleElement type="secondRowStripe" dxfId="292"/>
      <tableStyleElement type="secondColumnStripe" dxfId="291"/>
    </tableStyle>
    <tableStyle name="Table 1" pivot="0" count="7" xr9:uid="{00000000-0011-0000-FFFF-FFFF08000000}">
      <tableStyleElement type="wholeTable" dxfId="290"/>
      <tableStyleElement type="headerRow" dxfId="289"/>
      <tableStyleElement type="totalRow" dxfId="288"/>
      <tableStyleElement type="firstColumn" dxfId="287"/>
      <tableStyleElement type="lastColumn" dxfId="286"/>
      <tableStyleElement type="secondRowStripe" dxfId="285"/>
      <tableStyleElement type="secondColumnStripe" dxfId="284"/>
    </tableStyle>
    <tableStyle name="Table 2" pivot="0" count="7" xr9:uid="{00000000-0011-0000-FFFF-FFFF09000000}">
      <tableStyleElement type="wholeTable" dxfId="283"/>
      <tableStyleElement type="headerRow" dxfId="282"/>
      <tableStyleElement type="totalRow" dxfId="281"/>
      <tableStyleElement type="firstColumn" dxfId="280"/>
      <tableStyleElement type="lastColumn" dxfId="279"/>
      <tableStyleElement type="secondRowStripe" dxfId="278"/>
      <tableStyleElement type="secondColumnStripe" dxfId="277"/>
    </tableStyle>
    <tableStyle name="Table 3" pivot="0" count="7" xr9:uid="{00000000-0011-0000-FFFF-FFFF0A000000}">
      <tableStyleElement type="wholeTable" dxfId="276"/>
      <tableStyleElement type="headerRow" dxfId="275"/>
      <tableStyleElement type="totalRow" dxfId="274"/>
      <tableStyleElement type="firstColumn" dxfId="273"/>
      <tableStyleElement type="lastColumn" dxfId="272"/>
      <tableStyleElement type="secondRowStripe" dxfId="271"/>
      <tableStyleElement type="secondColumnStripe" dxfId="270"/>
    </tableStyle>
    <tableStyle name="Table 4" pivot="0" count="7" xr9:uid="{00000000-0011-0000-FFFF-FFFF0B000000}">
      <tableStyleElement type="wholeTable" dxfId="269"/>
      <tableStyleElement type="headerRow" dxfId="268"/>
      <tableStyleElement type="totalRow" dxfId="267"/>
      <tableStyleElement type="firstColumn" dxfId="266"/>
      <tableStyleElement type="lastColumn" dxfId="265"/>
      <tableStyleElement type="secondRowStripe" dxfId="264"/>
      <tableStyleElement type="secondColumnStripe" dxfId="263"/>
    </tableStyle>
    <tableStyle name="Table 5" pivot="0" count="7" xr9:uid="{00000000-0011-0000-FFFF-FFFF0C000000}">
      <tableStyleElement type="wholeTable" dxfId="262"/>
      <tableStyleElement type="headerRow" dxfId="261"/>
      <tableStyleElement type="totalRow" dxfId="260"/>
      <tableStyleElement type="firstColumn" dxfId="259"/>
      <tableStyleElement type="lastColumn" dxfId="258"/>
      <tableStyleElement type="secondRowStripe" dxfId="257"/>
      <tableStyleElement type="secondColumnStripe" dxfId="256"/>
    </tableStyle>
    <tableStyle name="Table 6" pivot="0" count="7" xr9:uid="{00000000-0011-0000-FFFF-FFFF0D000000}">
      <tableStyleElement type="wholeTable" dxfId="255"/>
      <tableStyleElement type="headerRow" dxfId="254"/>
      <tableStyleElement type="totalRow" dxfId="253"/>
      <tableStyleElement type="firstColumn" dxfId="252"/>
      <tableStyleElement type="lastColumn" dxfId="251"/>
      <tableStyleElement type="secondRowStripe" dxfId="250"/>
      <tableStyleElement type="secondColumnStripe" dxfId="249"/>
    </tableStyle>
    <tableStyle name="Table 7" pivot="0" count="7" xr9:uid="{6BE13D90-1AF0-4518-A1F1-60987CE17347}">
      <tableStyleElement type="wholeTable" dxfId="248"/>
      <tableStyleElement type="headerRow" dxfId="247"/>
      <tableStyleElement type="totalRow" dxfId="246"/>
      <tableStyleElement type="firstColumn" dxfId="245"/>
      <tableStyleElement type="lastColumn" dxfId="244"/>
      <tableStyleElement type="secondRowStripe" dxfId="243"/>
      <tableStyleElement type="secondColumnStripe" dxfId="242"/>
    </tableStyle>
  </tableStyles>
  <colors>
    <mruColors>
      <color rgb="FFFFC7CE"/>
      <color rgb="FF9C0006"/>
      <color rgb="FFD9D9D9"/>
      <color rgb="FF7F7F7F"/>
      <color rgb="FF3F3F76"/>
      <color rgb="FFBFBFBF"/>
      <color rgb="FF3F3F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4.xml"/><Relationship Id="rId26" Type="http://schemas.microsoft.com/office/2007/relationships/slicerCache" Target="slicerCaches/slicerCache12.xml"/><Relationship Id="rId39" Type="http://schemas.openxmlformats.org/officeDocument/2006/relationships/customXml" Target="../customXml/item4.xml"/><Relationship Id="rId21" Type="http://schemas.microsoft.com/office/2007/relationships/slicerCache" Target="slicerCaches/slicerCache7.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5" Type="http://schemas.microsoft.com/office/2007/relationships/slicerCache" Target="slicerCaches/slicerCache11.xml"/><Relationship Id="rId33" Type="http://schemas.microsoft.com/office/2017/06/relationships/rdRichValueStructure" Target="richData/rdrichvaluestructure.xml"/><Relationship Id="rId38" Type="http://schemas.openxmlformats.org/officeDocument/2006/relationships/customXml" Target="../customXml/item3.xml"/><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07/relationships/slicerCache" Target="slicerCaches/slicerCache6.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0.xml"/><Relationship Id="rId32" Type="http://schemas.microsoft.com/office/2017/06/relationships/rdRichValue" Target="richData/rdrichvalue.xml"/><Relationship Id="rId37" Type="http://schemas.openxmlformats.org/officeDocument/2006/relationships/customXml" Target="../customXml/item2.xml"/><Relationship Id="rId5" Type="http://schemas.openxmlformats.org/officeDocument/2006/relationships/worksheet" Target="worksheets/sheet5.xml"/><Relationship Id="rId15" Type="http://schemas.microsoft.com/office/2007/relationships/slicerCache" Target="slicerCaches/slicerCache1.xml"/><Relationship Id="rId23" Type="http://schemas.microsoft.com/office/2007/relationships/slicerCache" Target="slicerCaches/slicerCache9.xml"/><Relationship Id="rId28" Type="http://schemas.openxmlformats.org/officeDocument/2006/relationships/theme" Target="theme/theme1.xml"/><Relationship Id="rId36" Type="http://schemas.openxmlformats.org/officeDocument/2006/relationships/customXml" Target="../customXml/item1.xml"/><Relationship Id="rId10" Type="http://schemas.openxmlformats.org/officeDocument/2006/relationships/worksheet" Target="worksheets/sheet10.xml"/><Relationship Id="rId19" Type="http://schemas.microsoft.com/office/2007/relationships/slicerCache" Target="slicerCaches/slicerCache5.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8.xml"/><Relationship Id="rId27" Type="http://schemas.microsoft.com/office/2007/relationships/slicerCache" Target="slicerCaches/slicerCache13.xml"/><Relationship Id="rId30" Type="http://schemas.openxmlformats.org/officeDocument/2006/relationships/sharedStrings" Target="sharedStrings.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BeskrivendeStatistik!$CD$2</c:f>
          <c:strCache>
            <c:ptCount val="1"/>
            <c:pt idx="0">
              <c:v>Fraktildiagram med 6 intervaller
for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BeskrivendeStatistik!$CD$22</c:f>
              <c:strCache>
                <c:ptCount val="1"/>
                <c:pt idx="0">
                  <c:v>Fraktiler</c:v>
                </c:pt>
              </c:strCache>
            </c:strRef>
          </c:tx>
          <c:spPr>
            <a:solidFill>
              <a:schemeClr val="accent1"/>
            </a:solidFill>
            <a:ln>
              <a:noFill/>
            </a:ln>
            <a:effectLst/>
          </c:spPr>
          <c:invertIfNegative val="0"/>
          <c:cat>
            <c:strRef>
              <c:f>[0]!BxF</c:f>
              <c:strCache>
                <c:ptCount val="252"/>
                <c:pt idx="0">
                  <c:v>-1.5 (0%)</c:v>
                </c:pt>
                <c:pt idx="9">
                  <c:v>-0.9 (17%)</c:v>
                </c:pt>
                <c:pt idx="20">
                  <c:v>-0.3 (33%)</c:v>
                </c:pt>
                <c:pt idx="34">
                  <c:v>0.5 (50%)</c:v>
                </c:pt>
                <c:pt idx="49">
                  <c:v>1.3 (67%)</c:v>
                </c:pt>
                <c:pt idx="75">
                  <c:v>2.8 (83%)</c:v>
                </c:pt>
                <c:pt idx="251">
                  <c:v>13 (100%)</c:v>
                </c:pt>
              </c:strCache>
            </c:strRef>
          </c:cat>
          <c:val>
            <c:numRef>
              <c:f>[0]!ByF</c:f>
              <c:numCache>
                <c:formatCode>General</c:formatCode>
                <c:ptCount val="252"/>
                <c:pt idx="0">
                  <c:v>1.7350867949805218</c:v>
                </c:pt>
                <c:pt idx="1">
                  <c:v>1.7350867949805218</c:v>
                </c:pt>
                <c:pt idx="2">
                  <c:v>1.7350867949805218</c:v>
                </c:pt>
                <c:pt idx="3">
                  <c:v>1.7350867949805218</c:v>
                </c:pt>
                <c:pt idx="4">
                  <c:v>1.7350867949805218</c:v>
                </c:pt>
                <c:pt idx="5">
                  <c:v>1.7350867949805218</c:v>
                </c:pt>
                <c:pt idx="6">
                  <c:v>1.7350867949805218</c:v>
                </c:pt>
                <c:pt idx="7">
                  <c:v>1.7350867949805218</c:v>
                </c:pt>
                <c:pt idx="8">
                  <c:v>1.7350867949805218</c:v>
                </c:pt>
                <c:pt idx="9">
                  <c:v>1.4196164686204271</c:v>
                </c:pt>
                <c:pt idx="10">
                  <c:v>1.4196164686204271</c:v>
                </c:pt>
                <c:pt idx="11">
                  <c:v>1.4196164686204271</c:v>
                </c:pt>
                <c:pt idx="12">
                  <c:v>1.4196164686204271</c:v>
                </c:pt>
                <c:pt idx="13">
                  <c:v>1.4196164686204271</c:v>
                </c:pt>
                <c:pt idx="14">
                  <c:v>1.4196164686204271</c:v>
                </c:pt>
                <c:pt idx="15">
                  <c:v>1.4196164686204271</c:v>
                </c:pt>
                <c:pt idx="16">
                  <c:v>1.4196164686204271</c:v>
                </c:pt>
                <c:pt idx="17">
                  <c:v>1.4196164686204271</c:v>
                </c:pt>
                <c:pt idx="18">
                  <c:v>1.4196164686204271</c:v>
                </c:pt>
                <c:pt idx="19">
                  <c:v>1.4196164686204271</c:v>
                </c:pt>
                <c:pt idx="20">
                  <c:v>1.1154129396303354</c:v>
                </c:pt>
                <c:pt idx="21">
                  <c:v>1.1154129396303354</c:v>
                </c:pt>
                <c:pt idx="22">
                  <c:v>1.1154129396303354</c:v>
                </c:pt>
                <c:pt idx="23">
                  <c:v>1.1154129396303354</c:v>
                </c:pt>
                <c:pt idx="24">
                  <c:v>1.1154129396303354</c:v>
                </c:pt>
                <c:pt idx="25">
                  <c:v>1.1154129396303354</c:v>
                </c:pt>
                <c:pt idx="26">
                  <c:v>1.1154129396303354</c:v>
                </c:pt>
                <c:pt idx="27">
                  <c:v>1.1154129396303354</c:v>
                </c:pt>
                <c:pt idx="28">
                  <c:v>1.1154129396303354</c:v>
                </c:pt>
                <c:pt idx="29">
                  <c:v>1.1154129396303354</c:v>
                </c:pt>
                <c:pt idx="30">
                  <c:v>1.1154129396303354</c:v>
                </c:pt>
                <c:pt idx="31">
                  <c:v>1.1154129396303354</c:v>
                </c:pt>
                <c:pt idx="32">
                  <c:v>1.1154129396303354</c:v>
                </c:pt>
                <c:pt idx="33">
                  <c:v>1.1154129396303354</c:v>
                </c:pt>
                <c:pt idx="34">
                  <c:v>1.0410520769883131</c:v>
                </c:pt>
                <c:pt idx="35">
                  <c:v>1.0410520769883131</c:v>
                </c:pt>
                <c:pt idx="36">
                  <c:v>1.0410520769883131</c:v>
                </c:pt>
                <c:pt idx="37">
                  <c:v>1.0410520769883131</c:v>
                </c:pt>
                <c:pt idx="38">
                  <c:v>1.0410520769883131</c:v>
                </c:pt>
                <c:pt idx="39">
                  <c:v>1.0410520769883131</c:v>
                </c:pt>
                <c:pt idx="40">
                  <c:v>1.0410520769883131</c:v>
                </c:pt>
                <c:pt idx="41">
                  <c:v>1.0410520769883131</c:v>
                </c:pt>
                <c:pt idx="42">
                  <c:v>1.0410520769883131</c:v>
                </c:pt>
                <c:pt idx="43">
                  <c:v>1.0410520769883131</c:v>
                </c:pt>
                <c:pt idx="44">
                  <c:v>1.0410520769883131</c:v>
                </c:pt>
                <c:pt idx="45">
                  <c:v>1.0410520769883131</c:v>
                </c:pt>
                <c:pt idx="46">
                  <c:v>1.0410520769883131</c:v>
                </c:pt>
                <c:pt idx="47">
                  <c:v>1.0410520769883131</c:v>
                </c:pt>
                <c:pt idx="48">
                  <c:v>1.0410520769883131</c:v>
                </c:pt>
                <c:pt idx="49">
                  <c:v>0.60060696749325759</c:v>
                </c:pt>
                <c:pt idx="50">
                  <c:v>0.60060696749325759</c:v>
                </c:pt>
                <c:pt idx="51">
                  <c:v>0.60060696749325759</c:v>
                </c:pt>
                <c:pt idx="52">
                  <c:v>0.60060696749325759</c:v>
                </c:pt>
                <c:pt idx="53">
                  <c:v>0.60060696749325759</c:v>
                </c:pt>
                <c:pt idx="54">
                  <c:v>0.60060696749325759</c:v>
                </c:pt>
                <c:pt idx="55">
                  <c:v>0.60060696749325759</c:v>
                </c:pt>
                <c:pt idx="56">
                  <c:v>0.60060696749325759</c:v>
                </c:pt>
                <c:pt idx="57">
                  <c:v>0.60060696749325759</c:v>
                </c:pt>
                <c:pt idx="58">
                  <c:v>0.60060696749325759</c:v>
                </c:pt>
                <c:pt idx="59">
                  <c:v>0.60060696749325759</c:v>
                </c:pt>
                <c:pt idx="60">
                  <c:v>0.60060696749325759</c:v>
                </c:pt>
                <c:pt idx="61">
                  <c:v>0.60060696749325759</c:v>
                </c:pt>
                <c:pt idx="62">
                  <c:v>0.60060696749325759</c:v>
                </c:pt>
                <c:pt idx="63">
                  <c:v>0.60060696749325759</c:v>
                </c:pt>
                <c:pt idx="64">
                  <c:v>0.60060696749325759</c:v>
                </c:pt>
                <c:pt idx="65">
                  <c:v>0.60060696749325759</c:v>
                </c:pt>
                <c:pt idx="66">
                  <c:v>0.60060696749325759</c:v>
                </c:pt>
                <c:pt idx="67">
                  <c:v>0.60060696749325759</c:v>
                </c:pt>
                <c:pt idx="68">
                  <c:v>0.60060696749325759</c:v>
                </c:pt>
                <c:pt idx="69">
                  <c:v>0.60060696749325759</c:v>
                </c:pt>
                <c:pt idx="70">
                  <c:v>0.60060696749325759</c:v>
                </c:pt>
                <c:pt idx="71">
                  <c:v>0.60060696749325759</c:v>
                </c:pt>
                <c:pt idx="72">
                  <c:v>0.60060696749325759</c:v>
                </c:pt>
                <c:pt idx="73">
                  <c:v>0.60060696749325759</c:v>
                </c:pt>
                <c:pt idx="74">
                  <c:v>0.60060696749325759</c:v>
                </c:pt>
                <c:pt idx="75">
                  <c:v>8.8224752287145186E-2</c:v>
                </c:pt>
                <c:pt idx="76">
                  <c:v>8.8224752287145186E-2</c:v>
                </c:pt>
                <c:pt idx="77">
                  <c:v>8.8224752287145186E-2</c:v>
                </c:pt>
                <c:pt idx="78">
                  <c:v>8.8224752287145186E-2</c:v>
                </c:pt>
                <c:pt idx="79">
                  <c:v>8.8224752287145186E-2</c:v>
                </c:pt>
                <c:pt idx="80">
                  <c:v>8.8224752287145186E-2</c:v>
                </c:pt>
                <c:pt idx="81">
                  <c:v>8.8224752287145186E-2</c:v>
                </c:pt>
                <c:pt idx="82">
                  <c:v>8.8224752287145186E-2</c:v>
                </c:pt>
                <c:pt idx="83">
                  <c:v>8.8224752287145186E-2</c:v>
                </c:pt>
                <c:pt idx="84">
                  <c:v>8.8224752287145186E-2</c:v>
                </c:pt>
                <c:pt idx="85">
                  <c:v>8.8224752287145186E-2</c:v>
                </c:pt>
                <c:pt idx="86">
                  <c:v>8.8224752287145186E-2</c:v>
                </c:pt>
                <c:pt idx="87">
                  <c:v>8.8224752287145186E-2</c:v>
                </c:pt>
                <c:pt idx="88">
                  <c:v>8.8224752287145186E-2</c:v>
                </c:pt>
                <c:pt idx="89">
                  <c:v>8.8224752287145186E-2</c:v>
                </c:pt>
                <c:pt idx="90">
                  <c:v>8.8224752287145186E-2</c:v>
                </c:pt>
                <c:pt idx="91">
                  <c:v>8.8224752287145186E-2</c:v>
                </c:pt>
                <c:pt idx="92">
                  <c:v>8.8224752287145186E-2</c:v>
                </c:pt>
                <c:pt idx="93">
                  <c:v>8.8224752287145186E-2</c:v>
                </c:pt>
                <c:pt idx="94">
                  <c:v>8.8224752287145186E-2</c:v>
                </c:pt>
                <c:pt idx="95">
                  <c:v>8.8224752287145186E-2</c:v>
                </c:pt>
                <c:pt idx="96">
                  <c:v>8.8224752287145186E-2</c:v>
                </c:pt>
                <c:pt idx="97">
                  <c:v>8.8224752287145186E-2</c:v>
                </c:pt>
                <c:pt idx="98">
                  <c:v>8.8224752287145186E-2</c:v>
                </c:pt>
                <c:pt idx="99">
                  <c:v>8.8224752287145186E-2</c:v>
                </c:pt>
                <c:pt idx="100">
                  <c:v>8.8224752287145186E-2</c:v>
                </c:pt>
                <c:pt idx="101">
                  <c:v>8.8224752287145186E-2</c:v>
                </c:pt>
                <c:pt idx="102">
                  <c:v>8.8224752287145186E-2</c:v>
                </c:pt>
                <c:pt idx="103">
                  <c:v>8.8224752287145186E-2</c:v>
                </c:pt>
                <c:pt idx="104">
                  <c:v>8.8224752287145186E-2</c:v>
                </c:pt>
                <c:pt idx="105">
                  <c:v>8.8224752287145186E-2</c:v>
                </c:pt>
                <c:pt idx="106">
                  <c:v>8.8224752287145186E-2</c:v>
                </c:pt>
                <c:pt idx="107">
                  <c:v>8.8224752287145186E-2</c:v>
                </c:pt>
                <c:pt idx="108">
                  <c:v>8.8224752287145186E-2</c:v>
                </c:pt>
                <c:pt idx="109">
                  <c:v>8.8224752287145186E-2</c:v>
                </c:pt>
                <c:pt idx="110">
                  <c:v>8.8224752287145186E-2</c:v>
                </c:pt>
                <c:pt idx="111">
                  <c:v>8.8224752287145186E-2</c:v>
                </c:pt>
                <c:pt idx="112">
                  <c:v>8.8224752287145186E-2</c:v>
                </c:pt>
                <c:pt idx="113">
                  <c:v>8.8224752287145186E-2</c:v>
                </c:pt>
                <c:pt idx="114">
                  <c:v>8.8224752287145186E-2</c:v>
                </c:pt>
                <c:pt idx="115">
                  <c:v>8.8224752287145186E-2</c:v>
                </c:pt>
                <c:pt idx="116">
                  <c:v>8.8224752287145186E-2</c:v>
                </c:pt>
                <c:pt idx="117">
                  <c:v>8.8224752287145186E-2</c:v>
                </c:pt>
                <c:pt idx="118">
                  <c:v>8.8224752287145186E-2</c:v>
                </c:pt>
                <c:pt idx="119">
                  <c:v>8.8224752287145186E-2</c:v>
                </c:pt>
                <c:pt idx="120">
                  <c:v>8.8224752287145186E-2</c:v>
                </c:pt>
                <c:pt idx="121">
                  <c:v>8.8224752287145186E-2</c:v>
                </c:pt>
                <c:pt idx="122">
                  <c:v>8.8224752287145186E-2</c:v>
                </c:pt>
                <c:pt idx="123">
                  <c:v>8.8224752287145186E-2</c:v>
                </c:pt>
                <c:pt idx="124">
                  <c:v>8.8224752287145186E-2</c:v>
                </c:pt>
                <c:pt idx="125">
                  <c:v>8.8224752287145186E-2</c:v>
                </c:pt>
                <c:pt idx="126">
                  <c:v>8.8224752287145186E-2</c:v>
                </c:pt>
                <c:pt idx="127">
                  <c:v>8.8224752287145186E-2</c:v>
                </c:pt>
                <c:pt idx="128">
                  <c:v>8.8224752287145186E-2</c:v>
                </c:pt>
                <c:pt idx="129">
                  <c:v>8.8224752287145186E-2</c:v>
                </c:pt>
                <c:pt idx="130">
                  <c:v>8.8224752287145186E-2</c:v>
                </c:pt>
                <c:pt idx="131">
                  <c:v>8.8224752287145186E-2</c:v>
                </c:pt>
                <c:pt idx="132">
                  <c:v>8.8224752287145186E-2</c:v>
                </c:pt>
                <c:pt idx="133">
                  <c:v>8.8224752287145186E-2</c:v>
                </c:pt>
                <c:pt idx="134">
                  <c:v>8.8224752287145186E-2</c:v>
                </c:pt>
                <c:pt idx="135">
                  <c:v>8.8224752287145186E-2</c:v>
                </c:pt>
                <c:pt idx="136">
                  <c:v>8.8224752287145186E-2</c:v>
                </c:pt>
                <c:pt idx="137">
                  <c:v>8.8224752287145186E-2</c:v>
                </c:pt>
                <c:pt idx="138">
                  <c:v>8.8224752287145186E-2</c:v>
                </c:pt>
                <c:pt idx="139">
                  <c:v>8.8224752287145186E-2</c:v>
                </c:pt>
                <c:pt idx="140">
                  <c:v>8.8224752287145186E-2</c:v>
                </c:pt>
                <c:pt idx="141">
                  <c:v>8.8224752287145186E-2</c:v>
                </c:pt>
                <c:pt idx="142">
                  <c:v>8.8224752287145186E-2</c:v>
                </c:pt>
                <c:pt idx="143">
                  <c:v>8.8224752287145186E-2</c:v>
                </c:pt>
                <c:pt idx="144">
                  <c:v>8.8224752287145186E-2</c:v>
                </c:pt>
                <c:pt idx="145">
                  <c:v>8.8224752287145186E-2</c:v>
                </c:pt>
                <c:pt idx="146">
                  <c:v>8.8224752287145186E-2</c:v>
                </c:pt>
                <c:pt idx="147">
                  <c:v>8.8224752287145186E-2</c:v>
                </c:pt>
                <c:pt idx="148">
                  <c:v>8.8224752287145186E-2</c:v>
                </c:pt>
                <c:pt idx="149">
                  <c:v>8.8224752287145186E-2</c:v>
                </c:pt>
                <c:pt idx="150">
                  <c:v>8.8224752287145186E-2</c:v>
                </c:pt>
                <c:pt idx="151">
                  <c:v>8.8224752287145186E-2</c:v>
                </c:pt>
                <c:pt idx="152">
                  <c:v>8.8224752287145186E-2</c:v>
                </c:pt>
                <c:pt idx="153">
                  <c:v>8.8224752287145186E-2</c:v>
                </c:pt>
                <c:pt idx="154">
                  <c:v>8.8224752287145186E-2</c:v>
                </c:pt>
                <c:pt idx="155">
                  <c:v>8.8224752287145186E-2</c:v>
                </c:pt>
                <c:pt idx="156">
                  <c:v>8.8224752287145186E-2</c:v>
                </c:pt>
                <c:pt idx="157">
                  <c:v>8.8224752287145186E-2</c:v>
                </c:pt>
                <c:pt idx="158">
                  <c:v>8.8224752287145186E-2</c:v>
                </c:pt>
                <c:pt idx="159">
                  <c:v>8.8224752287145186E-2</c:v>
                </c:pt>
                <c:pt idx="160">
                  <c:v>8.8224752287145186E-2</c:v>
                </c:pt>
                <c:pt idx="161">
                  <c:v>8.8224752287145186E-2</c:v>
                </c:pt>
                <c:pt idx="162">
                  <c:v>8.8224752287145186E-2</c:v>
                </c:pt>
                <c:pt idx="163">
                  <c:v>8.8224752287145186E-2</c:v>
                </c:pt>
                <c:pt idx="164">
                  <c:v>8.8224752287145186E-2</c:v>
                </c:pt>
                <c:pt idx="165">
                  <c:v>8.8224752287145186E-2</c:v>
                </c:pt>
                <c:pt idx="166">
                  <c:v>8.8224752287145186E-2</c:v>
                </c:pt>
                <c:pt idx="167">
                  <c:v>8.8224752287145186E-2</c:v>
                </c:pt>
                <c:pt idx="168">
                  <c:v>8.8224752287145186E-2</c:v>
                </c:pt>
                <c:pt idx="169">
                  <c:v>8.8224752287145186E-2</c:v>
                </c:pt>
                <c:pt idx="170">
                  <c:v>8.8224752287145186E-2</c:v>
                </c:pt>
                <c:pt idx="171">
                  <c:v>8.8224752287145186E-2</c:v>
                </c:pt>
                <c:pt idx="172">
                  <c:v>8.8224752287145186E-2</c:v>
                </c:pt>
                <c:pt idx="173">
                  <c:v>8.8224752287145186E-2</c:v>
                </c:pt>
                <c:pt idx="174">
                  <c:v>8.8224752287145186E-2</c:v>
                </c:pt>
                <c:pt idx="175">
                  <c:v>8.8224752287145186E-2</c:v>
                </c:pt>
                <c:pt idx="176">
                  <c:v>8.8224752287145186E-2</c:v>
                </c:pt>
                <c:pt idx="177">
                  <c:v>8.8224752287145186E-2</c:v>
                </c:pt>
                <c:pt idx="178">
                  <c:v>8.8224752287145186E-2</c:v>
                </c:pt>
                <c:pt idx="179">
                  <c:v>8.8224752287145186E-2</c:v>
                </c:pt>
                <c:pt idx="180">
                  <c:v>8.8224752287145186E-2</c:v>
                </c:pt>
                <c:pt idx="181">
                  <c:v>8.8224752287145186E-2</c:v>
                </c:pt>
                <c:pt idx="182">
                  <c:v>8.8224752287145186E-2</c:v>
                </c:pt>
                <c:pt idx="183">
                  <c:v>8.8224752287145186E-2</c:v>
                </c:pt>
                <c:pt idx="184">
                  <c:v>8.8224752287145186E-2</c:v>
                </c:pt>
                <c:pt idx="185">
                  <c:v>8.8224752287145186E-2</c:v>
                </c:pt>
                <c:pt idx="186">
                  <c:v>8.8224752287145186E-2</c:v>
                </c:pt>
                <c:pt idx="187">
                  <c:v>8.8224752287145186E-2</c:v>
                </c:pt>
                <c:pt idx="188">
                  <c:v>8.8224752287145186E-2</c:v>
                </c:pt>
                <c:pt idx="189">
                  <c:v>8.8224752287145186E-2</c:v>
                </c:pt>
                <c:pt idx="190">
                  <c:v>8.8224752287145186E-2</c:v>
                </c:pt>
                <c:pt idx="191">
                  <c:v>8.8224752287145186E-2</c:v>
                </c:pt>
                <c:pt idx="192">
                  <c:v>8.8224752287145186E-2</c:v>
                </c:pt>
                <c:pt idx="193">
                  <c:v>8.8224752287145186E-2</c:v>
                </c:pt>
                <c:pt idx="194">
                  <c:v>8.8224752287145186E-2</c:v>
                </c:pt>
                <c:pt idx="195">
                  <c:v>8.8224752287145186E-2</c:v>
                </c:pt>
                <c:pt idx="196">
                  <c:v>8.8224752287145186E-2</c:v>
                </c:pt>
                <c:pt idx="197">
                  <c:v>8.8224752287145186E-2</c:v>
                </c:pt>
                <c:pt idx="198">
                  <c:v>8.8224752287145186E-2</c:v>
                </c:pt>
                <c:pt idx="199">
                  <c:v>8.8224752287145186E-2</c:v>
                </c:pt>
                <c:pt idx="200">
                  <c:v>8.8224752287145186E-2</c:v>
                </c:pt>
                <c:pt idx="201">
                  <c:v>8.8224752287145186E-2</c:v>
                </c:pt>
                <c:pt idx="202">
                  <c:v>8.8224752287145186E-2</c:v>
                </c:pt>
                <c:pt idx="203">
                  <c:v>8.8224752287145186E-2</c:v>
                </c:pt>
                <c:pt idx="204">
                  <c:v>8.8224752287145186E-2</c:v>
                </c:pt>
                <c:pt idx="205">
                  <c:v>8.8224752287145186E-2</c:v>
                </c:pt>
                <c:pt idx="206">
                  <c:v>8.8224752287145186E-2</c:v>
                </c:pt>
                <c:pt idx="207">
                  <c:v>8.8224752287145186E-2</c:v>
                </c:pt>
                <c:pt idx="208">
                  <c:v>8.8224752287145186E-2</c:v>
                </c:pt>
                <c:pt idx="209">
                  <c:v>8.8224752287145186E-2</c:v>
                </c:pt>
                <c:pt idx="210">
                  <c:v>8.8224752287145186E-2</c:v>
                </c:pt>
                <c:pt idx="211">
                  <c:v>8.8224752287145186E-2</c:v>
                </c:pt>
                <c:pt idx="212">
                  <c:v>8.8224752287145186E-2</c:v>
                </c:pt>
                <c:pt idx="213">
                  <c:v>8.8224752287145186E-2</c:v>
                </c:pt>
                <c:pt idx="214">
                  <c:v>8.8224752287145186E-2</c:v>
                </c:pt>
                <c:pt idx="215">
                  <c:v>8.8224752287145186E-2</c:v>
                </c:pt>
                <c:pt idx="216">
                  <c:v>8.8224752287145186E-2</c:v>
                </c:pt>
                <c:pt idx="217">
                  <c:v>8.8224752287145186E-2</c:v>
                </c:pt>
                <c:pt idx="218">
                  <c:v>8.8224752287145186E-2</c:v>
                </c:pt>
                <c:pt idx="219">
                  <c:v>8.8224752287145186E-2</c:v>
                </c:pt>
                <c:pt idx="220">
                  <c:v>8.8224752287145186E-2</c:v>
                </c:pt>
                <c:pt idx="221">
                  <c:v>8.8224752287145186E-2</c:v>
                </c:pt>
                <c:pt idx="222">
                  <c:v>8.8224752287145186E-2</c:v>
                </c:pt>
                <c:pt idx="223">
                  <c:v>8.8224752287145186E-2</c:v>
                </c:pt>
                <c:pt idx="224">
                  <c:v>8.8224752287145186E-2</c:v>
                </c:pt>
                <c:pt idx="225">
                  <c:v>8.8224752287145186E-2</c:v>
                </c:pt>
                <c:pt idx="226">
                  <c:v>8.8224752287145186E-2</c:v>
                </c:pt>
                <c:pt idx="227">
                  <c:v>8.8224752287145186E-2</c:v>
                </c:pt>
                <c:pt idx="228">
                  <c:v>8.8224752287145186E-2</c:v>
                </c:pt>
                <c:pt idx="229">
                  <c:v>8.8224752287145186E-2</c:v>
                </c:pt>
                <c:pt idx="230">
                  <c:v>8.8224752287145186E-2</c:v>
                </c:pt>
                <c:pt idx="231">
                  <c:v>8.8224752287145186E-2</c:v>
                </c:pt>
                <c:pt idx="232">
                  <c:v>8.8224752287145186E-2</c:v>
                </c:pt>
                <c:pt idx="233">
                  <c:v>8.8224752287145186E-2</c:v>
                </c:pt>
                <c:pt idx="234">
                  <c:v>8.8224752287145186E-2</c:v>
                </c:pt>
                <c:pt idx="235">
                  <c:v>8.8224752287145186E-2</c:v>
                </c:pt>
                <c:pt idx="236">
                  <c:v>8.8224752287145186E-2</c:v>
                </c:pt>
                <c:pt idx="237">
                  <c:v>8.8224752287145186E-2</c:v>
                </c:pt>
                <c:pt idx="238">
                  <c:v>8.8224752287145186E-2</c:v>
                </c:pt>
                <c:pt idx="239">
                  <c:v>8.8224752287145186E-2</c:v>
                </c:pt>
                <c:pt idx="240">
                  <c:v>8.8224752287145186E-2</c:v>
                </c:pt>
                <c:pt idx="241">
                  <c:v>8.8224752287145186E-2</c:v>
                </c:pt>
                <c:pt idx="242">
                  <c:v>8.8224752287145186E-2</c:v>
                </c:pt>
                <c:pt idx="243">
                  <c:v>8.8224752287145186E-2</c:v>
                </c:pt>
                <c:pt idx="244">
                  <c:v>8.8224752287145186E-2</c:v>
                </c:pt>
                <c:pt idx="245">
                  <c:v>8.8224752287145186E-2</c:v>
                </c:pt>
                <c:pt idx="246">
                  <c:v>8.8224752287145186E-2</c:v>
                </c:pt>
                <c:pt idx="247">
                  <c:v>8.8224752287145186E-2</c:v>
                </c:pt>
                <c:pt idx="248">
                  <c:v>8.8224752287145186E-2</c:v>
                </c:pt>
                <c:pt idx="249">
                  <c:v>8.8224752287145186E-2</c:v>
                </c:pt>
                <c:pt idx="250">
                  <c:v>8.8224752287145186E-2</c:v>
                </c:pt>
                <c:pt idx="251">
                  <c:v>8.8224752287145186E-2</c:v>
                </c:pt>
              </c:numCache>
            </c:numRef>
          </c:val>
          <c:extLst>
            <c:ext xmlns:c16="http://schemas.microsoft.com/office/drawing/2014/chart" uri="{C3380CC4-5D6E-409C-BE32-E72D297353CC}">
              <c16:uniqueId val="{00000000-B967-43BA-A2FC-788A7AA5873F}"/>
            </c:ext>
          </c:extLst>
        </c:ser>
        <c:dLbls>
          <c:showLegendKey val="0"/>
          <c:showVal val="0"/>
          <c:showCatName val="0"/>
          <c:showSerName val="0"/>
          <c:showPercent val="0"/>
          <c:showBubbleSize val="0"/>
        </c:dLbls>
        <c:gapWidth val="0"/>
        <c:overlap val="100"/>
        <c:axId val="29358096"/>
        <c:axId val="457071392"/>
      </c:barChart>
      <c:catAx>
        <c:axId val="2935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57071392"/>
        <c:crosses val="autoZero"/>
        <c:auto val="1"/>
        <c:lblAlgn val="ctr"/>
        <c:lblOffset val="100"/>
        <c:noMultiLvlLbl val="0"/>
      </c:catAx>
      <c:valAx>
        <c:axId val="457071392"/>
        <c:scaling>
          <c:orientation val="minMax"/>
        </c:scaling>
        <c:delete val="1"/>
        <c:axPos val="l"/>
        <c:numFmt formatCode="General" sourceLinked="1"/>
        <c:majorTickMark val="out"/>
        <c:minorTickMark val="none"/>
        <c:tickLblPos val="nextTo"/>
        <c:crossAx val="29358096"/>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BeskrivendeStatistik!$BT$2</c:f>
          <c:strCache>
            <c:ptCount val="1"/>
            <c:pt idx="0">
              <c:v>Boksplot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BeskrivendeStatistik!$BT$4</c:f>
              <c:strCache>
                <c:ptCount val="1"/>
                <c:pt idx="0">
                  <c:v>Outlier</c:v>
                </c:pt>
              </c:strCache>
            </c:strRef>
          </c:tx>
          <c:spPr>
            <a:ln w="28575" cap="rnd">
              <a:noFill/>
              <a:round/>
            </a:ln>
            <a:effectLst/>
          </c:spPr>
          <c:marker>
            <c:symbol val="circle"/>
            <c:size val="7"/>
            <c:spPr>
              <a:solidFill>
                <a:schemeClr val="accent1">
                  <a:alpha val="70000"/>
                </a:schemeClr>
              </a:solidFill>
              <a:ln w="9525">
                <a:noFill/>
              </a:ln>
              <a:effectLst/>
            </c:spPr>
          </c:marker>
          <c:xVal>
            <c:numRef>
              <c:f>[0]!Bo</c:f>
              <c:numCache>
                <c:formatCode>General</c:formatCode>
                <c:ptCount val="2"/>
                <c:pt idx="0">
                  <c:v>8</c:v>
                </c:pt>
                <c:pt idx="1">
                  <c:v>13</c:v>
                </c:pt>
              </c:numCache>
            </c:numRef>
          </c:xVal>
          <c:yVal>
            <c:numRef>
              <c:f>[0]!BoY</c:f>
              <c:numCache>
                <c:formatCode>General</c:formatCode>
                <c:ptCount val="2"/>
                <c:pt idx="0">
                  <c:v>0</c:v>
                </c:pt>
                <c:pt idx="1">
                  <c:v>0</c:v>
                </c:pt>
              </c:numCache>
            </c:numRef>
          </c:yVal>
          <c:smooth val="0"/>
          <c:extLst>
            <c:ext xmlns:c16="http://schemas.microsoft.com/office/drawing/2014/chart" uri="{C3380CC4-5D6E-409C-BE32-E72D297353CC}">
              <c16:uniqueId val="{00000000-8A21-4F7B-B762-E5F372A3DC4B}"/>
            </c:ext>
          </c:extLst>
        </c:ser>
        <c:ser>
          <c:idx val="2"/>
          <c:order val="1"/>
          <c:tx>
            <c:strRef>
              <c:f>BeskrivendeStatistik!$BT$6</c:f>
              <c:strCache>
                <c:ptCount val="1"/>
                <c:pt idx="0">
                  <c:v>Boksplot</c:v>
                </c:pt>
              </c:strCache>
            </c:strRef>
          </c:tx>
          <c:spPr>
            <a:ln w="28575" cap="rnd">
              <a:solidFill>
                <a:schemeClr val="accent3"/>
              </a:solidFill>
              <a:round/>
            </a:ln>
            <a:effectLst/>
          </c:spPr>
          <c:marker>
            <c:symbol val="none"/>
          </c:marker>
          <c:xVal>
            <c:numRef>
              <c:f>BeskrivendeStatistik!$BU$2:$BU$15</c:f>
              <c:numCache>
                <c:formatCode>General</c:formatCode>
                <c:ptCount val="14"/>
                <c:pt idx="0">
                  <c:v>-1.479592604535932</c:v>
                </c:pt>
                <c:pt idx="1">
                  <c:v>-1.479592604535932</c:v>
                </c:pt>
                <c:pt idx="2">
                  <c:v>-1.479592604535932</c:v>
                </c:pt>
                <c:pt idx="3">
                  <c:v>-0.77564154305867694</c:v>
                </c:pt>
                <c:pt idx="4">
                  <c:v>-0.77564154305867694</c:v>
                </c:pt>
                <c:pt idx="5">
                  <c:v>1.7034016755912118</c:v>
                </c:pt>
                <c:pt idx="6">
                  <c:v>1.7034016755912118</c:v>
                </c:pt>
                <c:pt idx="7">
                  <c:v>-0.77564154305867694</c:v>
                </c:pt>
                <c:pt idx="8">
                  <c:v>-0.77564154305867694</c:v>
                </c:pt>
                <c:pt idx="9">
                  <c:v>1.7034016755912118</c:v>
                </c:pt>
                <c:pt idx="10">
                  <c:v>1.7034016755912118</c:v>
                </c:pt>
                <c:pt idx="11">
                  <c:v>1.8110756828005981</c:v>
                </c:pt>
                <c:pt idx="12">
                  <c:v>1.8110756828005981</c:v>
                </c:pt>
                <c:pt idx="13">
                  <c:v>1.8110756828005981</c:v>
                </c:pt>
              </c:numCache>
            </c:numRef>
          </c:xVal>
          <c:yVal>
            <c:numRef>
              <c:f>BeskrivendeStatistik!$BV$2:$BV$15</c:f>
              <c:numCache>
                <c:formatCode>General</c:formatCode>
                <c:ptCount val="14"/>
                <c:pt idx="0">
                  <c:v>-1</c:v>
                </c:pt>
                <c:pt idx="1">
                  <c:v>1</c:v>
                </c:pt>
                <c:pt idx="2">
                  <c:v>0</c:v>
                </c:pt>
                <c:pt idx="3">
                  <c:v>0</c:v>
                </c:pt>
                <c:pt idx="4">
                  <c:v>-1</c:v>
                </c:pt>
                <c:pt idx="5">
                  <c:v>-1</c:v>
                </c:pt>
                <c:pt idx="6">
                  <c:v>1</c:v>
                </c:pt>
                <c:pt idx="7">
                  <c:v>1</c:v>
                </c:pt>
                <c:pt idx="8">
                  <c:v>-1</c:v>
                </c:pt>
                <c:pt idx="9">
                  <c:v>-1</c:v>
                </c:pt>
                <c:pt idx="10">
                  <c:v>0</c:v>
                </c:pt>
                <c:pt idx="11">
                  <c:v>0</c:v>
                </c:pt>
                <c:pt idx="12">
                  <c:v>-1</c:v>
                </c:pt>
                <c:pt idx="13">
                  <c:v>1</c:v>
                </c:pt>
              </c:numCache>
            </c:numRef>
          </c:yVal>
          <c:smooth val="0"/>
          <c:extLst>
            <c:ext xmlns:c16="http://schemas.microsoft.com/office/drawing/2014/chart" uri="{C3380CC4-5D6E-409C-BE32-E72D297353CC}">
              <c16:uniqueId val="{00000001-8A21-4F7B-B762-E5F372A3DC4B}"/>
            </c:ext>
          </c:extLst>
        </c:ser>
        <c:ser>
          <c:idx val="1"/>
          <c:order val="2"/>
          <c:tx>
            <c:strRef>
              <c:f>BeskrivendeStatistik!$BT$8</c:f>
              <c:strCache>
                <c:ptCount val="1"/>
                <c:pt idx="0">
                  <c:v>Median</c:v>
                </c:pt>
              </c:strCache>
            </c:strRef>
          </c:tx>
          <c:spPr>
            <a:ln w="28575" cap="rnd">
              <a:solidFill>
                <a:schemeClr val="accent2"/>
              </a:solidFill>
              <a:round/>
            </a:ln>
            <a:effectLst/>
          </c:spPr>
          <c:marker>
            <c:symbol val="none"/>
          </c:marker>
          <c:xVal>
            <c:numRef>
              <c:f>BeskrivendeStatistik!$BU$17:$BU$18</c:f>
              <c:numCache>
                <c:formatCode>General</c:formatCode>
                <c:ptCount val="2"/>
                <c:pt idx="0">
                  <c:v>0.49925963399512074</c:v>
                </c:pt>
                <c:pt idx="1">
                  <c:v>0.49925963399512074</c:v>
                </c:pt>
              </c:numCache>
            </c:numRef>
          </c:xVal>
          <c:yVal>
            <c:numRef>
              <c:f>BeskrivendeStatistik!$BV$17:$BV$18</c:f>
              <c:numCache>
                <c:formatCode>General</c:formatCode>
                <c:ptCount val="2"/>
                <c:pt idx="0">
                  <c:v>-1</c:v>
                </c:pt>
                <c:pt idx="1">
                  <c:v>1</c:v>
                </c:pt>
              </c:numCache>
            </c:numRef>
          </c:yVal>
          <c:smooth val="0"/>
          <c:extLst>
            <c:ext xmlns:c16="http://schemas.microsoft.com/office/drawing/2014/chart" uri="{C3380CC4-5D6E-409C-BE32-E72D297353CC}">
              <c16:uniqueId val="{00000002-8A21-4F7B-B762-E5F372A3DC4B}"/>
            </c:ext>
          </c:extLst>
        </c:ser>
        <c:dLbls>
          <c:showLegendKey val="0"/>
          <c:showVal val="0"/>
          <c:showCatName val="0"/>
          <c:showSerName val="0"/>
          <c:showPercent val="0"/>
          <c:showBubbleSize val="0"/>
        </c:dLbls>
        <c:axId val="31931263"/>
        <c:axId val="247937903"/>
      </c:scatterChart>
      <c:valAx>
        <c:axId val="247937903"/>
        <c:scaling>
          <c:orientation val="minMax"/>
          <c:max val="1.5"/>
          <c:min val="-1.5"/>
        </c:scaling>
        <c:delete val="1"/>
        <c:axPos val="l"/>
        <c:numFmt formatCode="General" sourceLinked="1"/>
        <c:majorTickMark val="out"/>
        <c:minorTickMark val="none"/>
        <c:tickLblPos val="nextTo"/>
        <c:crossAx val="31931263"/>
        <c:crosses val="autoZero"/>
        <c:crossBetween val="midCat"/>
      </c:valAx>
      <c:valAx>
        <c:axId val="31931263"/>
        <c:scaling>
          <c:orientation val="minMax"/>
        </c:scaling>
        <c:delete val="0"/>
        <c:axPos val="b"/>
        <c:numFmt formatCode="General" sourceLinked="1"/>
        <c:majorTickMark val="none"/>
        <c:minorTickMark val="none"/>
        <c:tickLblPos val="nextTo"/>
        <c:spPr>
          <a:noFill/>
          <a:ln>
            <a:solidFill>
              <a:srgbClr val="D9D9D9"/>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7937903"/>
        <c:crossesAt val="-1.5"/>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BeskrivendeStatistik!$BB$2</c:f>
          <c:strCache>
            <c:ptCount val="1"/>
            <c:pt idx="0">
              <c:v>Kvartilsæt for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BeskrivendeStatistik!$BB$4</c:f>
              <c:strCache>
                <c:ptCount val="1"/>
                <c:pt idx="0">
                  <c:v>1. kvartil</c:v>
                </c:pt>
              </c:strCache>
            </c:strRef>
          </c:tx>
          <c:spPr>
            <a:solidFill>
              <a:schemeClr val="accent1"/>
            </a:solidFill>
            <a:ln>
              <a:noFill/>
            </a:ln>
            <a:effectLst/>
          </c:spPr>
          <c:invertIfNegative val="0"/>
          <c:cat>
            <c:strRef>
              <c:f>[0]!BxK</c:f>
              <c:strCache>
                <c:ptCount val="5000"/>
                <c:pt idx="0">
                  <c:v>-1.48</c:v>
                </c:pt>
                <c:pt idx="243">
                  <c:v>-0.776</c:v>
                </c:pt>
                <c:pt idx="683">
                  <c:v>0.499</c:v>
                </c:pt>
                <c:pt idx="1099">
                  <c:v>1.703</c:v>
                </c:pt>
                <c:pt idx="4999">
                  <c:v>13</c:v>
                </c:pt>
              </c:strCache>
            </c:strRef>
          </c:cat>
          <c:val>
            <c:numRef>
              <c:f>[0]!Bk_1</c:f>
              <c:numCache>
                <c:formatCode>General</c:formatCode>
                <c:ptCount val="5000"/>
                <c:pt idx="0">
                  <c:v>1.8192576091040986</c:v>
                </c:pt>
                <c:pt idx="1">
                  <c:v>1.8192576091040986</c:v>
                </c:pt>
                <c:pt idx="2">
                  <c:v>1.8192576091040986</c:v>
                </c:pt>
                <c:pt idx="3">
                  <c:v>1.8192576091040986</c:v>
                </c:pt>
                <c:pt idx="4">
                  <c:v>1.8192576091040986</c:v>
                </c:pt>
                <c:pt idx="5">
                  <c:v>1.8192576091040986</c:v>
                </c:pt>
                <c:pt idx="6">
                  <c:v>1.8192576091040986</c:v>
                </c:pt>
                <c:pt idx="7">
                  <c:v>1.8192576091040986</c:v>
                </c:pt>
                <c:pt idx="8">
                  <c:v>1.8192576091040986</c:v>
                </c:pt>
                <c:pt idx="9">
                  <c:v>1.8192576091040986</c:v>
                </c:pt>
                <c:pt idx="10">
                  <c:v>1.8192576091040986</c:v>
                </c:pt>
                <c:pt idx="11">
                  <c:v>1.8192576091040986</c:v>
                </c:pt>
                <c:pt idx="12">
                  <c:v>1.8192576091040986</c:v>
                </c:pt>
                <c:pt idx="13">
                  <c:v>1.8192576091040986</c:v>
                </c:pt>
                <c:pt idx="14">
                  <c:v>1.8192576091040986</c:v>
                </c:pt>
                <c:pt idx="15">
                  <c:v>1.8192576091040986</c:v>
                </c:pt>
                <c:pt idx="16">
                  <c:v>1.8192576091040986</c:v>
                </c:pt>
                <c:pt idx="17">
                  <c:v>1.8192576091040986</c:v>
                </c:pt>
                <c:pt idx="18">
                  <c:v>1.8192576091040986</c:v>
                </c:pt>
                <c:pt idx="19">
                  <c:v>1.8192576091040986</c:v>
                </c:pt>
                <c:pt idx="20">
                  <c:v>1.8192576091040986</c:v>
                </c:pt>
                <c:pt idx="21">
                  <c:v>1.8192576091040986</c:v>
                </c:pt>
                <c:pt idx="22">
                  <c:v>1.8192576091040986</c:v>
                </c:pt>
                <c:pt idx="23">
                  <c:v>1.8192576091040986</c:v>
                </c:pt>
                <c:pt idx="24">
                  <c:v>1.8192576091040986</c:v>
                </c:pt>
                <c:pt idx="25">
                  <c:v>1.8192576091040986</c:v>
                </c:pt>
                <c:pt idx="26">
                  <c:v>1.8192576091040986</c:v>
                </c:pt>
                <c:pt idx="27">
                  <c:v>1.8192576091040986</c:v>
                </c:pt>
                <c:pt idx="28">
                  <c:v>1.8192576091040986</c:v>
                </c:pt>
                <c:pt idx="29">
                  <c:v>1.8192576091040986</c:v>
                </c:pt>
                <c:pt idx="30">
                  <c:v>1.8192576091040986</c:v>
                </c:pt>
                <c:pt idx="31">
                  <c:v>1.8192576091040986</c:v>
                </c:pt>
                <c:pt idx="32">
                  <c:v>1.8192576091040986</c:v>
                </c:pt>
                <c:pt idx="33">
                  <c:v>1.8192576091040986</c:v>
                </c:pt>
                <c:pt idx="34">
                  <c:v>1.8192576091040986</c:v>
                </c:pt>
                <c:pt idx="35">
                  <c:v>1.8192576091040986</c:v>
                </c:pt>
                <c:pt idx="36">
                  <c:v>1.8192576091040986</c:v>
                </c:pt>
                <c:pt idx="37">
                  <c:v>1.8192576091040986</c:v>
                </c:pt>
                <c:pt idx="38">
                  <c:v>1.8192576091040986</c:v>
                </c:pt>
                <c:pt idx="39">
                  <c:v>1.8192576091040986</c:v>
                </c:pt>
                <c:pt idx="40">
                  <c:v>1.8192576091040986</c:v>
                </c:pt>
                <c:pt idx="41">
                  <c:v>1.8192576091040986</c:v>
                </c:pt>
                <c:pt idx="42">
                  <c:v>1.8192576091040986</c:v>
                </c:pt>
                <c:pt idx="43">
                  <c:v>1.8192576091040986</c:v>
                </c:pt>
                <c:pt idx="44">
                  <c:v>1.8192576091040986</c:v>
                </c:pt>
                <c:pt idx="45">
                  <c:v>1.8192576091040986</c:v>
                </c:pt>
                <c:pt idx="46">
                  <c:v>1.8192576091040986</c:v>
                </c:pt>
                <c:pt idx="47">
                  <c:v>1.8192576091040986</c:v>
                </c:pt>
                <c:pt idx="48">
                  <c:v>1.8192576091040986</c:v>
                </c:pt>
                <c:pt idx="49">
                  <c:v>1.8192576091040986</c:v>
                </c:pt>
                <c:pt idx="50">
                  <c:v>1.8192576091040986</c:v>
                </c:pt>
                <c:pt idx="51">
                  <c:v>1.8192576091040986</c:v>
                </c:pt>
                <c:pt idx="52">
                  <c:v>1.8192576091040986</c:v>
                </c:pt>
                <c:pt idx="53">
                  <c:v>1.8192576091040986</c:v>
                </c:pt>
                <c:pt idx="54">
                  <c:v>1.8192576091040986</c:v>
                </c:pt>
                <c:pt idx="55">
                  <c:v>1.8192576091040986</c:v>
                </c:pt>
                <c:pt idx="56">
                  <c:v>1.8192576091040986</c:v>
                </c:pt>
                <c:pt idx="57">
                  <c:v>1.8192576091040986</c:v>
                </c:pt>
                <c:pt idx="58">
                  <c:v>1.8192576091040986</c:v>
                </c:pt>
                <c:pt idx="59">
                  <c:v>1.8192576091040986</c:v>
                </c:pt>
                <c:pt idx="60">
                  <c:v>1.8192576091040986</c:v>
                </c:pt>
                <c:pt idx="61">
                  <c:v>1.8192576091040986</c:v>
                </c:pt>
                <c:pt idx="62">
                  <c:v>1.8192576091040986</c:v>
                </c:pt>
                <c:pt idx="63">
                  <c:v>1.8192576091040986</c:v>
                </c:pt>
                <c:pt idx="64">
                  <c:v>1.8192576091040986</c:v>
                </c:pt>
                <c:pt idx="65">
                  <c:v>1.8192576091040986</c:v>
                </c:pt>
                <c:pt idx="66">
                  <c:v>1.8192576091040986</c:v>
                </c:pt>
                <c:pt idx="67">
                  <c:v>1.8192576091040986</c:v>
                </c:pt>
                <c:pt idx="68">
                  <c:v>1.8192576091040986</c:v>
                </c:pt>
                <c:pt idx="69">
                  <c:v>1.8192576091040986</c:v>
                </c:pt>
                <c:pt idx="70">
                  <c:v>1.8192576091040986</c:v>
                </c:pt>
                <c:pt idx="71">
                  <c:v>1.8192576091040986</c:v>
                </c:pt>
                <c:pt idx="72">
                  <c:v>1.8192576091040986</c:v>
                </c:pt>
                <c:pt idx="73">
                  <c:v>1.8192576091040986</c:v>
                </c:pt>
                <c:pt idx="74">
                  <c:v>1.8192576091040986</c:v>
                </c:pt>
                <c:pt idx="75">
                  <c:v>1.8192576091040986</c:v>
                </c:pt>
                <c:pt idx="76">
                  <c:v>1.8192576091040986</c:v>
                </c:pt>
                <c:pt idx="77">
                  <c:v>1.8192576091040986</c:v>
                </c:pt>
                <c:pt idx="78">
                  <c:v>1.8192576091040986</c:v>
                </c:pt>
                <c:pt idx="79">
                  <c:v>1.8192576091040986</c:v>
                </c:pt>
                <c:pt idx="80">
                  <c:v>1.8192576091040986</c:v>
                </c:pt>
                <c:pt idx="81">
                  <c:v>1.8192576091040986</c:v>
                </c:pt>
                <c:pt idx="82">
                  <c:v>1.8192576091040986</c:v>
                </c:pt>
                <c:pt idx="83">
                  <c:v>1.8192576091040986</c:v>
                </c:pt>
                <c:pt idx="84">
                  <c:v>1.8192576091040986</c:v>
                </c:pt>
                <c:pt idx="85">
                  <c:v>1.8192576091040986</c:v>
                </c:pt>
                <c:pt idx="86">
                  <c:v>1.8192576091040986</c:v>
                </c:pt>
                <c:pt idx="87">
                  <c:v>1.8192576091040986</c:v>
                </c:pt>
                <c:pt idx="88">
                  <c:v>1.8192576091040986</c:v>
                </c:pt>
                <c:pt idx="89">
                  <c:v>1.8192576091040986</c:v>
                </c:pt>
                <c:pt idx="90">
                  <c:v>1.8192576091040986</c:v>
                </c:pt>
                <c:pt idx="91">
                  <c:v>1.8192576091040986</c:v>
                </c:pt>
                <c:pt idx="92">
                  <c:v>1.8192576091040986</c:v>
                </c:pt>
                <c:pt idx="93">
                  <c:v>1.8192576091040986</c:v>
                </c:pt>
                <c:pt idx="94">
                  <c:v>1.8192576091040986</c:v>
                </c:pt>
                <c:pt idx="95">
                  <c:v>1.8192576091040986</c:v>
                </c:pt>
                <c:pt idx="96">
                  <c:v>1.8192576091040986</c:v>
                </c:pt>
                <c:pt idx="97">
                  <c:v>1.8192576091040986</c:v>
                </c:pt>
                <c:pt idx="98">
                  <c:v>1.8192576091040986</c:v>
                </c:pt>
                <c:pt idx="99">
                  <c:v>1.8192576091040986</c:v>
                </c:pt>
                <c:pt idx="100">
                  <c:v>1.8192576091040986</c:v>
                </c:pt>
                <c:pt idx="101">
                  <c:v>1.8192576091040986</c:v>
                </c:pt>
                <c:pt idx="102">
                  <c:v>1.8192576091040986</c:v>
                </c:pt>
                <c:pt idx="103">
                  <c:v>1.8192576091040986</c:v>
                </c:pt>
                <c:pt idx="104">
                  <c:v>1.8192576091040986</c:v>
                </c:pt>
                <c:pt idx="105">
                  <c:v>1.8192576091040986</c:v>
                </c:pt>
                <c:pt idx="106">
                  <c:v>1.8192576091040986</c:v>
                </c:pt>
                <c:pt idx="107">
                  <c:v>1.8192576091040986</c:v>
                </c:pt>
                <c:pt idx="108">
                  <c:v>1.8192576091040986</c:v>
                </c:pt>
                <c:pt idx="109">
                  <c:v>1.8192576091040986</c:v>
                </c:pt>
                <c:pt idx="110">
                  <c:v>1.8192576091040986</c:v>
                </c:pt>
                <c:pt idx="111">
                  <c:v>1.8192576091040986</c:v>
                </c:pt>
                <c:pt idx="112">
                  <c:v>1.8192576091040986</c:v>
                </c:pt>
                <c:pt idx="113">
                  <c:v>1.8192576091040986</c:v>
                </c:pt>
                <c:pt idx="114">
                  <c:v>1.8192576091040986</c:v>
                </c:pt>
                <c:pt idx="115">
                  <c:v>1.8192576091040986</c:v>
                </c:pt>
                <c:pt idx="116">
                  <c:v>1.8192576091040986</c:v>
                </c:pt>
                <c:pt idx="117">
                  <c:v>1.8192576091040986</c:v>
                </c:pt>
                <c:pt idx="118">
                  <c:v>1.8192576091040986</c:v>
                </c:pt>
                <c:pt idx="119">
                  <c:v>1.8192576091040986</c:v>
                </c:pt>
                <c:pt idx="120">
                  <c:v>1.8192576091040986</c:v>
                </c:pt>
                <c:pt idx="121">
                  <c:v>1.8192576091040986</c:v>
                </c:pt>
                <c:pt idx="122">
                  <c:v>1.8192576091040986</c:v>
                </c:pt>
                <c:pt idx="123">
                  <c:v>1.8192576091040986</c:v>
                </c:pt>
                <c:pt idx="124">
                  <c:v>1.8192576091040986</c:v>
                </c:pt>
                <c:pt idx="125">
                  <c:v>1.8192576091040986</c:v>
                </c:pt>
                <c:pt idx="126">
                  <c:v>1.8192576091040986</c:v>
                </c:pt>
                <c:pt idx="127">
                  <c:v>1.8192576091040986</c:v>
                </c:pt>
                <c:pt idx="128">
                  <c:v>1.8192576091040986</c:v>
                </c:pt>
                <c:pt idx="129">
                  <c:v>1.8192576091040986</c:v>
                </c:pt>
                <c:pt idx="130">
                  <c:v>1.8192576091040986</c:v>
                </c:pt>
                <c:pt idx="131">
                  <c:v>1.8192576091040986</c:v>
                </c:pt>
                <c:pt idx="132">
                  <c:v>1.8192576091040986</c:v>
                </c:pt>
                <c:pt idx="133">
                  <c:v>1.8192576091040986</c:v>
                </c:pt>
                <c:pt idx="134">
                  <c:v>1.8192576091040986</c:v>
                </c:pt>
                <c:pt idx="135">
                  <c:v>1.8192576091040986</c:v>
                </c:pt>
                <c:pt idx="136">
                  <c:v>1.8192576091040986</c:v>
                </c:pt>
                <c:pt idx="137">
                  <c:v>1.8192576091040986</c:v>
                </c:pt>
                <c:pt idx="138">
                  <c:v>1.8192576091040986</c:v>
                </c:pt>
                <c:pt idx="139">
                  <c:v>1.8192576091040986</c:v>
                </c:pt>
                <c:pt idx="140">
                  <c:v>1.8192576091040986</c:v>
                </c:pt>
                <c:pt idx="141">
                  <c:v>1.8192576091040986</c:v>
                </c:pt>
                <c:pt idx="142">
                  <c:v>1.8192576091040986</c:v>
                </c:pt>
                <c:pt idx="143">
                  <c:v>1.8192576091040986</c:v>
                </c:pt>
                <c:pt idx="144">
                  <c:v>1.8192576091040986</c:v>
                </c:pt>
                <c:pt idx="145">
                  <c:v>1.8192576091040986</c:v>
                </c:pt>
                <c:pt idx="146">
                  <c:v>1.8192576091040986</c:v>
                </c:pt>
                <c:pt idx="147">
                  <c:v>1.8192576091040986</c:v>
                </c:pt>
                <c:pt idx="148">
                  <c:v>1.8192576091040986</c:v>
                </c:pt>
                <c:pt idx="149">
                  <c:v>1.8192576091040986</c:v>
                </c:pt>
                <c:pt idx="150">
                  <c:v>1.8192576091040986</c:v>
                </c:pt>
                <c:pt idx="151">
                  <c:v>1.8192576091040986</c:v>
                </c:pt>
                <c:pt idx="152">
                  <c:v>1.8192576091040986</c:v>
                </c:pt>
                <c:pt idx="153">
                  <c:v>1.8192576091040986</c:v>
                </c:pt>
                <c:pt idx="154">
                  <c:v>1.8192576091040986</c:v>
                </c:pt>
                <c:pt idx="155">
                  <c:v>1.8192576091040986</c:v>
                </c:pt>
                <c:pt idx="156">
                  <c:v>1.8192576091040986</c:v>
                </c:pt>
                <c:pt idx="157">
                  <c:v>1.8192576091040986</c:v>
                </c:pt>
                <c:pt idx="158">
                  <c:v>1.8192576091040986</c:v>
                </c:pt>
                <c:pt idx="159">
                  <c:v>1.8192576091040986</c:v>
                </c:pt>
                <c:pt idx="160">
                  <c:v>1.8192576091040986</c:v>
                </c:pt>
                <c:pt idx="161">
                  <c:v>1.8192576091040986</c:v>
                </c:pt>
                <c:pt idx="162">
                  <c:v>1.8192576091040986</c:v>
                </c:pt>
                <c:pt idx="163">
                  <c:v>1.8192576091040986</c:v>
                </c:pt>
                <c:pt idx="164">
                  <c:v>1.8192576091040986</c:v>
                </c:pt>
                <c:pt idx="165">
                  <c:v>1.8192576091040986</c:v>
                </c:pt>
                <c:pt idx="166">
                  <c:v>1.8192576091040986</c:v>
                </c:pt>
                <c:pt idx="167">
                  <c:v>1.8192576091040986</c:v>
                </c:pt>
                <c:pt idx="168">
                  <c:v>1.8192576091040986</c:v>
                </c:pt>
                <c:pt idx="169">
                  <c:v>1.8192576091040986</c:v>
                </c:pt>
                <c:pt idx="170">
                  <c:v>1.8192576091040986</c:v>
                </c:pt>
                <c:pt idx="171">
                  <c:v>1.8192576091040986</c:v>
                </c:pt>
                <c:pt idx="172">
                  <c:v>1.8192576091040986</c:v>
                </c:pt>
                <c:pt idx="173">
                  <c:v>1.8192576091040986</c:v>
                </c:pt>
                <c:pt idx="174">
                  <c:v>1.8192576091040986</c:v>
                </c:pt>
                <c:pt idx="175">
                  <c:v>1.8192576091040986</c:v>
                </c:pt>
                <c:pt idx="176">
                  <c:v>1.8192576091040986</c:v>
                </c:pt>
                <c:pt idx="177">
                  <c:v>1.8192576091040986</c:v>
                </c:pt>
                <c:pt idx="178">
                  <c:v>1.8192576091040986</c:v>
                </c:pt>
                <c:pt idx="179">
                  <c:v>1.8192576091040986</c:v>
                </c:pt>
                <c:pt idx="180">
                  <c:v>1.8192576091040986</c:v>
                </c:pt>
                <c:pt idx="181">
                  <c:v>1.8192576091040986</c:v>
                </c:pt>
                <c:pt idx="182">
                  <c:v>1.8192576091040986</c:v>
                </c:pt>
                <c:pt idx="183">
                  <c:v>1.8192576091040986</c:v>
                </c:pt>
                <c:pt idx="184">
                  <c:v>1.8192576091040986</c:v>
                </c:pt>
                <c:pt idx="185">
                  <c:v>1.8192576091040986</c:v>
                </c:pt>
                <c:pt idx="186">
                  <c:v>1.8192576091040986</c:v>
                </c:pt>
                <c:pt idx="187">
                  <c:v>1.8192576091040986</c:v>
                </c:pt>
                <c:pt idx="188">
                  <c:v>1.8192576091040986</c:v>
                </c:pt>
                <c:pt idx="189">
                  <c:v>1.8192576091040986</c:v>
                </c:pt>
                <c:pt idx="190">
                  <c:v>1.8192576091040986</c:v>
                </c:pt>
                <c:pt idx="191">
                  <c:v>1.8192576091040986</c:v>
                </c:pt>
                <c:pt idx="192">
                  <c:v>1.8192576091040986</c:v>
                </c:pt>
                <c:pt idx="193">
                  <c:v>1.8192576091040986</c:v>
                </c:pt>
                <c:pt idx="194">
                  <c:v>1.8192576091040986</c:v>
                </c:pt>
                <c:pt idx="195">
                  <c:v>1.8192576091040986</c:v>
                </c:pt>
                <c:pt idx="196">
                  <c:v>1.8192576091040986</c:v>
                </c:pt>
                <c:pt idx="197">
                  <c:v>1.8192576091040986</c:v>
                </c:pt>
                <c:pt idx="198">
                  <c:v>1.8192576091040986</c:v>
                </c:pt>
                <c:pt idx="199">
                  <c:v>1.8192576091040986</c:v>
                </c:pt>
                <c:pt idx="200">
                  <c:v>1.8192576091040986</c:v>
                </c:pt>
                <c:pt idx="201">
                  <c:v>1.8192576091040986</c:v>
                </c:pt>
                <c:pt idx="202">
                  <c:v>1.8192576091040986</c:v>
                </c:pt>
                <c:pt idx="203">
                  <c:v>1.8192576091040986</c:v>
                </c:pt>
                <c:pt idx="204">
                  <c:v>1.8192576091040986</c:v>
                </c:pt>
                <c:pt idx="205">
                  <c:v>1.8192576091040986</c:v>
                </c:pt>
                <c:pt idx="206">
                  <c:v>1.8192576091040986</c:v>
                </c:pt>
                <c:pt idx="207">
                  <c:v>1.8192576091040986</c:v>
                </c:pt>
                <c:pt idx="208">
                  <c:v>1.8192576091040986</c:v>
                </c:pt>
                <c:pt idx="209">
                  <c:v>1.8192576091040986</c:v>
                </c:pt>
                <c:pt idx="210">
                  <c:v>1.8192576091040986</c:v>
                </c:pt>
                <c:pt idx="211">
                  <c:v>1.8192576091040986</c:v>
                </c:pt>
                <c:pt idx="212">
                  <c:v>1.8192576091040986</c:v>
                </c:pt>
                <c:pt idx="213">
                  <c:v>1.8192576091040986</c:v>
                </c:pt>
                <c:pt idx="214">
                  <c:v>1.8192576091040986</c:v>
                </c:pt>
                <c:pt idx="215">
                  <c:v>1.8192576091040986</c:v>
                </c:pt>
                <c:pt idx="216">
                  <c:v>1.8192576091040986</c:v>
                </c:pt>
                <c:pt idx="217">
                  <c:v>1.8192576091040986</c:v>
                </c:pt>
                <c:pt idx="218">
                  <c:v>1.8192576091040986</c:v>
                </c:pt>
                <c:pt idx="219">
                  <c:v>1.8192576091040986</c:v>
                </c:pt>
                <c:pt idx="220">
                  <c:v>1.8192576091040986</c:v>
                </c:pt>
                <c:pt idx="221">
                  <c:v>1.8192576091040986</c:v>
                </c:pt>
                <c:pt idx="222">
                  <c:v>1.8192576091040986</c:v>
                </c:pt>
                <c:pt idx="223">
                  <c:v>1.8192576091040986</c:v>
                </c:pt>
                <c:pt idx="224">
                  <c:v>1.8192576091040986</c:v>
                </c:pt>
                <c:pt idx="225">
                  <c:v>1.8192576091040986</c:v>
                </c:pt>
                <c:pt idx="226">
                  <c:v>1.8192576091040986</c:v>
                </c:pt>
                <c:pt idx="227">
                  <c:v>1.8192576091040986</c:v>
                </c:pt>
                <c:pt idx="228">
                  <c:v>1.8192576091040986</c:v>
                </c:pt>
                <c:pt idx="229">
                  <c:v>1.8192576091040986</c:v>
                </c:pt>
                <c:pt idx="230">
                  <c:v>1.8192576091040986</c:v>
                </c:pt>
                <c:pt idx="231">
                  <c:v>1.8192576091040986</c:v>
                </c:pt>
                <c:pt idx="232">
                  <c:v>1.8192576091040986</c:v>
                </c:pt>
                <c:pt idx="233">
                  <c:v>1.8192576091040986</c:v>
                </c:pt>
                <c:pt idx="234">
                  <c:v>1.8192576091040986</c:v>
                </c:pt>
                <c:pt idx="235">
                  <c:v>1.8192576091040986</c:v>
                </c:pt>
                <c:pt idx="236">
                  <c:v>1.8192576091040986</c:v>
                </c:pt>
                <c:pt idx="237">
                  <c:v>1.8192576091040986</c:v>
                </c:pt>
                <c:pt idx="238">
                  <c:v>1.8192576091040986</c:v>
                </c:pt>
                <c:pt idx="239">
                  <c:v>1.8192576091040986</c:v>
                </c:pt>
                <c:pt idx="240">
                  <c:v>1.8192576091040986</c:v>
                </c:pt>
                <c:pt idx="241">
                  <c:v>1.8192576091040986</c:v>
                </c:pt>
                <c:pt idx="242">
                  <c:v>1.8192576091040986</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val>
          <c:extLst>
            <c:ext xmlns:c16="http://schemas.microsoft.com/office/drawing/2014/chart" uri="{C3380CC4-5D6E-409C-BE32-E72D297353CC}">
              <c16:uniqueId val="{00000000-A3B8-4A7A-88F9-3FB27C46CC0F}"/>
            </c:ext>
          </c:extLst>
        </c:ser>
        <c:ser>
          <c:idx val="1"/>
          <c:order val="1"/>
          <c:tx>
            <c:strRef>
              <c:f>BeskrivendeStatistik!$BB$5</c:f>
              <c:strCache>
                <c:ptCount val="1"/>
                <c:pt idx="0">
                  <c:v>2. kvartil</c:v>
                </c:pt>
              </c:strCache>
            </c:strRef>
          </c:tx>
          <c:spPr>
            <a:solidFill>
              <a:schemeClr val="accent2"/>
            </a:solidFill>
            <a:ln>
              <a:noFill/>
            </a:ln>
            <a:effectLst/>
          </c:spPr>
          <c:invertIfNegative val="0"/>
          <c:cat>
            <c:strRef>
              <c:f>[0]!BxK</c:f>
              <c:strCache>
                <c:ptCount val="5000"/>
                <c:pt idx="0">
                  <c:v>-1.48</c:v>
                </c:pt>
                <c:pt idx="243">
                  <c:v>-0.776</c:v>
                </c:pt>
                <c:pt idx="683">
                  <c:v>0.499</c:v>
                </c:pt>
                <c:pt idx="1099">
                  <c:v>1.703</c:v>
                </c:pt>
                <c:pt idx="4999">
                  <c:v>13</c:v>
                </c:pt>
              </c:strCache>
            </c:strRef>
          </c:cat>
          <c:val>
            <c:numRef>
              <c:f>[0]!Bk_2</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1.0047263613915816</c:v>
                </c:pt>
                <c:pt idx="244">
                  <c:v>1.0047263613915816</c:v>
                </c:pt>
                <c:pt idx="245">
                  <c:v>1.0047263613915816</c:v>
                </c:pt>
                <c:pt idx="246">
                  <c:v>1.0047263613915816</c:v>
                </c:pt>
                <c:pt idx="247">
                  <c:v>1.0047263613915816</c:v>
                </c:pt>
                <c:pt idx="248">
                  <c:v>1.0047263613915816</c:v>
                </c:pt>
                <c:pt idx="249">
                  <c:v>1.0047263613915816</c:v>
                </c:pt>
                <c:pt idx="250">
                  <c:v>1.0047263613915816</c:v>
                </c:pt>
                <c:pt idx="251">
                  <c:v>1.0047263613915816</c:v>
                </c:pt>
                <c:pt idx="252">
                  <c:v>1.0047263613915816</c:v>
                </c:pt>
                <c:pt idx="253">
                  <c:v>1.0047263613915816</c:v>
                </c:pt>
                <c:pt idx="254">
                  <c:v>1.0047263613915816</c:v>
                </c:pt>
                <c:pt idx="255">
                  <c:v>1.0047263613915816</c:v>
                </c:pt>
                <c:pt idx="256">
                  <c:v>1.0047263613915816</c:v>
                </c:pt>
                <c:pt idx="257">
                  <c:v>1.0047263613915816</c:v>
                </c:pt>
                <c:pt idx="258">
                  <c:v>1.0047263613915816</c:v>
                </c:pt>
                <c:pt idx="259">
                  <c:v>1.0047263613915816</c:v>
                </c:pt>
                <c:pt idx="260">
                  <c:v>1.0047263613915816</c:v>
                </c:pt>
                <c:pt idx="261">
                  <c:v>1.0047263613915816</c:v>
                </c:pt>
                <c:pt idx="262">
                  <c:v>1.0047263613915816</c:v>
                </c:pt>
                <c:pt idx="263">
                  <c:v>1.0047263613915816</c:v>
                </c:pt>
                <c:pt idx="264">
                  <c:v>1.0047263613915816</c:v>
                </c:pt>
                <c:pt idx="265">
                  <c:v>1.0047263613915816</c:v>
                </c:pt>
                <c:pt idx="266">
                  <c:v>1.0047263613915816</c:v>
                </c:pt>
                <c:pt idx="267">
                  <c:v>1.0047263613915816</c:v>
                </c:pt>
                <c:pt idx="268">
                  <c:v>1.0047263613915816</c:v>
                </c:pt>
                <c:pt idx="269">
                  <c:v>1.0047263613915816</c:v>
                </c:pt>
                <c:pt idx="270">
                  <c:v>1.0047263613915816</c:v>
                </c:pt>
                <c:pt idx="271">
                  <c:v>1.0047263613915816</c:v>
                </c:pt>
                <c:pt idx="272">
                  <c:v>1.0047263613915816</c:v>
                </c:pt>
                <c:pt idx="273">
                  <c:v>1.0047263613915816</c:v>
                </c:pt>
                <c:pt idx="274">
                  <c:v>1.0047263613915816</c:v>
                </c:pt>
                <c:pt idx="275">
                  <c:v>1.0047263613915816</c:v>
                </c:pt>
                <c:pt idx="276">
                  <c:v>1.0047263613915816</c:v>
                </c:pt>
                <c:pt idx="277">
                  <c:v>1.0047263613915816</c:v>
                </c:pt>
                <c:pt idx="278">
                  <c:v>1.0047263613915816</c:v>
                </c:pt>
                <c:pt idx="279">
                  <c:v>1.0047263613915816</c:v>
                </c:pt>
                <c:pt idx="280">
                  <c:v>1.0047263613915816</c:v>
                </c:pt>
                <c:pt idx="281">
                  <c:v>1.0047263613915816</c:v>
                </c:pt>
                <c:pt idx="282">
                  <c:v>1.0047263613915816</c:v>
                </c:pt>
                <c:pt idx="283">
                  <c:v>1.0047263613915816</c:v>
                </c:pt>
                <c:pt idx="284">
                  <c:v>1.0047263613915816</c:v>
                </c:pt>
                <c:pt idx="285">
                  <c:v>1.0047263613915816</c:v>
                </c:pt>
                <c:pt idx="286">
                  <c:v>1.0047263613915816</c:v>
                </c:pt>
                <c:pt idx="287">
                  <c:v>1.0047263613915816</c:v>
                </c:pt>
                <c:pt idx="288">
                  <c:v>1.0047263613915816</c:v>
                </c:pt>
                <c:pt idx="289">
                  <c:v>1.0047263613915816</c:v>
                </c:pt>
                <c:pt idx="290">
                  <c:v>1.0047263613915816</c:v>
                </c:pt>
                <c:pt idx="291">
                  <c:v>1.0047263613915816</c:v>
                </c:pt>
                <c:pt idx="292">
                  <c:v>1.0047263613915816</c:v>
                </c:pt>
                <c:pt idx="293">
                  <c:v>1.0047263613915816</c:v>
                </c:pt>
                <c:pt idx="294">
                  <c:v>1.0047263613915816</c:v>
                </c:pt>
                <c:pt idx="295">
                  <c:v>1.0047263613915816</c:v>
                </c:pt>
                <c:pt idx="296">
                  <c:v>1.0047263613915816</c:v>
                </c:pt>
                <c:pt idx="297">
                  <c:v>1.0047263613915816</c:v>
                </c:pt>
                <c:pt idx="298">
                  <c:v>1.0047263613915816</c:v>
                </c:pt>
                <c:pt idx="299">
                  <c:v>1.0047263613915816</c:v>
                </c:pt>
                <c:pt idx="300">
                  <c:v>1.0047263613915816</c:v>
                </c:pt>
                <c:pt idx="301">
                  <c:v>1.0047263613915816</c:v>
                </c:pt>
                <c:pt idx="302">
                  <c:v>1.0047263613915816</c:v>
                </c:pt>
                <c:pt idx="303">
                  <c:v>1.0047263613915816</c:v>
                </c:pt>
                <c:pt idx="304">
                  <c:v>1.0047263613915816</c:v>
                </c:pt>
                <c:pt idx="305">
                  <c:v>1.0047263613915816</c:v>
                </c:pt>
                <c:pt idx="306">
                  <c:v>1.0047263613915816</c:v>
                </c:pt>
                <c:pt idx="307">
                  <c:v>1.0047263613915816</c:v>
                </c:pt>
                <c:pt idx="308">
                  <c:v>1.0047263613915816</c:v>
                </c:pt>
                <c:pt idx="309">
                  <c:v>1.0047263613915816</c:v>
                </c:pt>
                <c:pt idx="310">
                  <c:v>1.0047263613915816</c:v>
                </c:pt>
                <c:pt idx="311">
                  <c:v>1.0047263613915816</c:v>
                </c:pt>
                <c:pt idx="312">
                  <c:v>1.0047263613915816</c:v>
                </c:pt>
                <c:pt idx="313">
                  <c:v>1.0047263613915816</c:v>
                </c:pt>
                <c:pt idx="314">
                  <c:v>1.0047263613915816</c:v>
                </c:pt>
                <c:pt idx="315">
                  <c:v>1.0047263613915816</c:v>
                </c:pt>
                <c:pt idx="316">
                  <c:v>1.0047263613915816</c:v>
                </c:pt>
                <c:pt idx="317">
                  <c:v>1.0047263613915816</c:v>
                </c:pt>
                <c:pt idx="318">
                  <c:v>1.0047263613915816</c:v>
                </c:pt>
                <c:pt idx="319">
                  <c:v>1.0047263613915816</c:v>
                </c:pt>
                <c:pt idx="320">
                  <c:v>1.0047263613915816</c:v>
                </c:pt>
                <c:pt idx="321">
                  <c:v>1.0047263613915816</c:v>
                </c:pt>
                <c:pt idx="322">
                  <c:v>1.0047263613915816</c:v>
                </c:pt>
                <c:pt idx="323">
                  <c:v>1.0047263613915816</c:v>
                </c:pt>
                <c:pt idx="324">
                  <c:v>1.0047263613915816</c:v>
                </c:pt>
                <c:pt idx="325">
                  <c:v>1.0047263613915816</c:v>
                </c:pt>
                <c:pt idx="326">
                  <c:v>1.0047263613915816</c:v>
                </c:pt>
                <c:pt idx="327">
                  <c:v>1.0047263613915816</c:v>
                </c:pt>
                <c:pt idx="328">
                  <c:v>1.0047263613915816</c:v>
                </c:pt>
                <c:pt idx="329">
                  <c:v>1.0047263613915816</c:v>
                </c:pt>
                <c:pt idx="330">
                  <c:v>1.0047263613915816</c:v>
                </c:pt>
                <c:pt idx="331">
                  <c:v>1.0047263613915816</c:v>
                </c:pt>
                <c:pt idx="332">
                  <c:v>1.0047263613915816</c:v>
                </c:pt>
                <c:pt idx="333">
                  <c:v>1.0047263613915816</c:v>
                </c:pt>
                <c:pt idx="334">
                  <c:v>1.0047263613915816</c:v>
                </c:pt>
                <c:pt idx="335">
                  <c:v>1.0047263613915816</c:v>
                </c:pt>
                <c:pt idx="336">
                  <c:v>1.0047263613915816</c:v>
                </c:pt>
                <c:pt idx="337">
                  <c:v>1.0047263613915816</c:v>
                </c:pt>
                <c:pt idx="338">
                  <c:v>1.0047263613915816</c:v>
                </c:pt>
                <c:pt idx="339">
                  <c:v>1.0047263613915816</c:v>
                </c:pt>
                <c:pt idx="340">
                  <c:v>1.0047263613915816</c:v>
                </c:pt>
                <c:pt idx="341">
                  <c:v>1.0047263613915816</c:v>
                </c:pt>
                <c:pt idx="342">
                  <c:v>1.0047263613915816</c:v>
                </c:pt>
                <c:pt idx="343">
                  <c:v>1.0047263613915816</c:v>
                </c:pt>
                <c:pt idx="344">
                  <c:v>1.0047263613915816</c:v>
                </c:pt>
                <c:pt idx="345">
                  <c:v>1.0047263613915816</c:v>
                </c:pt>
                <c:pt idx="346">
                  <c:v>1.0047263613915816</c:v>
                </c:pt>
                <c:pt idx="347">
                  <c:v>1.0047263613915816</c:v>
                </c:pt>
                <c:pt idx="348">
                  <c:v>1.0047263613915816</c:v>
                </c:pt>
                <c:pt idx="349">
                  <c:v>1.0047263613915816</c:v>
                </c:pt>
                <c:pt idx="350">
                  <c:v>1.0047263613915816</c:v>
                </c:pt>
                <c:pt idx="351">
                  <c:v>1.0047263613915816</c:v>
                </c:pt>
                <c:pt idx="352">
                  <c:v>1.0047263613915816</c:v>
                </c:pt>
                <c:pt idx="353">
                  <c:v>1.0047263613915816</c:v>
                </c:pt>
                <c:pt idx="354">
                  <c:v>1.0047263613915816</c:v>
                </c:pt>
                <c:pt idx="355">
                  <c:v>1.0047263613915816</c:v>
                </c:pt>
                <c:pt idx="356">
                  <c:v>1.0047263613915816</c:v>
                </c:pt>
                <c:pt idx="357">
                  <c:v>1.0047263613915816</c:v>
                </c:pt>
                <c:pt idx="358">
                  <c:v>1.0047263613915816</c:v>
                </c:pt>
                <c:pt idx="359">
                  <c:v>1.0047263613915816</c:v>
                </c:pt>
                <c:pt idx="360">
                  <c:v>1.0047263613915816</c:v>
                </c:pt>
                <c:pt idx="361">
                  <c:v>1.0047263613915816</c:v>
                </c:pt>
                <c:pt idx="362">
                  <c:v>1.0047263613915816</c:v>
                </c:pt>
                <c:pt idx="363">
                  <c:v>1.0047263613915816</c:v>
                </c:pt>
                <c:pt idx="364">
                  <c:v>1.0047263613915816</c:v>
                </c:pt>
                <c:pt idx="365">
                  <c:v>1.0047263613915816</c:v>
                </c:pt>
                <c:pt idx="366">
                  <c:v>1.0047263613915816</c:v>
                </c:pt>
                <c:pt idx="367">
                  <c:v>1.0047263613915816</c:v>
                </c:pt>
                <c:pt idx="368">
                  <c:v>1.0047263613915816</c:v>
                </c:pt>
                <c:pt idx="369">
                  <c:v>1.0047263613915816</c:v>
                </c:pt>
                <c:pt idx="370">
                  <c:v>1.0047263613915816</c:v>
                </c:pt>
                <c:pt idx="371">
                  <c:v>1.0047263613915816</c:v>
                </c:pt>
                <c:pt idx="372">
                  <c:v>1.0047263613915816</c:v>
                </c:pt>
                <c:pt idx="373">
                  <c:v>1.0047263613915816</c:v>
                </c:pt>
                <c:pt idx="374">
                  <c:v>1.0047263613915816</c:v>
                </c:pt>
                <c:pt idx="375">
                  <c:v>1.0047263613915816</c:v>
                </c:pt>
                <c:pt idx="376">
                  <c:v>1.0047263613915816</c:v>
                </c:pt>
                <c:pt idx="377">
                  <c:v>1.0047263613915816</c:v>
                </c:pt>
                <c:pt idx="378">
                  <c:v>1.0047263613915816</c:v>
                </c:pt>
                <c:pt idx="379">
                  <c:v>1.0047263613915816</c:v>
                </c:pt>
                <c:pt idx="380">
                  <c:v>1.0047263613915816</c:v>
                </c:pt>
                <c:pt idx="381">
                  <c:v>1.0047263613915816</c:v>
                </c:pt>
                <c:pt idx="382">
                  <c:v>1.0047263613915816</c:v>
                </c:pt>
                <c:pt idx="383">
                  <c:v>1.0047263613915816</c:v>
                </c:pt>
                <c:pt idx="384">
                  <c:v>1.0047263613915816</c:v>
                </c:pt>
                <c:pt idx="385">
                  <c:v>1.0047263613915816</c:v>
                </c:pt>
                <c:pt idx="386">
                  <c:v>1.0047263613915816</c:v>
                </c:pt>
                <c:pt idx="387">
                  <c:v>1.0047263613915816</c:v>
                </c:pt>
                <c:pt idx="388">
                  <c:v>1.0047263613915816</c:v>
                </c:pt>
                <c:pt idx="389">
                  <c:v>1.0047263613915816</c:v>
                </c:pt>
                <c:pt idx="390">
                  <c:v>1.0047263613915816</c:v>
                </c:pt>
                <c:pt idx="391">
                  <c:v>1.0047263613915816</c:v>
                </c:pt>
                <c:pt idx="392">
                  <c:v>1.0047263613915816</c:v>
                </c:pt>
                <c:pt idx="393">
                  <c:v>1.0047263613915816</c:v>
                </c:pt>
                <c:pt idx="394">
                  <c:v>1.0047263613915816</c:v>
                </c:pt>
                <c:pt idx="395">
                  <c:v>1.0047263613915816</c:v>
                </c:pt>
                <c:pt idx="396">
                  <c:v>1.0047263613915816</c:v>
                </c:pt>
                <c:pt idx="397">
                  <c:v>1.0047263613915816</c:v>
                </c:pt>
                <c:pt idx="398">
                  <c:v>1.0047263613915816</c:v>
                </c:pt>
                <c:pt idx="399">
                  <c:v>1.0047263613915816</c:v>
                </c:pt>
                <c:pt idx="400">
                  <c:v>1.0047263613915816</c:v>
                </c:pt>
                <c:pt idx="401">
                  <c:v>1.0047263613915816</c:v>
                </c:pt>
                <c:pt idx="402">
                  <c:v>1.0047263613915816</c:v>
                </c:pt>
                <c:pt idx="403">
                  <c:v>1.0047263613915816</c:v>
                </c:pt>
                <c:pt idx="404">
                  <c:v>1.0047263613915816</c:v>
                </c:pt>
                <c:pt idx="405">
                  <c:v>1.0047263613915816</c:v>
                </c:pt>
                <c:pt idx="406">
                  <c:v>1.0047263613915816</c:v>
                </c:pt>
                <c:pt idx="407">
                  <c:v>1.0047263613915816</c:v>
                </c:pt>
                <c:pt idx="408">
                  <c:v>1.0047263613915816</c:v>
                </c:pt>
                <c:pt idx="409">
                  <c:v>1.0047263613915816</c:v>
                </c:pt>
                <c:pt idx="410">
                  <c:v>1.0047263613915816</c:v>
                </c:pt>
                <c:pt idx="411">
                  <c:v>1.0047263613915816</c:v>
                </c:pt>
                <c:pt idx="412">
                  <c:v>1.0047263613915816</c:v>
                </c:pt>
                <c:pt idx="413">
                  <c:v>1.0047263613915816</c:v>
                </c:pt>
                <c:pt idx="414">
                  <c:v>1.0047263613915816</c:v>
                </c:pt>
                <c:pt idx="415">
                  <c:v>1.0047263613915816</c:v>
                </c:pt>
                <c:pt idx="416">
                  <c:v>1.0047263613915816</c:v>
                </c:pt>
                <c:pt idx="417">
                  <c:v>1.0047263613915816</c:v>
                </c:pt>
                <c:pt idx="418">
                  <c:v>1.0047263613915816</c:v>
                </c:pt>
                <c:pt idx="419">
                  <c:v>1.0047263613915816</c:v>
                </c:pt>
                <c:pt idx="420">
                  <c:v>1.0047263613915816</c:v>
                </c:pt>
                <c:pt idx="421">
                  <c:v>1.0047263613915816</c:v>
                </c:pt>
                <c:pt idx="422">
                  <c:v>1.0047263613915816</c:v>
                </c:pt>
                <c:pt idx="423">
                  <c:v>1.0047263613915816</c:v>
                </c:pt>
                <c:pt idx="424">
                  <c:v>1.0047263613915816</c:v>
                </c:pt>
                <c:pt idx="425">
                  <c:v>1.0047263613915816</c:v>
                </c:pt>
                <c:pt idx="426">
                  <c:v>1.0047263613915816</c:v>
                </c:pt>
                <c:pt idx="427">
                  <c:v>1.0047263613915816</c:v>
                </c:pt>
                <c:pt idx="428">
                  <c:v>1.0047263613915816</c:v>
                </c:pt>
                <c:pt idx="429">
                  <c:v>1.0047263613915816</c:v>
                </c:pt>
                <c:pt idx="430">
                  <c:v>1.0047263613915816</c:v>
                </c:pt>
                <c:pt idx="431">
                  <c:v>1.0047263613915816</c:v>
                </c:pt>
                <c:pt idx="432">
                  <c:v>1.0047263613915816</c:v>
                </c:pt>
                <c:pt idx="433">
                  <c:v>1.0047263613915816</c:v>
                </c:pt>
                <c:pt idx="434">
                  <c:v>1.0047263613915816</c:v>
                </c:pt>
                <c:pt idx="435">
                  <c:v>1.0047263613915816</c:v>
                </c:pt>
                <c:pt idx="436">
                  <c:v>1.0047263613915816</c:v>
                </c:pt>
                <c:pt idx="437">
                  <c:v>1.0047263613915816</c:v>
                </c:pt>
                <c:pt idx="438">
                  <c:v>1.0047263613915816</c:v>
                </c:pt>
                <c:pt idx="439">
                  <c:v>1.0047263613915816</c:v>
                </c:pt>
                <c:pt idx="440">
                  <c:v>1.0047263613915816</c:v>
                </c:pt>
                <c:pt idx="441">
                  <c:v>1.0047263613915816</c:v>
                </c:pt>
                <c:pt idx="442">
                  <c:v>1.0047263613915816</c:v>
                </c:pt>
                <c:pt idx="443">
                  <c:v>1.0047263613915816</c:v>
                </c:pt>
                <c:pt idx="444">
                  <c:v>1.0047263613915816</c:v>
                </c:pt>
                <c:pt idx="445">
                  <c:v>1.0047263613915816</c:v>
                </c:pt>
                <c:pt idx="446">
                  <c:v>1.0047263613915816</c:v>
                </c:pt>
                <c:pt idx="447">
                  <c:v>1.0047263613915816</c:v>
                </c:pt>
                <c:pt idx="448">
                  <c:v>1.0047263613915816</c:v>
                </c:pt>
                <c:pt idx="449">
                  <c:v>1.0047263613915816</c:v>
                </c:pt>
                <c:pt idx="450">
                  <c:v>1.0047263613915816</c:v>
                </c:pt>
                <c:pt idx="451">
                  <c:v>1.0047263613915816</c:v>
                </c:pt>
                <c:pt idx="452">
                  <c:v>1.0047263613915816</c:v>
                </c:pt>
                <c:pt idx="453">
                  <c:v>1.0047263613915816</c:v>
                </c:pt>
                <c:pt idx="454">
                  <c:v>1.0047263613915816</c:v>
                </c:pt>
                <c:pt idx="455">
                  <c:v>1.0047263613915816</c:v>
                </c:pt>
                <c:pt idx="456">
                  <c:v>1.0047263613915816</c:v>
                </c:pt>
                <c:pt idx="457">
                  <c:v>1.0047263613915816</c:v>
                </c:pt>
                <c:pt idx="458">
                  <c:v>1.0047263613915816</c:v>
                </c:pt>
                <c:pt idx="459">
                  <c:v>1.0047263613915816</c:v>
                </c:pt>
                <c:pt idx="460">
                  <c:v>1.0047263613915816</c:v>
                </c:pt>
                <c:pt idx="461">
                  <c:v>1.0047263613915816</c:v>
                </c:pt>
                <c:pt idx="462">
                  <c:v>1.0047263613915816</c:v>
                </c:pt>
                <c:pt idx="463">
                  <c:v>1.0047263613915816</c:v>
                </c:pt>
                <c:pt idx="464">
                  <c:v>1.0047263613915816</c:v>
                </c:pt>
                <c:pt idx="465">
                  <c:v>1.0047263613915816</c:v>
                </c:pt>
                <c:pt idx="466">
                  <c:v>1.0047263613915816</c:v>
                </c:pt>
                <c:pt idx="467">
                  <c:v>1.0047263613915816</c:v>
                </c:pt>
                <c:pt idx="468">
                  <c:v>1.0047263613915816</c:v>
                </c:pt>
                <c:pt idx="469">
                  <c:v>1.0047263613915816</c:v>
                </c:pt>
                <c:pt idx="470">
                  <c:v>1.0047263613915816</c:v>
                </c:pt>
                <c:pt idx="471">
                  <c:v>1.0047263613915816</c:v>
                </c:pt>
                <c:pt idx="472">
                  <c:v>1.0047263613915816</c:v>
                </c:pt>
                <c:pt idx="473">
                  <c:v>1.0047263613915816</c:v>
                </c:pt>
                <c:pt idx="474">
                  <c:v>1.0047263613915816</c:v>
                </c:pt>
                <c:pt idx="475">
                  <c:v>1.0047263613915816</c:v>
                </c:pt>
                <c:pt idx="476">
                  <c:v>1.0047263613915816</c:v>
                </c:pt>
                <c:pt idx="477">
                  <c:v>1.0047263613915816</c:v>
                </c:pt>
                <c:pt idx="478">
                  <c:v>1.0047263613915816</c:v>
                </c:pt>
                <c:pt idx="479">
                  <c:v>1.0047263613915816</c:v>
                </c:pt>
                <c:pt idx="480">
                  <c:v>1.0047263613915816</c:v>
                </c:pt>
                <c:pt idx="481">
                  <c:v>1.0047263613915816</c:v>
                </c:pt>
                <c:pt idx="482">
                  <c:v>1.0047263613915816</c:v>
                </c:pt>
                <c:pt idx="483">
                  <c:v>1.0047263613915816</c:v>
                </c:pt>
                <c:pt idx="484">
                  <c:v>1.0047263613915816</c:v>
                </c:pt>
                <c:pt idx="485">
                  <c:v>1.0047263613915816</c:v>
                </c:pt>
                <c:pt idx="486">
                  <c:v>1.0047263613915816</c:v>
                </c:pt>
                <c:pt idx="487">
                  <c:v>1.0047263613915816</c:v>
                </c:pt>
                <c:pt idx="488">
                  <c:v>1.0047263613915816</c:v>
                </c:pt>
                <c:pt idx="489">
                  <c:v>1.0047263613915816</c:v>
                </c:pt>
                <c:pt idx="490">
                  <c:v>1.0047263613915816</c:v>
                </c:pt>
                <c:pt idx="491">
                  <c:v>1.0047263613915816</c:v>
                </c:pt>
                <c:pt idx="492">
                  <c:v>1.0047263613915816</c:v>
                </c:pt>
                <c:pt idx="493">
                  <c:v>1.0047263613915816</c:v>
                </c:pt>
                <c:pt idx="494">
                  <c:v>1.0047263613915816</c:v>
                </c:pt>
                <c:pt idx="495">
                  <c:v>1.0047263613915816</c:v>
                </c:pt>
                <c:pt idx="496">
                  <c:v>1.0047263613915816</c:v>
                </c:pt>
                <c:pt idx="497">
                  <c:v>1.0047263613915816</c:v>
                </c:pt>
                <c:pt idx="498">
                  <c:v>1.0047263613915816</c:v>
                </c:pt>
                <c:pt idx="499">
                  <c:v>1.0047263613915816</c:v>
                </c:pt>
                <c:pt idx="500">
                  <c:v>1.0047263613915816</c:v>
                </c:pt>
                <c:pt idx="501">
                  <c:v>1.0047263613915816</c:v>
                </c:pt>
                <c:pt idx="502">
                  <c:v>1.0047263613915816</c:v>
                </c:pt>
                <c:pt idx="503">
                  <c:v>1.0047263613915816</c:v>
                </c:pt>
                <c:pt idx="504">
                  <c:v>1.0047263613915816</c:v>
                </c:pt>
                <c:pt idx="505">
                  <c:v>1.0047263613915816</c:v>
                </c:pt>
                <c:pt idx="506">
                  <c:v>1.0047263613915816</c:v>
                </c:pt>
                <c:pt idx="507">
                  <c:v>1.0047263613915816</c:v>
                </c:pt>
                <c:pt idx="508">
                  <c:v>1.0047263613915816</c:v>
                </c:pt>
                <c:pt idx="509">
                  <c:v>1.0047263613915816</c:v>
                </c:pt>
                <c:pt idx="510">
                  <c:v>1.0047263613915816</c:v>
                </c:pt>
                <c:pt idx="511">
                  <c:v>1.0047263613915816</c:v>
                </c:pt>
                <c:pt idx="512">
                  <c:v>1.0047263613915816</c:v>
                </c:pt>
                <c:pt idx="513">
                  <c:v>1.0047263613915816</c:v>
                </c:pt>
                <c:pt idx="514">
                  <c:v>1.0047263613915816</c:v>
                </c:pt>
                <c:pt idx="515">
                  <c:v>1.0047263613915816</c:v>
                </c:pt>
                <c:pt idx="516">
                  <c:v>1.0047263613915816</c:v>
                </c:pt>
                <c:pt idx="517">
                  <c:v>1.0047263613915816</c:v>
                </c:pt>
                <c:pt idx="518">
                  <c:v>1.0047263613915816</c:v>
                </c:pt>
                <c:pt idx="519">
                  <c:v>1.0047263613915816</c:v>
                </c:pt>
                <c:pt idx="520">
                  <c:v>1.0047263613915816</c:v>
                </c:pt>
                <c:pt idx="521">
                  <c:v>1.0047263613915816</c:v>
                </c:pt>
                <c:pt idx="522">
                  <c:v>1.0047263613915816</c:v>
                </c:pt>
                <c:pt idx="523">
                  <c:v>1.0047263613915816</c:v>
                </c:pt>
                <c:pt idx="524">
                  <c:v>1.0047263613915816</c:v>
                </c:pt>
                <c:pt idx="525">
                  <c:v>1.0047263613915816</c:v>
                </c:pt>
                <c:pt idx="526">
                  <c:v>1.0047263613915816</c:v>
                </c:pt>
                <c:pt idx="527">
                  <c:v>1.0047263613915816</c:v>
                </c:pt>
                <c:pt idx="528">
                  <c:v>1.0047263613915816</c:v>
                </c:pt>
                <c:pt idx="529">
                  <c:v>1.0047263613915816</c:v>
                </c:pt>
                <c:pt idx="530">
                  <c:v>1.0047263613915816</c:v>
                </c:pt>
                <c:pt idx="531">
                  <c:v>1.0047263613915816</c:v>
                </c:pt>
                <c:pt idx="532">
                  <c:v>1.0047263613915816</c:v>
                </c:pt>
                <c:pt idx="533">
                  <c:v>1.0047263613915816</c:v>
                </c:pt>
                <c:pt idx="534">
                  <c:v>1.0047263613915816</c:v>
                </c:pt>
                <c:pt idx="535">
                  <c:v>1.0047263613915816</c:v>
                </c:pt>
                <c:pt idx="536">
                  <c:v>1.0047263613915816</c:v>
                </c:pt>
                <c:pt idx="537">
                  <c:v>1.0047263613915816</c:v>
                </c:pt>
                <c:pt idx="538">
                  <c:v>1.0047263613915816</c:v>
                </c:pt>
                <c:pt idx="539">
                  <c:v>1.0047263613915816</c:v>
                </c:pt>
                <c:pt idx="540">
                  <c:v>1.0047263613915816</c:v>
                </c:pt>
                <c:pt idx="541">
                  <c:v>1.0047263613915816</c:v>
                </c:pt>
                <c:pt idx="542">
                  <c:v>1.0047263613915816</c:v>
                </c:pt>
                <c:pt idx="543">
                  <c:v>1.0047263613915816</c:v>
                </c:pt>
                <c:pt idx="544">
                  <c:v>1.0047263613915816</c:v>
                </c:pt>
                <c:pt idx="545">
                  <c:v>1.0047263613915816</c:v>
                </c:pt>
                <c:pt idx="546">
                  <c:v>1.0047263613915816</c:v>
                </c:pt>
                <c:pt idx="547">
                  <c:v>1.0047263613915816</c:v>
                </c:pt>
                <c:pt idx="548">
                  <c:v>1.0047263613915816</c:v>
                </c:pt>
                <c:pt idx="549">
                  <c:v>1.0047263613915816</c:v>
                </c:pt>
                <c:pt idx="550">
                  <c:v>1.0047263613915816</c:v>
                </c:pt>
                <c:pt idx="551">
                  <c:v>1.0047263613915816</c:v>
                </c:pt>
                <c:pt idx="552">
                  <c:v>1.0047263613915816</c:v>
                </c:pt>
                <c:pt idx="553">
                  <c:v>1.0047263613915816</c:v>
                </c:pt>
                <c:pt idx="554">
                  <c:v>1.0047263613915816</c:v>
                </c:pt>
                <c:pt idx="555">
                  <c:v>1.0047263613915816</c:v>
                </c:pt>
                <c:pt idx="556">
                  <c:v>1.0047263613915816</c:v>
                </c:pt>
                <c:pt idx="557">
                  <c:v>1.0047263613915816</c:v>
                </c:pt>
                <c:pt idx="558">
                  <c:v>1.0047263613915816</c:v>
                </c:pt>
                <c:pt idx="559">
                  <c:v>1.0047263613915816</c:v>
                </c:pt>
                <c:pt idx="560">
                  <c:v>1.0047263613915816</c:v>
                </c:pt>
                <c:pt idx="561">
                  <c:v>1.0047263613915816</c:v>
                </c:pt>
                <c:pt idx="562">
                  <c:v>1.0047263613915816</c:v>
                </c:pt>
                <c:pt idx="563">
                  <c:v>1.0047263613915816</c:v>
                </c:pt>
                <c:pt idx="564">
                  <c:v>1.0047263613915816</c:v>
                </c:pt>
                <c:pt idx="565">
                  <c:v>1.0047263613915816</c:v>
                </c:pt>
                <c:pt idx="566">
                  <c:v>1.0047263613915816</c:v>
                </c:pt>
                <c:pt idx="567">
                  <c:v>1.0047263613915816</c:v>
                </c:pt>
                <c:pt idx="568">
                  <c:v>1.0047263613915816</c:v>
                </c:pt>
                <c:pt idx="569">
                  <c:v>1.0047263613915816</c:v>
                </c:pt>
                <c:pt idx="570">
                  <c:v>1.0047263613915816</c:v>
                </c:pt>
                <c:pt idx="571">
                  <c:v>1.0047263613915816</c:v>
                </c:pt>
                <c:pt idx="572">
                  <c:v>1.0047263613915816</c:v>
                </c:pt>
                <c:pt idx="573">
                  <c:v>1.0047263613915816</c:v>
                </c:pt>
                <c:pt idx="574">
                  <c:v>1.0047263613915816</c:v>
                </c:pt>
                <c:pt idx="575">
                  <c:v>1.0047263613915816</c:v>
                </c:pt>
                <c:pt idx="576">
                  <c:v>1.0047263613915816</c:v>
                </c:pt>
                <c:pt idx="577">
                  <c:v>1.0047263613915816</c:v>
                </c:pt>
                <c:pt idx="578">
                  <c:v>1.0047263613915816</c:v>
                </c:pt>
                <c:pt idx="579">
                  <c:v>1.0047263613915816</c:v>
                </c:pt>
                <c:pt idx="580">
                  <c:v>1.0047263613915816</c:v>
                </c:pt>
                <c:pt idx="581">
                  <c:v>1.0047263613915816</c:v>
                </c:pt>
                <c:pt idx="582">
                  <c:v>1.0047263613915816</c:v>
                </c:pt>
                <c:pt idx="583">
                  <c:v>1.0047263613915816</c:v>
                </c:pt>
                <c:pt idx="584">
                  <c:v>1.0047263613915816</c:v>
                </c:pt>
                <c:pt idx="585">
                  <c:v>1.0047263613915816</c:v>
                </c:pt>
                <c:pt idx="586">
                  <c:v>1.0047263613915816</c:v>
                </c:pt>
                <c:pt idx="587">
                  <c:v>1.0047263613915816</c:v>
                </c:pt>
                <c:pt idx="588">
                  <c:v>1.0047263613915816</c:v>
                </c:pt>
                <c:pt idx="589">
                  <c:v>1.0047263613915816</c:v>
                </c:pt>
                <c:pt idx="590">
                  <c:v>1.0047263613915816</c:v>
                </c:pt>
                <c:pt idx="591">
                  <c:v>1.0047263613915816</c:v>
                </c:pt>
                <c:pt idx="592">
                  <c:v>1.0047263613915816</c:v>
                </c:pt>
                <c:pt idx="593">
                  <c:v>1.0047263613915816</c:v>
                </c:pt>
                <c:pt idx="594">
                  <c:v>1.0047263613915816</c:v>
                </c:pt>
                <c:pt idx="595">
                  <c:v>1.0047263613915816</c:v>
                </c:pt>
                <c:pt idx="596">
                  <c:v>1.0047263613915816</c:v>
                </c:pt>
                <c:pt idx="597">
                  <c:v>1.0047263613915816</c:v>
                </c:pt>
                <c:pt idx="598">
                  <c:v>1.0047263613915816</c:v>
                </c:pt>
                <c:pt idx="599">
                  <c:v>1.0047263613915816</c:v>
                </c:pt>
                <c:pt idx="600">
                  <c:v>1.0047263613915816</c:v>
                </c:pt>
                <c:pt idx="601">
                  <c:v>1.0047263613915816</c:v>
                </c:pt>
                <c:pt idx="602">
                  <c:v>1.0047263613915816</c:v>
                </c:pt>
                <c:pt idx="603">
                  <c:v>1.0047263613915816</c:v>
                </c:pt>
                <c:pt idx="604">
                  <c:v>1.0047263613915816</c:v>
                </c:pt>
                <c:pt idx="605">
                  <c:v>1.0047263613915816</c:v>
                </c:pt>
                <c:pt idx="606">
                  <c:v>1.0047263613915816</c:v>
                </c:pt>
                <c:pt idx="607">
                  <c:v>1.0047263613915816</c:v>
                </c:pt>
                <c:pt idx="608">
                  <c:v>1.0047263613915816</c:v>
                </c:pt>
                <c:pt idx="609">
                  <c:v>1.0047263613915816</c:v>
                </c:pt>
                <c:pt idx="610">
                  <c:v>1.0047263613915816</c:v>
                </c:pt>
                <c:pt idx="611">
                  <c:v>1.0047263613915816</c:v>
                </c:pt>
                <c:pt idx="612">
                  <c:v>1.0047263613915816</c:v>
                </c:pt>
                <c:pt idx="613">
                  <c:v>1.0047263613915816</c:v>
                </c:pt>
                <c:pt idx="614">
                  <c:v>1.0047263613915816</c:v>
                </c:pt>
                <c:pt idx="615">
                  <c:v>1.0047263613915816</c:v>
                </c:pt>
                <c:pt idx="616">
                  <c:v>1.0047263613915816</c:v>
                </c:pt>
                <c:pt idx="617">
                  <c:v>1.0047263613915816</c:v>
                </c:pt>
                <c:pt idx="618">
                  <c:v>1.0047263613915816</c:v>
                </c:pt>
                <c:pt idx="619">
                  <c:v>1.0047263613915816</c:v>
                </c:pt>
                <c:pt idx="620">
                  <c:v>1.0047263613915816</c:v>
                </c:pt>
                <c:pt idx="621">
                  <c:v>1.0047263613915816</c:v>
                </c:pt>
                <c:pt idx="622">
                  <c:v>1.0047263613915816</c:v>
                </c:pt>
                <c:pt idx="623">
                  <c:v>1.0047263613915816</c:v>
                </c:pt>
                <c:pt idx="624">
                  <c:v>1.0047263613915816</c:v>
                </c:pt>
                <c:pt idx="625">
                  <c:v>1.0047263613915816</c:v>
                </c:pt>
                <c:pt idx="626">
                  <c:v>1.0047263613915816</c:v>
                </c:pt>
                <c:pt idx="627">
                  <c:v>1.0047263613915816</c:v>
                </c:pt>
                <c:pt idx="628">
                  <c:v>1.0047263613915816</c:v>
                </c:pt>
                <c:pt idx="629">
                  <c:v>1.0047263613915816</c:v>
                </c:pt>
                <c:pt idx="630">
                  <c:v>1.0047263613915816</c:v>
                </c:pt>
                <c:pt idx="631">
                  <c:v>1.0047263613915816</c:v>
                </c:pt>
                <c:pt idx="632">
                  <c:v>1.0047263613915816</c:v>
                </c:pt>
                <c:pt idx="633">
                  <c:v>1.0047263613915816</c:v>
                </c:pt>
                <c:pt idx="634">
                  <c:v>1.0047263613915816</c:v>
                </c:pt>
                <c:pt idx="635">
                  <c:v>1.0047263613915816</c:v>
                </c:pt>
                <c:pt idx="636">
                  <c:v>1.0047263613915816</c:v>
                </c:pt>
                <c:pt idx="637">
                  <c:v>1.0047263613915816</c:v>
                </c:pt>
                <c:pt idx="638">
                  <c:v>1.0047263613915816</c:v>
                </c:pt>
                <c:pt idx="639">
                  <c:v>1.0047263613915816</c:v>
                </c:pt>
                <c:pt idx="640">
                  <c:v>1.0047263613915816</c:v>
                </c:pt>
                <c:pt idx="641">
                  <c:v>1.0047263613915816</c:v>
                </c:pt>
                <c:pt idx="642">
                  <c:v>1.0047263613915816</c:v>
                </c:pt>
                <c:pt idx="643">
                  <c:v>1.0047263613915816</c:v>
                </c:pt>
                <c:pt idx="644">
                  <c:v>1.0047263613915816</c:v>
                </c:pt>
                <c:pt idx="645">
                  <c:v>1.0047263613915816</c:v>
                </c:pt>
                <c:pt idx="646">
                  <c:v>1.0047263613915816</c:v>
                </c:pt>
                <c:pt idx="647">
                  <c:v>1.0047263613915816</c:v>
                </c:pt>
                <c:pt idx="648">
                  <c:v>1.0047263613915816</c:v>
                </c:pt>
                <c:pt idx="649">
                  <c:v>1.0047263613915816</c:v>
                </c:pt>
                <c:pt idx="650">
                  <c:v>1.0047263613915816</c:v>
                </c:pt>
                <c:pt idx="651">
                  <c:v>1.0047263613915816</c:v>
                </c:pt>
                <c:pt idx="652">
                  <c:v>1.0047263613915816</c:v>
                </c:pt>
                <c:pt idx="653">
                  <c:v>1.0047263613915816</c:v>
                </c:pt>
                <c:pt idx="654">
                  <c:v>1.0047263613915816</c:v>
                </c:pt>
                <c:pt idx="655">
                  <c:v>1.0047263613915816</c:v>
                </c:pt>
                <c:pt idx="656">
                  <c:v>1.0047263613915816</c:v>
                </c:pt>
                <c:pt idx="657">
                  <c:v>1.0047263613915816</c:v>
                </c:pt>
                <c:pt idx="658">
                  <c:v>1.0047263613915816</c:v>
                </c:pt>
                <c:pt idx="659">
                  <c:v>1.0047263613915816</c:v>
                </c:pt>
                <c:pt idx="660">
                  <c:v>1.0047263613915816</c:v>
                </c:pt>
                <c:pt idx="661">
                  <c:v>1.0047263613915816</c:v>
                </c:pt>
                <c:pt idx="662">
                  <c:v>1.0047263613915816</c:v>
                </c:pt>
                <c:pt idx="663">
                  <c:v>1.0047263613915816</c:v>
                </c:pt>
                <c:pt idx="664">
                  <c:v>1.0047263613915816</c:v>
                </c:pt>
                <c:pt idx="665">
                  <c:v>1.0047263613915816</c:v>
                </c:pt>
                <c:pt idx="666">
                  <c:v>1.0047263613915816</c:v>
                </c:pt>
                <c:pt idx="667">
                  <c:v>1.0047263613915816</c:v>
                </c:pt>
                <c:pt idx="668">
                  <c:v>1.0047263613915816</c:v>
                </c:pt>
                <c:pt idx="669">
                  <c:v>1.0047263613915816</c:v>
                </c:pt>
                <c:pt idx="670">
                  <c:v>1.0047263613915816</c:v>
                </c:pt>
                <c:pt idx="671">
                  <c:v>1.0047263613915816</c:v>
                </c:pt>
                <c:pt idx="672">
                  <c:v>1.0047263613915816</c:v>
                </c:pt>
                <c:pt idx="673">
                  <c:v>1.0047263613915816</c:v>
                </c:pt>
                <c:pt idx="674">
                  <c:v>1.0047263613915816</c:v>
                </c:pt>
                <c:pt idx="675">
                  <c:v>1.0047263613915816</c:v>
                </c:pt>
                <c:pt idx="676">
                  <c:v>1.0047263613915816</c:v>
                </c:pt>
                <c:pt idx="677">
                  <c:v>1.0047263613915816</c:v>
                </c:pt>
                <c:pt idx="678">
                  <c:v>1.0047263613915816</c:v>
                </c:pt>
                <c:pt idx="679">
                  <c:v>1.0047263613915816</c:v>
                </c:pt>
                <c:pt idx="680">
                  <c:v>1.0047263613915816</c:v>
                </c:pt>
                <c:pt idx="681">
                  <c:v>1.0047263613915816</c:v>
                </c:pt>
                <c:pt idx="682">
                  <c:v>1.0047263613915816</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val>
          <c:extLst>
            <c:ext xmlns:c16="http://schemas.microsoft.com/office/drawing/2014/chart" uri="{C3380CC4-5D6E-409C-BE32-E72D297353CC}">
              <c16:uniqueId val="{00000001-A3B8-4A7A-88F9-3FB27C46CC0F}"/>
            </c:ext>
          </c:extLst>
        </c:ser>
        <c:ser>
          <c:idx val="2"/>
          <c:order val="2"/>
          <c:tx>
            <c:strRef>
              <c:f>BeskrivendeStatistik!$BB$6</c:f>
              <c:strCache>
                <c:ptCount val="1"/>
                <c:pt idx="0">
                  <c:v>3. kvartil</c:v>
                </c:pt>
              </c:strCache>
            </c:strRef>
          </c:tx>
          <c:spPr>
            <a:solidFill>
              <a:schemeClr val="accent3"/>
            </a:solidFill>
            <a:ln>
              <a:noFill/>
            </a:ln>
            <a:effectLst/>
          </c:spPr>
          <c:invertIfNegative val="0"/>
          <c:cat>
            <c:strRef>
              <c:f>[0]!BxK</c:f>
              <c:strCache>
                <c:ptCount val="5000"/>
                <c:pt idx="0">
                  <c:v>-1.48</c:v>
                </c:pt>
                <c:pt idx="243">
                  <c:v>-0.776</c:v>
                </c:pt>
                <c:pt idx="683">
                  <c:v>0.499</c:v>
                </c:pt>
                <c:pt idx="1099">
                  <c:v>1.703</c:v>
                </c:pt>
                <c:pt idx="4999">
                  <c:v>13</c:v>
                </c:pt>
              </c:strCache>
            </c:strRef>
          </c:cat>
          <c:val>
            <c:numRef>
              <c:f>[0]!Bk_3</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formatCode="#,##0.000">
                  <c:v>#N/A</c:v>
                </c:pt>
                <c:pt idx="319" formatCode="#,##0.000">
                  <c:v>#N/A</c:v>
                </c:pt>
                <c:pt idx="320" formatCode="#,##0.000">
                  <c:v>#N/A</c:v>
                </c:pt>
                <c:pt idx="321" formatCode="#,##0.000">
                  <c:v>#N/A</c:v>
                </c:pt>
                <c:pt idx="322" formatCode="#,##0.000">
                  <c:v>#N/A</c:v>
                </c:pt>
                <c:pt idx="323" formatCode="#,##0.000">
                  <c:v>#N/A</c:v>
                </c:pt>
                <c:pt idx="324" formatCode="#,##0.000">
                  <c:v>#N/A</c:v>
                </c:pt>
                <c:pt idx="325" formatCode="#,##0.000">
                  <c:v>#N/A</c:v>
                </c:pt>
                <c:pt idx="326" formatCode="#,##0.000">
                  <c:v>#N/A</c:v>
                </c:pt>
                <c:pt idx="327" formatCode="#,##0.000">
                  <c:v>#N/A</c:v>
                </c:pt>
                <c:pt idx="328" formatCode="#,##0.000">
                  <c:v>#N/A</c:v>
                </c:pt>
                <c:pt idx="329" formatCode="#,##0.000">
                  <c:v>#N/A</c:v>
                </c:pt>
                <c:pt idx="330" formatCode="#,##0.000">
                  <c:v>#N/A</c:v>
                </c:pt>
                <c:pt idx="331" formatCode="#,##0.000">
                  <c:v>#N/A</c:v>
                </c:pt>
                <c:pt idx="332" formatCode="#,##0.000">
                  <c:v>#N/A</c:v>
                </c:pt>
                <c:pt idx="333" formatCode="#,##0.000">
                  <c:v>#N/A</c:v>
                </c:pt>
                <c:pt idx="334" formatCode="#,##0.000">
                  <c:v>#N/A</c:v>
                </c:pt>
                <c:pt idx="335" formatCode="#,##0.000">
                  <c:v>#N/A</c:v>
                </c:pt>
                <c:pt idx="336" formatCode="#,##0.000">
                  <c:v>#N/A</c:v>
                </c:pt>
                <c:pt idx="337" formatCode="#,##0.000">
                  <c:v>#N/A</c:v>
                </c:pt>
                <c:pt idx="338" formatCode="#,##0.000">
                  <c:v>#N/A</c:v>
                </c:pt>
                <c:pt idx="339" formatCode="#,##0.000">
                  <c:v>#N/A</c:v>
                </c:pt>
                <c:pt idx="340" formatCode="#,##0.000">
                  <c:v>#N/A</c:v>
                </c:pt>
                <c:pt idx="341" formatCode="#,##0.000">
                  <c:v>#N/A</c:v>
                </c:pt>
                <c:pt idx="342" formatCode="#,##0.000">
                  <c:v>#N/A</c:v>
                </c:pt>
                <c:pt idx="343" formatCode="#,##0.000">
                  <c:v>#N/A</c:v>
                </c:pt>
                <c:pt idx="344" formatCode="#,##0.000">
                  <c:v>#N/A</c:v>
                </c:pt>
                <c:pt idx="345" formatCode="#,##0.000">
                  <c:v>#N/A</c:v>
                </c:pt>
                <c:pt idx="346" formatCode="#,##0.000">
                  <c:v>#N/A</c:v>
                </c:pt>
                <c:pt idx="347" formatCode="#,##0.000">
                  <c:v>#N/A</c:v>
                </c:pt>
                <c:pt idx="348" formatCode="#,##0.000">
                  <c:v>#N/A</c:v>
                </c:pt>
                <c:pt idx="349" formatCode="#,##0.000">
                  <c:v>#N/A</c:v>
                </c:pt>
                <c:pt idx="350" formatCode="#,##0.000">
                  <c:v>#N/A</c:v>
                </c:pt>
                <c:pt idx="351" formatCode="#,##0.000">
                  <c:v>#N/A</c:v>
                </c:pt>
                <c:pt idx="352" formatCode="#,##0.000">
                  <c:v>#N/A</c:v>
                </c:pt>
                <c:pt idx="353" formatCode="#,##0.000">
                  <c:v>#N/A</c:v>
                </c:pt>
                <c:pt idx="354" formatCode="#,##0.000">
                  <c:v>#N/A</c:v>
                </c:pt>
                <c:pt idx="355" formatCode="#,##0.000">
                  <c:v>#N/A</c:v>
                </c:pt>
                <c:pt idx="356" formatCode="#,##0.000">
                  <c:v>#N/A</c:v>
                </c:pt>
                <c:pt idx="357" formatCode="#,##0.000">
                  <c:v>#N/A</c:v>
                </c:pt>
                <c:pt idx="358" formatCode="#,##0.000">
                  <c:v>#N/A</c:v>
                </c:pt>
                <c:pt idx="359" formatCode="#,##0.000">
                  <c:v>#N/A</c:v>
                </c:pt>
                <c:pt idx="360" formatCode="#,##0.000">
                  <c:v>#N/A</c:v>
                </c:pt>
                <c:pt idx="361" formatCode="#,##0.000">
                  <c:v>#N/A</c:v>
                </c:pt>
                <c:pt idx="362" formatCode="#,##0.000">
                  <c:v>#N/A</c:v>
                </c:pt>
                <c:pt idx="363" formatCode="#,##0.000">
                  <c:v>#N/A</c:v>
                </c:pt>
                <c:pt idx="364" formatCode="#,##0.000">
                  <c:v>#N/A</c:v>
                </c:pt>
                <c:pt idx="365" formatCode="#,##0.000">
                  <c:v>#N/A</c:v>
                </c:pt>
                <c:pt idx="366" formatCode="#,##0.000">
                  <c:v>#N/A</c:v>
                </c:pt>
                <c:pt idx="367" formatCode="#,##0.000">
                  <c:v>#N/A</c:v>
                </c:pt>
                <c:pt idx="368" formatCode="#,##0.000">
                  <c:v>#N/A</c:v>
                </c:pt>
                <c:pt idx="369" formatCode="#,##0.000">
                  <c:v>#N/A</c:v>
                </c:pt>
                <c:pt idx="370" formatCode="#,##0.000">
                  <c:v>#N/A</c:v>
                </c:pt>
                <c:pt idx="371" formatCode="#,##0.000">
                  <c:v>#N/A</c:v>
                </c:pt>
                <c:pt idx="372" formatCode="#,##0.000">
                  <c:v>#N/A</c:v>
                </c:pt>
                <c:pt idx="373" formatCode="#,##0.000">
                  <c:v>#N/A</c:v>
                </c:pt>
                <c:pt idx="374" formatCode="#,##0.000">
                  <c:v>#N/A</c:v>
                </c:pt>
                <c:pt idx="375" formatCode="#,##0.000">
                  <c:v>#N/A</c:v>
                </c:pt>
                <c:pt idx="376" formatCode="#,##0.000">
                  <c:v>#N/A</c:v>
                </c:pt>
                <c:pt idx="377" formatCode="#,##0.000">
                  <c:v>#N/A</c:v>
                </c:pt>
                <c:pt idx="378" formatCode="#,##0.000">
                  <c:v>#N/A</c:v>
                </c:pt>
                <c:pt idx="379" formatCode="#,##0.000">
                  <c:v>#N/A</c:v>
                </c:pt>
                <c:pt idx="380" formatCode="#,##0.000">
                  <c:v>#N/A</c:v>
                </c:pt>
                <c:pt idx="381" formatCode="#,##0.000">
                  <c:v>#N/A</c:v>
                </c:pt>
                <c:pt idx="382" formatCode="#,##0.000">
                  <c:v>#N/A</c:v>
                </c:pt>
                <c:pt idx="383" formatCode="#,##0.000">
                  <c:v>#N/A</c:v>
                </c:pt>
                <c:pt idx="384" formatCode="#,##0.000">
                  <c:v>#N/A</c:v>
                </c:pt>
                <c:pt idx="385" formatCode="#,##0.000">
                  <c:v>#N/A</c:v>
                </c:pt>
                <c:pt idx="386" formatCode="#,##0.000">
                  <c:v>#N/A</c:v>
                </c:pt>
                <c:pt idx="387" formatCode="#,##0.000">
                  <c:v>#N/A</c:v>
                </c:pt>
                <c:pt idx="388" formatCode="#,##0.000">
                  <c:v>#N/A</c:v>
                </c:pt>
                <c:pt idx="389" formatCode="#,##0.000">
                  <c:v>#N/A</c:v>
                </c:pt>
                <c:pt idx="390" formatCode="#,##0.000">
                  <c:v>#N/A</c:v>
                </c:pt>
                <c:pt idx="391" formatCode="#,##0.000">
                  <c:v>#N/A</c:v>
                </c:pt>
                <c:pt idx="392" formatCode="#,##0.000">
                  <c:v>#N/A</c:v>
                </c:pt>
                <c:pt idx="393" formatCode="#,##0.000">
                  <c:v>#N/A</c:v>
                </c:pt>
                <c:pt idx="394" formatCode="#,##0.000">
                  <c:v>#N/A</c:v>
                </c:pt>
                <c:pt idx="395" formatCode="#,##0.000">
                  <c:v>#N/A</c:v>
                </c:pt>
                <c:pt idx="396" formatCode="#,##0.000">
                  <c:v>#N/A</c:v>
                </c:pt>
                <c:pt idx="397" formatCode="#,##0.000">
                  <c:v>#N/A</c:v>
                </c:pt>
                <c:pt idx="398" formatCode="#,##0.000">
                  <c:v>#N/A</c:v>
                </c:pt>
                <c:pt idx="399" formatCode="#,##0.000">
                  <c:v>#N/A</c:v>
                </c:pt>
                <c:pt idx="400" formatCode="#,##0.000">
                  <c:v>#N/A</c:v>
                </c:pt>
                <c:pt idx="401" formatCode="#,##0.000">
                  <c:v>#N/A</c:v>
                </c:pt>
                <c:pt idx="402" formatCode="#,##0.000">
                  <c:v>#N/A</c:v>
                </c:pt>
                <c:pt idx="403" formatCode="#,##0.000">
                  <c:v>#N/A</c:v>
                </c:pt>
                <c:pt idx="404" formatCode="#,##0.000">
                  <c:v>#N/A</c:v>
                </c:pt>
                <c:pt idx="405" formatCode="#,##0.000">
                  <c:v>#N/A</c:v>
                </c:pt>
                <c:pt idx="406" formatCode="#,##0.000">
                  <c:v>#N/A</c:v>
                </c:pt>
                <c:pt idx="407" formatCode="#,##0.000">
                  <c:v>#N/A</c:v>
                </c:pt>
                <c:pt idx="408" formatCode="#,##0.000">
                  <c:v>#N/A</c:v>
                </c:pt>
                <c:pt idx="409" formatCode="#,##0.000">
                  <c:v>#N/A</c:v>
                </c:pt>
                <c:pt idx="410" formatCode="#,##0.000">
                  <c:v>#N/A</c:v>
                </c:pt>
                <c:pt idx="411" formatCode="#,##0.000">
                  <c:v>#N/A</c:v>
                </c:pt>
                <c:pt idx="412" formatCode="#,##0.000">
                  <c:v>#N/A</c:v>
                </c:pt>
                <c:pt idx="413" formatCode="#,##0.000">
                  <c:v>#N/A</c:v>
                </c:pt>
                <c:pt idx="414" formatCode="#,##0.000">
                  <c:v>#N/A</c:v>
                </c:pt>
                <c:pt idx="415" formatCode="#,##0.000">
                  <c:v>#N/A</c:v>
                </c:pt>
                <c:pt idx="416" formatCode="#,##0.000">
                  <c:v>#N/A</c:v>
                </c:pt>
                <c:pt idx="417" formatCode="#,##0.000">
                  <c:v>#N/A</c:v>
                </c:pt>
                <c:pt idx="418" formatCode="#,##0.000">
                  <c:v>#N/A</c:v>
                </c:pt>
                <c:pt idx="419" formatCode="#,##0.000">
                  <c:v>#N/A</c:v>
                </c:pt>
                <c:pt idx="420" formatCode="#,##0.000">
                  <c:v>#N/A</c:v>
                </c:pt>
                <c:pt idx="421" formatCode="#,##0.000">
                  <c:v>#N/A</c:v>
                </c:pt>
                <c:pt idx="422" formatCode="#,##0.000">
                  <c:v>#N/A</c:v>
                </c:pt>
                <c:pt idx="423" formatCode="#,##0.000">
                  <c:v>#N/A</c:v>
                </c:pt>
                <c:pt idx="424" formatCode="#,##0.000">
                  <c:v>#N/A</c:v>
                </c:pt>
                <c:pt idx="425" formatCode="#,##0.000">
                  <c:v>#N/A</c:v>
                </c:pt>
                <c:pt idx="426" formatCode="#,##0.000">
                  <c:v>#N/A</c:v>
                </c:pt>
                <c:pt idx="427" formatCode="#,##0.000">
                  <c:v>#N/A</c:v>
                </c:pt>
                <c:pt idx="428" formatCode="#,##0.000">
                  <c:v>#N/A</c:v>
                </c:pt>
                <c:pt idx="429" formatCode="#,##0.000">
                  <c:v>#N/A</c:v>
                </c:pt>
                <c:pt idx="430" formatCode="#,##0.000">
                  <c:v>#N/A</c:v>
                </c:pt>
                <c:pt idx="431" formatCode="#,##0.000">
                  <c:v>#N/A</c:v>
                </c:pt>
                <c:pt idx="432" formatCode="#,##0.000">
                  <c:v>#N/A</c:v>
                </c:pt>
                <c:pt idx="433" formatCode="#,##0.000">
                  <c:v>#N/A</c:v>
                </c:pt>
                <c:pt idx="434" formatCode="#,##0.000">
                  <c:v>#N/A</c:v>
                </c:pt>
                <c:pt idx="435" formatCode="#,##0.000">
                  <c:v>#N/A</c:v>
                </c:pt>
                <c:pt idx="436" formatCode="#,##0.000">
                  <c:v>#N/A</c:v>
                </c:pt>
                <c:pt idx="437" formatCode="#,##0.000">
                  <c:v>#N/A</c:v>
                </c:pt>
                <c:pt idx="438" formatCode="#,##0.000">
                  <c:v>#N/A</c:v>
                </c:pt>
                <c:pt idx="439" formatCode="#,##0.000">
                  <c:v>#N/A</c:v>
                </c:pt>
                <c:pt idx="440" formatCode="#,##0.000">
                  <c:v>#N/A</c:v>
                </c:pt>
                <c:pt idx="441" formatCode="#,##0.000">
                  <c:v>#N/A</c:v>
                </c:pt>
                <c:pt idx="442" formatCode="#,##0.000">
                  <c:v>#N/A</c:v>
                </c:pt>
                <c:pt idx="443" formatCode="#,##0.000">
                  <c:v>#N/A</c:v>
                </c:pt>
                <c:pt idx="444" formatCode="#,##0.000">
                  <c:v>#N/A</c:v>
                </c:pt>
                <c:pt idx="445" formatCode="#,##0.000">
                  <c:v>#N/A</c:v>
                </c:pt>
                <c:pt idx="446" formatCode="#,##0.000">
                  <c:v>#N/A</c:v>
                </c:pt>
                <c:pt idx="447" formatCode="#,##0.000">
                  <c:v>#N/A</c:v>
                </c:pt>
                <c:pt idx="448" formatCode="#,##0.000">
                  <c:v>#N/A</c:v>
                </c:pt>
                <c:pt idx="449" formatCode="#,##0.000">
                  <c:v>#N/A</c:v>
                </c:pt>
                <c:pt idx="450" formatCode="#,##0.000">
                  <c:v>#N/A</c:v>
                </c:pt>
                <c:pt idx="451" formatCode="#,##0.000">
                  <c:v>#N/A</c:v>
                </c:pt>
                <c:pt idx="452" formatCode="#,##0.000">
                  <c:v>#N/A</c:v>
                </c:pt>
                <c:pt idx="453" formatCode="#,##0.000">
                  <c:v>#N/A</c:v>
                </c:pt>
                <c:pt idx="454" formatCode="#,##0.000">
                  <c:v>#N/A</c:v>
                </c:pt>
                <c:pt idx="455" formatCode="#,##0.000">
                  <c:v>#N/A</c:v>
                </c:pt>
                <c:pt idx="456" formatCode="#,##0.000">
                  <c:v>#N/A</c:v>
                </c:pt>
                <c:pt idx="457" formatCode="#,##0.000">
                  <c:v>#N/A</c:v>
                </c:pt>
                <c:pt idx="458" formatCode="#,##0.000">
                  <c:v>#N/A</c:v>
                </c:pt>
                <c:pt idx="459" formatCode="#,##0.000">
                  <c:v>#N/A</c:v>
                </c:pt>
                <c:pt idx="460" formatCode="#,##0.000">
                  <c:v>#N/A</c:v>
                </c:pt>
                <c:pt idx="461" formatCode="#,##0.000">
                  <c:v>#N/A</c:v>
                </c:pt>
                <c:pt idx="462" formatCode="#,##0.000">
                  <c:v>#N/A</c:v>
                </c:pt>
                <c:pt idx="463" formatCode="#,##0.000">
                  <c:v>#N/A</c:v>
                </c:pt>
                <c:pt idx="464" formatCode="#,##0.000">
                  <c:v>#N/A</c:v>
                </c:pt>
                <c:pt idx="465" formatCode="#,##0.000">
                  <c:v>#N/A</c:v>
                </c:pt>
                <c:pt idx="466" formatCode="#,##0.000">
                  <c:v>#N/A</c:v>
                </c:pt>
                <c:pt idx="467" formatCode="#,##0.000">
                  <c:v>#N/A</c:v>
                </c:pt>
                <c:pt idx="468" formatCode="#,##0.000">
                  <c:v>#N/A</c:v>
                </c:pt>
                <c:pt idx="469" formatCode="#,##0.000">
                  <c:v>#N/A</c:v>
                </c:pt>
                <c:pt idx="470" formatCode="#,##0.000">
                  <c:v>#N/A</c:v>
                </c:pt>
                <c:pt idx="471" formatCode="#,##0.000">
                  <c:v>#N/A</c:v>
                </c:pt>
                <c:pt idx="472" formatCode="#,##0.000">
                  <c:v>#N/A</c:v>
                </c:pt>
                <c:pt idx="473" formatCode="#,##0.000">
                  <c:v>#N/A</c:v>
                </c:pt>
                <c:pt idx="474" formatCode="#,##0.000">
                  <c:v>#N/A</c:v>
                </c:pt>
                <c:pt idx="475" formatCode="#,##0.000">
                  <c:v>#N/A</c:v>
                </c:pt>
                <c:pt idx="476" formatCode="#,##0.000">
                  <c:v>#N/A</c:v>
                </c:pt>
                <c:pt idx="477" formatCode="#,##0.000">
                  <c:v>#N/A</c:v>
                </c:pt>
                <c:pt idx="478" formatCode="#,##0.000">
                  <c:v>#N/A</c:v>
                </c:pt>
                <c:pt idx="479" formatCode="#,##0.000">
                  <c:v>#N/A</c:v>
                </c:pt>
                <c:pt idx="480" formatCode="#,##0.000">
                  <c:v>#N/A</c:v>
                </c:pt>
                <c:pt idx="481" formatCode="#,##0.000">
                  <c:v>#N/A</c:v>
                </c:pt>
                <c:pt idx="482" formatCode="#,##0.000">
                  <c:v>#N/A</c:v>
                </c:pt>
                <c:pt idx="483" formatCode="#,##0.000">
                  <c:v>#N/A</c:v>
                </c:pt>
                <c:pt idx="484" formatCode="#,##0.000">
                  <c:v>#N/A</c:v>
                </c:pt>
                <c:pt idx="485" formatCode="#,##0.000">
                  <c:v>#N/A</c:v>
                </c:pt>
                <c:pt idx="486" formatCode="#,##0.000">
                  <c:v>#N/A</c:v>
                </c:pt>
                <c:pt idx="487" formatCode="#,##0.000">
                  <c:v>#N/A</c:v>
                </c:pt>
                <c:pt idx="488" formatCode="#,##0.000">
                  <c:v>#N/A</c:v>
                </c:pt>
                <c:pt idx="489" formatCode="#,##0.000">
                  <c:v>#N/A</c:v>
                </c:pt>
                <c:pt idx="490" formatCode="#,##0.000">
                  <c:v>#N/A</c:v>
                </c:pt>
                <c:pt idx="491" formatCode="#,##0.000">
                  <c:v>#N/A</c:v>
                </c:pt>
                <c:pt idx="492" formatCode="#,##0.000">
                  <c:v>#N/A</c:v>
                </c:pt>
                <c:pt idx="493" formatCode="#,##0.000">
                  <c:v>#N/A</c:v>
                </c:pt>
                <c:pt idx="494" formatCode="#,##0.000">
                  <c:v>#N/A</c:v>
                </c:pt>
                <c:pt idx="495" formatCode="#,##0.000">
                  <c:v>#N/A</c:v>
                </c:pt>
                <c:pt idx="496" formatCode="#,##0.000">
                  <c:v>#N/A</c:v>
                </c:pt>
                <c:pt idx="497" formatCode="#,##0.000">
                  <c:v>#N/A</c:v>
                </c:pt>
                <c:pt idx="498" formatCode="#,##0.000">
                  <c:v>#N/A</c:v>
                </c:pt>
                <c:pt idx="499" formatCode="#,##0.000">
                  <c:v>#N/A</c:v>
                </c:pt>
                <c:pt idx="500" formatCode="#,##0.000">
                  <c:v>#N/A</c:v>
                </c:pt>
                <c:pt idx="501" formatCode="#,##0.000">
                  <c:v>#N/A</c:v>
                </c:pt>
                <c:pt idx="502" formatCode="#,##0.000">
                  <c:v>#N/A</c:v>
                </c:pt>
                <c:pt idx="503" formatCode="#,##0.000">
                  <c:v>#N/A</c:v>
                </c:pt>
                <c:pt idx="504" formatCode="#,##0.000">
                  <c:v>#N/A</c:v>
                </c:pt>
                <c:pt idx="505" formatCode="#,##0.000">
                  <c:v>#N/A</c:v>
                </c:pt>
                <c:pt idx="506" formatCode="#,##0.000">
                  <c:v>#N/A</c:v>
                </c:pt>
                <c:pt idx="507" formatCode="#,##0.000">
                  <c:v>#N/A</c:v>
                </c:pt>
                <c:pt idx="508" formatCode="#,##0.000">
                  <c:v>#N/A</c:v>
                </c:pt>
                <c:pt idx="509" formatCode="#,##0.000">
                  <c:v>#N/A</c:v>
                </c:pt>
                <c:pt idx="510" formatCode="#,##0.000">
                  <c:v>#N/A</c:v>
                </c:pt>
                <c:pt idx="511" formatCode="#,##0.000">
                  <c:v>#N/A</c:v>
                </c:pt>
                <c:pt idx="512" formatCode="#,##0.000">
                  <c:v>#N/A</c:v>
                </c:pt>
                <c:pt idx="513" formatCode="#,##0.000">
                  <c:v>#N/A</c:v>
                </c:pt>
                <c:pt idx="514" formatCode="#,##0.000">
                  <c:v>#N/A</c:v>
                </c:pt>
                <c:pt idx="515" formatCode="#,##0.000">
                  <c:v>#N/A</c:v>
                </c:pt>
                <c:pt idx="516" formatCode="#,##0.000">
                  <c:v>#N/A</c:v>
                </c:pt>
                <c:pt idx="517" formatCode="#,##0.000">
                  <c:v>#N/A</c:v>
                </c:pt>
                <c:pt idx="518" formatCode="#,##0.000">
                  <c:v>#N/A</c:v>
                </c:pt>
                <c:pt idx="519" formatCode="#,##0.000">
                  <c:v>#N/A</c:v>
                </c:pt>
                <c:pt idx="520" formatCode="#,##0.000">
                  <c:v>#N/A</c:v>
                </c:pt>
                <c:pt idx="521" formatCode="#,##0.000">
                  <c:v>#N/A</c:v>
                </c:pt>
                <c:pt idx="522" formatCode="#,##0.000">
                  <c:v>#N/A</c:v>
                </c:pt>
                <c:pt idx="523" formatCode="#,##0.000">
                  <c:v>#N/A</c:v>
                </c:pt>
                <c:pt idx="524" formatCode="#,##0.000">
                  <c:v>#N/A</c:v>
                </c:pt>
                <c:pt idx="525" formatCode="#,##0.000">
                  <c:v>#N/A</c:v>
                </c:pt>
                <c:pt idx="526" formatCode="#,##0.000">
                  <c:v>#N/A</c:v>
                </c:pt>
                <c:pt idx="527" formatCode="#,##0.000">
                  <c:v>#N/A</c:v>
                </c:pt>
                <c:pt idx="528" formatCode="#,##0.000">
                  <c:v>#N/A</c:v>
                </c:pt>
                <c:pt idx="529" formatCode="#,##0.000">
                  <c:v>#N/A</c:v>
                </c:pt>
                <c:pt idx="530" formatCode="#,##0.000">
                  <c:v>#N/A</c:v>
                </c:pt>
                <c:pt idx="531" formatCode="#,##0.000">
                  <c:v>#N/A</c:v>
                </c:pt>
                <c:pt idx="532" formatCode="#,##0.000">
                  <c:v>#N/A</c:v>
                </c:pt>
                <c:pt idx="533" formatCode="#,##0.000">
                  <c:v>#N/A</c:v>
                </c:pt>
                <c:pt idx="534" formatCode="#,##0.000">
                  <c:v>#N/A</c:v>
                </c:pt>
                <c:pt idx="535" formatCode="#,##0.000">
                  <c:v>#N/A</c:v>
                </c:pt>
                <c:pt idx="536" formatCode="#,##0.000">
                  <c:v>#N/A</c:v>
                </c:pt>
                <c:pt idx="537" formatCode="#,##0.000">
                  <c:v>#N/A</c:v>
                </c:pt>
                <c:pt idx="538" formatCode="#,##0.000">
                  <c:v>#N/A</c:v>
                </c:pt>
                <c:pt idx="539" formatCode="#,##0.000">
                  <c:v>#N/A</c:v>
                </c:pt>
                <c:pt idx="540" formatCode="#,##0.000">
                  <c:v>#N/A</c:v>
                </c:pt>
                <c:pt idx="541" formatCode="#,##0.000">
                  <c:v>#N/A</c:v>
                </c:pt>
                <c:pt idx="542" formatCode="#,##0.000">
                  <c:v>#N/A</c:v>
                </c:pt>
                <c:pt idx="543" formatCode="#,##0.000">
                  <c:v>#N/A</c:v>
                </c:pt>
                <c:pt idx="544" formatCode="#,##0.000">
                  <c:v>#N/A</c:v>
                </c:pt>
                <c:pt idx="545" formatCode="#,##0.000">
                  <c:v>#N/A</c:v>
                </c:pt>
                <c:pt idx="546" formatCode="#,##0.000">
                  <c:v>#N/A</c:v>
                </c:pt>
                <c:pt idx="547" formatCode="#,##0.000">
                  <c:v>#N/A</c:v>
                </c:pt>
                <c:pt idx="548" formatCode="#,##0.000">
                  <c:v>#N/A</c:v>
                </c:pt>
                <c:pt idx="549" formatCode="#,##0.000">
                  <c:v>#N/A</c:v>
                </c:pt>
                <c:pt idx="550" formatCode="#,##0.000">
                  <c:v>#N/A</c:v>
                </c:pt>
                <c:pt idx="551" formatCode="#,##0.000">
                  <c:v>#N/A</c:v>
                </c:pt>
                <c:pt idx="552" formatCode="#,##0.000">
                  <c:v>#N/A</c:v>
                </c:pt>
                <c:pt idx="553" formatCode="#,##0.000">
                  <c:v>#N/A</c:v>
                </c:pt>
                <c:pt idx="554" formatCode="#,##0.000">
                  <c:v>#N/A</c:v>
                </c:pt>
                <c:pt idx="555" formatCode="#,##0.000">
                  <c:v>#N/A</c:v>
                </c:pt>
                <c:pt idx="556" formatCode="#,##0.000">
                  <c:v>#N/A</c:v>
                </c:pt>
                <c:pt idx="557" formatCode="#,##0.000">
                  <c:v>#N/A</c:v>
                </c:pt>
                <c:pt idx="558" formatCode="#,##0.000">
                  <c:v>#N/A</c:v>
                </c:pt>
                <c:pt idx="559" formatCode="#,##0.000">
                  <c:v>#N/A</c:v>
                </c:pt>
                <c:pt idx="560" formatCode="#,##0.000">
                  <c:v>#N/A</c:v>
                </c:pt>
                <c:pt idx="561" formatCode="#,##0.000">
                  <c:v>#N/A</c:v>
                </c:pt>
                <c:pt idx="562" formatCode="#,##0.000">
                  <c:v>#N/A</c:v>
                </c:pt>
                <c:pt idx="563" formatCode="#,##0.000">
                  <c:v>#N/A</c:v>
                </c:pt>
                <c:pt idx="564" formatCode="#,##0.000">
                  <c:v>#N/A</c:v>
                </c:pt>
                <c:pt idx="565" formatCode="#,##0.000">
                  <c:v>#N/A</c:v>
                </c:pt>
                <c:pt idx="566" formatCode="#,##0.000">
                  <c:v>#N/A</c:v>
                </c:pt>
                <c:pt idx="567" formatCode="#,##0.000">
                  <c:v>#N/A</c:v>
                </c:pt>
                <c:pt idx="568" formatCode="#,##0.000">
                  <c:v>#N/A</c:v>
                </c:pt>
                <c:pt idx="569" formatCode="#,##0.000">
                  <c:v>#N/A</c:v>
                </c:pt>
                <c:pt idx="570" formatCode="#,##0.000">
                  <c:v>#N/A</c:v>
                </c:pt>
                <c:pt idx="571" formatCode="#,##0.000">
                  <c:v>#N/A</c:v>
                </c:pt>
                <c:pt idx="572" formatCode="#,##0.000">
                  <c:v>#N/A</c:v>
                </c:pt>
                <c:pt idx="573" formatCode="#,##0.000">
                  <c:v>#N/A</c:v>
                </c:pt>
                <c:pt idx="574" formatCode="#,##0.000">
                  <c:v>#N/A</c:v>
                </c:pt>
                <c:pt idx="575" formatCode="#,##0.000">
                  <c:v>#N/A</c:v>
                </c:pt>
                <c:pt idx="576" formatCode="#,##0.000">
                  <c:v>#N/A</c:v>
                </c:pt>
                <c:pt idx="577" formatCode="#,##0.000">
                  <c:v>#N/A</c:v>
                </c:pt>
                <c:pt idx="578" formatCode="#,##0.000">
                  <c:v>#N/A</c:v>
                </c:pt>
                <c:pt idx="579" formatCode="#,##0.000">
                  <c:v>#N/A</c:v>
                </c:pt>
                <c:pt idx="580" formatCode="#,##0.000">
                  <c:v>#N/A</c:v>
                </c:pt>
                <c:pt idx="581" formatCode="#,##0.000">
                  <c:v>#N/A</c:v>
                </c:pt>
                <c:pt idx="582" formatCode="#,##0.000">
                  <c:v>#N/A</c:v>
                </c:pt>
                <c:pt idx="583" formatCode="#,##0.000">
                  <c:v>#N/A</c:v>
                </c:pt>
                <c:pt idx="584" formatCode="#,##0.000">
                  <c:v>#N/A</c:v>
                </c:pt>
                <c:pt idx="585" formatCode="#,##0.000">
                  <c:v>#N/A</c:v>
                </c:pt>
                <c:pt idx="586" formatCode="#,##0.000">
                  <c:v>#N/A</c:v>
                </c:pt>
                <c:pt idx="587" formatCode="#,##0.000">
                  <c:v>#N/A</c:v>
                </c:pt>
                <c:pt idx="588" formatCode="#,##0.000">
                  <c:v>#N/A</c:v>
                </c:pt>
                <c:pt idx="589" formatCode="#,##0.000">
                  <c:v>#N/A</c:v>
                </c:pt>
                <c:pt idx="590" formatCode="#,##0.000">
                  <c:v>#N/A</c:v>
                </c:pt>
                <c:pt idx="591" formatCode="#,##0.000">
                  <c:v>#N/A</c:v>
                </c:pt>
                <c:pt idx="592" formatCode="#,##0.000">
                  <c:v>#N/A</c:v>
                </c:pt>
                <c:pt idx="593" formatCode="#,##0.000">
                  <c:v>#N/A</c:v>
                </c:pt>
                <c:pt idx="594" formatCode="#,##0.000">
                  <c:v>#N/A</c:v>
                </c:pt>
                <c:pt idx="595" formatCode="#,##0.000">
                  <c:v>#N/A</c:v>
                </c:pt>
                <c:pt idx="596" formatCode="#,##0.000">
                  <c:v>#N/A</c:v>
                </c:pt>
                <c:pt idx="597" formatCode="#,##0.000">
                  <c:v>#N/A</c:v>
                </c:pt>
                <c:pt idx="598" formatCode="#,##0.000">
                  <c:v>#N/A</c:v>
                </c:pt>
                <c:pt idx="599" formatCode="#,##0.000">
                  <c:v>#N/A</c:v>
                </c:pt>
                <c:pt idx="600" formatCode="#,##0.000">
                  <c:v>#N/A</c:v>
                </c:pt>
                <c:pt idx="601" formatCode="#,##0.000">
                  <c:v>#N/A</c:v>
                </c:pt>
                <c:pt idx="602" formatCode="#,##0.000">
                  <c:v>#N/A</c:v>
                </c:pt>
                <c:pt idx="603" formatCode="#,##0.000">
                  <c:v>#N/A</c:v>
                </c:pt>
                <c:pt idx="604" formatCode="#,##0.000">
                  <c:v>#N/A</c:v>
                </c:pt>
                <c:pt idx="605" formatCode="#,##0.000">
                  <c:v>#N/A</c:v>
                </c:pt>
                <c:pt idx="606" formatCode="#,##0.000">
                  <c:v>#N/A</c:v>
                </c:pt>
                <c:pt idx="607" formatCode="#,##0.000">
                  <c:v>#N/A</c:v>
                </c:pt>
                <c:pt idx="608" formatCode="#,##0.000">
                  <c:v>#N/A</c:v>
                </c:pt>
                <c:pt idx="609" formatCode="#,##0.000">
                  <c:v>#N/A</c:v>
                </c:pt>
                <c:pt idx="610" formatCode="#,##0.000">
                  <c:v>#N/A</c:v>
                </c:pt>
                <c:pt idx="611" formatCode="#,##0.000">
                  <c:v>#N/A</c:v>
                </c:pt>
                <c:pt idx="612" formatCode="#,##0.000">
                  <c:v>#N/A</c:v>
                </c:pt>
                <c:pt idx="613" formatCode="#,##0.000">
                  <c:v>#N/A</c:v>
                </c:pt>
                <c:pt idx="614" formatCode="#,##0.000">
                  <c:v>#N/A</c:v>
                </c:pt>
                <c:pt idx="615" formatCode="#,##0.000">
                  <c:v>#N/A</c:v>
                </c:pt>
                <c:pt idx="616" formatCode="#,##0.000">
                  <c:v>#N/A</c:v>
                </c:pt>
                <c:pt idx="617" formatCode="#,##0.000">
                  <c:v>#N/A</c:v>
                </c:pt>
                <c:pt idx="618" formatCode="#,##0.000">
                  <c:v>#N/A</c:v>
                </c:pt>
                <c:pt idx="619" formatCode="#,##0.000">
                  <c:v>#N/A</c:v>
                </c:pt>
                <c:pt idx="620" formatCode="#,##0.000">
                  <c:v>#N/A</c:v>
                </c:pt>
                <c:pt idx="621" formatCode="#,##0.000">
                  <c:v>#N/A</c:v>
                </c:pt>
                <c:pt idx="622" formatCode="#,##0.000">
                  <c:v>#N/A</c:v>
                </c:pt>
                <c:pt idx="623" formatCode="#,##0.000">
                  <c:v>#N/A</c:v>
                </c:pt>
                <c:pt idx="624" formatCode="#,##0.000">
                  <c:v>#N/A</c:v>
                </c:pt>
                <c:pt idx="625" formatCode="#,##0.000">
                  <c:v>#N/A</c:v>
                </c:pt>
                <c:pt idx="626" formatCode="#,##0.000">
                  <c:v>#N/A</c:v>
                </c:pt>
                <c:pt idx="627" formatCode="#,##0.000">
                  <c:v>#N/A</c:v>
                </c:pt>
                <c:pt idx="628" formatCode="#,##0.000">
                  <c:v>#N/A</c:v>
                </c:pt>
                <c:pt idx="629" formatCode="#,##0.000">
                  <c:v>#N/A</c:v>
                </c:pt>
                <c:pt idx="630" formatCode="#,##0.000">
                  <c:v>#N/A</c:v>
                </c:pt>
                <c:pt idx="631" formatCode="#,##0.000">
                  <c:v>#N/A</c:v>
                </c:pt>
                <c:pt idx="632" formatCode="#,##0.000">
                  <c:v>#N/A</c:v>
                </c:pt>
                <c:pt idx="633" formatCode="#,##0.000">
                  <c:v>#N/A</c:v>
                </c:pt>
                <c:pt idx="634" formatCode="#,##0.000">
                  <c:v>#N/A</c:v>
                </c:pt>
                <c:pt idx="635" formatCode="#,##0.000">
                  <c:v>#N/A</c:v>
                </c:pt>
                <c:pt idx="636" formatCode="#,##0.000">
                  <c:v>#N/A</c:v>
                </c:pt>
                <c:pt idx="637" formatCode="#,##0.000">
                  <c:v>#N/A</c:v>
                </c:pt>
                <c:pt idx="638" formatCode="#,##0.000">
                  <c:v>#N/A</c:v>
                </c:pt>
                <c:pt idx="639" formatCode="#,##0.000">
                  <c:v>#N/A</c:v>
                </c:pt>
                <c:pt idx="640" formatCode="#,##0.000">
                  <c:v>#N/A</c:v>
                </c:pt>
                <c:pt idx="641" formatCode="#,##0.000">
                  <c:v>#N/A</c:v>
                </c:pt>
                <c:pt idx="642" formatCode="#,##0.000">
                  <c:v>#N/A</c:v>
                </c:pt>
                <c:pt idx="643" formatCode="#,##0.000">
                  <c:v>#N/A</c:v>
                </c:pt>
                <c:pt idx="644" formatCode="#,##0.000">
                  <c:v>#N/A</c:v>
                </c:pt>
                <c:pt idx="645" formatCode="#,##0.000">
                  <c:v>#N/A</c:v>
                </c:pt>
                <c:pt idx="646" formatCode="#,##0.000">
                  <c:v>#N/A</c:v>
                </c:pt>
                <c:pt idx="647" formatCode="#,##0.000">
                  <c:v>#N/A</c:v>
                </c:pt>
                <c:pt idx="648" formatCode="#,##0.000">
                  <c:v>#N/A</c:v>
                </c:pt>
                <c:pt idx="649" formatCode="#,##0.000">
                  <c:v>#N/A</c:v>
                </c:pt>
                <c:pt idx="650" formatCode="#,##0.000">
                  <c:v>#N/A</c:v>
                </c:pt>
                <c:pt idx="651" formatCode="#,##0.000">
                  <c:v>#N/A</c:v>
                </c:pt>
                <c:pt idx="652" formatCode="#,##0.000">
                  <c:v>#N/A</c:v>
                </c:pt>
                <c:pt idx="653" formatCode="#,##0.000">
                  <c:v>#N/A</c:v>
                </c:pt>
                <c:pt idx="654" formatCode="#,##0.000">
                  <c:v>#N/A</c:v>
                </c:pt>
                <c:pt idx="655" formatCode="#,##0.000">
                  <c:v>#N/A</c:v>
                </c:pt>
                <c:pt idx="656" formatCode="#,##0.000">
                  <c:v>#N/A</c:v>
                </c:pt>
                <c:pt idx="657" formatCode="#,##0.000">
                  <c:v>#N/A</c:v>
                </c:pt>
                <c:pt idx="658" formatCode="#,##0.000">
                  <c:v>#N/A</c:v>
                </c:pt>
                <c:pt idx="659" formatCode="#,##0.000">
                  <c:v>#N/A</c:v>
                </c:pt>
                <c:pt idx="660" formatCode="#,##0.000">
                  <c:v>#N/A</c:v>
                </c:pt>
                <c:pt idx="661" formatCode="#,##0.000">
                  <c:v>#N/A</c:v>
                </c:pt>
                <c:pt idx="662" formatCode="#,##0.000">
                  <c:v>#N/A</c:v>
                </c:pt>
                <c:pt idx="663" formatCode="#,##0.000">
                  <c:v>#N/A</c:v>
                </c:pt>
                <c:pt idx="664" formatCode="#,##0.000">
                  <c:v>#N/A</c:v>
                </c:pt>
                <c:pt idx="665" formatCode="#,##0.000">
                  <c:v>#N/A</c:v>
                </c:pt>
                <c:pt idx="666" formatCode="#,##0.000">
                  <c:v>#N/A</c:v>
                </c:pt>
                <c:pt idx="667" formatCode="#,##0.000">
                  <c:v>#N/A</c:v>
                </c:pt>
                <c:pt idx="668" formatCode="#,##0.000">
                  <c:v>#N/A</c:v>
                </c:pt>
                <c:pt idx="669" formatCode="#,##0.000">
                  <c:v>#N/A</c:v>
                </c:pt>
                <c:pt idx="670" formatCode="#,##0.000">
                  <c:v>#N/A</c:v>
                </c:pt>
                <c:pt idx="671" formatCode="#,##0.000">
                  <c:v>#N/A</c:v>
                </c:pt>
                <c:pt idx="672" formatCode="#,##0.000">
                  <c:v>#N/A</c:v>
                </c:pt>
                <c:pt idx="673" formatCode="#,##0.000">
                  <c:v>#N/A</c:v>
                </c:pt>
                <c:pt idx="674" formatCode="#,##0.000">
                  <c:v>#N/A</c:v>
                </c:pt>
                <c:pt idx="675" formatCode="#,##0.000">
                  <c:v>#N/A</c:v>
                </c:pt>
                <c:pt idx="676" formatCode="#,##0.000">
                  <c:v>#N/A</c:v>
                </c:pt>
                <c:pt idx="677" formatCode="#,##0.000">
                  <c:v>#N/A</c:v>
                </c:pt>
                <c:pt idx="678" formatCode="#,##0.000">
                  <c:v>#N/A</c:v>
                </c:pt>
                <c:pt idx="679" formatCode="#,##0.000">
                  <c:v>#N/A</c:v>
                </c:pt>
                <c:pt idx="680" formatCode="#,##0.000">
                  <c:v>#N/A</c:v>
                </c:pt>
                <c:pt idx="681" formatCode="#,##0.000">
                  <c:v>#N/A</c:v>
                </c:pt>
                <c:pt idx="682" formatCode="#,##0.000">
                  <c:v>#N/A</c:v>
                </c:pt>
                <c:pt idx="683" formatCode="#,##0.000">
                  <c:v>1.0626913437795575</c:v>
                </c:pt>
                <c:pt idx="684" formatCode="#,##0.000">
                  <c:v>1.0626913437795575</c:v>
                </c:pt>
                <c:pt idx="685" formatCode="#,##0.000">
                  <c:v>1.0626913437795575</c:v>
                </c:pt>
                <c:pt idx="686" formatCode="#,##0.000">
                  <c:v>1.0626913437795575</c:v>
                </c:pt>
                <c:pt idx="687" formatCode="#,##0.000">
                  <c:v>1.0626913437795575</c:v>
                </c:pt>
                <c:pt idx="688" formatCode="#,##0.000">
                  <c:v>1.0626913437795575</c:v>
                </c:pt>
                <c:pt idx="689" formatCode="#,##0.000">
                  <c:v>1.0626913437795575</c:v>
                </c:pt>
                <c:pt idx="690" formatCode="#,##0.000">
                  <c:v>1.0626913437795575</c:v>
                </c:pt>
                <c:pt idx="691" formatCode="#,##0.000">
                  <c:v>1.0626913437795575</c:v>
                </c:pt>
                <c:pt idx="692" formatCode="#,##0.000">
                  <c:v>1.0626913437795575</c:v>
                </c:pt>
                <c:pt idx="693" formatCode="#,##0.000">
                  <c:v>1.0626913437795575</c:v>
                </c:pt>
                <c:pt idx="694" formatCode="#,##0.000">
                  <c:v>1.0626913437795575</c:v>
                </c:pt>
                <c:pt idx="695" formatCode="#,##0.000">
                  <c:v>1.0626913437795575</c:v>
                </c:pt>
                <c:pt idx="696" formatCode="#,##0.000">
                  <c:v>1.0626913437795575</c:v>
                </c:pt>
                <c:pt idx="697" formatCode="#,##0.000">
                  <c:v>1.0626913437795575</c:v>
                </c:pt>
                <c:pt idx="698" formatCode="#,##0.000">
                  <c:v>1.0626913437795575</c:v>
                </c:pt>
                <c:pt idx="699" formatCode="#,##0.000">
                  <c:v>1.0626913437795575</c:v>
                </c:pt>
                <c:pt idx="700" formatCode="#,##0.000">
                  <c:v>1.0626913437795575</c:v>
                </c:pt>
                <c:pt idx="701" formatCode="#,##0.000">
                  <c:v>1.0626913437795575</c:v>
                </c:pt>
                <c:pt idx="702" formatCode="#,##0.000">
                  <c:v>1.0626913437795575</c:v>
                </c:pt>
                <c:pt idx="703" formatCode="#,##0.000">
                  <c:v>1.0626913437795575</c:v>
                </c:pt>
                <c:pt idx="704" formatCode="#,##0.000">
                  <c:v>1.0626913437795575</c:v>
                </c:pt>
                <c:pt idx="705" formatCode="#,##0.000">
                  <c:v>1.0626913437795575</c:v>
                </c:pt>
                <c:pt idx="706" formatCode="#,##0.000">
                  <c:v>1.0626913437795575</c:v>
                </c:pt>
                <c:pt idx="707" formatCode="#,##0.000">
                  <c:v>1.0626913437795575</c:v>
                </c:pt>
                <c:pt idx="708" formatCode="#,##0.000">
                  <c:v>1.0626913437795575</c:v>
                </c:pt>
                <c:pt idx="709" formatCode="#,##0.000">
                  <c:v>1.0626913437795575</c:v>
                </c:pt>
                <c:pt idx="710" formatCode="#,##0.000">
                  <c:v>1.0626913437795575</c:v>
                </c:pt>
                <c:pt idx="711" formatCode="#,##0.000">
                  <c:v>1.0626913437795575</c:v>
                </c:pt>
                <c:pt idx="712" formatCode="#,##0.000">
                  <c:v>1.0626913437795575</c:v>
                </c:pt>
                <c:pt idx="713" formatCode="#,##0.000">
                  <c:v>1.0626913437795575</c:v>
                </c:pt>
                <c:pt idx="714" formatCode="#,##0.000">
                  <c:v>1.0626913437795575</c:v>
                </c:pt>
                <c:pt idx="715" formatCode="#,##0.000">
                  <c:v>1.0626913437795575</c:v>
                </c:pt>
                <c:pt idx="716" formatCode="#,##0.000">
                  <c:v>1.0626913437795575</c:v>
                </c:pt>
                <c:pt idx="717" formatCode="#,##0.000">
                  <c:v>1.0626913437795575</c:v>
                </c:pt>
                <c:pt idx="718" formatCode="#,##0.000">
                  <c:v>1.0626913437795575</c:v>
                </c:pt>
                <c:pt idx="719" formatCode="#,##0.000">
                  <c:v>1.0626913437795575</c:v>
                </c:pt>
                <c:pt idx="720" formatCode="#,##0.000">
                  <c:v>1.0626913437795575</c:v>
                </c:pt>
                <c:pt idx="721" formatCode="#,##0.000">
                  <c:v>1.0626913437795575</c:v>
                </c:pt>
                <c:pt idx="722" formatCode="#,##0.000">
                  <c:v>1.0626913437795575</c:v>
                </c:pt>
                <c:pt idx="723" formatCode="#,##0.000">
                  <c:v>1.0626913437795575</c:v>
                </c:pt>
                <c:pt idx="724" formatCode="#,##0.000">
                  <c:v>1.0626913437795575</c:v>
                </c:pt>
                <c:pt idx="725" formatCode="#,##0.000">
                  <c:v>1.0626913437795575</c:v>
                </c:pt>
                <c:pt idx="726" formatCode="#,##0.000">
                  <c:v>1.0626913437795575</c:v>
                </c:pt>
                <c:pt idx="727" formatCode="#,##0.000">
                  <c:v>1.0626913437795575</c:v>
                </c:pt>
                <c:pt idx="728" formatCode="#,##0.000">
                  <c:v>1.0626913437795575</c:v>
                </c:pt>
                <c:pt idx="729" formatCode="#,##0.000">
                  <c:v>1.0626913437795575</c:v>
                </c:pt>
                <c:pt idx="730" formatCode="#,##0.000">
                  <c:v>1.0626913437795575</c:v>
                </c:pt>
                <c:pt idx="731" formatCode="#,##0.000">
                  <c:v>1.0626913437795575</c:v>
                </c:pt>
                <c:pt idx="732" formatCode="#,##0.000">
                  <c:v>1.0626913437795575</c:v>
                </c:pt>
                <c:pt idx="733" formatCode="#,##0.000">
                  <c:v>1.0626913437795575</c:v>
                </c:pt>
                <c:pt idx="734" formatCode="#,##0.000">
                  <c:v>1.0626913437795575</c:v>
                </c:pt>
                <c:pt idx="735" formatCode="#,##0.000">
                  <c:v>1.0626913437795575</c:v>
                </c:pt>
                <c:pt idx="736" formatCode="#,##0.000">
                  <c:v>1.0626913437795575</c:v>
                </c:pt>
                <c:pt idx="737" formatCode="#,##0.000">
                  <c:v>1.0626913437795575</c:v>
                </c:pt>
                <c:pt idx="738" formatCode="#,##0.000">
                  <c:v>1.0626913437795575</c:v>
                </c:pt>
                <c:pt idx="739" formatCode="#,##0.000">
                  <c:v>1.0626913437795575</c:v>
                </c:pt>
                <c:pt idx="740" formatCode="#,##0.000">
                  <c:v>1.0626913437795575</c:v>
                </c:pt>
                <c:pt idx="741" formatCode="#,##0.000">
                  <c:v>1.0626913437795575</c:v>
                </c:pt>
                <c:pt idx="742" formatCode="#,##0.000">
                  <c:v>1.0626913437795575</c:v>
                </c:pt>
                <c:pt idx="743" formatCode="#,##0.000">
                  <c:v>1.0626913437795575</c:v>
                </c:pt>
                <c:pt idx="744" formatCode="#,##0.000">
                  <c:v>1.0626913437795575</c:v>
                </c:pt>
                <c:pt idx="745" formatCode="#,##0.000">
                  <c:v>1.0626913437795575</c:v>
                </c:pt>
                <c:pt idx="746" formatCode="#,##0.000">
                  <c:v>1.0626913437795575</c:v>
                </c:pt>
                <c:pt idx="747" formatCode="#,##0.000">
                  <c:v>1.0626913437795575</c:v>
                </c:pt>
                <c:pt idx="748" formatCode="#,##0.000">
                  <c:v>1.0626913437795575</c:v>
                </c:pt>
                <c:pt idx="749" formatCode="#,##0.000">
                  <c:v>1.0626913437795575</c:v>
                </c:pt>
                <c:pt idx="750" formatCode="#,##0.000">
                  <c:v>1.0626913437795575</c:v>
                </c:pt>
                <c:pt idx="751" formatCode="#,##0.000">
                  <c:v>1.0626913437795575</c:v>
                </c:pt>
                <c:pt idx="752" formatCode="#,##0.000">
                  <c:v>1.0626913437795575</c:v>
                </c:pt>
                <c:pt idx="753" formatCode="#,##0.000">
                  <c:v>1.0626913437795575</c:v>
                </c:pt>
                <c:pt idx="754" formatCode="#,##0.000">
                  <c:v>1.0626913437795575</c:v>
                </c:pt>
                <c:pt idx="755" formatCode="#,##0.000">
                  <c:v>1.0626913437795575</c:v>
                </c:pt>
                <c:pt idx="756" formatCode="#,##0.000">
                  <c:v>1.0626913437795575</c:v>
                </c:pt>
                <c:pt idx="757" formatCode="#,##0.000">
                  <c:v>1.0626913437795575</c:v>
                </c:pt>
                <c:pt idx="758" formatCode="#,##0.000">
                  <c:v>1.0626913437795575</c:v>
                </c:pt>
                <c:pt idx="759" formatCode="#,##0.000">
                  <c:v>1.0626913437795575</c:v>
                </c:pt>
                <c:pt idx="760" formatCode="#,##0.000">
                  <c:v>1.0626913437795575</c:v>
                </c:pt>
                <c:pt idx="761" formatCode="#,##0.000">
                  <c:v>1.0626913437795575</c:v>
                </c:pt>
                <c:pt idx="762" formatCode="#,##0.000">
                  <c:v>1.0626913437795575</c:v>
                </c:pt>
                <c:pt idx="763" formatCode="#,##0.000">
                  <c:v>1.0626913437795575</c:v>
                </c:pt>
                <c:pt idx="764" formatCode="#,##0.000">
                  <c:v>1.0626913437795575</c:v>
                </c:pt>
                <c:pt idx="765" formatCode="#,##0.000">
                  <c:v>1.0626913437795575</c:v>
                </c:pt>
                <c:pt idx="766" formatCode="#,##0.000">
                  <c:v>1.0626913437795575</c:v>
                </c:pt>
                <c:pt idx="767" formatCode="#,##0.000">
                  <c:v>1.0626913437795575</c:v>
                </c:pt>
                <c:pt idx="768" formatCode="#,##0.000">
                  <c:v>1.0626913437795575</c:v>
                </c:pt>
                <c:pt idx="769" formatCode="#,##0.000">
                  <c:v>1.0626913437795575</c:v>
                </c:pt>
                <c:pt idx="770" formatCode="#,##0.000">
                  <c:v>1.0626913437795575</c:v>
                </c:pt>
                <c:pt idx="771" formatCode="#,##0.000">
                  <c:v>1.0626913437795575</c:v>
                </c:pt>
                <c:pt idx="772" formatCode="#,##0.000">
                  <c:v>1.0626913437795575</c:v>
                </c:pt>
                <c:pt idx="773" formatCode="#,##0.000">
                  <c:v>1.0626913437795575</c:v>
                </c:pt>
                <c:pt idx="774" formatCode="#,##0.000">
                  <c:v>1.0626913437795575</c:v>
                </c:pt>
                <c:pt idx="775" formatCode="#,##0.000">
                  <c:v>1.0626913437795575</c:v>
                </c:pt>
                <c:pt idx="776" formatCode="#,##0.000">
                  <c:v>1.0626913437795575</c:v>
                </c:pt>
                <c:pt idx="777" formatCode="#,##0.000">
                  <c:v>1.0626913437795575</c:v>
                </c:pt>
                <c:pt idx="778" formatCode="#,##0.000">
                  <c:v>1.0626913437795575</c:v>
                </c:pt>
                <c:pt idx="779" formatCode="#,##0.000">
                  <c:v>1.0626913437795575</c:v>
                </c:pt>
                <c:pt idx="780" formatCode="#,##0.000">
                  <c:v>1.0626913437795575</c:v>
                </c:pt>
                <c:pt idx="781" formatCode="#,##0.000">
                  <c:v>1.0626913437795575</c:v>
                </c:pt>
                <c:pt idx="782" formatCode="#,##0.000">
                  <c:v>1.0626913437795575</c:v>
                </c:pt>
                <c:pt idx="783" formatCode="#,##0.000">
                  <c:v>1.0626913437795575</c:v>
                </c:pt>
                <c:pt idx="784" formatCode="#,##0.000">
                  <c:v>1.0626913437795575</c:v>
                </c:pt>
                <c:pt idx="785" formatCode="#,##0.000">
                  <c:v>1.0626913437795575</c:v>
                </c:pt>
                <c:pt idx="786" formatCode="#,##0.000">
                  <c:v>1.0626913437795575</c:v>
                </c:pt>
                <c:pt idx="787" formatCode="#,##0.000">
                  <c:v>1.0626913437795575</c:v>
                </c:pt>
                <c:pt idx="788" formatCode="#,##0.000">
                  <c:v>1.0626913437795575</c:v>
                </c:pt>
                <c:pt idx="789" formatCode="#,##0.000">
                  <c:v>1.0626913437795575</c:v>
                </c:pt>
                <c:pt idx="790" formatCode="#,##0.000">
                  <c:v>1.0626913437795575</c:v>
                </c:pt>
                <c:pt idx="791" formatCode="#,##0.000">
                  <c:v>1.0626913437795575</c:v>
                </c:pt>
                <c:pt idx="792" formatCode="#,##0.000">
                  <c:v>1.0626913437795575</c:v>
                </c:pt>
                <c:pt idx="793" formatCode="#,##0.000">
                  <c:v>1.0626913437795575</c:v>
                </c:pt>
                <c:pt idx="794" formatCode="#,##0.000">
                  <c:v>1.0626913437795575</c:v>
                </c:pt>
                <c:pt idx="795" formatCode="#,##0.000">
                  <c:v>1.0626913437795575</c:v>
                </c:pt>
                <c:pt idx="796" formatCode="#,##0.000">
                  <c:v>1.0626913437795575</c:v>
                </c:pt>
                <c:pt idx="797" formatCode="#,##0.000">
                  <c:v>1.0626913437795575</c:v>
                </c:pt>
                <c:pt idx="798" formatCode="#,##0.000">
                  <c:v>1.0626913437795575</c:v>
                </c:pt>
                <c:pt idx="799" formatCode="#,##0.000">
                  <c:v>1.0626913437795575</c:v>
                </c:pt>
                <c:pt idx="800" formatCode="#,##0.000">
                  <c:v>1.0626913437795575</c:v>
                </c:pt>
                <c:pt idx="801" formatCode="#,##0.000">
                  <c:v>1.0626913437795575</c:v>
                </c:pt>
                <c:pt idx="802" formatCode="#,##0.000">
                  <c:v>1.0626913437795575</c:v>
                </c:pt>
                <c:pt idx="803" formatCode="#,##0.000">
                  <c:v>1.0626913437795575</c:v>
                </c:pt>
                <c:pt idx="804" formatCode="#,##0.000">
                  <c:v>1.0626913437795575</c:v>
                </c:pt>
                <c:pt idx="805" formatCode="#,##0.000">
                  <c:v>1.0626913437795575</c:v>
                </c:pt>
                <c:pt idx="806" formatCode="#,##0.000">
                  <c:v>1.0626913437795575</c:v>
                </c:pt>
                <c:pt idx="807" formatCode="#,##0.000">
                  <c:v>1.0626913437795575</c:v>
                </c:pt>
                <c:pt idx="808" formatCode="#,##0.000">
                  <c:v>1.0626913437795575</c:v>
                </c:pt>
                <c:pt idx="809" formatCode="#,##0.000">
                  <c:v>1.0626913437795575</c:v>
                </c:pt>
                <c:pt idx="810" formatCode="#,##0.000">
                  <c:v>1.0626913437795575</c:v>
                </c:pt>
                <c:pt idx="811" formatCode="#,##0.000">
                  <c:v>1.0626913437795575</c:v>
                </c:pt>
                <c:pt idx="812" formatCode="#,##0.000">
                  <c:v>1.0626913437795575</c:v>
                </c:pt>
                <c:pt idx="813" formatCode="#,##0.000">
                  <c:v>1.0626913437795575</c:v>
                </c:pt>
                <c:pt idx="814" formatCode="#,##0.000">
                  <c:v>1.0626913437795575</c:v>
                </c:pt>
                <c:pt idx="815" formatCode="#,##0.000">
                  <c:v>1.0626913437795575</c:v>
                </c:pt>
                <c:pt idx="816" formatCode="#,##0.000">
                  <c:v>1.0626913437795575</c:v>
                </c:pt>
                <c:pt idx="817" formatCode="#,##0.000">
                  <c:v>1.0626913437795575</c:v>
                </c:pt>
                <c:pt idx="818" formatCode="#,##0.000">
                  <c:v>1.0626913437795575</c:v>
                </c:pt>
                <c:pt idx="819" formatCode="#,##0.000">
                  <c:v>1.0626913437795575</c:v>
                </c:pt>
                <c:pt idx="820" formatCode="#,##0.000">
                  <c:v>1.0626913437795575</c:v>
                </c:pt>
                <c:pt idx="821" formatCode="#,##0.000">
                  <c:v>1.0626913437795575</c:v>
                </c:pt>
                <c:pt idx="822" formatCode="#,##0.000">
                  <c:v>1.0626913437795575</c:v>
                </c:pt>
                <c:pt idx="823" formatCode="#,##0.000">
                  <c:v>1.0626913437795575</c:v>
                </c:pt>
                <c:pt idx="824" formatCode="#,##0.000">
                  <c:v>1.0626913437795575</c:v>
                </c:pt>
                <c:pt idx="825" formatCode="#,##0.000">
                  <c:v>1.0626913437795575</c:v>
                </c:pt>
                <c:pt idx="826" formatCode="#,##0.000">
                  <c:v>1.0626913437795575</c:v>
                </c:pt>
                <c:pt idx="827" formatCode="#,##0.000">
                  <c:v>1.0626913437795575</c:v>
                </c:pt>
                <c:pt idx="828" formatCode="#,##0.000">
                  <c:v>1.0626913437795575</c:v>
                </c:pt>
                <c:pt idx="829" formatCode="#,##0.000">
                  <c:v>1.0626913437795575</c:v>
                </c:pt>
                <c:pt idx="830" formatCode="#,##0.000">
                  <c:v>1.0626913437795575</c:v>
                </c:pt>
                <c:pt idx="831" formatCode="#,##0.000">
                  <c:v>1.0626913437795575</c:v>
                </c:pt>
                <c:pt idx="832" formatCode="#,##0.000">
                  <c:v>1.0626913437795575</c:v>
                </c:pt>
                <c:pt idx="833" formatCode="#,##0.000">
                  <c:v>1.0626913437795575</c:v>
                </c:pt>
                <c:pt idx="834" formatCode="#,##0.000">
                  <c:v>1.0626913437795575</c:v>
                </c:pt>
                <c:pt idx="835" formatCode="#,##0.000">
                  <c:v>1.0626913437795575</c:v>
                </c:pt>
                <c:pt idx="836" formatCode="#,##0.000">
                  <c:v>1.0626913437795575</c:v>
                </c:pt>
                <c:pt idx="837" formatCode="#,##0.000">
                  <c:v>1.0626913437795575</c:v>
                </c:pt>
                <c:pt idx="838" formatCode="#,##0.000">
                  <c:v>1.0626913437795575</c:v>
                </c:pt>
                <c:pt idx="839" formatCode="#,##0.000">
                  <c:v>1.0626913437795575</c:v>
                </c:pt>
                <c:pt idx="840" formatCode="#,##0.000">
                  <c:v>1.0626913437795575</c:v>
                </c:pt>
                <c:pt idx="841" formatCode="#,##0.000">
                  <c:v>1.0626913437795575</c:v>
                </c:pt>
                <c:pt idx="842" formatCode="#,##0.000">
                  <c:v>1.0626913437795575</c:v>
                </c:pt>
                <c:pt idx="843" formatCode="#,##0.000">
                  <c:v>1.0626913437795575</c:v>
                </c:pt>
                <c:pt idx="844" formatCode="#,##0.000">
                  <c:v>1.0626913437795575</c:v>
                </c:pt>
                <c:pt idx="845" formatCode="#,##0.000">
                  <c:v>1.0626913437795575</c:v>
                </c:pt>
                <c:pt idx="846" formatCode="#,##0.000">
                  <c:v>1.0626913437795575</c:v>
                </c:pt>
                <c:pt idx="847" formatCode="#,##0.000">
                  <c:v>1.0626913437795575</c:v>
                </c:pt>
                <c:pt idx="848" formatCode="#,##0.000">
                  <c:v>1.0626913437795575</c:v>
                </c:pt>
                <c:pt idx="849" formatCode="#,##0.000">
                  <c:v>1.0626913437795575</c:v>
                </c:pt>
                <c:pt idx="850" formatCode="#,##0.000">
                  <c:v>1.0626913437795575</c:v>
                </c:pt>
                <c:pt idx="851" formatCode="#,##0.000">
                  <c:v>1.0626913437795575</c:v>
                </c:pt>
                <c:pt idx="852" formatCode="#,##0.000">
                  <c:v>1.0626913437795575</c:v>
                </c:pt>
                <c:pt idx="853" formatCode="#,##0.000">
                  <c:v>1.0626913437795575</c:v>
                </c:pt>
                <c:pt idx="854" formatCode="#,##0.000">
                  <c:v>1.0626913437795575</c:v>
                </c:pt>
                <c:pt idx="855" formatCode="#,##0.000">
                  <c:v>1.0626913437795575</c:v>
                </c:pt>
                <c:pt idx="856" formatCode="#,##0.000">
                  <c:v>1.0626913437795575</c:v>
                </c:pt>
                <c:pt idx="857" formatCode="#,##0.000">
                  <c:v>1.0626913437795575</c:v>
                </c:pt>
                <c:pt idx="858" formatCode="#,##0.000">
                  <c:v>1.0626913437795575</c:v>
                </c:pt>
                <c:pt idx="859" formatCode="#,##0.000">
                  <c:v>1.0626913437795575</c:v>
                </c:pt>
                <c:pt idx="860" formatCode="#,##0.000">
                  <c:v>1.0626913437795575</c:v>
                </c:pt>
                <c:pt idx="861" formatCode="#,##0.000">
                  <c:v>1.0626913437795575</c:v>
                </c:pt>
                <c:pt idx="862" formatCode="#,##0.000">
                  <c:v>1.0626913437795575</c:v>
                </c:pt>
                <c:pt idx="863" formatCode="#,##0.000">
                  <c:v>1.0626913437795575</c:v>
                </c:pt>
                <c:pt idx="864" formatCode="#,##0.000">
                  <c:v>1.0626913437795575</c:v>
                </c:pt>
                <c:pt idx="865" formatCode="#,##0.000">
                  <c:v>1.0626913437795575</c:v>
                </c:pt>
                <c:pt idx="866" formatCode="#,##0.000">
                  <c:v>1.0626913437795575</c:v>
                </c:pt>
                <c:pt idx="867" formatCode="#,##0.000">
                  <c:v>1.0626913437795575</c:v>
                </c:pt>
                <c:pt idx="868" formatCode="#,##0.000">
                  <c:v>1.0626913437795575</c:v>
                </c:pt>
                <c:pt idx="869" formatCode="#,##0.000">
                  <c:v>1.0626913437795575</c:v>
                </c:pt>
                <c:pt idx="870" formatCode="#,##0.000">
                  <c:v>1.0626913437795575</c:v>
                </c:pt>
                <c:pt idx="871" formatCode="#,##0.000">
                  <c:v>1.0626913437795575</c:v>
                </c:pt>
                <c:pt idx="872" formatCode="#,##0.000">
                  <c:v>1.0626913437795575</c:v>
                </c:pt>
                <c:pt idx="873" formatCode="#,##0.000">
                  <c:v>1.0626913437795575</c:v>
                </c:pt>
                <c:pt idx="874" formatCode="#,##0.000">
                  <c:v>1.0626913437795575</c:v>
                </c:pt>
                <c:pt idx="875" formatCode="#,##0.000">
                  <c:v>1.0626913437795575</c:v>
                </c:pt>
                <c:pt idx="876" formatCode="#,##0.000">
                  <c:v>1.0626913437795575</c:v>
                </c:pt>
                <c:pt idx="877" formatCode="#,##0.000">
                  <c:v>1.0626913437795575</c:v>
                </c:pt>
                <c:pt idx="878" formatCode="#,##0.000">
                  <c:v>1.0626913437795575</c:v>
                </c:pt>
                <c:pt idx="879" formatCode="#,##0.000">
                  <c:v>1.0626913437795575</c:v>
                </c:pt>
                <c:pt idx="880" formatCode="#,##0.000">
                  <c:v>1.0626913437795575</c:v>
                </c:pt>
                <c:pt idx="881" formatCode="#,##0.000">
                  <c:v>1.0626913437795575</c:v>
                </c:pt>
                <c:pt idx="882" formatCode="#,##0.000">
                  <c:v>1.0626913437795575</c:v>
                </c:pt>
                <c:pt idx="883" formatCode="#,##0.000">
                  <c:v>1.0626913437795575</c:v>
                </c:pt>
                <c:pt idx="884" formatCode="#,##0.000">
                  <c:v>1.0626913437795575</c:v>
                </c:pt>
                <c:pt idx="885" formatCode="#,##0.000">
                  <c:v>1.0626913437795575</c:v>
                </c:pt>
                <c:pt idx="886" formatCode="#,##0.000">
                  <c:v>1.0626913437795575</c:v>
                </c:pt>
                <c:pt idx="887" formatCode="#,##0.000">
                  <c:v>1.0626913437795575</c:v>
                </c:pt>
                <c:pt idx="888" formatCode="#,##0.000">
                  <c:v>1.0626913437795575</c:v>
                </c:pt>
                <c:pt idx="889" formatCode="#,##0.000">
                  <c:v>1.0626913437795575</c:v>
                </c:pt>
                <c:pt idx="890" formatCode="#,##0.000">
                  <c:v>1.0626913437795575</c:v>
                </c:pt>
                <c:pt idx="891" formatCode="#,##0.000">
                  <c:v>1.0626913437795575</c:v>
                </c:pt>
                <c:pt idx="892" formatCode="#,##0.000">
                  <c:v>1.0626913437795575</c:v>
                </c:pt>
                <c:pt idx="893" formatCode="#,##0.000">
                  <c:v>1.0626913437795575</c:v>
                </c:pt>
                <c:pt idx="894" formatCode="#,##0.000">
                  <c:v>1.0626913437795575</c:v>
                </c:pt>
                <c:pt idx="895" formatCode="#,##0.000">
                  <c:v>1.0626913437795575</c:v>
                </c:pt>
                <c:pt idx="896" formatCode="#,##0.000">
                  <c:v>1.0626913437795575</c:v>
                </c:pt>
                <c:pt idx="897" formatCode="#,##0.000">
                  <c:v>1.0626913437795575</c:v>
                </c:pt>
                <c:pt idx="898" formatCode="#,##0.000">
                  <c:v>1.0626913437795575</c:v>
                </c:pt>
                <c:pt idx="899" formatCode="#,##0.000">
                  <c:v>1.0626913437795575</c:v>
                </c:pt>
                <c:pt idx="900" formatCode="#,##0.000">
                  <c:v>1.0626913437795575</c:v>
                </c:pt>
                <c:pt idx="901" formatCode="#,##0.000">
                  <c:v>1.0626913437795575</c:v>
                </c:pt>
                <c:pt idx="902" formatCode="#,##0.000">
                  <c:v>1.0626913437795575</c:v>
                </c:pt>
                <c:pt idx="903" formatCode="#,##0.000">
                  <c:v>1.0626913437795575</c:v>
                </c:pt>
                <c:pt idx="904" formatCode="#,##0.000">
                  <c:v>1.0626913437795575</c:v>
                </c:pt>
                <c:pt idx="905" formatCode="#,##0.000">
                  <c:v>1.0626913437795575</c:v>
                </c:pt>
                <c:pt idx="906" formatCode="#,##0.000">
                  <c:v>1.0626913437795575</c:v>
                </c:pt>
                <c:pt idx="907" formatCode="#,##0.000">
                  <c:v>1.0626913437795575</c:v>
                </c:pt>
                <c:pt idx="908" formatCode="#,##0.000">
                  <c:v>1.0626913437795575</c:v>
                </c:pt>
                <c:pt idx="909" formatCode="#,##0.000">
                  <c:v>1.0626913437795575</c:v>
                </c:pt>
                <c:pt idx="910" formatCode="#,##0.000">
                  <c:v>1.0626913437795575</c:v>
                </c:pt>
                <c:pt idx="911" formatCode="#,##0.000">
                  <c:v>1.0626913437795575</c:v>
                </c:pt>
                <c:pt idx="912" formatCode="#,##0.000">
                  <c:v>1.0626913437795575</c:v>
                </c:pt>
                <c:pt idx="913" formatCode="#,##0.000">
                  <c:v>1.0626913437795575</c:v>
                </c:pt>
                <c:pt idx="914" formatCode="#,##0.000">
                  <c:v>1.0626913437795575</c:v>
                </c:pt>
                <c:pt idx="915" formatCode="#,##0.000">
                  <c:v>1.0626913437795575</c:v>
                </c:pt>
                <c:pt idx="916" formatCode="#,##0.000">
                  <c:v>1.0626913437795575</c:v>
                </c:pt>
                <c:pt idx="917" formatCode="#,##0.000">
                  <c:v>1.0626913437795575</c:v>
                </c:pt>
                <c:pt idx="918" formatCode="#,##0.000">
                  <c:v>1.0626913437795575</c:v>
                </c:pt>
                <c:pt idx="919" formatCode="#,##0.000">
                  <c:v>1.0626913437795575</c:v>
                </c:pt>
                <c:pt idx="920" formatCode="#,##0.000">
                  <c:v>1.0626913437795575</c:v>
                </c:pt>
                <c:pt idx="921" formatCode="#,##0.000">
                  <c:v>1.0626913437795575</c:v>
                </c:pt>
                <c:pt idx="922" formatCode="#,##0.000">
                  <c:v>1.0626913437795575</c:v>
                </c:pt>
                <c:pt idx="923" formatCode="#,##0.000">
                  <c:v>1.0626913437795575</c:v>
                </c:pt>
                <c:pt idx="924" formatCode="#,##0.000">
                  <c:v>1.0626913437795575</c:v>
                </c:pt>
                <c:pt idx="925" formatCode="#,##0.000">
                  <c:v>1.0626913437795575</c:v>
                </c:pt>
                <c:pt idx="926" formatCode="#,##0.000">
                  <c:v>1.0626913437795575</c:v>
                </c:pt>
                <c:pt idx="927" formatCode="#,##0.000">
                  <c:v>1.0626913437795575</c:v>
                </c:pt>
                <c:pt idx="928" formatCode="#,##0.000">
                  <c:v>1.0626913437795575</c:v>
                </c:pt>
                <c:pt idx="929" formatCode="#,##0.000">
                  <c:v>1.0626913437795575</c:v>
                </c:pt>
                <c:pt idx="930" formatCode="#,##0.000">
                  <c:v>1.0626913437795575</c:v>
                </c:pt>
                <c:pt idx="931" formatCode="#,##0.000">
                  <c:v>1.0626913437795575</c:v>
                </c:pt>
                <c:pt idx="932" formatCode="#,##0.000">
                  <c:v>1.0626913437795575</c:v>
                </c:pt>
                <c:pt idx="933" formatCode="#,##0.000">
                  <c:v>1.0626913437795575</c:v>
                </c:pt>
                <c:pt idx="934" formatCode="#,##0.000">
                  <c:v>1.0626913437795575</c:v>
                </c:pt>
                <c:pt idx="935" formatCode="#,##0.000">
                  <c:v>1.0626913437795575</c:v>
                </c:pt>
                <c:pt idx="936" formatCode="#,##0.000">
                  <c:v>1.0626913437795575</c:v>
                </c:pt>
                <c:pt idx="937" formatCode="#,##0.000">
                  <c:v>1.0626913437795575</c:v>
                </c:pt>
                <c:pt idx="938" formatCode="#,##0.000">
                  <c:v>1.0626913437795575</c:v>
                </c:pt>
                <c:pt idx="939" formatCode="#,##0.000">
                  <c:v>1.0626913437795575</c:v>
                </c:pt>
                <c:pt idx="940" formatCode="#,##0.000">
                  <c:v>1.0626913437795575</c:v>
                </c:pt>
                <c:pt idx="941" formatCode="#,##0.000">
                  <c:v>1.0626913437795575</c:v>
                </c:pt>
                <c:pt idx="942" formatCode="#,##0.000">
                  <c:v>1.0626913437795575</c:v>
                </c:pt>
                <c:pt idx="943" formatCode="#,##0.000">
                  <c:v>1.0626913437795575</c:v>
                </c:pt>
                <c:pt idx="944" formatCode="#,##0.000">
                  <c:v>1.0626913437795575</c:v>
                </c:pt>
                <c:pt idx="945" formatCode="#,##0.000">
                  <c:v>1.0626913437795575</c:v>
                </c:pt>
                <c:pt idx="946" formatCode="#,##0.000">
                  <c:v>1.0626913437795575</c:v>
                </c:pt>
                <c:pt idx="947" formatCode="#,##0.000">
                  <c:v>1.0626913437795575</c:v>
                </c:pt>
                <c:pt idx="948" formatCode="#,##0.000">
                  <c:v>1.0626913437795575</c:v>
                </c:pt>
                <c:pt idx="949" formatCode="#,##0.000">
                  <c:v>1.0626913437795575</c:v>
                </c:pt>
                <c:pt idx="950" formatCode="#,##0.000">
                  <c:v>1.0626913437795575</c:v>
                </c:pt>
                <c:pt idx="951" formatCode="#,##0.000">
                  <c:v>1.0626913437795575</c:v>
                </c:pt>
                <c:pt idx="952" formatCode="#,##0.000">
                  <c:v>1.0626913437795575</c:v>
                </c:pt>
                <c:pt idx="953" formatCode="#,##0.000">
                  <c:v>1.0626913437795575</c:v>
                </c:pt>
                <c:pt idx="954" formatCode="#,##0.000">
                  <c:v>1.0626913437795575</c:v>
                </c:pt>
                <c:pt idx="955" formatCode="#,##0.000">
                  <c:v>1.0626913437795575</c:v>
                </c:pt>
                <c:pt idx="956" formatCode="#,##0.000">
                  <c:v>1.0626913437795575</c:v>
                </c:pt>
                <c:pt idx="957" formatCode="#,##0.000">
                  <c:v>1.0626913437795575</c:v>
                </c:pt>
                <c:pt idx="958" formatCode="#,##0.000">
                  <c:v>1.0626913437795575</c:v>
                </c:pt>
                <c:pt idx="959" formatCode="#,##0.000">
                  <c:v>1.0626913437795575</c:v>
                </c:pt>
                <c:pt idx="960" formatCode="#,##0.000">
                  <c:v>1.0626913437795575</c:v>
                </c:pt>
                <c:pt idx="961" formatCode="#,##0.000">
                  <c:v>1.0626913437795575</c:v>
                </c:pt>
                <c:pt idx="962" formatCode="#,##0.000">
                  <c:v>1.0626913437795575</c:v>
                </c:pt>
                <c:pt idx="963" formatCode="#,##0.000">
                  <c:v>1.0626913437795575</c:v>
                </c:pt>
                <c:pt idx="964" formatCode="#,##0.000">
                  <c:v>1.0626913437795575</c:v>
                </c:pt>
                <c:pt idx="965" formatCode="#,##0.000">
                  <c:v>1.0626913437795575</c:v>
                </c:pt>
                <c:pt idx="966" formatCode="#,##0.000">
                  <c:v>1.0626913437795575</c:v>
                </c:pt>
                <c:pt idx="967" formatCode="#,##0.000">
                  <c:v>1.0626913437795575</c:v>
                </c:pt>
                <c:pt idx="968" formatCode="#,##0.000">
                  <c:v>1.0626913437795575</c:v>
                </c:pt>
                <c:pt idx="969" formatCode="#,##0.000">
                  <c:v>1.0626913437795575</c:v>
                </c:pt>
                <c:pt idx="970" formatCode="#,##0.000">
                  <c:v>1.0626913437795575</c:v>
                </c:pt>
                <c:pt idx="971" formatCode="#,##0.000">
                  <c:v>1.0626913437795575</c:v>
                </c:pt>
                <c:pt idx="972" formatCode="#,##0.000">
                  <c:v>1.0626913437795575</c:v>
                </c:pt>
                <c:pt idx="973" formatCode="#,##0.000">
                  <c:v>1.0626913437795575</c:v>
                </c:pt>
                <c:pt idx="974" formatCode="#,##0.000">
                  <c:v>1.0626913437795575</c:v>
                </c:pt>
                <c:pt idx="975" formatCode="#,##0.000">
                  <c:v>1.0626913437795575</c:v>
                </c:pt>
                <c:pt idx="976" formatCode="#,##0.000">
                  <c:v>1.0626913437795575</c:v>
                </c:pt>
                <c:pt idx="977" formatCode="#,##0.000">
                  <c:v>1.0626913437795575</c:v>
                </c:pt>
                <c:pt idx="978" formatCode="#,##0.000">
                  <c:v>1.0626913437795575</c:v>
                </c:pt>
                <c:pt idx="979" formatCode="#,##0.000">
                  <c:v>1.0626913437795575</c:v>
                </c:pt>
                <c:pt idx="980" formatCode="#,##0.000">
                  <c:v>1.0626913437795575</c:v>
                </c:pt>
                <c:pt idx="981" formatCode="#,##0.000">
                  <c:v>1.0626913437795575</c:v>
                </c:pt>
                <c:pt idx="982" formatCode="#,##0.000">
                  <c:v>1.0626913437795575</c:v>
                </c:pt>
                <c:pt idx="983" formatCode="#,##0.000">
                  <c:v>1.0626913437795575</c:v>
                </c:pt>
                <c:pt idx="984" formatCode="#,##0.000">
                  <c:v>1.0626913437795575</c:v>
                </c:pt>
                <c:pt idx="985" formatCode="#,##0.000">
                  <c:v>1.0626913437795575</c:v>
                </c:pt>
                <c:pt idx="986" formatCode="#,##0.000">
                  <c:v>1.0626913437795575</c:v>
                </c:pt>
                <c:pt idx="987" formatCode="#,##0.000">
                  <c:v>1.0626913437795575</c:v>
                </c:pt>
                <c:pt idx="988" formatCode="#,##0.000">
                  <c:v>1.0626913437795575</c:v>
                </c:pt>
                <c:pt idx="989" formatCode="#,##0.000">
                  <c:v>1.0626913437795575</c:v>
                </c:pt>
                <c:pt idx="990" formatCode="#,##0.000">
                  <c:v>1.0626913437795575</c:v>
                </c:pt>
                <c:pt idx="991" formatCode="#,##0.000">
                  <c:v>1.0626913437795575</c:v>
                </c:pt>
                <c:pt idx="992" formatCode="#,##0.000">
                  <c:v>1.0626913437795575</c:v>
                </c:pt>
                <c:pt idx="993" formatCode="#,##0.000">
                  <c:v>1.0626913437795575</c:v>
                </c:pt>
                <c:pt idx="994" formatCode="#,##0.000">
                  <c:v>1.0626913437795575</c:v>
                </c:pt>
                <c:pt idx="995" formatCode="#,##0.000">
                  <c:v>1.0626913437795575</c:v>
                </c:pt>
                <c:pt idx="996" formatCode="#,##0.000">
                  <c:v>1.0626913437795575</c:v>
                </c:pt>
                <c:pt idx="997" formatCode="#,##0.000">
                  <c:v>1.0626913437795575</c:v>
                </c:pt>
                <c:pt idx="998" formatCode="#,##0.000">
                  <c:v>1.0626913437795575</c:v>
                </c:pt>
                <c:pt idx="999" formatCode="#,##0.000">
                  <c:v>1.0626913437795575</c:v>
                </c:pt>
                <c:pt idx="1000" formatCode="#,##0.000">
                  <c:v>1.0626913437795575</c:v>
                </c:pt>
                <c:pt idx="1001" formatCode="#,##0.000">
                  <c:v>1.0626913437795575</c:v>
                </c:pt>
                <c:pt idx="1002" formatCode="#,##0.000">
                  <c:v>1.0626913437795575</c:v>
                </c:pt>
                <c:pt idx="1003" formatCode="#,##0.000">
                  <c:v>1.0626913437795575</c:v>
                </c:pt>
                <c:pt idx="1004" formatCode="#,##0.000">
                  <c:v>1.0626913437795575</c:v>
                </c:pt>
                <c:pt idx="1005" formatCode="#,##0.000">
                  <c:v>1.0626913437795575</c:v>
                </c:pt>
                <c:pt idx="1006" formatCode="#,##0.000">
                  <c:v>1.0626913437795575</c:v>
                </c:pt>
                <c:pt idx="1007" formatCode="#,##0.000">
                  <c:v>1.0626913437795575</c:v>
                </c:pt>
                <c:pt idx="1008" formatCode="#,##0.000">
                  <c:v>1.0626913437795575</c:v>
                </c:pt>
                <c:pt idx="1009" formatCode="#,##0.000">
                  <c:v>1.0626913437795575</c:v>
                </c:pt>
                <c:pt idx="1010" formatCode="#,##0.000">
                  <c:v>1.0626913437795575</c:v>
                </c:pt>
                <c:pt idx="1011" formatCode="#,##0.000">
                  <c:v>1.0626913437795575</c:v>
                </c:pt>
                <c:pt idx="1012" formatCode="#,##0.000">
                  <c:v>1.0626913437795575</c:v>
                </c:pt>
                <c:pt idx="1013" formatCode="#,##0.000">
                  <c:v>1.0626913437795575</c:v>
                </c:pt>
                <c:pt idx="1014" formatCode="#,##0.000">
                  <c:v>1.0626913437795575</c:v>
                </c:pt>
                <c:pt idx="1015" formatCode="#,##0.000">
                  <c:v>1.0626913437795575</c:v>
                </c:pt>
                <c:pt idx="1016" formatCode="#,##0.000">
                  <c:v>1.0626913437795575</c:v>
                </c:pt>
                <c:pt idx="1017" formatCode="#,##0.000">
                  <c:v>1.0626913437795575</c:v>
                </c:pt>
                <c:pt idx="1018" formatCode="#,##0.000">
                  <c:v>1.0626913437795575</c:v>
                </c:pt>
                <c:pt idx="1019" formatCode="#,##0.000">
                  <c:v>1.0626913437795575</c:v>
                </c:pt>
                <c:pt idx="1020" formatCode="#,##0.000">
                  <c:v>1.0626913437795575</c:v>
                </c:pt>
                <c:pt idx="1021" formatCode="#,##0.000">
                  <c:v>1.0626913437795575</c:v>
                </c:pt>
                <c:pt idx="1022" formatCode="#,##0.000">
                  <c:v>1.0626913437795575</c:v>
                </c:pt>
                <c:pt idx="1023" formatCode="#,##0.000">
                  <c:v>1.0626913437795575</c:v>
                </c:pt>
                <c:pt idx="1024" formatCode="#,##0.000">
                  <c:v>1.0626913437795575</c:v>
                </c:pt>
                <c:pt idx="1025" formatCode="#,##0.000">
                  <c:v>1.0626913437795575</c:v>
                </c:pt>
                <c:pt idx="1026" formatCode="#,##0.000">
                  <c:v>1.0626913437795575</c:v>
                </c:pt>
                <c:pt idx="1027" formatCode="#,##0.000">
                  <c:v>1.0626913437795575</c:v>
                </c:pt>
                <c:pt idx="1028" formatCode="#,##0.000">
                  <c:v>1.0626913437795575</c:v>
                </c:pt>
                <c:pt idx="1029" formatCode="#,##0.000">
                  <c:v>1.0626913437795575</c:v>
                </c:pt>
                <c:pt idx="1030" formatCode="#,##0.000">
                  <c:v>1.0626913437795575</c:v>
                </c:pt>
                <c:pt idx="1031" formatCode="#,##0.000">
                  <c:v>1.0626913437795575</c:v>
                </c:pt>
                <c:pt idx="1032" formatCode="#,##0.000">
                  <c:v>1.0626913437795575</c:v>
                </c:pt>
                <c:pt idx="1033" formatCode="#,##0.000">
                  <c:v>1.0626913437795575</c:v>
                </c:pt>
                <c:pt idx="1034" formatCode="#,##0.000">
                  <c:v>1.0626913437795575</c:v>
                </c:pt>
                <c:pt idx="1035" formatCode="#,##0.000">
                  <c:v>1.0626913437795575</c:v>
                </c:pt>
                <c:pt idx="1036" formatCode="#,##0.000">
                  <c:v>1.0626913437795575</c:v>
                </c:pt>
                <c:pt idx="1037" formatCode="#,##0.000">
                  <c:v>1.0626913437795575</c:v>
                </c:pt>
                <c:pt idx="1038" formatCode="#,##0.000">
                  <c:v>1.0626913437795575</c:v>
                </c:pt>
                <c:pt idx="1039" formatCode="#,##0.000">
                  <c:v>1.0626913437795575</c:v>
                </c:pt>
                <c:pt idx="1040" formatCode="#,##0.000">
                  <c:v>1.0626913437795575</c:v>
                </c:pt>
                <c:pt idx="1041" formatCode="#,##0.000">
                  <c:v>1.0626913437795575</c:v>
                </c:pt>
                <c:pt idx="1042" formatCode="#,##0.000">
                  <c:v>1.0626913437795575</c:v>
                </c:pt>
                <c:pt idx="1043" formatCode="#,##0.000">
                  <c:v>1.0626913437795575</c:v>
                </c:pt>
                <c:pt idx="1044" formatCode="#,##0.000">
                  <c:v>1.0626913437795575</c:v>
                </c:pt>
                <c:pt idx="1045" formatCode="#,##0.000">
                  <c:v>1.0626913437795575</c:v>
                </c:pt>
                <c:pt idx="1046" formatCode="#,##0.000">
                  <c:v>1.0626913437795575</c:v>
                </c:pt>
                <c:pt idx="1047" formatCode="#,##0.000">
                  <c:v>1.0626913437795575</c:v>
                </c:pt>
                <c:pt idx="1048" formatCode="#,##0.000">
                  <c:v>1.0626913437795575</c:v>
                </c:pt>
                <c:pt idx="1049" formatCode="#,##0.000">
                  <c:v>1.0626913437795575</c:v>
                </c:pt>
                <c:pt idx="1050" formatCode="#,##0.000">
                  <c:v>1.0626913437795575</c:v>
                </c:pt>
                <c:pt idx="1051" formatCode="#,##0.000">
                  <c:v>1.0626913437795575</c:v>
                </c:pt>
                <c:pt idx="1052" formatCode="#,##0.000">
                  <c:v>1.0626913437795575</c:v>
                </c:pt>
                <c:pt idx="1053" formatCode="#,##0.000">
                  <c:v>1.0626913437795575</c:v>
                </c:pt>
                <c:pt idx="1054" formatCode="#,##0.000">
                  <c:v>1.0626913437795575</c:v>
                </c:pt>
                <c:pt idx="1055" formatCode="#,##0.000">
                  <c:v>1.0626913437795575</c:v>
                </c:pt>
                <c:pt idx="1056" formatCode="#,##0.000">
                  <c:v>1.0626913437795575</c:v>
                </c:pt>
                <c:pt idx="1057" formatCode="#,##0.000">
                  <c:v>1.0626913437795575</c:v>
                </c:pt>
                <c:pt idx="1058" formatCode="#,##0.000">
                  <c:v>1.0626913437795575</c:v>
                </c:pt>
                <c:pt idx="1059" formatCode="#,##0.000">
                  <c:v>1.0626913437795575</c:v>
                </c:pt>
                <c:pt idx="1060" formatCode="#,##0.000">
                  <c:v>1.0626913437795575</c:v>
                </c:pt>
                <c:pt idx="1061" formatCode="#,##0.000">
                  <c:v>1.0626913437795575</c:v>
                </c:pt>
                <c:pt idx="1062" formatCode="#,##0.000">
                  <c:v>1.0626913437795575</c:v>
                </c:pt>
                <c:pt idx="1063" formatCode="#,##0.000">
                  <c:v>1.0626913437795575</c:v>
                </c:pt>
                <c:pt idx="1064" formatCode="#,##0.000">
                  <c:v>1.0626913437795575</c:v>
                </c:pt>
                <c:pt idx="1065" formatCode="#,##0.000">
                  <c:v>1.0626913437795575</c:v>
                </c:pt>
                <c:pt idx="1066" formatCode="#,##0.000">
                  <c:v>1.0626913437795575</c:v>
                </c:pt>
                <c:pt idx="1067" formatCode="#,##0.000">
                  <c:v>1.0626913437795575</c:v>
                </c:pt>
                <c:pt idx="1068" formatCode="#,##0.000">
                  <c:v>1.0626913437795575</c:v>
                </c:pt>
                <c:pt idx="1069" formatCode="#,##0.000">
                  <c:v>1.0626913437795575</c:v>
                </c:pt>
                <c:pt idx="1070" formatCode="#,##0.000">
                  <c:v>1.0626913437795575</c:v>
                </c:pt>
                <c:pt idx="1071" formatCode="#,##0.000">
                  <c:v>1.0626913437795575</c:v>
                </c:pt>
                <c:pt idx="1072" formatCode="#,##0.000">
                  <c:v>1.0626913437795575</c:v>
                </c:pt>
                <c:pt idx="1073" formatCode="#,##0.000">
                  <c:v>1.0626913437795575</c:v>
                </c:pt>
                <c:pt idx="1074" formatCode="#,##0.000">
                  <c:v>1.0626913437795575</c:v>
                </c:pt>
                <c:pt idx="1075" formatCode="#,##0.000">
                  <c:v>1.0626913437795575</c:v>
                </c:pt>
                <c:pt idx="1076" formatCode="#,##0.000">
                  <c:v>1.0626913437795575</c:v>
                </c:pt>
                <c:pt idx="1077" formatCode="#,##0.000">
                  <c:v>1.0626913437795575</c:v>
                </c:pt>
                <c:pt idx="1078" formatCode="#,##0.000">
                  <c:v>1.0626913437795575</c:v>
                </c:pt>
                <c:pt idx="1079" formatCode="#,##0.000">
                  <c:v>1.0626913437795575</c:v>
                </c:pt>
                <c:pt idx="1080" formatCode="#,##0.000">
                  <c:v>1.0626913437795575</c:v>
                </c:pt>
                <c:pt idx="1081" formatCode="#,##0.000">
                  <c:v>1.0626913437795575</c:v>
                </c:pt>
                <c:pt idx="1082" formatCode="#,##0.000">
                  <c:v>1.0626913437795575</c:v>
                </c:pt>
                <c:pt idx="1083" formatCode="#,##0.000">
                  <c:v>1.0626913437795575</c:v>
                </c:pt>
                <c:pt idx="1084" formatCode="#,##0.000">
                  <c:v>1.0626913437795575</c:v>
                </c:pt>
                <c:pt idx="1085" formatCode="#,##0.000">
                  <c:v>1.0626913437795575</c:v>
                </c:pt>
                <c:pt idx="1086" formatCode="#,##0.000">
                  <c:v>1.0626913437795575</c:v>
                </c:pt>
                <c:pt idx="1087" formatCode="#,##0.000">
                  <c:v>1.0626913437795575</c:v>
                </c:pt>
                <c:pt idx="1088" formatCode="#,##0.000">
                  <c:v>1.0626913437795575</c:v>
                </c:pt>
                <c:pt idx="1089" formatCode="#,##0.000">
                  <c:v>1.0626913437795575</c:v>
                </c:pt>
                <c:pt idx="1090" formatCode="#,##0.000">
                  <c:v>1.0626913437795575</c:v>
                </c:pt>
                <c:pt idx="1091" formatCode="#,##0.000">
                  <c:v>1.0626913437795575</c:v>
                </c:pt>
                <c:pt idx="1092" formatCode="#,##0.000">
                  <c:v>1.0626913437795575</c:v>
                </c:pt>
                <c:pt idx="1093" formatCode="#,##0.000">
                  <c:v>1.0626913437795575</c:v>
                </c:pt>
                <c:pt idx="1094" formatCode="#,##0.000">
                  <c:v>1.0626913437795575</c:v>
                </c:pt>
                <c:pt idx="1095" formatCode="#,##0.000">
                  <c:v>1.0626913437795575</c:v>
                </c:pt>
                <c:pt idx="1096" formatCode="#,##0.000">
                  <c:v>1.0626913437795575</c:v>
                </c:pt>
                <c:pt idx="1097" formatCode="#,##0.000">
                  <c:v>1.0626913437795575</c:v>
                </c:pt>
                <c:pt idx="1098" formatCode="#,##0.000">
                  <c:v>1.0626913437795575</c:v>
                </c:pt>
                <c:pt idx="1099" formatCode="#,##0.000">
                  <c:v>#N/A</c:v>
                </c:pt>
                <c:pt idx="1100" formatCode="#,##0.000">
                  <c:v>#N/A</c:v>
                </c:pt>
                <c:pt idx="1101" formatCode="#,##0.000">
                  <c:v>#N/A</c:v>
                </c:pt>
                <c:pt idx="1102" formatCode="#,##0.000">
                  <c:v>#N/A</c:v>
                </c:pt>
                <c:pt idx="1103" formatCode="#,##0.000">
                  <c:v>#N/A</c:v>
                </c:pt>
                <c:pt idx="1104" formatCode="#,##0.000">
                  <c:v>#N/A</c:v>
                </c:pt>
                <c:pt idx="1105" formatCode="#,##0.000">
                  <c:v>#N/A</c:v>
                </c:pt>
                <c:pt idx="1106" formatCode="#,##0.000">
                  <c:v>#N/A</c:v>
                </c:pt>
                <c:pt idx="1107" formatCode="#,##0.000">
                  <c:v>#N/A</c:v>
                </c:pt>
                <c:pt idx="1108" formatCode="#,##0.000">
                  <c:v>#N/A</c:v>
                </c:pt>
                <c:pt idx="1109" formatCode="#,##0.000">
                  <c:v>#N/A</c:v>
                </c:pt>
                <c:pt idx="1110" formatCode="#,##0.000">
                  <c:v>#N/A</c:v>
                </c:pt>
                <c:pt idx="1111" formatCode="#,##0.000">
                  <c:v>#N/A</c:v>
                </c:pt>
                <c:pt idx="1112" formatCode="#,##0.000">
                  <c:v>#N/A</c:v>
                </c:pt>
                <c:pt idx="1113" formatCode="#,##0.000">
                  <c:v>#N/A</c:v>
                </c:pt>
                <c:pt idx="1114" formatCode="#,##0.000">
                  <c:v>#N/A</c:v>
                </c:pt>
                <c:pt idx="1115" formatCode="#,##0.000">
                  <c:v>#N/A</c:v>
                </c:pt>
                <c:pt idx="1116" formatCode="#,##0.000">
                  <c:v>#N/A</c:v>
                </c:pt>
                <c:pt idx="1117" formatCode="#,##0.000">
                  <c:v>#N/A</c:v>
                </c:pt>
                <c:pt idx="1118" formatCode="#,##0.000">
                  <c:v>#N/A</c:v>
                </c:pt>
                <c:pt idx="1119" formatCode="#,##0.000">
                  <c:v>#N/A</c:v>
                </c:pt>
                <c:pt idx="1120" formatCode="#,##0.000">
                  <c:v>#N/A</c:v>
                </c:pt>
                <c:pt idx="1121" formatCode="#,##0.000">
                  <c:v>#N/A</c:v>
                </c:pt>
                <c:pt idx="1122" formatCode="#,##0.000">
                  <c:v>#N/A</c:v>
                </c:pt>
                <c:pt idx="1123" formatCode="#,##0.000">
                  <c:v>#N/A</c:v>
                </c:pt>
                <c:pt idx="1124" formatCode="#,##0.000">
                  <c:v>#N/A</c:v>
                </c:pt>
                <c:pt idx="1125" formatCode="#,##0.000">
                  <c:v>#N/A</c:v>
                </c:pt>
                <c:pt idx="1126" formatCode="#,##0.000">
                  <c:v>#N/A</c:v>
                </c:pt>
                <c:pt idx="1127" formatCode="#,##0.000">
                  <c:v>#N/A</c:v>
                </c:pt>
                <c:pt idx="1128" formatCode="#,##0.000">
                  <c:v>#N/A</c:v>
                </c:pt>
                <c:pt idx="1129" formatCode="#,##0.000">
                  <c:v>#N/A</c:v>
                </c:pt>
                <c:pt idx="1130" formatCode="#,##0.000">
                  <c:v>#N/A</c:v>
                </c:pt>
                <c:pt idx="1131" formatCode="#,##0.000">
                  <c:v>#N/A</c:v>
                </c:pt>
                <c:pt idx="1132" formatCode="#,##0.000">
                  <c:v>#N/A</c:v>
                </c:pt>
                <c:pt idx="1133" formatCode="#,##0.000">
                  <c:v>#N/A</c:v>
                </c:pt>
                <c:pt idx="1134" formatCode="#,##0.000">
                  <c:v>#N/A</c:v>
                </c:pt>
                <c:pt idx="1135" formatCode="#,##0.000">
                  <c:v>#N/A</c:v>
                </c:pt>
                <c:pt idx="1136" formatCode="#,##0.000">
                  <c:v>#N/A</c:v>
                </c:pt>
                <c:pt idx="1137" formatCode="#,##0.000">
                  <c:v>#N/A</c:v>
                </c:pt>
                <c:pt idx="1138" formatCode="#,##0.000">
                  <c:v>#N/A</c:v>
                </c:pt>
                <c:pt idx="1139" formatCode="#,##0.000">
                  <c:v>#N/A</c:v>
                </c:pt>
                <c:pt idx="1140" formatCode="#,##0.000">
                  <c:v>#N/A</c:v>
                </c:pt>
                <c:pt idx="1141" formatCode="#,##0.000">
                  <c:v>#N/A</c:v>
                </c:pt>
                <c:pt idx="1142" formatCode="#,##0.000">
                  <c:v>#N/A</c:v>
                </c:pt>
                <c:pt idx="1143" formatCode="#,##0.000">
                  <c:v>#N/A</c:v>
                </c:pt>
                <c:pt idx="1144" formatCode="#,##0.000">
                  <c:v>#N/A</c:v>
                </c:pt>
                <c:pt idx="1145" formatCode="#,##0.000">
                  <c:v>#N/A</c:v>
                </c:pt>
                <c:pt idx="1146" formatCode="#,##0.000">
                  <c:v>#N/A</c:v>
                </c:pt>
                <c:pt idx="1147" formatCode="#,##0.000">
                  <c:v>#N/A</c:v>
                </c:pt>
                <c:pt idx="1148" formatCode="#,##0.000">
                  <c:v>#N/A</c:v>
                </c:pt>
                <c:pt idx="1149" formatCode="#,##0.000">
                  <c:v>#N/A</c:v>
                </c:pt>
                <c:pt idx="1150" formatCode="#,##0.000">
                  <c:v>#N/A</c:v>
                </c:pt>
                <c:pt idx="1151" formatCode="#,##0.000">
                  <c:v>#N/A</c:v>
                </c:pt>
                <c:pt idx="1152" formatCode="#,##0.000">
                  <c:v>#N/A</c:v>
                </c:pt>
                <c:pt idx="1153" formatCode="#,##0.000">
                  <c:v>#N/A</c:v>
                </c:pt>
                <c:pt idx="1154" formatCode="#,##0.000">
                  <c:v>#N/A</c:v>
                </c:pt>
                <c:pt idx="1155" formatCode="#,##0.000">
                  <c:v>#N/A</c:v>
                </c:pt>
                <c:pt idx="1156" formatCode="#,##0.000">
                  <c:v>#N/A</c:v>
                </c:pt>
                <c:pt idx="1157" formatCode="#,##0.000">
                  <c:v>#N/A</c:v>
                </c:pt>
                <c:pt idx="1158" formatCode="#,##0.000">
                  <c:v>#N/A</c:v>
                </c:pt>
                <c:pt idx="1159" formatCode="#,##0.000">
                  <c:v>#N/A</c:v>
                </c:pt>
                <c:pt idx="1160" formatCode="#,##0.000">
                  <c:v>#N/A</c:v>
                </c:pt>
                <c:pt idx="1161" formatCode="#,##0.000">
                  <c:v>#N/A</c:v>
                </c:pt>
                <c:pt idx="1162" formatCode="#,##0.000">
                  <c:v>#N/A</c:v>
                </c:pt>
                <c:pt idx="1163" formatCode="#,##0.000">
                  <c:v>#N/A</c:v>
                </c:pt>
                <c:pt idx="1164" formatCode="#,##0.000">
                  <c:v>#N/A</c:v>
                </c:pt>
                <c:pt idx="1165" formatCode="#,##0.000">
                  <c:v>#N/A</c:v>
                </c:pt>
                <c:pt idx="1166" formatCode="#,##0.000">
                  <c:v>#N/A</c:v>
                </c:pt>
                <c:pt idx="1167" formatCode="#,##0.000">
                  <c:v>#N/A</c:v>
                </c:pt>
                <c:pt idx="1168" formatCode="#,##0.000">
                  <c:v>#N/A</c:v>
                </c:pt>
                <c:pt idx="1169" formatCode="#,##0.000">
                  <c:v>#N/A</c:v>
                </c:pt>
                <c:pt idx="1170" formatCode="#,##0.000">
                  <c:v>#N/A</c:v>
                </c:pt>
                <c:pt idx="1171" formatCode="#,##0.000">
                  <c:v>#N/A</c:v>
                </c:pt>
                <c:pt idx="1172" formatCode="#,##0.000">
                  <c:v>#N/A</c:v>
                </c:pt>
                <c:pt idx="1173" formatCode="#,##0.000">
                  <c:v>#N/A</c:v>
                </c:pt>
                <c:pt idx="1174" formatCode="#,##0.000">
                  <c:v>#N/A</c:v>
                </c:pt>
                <c:pt idx="1175" formatCode="#,##0.000">
                  <c:v>#N/A</c:v>
                </c:pt>
                <c:pt idx="1176" formatCode="#,##0.000">
                  <c:v>#N/A</c:v>
                </c:pt>
                <c:pt idx="1177" formatCode="#,##0.000">
                  <c:v>#N/A</c:v>
                </c:pt>
                <c:pt idx="1178" formatCode="#,##0.000">
                  <c:v>#N/A</c:v>
                </c:pt>
                <c:pt idx="1179" formatCode="#,##0.000">
                  <c:v>#N/A</c:v>
                </c:pt>
                <c:pt idx="1180" formatCode="#,##0.000">
                  <c:v>#N/A</c:v>
                </c:pt>
                <c:pt idx="1181" formatCode="#,##0.000">
                  <c:v>#N/A</c:v>
                </c:pt>
                <c:pt idx="1182" formatCode="#,##0.000">
                  <c:v>#N/A</c:v>
                </c:pt>
                <c:pt idx="1183" formatCode="#,##0.000">
                  <c:v>#N/A</c:v>
                </c:pt>
                <c:pt idx="1184" formatCode="#,##0.000">
                  <c:v>#N/A</c:v>
                </c:pt>
                <c:pt idx="1185" formatCode="#,##0.000">
                  <c:v>#N/A</c:v>
                </c:pt>
                <c:pt idx="1186" formatCode="#,##0.000">
                  <c:v>#N/A</c:v>
                </c:pt>
                <c:pt idx="1187" formatCode="#,##0.000">
                  <c:v>#N/A</c:v>
                </c:pt>
                <c:pt idx="1188" formatCode="#,##0.000">
                  <c:v>#N/A</c:v>
                </c:pt>
                <c:pt idx="1189" formatCode="#,##0.000">
                  <c:v>#N/A</c:v>
                </c:pt>
                <c:pt idx="1190" formatCode="#,##0.000">
                  <c:v>#N/A</c:v>
                </c:pt>
                <c:pt idx="1191" formatCode="#,##0.000">
                  <c:v>#N/A</c:v>
                </c:pt>
                <c:pt idx="1192" formatCode="#,##0.000">
                  <c:v>#N/A</c:v>
                </c:pt>
                <c:pt idx="1193" formatCode="#,##0.000">
                  <c:v>#N/A</c:v>
                </c:pt>
                <c:pt idx="1194" formatCode="#,##0.000">
                  <c:v>#N/A</c:v>
                </c:pt>
                <c:pt idx="1195" formatCode="#,##0.000">
                  <c:v>#N/A</c:v>
                </c:pt>
                <c:pt idx="1196" formatCode="#,##0.000">
                  <c:v>#N/A</c:v>
                </c:pt>
                <c:pt idx="1197" formatCode="#,##0.000">
                  <c:v>#N/A</c:v>
                </c:pt>
                <c:pt idx="1198" formatCode="#,##0.000">
                  <c:v>#N/A</c:v>
                </c:pt>
                <c:pt idx="1199" formatCode="#,##0.000">
                  <c:v>#N/A</c:v>
                </c:pt>
                <c:pt idx="1200" formatCode="#,##0.000">
                  <c:v>#N/A</c:v>
                </c:pt>
                <c:pt idx="1201" formatCode="#,##0.000">
                  <c:v>#N/A</c:v>
                </c:pt>
                <c:pt idx="1202" formatCode="#,##0.000">
                  <c:v>#N/A</c:v>
                </c:pt>
                <c:pt idx="1203" formatCode="#,##0.000">
                  <c:v>#N/A</c:v>
                </c:pt>
                <c:pt idx="1204" formatCode="#,##0.000">
                  <c:v>#N/A</c:v>
                </c:pt>
                <c:pt idx="1205" formatCode="#,##0.000">
                  <c:v>#N/A</c:v>
                </c:pt>
                <c:pt idx="1206" formatCode="#,##0.000">
                  <c:v>#N/A</c:v>
                </c:pt>
                <c:pt idx="1207" formatCode="#,##0.000">
                  <c:v>#N/A</c:v>
                </c:pt>
                <c:pt idx="1208" formatCode="#,##0.000">
                  <c:v>#N/A</c:v>
                </c:pt>
                <c:pt idx="1209" formatCode="#,##0.000">
                  <c:v>#N/A</c:v>
                </c:pt>
                <c:pt idx="1210" formatCode="#,##0.000">
                  <c:v>#N/A</c:v>
                </c:pt>
                <c:pt idx="1211" formatCode="#,##0.000">
                  <c:v>#N/A</c:v>
                </c:pt>
                <c:pt idx="1212" formatCode="#,##0.000">
                  <c:v>#N/A</c:v>
                </c:pt>
                <c:pt idx="1213" formatCode="#,##0.000">
                  <c:v>#N/A</c:v>
                </c:pt>
                <c:pt idx="1214" formatCode="#,##0.000">
                  <c:v>#N/A</c:v>
                </c:pt>
                <c:pt idx="1215" formatCode="#,##0.000">
                  <c:v>#N/A</c:v>
                </c:pt>
                <c:pt idx="1216" formatCode="#,##0.000">
                  <c:v>#N/A</c:v>
                </c:pt>
                <c:pt idx="1217" formatCode="#,##0.000">
                  <c:v>#N/A</c:v>
                </c:pt>
                <c:pt idx="1218" formatCode="#,##0.000">
                  <c:v>#N/A</c:v>
                </c:pt>
                <c:pt idx="1219" formatCode="#,##0.000">
                  <c:v>#N/A</c:v>
                </c:pt>
                <c:pt idx="1220" formatCode="#,##0.000">
                  <c:v>#N/A</c:v>
                </c:pt>
                <c:pt idx="1221" formatCode="#,##0.000">
                  <c:v>#N/A</c:v>
                </c:pt>
                <c:pt idx="1222" formatCode="#,##0.000">
                  <c:v>#N/A</c:v>
                </c:pt>
                <c:pt idx="1223" formatCode="#,##0.000">
                  <c:v>#N/A</c:v>
                </c:pt>
                <c:pt idx="1224" formatCode="#,##0.000">
                  <c:v>#N/A</c:v>
                </c:pt>
                <c:pt idx="1225" formatCode="#,##0.000">
                  <c:v>#N/A</c:v>
                </c:pt>
                <c:pt idx="1226" formatCode="#,##0.000">
                  <c:v>#N/A</c:v>
                </c:pt>
                <c:pt idx="1227" formatCode="#,##0.000">
                  <c:v>#N/A</c:v>
                </c:pt>
                <c:pt idx="1228" formatCode="#,##0.000">
                  <c:v>#N/A</c:v>
                </c:pt>
                <c:pt idx="1229" formatCode="#,##0.000">
                  <c:v>#N/A</c:v>
                </c:pt>
                <c:pt idx="1230" formatCode="#,##0.000">
                  <c:v>#N/A</c:v>
                </c:pt>
                <c:pt idx="1231" formatCode="#,##0.000">
                  <c:v>#N/A</c:v>
                </c:pt>
                <c:pt idx="1232" formatCode="#,##0.000">
                  <c:v>#N/A</c:v>
                </c:pt>
                <c:pt idx="1233" formatCode="#,##0.000">
                  <c:v>#N/A</c:v>
                </c:pt>
                <c:pt idx="1234" formatCode="#,##0.000">
                  <c:v>#N/A</c:v>
                </c:pt>
                <c:pt idx="1235" formatCode="#,##0.000">
                  <c:v>#N/A</c:v>
                </c:pt>
                <c:pt idx="1236" formatCode="#,##0.000">
                  <c:v>#N/A</c:v>
                </c:pt>
                <c:pt idx="1237" formatCode="#,##0.000">
                  <c:v>#N/A</c:v>
                </c:pt>
                <c:pt idx="1238" formatCode="#,##0.000">
                  <c:v>#N/A</c:v>
                </c:pt>
                <c:pt idx="1239" formatCode="#,##0.000">
                  <c:v>#N/A</c:v>
                </c:pt>
                <c:pt idx="1240" formatCode="#,##0.000">
                  <c:v>#N/A</c:v>
                </c:pt>
                <c:pt idx="1241" formatCode="#,##0.000">
                  <c:v>#N/A</c:v>
                </c:pt>
                <c:pt idx="1242" formatCode="#,##0.000">
                  <c:v>#N/A</c:v>
                </c:pt>
                <c:pt idx="1243" formatCode="#,##0.000">
                  <c:v>#N/A</c:v>
                </c:pt>
                <c:pt idx="1244" formatCode="#,##0.000">
                  <c:v>#N/A</c:v>
                </c:pt>
                <c:pt idx="1245" formatCode="#,##0.000">
                  <c:v>#N/A</c:v>
                </c:pt>
                <c:pt idx="1246" formatCode="#,##0.000">
                  <c:v>#N/A</c:v>
                </c:pt>
                <c:pt idx="1247" formatCode="#,##0.000">
                  <c:v>#N/A</c:v>
                </c:pt>
                <c:pt idx="1248" formatCode="#,##0.000">
                  <c:v>#N/A</c:v>
                </c:pt>
                <c:pt idx="1249" formatCode="#,##0.000">
                  <c:v>#N/A</c:v>
                </c:pt>
                <c:pt idx="1250" formatCode="#,##0.000">
                  <c:v>#N/A</c:v>
                </c:pt>
                <c:pt idx="1251" formatCode="#,##0.000">
                  <c:v>#N/A</c:v>
                </c:pt>
                <c:pt idx="1252" formatCode="#,##0.000">
                  <c:v>#N/A</c:v>
                </c:pt>
                <c:pt idx="1253" formatCode="#,##0.000">
                  <c:v>#N/A</c:v>
                </c:pt>
                <c:pt idx="1254" formatCode="#,##0.000">
                  <c:v>#N/A</c:v>
                </c:pt>
                <c:pt idx="1255" formatCode="#,##0.000">
                  <c:v>#N/A</c:v>
                </c:pt>
                <c:pt idx="1256" formatCode="#,##0.000">
                  <c:v>#N/A</c:v>
                </c:pt>
                <c:pt idx="1257" formatCode="#,##0.000">
                  <c:v>#N/A</c:v>
                </c:pt>
                <c:pt idx="1258" formatCode="#,##0.000">
                  <c:v>#N/A</c:v>
                </c:pt>
                <c:pt idx="1259" formatCode="#,##0.000">
                  <c:v>#N/A</c:v>
                </c:pt>
                <c:pt idx="1260" formatCode="#,##0.000">
                  <c:v>#N/A</c:v>
                </c:pt>
                <c:pt idx="1261" formatCode="#,##0.000">
                  <c:v>#N/A</c:v>
                </c:pt>
                <c:pt idx="1262" formatCode="#,##0.000">
                  <c:v>#N/A</c:v>
                </c:pt>
                <c:pt idx="1263" formatCode="#,##0.000">
                  <c:v>#N/A</c:v>
                </c:pt>
                <c:pt idx="1264" formatCode="#,##0.000">
                  <c:v>#N/A</c:v>
                </c:pt>
                <c:pt idx="1265" formatCode="#,##0.000">
                  <c:v>#N/A</c:v>
                </c:pt>
                <c:pt idx="1266" formatCode="#,##0.000">
                  <c:v>#N/A</c:v>
                </c:pt>
                <c:pt idx="1267" formatCode="#,##0.000">
                  <c:v>#N/A</c:v>
                </c:pt>
                <c:pt idx="1268" formatCode="#,##0.000">
                  <c:v>#N/A</c:v>
                </c:pt>
                <c:pt idx="1269" formatCode="#,##0.000">
                  <c:v>#N/A</c:v>
                </c:pt>
                <c:pt idx="1270" formatCode="#,##0.000">
                  <c:v>#N/A</c:v>
                </c:pt>
                <c:pt idx="1271" formatCode="#,##0.000">
                  <c:v>#N/A</c:v>
                </c:pt>
                <c:pt idx="1272" formatCode="#,##0.000">
                  <c:v>#N/A</c:v>
                </c:pt>
                <c:pt idx="1273" formatCode="#,##0.000">
                  <c:v>#N/A</c:v>
                </c:pt>
                <c:pt idx="1274" formatCode="#,##0.000">
                  <c:v>#N/A</c:v>
                </c:pt>
                <c:pt idx="1275" formatCode="#,##0.000">
                  <c:v>#N/A</c:v>
                </c:pt>
                <c:pt idx="1276" formatCode="#,##0.000">
                  <c:v>#N/A</c:v>
                </c:pt>
                <c:pt idx="1277" formatCode="#,##0.000">
                  <c:v>#N/A</c:v>
                </c:pt>
                <c:pt idx="1278" formatCode="#,##0.000">
                  <c:v>#N/A</c:v>
                </c:pt>
                <c:pt idx="1279" formatCode="#,##0.000">
                  <c:v>#N/A</c:v>
                </c:pt>
                <c:pt idx="1280" formatCode="#,##0.000">
                  <c:v>#N/A</c:v>
                </c:pt>
                <c:pt idx="1281" formatCode="#,##0.000">
                  <c:v>#N/A</c:v>
                </c:pt>
                <c:pt idx="1282" formatCode="#,##0.000">
                  <c:v>#N/A</c:v>
                </c:pt>
                <c:pt idx="1283" formatCode="#,##0.000">
                  <c:v>#N/A</c:v>
                </c:pt>
                <c:pt idx="1284" formatCode="#,##0.000">
                  <c:v>#N/A</c:v>
                </c:pt>
                <c:pt idx="1285" formatCode="#,##0.000">
                  <c:v>#N/A</c:v>
                </c:pt>
                <c:pt idx="1286" formatCode="#,##0.000">
                  <c:v>#N/A</c:v>
                </c:pt>
                <c:pt idx="1287" formatCode="#,##0.000">
                  <c:v>#N/A</c:v>
                </c:pt>
                <c:pt idx="1288" formatCode="#,##0.000">
                  <c:v>#N/A</c:v>
                </c:pt>
                <c:pt idx="1289" formatCode="#,##0.000">
                  <c:v>#N/A</c:v>
                </c:pt>
                <c:pt idx="1290" formatCode="#,##0.000">
                  <c:v>#N/A</c:v>
                </c:pt>
                <c:pt idx="1291" formatCode="#,##0.000">
                  <c:v>#N/A</c:v>
                </c:pt>
                <c:pt idx="1292" formatCode="#,##0.000">
                  <c:v>#N/A</c:v>
                </c:pt>
                <c:pt idx="1293" formatCode="#,##0.000">
                  <c:v>#N/A</c:v>
                </c:pt>
                <c:pt idx="1294" formatCode="#,##0.000">
                  <c:v>#N/A</c:v>
                </c:pt>
                <c:pt idx="1295" formatCode="#,##0.000">
                  <c:v>#N/A</c:v>
                </c:pt>
                <c:pt idx="1296" formatCode="#,##0.000">
                  <c:v>#N/A</c:v>
                </c:pt>
                <c:pt idx="1297" formatCode="#,##0.000">
                  <c:v>#N/A</c:v>
                </c:pt>
                <c:pt idx="1298" formatCode="#,##0.000">
                  <c:v>#N/A</c:v>
                </c:pt>
                <c:pt idx="1299" formatCode="#,##0.000">
                  <c:v>#N/A</c:v>
                </c:pt>
                <c:pt idx="1300" formatCode="#,##0.000">
                  <c:v>#N/A</c:v>
                </c:pt>
                <c:pt idx="1301" formatCode="#,##0.000">
                  <c:v>#N/A</c:v>
                </c:pt>
                <c:pt idx="1302" formatCode="#,##0.000">
                  <c:v>#N/A</c:v>
                </c:pt>
                <c:pt idx="1303" formatCode="#,##0.000">
                  <c:v>#N/A</c:v>
                </c:pt>
                <c:pt idx="1304" formatCode="#,##0.000">
                  <c:v>#N/A</c:v>
                </c:pt>
                <c:pt idx="1305" formatCode="#,##0.000">
                  <c:v>#N/A</c:v>
                </c:pt>
                <c:pt idx="1306" formatCode="#,##0.000">
                  <c:v>#N/A</c:v>
                </c:pt>
                <c:pt idx="1307" formatCode="#,##0.000">
                  <c:v>#N/A</c:v>
                </c:pt>
                <c:pt idx="1308" formatCode="#,##0.000">
                  <c:v>#N/A</c:v>
                </c:pt>
                <c:pt idx="1309" formatCode="#,##0.000">
                  <c:v>#N/A</c:v>
                </c:pt>
                <c:pt idx="1310" formatCode="#,##0.000">
                  <c:v>#N/A</c:v>
                </c:pt>
                <c:pt idx="1311" formatCode="#,##0.000">
                  <c:v>#N/A</c:v>
                </c:pt>
                <c:pt idx="1312" formatCode="#,##0.000">
                  <c:v>#N/A</c:v>
                </c:pt>
                <c:pt idx="1313" formatCode="#,##0.000">
                  <c:v>#N/A</c:v>
                </c:pt>
                <c:pt idx="1314" formatCode="#,##0.000">
                  <c:v>#N/A</c:v>
                </c:pt>
                <c:pt idx="1315" formatCode="#,##0.000">
                  <c:v>#N/A</c:v>
                </c:pt>
                <c:pt idx="1316" formatCode="#,##0.000">
                  <c:v>#N/A</c:v>
                </c:pt>
                <c:pt idx="1317" formatCode="#,##0.000">
                  <c:v>#N/A</c:v>
                </c:pt>
                <c:pt idx="1318" formatCode="#,##0.000">
                  <c:v>#N/A</c:v>
                </c:pt>
                <c:pt idx="1319" formatCode="#,##0.000">
                  <c:v>#N/A</c:v>
                </c:pt>
                <c:pt idx="1320" formatCode="#,##0.000">
                  <c:v>#N/A</c:v>
                </c:pt>
                <c:pt idx="1321" formatCode="#,##0.000">
                  <c:v>#N/A</c:v>
                </c:pt>
                <c:pt idx="1322" formatCode="#,##0.000">
                  <c:v>#N/A</c:v>
                </c:pt>
                <c:pt idx="1323" formatCode="#,##0.000">
                  <c:v>#N/A</c:v>
                </c:pt>
                <c:pt idx="1324" formatCode="#,##0.000">
                  <c:v>#N/A</c:v>
                </c:pt>
                <c:pt idx="1325" formatCode="#,##0.000">
                  <c:v>#N/A</c:v>
                </c:pt>
                <c:pt idx="1326" formatCode="#,##0.000">
                  <c:v>#N/A</c:v>
                </c:pt>
                <c:pt idx="1327" formatCode="#,##0.000">
                  <c:v>#N/A</c:v>
                </c:pt>
                <c:pt idx="1328" formatCode="#,##0.000">
                  <c:v>#N/A</c:v>
                </c:pt>
                <c:pt idx="1329" formatCode="#,##0.000">
                  <c:v>#N/A</c:v>
                </c:pt>
                <c:pt idx="1330" formatCode="#,##0.000">
                  <c:v>#N/A</c:v>
                </c:pt>
                <c:pt idx="1331" formatCode="#,##0.000">
                  <c:v>#N/A</c:v>
                </c:pt>
                <c:pt idx="1332" formatCode="#,##0.000">
                  <c:v>#N/A</c:v>
                </c:pt>
                <c:pt idx="1333" formatCode="#,##0.000">
                  <c:v>#N/A</c:v>
                </c:pt>
                <c:pt idx="1334" formatCode="#,##0.000">
                  <c:v>#N/A</c:v>
                </c:pt>
                <c:pt idx="1335" formatCode="#,##0.000">
                  <c:v>#N/A</c:v>
                </c:pt>
                <c:pt idx="1336" formatCode="#,##0.000">
                  <c:v>#N/A</c:v>
                </c:pt>
                <c:pt idx="1337" formatCode="#,##0.000">
                  <c:v>#N/A</c:v>
                </c:pt>
                <c:pt idx="1338" formatCode="#,##0.000">
                  <c:v>#N/A</c:v>
                </c:pt>
                <c:pt idx="1339" formatCode="#,##0.000">
                  <c:v>#N/A</c:v>
                </c:pt>
                <c:pt idx="1340" formatCode="#,##0.000">
                  <c:v>#N/A</c:v>
                </c:pt>
                <c:pt idx="1341" formatCode="#,##0.000">
                  <c:v>#N/A</c:v>
                </c:pt>
                <c:pt idx="1342" formatCode="#,##0.000">
                  <c:v>#N/A</c:v>
                </c:pt>
                <c:pt idx="1343" formatCode="#,##0.000">
                  <c:v>#N/A</c:v>
                </c:pt>
                <c:pt idx="1344" formatCode="#,##0.000">
                  <c:v>#N/A</c:v>
                </c:pt>
                <c:pt idx="1345" formatCode="#,##0.000">
                  <c:v>#N/A</c:v>
                </c:pt>
                <c:pt idx="1346" formatCode="#,##0.000">
                  <c:v>#N/A</c:v>
                </c:pt>
                <c:pt idx="1347" formatCode="#,##0.000">
                  <c:v>#N/A</c:v>
                </c:pt>
                <c:pt idx="1348" formatCode="#,##0.000">
                  <c:v>#N/A</c:v>
                </c:pt>
                <c:pt idx="1349" formatCode="#,##0.000">
                  <c:v>#N/A</c:v>
                </c:pt>
                <c:pt idx="1350" formatCode="#,##0.000">
                  <c:v>#N/A</c:v>
                </c:pt>
                <c:pt idx="1351" formatCode="#,##0.000">
                  <c:v>#N/A</c:v>
                </c:pt>
                <c:pt idx="1352" formatCode="#,##0.000">
                  <c:v>#N/A</c:v>
                </c:pt>
                <c:pt idx="1353" formatCode="#,##0.000">
                  <c:v>#N/A</c:v>
                </c:pt>
                <c:pt idx="1354" formatCode="#,##0.000">
                  <c:v>#N/A</c:v>
                </c:pt>
                <c:pt idx="1355" formatCode="#,##0.000">
                  <c:v>#N/A</c:v>
                </c:pt>
                <c:pt idx="1356" formatCode="#,##0.000">
                  <c:v>#N/A</c:v>
                </c:pt>
                <c:pt idx="1357" formatCode="#,##0.000">
                  <c:v>#N/A</c:v>
                </c:pt>
                <c:pt idx="1358" formatCode="#,##0.000">
                  <c:v>#N/A</c:v>
                </c:pt>
                <c:pt idx="1359" formatCode="#,##0.000">
                  <c:v>#N/A</c:v>
                </c:pt>
                <c:pt idx="1360" formatCode="#,##0.000">
                  <c:v>#N/A</c:v>
                </c:pt>
                <c:pt idx="1361" formatCode="#,##0.000">
                  <c:v>#N/A</c:v>
                </c:pt>
                <c:pt idx="1362" formatCode="#,##0.000">
                  <c:v>#N/A</c:v>
                </c:pt>
                <c:pt idx="1363" formatCode="#,##0.000">
                  <c:v>#N/A</c:v>
                </c:pt>
                <c:pt idx="1364" formatCode="#,##0.000">
                  <c:v>#N/A</c:v>
                </c:pt>
                <c:pt idx="1365" formatCode="#,##0.000">
                  <c:v>#N/A</c:v>
                </c:pt>
                <c:pt idx="1366" formatCode="#,##0.000">
                  <c:v>#N/A</c:v>
                </c:pt>
                <c:pt idx="1367" formatCode="#,##0.000">
                  <c:v>#N/A</c:v>
                </c:pt>
                <c:pt idx="1368" formatCode="#,##0.000">
                  <c:v>#N/A</c:v>
                </c:pt>
                <c:pt idx="1369" formatCode="#,##0.000">
                  <c:v>#N/A</c:v>
                </c:pt>
                <c:pt idx="1370" formatCode="#,##0.000">
                  <c:v>#N/A</c:v>
                </c:pt>
                <c:pt idx="1371" formatCode="#,##0.000">
                  <c:v>#N/A</c:v>
                </c:pt>
                <c:pt idx="1372" formatCode="#,##0.000">
                  <c:v>#N/A</c:v>
                </c:pt>
                <c:pt idx="1373" formatCode="#,##0.000">
                  <c:v>#N/A</c:v>
                </c:pt>
                <c:pt idx="1374" formatCode="#,##0.000">
                  <c:v>#N/A</c:v>
                </c:pt>
                <c:pt idx="1375" formatCode="#,##0.000">
                  <c:v>#N/A</c:v>
                </c:pt>
                <c:pt idx="1376" formatCode="#,##0.000">
                  <c:v>#N/A</c:v>
                </c:pt>
                <c:pt idx="1377" formatCode="#,##0.000">
                  <c:v>#N/A</c:v>
                </c:pt>
                <c:pt idx="1378" formatCode="#,##0.000">
                  <c:v>#N/A</c:v>
                </c:pt>
                <c:pt idx="1379" formatCode="#,##0.000">
                  <c:v>#N/A</c:v>
                </c:pt>
                <c:pt idx="1380" formatCode="#,##0.000">
                  <c:v>#N/A</c:v>
                </c:pt>
                <c:pt idx="1381" formatCode="#,##0.000">
                  <c:v>#N/A</c:v>
                </c:pt>
                <c:pt idx="1382" formatCode="#,##0.000">
                  <c:v>#N/A</c:v>
                </c:pt>
                <c:pt idx="1383" formatCode="#,##0.000">
                  <c:v>#N/A</c:v>
                </c:pt>
                <c:pt idx="1384" formatCode="#,##0.000">
                  <c:v>#N/A</c:v>
                </c:pt>
                <c:pt idx="1385" formatCode="#,##0.000">
                  <c:v>#N/A</c:v>
                </c:pt>
                <c:pt idx="1386" formatCode="#,##0.000">
                  <c:v>#N/A</c:v>
                </c:pt>
                <c:pt idx="1387" formatCode="#,##0.000">
                  <c:v>#N/A</c:v>
                </c:pt>
                <c:pt idx="1388" formatCode="#,##0.000">
                  <c:v>#N/A</c:v>
                </c:pt>
                <c:pt idx="1389" formatCode="#,##0.000">
                  <c:v>#N/A</c:v>
                </c:pt>
                <c:pt idx="1390" formatCode="#,##0.000">
                  <c:v>#N/A</c:v>
                </c:pt>
                <c:pt idx="1391" formatCode="#,##0.000">
                  <c:v>#N/A</c:v>
                </c:pt>
                <c:pt idx="1392" formatCode="#,##0.000">
                  <c:v>#N/A</c:v>
                </c:pt>
                <c:pt idx="1393" formatCode="#,##0.000">
                  <c:v>#N/A</c:v>
                </c:pt>
                <c:pt idx="1394" formatCode="#,##0.000">
                  <c:v>#N/A</c:v>
                </c:pt>
                <c:pt idx="1395" formatCode="#,##0.000">
                  <c:v>#N/A</c:v>
                </c:pt>
                <c:pt idx="1396" formatCode="#,##0.000">
                  <c:v>#N/A</c:v>
                </c:pt>
                <c:pt idx="1397" formatCode="#,##0.000">
                  <c:v>#N/A</c:v>
                </c:pt>
                <c:pt idx="1398" formatCode="#,##0.000">
                  <c:v>#N/A</c:v>
                </c:pt>
                <c:pt idx="1399" formatCode="#,##0.000">
                  <c:v>#N/A</c:v>
                </c:pt>
                <c:pt idx="1400" formatCode="#,##0.000">
                  <c:v>#N/A</c:v>
                </c:pt>
                <c:pt idx="1401" formatCode="#,##0.000">
                  <c:v>#N/A</c:v>
                </c:pt>
                <c:pt idx="1402" formatCode="#,##0.000">
                  <c:v>#N/A</c:v>
                </c:pt>
                <c:pt idx="1403" formatCode="#,##0.000">
                  <c:v>#N/A</c:v>
                </c:pt>
                <c:pt idx="1404" formatCode="#,##0.000">
                  <c:v>#N/A</c:v>
                </c:pt>
                <c:pt idx="1405" formatCode="#,##0.000">
                  <c:v>#N/A</c:v>
                </c:pt>
                <c:pt idx="1406" formatCode="#,##0.000">
                  <c:v>#N/A</c:v>
                </c:pt>
                <c:pt idx="1407" formatCode="#,##0.000">
                  <c:v>#N/A</c:v>
                </c:pt>
                <c:pt idx="1408" formatCode="#,##0.000">
                  <c:v>#N/A</c:v>
                </c:pt>
                <c:pt idx="1409" formatCode="#,##0.000">
                  <c:v>#N/A</c:v>
                </c:pt>
                <c:pt idx="1410" formatCode="#,##0.000">
                  <c:v>#N/A</c:v>
                </c:pt>
                <c:pt idx="1411" formatCode="#,##0.000">
                  <c:v>#N/A</c:v>
                </c:pt>
                <c:pt idx="1412" formatCode="#,##0.000">
                  <c:v>#N/A</c:v>
                </c:pt>
                <c:pt idx="1413" formatCode="#,##0.000">
                  <c:v>#N/A</c:v>
                </c:pt>
                <c:pt idx="1414" formatCode="#,##0.000">
                  <c:v>#N/A</c:v>
                </c:pt>
                <c:pt idx="1415" formatCode="#,##0.000">
                  <c:v>#N/A</c:v>
                </c:pt>
                <c:pt idx="1416" formatCode="#,##0.000">
                  <c:v>#N/A</c:v>
                </c:pt>
                <c:pt idx="1417" formatCode="#,##0.000">
                  <c:v>#N/A</c:v>
                </c:pt>
                <c:pt idx="1418" formatCode="#,##0.000">
                  <c:v>#N/A</c:v>
                </c:pt>
                <c:pt idx="1419" formatCode="#,##0.000">
                  <c:v>#N/A</c:v>
                </c:pt>
                <c:pt idx="1420" formatCode="#,##0.000">
                  <c:v>#N/A</c:v>
                </c:pt>
                <c:pt idx="1421" formatCode="#,##0.000">
                  <c:v>#N/A</c:v>
                </c:pt>
                <c:pt idx="1422" formatCode="#,##0.000">
                  <c:v>#N/A</c:v>
                </c:pt>
                <c:pt idx="1423" formatCode="#,##0.000">
                  <c:v>#N/A</c:v>
                </c:pt>
                <c:pt idx="1424" formatCode="#,##0.000">
                  <c:v>#N/A</c:v>
                </c:pt>
                <c:pt idx="1425" formatCode="#,##0.000">
                  <c:v>#N/A</c:v>
                </c:pt>
                <c:pt idx="1426" formatCode="#,##0.000">
                  <c:v>#N/A</c:v>
                </c:pt>
                <c:pt idx="1427" formatCode="#,##0.000">
                  <c:v>#N/A</c:v>
                </c:pt>
                <c:pt idx="1428" formatCode="#,##0.000">
                  <c:v>#N/A</c:v>
                </c:pt>
                <c:pt idx="1429" formatCode="#,##0.000">
                  <c:v>#N/A</c:v>
                </c:pt>
                <c:pt idx="1430" formatCode="#,##0.000">
                  <c:v>#N/A</c:v>
                </c:pt>
                <c:pt idx="1431" formatCode="#,##0.000">
                  <c:v>#N/A</c:v>
                </c:pt>
                <c:pt idx="1432" formatCode="#,##0.000">
                  <c:v>#N/A</c:v>
                </c:pt>
                <c:pt idx="1433" formatCode="#,##0.000">
                  <c:v>#N/A</c:v>
                </c:pt>
                <c:pt idx="1434" formatCode="#,##0.000">
                  <c:v>#N/A</c:v>
                </c:pt>
                <c:pt idx="1435" formatCode="#,##0.000">
                  <c:v>#N/A</c:v>
                </c:pt>
                <c:pt idx="1436" formatCode="#,##0.000">
                  <c:v>#N/A</c:v>
                </c:pt>
                <c:pt idx="1437" formatCode="#,##0.000">
                  <c:v>#N/A</c:v>
                </c:pt>
                <c:pt idx="1438" formatCode="#,##0.000">
                  <c:v>#N/A</c:v>
                </c:pt>
                <c:pt idx="1439" formatCode="#,##0.000">
                  <c:v>#N/A</c:v>
                </c:pt>
                <c:pt idx="1440" formatCode="#,##0.000">
                  <c:v>#N/A</c:v>
                </c:pt>
                <c:pt idx="1441" formatCode="#,##0.000">
                  <c:v>#N/A</c:v>
                </c:pt>
                <c:pt idx="1442" formatCode="#,##0.000">
                  <c:v>#N/A</c:v>
                </c:pt>
                <c:pt idx="1443" formatCode="#,##0.000">
                  <c:v>#N/A</c:v>
                </c:pt>
                <c:pt idx="1444" formatCode="#,##0.000">
                  <c:v>#N/A</c:v>
                </c:pt>
                <c:pt idx="1445" formatCode="#,##0.000">
                  <c:v>#N/A</c:v>
                </c:pt>
                <c:pt idx="1446" formatCode="#,##0.000">
                  <c:v>#N/A</c:v>
                </c:pt>
                <c:pt idx="1447" formatCode="#,##0.000">
                  <c:v>#N/A</c:v>
                </c:pt>
                <c:pt idx="1448" formatCode="#,##0.000">
                  <c:v>#N/A</c:v>
                </c:pt>
                <c:pt idx="1449" formatCode="#,##0.000">
                  <c:v>#N/A</c:v>
                </c:pt>
                <c:pt idx="1450" formatCode="#,##0.000">
                  <c:v>#N/A</c:v>
                </c:pt>
                <c:pt idx="1451" formatCode="#,##0.000">
                  <c:v>#N/A</c:v>
                </c:pt>
                <c:pt idx="1452" formatCode="#,##0.000">
                  <c:v>#N/A</c:v>
                </c:pt>
                <c:pt idx="1453" formatCode="#,##0.000">
                  <c:v>#N/A</c:v>
                </c:pt>
                <c:pt idx="1454" formatCode="#,##0.000">
                  <c:v>#N/A</c:v>
                </c:pt>
                <c:pt idx="1455" formatCode="#,##0.000">
                  <c:v>#N/A</c:v>
                </c:pt>
                <c:pt idx="1456" formatCode="#,##0.000">
                  <c:v>#N/A</c:v>
                </c:pt>
                <c:pt idx="1457" formatCode="#,##0.000">
                  <c:v>#N/A</c:v>
                </c:pt>
                <c:pt idx="1458" formatCode="#,##0.000">
                  <c:v>#N/A</c:v>
                </c:pt>
                <c:pt idx="1459" formatCode="#,##0.000">
                  <c:v>#N/A</c:v>
                </c:pt>
                <c:pt idx="1460" formatCode="#,##0.000">
                  <c:v>#N/A</c:v>
                </c:pt>
                <c:pt idx="1461" formatCode="#,##0.000">
                  <c:v>#N/A</c:v>
                </c:pt>
                <c:pt idx="1462" formatCode="#,##0.000">
                  <c:v>#N/A</c:v>
                </c:pt>
                <c:pt idx="1463" formatCode="#,##0.000">
                  <c:v>#N/A</c:v>
                </c:pt>
                <c:pt idx="1464" formatCode="#,##0.000">
                  <c:v>#N/A</c:v>
                </c:pt>
                <c:pt idx="1465" formatCode="#,##0.000">
                  <c:v>#N/A</c:v>
                </c:pt>
                <c:pt idx="1466" formatCode="#,##0.000">
                  <c:v>#N/A</c:v>
                </c:pt>
                <c:pt idx="1467" formatCode="#,##0.000">
                  <c:v>#N/A</c:v>
                </c:pt>
                <c:pt idx="1468" formatCode="#,##0.000">
                  <c:v>#N/A</c:v>
                </c:pt>
                <c:pt idx="1469" formatCode="#,##0.000">
                  <c:v>#N/A</c:v>
                </c:pt>
                <c:pt idx="1470" formatCode="#,##0.000">
                  <c:v>#N/A</c:v>
                </c:pt>
                <c:pt idx="1471" formatCode="#,##0.000">
                  <c:v>#N/A</c:v>
                </c:pt>
                <c:pt idx="1472" formatCode="#,##0.000">
                  <c:v>#N/A</c:v>
                </c:pt>
                <c:pt idx="1473" formatCode="#,##0.000">
                  <c:v>#N/A</c:v>
                </c:pt>
                <c:pt idx="1474" formatCode="#,##0.000">
                  <c:v>#N/A</c:v>
                </c:pt>
                <c:pt idx="1475" formatCode="#,##0.000">
                  <c:v>#N/A</c:v>
                </c:pt>
                <c:pt idx="1476" formatCode="#,##0.000">
                  <c:v>#N/A</c:v>
                </c:pt>
                <c:pt idx="1477" formatCode="#,##0.000">
                  <c:v>#N/A</c:v>
                </c:pt>
                <c:pt idx="1478" formatCode="#,##0.000">
                  <c:v>#N/A</c:v>
                </c:pt>
                <c:pt idx="1479" formatCode="#,##0.000">
                  <c:v>#N/A</c:v>
                </c:pt>
                <c:pt idx="1480" formatCode="#,##0.000">
                  <c:v>#N/A</c:v>
                </c:pt>
                <c:pt idx="1481" formatCode="#,##0.000">
                  <c:v>#N/A</c:v>
                </c:pt>
                <c:pt idx="1482" formatCode="#,##0.000">
                  <c:v>#N/A</c:v>
                </c:pt>
                <c:pt idx="1483" formatCode="#,##0.000">
                  <c:v>#N/A</c:v>
                </c:pt>
                <c:pt idx="1484" formatCode="#,##0.000">
                  <c:v>#N/A</c:v>
                </c:pt>
                <c:pt idx="1485" formatCode="#,##0.000">
                  <c:v>#N/A</c:v>
                </c:pt>
                <c:pt idx="1486" formatCode="#,##0.000">
                  <c:v>#N/A</c:v>
                </c:pt>
                <c:pt idx="1487" formatCode="#,##0.000">
                  <c:v>#N/A</c:v>
                </c:pt>
                <c:pt idx="1488" formatCode="#,##0.000">
                  <c:v>#N/A</c:v>
                </c:pt>
                <c:pt idx="1489" formatCode="#,##0.000">
                  <c:v>#N/A</c:v>
                </c:pt>
                <c:pt idx="1490" formatCode="#,##0.000">
                  <c:v>#N/A</c:v>
                </c:pt>
                <c:pt idx="1491" formatCode="#,##0.000">
                  <c:v>#N/A</c:v>
                </c:pt>
                <c:pt idx="1492" formatCode="#,##0.000">
                  <c:v>#N/A</c:v>
                </c:pt>
                <c:pt idx="1493" formatCode="#,##0.000">
                  <c:v>#N/A</c:v>
                </c:pt>
                <c:pt idx="1494" formatCode="#,##0.000">
                  <c:v>#N/A</c:v>
                </c:pt>
                <c:pt idx="1495" formatCode="#,##0.000">
                  <c:v>#N/A</c:v>
                </c:pt>
                <c:pt idx="1496" formatCode="#,##0.000">
                  <c:v>#N/A</c:v>
                </c:pt>
                <c:pt idx="1497" formatCode="#,##0.000">
                  <c:v>#N/A</c:v>
                </c:pt>
                <c:pt idx="1498" formatCode="#,##0.000">
                  <c:v>#N/A</c:v>
                </c:pt>
                <c:pt idx="1499" formatCode="#,##0.000">
                  <c:v>#N/A</c:v>
                </c:pt>
                <c:pt idx="1500" formatCode="#,##0.000">
                  <c:v>#N/A</c:v>
                </c:pt>
                <c:pt idx="1501" formatCode="#,##0.000">
                  <c:v>#N/A</c:v>
                </c:pt>
                <c:pt idx="1502" formatCode="#,##0.000">
                  <c:v>#N/A</c:v>
                </c:pt>
                <c:pt idx="1503" formatCode="#,##0.000">
                  <c:v>#N/A</c:v>
                </c:pt>
                <c:pt idx="1504" formatCode="#,##0.000">
                  <c:v>#N/A</c:v>
                </c:pt>
                <c:pt idx="1505" formatCode="#,##0.000">
                  <c:v>#N/A</c:v>
                </c:pt>
                <c:pt idx="1506" formatCode="#,##0.000">
                  <c:v>#N/A</c:v>
                </c:pt>
                <c:pt idx="1507" formatCode="#,##0.000">
                  <c:v>#N/A</c:v>
                </c:pt>
                <c:pt idx="1508" formatCode="#,##0.000">
                  <c:v>#N/A</c:v>
                </c:pt>
                <c:pt idx="1509" formatCode="#,##0.000">
                  <c:v>#N/A</c:v>
                </c:pt>
                <c:pt idx="1510" formatCode="#,##0.000">
                  <c:v>#N/A</c:v>
                </c:pt>
                <c:pt idx="1511" formatCode="#,##0.000">
                  <c:v>#N/A</c:v>
                </c:pt>
                <c:pt idx="1512" formatCode="#,##0.000">
                  <c:v>#N/A</c:v>
                </c:pt>
                <c:pt idx="1513" formatCode="#,##0.000">
                  <c:v>#N/A</c:v>
                </c:pt>
                <c:pt idx="1514" formatCode="#,##0.000">
                  <c:v>#N/A</c:v>
                </c:pt>
                <c:pt idx="1515" formatCode="#,##0.000">
                  <c:v>#N/A</c:v>
                </c:pt>
                <c:pt idx="1516" formatCode="#,##0.000">
                  <c:v>#N/A</c:v>
                </c:pt>
                <c:pt idx="1517" formatCode="#,##0.000">
                  <c:v>#N/A</c:v>
                </c:pt>
                <c:pt idx="1518" formatCode="#,##0.000">
                  <c:v>#N/A</c:v>
                </c:pt>
                <c:pt idx="1519" formatCode="#,##0.000">
                  <c:v>#N/A</c:v>
                </c:pt>
                <c:pt idx="1520" formatCode="#,##0.000">
                  <c:v>#N/A</c:v>
                </c:pt>
                <c:pt idx="1521" formatCode="#,##0.000">
                  <c:v>#N/A</c:v>
                </c:pt>
                <c:pt idx="1522" formatCode="#,##0.000">
                  <c:v>#N/A</c:v>
                </c:pt>
                <c:pt idx="1523" formatCode="#,##0.000">
                  <c:v>#N/A</c:v>
                </c:pt>
                <c:pt idx="1524" formatCode="#,##0.000">
                  <c:v>#N/A</c:v>
                </c:pt>
                <c:pt idx="1525" formatCode="#,##0.000">
                  <c:v>#N/A</c:v>
                </c:pt>
                <c:pt idx="1526" formatCode="#,##0.000">
                  <c:v>#N/A</c:v>
                </c:pt>
                <c:pt idx="1527" formatCode="#,##0.000">
                  <c:v>#N/A</c:v>
                </c:pt>
                <c:pt idx="1528" formatCode="#,##0.000">
                  <c:v>#N/A</c:v>
                </c:pt>
                <c:pt idx="1529" formatCode="#,##0.000">
                  <c:v>#N/A</c:v>
                </c:pt>
                <c:pt idx="1530" formatCode="#,##0.000">
                  <c:v>#N/A</c:v>
                </c:pt>
                <c:pt idx="1531" formatCode="#,##0.000">
                  <c:v>#N/A</c:v>
                </c:pt>
                <c:pt idx="1532" formatCode="#,##0.000">
                  <c:v>#N/A</c:v>
                </c:pt>
                <c:pt idx="1533" formatCode="#,##0.000">
                  <c:v>#N/A</c:v>
                </c:pt>
                <c:pt idx="1534" formatCode="#,##0.000">
                  <c:v>#N/A</c:v>
                </c:pt>
                <c:pt idx="1535" formatCode="#,##0.000">
                  <c:v>#N/A</c:v>
                </c:pt>
                <c:pt idx="1536" formatCode="#,##0.000">
                  <c:v>#N/A</c:v>
                </c:pt>
                <c:pt idx="1537" formatCode="#,##0.000">
                  <c:v>#N/A</c:v>
                </c:pt>
                <c:pt idx="1538" formatCode="#,##0.000">
                  <c:v>#N/A</c:v>
                </c:pt>
                <c:pt idx="1539" formatCode="#,##0.000">
                  <c:v>#N/A</c:v>
                </c:pt>
                <c:pt idx="1540" formatCode="#,##0.000">
                  <c:v>#N/A</c:v>
                </c:pt>
                <c:pt idx="1541" formatCode="#,##0.000">
                  <c:v>#N/A</c:v>
                </c:pt>
                <c:pt idx="1542" formatCode="#,##0.000">
                  <c:v>#N/A</c:v>
                </c:pt>
                <c:pt idx="1543" formatCode="#,##0.000">
                  <c:v>#N/A</c:v>
                </c:pt>
                <c:pt idx="1544" formatCode="#,##0.000">
                  <c:v>#N/A</c:v>
                </c:pt>
                <c:pt idx="1545" formatCode="#,##0.000">
                  <c:v>#N/A</c:v>
                </c:pt>
                <c:pt idx="1546" formatCode="#,##0.000">
                  <c:v>#N/A</c:v>
                </c:pt>
                <c:pt idx="1547" formatCode="#,##0.000">
                  <c:v>#N/A</c:v>
                </c:pt>
                <c:pt idx="1548" formatCode="#,##0.000">
                  <c:v>#N/A</c:v>
                </c:pt>
                <c:pt idx="1549" formatCode="#,##0.000">
                  <c:v>#N/A</c:v>
                </c:pt>
                <c:pt idx="1550" formatCode="#,##0.000">
                  <c:v>#N/A</c:v>
                </c:pt>
                <c:pt idx="1551" formatCode="#,##0.000">
                  <c:v>#N/A</c:v>
                </c:pt>
                <c:pt idx="1552" formatCode="#,##0.000">
                  <c:v>#N/A</c:v>
                </c:pt>
                <c:pt idx="1553" formatCode="#,##0.000">
                  <c:v>#N/A</c:v>
                </c:pt>
                <c:pt idx="1554" formatCode="#,##0.000">
                  <c:v>#N/A</c:v>
                </c:pt>
                <c:pt idx="1555" formatCode="#,##0.000">
                  <c:v>#N/A</c:v>
                </c:pt>
                <c:pt idx="1556" formatCode="#,##0.000">
                  <c:v>#N/A</c:v>
                </c:pt>
                <c:pt idx="1557" formatCode="#,##0.000">
                  <c:v>#N/A</c:v>
                </c:pt>
                <c:pt idx="1558" formatCode="#,##0.000">
                  <c:v>#N/A</c:v>
                </c:pt>
                <c:pt idx="1559" formatCode="#,##0.000">
                  <c:v>#N/A</c:v>
                </c:pt>
                <c:pt idx="1560" formatCode="#,##0.000">
                  <c:v>#N/A</c:v>
                </c:pt>
                <c:pt idx="1561" formatCode="#,##0.000">
                  <c:v>#N/A</c:v>
                </c:pt>
                <c:pt idx="1562" formatCode="#,##0.000">
                  <c:v>#N/A</c:v>
                </c:pt>
                <c:pt idx="1563" formatCode="#,##0.000">
                  <c:v>#N/A</c:v>
                </c:pt>
                <c:pt idx="1564" formatCode="#,##0.000">
                  <c:v>#N/A</c:v>
                </c:pt>
                <c:pt idx="1565" formatCode="#,##0.000">
                  <c:v>#N/A</c:v>
                </c:pt>
                <c:pt idx="1566" formatCode="#,##0.000">
                  <c:v>#N/A</c:v>
                </c:pt>
                <c:pt idx="1567" formatCode="#,##0.000">
                  <c:v>#N/A</c:v>
                </c:pt>
                <c:pt idx="1568" formatCode="#,##0.000">
                  <c:v>#N/A</c:v>
                </c:pt>
                <c:pt idx="1569" formatCode="#,##0.000">
                  <c:v>#N/A</c:v>
                </c:pt>
                <c:pt idx="1570" formatCode="#,##0.000">
                  <c:v>#N/A</c:v>
                </c:pt>
                <c:pt idx="1571" formatCode="#,##0.000">
                  <c:v>#N/A</c:v>
                </c:pt>
                <c:pt idx="1572" formatCode="#,##0.000">
                  <c:v>#N/A</c:v>
                </c:pt>
                <c:pt idx="1573" formatCode="#,##0.000">
                  <c:v>#N/A</c:v>
                </c:pt>
                <c:pt idx="1574" formatCode="#,##0.000">
                  <c:v>#N/A</c:v>
                </c:pt>
                <c:pt idx="1575" formatCode="#,##0.000">
                  <c:v>#N/A</c:v>
                </c:pt>
                <c:pt idx="1576" formatCode="#,##0.000">
                  <c:v>#N/A</c:v>
                </c:pt>
                <c:pt idx="1577" formatCode="#,##0.000">
                  <c:v>#N/A</c:v>
                </c:pt>
                <c:pt idx="1578" formatCode="#,##0.000">
                  <c:v>#N/A</c:v>
                </c:pt>
                <c:pt idx="1579" formatCode="#,##0.000">
                  <c:v>#N/A</c:v>
                </c:pt>
                <c:pt idx="1580" formatCode="#,##0.000">
                  <c:v>#N/A</c:v>
                </c:pt>
                <c:pt idx="1581" formatCode="#,##0.000">
                  <c:v>#N/A</c:v>
                </c:pt>
                <c:pt idx="1582" formatCode="#,##0.000">
                  <c:v>#N/A</c:v>
                </c:pt>
                <c:pt idx="1583" formatCode="#,##0.000">
                  <c:v>#N/A</c:v>
                </c:pt>
                <c:pt idx="1584" formatCode="#,##0.000">
                  <c:v>#N/A</c:v>
                </c:pt>
                <c:pt idx="1585" formatCode="#,##0.000">
                  <c:v>#N/A</c:v>
                </c:pt>
                <c:pt idx="1586" formatCode="#,##0.000">
                  <c:v>#N/A</c:v>
                </c:pt>
                <c:pt idx="1587" formatCode="#,##0.000">
                  <c:v>#N/A</c:v>
                </c:pt>
                <c:pt idx="1588" formatCode="#,##0.000">
                  <c:v>#N/A</c:v>
                </c:pt>
                <c:pt idx="1589" formatCode="#,##0.000">
                  <c:v>#N/A</c:v>
                </c:pt>
                <c:pt idx="1590" formatCode="#,##0.000">
                  <c:v>#N/A</c:v>
                </c:pt>
                <c:pt idx="1591" formatCode="#,##0.000">
                  <c:v>#N/A</c:v>
                </c:pt>
                <c:pt idx="1592" formatCode="#,##0.000">
                  <c:v>#N/A</c:v>
                </c:pt>
                <c:pt idx="1593" formatCode="#,##0.000">
                  <c:v>#N/A</c:v>
                </c:pt>
                <c:pt idx="1594" formatCode="#,##0.000">
                  <c:v>#N/A</c:v>
                </c:pt>
                <c:pt idx="1595" formatCode="#,##0.000">
                  <c:v>#N/A</c:v>
                </c:pt>
                <c:pt idx="1596" formatCode="#,##0.000">
                  <c:v>#N/A</c:v>
                </c:pt>
                <c:pt idx="1597" formatCode="#,##0.000">
                  <c:v>#N/A</c:v>
                </c:pt>
                <c:pt idx="1598" formatCode="#,##0.000">
                  <c:v>#N/A</c:v>
                </c:pt>
                <c:pt idx="1599" formatCode="#,##0.000">
                  <c:v>#N/A</c:v>
                </c:pt>
                <c:pt idx="1600" formatCode="#,##0.000">
                  <c:v>#N/A</c:v>
                </c:pt>
                <c:pt idx="1601" formatCode="#,##0.000">
                  <c:v>#N/A</c:v>
                </c:pt>
                <c:pt idx="1602" formatCode="#,##0.000">
                  <c:v>#N/A</c:v>
                </c:pt>
                <c:pt idx="1603" formatCode="#,##0.000">
                  <c:v>#N/A</c:v>
                </c:pt>
                <c:pt idx="1604" formatCode="#,##0.000">
                  <c:v>#N/A</c:v>
                </c:pt>
                <c:pt idx="1605" formatCode="#,##0.000">
                  <c:v>#N/A</c:v>
                </c:pt>
                <c:pt idx="1606" formatCode="#,##0.000">
                  <c:v>#N/A</c:v>
                </c:pt>
                <c:pt idx="1607" formatCode="#,##0.000">
                  <c:v>#N/A</c:v>
                </c:pt>
                <c:pt idx="1608" formatCode="#,##0.000">
                  <c:v>#N/A</c:v>
                </c:pt>
                <c:pt idx="1609" formatCode="#,##0.000">
                  <c:v>#N/A</c:v>
                </c:pt>
                <c:pt idx="1610" formatCode="#,##0.000">
                  <c:v>#N/A</c:v>
                </c:pt>
                <c:pt idx="1611" formatCode="#,##0.000">
                  <c:v>#N/A</c:v>
                </c:pt>
                <c:pt idx="1612" formatCode="#,##0.000">
                  <c:v>#N/A</c:v>
                </c:pt>
                <c:pt idx="1613" formatCode="#,##0.000">
                  <c:v>#N/A</c:v>
                </c:pt>
                <c:pt idx="1614" formatCode="#,##0.000">
                  <c:v>#N/A</c:v>
                </c:pt>
                <c:pt idx="1615" formatCode="#,##0.000">
                  <c:v>#N/A</c:v>
                </c:pt>
                <c:pt idx="1616" formatCode="#,##0.000">
                  <c:v>#N/A</c:v>
                </c:pt>
                <c:pt idx="1617" formatCode="#,##0.000">
                  <c:v>#N/A</c:v>
                </c:pt>
                <c:pt idx="1618" formatCode="#,##0.000">
                  <c:v>#N/A</c:v>
                </c:pt>
                <c:pt idx="1619" formatCode="#,##0.000">
                  <c:v>#N/A</c:v>
                </c:pt>
                <c:pt idx="1620" formatCode="#,##0.000">
                  <c:v>#N/A</c:v>
                </c:pt>
                <c:pt idx="1621" formatCode="#,##0.000">
                  <c:v>#N/A</c:v>
                </c:pt>
                <c:pt idx="1622" formatCode="#,##0.000">
                  <c:v>#N/A</c:v>
                </c:pt>
                <c:pt idx="1623" formatCode="#,##0.000">
                  <c:v>#N/A</c:v>
                </c:pt>
                <c:pt idx="1624" formatCode="#,##0.000">
                  <c:v>#N/A</c:v>
                </c:pt>
                <c:pt idx="1625" formatCode="#,##0.000">
                  <c:v>#N/A</c:v>
                </c:pt>
                <c:pt idx="1626" formatCode="#,##0.000">
                  <c:v>#N/A</c:v>
                </c:pt>
                <c:pt idx="1627" formatCode="#,##0.000">
                  <c:v>#N/A</c:v>
                </c:pt>
                <c:pt idx="1628" formatCode="#,##0.000">
                  <c:v>#N/A</c:v>
                </c:pt>
                <c:pt idx="1629" formatCode="#,##0.000">
                  <c:v>#N/A</c:v>
                </c:pt>
                <c:pt idx="1630" formatCode="#,##0.000">
                  <c:v>#N/A</c:v>
                </c:pt>
                <c:pt idx="1631" formatCode="#,##0.000">
                  <c:v>#N/A</c:v>
                </c:pt>
                <c:pt idx="1632" formatCode="#,##0.000">
                  <c:v>#N/A</c:v>
                </c:pt>
                <c:pt idx="1633" formatCode="#,##0.000">
                  <c:v>#N/A</c:v>
                </c:pt>
                <c:pt idx="1634" formatCode="#,##0.000">
                  <c:v>#N/A</c:v>
                </c:pt>
                <c:pt idx="1635" formatCode="#,##0.000">
                  <c:v>#N/A</c:v>
                </c:pt>
                <c:pt idx="1636" formatCode="#,##0.000">
                  <c:v>#N/A</c:v>
                </c:pt>
                <c:pt idx="1637" formatCode="#,##0.000">
                  <c:v>#N/A</c:v>
                </c:pt>
                <c:pt idx="1638" formatCode="#,##0.000">
                  <c:v>#N/A</c:v>
                </c:pt>
                <c:pt idx="1639" formatCode="#,##0.000">
                  <c:v>#N/A</c:v>
                </c:pt>
                <c:pt idx="1640" formatCode="#,##0.000">
                  <c:v>#N/A</c:v>
                </c:pt>
                <c:pt idx="1641" formatCode="#,##0.000">
                  <c:v>#N/A</c:v>
                </c:pt>
                <c:pt idx="1642" formatCode="#,##0.000">
                  <c:v>#N/A</c:v>
                </c:pt>
                <c:pt idx="1643" formatCode="#,##0.000">
                  <c:v>#N/A</c:v>
                </c:pt>
                <c:pt idx="1644" formatCode="#,##0.000">
                  <c:v>#N/A</c:v>
                </c:pt>
                <c:pt idx="1645" formatCode="#,##0.000">
                  <c:v>#N/A</c:v>
                </c:pt>
                <c:pt idx="1646" formatCode="#,##0.000">
                  <c:v>#N/A</c:v>
                </c:pt>
                <c:pt idx="1647" formatCode="#,##0.000">
                  <c:v>#N/A</c:v>
                </c:pt>
                <c:pt idx="1648" formatCode="#,##0.000">
                  <c:v>#N/A</c:v>
                </c:pt>
                <c:pt idx="1649" formatCode="#,##0.000">
                  <c:v>#N/A</c:v>
                </c:pt>
                <c:pt idx="1650" formatCode="#,##0.000">
                  <c:v>#N/A</c:v>
                </c:pt>
                <c:pt idx="1651" formatCode="#,##0.000">
                  <c:v>#N/A</c:v>
                </c:pt>
                <c:pt idx="1652" formatCode="#,##0.000">
                  <c:v>#N/A</c:v>
                </c:pt>
                <c:pt idx="1653" formatCode="#,##0.000">
                  <c:v>#N/A</c:v>
                </c:pt>
                <c:pt idx="1654" formatCode="#,##0.000">
                  <c:v>#N/A</c:v>
                </c:pt>
                <c:pt idx="1655" formatCode="#,##0.000">
                  <c:v>#N/A</c:v>
                </c:pt>
                <c:pt idx="1656" formatCode="#,##0.000">
                  <c:v>#N/A</c:v>
                </c:pt>
                <c:pt idx="1657" formatCode="#,##0.000">
                  <c:v>#N/A</c:v>
                </c:pt>
                <c:pt idx="1658" formatCode="#,##0.000">
                  <c:v>#N/A</c:v>
                </c:pt>
                <c:pt idx="1659" formatCode="#,##0.000">
                  <c:v>#N/A</c:v>
                </c:pt>
                <c:pt idx="1660" formatCode="#,##0.000">
                  <c:v>#N/A</c:v>
                </c:pt>
                <c:pt idx="1661" formatCode="#,##0.000">
                  <c:v>#N/A</c:v>
                </c:pt>
                <c:pt idx="1662" formatCode="#,##0.000">
                  <c:v>#N/A</c:v>
                </c:pt>
                <c:pt idx="1663" formatCode="#,##0.000">
                  <c:v>#N/A</c:v>
                </c:pt>
                <c:pt idx="1664" formatCode="#,##0.000">
                  <c:v>#N/A</c:v>
                </c:pt>
                <c:pt idx="1665" formatCode="#,##0.000">
                  <c:v>#N/A</c:v>
                </c:pt>
                <c:pt idx="1666" formatCode="#,##0.000">
                  <c:v>#N/A</c:v>
                </c:pt>
                <c:pt idx="1667" formatCode="#,##0.000">
                  <c:v>#N/A</c:v>
                </c:pt>
                <c:pt idx="1668" formatCode="#,##0.000">
                  <c:v>#N/A</c:v>
                </c:pt>
                <c:pt idx="1669" formatCode="#,##0.000">
                  <c:v>#N/A</c:v>
                </c:pt>
                <c:pt idx="1670" formatCode="#,##0.000">
                  <c:v>#N/A</c:v>
                </c:pt>
                <c:pt idx="1671" formatCode="#,##0.000">
                  <c:v>#N/A</c:v>
                </c:pt>
                <c:pt idx="1672" formatCode="#,##0.000">
                  <c:v>#N/A</c:v>
                </c:pt>
                <c:pt idx="1673" formatCode="#,##0.000">
                  <c:v>#N/A</c:v>
                </c:pt>
                <c:pt idx="1674" formatCode="#,##0.000">
                  <c:v>#N/A</c:v>
                </c:pt>
                <c:pt idx="1675" formatCode="#,##0.000">
                  <c:v>#N/A</c:v>
                </c:pt>
                <c:pt idx="1676" formatCode="#,##0.000">
                  <c:v>#N/A</c:v>
                </c:pt>
                <c:pt idx="1677" formatCode="#,##0.000">
                  <c:v>#N/A</c:v>
                </c:pt>
                <c:pt idx="1678" formatCode="#,##0.000">
                  <c:v>#N/A</c:v>
                </c:pt>
                <c:pt idx="1679" formatCode="#,##0.000">
                  <c:v>#N/A</c:v>
                </c:pt>
                <c:pt idx="1680" formatCode="#,##0.000">
                  <c:v>#N/A</c:v>
                </c:pt>
                <c:pt idx="1681" formatCode="#,##0.000">
                  <c:v>#N/A</c:v>
                </c:pt>
                <c:pt idx="1682" formatCode="#,##0.000">
                  <c:v>#N/A</c:v>
                </c:pt>
                <c:pt idx="1683" formatCode="#,##0.000">
                  <c:v>#N/A</c:v>
                </c:pt>
                <c:pt idx="1684" formatCode="#,##0.000">
                  <c:v>#N/A</c:v>
                </c:pt>
                <c:pt idx="1685" formatCode="#,##0.000">
                  <c:v>#N/A</c:v>
                </c:pt>
                <c:pt idx="1686" formatCode="#,##0.000">
                  <c:v>#N/A</c:v>
                </c:pt>
                <c:pt idx="1687" formatCode="#,##0.000">
                  <c:v>#N/A</c:v>
                </c:pt>
                <c:pt idx="1688" formatCode="#,##0.000">
                  <c:v>#N/A</c:v>
                </c:pt>
                <c:pt idx="1689" formatCode="#,##0.000">
                  <c:v>#N/A</c:v>
                </c:pt>
                <c:pt idx="1690" formatCode="#,##0.000">
                  <c:v>#N/A</c:v>
                </c:pt>
                <c:pt idx="1691" formatCode="#,##0.000">
                  <c:v>#N/A</c:v>
                </c:pt>
                <c:pt idx="1692" formatCode="#,##0.000">
                  <c:v>#N/A</c:v>
                </c:pt>
                <c:pt idx="1693" formatCode="#,##0.000">
                  <c:v>#N/A</c:v>
                </c:pt>
                <c:pt idx="1694" formatCode="#,##0.000">
                  <c:v>#N/A</c:v>
                </c:pt>
                <c:pt idx="1695" formatCode="#,##0.000">
                  <c:v>#N/A</c:v>
                </c:pt>
                <c:pt idx="1696" formatCode="#,##0.000">
                  <c:v>#N/A</c:v>
                </c:pt>
                <c:pt idx="1697" formatCode="#,##0.000">
                  <c:v>#N/A</c:v>
                </c:pt>
                <c:pt idx="1698" formatCode="#,##0.000">
                  <c:v>#N/A</c:v>
                </c:pt>
                <c:pt idx="1699" formatCode="#,##0.000">
                  <c:v>#N/A</c:v>
                </c:pt>
                <c:pt idx="1700" formatCode="#,##0.000">
                  <c:v>#N/A</c:v>
                </c:pt>
                <c:pt idx="1701" formatCode="#,##0.000">
                  <c:v>#N/A</c:v>
                </c:pt>
                <c:pt idx="1702" formatCode="#,##0.000">
                  <c:v>#N/A</c:v>
                </c:pt>
                <c:pt idx="1703" formatCode="#,##0.000">
                  <c:v>#N/A</c:v>
                </c:pt>
                <c:pt idx="1704" formatCode="#,##0.000">
                  <c:v>#N/A</c:v>
                </c:pt>
                <c:pt idx="1705" formatCode="#,##0.000">
                  <c:v>#N/A</c:v>
                </c:pt>
                <c:pt idx="1706" formatCode="#,##0.000">
                  <c:v>#N/A</c:v>
                </c:pt>
                <c:pt idx="1707" formatCode="#,##0.000">
                  <c:v>#N/A</c:v>
                </c:pt>
                <c:pt idx="1708" formatCode="#,##0.000">
                  <c:v>#N/A</c:v>
                </c:pt>
                <c:pt idx="1709" formatCode="#,##0.000">
                  <c:v>#N/A</c:v>
                </c:pt>
                <c:pt idx="1710" formatCode="#,##0.000">
                  <c:v>#N/A</c:v>
                </c:pt>
                <c:pt idx="1711" formatCode="#,##0.000">
                  <c:v>#N/A</c:v>
                </c:pt>
                <c:pt idx="1712" formatCode="#,##0.000">
                  <c:v>#N/A</c:v>
                </c:pt>
                <c:pt idx="1713" formatCode="#,##0.000">
                  <c:v>#N/A</c:v>
                </c:pt>
                <c:pt idx="1714" formatCode="#,##0.000">
                  <c:v>#N/A</c:v>
                </c:pt>
                <c:pt idx="1715" formatCode="#,##0.000">
                  <c:v>#N/A</c:v>
                </c:pt>
                <c:pt idx="1716" formatCode="#,##0.000">
                  <c:v>#N/A</c:v>
                </c:pt>
                <c:pt idx="1717" formatCode="#,##0.000">
                  <c:v>#N/A</c:v>
                </c:pt>
                <c:pt idx="1718" formatCode="#,##0.000">
                  <c:v>#N/A</c:v>
                </c:pt>
                <c:pt idx="1719" formatCode="#,##0.000">
                  <c:v>#N/A</c:v>
                </c:pt>
                <c:pt idx="1720" formatCode="#,##0.000">
                  <c:v>#N/A</c:v>
                </c:pt>
                <c:pt idx="1721" formatCode="#,##0.000">
                  <c:v>#N/A</c:v>
                </c:pt>
                <c:pt idx="1722" formatCode="#,##0.000">
                  <c:v>#N/A</c:v>
                </c:pt>
                <c:pt idx="1723" formatCode="#,##0.000">
                  <c:v>#N/A</c:v>
                </c:pt>
                <c:pt idx="1724" formatCode="#,##0.000">
                  <c:v>#N/A</c:v>
                </c:pt>
                <c:pt idx="1725" formatCode="#,##0.000">
                  <c:v>#N/A</c:v>
                </c:pt>
                <c:pt idx="1726" formatCode="#,##0.000">
                  <c:v>#N/A</c:v>
                </c:pt>
                <c:pt idx="1727" formatCode="#,##0.000">
                  <c:v>#N/A</c:v>
                </c:pt>
                <c:pt idx="1728" formatCode="#,##0.000">
                  <c:v>#N/A</c:v>
                </c:pt>
                <c:pt idx="1729" formatCode="#,##0.000">
                  <c:v>#N/A</c:v>
                </c:pt>
                <c:pt idx="1730" formatCode="#,##0.000">
                  <c:v>#N/A</c:v>
                </c:pt>
                <c:pt idx="1731" formatCode="#,##0.000">
                  <c:v>#N/A</c:v>
                </c:pt>
                <c:pt idx="1732" formatCode="#,##0.000">
                  <c:v>#N/A</c:v>
                </c:pt>
                <c:pt idx="1733" formatCode="#,##0.000">
                  <c:v>#N/A</c:v>
                </c:pt>
                <c:pt idx="1734" formatCode="#,##0.000">
                  <c:v>#N/A</c:v>
                </c:pt>
                <c:pt idx="1735" formatCode="#,##0.000">
                  <c:v>#N/A</c:v>
                </c:pt>
                <c:pt idx="1736" formatCode="#,##0.000">
                  <c:v>#N/A</c:v>
                </c:pt>
                <c:pt idx="1737" formatCode="#,##0.000">
                  <c:v>#N/A</c:v>
                </c:pt>
                <c:pt idx="1738" formatCode="#,##0.000">
                  <c:v>#N/A</c:v>
                </c:pt>
                <c:pt idx="1739" formatCode="#,##0.000">
                  <c:v>#N/A</c:v>
                </c:pt>
                <c:pt idx="1740" formatCode="#,##0.000">
                  <c:v>#N/A</c:v>
                </c:pt>
                <c:pt idx="1741" formatCode="#,##0.000">
                  <c:v>#N/A</c:v>
                </c:pt>
                <c:pt idx="1742" formatCode="#,##0.000">
                  <c:v>#N/A</c:v>
                </c:pt>
                <c:pt idx="1743" formatCode="#,##0.000">
                  <c:v>#N/A</c:v>
                </c:pt>
                <c:pt idx="1744" formatCode="#,##0.000">
                  <c:v>#N/A</c:v>
                </c:pt>
                <c:pt idx="1745" formatCode="#,##0.000">
                  <c:v>#N/A</c:v>
                </c:pt>
                <c:pt idx="1746" formatCode="#,##0.000">
                  <c:v>#N/A</c:v>
                </c:pt>
                <c:pt idx="1747" formatCode="#,##0.000">
                  <c:v>#N/A</c:v>
                </c:pt>
                <c:pt idx="1748" formatCode="#,##0.000">
                  <c:v>#N/A</c:v>
                </c:pt>
                <c:pt idx="1749" formatCode="#,##0.000">
                  <c:v>#N/A</c:v>
                </c:pt>
                <c:pt idx="1750" formatCode="#,##0.000">
                  <c:v>#N/A</c:v>
                </c:pt>
                <c:pt idx="1751" formatCode="#,##0.000">
                  <c:v>#N/A</c:v>
                </c:pt>
                <c:pt idx="1752" formatCode="#,##0.000">
                  <c:v>#N/A</c:v>
                </c:pt>
                <c:pt idx="1753" formatCode="#,##0.000">
                  <c:v>#N/A</c:v>
                </c:pt>
                <c:pt idx="1754" formatCode="#,##0.000">
                  <c:v>#N/A</c:v>
                </c:pt>
                <c:pt idx="1755" formatCode="#,##0.000">
                  <c:v>#N/A</c:v>
                </c:pt>
                <c:pt idx="1756" formatCode="#,##0.000">
                  <c:v>#N/A</c:v>
                </c:pt>
                <c:pt idx="1757" formatCode="#,##0.000">
                  <c:v>#N/A</c:v>
                </c:pt>
                <c:pt idx="1758" formatCode="#,##0.000">
                  <c:v>#N/A</c:v>
                </c:pt>
                <c:pt idx="1759" formatCode="#,##0.000">
                  <c:v>#N/A</c:v>
                </c:pt>
                <c:pt idx="1760" formatCode="#,##0.000">
                  <c:v>#N/A</c:v>
                </c:pt>
                <c:pt idx="1761" formatCode="#,##0.000">
                  <c:v>#N/A</c:v>
                </c:pt>
                <c:pt idx="1762" formatCode="#,##0.000">
                  <c:v>#N/A</c:v>
                </c:pt>
                <c:pt idx="1763" formatCode="#,##0.000">
                  <c:v>#N/A</c:v>
                </c:pt>
                <c:pt idx="1764" formatCode="#,##0.000">
                  <c:v>#N/A</c:v>
                </c:pt>
                <c:pt idx="1765" formatCode="#,##0.000">
                  <c:v>#N/A</c:v>
                </c:pt>
                <c:pt idx="1766" formatCode="#,##0.000">
                  <c:v>#N/A</c:v>
                </c:pt>
                <c:pt idx="1767" formatCode="#,##0.000">
                  <c:v>#N/A</c:v>
                </c:pt>
                <c:pt idx="1768" formatCode="#,##0.000">
                  <c:v>#N/A</c:v>
                </c:pt>
                <c:pt idx="1769" formatCode="#,##0.000">
                  <c:v>#N/A</c:v>
                </c:pt>
                <c:pt idx="1770" formatCode="#,##0.000">
                  <c:v>#N/A</c:v>
                </c:pt>
                <c:pt idx="1771" formatCode="#,##0.000">
                  <c:v>#N/A</c:v>
                </c:pt>
                <c:pt idx="1772" formatCode="#,##0.000">
                  <c:v>#N/A</c:v>
                </c:pt>
                <c:pt idx="1773" formatCode="#,##0.000">
                  <c:v>#N/A</c:v>
                </c:pt>
                <c:pt idx="1774" formatCode="#,##0.000">
                  <c:v>#N/A</c:v>
                </c:pt>
                <c:pt idx="1775" formatCode="#,##0.000">
                  <c:v>#N/A</c:v>
                </c:pt>
                <c:pt idx="1776" formatCode="#,##0.000">
                  <c:v>#N/A</c:v>
                </c:pt>
                <c:pt idx="1777" formatCode="#,##0.000">
                  <c:v>#N/A</c:v>
                </c:pt>
                <c:pt idx="1778" formatCode="#,##0.000">
                  <c:v>#N/A</c:v>
                </c:pt>
                <c:pt idx="1779" formatCode="#,##0.000">
                  <c:v>#N/A</c:v>
                </c:pt>
                <c:pt idx="1780" formatCode="#,##0.000">
                  <c:v>#N/A</c:v>
                </c:pt>
                <c:pt idx="1781" formatCode="#,##0.000">
                  <c:v>#N/A</c:v>
                </c:pt>
                <c:pt idx="1782" formatCode="#,##0.000">
                  <c:v>#N/A</c:v>
                </c:pt>
                <c:pt idx="1783" formatCode="#,##0.000">
                  <c:v>#N/A</c:v>
                </c:pt>
                <c:pt idx="1784" formatCode="#,##0.000">
                  <c:v>#N/A</c:v>
                </c:pt>
                <c:pt idx="1785" formatCode="#,##0.000">
                  <c:v>#N/A</c:v>
                </c:pt>
                <c:pt idx="1786" formatCode="#,##0.000">
                  <c:v>#N/A</c:v>
                </c:pt>
                <c:pt idx="1787" formatCode="#,##0.000">
                  <c:v>#N/A</c:v>
                </c:pt>
                <c:pt idx="1788" formatCode="#,##0.000">
                  <c:v>#N/A</c:v>
                </c:pt>
                <c:pt idx="1789" formatCode="#,##0.000">
                  <c:v>#N/A</c:v>
                </c:pt>
                <c:pt idx="1790" formatCode="#,##0.000">
                  <c:v>#N/A</c:v>
                </c:pt>
                <c:pt idx="1791" formatCode="#,##0.000">
                  <c:v>#N/A</c:v>
                </c:pt>
                <c:pt idx="1792" formatCode="#,##0.000">
                  <c:v>#N/A</c:v>
                </c:pt>
                <c:pt idx="1793" formatCode="#,##0.000">
                  <c:v>#N/A</c:v>
                </c:pt>
                <c:pt idx="1794" formatCode="#,##0.000">
                  <c:v>#N/A</c:v>
                </c:pt>
                <c:pt idx="1795" formatCode="#,##0.000">
                  <c:v>#N/A</c:v>
                </c:pt>
                <c:pt idx="1796" formatCode="#,##0.000">
                  <c:v>#N/A</c:v>
                </c:pt>
                <c:pt idx="1797" formatCode="#,##0.000">
                  <c:v>#N/A</c:v>
                </c:pt>
                <c:pt idx="1798" formatCode="#,##0.000">
                  <c:v>#N/A</c:v>
                </c:pt>
                <c:pt idx="1799" formatCode="#,##0.000">
                  <c:v>#N/A</c:v>
                </c:pt>
                <c:pt idx="1800" formatCode="#,##0.000">
                  <c:v>#N/A</c:v>
                </c:pt>
                <c:pt idx="1801" formatCode="#,##0.000">
                  <c:v>#N/A</c:v>
                </c:pt>
                <c:pt idx="1802" formatCode="#,##0.000">
                  <c:v>#N/A</c:v>
                </c:pt>
                <c:pt idx="1803" formatCode="#,##0.000">
                  <c:v>#N/A</c:v>
                </c:pt>
                <c:pt idx="1804" formatCode="#,##0.000">
                  <c:v>#N/A</c:v>
                </c:pt>
                <c:pt idx="1805" formatCode="#,##0.000">
                  <c:v>#N/A</c:v>
                </c:pt>
                <c:pt idx="1806" formatCode="#,##0.000">
                  <c:v>#N/A</c:v>
                </c:pt>
                <c:pt idx="1807" formatCode="#,##0.000">
                  <c:v>#N/A</c:v>
                </c:pt>
                <c:pt idx="1808" formatCode="#,##0.000">
                  <c:v>#N/A</c:v>
                </c:pt>
                <c:pt idx="1809" formatCode="#,##0.000">
                  <c:v>#N/A</c:v>
                </c:pt>
                <c:pt idx="1810" formatCode="#,##0.000">
                  <c:v>#N/A</c:v>
                </c:pt>
                <c:pt idx="1811" formatCode="#,##0.000">
                  <c:v>#N/A</c:v>
                </c:pt>
                <c:pt idx="1812" formatCode="#,##0.000">
                  <c:v>#N/A</c:v>
                </c:pt>
                <c:pt idx="1813" formatCode="#,##0.000">
                  <c:v>#N/A</c:v>
                </c:pt>
                <c:pt idx="1814" formatCode="#,##0.000">
                  <c:v>#N/A</c:v>
                </c:pt>
                <c:pt idx="1815" formatCode="#,##0.000">
                  <c:v>#N/A</c:v>
                </c:pt>
                <c:pt idx="1816" formatCode="#,##0.000">
                  <c:v>#N/A</c:v>
                </c:pt>
                <c:pt idx="1817" formatCode="#,##0.000">
                  <c:v>#N/A</c:v>
                </c:pt>
                <c:pt idx="1818" formatCode="#,##0.000">
                  <c:v>#N/A</c:v>
                </c:pt>
                <c:pt idx="1819" formatCode="#,##0.000">
                  <c:v>#N/A</c:v>
                </c:pt>
                <c:pt idx="1820" formatCode="#,##0.000">
                  <c:v>#N/A</c:v>
                </c:pt>
                <c:pt idx="1821" formatCode="#,##0.000">
                  <c:v>#N/A</c:v>
                </c:pt>
                <c:pt idx="1822" formatCode="#,##0.000">
                  <c:v>#N/A</c:v>
                </c:pt>
                <c:pt idx="1823" formatCode="#,##0.000">
                  <c:v>#N/A</c:v>
                </c:pt>
                <c:pt idx="1824" formatCode="#,##0.000">
                  <c:v>#N/A</c:v>
                </c:pt>
                <c:pt idx="1825" formatCode="#,##0.000">
                  <c:v>#N/A</c:v>
                </c:pt>
                <c:pt idx="1826" formatCode="#,##0.000">
                  <c:v>#N/A</c:v>
                </c:pt>
                <c:pt idx="1827" formatCode="#,##0.000">
                  <c:v>#N/A</c:v>
                </c:pt>
                <c:pt idx="1828" formatCode="#,##0.000">
                  <c:v>#N/A</c:v>
                </c:pt>
                <c:pt idx="1829" formatCode="#,##0.000">
                  <c:v>#N/A</c:v>
                </c:pt>
                <c:pt idx="1830" formatCode="#,##0.000">
                  <c:v>#N/A</c:v>
                </c:pt>
                <c:pt idx="1831" formatCode="#,##0.000">
                  <c:v>#N/A</c:v>
                </c:pt>
                <c:pt idx="1832" formatCode="#,##0.000">
                  <c:v>#N/A</c:v>
                </c:pt>
                <c:pt idx="1833" formatCode="#,##0.000">
                  <c:v>#N/A</c:v>
                </c:pt>
                <c:pt idx="1834" formatCode="#,##0.000">
                  <c:v>#N/A</c:v>
                </c:pt>
                <c:pt idx="1835" formatCode="#,##0.000">
                  <c:v>#N/A</c:v>
                </c:pt>
                <c:pt idx="1836" formatCode="#,##0.000">
                  <c:v>#N/A</c:v>
                </c:pt>
                <c:pt idx="1837" formatCode="#,##0.000">
                  <c:v>#N/A</c:v>
                </c:pt>
                <c:pt idx="1838" formatCode="#,##0.000">
                  <c:v>#N/A</c:v>
                </c:pt>
                <c:pt idx="1839" formatCode="#,##0.000">
                  <c:v>#N/A</c:v>
                </c:pt>
                <c:pt idx="1840" formatCode="#,##0.000">
                  <c:v>#N/A</c:v>
                </c:pt>
                <c:pt idx="1841" formatCode="#,##0.000">
                  <c:v>#N/A</c:v>
                </c:pt>
                <c:pt idx="1842" formatCode="#,##0.000">
                  <c:v>#N/A</c:v>
                </c:pt>
                <c:pt idx="1843" formatCode="#,##0.000">
                  <c:v>#N/A</c:v>
                </c:pt>
                <c:pt idx="1844" formatCode="#,##0.000">
                  <c:v>#N/A</c:v>
                </c:pt>
                <c:pt idx="1845" formatCode="#,##0.000">
                  <c:v>#N/A</c:v>
                </c:pt>
                <c:pt idx="1846" formatCode="#,##0.000">
                  <c:v>#N/A</c:v>
                </c:pt>
                <c:pt idx="1847" formatCode="#,##0.000">
                  <c:v>#N/A</c:v>
                </c:pt>
                <c:pt idx="1848" formatCode="#,##0.000">
                  <c:v>#N/A</c:v>
                </c:pt>
                <c:pt idx="1849" formatCode="#,##0.000">
                  <c:v>#N/A</c:v>
                </c:pt>
                <c:pt idx="1850" formatCode="#,##0.000">
                  <c:v>#N/A</c:v>
                </c:pt>
                <c:pt idx="1851" formatCode="#,##0.000">
                  <c:v>#N/A</c:v>
                </c:pt>
                <c:pt idx="1852" formatCode="#,##0.000">
                  <c:v>#N/A</c:v>
                </c:pt>
                <c:pt idx="1853" formatCode="#,##0.000">
                  <c:v>#N/A</c:v>
                </c:pt>
                <c:pt idx="1854" formatCode="#,##0.000">
                  <c:v>#N/A</c:v>
                </c:pt>
                <c:pt idx="1855" formatCode="#,##0.000">
                  <c:v>#N/A</c:v>
                </c:pt>
                <c:pt idx="1856" formatCode="#,##0.000">
                  <c:v>#N/A</c:v>
                </c:pt>
                <c:pt idx="1857" formatCode="#,##0.000">
                  <c:v>#N/A</c:v>
                </c:pt>
                <c:pt idx="1858" formatCode="#,##0.000">
                  <c:v>#N/A</c:v>
                </c:pt>
                <c:pt idx="1859" formatCode="#,##0.000">
                  <c:v>#N/A</c:v>
                </c:pt>
                <c:pt idx="1860" formatCode="#,##0.000">
                  <c:v>#N/A</c:v>
                </c:pt>
                <c:pt idx="1861" formatCode="#,##0.000">
                  <c:v>#N/A</c:v>
                </c:pt>
                <c:pt idx="1862" formatCode="#,##0.000">
                  <c:v>#N/A</c:v>
                </c:pt>
                <c:pt idx="1863" formatCode="#,##0.000">
                  <c:v>#N/A</c:v>
                </c:pt>
                <c:pt idx="1864" formatCode="#,##0.000">
                  <c:v>#N/A</c:v>
                </c:pt>
                <c:pt idx="1865" formatCode="#,##0.000">
                  <c:v>#N/A</c:v>
                </c:pt>
                <c:pt idx="1866" formatCode="#,##0.000">
                  <c:v>#N/A</c:v>
                </c:pt>
                <c:pt idx="1867" formatCode="#,##0.000">
                  <c:v>#N/A</c:v>
                </c:pt>
                <c:pt idx="1868" formatCode="#,##0.000">
                  <c:v>#N/A</c:v>
                </c:pt>
                <c:pt idx="1869" formatCode="#,##0.000">
                  <c:v>#N/A</c:v>
                </c:pt>
                <c:pt idx="1870" formatCode="#,##0.000">
                  <c:v>#N/A</c:v>
                </c:pt>
                <c:pt idx="1871" formatCode="#,##0.000">
                  <c:v>#N/A</c:v>
                </c:pt>
                <c:pt idx="1872" formatCode="#,##0.000">
                  <c:v>#N/A</c:v>
                </c:pt>
                <c:pt idx="1873" formatCode="#,##0.000">
                  <c:v>#N/A</c:v>
                </c:pt>
                <c:pt idx="1874" formatCode="#,##0.000">
                  <c:v>#N/A</c:v>
                </c:pt>
                <c:pt idx="1875" formatCode="#,##0.000">
                  <c:v>#N/A</c:v>
                </c:pt>
                <c:pt idx="1876" formatCode="#,##0.000">
                  <c:v>#N/A</c:v>
                </c:pt>
                <c:pt idx="1877" formatCode="#,##0.000">
                  <c:v>#N/A</c:v>
                </c:pt>
                <c:pt idx="1878" formatCode="#,##0.000">
                  <c:v>#N/A</c:v>
                </c:pt>
                <c:pt idx="1879" formatCode="#,##0.000">
                  <c:v>#N/A</c:v>
                </c:pt>
                <c:pt idx="1880" formatCode="#,##0.000">
                  <c:v>#N/A</c:v>
                </c:pt>
                <c:pt idx="1881" formatCode="#,##0.000">
                  <c:v>#N/A</c:v>
                </c:pt>
                <c:pt idx="1882" formatCode="#,##0.000">
                  <c:v>#N/A</c:v>
                </c:pt>
                <c:pt idx="1883" formatCode="#,##0.000">
                  <c:v>#N/A</c:v>
                </c:pt>
                <c:pt idx="1884" formatCode="#,##0.000">
                  <c:v>#N/A</c:v>
                </c:pt>
                <c:pt idx="1885" formatCode="#,##0.000">
                  <c:v>#N/A</c:v>
                </c:pt>
                <c:pt idx="1886" formatCode="#,##0.000">
                  <c:v>#N/A</c:v>
                </c:pt>
                <c:pt idx="1887" formatCode="#,##0.000">
                  <c:v>#N/A</c:v>
                </c:pt>
                <c:pt idx="1888" formatCode="#,##0.000">
                  <c:v>#N/A</c:v>
                </c:pt>
                <c:pt idx="1889" formatCode="#,##0.000">
                  <c:v>#N/A</c:v>
                </c:pt>
                <c:pt idx="1890" formatCode="#,##0.000">
                  <c:v>#N/A</c:v>
                </c:pt>
                <c:pt idx="1891" formatCode="#,##0.000">
                  <c:v>#N/A</c:v>
                </c:pt>
                <c:pt idx="1892" formatCode="#,##0.000">
                  <c:v>#N/A</c:v>
                </c:pt>
                <c:pt idx="1893" formatCode="#,##0.000">
                  <c:v>#N/A</c:v>
                </c:pt>
                <c:pt idx="1894" formatCode="#,##0.000">
                  <c:v>#N/A</c:v>
                </c:pt>
                <c:pt idx="1895" formatCode="#,##0.000">
                  <c:v>#N/A</c:v>
                </c:pt>
                <c:pt idx="1896" formatCode="#,##0.000">
                  <c:v>#N/A</c:v>
                </c:pt>
                <c:pt idx="1897" formatCode="#,##0.000">
                  <c:v>#N/A</c:v>
                </c:pt>
                <c:pt idx="1898" formatCode="#,##0.000">
                  <c:v>#N/A</c:v>
                </c:pt>
                <c:pt idx="1899" formatCode="#,##0.000">
                  <c:v>#N/A</c:v>
                </c:pt>
                <c:pt idx="1900" formatCode="#,##0.000">
                  <c:v>#N/A</c:v>
                </c:pt>
                <c:pt idx="1901" formatCode="#,##0.000">
                  <c:v>#N/A</c:v>
                </c:pt>
                <c:pt idx="1902" formatCode="#,##0.000">
                  <c:v>#N/A</c:v>
                </c:pt>
                <c:pt idx="1903" formatCode="#,##0.000">
                  <c:v>#N/A</c:v>
                </c:pt>
                <c:pt idx="1904" formatCode="#,##0.000">
                  <c:v>#N/A</c:v>
                </c:pt>
                <c:pt idx="1905" formatCode="#,##0.000">
                  <c:v>#N/A</c:v>
                </c:pt>
                <c:pt idx="1906" formatCode="#,##0.000">
                  <c:v>#N/A</c:v>
                </c:pt>
                <c:pt idx="1907" formatCode="#,##0.000">
                  <c:v>#N/A</c:v>
                </c:pt>
                <c:pt idx="1908" formatCode="#,##0.000">
                  <c:v>#N/A</c:v>
                </c:pt>
                <c:pt idx="1909" formatCode="#,##0.000">
                  <c:v>#N/A</c:v>
                </c:pt>
                <c:pt idx="1910" formatCode="#,##0.000">
                  <c:v>#N/A</c:v>
                </c:pt>
                <c:pt idx="1911" formatCode="#,##0.000">
                  <c:v>#N/A</c:v>
                </c:pt>
                <c:pt idx="1912" formatCode="#,##0.000">
                  <c:v>#N/A</c:v>
                </c:pt>
                <c:pt idx="1913" formatCode="#,##0.000">
                  <c:v>#N/A</c:v>
                </c:pt>
                <c:pt idx="1914" formatCode="#,##0.000">
                  <c:v>#N/A</c:v>
                </c:pt>
                <c:pt idx="1915" formatCode="#,##0.000">
                  <c:v>#N/A</c:v>
                </c:pt>
                <c:pt idx="1916" formatCode="#,##0.000">
                  <c:v>#N/A</c:v>
                </c:pt>
                <c:pt idx="1917" formatCode="#,##0.000">
                  <c:v>#N/A</c:v>
                </c:pt>
                <c:pt idx="1918" formatCode="#,##0.000">
                  <c:v>#N/A</c:v>
                </c:pt>
                <c:pt idx="1919" formatCode="#,##0.000">
                  <c:v>#N/A</c:v>
                </c:pt>
                <c:pt idx="1920" formatCode="#,##0.000">
                  <c:v>#N/A</c:v>
                </c:pt>
                <c:pt idx="1921" formatCode="#,##0.000">
                  <c:v>#N/A</c:v>
                </c:pt>
                <c:pt idx="1922" formatCode="#,##0.000">
                  <c:v>#N/A</c:v>
                </c:pt>
                <c:pt idx="1923" formatCode="#,##0.000">
                  <c:v>#N/A</c:v>
                </c:pt>
                <c:pt idx="1924" formatCode="#,##0.000">
                  <c:v>#N/A</c:v>
                </c:pt>
                <c:pt idx="1925" formatCode="#,##0.000">
                  <c:v>#N/A</c:v>
                </c:pt>
                <c:pt idx="1926" formatCode="#,##0.000">
                  <c:v>#N/A</c:v>
                </c:pt>
                <c:pt idx="1927" formatCode="#,##0.000">
                  <c:v>#N/A</c:v>
                </c:pt>
                <c:pt idx="1928" formatCode="#,##0.000">
                  <c:v>#N/A</c:v>
                </c:pt>
                <c:pt idx="1929" formatCode="#,##0.000">
                  <c:v>#N/A</c:v>
                </c:pt>
                <c:pt idx="1930" formatCode="#,##0.000">
                  <c:v>#N/A</c:v>
                </c:pt>
                <c:pt idx="1931" formatCode="#,##0.000">
                  <c:v>#N/A</c:v>
                </c:pt>
                <c:pt idx="1932" formatCode="#,##0.000">
                  <c:v>#N/A</c:v>
                </c:pt>
                <c:pt idx="1933" formatCode="#,##0.000">
                  <c:v>#N/A</c:v>
                </c:pt>
                <c:pt idx="1934" formatCode="#,##0.000">
                  <c:v>#N/A</c:v>
                </c:pt>
                <c:pt idx="1935" formatCode="#,##0.000">
                  <c:v>#N/A</c:v>
                </c:pt>
                <c:pt idx="1936" formatCode="#,##0.000">
                  <c:v>#N/A</c:v>
                </c:pt>
                <c:pt idx="1937" formatCode="#,##0.000">
                  <c:v>#N/A</c:v>
                </c:pt>
                <c:pt idx="1938" formatCode="#,##0.000">
                  <c:v>#N/A</c:v>
                </c:pt>
                <c:pt idx="1939" formatCode="#,##0.000">
                  <c:v>#N/A</c:v>
                </c:pt>
                <c:pt idx="1940" formatCode="#,##0.000">
                  <c:v>#N/A</c:v>
                </c:pt>
                <c:pt idx="1941" formatCode="#,##0.000">
                  <c:v>#N/A</c:v>
                </c:pt>
                <c:pt idx="1942" formatCode="#,##0.000">
                  <c:v>#N/A</c:v>
                </c:pt>
                <c:pt idx="1943" formatCode="#,##0.000">
                  <c:v>#N/A</c:v>
                </c:pt>
                <c:pt idx="1944" formatCode="#,##0.000">
                  <c:v>#N/A</c:v>
                </c:pt>
                <c:pt idx="1945" formatCode="#,##0.000">
                  <c:v>#N/A</c:v>
                </c:pt>
                <c:pt idx="1946" formatCode="#,##0.000">
                  <c:v>#N/A</c:v>
                </c:pt>
                <c:pt idx="1947" formatCode="#,##0.000">
                  <c:v>#N/A</c:v>
                </c:pt>
                <c:pt idx="1948" formatCode="#,##0.000">
                  <c:v>#N/A</c:v>
                </c:pt>
                <c:pt idx="1949" formatCode="#,##0.000">
                  <c:v>#N/A</c:v>
                </c:pt>
                <c:pt idx="1950" formatCode="#,##0.000">
                  <c:v>#N/A</c:v>
                </c:pt>
                <c:pt idx="1951" formatCode="#,##0.000">
                  <c:v>#N/A</c:v>
                </c:pt>
                <c:pt idx="1952" formatCode="#,##0.000">
                  <c:v>#N/A</c:v>
                </c:pt>
                <c:pt idx="1953" formatCode="#,##0.000">
                  <c:v>#N/A</c:v>
                </c:pt>
                <c:pt idx="1954" formatCode="#,##0.000">
                  <c:v>#N/A</c:v>
                </c:pt>
                <c:pt idx="1955" formatCode="#,##0.000">
                  <c:v>#N/A</c:v>
                </c:pt>
                <c:pt idx="1956" formatCode="#,##0.000">
                  <c:v>#N/A</c:v>
                </c:pt>
                <c:pt idx="1957" formatCode="#,##0.000">
                  <c:v>#N/A</c:v>
                </c:pt>
                <c:pt idx="1958" formatCode="#,##0.000">
                  <c:v>#N/A</c:v>
                </c:pt>
                <c:pt idx="1959" formatCode="#,##0.000">
                  <c:v>#N/A</c:v>
                </c:pt>
                <c:pt idx="1960" formatCode="#,##0.000">
                  <c:v>#N/A</c:v>
                </c:pt>
                <c:pt idx="1961" formatCode="#,##0.000">
                  <c:v>#N/A</c:v>
                </c:pt>
                <c:pt idx="1962" formatCode="#,##0.000">
                  <c:v>#N/A</c:v>
                </c:pt>
                <c:pt idx="1963" formatCode="#,##0.000">
                  <c:v>#N/A</c:v>
                </c:pt>
                <c:pt idx="1964" formatCode="#,##0.000">
                  <c:v>#N/A</c:v>
                </c:pt>
                <c:pt idx="1965" formatCode="#,##0.000">
                  <c:v>#N/A</c:v>
                </c:pt>
                <c:pt idx="1966" formatCode="#,##0.000">
                  <c:v>#N/A</c:v>
                </c:pt>
                <c:pt idx="1967" formatCode="#,##0.000">
                  <c:v>#N/A</c:v>
                </c:pt>
                <c:pt idx="1968" formatCode="#,##0.000">
                  <c:v>#N/A</c:v>
                </c:pt>
                <c:pt idx="1969" formatCode="#,##0.000">
                  <c:v>#N/A</c:v>
                </c:pt>
                <c:pt idx="1970" formatCode="#,##0.000">
                  <c:v>#N/A</c:v>
                </c:pt>
                <c:pt idx="1971" formatCode="#,##0.000">
                  <c:v>#N/A</c:v>
                </c:pt>
                <c:pt idx="1972" formatCode="#,##0.000">
                  <c:v>#N/A</c:v>
                </c:pt>
                <c:pt idx="1973" formatCode="#,##0.000">
                  <c:v>#N/A</c:v>
                </c:pt>
                <c:pt idx="1974" formatCode="#,##0.000">
                  <c:v>#N/A</c:v>
                </c:pt>
                <c:pt idx="1975" formatCode="#,##0.000">
                  <c:v>#N/A</c:v>
                </c:pt>
                <c:pt idx="1976" formatCode="#,##0.000">
                  <c:v>#N/A</c:v>
                </c:pt>
                <c:pt idx="1977" formatCode="#,##0.000">
                  <c:v>#N/A</c:v>
                </c:pt>
                <c:pt idx="1978" formatCode="#,##0.000">
                  <c:v>#N/A</c:v>
                </c:pt>
                <c:pt idx="1979" formatCode="#,##0.000">
                  <c:v>#N/A</c:v>
                </c:pt>
                <c:pt idx="1980" formatCode="#,##0.000">
                  <c:v>#N/A</c:v>
                </c:pt>
                <c:pt idx="1981" formatCode="#,##0.000">
                  <c:v>#N/A</c:v>
                </c:pt>
                <c:pt idx="1982" formatCode="#,##0.000">
                  <c:v>#N/A</c:v>
                </c:pt>
                <c:pt idx="1983" formatCode="#,##0.000">
                  <c:v>#N/A</c:v>
                </c:pt>
                <c:pt idx="1984" formatCode="#,##0.000">
                  <c:v>#N/A</c:v>
                </c:pt>
                <c:pt idx="1985" formatCode="#,##0.000">
                  <c:v>#N/A</c:v>
                </c:pt>
                <c:pt idx="1986" formatCode="#,##0.000">
                  <c:v>#N/A</c:v>
                </c:pt>
                <c:pt idx="1987" formatCode="#,##0.000">
                  <c:v>#N/A</c:v>
                </c:pt>
                <c:pt idx="1988" formatCode="#,##0.000">
                  <c:v>#N/A</c:v>
                </c:pt>
                <c:pt idx="1989" formatCode="#,##0.000">
                  <c:v>#N/A</c:v>
                </c:pt>
                <c:pt idx="1990" formatCode="#,##0.000">
                  <c:v>#N/A</c:v>
                </c:pt>
                <c:pt idx="1991" formatCode="#,##0.000">
                  <c:v>#N/A</c:v>
                </c:pt>
                <c:pt idx="1992" formatCode="#,##0.000">
                  <c:v>#N/A</c:v>
                </c:pt>
                <c:pt idx="1993" formatCode="#,##0.000">
                  <c:v>#N/A</c:v>
                </c:pt>
                <c:pt idx="1994" formatCode="#,##0.000">
                  <c:v>#N/A</c:v>
                </c:pt>
                <c:pt idx="1995" formatCode="#,##0.000">
                  <c:v>#N/A</c:v>
                </c:pt>
                <c:pt idx="1996" formatCode="#,##0.000">
                  <c:v>#N/A</c:v>
                </c:pt>
                <c:pt idx="1997" formatCode="#,##0.000">
                  <c:v>#N/A</c:v>
                </c:pt>
                <c:pt idx="1998" formatCode="#,##0.000">
                  <c:v>#N/A</c:v>
                </c:pt>
                <c:pt idx="1999" formatCode="#,##0.000">
                  <c:v>#N/A</c:v>
                </c:pt>
                <c:pt idx="2000" formatCode="#,##0.000">
                  <c:v>#N/A</c:v>
                </c:pt>
                <c:pt idx="2001" formatCode="#,##0.000">
                  <c:v>#N/A</c:v>
                </c:pt>
                <c:pt idx="2002" formatCode="#,##0.000">
                  <c:v>#N/A</c:v>
                </c:pt>
                <c:pt idx="2003" formatCode="#,##0.000">
                  <c:v>#N/A</c:v>
                </c:pt>
                <c:pt idx="2004" formatCode="#,##0.000">
                  <c:v>#N/A</c:v>
                </c:pt>
                <c:pt idx="2005" formatCode="#,##0.000">
                  <c:v>#N/A</c:v>
                </c:pt>
                <c:pt idx="2006" formatCode="#,##0.000">
                  <c:v>#N/A</c:v>
                </c:pt>
                <c:pt idx="2007" formatCode="#,##0.000">
                  <c:v>#N/A</c:v>
                </c:pt>
                <c:pt idx="2008" formatCode="#,##0.000">
                  <c:v>#N/A</c:v>
                </c:pt>
                <c:pt idx="2009" formatCode="#,##0.000">
                  <c:v>#N/A</c:v>
                </c:pt>
                <c:pt idx="2010" formatCode="#,##0.000">
                  <c:v>#N/A</c:v>
                </c:pt>
                <c:pt idx="2011" formatCode="#,##0.000">
                  <c:v>#N/A</c:v>
                </c:pt>
                <c:pt idx="2012" formatCode="#,##0.000">
                  <c:v>#N/A</c:v>
                </c:pt>
                <c:pt idx="2013" formatCode="#,##0.000">
                  <c:v>#N/A</c:v>
                </c:pt>
                <c:pt idx="2014" formatCode="#,##0.000">
                  <c:v>#N/A</c:v>
                </c:pt>
                <c:pt idx="2015" formatCode="#,##0.000">
                  <c:v>#N/A</c:v>
                </c:pt>
                <c:pt idx="2016" formatCode="#,##0.000">
                  <c:v>#N/A</c:v>
                </c:pt>
                <c:pt idx="2017" formatCode="#,##0.000">
                  <c:v>#N/A</c:v>
                </c:pt>
                <c:pt idx="2018" formatCode="#,##0.000">
                  <c:v>#N/A</c:v>
                </c:pt>
                <c:pt idx="2019" formatCode="#,##0.000">
                  <c:v>#N/A</c:v>
                </c:pt>
                <c:pt idx="2020" formatCode="#,##0.000">
                  <c:v>#N/A</c:v>
                </c:pt>
                <c:pt idx="2021" formatCode="#,##0.000">
                  <c:v>#N/A</c:v>
                </c:pt>
                <c:pt idx="2022" formatCode="#,##0.000">
                  <c:v>#N/A</c:v>
                </c:pt>
                <c:pt idx="2023" formatCode="#,##0.000">
                  <c:v>#N/A</c:v>
                </c:pt>
                <c:pt idx="2024" formatCode="#,##0.000">
                  <c:v>#N/A</c:v>
                </c:pt>
                <c:pt idx="2025" formatCode="#,##0.000">
                  <c:v>#N/A</c:v>
                </c:pt>
                <c:pt idx="2026" formatCode="#,##0.000">
                  <c:v>#N/A</c:v>
                </c:pt>
                <c:pt idx="2027" formatCode="#,##0.000">
                  <c:v>#N/A</c:v>
                </c:pt>
                <c:pt idx="2028" formatCode="#,##0.000">
                  <c:v>#N/A</c:v>
                </c:pt>
                <c:pt idx="2029" formatCode="#,##0.000">
                  <c:v>#N/A</c:v>
                </c:pt>
                <c:pt idx="2030" formatCode="#,##0.000">
                  <c:v>#N/A</c:v>
                </c:pt>
                <c:pt idx="2031" formatCode="#,##0.000">
                  <c:v>#N/A</c:v>
                </c:pt>
                <c:pt idx="2032" formatCode="#,##0.000">
                  <c:v>#N/A</c:v>
                </c:pt>
                <c:pt idx="2033" formatCode="#,##0.000">
                  <c:v>#N/A</c:v>
                </c:pt>
                <c:pt idx="2034" formatCode="#,##0.000">
                  <c:v>#N/A</c:v>
                </c:pt>
                <c:pt idx="2035" formatCode="#,##0.000">
                  <c:v>#N/A</c:v>
                </c:pt>
                <c:pt idx="2036" formatCode="#,##0.000">
                  <c:v>#N/A</c:v>
                </c:pt>
                <c:pt idx="2037" formatCode="#,##0.000">
                  <c:v>#N/A</c:v>
                </c:pt>
                <c:pt idx="2038" formatCode="#,##0.000">
                  <c:v>#N/A</c:v>
                </c:pt>
                <c:pt idx="2039" formatCode="#,##0.000">
                  <c:v>#N/A</c:v>
                </c:pt>
                <c:pt idx="2040" formatCode="#,##0.000">
                  <c:v>#N/A</c:v>
                </c:pt>
                <c:pt idx="2041" formatCode="#,##0.000">
                  <c:v>#N/A</c:v>
                </c:pt>
                <c:pt idx="2042" formatCode="#,##0.000">
                  <c:v>#N/A</c:v>
                </c:pt>
                <c:pt idx="2043" formatCode="#,##0.000">
                  <c:v>#N/A</c:v>
                </c:pt>
                <c:pt idx="2044" formatCode="#,##0.000">
                  <c:v>#N/A</c:v>
                </c:pt>
                <c:pt idx="2045" formatCode="#,##0.000">
                  <c:v>#N/A</c:v>
                </c:pt>
                <c:pt idx="2046" formatCode="#,##0.000">
                  <c:v>#N/A</c:v>
                </c:pt>
                <c:pt idx="2047" formatCode="#,##0.000">
                  <c:v>#N/A</c:v>
                </c:pt>
                <c:pt idx="2048" formatCode="#,##0.000">
                  <c:v>#N/A</c:v>
                </c:pt>
                <c:pt idx="2049" formatCode="#,##0.000">
                  <c:v>#N/A</c:v>
                </c:pt>
                <c:pt idx="2050" formatCode="#,##0.000">
                  <c:v>#N/A</c:v>
                </c:pt>
                <c:pt idx="2051" formatCode="#,##0.000">
                  <c:v>#N/A</c:v>
                </c:pt>
                <c:pt idx="2052" formatCode="#,##0.000">
                  <c:v>#N/A</c:v>
                </c:pt>
                <c:pt idx="2053" formatCode="#,##0.000">
                  <c:v>#N/A</c:v>
                </c:pt>
                <c:pt idx="2054" formatCode="#,##0.000">
                  <c:v>#N/A</c:v>
                </c:pt>
                <c:pt idx="2055" formatCode="#,##0.000">
                  <c:v>#N/A</c:v>
                </c:pt>
                <c:pt idx="2056" formatCode="#,##0.000">
                  <c:v>#N/A</c:v>
                </c:pt>
                <c:pt idx="2057" formatCode="#,##0.000">
                  <c:v>#N/A</c:v>
                </c:pt>
                <c:pt idx="2058" formatCode="#,##0.000">
                  <c:v>#N/A</c:v>
                </c:pt>
                <c:pt idx="2059" formatCode="#,##0.000">
                  <c:v>#N/A</c:v>
                </c:pt>
                <c:pt idx="2060" formatCode="#,##0.000">
                  <c:v>#N/A</c:v>
                </c:pt>
                <c:pt idx="2061" formatCode="#,##0.000">
                  <c:v>#N/A</c:v>
                </c:pt>
                <c:pt idx="2062" formatCode="#,##0.000">
                  <c:v>#N/A</c:v>
                </c:pt>
                <c:pt idx="2063" formatCode="#,##0.000">
                  <c:v>#N/A</c:v>
                </c:pt>
                <c:pt idx="2064" formatCode="#,##0.000">
                  <c:v>#N/A</c:v>
                </c:pt>
                <c:pt idx="2065" formatCode="#,##0.000">
                  <c:v>#N/A</c:v>
                </c:pt>
                <c:pt idx="2066" formatCode="#,##0.000">
                  <c:v>#N/A</c:v>
                </c:pt>
                <c:pt idx="2067" formatCode="#,##0.000">
                  <c:v>#N/A</c:v>
                </c:pt>
                <c:pt idx="2068" formatCode="#,##0.000">
                  <c:v>#N/A</c:v>
                </c:pt>
                <c:pt idx="2069" formatCode="#,##0.000">
                  <c:v>#N/A</c:v>
                </c:pt>
                <c:pt idx="2070" formatCode="#,##0.000">
                  <c:v>#N/A</c:v>
                </c:pt>
                <c:pt idx="2071" formatCode="#,##0.000">
                  <c:v>#N/A</c:v>
                </c:pt>
                <c:pt idx="2072" formatCode="#,##0.000">
                  <c:v>#N/A</c:v>
                </c:pt>
                <c:pt idx="2073" formatCode="#,##0.000">
                  <c:v>#N/A</c:v>
                </c:pt>
                <c:pt idx="2074" formatCode="#,##0.000">
                  <c:v>#N/A</c:v>
                </c:pt>
                <c:pt idx="2075" formatCode="#,##0.000">
                  <c:v>#N/A</c:v>
                </c:pt>
                <c:pt idx="2076" formatCode="#,##0.000">
                  <c:v>#N/A</c:v>
                </c:pt>
                <c:pt idx="2077" formatCode="#,##0.000">
                  <c:v>#N/A</c:v>
                </c:pt>
                <c:pt idx="2078" formatCode="#,##0.000">
                  <c:v>#N/A</c:v>
                </c:pt>
                <c:pt idx="2079" formatCode="#,##0.000">
                  <c:v>#N/A</c:v>
                </c:pt>
                <c:pt idx="2080" formatCode="#,##0.000">
                  <c:v>#N/A</c:v>
                </c:pt>
                <c:pt idx="2081" formatCode="#,##0.000">
                  <c:v>#N/A</c:v>
                </c:pt>
                <c:pt idx="2082" formatCode="#,##0.000">
                  <c:v>#N/A</c:v>
                </c:pt>
                <c:pt idx="2083" formatCode="#,##0.000">
                  <c:v>#N/A</c:v>
                </c:pt>
                <c:pt idx="2084" formatCode="#,##0.000">
                  <c:v>#N/A</c:v>
                </c:pt>
                <c:pt idx="2085" formatCode="#,##0.000">
                  <c:v>#N/A</c:v>
                </c:pt>
                <c:pt idx="2086" formatCode="#,##0.000">
                  <c:v>#N/A</c:v>
                </c:pt>
                <c:pt idx="2087" formatCode="#,##0.000">
                  <c:v>#N/A</c:v>
                </c:pt>
                <c:pt idx="2088" formatCode="#,##0.000">
                  <c:v>#N/A</c:v>
                </c:pt>
                <c:pt idx="2089" formatCode="#,##0.000">
                  <c:v>#N/A</c:v>
                </c:pt>
                <c:pt idx="2090" formatCode="#,##0.000">
                  <c:v>#N/A</c:v>
                </c:pt>
                <c:pt idx="2091" formatCode="#,##0.000">
                  <c:v>#N/A</c:v>
                </c:pt>
                <c:pt idx="2092" formatCode="#,##0.000">
                  <c:v>#N/A</c:v>
                </c:pt>
                <c:pt idx="2093" formatCode="#,##0.000">
                  <c:v>#N/A</c:v>
                </c:pt>
                <c:pt idx="2094" formatCode="#,##0.000">
                  <c:v>#N/A</c:v>
                </c:pt>
                <c:pt idx="2095" formatCode="#,##0.000">
                  <c:v>#N/A</c:v>
                </c:pt>
                <c:pt idx="2096" formatCode="#,##0.000">
                  <c:v>#N/A</c:v>
                </c:pt>
                <c:pt idx="2097" formatCode="#,##0.000">
                  <c:v>#N/A</c:v>
                </c:pt>
                <c:pt idx="2098" formatCode="#,##0.000">
                  <c:v>#N/A</c:v>
                </c:pt>
                <c:pt idx="2099" formatCode="#,##0.000">
                  <c:v>#N/A</c:v>
                </c:pt>
                <c:pt idx="2100" formatCode="#,##0.000">
                  <c:v>#N/A</c:v>
                </c:pt>
                <c:pt idx="2101" formatCode="#,##0.000">
                  <c:v>#N/A</c:v>
                </c:pt>
                <c:pt idx="2102" formatCode="#,##0.000">
                  <c:v>#N/A</c:v>
                </c:pt>
                <c:pt idx="2103" formatCode="#,##0.000">
                  <c:v>#N/A</c:v>
                </c:pt>
                <c:pt idx="2104" formatCode="#,##0.000">
                  <c:v>#N/A</c:v>
                </c:pt>
                <c:pt idx="2105" formatCode="#,##0.000">
                  <c:v>#N/A</c:v>
                </c:pt>
                <c:pt idx="2106" formatCode="#,##0.000">
                  <c:v>#N/A</c:v>
                </c:pt>
                <c:pt idx="2107" formatCode="#,##0.000">
                  <c:v>#N/A</c:v>
                </c:pt>
                <c:pt idx="2108" formatCode="#,##0.000">
                  <c:v>#N/A</c:v>
                </c:pt>
                <c:pt idx="2109" formatCode="#,##0.000">
                  <c:v>#N/A</c:v>
                </c:pt>
                <c:pt idx="2110" formatCode="#,##0.000">
                  <c:v>#N/A</c:v>
                </c:pt>
                <c:pt idx="2111" formatCode="#,##0.000">
                  <c:v>#N/A</c:v>
                </c:pt>
                <c:pt idx="2112" formatCode="#,##0.000">
                  <c:v>#N/A</c:v>
                </c:pt>
                <c:pt idx="2113" formatCode="#,##0.000">
                  <c:v>#N/A</c:v>
                </c:pt>
                <c:pt idx="2114" formatCode="#,##0.000">
                  <c:v>#N/A</c:v>
                </c:pt>
                <c:pt idx="2115" formatCode="#,##0.000">
                  <c:v>#N/A</c:v>
                </c:pt>
                <c:pt idx="2116" formatCode="#,##0.000">
                  <c:v>#N/A</c:v>
                </c:pt>
                <c:pt idx="2117" formatCode="#,##0.000">
                  <c:v>#N/A</c:v>
                </c:pt>
                <c:pt idx="2118" formatCode="#,##0.000">
                  <c:v>#N/A</c:v>
                </c:pt>
                <c:pt idx="2119" formatCode="#,##0.000">
                  <c:v>#N/A</c:v>
                </c:pt>
                <c:pt idx="2120" formatCode="#,##0.000">
                  <c:v>#N/A</c:v>
                </c:pt>
                <c:pt idx="2121" formatCode="#,##0.000">
                  <c:v>#N/A</c:v>
                </c:pt>
                <c:pt idx="2122" formatCode="#,##0.000">
                  <c:v>#N/A</c:v>
                </c:pt>
                <c:pt idx="2123" formatCode="#,##0.000">
                  <c:v>#N/A</c:v>
                </c:pt>
                <c:pt idx="2124" formatCode="#,##0.000">
                  <c:v>#N/A</c:v>
                </c:pt>
                <c:pt idx="2125" formatCode="#,##0.000">
                  <c:v>#N/A</c:v>
                </c:pt>
                <c:pt idx="2126" formatCode="#,##0.000">
                  <c:v>#N/A</c:v>
                </c:pt>
                <c:pt idx="2127" formatCode="#,##0.000">
                  <c:v>#N/A</c:v>
                </c:pt>
                <c:pt idx="2128" formatCode="#,##0.000">
                  <c:v>#N/A</c:v>
                </c:pt>
                <c:pt idx="2129" formatCode="#,##0.000">
                  <c:v>#N/A</c:v>
                </c:pt>
                <c:pt idx="2130" formatCode="#,##0.000">
                  <c:v>#N/A</c:v>
                </c:pt>
                <c:pt idx="2131" formatCode="#,##0.000">
                  <c:v>#N/A</c:v>
                </c:pt>
                <c:pt idx="2132" formatCode="#,##0.000">
                  <c:v>#N/A</c:v>
                </c:pt>
                <c:pt idx="2133" formatCode="#,##0.000">
                  <c:v>#N/A</c:v>
                </c:pt>
                <c:pt idx="2134" formatCode="#,##0.000">
                  <c:v>#N/A</c:v>
                </c:pt>
                <c:pt idx="2135" formatCode="#,##0.000">
                  <c:v>#N/A</c:v>
                </c:pt>
                <c:pt idx="2136" formatCode="#,##0.000">
                  <c:v>#N/A</c:v>
                </c:pt>
                <c:pt idx="2137" formatCode="#,##0.000">
                  <c:v>#N/A</c:v>
                </c:pt>
                <c:pt idx="2138" formatCode="#,##0.000">
                  <c:v>#N/A</c:v>
                </c:pt>
                <c:pt idx="2139" formatCode="#,##0.000">
                  <c:v>#N/A</c:v>
                </c:pt>
                <c:pt idx="2140" formatCode="#,##0.000">
                  <c:v>#N/A</c:v>
                </c:pt>
                <c:pt idx="2141" formatCode="#,##0.000">
                  <c:v>#N/A</c:v>
                </c:pt>
                <c:pt idx="2142" formatCode="#,##0.000">
                  <c:v>#N/A</c:v>
                </c:pt>
                <c:pt idx="2143" formatCode="#,##0.000">
                  <c:v>#N/A</c:v>
                </c:pt>
                <c:pt idx="2144" formatCode="#,##0.000">
                  <c:v>#N/A</c:v>
                </c:pt>
                <c:pt idx="2145" formatCode="#,##0.000">
                  <c:v>#N/A</c:v>
                </c:pt>
                <c:pt idx="2146" formatCode="#,##0.000">
                  <c:v>#N/A</c:v>
                </c:pt>
                <c:pt idx="2147" formatCode="#,##0.000">
                  <c:v>#N/A</c:v>
                </c:pt>
                <c:pt idx="2148" formatCode="#,##0.000">
                  <c:v>#N/A</c:v>
                </c:pt>
                <c:pt idx="2149" formatCode="#,##0.000">
                  <c:v>#N/A</c:v>
                </c:pt>
                <c:pt idx="2150" formatCode="#,##0.000">
                  <c:v>#N/A</c:v>
                </c:pt>
                <c:pt idx="2151" formatCode="#,##0.000">
                  <c:v>#N/A</c:v>
                </c:pt>
                <c:pt idx="2152" formatCode="#,##0.000">
                  <c:v>#N/A</c:v>
                </c:pt>
                <c:pt idx="2153" formatCode="#,##0.000">
                  <c:v>#N/A</c:v>
                </c:pt>
                <c:pt idx="2154" formatCode="#,##0.000">
                  <c:v>#N/A</c:v>
                </c:pt>
                <c:pt idx="2155" formatCode="#,##0.000">
                  <c:v>#N/A</c:v>
                </c:pt>
                <c:pt idx="2156" formatCode="#,##0.000">
                  <c:v>#N/A</c:v>
                </c:pt>
                <c:pt idx="2157" formatCode="#,##0.000">
                  <c:v>#N/A</c:v>
                </c:pt>
                <c:pt idx="2158" formatCode="#,##0.000">
                  <c:v>#N/A</c:v>
                </c:pt>
                <c:pt idx="2159" formatCode="#,##0.000">
                  <c:v>#N/A</c:v>
                </c:pt>
                <c:pt idx="2160" formatCode="#,##0.000">
                  <c:v>#N/A</c:v>
                </c:pt>
                <c:pt idx="2161" formatCode="#,##0.000">
                  <c:v>#N/A</c:v>
                </c:pt>
                <c:pt idx="2162" formatCode="#,##0.000">
                  <c:v>#N/A</c:v>
                </c:pt>
                <c:pt idx="2163" formatCode="#,##0.000">
                  <c:v>#N/A</c:v>
                </c:pt>
                <c:pt idx="2164" formatCode="#,##0.000">
                  <c:v>#N/A</c:v>
                </c:pt>
                <c:pt idx="2165" formatCode="#,##0.000">
                  <c:v>#N/A</c:v>
                </c:pt>
                <c:pt idx="2166" formatCode="#,##0.000">
                  <c:v>#N/A</c:v>
                </c:pt>
                <c:pt idx="2167" formatCode="#,##0.000">
                  <c:v>#N/A</c:v>
                </c:pt>
                <c:pt idx="2168" formatCode="#,##0.000">
                  <c:v>#N/A</c:v>
                </c:pt>
                <c:pt idx="2169" formatCode="#,##0.000">
                  <c:v>#N/A</c:v>
                </c:pt>
                <c:pt idx="2170" formatCode="#,##0.000">
                  <c:v>#N/A</c:v>
                </c:pt>
                <c:pt idx="2171" formatCode="#,##0.000">
                  <c:v>#N/A</c:v>
                </c:pt>
                <c:pt idx="2172" formatCode="#,##0.000">
                  <c:v>#N/A</c:v>
                </c:pt>
                <c:pt idx="2173" formatCode="#,##0.000">
                  <c:v>#N/A</c:v>
                </c:pt>
                <c:pt idx="2174" formatCode="#,##0.000">
                  <c:v>#N/A</c:v>
                </c:pt>
                <c:pt idx="2175" formatCode="#,##0.000">
                  <c:v>#N/A</c:v>
                </c:pt>
                <c:pt idx="2176" formatCode="#,##0.000">
                  <c:v>#N/A</c:v>
                </c:pt>
                <c:pt idx="2177" formatCode="#,##0.000">
                  <c:v>#N/A</c:v>
                </c:pt>
                <c:pt idx="2178" formatCode="#,##0.000">
                  <c:v>#N/A</c:v>
                </c:pt>
                <c:pt idx="2179" formatCode="#,##0.000">
                  <c:v>#N/A</c:v>
                </c:pt>
                <c:pt idx="2180" formatCode="#,##0.000">
                  <c:v>#N/A</c:v>
                </c:pt>
                <c:pt idx="2181" formatCode="#,##0.000">
                  <c:v>#N/A</c:v>
                </c:pt>
                <c:pt idx="2182" formatCode="#,##0.000">
                  <c:v>#N/A</c:v>
                </c:pt>
                <c:pt idx="2183" formatCode="#,##0.000">
                  <c:v>#N/A</c:v>
                </c:pt>
                <c:pt idx="2184" formatCode="#,##0.000">
                  <c:v>#N/A</c:v>
                </c:pt>
                <c:pt idx="2185" formatCode="#,##0.000">
                  <c:v>#N/A</c:v>
                </c:pt>
                <c:pt idx="2186" formatCode="#,##0.000">
                  <c:v>#N/A</c:v>
                </c:pt>
                <c:pt idx="2187" formatCode="#,##0.000">
                  <c:v>#N/A</c:v>
                </c:pt>
                <c:pt idx="2188" formatCode="#,##0.000">
                  <c:v>#N/A</c:v>
                </c:pt>
                <c:pt idx="2189" formatCode="#,##0.000">
                  <c:v>#N/A</c:v>
                </c:pt>
                <c:pt idx="2190" formatCode="#,##0.000">
                  <c:v>#N/A</c:v>
                </c:pt>
                <c:pt idx="2191" formatCode="#,##0.000">
                  <c:v>#N/A</c:v>
                </c:pt>
                <c:pt idx="2192" formatCode="#,##0.000">
                  <c:v>#N/A</c:v>
                </c:pt>
                <c:pt idx="2193" formatCode="#,##0.000">
                  <c:v>#N/A</c:v>
                </c:pt>
                <c:pt idx="2194" formatCode="#,##0.000">
                  <c:v>#N/A</c:v>
                </c:pt>
                <c:pt idx="2195" formatCode="#,##0.000">
                  <c:v>#N/A</c:v>
                </c:pt>
                <c:pt idx="2196" formatCode="#,##0.000">
                  <c:v>#N/A</c:v>
                </c:pt>
                <c:pt idx="2197" formatCode="#,##0.000">
                  <c:v>#N/A</c:v>
                </c:pt>
                <c:pt idx="2198" formatCode="#,##0.000">
                  <c:v>#N/A</c:v>
                </c:pt>
                <c:pt idx="2199" formatCode="#,##0.000">
                  <c:v>#N/A</c:v>
                </c:pt>
                <c:pt idx="2200" formatCode="#,##0.000">
                  <c:v>#N/A</c:v>
                </c:pt>
                <c:pt idx="2201" formatCode="#,##0.000">
                  <c:v>#N/A</c:v>
                </c:pt>
                <c:pt idx="2202" formatCode="#,##0.000">
                  <c:v>#N/A</c:v>
                </c:pt>
                <c:pt idx="2203" formatCode="#,##0.000">
                  <c:v>#N/A</c:v>
                </c:pt>
                <c:pt idx="2204" formatCode="#,##0.000">
                  <c:v>#N/A</c:v>
                </c:pt>
                <c:pt idx="2205" formatCode="#,##0.000">
                  <c:v>#N/A</c:v>
                </c:pt>
                <c:pt idx="2206" formatCode="#,##0.000">
                  <c:v>#N/A</c:v>
                </c:pt>
                <c:pt idx="2207" formatCode="#,##0.000">
                  <c:v>#N/A</c:v>
                </c:pt>
                <c:pt idx="2208" formatCode="#,##0.000">
                  <c:v>#N/A</c:v>
                </c:pt>
                <c:pt idx="2209" formatCode="#,##0.000">
                  <c:v>#N/A</c:v>
                </c:pt>
                <c:pt idx="2210" formatCode="#,##0.000">
                  <c:v>#N/A</c:v>
                </c:pt>
                <c:pt idx="2211" formatCode="#,##0.000">
                  <c:v>#N/A</c:v>
                </c:pt>
                <c:pt idx="2212" formatCode="#,##0.000">
                  <c:v>#N/A</c:v>
                </c:pt>
                <c:pt idx="2213" formatCode="#,##0.000">
                  <c:v>#N/A</c:v>
                </c:pt>
                <c:pt idx="2214" formatCode="#,##0.000">
                  <c:v>#N/A</c:v>
                </c:pt>
                <c:pt idx="2215" formatCode="#,##0.000">
                  <c:v>#N/A</c:v>
                </c:pt>
                <c:pt idx="2216" formatCode="#,##0.000">
                  <c:v>#N/A</c:v>
                </c:pt>
                <c:pt idx="2217" formatCode="#,##0.000">
                  <c:v>#N/A</c:v>
                </c:pt>
                <c:pt idx="2218" formatCode="#,##0.000">
                  <c:v>#N/A</c:v>
                </c:pt>
                <c:pt idx="2219" formatCode="#,##0.000">
                  <c:v>#N/A</c:v>
                </c:pt>
                <c:pt idx="2220" formatCode="#,##0.000">
                  <c:v>#N/A</c:v>
                </c:pt>
                <c:pt idx="2221" formatCode="#,##0.000">
                  <c:v>#N/A</c:v>
                </c:pt>
                <c:pt idx="2222" formatCode="#,##0.000">
                  <c:v>#N/A</c:v>
                </c:pt>
                <c:pt idx="2223" formatCode="#,##0.000">
                  <c:v>#N/A</c:v>
                </c:pt>
                <c:pt idx="2224" formatCode="#,##0.000">
                  <c:v>#N/A</c:v>
                </c:pt>
                <c:pt idx="2225" formatCode="#,##0.000">
                  <c:v>#N/A</c:v>
                </c:pt>
                <c:pt idx="2226" formatCode="#,##0.000">
                  <c:v>#N/A</c:v>
                </c:pt>
                <c:pt idx="2227" formatCode="#,##0.000">
                  <c:v>#N/A</c:v>
                </c:pt>
                <c:pt idx="2228" formatCode="#,##0.000">
                  <c:v>#N/A</c:v>
                </c:pt>
                <c:pt idx="2229" formatCode="#,##0.000">
                  <c:v>#N/A</c:v>
                </c:pt>
                <c:pt idx="2230" formatCode="#,##0.000">
                  <c:v>#N/A</c:v>
                </c:pt>
                <c:pt idx="2231" formatCode="#,##0.000">
                  <c:v>#N/A</c:v>
                </c:pt>
                <c:pt idx="2232" formatCode="#,##0.000">
                  <c:v>#N/A</c:v>
                </c:pt>
                <c:pt idx="2233" formatCode="#,##0.000">
                  <c:v>#N/A</c:v>
                </c:pt>
                <c:pt idx="2234" formatCode="#,##0.000">
                  <c:v>#N/A</c:v>
                </c:pt>
                <c:pt idx="2235" formatCode="#,##0.000">
                  <c:v>#N/A</c:v>
                </c:pt>
                <c:pt idx="2236" formatCode="#,##0.000">
                  <c:v>#N/A</c:v>
                </c:pt>
                <c:pt idx="2237" formatCode="#,##0.000">
                  <c:v>#N/A</c:v>
                </c:pt>
                <c:pt idx="2238" formatCode="#,##0.000">
                  <c:v>#N/A</c:v>
                </c:pt>
                <c:pt idx="2239" formatCode="#,##0.000">
                  <c:v>#N/A</c:v>
                </c:pt>
                <c:pt idx="2240" formatCode="#,##0.000">
                  <c:v>#N/A</c:v>
                </c:pt>
                <c:pt idx="2241" formatCode="#,##0.000">
                  <c:v>#N/A</c:v>
                </c:pt>
                <c:pt idx="2242" formatCode="#,##0.000">
                  <c:v>#N/A</c:v>
                </c:pt>
                <c:pt idx="2243" formatCode="#,##0.000">
                  <c:v>#N/A</c:v>
                </c:pt>
                <c:pt idx="2244" formatCode="#,##0.000">
                  <c:v>#N/A</c:v>
                </c:pt>
                <c:pt idx="2245" formatCode="#,##0.000">
                  <c:v>#N/A</c:v>
                </c:pt>
                <c:pt idx="2246" formatCode="#,##0.000">
                  <c:v>#N/A</c:v>
                </c:pt>
                <c:pt idx="2247" formatCode="#,##0.000">
                  <c:v>#N/A</c:v>
                </c:pt>
                <c:pt idx="2248" formatCode="#,##0.000">
                  <c:v>#N/A</c:v>
                </c:pt>
                <c:pt idx="2249" formatCode="#,##0.000">
                  <c:v>#N/A</c:v>
                </c:pt>
                <c:pt idx="2250" formatCode="#,##0.000">
                  <c:v>#N/A</c:v>
                </c:pt>
                <c:pt idx="2251" formatCode="#,##0.000">
                  <c:v>#N/A</c:v>
                </c:pt>
                <c:pt idx="2252" formatCode="#,##0.000">
                  <c:v>#N/A</c:v>
                </c:pt>
                <c:pt idx="2253" formatCode="#,##0.000">
                  <c:v>#N/A</c:v>
                </c:pt>
                <c:pt idx="2254" formatCode="#,##0.000">
                  <c:v>#N/A</c:v>
                </c:pt>
                <c:pt idx="2255" formatCode="#,##0.000">
                  <c:v>#N/A</c:v>
                </c:pt>
                <c:pt idx="2256" formatCode="#,##0.000">
                  <c:v>#N/A</c:v>
                </c:pt>
                <c:pt idx="2257" formatCode="#,##0.000">
                  <c:v>#N/A</c:v>
                </c:pt>
                <c:pt idx="2258" formatCode="#,##0.000">
                  <c:v>#N/A</c:v>
                </c:pt>
                <c:pt idx="2259" formatCode="#,##0.000">
                  <c:v>#N/A</c:v>
                </c:pt>
                <c:pt idx="2260" formatCode="#,##0.000">
                  <c:v>#N/A</c:v>
                </c:pt>
                <c:pt idx="2261" formatCode="#,##0.000">
                  <c:v>#N/A</c:v>
                </c:pt>
                <c:pt idx="2262" formatCode="#,##0.000">
                  <c:v>#N/A</c:v>
                </c:pt>
                <c:pt idx="2263" formatCode="#,##0.000">
                  <c:v>#N/A</c:v>
                </c:pt>
                <c:pt idx="2264" formatCode="#,##0.000">
                  <c:v>#N/A</c:v>
                </c:pt>
                <c:pt idx="2265" formatCode="#,##0.000">
                  <c:v>#N/A</c:v>
                </c:pt>
                <c:pt idx="2266" formatCode="#,##0.000">
                  <c:v>#N/A</c:v>
                </c:pt>
                <c:pt idx="2267" formatCode="#,##0.000">
                  <c:v>#N/A</c:v>
                </c:pt>
                <c:pt idx="2268" formatCode="#,##0.000">
                  <c:v>#N/A</c:v>
                </c:pt>
                <c:pt idx="2269" formatCode="#,##0.000">
                  <c:v>#N/A</c:v>
                </c:pt>
                <c:pt idx="2270" formatCode="#,##0.000">
                  <c:v>#N/A</c:v>
                </c:pt>
                <c:pt idx="2271" formatCode="#,##0.000">
                  <c:v>#N/A</c:v>
                </c:pt>
                <c:pt idx="2272" formatCode="#,##0.000">
                  <c:v>#N/A</c:v>
                </c:pt>
                <c:pt idx="2273" formatCode="#,##0.000">
                  <c:v>#N/A</c:v>
                </c:pt>
                <c:pt idx="2274" formatCode="#,##0.000">
                  <c:v>#N/A</c:v>
                </c:pt>
                <c:pt idx="2275" formatCode="#,##0.000">
                  <c:v>#N/A</c:v>
                </c:pt>
                <c:pt idx="2276" formatCode="#,##0.000">
                  <c:v>#N/A</c:v>
                </c:pt>
                <c:pt idx="2277" formatCode="#,##0.000">
                  <c:v>#N/A</c:v>
                </c:pt>
                <c:pt idx="2278" formatCode="#,##0.000">
                  <c:v>#N/A</c:v>
                </c:pt>
                <c:pt idx="2279" formatCode="#,##0.000">
                  <c:v>#N/A</c:v>
                </c:pt>
                <c:pt idx="2280" formatCode="#,##0.000">
                  <c:v>#N/A</c:v>
                </c:pt>
                <c:pt idx="2281" formatCode="#,##0.000">
                  <c:v>#N/A</c:v>
                </c:pt>
                <c:pt idx="2282" formatCode="#,##0.000">
                  <c:v>#N/A</c:v>
                </c:pt>
                <c:pt idx="2283" formatCode="#,##0.000">
                  <c:v>#N/A</c:v>
                </c:pt>
                <c:pt idx="2284" formatCode="#,##0.000">
                  <c:v>#N/A</c:v>
                </c:pt>
                <c:pt idx="2285" formatCode="#,##0.000">
                  <c:v>#N/A</c:v>
                </c:pt>
                <c:pt idx="2286" formatCode="#,##0.000">
                  <c:v>#N/A</c:v>
                </c:pt>
                <c:pt idx="2287" formatCode="#,##0.000">
                  <c:v>#N/A</c:v>
                </c:pt>
                <c:pt idx="2288" formatCode="#,##0.000">
                  <c:v>#N/A</c:v>
                </c:pt>
                <c:pt idx="2289" formatCode="#,##0.000">
                  <c:v>#N/A</c:v>
                </c:pt>
                <c:pt idx="2290" formatCode="#,##0.000">
                  <c:v>#N/A</c:v>
                </c:pt>
                <c:pt idx="2291" formatCode="#,##0.000">
                  <c:v>#N/A</c:v>
                </c:pt>
                <c:pt idx="2292" formatCode="#,##0.000">
                  <c:v>#N/A</c:v>
                </c:pt>
                <c:pt idx="2293" formatCode="#,##0.000">
                  <c:v>#N/A</c:v>
                </c:pt>
                <c:pt idx="2294" formatCode="#,##0.000">
                  <c:v>#N/A</c:v>
                </c:pt>
                <c:pt idx="2295" formatCode="#,##0.000">
                  <c:v>#N/A</c:v>
                </c:pt>
                <c:pt idx="2296" formatCode="#,##0.000">
                  <c:v>#N/A</c:v>
                </c:pt>
                <c:pt idx="2297" formatCode="#,##0.000">
                  <c:v>#N/A</c:v>
                </c:pt>
                <c:pt idx="2298" formatCode="#,##0.000">
                  <c:v>#N/A</c:v>
                </c:pt>
                <c:pt idx="2299" formatCode="#,##0.000">
                  <c:v>#N/A</c:v>
                </c:pt>
                <c:pt idx="2300" formatCode="#,##0.000">
                  <c:v>#N/A</c:v>
                </c:pt>
                <c:pt idx="2301" formatCode="#,##0.000">
                  <c:v>#N/A</c:v>
                </c:pt>
                <c:pt idx="2302" formatCode="#,##0.000">
                  <c:v>#N/A</c:v>
                </c:pt>
                <c:pt idx="2303" formatCode="#,##0.000">
                  <c:v>#N/A</c:v>
                </c:pt>
                <c:pt idx="2304" formatCode="#,##0.000">
                  <c:v>#N/A</c:v>
                </c:pt>
                <c:pt idx="2305" formatCode="#,##0.000">
                  <c:v>#N/A</c:v>
                </c:pt>
                <c:pt idx="2306" formatCode="#,##0.000">
                  <c:v>#N/A</c:v>
                </c:pt>
                <c:pt idx="2307" formatCode="#,##0.000">
                  <c:v>#N/A</c:v>
                </c:pt>
                <c:pt idx="2308" formatCode="#,##0.000">
                  <c:v>#N/A</c:v>
                </c:pt>
                <c:pt idx="2309" formatCode="#,##0.000">
                  <c:v>#N/A</c:v>
                </c:pt>
                <c:pt idx="2310" formatCode="#,##0.000">
                  <c:v>#N/A</c:v>
                </c:pt>
                <c:pt idx="2311" formatCode="#,##0.000">
                  <c:v>#N/A</c:v>
                </c:pt>
                <c:pt idx="2312" formatCode="#,##0.000">
                  <c:v>#N/A</c:v>
                </c:pt>
                <c:pt idx="2313" formatCode="#,##0.000">
                  <c:v>#N/A</c:v>
                </c:pt>
                <c:pt idx="2314" formatCode="#,##0.000">
                  <c:v>#N/A</c:v>
                </c:pt>
                <c:pt idx="2315" formatCode="#,##0.000">
                  <c:v>#N/A</c:v>
                </c:pt>
                <c:pt idx="2316" formatCode="#,##0.000">
                  <c:v>#N/A</c:v>
                </c:pt>
                <c:pt idx="2317" formatCode="#,##0.000">
                  <c:v>#N/A</c:v>
                </c:pt>
                <c:pt idx="2318" formatCode="#,##0.000">
                  <c:v>#N/A</c:v>
                </c:pt>
                <c:pt idx="2319" formatCode="#,##0.000">
                  <c:v>#N/A</c:v>
                </c:pt>
                <c:pt idx="2320" formatCode="#,##0.000">
                  <c:v>#N/A</c:v>
                </c:pt>
                <c:pt idx="2321" formatCode="#,##0.000">
                  <c:v>#N/A</c:v>
                </c:pt>
                <c:pt idx="2322" formatCode="#,##0.000">
                  <c:v>#N/A</c:v>
                </c:pt>
                <c:pt idx="2323" formatCode="#,##0.000">
                  <c:v>#N/A</c:v>
                </c:pt>
                <c:pt idx="2324" formatCode="#,##0.000">
                  <c:v>#N/A</c:v>
                </c:pt>
                <c:pt idx="2325" formatCode="#,##0.000">
                  <c:v>#N/A</c:v>
                </c:pt>
                <c:pt idx="2326" formatCode="#,##0.000">
                  <c:v>#N/A</c:v>
                </c:pt>
                <c:pt idx="2327" formatCode="#,##0.000">
                  <c:v>#N/A</c:v>
                </c:pt>
                <c:pt idx="2328" formatCode="#,##0.000">
                  <c:v>#N/A</c:v>
                </c:pt>
                <c:pt idx="2329" formatCode="#,##0.000">
                  <c:v>#N/A</c:v>
                </c:pt>
                <c:pt idx="2330" formatCode="#,##0.000">
                  <c:v>#N/A</c:v>
                </c:pt>
                <c:pt idx="2331" formatCode="#,##0.000">
                  <c:v>#N/A</c:v>
                </c:pt>
                <c:pt idx="2332" formatCode="#,##0.000">
                  <c:v>#N/A</c:v>
                </c:pt>
                <c:pt idx="2333" formatCode="#,##0.000">
                  <c:v>#N/A</c:v>
                </c:pt>
                <c:pt idx="2334" formatCode="#,##0.000">
                  <c:v>#N/A</c:v>
                </c:pt>
                <c:pt idx="2335" formatCode="#,##0.000">
                  <c:v>#N/A</c:v>
                </c:pt>
                <c:pt idx="2336" formatCode="#,##0.000">
                  <c:v>#N/A</c:v>
                </c:pt>
                <c:pt idx="2337" formatCode="#,##0.000">
                  <c:v>#N/A</c:v>
                </c:pt>
                <c:pt idx="2338" formatCode="#,##0.000">
                  <c:v>#N/A</c:v>
                </c:pt>
                <c:pt idx="2339" formatCode="#,##0.000">
                  <c:v>#N/A</c:v>
                </c:pt>
                <c:pt idx="2340" formatCode="#,##0.000">
                  <c:v>#N/A</c:v>
                </c:pt>
                <c:pt idx="2341" formatCode="#,##0.000">
                  <c:v>#N/A</c:v>
                </c:pt>
                <c:pt idx="2342" formatCode="#,##0.000">
                  <c:v>#N/A</c:v>
                </c:pt>
                <c:pt idx="2343" formatCode="#,##0.000">
                  <c:v>#N/A</c:v>
                </c:pt>
                <c:pt idx="2344" formatCode="#,##0.000">
                  <c:v>#N/A</c:v>
                </c:pt>
                <c:pt idx="2345" formatCode="#,##0.000">
                  <c:v>#N/A</c:v>
                </c:pt>
                <c:pt idx="2346" formatCode="#,##0.000">
                  <c:v>#N/A</c:v>
                </c:pt>
                <c:pt idx="2347" formatCode="#,##0.000">
                  <c:v>#N/A</c:v>
                </c:pt>
                <c:pt idx="2348" formatCode="#,##0.000">
                  <c:v>#N/A</c:v>
                </c:pt>
                <c:pt idx="2349" formatCode="#,##0.000">
                  <c:v>#N/A</c:v>
                </c:pt>
                <c:pt idx="2350" formatCode="#,##0.000">
                  <c:v>#N/A</c:v>
                </c:pt>
                <c:pt idx="2351" formatCode="#,##0.000">
                  <c:v>#N/A</c:v>
                </c:pt>
                <c:pt idx="2352" formatCode="#,##0.000">
                  <c:v>#N/A</c:v>
                </c:pt>
                <c:pt idx="2353" formatCode="#,##0.000">
                  <c:v>#N/A</c:v>
                </c:pt>
                <c:pt idx="2354" formatCode="#,##0.000">
                  <c:v>#N/A</c:v>
                </c:pt>
                <c:pt idx="2355" formatCode="#,##0.000">
                  <c:v>#N/A</c:v>
                </c:pt>
                <c:pt idx="2356" formatCode="#,##0.000">
                  <c:v>#N/A</c:v>
                </c:pt>
                <c:pt idx="2357" formatCode="#,##0.000">
                  <c:v>#N/A</c:v>
                </c:pt>
                <c:pt idx="2358" formatCode="#,##0.000">
                  <c:v>#N/A</c:v>
                </c:pt>
                <c:pt idx="2359" formatCode="#,##0.000">
                  <c:v>#N/A</c:v>
                </c:pt>
                <c:pt idx="2360" formatCode="#,##0.000">
                  <c:v>#N/A</c:v>
                </c:pt>
                <c:pt idx="2361" formatCode="#,##0.000">
                  <c:v>#N/A</c:v>
                </c:pt>
                <c:pt idx="2362" formatCode="#,##0.000">
                  <c:v>#N/A</c:v>
                </c:pt>
                <c:pt idx="2363" formatCode="#,##0.000">
                  <c:v>#N/A</c:v>
                </c:pt>
                <c:pt idx="2364" formatCode="#,##0.000">
                  <c:v>#N/A</c:v>
                </c:pt>
                <c:pt idx="2365" formatCode="#,##0.000">
                  <c:v>#N/A</c:v>
                </c:pt>
                <c:pt idx="2366" formatCode="#,##0.000">
                  <c:v>#N/A</c:v>
                </c:pt>
                <c:pt idx="2367" formatCode="#,##0.000">
                  <c:v>#N/A</c:v>
                </c:pt>
                <c:pt idx="2368" formatCode="#,##0.000">
                  <c:v>#N/A</c:v>
                </c:pt>
                <c:pt idx="2369" formatCode="#,##0.000">
                  <c:v>#N/A</c:v>
                </c:pt>
                <c:pt idx="2370" formatCode="#,##0.000">
                  <c:v>#N/A</c:v>
                </c:pt>
                <c:pt idx="2371" formatCode="#,##0.000">
                  <c:v>#N/A</c:v>
                </c:pt>
                <c:pt idx="2372" formatCode="#,##0.000">
                  <c:v>#N/A</c:v>
                </c:pt>
                <c:pt idx="2373" formatCode="#,##0.000">
                  <c:v>#N/A</c:v>
                </c:pt>
                <c:pt idx="2374" formatCode="#,##0.000">
                  <c:v>#N/A</c:v>
                </c:pt>
                <c:pt idx="2375" formatCode="#,##0.000">
                  <c:v>#N/A</c:v>
                </c:pt>
                <c:pt idx="2376" formatCode="#,##0.000">
                  <c:v>#N/A</c:v>
                </c:pt>
                <c:pt idx="2377" formatCode="#,##0.000">
                  <c:v>#N/A</c:v>
                </c:pt>
                <c:pt idx="2378" formatCode="#,##0.000">
                  <c:v>#N/A</c:v>
                </c:pt>
                <c:pt idx="2379" formatCode="#,##0.000">
                  <c:v>#N/A</c:v>
                </c:pt>
                <c:pt idx="2380" formatCode="#,##0.000">
                  <c:v>#N/A</c:v>
                </c:pt>
                <c:pt idx="2381" formatCode="#,##0.000">
                  <c:v>#N/A</c:v>
                </c:pt>
                <c:pt idx="2382" formatCode="#,##0.000">
                  <c:v>#N/A</c:v>
                </c:pt>
                <c:pt idx="2383" formatCode="#,##0.000">
                  <c:v>#N/A</c:v>
                </c:pt>
                <c:pt idx="2384" formatCode="#,##0.000">
                  <c:v>#N/A</c:v>
                </c:pt>
                <c:pt idx="2385" formatCode="#,##0.000">
                  <c:v>#N/A</c:v>
                </c:pt>
                <c:pt idx="2386" formatCode="#,##0.000">
                  <c:v>#N/A</c:v>
                </c:pt>
                <c:pt idx="2387" formatCode="#,##0.000">
                  <c:v>#N/A</c:v>
                </c:pt>
                <c:pt idx="2388" formatCode="#,##0.000">
                  <c:v>#N/A</c:v>
                </c:pt>
                <c:pt idx="2389" formatCode="#,##0.000">
                  <c:v>#N/A</c:v>
                </c:pt>
                <c:pt idx="2390" formatCode="#,##0.000">
                  <c:v>#N/A</c:v>
                </c:pt>
                <c:pt idx="2391" formatCode="#,##0.000">
                  <c:v>#N/A</c:v>
                </c:pt>
                <c:pt idx="2392" formatCode="#,##0.000">
                  <c:v>#N/A</c:v>
                </c:pt>
                <c:pt idx="2393" formatCode="#,##0.000">
                  <c:v>#N/A</c:v>
                </c:pt>
                <c:pt idx="2394" formatCode="#,##0.000">
                  <c:v>#N/A</c:v>
                </c:pt>
                <c:pt idx="2395" formatCode="#,##0.000">
                  <c:v>#N/A</c:v>
                </c:pt>
                <c:pt idx="2396" formatCode="#,##0.000">
                  <c:v>#N/A</c:v>
                </c:pt>
                <c:pt idx="2397" formatCode="#,##0.000">
                  <c:v>#N/A</c:v>
                </c:pt>
                <c:pt idx="2398" formatCode="#,##0.000">
                  <c:v>#N/A</c:v>
                </c:pt>
                <c:pt idx="2399" formatCode="#,##0.000">
                  <c:v>#N/A</c:v>
                </c:pt>
                <c:pt idx="2400" formatCode="#,##0.000">
                  <c:v>#N/A</c:v>
                </c:pt>
                <c:pt idx="2401" formatCode="#,##0.000">
                  <c:v>#N/A</c:v>
                </c:pt>
                <c:pt idx="2402" formatCode="#,##0.000">
                  <c:v>#N/A</c:v>
                </c:pt>
                <c:pt idx="2403" formatCode="#,##0.000">
                  <c:v>#N/A</c:v>
                </c:pt>
                <c:pt idx="2404" formatCode="#,##0.000">
                  <c:v>#N/A</c:v>
                </c:pt>
                <c:pt idx="2405" formatCode="#,##0.000">
                  <c:v>#N/A</c:v>
                </c:pt>
                <c:pt idx="2406" formatCode="#,##0.000">
                  <c:v>#N/A</c:v>
                </c:pt>
                <c:pt idx="2407" formatCode="#,##0.000">
                  <c:v>#N/A</c:v>
                </c:pt>
                <c:pt idx="2408" formatCode="#,##0.000">
                  <c:v>#N/A</c:v>
                </c:pt>
                <c:pt idx="2409" formatCode="#,##0.000">
                  <c:v>#N/A</c:v>
                </c:pt>
                <c:pt idx="2410" formatCode="#,##0.000">
                  <c:v>#N/A</c:v>
                </c:pt>
                <c:pt idx="2411" formatCode="#,##0.000">
                  <c:v>#N/A</c:v>
                </c:pt>
                <c:pt idx="2412" formatCode="#,##0.000">
                  <c:v>#N/A</c:v>
                </c:pt>
                <c:pt idx="2413" formatCode="#,##0.000">
                  <c:v>#N/A</c:v>
                </c:pt>
                <c:pt idx="2414" formatCode="#,##0.000">
                  <c:v>#N/A</c:v>
                </c:pt>
                <c:pt idx="2415" formatCode="#,##0.000">
                  <c:v>#N/A</c:v>
                </c:pt>
                <c:pt idx="2416" formatCode="#,##0.000">
                  <c:v>#N/A</c:v>
                </c:pt>
                <c:pt idx="2417" formatCode="#,##0.000">
                  <c:v>#N/A</c:v>
                </c:pt>
                <c:pt idx="2418" formatCode="#,##0.000">
                  <c:v>#N/A</c:v>
                </c:pt>
                <c:pt idx="2419" formatCode="#,##0.000">
                  <c:v>#N/A</c:v>
                </c:pt>
                <c:pt idx="2420" formatCode="#,##0.000">
                  <c:v>#N/A</c:v>
                </c:pt>
                <c:pt idx="2421" formatCode="#,##0.000">
                  <c:v>#N/A</c:v>
                </c:pt>
                <c:pt idx="2422" formatCode="#,##0.000">
                  <c:v>#N/A</c:v>
                </c:pt>
                <c:pt idx="2423" formatCode="#,##0.000">
                  <c:v>#N/A</c:v>
                </c:pt>
                <c:pt idx="2424" formatCode="#,##0.000">
                  <c:v>#N/A</c:v>
                </c:pt>
                <c:pt idx="2425" formatCode="#,##0.000">
                  <c:v>#N/A</c:v>
                </c:pt>
                <c:pt idx="2426" formatCode="#,##0.000">
                  <c:v>#N/A</c:v>
                </c:pt>
                <c:pt idx="2427" formatCode="#,##0.000">
                  <c:v>#N/A</c:v>
                </c:pt>
                <c:pt idx="2428" formatCode="#,##0.000">
                  <c:v>#N/A</c:v>
                </c:pt>
                <c:pt idx="2429" formatCode="#,##0.000">
                  <c:v>#N/A</c:v>
                </c:pt>
                <c:pt idx="2430" formatCode="#,##0.000">
                  <c:v>#N/A</c:v>
                </c:pt>
                <c:pt idx="2431" formatCode="#,##0.000">
                  <c:v>#N/A</c:v>
                </c:pt>
                <c:pt idx="2432" formatCode="#,##0.000">
                  <c:v>#N/A</c:v>
                </c:pt>
                <c:pt idx="2433" formatCode="#,##0.000">
                  <c:v>#N/A</c:v>
                </c:pt>
                <c:pt idx="2434" formatCode="#,##0.000">
                  <c:v>#N/A</c:v>
                </c:pt>
                <c:pt idx="2435" formatCode="#,##0.000">
                  <c:v>#N/A</c:v>
                </c:pt>
                <c:pt idx="2436" formatCode="#,##0.000">
                  <c:v>#N/A</c:v>
                </c:pt>
                <c:pt idx="2437" formatCode="#,##0.000">
                  <c:v>#N/A</c:v>
                </c:pt>
                <c:pt idx="2438" formatCode="#,##0.000">
                  <c:v>#N/A</c:v>
                </c:pt>
                <c:pt idx="2439" formatCode="#,##0.000">
                  <c:v>#N/A</c:v>
                </c:pt>
                <c:pt idx="2440" formatCode="#,##0.000">
                  <c:v>#N/A</c:v>
                </c:pt>
                <c:pt idx="2441" formatCode="#,##0.000">
                  <c:v>#N/A</c:v>
                </c:pt>
                <c:pt idx="2442" formatCode="#,##0.000">
                  <c:v>#N/A</c:v>
                </c:pt>
                <c:pt idx="2443" formatCode="#,##0.000">
                  <c:v>#N/A</c:v>
                </c:pt>
                <c:pt idx="2444" formatCode="#,##0.000">
                  <c:v>#N/A</c:v>
                </c:pt>
                <c:pt idx="2445" formatCode="#,##0.000">
                  <c:v>#N/A</c:v>
                </c:pt>
                <c:pt idx="2446" formatCode="#,##0.000">
                  <c:v>#N/A</c:v>
                </c:pt>
                <c:pt idx="2447" formatCode="#,##0.000">
                  <c:v>#N/A</c:v>
                </c:pt>
                <c:pt idx="2448" formatCode="#,##0.000">
                  <c:v>#N/A</c:v>
                </c:pt>
                <c:pt idx="2449" formatCode="#,##0.000">
                  <c:v>#N/A</c:v>
                </c:pt>
                <c:pt idx="2450" formatCode="#,##0.000">
                  <c:v>#N/A</c:v>
                </c:pt>
                <c:pt idx="2451" formatCode="#,##0.000">
                  <c:v>#N/A</c:v>
                </c:pt>
                <c:pt idx="2452" formatCode="#,##0.000">
                  <c:v>#N/A</c:v>
                </c:pt>
                <c:pt idx="2453" formatCode="#,##0.000">
                  <c:v>#N/A</c:v>
                </c:pt>
                <c:pt idx="2454" formatCode="#,##0.000">
                  <c:v>#N/A</c:v>
                </c:pt>
                <c:pt idx="2455" formatCode="#,##0.000">
                  <c:v>#N/A</c:v>
                </c:pt>
                <c:pt idx="2456" formatCode="#,##0.000">
                  <c:v>#N/A</c:v>
                </c:pt>
                <c:pt idx="2457" formatCode="#,##0.000">
                  <c:v>#N/A</c:v>
                </c:pt>
                <c:pt idx="2458" formatCode="#,##0.000">
                  <c:v>#N/A</c:v>
                </c:pt>
                <c:pt idx="2459" formatCode="#,##0.000">
                  <c:v>#N/A</c:v>
                </c:pt>
                <c:pt idx="2460" formatCode="#,##0.000">
                  <c:v>#N/A</c:v>
                </c:pt>
                <c:pt idx="2461" formatCode="#,##0.000">
                  <c:v>#N/A</c:v>
                </c:pt>
                <c:pt idx="2462" formatCode="#,##0.000">
                  <c:v>#N/A</c:v>
                </c:pt>
                <c:pt idx="2463" formatCode="#,##0.000">
                  <c:v>#N/A</c:v>
                </c:pt>
                <c:pt idx="2464" formatCode="#,##0.000">
                  <c:v>#N/A</c:v>
                </c:pt>
                <c:pt idx="2465" formatCode="#,##0.000">
                  <c:v>#N/A</c:v>
                </c:pt>
                <c:pt idx="2466" formatCode="#,##0.000">
                  <c:v>#N/A</c:v>
                </c:pt>
                <c:pt idx="2467" formatCode="#,##0.000">
                  <c:v>#N/A</c:v>
                </c:pt>
                <c:pt idx="2468" formatCode="#,##0.000">
                  <c:v>#N/A</c:v>
                </c:pt>
                <c:pt idx="2469" formatCode="#,##0.000">
                  <c:v>#N/A</c:v>
                </c:pt>
                <c:pt idx="2470" formatCode="#,##0.000">
                  <c:v>#N/A</c:v>
                </c:pt>
                <c:pt idx="2471" formatCode="#,##0.000">
                  <c:v>#N/A</c:v>
                </c:pt>
                <c:pt idx="2472" formatCode="#,##0.000">
                  <c:v>#N/A</c:v>
                </c:pt>
                <c:pt idx="2473" formatCode="#,##0.000">
                  <c:v>#N/A</c:v>
                </c:pt>
                <c:pt idx="2474" formatCode="#,##0.000">
                  <c:v>#N/A</c:v>
                </c:pt>
                <c:pt idx="2475" formatCode="#,##0.000">
                  <c:v>#N/A</c:v>
                </c:pt>
                <c:pt idx="2476" formatCode="#,##0.000">
                  <c:v>#N/A</c:v>
                </c:pt>
                <c:pt idx="2477" formatCode="#,##0.000">
                  <c:v>#N/A</c:v>
                </c:pt>
                <c:pt idx="2478" formatCode="#,##0.000">
                  <c:v>#N/A</c:v>
                </c:pt>
                <c:pt idx="2479" formatCode="#,##0.000">
                  <c:v>#N/A</c:v>
                </c:pt>
                <c:pt idx="2480" formatCode="#,##0.000">
                  <c:v>#N/A</c:v>
                </c:pt>
                <c:pt idx="2481" formatCode="#,##0.000">
                  <c:v>#N/A</c:v>
                </c:pt>
                <c:pt idx="2482" formatCode="#,##0.000">
                  <c:v>#N/A</c:v>
                </c:pt>
                <c:pt idx="2483" formatCode="#,##0.000">
                  <c:v>#N/A</c:v>
                </c:pt>
                <c:pt idx="2484" formatCode="#,##0.000">
                  <c:v>#N/A</c:v>
                </c:pt>
                <c:pt idx="2485" formatCode="#,##0.000">
                  <c:v>#N/A</c:v>
                </c:pt>
                <c:pt idx="2486" formatCode="#,##0.000">
                  <c:v>#N/A</c:v>
                </c:pt>
                <c:pt idx="2487" formatCode="#,##0.000">
                  <c:v>#N/A</c:v>
                </c:pt>
                <c:pt idx="2488" formatCode="#,##0.000">
                  <c:v>#N/A</c:v>
                </c:pt>
                <c:pt idx="2489" formatCode="#,##0.000">
                  <c:v>#N/A</c:v>
                </c:pt>
                <c:pt idx="2490" formatCode="#,##0.000">
                  <c:v>#N/A</c:v>
                </c:pt>
                <c:pt idx="2491" formatCode="#,##0.000">
                  <c:v>#N/A</c:v>
                </c:pt>
                <c:pt idx="2492" formatCode="#,##0.000">
                  <c:v>#N/A</c:v>
                </c:pt>
                <c:pt idx="2493" formatCode="#,##0.000">
                  <c:v>#N/A</c:v>
                </c:pt>
                <c:pt idx="2494" formatCode="#,##0.000">
                  <c:v>#N/A</c:v>
                </c:pt>
                <c:pt idx="2495" formatCode="#,##0.000">
                  <c:v>#N/A</c:v>
                </c:pt>
                <c:pt idx="2496" formatCode="#,##0.000">
                  <c:v>#N/A</c:v>
                </c:pt>
                <c:pt idx="2497" formatCode="#,##0.000">
                  <c:v>#N/A</c:v>
                </c:pt>
                <c:pt idx="2498" formatCode="#,##0.000">
                  <c:v>#N/A</c:v>
                </c:pt>
                <c:pt idx="2499" formatCode="#,##0.000">
                  <c:v>#N/A</c:v>
                </c:pt>
                <c:pt idx="2500" formatCode="#,##0.000">
                  <c:v>#N/A</c:v>
                </c:pt>
                <c:pt idx="2501" formatCode="#,##0.000">
                  <c:v>#N/A</c:v>
                </c:pt>
                <c:pt idx="2502" formatCode="#,##0.000">
                  <c:v>#N/A</c:v>
                </c:pt>
                <c:pt idx="2503" formatCode="#,##0.000">
                  <c:v>#N/A</c:v>
                </c:pt>
                <c:pt idx="2504" formatCode="#,##0.000">
                  <c:v>#N/A</c:v>
                </c:pt>
                <c:pt idx="2505" formatCode="#,##0.000">
                  <c:v>#N/A</c:v>
                </c:pt>
                <c:pt idx="2506" formatCode="#,##0.000">
                  <c:v>#N/A</c:v>
                </c:pt>
                <c:pt idx="2507" formatCode="#,##0.000">
                  <c:v>#N/A</c:v>
                </c:pt>
                <c:pt idx="2508" formatCode="#,##0.000">
                  <c:v>#N/A</c:v>
                </c:pt>
                <c:pt idx="2509" formatCode="#,##0.000">
                  <c:v>#N/A</c:v>
                </c:pt>
                <c:pt idx="2510" formatCode="#,##0.000">
                  <c:v>#N/A</c:v>
                </c:pt>
                <c:pt idx="2511" formatCode="#,##0.000">
                  <c:v>#N/A</c:v>
                </c:pt>
                <c:pt idx="2512" formatCode="#,##0.000">
                  <c:v>#N/A</c:v>
                </c:pt>
                <c:pt idx="2513" formatCode="#,##0.000">
                  <c:v>#N/A</c:v>
                </c:pt>
                <c:pt idx="2514" formatCode="#,##0.000">
                  <c:v>#N/A</c:v>
                </c:pt>
                <c:pt idx="2515" formatCode="#,##0.000">
                  <c:v>#N/A</c:v>
                </c:pt>
                <c:pt idx="2516" formatCode="#,##0.000">
                  <c:v>#N/A</c:v>
                </c:pt>
                <c:pt idx="2517" formatCode="#,##0.000">
                  <c:v>#N/A</c:v>
                </c:pt>
                <c:pt idx="2518" formatCode="#,##0.000">
                  <c:v>#N/A</c:v>
                </c:pt>
                <c:pt idx="2519" formatCode="#,##0.000">
                  <c:v>#N/A</c:v>
                </c:pt>
                <c:pt idx="2520" formatCode="#,##0.000">
                  <c:v>#N/A</c:v>
                </c:pt>
                <c:pt idx="2521" formatCode="#,##0.000">
                  <c:v>#N/A</c:v>
                </c:pt>
                <c:pt idx="2522" formatCode="#,##0.000">
                  <c:v>#N/A</c:v>
                </c:pt>
                <c:pt idx="2523" formatCode="#,##0.000">
                  <c:v>#N/A</c:v>
                </c:pt>
                <c:pt idx="2524" formatCode="#,##0.000">
                  <c:v>#N/A</c:v>
                </c:pt>
                <c:pt idx="2525" formatCode="#,##0.000">
                  <c:v>#N/A</c:v>
                </c:pt>
                <c:pt idx="2526" formatCode="#,##0.000">
                  <c:v>#N/A</c:v>
                </c:pt>
                <c:pt idx="2527" formatCode="#,##0.000">
                  <c:v>#N/A</c:v>
                </c:pt>
                <c:pt idx="2528" formatCode="#,##0.000">
                  <c:v>#N/A</c:v>
                </c:pt>
                <c:pt idx="2529" formatCode="#,##0.000">
                  <c:v>#N/A</c:v>
                </c:pt>
                <c:pt idx="2530" formatCode="#,##0.000">
                  <c:v>#N/A</c:v>
                </c:pt>
                <c:pt idx="2531" formatCode="#,##0.000">
                  <c:v>#N/A</c:v>
                </c:pt>
                <c:pt idx="2532" formatCode="#,##0.000">
                  <c:v>#N/A</c:v>
                </c:pt>
                <c:pt idx="2533" formatCode="#,##0.000">
                  <c:v>#N/A</c:v>
                </c:pt>
                <c:pt idx="2534" formatCode="#,##0.000">
                  <c:v>#N/A</c:v>
                </c:pt>
                <c:pt idx="2535" formatCode="#,##0.000">
                  <c:v>#N/A</c:v>
                </c:pt>
                <c:pt idx="2536" formatCode="#,##0.000">
                  <c:v>#N/A</c:v>
                </c:pt>
                <c:pt idx="2537" formatCode="#,##0.000">
                  <c:v>#N/A</c:v>
                </c:pt>
                <c:pt idx="2538" formatCode="#,##0.000">
                  <c:v>#N/A</c:v>
                </c:pt>
                <c:pt idx="2539" formatCode="#,##0.000">
                  <c:v>#N/A</c:v>
                </c:pt>
                <c:pt idx="2540" formatCode="#,##0.000">
                  <c:v>#N/A</c:v>
                </c:pt>
                <c:pt idx="2541" formatCode="#,##0.000">
                  <c:v>#N/A</c:v>
                </c:pt>
                <c:pt idx="2542" formatCode="#,##0.000">
                  <c:v>#N/A</c:v>
                </c:pt>
                <c:pt idx="2543" formatCode="#,##0.000">
                  <c:v>#N/A</c:v>
                </c:pt>
                <c:pt idx="2544" formatCode="#,##0.000">
                  <c:v>#N/A</c:v>
                </c:pt>
                <c:pt idx="2545" formatCode="#,##0.000">
                  <c:v>#N/A</c:v>
                </c:pt>
                <c:pt idx="2546" formatCode="#,##0.000">
                  <c:v>#N/A</c:v>
                </c:pt>
                <c:pt idx="2547" formatCode="#,##0.000">
                  <c:v>#N/A</c:v>
                </c:pt>
                <c:pt idx="2548" formatCode="#,##0.000">
                  <c:v>#N/A</c:v>
                </c:pt>
                <c:pt idx="2549" formatCode="#,##0.000">
                  <c:v>#N/A</c:v>
                </c:pt>
                <c:pt idx="2550" formatCode="#,##0.000">
                  <c:v>#N/A</c:v>
                </c:pt>
                <c:pt idx="2551" formatCode="#,##0.000">
                  <c:v>#N/A</c:v>
                </c:pt>
                <c:pt idx="2552" formatCode="#,##0.000">
                  <c:v>#N/A</c:v>
                </c:pt>
                <c:pt idx="2553" formatCode="#,##0.000">
                  <c:v>#N/A</c:v>
                </c:pt>
                <c:pt idx="2554" formatCode="#,##0.000">
                  <c:v>#N/A</c:v>
                </c:pt>
                <c:pt idx="2555" formatCode="#,##0.000">
                  <c:v>#N/A</c:v>
                </c:pt>
                <c:pt idx="2556" formatCode="#,##0.000">
                  <c:v>#N/A</c:v>
                </c:pt>
                <c:pt idx="2557" formatCode="#,##0.000">
                  <c:v>#N/A</c:v>
                </c:pt>
                <c:pt idx="2558" formatCode="#,##0.000">
                  <c:v>#N/A</c:v>
                </c:pt>
                <c:pt idx="2559" formatCode="#,##0.000">
                  <c:v>#N/A</c:v>
                </c:pt>
                <c:pt idx="2560" formatCode="#,##0.000">
                  <c:v>#N/A</c:v>
                </c:pt>
                <c:pt idx="2561" formatCode="#,##0.000">
                  <c:v>#N/A</c:v>
                </c:pt>
                <c:pt idx="2562" formatCode="#,##0.000">
                  <c:v>#N/A</c:v>
                </c:pt>
                <c:pt idx="2563" formatCode="#,##0.000">
                  <c:v>#N/A</c:v>
                </c:pt>
                <c:pt idx="2564" formatCode="#,##0.000">
                  <c:v>#N/A</c:v>
                </c:pt>
                <c:pt idx="2565" formatCode="#,##0.000">
                  <c:v>#N/A</c:v>
                </c:pt>
                <c:pt idx="2566" formatCode="#,##0.000">
                  <c:v>#N/A</c:v>
                </c:pt>
                <c:pt idx="2567" formatCode="#,##0.000">
                  <c:v>#N/A</c:v>
                </c:pt>
                <c:pt idx="2568" formatCode="#,##0.000">
                  <c:v>#N/A</c:v>
                </c:pt>
                <c:pt idx="2569" formatCode="#,##0.000">
                  <c:v>#N/A</c:v>
                </c:pt>
                <c:pt idx="2570" formatCode="#,##0.000">
                  <c:v>#N/A</c:v>
                </c:pt>
                <c:pt idx="2571" formatCode="#,##0.000">
                  <c:v>#N/A</c:v>
                </c:pt>
                <c:pt idx="2572" formatCode="#,##0.000">
                  <c:v>#N/A</c:v>
                </c:pt>
                <c:pt idx="2573" formatCode="#,##0.000">
                  <c:v>#N/A</c:v>
                </c:pt>
                <c:pt idx="2574" formatCode="#,##0.000">
                  <c:v>#N/A</c:v>
                </c:pt>
                <c:pt idx="2575" formatCode="#,##0.000">
                  <c:v>#N/A</c:v>
                </c:pt>
                <c:pt idx="2576" formatCode="#,##0.000">
                  <c:v>#N/A</c:v>
                </c:pt>
                <c:pt idx="2577" formatCode="#,##0.000">
                  <c:v>#N/A</c:v>
                </c:pt>
                <c:pt idx="2578" formatCode="#,##0.000">
                  <c:v>#N/A</c:v>
                </c:pt>
                <c:pt idx="2579" formatCode="#,##0.000">
                  <c:v>#N/A</c:v>
                </c:pt>
                <c:pt idx="2580" formatCode="#,##0.000">
                  <c:v>#N/A</c:v>
                </c:pt>
                <c:pt idx="2581" formatCode="#,##0.000">
                  <c:v>#N/A</c:v>
                </c:pt>
                <c:pt idx="2582" formatCode="#,##0.000">
                  <c:v>#N/A</c:v>
                </c:pt>
                <c:pt idx="2583" formatCode="#,##0.000">
                  <c:v>#N/A</c:v>
                </c:pt>
                <c:pt idx="2584" formatCode="#,##0.000">
                  <c:v>#N/A</c:v>
                </c:pt>
                <c:pt idx="2585" formatCode="#,##0.000">
                  <c:v>#N/A</c:v>
                </c:pt>
                <c:pt idx="2586" formatCode="#,##0.000">
                  <c:v>#N/A</c:v>
                </c:pt>
                <c:pt idx="2587" formatCode="#,##0.000">
                  <c:v>#N/A</c:v>
                </c:pt>
                <c:pt idx="2588" formatCode="#,##0.000">
                  <c:v>#N/A</c:v>
                </c:pt>
                <c:pt idx="2589" formatCode="#,##0.000">
                  <c:v>#N/A</c:v>
                </c:pt>
                <c:pt idx="2590" formatCode="#,##0.000">
                  <c:v>#N/A</c:v>
                </c:pt>
                <c:pt idx="2591" formatCode="#,##0.000">
                  <c:v>#N/A</c:v>
                </c:pt>
                <c:pt idx="2592" formatCode="#,##0.000">
                  <c:v>#N/A</c:v>
                </c:pt>
                <c:pt idx="2593" formatCode="#,##0.000">
                  <c:v>#N/A</c:v>
                </c:pt>
                <c:pt idx="2594" formatCode="#,##0.000">
                  <c:v>#N/A</c:v>
                </c:pt>
                <c:pt idx="2595" formatCode="#,##0.000">
                  <c:v>#N/A</c:v>
                </c:pt>
                <c:pt idx="2596" formatCode="#,##0.000">
                  <c:v>#N/A</c:v>
                </c:pt>
                <c:pt idx="2597" formatCode="#,##0.000">
                  <c:v>#N/A</c:v>
                </c:pt>
                <c:pt idx="2598" formatCode="#,##0.000">
                  <c:v>#N/A</c:v>
                </c:pt>
                <c:pt idx="2599" formatCode="#,##0.000">
                  <c:v>#N/A</c:v>
                </c:pt>
                <c:pt idx="2600" formatCode="#,##0.000">
                  <c:v>#N/A</c:v>
                </c:pt>
                <c:pt idx="2601" formatCode="#,##0.000">
                  <c:v>#N/A</c:v>
                </c:pt>
                <c:pt idx="2602" formatCode="#,##0.000">
                  <c:v>#N/A</c:v>
                </c:pt>
                <c:pt idx="2603" formatCode="#,##0.000">
                  <c:v>#N/A</c:v>
                </c:pt>
                <c:pt idx="2604" formatCode="#,##0.000">
                  <c:v>#N/A</c:v>
                </c:pt>
                <c:pt idx="2605" formatCode="#,##0.000">
                  <c:v>#N/A</c:v>
                </c:pt>
                <c:pt idx="2606" formatCode="#,##0.000">
                  <c:v>#N/A</c:v>
                </c:pt>
                <c:pt idx="2607" formatCode="#,##0.000">
                  <c:v>#N/A</c:v>
                </c:pt>
                <c:pt idx="2608" formatCode="#,##0.000">
                  <c:v>#N/A</c:v>
                </c:pt>
                <c:pt idx="2609" formatCode="#,##0.000">
                  <c:v>#N/A</c:v>
                </c:pt>
                <c:pt idx="2610" formatCode="#,##0.000">
                  <c:v>#N/A</c:v>
                </c:pt>
                <c:pt idx="2611" formatCode="#,##0.000">
                  <c:v>#N/A</c:v>
                </c:pt>
                <c:pt idx="2612" formatCode="#,##0.000">
                  <c:v>#N/A</c:v>
                </c:pt>
                <c:pt idx="2613" formatCode="#,##0.000">
                  <c:v>#N/A</c:v>
                </c:pt>
                <c:pt idx="2614" formatCode="#,##0.000">
                  <c:v>#N/A</c:v>
                </c:pt>
                <c:pt idx="2615" formatCode="#,##0.000">
                  <c:v>#N/A</c:v>
                </c:pt>
                <c:pt idx="2616" formatCode="#,##0.000">
                  <c:v>#N/A</c:v>
                </c:pt>
                <c:pt idx="2617" formatCode="#,##0.000">
                  <c:v>#N/A</c:v>
                </c:pt>
                <c:pt idx="2618" formatCode="#,##0.000">
                  <c:v>#N/A</c:v>
                </c:pt>
                <c:pt idx="2619" formatCode="#,##0.000">
                  <c:v>#N/A</c:v>
                </c:pt>
                <c:pt idx="2620" formatCode="#,##0.000">
                  <c:v>#N/A</c:v>
                </c:pt>
                <c:pt idx="2621" formatCode="#,##0.000">
                  <c:v>#N/A</c:v>
                </c:pt>
                <c:pt idx="2622" formatCode="#,##0.000">
                  <c:v>#N/A</c:v>
                </c:pt>
                <c:pt idx="2623" formatCode="#,##0.000">
                  <c:v>#N/A</c:v>
                </c:pt>
                <c:pt idx="2624" formatCode="#,##0.000">
                  <c:v>#N/A</c:v>
                </c:pt>
                <c:pt idx="2625" formatCode="#,##0.000">
                  <c:v>#N/A</c:v>
                </c:pt>
                <c:pt idx="2626" formatCode="#,##0.000">
                  <c:v>#N/A</c:v>
                </c:pt>
                <c:pt idx="2627" formatCode="#,##0.000">
                  <c:v>#N/A</c:v>
                </c:pt>
                <c:pt idx="2628" formatCode="#,##0.000">
                  <c:v>#N/A</c:v>
                </c:pt>
                <c:pt idx="2629" formatCode="#,##0.000">
                  <c:v>#N/A</c:v>
                </c:pt>
                <c:pt idx="2630" formatCode="#,##0.000">
                  <c:v>#N/A</c:v>
                </c:pt>
                <c:pt idx="2631" formatCode="#,##0.000">
                  <c:v>#N/A</c:v>
                </c:pt>
                <c:pt idx="2632" formatCode="#,##0.000">
                  <c:v>#N/A</c:v>
                </c:pt>
                <c:pt idx="2633" formatCode="#,##0.000">
                  <c:v>#N/A</c:v>
                </c:pt>
                <c:pt idx="2634" formatCode="#,##0.000">
                  <c:v>#N/A</c:v>
                </c:pt>
                <c:pt idx="2635" formatCode="#,##0.000">
                  <c:v>#N/A</c:v>
                </c:pt>
                <c:pt idx="2636" formatCode="#,##0.000">
                  <c:v>#N/A</c:v>
                </c:pt>
                <c:pt idx="2637" formatCode="#,##0.000">
                  <c:v>#N/A</c:v>
                </c:pt>
                <c:pt idx="2638" formatCode="#,##0.000">
                  <c:v>#N/A</c:v>
                </c:pt>
                <c:pt idx="2639" formatCode="#,##0.000">
                  <c:v>#N/A</c:v>
                </c:pt>
                <c:pt idx="2640" formatCode="#,##0.000">
                  <c:v>#N/A</c:v>
                </c:pt>
                <c:pt idx="2641" formatCode="#,##0.000">
                  <c:v>#N/A</c:v>
                </c:pt>
                <c:pt idx="2642" formatCode="#,##0.000">
                  <c:v>#N/A</c:v>
                </c:pt>
                <c:pt idx="2643" formatCode="#,##0.000">
                  <c:v>#N/A</c:v>
                </c:pt>
                <c:pt idx="2644" formatCode="#,##0.000">
                  <c:v>#N/A</c:v>
                </c:pt>
                <c:pt idx="2645" formatCode="#,##0.000">
                  <c:v>#N/A</c:v>
                </c:pt>
                <c:pt idx="2646" formatCode="#,##0.000">
                  <c:v>#N/A</c:v>
                </c:pt>
                <c:pt idx="2647" formatCode="#,##0.000">
                  <c:v>#N/A</c:v>
                </c:pt>
                <c:pt idx="2648" formatCode="#,##0.000">
                  <c:v>#N/A</c:v>
                </c:pt>
                <c:pt idx="2649" formatCode="#,##0.000">
                  <c:v>#N/A</c:v>
                </c:pt>
                <c:pt idx="2650" formatCode="#,##0.000">
                  <c:v>#N/A</c:v>
                </c:pt>
                <c:pt idx="2651" formatCode="#,##0.000">
                  <c:v>#N/A</c:v>
                </c:pt>
                <c:pt idx="2652" formatCode="#,##0.000">
                  <c:v>#N/A</c:v>
                </c:pt>
                <c:pt idx="2653" formatCode="#,##0.000">
                  <c:v>#N/A</c:v>
                </c:pt>
                <c:pt idx="2654" formatCode="#,##0.000">
                  <c:v>#N/A</c:v>
                </c:pt>
                <c:pt idx="2655" formatCode="#,##0.000">
                  <c:v>#N/A</c:v>
                </c:pt>
                <c:pt idx="2656" formatCode="#,##0.000">
                  <c:v>#N/A</c:v>
                </c:pt>
                <c:pt idx="2657" formatCode="#,##0.000">
                  <c:v>#N/A</c:v>
                </c:pt>
                <c:pt idx="2658" formatCode="#,##0.000">
                  <c:v>#N/A</c:v>
                </c:pt>
                <c:pt idx="2659" formatCode="#,##0.000">
                  <c:v>#N/A</c:v>
                </c:pt>
                <c:pt idx="2660" formatCode="#,##0.000">
                  <c:v>#N/A</c:v>
                </c:pt>
                <c:pt idx="2661" formatCode="#,##0.000">
                  <c:v>#N/A</c:v>
                </c:pt>
                <c:pt idx="2662" formatCode="#,##0.000">
                  <c:v>#N/A</c:v>
                </c:pt>
                <c:pt idx="2663" formatCode="#,##0.000">
                  <c:v>#N/A</c:v>
                </c:pt>
                <c:pt idx="2664" formatCode="#,##0.000">
                  <c:v>#N/A</c:v>
                </c:pt>
                <c:pt idx="2665" formatCode="#,##0.000">
                  <c:v>#N/A</c:v>
                </c:pt>
                <c:pt idx="2666" formatCode="#,##0.000">
                  <c:v>#N/A</c:v>
                </c:pt>
                <c:pt idx="2667" formatCode="#,##0.000">
                  <c:v>#N/A</c:v>
                </c:pt>
                <c:pt idx="2668" formatCode="#,##0.000">
                  <c:v>#N/A</c:v>
                </c:pt>
                <c:pt idx="2669" formatCode="#,##0.000">
                  <c:v>#N/A</c:v>
                </c:pt>
                <c:pt idx="2670" formatCode="#,##0.000">
                  <c:v>#N/A</c:v>
                </c:pt>
                <c:pt idx="2671" formatCode="#,##0.000">
                  <c:v>#N/A</c:v>
                </c:pt>
                <c:pt idx="2672" formatCode="#,##0.000">
                  <c:v>#N/A</c:v>
                </c:pt>
                <c:pt idx="2673" formatCode="#,##0.000">
                  <c:v>#N/A</c:v>
                </c:pt>
                <c:pt idx="2674" formatCode="#,##0.000">
                  <c:v>#N/A</c:v>
                </c:pt>
                <c:pt idx="2675" formatCode="#,##0.000">
                  <c:v>#N/A</c:v>
                </c:pt>
                <c:pt idx="2676" formatCode="#,##0.000">
                  <c:v>#N/A</c:v>
                </c:pt>
                <c:pt idx="2677" formatCode="#,##0.000">
                  <c:v>#N/A</c:v>
                </c:pt>
                <c:pt idx="2678" formatCode="#,##0.000">
                  <c:v>#N/A</c:v>
                </c:pt>
                <c:pt idx="2679" formatCode="#,##0.000">
                  <c:v>#N/A</c:v>
                </c:pt>
                <c:pt idx="2680" formatCode="#,##0.000">
                  <c:v>#N/A</c:v>
                </c:pt>
                <c:pt idx="2681" formatCode="#,##0.000">
                  <c:v>#N/A</c:v>
                </c:pt>
                <c:pt idx="2682" formatCode="#,##0.000">
                  <c:v>#N/A</c:v>
                </c:pt>
                <c:pt idx="2683" formatCode="#,##0.000">
                  <c:v>#N/A</c:v>
                </c:pt>
                <c:pt idx="2684" formatCode="#,##0.000">
                  <c:v>#N/A</c:v>
                </c:pt>
                <c:pt idx="2685" formatCode="#,##0.000">
                  <c:v>#N/A</c:v>
                </c:pt>
                <c:pt idx="2686" formatCode="#,##0.000">
                  <c:v>#N/A</c:v>
                </c:pt>
                <c:pt idx="2687" formatCode="#,##0.000">
                  <c:v>#N/A</c:v>
                </c:pt>
                <c:pt idx="2688" formatCode="#,##0.000">
                  <c:v>#N/A</c:v>
                </c:pt>
                <c:pt idx="2689" formatCode="#,##0.000">
                  <c:v>#N/A</c:v>
                </c:pt>
                <c:pt idx="2690" formatCode="#,##0.000">
                  <c:v>#N/A</c:v>
                </c:pt>
                <c:pt idx="2691" formatCode="#,##0.000">
                  <c:v>#N/A</c:v>
                </c:pt>
                <c:pt idx="2692" formatCode="#,##0.000">
                  <c:v>#N/A</c:v>
                </c:pt>
                <c:pt idx="2693" formatCode="#,##0.000">
                  <c:v>#N/A</c:v>
                </c:pt>
                <c:pt idx="2694" formatCode="#,##0.000">
                  <c:v>#N/A</c:v>
                </c:pt>
                <c:pt idx="2695" formatCode="#,##0.000">
                  <c:v>#N/A</c:v>
                </c:pt>
                <c:pt idx="2696" formatCode="#,##0.000">
                  <c:v>#N/A</c:v>
                </c:pt>
                <c:pt idx="2697" formatCode="#,##0.000">
                  <c:v>#N/A</c:v>
                </c:pt>
                <c:pt idx="2698" formatCode="#,##0.000">
                  <c:v>#N/A</c:v>
                </c:pt>
                <c:pt idx="2699" formatCode="#,##0.000">
                  <c:v>#N/A</c:v>
                </c:pt>
                <c:pt idx="2700" formatCode="#,##0.000">
                  <c:v>#N/A</c:v>
                </c:pt>
                <c:pt idx="2701" formatCode="#,##0.000">
                  <c:v>#N/A</c:v>
                </c:pt>
                <c:pt idx="2702" formatCode="#,##0.000">
                  <c:v>#N/A</c:v>
                </c:pt>
                <c:pt idx="2703" formatCode="#,##0.000">
                  <c:v>#N/A</c:v>
                </c:pt>
                <c:pt idx="2704" formatCode="#,##0.000">
                  <c:v>#N/A</c:v>
                </c:pt>
                <c:pt idx="2705" formatCode="#,##0.000">
                  <c:v>#N/A</c:v>
                </c:pt>
                <c:pt idx="2706" formatCode="#,##0.000">
                  <c:v>#N/A</c:v>
                </c:pt>
                <c:pt idx="2707" formatCode="#,##0.000">
                  <c:v>#N/A</c:v>
                </c:pt>
                <c:pt idx="2708" formatCode="#,##0.000">
                  <c:v>#N/A</c:v>
                </c:pt>
                <c:pt idx="2709" formatCode="#,##0.000">
                  <c:v>#N/A</c:v>
                </c:pt>
                <c:pt idx="2710" formatCode="#,##0.000">
                  <c:v>#N/A</c:v>
                </c:pt>
                <c:pt idx="2711" formatCode="#,##0.000">
                  <c:v>#N/A</c:v>
                </c:pt>
                <c:pt idx="2712" formatCode="#,##0.000">
                  <c:v>#N/A</c:v>
                </c:pt>
                <c:pt idx="2713" formatCode="#,##0.000">
                  <c:v>#N/A</c:v>
                </c:pt>
                <c:pt idx="2714" formatCode="#,##0.000">
                  <c:v>#N/A</c:v>
                </c:pt>
                <c:pt idx="2715" formatCode="#,##0.000">
                  <c:v>#N/A</c:v>
                </c:pt>
                <c:pt idx="2716" formatCode="#,##0.000">
                  <c:v>#N/A</c:v>
                </c:pt>
                <c:pt idx="2717" formatCode="#,##0.000">
                  <c:v>#N/A</c:v>
                </c:pt>
                <c:pt idx="2718" formatCode="#,##0.000">
                  <c:v>#N/A</c:v>
                </c:pt>
                <c:pt idx="2719" formatCode="#,##0.000">
                  <c:v>#N/A</c:v>
                </c:pt>
                <c:pt idx="2720" formatCode="#,##0.000">
                  <c:v>#N/A</c:v>
                </c:pt>
                <c:pt idx="2721" formatCode="#,##0.000">
                  <c:v>#N/A</c:v>
                </c:pt>
                <c:pt idx="2722" formatCode="#,##0.000">
                  <c:v>#N/A</c:v>
                </c:pt>
                <c:pt idx="2723" formatCode="#,##0.000">
                  <c:v>#N/A</c:v>
                </c:pt>
                <c:pt idx="2724" formatCode="#,##0.000">
                  <c:v>#N/A</c:v>
                </c:pt>
                <c:pt idx="2725" formatCode="#,##0.000">
                  <c:v>#N/A</c:v>
                </c:pt>
                <c:pt idx="2726" formatCode="#,##0.000">
                  <c:v>#N/A</c:v>
                </c:pt>
                <c:pt idx="2727" formatCode="#,##0.000">
                  <c:v>#N/A</c:v>
                </c:pt>
                <c:pt idx="2728" formatCode="#,##0.000">
                  <c:v>#N/A</c:v>
                </c:pt>
                <c:pt idx="2729" formatCode="#,##0.000">
                  <c:v>#N/A</c:v>
                </c:pt>
                <c:pt idx="2730" formatCode="#,##0.000">
                  <c:v>#N/A</c:v>
                </c:pt>
                <c:pt idx="2731" formatCode="#,##0.000">
                  <c:v>#N/A</c:v>
                </c:pt>
                <c:pt idx="2732" formatCode="#,##0.000">
                  <c:v>#N/A</c:v>
                </c:pt>
                <c:pt idx="2733" formatCode="#,##0.000">
                  <c:v>#N/A</c:v>
                </c:pt>
                <c:pt idx="2734" formatCode="#,##0.000">
                  <c:v>#N/A</c:v>
                </c:pt>
                <c:pt idx="2735" formatCode="#,##0.000">
                  <c:v>#N/A</c:v>
                </c:pt>
                <c:pt idx="2736" formatCode="#,##0.000">
                  <c:v>#N/A</c:v>
                </c:pt>
                <c:pt idx="2737" formatCode="#,##0.000">
                  <c:v>#N/A</c:v>
                </c:pt>
                <c:pt idx="2738" formatCode="#,##0.000">
                  <c:v>#N/A</c:v>
                </c:pt>
                <c:pt idx="2739" formatCode="#,##0.000">
                  <c:v>#N/A</c:v>
                </c:pt>
                <c:pt idx="2740" formatCode="#,##0.000">
                  <c:v>#N/A</c:v>
                </c:pt>
                <c:pt idx="2741" formatCode="#,##0.000">
                  <c:v>#N/A</c:v>
                </c:pt>
                <c:pt idx="2742" formatCode="#,##0.000">
                  <c:v>#N/A</c:v>
                </c:pt>
                <c:pt idx="2743" formatCode="#,##0.000">
                  <c:v>#N/A</c:v>
                </c:pt>
                <c:pt idx="2744" formatCode="#,##0.000">
                  <c:v>#N/A</c:v>
                </c:pt>
                <c:pt idx="2745" formatCode="#,##0.000">
                  <c:v>#N/A</c:v>
                </c:pt>
                <c:pt idx="2746" formatCode="#,##0.000">
                  <c:v>#N/A</c:v>
                </c:pt>
                <c:pt idx="2747" formatCode="#,##0.000">
                  <c:v>#N/A</c:v>
                </c:pt>
                <c:pt idx="2748" formatCode="#,##0.000">
                  <c:v>#N/A</c:v>
                </c:pt>
                <c:pt idx="2749" formatCode="#,##0.000">
                  <c:v>#N/A</c:v>
                </c:pt>
                <c:pt idx="2750" formatCode="#,##0.000">
                  <c:v>#N/A</c:v>
                </c:pt>
                <c:pt idx="2751" formatCode="#,##0.000">
                  <c:v>#N/A</c:v>
                </c:pt>
                <c:pt idx="2752" formatCode="#,##0.000">
                  <c:v>#N/A</c:v>
                </c:pt>
                <c:pt idx="2753" formatCode="#,##0.000">
                  <c:v>#N/A</c:v>
                </c:pt>
                <c:pt idx="2754" formatCode="#,##0.000">
                  <c:v>#N/A</c:v>
                </c:pt>
                <c:pt idx="2755" formatCode="#,##0.000">
                  <c:v>#N/A</c:v>
                </c:pt>
                <c:pt idx="2756" formatCode="#,##0.000">
                  <c:v>#N/A</c:v>
                </c:pt>
                <c:pt idx="2757" formatCode="#,##0.000">
                  <c:v>#N/A</c:v>
                </c:pt>
                <c:pt idx="2758" formatCode="#,##0.000">
                  <c:v>#N/A</c:v>
                </c:pt>
                <c:pt idx="2759" formatCode="#,##0.000">
                  <c:v>#N/A</c:v>
                </c:pt>
                <c:pt idx="2760" formatCode="#,##0.000">
                  <c:v>#N/A</c:v>
                </c:pt>
                <c:pt idx="2761" formatCode="#,##0.000">
                  <c:v>#N/A</c:v>
                </c:pt>
                <c:pt idx="2762" formatCode="#,##0.000">
                  <c:v>#N/A</c:v>
                </c:pt>
                <c:pt idx="2763" formatCode="#,##0.000">
                  <c:v>#N/A</c:v>
                </c:pt>
                <c:pt idx="2764" formatCode="#,##0.000">
                  <c:v>#N/A</c:v>
                </c:pt>
                <c:pt idx="2765" formatCode="#,##0.000">
                  <c:v>#N/A</c:v>
                </c:pt>
                <c:pt idx="2766" formatCode="#,##0.000">
                  <c:v>#N/A</c:v>
                </c:pt>
                <c:pt idx="2767" formatCode="#,##0.000">
                  <c:v>#N/A</c:v>
                </c:pt>
                <c:pt idx="2768" formatCode="#,##0.000">
                  <c:v>#N/A</c:v>
                </c:pt>
                <c:pt idx="2769" formatCode="#,##0.000">
                  <c:v>#N/A</c:v>
                </c:pt>
                <c:pt idx="2770" formatCode="#,##0.000">
                  <c:v>#N/A</c:v>
                </c:pt>
                <c:pt idx="2771" formatCode="#,##0.000">
                  <c:v>#N/A</c:v>
                </c:pt>
                <c:pt idx="2772" formatCode="#,##0.000">
                  <c:v>#N/A</c:v>
                </c:pt>
                <c:pt idx="2773" formatCode="#,##0.000">
                  <c:v>#N/A</c:v>
                </c:pt>
                <c:pt idx="2774" formatCode="#,##0.000">
                  <c:v>#N/A</c:v>
                </c:pt>
                <c:pt idx="2775" formatCode="#,##0.000">
                  <c:v>#N/A</c:v>
                </c:pt>
                <c:pt idx="2776" formatCode="#,##0.000">
                  <c:v>#N/A</c:v>
                </c:pt>
                <c:pt idx="2777" formatCode="#,##0.000">
                  <c:v>#N/A</c:v>
                </c:pt>
                <c:pt idx="2778" formatCode="#,##0.000">
                  <c:v>#N/A</c:v>
                </c:pt>
                <c:pt idx="2779" formatCode="#,##0.000">
                  <c:v>#N/A</c:v>
                </c:pt>
                <c:pt idx="2780" formatCode="#,##0.000">
                  <c:v>#N/A</c:v>
                </c:pt>
                <c:pt idx="2781" formatCode="#,##0.000">
                  <c:v>#N/A</c:v>
                </c:pt>
                <c:pt idx="2782" formatCode="#,##0.000">
                  <c:v>#N/A</c:v>
                </c:pt>
                <c:pt idx="2783" formatCode="#,##0.000">
                  <c:v>#N/A</c:v>
                </c:pt>
                <c:pt idx="2784" formatCode="#,##0.000">
                  <c:v>#N/A</c:v>
                </c:pt>
                <c:pt idx="2785" formatCode="#,##0.000">
                  <c:v>#N/A</c:v>
                </c:pt>
                <c:pt idx="2786" formatCode="#,##0.000">
                  <c:v>#N/A</c:v>
                </c:pt>
                <c:pt idx="2787" formatCode="#,##0.000">
                  <c:v>#N/A</c:v>
                </c:pt>
                <c:pt idx="2788" formatCode="#,##0.000">
                  <c:v>#N/A</c:v>
                </c:pt>
                <c:pt idx="2789" formatCode="#,##0.000">
                  <c:v>#N/A</c:v>
                </c:pt>
                <c:pt idx="2790" formatCode="#,##0.000">
                  <c:v>#N/A</c:v>
                </c:pt>
                <c:pt idx="2791" formatCode="#,##0.000">
                  <c:v>#N/A</c:v>
                </c:pt>
                <c:pt idx="2792" formatCode="#,##0.000">
                  <c:v>#N/A</c:v>
                </c:pt>
                <c:pt idx="2793" formatCode="#,##0.000">
                  <c:v>#N/A</c:v>
                </c:pt>
                <c:pt idx="2794" formatCode="#,##0.000">
                  <c:v>#N/A</c:v>
                </c:pt>
                <c:pt idx="2795" formatCode="#,##0.000">
                  <c:v>#N/A</c:v>
                </c:pt>
                <c:pt idx="2796" formatCode="#,##0.000">
                  <c:v>#N/A</c:v>
                </c:pt>
                <c:pt idx="2797" formatCode="#,##0.000">
                  <c:v>#N/A</c:v>
                </c:pt>
                <c:pt idx="2798" formatCode="#,##0.000">
                  <c:v>#N/A</c:v>
                </c:pt>
                <c:pt idx="2799" formatCode="#,##0.000">
                  <c:v>#N/A</c:v>
                </c:pt>
                <c:pt idx="2800" formatCode="#,##0.000">
                  <c:v>#N/A</c:v>
                </c:pt>
                <c:pt idx="2801" formatCode="#,##0.000">
                  <c:v>#N/A</c:v>
                </c:pt>
                <c:pt idx="2802" formatCode="#,##0.000">
                  <c:v>#N/A</c:v>
                </c:pt>
                <c:pt idx="2803" formatCode="#,##0.000">
                  <c:v>#N/A</c:v>
                </c:pt>
                <c:pt idx="2804" formatCode="#,##0.000">
                  <c:v>#N/A</c:v>
                </c:pt>
                <c:pt idx="2805" formatCode="#,##0.000">
                  <c:v>#N/A</c:v>
                </c:pt>
                <c:pt idx="2806" formatCode="#,##0.000">
                  <c:v>#N/A</c:v>
                </c:pt>
                <c:pt idx="2807" formatCode="#,##0.000">
                  <c:v>#N/A</c:v>
                </c:pt>
                <c:pt idx="2808" formatCode="#,##0.000">
                  <c:v>#N/A</c:v>
                </c:pt>
                <c:pt idx="2809" formatCode="#,##0.000">
                  <c:v>#N/A</c:v>
                </c:pt>
                <c:pt idx="2810" formatCode="#,##0.000">
                  <c:v>#N/A</c:v>
                </c:pt>
                <c:pt idx="2811" formatCode="#,##0.000">
                  <c:v>#N/A</c:v>
                </c:pt>
                <c:pt idx="2812" formatCode="#,##0.000">
                  <c:v>#N/A</c:v>
                </c:pt>
                <c:pt idx="2813" formatCode="#,##0.000">
                  <c:v>#N/A</c:v>
                </c:pt>
                <c:pt idx="2814" formatCode="#,##0.000">
                  <c:v>#N/A</c:v>
                </c:pt>
                <c:pt idx="2815" formatCode="#,##0.000">
                  <c:v>#N/A</c:v>
                </c:pt>
                <c:pt idx="2816" formatCode="#,##0.000">
                  <c:v>#N/A</c:v>
                </c:pt>
                <c:pt idx="2817" formatCode="#,##0.000">
                  <c:v>#N/A</c:v>
                </c:pt>
                <c:pt idx="2818" formatCode="#,##0.000">
                  <c:v>#N/A</c:v>
                </c:pt>
                <c:pt idx="2819" formatCode="#,##0.000">
                  <c:v>#N/A</c:v>
                </c:pt>
                <c:pt idx="2820" formatCode="#,##0.000">
                  <c:v>#N/A</c:v>
                </c:pt>
                <c:pt idx="2821" formatCode="#,##0.000">
                  <c:v>#N/A</c:v>
                </c:pt>
                <c:pt idx="2822" formatCode="#,##0.000">
                  <c:v>#N/A</c:v>
                </c:pt>
                <c:pt idx="2823" formatCode="#,##0.000">
                  <c:v>#N/A</c:v>
                </c:pt>
                <c:pt idx="2824" formatCode="#,##0.000">
                  <c:v>#N/A</c:v>
                </c:pt>
                <c:pt idx="2825" formatCode="#,##0.000">
                  <c:v>#N/A</c:v>
                </c:pt>
                <c:pt idx="2826" formatCode="#,##0.000">
                  <c:v>#N/A</c:v>
                </c:pt>
                <c:pt idx="2827" formatCode="#,##0.000">
                  <c:v>#N/A</c:v>
                </c:pt>
                <c:pt idx="2828" formatCode="#,##0.000">
                  <c:v>#N/A</c:v>
                </c:pt>
                <c:pt idx="2829" formatCode="#,##0.000">
                  <c:v>#N/A</c:v>
                </c:pt>
                <c:pt idx="2830" formatCode="#,##0.000">
                  <c:v>#N/A</c:v>
                </c:pt>
                <c:pt idx="2831" formatCode="#,##0.000">
                  <c:v>#N/A</c:v>
                </c:pt>
                <c:pt idx="2832" formatCode="#,##0.000">
                  <c:v>#N/A</c:v>
                </c:pt>
                <c:pt idx="2833" formatCode="#,##0.000">
                  <c:v>#N/A</c:v>
                </c:pt>
                <c:pt idx="2834" formatCode="#,##0.000">
                  <c:v>#N/A</c:v>
                </c:pt>
                <c:pt idx="2835" formatCode="#,##0.000">
                  <c:v>#N/A</c:v>
                </c:pt>
                <c:pt idx="2836" formatCode="#,##0.000">
                  <c:v>#N/A</c:v>
                </c:pt>
                <c:pt idx="2837" formatCode="#,##0.000">
                  <c:v>#N/A</c:v>
                </c:pt>
                <c:pt idx="2838" formatCode="#,##0.000">
                  <c:v>#N/A</c:v>
                </c:pt>
                <c:pt idx="2839" formatCode="#,##0.000">
                  <c:v>#N/A</c:v>
                </c:pt>
                <c:pt idx="2840" formatCode="#,##0.000">
                  <c:v>#N/A</c:v>
                </c:pt>
                <c:pt idx="2841" formatCode="#,##0.000">
                  <c:v>#N/A</c:v>
                </c:pt>
                <c:pt idx="2842" formatCode="#,##0.000">
                  <c:v>#N/A</c:v>
                </c:pt>
                <c:pt idx="2843" formatCode="#,##0.000">
                  <c:v>#N/A</c:v>
                </c:pt>
                <c:pt idx="2844" formatCode="#,##0.000">
                  <c:v>#N/A</c:v>
                </c:pt>
                <c:pt idx="2845" formatCode="#,##0.000">
                  <c:v>#N/A</c:v>
                </c:pt>
                <c:pt idx="2846" formatCode="#,##0.000">
                  <c:v>#N/A</c:v>
                </c:pt>
                <c:pt idx="2847" formatCode="#,##0.000">
                  <c:v>#N/A</c:v>
                </c:pt>
                <c:pt idx="2848" formatCode="#,##0.000">
                  <c:v>#N/A</c:v>
                </c:pt>
                <c:pt idx="2849" formatCode="#,##0.000">
                  <c:v>#N/A</c:v>
                </c:pt>
                <c:pt idx="2850" formatCode="#,##0.000">
                  <c:v>#N/A</c:v>
                </c:pt>
                <c:pt idx="2851" formatCode="#,##0.000">
                  <c:v>#N/A</c:v>
                </c:pt>
                <c:pt idx="2852" formatCode="#,##0.000">
                  <c:v>#N/A</c:v>
                </c:pt>
                <c:pt idx="2853" formatCode="#,##0.000">
                  <c:v>#N/A</c:v>
                </c:pt>
                <c:pt idx="2854" formatCode="#,##0.000">
                  <c:v>#N/A</c:v>
                </c:pt>
                <c:pt idx="2855" formatCode="#,##0.000">
                  <c:v>#N/A</c:v>
                </c:pt>
                <c:pt idx="2856" formatCode="#,##0.000">
                  <c:v>#N/A</c:v>
                </c:pt>
                <c:pt idx="2857" formatCode="#,##0.000">
                  <c:v>#N/A</c:v>
                </c:pt>
                <c:pt idx="2858" formatCode="#,##0.000">
                  <c:v>#N/A</c:v>
                </c:pt>
                <c:pt idx="2859" formatCode="#,##0.000">
                  <c:v>#N/A</c:v>
                </c:pt>
                <c:pt idx="2860" formatCode="#,##0.000">
                  <c:v>#N/A</c:v>
                </c:pt>
                <c:pt idx="2861" formatCode="#,##0.000">
                  <c:v>#N/A</c:v>
                </c:pt>
                <c:pt idx="2862" formatCode="#,##0.000">
                  <c:v>#N/A</c:v>
                </c:pt>
                <c:pt idx="2863" formatCode="#,##0.000">
                  <c:v>#N/A</c:v>
                </c:pt>
                <c:pt idx="2864" formatCode="#,##0.000">
                  <c:v>#N/A</c:v>
                </c:pt>
                <c:pt idx="2865" formatCode="#,##0.000">
                  <c:v>#N/A</c:v>
                </c:pt>
                <c:pt idx="2866" formatCode="#,##0.000">
                  <c:v>#N/A</c:v>
                </c:pt>
                <c:pt idx="2867" formatCode="#,##0.000">
                  <c:v>#N/A</c:v>
                </c:pt>
                <c:pt idx="2868" formatCode="#,##0.000">
                  <c:v>#N/A</c:v>
                </c:pt>
                <c:pt idx="2869" formatCode="#,##0.000">
                  <c:v>#N/A</c:v>
                </c:pt>
                <c:pt idx="2870" formatCode="#,##0.000">
                  <c:v>#N/A</c:v>
                </c:pt>
                <c:pt idx="2871" formatCode="#,##0.000">
                  <c:v>#N/A</c:v>
                </c:pt>
                <c:pt idx="2872" formatCode="#,##0.000">
                  <c:v>#N/A</c:v>
                </c:pt>
                <c:pt idx="2873" formatCode="#,##0.000">
                  <c:v>#N/A</c:v>
                </c:pt>
                <c:pt idx="2874" formatCode="#,##0.000">
                  <c:v>#N/A</c:v>
                </c:pt>
                <c:pt idx="2875" formatCode="#,##0.000">
                  <c:v>#N/A</c:v>
                </c:pt>
                <c:pt idx="2876" formatCode="#,##0.000">
                  <c:v>#N/A</c:v>
                </c:pt>
                <c:pt idx="2877" formatCode="#,##0.000">
                  <c:v>#N/A</c:v>
                </c:pt>
                <c:pt idx="2878" formatCode="#,##0.000">
                  <c:v>#N/A</c:v>
                </c:pt>
                <c:pt idx="2879" formatCode="#,##0.000">
                  <c:v>#N/A</c:v>
                </c:pt>
                <c:pt idx="2880" formatCode="#,##0.000">
                  <c:v>#N/A</c:v>
                </c:pt>
                <c:pt idx="2881" formatCode="#,##0.000">
                  <c:v>#N/A</c:v>
                </c:pt>
                <c:pt idx="2882" formatCode="#,##0.000">
                  <c:v>#N/A</c:v>
                </c:pt>
                <c:pt idx="2883" formatCode="#,##0.000">
                  <c:v>#N/A</c:v>
                </c:pt>
                <c:pt idx="2884" formatCode="#,##0.000">
                  <c:v>#N/A</c:v>
                </c:pt>
                <c:pt idx="2885" formatCode="#,##0.000">
                  <c:v>#N/A</c:v>
                </c:pt>
                <c:pt idx="2886" formatCode="#,##0.000">
                  <c:v>#N/A</c:v>
                </c:pt>
                <c:pt idx="2887" formatCode="#,##0.000">
                  <c:v>#N/A</c:v>
                </c:pt>
                <c:pt idx="2888" formatCode="#,##0.000">
                  <c:v>#N/A</c:v>
                </c:pt>
                <c:pt idx="2889" formatCode="#,##0.000">
                  <c:v>#N/A</c:v>
                </c:pt>
                <c:pt idx="2890" formatCode="#,##0.000">
                  <c:v>#N/A</c:v>
                </c:pt>
                <c:pt idx="2891" formatCode="#,##0.000">
                  <c:v>#N/A</c:v>
                </c:pt>
                <c:pt idx="2892" formatCode="#,##0.000">
                  <c:v>#N/A</c:v>
                </c:pt>
                <c:pt idx="2893" formatCode="#,##0.000">
                  <c:v>#N/A</c:v>
                </c:pt>
                <c:pt idx="2894" formatCode="#,##0.000">
                  <c:v>#N/A</c:v>
                </c:pt>
                <c:pt idx="2895" formatCode="#,##0.000">
                  <c:v>#N/A</c:v>
                </c:pt>
                <c:pt idx="2896" formatCode="#,##0.000">
                  <c:v>#N/A</c:v>
                </c:pt>
                <c:pt idx="2897" formatCode="#,##0.000">
                  <c:v>#N/A</c:v>
                </c:pt>
                <c:pt idx="2898" formatCode="#,##0.000">
                  <c:v>#N/A</c:v>
                </c:pt>
                <c:pt idx="2899" formatCode="#,##0.000">
                  <c:v>#N/A</c:v>
                </c:pt>
                <c:pt idx="2900" formatCode="#,##0.000">
                  <c:v>#N/A</c:v>
                </c:pt>
                <c:pt idx="2901" formatCode="#,##0.000">
                  <c:v>#N/A</c:v>
                </c:pt>
                <c:pt idx="2902" formatCode="#,##0.000">
                  <c:v>#N/A</c:v>
                </c:pt>
                <c:pt idx="2903" formatCode="#,##0.000">
                  <c:v>#N/A</c:v>
                </c:pt>
                <c:pt idx="2904" formatCode="#,##0.000">
                  <c:v>#N/A</c:v>
                </c:pt>
                <c:pt idx="2905" formatCode="#,##0.000">
                  <c:v>#N/A</c:v>
                </c:pt>
                <c:pt idx="2906" formatCode="#,##0.000">
                  <c:v>#N/A</c:v>
                </c:pt>
                <c:pt idx="2907" formatCode="#,##0.000">
                  <c:v>#N/A</c:v>
                </c:pt>
                <c:pt idx="2908" formatCode="#,##0.000">
                  <c:v>#N/A</c:v>
                </c:pt>
                <c:pt idx="2909" formatCode="#,##0.000">
                  <c:v>#N/A</c:v>
                </c:pt>
                <c:pt idx="2910" formatCode="#,##0.000">
                  <c:v>#N/A</c:v>
                </c:pt>
                <c:pt idx="2911" formatCode="#,##0.000">
                  <c:v>#N/A</c:v>
                </c:pt>
                <c:pt idx="2912" formatCode="#,##0.000">
                  <c:v>#N/A</c:v>
                </c:pt>
                <c:pt idx="2913" formatCode="#,##0.000">
                  <c:v>#N/A</c:v>
                </c:pt>
                <c:pt idx="2914" formatCode="#,##0.000">
                  <c:v>#N/A</c:v>
                </c:pt>
                <c:pt idx="2915" formatCode="#,##0.000">
                  <c:v>#N/A</c:v>
                </c:pt>
                <c:pt idx="2916" formatCode="#,##0.000">
                  <c:v>#N/A</c:v>
                </c:pt>
                <c:pt idx="2917" formatCode="#,##0.000">
                  <c:v>#N/A</c:v>
                </c:pt>
                <c:pt idx="2918" formatCode="#,##0.000">
                  <c:v>#N/A</c:v>
                </c:pt>
                <c:pt idx="2919" formatCode="#,##0.000">
                  <c:v>#N/A</c:v>
                </c:pt>
                <c:pt idx="2920" formatCode="#,##0.000">
                  <c:v>#N/A</c:v>
                </c:pt>
                <c:pt idx="2921" formatCode="#,##0.000">
                  <c:v>#N/A</c:v>
                </c:pt>
                <c:pt idx="2922" formatCode="#,##0.000">
                  <c:v>#N/A</c:v>
                </c:pt>
                <c:pt idx="2923" formatCode="#,##0.000">
                  <c:v>#N/A</c:v>
                </c:pt>
                <c:pt idx="2924" formatCode="#,##0.000">
                  <c:v>#N/A</c:v>
                </c:pt>
                <c:pt idx="2925" formatCode="#,##0.000">
                  <c:v>#N/A</c:v>
                </c:pt>
                <c:pt idx="2926" formatCode="#,##0.000">
                  <c:v>#N/A</c:v>
                </c:pt>
                <c:pt idx="2927" formatCode="#,##0.000">
                  <c:v>#N/A</c:v>
                </c:pt>
                <c:pt idx="2928" formatCode="#,##0.000">
                  <c:v>#N/A</c:v>
                </c:pt>
                <c:pt idx="2929" formatCode="#,##0.000">
                  <c:v>#N/A</c:v>
                </c:pt>
                <c:pt idx="2930" formatCode="#,##0.000">
                  <c:v>#N/A</c:v>
                </c:pt>
                <c:pt idx="2931" formatCode="#,##0.000">
                  <c:v>#N/A</c:v>
                </c:pt>
                <c:pt idx="2932" formatCode="#,##0.000">
                  <c:v>#N/A</c:v>
                </c:pt>
                <c:pt idx="2933" formatCode="#,##0.000">
                  <c:v>#N/A</c:v>
                </c:pt>
                <c:pt idx="2934" formatCode="#,##0.000">
                  <c:v>#N/A</c:v>
                </c:pt>
                <c:pt idx="2935" formatCode="#,##0.000">
                  <c:v>#N/A</c:v>
                </c:pt>
                <c:pt idx="2936" formatCode="#,##0.000">
                  <c:v>#N/A</c:v>
                </c:pt>
                <c:pt idx="2937" formatCode="#,##0.000">
                  <c:v>#N/A</c:v>
                </c:pt>
                <c:pt idx="2938" formatCode="#,##0.000">
                  <c:v>#N/A</c:v>
                </c:pt>
                <c:pt idx="2939" formatCode="#,##0.000">
                  <c:v>#N/A</c:v>
                </c:pt>
                <c:pt idx="2940" formatCode="#,##0.000">
                  <c:v>#N/A</c:v>
                </c:pt>
                <c:pt idx="2941" formatCode="#,##0.000">
                  <c:v>#N/A</c:v>
                </c:pt>
                <c:pt idx="2942" formatCode="#,##0.000">
                  <c:v>#N/A</c:v>
                </c:pt>
                <c:pt idx="2943" formatCode="#,##0.000">
                  <c:v>#N/A</c:v>
                </c:pt>
                <c:pt idx="2944" formatCode="#,##0.000">
                  <c:v>#N/A</c:v>
                </c:pt>
                <c:pt idx="2945" formatCode="#,##0.000">
                  <c:v>#N/A</c:v>
                </c:pt>
                <c:pt idx="2946" formatCode="#,##0.000">
                  <c:v>#N/A</c:v>
                </c:pt>
                <c:pt idx="2947" formatCode="#,##0.000">
                  <c:v>#N/A</c:v>
                </c:pt>
                <c:pt idx="2948" formatCode="#,##0.000">
                  <c:v>#N/A</c:v>
                </c:pt>
                <c:pt idx="2949" formatCode="#,##0.000">
                  <c:v>#N/A</c:v>
                </c:pt>
                <c:pt idx="2950" formatCode="#,##0.000">
                  <c:v>#N/A</c:v>
                </c:pt>
                <c:pt idx="2951" formatCode="#,##0.000">
                  <c:v>#N/A</c:v>
                </c:pt>
                <c:pt idx="2952" formatCode="#,##0.000">
                  <c:v>#N/A</c:v>
                </c:pt>
                <c:pt idx="2953" formatCode="#,##0.000">
                  <c:v>#N/A</c:v>
                </c:pt>
                <c:pt idx="2954" formatCode="#,##0.000">
                  <c:v>#N/A</c:v>
                </c:pt>
                <c:pt idx="2955" formatCode="#,##0.000">
                  <c:v>#N/A</c:v>
                </c:pt>
                <c:pt idx="2956" formatCode="#,##0.000">
                  <c:v>#N/A</c:v>
                </c:pt>
                <c:pt idx="2957" formatCode="#,##0.000">
                  <c:v>#N/A</c:v>
                </c:pt>
                <c:pt idx="2958" formatCode="#,##0.000">
                  <c:v>#N/A</c:v>
                </c:pt>
                <c:pt idx="2959" formatCode="#,##0.000">
                  <c:v>#N/A</c:v>
                </c:pt>
                <c:pt idx="2960" formatCode="#,##0.000">
                  <c:v>#N/A</c:v>
                </c:pt>
                <c:pt idx="2961" formatCode="#,##0.000">
                  <c:v>#N/A</c:v>
                </c:pt>
                <c:pt idx="2962" formatCode="#,##0.000">
                  <c:v>#N/A</c:v>
                </c:pt>
                <c:pt idx="2963" formatCode="#,##0.000">
                  <c:v>#N/A</c:v>
                </c:pt>
                <c:pt idx="2964" formatCode="#,##0.000">
                  <c:v>#N/A</c:v>
                </c:pt>
                <c:pt idx="2965" formatCode="#,##0.000">
                  <c:v>#N/A</c:v>
                </c:pt>
                <c:pt idx="2966" formatCode="#,##0.000">
                  <c:v>#N/A</c:v>
                </c:pt>
                <c:pt idx="2967" formatCode="#,##0.000">
                  <c:v>#N/A</c:v>
                </c:pt>
                <c:pt idx="2968" formatCode="#,##0.000">
                  <c:v>#N/A</c:v>
                </c:pt>
                <c:pt idx="2969" formatCode="#,##0.000">
                  <c:v>#N/A</c:v>
                </c:pt>
                <c:pt idx="2970" formatCode="#,##0.000">
                  <c:v>#N/A</c:v>
                </c:pt>
                <c:pt idx="2971" formatCode="#,##0.000">
                  <c:v>#N/A</c:v>
                </c:pt>
                <c:pt idx="2972" formatCode="#,##0.000">
                  <c:v>#N/A</c:v>
                </c:pt>
                <c:pt idx="2973" formatCode="#,##0.000">
                  <c:v>#N/A</c:v>
                </c:pt>
                <c:pt idx="2974" formatCode="#,##0.000">
                  <c:v>#N/A</c:v>
                </c:pt>
                <c:pt idx="2975" formatCode="#,##0.000">
                  <c:v>#N/A</c:v>
                </c:pt>
                <c:pt idx="2976" formatCode="#,##0.000">
                  <c:v>#N/A</c:v>
                </c:pt>
                <c:pt idx="2977" formatCode="#,##0.000">
                  <c:v>#N/A</c:v>
                </c:pt>
                <c:pt idx="2978" formatCode="#,##0.000">
                  <c:v>#N/A</c:v>
                </c:pt>
                <c:pt idx="2979" formatCode="#,##0.000">
                  <c:v>#N/A</c:v>
                </c:pt>
                <c:pt idx="2980" formatCode="#,##0.000">
                  <c:v>#N/A</c:v>
                </c:pt>
                <c:pt idx="2981" formatCode="#,##0.000">
                  <c:v>#N/A</c:v>
                </c:pt>
                <c:pt idx="2982" formatCode="#,##0.000">
                  <c:v>#N/A</c:v>
                </c:pt>
                <c:pt idx="2983" formatCode="#,##0.000">
                  <c:v>#N/A</c:v>
                </c:pt>
                <c:pt idx="2984" formatCode="#,##0.000">
                  <c:v>#N/A</c:v>
                </c:pt>
                <c:pt idx="2985" formatCode="#,##0.000">
                  <c:v>#N/A</c:v>
                </c:pt>
                <c:pt idx="2986" formatCode="#,##0.000">
                  <c:v>#N/A</c:v>
                </c:pt>
                <c:pt idx="2987" formatCode="#,##0.000">
                  <c:v>#N/A</c:v>
                </c:pt>
                <c:pt idx="2988" formatCode="#,##0.000">
                  <c:v>#N/A</c:v>
                </c:pt>
                <c:pt idx="2989" formatCode="#,##0.000">
                  <c:v>#N/A</c:v>
                </c:pt>
                <c:pt idx="2990" formatCode="#,##0.000">
                  <c:v>#N/A</c:v>
                </c:pt>
                <c:pt idx="2991" formatCode="#,##0.000">
                  <c:v>#N/A</c:v>
                </c:pt>
                <c:pt idx="2992" formatCode="#,##0.000">
                  <c:v>#N/A</c:v>
                </c:pt>
                <c:pt idx="2993" formatCode="#,##0.000">
                  <c:v>#N/A</c:v>
                </c:pt>
                <c:pt idx="2994" formatCode="#,##0.000">
                  <c:v>#N/A</c:v>
                </c:pt>
                <c:pt idx="2995" formatCode="#,##0.000">
                  <c:v>#N/A</c:v>
                </c:pt>
                <c:pt idx="2996" formatCode="#,##0.000">
                  <c:v>#N/A</c:v>
                </c:pt>
                <c:pt idx="2997" formatCode="#,##0.000">
                  <c:v>#N/A</c:v>
                </c:pt>
                <c:pt idx="2998" formatCode="#,##0.000">
                  <c:v>#N/A</c:v>
                </c:pt>
                <c:pt idx="2999" formatCode="#,##0.000">
                  <c:v>#N/A</c:v>
                </c:pt>
                <c:pt idx="3000" formatCode="#,##0.000">
                  <c:v>#N/A</c:v>
                </c:pt>
                <c:pt idx="3001" formatCode="#,##0.000">
                  <c:v>#N/A</c:v>
                </c:pt>
                <c:pt idx="3002" formatCode="#,##0.000">
                  <c:v>#N/A</c:v>
                </c:pt>
                <c:pt idx="3003" formatCode="#,##0.000">
                  <c:v>#N/A</c:v>
                </c:pt>
                <c:pt idx="3004" formatCode="#,##0.000">
                  <c:v>#N/A</c:v>
                </c:pt>
                <c:pt idx="3005" formatCode="#,##0.000">
                  <c:v>#N/A</c:v>
                </c:pt>
                <c:pt idx="3006" formatCode="#,##0.000">
                  <c:v>#N/A</c:v>
                </c:pt>
                <c:pt idx="3007" formatCode="#,##0.000">
                  <c:v>#N/A</c:v>
                </c:pt>
                <c:pt idx="3008" formatCode="#,##0.000">
                  <c:v>#N/A</c:v>
                </c:pt>
                <c:pt idx="3009" formatCode="#,##0.000">
                  <c:v>#N/A</c:v>
                </c:pt>
                <c:pt idx="3010" formatCode="#,##0.000">
                  <c:v>#N/A</c:v>
                </c:pt>
                <c:pt idx="3011" formatCode="#,##0.000">
                  <c:v>#N/A</c:v>
                </c:pt>
                <c:pt idx="3012" formatCode="#,##0.000">
                  <c:v>#N/A</c:v>
                </c:pt>
                <c:pt idx="3013" formatCode="#,##0.000">
                  <c:v>#N/A</c:v>
                </c:pt>
                <c:pt idx="3014" formatCode="#,##0.000">
                  <c:v>#N/A</c:v>
                </c:pt>
                <c:pt idx="3015" formatCode="#,##0.000">
                  <c:v>#N/A</c:v>
                </c:pt>
                <c:pt idx="3016" formatCode="#,##0.000">
                  <c:v>#N/A</c:v>
                </c:pt>
                <c:pt idx="3017" formatCode="#,##0.000">
                  <c:v>#N/A</c:v>
                </c:pt>
                <c:pt idx="3018" formatCode="#,##0.000">
                  <c:v>#N/A</c:v>
                </c:pt>
                <c:pt idx="3019" formatCode="#,##0.000">
                  <c:v>#N/A</c:v>
                </c:pt>
                <c:pt idx="3020" formatCode="#,##0.000">
                  <c:v>#N/A</c:v>
                </c:pt>
                <c:pt idx="3021" formatCode="#,##0.000">
                  <c:v>#N/A</c:v>
                </c:pt>
                <c:pt idx="3022" formatCode="#,##0.000">
                  <c:v>#N/A</c:v>
                </c:pt>
                <c:pt idx="3023" formatCode="#,##0.000">
                  <c:v>#N/A</c:v>
                </c:pt>
                <c:pt idx="3024" formatCode="#,##0.000">
                  <c:v>#N/A</c:v>
                </c:pt>
                <c:pt idx="3025" formatCode="#,##0.000">
                  <c:v>#N/A</c:v>
                </c:pt>
                <c:pt idx="3026" formatCode="#,##0.000">
                  <c:v>#N/A</c:v>
                </c:pt>
                <c:pt idx="3027" formatCode="#,##0.000">
                  <c:v>#N/A</c:v>
                </c:pt>
                <c:pt idx="3028" formatCode="#,##0.000">
                  <c:v>#N/A</c:v>
                </c:pt>
                <c:pt idx="3029" formatCode="#,##0.000">
                  <c:v>#N/A</c:v>
                </c:pt>
                <c:pt idx="3030" formatCode="#,##0.000">
                  <c:v>#N/A</c:v>
                </c:pt>
                <c:pt idx="3031" formatCode="#,##0.000">
                  <c:v>#N/A</c:v>
                </c:pt>
                <c:pt idx="3032" formatCode="#,##0.000">
                  <c:v>#N/A</c:v>
                </c:pt>
                <c:pt idx="3033" formatCode="#,##0.000">
                  <c:v>#N/A</c:v>
                </c:pt>
                <c:pt idx="3034" formatCode="#,##0.000">
                  <c:v>#N/A</c:v>
                </c:pt>
                <c:pt idx="3035" formatCode="#,##0.000">
                  <c:v>#N/A</c:v>
                </c:pt>
                <c:pt idx="3036" formatCode="#,##0.000">
                  <c:v>#N/A</c:v>
                </c:pt>
                <c:pt idx="3037" formatCode="#,##0.000">
                  <c:v>#N/A</c:v>
                </c:pt>
                <c:pt idx="3038" formatCode="#,##0.000">
                  <c:v>#N/A</c:v>
                </c:pt>
                <c:pt idx="3039" formatCode="#,##0.000">
                  <c:v>#N/A</c:v>
                </c:pt>
                <c:pt idx="3040" formatCode="#,##0.000">
                  <c:v>#N/A</c:v>
                </c:pt>
                <c:pt idx="3041" formatCode="#,##0.000">
                  <c:v>#N/A</c:v>
                </c:pt>
                <c:pt idx="3042" formatCode="#,##0.000">
                  <c:v>#N/A</c:v>
                </c:pt>
                <c:pt idx="3043" formatCode="#,##0.000">
                  <c:v>#N/A</c:v>
                </c:pt>
                <c:pt idx="3044" formatCode="#,##0.000">
                  <c:v>#N/A</c:v>
                </c:pt>
                <c:pt idx="3045" formatCode="#,##0.000">
                  <c:v>#N/A</c:v>
                </c:pt>
                <c:pt idx="3046" formatCode="#,##0.000">
                  <c:v>#N/A</c:v>
                </c:pt>
                <c:pt idx="3047" formatCode="#,##0.000">
                  <c:v>#N/A</c:v>
                </c:pt>
                <c:pt idx="3048" formatCode="#,##0.000">
                  <c:v>#N/A</c:v>
                </c:pt>
                <c:pt idx="3049" formatCode="#,##0.000">
                  <c:v>#N/A</c:v>
                </c:pt>
                <c:pt idx="3050" formatCode="#,##0.000">
                  <c:v>#N/A</c:v>
                </c:pt>
                <c:pt idx="3051" formatCode="#,##0.000">
                  <c:v>#N/A</c:v>
                </c:pt>
                <c:pt idx="3052" formatCode="#,##0.000">
                  <c:v>#N/A</c:v>
                </c:pt>
                <c:pt idx="3053" formatCode="#,##0.000">
                  <c:v>#N/A</c:v>
                </c:pt>
                <c:pt idx="3054" formatCode="#,##0.000">
                  <c:v>#N/A</c:v>
                </c:pt>
                <c:pt idx="3055" formatCode="#,##0.000">
                  <c:v>#N/A</c:v>
                </c:pt>
                <c:pt idx="3056" formatCode="#,##0.000">
                  <c:v>#N/A</c:v>
                </c:pt>
                <c:pt idx="3057" formatCode="#,##0.000">
                  <c:v>#N/A</c:v>
                </c:pt>
                <c:pt idx="3058" formatCode="#,##0.000">
                  <c:v>#N/A</c:v>
                </c:pt>
                <c:pt idx="3059" formatCode="#,##0.000">
                  <c:v>#N/A</c:v>
                </c:pt>
                <c:pt idx="3060" formatCode="#,##0.000">
                  <c:v>#N/A</c:v>
                </c:pt>
                <c:pt idx="3061" formatCode="#,##0.000">
                  <c:v>#N/A</c:v>
                </c:pt>
                <c:pt idx="3062" formatCode="#,##0.000">
                  <c:v>#N/A</c:v>
                </c:pt>
                <c:pt idx="3063" formatCode="#,##0.000">
                  <c:v>#N/A</c:v>
                </c:pt>
                <c:pt idx="3064" formatCode="#,##0.000">
                  <c:v>#N/A</c:v>
                </c:pt>
                <c:pt idx="3065" formatCode="#,##0.000">
                  <c:v>#N/A</c:v>
                </c:pt>
                <c:pt idx="3066" formatCode="#,##0.000">
                  <c:v>#N/A</c:v>
                </c:pt>
                <c:pt idx="3067" formatCode="#,##0.000">
                  <c:v>#N/A</c:v>
                </c:pt>
                <c:pt idx="3068" formatCode="#,##0.000">
                  <c:v>#N/A</c:v>
                </c:pt>
                <c:pt idx="3069" formatCode="#,##0.000">
                  <c:v>#N/A</c:v>
                </c:pt>
                <c:pt idx="3070" formatCode="#,##0.000">
                  <c:v>#N/A</c:v>
                </c:pt>
                <c:pt idx="3071" formatCode="#,##0.000">
                  <c:v>#N/A</c:v>
                </c:pt>
                <c:pt idx="3072" formatCode="#,##0.000">
                  <c:v>#N/A</c:v>
                </c:pt>
                <c:pt idx="3073" formatCode="#,##0.000">
                  <c:v>#N/A</c:v>
                </c:pt>
                <c:pt idx="3074" formatCode="#,##0.000">
                  <c:v>#N/A</c:v>
                </c:pt>
                <c:pt idx="3075" formatCode="#,##0.000">
                  <c:v>#N/A</c:v>
                </c:pt>
                <c:pt idx="3076" formatCode="#,##0.000">
                  <c:v>#N/A</c:v>
                </c:pt>
                <c:pt idx="3077" formatCode="#,##0.000">
                  <c:v>#N/A</c:v>
                </c:pt>
                <c:pt idx="3078" formatCode="#,##0.000">
                  <c:v>#N/A</c:v>
                </c:pt>
                <c:pt idx="3079" formatCode="#,##0.000">
                  <c:v>#N/A</c:v>
                </c:pt>
                <c:pt idx="3080" formatCode="#,##0.000">
                  <c:v>#N/A</c:v>
                </c:pt>
                <c:pt idx="3081" formatCode="#,##0.000">
                  <c:v>#N/A</c:v>
                </c:pt>
                <c:pt idx="3082" formatCode="#,##0.000">
                  <c:v>#N/A</c:v>
                </c:pt>
                <c:pt idx="3083" formatCode="#,##0.000">
                  <c:v>#N/A</c:v>
                </c:pt>
                <c:pt idx="3084" formatCode="#,##0.000">
                  <c:v>#N/A</c:v>
                </c:pt>
                <c:pt idx="3085" formatCode="#,##0.000">
                  <c:v>#N/A</c:v>
                </c:pt>
                <c:pt idx="3086" formatCode="#,##0.000">
                  <c:v>#N/A</c:v>
                </c:pt>
                <c:pt idx="3087" formatCode="#,##0.000">
                  <c:v>#N/A</c:v>
                </c:pt>
                <c:pt idx="3088" formatCode="#,##0.000">
                  <c:v>#N/A</c:v>
                </c:pt>
                <c:pt idx="3089" formatCode="#,##0.000">
                  <c:v>#N/A</c:v>
                </c:pt>
                <c:pt idx="3090" formatCode="#,##0.000">
                  <c:v>#N/A</c:v>
                </c:pt>
                <c:pt idx="3091" formatCode="#,##0.000">
                  <c:v>#N/A</c:v>
                </c:pt>
                <c:pt idx="3092" formatCode="#,##0.000">
                  <c:v>#N/A</c:v>
                </c:pt>
                <c:pt idx="3093" formatCode="#,##0.000">
                  <c:v>#N/A</c:v>
                </c:pt>
                <c:pt idx="3094" formatCode="#,##0.000">
                  <c:v>#N/A</c:v>
                </c:pt>
                <c:pt idx="3095" formatCode="#,##0.000">
                  <c:v>#N/A</c:v>
                </c:pt>
                <c:pt idx="3096" formatCode="#,##0.000">
                  <c:v>#N/A</c:v>
                </c:pt>
                <c:pt idx="3097" formatCode="#,##0.000">
                  <c:v>#N/A</c:v>
                </c:pt>
                <c:pt idx="3098" formatCode="#,##0.000">
                  <c:v>#N/A</c:v>
                </c:pt>
                <c:pt idx="3099" formatCode="#,##0.000">
                  <c:v>#N/A</c:v>
                </c:pt>
                <c:pt idx="3100" formatCode="#,##0.000">
                  <c:v>#N/A</c:v>
                </c:pt>
                <c:pt idx="3101" formatCode="#,##0.000">
                  <c:v>#N/A</c:v>
                </c:pt>
                <c:pt idx="3102" formatCode="#,##0.000">
                  <c:v>#N/A</c:v>
                </c:pt>
                <c:pt idx="3103" formatCode="#,##0.000">
                  <c:v>#N/A</c:v>
                </c:pt>
                <c:pt idx="3104" formatCode="#,##0.000">
                  <c:v>#N/A</c:v>
                </c:pt>
                <c:pt idx="3105" formatCode="#,##0.000">
                  <c:v>#N/A</c:v>
                </c:pt>
                <c:pt idx="3106" formatCode="#,##0.000">
                  <c:v>#N/A</c:v>
                </c:pt>
                <c:pt idx="3107" formatCode="#,##0.000">
                  <c:v>#N/A</c:v>
                </c:pt>
                <c:pt idx="3108" formatCode="#,##0.000">
                  <c:v>#N/A</c:v>
                </c:pt>
                <c:pt idx="3109" formatCode="#,##0.000">
                  <c:v>#N/A</c:v>
                </c:pt>
                <c:pt idx="3110" formatCode="#,##0.000">
                  <c:v>#N/A</c:v>
                </c:pt>
                <c:pt idx="3111" formatCode="#,##0.000">
                  <c:v>#N/A</c:v>
                </c:pt>
                <c:pt idx="3112" formatCode="#,##0.000">
                  <c:v>#N/A</c:v>
                </c:pt>
                <c:pt idx="3113" formatCode="#,##0.000">
                  <c:v>#N/A</c:v>
                </c:pt>
                <c:pt idx="3114" formatCode="#,##0.000">
                  <c:v>#N/A</c:v>
                </c:pt>
                <c:pt idx="3115" formatCode="#,##0.000">
                  <c:v>#N/A</c:v>
                </c:pt>
                <c:pt idx="3116" formatCode="#,##0.000">
                  <c:v>#N/A</c:v>
                </c:pt>
                <c:pt idx="3117" formatCode="#,##0.000">
                  <c:v>#N/A</c:v>
                </c:pt>
                <c:pt idx="3118" formatCode="#,##0.000">
                  <c:v>#N/A</c:v>
                </c:pt>
                <c:pt idx="3119" formatCode="#,##0.000">
                  <c:v>#N/A</c:v>
                </c:pt>
                <c:pt idx="3120" formatCode="#,##0.000">
                  <c:v>#N/A</c:v>
                </c:pt>
                <c:pt idx="3121" formatCode="#,##0.000">
                  <c:v>#N/A</c:v>
                </c:pt>
                <c:pt idx="3122" formatCode="#,##0.000">
                  <c:v>#N/A</c:v>
                </c:pt>
                <c:pt idx="3123" formatCode="#,##0.000">
                  <c:v>#N/A</c:v>
                </c:pt>
                <c:pt idx="3124" formatCode="#,##0.000">
                  <c:v>#N/A</c:v>
                </c:pt>
                <c:pt idx="3125" formatCode="#,##0.000">
                  <c:v>#N/A</c:v>
                </c:pt>
                <c:pt idx="3126" formatCode="#,##0.000">
                  <c:v>#N/A</c:v>
                </c:pt>
                <c:pt idx="3127" formatCode="#,##0.000">
                  <c:v>#N/A</c:v>
                </c:pt>
                <c:pt idx="3128" formatCode="#,##0.000">
                  <c:v>#N/A</c:v>
                </c:pt>
                <c:pt idx="3129" formatCode="#,##0.000">
                  <c:v>#N/A</c:v>
                </c:pt>
                <c:pt idx="3130" formatCode="#,##0.000">
                  <c:v>#N/A</c:v>
                </c:pt>
                <c:pt idx="3131" formatCode="#,##0.000">
                  <c:v>#N/A</c:v>
                </c:pt>
                <c:pt idx="3132" formatCode="#,##0.000">
                  <c:v>#N/A</c:v>
                </c:pt>
                <c:pt idx="3133" formatCode="#,##0.000">
                  <c:v>#N/A</c:v>
                </c:pt>
                <c:pt idx="3134" formatCode="#,##0.000">
                  <c:v>#N/A</c:v>
                </c:pt>
                <c:pt idx="3135" formatCode="#,##0.000">
                  <c:v>#N/A</c:v>
                </c:pt>
                <c:pt idx="3136" formatCode="#,##0.000">
                  <c:v>#N/A</c:v>
                </c:pt>
                <c:pt idx="3137" formatCode="#,##0.000">
                  <c:v>#N/A</c:v>
                </c:pt>
                <c:pt idx="3138" formatCode="#,##0.000">
                  <c:v>#N/A</c:v>
                </c:pt>
                <c:pt idx="3139" formatCode="#,##0.000">
                  <c:v>#N/A</c:v>
                </c:pt>
                <c:pt idx="3140" formatCode="#,##0.000">
                  <c:v>#N/A</c:v>
                </c:pt>
                <c:pt idx="3141" formatCode="#,##0.000">
                  <c:v>#N/A</c:v>
                </c:pt>
                <c:pt idx="3142" formatCode="#,##0.000">
                  <c:v>#N/A</c:v>
                </c:pt>
                <c:pt idx="3143" formatCode="#,##0.000">
                  <c:v>#N/A</c:v>
                </c:pt>
                <c:pt idx="3144" formatCode="#,##0.000">
                  <c:v>#N/A</c:v>
                </c:pt>
                <c:pt idx="3145" formatCode="#,##0.000">
                  <c:v>#N/A</c:v>
                </c:pt>
                <c:pt idx="3146" formatCode="#,##0.000">
                  <c:v>#N/A</c:v>
                </c:pt>
                <c:pt idx="3147" formatCode="#,##0.000">
                  <c:v>#N/A</c:v>
                </c:pt>
                <c:pt idx="3148" formatCode="#,##0.000">
                  <c:v>#N/A</c:v>
                </c:pt>
                <c:pt idx="3149" formatCode="#,##0.000">
                  <c:v>#N/A</c:v>
                </c:pt>
                <c:pt idx="3150" formatCode="#,##0.000">
                  <c:v>#N/A</c:v>
                </c:pt>
                <c:pt idx="3151" formatCode="#,##0.000">
                  <c:v>#N/A</c:v>
                </c:pt>
                <c:pt idx="3152" formatCode="#,##0.000">
                  <c:v>#N/A</c:v>
                </c:pt>
                <c:pt idx="3153" formatCode="#,##0.000">
                  <c:v>#N/A</c:v>
                </c:pt>
                <c:pt idx="3154" formatCode="#,##0.000">
                  <c:v>#N/A</c:v>
                </c:pt>
                <c:pt idx="3155" formatCode="#,##0.000">
                  <c:v>#N/A</c:v>
                </c:pt>
                <c:pt idx="3156" formatCode="#,##0.000">
                  <c:v>#N/A</c:v>
                </c:pt>
                <c:pt idx="3157" formatCode="#,##0.000">
                  <c:v>#N/A</c:v>
                </c:pt>
                <c:pt idx="3158" formatCode="#,##0.000">
                  <c:v>#N/A</c:v>
                </c:pt>
                <c:pt idx="3159" formatCode="#,##0.000">
                  <c:v>#N/A</c:v>
                </c:pt>
                <c:pt idx="3160" formatCode="#,##0.000">
                  <c:v>#N/A</c:v>
                </c:pt>
                <c:pt idx="3161" formatCode="#,##0.000">
                  <c:v>#N/A</c:v>
                </c:pt>
                <c:pt idx="3162" formatCode="#,##0.000">
                  <c:v>#N/A</c:v>
                </c:pt>
                <c:pt idx="3163" formatCode="#,##0.000">
                  <c:v>#N/A</c:v>
                </c:pt>
                <c:pt idx="3164" formatCode="#,##0.000">
                  <c:v>#N/A</c:v>
                </c:pt>
                <c:pt idx="3165" formatCode="#,##0.000">
                  <c:v>#N/A</c:v>
                </c:pt>
                <c:pt idx="3166" formatCode="#,##0.000">
                  <c:v>#N/A</c:v>
                </c:pt>
                <c:pt idx="3167" formatCode="#,##0.000">
                  <c:v>#N/A</c:v>
                </c:pt>
                <c:pt idx="3168" formatCode="#,##0.000">
                  <c:v>#N/A</c:v>
                </c:pt>
                <c:pt idx="3169" formatCode="#,##0.000">
                  <c:v>#N/A</c:v>
                </c:pt>
                <c:pt idx="3170" formatCode="#,##0.000">
                  <c:v>#N/A</c:v>
                </c:pt>
                <c:pt idx="3171" formatCode="#,##0.000">
                  <c:v>#N/A</c:v>
                </c:pt>
                <c:pt idx="3172" formatCode="#,##0.000">
                  <c:v>#N/A</c:v>
                </c:pt>
                <c:pt idx="3173" formatCode="#,##0.000">
                  <c:v>#N/A</c:v>
                </c:pt>
                <c:pt idx="3174" formatCode="#,##0.000">
                  <c:v>#N/A</c:v>
                </c:pt>
                <c:pt idx="3175" formatCode="#,##0.000">
                  <c:v>#N/A</c:v>
                </c:pt>
                <c:pt idx="3176" formatCode="#,##0.000">
                  <c:v>#N/A</c:v>
                </c:pt>
                <c:pt idx="3177" formatCode="#,##0.000">
                  <c:v>#N/A</c:v>
                </c:pt>
                <c:pt idx="3178" formatCode="#,##0.000">
                  <c:v>#N/A</c:v>
                </c:pt>
                <c:pt idx="3179" formatCode="#,##0.000">
                  <c:v>#N/A</c:v>
                </c:pt>
                <c:pt idx="3180" formatCode="#,##0.000">
                  <c:v>#N/A</c:v>
                </c:pt>
                <c:pt idx="3181" formatCode="#,##0.000">
                  <c:v>#N/A</c:v>
                </c:pt>
                <c:pt idx="3182" formatCode="#,##0.000">
                  <c:v>#N/A</c:v>
                </c:pt>
                <c:pt idx="3183" formatCode="#,##0.000">
                  <c:v>#N/A</c:v>
                </c:pt>
                <c:pt idx="3184" formatCode="#,##0.000">
                  <c:v>#N/A</c:v>
                </c:pt>
                <c:pt idx="3185" formatCode="#,##0.000">
                  <c:v>#N/A</c:v>
                </c:pt>
                <c:pt idx="3186" formatCode="#,##0.000">
                  <c:v>#N/A</c:v>
                </c:pt>
                <c:pt idx="3187" formatCode="#,##0.000">
                  <c:v>#N/A</c:v>
                </c:pt>
                <c:pt idx="3188" formatCode="#,##0.000">
                  <c:v>#N/A</c:v>
                </c:pt>
                <c:pt idx="3189" formatCode="#,##0.000">
                  <c:v>#N/A</c:v>
                </c:pt>
                <c:pt idx="3190" formatCode="#,##0.000">
                  <c:v>#N/A</c:v>
                </c:pt>
                <c:pt idx="3191" formatCode="#,##0.000">
                  <c:v>#N/A</c:v>
                </c:pt>
                <c:pt idx="3192" formatCode="#,##0.000">
                  <c:v>#N/A</c:v>
                </c:pt>
                <c:pt idx="3193" formatCode="#,##0.000">
                  <c:v>#N/A</c:v>
                </c:pt>
                <c:pt idx="3194" formatCode="#,##0.000">
                  <c:v>#N/A</c:v>
                </c:pt>
                <c:pt idx="3195" formatCode="#,##0.000">
                  <c:v>#N/A</c:v>
                </c:pt>
                <c:pt idx="3196" formatCode="#,##0.000">
                  <c:v>#N/A</c:v>
                </c:pt>
                <c:pt idx="3197" formatCode="#,##0.000">
                  <c:v>#N/A</c:v>
                </c:pt>
                <c:pt idx="3198" formatCode="#,##0.000">
                  <c:v>#N/A</c:v>
                </c:pt>
                <c:pt idx="3199" formatCode="#,##0.000">
                  <c:v>#N/A</c:v>
                </c:pt>
                <c:pt idx="3200" formatCode="#,##0.000">
                  <c:v>#N/A</c:v>
                </c:pt>
                <c:pt idx="3201" formatCode="#,##0.000">
                  <c:v>#N/A</c:v>
                </c:pt>
                <c:pt idx="3202" formatCode="#,##0.000">
                  <c:v>#N/A</c:v>
                </c:pt>
                <c:pt idx="3203" formatCode="#,##0.000">
                  <c:v>#N/A</c:v>
                </c:pt>
                <c:pt idx="3204" formatCode="#,##0.000">
                  <c:v>#N/A</c:v>
                </c:pt>
                <c:pt idx="3205" formatCode="#,##0.000">
                  <c:v>#N/A</c:v>
                </c:pt>
                <c:pt idx="3206" formatCode="#,##0.000">
                  <c:v>#N/A</c:v>
                </c:pt>
                <c:pt idx="3207" formatCode="#,##0.000">
                  <c:v>#N/A</c:v>
                </c:pt>
                <c:pt idx="3208" formatCode="#,##0.000">
                  <c:v>#N/A</c:v>
                </c:pt>
                <c:pt idx="3209" formatCode="#,##0.000">
                  <c:v>#N/A</c:v>
                </c:pt>
                <c:pt idx="3210" formatCode="#,##0.000">
                  <c:v>#N/A</c:v>
                </c:pt>
                <c:pt idx="3211" formatCode="#,##0.000">
                  <c:v>#N/A</c:v>
                </c:pt>
                <c:pt idx="3212" formatCode="#,##0.000">
                  <c:v>#N/A</c:v>
                </c:pt>
                <c:pt idx="3213" formatCode="#,##0.000">
                  <c:v>#N/A</c:v>
                </c:pt>
                <c:pt idx="3214" formatCode="#,##0.000">
                  <c:v>#N/A</c:v>
                </c:pt>
                <c:pt idx="3215" formatCode="#,##0.000">
                  <c:v>#N/A</c:v>
                </c:pt>
                <c:pt idx="3216" formatCode="#,##0.000">
                  <c:v>#N/A</c:v>
                </c:pt>
                <c:pt idx="3217" formatCode="#,##0.000">
                  <c:v>#N/A</c:v>
                </c:pt>
                <c:pt idx="3218" formatCode="#,##0.000">
                  <c:v>#N/A</c:v>
                </c:pt>
                <c:pt idx="3219" formatCode="#,##0.000">
                  <c:v>#N/A</c:v>
                </c:pt>
                <c:pt idx="3220" formatCode="#,##0.000">
                  <c:v>#N/A</c:v>
                </c:pt>
                <c:pt idx="3221" formatCode="#,##0.000">
                  <c:v>#N/A</c:v>
                </c:pt>
                <c:pt idx="3222" formatCode="#,##0.000">
                  <c:v>#N/A</c:v>
                </c:pt>
                <c:pt idx="3223" formatCode="#,##0.000">
                  <c:v>#N/A</c:v>
                </c:pt>
                <c:pt idx="3224" formatCode="#,##0.000">
                  <c:v>#N/A</c:v>
                </c:pt>
                <c:pt idx="3225" formatCode="#,##0.000">
                  <c:v>#N/A</c:v>
                </c:pt>
                <c:pt idx="3226" formatCode="#,##0.000">
                  <c:v>#N/A</c:v>
                </c:pt>
                <c:pt idx="3227" formatCode="#,##0.000">
                  <c:v>#N/A</c:v>
                </c:pt>
                <c:pt idx="3228" formatCode="#,##0.000">
                  <c:v>#N/A</c:v>
                </c:pt>
                <c:pt idx="3229" formatCode="#,##0.000">
                  <c:v>#N/A</c:v>
                </c:pt>
                <c:pt idx="3230" formatCode="#,##0.000">
                  <c:v>#N/A</c:v>
                </c:pt>
                <c:pt idx="3231" formatCode="#,##0.000">
                  <c:v>#N/A</c:v>
                </c:pt>
                <c:pt idx="3232" formatCode="#,##0.000">
                  <c:v>#N/A</c:v>
                </c:pt>
                <c:pt idx="3233" formatCode="#,##0.000">
                  <c:v>#N/A</c:v>
                </c:pt>
                <c:pt idx="3234" formatCode="#,##0.000">
                  <c:v>#N/A</c:v>
                </c:pt>
                <c:pt idx="3235" formatCode="#,##0.000">
                  <c:v>#N/A</c:v>
                </c:pt>
                <c:pt idx="3236" formatCode="#,##0.000">
                  <c:v>#N/A</c:v>
                </c:pt>
                <c:pt idx="3237" formatCode="#,##0.000">
                  <c:v>#N/A</c:v>
                </c:pt>
                <c:pt idx="3238" formatCode="#,##0.000">
                  <c:v>#N/A</c:v>
                </c:pt>
                <c:pt idx="3239" formatCode="#,##0.000">
                  <c:v>#N/A</c:v>
                </c:pt>
                <c:pt idx="3240" formatCode="#,##0.000">
                  <c:v>#N/A</c:v>
                </c:pt>
                <c:pt idx="3241" formatCode="#,##0.000">
                  <c:v>#N/A</c:v>
                </c:pt>
                <c:pt idx="3242" formatCode="#,##0.000">
                  <c:v>#N/A</c:v>
                </c:pt>
                <c:pt idx="3243" formatCode="#,##0.000">
                  <c:v>#N/A</c:v>
                </c:pt>
                <c:pt idx="3244" formatCode="#,##0.000">
                  <c:v>#N/A</c:v>
                </c:pt>
                <c:pt idx="3245" formatCode="#,##0.000">
                  <c:v>#N/A</c:v>
                </c:pt>
                <c:pt idx="3246" formatCode="#,##0.000">
                  <c:v>#N/A</c:v>
                </c:pt>
                <c:pt idx="3247" formatCode="#,##0.000">
                  <c:v>#N/A</c:v>
                </c:pt>
                <c:pt idx="3248" formatCode="#,##0.000">
                  <c:v>#N/A</c:v>
                </c:pt>
                <c:pt idx="3249" formatCode="#,##0.000">
                  <c:v>#N/A</c:v>
                </c:pt>
                <c:pt idx="3250" formatCode="#,##0.000">
                  <c:v>#N/A</c:v>
                </c:pt>
                <c:pt idx="3251" formatCode="#,##0.000">
                  <c:v>#N/A</c:v>
                </c:pt>
                <c:pt idx="3252" formatCode="#,##0.000">
                  <c:v>#N/A</c:v>
                </c:pt>
                <c:pt idx="3253" formatCode="#,##0.000">
                  <c:v>#N/A</c:v>
                </c:pt>
                <c:pt idx="3254" formatCode="#,##0.000">
                  <c:v>#N/A</c:v>
                </c:pt>
                <c:pt idx="3255" formatCode="#,##0.000">
                  <c:v>#N/A</c:v>
                </c:pt>
                <c:pt idx="3256" formatCode="#,##0.000">
                  <c:v>#N/A</c:v>
                </c:pt>
                <c:pt idx="3257" formatCode="#,##0.000">
                  <c:v>#N/A</c:v>
                </c:pt>
                <c:pt idx="3258" formatCode="#,##0.000">
                  <c:v>#N/A</c:v>
                </c:pt>
                <c:pt idx="3259" formatCode="#,##0.000">
                  <c:v>#N/A</c:v>
                </c:pt>
                <c:pt idx="3260" formatCode="#,##0.000">
                  <c:v>#N/A</c:v>
                </c:pt>
                <c:pt idx="3261" formatCode="#,##0.000">
                  <c:v>#N/A</c:v>
                </c:pt>
                <c:pt idx="3262" formatCode="#,##0.000">
                  <c:v>#N/A</c:v>
                </c:pt>
                <c:pt idx="3263" formatCode="#,##0.000">
                  <c:v>#N/A</c:v>
                </c:pt>
                <c:pt idx="3264" formatCode="#,##0.000">
                  <c:v>#N/A</c:v>
                </c:pt>
                <c:pt idx="3265" formatCode="#,##0.000">
                  <c:v>#N/A</c:v>
                </c:pt>
                <c:pt idx="3266" formatCode="#,##0.000">
                  <c:v>#N/A</c:v>
                </c:pt>
                <c:pt idx="3267" formatCode="#,##0.000">
                  <c:v>#N/A</c:v>
                </c:pt>
                <c:pt idx="3268" formatCode="#,##0.000">
                  <c:v>#N/A</c:v>
                </c:pt>
                <c:pt idx="3269" formatCode="#,##0.000">
                  <c:v>#N/A</c:v>
                </c:pt>
                <c:pt idx="3270" formatCode="#,##0.000">
                  <c:v>#N/A</c:v>
                </c:pt>
                <c:pt idx="3271" formatCode="#,##0.000">
                  <c:v>#N/A</c:v>
                </c:pt>
                <c:pt idx="3272" formatCode="#,##0.000">
                  <c:v>#N/A</c:v>
                </c:pt>
                <c:pt idx="3273" formatCode="#,##0.000">
                  <c:v>#N/A</c:v>
                </c:pt>
                <c:pt idx="3274" formatCode="#,##0.000">
                  <c:v>#N/A</c:v>
                </c:pt>
                <c:pt idx="3275" formatCode="#,##0.000">
                  <c:v>#N/A</c:v>
                </c:pt>
                <c:pt idx="3276" formatCode="#,##0.000">
                  <c:v>#N/A</c:v>
                </c:pt>
                <c:pt idx="3277" formatCode="#,##0.000">
                  <c:v>#N/A</c:v>
                </c:pt>
                <c:pt idx="3278" formatCode="#,##0.000">
                  <c:v>#N/A</c:v>
                </c:pt>
                <c:pt idx="3279" formatCode="#,##0.000">
                  <c:v>#N/A</c:v>
                </c:pt>
                <c:pt idx="3280" formatCode="#,##0.000">
                  <c:v>#N/A</c:v>
                </c:pt>
                <c:pt idx="3281" formatCode="#,##0.000">
                  <c:v>#N/A</c:v>
                </c:pt>
                <c:pt idx="3282" formatCode="#,##0.000">
                  <c:v>#N/A</c:v>
                </c:pt>
                <c:pt idx="3283" formatCode="#,##0.000">
                  <c:v>#N/A</c:v>
                </c:pt>
                <c:pt idx="3284" formatCode="#,##0.000">
                  <c:v>#N/A</c:v>
                </c:pt>
                <c:pt idx="3285" formatCode="#,##0.000">
                  <c:v>#N/A</c:v>
                </c:pt>
                <c:pt idx="3286" formatCode="#,##0.000">
                  <c:v>#N/A</c:v>
                </c:pt>
                <c:pt idx="3287" formatCode="#,##0.000">
                  <c:v>#N/A</c:v>
                </c:pt>
                <c:pt idx="3288" formatCode="#,##0.000">
                  <c:v>#N/A</c:v>
                </c:pt>
                <c:pt idx="3289" formatCode="#,##0.000">
                  <c:v>#N/A</c:v>
                </c:pt>
                <c:pt idx="3290" formatCode="#,##0.000">
                  <c:v>#N/A</c:v>
                </c:pt>
                <c:pt idx="3291" formatCode="#,##0.000">
                  <c:v>#N/A</c:v>
                </c:pt>
                <c:pt idx="3292" formatCode="#,##0.000">
                  <c:v>#N/A</c:v>
                </c:pt>
                <c:pt idx="3293" formatCode="#,##0.000">
                  <c:v>#N/A</c:v>
                </c:pt>
                <c:pt idx="3294" formatCode="#,##0.000">
                  <c:v>#N/A</c:v>
                </c:pt>
                <c:pt idx="3295" formatCode="#,##0.000">
                  <c:v>#N/A</c:v>
                </c:pt>
                <c:pt idx="3296" formatCode="#,##0.000">
                  <c:v>#N/A</c:v>
                </c:pt>
                <c:pt idx="3297" formatCode="#,##0.000">
                  <c:v>#N/A</c:v>
                </c:pt>
                <c:pt idx="3298" formatCode="#,##0.000">
                  <c:v>#N/A</c:v>
                </c:pt>
                <c:pt idx="3299" formatCode="#,##0.000">
                  <c:v>#N/A</c:v>
                </c:pt>
                <c:pt idx="3300" formatCode="#,##0.000">
                  <c:v>#N/A</c:v>
                </c:pt>
                <c:pt idx="3301" formatCode="#,##0.000">
                  <c:v>#N/A</c:v>
                </c:pt>
                <c:pt idx="3302" formatCode="#,##0.000">
                  <c:v>#N/A</c:v>
                </c:pt>
                <c:pt idx="3303" formatCode="#,##0.000">
                  <c:v>#N/A</c:v>
                </c:pt>
                <c:pt idx="3304" formatCode="#,##0.000">
                  <c:v>#N/A</c:v>
                </c:pt>
                <c:pt idx="3305" formatCode="#,##0.000">
                  <c:v>#N/A</c:v>
                </c:pt>
                <c:pt idx="3306" formatCode="#,##0.000">
                  <c:v>#N/A</c:v>
                </c:pt>
                <c:pt idx="3307" formatCode="#,##0.000">
                  <c:v>#N/A</c:v>
                </c:pt>
                <c:pt idx="3308" formatCode="#,##0.000">
                  <c:v>#N/A</c:v>
                </c:pt>
                <c:pt idx="3309" formatCode="#,##0.000">
                  <c:v>#N/A</c:v>
                </c:pt>
                <c:pt idx="3310" formatCode="#,##0.000">
                  <c:v>#N/A</c:v>
                </c:pt>
                <c:pt idx="3311" formatCode="#,##0.000">
                  <c:v>#N/A</c:v>
                </c:pt>
                <c:pt idx="3312" formatCode="#,##0.000">
                  <c:v>#N/A</c:v>
                </c:pt>
                <c:pt idx="3313" formatCode="#,##0.000">
                  <c:v>#N/A</c:v>
                </c:pt>
                <c:pt idx="3314" formatCode="#,##0.000">
                  <c:v>#N/A</c:v>
                </c:pt>
                <c:pt idx="3315" formatCode="#,##0.000">
                  <c:v>#N/A</c:v>
                </c:pt>
                <c:pt idx="3316" formatCode="#,##0.000">
                  <c:v>#N/A</c:v>
                </c:pt>
                <c:pt idx="3317" formatCode="#,##0.000">
                  <c:v>#N/A</c:v>
                </c:pt>
                <c:pt idx="3318" formatCode="#,##0.000">
                  <c:v>#N/A</c:v>
                </c:pt>
                <c:pt idx="3319" formatCode="#,##0.000">
                  <c:v>#N/A</c:v>
                </c:pt>
                <c:pt idx="3320" formatCode="#,##0.000">
                  <c:v>#N/A</c:v>
                </c:pt>
                <c:pt idx="3321" formatCode="#,##0.000">
                  <c:v>#N/A</c:v>
                </c:pt>
                <c:pt idx="3322" formatCode="#,##0.000">
                  <c:v>#N/A</c:v>
                </c:pt>
                <c:pt idx="3323" formatCode="#,##0.000">
                  <c:v>#N/A</c:v>
                </c:pt>
                <c:pt idx="3324" formatCode="#,##0.000">
                  <c:v>#N/A</c:v>
                </c:pt>
                <c:pt idx="3325" formatCode="#,##0.000">
                  <c:v>#N/A</c:v>
                </c:pt>
                <c:pt idx="3326" formatCode="#,##0.000">
                  <c:v>#N/A</c:v>
                </c:pt>
                <c:pt idx="3327" formatCode="#,##0.000">
                  <c:v>#N/A</c:v>
                </c:pt>
                <c:pt idx="3328" formatCode="#,##0.000">
                  <c:v>#N/A</c:v>
                </c:pt>
                <c:pt idx="3329" formatCode="#,##0.000">
                  <c:v>#N/A</c:v>
                </c:pt>
                <c:pt idx="3330" formatCode="#,##0.000">
                  <c:v>#N/A</c:v>
                </c:pt>
                <c:pt idx="3331" formatCode="#,##0.000">
                  <c:v>#N/A</c:v>
                </c:pt>
                <c:pt idx="3332" formatCode="#,##0.000">
                  <c:v>#N/A</c:v>
                </c:pt>
                <c:pt idx="3333" formatCode="#,##0.000">
                  <c:v>#N/A</c:v>
                </c:pt>
                <c:pt idx="3334" formatCode="#,##0.000">
                  <c:v>#N/A</c:v>
                </c:pt>
                <c:pt idx="3335" formatCode="#,##0.000">
                  <c:v>#N/A</c:v>
                </c:pt>
                <c:pt idx="3336" formatCode="#,##0.000">
                  <c:v>#N/A</c:v>
                </c:pt>
                <c:pt idx="3337" formatCode="#,##0.000">
                  <c:v>#N/A</c:v>
                </c:pt>
                <c:pt idx="3338" formatCode="#,##0.000">
                  <c:v>#N/A</c:v>
                </c:pt>
                <c:pt idx="3339" formatCode="#,##0.000">
                  <c:v>#N/A</c:v>
                </c:pt>
                <c:pt idx="3340" formatCode="#,##0.000">
                  <c:v>#N/A</c:v>
                </c:pt>
                <c:pt idx="3341" formatCode="#,##0.000">
                  <c:v>#N/A</c:v>
                </c:pt>
                <c:pt idx="3342" formatCode="#,##0.000">
                  <c:v>#N/A</c:v>
                </c:pt>
                <c:pt idx="3343" formatCode="#,##0.000">
                  <c:v>#N/A</c:v>
                </c:pt>
                <c:pt idx="3344" formatCode="#,##0.000">
                  <c:v>#N/A</c:v>
                </c:pt>
                <c:pt idx="3345" formatCode="#,##0.000">
                  <c:v>#N/A</c:v>
                </c:pt>
                <c:pt idx="3346" formatCode="#,##0.000">
                  <c:v>#N/A</c:v>
                </c:pt>
                <c:pt idx="3347" formatCode="#,##0.000">
                  <c:v>#N/A</c:v>
                </c:pt>
                <c:pt idx="3348" formatCode="#,##0.000">
                  <c:v>#N/A</c:v>
                </c:pt>
                <c:pt idx="3349" formatCode="#,##0.000">
                  <c:v>#N/A</c:v>
                </c:pt>
                <c:pt idx="3350" formatCode="#,##0.000">
                  <c:v>#N/A</c:v>
                </c:pt>
                <c:pt idx="3351" formatCode="#,##0.000">
                  <c:v>#N/A</c:v>
                </c:pt>
                <c:pt idx="3352" formatCode="#,##0.000">
                  <c:v>#N/A</c:v>
                </c:pt>
                <c:pt idx="3353" formatCode="#,##0.000">
                  <c:v>#N/A</c:v>
                </c:pt>
                <c:pt idx="3354" formatCode="#,##0.000">
                  <c:v>#N/A</c:v>
                </c:pt>
                <c:pt idx="3355" formatCode="#,##0.000">
                  <c:v>#N/A</c:v>
                </c:pt>
                <c:pt idx="3356" formatCode="#,##0.000">
                  <c:v>#N/A</c:v>
                </c:pt>
                <c:pt idx="3357" formatCode="#,##0.000">
                  <c:v>#N/A</c:v>
                </c:pt>
                <c:pt idx="3358" formatCode="#,##0.000">
                  <c:v>#N/A</c:v>
                </c:pt>
                <c:pt idx="3359" formatCode="#,##0.000">
                  <c:v>#N/A</c:v>
                </c:pt>
                <c:pt idx="3360" formatCode="#,##0.000">
                  <c:v>#N/A</c:v>
                </c:pt>
                <c:pt idx="3361" formatCode="#,##0.000">
                  <c:v>#N/A</c:v>
                </c:pt>
                <c:pt idx="3362" formatCode="#,##0.000">
                  <c:v>#N/A</c:v>
                </c:pt>
                <c:pt idx="3363" formatCode="#,##0.000">
                  <c:v>#N/A</c:v>
                </c:pt>
                <c:pt idx="3364" formatCode="#,##0.000">
                  <c:v>#N/A</c:v>
                </c:pt>
                <c:pt idx="3365" formatCode="#,##0.000">
                  <c:v>#N/A</c:v>
                </c:pt>
                <c:pt idx="3366" formatCode="#,##0.000">
                  <c:v>#N/A</c:v>
                </c:pt>
                <c:pt idx="3367" formatCode="#,##0.000">
                  <c:v>#N/A</c:v>
                </c:pt>
                <c:pt idx="3368" formatCode="#,##0.000">
                  <c:v>#N/A</c:v>
                </c:pt>
                <c:pt idx="3369" formatCode="#,##0.000">
                  <c:v>#N/A</c:v>
                </c:pt>
                <c:pt idx="3370" formatCode="#,##0.000">
                  <c:v>#N/A</c:v>
                </c:pt>
                <c:pt idx="3371" formatCode="#,##0.000">
                  <c:v>#N/A</c:v>
                </c:pt>
                <c:pt idx="3372" formatCode="#,##0.000">
                  <c:v>#N/A</c:v>
                </c:pt>
                <c:pt idx="3373" formatCode="#,##0.000">
                  <c:v>#N/A</c:v>
                </c:pt>
                <c:pt idx="3374" formatCode="#,##0.000">
                  <c:v>#N/A</c:v>
                </c:pt>
                <c:pt idx="3375" formatCode="#,##0.000">
                  <c:v>#N/A</c:v>
                </c:pt>
                <c:pt idx="3376" formatCode="#,##0.000">
                  <c:v>#N/A</c:v>
                </c:pt>
                <c:pt idx="3377" formatCode="#,##0.000">
                  <c:v>#N/A</c:v>
                </c:pt>
                <c:pt idx="3378" formatCode="#,##0.000">
                  <c:v>#N/A</c:v>
                </c:pt>
                <c:pt idx="3379" formatCode="#,##0.000">
                  <c:v>#N/A</c:v>
                </c:pt>
                <c:pt idx="3380" formatCode="#,##0.000">
                  <c:v>#N/A</c:v>
                </c:pt>
                <c:pt idx="3381" formatCode="#,##0.000">
                  <c:v>#N/A</c:v>
                </c:pt>
                <c:pt idx="3382" formatCode="#,##0.000">
                  <c:v>#N/A</c:v>
                </c:pt>
                <c:pt idx="3383" formatCode="#,##0.000">
                  <c:v>#N/A</c:v>
                </c:pt>
                <c:pt idx="3384" formatCode="#,##0.000">
                  <c:v>#N/A</c:v>
                </c:pt>
                <c:pt idx="3385" formatCode="#,##0.000">
                  <c:v>#N/A</c:v>
                </c:pt>
                <c:pt idx="3386" formatCode="#,##0.000">
                  <c:v>#N/A</c:v>
                </c:pt>
                <c:pt idx="3387" formatCode="#,##0.000">
                  <c:v>#N/A</c:v>
                </c:pt>
                <c:pt idx="3388" formatCode="#,##0.000">
                  <c:v>#N/A</c:v>
                </c:pt>
                <c:pt idx="3389" formatCode="#,##0.000">
                  <c:v>#N/A</c:v>
                </c:pt>
                <c:pt idx="3390" formatCode="#,##0.000">
                  <c:v>#N/A</c:v>
                </c:pt>
                <c:pt idx="3391" formatCode="#,##0.000">
                  <c:v>#N/A</c:v>
                </c:pt>
                <c:pt idx="3392" formatCode="#,##0.000">
                  <c:v>#N/A</c:v>
                </c:pt>
                <c:pt idx="3393" formatCode="#,##0.000">
                  <c:v>#N/A</c:v>
                </c:pt>
                <c:pt idx="3394" formatCode="#,##0.000">
                  <c:v>#N/A</c:v>
                </c:pt>
                <c:pt idx="3395" formatCode="#,##0.000">
                  <c:v>#N/A</c:v>
                </c:pt>
                <c:pt idx="3396" formatCode="#,##0.000">
                  <c:v>#N/A</c:v>
                </c:pt>
                <c:pt idx="3397" formatCode="#,##0.000">
                  <c:v>#N/A</c:v>
                </c:pt>
                <c:pt idx="3398" formatCode="#,##0.000">
                  <c:v>#N/A</c:v>
                </c:pt>
                <c:pt idx="3399" formatCode="#,##0.000">
                  <c:v>#N/A</c:v>
                </c:pt>
                <c:pt idx="3400" formatCode="#,##0.000">
                  <c:v>#N/A</c:v>
                </c:pt>
                <c:pt idx="3401" formatCode="#,##0.000">
                  <c:v>#N/A</c:v>
                </c:pt>
                <c:pt idx="3402" formatCode="#,##0.000">
                  <c:v>#N/A</c:v>
                </c:pt>
                <c:pt idx="3403" formatCode="#,##0.000">
                  <c:v>#N/A</c:v>
                </c:pt>
                <c:pt idx="3404" formatCode="#,##0.000">
                  <c:v>#N/A</c:v>
                </c:pt>
                <c:pt idx="3405" formatCode="#,##0.000">
                  <c:v>#N/A</c:v>
                </c:pt>
                <c:pt idx="3406" formatCode="#,##0.000">
                  <c:v>#N/A</c:v>
                </c:pt>
                <c:pt idx="3407" formatCode="#,##0.000">
                  <c:v>#N/A</c:v>
                </c:pt>
                <c:pt idx="3408" formatCode="#,##0.000">
                  <c:v>#N/A</c:v>
                </c:pt>
                <c:pt idx="3409" formatCode="#,##0.000">
                  <c:v>#N/A</c:v>
                </c:pt>
                <c:pt idx="3410" formatCode="#,##0.000">
                  <c:v>#N/A</c:v>
                </c:pt>
                <c:pt idx="3411" formatCode="#,##0.000">
                  <c:v>#N/A</c:v>
                </c:pt>
                <c:pt idx="3412" formatCode="#,##0.000">
                  <c:v>#N/A</c:v>
                </c:pt>
                <c:pt idx="3413" formatCode="#,##0.000">
                  <c:v>#N/A</c:v>
                </c:pt>
                <c:pt idx="3414" formatCode="#,##0.000">
                  <c:v>#N/A</c:v>
                </c:pt>
                <c:pt idx="3415" formatCode="#,##0.000">
                  <c:v>#N/A</c:v>
                </c:pt>
                <c:pt idx="3416" formatCode="#,##0.000">
                  <c:v>#N/A</c:v>
                </c:pt>
                <c:pt idx="3417" formatCode="#,##0.000">
                  <c:v>#N/A</c:v>
                </c:pt>
                <c:pt idx="3418" formatCode="#,##0.000">
                  <c:v>#N/A</c:v>
                </c:pt>
                <c:pt idx="3419" formatCode="#,##0.000">
                  <c:v>#N/A</c:v>
                </c:pt>
                <c:pt idx="3420" formatCode="#,##0.000">
                  <c:v>#N/A</c:v>
                </c:pt>
                <c:pt idx="3421" formatCode="#,##0.000">
                  <c:v>#N/A</c:v>
                </c:pt>
                <c:pt idx="3422" formatCode="#,##0.000">
                  <c:v>#N/A</c:v>
                </c:pt>
                <c:pt idx="3423" formatCode="#,##0.000">
                  <c:v>#N/A</c:v>
                </c:pt>
                <c:pt idx="3424" formatCode="#,##0.000">
                  <c:v>#N/A</c:v>
                </c:pt>
                <c:pt idx="3425" formatCode="#,##0.000">
                  <c:v>#N/A</c:v>
                </c:pt>
                <c:pt idx="3426" formatCode="#,##0.000">
                  <c:v>#N/A</c:v>
                </c:pt>
                <c:pt idx="3427" formatCode="#,##0.000">
                  <c:v>#N/A</c:v>
                </c:pt>
                <c:pt idx="3428" formatCode="#,##0.000">
                  <c:v>#N/A</c:v>
                </c:pt>
                <c:pt idx="3429" formatCode="#,##0.000">
                  <c:v>#N/A</c:v>
                </c:pt>
                <c:pt idx="3430" formatCode="#,##0.000">
                  <c:v>#N/A</c:v>
                </c:pt>
                <c:pt idx="3431" formatCode="#,##0.000">
                  <c:v>#N/A</c:v>
                </c:pt>
                <c:pt idx="3432" formatCode="#,##0.000">
                  <c:v>#N/A</c:v>
                </c:pt>
                <c:pt idx="3433" formatCode="#,##0.000">
                  <c:v>#N/A</c:v>
                </c:pt>
                <c:pt idx="3434" formatCode="#,##0.000">
                  <c:v>#N/A</c:v>
                </c:pt>
                <c:pt idx="3435" formatCode="#,##0.000">
                  <c:v>#N/A</c:v>
                </c:pt>
                <c:pt idx="3436" formatCode="#,##0.000">
                  <c:v>#N/A</c:v>
                </c:pt>
                <c:pt idx="3437" formatCode="#,##0.000">
                  <c:v>#N/A</c:v>
                </c:pt>
                <c:pt idx="3438" formatCode="#,##0.000">
                  <c:v>#N/A</c:v>
                </c:pt>
                <c:pt idx="3439" formatCode="#,##0.000">
                  <c:v>#N/A</c:v>
                </c:pt>
                <c:pt idx="3440" formatCode="#,##0.000">
                  <c:v>#N/A</c:v>
                </c:pt>
                <c:pt idx="3441" formatCode="#,##0.000">
                  <c:v>#N/A</c:v>
                </c:pt>
                <c:pt idx="3442" formatCode="#,##0.000">
                  <c:v>#N/A</c:v>
                </c:pt>
                <c:pt idx="3443" formatCode="#,##0.000">
                  <c:v>#N/A</c:v>
                </c:pt>
                <c:pt idx="3444" formatCode="#,##0.000">
                  <c:v>#N/A</c:v>
                </c:pt>
                <c:pt idx="3445" formatCode="#,##0.000">
                  <c:v>#N/A</c:v>
                </c:pt>
                <c:pt idx="3446" formatCode="#,##0.000">
                  <c:v>#N/A</c:v>
                </c:pt>
                <c:pt idx="3447" formatCode="#,##0.000">
                  <c:v>#N/A</c:v>
                </c:pt>
                <c:pt idx="3448" formatCode="#,##0.000">
                  <c:v>#N/A</c:v>
                </c:pt>
                <c:pt idx="3449" formatCode="#,##0.000">
                  <c:v>#N/A</c:v>
                </c:pt>
                <c:pt idx="3450" formatCode="#,##0.000">
                  <c:v>#N/A</c:v>
                </c:pt>
                <c:pt idx="3451" formatCode="#,##0.000">
                  <c:v>#N/A</c:v>
                </c:pt>
                <c:pt idx="3452" formatCode="#,##0.000">
                  <c:v>#N/A</c:v>
                </c:pt>
                <c:pt idx="3453" formatCode="#,##0.000">
                  <c:v>#N/A</c:v>
                </c:pt>
                <c:pt idx="3454" formatCode="#,##0.000">
                  <c:v>#N/A</c:v>
                </c:pt>
                <c:pt idx="3455" formatCode="#,##0.000">
                  <c:v>#N/A</c:v>
                </c:pt>
                <c:pt idx="3456" formatCode="#,##0.000">
                  <c:v>#N/A</c:v>
                </c:pt>
                <c:pt idx="3457" formatCode="#,##0.000">
                  <c:v>#N/A</c:v>
                </c:pt>
                <c:pt idx="3458" formatCode="#,##0.000">
                  <c:v>#N/A</c:v>
                </c:pt>
                <c:pt idx="3459" formatCode="#,##0.000">
                  <c:v>#N/A</c:v>
                </c:pt>
                <c:pt idx="3460" formatCode="#,##0.000">
                  <c:v>#N/A</c:v>
                </c:pt>
                <c:pt idx="3461" formatCode="#,##0.000">
                  <c:v>#N/A</c:v>
                </c:pt>
                <c:pt idx="3462" formatCode="#,##0.000">
                  <c:v>#N/A</c:v>
                </c:pt>
                <c:pt idx="3463" formatCode="#,##0.000">
                  <c:v>#N/A</c:v>
                </c:pt>
                <c:pt idx="3464" formatCode="#,##0.000">
                  <c:v>#N/A</c:v>
                </c:pt>
                <c:pt idx="3465" formatCode="#,##0.000">
                  <c:v>#N/A</c:v>
                </c:pt>
                <c:pt idx="3466" formatCode="#,##0.000">
                  <c:v>#N/A</c:v>
                </c:pt>
                <c:pt idx="3467" formatCode="#,##0.000">
                  <c:v>#N/A</c:v>
                </c:pt>
                <c:pt idx="3468" formatCode="#,##0.000">
                  <c:v>#N/A</c:v>
                </c:pt>
                <c:pt idx="3469" formatCode="#,##0.000">
                  <c:v>#N/A</c:v>
                </c:pt>
                <c:pt idx="3470" formatCode="#,##0.000">
                  <c:v>#N/A</c:v>
                </c:pt>
                <c:pt idx="3471" formatCode="#,##0.000">
                  <c:v>#N/A</c:v>
                </c:pt>
                <c:pt idx="3472" formatCode="#,##0.000">
                  <c:v>#N/A</c:v>
                </c:pt>
                <c:pt idx="3473" formatCode="#,##0.000">
                  <c:v>#N/A</c:v>
                </c:pt>
                <c:pt idx="3474" formatCode="#,##0.000">
                  <c:v>#N/A</c:v>
                </c:pt>
                <c:pt idx="3475" formatCode="#,##0.000">
                  <c:v>#N/A</c:v>
                </c:pt>
                <c:pt idx="3476" formatCode="#,##0.000">
                  <c:v>#N/A</c:v>
                </c:pt>
                <c:pt idx="3477" formatCode="#,##0.000">
                  <c:v>#N/A</c:v>
                </c:pt>
                <c:pt idx="3478" formatCode="#,##0.000">
                  <c:v>#N/A</c:v>
                </c:pt>
                <c:pt idx="3479" formatCode="#,##0.000">
                  <c:v>#N/A</c:v>
                </c:pt>
                <c:pt idx="3480" formatCode="#,##0.000">
                  <c:v>#N/A</c:v>
                </c:pt>
                <c:pt idx="3481" formatCode="#,##0.000">
                  <c:v>#N/A</c:v>
                </c:pt>
                <c:pt idx="3482" formatCode="#,##0.000">
                  <c:v>#N/A</c:v>
                </c:pt>
                <c:pt idx="3483" formatCode="#,##0.000">
                  <c:v>#N/A</c:v>
                </c:pt>
                <c:pt idx="3484" formatCode="#,##0.000">
                  <c:v>#N/A</c:v>
                </c:pt>
                <c:pt idx="3485" formatCode="#,##0.000">
                  <c:v>#N/A</c:v>
                </c:pt>
                <c:pt idx="3486" formatCode="#,##0.000">
                  <c:v>#N/A</c:v>
                </c:pt>
                <c:pt idx="3487" formatCode="#,##0.000">
                  <c:v>#N/A</c:v>
                </c:pt>
                <c:pt idx="3488" formatCode="#,##0.000">
                  <c:v>#N/A</c:v>
                </c:pt>
                <c:pt idx="3489" formatCode="#,##0.000">
                  <c:v>#N/A</c:v>
                </c:pt>
                <c:pt idx="3490" formatCode="#,##0.000">
                  <c:v>#N/A</c:v>
                </c:pt>
                <c:pt idx="3491" formatCode="#,##0.000">
                  <c:v>#N/A</c:v>
                </c:pt>
                <c:pt idx="3492" formatCode="#,##0.000">
                  <c:v>#N/A</c:v>
                </c:pt>
                <c:pt idx="3493" formatCode="#,##0.000">
                  <c:v>#N/A</c:v>
                </c:pt>
                <c:pt idx="3494" formatCode="#,##0.000">
                  <c:v>#N/A</c:v>
                </c:pt>
                <c:pt idx="3495" formatCode="#,##0.000">
                  <c:v>#N/A</c:v>
                </c:pt>
                <c:pt idx="3496" formatCode="#,##0.000">
                  <c:v>#N/A</c:v>
                </c:pt>
                <c:pt idx="3497" formatCode="#,##0.000">
                  <c:v>#N/A</c:v>
                </c:pt>
                <c:pt idx="3498" formatCode="#,##0.000">
                  <c:v>#N/A</c:v>
                </c:pt>
                <c:pt idx="3499" formatCode="#,##0.000">
                  <c:v>#N/A</c:v>
                </c:pt>
                <c:pt idx="3500" formatCode="#,##0.000">
                  <c:v>#N/A</c:v>
                </c:pt>
                <c:pt idx="3501" formatCode="#,##0.000">
                  <c:v>#N/A</c:v>
                </c:pt>
                <c:pt idx="3502" formatCode="#,##0.000">
                  <c:v>#N/A</c:v>
                </c:pt>
                <c:pt idx="3503" formatCode="#,##0.000">
                  <c:v>#N/A</c:v>
                </c:pt>
                <c:pt idx="3504" formatCode="#,##0.000">
                  <c:v>#N/A</c:v>
                </c:pt>
                <c:pt idx="3505" formatCode="#,##0.000">
                  <c:v>#N/A</c:v>
                </c:pt>
                <c:pt idx="3506" formatCode="#,##0.000">
                  <c:v>#N/A</c:v>
                </c:pt>
                <c:pt idx="3507" formatCode="#,##0.000">
                  <c:v>#N/A</c:v>
                </c:pt>
                <c:pt idx="3508" formatCode="#,##0.000">
                  <c:v>#N/A</c:v>
                </c:pt>
                <c:pt idx="3509" formatCode="#,##0.000">
                  <c:v>#N/A</c:v>
                </c:pt>
                <c:pt idx="3510" formatCode="#,##0.000">
                  <c:v>#N/A</c:v>
                </c:pt>
                <c:pt idx="3511" formatCode="#,##0.000">
                  <c:v>#N/A</c:v>
                </c:pt>
                <c:pt idx="3512" formatCode="#,##0.000">
                  <c:v>#N/A</c:v>
                </c:pt>
                <c:pt idx="3513" formatCode="#,##0.000">
                  <c:v>#N/A</c:v>
                </c:pt>
                <c:pt idx="3514" formatCode="#,##0.000">
                  <c:v>#N/A</c:v>
                </c:pt>
                <c:pt idx="3515" formatCode="#,##0.000">
                  <c:v>#N/A</c:v>
                </c:pt>
                <c:pt idx="3516" formatCode="#,##0.000">
                  <c:v>#N/A</c:v>
                </c:pt>
                <c:pt idx="3517" formatCode="#,##0.000">
                  <c:v>#N/A</c:v>
                </c:pt>
                <c:pt idx="3518" formatCode="#,##0.000">
                  <c:v>#N/A</c:v>
                </c:pt>
                <c:pt idx="3519" formatCode="#,##0.000">
                  <c:v>#N/A</c:v>
                </c:pt>
                <c:pt idx="3520" formatCode="#,##0.000">
                  <c:v>#N/A</c:v>
                </c:pt>
                <c:pt idx="3521" formatCode="#,##0.000">
                  <c:v>#N/A</c:v>
                </c:pt>
                <c:pt idx="3522" formatCode="#,##0.000">
                  <c:v>#N/A</c:v>
                </c:pt>
                <c:pt idx="3523" formatCode="#,##0.000">
                  <c:v>#N/A</c:v>
                </c:pt>
                <c:pt idx="3524" formatCode="#,##0.000">
                  <c:v>#N/A</c:v>
                </c:pt>
                <c:pt idx="3525" formatCode="#,##0.000">
                  <c:v>#N/A</c:v>
                </c:pt>
                <c:pt idx="3526" formatCode="#,##0.000">
                  <c:v>#N/A</c:v>
                </c:pt>
                <c:pt idx="3527" formatCode="#,##0.000">
                  <c:v>#N/A</c:v>
                </c:pt>
                <c:pt idx="3528" formatCode="#,##0.000">
                  <c:v>#N/A</c:v>
                </c:pt>
                <c:pt idx="3529" formatCode="#,##0.000">
                  <c:v>#N/A</c:v>
                </c:pt>
                <c:pt idx="3530" formatCode="#,##0.000">
                  <c:v>#N/A</c:v>
                </c:pt>
                <c:pt idx="3531" formatCode="#,##0.000">
                  <c:v>#N/A</c:v>
                </c:pt>
                <c:pt idx="3532" formatCode="#,##0.000">
                  <c:v>#N/A</c:v>
                </c:pt>
                <c:pt idx="3533" formatCode="#,##0.000">
                  <c:v>#N/A</c:v>
                </c:pt>
                <c:pt idx="3534" formatCode="#,##0.000">
                  <c:v>#N/A</c:v>
                </c:pt>
                <c:pt idx="3535" formatCode="#,##0.000">
                  <c:v>#N/A</c:v>
                </c:pt>
                <c:pt idx="3536" formatCode="#,##0.000">
                  <c:v>#N/A</c:v>
                </c:pt>
                <c:pt idx="3537" formatCode="#,##0.000">
                  <c:v>#N/A</c:v>
                </c:pt>
                <c:pt idx="3538" formatCode="#,##0.000">
                  <c:v>#N/A</c:v>
                </c:pt>
                <c:pt idx="3539" formatCode="#,##0.000">
                  <c:v>#N/A</c:v>
                </c:pt>
                <c:pt idx="3540" formatCode="#,##0.000">
                  <c:v>#N/A</c:v>
                </c:pt>
                <c:pt idx="3541" formatCode="#,##0.000">
                  <c:v>#N/A</c:v>
                </c:pt>
                <c:pt idx="3542" formatCode="#,##0.000">
                  <c:v>#N/A</c:v>
                </c:pt>
                <c:pt idx="3543" formatCode="#,##0.000">
                  <c:v>#N/A</c:v>
                </c:pt>
                <c:pt idx="3544" formatCode="#,##0.000">
                  <c:v>#N/A</c:v>
                </c:pt>
                <c:pt idx="3545" formatCode="#,##0.000">
                  <c:v>#N/A</c:v>
                </c:pt>
                <c:pt idx="3546" formatCode="#,##0.000">
                  <c:v>#N/A</c:v>
                </c:pt>
                <c:pt idx="3547" formatCode="#,##0.000">
                  <c:v>#N/A</c:v>
                </c:pt>
                <c:pt idx="3548" formatCode="#,##0.000">
                  <c:v>#N/A</c:v>
                </c:pt>
                <c:pt idx="3549" formatCode="#,##0.000">
                  <c:v>#N/A</c:v>
                </c:pt>
                <c:pt idx="3550" formatCode="#,##0.000">
                  <c:v>#N/A</c:v>
                </c:pt>
                <c:pt idx="3551" formatCode="#,##0.000">
                  <c:v>#N/A</c:v>
                </c:pt>
                <c:pt idx="3552" formatCode="#,##0.000">
                  <c:v>#N/A</c:v>
                </c:pt>
                <c:pt idx="3553" formatCode="#,##0.000">
                  <c:v>#N/A</c:v>
                </c:pt>
                <c:pt idx="3554" formatCode="#,##0.000">
                  <c:v>#N/A</c:v>
                </c:pt>
                <c:pt idx="3555" formatCode="#,##0.000">
                  <c:v>#N/A</c:v>
                </c:pt>
                <c:pt idx="3556" formatCode="#,##0.000">
                  <c:v>#N/A</c:v>
                </c:pt>
                <c:pt idx="3557" formatCode="#,##0.000">
                  <c:v>#N/A</c:v>
                </c:pt>
                <c:pt idx="3558" formatCode="#,##0.000">
                  <c:v>#N/A</c:v>
                </c:pt>
                <c:pt idx="3559" formatCode="#,##0.000">
                  <c:v>#N/A</c:v>
                </c:pt>
                <c:pt idx="3560" formatCode="#,##0.000">
                  <c:v>#N/A</c:v>
                </c:pt>
                <c:pt idx="3561" formatCode="#,##0.000">
                  <c:v>#N/A</c:v>
                </c:pt>
                <c:pt idx="3562" formatCode="#,##0.000">
                  <c:v>#N/A</c:v>
                </c:pt>
                <c:pt idx="3563" formatCode="#,##0.000">
                  <c:v>#N/A</c:v>
                </c:pt>
                <c:pt idx="3564" formatCode="#,##0.000">
                  <c:v>#N/A</c:v>
                </c:pt>
                <c:pt idx="3565" formatCode="#,##0.000">
                  <c:v>#N/A</c:v>
                </c:pt>
                <c:pt idx="3566" formatCode="#,##0.000">
                  <c:v>#N/A</c:v>
                </c:pt>
                <c:pt idx="3567" formatCode="#,##0.000">
                  <c:v>#N/A</c:v>
                </c:pt>
                <c:pt idx="3568" formatCode="#,##0.000">
                  <c:v>#N/A</c:v>
                </c:pt>
                <c:pt idx="3569" formatCode="#,##0.000">
                  <c:v>#N/A</c:v>
                </c:pt>
                <c:pt idx="3570" formatCode="#,##0.000">
                  <c:v>#N/A</c:v>
                </c:pt>
                <c:pt idx="3571" formatCode="#,##0.000">
                  <c:v>#N/A</c:v>
                </c:pt>
                <c:pt idx="3572" formatCode="#,##0.000">
                  <c:v>#N/A</c:v>
                </c:pt>
                <c:pt idx="3573" formatCode="#,##0.000">
                  <c:v>#N/A</c:v>
                </c:pt>
                <c:pt idx="3574" formatCode="#,##0.000">
                  <c:v>#N/A</c:v>
                </c:pt>
                <c:pt idx="3575" formatCode="#,##0.000">
                  <c:v>#N/A</c:v>
                </c:pt>
                <c:pt idx="3576" formatCode="#,##0.000">
                  <c:v>#N/A</c:v>
                </c:pt>
                <c:pt idx="3577" formatCode="#,##0.000">
                  <c:v>#N/A</c:v>
                </c:pt>
                <c:pt idx="3578" formatCode="#,##0.000">
                  <c:v>#N/A</c:v>
                </c:pt>
                <c:pt idx="3579" formatCode="#,##0.000">
                  <c:v>#N/A</c:v>
                </c:pt>
                <c:pt idx="3580" formatCode="#,##0.000">
                  <c:v>#N/A</c:v>
                </c:pt>
                <c:pt idx="3581" formatCode="#,##0.000">
                  <c:v>#N/A</c:v>
                </c:pt>
                <c:pt idx="3582" formatCode="#,##0.000">
                  <c:v>#N/A</c:v>
                </c:pt>
                <c:pt idx="3583" formatCode="#,##0.000">
                  <c:v>#N/A</c:v>
                </c:pt>
                <c:pt idx="3584" formatCode="#,##0.000">
                  <c:v>#N/A</c:v>
                </c:pt>
                <c:pt idx="3585" formatCode="#,##0.000">
                  <c:v>#N/A</c:v>
                </c:pt>
                <c:pt idx="3586" formatCode="#,##0.000">
                  <c:v>#N/A</c:v>
                </c:pt>
                <c:pt idx="3587" formatCode="#,##0.000">
                  <c:v>#N/A</c:v>
                </c:pt>
                <c:pt idx="3588" formatCode="#,##0.000">
                  <c:v>#N/A</c:v>
                </c:pt>
                <c:pt idx="3589" formatCode="#,##0.000">
                  <c:v>#N/A</c:v>
                </c:pt>
                <c:pt idx="3590" formatCode="#,##0.000">
                  <c:v>#N/A</c:v>
                </c:pt>
                <c:pt idx="3591" formatCode="#,##0.000">
                  <c:v>#N/A</c:v>
                </c:pt>
                <c:pt idx="3592" formatCode="#,##0.000">
                  <c:v>#N/A</c:v>
                </c:pt>
                <c:pt idx="3593" formatCode="#,##0.000">
                  <c:v>#N/A</c:v>
                </c:pt>
                <c:pt idx="3594" formatCode="#,##0.000">
                  <c:v>#N/A</c:v>
                </c:pt>
                <c:pt idx="3595" formatCode="#,##0.000">
                  <c:v>#N/A</c:v>
                </c:pt>
                <c:pt idx="3596" formatCode="#,##0.000">
                  <c:v>#N/A</c:v>
                </c:pt>
                <c:pt idx="3597" formatCode="#,##0.000">
                  <c:v>#N/A</c:v>
                </c:pt>
                <c:pt idx="3598" formatCode="#,##0.000">
                  <c:v>#N/A</c:v>
                </c:pt>
                <c:pt idx="3599" formatCode="#,##0.000">
                  <c:v>#N/A</c:v>
                </c:pt>
                <c:pt idx="3600" formatCode="#,##0.000">
                  <c:v>#N/A</c:v>
                </c:pt>
                <c:pt idx="3601" formatCode="#,##0.000">
                  <c:v>#N/A</c:v>
                </c:pt>
                <c:pt idx="3602" formatCode="#,##0.000">
                  <c:v>#N/A</c:v>
                </c:pt>
                <c:pt idx="3603" formatCode="#,##0.000">
                  <c:v>#N/A</c:v>
                </c:pt>
                <c:pt idx="3604" formatCode="#,##0.000">
                  <c:v>#N/A</c:v>
                </c:pt>
                <c:pt idx="3605" formatCode="#,##0.000">
                  <c:v>#N/A</c:v>
                </c:pt>
                <c:pt idx="3606" formatCode="#,##0.000">
                  <c:v>#N/A</c:v>
                </c:pt>
                <c:pt idx="3607" formatCode="#,##0.000">
                  <c:v>#N/A</c:v>
                </c:pt>
                <c:pt idx="3608" formatCode="#,##0.000">
                  <c:v>#N/A</c:v>
                </c:pt>
                <c:pt idx="3609" formatCode="#,##0.000">
                  <c:v>#N/A</c:v>
                </c:pt>
                <c:pt idx="3610" formatCode="#,##0.000">
                  <c:v>#N/A</c:v>
                </c:pt>
                <c:pt idx="3611" formatCode="#,##0.000">
                  <c:v>#N/A</c:v>
                </c:pt>
                <c:pt idx="3612" formatCode="#,##0.000">
                  <c:v>#N/A</c:v>
                </c:pt>
                <c:pt idx="3613" formatCode="#,##0.000">
                  <c:v>#N/A</c:v>
                </c:pt>
                <c:pt idx="3614" formatCode="#,##0.000">
                  <c:v>#N/A</c:v>
                </c:pt>
                <c:pt idx="3615" formatCode="#,##0.000">
                  <c:v>#N/A</c:v>
                </c:pt>
                <c:pt idx="3616" formatCode="#,##0.000">
                  <c:v>#N/A</c:v>
                </c:pt>
                <c:pt idx="3617" formatCode="#,##0.000">
                  <c:v>#N/A</c:v>
                </c:pt>
                <c:pt idx="3618" formatCode="#,##0.000">
                  <c:v>#N/A</c:v>
                </c:pt>
                <c:pt idx="3619" formatCode="#,##0.000">
                  <c:v>#N/A</c:v>
                </c:pt>
                <c:pt idx="3620" formatCode="#,##0.000">
                  <c:v>#N/A</c:v>
                </c:pt>
                <c:pt idx="3621" formatCode="#,##0.000">
                  <c:v>#N/A</c:v>
                </c:pt>
                <c:pt idx="3622" formatCode="#,##0.000">
                  <c:v>#N/A</c:v>
                </c:pt>
                <c:pt idx="3623" formatCode="#,##0.000">
                  <c:v>#N/A</c:v>
                </c:pt>
                <c:pt idx="3624" formatCode="#,##0.000">
                  <c:v>#N/A</c:v>
                </c:pt>
                <c:pt idx="3625" formatCode="#,##0.000">
                  <c:v>#N/A</c:v>
                </c:pt>
                <c:pt idx="3626" formatCode="#,##0.000">
                  <c:v>#N/A</c:v>
                </c:pt>
                <c:pt idx="3627" formatCode="#,##0.000">
                  <c:v>#N/A</c:v>
                </c:pt>
                <c:pt idx="3628" formatCode="#,##0.000">
                  <c:v>#N/A</c:v>
                </c:pt>
                <c:pt idx="3629" formatCode="#,##0.000">
                  <c:v>#N/A</c:v>
                </c:pt>
                <c:pt idx="3630" formatCode="#,##0.000">
                  <c:v>#N/A</c:v>
                </c:pt>
                <c:pt idx="3631" formatCode="#,##0.000">
                  <c:v>#N/A</c:v>
                </c:pt>
                <c:pt idx="3632" formatCode="#,##0.000">
                  <c:v>#N/A</c:v>
                </c:pt>
                <c:pt idx="3633" formatCode="#,##0.000">
                  <c:v>#N/A</c:v>
                </c:pt>
                <c:pt idx="3634" formatCode="#,##0.000">
                  <c:v>#N/A</c:v>
                </c:pt>
                <c:pt idx="3635" formatCode="#,##0.000">
                  <c:v>#N/A</c:v>
                </c:pt>
                <c:pt idx="3636" formatCode="#,##0.000">
                  <c:v>#N/A</c:v>
                </c:pt>
                <c:pt idx="3637" formatCode="#,##0.000">
                  <c:v>#N/A</c:v>
                </c:pt>
                <c:pt idx="3638" formatCode="#,##0.000">
                  <c:v>#N/A</c:v>
                </c:pt>
                <c:pt idx="3639" formatCode="#,##0.000">
                  <c:v>#N/A</c:v>
                </c:pt>
                <c:pt idx="3640" formatCode="#,##0.000">
                  <c:v>#N/A</c:v>
                </c:pt>
                <c:pt idx="3641" formatCode="#,##0.000">
                  <c:v>#N/A</c:v>
                </c:pt>
                <c:pt idx="3642" formatCode="#,##0.000">
                  <c:v>#N/A</c:v>
                </c:pt>
                <c:pt idx="3643" formatCode="#,##0.000">
                  <c:v>#N/A</c:v>
                </c:pt>
                <c:pt idx="3644" formatCode="#,##0.000">
                  <c:v>#N/A</c:v>
                </c:pt>
                <c:pt idx="3645" formatCode="#,##0.000">
                  <c:v>#N/A</c:v>
                </c:pt>
                <c:pt idx="3646" formatCode="#,##0.000">
                  <c:v>#N/A</c:v>
                </c:pt>
                <c:pt idx="3647" formatCode="#,##0.000">
                  <c:v>#N/A</c:v>
                </c:pt>
                <c:pt idx="3648" formatCode="#,##0.000">
                  <c:v>#N/A</c:v>
                </c:pt>
                <c:pt idx="3649" formatCode="#,##0.000">
                  <c:v>#N/A</c:v>
                </c:pt>
                <c:pt idx="3650" formatCode="#,##0.000">
                  <c:v>#N/A</c:v>
                </c:pt>
                <c:pt idx="3651" formatCode="#,##0.000">
                  <c:v>#N/A</c:v>
                </c:pt>
                <c:pt idx="3652" formatCode="#,##0.000">
                  <c:v>#N/A</c:v>
                </c:pt>
                <c:pt idx="3653" formatCode="#,##0.000">
                  <c:v>#N/A</c:v>
                </c:pt>
                <c:pt idx="3654" formatCode="#,##0.000">
                  <c:v>#N/A</c:v>
                </c:pt>
                <c:pt idx="3655" formatCode="#,##0.000">
                  <c:v>#N/A</c:v>
                </c:pt>
                <c:pt idx="3656" formatCode="#,##0.000">
                  <c:v>#N/A</c:v>
                </c:pt>
                <c:pt idx="3657" formatCode="#,##0.000">
                  <c:v>#N/A</c:v>
                </c:pt>
                <c:pt idx="3658" formatCode="#,##0.000">
                  <c:v>#N/A</c:v>
                </c:pt>
                <c:pt idx="3659" formatCode="#,##0.000">
                  <c:v>#N/A</c:v>
                </c:pt>
                <c:pt idx="3660" formatCode="#,##0.000">
                  <c:v>#N/A</c:v>
                </c:pt>
                <c:pt idx="3661" formatCode="#,##0.000">
                  <c:v>#N/A</c:v>
                </c:pt>
                <c:pt idx="3662" formatCode="#,##0.000">
                  <c:v>#N/A</c:v>
                </c:pt>
                <c:pt idx="3663" formatCode="#,##0.000">
                  <c:v>#N/A</c:v>
                </c:pt>
                <c:pt idx="3664" formatCode="#,##0.000">
                  <c:v>#N/A</c:v>
                </c:pt>
                <c:pt idx="3665" formatCode="#,##0.000">
                  <c:v>#N/A</c:v>
                </c:pt>
                <c:pt idx="3666" formatCode="#,##0.000">
                  <c:v>#N/A</c:v>
                </c:pt>
                <c:pt idx="3667" formatCode="#,##0.000">
                  <c:v>#N/A</c:v>
                </c:pt>
                <c:pt idx="3668" formatCode="#,##0.000">
                  <c:v>#N/A</c:v>
                </c:pt>
                <c:pt idx="3669" formatCode="#,##0.000">
                  <c:v>#N/A</c:v>
                </c:pt>
                <c:pt idx="3670" formatCode="#,##0.000">
                  <c:v>#N/A</c:v>
                </c:pt>
                <c:pt idx="3671" formatCode="#,##0.000">
                  <c:v>#N/A</c:v>
                </c:pt>
                <c:pt idx="3672" formatCode="#,##0.000">
                  <c:v>#N/A</c:v>
                </c:pt>
                <c:pt idx="3673" formatCode="#,##0.000">
                  <c:v>#N/A</c:v>
                </c:pt>
                <c:pt idx="3674" formatCode="#,##0.000">
                  <c:v>#N/A</c:v>
                </c:pt>
                <c:pt idx="3675" formatCode="#,##0.000">
                  <c:v>#N/A</c:v>
                </c:pt>
                <c:pt idx="3676" formatCode="#,##0.000">
                  <c:v>#N/A</c:v>
                </c:pt>
                <c:pt idx="3677" formatCode="#,##0.000">
                  <c:v>#N/A</c:v>
                </c:pt>
                <c:pt idx="3678" formatCode="#,##0.000">
                  <c:v>#N/A</c:v>
                </c:pt>
                <c:pt idx="3679" formatCode="#,##0.000">
                  <c:v>#N/A</c:v>
                </c:pt>
                <c:pt idx="3680" formatCode="#,##0.000">
                  <c:v>#N/A</c:v>
                </c:pt>
                <c:pt idx="3681" formatCode="#,##0.000">
                  <c:v>#N/A</c:v>
                </c:pt>
                <c:pt idx="3682" formatCode="#,##0.000">
                  <c:v>#N/A</c:v>
                </c:pt>
                <c:pt idx="3683" formatCode="#,##0.000">
                  <c:v>#N/A</c:v>
                </c:pt>
                <c:pt idx="3684" formatCode="#,##0.000">
                  <c:v>#N/A</c:v>
                </c:pt>
                <c:pt idx="3685" formatCode="#,##0.000">
                  <c:v>#N/A</c:v>
                </c:pt>
                <c:pt idx="3686" formatCode="#,##0.000">
                  <c:v>#N/A</c:v>
                </c:pt>
                <c:pt idx="3687" formatCode="#,##0.000">
                  <c:v>#N/A</c:v>
                </c:pt>
                <c:pt idx="3688" formatCode="#,##0.000">
                  <c:v>#N/A</c:v>
                </c:pt>
                <c:pt idx="3689" formatCode="#,##0.000">
                  <c:v>#N/A</c:v>
                </c:pt>
                <c:pt idx="3690" formatCode="#,##0.000">
                  <c:v>#N/A</c:v>
                </c:pt>
                <c:pt idx="3691" formatCode="#,##0.000">
                  <c:v>#N/A</c:v>
                </c:pt>
                <c:pt idx="3692" formatCode="#,##0.000">
                  <c:v>#N/A</c:v>
                </c:pt>
                <c:pt idx="3693" formatCode="#,##0.000">
                  <c:v>#N/A</c:v>
                </c:pt>
                <c:pt idx="3694" formatCode="#,##0.000">
                  <c:v>#N/A</c:v>
                </c:pt>
                <c:pt idx="3695" formatCode="#,##0.000">
                  <c:v>#N/A</c:v>
                </c:pt>
                <c:pt idx="3696" formatCode="#,##0.000">
                  <c:v>#N/A</c:v>
                </c:pt>
                <c:pt idx="3697" formatCode="#,##0.000">
                  <c:v>#N/A</c:v>
                </c:pt>
                <c:pt idx="3698" formatCode="#,##0.000">
                  <c:v>#N/A</c:v>
                </c:pt>
                <c:pt idx="3699" formatCode="#,##0.000">
                  <c:v>#N/A</c:v>
                </c:pt>
                <c:pt idx="3700" formatCode="#,##0.000">
                  <c:v>#N/A</c:v>
                </c:pt>
                <c:pt idx="3701" formatCode="#,##0.000">
                  <c:v>#N/A</c:v>
                </c:pt>
                <c:pt idx="3702" formatCode="#,##0.000">
                  <c:v>#N/A</c:v>
                </c:pt>
                <c:pt idx="3703" formatCode="#,##0.000">
                  <c:v>#N/A</c:v>
                </c:pt>
                <c:pt idx="3704" formatCode="#,##0.000">
                  <c:v>#N/A</c:v>
                </c:pt>
                <c:pt idx="3705" formatCode="#,##0.000">
                  <c:v>#N/A</c:v>
                </c:pt>
                <c:pt idx="3706" formatCode="#,##0.000">
                  <c:v>#N/A</c:v>
                </c:pt>
                <c:pt idx="3707" formatCode="#,##0.000">
                  <c:v>#N/A</c:v>
                </c:pt>
                <c:pt idx="3708" formatCode="#,##0.000">
                  <c:v>#N/A</c:v>
                </c:pt>
                <c:pt idx="3709" formatCode="#,##0.000">
                  <c:v>#N/A</c:v>
                </c:pt>
                <c:pt idx="3710" formatCode="#,##0.000">
                  <c:v>#N/A</c:v>
                </c:pt>
                <c:pt idx="3711" formatCode="#,##0.000">
                  <c:v>#N/A</c:v>
                </c:pt>
                <c:pt idx="3712" formatCode="#,##0.000">
                  <c:v>#N/A</c:v>
                </c:pt>
                <c:pt idx="3713" formatCode="#,##0.000">
                  <c:v>#N/A</c:v>
                </c:pt>
                <c:pt idx="3714" formatCode="#,##0.000">
                  <c:v>#N/A</c:v>
                </c:pt>
                <c:pt idx="3715" formatCode="#,##0.000">
                  <c:v>#N/A</c:v>
                </c:pt>
                <c:pt idx="3716" formatCode="#,##0.000">
                  <c:v>#N/A</c:v>
                </c:pt>
                <c:pt idx="3717" formatCode="#,##0.000">
                  <c:v>#N/A</c:v>
                </c:pt>
                <c:pt idx="3718" formatCode="#,##0.000">
                  <c:v>#N/A</c:v>
                </c:pt>
                <c:pt idx="3719" formatCode="#,##0.000">
                  <c:v>#N/A</c:v>
                </c:pt>
                <c:pt idx="3720" formatCode="#,##0.000">
                  <c:v>#N/A</c:v>
                </c:pt>
                <c:pt idx="3721" formatCode="#,##0.000">
                  <c:v>#N/A</c:v>
                </c:pt>
                <c:pt idx="3722" formatCode="#,##0.000">
                  <c:v>#N/A</c:v>
                </c:pt>
                <c:pt idx="3723" formatCode="#,##0.000">
                  <c:v>#N/A</c:v>
                </c:pt>
                <c:pt idx="3724" formatCode="#,##0.000">
                  <c:v>#N/A</c:v>
                </c:pt>
                <c:pt idx="3725" formatCode="#,##0.000">
                  <c:v>#N/A</c:v>
                </c:pt>
                <c:pt idx="3726" formatCode="#,##0.000">
                  <c:v>#N/A</c:v>
                </c:pt>
                <c:pt idx="3727" formatCode="#,##0.000">
                  <c:v>#N/A</c:v>
                </c:pt>
                <c:pt idx="3728" formatCode="#,##0.000">
                  <c:v>#N/A</c:v>
                </c:pt>
                <c:pt idx="3729" formatCode="#,##0.000">
                  <c:v>#N/A</c:v>
                </c:pt>
                <c:pt idx="3730" formatCode="#,##0.000">
                  <c:v>#N/A</c:v>
                </c:pt>
                <c:pt idx="3731" formatCode="#,##0.000">
                  <c:v>#N/A</c:v>
                </c:pt>
                <c:pt idx="3732" formatCode="#,##0.000">
                  <c:v>#N/A</c:v>
                </c:pt>
                <c:pt idx="3733" formatCode="#,##0.000">
                  <c:v>#N/A</c:v>
                </c:pt>
                <c:pt idx="3734" formatCode="#,##0.000">
                  <c:v>#N/A</c:v>
                </c:pt>
                <c:pt idx="3735" formatCode="#,##0.000">
                  <c:v>#N/A</c:v>
                </c:pt>
                <c:pt idx="3736" formatCode="#,##0.000">
                  <c:v>#N/A</c:v>
                </c:pt>
                <c:pt idx="3737" formatCode="#,##0.000">
                  <c:v>#N/A</c:v>
                </c:pt>
                <c:pt idx="3738" formatCode="#,##0.000">
                  <c:v>#N/A</c:v>
                </c:pt>
                <c:pt idx="3739" formatCode="#,##0.000">
                  <c:v>#N/A</c:v>
                </c:pt>
                <c:pt idx="3740" formatCode="#,##0.000">
                  <c:v>#N/A</c:v>
                </c:pt>
                <c:pt idx="3741" formatCode="#,##0.000">
                  <c:v>#N/A</c:v>
                </c:pt>
                <c:pt idx="3742" formatCode="#,##0.000">
                  <c:v>#N/A</c:v>
                </c:pt>
                <c:pt idx="3743" formatCode="#,##0.000">
                  <c:v>#N/A</c:v>
                </c:pt>
                <c:pt idx="3744" formatCode="#,##0.000">
                  <c:v>#N/A</c:v>
                </c:pt>
                <c:pt idx="3745" formatCode="#,##0.000">
                  <c:v>#N/A</c:v>
                </c:pt>
                <c:pt idx="3746" formatCode="#,##0.000">
                  <c:v>#N/A</c:v>
                </c:pt>
                <c:pt idx="3747" formatCode="#,##0.000">
                  <c:v>#N/A</c:v>
                </c:pt>
                <c:pt idx="3748" formatCode="#,##0.000">
                  <c:v>#N/A</c:v>
                </c:pt>
                <c:pt idx="3749" formatCode="#,##0.000">
                  <c:v>#N/A</c:v>
                </c:pt>
                <c:pt idx="3750" formatCode="#,##0.000">
                  <c:v>#N/A</c:v>
                </c:pt>
                <c:pt idx="3751" formatCode="#,##0.000">
                  <c:v>#N/A</c:v>
                </c:pt>
                <c:pt idx="3752" formatCode="#,##0.000">
                  <c:v>#N/A</c:v>
                </c:pt>
                <c:pt idx="3753" formatCode="#,##0.000">
                  <c:v>#N/A</c:v>
                </c:pt>
                <c:pt idx="3754" formatCode="#,##0.000">
                  <c:v>#N/A</c:v>
                </c:pt>
                <c:pt idx="3755" formatCode="#,##0.000">
                  <c:v>#N/A</c:v>
                </c:pt>
                <c:pt idx="3756" formatCode="#,##0.000">
                  <c:v>#N/A</c:v>
                </c:pt>
                <c:pt idx="3757" formatCode="#,##0.000">
                  <c:v>#N/A</c:v>
                </c:pt>
                <c:pt idx="3758" formatCode="#,##0.000">
                  <c:v>#N/A</c:v>
                </c:pt>
                <c:pt idx="3759" formatCode="#,##0.000">
                  <c:v>#N/A</c:v>
                </c:pt>
                <c:pt idx="3760" formatCode="#,##0.000">
                  <c:v>#N/A</c:v>
                </c:pt>
                <c:pt idx="3761" formatCode="#,##0.000">
                  <c:v>#N/A</c:v>
                </c:pt>
                <c:pt idx="3762" formatCode="#,##0.000">
                  <c:v>#N/A</c:v>
                </c:pt>
                <c:pt idx="3763" formatCode="#,##0.000">
                  <c:v>#N/A</c:v>
                </c:pt>
                <c:pt idx="3764" formatCode="#,##0.000">
                  <c:v>#N/A</c:v>
                </c:pt>
                <c:pt idx="3765" formatCode="#,##0.000">
                  <c:v>#N/A</c:v>
                </c:pt>
                <c:pt idx="3766" formatCode="#,##0.000">
                  <c:v>#N/A</c:v>
                </c:pt>
                <c:pt idx="3767" formatCode="#,##0.000">
                  <c:v>#N/A</c:v>
                </c:pt>
                <c:pt idx="3768" formatCode="#,##0.000">
                  <c:v>#N/A</c:v>
                </c:pt>
                <c:pt idx="3769" formatCode="#,##0.000">
                  <c:v>#N/A</c:v>
                </c:pt>
                <c:pt idx="3770" formatCode="#,##0.000">
                  <c:v>#N/A</c:v>
                </c:pt>
                <c:pt idx="3771" formatCode="#,##0.000">
                  <c:v>#N/A</c:v>
                </c:pt>
                <c:pt idx="3772" formatCode="#,##0.000">
                  <c:v>#N/A</c:v>
                </c:pt>
                <c:pt idx="3773" formatCode="#,##0.000">
                  <c:v>#N/A</c:v>
                </c:pt>
                <c:pt idx="3774" formatCode="#,##0.000">
                  <c:v>#N/A</c:v>
                </c:pt>
                <c:pt idx="3775" formatCode="#,##0.000">
                  <c:v>#N/A</c:v>
                </c:pt>
                <c:pt idx="3776" formatCode="#,##0.000">
                  <c:v>#N/A</c:v>
                </c:pt>
                <c:pt idx="3777" formatCode="#,##0.000">
                  <c:v>#N/A</c:v>
                </c:pt>
                <c:pt idx="3778" formatCode="#,##0.000">
                  <c:v>#N/A</c:v>
                </c:pt>
                <c:pt idx="3779" formatCode="#,##0.000">
                  <c:v>#N/A</c:v>
                </c:pt>
                <c:pt idx="3780" formatCode="#,##0.000">
                  <c:v>#N/A</c:v>
                </c:pt>
                <c:pt idx="3781" formatCode="#,##0.000">
                  <c:v>#N/A</c:v>
                </c:pt>
                <c:pt idx="3782" formatCode="#,##0.000">
                  <c:v>#N/A</c:v>
                </c:pt>
                <c:pt idx="3783" formatCode="#,##0.000">
                  <c:v>#N/A</c:v>
                </c:pt>
                <c:pt idx="3784" formatCode="#,##0.000">
                  <c:v>#N/A</c:v>
                </c:pt>
                <c:pt idx="3785" formatCode="#,##0.000">
                  <c:v>#N/A</c:v>
                </c:pt>
                <c:pt idx="3786" formatCode="#,##0.000">
                  <c:v>#N/A</c:v>
                </c:pt>
                <c:pt idx="3787" formatCode="#,##0.000">
                  <c:v>#N/A</c:v>
                </c:pt>
                <c:pt idx="3788" formatCode="#,##0.000">
                  <c:v>#N/A</c:v>
                </c:pt>
                <c:pt idx="3789" formatCode="#,##0.000">
                  <c:v>#N/A</c:v>
                </c:pt>
                <c:pt idx="3790" formatCode="#,##0.000">
                  <c:v>#N/A</c:v>
                </c:pt>
                <c:pt idx="3791" formatCode="#,##0.000">
                  <c:v>#N/A</c:v>
                </c:pt>
                <c:pt idx="3792" formatCode="#,##0.000">
                  <c:v>#N/A</c:v>
                </c:pt>
                <c:pt idx="3793" formatCode="#,##0.000">
                  <c:v>#N/A</c:v>
                </c:pt>
                <c:pt idx="3794" formatCode="#,##0.000">
                  <c:v>#N/A</c:v>
                </c:pt>
                <c:pt idx="3795" formatCode="#,##0.000">
                  <c:v>#N/A</c:v>
                </c:pt>
                <c:pt idx="3796" formatCode="#,##0.000">
                  <c:v>#N/A</c:v>
                </c:pt>
                <c:pt idx="3797" formatCode="#,##0.000">
                  <c:v>#N/A</c:v>
                </c:pt>
                <c:pt idx="3798" formatCode="#,##0.000">
                  <c:v>#N/A</c:v>
                </c:pt>
                <c:pt idx="3799" formatCode="#,##0.000">
                  <c:v>#N/A</c:v>
                </c:pt>
                <c:pt idx="3800" formatCode="#,##0.000">
                  <c:v>#N/A</c:v>
                </c:pt>
                <c:pt idx="3801" formatCode="#,##0.000">
                  <c:v>#N/A</c:v>
                </c:pt>
                <c:pt idx="3802" formatCode="#,##0.000">
                  <c:v>#N/A</c:v>
                </c:pt>
                <c:pt idx="3803" formatCode="#,##0.000">
                  <c:v>#N/A</c:v>
                </c:pt>
                <c:pt idx="3804" formatCode="#,##0.000">
                  <c:v>#N/A</c:v>
                </c:pt>
                <c:pt idx="3805" formatCode="#,##0.000">
                  <c:v>#N/A</c:v>
                </c:pt>
                <c:pt idx="3806" formatCode="#,##0.000">
                  <c:v>#N/A</c:v>
                </c:pt>
                <c:pt idx="3807" formatCode="#,##0.000">
                  <c:v>#N/A</c:v>
                </c:pt>
                <c:pt idx="3808" formatCode="#,##0.000">
                  <c:v>#N/A</c:v>
                </c:pt>
                <c:pt idx="3809" formatCode="#,##0.000">
                  <c:v>#N/A</c:v>
                </c:pt>
                <c:pt idx="3810" formatCode="#,##0.000">
                  <c:v>#N/A</c:v>
                </c:pt>
                <c:pt idx="3811" formatCode="#,##0.000">
                  <c:v>#N/A</c:v>
                </c:pt>
                <c:pt idx="3812" formatCode="#,##0.000">
                  <c:v>#N/A</c:v>
                </c:pt>
                <c:pt idx="3813" formatCode="#,##0.000">
                  <c:v>#N/A</c:v>
                </c:pt>
                <c:pt idx="3814" formatCode="#,##0.000">
                  <c:v>#N/A</c:v>
                </c:pt>
                <c:pt idx="3815" formatCode="#,##0.000">
                  <c:v>#N/A</c:v>
                </c:pt>
                <c:pt idx="3816" formatCode="#,##0.000">
                  <c:v>#N/A</c:v>
                </c:pt>
                <c:pt idx="3817" formatCode="#,##0.000">
                  <c:v>#N/A</c:v>
                </c:pt>
                <c:pt idx="3818" formatCode="#,##0.000">
                  <c:v>#N/A</c:v>
                </c:pt>
                <c:pt idx="3819" formatCode="#,##0.000">
                  <c:v>#N/A</c:v>
                </c:pt>
                <c:pt idx="3820" formatCode="#,##0.000">
                  <c:v>#N/A</c:v>
                </c:pt>
                <c:pt idx="3821" formatCode="#,##0.000">
                  <c:v>#N/A</c:v>
                </c:pt>
                <c:pt idx="3822" formatCode="#,##0.000">
                  <c:v>#N/A</c:v>
                </c:pt>
                <c:pt idx="3823" formatCode="#,##0.000">
                  <c:v>#N/A</c:v>
                </c:pt>
                <c:pt idx="3824" formatCode="#,##0.000">
                  <c:v>#N/A</c:v>
                </c:pt>
                <c:pt idx="3825" formatCode="#,##0.000">
                  <c:v>#N/A</c:v>
                </c:pt>
                <c:pt idx="3826" formatCode="#,##0.000">
                  <c:v>#N/A</c:v>
                </c:pt>
                <c:pt idx="3827" formatCode="#,##0.000">
                  <c:v>#N/A</c:v>
                </c:pt>
                <c:pt idx="3828" formatCode="#,##0.000">
                  <c:v>#N/A</c:v>
                </c:pt>
                <c:pt idx="3829" formatCode="#,##0.000">
                  <c:v>#N/A</c:v>
                </c:pt>
                <c:pt idx="3830" formatCode="#,##0.000">
                  <c:v>#N/A</c:v>
                </c:pt>
                <c:pt idx="3831" formatCode="#,##0.000">
                  <c:v>#N/A</c:v>
                </c:pt>
                <c:pt idx="3832" formatCode="#,##0.000">
                  <c:v>#N/A</c:v>
                </c:pt>
                <c:pt idx="3833" formatCode="#,##0.000">
                  <c:v>#N/A</c:v>
                </c:pt>
                <c:pt idx="3834" formatCode="#,##0.000">
                  <c:v>#N/A</c:v>
                </c:pt>
                <c:pt idx="3835" formatCode="#,##0.000">
                  <c:v>#N/A</c:v>
                </c:pt>
                <c:pt idx="3836" formatCode="#,##0.000">
                  <c:v>#N/A</c:v>
                </c:pt>
                <c:pt idx="3837" formatCode="#,##0.000">
                  <c:v>#N/A</c:v>
                </c:pt>
                <c:pt idx="3838" formatCode="#,##0.000">
                  <c:v>#N/A</c:v>
                </c:pt>
                <c:pt idx="3839" formatCode="#,##0.000">
                  <c:v>#N/A</c:v>
                </c:pt>
                <c:pt idx="3840" formatCode="#,##0.000">
                  <c:v>#N/A</c:v>
                </c:pt>
                <c:pt idx="3841" formatCode="#,##0.000">
                  <c:v>#N/A</c:v>
                </c:pt>
                <c:pt idx="3842" formatCode="#,##0.000">
                  <c:v>#N/A</c:v>
                </c:pt>
                <c:pt idx="3843" formatCode="#,##0.000">
                  <c:v>#N/A</c:v>
                </c:pt>
                <c:pt idx="3844" formatCode="#,##0.000">
                  <c:v>#N/A</c:v>
                </c:pt>
                <c:pt idx="3845" formatCode="#,##0.000">
                  <c:v>#N/A</c:v>
                </c:pt>
                <c:pt idx="3846" formatCode="#,##0.000">
                  <c:v>#N/A</c:v>
                </c:pt>
                <c:pt idx="3847" formatCode="#,##0.000">
                  <c:v>#N/A</c:v>
                </c:pt>
                <c:pt idx="3848" formatCode="#,##0.000">
                  <c:v>#N/A</c:v>
                </c:pt>
                <c:pt idx="3849" formatCode="#,##0.000">
                  <c:v>#N/A</c:v>
                </c:pt>
                <c:pt idx="3850" formatCode="#,##0.000">
                  <c:v>#N/A</c:v>
                </c:pt>
                <c:pt idx="3851" formatCode="#,##0.000">
                  <c:v>#N/A</c:v>
                </c:pt>
                <c:pt idx="3852" formatCode="#,##0.000">
                  <c:v>#N/A</c:v>
                </c:pt>
                <c:pt idx="3853" formatCode="#,##0.000">
                  <c:v>#N/A</c:v>
                </c:pt>
                <c:pt idx="3854" formatCode="#,##0.000">
                  <c:v>#N/A</c:v>
                </c:pt>
                <c:pt idx="3855" formatCode="#,##0.000">
                  <c:v>#N/A</c:v>
                </c:pt>
                <c:pt idx="3856" formatCode="#,##0.000">
                  <c:v>#N/A</c:v>
                </c:pt>
                <c:pt idx="3857" formatCode="#,##0.000">
                  <c:v>#N/A</c:v>
                </c:pt>
                <c:pt idx="3858" formatCode="#,##0.000">
                  <c:v>#N/A</c:v>
                </c:pt>
                <c:pt idx="3859" formatCode="#,##0.000">
                  <c:v>#N/A</c:v>
                </c:pt>
                <c:pt idx="3860" formatCode="#,##0.000">
                  <c:v>#N/A</c:v>
                </c:pt>
                <c:pt idx="3861" formatCode="#,##0.000">
                  <c:v>#N/A</c:v>
                </c:pt>
                <c:pt idx="3862" formatCode="#,##0.000">
                  <c:v>#N/A</c:v>
                </c:pt>
                <c:pt idx="3863" formatCode="#,##0.000">
                  <c:v>#N/A</c:v>
                </c:pt>
                <c:pt idx="3864" formatCode="#,##0.000">
                  <c:v>#N/A</c:v>
                </c:pt>
                <c:pt idx="3865" formatCode="#,##0.000">
                  <c:v>#N/A</c:v>
                </c:pt>
                <c:pt idx="3866" formatCode="#,##0.000">
                  <c:v>#N/A</c:v>
                </c:pt>
                <c:pt idx="3867" formatCode="#,##0.000">
                  <c:v>#N/A</c:v>
                </c:pt>
                <c:pt idx="3868" formatCode="#,##0.000">
                  <c:v>#N/A</c:v>
                </c:pt>
                <c:pt idx="3869" formatCode="#,##0.000">
                  <c:v>#N/A</c:v>
                </c:pt>
                <c:pt idx="3870" formatCode="#,##0.000">
                  <c:v>#N/A</c:v>
                </c:pt>
                <c:pt idx="3871" formatCode="#,##0.000">
                  <c:v>#N/A</c:v>
                </c:pt>
                <c:pt idx="3872" formatCode="#,##0.000">
                  <c:v>#N/A</c:v>
                </c:pt>
                <c:pt idx="3873" formatCode="#,##0.000">
                  <c:v>#N/A</c:v>
                </c:pt>
                <c:pt idx="3874" formatCode="#,##0.000">
                  <c:v>#N/A</c:v>
                </c:pt>
                <c:pt idx="3875" formatCode="#,##0.000">
                  <c:v>#N/A</c:v>
                </c:pt>
                <c:pt idx="3876" formatCode="#,##0.000">
                  <c:v>#N/A</c:v>
                </c:pt>
                <c:pt idx="3877" formatCode="#,##0.000">
                  <c:v>#N/A</c:v>
                </c:pt>
                <c:pt idx="3878" formatCode="#,##0.000">
                  <c:v>#N/A</c:v>
                </c:pt>
                <c:pt idx="3879" formatCode="#,##0.000">
                  <c:v>#N/A</c:v>
                </c:pt>
                <c:pt idx="3880" formatCode="#,##0.000">
                  <c:v>#N/A</c:v>
                </c:pt>
                <c:pt idx="3881" formatCode="#,##0.000">
                  <c:v>#N/A</c:v>
                </c:pt>
                <c:pt idx="3882" formatCode="#,##0.000">
                  <c:v>#N/A</c:v>
                </c:pt>
                <c:pt idx="3883" formatCode="#,##0.000">
                  <c:v>#N/A</c:v>
                </c:pt>
                <c:pt idx="3884" formatCode="#,##0.000">
                  <c:v>#N/A</c:v>
                </c:pt>
                <c:pt idx="3885" formatCode="#,##0.000">
                  <c:v>#N/A</c:v>
                </c:pt>
                <c:pt idx="3886" formatCode="#,##0.000">
                  <c:v>#N/A</c:v>
                </c:pt>
                <c:pt idx="3887" formatCode="#,##0.000">
                  <c:v>#N/A</c:v>
                </c:pt>
                <c:pt idx="3888" formatCode="#,##0.000">
                  <c:v>#N/A</c:v>
                </c:pt>
                <c:pt idx="3889" formatCode="#,##0.000">
                  <c:v>#N/A</c:v>
                </c:pt>
                <c:pt idx="3890" formatCode="#,##0.000">
                  <c:v>#N/A</c:v>
                </c:pt>
                <c:pt idx="3891" formatCode="#,##0.000">
                  <c:v>#N/A</c:v>
                </c:pt>
                <c:pt idx="3892" formatCode="#,##0.000">
                  <c:v>#N/A</c:v>
                </c:pt>
                <c:pt idx="3893" formatCode="#,##0.000">
                  <c:v>#N/A</c:v>
                </c:pt>
                <c:pt idx="3894" formatCode="#,##0.000">
                  <c:v>#N/A</c:v>
                </c:pt>
                <c:pt idx="3895" formatCode="#,##0.000">
                  <c:v>#N/A</c:v>
                </c:pt>
                <c:pt idx="3896" formatCode="#,##0.000">
                  <c:v>#N/A</c:v>
                </c:pt>
                <c:pt idx="3897" formatCode="#,##0.000">
                  <c:v>#N/A</c:v>
                </c:pt>
                <c:pt idx="3898" formatCode="#,##0.000">
                  <c:v>#N/A</c:v>
                </c:pt>
                <c:pt idx="3899" formatCode="#,##0.000">
                  <c:v>#N/A</c:v>
                </c:pt>
                <c:pt idx="3900" formatCode="#,##0.000">
                  <c:v>#N/A</c:v>
                </c:pt>
                <c:pt idx="3901" formatCode="#,##0.000">
                  <c:v>#N/A</c:v>
                </c:pt>
                <c:pt idx="3902" formatCode="#,##0.000">
                  <c:v>#N/A</c:v>
                </c:pt>
                <c:pt idx="3903" formatCode="#,##0.000">
                  <c:v>#N/A</c:v>
                </c:pt>
                <c:pt idx="3904" formatCode="#,##0.000">
                  <c:v>#N/A</c:v>
                </c:pt>
                <c:pt idx="3905" formatCode="#,##0.000">
                  <c:v>#N/A</c:v>
                </c:pt>
                <c:pt idx="3906" formatCode="#,##0.000">
                  <c:v>#N/A</c:v>
                </c:pt>
                <c:pt idx="3907" formatCode="#,##0.000">
                  <c:v>#N/A</c:v>
                </c:pt>
                <c:pt idx="3908" formatCode="#,##0.000">
                  <c:v>#N/A</c:v>
                </c:pt>
                <c:pt idx="3909" formatCode="#,##0.000">
                  <c:v>#N/A</c:v>
                </c:pt>
                <c:pt idx="3910" formatCode="#,##0.000">
                  <c:v>#N/A</c:v>
                </c:pt>
                <c:pt idx="3911" formatCode="#,##0.000">
                  <c:v>#N/A</c:v>
                </c:pt>
                <c:pt idx="3912" formatCode="#,##0.000">
                  <c:v>#N/A</c:v>
                </c:pt>
                <c:pt idx="3913" formatCode="#,##0.000">
                  <c:v>#N/A</c:v>
                </c:pt>
                <c:pt idx="3914" formatCode="#,##0.000">
                  <c:v>#N/A</c:v>
                </c:pt>
                <c:pt idx="3915" formatCode="#,##0.000">
                  <c:v>#N/A</c:v>
                </c:pt>
                <c:pt idx="3916" formatCode="#,##0.000">
                  <c:v>#N/A</c:v>
                </c:pt>
                <c:pt idx="3917" formatCode="#,##0.000">
                  <c:v>#N/A</c:v>
                </c:pt>
                <c:pt idx="3918" formatCode="#,##0.000">
                  <c:v>#N/A</c:v>
                </c:pt>
                <c:pt idx="3919" formatCode="#,##0.000">
                  <c:v>#N/A</c:v>
                </c:pt>
                <c:pt idx="3920" formatCode="#,##0.000">
                  <c:v>#N/A</c:v>
                </c:pt>
                <c:pt idx="3921" formatCode="#,##0.000">
                  <c:v>#N/A</c:v>
                </c:pt>
                <c:pt idx="3922" formatCode="#,##0.000">
                  <c:v>#N/A</c:v>
                </c:pt>
                <c:pt idx="3923" formatCode="#,##0.000">
                  <c:v>#N/A</c:v>
                </c:pt>
                <c:pt idx="3924" formatCode="#,##0.000">
                  <c:v>#N/A</c:v>
                </c:pt>
                <c:pt idx="3925" formatCode="#,##0.000">
                  <c:v>#N/A</c:v>
                </c:pt>
                <c:pt idx="3926" formatCode="#,##0.000">
                  <c:v>#N/A</c:v>
                </c:pt>
                <c:pt idx="3927" formatCode="#,##0.000">
                  <c:v>#N/A</c:v>
                </c:pt>
                <c:pt idx="3928" formatCode="#,##0.000">
                  <c:v>#N/A</c:v>
                </c:pt>
                <c:pt idx="3929" formatCode="#,##0.000">
                  <c:v>#N/A</c:v>
                </c:pt>
                <c:pt idx="3930" formatCode="#,##0.000">
                  <c:v>#N/A</c:v>
                </c:pt>
                <c:pt idx="3931" formatCode="#,##0.000">
                  <c:v>#N/A</c:v>
                </c:pt>
                <c:pt idx="3932" formatCode="#,##0.000">
                  <c:v>#N/A</c:v>
                </c:pt>
                <c:pt idx="3933" formatCode="#,##0.000">
                  <c:v>#N/A</c:v>
                </c:pt>
                <c:pt idx="3934" formatCode="#,##0.000">
                  <c:v>#N/A</c:v>
                </c:pt>
                <c:pt idx="3935" formatCode="#,##0.000">
                  <c:v>#N/A</c:v>
                </c:pt>
                <c:pt idx="3936" formatCode="#,##0.000">
                  <c:v>#N/A</c:v>
                </c:pt>
                <c:pt idx="3937" formatCode="#,##0.000">
                  <c:v>#N/A</c:v>
                </c:pt>
                <c:pt idx="3938" formatCode="#,##0.000">
                  <c:v>#N/A</c:v>
                </c:pt>
                <c:pt idx="3939" formatCode="#,##0.000">
                  <c:v>#N/A</c:v>
                </c:pt>
                <c:pt idx="3940" formatCode="#,##0.000">
                  <c:v>#N/A</c:v>
                </c:pt>
                <c:pt idx="3941" formatCode="#,##0.000">
                  <c:v>#N/A</c:v>
                </c:pt>
                <c:pt idx="3942" formatCode="#,##0.000">
                  <c:v>#N/A</c:v>
                </c:pt>
                <c:pt idx="3943" formatCode="#,##0.000">
                  <c:v>#N/A</c:v>
                </c:pt>
                <c:pt idx="3944" formatCode="#,##0.000">
                  <c:v>#N/A</c:v>
                </c:pt>
                <c:pt idx="3945" formatCode="#,##0.000">
                  <c:v>#N/A</c:v>
                </c:pt>
                <c:pt idx="3946" formatCode="#,##0.000">
                  <c:v>#N/A</c:v>
                </c:pt>
                <c:pt idx="3947" formatCode="#,##0.000">
                  <c:v>#N/A</c:v>
                </c:pt>
                <c:pt idx="3948" formatCode="#,##0.000">
                  <c:v>#N/A</c:v>
                </c:pt>
                <c:pt idx="3949" formatCode="#,##0.000">
                  <c:v>#N/A</c:v>
                </c:pt>
                <c:pt idx="3950" formatCode="#,##0.000">
                  <c:v>#N/A</c:v>
                </c:pt>
                <c:pt idx="3951" formatCode="#,##0.000">
                  <c:v>#N/A</c:v>
                </c:pt>
                <c:pt idx="3952" formatCode="#,##0.000">
                  <c:v>#N/A</c:v>
                </c:pt>
                <c:pt idx="3953" formatCode="#,##0.000">
                  <c:v>#N/A</c:v>
                </c:pt>
                <c:pt idx="3954" formatCode="#,##0.000">
                  <c:v>#N/A</c:v>
                </c:pt>
                <c:pt idx="3955" formatCode="#,##0.000">
                  <c:v>#N/A</c:v>
                </c:pt>
                <c:pt idx="3956" formatCode="#,##0.000">
                  <c:v>#N/A</c:v>
                </c:pt>
                <c:pt idx="3957" formatCode="#,##0.000">
                  <c:v>#N/A</c:v>
                </c:pt>
                <c:pt idx="3958" formatCode="#,##0.000">
                  <c:v>#N/A</c:v>
                </c:pt>
                <c:pt idx="3959" formatCode="#,##0.000">
                  <c:v>#N/A</c:v>
                </c:pt>
                <c:pt idx="3960" formatCode="#,##0.000">
                  <c:v>#N/A</c:v>
                </c:pt>
                <c:pt idx="3961" formatCode="#,##0.000">
                  <c:v>#N/A</c:v>
                </c:pt>
                <c:pt idx="3962" formatCode="#,##0.000">
                  <c:v>#N/A</c:v>
                </c:pt>
                <c:pt idx="3963" formatCode="#,##0.000">
                  <c:v>#N/A</c:v>
                </c:pt>
                <c:pt idx="3964" formatCode="#,##0.000">
                  <c:v>#N/A</c:v>
                </c:pt>
                <c:pt idx="3965" formatCode="#,##0.000">
                  <c:v>#N/A</c:v>
                </c:pt>
                <c:pt idx="3966" formatCode="#,##0.000">
                  <c:v>#N/A</c:v>
                </c:pt>
                <c:pt idx="3967" formatCode="#,##0.000">
                  <c:v>#N/A</c:v>
                </c:pt>
                <c:pt idx="3968" formatCode="#,##0.000">
                  <c:v>#N/A</c:v>
                </c:pt>
                <c:pt idx="3969" formatCode="#,##0.000">
                  <c:v>#N/A</c:v>
                </c:pt>
                <c:pt idx="3970" formatCode="#,##0.000">
                  <c:v>#N/A</c:v>
                </c:pt>
                <c:pt idx="3971" formatCode="#,##0.000">
                  <c:v>#N/A</c:v>
                </c:pt>
                <c:pt idx="3972" formatCode="#,##0.000">
                  <c:v>#N/A</c:v>
                </c:pt>
                <c:pt idx="3973" formatCode="#,##0.000">
                  <c:v>#N/A</c:v>
                </c:pt>
                <c:pt idx="3974" formatCode="#,##0.000">
                  <c:v>#N/A</c:v>
                </c:pt>
                <c:pt idx="3975" formatCode="#,##0.000">
                  <c:v>#N/A</c:v>
                </c:pt>
                <c:pt idx="3976" formatCode="#,##0.000">
                  <c:v>#N/A</c:v>
                </c:pt>
                <c:pt idx="3977" formatCode="#,##0.000">
                  <c:v>#N/A</c:v>
                </c:pt>
                <c:pt idx="3978" formatCode="#,##0.000">
                  <c:v>#N/A</c:v>
                </c:pt>
                <c:pt idx="3979" formatCode="#,##0.000">
                  <c:v>#N/A</c:v>
                </c:pt>
                <c:pt idx="3980" formatCode="#,##0.000">
                  <c:v>#N/A</c:v>
                </c:pt>
                <c:pt idx="3981" formatCode="#,##0.000">
                  <c:v>#N/A</c:v>
                </c:pt>
                <c:pt idx="3982" formatCode="#,##0.000">
                  <c:v>#N/A</c:v>
                </c:pt>
                <c:pt idx="3983" formatCode="#,##0.000">
                  <c:v>#N/A</c:v>
                </c:pt>
                <c:pt idx="3984" formatCode="#,##0.000">
                  <c:v>#N/A</c:v>
                </c:pt>
                <c:pt idx="3985" formatCode="#,##0.000">
                  <c:v>#N/A</c:v>
                </c:pt>
                <c:pt idx="3986" formatCode="#,##0.000">
                  <c:v>#N/A</c:v>
                </c:pt>
                <c:pt idx="3987" formatCode="#,##0.000">
                  <c:v>#N/A</c:v>
                </c:pt>
                <c:pt idx="3988" formatCode="#,##0.000">
                  <c:v>#N/A</c:v>
                </c:pt>
                <c:pt idx="3989" formatCode="#,##0.000">
                  <c:v>#N/A</c:v>
                </c:pt>
                <c:pt idx="3990" formatCode="#,##0.000">
                  <c:v>#N/A</c:v>
                </c:pt>
                <c:pt idx="3991" formatCode="#,##0.000">
                  <c:v>#N/A</c:v>
                </c:pt>
                <c:pt idx="3992" formatCode="#,##0.000">
                  <c:v>#N/A</c:v>
                </c:pt>
                <c:pt idx="3993" formatCode="#,##0.000">
                  <c:v>#N/A</c:v>
                </c:pt>
                <c:pt idx="3994" formatCode="#,##0.000">
                  <c:v>#N/A</c:v>
                </c:pt>
                <c:pt idx="3995" formatCode="#,##0.000">
                  <c:v>#N/A</c:v>
                </c:pt>
                <c:pt idx="3996" formatCode="#,##0.000">
                  <c:v>#N/A</c:v>
                </c:pt>
                <c:pt idx="3997" formatCode="#,##0.000">
                  <c:v>#N/A</c:v>
                </c:pt>
                <c:pt idx="3998" formatCode="#,##0.000">
                  <c:v>#N/A</c:v>
                </c:pt>
                <c:pt idx="3999" formatCode="#,##0.000">
                  <c:v>#N/A</c:v>
                </c:pt>
                <c:pt idx="4000" formatCode="#,##0.000">
                  <c:v>#N/A</c:v>
                </c:pt>
                <c:pt idx="4001" formatCode="#,##0.000">
                  <c:v>#N/A</c:v>
                </c:pt>
                <c:pt idx="4002" formatCode="#,##0.000">
                  <c:v>#N/A</c:v>
                </c:pt>
                <c:pt idx="4003" formatCode="#,##0.000">
                  <c:v>#N/A</c:v>
                </c:pt>
                <c:pt idx="4004" formatCode="#,##0.000">
                  <c:v>#N/A</c:v>
                </c:pt>
                <c:pt idx="4005" formatCode="#,##0.000">
                  <c:v>#N/A</c:v>
                </c:pt>
                <c:pt idx="4006" formatCode="#,##0.000">
                  <c:v>#N/A</c:v>
                </c:pt>
                <c:pt idx="4007" formatCode="#,##0.000">
                  <c:v>#N/A</c:v>
                </c:pt>
                <c:pt idx="4008" formatCode="#,##0.000">
                  <c:v>#N/A</c:v>
                </c:pt>
                <c:pt idx="4009" formatCode="#,##0.000">
                  <c:v>#N/A</c:v>
                </c:pt>
                <c:pt idx="4010" formatCode="#,##0.000">
                  <c:v>#N/A</c:v>
                </c:pt>
                <c:pt idx="4011" formatCode="#,##0.000">
                  <c:v>#N/A</c:v>
                </c:pt>
                <c:pt idx="4012" formatCode="#,##0.000">
                  <c:v>#N/A</c:v>
                </c:pt>
                <c:pt idx="4013" formatCode="#,##0.000">
                  <c:v>#N/A</c:v>
                </c:pt>
                <c:pt idx="4014" formatCode="#,##0.000">
                  <c:v>#N/A</c:v>
                </c:pt>
                <c:pt idx="4015" formatCode="#,##0.000">
                  <c:v>#N/A</c:v>
                </c:pt>
                <c:pt idx="4016" formatCode="#,##0.000">
                  <c:v>#N/A</c:v>
                </c:pt>
                <c:pt idx="4017" formatCode="#,##0.000">
                  <c:v>#N/A</c:v>
                </c:pt>
                <c:pt idx="4018" formatCode="#,##0.000">
                  <c:v>#N/A</c:v>
                </c:pt>
                <c:pt idx="4019" formatCode="#,##0.000">
                  <c:v>#N/A</c:v>
                </c:pt>
                <c:pt idx="4020" formatCode="#,##0.000">
                  <c:v>#N/A</c:v>
                </c:pt>
                <c:pt idx="4021" formatCode="#,##0.000">
                  <c:v>#N/A</c:v>
                </c:pt>
                <c:pt idx="4022" formatCode="#,##0.000">
                  <c:v>#N/A</c:v>
                </c:pt>
                <c:pt idx="4023" formatCode="#,##0.000">
                  <c:v>#N/A</c:v>
                </c:pt>
                <c:pt idx="4024" formatCode="#,##0.000">
                  <c:v>#N/A</c:v>
                </c:pt>
                <c:pt idx="4025" formatCode="#,##0.000">
                  <c:v>#N/A</c:v>
                </c:pt>
                <c:pt idx="4026" formatCode="#,##0.000">
                  <c:v>#N/A</c:v>
                </c:pt>
                <c:pt idx="4027" formatCode="#,##0.000">
                  <c:v>#N/A</c:v>
                </c:pt>
                <c:pt idx="4028" formatCode="#,##0.000">
                  <c:v>#N/A</c:v>
                </c:pt>
                <c:pt idx="4029" formatCode="#,##0.000">
                  <c:v>#N/A</c:v>
                </c:pt>
                <c:pt idx="4030" formatCode="#,##0.000">
                  <c:v>#N/A</c:v>
                </c:pt>
                <c:pt idx="4031" formatCode="#,##0.000">
                  <c:v>#N/A</c:v>
                </c:pt>
                <c:pt idx="4032" formatCode="#,##0.000">
                  <c:v>#N/A</c:v>
                </c:pt>
                <c:pt idx="4033" formatCode="#,##0.000">
                  <c:v>#N/A</c:v>
                </c:pt>
                <c:pt idx="4034" formatCode="#,##0.000">
                  <c:v>#N/A</c:v>
                </c:pt>
                <c:pt idx="4035" formatCode="#,##0.000">
                  <c:v>#N/A</c:v>
                </c:pt>
                <c:pt idx="4036" formatCode="#,##0.000">
                  <c:v>#N/A</c:v>
                </c:pt>
                <c:pt idx="4037" formatCode="#,##0.000">
                  <c:v>#N/A</c:v>
                </c:pt>
                <c:pt idx="4038" formatCode="#,##0.000">
                  <c:v>#N/A</c:v>
                </c:pt>
                <c:pt idx="4039" formatCode="#,##0.000">
                  <c:v>#N/A</c:v>
                </c:pt>
                <c:pt idx="4040" formatCode="#,##0.000">
                  <c:v>#N/A</c:v>
                </c:pt>
                <c:pt idx="4041" formatCode="#,##0.000">
                  <c:v>#N/A</c:v>
                </c:pt>
                <c:pt idx="4042" formatCode="#,##0.000">
                  <c:v>#N/A</c:v>
                </c:pt>
                <c:pt idx="4043" formatCode="#,##0.000">
                  <c:v>#N/A</c:v>
                </c:pt>
                <c:pt idx="4044" formatCode="#,##0.000">
                  <c:v>#N/A</c:v>
                </c:pt>
                <c:pt idx="4045" formatCode="#,##0.000">
                  <c:v>#N/A</c:v>
                </c:pt>
                <c:pt idx="4046" formatCode="#,##0.000">
                  <c:v>#N/A</c:v>
                </c:pt>
                <c:pt idx="4047" formatCode="#,##0.000">
                  <c:v>#N/A</c:v>
                </c:pt>
                <c:pt idx="4048" formatCode="#,##0.000">
                  <c:v>#N/A</c:v>
                </c:pt>
                <c:pt idx="4049" formatCode="#,##0.000">
                  <c:v>#N/A</c:v>
                </c:pt>
                <c:pt idx="4050" formatCode="#,##0.000">
                  <c:v>#N/A</c:v>
                </c:pt>
                <c:pt idx="4051" formatCode="#,##0.000">
                  <c:v>#N/A</c:v>
                </c:pt>
                <c:pt idx="4052" formatCode="#,##0.000">
                  <c:v>#N/A</c:v>
                </c:pt>
                <c:pt idx="4053" formatCode="#,##0.000">
                  <c:v>#N/A</c:v>
                </c:pt>
                <c:pt idx="4054" formatCode="#,##0.000">
                  <c:v>#N/A</c:v>
                </c:pt>
                <c:pt idx="4055" formatCode="#,##0.000">
                  <c:v>#N/A</c:v>
                </c:pt>
                <c:pt idx="4056" formatCode="#,##0.000">
                  <c:v>#N/A</c:v>
                </c:pt>
                <c:pt idx="4057" formatCode="#,##0.000">
                  <c:v>#N/A</c:v>
                </c:pt>
                <c:pt idx="4058" formatCode="#,##0.000">
                  <c:v>#N/A</c:v>
                </c:pt>
                <c:pt idx="4059" formatCode="#,##0.000">
                  <c:v>#N/A</c:v>
                </c:pt>
                <c:pt idx="4060" formatCode="#,##0.000">
                  <c:v>#N/A</c:v>
                </c:pt>
                <c:pt idx="4061" formatCode="#,##0.000">
                  <c:v>#N/A</c:v>
                </c:pt>
                <c:pt idx="4062" formatCode="#,##0.000">
                  <c:v>#N/A</c:v>
                </c:pt>
                <c:pt idx="4063" formatCode="#,##0.000">
                  <c:v>#N/A</c:v>
                </c:pt>
                <c:pt idx="4064" formatCode="#,##0.000">
                  <c:v>#N/A</c:v>
                </c:pt>
                <c:pt idx="4065" formatCode="#,##0.000">
                  <c:v>#N/A</c:v>
                </c:pt>
                <c:pt idx="4066" formatCode="#,##0.000">
                  <c:v>#N/A</c:v>
                </c:pt>
                <c:pt idx="4067" formatCode="#,##0.000">
                  <c:v>#N/A</c:v>
                </c:pt>
                <c:pt idx="4068" formatCode="#,##0.000">
                  <c:v>#N/A</c:v>
                </c:pt>
                <c:pt idx="4069" formatCode="#,##0.000">
                  <c:v>#N/A</c:v>
                </c:pt>
                <c:pt idx="4070" formatCode="#,##0.000">
                  <c:v>#N/A</c:v>
                </c:pt>
                <c:pt idx="4071" formatCode="#,##0.000">
                  <c:v>#N/A</c:v>
                </c:pt>
                <c:pt idx="4072" formatCode="#,##0.000">
                  <c:v>#N/A</c:v>
                </c:pt>
                <c:pt idx="4073" formatCode="#,##0.000">
                  <c:v>#N/A</c:v>
                </c:pt>
                <c:pt idx="4074" formatCode="#,##0.000">
                  <c:v>#N/A</c:v>
                </c:pt>
                <c:pt idx="4075" formatCode="#,##0.000">
                  <c:v>#N/A</c:v>
                </c:pt>
                <c:pt idx="4076" formatCode="#,##0.000">
                  <c:v>#N/A</c:v>
                </c:pt>
                <c:pt idx="4077" formatCode="#,##0.000">
                  <c:v>#N/A</c:v>
                </c:pt>
                <c:pt idx="4078" formatCode="#,##0.000">
                  <c:v>#N/A</c:v>
                </c:pt>
                <c:pt idx="4079" formatCode="#,##0.000">
                  <c:v>#N/A</c:v>
                </c:pt>
                <c:pt idx="4080" formatCode="#,##0.000">
                  <c:v>#N/A</c:v>
                </c:pt>
                <c:pt idx="4081" formatCode="#,##0.000">
                  <c:v>#N/A</c:v>
                </c:pt>
                <c:pt idx="4082" formatCode="#,##0.000">
                  <c:v>#N/A</c:v>
                </c:pt>
                <c:pt idx="4083" formatCode="#,##0.000">
                  <c:v>#N/A</c:v>
                </c:pt>
                <c:pt idx="4084" formatCode="#,##0.000">
                  <c:v>#N/A</c:v>
                </c:pt>
                <c:pt idx="4085" formatCode="#,##0.000">
                  <c:v>#N/A</c:v>
                </c:pt>
                <c:pt idx="4086" formatCode="#,##0.000">
                  <c:v>#N/A</c:v>
                </c:pt>
                <c:pt idx="4087" formatCode="#,##0.000">
                  <c:v>#N/A</c:v>
                </c:pt>
                <c:pt idx="4088" formatCode="#,##0.000">
                  <c:v>#N/A</c:v>
                </c:pt>
                <c:pt idx="4089" formatCode="#,##0.000">
                  <c:v>#N/A</c:v>
                </c:pt>
                <c:pt idx="4090" formatCode="#,##0.000">
                  <c:v>#N/A</c:v>
                </c:pt>
                <c:pt idx="4091" formatCode="#,##0.000">
                  <c:v>#N/A</c:v>
                </c:pt>
                <c:pt idx="4092" formatCode="#,##0.000">
                  <c:v>#N/A</c:v>
                </c:pt>
                <c:pt idx="4093" formatCode="#,##0.000">
                  <c:v>#N/A</c:v>
                </c:pt>
                <c:pt idx="4094" formatCode="#,##0.000">
                  <c:v>#N/A</c:v>
                </c:pt>
                <c:pt idx="4095" formatCode="#,##0.000">
                  <c:v>#N/A</c:v>
                </c:pt>
                <c:pt idx="4096" formatCode="#,##0.000">
                  <c:v>#N/A</c:v>
                </c:pt>
                <c:pt idx="4097" formatCode="#,##0.000">
                  <c:v>#N/A</c:v>
                </c:pt>
                <c:pt idx="4098" formatCode="#,##0.000">
                  <c:v>#N/A</c:v>
                </c:pt>
                <c:pt idx="4099" formatCode="#,##0.000">
                  <c:v>#N/A</c:v>
                </c:pt>
                <c:pt idx="4100" formatCode="#,##0.000">
                  <c:v>#N/A</c:v>
                </c:pt>
                <c:pt idx="4101" formatCode="#,##0.000">
                  <c:v>#N/A</c:v>
                </c:pt>
                <c:pt idx="4102" formatCode="#,##0.000">
                  <c:v>#N/A</c:v>
                </c:pt>
                <c:pt idx="4103" formatCode="#,##0.000">
                  <c:v>#N/A</c:v>
                </c:pt>
                <c:pt idx="4104" formatCode="#,##0.000">
                  <c:v>#N/A</c:v>
                </c:pt>
                <c:pt idx="4105" formatCode="#,##0.000">
                  <c:v>#N/A</c:v>
                </c:pt>
                <c:pt idx="4106" formatCode="#,##0.000">
                  <c:v>#N/A</c:v>
                </c:pt>
                <c:pt idx="4107" formatCode="#,##0.000">
                  <c:v>#N/A</c:v>
                </c:pt>
                <c:pt idx="4108" formatCode="#,##0.000">
                  <c:v>#N/A</c:v>
                </c:pt>
                <c:pt idx="4109" formatCode="#,##0.000">
                  <c:v>#N/A</c:v>
                </c:pt>
                <c:pt idx="4110" formatCode="#,##0.000">
                  <c:v>#N/A</c:v>
                </c:pt>
                <c:pt idx="4111" formatCode="#,##0.000">
                  <c:v>#N/A</c:v>
                </c:pt>
                <c:pt idx="4112" formatCode="#,##0.000">
                  <c:v>#N/A</c:v>
                </c:pt>
                <c:pt idx="4113" formatCode="#,##0.000">
                  <c:v>#N/A</c:v>
                </c:pt>
                <c:pt idx="4114" formatCode="#,##0.000">
                  <c:v>#N/A</c:v>
                </c:pt>
                <c:pt idx="4115" formatCode="#,##0.000">
                  <c:v>#N/A</c:v>
                </c:pt>
                <c:pt idx="4116" formatCode="#,##0.000">
                  <c:v>#N/A</c:v>
                </c:pt>
                <c:pt idx="4117" formatCode="#,##0.000">
                  <c:v>#N/A</c:v>
                </c:pt>
                <c:pt idx="4118" formatCode="#,##0.000">
                  <c:v>#N/A</c:v>
                </c:pt>
                <c:pt idx="4119" formatCode="#,##0.000">
                  <c:v>#N/A</c:v>
                </c:pt>
                <c:pt idx="4120" formatCode="#,##0.000">
                  <c:v>#N/A</c:v>
                </c:pt>
                <c:pt idx="4121" formatCode="#,##0.000">
                  <c:v>#N/A</c:v>
                </c:pt>
                <c:pt idx="4122" formatCode="#,##0.000">
                  <c:v>#N/A</c:v>
                </c:pt>
                <c:pt idx="4123" formatCode="#,##0.000">
                  <c:v>#N/A</c:v>
                </c:pt>
                <c:pt idx="4124" formatCode="#,##0.000">
                  <c:v>#N/A</c:v>
                </c:pt>
                <c:pt idx="4125" formatCode="#,##0.000">
                  <c:v>#N/A</c:v>
                </c:pt>
                <c:pt idx="4126" formatCode="#,##0.000">
                  <c:v>#N/A</c:v>
                </c:pt>
                <c:pt idx="4127" formatCode="#,##0.000">
                  <c:v>#N/A</c:v>
                </c:pt>
                <c:pt idx="4128" formatCode="#,##0.000">
                  <c:v>#N/A</c:v>
                </c:pt>
                <c:pt idx="4129" formatCode="#,##0.000">
                  <c:v>#N/A</c:v>
                </c:pt>
                <c:pt idx="4130" formatCode="#,##0.000">
                  <c:v>#N/A</c:v>
                </c:pt>
                <c:pt idx="4131" formatCode="#,##0.000">
                  <c:v>#N/A</c:v>
                </c:pt>
                <c:pt idx="4132" formatCode="#,##0.000">
                  <c:v>#N/A</c:v>
                </c:pt>
                <c:pt idx="4133" formatCode="#,##0.000">
                  <c:v>#N/A</c:v>
                </c:pt>
                <c:pt idx="4134" formatCode="#,##0.000">
                  <c:v>#N/A</c:v>
                </c:pt>
                <c:pt idx="4135" formatCode="#,##0.000">
                  <c:v>#N/A</c:v>
                </c:pt>
                <c:pt idx="4136" formatCode="#,##0.000">
                  <c:v>#N/A</c:v>
                </c:pt>
                <c:pt idx="4137" formatCode="#,##0.000">
                  <c:v>#N/A</c:v>
                </c:pt>
                <c:pt idx="4138" formatCode="#,##0.000">
                  <c:v>#N/A</c:v>
                </c:pt>
                <c:pt idx="4139" formatCode="#,##0.000">
                  <c:v>#N/A</c:v>
                </c:pt>
                <c:pt idx="4140" formatCode="#,##0.000">
                  <c:v>#N/A</c:v>
                </c:pt>
                <c:pt idx="4141" formatCode="#,##0.000">
                  <c:v>#N/A</c:v>
                </c:pt>
                <c:pt idx="4142" formatCode="#,##0.000">
                  <c:v>#N/A</c:v>
                </c:pt>
                <c:pt idx="4143" formatCode="#,##0.000">
                  <c:v>#N/A</c:v>
                </c:pt>
                <c:pt idx="4144" formatCode="#,##0.000">
                  <c:v>#N/A</c:v>
                </c:pt>
                <c:pt idx="4145" formatCode="#,##0.000">
                  <c:v>#N/A</c:v>
                </c:pt>
                <c:pt idx="4146" formatCode="#,##0.000">
                  <c:v>#N/A</c:v>
                </c:pt>
                <c:pt idx="4147" formatCode="#,##0.000">
                  <c:v>#N/A</c:v>
                </c:pt>
                <c:pt idx="4148" formatCode="#,##0.000">
                  <c:v>#N/A</c:v>
                </c:pt>
                <c:pt idx="4149" formatCode="#,##0.000">
                  <c:v>#N/A</c:v>
                </c:pt>
                <c:pt idx="4150" formatCode="#,##0.000">
                  <c:v>#N/A</c:v>
                </c:pt>
                <c:pt idx="4151" formatCode="#,##0.000">
                  <c:v>#N/A</c:v>
                </c:pt>
                <c:pt idx="4152" formatCode="#,##0.000">
                  <c:v>#N/A</c:v>
                </c:pt>
                <c:pt idx="4153" formatCode="#,##0.000">
                  <c:v>#N/A</c:v>
                </c:pt>
                <c:pt idx="4154" formatCode="#,##0.000">
                  <c:v>#N/A</c:v>
                </c:pt>
                <c:pt idx="4155" formatCode="#,##0.000">
                  <c:v>#N/A</c:v>
                </c:pt>
                <c:pt idx="4156" formatCode="#,##0.000">
                  <c:v>#N/A</c:v>
                </c:pt>
                <c:pt idx="4157" formatCode="#,##0.000">
                  <c:v>#N/A</c:v>
                </c:pt>
                <c:pt idx="4158" formatCode="#,##0.000">
                  <c:v>#N/A</c:v>
                </c:pt>
                <c:pt idx="4159" formatCode="#,##0.000">
                  <c:v>#N/A</c:v>
                </c:pt>
                <c:pt idx="4160" formatCode="#,##0.000">
                  <c:v>#N/A</c:v>
                </c:pt>
                <c:pt idx="4161" formatCode="#,##0.000">
                  <c:v>#N/A</c:v>
                </c:pt>
                <c:pt idx="4162" formatCode="#,##0.000">
                  <c:v>#N/A</c:v>
                </c:pt>
                <c:pt idx="4163" formatCode="#,##0.000">
                  <c:v>#N/A</c:v>
                </c:pt>
                <c:pt idx="4164" formatCode="#,##0.000">
                  <c:v>#N/A</c:v>
                </c:pt>
                <c:pt idx="4165" formatCode="#,##0.000">
                  <c:v>#N/A</c:v>
                </c:pt>
                <c:pt idx="4166" formatCode="#,##0.000">
                  <c:v>#N/A</c:v>
                </c:pt>
                <c:pt idx="4167" formatCode="#,##0.000">
                  <c:v>#N/A</c:v>
                </c:pt>
                <c:pt idx="4168" formatCode="#,##0.000">
                  <c:v>#N/A</c:v>
                </c:pt>
                <c:pt idx="4169" formatCode="#,##0.000">
                  <c:v>#N/A</c:v>
                </c:pt>
                <c:pt idx="4170" formatCode="#,##0.000">
                  <c:v>#N/A</c:v>
                </c:pt>
                <c:pt idx="4171" formatCode="#,##0.000">
                  <c:v>#N/A</c:v>
                </c:pt>
                <c:pt idx="4172" formatCode="#,##0.000">
                  <c:v>#N/A</c:v>
                </c:pt>
                <c:pt idx="4173" formatCode="#,##0.000">
                  <c:v>#N/A</c:v>
                </c:pt>
                <c:pt idx="4174" formatCode="#,##0.000">
                  <c:v>#N/A</c:v>
                </c:pt>
                <c:pt idx="4175" formatCode="#,##0.000">
                  <c:v>#N/A</c:v>
                </c:pt>
                <c:pt idx="4176" formatCode="#,##0.000">
                  <c:v>#N/A</c:v>
                </c:pt>
                <c:pt idx="4177" formatCode="#,##0.000">
                  <c:v>#N/A</c:v>
                </c:pt>
                <c:pt idx="4178" formatCode="#,##0.000">
                  <c:v>#N/A</c:v>
                </c:pt>
                <c:pt idx="4179" formatCode="#,##0.000">
                  <c:v>#N/A</c:v>
                </c:pt>
                <c:pt idx="4180" formatCode="#,##0.000">
                  <c:v>#N/A</c:v>
                </c:pt>
                <c:pt idx="4181" formatCode="#,##0.000">
                  <c:v>#N/A</c:v>
                </c:pt>
                <c:pt idx="4182" formatCode="#,##0.000">
                  <c:v>#N/A</c:v>
                </c:pt>
                <c:pt idx="4183" formatCode="#,##0.000">
                  <c:v>#N/A</c:v>
                </c:pt>
                <c:pt idx="4184" formatCode="#,##0.000">
                  <c:v>#N/A</c:v>
                </c:pt>
                <c:pt idx="4185" formatCode="#,##0.000">
                  <c:v>#N/A</c:v>
                </c:pt>
                <c:pt idx="4186" formatCode="#,##0.000">
                  <c:v>#N/A</c:v>
                </c:pt>
                <c:pt idx="4187" formatCode="#,##0.000">
                  <c:v>#N/A</c:v>
                </c:pt>
                <c:pt idx="4188" formatCode="#,##0.000">
                  <c:v>#N/A</c:v>
                </c:pt>
                <c:pt idx="4189" formatCode="#,##0.000">
                  <c:v>#N/A</c:v>
                </c:pt>
                <c:pt idx="4190" formatCode="#,##0.000">
                  <c:v>#N/A</c:v>
                </c:pt>
                <c:pt idx="4191" formatCode="#,##0.000">
                  <c:v>#N/A</c:v>
                </c:pt>
                <c:pt idx="4192" formatCode="#,##0.000">
                  <c:v>#N/A</c:v>
                </c:pt>
                <c:pt idx="4193" formatCode="#,##0.000">
                  <c:v>#N/A</c:v>
                </c:pt>
                <c:pt idx="4194" formatCode="#,##0.000">
                  <c:v>#N/A</c:v>
                </c:pt>
                <c:pt idx="4195" formatCode="#,##0.000">
                  <c:v>#N/A</c:v>
                </c:pt>
                <c:pt idx="4196" formatCode="#,##0.000">
                  <c:v>#N/A</c:v>
                </c:pt>
                <c:pt idx="4197" formatCode="#,##0.000">
                  <c:v>#N/A</c:v>
                </c:pt>
                <c:pt idx="4198" formatCode="#,##0.000">
                  <c:v>#N/A</c:v>
                </c:pt>
                <c:pt idx="4199" formatCode="#,##0.000">
                  <c:v>#N/A</c:v>
                </c:pt>
                <c:pt idx="4200" formatCode="#,##0.000">
                  <c:v>#N/A</c:v>
                </c:pt>
                <c:pt idx="4201" formatCode="#,##0.000">
                  <c:v>#N/A</c:v>
                </c:pt>
                <c:pt idx="4202" formatCode="#,##0.000">
                  <c:v>#N/A</c:v>
                </c:pt>
                <c:pt idx="4203" formatCode="#,##0.000">
                  <c:v>#N/A</c:v>
                </c:pt>
                <c:pt idx="4204" formatCode="#,##0.000">
                  <c:v>#N/A</c:v>
                </c:pt>
                <c:pt idx="4205" formatCode="#,##0.000">
                  <c:v>#N/A</c:v>
                </c:pt>
                <c:pt idx="4206" formatCode="#,##0.000">
                  <c:v>#N/A</c:v>
                </c:pt>
                <c:pt idx="4207" formatCode="#,##0.000">
                  <c:v>#N/A</c:v>
                </c:pt>
                <c:pt idx="4208" formatCode="#,##0.000">
                  <c:v>#N/A</c:v>
                </c:pt>
                <c:pt idx="4209" formatCode="#,##0.000">
                  <c:v>#N/A</c:v>
                </c:pt>
                <c:pt idx="4210" formatCode="#,##0.000">
                  <c:v>#N/A</c:v>
                </c:pt>
                <c:pt idx="4211" formatCode="#,##0.000">
                  <c:v>#N/A</c:v>
                </c:pt>
                <c:pt idx="4212" formatCode="#,##0.000">
                  <c:v>#N/A</c:v>
                </c:pt>
                <c:pt idx="4213" formatCode="#,##0.000">
                  <c:v>#N/A</c:v>
                </c:pt>
                <c:pt idx="4214" formatCode="#,##0.000">
                  <c:v>#N/A</c:v>
                </c:pt>
                <c:pt idx="4215" formatCode="#,##0.000">
                  <c:v>#N/A</c:v>
                </c:pt>
                <c:pt idx="4216" formatCode="#,##0.000">
                  <c:v>#N/A</c:v>
                </c:pt>
                <c:pt idx="4217" formatCode="#,##0.000">
                  <c:v>#N/A</c:v>
                </c:pt>
                <c:pt idx="4218" formatCode="#,##0.000">
                  <c:v>#N/A</c:v>
                </c:pt>
                <c:pt idx="4219" formatCode="#,##0.000">
                  <c:v>#N/A</c:v>
                </c:pt>
                <c:pt idx="4220" formatCode="#,##0.000">
                  <c:v>#N/A</c:v>
                </c:pt>
                <c:pt idx="4221" formatCode="#,##0.000">
                  <c:v>#N/A</c:v>
                </c:pt>
                <c:pt idx="4222" formatCode="#,##0.000">
                  <c:v>#N/A</c:v>
                </c:pt>
                <c:pt idx="4223" formatCode="#,##0.000">
                  <c:v>#N/A</c:v>
                </c:pt>
                <c:pt idx="4224" formatCode="#,##0.000">
                  <c:v>#N/A</c:v>
                </c:pt>
                <c:pt idx="4225" formatCode="#,##0.000">
                  <c:v>#N/A</c:v>
                </c:pt>
                <c:pt idx="4226" formatCode="#,##0.000">
                  <c:v>#N/A</c:v>
                </c:pt>
                <c:pt idx="4227" formatCode="#,##0.000">
                  <c:v>#N/A</c:v>
                </c:pt>
                <c:pt idx="4228" formatCode="#,##0.000">
                  <c:v>#N/A</c:v>
                </c:pt>
                <c:pt idx="4229" formatCode="#,##0.000">
                  <c:v>#N/A</c:v>
                </c:pt>
                <c:pt idx="4230" formatCode="#,##0.000">
                  <c:v>#N/A</c:v>
                </c:pt>
                <c:pt idx="4231" formatCode="#,##0.000">
                  <c:v>#N/A</c:v>
                </c:pt>
                <c:pt idx="4232" formatCode="#,##0.000">
                  <c:v>#N/A</c:v>
                </c:pt>
                <c:pt idx="4233" formatCode="#,##0.000">
                  <c:v>#N/A</c:v>
                </c:pt>
                <c:pt idx="4234" formatCode="#,##0.000">
                  <c:v>#N/A</c:v>
                </c:pt>
                <c:pt idx="4235" formatCode="#,##0.000">
                  <c:v>#N/A</c:v>
                </c:pt>
                <c:pt idx="4236" formatCode="#,##0.000">
                  <c:v>#N/A</c:v>
                </c:pt>
                <c:pt idx="4237" formatCode="#,##0.000">
                  <c:v>#N/A</c:v>
                </c:pt>
                <c:pt idx="4238" formatCode="#,##0.000">
                  <c:v>#N/A</c:v>
                </c:pt>
                <c:pt idx="4239" formatCode="#,##0.000">
                  <c:v>#N/A</c:v>
                </c:pt>
                <c:pt idx="4240" formatCode="#,##0.000">
                  <c:v>#N/A</c:v>
                </c:pt>
                <c:pt idx="4241" formatCode="#,##0.000">
                  <c:v>#N/A</c:v>
                </c:pt>
                <c:pt idx="4242" formatCode="#,##0.000">
                  <c:v>#N/A</c:v>
                </c:pt>
                <c:pt idx="4243" formatCode="#,##0.000">
                  <c:v>#N/A</c:v>
                </c:pt>
                <c:pt idx="4244" formatCode="#,##0.000">
                  <c:v>#N/A</c:v>
                </c:pt>
                <c:pt idx="4245" formatCode="#,##0.000">
                  <c:v>#N/A</c:v>
                </c:pt>
                <c:pt idx="4246" formatCode="#,##0.000">
                  <c:v>#N/A</c:v>
                </c:pt>
                <c:pt idx="4247" formatCode="#,##0.000">
                  <c:v>#N/A</c:v>
                </c:pt>
                <c:pt idx="4248" formatCode="#,##0.000">
                  <c:v>#N/A</c:v>
                </c:pt>
                <c:pt idx="4249" formatCode="#,##0.000">
                  <c:v>#N/A</c:v>
                </c:pt>
                <c:pt idx="4250" formatCode="#,##0.000">
                  <c:v>#N/A</c:v>
                </c:pt>
                <c:pt idx="4251" formatCode="#,##0.000">
                  <c:v>#N/A</c:v>
                </c:pt>
                <c:pt idx="4252" formatCode="#,##0.000">
                  <c:v>#N/A</c:v>
                </c:pt>
                <c:pt idx="4253" formatCode="#,##0.000">
                  <c:v>#N/A</c:v>
                </c:pt>
                <c:pt idx="4254" formatCode="#,##0.000">
                  <c:v>#N/A</c:v>
                </c:pt>
                <c:pt idx="4255" formatCode="#,##0.000">
                  <c:v>#N/A</c:v>
                </c:pt>
                <c:pt idx="4256" formatCode="#,##0.000">
                  <c:v>#N/A</c:v>
                </c:pt>
                <c:pt idx="4257" formatCode="#,##0.000">
                  <c:v>#N/A</c:v>
                </c:pt>
                <c:pt idx="4258" formatCode="#,##0.000">
                  <c:v>#N/A</c:v>
                </c:pt>
                <c:pt idx="4259" formatCode="#,##0.000">
                  <c:v>#N/A</c:v>
                </c:pt>
                <c:pt idx="4260" formatCode="#,##0.000">
                  <c:v>#N/A</c:v>
                </c:pt>
                <c:pt idx="4261" formatCode="#,##0.000">
                  <c:v>#N/A</c:v>
                </c:pt>
                <c:pt idx="4262" formatCode="#,##0.000">
                  <c:v>#N/A</c:v>
                </c:pt>
                <c:pt idx="4263" formatCode="#,##0.000">
                  <c:v>#N/A</c:v>
                </c:pt>
                <c:pt idx="4264" formatCode="#,##0.000">
                  <c:v>#N/A</c:v>
                </c:pt>
                <c:pt idx="4265" formatCode="#,##0.000">
                  <c:v>#N/A</c:v>
                </c:pt>
                <c:pt idx="4266" formatCode="#,##0.000">
                  <c:v>#N/A</c:v>
                </c:pt>
                <c:pt idx="4267" formatCode="#,##0.000">
                  <c:v>#N/A</c:v>
                </c:pt>
                <c:pt idx="4268" formatCode="#,##0.000">
                  <c:v>#N/A</c:v>
                </c:pt>
                <c:pt idx="4269" formatCode="#,##0.000">
                  <c:v>#N/A</c:v>
                </c:pt>
                <c:pt idx="4270" formatCode="#,##0.000">
                  <c:v>#N/A</c:v>
                </c:pt>
                <c:pt idx="4271" formatCode="#,##0.000">
                  <c:v>#N/A</c:v>
                </c:pt>
                <c:pt idx="4272" formatCode="#,##0.000">
                  <c:v>#N/A</c:v>
                </c:pt>
                <c:pt idx="4273" formatCode="#,##0.000">
                  <c:v>#N/A</c:v>
                </c:pt>
                <c:pt idx="4274" formatCode="#,##0.000">
                  <c:v>#N/A</c:v>
                </c:pt>
                <c:pt idx="4275" formatCode="#,##0.000">
                  <c:v>#N/A</c:v>
                </c:pt>
                <c:pt idx="4276" formatCode="#,##0.000">
                  <c:v>#N/A</c:v>
                </c:pt>
                <c:pt idx="4277" formatCode="#,##0.000">
                  <c:v>#N/A</c:v>
                </c:pt>
                <c:pt idx="4278" formatCode="#,##0.000">
                  <c:v>#N/A</c:v>
                </c:pt>
                <c:pt idx="4279" formatCode="#,##0.000">
                  <c:v>#N/A</c:v>
                </c:pt>
                <c:pt idx="4280" formatCode="#,##0.000">
                  <c:v>#N/A</c:v>
                </c:pt>
                <c:pt idx="4281" formatCode="#,##0.000">
                  <c:v>#N/A</c:v>
                </c:pt>
                <c:pt idx="4282" formatCode="#,##0.000">
                  <c:v>#N/A</c:v>
                </c:pt>
                <c:pt idx="4283" formatCode="#,##0.000">
                  <c:v>#N/A</c:v>
                </c:pt>
                <c:pt idx="4284" formatCode="#,##0.000">
                  <c:v>#N/A</c:v>
                </c:pt>
                <c:pt idx="4285" formatCode="#,##0.000">
                  <c:v>#N/A</c:v>
                </c:pt>
                <c:pt idx="4286" formatCode="#,##0.000">
                  <c:v>#N/A</c:v>
                </c:pt>
                <c:pt idx="4287" formatCode="#,##0.000">
                  <c:v>#N/A</c:v>
                </c:pt>
                <c:pt idx="4288" formatCode="#,##0.000">
                  <c:v>#N/A</c:v>
                </c:pt>
                <c:pt idx="4289" formatCode="#,##0.000">
                  <c:v>#N/A</c:v>
                </c:pt>
                <c:pt idx="4290" formatCode="#,##0.000">
                  <c:v>#N/A</c:v>
                </c:pt>
                <c:pt idx="4291" formatCode="#,##0.000">
                  <c:v>#N/A</c:v>
                </c:pt>
                <c:pt idx="4292" formatCode="#,##0.000">
                  <c:v>#N/A</c:v>
                </c:pt>
                <c:pt idx="4293" formatCode="#,##0.000">
                  <c:v>#N/A</c:v>
                </c:pt>
                <c:pt idx="4294" formatCode="#,##0.000">
                  <c:v>#N/A</c:v>
                </c:pt>
                <c:pt idx="4295" formatCode="#,##0.000">
                  <c:v>#N/A</c:v>
                </c:pt>
                <c:pt idx="4296" formatCode="#,##0.000">
                  <c:v>#N/A</c:v>
                </c:pt>
                <c:pt idx="4297" formatCode="#,##0.000">
                  <c:v>#N/A</c:v>
                </c:pt>
                <c:pt idx="4298" formatCode="#,##0.000">
                  <c:v>#N/A</c:v>
                </c:pt>
                <c:pt idx="4299" formatCode="#,##0.000">
                  <c:v>#N/A</c:v>
                </c:pt>
                <c:pt idx="4300" formatCode="#,##0.000">
                  <c:v>#N/A</c:v>
                </c:pt>
                <c:pt idx="4301" formatCode="#,##0.000">
                  <c:v>#N/A</c:v>
                </c:pt>
                <c:pt idx="4302" formatCode="#,##0.000">
                  <c:v>#N/A</c:v>
                </c:pt>
                <c:pt idx="4303" formatCode="#,##0.000">
                  <c:v>#N/A</c:v>
                </c:pt>
                <c:pt idx="4304" formatCode="#,##0.000">
                  <c:v>#N/A</c:v>
                </c:pt>
                <c:pt idx="4305" formatCode="#,##0.000">
                  <c:v>#N/A</c:v>
                </c:pt>
                <c:pt idx="4306" formatCode="#,##0.000">
                  <c:v>#N/A</c:v>
                </c:pt>
                <c:pt idx="4307" formatCode="#,##0.000">
                  <c:v>#N/A</c:v>
                </c:pt>
                <c:pt idx="4308" formatCode="#,##0.000">
                  <c:v>#N/A</c:v>
                </c:pt>
                <c:pt idx="4309" formatCode="#,##0.000">
                  <c:v>#N/A</c:v>
                </c:pt>
                <c:pt idx="4310" formatCode="#,##0.000">
                  <c:v>#N/A</c:v>
                </c:pt>
                <c:pt idx="4311" formatCode="#,##0.000">
                  <c:v>#N/A</c:v>
                </c:pt>
                <c:pt idx="4312" formatCode="#,##0.000">
                  <c:v>#N/A</c:v>
                </c:pt>
                <c:pt idx="4313" formatCode="#,##0.000">
                  <c:v>#N/A</c:v>
                </c:pt>
                <c:pt idx="4314" formatCode="#,##0.000">
                  <c:v>#N/A</c:v>
                </c:pt>
                <c:pt idx="4315" formatCode="#,##0.000">
                  <c:v>#N/A</c:v>
                </c:pt>
                <c:pt idx="4316" formatCode="#,##0.000">
                  <c:v>#N/A</c:v>
                </c:pt>
                <c:pt idx="4317" formatCode="#,##0.000">
                  <c:v>#N/A</c:v>
                </c:pt>
                <c:pt idx="4318" formatCode="#,##0.000">
                  <c:v>#N/A</c:v>
                </c:pt>
                <c:pt idx="4319" formatCode="#,##0.000">
                  <c:v>#N/A</c:v>
                </c:pt>
                <c:pt idx="4320" formatCode="#,##0.000">
                  <c:v>#N/A</c:v>
                </c:pt>
                <c:pt idx="4321" formatCode="#,##0.000">
                  <c:v>#N/A</c:v>
                </c:pt>
                <c:pt idx="4322" formatCode="#,##0.000">
                  <c:v>#N/A</c:v>
                </c:pt>
                <c:pt idx="4323" formatCode="#,##0.000">
                  <c:v>#N/A</c:v>
                </c:pt>
                <c:pt idx="4324" formatCode="#,##0.000">
                  <c:v>#N/A</c:v>
                </c:pt>
                <c:pt idx="4325" formatCode="#,##0.000">
                  <c:v>#N/A</c:v>
                </c:pt>
                <c:pt idx="4326" formatCode="#,##0.000">
                  <c:v>#N/A</c:v>
                </c:pt>
                <c:pt idx="4327" formatCode="#,##0.000">
                  <c:v>#N/A</c:v>
                </c:pt>
                <c:pt idx="4328" formatCode="#,##0.000">
                  <c:v>#N/A</c:v>
                </c:pt>
                <c:pt idx="4329" formatCode="#,##0.000">
                  <c:v>#N/A</c:v>
                </c:pt>
                <c:pt idx="4330" formatCode="#,##0.000">
                  <c:v>#N/A</c:v>
                </c:pt>
                <c:pt idx="4331" formatCode="#,##0.000">
                  <c:v>#N/A</c:v>
                </c:pt>
                <c:pt idx="4332" formatCode="#,##0.000">
                  <c:v>#N/A</c:v>
                </c:pt>
                <c:pt idx="4333" formatCode="#,##0.000">
                  <c:v>#N/A</c:v>
                </c:pt>
                <c:pt idx="4334" formatCode="#,##0.000">
                  <c:v>#N/A</c:v>
                </c:pt>
                <c:pt idx="4335" formatCode="#,##0.000">
                  <c:v>#N/A</c:v>
                </c:pt>
                <c:pt idx="4336" formatCode="#,##0.000">
                  <c:v>#N/A</c:v>
                </c:pt>
                <c:pt idx="4337" formatCode="#,##0.000">
                  <c:v>#N/A</c:v>
                </c:pt>
                <c:pt idx="4338" formatCode="#,##0.000">
                  <c:v>#N/A</c:v>
                </c:pt>
                <c:pt idx="4339" formatCode="#,##0.000">
                  <c:v>#N/A</c:v>
                </c:pt>
                <c:pt idx="4340" formatCode="#,##0.000">
                  <c:v>#N/A</c:v>
                </c:pt>
                <c:pt idx="4341" formatCode="#,##0.000">
                  <c:v>#N/A</c:v>
                </c:pt>
                <c:pt idx="4342" formatCode="#,##0.000">
                  <c:v>#N/A</c:v>
                </c:pt>
                <c:pt idx="4343" formatCode="#,##0.000">
                  <c:v>#N/A</c:v>
                </c:pt>
                <c:pt idx="4344" formatCode="#,##0.000">
                  <c:v>#N/A</c:v>
                </c:pt>
                <c:pt idx="4345" formatCode="#,##0.000">
                  <c:v>#N/A</c:v>
                </c:pt>
                <c:pt idx="4346" formatCode="#,##0.000">
                  <c:v>#N/A</c:v>
                </c:pt>
                <c:pt idx="4347" formatCode="#,##0.000">
                  <c:v>#N/A</c:v>
                </c:pt>
                <c:pt idx="4348" formatCode="#,##0.000">
                  <c:v>#N/A</c:v>
                </c:pt>
                <c:pt idx="4349" formatCode="#,##0.000">
                  <c:v>#N/A</c:v>
                </c:pt>
                <c:pt idx="4350" formatCode="#,##0.000">
                  <c:v>#N/A</c:v>
                </c:pt>
                <c:pt idx="4351" formatCode="#,##0.000">
                  <c:v>#N/A</c:v>
                </c:pt>
                <c:pt idx="4352" formatCode="#,##0.000">
                  <c:v>#N/A</c:v>
                </c:pt>
                <c:pt idx="4353" formatCode="#,##0.000">
                  <c:v>#N/A</c:v>
                </c:pt>
                <c:pt idx="4354" formatCode="#,##0.000">
                  <c:v>#N/A</c:v>
                </c:pt>
                <c:pt idx="4355" formatCode="#,##0.000">
                  <c:v>#N/A</c:v>
                </c:pt>
                <c:pt idx="4356" formatCode="#,##0.000">
                  <c:v>#N/A</c:v>
                </c:pt>
                <c:pt idx="4357" formatCode="#,##0.000">
                  <c:v>#N/A</c:v>
                </c:pt>
                <c:pt idx="4358" formatCode="#,##0.000">
                  <c:v>#N/A</c:v>
                </c:pt>
                <c:pt idx="4359" formatCode="#,##0.000">
                  <c:v>#N/A</c:v>
                </c:pt>
                <c:pt idx="4360" formatCode="#,##0.000">
                  <c:v>#N/A</c:v>
                </c:pt>
                <c:pt idx="4361" formatCode="#,##0.000">
                  <c:v>#N/A</c:v>
                </c:pt>
                <c:pt idx="4362" formatCode="#,##0.000">
                  <c:v>#N/A</c:v>
                </c:pt>
                <c:pt idx="4363" formatCode="#,##0.000">
                  <c:v>#N/A</c:v>
                </c:pt>
                <c:pt idx="4364" formatCode="#,##0.000">
                  <c:v>#N/A</c:v>
                </c:pt>
                <c:pt idx="4365" formatCode="#,##0.000">
                  <c:v>#N/A</c:v>
                </c:pt>
                <c:pt idx="4366" formatCode="#,##0.000">
                  <c:v>#N/A</c:v>
                </c:pt>
                <c:pt idx="4367" formatCode="#,##0.000">
                  <c:v>#N/A</c:v>
                </c:pt>
                <c:pt idx="4368" formatCode="#,##0.000">
                  <c:v>#N/A</c:v>
                </c:pt>
                <c:pt idx="4369" formatCode="#,##0.000">
                  <c:v>#N/A</c:v>
                </c:pt>
                <c:pt idx="4370" formatCode="#,##0.000">
                  <c:v>#N/A</c:v>
                </c:pt>
                <c:pt idx="4371" formatCode="#,##0.000">
                  <c:v>#N/A</c:v>
                </c:pt>
                <c:pt idx="4372" formatCode="#,##0.000">
                  <c:v>#N/A</c:v>
                </c:pt>
                <c:pt idx="4373" formatCode="#,##0.000">
                  <c:v>#N/A</c:v>
                </c:pt>
                <c:pt idx="4374" formatCode="#,##0.000">
                  <c:v>#N/A</c:v>
                </c:pt>
                <c:pt idx="4375" formatCode="#,##0.000">
                  <c:v>#N/A</c:v>
                </c:pt>
                <c:pt idx="4376" formatCode="#,##0.000">
                  <c:v>#N/A</c:v>
                </c:pt>
                <c:pt idx="4377" formatCode="#,##0.000">
                  <c:v>#N/A</c:v>
                </c:pt>
                <c:pt idx="4378" formatCode="#,##0.000">
                  <c:v>#N/A</c:v>
                </c:pt>
                <c:pt idx="4379" formatCode="#,##0.000">
                  <c:v>#N/A</c:v>
                </c:pt>
                <c:pt idx="4380" formatCode="#,##0.000">
                  <c:v>#N/A</c:v>
                </c:pt>
                <c:pt idx="4381" formatCode="#,##0.000">
                  <c:v>#N/A</c:v>
                </c:pt>
                <c:pt idx="4382" formatCode="#,##0.000">
                  <c:v>#N/A</c:v>
                </c:pt>
                <c:pt idx="4383" formatCode="#,##0.000">
                  <c:v>#N/A</c:v>
                </c:pt>
                <c:pt idx="4384" formatCode="#,##0.000">
                  <c:v>#N/A</c:v>
                </c:pt>
                <c:pt idx="4385" formatCode="#,##0.000">
                  <c:v>#N/A</c:v>
                </c:pt>
                <c:pt idx="4386" formatCode="#,##0.000">
                  <c:v>#N/A</c:v>
                </c:pt>
                <c:pt idx="4387" formatCode="#,##0.000">
                  <c:v>#N/A</c:v>
                </c:pt>
                <c:pt idx="4388" formatCode="#,##0.000">
                  <c:v>#N/A</c:v>
                </c:pt>
                <c:pt idx="4389" formatCode="#,##0.000">
                  <c:v>#N/A</c:v>
                </c:pt>
                <c:pt idx="4390" formatCode="#,##0.000">
                  <c:v>#N/A</c:v>
                </c:pt>
                <c:pt idx="4391" formatCode="#,##0.000">
                  <c:v>#N/A</c:v>
                </c:pt>
                <c:pt idx="4392" formatCode="#,##0.000">
                  <c:v>#N/A</c:v>
                </c:pt>
                <c:pt idx="4393" formatCode="#,##0.000">
                  <c:v>#N/A</c:v>
                </c:pt>
                <c:pt idx="4394" formatCode="#,##0.000">
                  <c:v>#N/A</c:v>
                </c:pt>
                <c:pt idx="4395" formatCode="#,##0.000">
                  <c:v>#N/A</c:v>
                </c:pt>
                <c:pt idx="4396" formatCode="#,##0.000">
                  <c:v>#N/A</c:v>
                </c:pt>
                <c:pt idx="4397" formatCode="#,##0.000">
                  <c:v>#N/A</c:v>
                </c:pt>
                <c:pt idx="4398" formatCode="#,##0.000">
                  <c:v>#N/A</c:v>
                </c:pt>
                <c:pt idx="4399" formatCode="#,##0.000">
                  <c:v>#N/A</c:v>
                </c:pt>
                <c:pt idx="4400" formatCode="#,##0.000">
                  <c:v>#N/A</c:v>
                </c:pt>
                <c:pt idx="4401" formatCode="#,##0.000">
                  <c:v>#N/A</c:v>
                </c:pt>
                <c:pt idx="4402" formatCode="#,##0.000">
                  <c:v>#N/A</c:v>
                </c:pt>
                <c:pt idx="4403" formatCode="#,##0.000">
                  <c:v>#N/A</c:v>
                </c:pt>
                <c:pt idx="4404" formatCode="#,##0.000">
                  <c:v>#N/A</c:v>
                </c:pt>
                <c:pt idx="4405" formatCode="#,##0.000">
                  <c:v>#N/A</c:v>
                </c:pt>
                <c:pt idx="4406" formatCode="#,##0.000">
                  <c:v>#N/A</c:v>
                </c:pt>
                <c:pt idx="4407" formatCode="#,##0.000">
                  <c:v>#N/A</c:v>
                </c:pt>
                <c:pt idx="4408" formatCode="#,##0.000">
                  <c:v>#N/A</c:v>
                </c:pt>
                <c:pt idx="4409" formatCode="#,##0.000">
                  <c:v>#N/A</c:v>
                </c:pt>
                <c:pt idx="4410" formatCode="#,##0.000">
                  <c:v>#N/A</c:v>
                </c:pt>
                <c:pt idx="4411" formatCode="#,##0.000">
                  <c:v>#N/A</c:v>
                </c:pt>
                <c:pt idx="4412" formatCode="#,##0.000">
                  <c:v>#N/A</c:v>
                </c:pt>
                <c:pt idx="4413" formatCode="#,##0.000">
                  <c:v>#N/A</c:v>
                </c:pt>
                <c:pt idx="4414" formatCode="#,##0.000">
                  <c:v>#N/A</c:v>
                </c:pt>
                <c:pt idx="4415" formatCode="#,##0.000">
                  <c:v>#N/A</c:v>
                </c:pt>
                <c:pt idx="4416" formatCode="#,##0.000">
                  <c:v>#N/A</c:v>
                </c:pt>
                <c:pt idx="4417" formatCode="#,##0.000">
                  <c:v>#N/A</c:v>
                </c:pt>
                <c:pt idx="4418" formatCode="#,##0.000">
                  <c:v>#N/A</c:v>
                </c:pt>
                <c:pt idx="4419" formatCode="#,##0.000">
                  <c:v>#N/A</c:v>
                </c:pt>
                <c:pt idx="4420" formatCode="#,##0.000">
                  <c:v>#N/A</c:v>
                </c:pt>
                <c:pt idx="4421" formatCode="#,##0.000">
                  <c:v>#N/A</c:v>
                </c:pt>
                <c:pt idx="4422" formatCode="#,##0.000">
                  <c:v>#N/A</c:v>
                </c:pt>
                <c:pt idx="4423" formatCode="#,##0.000">
                  <c:v>#N/A</c:v>
                </c:pt>
                <c:pt idx="4424" formatCode="#,##0.000">
                  <c:v>#N/A</c:v>
                </c:pt>
                <c:pt idx="4425" formatCode="#,##0.000">
                  <c:v>#N/A</c:v>
                </c:pt>
                <c:pt idx="4426" formatCode="#,##0.000">
                  <c:v>#N/A</c:v>
                </c:pt>
                <c:pt idx="4427" formatCode="#,##0.000">
                  <c:v>#N/A</c:v>
                </c:pt>
                <c:pt idx="4428" formatCode="#,##0.000">
                  <c:v>#N/A</c:v>
                </c:pt>
                <c:pt idx="4429" formatCode="#,##0.000">
                  <c:v>#N/A</c:v>
                </c:pt>
                <c:pt idx="4430" formatCode="#,##0.000">
                  <c:v>#N/A</c:v>
                </c:pt>
                <c:pt idx="4431" formatCode="#,##0.000">
                  <c:v>#N/A</c:v>
                </c:pt>
                <c:pt idx="4432" formatCode="#,##0.000">
                  <c:v>#N/A</c:v>
                </c:pt>
                <c:pt idx="4433" formatCode="#,##0.000">
                  <c:v>#N/A</c:v>
                </c:pt>
                <c:pt idx="4434" formatCode="#,##0.000">
                  <c:v>#N/A</c:v>
                </c:pt>
                <c:pt idx="4435" formatCode="#,##0.000">
                  <c:v>#N/A</c:v>
                </c:pt>
                <c:pt idx="4436" formatCode="#,##0.000">
                  <c:v>#N/A</c:v>
                </c:pt>
                <c:pt idx="4437" formatCode="#,##0.000">
                  <c:v>#N/A</c:v>
                </c:pt>
                <c:pt idx="4438" formatCode="#,##0.000">
                  <c:v>#N/A</c:v>
                </c:pt>
                <c:pt idx="4439" formatCode="#,##0.000">
                  <c:v>#N/A</c:v>
                </c:pt>
                <c:pt idx="4440" formatCode="#,##0.000">
                  <c:v>#N/A</c:v>
                </c:pt>
                <c:pt idx="4441" formatCode="#,##0.000">
                  <c:v>#N/A</c:v>
                </c:pt>
                <c:pt idx="4442" formatCode="#,##0.000">
                  <c:v>#N/A</c:v>
                </c:pt>
                <c:pt idx="4443" formatCode="#,##0.000">
                  <c:v>#N/A</c:v>
                </c:pt>
                <c:pt idx="4444" formatCode="#,##0.000">
                  <c:v>#N/A</c:v>
                </c:pt>
                <c:pt idx="4445" formatCode="#,##0.000">
                  <c:v>#N/A</c:v>
                </c:pt>
                <c:pt idx="4446" formatCode="#,##0.000">
                  <c:v>#N/A</c:v>
                </c:pt>
                <c:pt idx="4447" formatCode="#,##0.000">
                  <c:v>#N/A</c:v>
                </c:pt>
                <c:pt idx="4448" formatCode="#,##0.000">
                  <c:v>#N/A</c:v>
                </c:pt>
                <c:pt idx="4449" formatCode="#,##0.000">
                  <c:v>#N/A</c:v>
                </c:pt>
                <c:pt idx="4450" formatCode="#,##0.000">
                  <c:v>#N/A</c:v>
                </c:pt>
                <c:pt idx="4451" formatCode="#,##0.000">
                  <c:v>#N/A</c:v>
                </c:pt>
                <c:pt idx="4452" formatCode="#,##0.000">
                  <c:v>#N/A</c:v>
                </c:pt>
                <c:pt idx="4453" formatCode="#,##0.000">
                  <c:v>#N/A</c:v>
                </c:pt>
                <c:pt idx="4454" formatCode="#,##0.000">
                  <c:v>#N/A</c:v>
                </c:pt>
                <c:pt idx="4455" formatCode="#,##0.000">
                  <c:v>#N/A</c:v>
                </c:pt>
                <c:pt idx="4456" formatCode="#,##0.000">
                  <c:v>#N/A</c:v>
                </c:pt>
                <c:pt idx="4457" formatCode="#,##0.000">
                  <c:v>#N/A</c:v>
                </c:pt>
                <c:pt idx="4458" formatCode="#,##0.000">
                  <c:v>#N/A</c:v>
                </c:pt>
                <c:pt idx="4459" formatCode="#,##0.000">
                  <c:v>#N/A</c:v>
                </c:pt>
                <c:pt idx="4460" formatCode="#,##0.000">
                  <c:v>#N/A</c:v>
                </c:pt>
                <c:pt idx="4461" formatCode="#,##0.000">
                  <c:v>#N/A</c:v>
                </c:pt>
                <c:pt idx="4462" formatCode="#,##0.000">
                  <c:v>#N/A</c:v>
                </c:pt>
                <c:pt idx="4463" formatCode="#,##0.000">
                  <c:v>#N/A</c:v>
                </c:pt>
                <c:pt idx="4464" formatCode="#,##0.000">
                  <c:v>#N/A</c:v>
                </c:pt>
                <c:pt idx="4465" formatCode="#,##0.000">
                  <c:v>#N/A</c:v>
                </c:pt>
                <c:pt idx="4466" formatCode="#,##0.000">
                  <c:v>#N/A</c:v>
                </c:pt>
                <c:pt idx="4467" formatCode="#,##0.000">
                  <c:v>#N/A</c:v>
                </c:pt>
                <c:pt idx="4468" formatCode="#,##0.000">
                  <c:v>#N/A</c:v>
                </c:pt>
                <c:pt idx="4469" formatCode="#,##0.000">
                  <c:v>#N/A</c:v>
                </c:pt>
                <c:pt idx="4470" formatCode="#,##0.000">
                  <c:v>#N/A</c:v>
                </c:pt>
                <c:pt idx="4471" formatCode="#,##0.000">
                  <c:v>#N/A</c:v>
                </c:pt>
                <c:pt idx="4472" formatCode="#,##0.000">
                  <c:v>#N/A</c:v>
                </c:pt>
                <c:pt idx="4473" formatCode="#,##0.000">
                  <c:v>#N/A</c:v>
                </c:pt>
                <c:pt idx="4474" formatCode="#,##0.000">
                  <c:v>#N/A</c:v>
                </c:pt>
                <c:pt idx="4475" formatCode="#,##0.000">
                  <c:v>#N/A</c:v>
                </c:pt>
                <c:pt idx="4476" formatCode="#,##0.000">
                  <c:v>#N/A</c:v>
                </c:pt>
                <c:pt idx="4477" formatCode="#,##0.000">
                  <c:v>#N/A</c:v>
                </c:pt>
                <c:pt idx="4478" formatCode="#,##0.000">
                  <c:v>#N/A</c:v>
                </c:pt>
                <c:pt idx="4479" formatCode="#,##0.000">
                  <c:v>#N/A</c:v>
                </c:pt>
                <c:pt idx="4480" formatCode="#,##0.000">
                  <c:v>#N/A</c:v>
                </c:pt>
                <c:pt idx="4481" formatCode="#,##0.000">
                  <c:v>#N/A</c:v>
                </c:pt>
                <c:pt idx="4482" formatCode="#,##0.000">
                  <c:v>#N/A</c:v>
                </c:pt>
                <c:pt idx="4483" formatCode="#,##0.000">
                  <c:v>#N/A</c:v>
                </c:pt>
                <c:pt idx="4484" formatCode="#,##0.000">
                  <c:v>#N/A</c:v>
                </c:pt>
                <c:pt idx="4485" formatCode="#,##0.000">
                  <c:v>#N/A</c:v>
                </c:pt>
                <c:pt idx="4486" formatCode="#,##0.000">
                  <c:v>#N/A</c:v>
                </c:pt>
                <c:pt idx="4487" formatCode="#,##0.000">
                  <c:v>#N/A</c:v>
                </c:pt>
                <c:pt idx="4488" formatCode="#,##0.000">
                  <c:v>#N/A</c:v>
                </c:pt>
                <c:pt idx="4489" formatCode="#,##0.000">
                  <c:v>#N/A</c:v>
                </c:pt>
                <c:pt idx="4490" formatCode="#,##0.000">
                  <c:v>#N/A</c:v>
                </c:pt>
                <c:pt idx="4491" formatCode="#,##0.000">
                  <c:v>#N/A</c:v>
                </c:pt>
                <c:pt idx="4492" formatCode="#,##0.000">
                  <c:v>#N/A</c:v>
                </c:pt>
                <c:pt idx="4493" formatCode="#,##0.000">
                  <c:v>#N/A</c:v>
                </c:pt>
                <c:pt idx="4494" formatCode="#,##0.000">
                  <c:v>#N/A</c:v>
                </c:pt>
                <c:pt idx="4495" formatCode="#,##0.000">
                  <c:v>#N/A</c:v>
                </c:pt>
                <c:pt idx="4496" formatCode="#,##0.000">
                  <c:v>#N/A</c:v>
                </c:pt>
                <c:pt idx="4497" formatCode="#,##0.000">
                  <c:v>#N/A</c:v>
                </c:pt>
                <c:pt idx="4498" formatCode="#,##0.000">
                  <c:v>#N/A</c:v>
                </c:pt>
                <c:pt idx="4499" formatCode="#,##0.000">
                  <c:v>#N/A</c:v>
                </c:pt>
                <c:pt idx="4500" formatCode="#,##0.000">
                  <c:v>#N/A</c:v>
                </c:pt>
                <c:pt idx="4501" formatCode="#,##0.000">
                  <c:v>#N/A</c:v>
                </c:pt>
                <c:pt idx="4502" formatCode="#,##0.000">
                  <c:v>#N/A</c:v>
                </c:pt>
                <c:pt idx="4503" formatCode="#,##0.000">
                  <c:v>#N/A</c:v>
                </c:pt>
                <c:pt idx="4504" formatCode="#,##0.000">
                  <c:v>#N/A</c:v>
                </c:pt>
                <c:pt idx="4505" formatCode="#,##0.000">
                  <c:v>#N/A</c:v>
                </c:pt>
                <c:pt idx="4506" formatCode="#,##0.000">
                  <c:v>#N/A</c:v>
                </c:pt>
                <c:pt idx="4507" formatCode="#,##0.000">
                  <c:v>#N/A</c:v>
                </c:pt>
                <c:pt idx="4508" formatCode="#,##0.000">
                  <c:v>#N/A</c:v>
                </c:pt>
                <c:pt idx="4509" formatCode="#,##0.000">
                  <c:v>#N/A</c:v>
                </c:pt>
                <c:pt idx="4510" formatCode="#,##0.000">
                  <c:v>#N/A</c:v>
                </c:pt>
                <c:pt idx="4511" formatCode="#,##0.000">
                  <c:v>#N/A</c:v>
                </c:pt>
                <c:pt idx="4512" formatCode="#,##0.000">
                  <c:v>#N/A</c:v>
                </c:pt>
                <c:pt idx="4513" formatCode="#,##0.000">
                  <c:v>#N/A</c:v>
                </c:pt>
                <c:pt idx="4514" formatCode="#,##0.000">
                  <c:v>#N/A</c:v>
                </c:pt>
                <c:pt idx="4515" formatCode="#,##0.000">
                  <c:v>#N/A</c:v>
                </c:pt>
                <c:pt idx="4516" formatCode="#,##0.000">
                  <c:v>#N/A</c:v>
                </c:pt>
                <c:pt idx="4517" formatCode="#,##0.000">
                  <c:v>#N/A</c:v>
                </c:pt>
                <c:pt idx="4518" formatCode="#,##0.000">
                  <c:v>#N/A</c:v>
                </c:pt>
                <c:pt idx="4519" formatCode="#,##0.000">
                  <c:v>#N/A</c:v>
                </c:pt>
                <c:pt idx="4520" formatCode="#,##0.000">
                  <c:v>#N/A</c:v>
                </c:pt>
                <c:pt idx="4521" formatCode="#,##0.000">
                  <c:v>#N/A</c:v>
                </c:pt>
                <c:pt idx="4522" formatCode="#,##0.000">
                  <c:v>#N/A</c:v>
                </c:pt>
                <c:pt idx="4523" formatCode="#,##0.000">
                  <c:v>#N/A</c:v>
                </c:pt>
                <c:pt idx="4524" formatCode="#,##0.000">
                  <c:v>#N/A</c:v>
                </c:pt>
                <c:pt idx="4525" formatCode="#,##0.000">
                  <c:v>#N/A</c:v>
                </c:pt>
                <c:pt idx="4526" formatCode="#,##0.000">
                  <c:v>#N/A</c:v>
                </c:pt>
                <c:pt idx="4527" formatCode="#,##0.000">
                  <c:v>#N/A</c:v>
                </c:pt>
                <c:pt idx="4528" formatCode="#,##0.000">
                  <c:v>#N/A</c:v>
                </c:pt>
                <c:pt idx="4529" formatCode="#,##0.000">
                  <c:v>#N/A</c:v>
                </c:pt>
                <c:pt idx="4530" formatCode="#,##0.000">
                  <c:v>#N/A</c:v>
                </c:pt>
                <c:pt idx="4531" formatCode="#,##0.000">
                  <c:v>#N/A</c:v>
                </c:pt>
                <c:pt idx="4532" formatCode="#,##0.000">
                  <c:v>#N/A</c:v>
                </c:pt>
                <c:pt idx="4533" formatCode="#,##0.000">
                  <c:v>#N/A</c:v>
                </c:pt>
                <c:pt idx="4534" formatCode="#,##0.000">
                  <c:v>#N/A</c:v>
                </c:pt>
                <c:pt idx="4535" formatCode="#,##0.000">
                  <c:v>#N/A</c:v>
                </c:pt>
                <c:pt idx="4536" formatCode="#,##0.000">
                  <c:v>#N/A</c:v>
                </c:pt>
                <c:pt idx="4537" formatCode="#,##0.000">
                  <c:v>#N/A</c:v>
                </c:pt>
                <c:pt idx="4538" formatCode="#,##0.000">
                  <c:v>#N/A</c:v>
                </c:pt>
                <c:pt idx="4539" formatCode="#,##0.000">
                  <c:v>#N/A</c:v>
                </c:pt>
                <c:pt idx="4540" formatCode="#,##0.000">
                  <c:v>#N/A</c:v>
                </c:pt>
                <c:pt idx="4541" formatCode="#,##0.000">
                  <c:v>#N/A</c:v>
                </c:pt>
                <c:pt idx="4542" formatCode="#,##0.000">
                  <c:v>#N/A</c:v>
                </c:pt>
                <c:pt idx="4543" formatCode="#,##0.000">
                  <c:v>#N/A</c:v>
                </c:pt>
                <c:pt idx="4544" formatCode="#,##0.000">
                  <c:v>#N/A</c:v>
                </c:pt>
                <c:pt idx="4545" formatCode="#,##0.000">
                  <c:v>#N/A</c:v>
                </c:pt>
                <c:pt idx="4546" formatCode="#,##0.000">
                  <c:v>#N/A</c:v>
                </c:pt>
                <c:pt idx="4547" formatCode="#,##0.000">
                  <c:v>#N/A</c:v>
                </c:pt>
                <c:pt idx="4548" formatCode="#,##0.000">
                  <c:v>#N/A</c:v>
                </c:pt>
                <c:pt idx="4549" formatCode="#,##0.000">
                  <c:v>#N/A</c:v>
                </c:pt>
                <c:pt idx="4550" formatCode="#,##0.000">
                  <c:v>#N/A</c:v>
                </c:pt>
                <c:pt idx="4551" formatCode="#,##0.000">
                  <c:v>#N/A</c:v>
                </c:pt>
                <c:pt idx="4552" formatCode="#,##0.000">
                  <c:v>#N/A</c:v>
                </c:pt>
                <c:pt idx="4553" formatCode="#,##0.000">
                  <c:v>#N/A</c:v>
                </c:pt>
                <c:pt idx="4554" formatCode="#,##0.000">
                  <c:v>#N/A</c:v>
                </c:pt>
                <c:pt idx="4555" formatCode="#,##0.000">
                  <c:v>#N/A</c:v>
                </c:pt>
                <c:pt idx="4556" formatCode="#,##0.000">
                  <c:v>#N/A</c:v>
                </c:pt>
                <c:pt idx="4557" formatCode="#,##0.000">
                  <c:v>#N/A</c:v>
                </c:pt>
                <c:pt idx="4558" formatCode="#,##0.000">
                  <c:v>#N/A</c:v>
                </c:pt>
                <c:pt idx="4559" formatCode="#,##0.000">
                  <c:v>#N/A</c:v>
                </c:pt>
                <c:pt idx="4560" formatCode="#,##0.000">
                  <c:v>#N/A</c:v>
                </c:pt>
                <c:pt idx="4561" formatCode="#,##0.000">
                  <c:v>#N/A</c:v>
                </c:pt>
                <c:pt idx="4562" formatCode="#,##0.000">
                  <c:v>#N/A</c:v>
                </c:pt>
                <c:pt idx="4563" formatCode="#,##0.000">
                  <c:v>#N/A</c:v>
                </c:pt>
                <c:pt idx="4564" formatCode="#,##0.000">
                  <c:v>#N/A</c:v>
                </c:pt>
                <c:pt idx="4565" formatCode="#,##0.000">
                  <c:v>#N/A</c:v>
                </c:pt>
                <c:pt idx="4566" formatCode="#,##0.000">
                  <c:v>#N/A</c:v>
                </c:pt>
                <c:pt idx="4567" formatCode="#,##0.000">
                  <c:v>#N/A</c:v>
                </c:pt>
                <c:pt idx="4568" formatCode="#,##0.000">
                  <c:v>#N/A</c:v>
                </c:pt>
                <c:pt idx="4569" formatCode="#,##0.000">
                  <c:v>#N/A</c:v>
                </c:pt>
                <c:pt idx="4570" formatCode="#,##0.000">
                  <c:v>#N/A</c:v>
                </c:pt>
                <c:pt idx="4571" formatCode="#,##0.000">
                  <c:v>#N/A</c:v>
                </c:pt>
                <c:pt idx="4572" formatCode="#,##0.000">
                  <c:v>#N/A</c:v>
                </c:pt>
                <c:pt idx="4573" formatCode="#,##0.000">
                  <c:v>#N/A</c:v>
                </c:pt>
                <c:pt idx="4574" formatCode="#,##0.000">
                  <c:v>#N/A</c:v>
                </c:pt>
                <c:pt idx="4575" formatCode="#,##0.000">
                  <c:v>#N/A</c:v>
                </c:pt>
                <c:pt idx="4576" formatCode="#,##0.000">
                  <c:v>#N/A</c:v>
                </c:pt>
                <c:pt idx="4577" formatCode="#,##0.000">
                  <c:v>#N/A</c:v>
                </c:pt>
                <c:pt idx="4578" formatCode="#,##0.000">
                  <c:v>#N/A</c:v>
                </c:pt>
                <c:pt idx="4579" formatCode="#,##0.000">
                  <c:v>#N/A</c:v>
                </c:pt>
                <c:pt idx="4580" formatCode="#,##0.000">
                  <c:v>#N/A</c:v>
                </c:pt>
                <c:pt idx="4581" formatCode="#,##0.000">
                  <c:v>#N/A</c:v>
                </c:pt>
                <c:pt idx="4582" formatCode="#,##0.000">
                  <c:v>#N/A</c:v>
                </c:pt>
                <c:pt idx="4583" formatCode="#,##0.000">
                  <c:v>#N/A</c:v>
                </c:pt>
                <c:pt idx="4584" formatCode="#,##0.000">
                  <c:v>#N/A</c:v>
                </c:pt>
                <c:pt idx="4585" formatCode="#,##0.000">
                  <c:v>#N/A</c:v>
                </c:pt>
                <c:pt idx="4586" formatCode="#,##0.000">
                  <c:v>#N/A</c:v>
                </c:pt>
                <c:pt idx="4587" formatCode="#,##0.000">
                  <c:v>#N/A</c:v>
                </c:pt>
                <c:pt idx="4588" formatCode="#,##0.000">
                  <c:v>#N/A</c:v>
                </c:pt>
                <c:pt idx="4589" formatCode="#,##0.000">
                  <c:v>#N/A</c:v>
                </c:pt>
                <c:pt idx="4590" formatCode="#,##0.000">
                  <c:v>#N/A</c:v>
                </c:pt>
                <c:pt idx="4591" formatCode="#,##0.000">
                  <c:v>#N/A</c:v>
                </c:pt>
                <c:pt idx="4592" formatCode="#,##0.000">
                  <c:v>#N/A</c:v>
                </c:pt>
                <c:pt idx="4593" formatCode="#,##0.000">
                  <c:v>#N/A</c:v>
                </c:pt>
                <c:pt idx="4594" formatCode="#,##0.000">
                  <c:v>#N/A</c:v>
                </c:pt>
                <c:pt idx="4595" formatCode="#,##0.000">
                  <c:v>#N/A</c:v>
                </c:pt>
                <c:pt idx="4596" formatCode="#,##0.000">
                  <c:v>#N/A</c:v>
                </c:pt>
                <c:pt idx="4597" formatCode="#,##0.000">
                  <c:v>#N/A</c:v>
                </c:pt>
                <c:pt idx="4598" formatCode="#,##0.000">
                  <c:v>#N/A</c:v>
                </c:pt>
                <c:pt idx="4599" formatCode="#,##0.000">
                  <c:v>#N/A</c:v>
                </c:pt>
                <c:pt idx="4600" formatCode="#,##0.000">
                  <c:v>#N/A</c:v>
                </c:pt>
                <c:pt idx="4601" formatCode="#,##0.000">
                  <c:v>#N/A</c:v>
                </c:pt>
                <c:pt idx="4602" formatCode="#,##0.000">
                  <c:v>#N/A</c:v>
                </c:pt>
                <c:pt idx="4603" formatCode="#,##0.000">
                  <c:v>#N/A</c:v>
                </c:pt>
                <c:pt idx="4604" formatCode="#,##0.000">
                  <c:v>#N/A</c:v>
                </c:pt>
                <c:pt idx="4605" formatCode="#,##0.000">
                  <c:v>#N/A</c:v>
                </c:pt>
                <c:pt idx="4606" formatCode="#,##0.000">
                  <c:v>#N/A</c:v>
                </c:pt>
                <c:pt idx="4607" formatCode="#,##0.000">
                  <c:v>#N/A</c:v>
                </c:pt>
                <c:pt idx="4608" formatCode="#,##0.000">
                  <c:v>#N/A</c:v>
                </c:pt>
                <c:pt idx="4609" formatCode="#,##0.000">
                  <c:v>#N/A</c:v>
                </c:pt>
                <c:pt idx="4610" formatCode="#,##0.000">
                  <c:v>#N/A</c:v>
                </c:pt>
                <c:pt idx="4611" formatCode="#,##0.000">
                  <c:v>#N/A</c:v>
                </c:pt>
                <c:pt idx="4612" formatCode="#,##0.000">
                  <c:v>#N/A</c:v>
                </c:pt>
                <c:pt idx="4613" formatCode="#,##0.000">
                  <c:v>#N/A</c:v>
                </c:pt>
                <c:pt idx="4614" formatCode="#,##0.000">
                  <c:v>#N/A</c:v>
                </c:pt>
                <c:pt idx="4615" formatCode="#,##0.000">
                  <c:v>#N/A</c:v>
                </c:pt>
                <c:pt idx="4616" formatCode="#,##0.000">
                  <c:v>#N/A</c:v>
                </c:pt>
                <c:pt idx="4617" formatCode="#,##0.000">
                  <c:v>#N/A</c:v>
                </c:pt>
                <c:pt idx="4618" formatCode="#,##0.000">
                  <c:v>#N/A</c:v>
                </c:pt>
                <c:pt idx="4619" formatCode="#,##0.000">
                  <c:v>#N/A</c:v>
                </c:pt>
                <c:pt idx="4620" formatCode="#,##0.000">
                  <c:v>#N/A</c:v>
                </c:pt>
                <c:pt idx="4621" formatCode="#,##0.000">
                  <c:v>#N/A</c:v>
                </c:pt>
                <c:pt idx="4622" formatCode="#,##0.000">
                  <c:v>#N/A</c:v>
                </c:pt>
                <c:pt idx="4623" formatCode="#,##0.000">
                  <c:v>#N/A</c:v>
                </c:pt>
                <c:pt idx="4624" formatCode="#,##0.000">
                  <c:v>#N/A</c:v>
                </c:pt>
                <c:pt idx="4625" formatCode="#,##0.000">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val>
          <c:extLst>
            <c:ext xmlns:c16="http://schemas.microsoft.com/office/drawing/2014/chart" uri="{C3380CC4-5D6E-409C-BE32-E72D297353CC}">
              <c16:uniqueId val="{00000002-A3B8-4A7A-88F9-3FB27C46CC0F}"/>
            </c:ext>
          </c:extLst>
        </c:ser>
        <c:ser>
          <c:idx val="3"/>
          <c:order val="3"/>
          <c:tx>
            <c:strRef>
              <c:f>BeskrivendeStatistik!$BB$7</c:f>
              <c:strCache>
                <c:ptCount val="1"/>
                <c:pt idx="0">
                  <c:v>4. kvartil</c:v>
                </c:pt>
              </c:strCache>
            </c:strRef>
          </c:tx>
          <c:spPr>
            <a:solidFill>
              <a:schemeClr val="accent4"/>
            </a:solidFill>
            <a:ln>
              <a:noFill/>
            </a:ln>
            <a:effectLst/>
          </c:spPr>
          <c:invertIfNegative val="0"/>
          <c:cat>
            <c:strRef>
              <c:f>[0]!BxK</c:f>
              <c:strCache>
                <c:ptCount val="5000"/>
                <c:pt idx="0">
                  <c:v>-1.48</c:v>
                </c:pt>
                <c:pt idx="243">
                  <c:v>-0.776</c:v>
                </c:pt>
                <c:pt idx="683">
                  <c:v>0.499</c:v>
                </c:pt>
                <c:pt idx="1099">
                  <c:v>1.703</c:v>
                </c:pt>
                <c:pt idx="4999">
                  <c:v>13</c:v>
                </c:pt>
              </c:strCache>
            </c:strRef>
          </c:cat>
          <c:val>
            <c:numRef>
              <c:f>[0]!Bk_4</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0.11332468572476186</c:v>
                </c:pt>
                <c:pt idx="1100">
                  <c:v>0.11332468572476186</c:v>
                </c:pt>
                <c:pt idx="1101">
                  <c:v>0.11332468572476186</c:v>
                </c:pt>
                <c:pt idx="1102">
                  <c:v>0.11332468572476186</c:v>
                </c:pt>
                <c:pt idx="1103">
                  <c:v>0.11332468572476186</c:v>
                </c:pt>
                <c:pt idx="1104">
                  <c:v>0.11332468572476186</c:v>
                </c:pt>
                <c:pt idx="1105">
                  <c:v>0.11332468572476186</c:v>
                </c:pt>
                <c:pt idx="1106">
                  <c:v>0.11332468572476186</c:v>
                </c:pt>
                <c:pt idx="1107">
                  <c:v>0.11332468572476186</c:v>
                </c:pt>
                <c:pt idx="1108">
                  <c:v>0.11332468572476186</c:v>
                </c:pt>
                <c:pt idx="1109">
                  <c:v>0.11332468572476186</c:v>
                </c:pt>
                <c:pt idx="1110">
                  <c:v>0.11332468572476186</c:v>
                </c:pt>
                <c:pt idx="1111">
                  <c:v>0.11332468572476186</c:v>
                </c:pt>
                <c:pt idx="1112">
                  <c:v>0.11332468572476186</c:v>
                </c:pt>
                <c:pt idx="1113">
                  <c:v>0.11332468572476186</c:v>
                </c:pt>
                <c:pt idx="1114">
                  <c:v>0.11332468572476186</c:v>
                </c:pt>
                <c:pt idx="1115">
                  <c:v>0.11332468572476186</c:v>
                </c:pt>
                <c:pt idx="1116">
                  <c:v>0.11332468572476186</c:v>
                </c:pt>
                <c:pt idx="1117">
                  <c:v>0.11332468572476186</c:v>
                </c:pt>
                <c:pt idx="1118">
                  <c:v>0.11332468572476186</c:v>
                </c:pt>
                <c:pt idx="1119">
                  <c:v>0.11332468572476186</c:v>
                </c:pt>
                <c:pt idx="1120">
                  <c:v>0.11332468572476186</c:v>
                </c:pt>
                <c:pt idx="1121">
                  <c:v>0.11332468572476186</c:v>
                </c:pt>
                <c:pt idx="1122">
                  <c:v>0.11332468572476186</c:v>
                </c:pt>
                <c:pt idx="1123">
                  <c:v>0.11332468572476186</c:v>
                </c:pt>
                <c:pt idx="1124">
                  <c:v>0.11332468572476186</c:v>
                </c:pt>
                <c:pt idx="1125">
                  <c:v>0.11332468572476186</c:v>
                </c:pt>
                <c:pt idx="1126">
                  <c:v>0.11332468572476186</c:v>
                </c:pt>
                <c:pt idx="1127">
                  <c:v>0.11332468572476186</c:v>
                </c:pt>
                <c:pt idx="1128">
                  <c:v>0.11332468572476186</c:v>
                </c:pt>
                <c:pt idx="1129">
                  <c:v>0.11332468572476186</c:v>
                </c:pt>
                <c:pt idx="1130">
                  <c:v>0.11332468572476186</c:v>
                </c:pt>
                <c:pt idx="1131">
                  <c:v>0.11332468572476186</c:v>
                </c:pt>
                <c:pt idx="1132">
                  <c:v>0.11332468572476186</c:v>
                </c:pt>
                <c:pt idx="1133">
                  <c:v>0.11332468572476186</c:v>
                </c:pt>
                <c:pt idx="1134">
                  <c:v>0.11332468572476186</c:v>
                </c:pt>
                <c:pt idx="1135">
                  <c:v>0.11332468572476186</c:v>
                </c:pt>
                <c:pt idx="1136">
                  <c:v>0.11332468572476186</c:v>
                </c:pt>
                <c:pt idx="1137">
                  <c:v>0.11332468572476186</c:v>
                </c:pt>
                <c:pt idx="1138">
                  <c:v>0.11332468572476186</c:v>
                </c:pt>
                <c:pt idx="1139">
                  <c:v>0.11332468572476186</c:v>
                </c:pt>
                <c:pt idx="1140">
                  <c:v>0.11332468572476186</c:v>
                </c:pt>
                <c:pt idx="1141">
                  <c:v>0.11332468572476186</c:v>
                </c:pt>
                <c:pt idx="1142">
                  <c:v>0.11332468572476186</c:v>
                </c:pt>
                <c:pt idx="1143">
                  <c:v>0.11332468572476186</c:v>
                </c:pt>
                <c:pt idx="1144">
                  <c:v>0.11332468572476186</c:v>
                </c:pt>
                <c:pt idx="1145">
                  <c:v>0.11332468572476186</c:v>
                </c:pt>
                <c:pt idx="1146">
                  <c:v>0.11332468572476186</c:v>
                </c:pt>
                <c:pt idx="1147">
                  <c:v>0.11332468572476186</c:v>
                </c:pt>
                <c:pt idx="1148">
                  <c:v>0.11332468572476186</c:v>
                </c:pt>
                <c:pt idx="1149">
                  <c:v>0.11332468572476186</c:v>
                </c:pt>
                <c:pt idx="1150">
                  <c:v>0.11332468572476186</c:v>
                </c:pt>
                <c:pt idx="1151">
                  <c:v>0.11332468572476186</c:v>
                </c:pt>
                <c:pt idx="1152">
                  <c:v>0.11332468572476186</c:v>
                </c:pt>
                <c:pt idx="1153">
                  <c:v>0.11332468572476186</c:v>
                </c:pt>
                <c:pt idx="1154">
                  <c:v>0.11332468572476186</c:v>
                </c:pt>
                <c:pt idx="1155">
                  <c:v>0.11332468572476186</c:v>
                </c:pt>
                <c:pt idx="1156">
                  <c:v>0.11332468572476186</c:v>
                </c:pt>
                <c:pt idx="1157">
                  <c:v>0.11332468572476186</c:v>
                </c:pt>
                <c:pt idx="1158">
                  <c:v>0.11332468572476186</c:v>
                </c:pt>
                <c:pt idx="1159">
                  <c:v>0.11332468572476186</c:v>
                </c:pt>
                <c:pt idx="1160">
                  <c:v>0.11332468572476186</c:v>
                </c:pt>
                <c:pt idx="1161">
                  <c:v>0.11332468572476186</c:v>
                </c:pt>
                <c:pt idx="1162">
                  <c:v>0.11332468572476186</c:v>
                </c:pt>
                <c:pt idx="1163">
                  <c:v>0.11332468572476186</c:v>
                </c:pt>
                <c:pt idx="1164">
                  <c:v>0.11332468572476186</c:v>
                </c:pt>
                <c:pt idx="1165">
                  <c:v>0.11332468572476186</c:v>
                </c:pt>
                <c:pt idx="1166">
                  <c:v>0.11332468572476186</c:v>
                </c:pt>
                <c:pt idx="1167">
                  <c:v>0.11332468572476186</c:v>
                </c:pt>
                <c:pt idx="1168">
                  <c:v>0.11332468572476186</c:v>
                </c:pt>
                <c:pt idx="1169">
                  <c:v>0.11332468572476186</c:v>
                </c:pt>
                <c:pt idx="1170">
                  <c:v>0.11332468572476186</c:v>
                </c:pt>
                <c:pt idx="1171">
                  <c:v>0.11332468572476186</c:v>
                </c:pt>
                <c:pt idx="1172">
                  <c:v>0.11332468572476186</c:v>
                </c:pt>
                <c:pt idx="1173">
                  <c:v>0.11332468572476186</c:v>
                </c:pt>
                <c:pt idx="1174">
                  <c:v>0.11332468572476186</c:v>
                </c:pt>
                <c:pt idx="1175">
                  <c:v>0.11332468572476186</c:v>
                </c:pt>
                <c:pt idx="1176">
                  <c:v>0.11332468572476186</c:v>
                </c:pt>
                <c:pt idx="1177">
                  <c:v>0.11332468572476186</c:v>
                </c:pt>
                <c:pt idx="1178">
                  <c:v>0.11332468572476186</c:v>
                </c:pt>
                <c:pt idx="1179">
                  <c:v>0.11332468572476186</c:v>
                </c:pt>
                <c:pt idx="1180">
                  <c:v>0.11332468572476186</c:v>
                </c:pt>
                <c:pt idx="1181">
                  <c:v>0.11332468572476186</c:v>
                </c:pt>
                <c:pt idx="1182">
                  <c:v>0.11332468572476186</c:v>
                </c:pt>
                <c:pt idx="1183">
                  <c:v>0.11332468572476186</c:v>
                </c:pt>
                <c:pt idx="1184">
                  <c:v>0.11332468572476186</c:v>
                </c:pt>
                <c:pt idx="1185">
                  <c:v>0.11332468572476186</c:v>
                </c:pt>
                <c:pt idx="1186">
                  <c:v>0.11332468572476186</c:v>
                </c:pt>
                <c:pt idx="1187">
                  <c:v>0.11332468572476186</c:v>
                </c:pt>
                <c:pt idx="1188">
                  <c:v>0.11332468572476186</c:v>
                </c:pt>
                <c:pt idx="1189">
                  <c:v>0.11332468572476186</c:v>
                </c:pt>
                <c:pt idx="1190">
                  <c:v>0.11332468572476186</c:v>
                </c:pt>
                <c:pt idx="1191">
                  <c:v>0.11332468572476186</c:v>
                </c:pt>
                <c:pt idx="1192">
                  <c:v>0.11332468572476186</c:v>
                </c:pt>
                <c:pt idx="1193">
                  <c:v>0.11332468572476186</c:v>
                </c:pt>
                <c:pt idx="1194">
                  <c:v>0.11332468572476186</c:v>
                </c:pt>
                <c:pt idx="1195">
                  <c:v>0.11332468572476186</c:v>
                </c:pt>
                <c:pt idx="1196">
                  <c:v>0.11332468572476186</c:v>
                </c:pt>
                <c:pt idx="1197">
                  <c:v>0.11332468572476186</c:v>
                </c:pt>
                <c:pt idx="1198">
                  <c:v>0.11332468572476186</c:v>
                </c:pt>
                <c:pt idx="1199">
                  <c:v>0.11332468572476186</c:v>
                </c:pt>
                <c:pt idx="1200">
                  <c:v>0.11332468572476186</c:v>
                </c:pt>
                <c:pt idx="1201">
                  <c:v>0.11332468572476186</c:v>
                </c:pt>
                <c:pt idx="1202">
                  <c:v>0.11332468572476186</c:v>
                </c:pt>
                <c:pt idx="1203">
                  <c:v>0.11332468572476186</c:v>
                </c:pt>
                <c:pt idx="1204">
                  <c:v>0.11332468572476186</c:v>
                </c:pt>
                <c:pt idx="1205">
                  <c:v>0.11332468572476186</c:v>
                </c:pt>
                <c:pt idx="1206">
                  <c:v>0.11332468572476186</c:v>
                </c:pt>
                <c:pt idx="1207">
                  <c:v>0.11332468572476186</c:v>
                </c:pt>
                <c:pt idx="1208">
                  <c:v>0.11332468572476186</c:v>
                </c:pt>
                <c:pt idx="1209">
                  <c:v>0.11332468572476186</c:v>
                </c:pt>
                <c:pt idx="1210">
                  <c:v>0.11332468572476186</c:v>
                </c:pt>
                <c:pt idx="1211">
                  <c:v>0.11332468572476186</c:v>
                </c:pt>
                <c:pt idx="1212">
                  <c:v>0.11332468572476186</c:v>
                </c:pt>
                <c:pt idx="1213">
                  <c:v>0.11332468572476186</c:v>
                </c:pt>
                <c:pt idx="1214">
                  <c:v>0.11332468572476186</c:v>
                </c:pt>
                <c:pt idx="1215">
                  <c:v>0.11332468572476186</c:v>
                </c:pt>
                <c:pt idx="1216">
                  <c:v>0.11332468572476186</c:v>
                </c:pt>
                <c:pt idx="1217">
                  <c:v>0.11332468572476186</c:v>
                </c:pt>
                <c:pt idx="1218">
                  <c:v>0.11332468572476186</c:v>
                </c:pt>
                <c:pt idx="1219">
                  <c:v>0.11332468572476186</c:v>
                </c:pt>
                <c:pt idx="1220">
                  <c:v>0.11332468572476186</c:v>
                </c:pt>
                <c:pt idx="1221">
                  <c:v>0.11332468572476186</c:v>
                </c:pt>
                <c:pt idx="1222">
                  <c:v>0.11332468572476186</c:v>
                </c:pt>
                <c:pt idx="1223">
                  <c:v>0.11332468572476186</c:v>
                </c:pt>
                <c:pt idx="1224">
                  <c:v>0.11332468572476186</c:v>
                </c:pt>
                <c:pt idx="1225">
                  <c:v>0.11332468572476186</c:v>
                </c:pt>
                <c:pt idx="1226">
                  <c:v>0.11332468572476186</c:v>
                </c:pt>
                <c:pt idx="1227">
                  <c:v>0.11332468572476186</c:v>
                </c:pt>
                <c:pt idx="1228">
                  <c:v>0.11332468572476186</c:v>
                </c:pt>
                <c:pt idx="1229">
                  <c:v>0.11332468572476186</c:v>
                </c:pt>
                <c:pt idx="1230">
                  <c:v>0.11332468572476186</c:v>
                </c:pt>
                <c:pt idx="1231">
                  <c:v>0.11332468572476186</c:v>
                </c:pt>
                <c:pt idx="1232">
                  <c:v>0.11332468572476186</c:v>
                </c:pt>
                <c:pt idx="1233">
                  <c:v>0.11332468572476186</c:v>
                </c:pt>
                <c:pt idx="1234">
                  <c:v>0.11332468572476186</c:v>
                </c:pt>
                <c:pt idx="1235">
                  <c:v>0.11332468572476186</c:v>
                </c:pt>
                <c:pt idx="1236">
                  <c:v>0.11332468572476186</c:v>
                </c:pt>
                <c:pt idx="1237">
                  <c:v>0.11332468572476186</c:v>
                </c:pt>
                <c:pt idx="1238">
                  <c:v>0.11332468572476186</c:v>
                </c:pt>
                <c:pt idx="1239">
                  <c:v>0.11332468572476186</c:v>
                </c:pt>
                <c:pt idx="1240">
                  <c:v>0.11332468572476186</c:v>
                </c:pt>
                <c:pt idx="1241">
                  <c:v>0.11332468572476186</c:v>
                </c:pt>
                <c:pt idx="1242">
                  <c:v>0.11332468572476186</c:v>
                </c:pt>
                <c:pt idx="1243">
                  <c:v>0.11332468572476186</c:v>
                </c:pt>
                <c:pt idx="1244">
                  <c:v>0.11332468572476186</c:v>
                </c:pt>
                <c:pt idx="1245">
                  <c:v>0.11332468572476186</c:v>
                </c:pt>
                <c:pt idx="1246">
                  <c:v>0.11332468572476186</c:v>
                </c:pt>
                <c:pt idx="1247">
                  <c:v>0.11332468572476186</c:v>
                </c:pt>
                <c:pt idx="1248">
                  <c:v>0.11332468572476186</c:v>
                </c:pt>
                <c:pt idx="1249">
                  <c:v>0.11332468572476186</c:v>
                </c:pt>
                <c:pt idx="1250">
                  <c:v>0.11332468572476186</c:v>
                </c:pt>
                <c:pt idx="1251">
                  <c:v>0.11332468572476186</c:v>
                </c:pt>
                <c:pt idx="1252">
                  <c:v>0.11332468572476186</c:v>
                </c:pt>
                <c:pt idx="1253">
                  <c:v>0.11332468572476186</c:v>
                </c:pt>
                <c:pt idx="1254">
                  <c:v>0.11332468572476186</c:v>
                </c:pt>
                <c:pt idx="1255">
                  <c:v>0.11332468572476186</c:v>
                </c:pt>
                <c:pt idx="1256">
                  <c:v>0.11332468572476186</c:v>
                </c:pt>
                <c:pt idx="1257">
                  <c:v>0.11332468572476186</c:v>
                </c:pt>
                <c:pt idx="1258">
                  <c:v>0.11332468572476186</c:v>
                </c:pt>
                <c:pt idx="1259">
                  <c:v>0.11332468572476186</c:v>
                </c:pt>
                <c:pt idx="1260">
                  <c:v>0.11332468572476186</c:v>
                </c:pt>
                <c:pt idx="1261">
                  <c:v>0.11332468572476186</c:v>
                </c:pt>
                <c:pt idx="1262">
                  <c:v>0.11332468572476186</c:v>
                </c:pt>
                <c:pt idx="1263">
                  <c:v>0.11332468572476186</c:v>
                </c:pt>
                <c:pt idx="1264">
                  <c:v>0.11332468572476186</c:v>
                </c:pt>
                <c:pt idx="1265">
                  <c:v>0.11332468572476186</c:v>
                </c:pt>
                <c:pt idx="1266">
                  <c:v>0.11332468572476186</c:v>
                </c:pt>
                <c:pt idx="1267">
                  <c:v>0.11332468572476186</c:v>
                </c:pt>
                <c:pt idx="1268">
                  <c:v>0.11332468572476186</c:v>
                </c:pt>
                <c:pt idx="1269">
                  <c:v>0.11332468572476186</c:v>
                </c:pt>
                <c:pt idx="1270">
                  <c:v>0.11332468572476186</c:v>
                </c:pt>
                <c:pt idx="1271">
                  <c:v>0.11332468572476186</c:v>
                </c:pt>
                <c:pt idx="1272">
                  <c:v>0.11332468572476186</c:v>
                </c:pt>
                <c:pt idx="1273">
                  <c:v>0.11332468572476186</c:v>
                </c:pt>
                <c:pt idx="1274">
                  <c:v>0.11332468572476186</c:v>
                </c:pt>
                <c:pt idx="1275">
                  <c:v>0.11332468572476186</c:v>
                </c:pt>
                <c:pt idx="1276">
                  <c:v>0.11332468572476186</c:v>
                </c:pt>
                <c:pt idx="1277">
                  <c:v>0.11332468572476186</c:v>
                </c:pt>
                <c:pt idx="1278">
                  <c:v>0.11332468572476186</c:v>
                </c:pt>
                <c:pt idx="1279">
                  <c:v>0.11332468572476186</c:v>
                </c:pt>
                <c:pt idx="1280">
                  <c:v>0.11332468572476186</c:v>
                </c:pt>
                <c:pt idx="1281">
                  <c:v>0.11332468572476186</c:v>
                </c:pt>
                <c:pt idx="1282">
                  <c:v>0.11332468572476186</c:v>
                </c:pt>
                <c:pt idx="1283">
                  <c:v>0.11332468572476186</c:v>
                </c:pt>
                <c:pt idx="1284">
                  <c:v>0.11332468572476186</c:v>
                </c:pt>
                <c:pt idx="1285">
                  <c:v>0.11332468572476186</c:v>
                </c:pt>
                <c:pt idx="1286">
                  <c:v>0.11332468572476186</c:v>
                </c:pt>
                <c:pt idx="1287">
                  <c:v>0.11332468572476186</c:v>
                </c:pt>
                <c:pt idx="1288">
                  <c:v>0.11332468572476186</c:v>
                </c:pt>
                <c:pt idx="1289">
                  <c:v>0.11332468572476186</c:v>
                </c:pt>
                <c:pt idx="1290">
                  <c:v>0.11332468572476186</c:v>
                </c:pt>
                <c:pt idx="1291">
                  <c:v>0.11332468572476186</c:v>
                </c:pt>
                <c:pt idx="1292">
                  <c:v>0.11332468572476186</c:v>
                </c:pt>
                <c:pt idx="1293">
                  <c:v>0.11332468572476186</c:v>
                </c:pt>
                <c:pt idx="1294">
                  <c:v>0.11332468572476186</c:v>
                </c:pt>
                <c:pt idx="1295">
                  <c:v>0.11332468572476186</c:v>
                </c:pt>
                <c:pt idx="1296">
                  <c:v>0.11332468572476186</c:v>
                </c:pt>
                <c:pt idx="1297">
                  <c:v>0.11332468572476186</c:v>
                </c:pt>
                <c:pt idx="1298">
                  <c:v>0.11332468572476186</c:v>
                </c:pt>
                <c:pt idx="1299">
                  <c:v>0.11332468572476186</c:v>
                </c:pt>
                <c:pt idx="1300">
                  <c:v>0.11332468572476186</c:v>
                </c:pt>
                <c:pt idx="1301">
                  <c:v>0.11332468572476186</c:v>
                </c:pt>
                <c:pt idx="1302">
                  <c:v>0.11332468572476186</c:v>
                </c:pt>
                <c:pt idx="1303">
                  <c:v>0.11332468572476186</c:v>
                </c:pt>
                <c:pt idx="1304">
                  <c:v>0.11332468572476186</c:v>
                </c:pt>
                <c:pt idx="1305">
                  <c:v>0.11332468572476186</c:v>
                </c:pt>
                <c:pt idx="1306">
                  <c:v>0.11332468572476186</c:v>
                </c:pt>
                <c:pt idx="1307">
                  <c:v>0.11332468572476186</c:v>
                </c:pt>
                <c:pt idx="1308">
                  <c:v>0.11332468572476186</c:v>
                </c:pt>
                <c:pt idx="1309">
                  <c:v>0.11332468572476186</c:v>
                </c:pt>
                <c:pt idx="1310">
                  <c:v>0.11332468572476186</c:v>
                </c:pt>
                <c:pt idx="1311">
                  <c:v>0.11332468572476186</c:v>
                </c:pt>
                <c:pt idx="1312">
                  <c:v>0.11332468572476186</c:v>
                </c:pt>
                <c:pt idx="1313">
                  <c:v>0.11332468572476186</c:v>
                </c:pt>
                <c:pt idx="1314">
                  <c:v>0.11332468572476186</c:v>
                </c:pt>
                <c:pt idx="1315">
                  <c:v>0.11332468572476186</c:v>
                </c:pt>
                <c:pt idx="1316">
                  <c:v>0.11332468572476186</c:v>
                </c:pt>
                <c:pt idx="1317">
                  <c:v>0.11332468572476186</c:v>
                </c:pt>
                <c:pt idx="1318">
                  <c:v>0.11332468572476186</c:v>
                </c:pt>
                <c:pt idx="1319">
                  <c:v>0.11332468572476186</c:v>
                </c:pt>
                <c:pt idx="1320">
                  <c:v>0.11332468572476186</c:v>
                </c:pt>
                <c:pt idx="1321">
                  <c:v>0.11332468572476186</c:v>
                </c:pt>
                <c:pt idx="1322">
                  <c:v>0.11332468572476186</c:v>
                </c:pt>
                <c:pt idx="1323">
                  <c:v>0.11332468572476186</c:v>
                </c:pt>
                <c:pt idx="1324">
                  <c:v>0.11332468572476186</c:v>
                </c:pt>
                <c:pt idx="1325">
                  <c:v>0.11332468572476186</c:v>
                </c:pt>
                <c:pt idx="1326">
                  <c:v>0.11332468572476186</c:v>
                </c:pt>
                <c:pt idx="1327">
                  <c:v>0.11332468572476186</c:v>
                </c:pt>
                <c:pt idx="1328">
                  <c:v>0.11332468572476186</c:v>
                </c:pt>
                <c:pt idx="1329">
                  <c:v>0.11332468572476186</c:v>
                </c:pt>
                <c:pt idx="1330">
                  <c:v>0.11332468572476186</c:v>
                </c:pt>
                <c:pt idx="1331">
                  <c:v>0.11332468572476186</c:v>
                </c:pt>
                <c:pt idx="1332">
                  <c:v>0.11332468572476186</c:v>
                </c:pt>
                <c:pt idx="1333">
                  <c:v>0.11332468572476186</c:v>
                </c:pt>
                <c:pt idx="1334">
                  <c:v>0.11332468572476186</c:v>
                </c:pt>
                <c:pt idx="1335">
                  <c:v>0.11332468572476186</c:v>
                </c:pt>
                <c:pt idx="1336">
                  <c:v>0.11332468572476186</c:v>
                </c:pt>
                <c:pt idx="1337">
                  <c:v>0.11332468572476186</c:v>
                </c:pt>
                <c:pt idx="1338">
                  <c:v>0.11332468572476186</c:v>
                </c:pt>
                <c:pt idx="1339">
                  <c:v>0.11332468572476186</c:v>
                </c:pt>
                <c:pt idx="1340">
                  <c:v>0.11332468572476186</c:v>
                </c:pt>
                <c:pt idx="1341">
                  <c:v>0.11332468572476186</c:v>
                </c:pt>
                <c:pt idx="1342">
                  <c:v>0.11332468572476186</c:v>
                </c:pt>
                <c:pt idx="1343">
                  <c:v>0.11332468572476186</c:v>
                </c:pt>
                <c:pt idx="1344">
                  <c:v>0.11332468572476186</c:v>
                </c:pt>
                <c:pt idx="1345">
                  <c:v>0.11332468572476186</c:v>
                </c:pt>
                <c:pt idx="1346">
                  <c:v>0.11332468572476186</c:v>
                </c:pt>
                <c:pt idx="1347">
                  <c:v>0.11332468572476186</c:v>
                </c:pt>
                <c:pt idx="1348">
                  <c:v>0.11332468572476186</c:v>
                </c:pt>
                <c:pt idx="1349">
                  <c:v>0.11332468572476186</c:v>
                </c:pt>
                <c:pt idx="1350">
                  <c:v>0.11332468572476186</c:v>
                </c:pt>
                <c:pt idx="1351">
                  <c:v>0.11332468572476186</c:v>
                </c:pt>
                <c:pt idx="1352">
                  <c:v>0.11332468572476186</c:v>
                </c:pt>
                <c:pt idx="1353">
                  <c:v>0.11332468572476186</c:v>
                </c:pt>
                <c:pt idx="1354">
                  <c:v>0.11332468572476186</c:v>
                </c:pt>
                <c:pt idx="1355">
                  <c:v>0.11332468572476186</c:v>
                </c:pt>
                <c:pt idx="1356">
                  <c:v>0.11332468572476186</c:v>
                </c:pt>
                <c:pt idx="1357">
                  <c:v>0.11332468572476186</c:v>
                </c:pt>
                <c:pt idx="1358">
                  <c:v>0.11332468572476186</c:v>
                </c:pt>
                <c:pt idx="1359">
                  <c:v>0.11332468572476186</c:v>
                </c:pt>
                <c:pt idx="1360">
                  <c:v>0.11332468572476186</c:v>
                </c:pt>
                <c:pt idx="1361">
                  <c:v>0.11332468572476186</c:v>
                </c:pt>
                <c:pt idx="1362">
                  <c:v>0.11332468572476186</c:v>
                </c:pt>
                <c:pt idx="1363">
                  <c:v>0.11332468572476186</c:v>
                </c:pt>
                <c:pt idx="1364">
                  <c:v>0.11332468572476186</c:v>
                </c:pt>
                <c:pt idx="1365">
                  <c:v>0.11332468572476186</c:v>
                </c:pt>
                <c:pt idx="1366">
                  <c:v>0.11332468572476186</c:v>
                </c:pt>
                <c:pt idx="1367">
                  <c:v>0.11332468572476186</c:v>
                </c:pt>
                <c:pt idx="1368">
                  <c:v>0.11332468572476186</c:v>
                </c:pt>
                <c:pt idx="1369">
                  <c:v>0.11332468572476186</c:v>
                </c:pt>
                <c:pt idx="1370">
                  <c:v>0.11332468572476186</c:v>
                </c:pt>
                <c:pt idx="1371">
                  <c:v>0.11332468572476186</c:v>
                </c:pt>
                <c:pt idx="1372">
                  <c:v>0.11332468572476186</c:v>
                </c:pt>
                <c:pt idx="1373">
                  <c:v>0.11332468572476186</c:v>
                </c:pt>
                <c:pt idx="1374">
                  <c:v>0.11332468572476186</c:v>
                </c:pt>
                <c:pt idx="1375">
                  <c:v>0.11332468572476186</c:v>
                </c:pt>
                <c:pt idx="1376">
                  <c:v>0.11332468572476186</c:v>
                </c:pt>
                <c:pt idx="1377">
                  <c:v>0.11332468572476186</c:v>
                </c:pt>
                <c:pt idx="1378">
                  <c:v>0.11332468572476186</c:v>
                </c:pt>
                <c:pt idx="1379">
                  <c:v>0.11332468572476186</c:v>
                </c:pt>
                <c:pt idx="1380">
                  <c:v>0.11332468572476186</c:v>
                </c:pt>
                <c:pt idx="1381">
                  <c:v>0.11332468572476186</c:v>
                </c:pt>
                <c:pt idx="1382">
                  <c:v>0.11332468572476186</c:v>
                </c:pt>
                <c:pt idx="1383">
                  <c:v>0.11332468572476186</c:v>
                </c:pt>
                <c:pt idx="1384">
                  <c:v>0.11332468572476186</c:v>
                </c:pt>
                <c:pt idx="1385">
                  <c:v>0.11332468572476186</c:v>
                </c:pt>
                <c:pt idx="1386">
                  <c:v>0.11332468572476186</c:v>
                </c:pt>
                <c:pt idx="1387">
                  <c:v>0.11332468572476186</c:v>
                </c:pt>
                <c:pt idx="1388">
                  <c:v>0.11332468572476186</c:v>
                </c:pt>
                <c:pt idx="1389">
                  <c:v>0.11332468572476186</c:v>
                </c:pt>
                <c:pt idx="1390">
                  <c:v>0.11332468572476186</c:v>
                </c:pt>
                <c:pt idx="1391">
                  <c:v>0.11332468572476186</c:v>
                </c:pt>
                <c:pt idx="1392">
                  <c:v>0.11332468572476186</c:v>
                </c:pt>
                <c:pt idx="1393">
                  <c:v>0.11332468572476186</c:v>
                </c:pt>
                <c:pt idx="1394">
                  <c:v>0.11332468572476186</c:v>
                </c:pt>
                <c:pt idx="1395">
                  <c:v>0.11332468572476186</c:v>
                </c:pt>
                <c:pt idx="1396">
                  <c:v>0.11332468572476186</c:v>
                </c:pt>
                <c:pt idx="1397">
                  <c:v>0.11332468572476186</c:v>
                </c:pt>
                <c:pt idx="1398">
                  <c:v>0.11332468572476186</c:v>
                </c:pt>
                <c:pt idx="1399">
                  <c:v>0.11332468572476186</c:v>
                </c:pt>
                <c:pt idx="1400">
                  <c:v>0.11332468572476186</c:v>
                </c:pt>
                <c:pt idx="1401">
                  <c:v>0.11332468572476186</c:v>
                </c:pt>
                <c:pt idx="1402">
                  <c:v>0.11332468572476186</c:v>
                </c:pt>
                <c:pt idx="1403">
                  <c:v>0.11332468572476186</c:v>
                </c:pt>
                <c:pt idx="1404">
                  <c:v>0.11332468572476186</c:v>
                </c:pt>
                <c:pt idx="1405">
                  <c:v>0.11332468572476186</c:v>
                </c:pt>
                <c:pt idx="1406">
                  <c:v>0.11332468572476186</c:v>
                </c:pt>
                <c:pt idx="1407">
                  <c:v>0.11332468572476186</c:v>
                </c:pt>
                <c:pt idx="1408">
                  <c:v>0.11332468572476186</c:v>
                </c:pt>
                <c:pt idx="1409">
                  <c:v>0.11332468572476186</c:v>
                </c:pt>
                <c:pt idx="1410">
                  <c:v>0.11332468572476186</c:v>
                </c:pt>
                <c:pt idx="1411">
                  <c:v>0.11332468572476186</c:v>
                </c:pt>
                <c:pt idx="1412">
                  <c:v>0.11332468572476186</c:v>
                </c:pt>
                <c:pt idx="1413">
                  <c:v>0.11332468572476186</c:v>
                </c:pt>
                <c:pt idx="1414">
                  <c:v>0.11332468572476186</c:v>
                </c:pt>
                <c:pt idx="1415">
                  <c:v>0.11332468572476186</c:v>
                </c:pt>
                <c:pt idx="1416">
                  <c:v>0.11332468572476186</c:v>
                </c:pt>
                <c:pt idx="1417">
                  <c:v>0.11332468572476186</c:v>
                </c:pt>
                <c:pt idx="1418">
                  <c:v>0.11332468572476186</c:v>
                </c:pt>
                <c:pt idx="1419">
                  <c:v>0.11332468572476186</c:v>
                </c:pt>
                <c:pt idx="1420">
                  <c:v>0.11332468572476186</c:v>
                </c:pt>
                <c:pt idx="1421">
                  <c:v>0.11332468572476186</c:v>
                </c:pt>
                <c:pt idx="1422">
                  <c:v>0.11332468572476186</c:v>
                </c:pt>
                <c:pt idx="1423">
                  <c:v>0.11332468572476186</c:v>
                </c:pt>
                <c:pt idx="1424">
                  <c:v>0.11332468572476186</c:v>
                </c:pt>
                <c:pt idx="1425">
                  <c:v>0.11332468572476186</c:v>
                </c:pt>
                <c:pt idx="1426">
                  <c:v>0.11332468572476186</c:v>
                </c:pt>
                <c:pt idx="1427">
                  <c:v>0.11332468572476186</c:v>
                </c:pt>
                <c:pt idx="1428">
                  <c:v>0.11332468572476186</c:v>
                </c:pt>
                <c:pt idx="1429">
                  <c:v>0.11332468572476186</c:v>
                </c:pt>
                <c:pt idx="1430">
                  <c:v>0.11332468572476186</c:v>
                </c:pt>
                <c:pt idx="1431">
                  <c:v>0.11332468572476186</c:v>
                </c:pt>
                <c:pt idx="1432">
                  <c:v>0.11332468572476186</c:v>
                </c:pt>
                <c:pt idx="1433">
                  <c:v>0.11332468572476186</c:v>
                </c:pt>
                <c:pt idx="1434">
                  <c:v>0.11332468572476186</c:v>
                </c:pt>
                <c:pt idx="1435">
                  <c:v>0.11332468572476186</c:v>
                </c:pt>
                <c:pt idx="1436">
                  <c:v>0.11332468572476186</c:v>
                </c:pt>
                <c:pt idx="1437">
                  <c:v>0.11332468572476186</c:v>
                </c:pt>
                <c:pt idx="1438">
                  <c:v>0.11332468572476186</c:v>
                </c:pt>
                <c:pt idx="1439">
                  <c:v>0.11332468572476186</c:v>
                </c:pt>
                <c:pt idx="1440">
                  <c:v>0.11332468572476186</c:v>
                </c:pt>
                <c:pt idx="1441">
                  <c:v>0.11332468572476186</c:v>
                </c:pt>
                <c:pt idx="1442">
                  <c:v>0.11332468572476186</c:v>
                </c:pt>
                <c:pt idx="1443">
                  <c:v>0.11332468572476186</c:v>
                </c:pt>
                <c:pt idx="1444">
                  <c:v>0.11332468572476186</c:v>
                </c:pt>
                <c:pt idx="1445">
                  <c:v>0.11332468572476186</c:v>
                </c:pt>
                <c:pt idx="1446">
                  <c:v>0.11332468572476186</c:v>
                </c:pt>
                <c:pt idx="1447">
                  <c:v>0.11332468572476186</c:v>
                </c:pt>
                <c:pt idx="1448">
                  <c:v>0.11332468572476186</c:v>
                </c:pt>
                <c:pt idx="1449">
                  <c:v>0.11332468572476186</c:v>
                </c:pt>
                <c:pt idx="1450">
                  <c:v>0.11332468572476186</c:v>
                </c:pt>
                <c:pt idx="1451">
                  <c:v>0.11332468572476186</c:v>
                </c:pt>
                <c:pt idx="1452">
                  <c:v>0.11332468572476186</c:v>
                </c:pt>
                <c:pt idx="1453">
                  <c:v>0.11332468572476186</c:v>
                </c:pt>
                <c:pt idx="1454">
                  <c:v>0.11332468572476186</c:v>
                </c:pt>
                <c:pt idx="1455">
                  <c:v>0.11332468572476186</c:v>
                </c:pt>
                <c:pt idx="1456">
                  <c:v>0.11332468572476186</c:v>
                </c:pt>
                <c:pt idx="1457">
                  <c:v>0.11332468572476186</c:v>
                </c:pt>
                <c:pt idx="1458">
                  <c:v>0.11332468572476186</c:v>
                </c:pt>
                <c:pt idx="1459">
                  <c:v>0.11332468572476186</c:v>
                </c:pt>
                <c:pt idx="1460">
                  <c:v>0.11332468572476186</c:v>
                </c:pt>
                <c:pt idx="1461">
                  <c:v>0.11332468572476186</c:v>
                </c:pt>
                <c:pt idx="1462">
                  <c:v>0.11332468572476186</c:v>
                </c:pt>
                <c:pt idx="1463">
                  <c:v>0.11332468572476186</c:v>
                </c:pt>
                <c:pt idx="1464">
                  <c:v>0.11332468572476186</c:v>
                </c:pt>
                <c:pt idx="1465">
                  <c:v>0.11332468572476186</c:v>
                </c:pt>
                <c:pt idx="1466">
                  <c:v>0.11332468572476186</c:v>
                </c:pt>
                <c:pt idx="1467">
                  <c:v>0.11332468572476186</c:v>
                </c:pt>
                <c:pt idx="1468">
                  <c:v>0.11332468572476186</c:v>
                </c:pt>
                <c:pt idx="1469">
                  <c:v>0.11332468572476186</c:v>
                </c:pt>
                <c:pt idx="1470">
                  <c:v>0.11332468572476186</c:v>
                </c:pt>
                <c:pt idx="1471">
                  <c:v>0.11332468572476186</c:v>
                </c:pt>
                <c:pt idx="1472">
                  <c:v>0.11332468572476186</c:v>
                </c:pt>
                <c:pt idx="1473">
                  <c:v>0.11332468572476186</c:v>
                </c:pt>
                <c:pt idx="1474">
                  <c:v>0.11332468572476186</c:v>
                </c:pt>
                <c:pt idx="1475">
                  <c:v>0.11332468572476186</c:v>
                </c:pt>
                <c:pt idx="1476">
                  <c:v>0.11332468572476186</c:v>
                </c:pt>
                <c:pt idx="1477">
                  <c:v>0.11332468572476186</c:v>
                </c:pt>
                <c:pt idx="1478">
                  <c:v>0.11332468572476186</c:v>
                </c:pt>
                <c:pt idx="1479">
                  <c:v>0.11332468572476186</c:v>
                </c:pt>
                <c:pt idx="1480">
                  <c:v>0.11332468572476186</c:v>
                </c:pt>
                <c:pt idx="1481">
                  <c:v>0.11332468572476186</c:v>
                </c:pt>
                <c:pt idx="1482">
                  <c:v>0.11332468572476186</c:v>
                </c:pt>
                <c:pt idx="1483">
                  <c:v>0.11332468572476186</c:v>
                </c:pt>
                <c:pt idx="1484">
                  <c:v>0.11332468572476186</c:v>
                </c:pt>
                <c:pt idx="1485">
                  <c:v>0.11332468572476186</c:v>
                </c:pt>
                <c:pt idx="1486">
                  <c:v>0.11332468572476186</c:v>
                </c:pt>
                <c:pt idx="1487">
                  <c:v>0.11332468572476186</c:v>
                </c:pt>
                <c:pt idx="1488">
                  <c:v>0.11332468572476186</c:v>
                </c:pt>
                <c:pt idx="1489">
                  <c:v>0.11332468572476186</c:v>
                </c:pt>
                <c:pt idx="1490">
                  <c:v>0.11332468572476186</c:v>
                </c:pt>
                <c:pt idx="1491">
                  <c:v>0.11332468572476186</c:v>
                </c:pt>
                <c:pt idx="1492">
                  <c:v>0.11332468572476186</c:v>
                </c:pt>
                <c:pt idx="1493">
                  <c:v>0.11332468572476186</c:v>
                </c:pt>
                <c:pt idx="1494">
                  <c:v>0.11332468572476186</c:v>
                </c:pt>
                <c:pt idx="1495">
                  <c:v>0.11332468572476186</c:v>
                </c:pt>
                <c:pt idx="1496">
                  <c:v>0.11332468572476186</c:v>
                </c:pt>
                <c:pt idx="1497">
                  <c:v>0.11332468572476186</c:v>
                </c:pt>
                <c:pt idx="1498">
                  <c:v>0.11332468572476186</c:v>
                </c:pt>
                <c:pt idx="1499">
                  <c:v>0.11332468572476186</c:v>
                </c:pt>
                <c:pt idx="1500">
                  <c:v>0.11332468572476186</c:v>
                </c:pt>
                <c:pt idx="1501">
                  <c:v>0.11332468572476186</c:v>
                </c:pt>
                <c:pt idx="1502">
                  <c:v>0.11332468572476186</c:v>
                </c:pt>
                <c:pt idx="1503">
                  <c:v>0.11332468572476186</c:v>
                </c:pt>
                <c:pt idx="1504">
                  <c:v>0.11332468572476186</c:v>
                </c:pt>
                <c:pt idx="1505">
                  <c:v>0.11332468572476186</c:v>
                </c:pt>
                <c:pt idx="1506">
                  <c:v>0.11332468572476186</c:v>
                </c:pt>
                <c:pt idx="1507">
                  <c:v>0.11332468572476186</c:v>
                </c:pt>
                <c:pt idx="1508">
                  <c:v>0.11332468572476186</c:v>
                </c:pt>
                <c:pt idx="1509">
                  <c:v>0.11332468572476186</c:v>
                </c:pt>
                <c:pt idx="1510">
                  <c:v>0.11332468572476186</c:v>
                </c:pt>
                <c:pt idx="1511">
                  <c:v>0.11332468572476186</c:v>
                </c:pt>
                <c:pt idx="1512">
                  <c:v>0.11332468572476186</c:v>
                </c:pt>
                <c:pt idx="1513">
                  <c:v>0.11332468572476186</c:v>
                </c:pt>
                <c:pt idx="1514">
                  <c:v>0.11332468572476186</c:v>
                </c:pt>
                <c:pt idx="1515">
                  <c:v>0.11332468572476186</c:v>
                </c:pt>
                <c:pt idx="1516">
                  <c:v>0.11332468572476186</c:v>
                </c:pt>
                <c:pt idx="1517">
                  <c:v>0.11332468572476186</c:v>
                </c:pt>
                <c:pt idx="1518">
                  <c:v>0.11332468572476186</c:v>
                </c:pt>
                <c:pt idx="1519">
                  <c:v>0.11332468572476186</c:v>
                </c:pt>
                <c:pt idx="1520">
                  <c:v>0.11332468572476186</c:v>
                </c:pt>
                <c:pt idx="1521">
                  <c:v>0.11332468572476186</c:v>
                </c:pt>
                <c:pt idx="1522">
                  <c:v>0.11332468572476186</c:v>
                </c:pt>
                <c:pt idx="1523">
                  <c:v>0.11332468572476186</c:v>
                </c:pt>
                <c:pt idx="1524">
                  <c:v>0.11332468572476186</c:v>
                </c:pt>
                <c:pt idx="1525">
                  <c:v>0.11332468572476186</c:v>
                </c:pt>
                <c:pt idx="1526">
                  <c:v>0.11332468572476186</c:v>
                </c:pt>
                <c:pt idx="1527">
                  <c:v>0.11332468572476186</c:v>
                </c:pt>
                <c:pt idx="1528">
                  <c:v>0.11332468572476186</c:v>
                </c:pt>
                <c:pt idx="1529">
                  <c:v>0.11332468572476186</c:v>
                </c:pt>
                <c:pt idx="1530">
                  <c:v>0.11332468572476186</c:v>
                </c:pt>
                <c:pt idx="1531">
                  <c:v>0.11332468572476186</c:v>
                </c:pt>
                <c:pt idx="1532">
                  <c:v>0.11332468572476186</c:v>
                </c:pt>
                <c:pt idx="1533">
                  <c:v>0.11332468572476186</c:v>
                </c:pt>
                <c:pt idx="1534">
                  <c:v>0.11332468572476186</c:v>
                </c:pt>
                <c:pt idx="1535">
                  <c:v>0.11332468572476186</c:v>
                </c:pt>
                <c:pt idx="1536">
                  <c:v>0.11332468572476186</c:v>
                </c:pt>
                <c:pt idx="1537">
                  <c:v>0.11332468572476186</c:v>
                </c:pt>
                <c:pt idx="1538">
                  <c:v>0.11332468572476186</c:v>
                </c:pt>
                <c:pt idx="1539">
                  <c:v>0.11332468572476186</c:v>
                </c:pt>
                <c:pt idx="1540">
                  <c:v>0.11332468572476186</c:v>
                </c:pt>
                <c:pt idx="1541">
                  <c:v>0.11332468572476186</c:v>
                </c:pt>
                <c:pt idx="1542">
                  <c:v>0.11332468572476186</c:v>
                </c:pt>
                <c:pt idx="1543">
                  <c:v>0.11332468572476186</c:v>
                </c:pt>
                <c:pt idx="1544">
                  <c:v>0.11332468572476186</c:v>
                </c:pt>
                <c:pt idx="1545">
                  <c:v>0.11332468572476186</c:v>
                </c:pt>
                <c:pt idx="1546">
                  <c:v>0.11332468572476186</c:v>
                </c:pt>
                <c:pt idx="1547">
                  <c:v>0.11332468572476186</c:v>
                </c:pt>
                <c:pt idx="1548">
                  <c:v>0.11332468572476186</c:v>
                </c:pt>
                <c:pt idx="1549">
                  <c:v>0.11332468572476186</c:v>
                </c:pt>
                <c:pt idx="1550">
                  <c:v>0.11332468572476186</c:v>
                </c:pt>
                <c:pt idx="1551">
                  <c:v>0.11332468572476186</c:v>
                </c:pt>
                <c:pt idx="1552">
                  <c:v>0.11332468572476186</c:v>
                </c:pt>
                <c:pt idx="1553">
                  <c:v>0.11332468572476186</c:v>
                </c:pt>
                <c:pt idx="1554">
                  <c:v>0.11332468572476186</c:v>
                </c:pt>
                <c:pt idx="1555">
                  <c:v>0.11332468572476186</c:v>
                </c:pt>
                <c:pt idx="1556">
                  <c:v>0.11332468572476186</c:v>
                </c:pt>
                <c:pt idx="1557">
                  <c:v>0.11332468572476186</c:v>
                </c:pt>
                <c:pt idx="1558">
                  <c:v>0.11332468572476186</c:v>
                </c:pt>
                <c:pt idx="1559">
                  <c:v>0.11332468572476186</c:v>
                </c:pt>
                <c:pt idx="1560">
                  <c:v>0.11332468572476186</c:v>
                </c:pt>
                <c:pt idx="1561">
                  <c:v>0.11332468572476186</c:v>
                </c:pt>
                <c:pt idx="1562">
                  <c:v>0.11332468572476186</c:v>
                </c:pt>
                <c:pt idx="1563">
                  <c:v>0.11332468572476186</c:v>
                </c:pt>
                <c:pt idx="1564">
                  <c:v>0.11332468572476186</c:v>
                </c:pt>
                <c:pt idx="1565">
                  <c:v>0.11332468572476186</c:v>
                </c:pt>
                <c:pt idx="1566">
                  <c:v>0.11332468572476186</c:v>
                </c:pt>
                <c:pt idx="1567">
                  <c:v>0.11332468572476186</c:v>
                </c:pt>
                <c:pt idx="1568">
                  <c:v>0.11332468572476186</c:v>
                </c:pt>
                <c:pt idx="1569">
                  <c:v>0.11332468572476186</c:v>
                </c:pt>
                <c:pt idx="1570">
                  <c:v>0.11332468572476186</c:v>
                </c:pt>
                <c:pt idx="1571">
                  <c:v>0.11332468572476186</c:v>
                </c:pt>
                <c:pt idx="1572">
                  <c:v>0.11332468572476186</c:v>
                </c:pt>
                <c:pt idx="1573">
                  <c:v>0.11332468572476186</c:v>
                </c:pt>
                <c:pt idx="1574">
                  <c:v>0.11332468572476186</c:v>
                </c:pt>
                <c:pt idx="1575">
                  <c:v>0.11332468572476186</c:v>
                </c:pt>
                <c:pt idx="1576">
                  <c:v>0.11332468572476186</c:v>
                </c:pt>
                <c:pt idx="1577">
                  <c:v>0.11332468572476186</c:v>
                </c:pt>
                <c:pt idx="1578">
                  <c:v>0.11332468572476186</c:v>
                </c:pt>
                <c:pt idx="1579">
                  <c:v>0.11332468572476186</c:v>
                </c:pt>
                <c:pt idx="1580">
                  <c:v>0.11332468572476186</c:v>
                </c:pt>
                <c:pt idx="1581">
                  <c:v>0.11332468572476186</c:v>
                </c:pt>
                <c:pt idx="1582">
                  <c:v>0.11332468572476186</c:v>
                </c:pt>
                <c:pt idx="1583">
                  <c:v>0.11332468572476186</c:v>
                </c:pt>
                <c:pt idx="1584">
                  <c:v>0.11332468572476186</c:v>
                </c:pt>
                <c:pt idx="1585">
                  <c:v>0.11332468572476186</c:v>
                </c:pt>
                <c:pt idx="1586">
                  <c:v>0.11332468572476186</c:v>
                </c:pt>
                <c:pt idx="1587">
                  <c:v>0.11332468572476186</c:v>
                </c:pt>
                <c:pt idx="1588">
                  <c:v>0.11332468572476186</c:v>
                </c:pt>
                <c:pt idx="1589">
                  <c:v>0.11332468572476186</c:v>
                </c:pt>
                <c:pt idx="1590">
                  <c:v>0.11332468572476186</c:v>
                </c:pt>
                <c:pt idx="1591">
                  <c:v>0.11332468572476186</c:v>
                </c:pt>
                <c:pt idx="1592">
                  <c:v>0.11332468572476186</c:v>
                </c:pt>
                <c:pt idx="1593">
                  <c:v>0.11332468572476186</c:v>
                </c:pt>
                <c:pt idx="1594">
                  <c:v>0.11332468572476186</c:v>
                </c:pt>
                <c:pt idx="1595">
                  <c:v>0.11332468572476186</c:v>
                </c:pt>
                <c:pt idx="1596">
                  <c:v>0.11332468572476186</c:v>
                </c:pt>
                <c:pt idx="1597">
                  <c:v>0.11332468572476186</c:v>
                </c:pt>
                <c:pt idx="1598">
                  <c:v>0.11332468572476186</c:v>
                </c:pt>
                <c:pt idx="1599">
                  <c:v>0.11332468572476186</c:v>
                </c:pt>
                <c:pt idx="1600">
                  <c:v>0.11332468572476186</c:v>
                </c:pt>
                <c:pt idx="1601">
                  <c:v>0.11332468572476186</c:v>
                </c:pt>
                <c:pt idx="1602">
                  <c:v>0.11332468572476186</c:v>
                </c:pt>
                <c:pt idx="1603">
                  <c:v>0.11332468572476186</c:v>
                </c:pt>
                <c:pt idx="1604">
                  <c:v>0.11332468572476186</c:v>
                </c:pt>
                <c:pt idx="1605">
                  <c:v>0.11332468572476186</c:v>
                </c:pt>
                <c:pt idx="1606">
                  <c:v>0.11332468572476186</c:v>
                </c:pt>
                <c:pt idx="1607">
                  <c:v>0.11332468572476186</c:v>
                </c:pt>
                <c:pt idx="1608">
                  <c:v>0.11332468572476186</c:v>
                </c:pt>
                <c:pt idx="1609">
                  <c:v>0.11332468572476186</c:v>
                </c:pt>
                <c:pt idx="1610">
                  <c:v>0.11332468572476186</c:v>
                </c:pt>
                <c:pt idx="1611">
                  <c:v>0.11332468572476186</c:v>
                </c:pt>
                <c:pt idx="1612">
                  <c:v>0.11332468572476186</c:v>
                </c:pt>
                <c:pt idx="1613">
                  <c:v>0.11332468572476186</c:v>
                </c:pt>
                <c:pt idx="1614">
                  <c:v>0.11332468572476186</c:v>
                </c:pt>
                <c:pt idx="1615">
                  <c:v>0.11332468572476186</c:v>
                </c:pt>
                <c:pt idx="1616">
                  <c:v>0.11332468572476186</c:v>
                </c:pt>
                <c:pt idx="1617">
                  <c:v>0.11332468572476186</c:v>
                </c:pt>
                <c:pt idx="1618">
                  <c:v>0.11332468572476186</c:v>
                </c:pt>
                <c:pt idx="1619">
                  <c:v>0.11332468572476186</c:v>
                </c:pt>
                <c:pt idx="1620">
                  <c:v>0.11332468572476186</c:v>
                </c:pt>
                <c:pt idx="1621">
                  <c:v>0.11332468572476186</c:v>
                </c:pt>
                <c:pt idx="1622">
                  <c:v>0.11332468572476186</c:v>
                </c:pt>
                <c:pt idx="1623">
                  <c:v>0.11332468572476186</c:v>
                </c:pt>
                <c:pt idx="1624">
                  <c:v>0.11332468572476186</c:v>
                </c:pt>
                <c:pt idx="1625">
                  <c:v>0.11332468572476186</c:v>
                </c:pt>
                <c:pt idx="1626">
                  <c:v>0.11332468572476186</c:v>
                </c:pt>
                <c:pt idx="1627">
                  <c:v>0.11332468572476186</c:v>
                </c:pt>
                <c:pt idx="1628">
                  <c:v>0.11332468572476186</c:v>
                </c:pt>
                <c:pt idx="1629">
                  <c:v>0.11332468572476186</c:v>
                </c:pt>
                <c:pt idx="1630">
                  <c:v>0.11332468572476186</c:v>
                </c:pt>
                <c:pt idx="1631">
                  <c:v>0.11332468572476186</c:v>
                </c:pt>
                <c:pt idx="1632">
                  <c:v>0.11332468572476186</c:v>
                </c:pt>
                <c:pt idx="1633">
                  <c:v>0.11332468572476186</c:v>
                </c:pt>
                <c:pt idx="1634">
                  <c:v>0.11332468572476186</c:v>
                </c:pt>
                <c:pt idx="1635">
                  <c:v>0.11332468572476186</c:v>
                </c:pt>
                <c:pt idx="1636">
                  <c:v>0.11332468572476186</c:v>
                </c:pt>
                <c:pt idx="1637">
                  <c:v>0.11332468572476186</c:v>
                </c:pt>
                <c:pt idx="1638">
                  <c:v>0.11332468572476186</c:v>
                </c:pt>
                <c:pt idx="1639">
                  <c:v>0.11332468572476186</c:v>
                </c:pt>
                <c:pt idx="1640">
                  <c:v>0.11332468572476186</c:v>
                </c:pt>
                <c:pt idx="1641">
                  <c:v>0.11332468572476186</c:v>
                </c:pt>
                <c:pt idx="1642">
                  <c:v>0.11332468572476186</c:v>
                </c:pt>
                <c:pt idx="1643">
                  <c:v>0.11332468572476186</c:v>
                </c:pt>
                <c:pt idx="1644">
                  <c:v>0.11332468572476186</c:v>
                </c:pt>
                <c:pt idx="1645">
                  <c:v>0.11332468572476186</c:v>
                </c:pt>
                <c:pt idx="1646">
                  <c:v>0.11332468572476186</c:v>
                </c:pt>
                <c:pt idx="1647">
                  <c:v>0.11332468572476186</c:v>
                </c:pt>
                <c:pt idx="1648">
                  <c:v>0.11332468572476186</c:v>
                </c:pt>
                <c:pt idx="1649">
                  <c:v>0.11332468572476186</c:v>
                </c:pt>
                <c:pt idx="1650">
                  <c:v>0.11332468572476186</c:v>
                </c:pt>
                <c:pt idx="1651">
                  <c:v>0.11332468572476186</c:v>
                </c:pt>
                <c:pt idx="1652">
                  <c:v>0.11332468572476186</c:v>
                </c:pt>
                <c:pt idx="1653">
                  <c:v>0.11332468572476186</c:v>
                </c:pt>
                <c:pt idx="1654">
                  <c:v>0.11332468572476186</c:v>
                </c:pt>
                <c:pt idx="1655">
                  <c:v>0.11332468572476186</c:v>
                </c:pt>
                <c:pt idx="1656">
                  <c:v>0.11332468572476186</c:v>
                </c:pt>
                <c:pt idx="1657">
                  <c:v>0.11332468572476186</c:v>
                </c:pt>
                <c:pt idx="1658">
                  <c:v>0.11332468572476186</c:v>
                </c:pt>
                <c:pt idx="1659">
                  <c:v>0.11332468572476186</c:v>
                </c:pt>
                <c:pt idx="1660">
                  <c:v>0.11332468572476186</c:v>
                </c:pt>
                <c:pt idx="1661">
                  <c:v>0.11332468572476186</c:v>
                </c:pt>
                <c:pt idx="1662">
                  <c:v>0.11332468572476186</c:v>
                </c:pt>
                <c:pt idx="1663">
                  <c:v>0.11332468572476186</c:v>
                </c:pt>
                <c:pt idx="1664">
                  <c:v>0.11332468572476186</c:v>
                </c:pt>
                <c:pt idx="1665">
                  <c:v>0.11332468572476186</c:v>
                </c:pt>
                <c:pt idx="1666">
                  <c:v>0.11332468572476186</c:v>
                </c:pt>
                <c:pt idx="1667">
                  <c:v>0.11332468572476186</c:v>
                </c:pt>
                <c:pt idx="1668">
                  <c:v>0.11332468572476186</c:v>
                </c:pt>
                <c:pt idx="1669">
                  <c:v>0.11332468572476186</c:v>
                </c:pt>
                <c:pt idx="1670">
                  <c:v>0.11332468572476186</c:v>
                </c:pt>
                <c:pt idx="1671">
                  <c:v>0.11332468572476186</c:v>
                </c:pt>
                <c:pt idx="1672">
                  <c:v>0.11332468572476186</c:v>
                </c:pt>
                <c:pt idx="1673">
                  <c:v>0.11332468572476186</c:v>
                </c:pt>
                <c:pt idx="1674">
                  <c:v>0.11332468572476186</c:v>
                </c:pt>
                <c:pt idx="1675">
                  <c:v>0.11332468572476186</c:v>
                </c:pt>
                <c:pt idx="1676">
                  <c:v>0.11332468572476186</c:v>
                </c:pt>
                <c:pt idx="1677">
                  <c:v>0.11332468572476186</c:v>
                </c:pt>
                <c:pt idx="1678">
                  <c:v>0.11332468572476186</c:v>
                </c:pt>
                <c:pt idx="1679">
                  <c:v>0.11332468572476186</c:v>
                </c:pt>
                <c:pt idx="1680">
                  <c:v>0.11332468572476186</c:v>
                </c:pt>
                <c:pt idx="1681">
                  <c:v>0.11332468572476186</c:v>
                </c:pt>
                <c:pt idx="1682">
                  <c:v>0.11332468572476186</c:v>
                </c:pt>
                <c:pt idx="1683">
                  <c:v>0.11332468572476186</c:v>
                </c:pt>
                <c:pt idx="1684">
                  <c:v>0.11332468572476186</c:v>
                </c:pt>
                <c:pt idx="1685">
                  <c:v>0.11332468572476186</c:v>
                </c:pt>
                <c:pt idx="1686">
                  <c:v>0.11332468572476186</c:v>
                </c:pt>
                <c:pt idx="1687">
                  <c:v>0.11332468572476186</c:v>
                </c:pt>
                <c:pt idx="1688">
                  <c:v>0.11332468572476186</c:v>
                </c:pt>
                <c:pt idx="1689">
                  <c:v>0.11332468572476186</c:v>
                </c:pt>
                <c:pt idx="1690">
                  <c:v>0.11332468572476186</c:v>
                </c:pt>
                <c:pt idx="1691">
                  <c:v>0.11332468572476186</c:v>
                </c:pt>
                <c:pt idx="1692">
                  <c:v>0.11332468572476186</c:v>
                </c:pt>
                <c:pt idx="1693">
                  <c:v>0.11332468572476186</c:v>
                </c:pt>
                <c:pt idx="1694">
                  <c:v>0.11332468572476186</c:v>
                </c:pt>
                <c:pt idx="1695">
                  <c:v>0.11332468572476186</c:v>
                </c:pt>
                <c:pt idx="1696">
                  <c:v>0.11332468572476186</c:v>
                </c:pt>
                <c:pt idx="1697">
                  <c:v>0.11332468572476186</c:v>
                </c:pt>
                <c:pt idx="1698">
                  <c:v>0.11332468572476186</c:v>
                </c:pt>
                <c:pt idx="1699">
                  <c:v>0.11332468572476186</c:v>
                </c:pt>
                <c:pt idx="1700">
                  <c:v>0.11332468572476186</c:v>
                </c:pt>
                <c:pt idx="1701">
                  <c:v>0.11332468572476186</c:v>
                </c:pt>
                <c:pt idx="1702">
                  <c:v>0.11332468572476186</c:v>
                </c:pt>
                <c:pt idx="1703">
                  <c:v>0.11332468572476186</c:v>
                </c:pt>
                <c:pt idx="1704">
                  <c:v>0.11332468572476186</c:v>
                </c:pt>
                <c:pt idx="1705">
                  <c:v>0.11332468572476186</c:v>
                </c:pt>
                <c:pt idx="1706">
                  <c:v>0.11332468572476186</c:v>
                </c:pt>
                <c:pt idx="1707">
                  <c:v>0.11332468572476186</c:v>
                </c:pt>
                <c:pt idx="1708">
                  <c:v>0.11332468572476186</c:v>
                </c:pt>
                <c:pt idx="1709">
                  <c:v>0.11332468572476186</c:v>
                </c:pt>
                <c:pt idx="1710">
                  <c:v>0.11332468572476186</c:v>
                </c:pt>
                <c:pt idx="1711">
                  <c:v>0.11332468572476186</c:v>
                </c:pt>
                <c:pt idx="1712">
                  <c:v>0.11332468572476186</c:v>
                </c:pt>
                <c:pt idx="1713">
                  <c:v>0.11332468572476186</c:v>
                </c:pt>
                <c:pt idx="1714">
                  <c:v>0.11332468572476186</c:v>
                </c:pt>
                <c:pt idx="1715">
                  <c:v>0.11332468572476186</c:v>
                </c:pt>
                <c:pt idx="1716">
                  <c:v>0.11332468572476186</c:v>
                </c:pt>
                <c:pt idx="1717">
                  <c:v>0.11332468572476186</c:v>
                </c:pt>
                <c:pt idx="1718">
                  <c:v>0.11332468572476186</c:v>
                </c:pt>
                <c:pt idx="1719">
                  <c:v>0.11332468572476186</c:v>
                </c:pt>
                <c:pt idx="1720">
                  <c:v>0.11332468572476186</c:v>
                </c:pt>
                <c:pt idx="1721">
                  <c:v>0.11332468572476186</c:v>
                </c:pt>
                <c:pt idx="1722">
                  <c:v>0.11332468572476186</c:v>
                </c:pt>
                <c:pt idx="1723">
                  <c:v>0.11332468572476186</c:v>
                </c:pt>
                <c:pt idx="1724">
                  <c:v>0.11332468572476186</c:v>
                </c:pt>
                <c:pt idx="1725">
                  <c:v>0.11332468572476186</c:v>
                </c:pt>
                <c:pt idx="1726">
                  <c:v>0.11332468572476186</c:v>
                </c:pt>
                <c:pt idx="1727">
                  <c:v>0.11332468572476186</c:v>
                </c:pt>
                <c:pt idx="1728">
                  <c:v>0.11332468572476186</c:v>
                </c:pt>
                <c:pt idx="1729">
                  <c:v>0.11332468572476186</c:v>
                </c:pt>
                <c:pt idx="1730">
                  <c:v>0.11332468572476186</c:v>
                </c:pt>
                <c:pt idx="1731">
                  <c:v>0.11332468572476186</c:v>
                </c:pt>
                <c:pt idx="1732">
                  <c:v>0.11332468572476186</c:v>
                </c:pt>
                <c:pt idx="1733">
                  <c:v>0.11332468572476186</c:v>
                </c:pt>
                <c:pt idx="1734">
                  <c:v>0.11332468572476186</c:v>
                </c:pt>
                <c:pt idx="1735">
                  <c:v>0.11332468572476186</c:v>
                </c:pt>
                <c:pt idx="1736">
                  <c:v>0.11332468572476186</c:v>
                </c:pt>
                <c:pt idx="1737">
                  <c:v>0.11332468572476186</c:v>
                </c:pt>
                <c:pt idx="1738">
                  <c:v>0.11332468572476186</c:v>
                </c:pt>
                <c:pt idx="1739">
                  <c:v>0.11332468572476186</c:v>
                </c:pt>
                <c:pt idx="1740">
                  <c:v>0.11332468572476186</c:v>
                </c:pt>
                <c:pt idx="1741">
                  <c:v>0.11332468572476186</c:v>
                </c:pt>
                <c:pt idx="1742">
                  <c:v>0.11332468572476186</c:v>
                </c:pt>
                <c:pt idx="1743">
                  <c:v>0.11332468572476186</c:v>
                </c:pt>
                <c:pt idx="1744">
                  <c:v>0.11332468572476186</c:v>
                </c:pt>
                <c:pt idx="1745">
                  <c:v>0.11332468572476186</c:v>
                </c:pt>
                <c:pt idx="1746">
                  <c:v>0.11332468572476186</c:v>
                </c:pt>
                <c:pt idx="1747">
                  <c:v>0.11332468572476186</c:v>
                </c:pt>
                <c:pt idx="1748">
                  <c:v>0.11332468572476186</c:v>
                </c:pt>
                <c:pt idx="1749">
                  <c:v>0.11332468572476186</c:v>
                </c:pt>
                <c:pt idx="1750">
                  <c:v>0.11332468572476186</c:v>
                </c:pt>
                <c:pt idx="1751">
                  <c:v>0.11332468572476186</c:v>
                </c:pt>
                <c:pt idx="1752">
                  <c:v>0.11332468572476186</c:v>
                </c:pt>
                <c:pt idx="1753">
                  <c:v>0.11332468572476186</c:v>
                </c:pt>
                <c:pt idx="1754">
                  <c:v>0.11332468572476186</c:v>
                </c:pt>
                <c:pt idx="1755">
                  <c:v>0.11332468572476186</c:v>
                </c:pt>
                <c:pt idx="1756">
                  <c:v>0.11332468572476186</c:v>
                </c:pt>
                <c:pt idx="1757">
                  <c:v>0.11332468572476186</c:v>
                </c:pt>
                <c:pt idx="1758">
                  <c:v>0.11332468572476186</c:v>
                </c:pt>
                <c:pt idx="1759">
                  <c:v>0.11332468572476186</c:v>
                </c:pt>
                <c:pt idx="1760">
                  <c:v>0.11332468572476186</c:v>
                </c:pt>
                <c:pt idx="1761">
                  <c:v>0.11332468572476186</c:v>
                </c:pt>
                <c:pt idx="1762">
                  <c:v>0.11332468572476186</c:v>
                </c:pt>
                <c:pt idx="1763">
                  <c:v>0.11332468572476186</c:v>
                </c:pt>
                <c:pt idx="1764">
                  <c:v>0.11332468572476186</c:v>
                </c:pt>
                <c:pt idx="1765">
                  <c:v>0.11332468572476186</c:v>
                </c:pt>
                <c:pt idx="1766">
                  <c:v>0.11332468572476186</c:v>
                </c:pt>
                <c:pt idx="1767">
                  <c:v>0.11332468572476186</c:v>
                </c:pt>
                <c:pt idx="1768">
                  <c:v>0.11332468572476186</c:v>
                </c:pt>
                <c:pt idx="1769">
                  <c:v>0.11332468572476186</c:v>
                </c:pt>
                <c:pt idx="1770">
                  <c:v>0.11332468572476186</c:v>
                </c:pt>
                <c:pt idx="1771">
                  <c:v>0.11332468572476186</c:v>
                </c:pt>
                <c:pt idx="1772">
                  <c:v>0.11332468572476186</c:v>
                </c:pt>
                <c:pt idx="1773">
                  <c:v>0.11332468572476186</c:v>
                </c:pt>
                <c:pt idx="1774">
                  <c:v>0.11332468572476186</c:v>
                </c:pt>
                <c:pt idx="1775">
                  <c:v>0.11332468572476186</c:v>
                </c:pt>
                <c:pt idx="1776">
                  <c:v>0.11332468572476186</c:v>
                </c:pt>
                <c:pt idx="1777">
                  <c:v>0.11332468572476186</c:v>
                </c:pt>
                <c:pt idx="1778">
                  <c:v>0.11332468572476186</c:v>
                </c:pt>
                <c:pt idx="1779">
                  <c:v>0.11332468572476186</c:v>
                </c:pt>
                <c:pt idx="1780">
                  <c:v>0.11332468572476186</c:v>
                </c:pt>
                <c:pt idx="1781">
                  <c:v>0.11332468572476186</c:v>
                </c:pt>
                <c:pt idx="1782">
                  <c:v>0.11332468572476186</c:v>
                </c:pt>
                <c:pt idx="1783">
                  <c:v>0.11332468572476186</c:v>
                </c:pt>
                <c:pt idx="1784">
                  <c:v>0.11332468572476186</c:v>
                </c:pt>
                <c:pt idx="1785">
                  <c:v>0.11332468572476186</c:v>
                </c:pt>
                <c:pt idx="1786">
                  <c:v>0.11332468572476186</c:v>
                </c:pt>
                <c:pt idx="1787">
                  <c:v>0.11332468572476186</c:v>
                </c:pt>
                <c:pt idx="1788">
                  <c:v>0.11332468572476186</c:v>
                </c:pt>
                <c:pt idx="1789">
                  <c:v>0.11332468572476186</c:v>
                </c:pt>
                <c:pt idx="1790">
                  <c:v>0.11332468572476186</c:v>
                </c:pt>
                <c:pt idx="1791">
                  <c:v>0.11332468572476186</c:v>
                </c:pt>
                <c:pt idx="1792">
                  <c:v>0.11332468572476186</c:v>
                </c:pt>
                <c:pt idx="1793">
                  <c:v>0.11332468572476186</c:v>
                </c:pt>
                <c:pt idx="1794">
                  <c:v>0.11332468572476186</c:v>
                </c:pt>
                <c:pt idx="1795">
                  <c:v>0.11332468572476186</c:v>
                </c:pt>
                <c:pt idx="1796">
                  <c:v>0.11332468572476186</c:v>
                </c:pt>
                <c:pt idx="1797">
                  <c:v>0.11332468572476186</c:v>
                </c:pt>
                <c:pt idx="1798">
                  <c:v>0.11332468572476186</c:v>
                </c:pt>
                <c:pt idx="1799">
                  <c:v>0.11332468572476186</c:v>
                </c:pt>
                <c:pt idx="1800">
                  <c:v>0.11332468572476186</c:v>
                </c:pt>
                <c:pt idx="1801">
                  <c:v>0.11332468572476186</c:v>
                </c:pt>
                <c:pt idx="1802">
                  <c:v>0.11332468572476186</c:v>
                </c:pt>
                <c:pt idx="1803">
                  <c:v>0.11332468572476186</c:v>
                </c:pt>
                <c:pt idx="1804">
                  <c:v>0.11332468572476186</c:v>
                </c:pt>
                <c:pt idx="1805">
                  <c:v>0.11332468572476186</c:v>
                </c:pt>
                <c:pt idx="1806">
                  <c:v>0.11332468572476186</c:v>
                </c:pt>
                <c:pt idx="1807">
                  <c:v>0.11332468572476186</c:v>
                </c:pt>
                <c:pt idx="1808">
                  <c:v>0.11332468572476186</c:v>
                </c:pt>
                <c:pt idx="1809">
                  <c:v>0.11332468572476186</c:v>
                </c:pt>
                <c:pt idx="1810">
                  <c:v>0.11332468572476186</c:v>
                </c:pt>
                <c:pt idx="1811">
                  <c:v>0.11332468572476186</c:v>
                </c:pt>
                <c:pt idx="1812">
                  <c:v>0.11332468572476186</c:v>
                </c:pt>
                <c:pt idx="1813">
                  <c:v>0.11332468572476186</c:v>
                </c:pt>
                <c:pt idx="1814">
                  <c:v>0.11332468572476186</c:v>
                </c:pt>
                <c:pt idx="1815">
                  <c:v>0.11332468572476186</c:v>
                </c:pt>
                <c:pt idx="1816">
                  <c:v>0.11332468572476186</c:v>
                </c:pt>
                <c:pt idx="1817">
                  <c:v>0.11332468572476186</c:v>
                </c:pt>
                <c:pt idx="1818">
                  <c:v>0.11332468572476186</c:v>
                </c:pt>
                <c:pt idx="1819">
                  <c:v>0.11332468572476186</c:v>
                </c:pt>
                <c:pt idx="1820">
                  <c:v>0.11332468572476186</c:v>
                </c:pt>
                <c:pt idx="1821">
                  <c:v>0.11332468572476186</c:v>
                </c:pt>
                <c:pt idx="1822">
                  <c:v>0.11332468572476186</c:v>
                </c:pt>
                <c:pt idx="1823">
                  <c:v>0.11332468572476186</c:v>
                </c:pt>
                <c:pt idx="1824">
                  <c:v>0.11332468572476186</c:v>
                </c:pt>
                <c:pt idx="1825">
                  <c:v>0.11332468572476186</c:v>
                </c:pt>
                <c:pt idx="1826">
                  <c:v>0.11332468572476186</c:v>
                </c:pt>
                <c:pt idx="1827">
                  <c:v>0.11332468572476186</c:v>
                </c:pt>
                <c:pt idx="1828">
                  <c:v>0.11332468572476186</c:v>
                </c:pt>
                <c:pt idx="1829">
                  <c:v>0.11332468572476186</c:v>
                </c:pt>
                <c:pt idx="1830">
                  <c:v>0.11332468572476186</c:v>
                </c:pt>
                <c:pt idx="1831">
                  <c:v>0.11332468572476186</c:v>
                </c:pt>
                <c:pt idx="1832">
                  <c:v>0.11332468572476186</c:v>
                </c:pt>
                <c:pt idx="1833">
                  <c:v>0.11332468572476186</c:v>
                </c:pt>
                <c:pt idx="1834">
                  <c:v>0.11332468572476186</c:v>
                </c:pt>
                <c:pt idx="1835">
                  <c:v>0.11332468572476186</c:v>
                </c:pt>
                <c:pt idx="1836">
                  <c:v>0.11332468572476186</c:v>
                </c:pt>
                <c:pt idx="1837">
                  <c:v>0.11332468572476186</c:v>
                </c:pt>
                <c:pt idx="1838">
                  <c:v>0.11332468572476186</c:v>
                </c:pt>
                <c:pt idx="1839">
                  <c:v>0.11332468572476186</c:v>
                </c:pt>
                <c:pt idx="1840">
                  <c:v>0.11332468572476186</c:v>
                </c:pt>
                <c:pt idx="1841">
                  <c:v>0.11332468572476186</c:v>
                </c:pt>
                <c:pt idx="1842">
                  <c:v>0.11332468572476186</c:v>
                </c:pt>
                <c:pt idx="1843">
                  <c:v>0.11332468572476186</c:v>
                </c:pt>
                <c:pt idx="1844">
                  <c:v>0.11332468572476186</c:v>
                </c:pt>
                <c:pt idx="1845">
                  <c:v>0.11332468572476186</c:v>
                </c:pt>
                <c:pt idx="1846">
                  <c:v>0.11332468572476186</c:v>
                </c:pt>
                <c:pt idx="1847">
                  <c:v>0.11332468572476186</c:v>
                </c:pt>
                <c:pt idx="1848">
                  <c:v>0.11332468572476186</c:v>
                </c:pt>
                <c:pt idx="1849">
                  <c:v>0.11332468572476186</c:v>
                </c:pt>
                <c:pt idx="1850">
                  <c:v>0.11332468572476186</c:v>
                </c:pt>
                <c:pt idx="1851">
                  <c:v>0.11332468572476186</c:v>
                </c:pt>
                <c:pt idx="1852">
                  <c:v>0.11332468572476186</c:v>
                </c:pt>
                <c:pt idx="1853">
                  <c:v>0.11332468572476186</c:v>
                </c:pt>
                <c:pt idx="1854">
                  <c:v>0.11332468572476186</c:v>
                </c:pt>
                <c:pt idx="1855">
                  <c:v>0.11332468572476186</c:v>
                </c:pt>
                <c:pt idx="1856">
                  <c:v>0.11332468572476186</c:v>
                </c:pt>
                <c:pt idx="1857">
                  <c:v>0.11332468572476186</c:v>
                </c:pt>
                <c:pt idx="1858">
                  <c:v>0.11332468572476186</c:v>
                </c:pt>
                <c:pt idx="1859">
                  <c:v>0.11332468572476186</c:v>
                </c:pt>
                <c:pt idx="1860">
                  <c:v>0.11332468572476186</c:v>
                </c:pt>
                <c:pt idx="1861">
                  <c:v>0.11332468572476186</c:v>
                </c:pt>
                <c:pt idx="1862">
                  <c:v>0.11332468572476186</c:v>
                </c:pt>
                <c:pt idx="1863">
                  <c:v>0.11332468572476186</c:v>
                </c:pt>
                <c:pt idx="1864">
                  <c:v>0.11332468572476186</c:v>
                </c:pt>
                <c:pt idx="1865">
                  <c:v>0.11332468572476186</c:v>
                </c:pt>
                <c:pt idx="1866">
                  <c:v>0.11332468572476186</c:v>
                </c:pt>
                <c:pt idx="1867">
                  <c:v>0.11332468572476186</c:v>
                </c:pt>
                <c:pt idx="1868">
                  <c:v>0.11332468572476186</c:v>
                </c:pt>
                <c:pt idx="1869">
                  <c:v>0.11332468572476186</c:v>
                </c:pt>
                <c:pt idx="1870">
                  <c:v>0.11332468572476186</c:v>
                </c:pt>
                <c:pt idx="1871">
                  <c:v>0.11332468572476186</c:v>
                </c:pt>
                <c:pt idx="1872">
                  <c:v>0.11332468572476186</c:v>
                </c:pt>
                <c:pt idx="1873">
                  <c:v>0.11332468572476186</c:v>
                </c:pt>
                <c:pt idx="1874">
                  <c:v>0.11332468572476186</c:v>
                </c:pt>
                <c:pt idx="1875">
                  <c:v>0.11332468572476186</c:v>
                </c:pt>
                <c:pt idx="1876">
                  <c:v>0.11332468572476186</c:v>
                </c:pt>
                <c:pt idx="1877">
                  <c:v>0.11332468572476186</c:v>
                </c:pt>
                <c:pt idx="1878">
                  <c:v>0.11332468572476186</c:v>
                </c:pt>
                <c:pt idx="1879">
                  <c:v>0.11332468572476186</c:v>
                </c:pt>
                <c:pt idx="1880">
                  <c:v>0.11332468572476186</c:v>
                </c:pt>
                <c:pt idx="1881">
                  <c:v>0.11332468572476186</c:v>
                </c:pt>
                <c:pt idx="1882">
                  <c:v>0.11332468572476186</c:v>
                </c:pt>
                <c:pt idx="1883">
                  <c:v>0.11332468572476186</c:v>
                </c:pt>
                <c:pt idx="1884">
                  <c:v>0.11332468572476186</c:v>
                </c:pt>
                <c:pt idx="1885">
                  <c:v>0.11332468572476186</c:v>
                </c:pt>
                <c:pt idx="1886">
                  <c:v>0.11332468572476186</c:v>
                </c:pt>
                <c:pt idx="1887">
                  <c:v>0.11332468572476186</c:v>
                </c:pt>
                <c:pt idx="1888">
                  <c:v>0.11332468572476186</c:v>
                </c:pt>
                <c:pt idx="1889">
                  <c:v>0.11332468572476186</c:v>
                </c:pt>
                <c:pt idx="1890">
                  <c:v>0.11332468572476186</c:v>
                </c:pt>
                <c:pt idx="1891">
                  <c:v>0.11332468572476186</c:v>
                </c:pt>
                <c:pt idx="1892">
                  <c:v>0.11332468572476186</c:v>
                </c:pt>
                <c:pt idx="1893">
                  <c:v>0.11332468572476186</c:v>
                </c:pt>
                <c:pt idx="1894">
                  <c:v>0.11332468572476186</c:v>
                </c:pt>
                <c:pt idx="1895">
                  <c:v>0.11332468572476186</c:v>
                </c:pt>
                <c:pt idx="1896">
                  <c:v>0.11332468572476186</c:v>
                </c:pt>
                <c:pt idx="1897">
                  <c:v>0.11332468572476186</c:v>
                </c:pt>
                <c:pt idx="1898">
                  <c:v>0.11332468572476186</c:v>
                </c:pt>
                <c:pt idx="1899">
                  <c:v>0.11332468572476186</c:v>
                </c:pt>
                <c:pt idx="1900">
                  <c:v>0.11332468572476186</c:v>
                </c:pt>
                <c:pt idx="1901">
                  <c:v>0.11332468572476186</c:v>
                </c:pt>
                <c:pt idx="1902">
                  <c:v>0.11332468572476186</c:v>
                </c:pt>
                <c:pt idx="1903">
                  <c:v>0.11332468572476186</c:v>
                </c:pt>
                <c:pt idx="1904">
                  <c:v>0.11332468572476186</c:v>
                </c:pt>
                <c:pt idx="1905">
                  <c:v>0.11332468572476186</c:v>
                </c:pt>
                <c:pt idx="1906">
                  <c:v>0.11332468572476186</c:v>
                </c:pt>
                <c:pt idx="1907">
                  <c:v>0.11332468572476186</c:v>
                </c:pt>
                <c:pt idx="1908">
                  <c:v>0.11332468572476186</c:v>
                </c:pt>
                <c:pt idx="1909">
                  <c:v>0.11332468572476186</c:v>
                </c:pt>
                <c:pt idx="1910">
                  <c:v>0.11332468572476186</c:v>
                </c:pt>
                <c:pt idx="1911">
                  <c:v>0.11332468572476186</c:v>
                </c:pt>
                <c:pt idx="1912">
                  <c:v>0.11332468572476186</c:v>
                </c:pt>
                <c:pt idx="1913">
                  <c:v>0.11332468572476186</c:v>
                </c:pt>
                <c:pt idx="1914">
                  <c:v>0.11332468572476186</c:v>
                </c:pt>
                <c:pt idx="1915">
                  <c:v>0.11332468572476186</c:v>
                </c:pt>
                <c:pt idx="1916">
                  <c:v>0.11332468572476186</c:v>
                </c:pt>
                <c:pt idx="1917">
                  <c:v>0.11332468572476186</c:v>
                </c:pt>
                <c:pt idx="1918">
                  <c:v>0.11332468572476186</c:v>
                </c:pt>
                <c:pt idx="1919">
                  <c:v>0.11332468572476186</c:v>
                </c:pt>
                <c:pt idx="1920">
                  <c:v>0.11332468572476186</c:v>
                </c:pt>
                <c:pt idx="1921">
                  <c:v>0.11332468572476186</c:v>
                </c:pt>
                <c:pt idx="1922">
                  <c:v>0.11332468572476186</c:v>
                </c:pt>
                <c:pt idx="1923">
                  <c:v>0.11332468572476186</c:v>
                </c:pt>
                <c:pt idx="1924">
                  <c:v>0.11332468572476186</c:v>
                </c:pt>
                <c:pt idx="1925">
                  <c:v>0.11332468572476186</c:v>
                </c:pt>
                <c:pt idx="1926">
                  <c:v>0.11332468572476186</c:v>
                </c:pt>
                <c:pt idx="1927">
                  <c:v>0.11332468572476186</c:v>
                </c:pt>
                <c:pt idx="1928">
                  <c:v>0.11332468572476186</c:v>
                </c:pt>
                <c:pt idx="1929">
                  <c:v>0.11332468572476186</c:v>
                </c:pt>
                <c:pt idx="1930">
                  <c:v>0.11332468572476186</c:v>
                </c:pt>
                <c:pt idx="1931">
                  <c:v>0.11332468572476186</c:v>
                </c:pt>
                <c:pt idx="1932">
                  <c:v>0.11332468572476186</c:v>
                </c:pt>
                <c:pt idx="1933">
                  <c:v>0.11332468572476186</c:v>
                </c:pt>
                <c:pt idx="1934">
                  <c:v>0.11332468572476186</c:v>
                </c:pt>
                <c:pt idx="1935">
                  <c:v>0.11332468572476186</c:v>
                </c:pt>
                <c:pt idx="1936">
                  <c:v>0.11332468572476186</c:v>
                </c:pt>
                <c:pt idx="1937">
                  <c:v>0.11332468572476186</c:v>
                </c:pt>
                <c:pt idx="1938">
                  <c:v>0.11332468572476186</c:v>
                </c:pt>
                <c:pt idx="1939">
                  <c:v>0.11332468572476186</c:v>
                </c:pt>
                <c:pt idx="1940">
                  <c:v>0.11332468572476186</c:v>
                </c:pt>
                <c:pt idx="1941">
                  <c:v>0.11332468572476186</c:v>
                </c:pt>
                <c:pt idx="1942">
                  <c:v>0.11332468572476186</c:v>
                </c:pt>
                <c:pt idx="1943">
                  <c:v>0.11332468572476186</c:v>
                </c:pt>
                <c:pt idx="1944">
                  <c:v>0.11332468572476186</c:v>
                </c:pt>
                <c:pt idx="1945">
                  <c:v>0.11332468572476186</c:v>
                </c:pt>
                <c:pt idx="1946">
                  <c:v>0.11332468572476186</c:v>
                </c:pt>
                <c:pt idx="1947">
                  <c:v>0.11332468572476186</c:v>
                </c:pt>
                <c:pt idx="1948">
                  <c:v>0.11332468572476186</c:v>
                </c:pt>
                <c:pt idx="1949">
                  <c:v>0.11332468572476186</c:v>
                </c:pt>
                <c:pt idx="1950">
                  <c:v>0.11332468572476186</c:v>
                </c:pt>
                <c:pt idx="1951">
                  <c:v>0.11332468572476186</c:v>
                </c:pt>
                <c:pt idx="1952">
                  <c:v>0.11332468572476186</c:v>
                </c:pt>
                <c:pt idx="1953">
                  <c:v>0.11332468572476186</c:v>
                </c:pt>
                <c:pt idx="1954">
                  <c:v>0.11332468572476186</c:v>
                </c:pt>
                <c:pt idx="1955">
                  <c:v>0.11332468572476186</c:v>
                </c:pt>
                <c:pt idx="1956">
                  <c:v>0.11332468572476186</c:v>
                </c:pt>
                <c:pt idx="1957">
                  <c:v>0.11332468572476186</c:v>
                </c:pt>
                <c:pt idx="1958">
                  <c:v>0.11332468572476186</c:v>
                </c:pt>
                <c:pt idx="1959">
                  <c:v>0.11332468572476186</c:v>
                </c:pt>
                <c:pt idx="1960">
                  <c:v>0.11332468572476186</c:v>
                </c:pt>
                <c:pt idx="1961">
                  <c:v>0.11332468572476186</c:v>
                </c:pt>
                <c:pt idx="1962">
                  <c:v>0.11332468572476186</c:v>
                </c:pt>
                <c:pt idx="1963">
                  <c:v>0.11332468572476186</c:v>
                </c:pt>
                <c:pt idx="1964">
                  <c:v>0.11332468572476186</c:v>
                </c:pt>
                <c:pt idx="1965">
                  <c:v>0.11332468572476186</c:v>
                </c:pt>
                <c:pt idx="1966">
                  <c:v>0.11332468572476186</c:v>
                </c:pt>
                <c:pt idx="1967">
                  <c:v>0.11332468572476186</c:v>
                </c:pt>
                <c:pt idx="1968">
                  <c:v>0.11332468572476186</c:v>
                </c:pt>
                <c:pt idx="1969">
                  <c:v>0.11332468572476186</c:v>
                </c:pt>
                <c:pt idx="1970">
                  <c:v>0.11332468572476186</c:v>
                </c:pt>
                <c:pt idx="1971">
                  <c:v>0.11332468572476186</c:v>
                </c:pt>
                <c:pt idx="1972">
                  <c:v>0.11332468572476186</c:v>
                </c:pt>
                <c:pt idx="1973">
                  <c:v>0.11332468572476186</c:v>
                </c:pt>
                <c:pt idx="1974">
                  <c:v>0.11332468572476186</c:v>
                </c:pt>
                <c:pt idx="1975">
                  <c:v>0.11332468572476186</c:v>
                </c:pt>
                <c:pt idx="1976">
                  <c:v>0.11332468572476186</c:v>
                </c:pt>
                <c:pt idx="1977">
                  <c:v>0.11332468572476186</c:v>
                </c:pt>
                <c:pt idx="1978">
                  <c:v>0.11332468572476186</c:v>
                </c:pt>
                <c:pt idx="1979">
                  <c:v>0.11332468572476186</c:v>
                </c:pt>
                <c:pt idx="1980">
                  <c:v>0.11332468572476186</c:v>
                </c:pt>
                <c:pt idx="1981">
                  <c:v>0.11332468572476186</c:v>
                </c:pt>
                <c:pt idx="1982">
                  <c:v>0.11332468572476186</c:v>
                </c:pt>
                <c:pt idx="1983">
                  <c:v>0.11332468572476186</c:v>
                </c:pt>
                <c:pt idx="1984">
                  <c:v>0.11332468572476186</c:v>
                </c:pt>
                <c:pt idx="1985">
                  <c:v>0.11332468572476186</c:v>
                </c:pt>
                <c:pt idx="1986">
                  <c:v>0.11332468572476186</c:v>
                </c:pt>
                <c:pt idx="1987">
                  <c:v>0.11332468572476186</c:v>
                </c:pt>
                <c:pt idx="1988">
                  <c:v>0.11332468572476186</c:v>
                </c:pt>
                <c:pt idx="1989">
                  <c:v>0.11332468572476186</c:v>
                </c:pt>
                <c:pt idx="1990">
                  <c:v>0.11332468572476186</c:v>
                </c:pt>
                <c:pt idx="1991">
                  <c:v>0.11332468572476186</c:v>
                </c:pt>
                <c:pt idx="1992">
                  <c:v>0.11332468572476186</c:v>
                </c:pt>
                <c:pt idx="1993">
                  <c:v>0.11332468572476186</c:v>
                </c:pt>
                <c:pt idx="1994">
                  <c:v>0.11332468572476186</c:v>
                </c:pt>
                <c:pt idx="1995">
                  <c:v>0.11332468572476186</c:v>
                </c:pt>
                <c:pt idx="1996">
                  <c:v>0.11332468572476186</c:v>
                </c:pt>
                <c:pt idx="1997">
                  <c:v>0.11332468572476186</c:v>
                </c:pt>
                <c:pt idx="1998">
                  <c:v>0.11332468572476186</c:v>
                </c:pt>
                <c:pt idx="1999">
                  <c:v>0.11332468572476186</c:v>
                </c:pt>
                <c:pt idx="2000">
                  <c:v>0.11332468572476186</c:v>
                </c:pt>
                <c:pt idx="2001">
                  <c:v>0.11332468572476186</c:v>
                </c:pt>
                <c:pt idx="2002">
                  <c:v>0.11332468572476186</c:v>
                </c:pt>
                <c:pt idx="2003">
                  <c:v>0.11332468572476186</c:v>
                </c:pt>
                <c:pt idx="2004">
                  <c:v>0.11332468572476186</c:v>
                </c:pt>
                <c:pt idx="2005">
                  <c:v>0.11332468572476186</c:v>
                </c:pt>
                <c:pt idx="2006">
                  <c:v>0.11332468572476186</c:v>
                </c:pt>
                <c:pt idx="2007">
                  <c:v>0.11332468572476186</c:v>
                </c:pt>
                <c:pt idx="2008">
                  <c:v>0.11332468572476186</c:v>
                </c:pt>
                <c:pt idx="2009">
                  <c:v>0.11332468572476186</c:v>
                </c:pt>
                <c:pt idx="2010">
                  <c:v>0.11332468572476186</c:v>
                </c:pt>
                <c:pt idx="2011">
                  <c:v>0.11332468572476186</c:v>
                </c:pt>
                <c:pt idx="2012">
                  <c:v>0.11332468572476186</c:v>
                </c:pt>
                <c:pt idx="2013">
                  <c:v>0.11332468572476186</c:v>
                </c:pt>
                <c:pt idx="2014">
                  <c:v>0.11332468572476186</c:v>
                </c:pt>
                <c:pt idx="2015">
                  <c:v>0.11332468572476186</c:v>
                </c:pt>
                <c:pt idx="2016">
                  <c:v>0.11332468572476186</c:v>
                </c:pt>
                <c:pt idx="2017">
                  <c:v>0.11332468572476186</c:v>
                </c:pt>
                <c:pt idx="2018">
                  <c:v>0.11332468572476186</c:v>
                </c:pt>
                <c:pt idx="2019">
                  <c:v>0.11332468572476186</c:v>
                </c:pt>
                <c:pt idx="2020">
                  <c:v>0.11332468572476186</c:v>
                </c:pt>
                <c:pt idx="2021">
                  <c:v>0.11332468572476186</c:v>
                </c:pt>
                <c:pt idx="2022">
                  <c:v>0.11332468572476186</c:v>
                </c:pt>
                <c:pt idx="2023">
                  <c:v>0.11332468572476186</c:v>
                </c:pt>
                <c:pt idx="2024">
                  <c:v>0.11332468572476186</c:v>
                </c:pt>
                <c:pt idx="2025">
                  <c:v>0.11332468572476186</c:v>
                </c:pt>
                <c:pt idx="2026">
                  <c:v>0.11332468572476186</c:v>
                </c:pt>
                <c:pt idx="2027">
                  <c:v>0.11332468572476186</c:v>
                </c:pt>
                <c:pt idx="2028">
                  <c:v>0.11332468572476186</c:v>
                </c:pt>
                <c:pt idx="2029">
                  <c:v>0.11332468572476186</c:v>
                </c:pt>
                <c:pt idx="2030">
                  <c:v>0.11332468572476186</c:v>
                </c:pt>
                <c:pt idx="2031">
                  <c:v>0.11332468572476186</c:v>
                </c:pt>
                <c:pt idx="2032">
                  <c:v>0.11332468572476186</c:v>
                </c:pt>
                <c:pt idx="2033">
                  <c:v>0.11332468572476186</c:v>
                </c:pt>
                <c:pt idx="2034">
                  <c:v>0.11332468572476186</c:v>
                </c:pt>
                <c:pt idx="2035">
                  <c:v>0.11332468572476186</c:v>
                </c:pt>
                <c:pt idx="2036">
                  <c:v>0.11332468572476186</c:v>
                </c:pt>
                <c:pt idx="2037">
                  <c:v>0.11332468572476186</c:v>
                </c:pt>
                <c:pt idx="2038">
                  <c:v>0.11332468572476186</c:v>
                </c:pt>
                <c:pt idx="2039">
                  <c:v>0.11332468572476186</c:v>
                </c:pt>
                <c:pt idx="2040">
                  <c:v>0.11332468572476186</c:v>
                </c:pt>
                <c:pt idx="2041">
                  <c:v>0.11332468572476186</c:v>
                </c:pt>
                <c:pt idx="2042">
                  <c:v>0.11332468572476186</c:v>
                </c:pt>
                <c:pt idx="2043">
                  <c:v>0.11332468572476186</c:v>
                </c:pt>
                <c:pt idx="2044">
                  <c:v>0.11332468572476186</c:v>
                </c:pt>
                <c:pt idx="2045">
                  <c:v>0.11332468572476186</c:v>
                </c:pt>
                <c:pt idx="2046">
                  <c:v>0.11332468572476186</c:v>
                </c:pt>
                <c:pt idx="2047">
                  <c:v>0.11332468572476186</c:v>
                </c:pt>
                <c:pt idx="2048">
                  <c:v>0.11332468572476186</c:v>
                </c:pt>
                <c:pt idx="2049">
                  <c:v>0.11332468572476186</c:v>
                </c:pt>
                <c:pt idx="2050">
                  <c:v>0.11332468572476186</c:v>
                </c:pt>
                <c:pt idx="2051">
                  <c:v>0.11332468572476186</c:v>
                </c:pt>
                <c:pt idx="2052">
                  <c:v>0.11332468572476186</c:v>
                </c:pt>
                <c:pt idx="2053">
                  <c:v>0.11332468572476186</c:v>
                </c:pt>
                <c:pt idx="2054">
                  <c:v>0.11332468572476186</c:v>
                </c:pt>
                <c:pt idx="2055">
                  <c:v>0.11332468572476186</c:v>
                </c:pt>
                <c:pt idx="2056">
                  <c:v>0.11332468572476186</c:v>
                </c:pt>
                <c:pt idx="2057">
                  <c:v>0.11332468572476186</c:v>
                </c:pt>
                <c:pt idx="2058">
                  <c:v>0.11332468572476186</c:v>
                </c:pt>
                <c:pt idx="2059">
                  <c:v>0.11332468572476186</c:v>
                </c:pt>
                <c:pt idx="2060">
                  <c:v>0.11332468572476186</c:v>
                </c:pt>
                <c:pt idx="2061">
                  <c:v>0.11332468572476186</c:v>
                </c:pt>
                <c:pt idx="2062">
                  <c:v>0.11332468572476186</c:v>
                </c:pt>
                <c:pt idx="2063">
                  <c:v>0.11332468572476186</c:v>
                </c:pt>
                <c:pt idx="2064">
                  <c:v>0.11332468572476186</c:v>
                </c:pt>
                <c:pt idx="2065">
                  <c:v>0.11332468572476186</c:v>
                </c:pt>
                <c:pt idx="2066">
                  <c:v>0.11332468572476186</c:v>
                </c:pt>
                <c:pt idx="2067">
                  <c:v>0.11332468572476186</c:v>
                </c:pt>
                <c:pt idx="2068">
                  <c:v>0.11332468572476186</c:v>
                </c:pt>
                <c:pt idx="2069">
                  <c:v>0.11332468572476186</c:v>
                </c:pt>
                <c:pt idx="2070">
                  <c:v>0.11332468572476186</c:v>
                </c:pt>
                <c:pt idx="2071">
                  <c:v>0.11332468572476186</c:v>
                </c:pt>
                <c:pt idx="2072">
                  <c:v>0.11332468572476186</c:v>
                </c:pt>
                <c:pt idx="2073">
                  <c:v>0.11332468572476186</c:v>
                </c:pt>
                <c:pt idx="2074">
                  <c:v>0.11332468572476186</c:v>
                </c:pt>
                <c:pt idx="2075">
                  <c:v>0.11332468572476186</c:v>
                </c:pt>
                <c:pt idx="2076">
                  <c:v>0.11332468572476186</c:v>
                </c:pt>
                <c:pt idx="2077">
                  <c:v>0.11332468572476186</c:v>
                </c:pt>
                <c:pt idx="2078">
                  <c:v>0.11332468572476186</c:v>
                </c:pt>
                <c:pt idx="2079">
                  <c:v>0.11332468572476186</c:v>
                </c:pt>
                <c:pt idx="2080">
                  <c:v>0.11332468572476186</c:v>
                </c:pt>
                <c:pt idx="2081">
                  <c:v>0.11332468572476186</c:v>
                </c:pt>
                <c:pt idx="2082">
                  <c:v>0.11332468572476186</c:v>
                </c:pt>
                <c:pt idx="2083">
                  <c:v>0.11332468572476186</c:v>
                </c:pt>
                <c:pt idx="2084">
                  <c:v>0.11332468572476186</c:v>
                </c:pt>
                <c:pt idx="2085">
                  <c:v>0.11332468572476186</c:v>
                </c:pt>
                <c:pt idx="2086">
                  <c:v>0.11332468572476186</c:v>
                </c:pt>
                <c:pt idx="2087">
                  <c:v>0.11332468572476186</c:v>
                </c:pt>
                <c:pt idx="2088">
                  <c:v>0.11332468572476186</c:v>
                </c:pt>
                <c:pt idx="2089">
                  <c:v>0.11332468572476186</c:v>
                </c:pt>
                <c:pt idx="2090">
                  <c:v>0.11332468572476186</c:v>
                </c:pt>
                <c:pt idx="2091">
                  <c:v>0.11332468572476186</c:v>
                </c:pt>
                <c:pt idx="2092">
                  <c:v>0.11332468572476186</c:v>
                </c:pt>
                <c:pt idx="2093">
                  <c:v>0.11332468572476186</c:v>
                </c:pt>
                <c:pt idx="2094">
                  <c:v>0.11332468572476186</c:v>
                </c:pt>
                <c:pt idx="2095">
                  <c:v>0.11332468572476186</c:v>
                </c:pt>
                <c:pt idx="2096">
                  <c:v>0.11332468572476186</c:v>
                </c:pt>
                <c:pt idx="2097">
                  <c:v>0.11332468572476186</c:v>
                </c:pt>
                <c:pt idx="2098">
                  <c:v>0.11332468572476186</c:v>
                </c:pt>
                <c:pt idx="2099">
                  <c:v>0.11332468572476186</c:v>
                </c:pt>
                <c:pt idx="2100">
                  <c:v>0.11332468572476186</c:v>
                </c:pt>
                <c:pt idx="2101">
                  <c:v>0.11332468572476186</c:v>
                </c:pt>
                <c:pt idx="2102">
                  <c:v>0.11332468572476186</c:v>
                </c:pt>
                <c:pt idx="2103">
                  <c:v>0.11332468572476186</c:v>
                </c:pt>
                <c:pt idx="2104">
                  <c:v>0.11332468572476186</c:v>
                </c:pt>
                <c:pt idx="2105">
                  <c:v>0.11332468572476186</c:v>
                </c:pt>
                <c:pt idx="2106">
                  <c:v>0.11332468572476186</c:v>
                </c:pt>
                <c:pt idx="2107">
                  <c:v>0.11332468572476186</c:v>
                </c:pt>
                <c:pt idx="2108">
                  <c:v>0.11332468572476186</c:v>
                </c:pt>
                <c:pt idx="2109">
                  <c:v>0.11332468572476186</c:v>
                </c:pt>
                <c:pt idx="2110">
                  <c:v>0.11332468572476186</c:v>
                </c:pt>
                <c:pt idx="2111">
                  <c:v>0.11332468572476186</c:v>
                </c:pt>
                <c:pt idx="2112">
                  <c:v>0.11332468572476186</c:v>
                </c:pt>
                <c:pt idx="2113">
                  <c:v>0.11332468572476186</c:v>
                </c:pt>
                <c:pt idx="2114">
                  <c:v>0.11332468572476186</c:v>
                </c:pt>
                <c:pt idx="2115">
                  <c:v>0.11332468572476186</c:v>
                </c:pt>
                <c:pt idx="2116">
                  <c:v>0.11332468572476186</c:v>
                </c:pt>
                <c:pt idx="2117">
                  <c:v>0.11332468572476186</c:v>
                </c:pt>
                <c:pt idx="2118">
                  <c:v>0.11332468572476186</c:v>
                </c:pt>
                <c:pt idx="2119">
                  <c:v>0.11332468572476186</c:v>
                </c:pt>
                <c:pt idx="2120">
                  <c:v>0.11332468572476186</c:v>
                </c:pt>
                <c:pt idx="2121">
                  <c:v>0.11332468572476186</c:v>
                </c:pt>
                <c:pt idx="2122">
                  <c:v>0.11332468572476186</c:v>
                </c:pt>
                <c:pt idx="2123">
                  <c:v>0.11332468572476186</c:v>
                </c:pt>
                <c:pt idx="2124">
                  <c:v>0.11332468572476186</c:v>
                </c:pt>
                <c:pt idx="2125">
                  <c:v>0.11332468572476186</c:v>
                </c:pt>
                <c:pt idx="2126">
                  <c:v>0.11332468572476186</c:v>
                </c:pt>
                <c:pt idx="2127">
                  <c:v>0.11332468572476186</c:v>
                </c:pt>
                <c:pt idx="2128">
                  <c:v>0.11332468572476186</c:v>
                </c:pt>
                <c:pt idx="2129">
                  <c:v>0.11332468572476186</c:v>
                </c:pt>
                <c:pt idx="2130">
                  <c:v>0.11332468572476186</c:v>
                </c:pt>
                <c:pt idx="2131">
                  <c:v>0.11332468572476186</c:v>
                </c:pt>
                <c:pt idx="2132">
                  <c:v>0.11332468572476186</c:v>
                </c:pt>
                <c:pt idx="2133">
                  <c:v>0.11332468572476186</c:v>
                </c:pt>
                <c:pt idx="2134">
                  <c:v>0.11332468572476186</c:v>
                </c:pt>
                <c:pt idx="2135">
                  <c:v>0.11332468572476186</c:v>
                </c:pt>
                <c:pt idx="2136">
                  <c:v>0.11332468572476186</c:v>
                </c:pt>
                <c:pt idx="2137">
                  <c:v>0.11332468572476186</c:v>
                </c:pt>
                <c:pt idx="2138">
                  <c:v>0.11332468572476186</c:v>
                </c:pt>
                <c:pt idx="2139">
                  <c:v>0.11332468572476186</c:v>
                </c:pt>
                <c:pt idx="2140">
                  <c:v>0.11332468572476186</c:v>
                </c:pt>
                <c:pt idx="2141">
                  <c:v>0.11332468572476186</c:v>
                </c:pt>
                <c:pt idx="2142">
                  <c:v>0.11332468572476186</c:v>
                </c:pt>
                <c:pt idx="2143">
                  <c:v>0.11332468572476186</c:v>
                </c:pt>
                <c:pt idx="2144">
                  <c:v>0.11332468572476186</c:v>
                </c:pt>
                <c:pt idx="2145">
                  <c:v>0.11332468572476186</c:v>
                </c:pt>
                <c:pt idx="2146">
                  <c:v>0.11332468572476186</c:v>
                </c:pt>
                <c:pt idx="2147">
                  <c:v>0.11332468572476186</c:v>
                </c:pt>
                <c:pt idx="2148">
                  <c:v>0.11332468572476186</c:v>
                </c:pt>
                <c:pt idx="2149">
                  <c:v>0.11332468572476186</c:v>
                </c:pt>
                <c:pt idx="2150">
                  <c:v>0.11332468572476186</c:v>
                </c:pt>
                <c:pt idx="2151">
                  <c:v>0.11332468572476186</c:v>
                </c:pt>
                <c:pt idx="2152">
                  <c:v>0.11332468572476186</c:v>
                </c:pt>
                <c:pt idx="2153">
                  <c:v>0.11332468572476186</c:v>
                </c:pt>
                <c:pt idx="2154">
                  <c:v>0.11332468572476186</c:v>
                </c:pt>
                <c:pt idx="2155">
                  <c:v>0.11332468572476186</c:v>
                </c:pt>
                <c:pt idx="2156">
                  <c:v>0.11332468572476186</c:v>
                </c:pt>
                <c:pt idx="2157">
                  <c:v>0.11332468572476186</c:v>
                </c:pt>
                <c:pt idx="2158">
                  <c:v>0.11332468572476186</c:v>
                </c:pt>
                <c:pt idx="2159">
                  <c:v>0.11332468572476186</c:v>
                </c:pt>
                <c:pt idx="2160">
                  <c:v>0.11332468572476186</c:v>
                </c:pt>
                <c:pt idx="2161">
                  <c:v>0.11332468572476186</c:v>
                </c:pt>
                <c:pt idx="2162">
                  <c:v>0.11332468572476186</c:v>
                </c:pt>
                <c:pt idx="2163">
                  <c:v>0.11332468572476186</c:v>
                </c:pt>
                <c:pt idx="2164">
                  <c:v>0.11332468572476186</c:v>
                </c:pt>
                <c:pt idx="2165">
                  <c:v>0.11332468572476186</c:v>
                </c:pt>
                <c:pt idx="2166">
                  <c:v>0.11332468572476186</c:v>
                </c:pt>
                <c:pt idx="2167">
                  <c:v>0.11332468572476186</c:v>
                </c:pt>
                <c:pt idx="2168">
                  <c:v>0.11332468572476186</c:v>
                </c:pt>
                <c:pt idx="2169">
                  <c:v>0.11332468572476186</c:v>
                </c:pt>
                <c:pt idx="2170">
                  <c:v>0.11332468572476186</c:v>
                </c:pt>
                <c:pt idx="2171">
                  <c:v>0.11332468572476186</c:v>
                </c:pt>
                <c:pt idx="2172">
                  <c:v>0.11332468572476186</c:v>
                </c:pt>
                <c:pt idx="2173">
                  <c:v>0.11332468572476186</c:v>
                </c:pt>
                <c:pt idx="2174">
                  <c:v>0.11332468572476186</c:v>
                </c:pt>
                <c:pt idx="2175">
                  <c:v>0.11332468572476186</c:v>
                </c:pt>
                <c:pt idx="2176">
                  <c:v>0.11332468572476186</c:v>
                </c:pt>
                <c:pt idx="2177">
                  <c:v>0.11332468572476186</c:v>
                </c:pt>
                <c:pt idx="2178">
                  <c:v>0.11332468572476186</c:v>
                </c:pt>
                <c:pt idx="2179">
                  <c:v>0.11332468572476186</c:v>
                </c:pt>
                <c:pt idx="2180">
                  <c:v>0.11332468572476186</c:v>
                </c:pt>
                <c:pt idx="2181">
                  <c:v>0.11332468572476186</c:v>
                </c:pt>
                <c:pt idx="2182">
                  <c:v>0.11332468572476186</c:v>
                </c:pt>
                <c:pt idx="2183">
                  <c:v>0.11332468572476186</c:v>
                </c:pt>
                <c:pt idx="2184">
                  <c:v>0.11332468572476186</c:v>
                </c:pt>
                <c:pt idx="2185">
                  <c:v>0.11332468572476186</c:v>
                </c:pt>
                <c:pt idx="2186">
                  <c:v>0.11332468572476186</c:v>
                </c:pt>
                <c:pt idx="2187">
                  <c:v>0.11332468572476186</c:v>
                </c:pt>
                <c:pt idx="2188">
                  <c:v>0.11332468572476186</c:v>
                </c:pt>
                <c:pt idx="2189">
                  <c:v>0.11332468572476186</c:v>
                </c:pt>
                <c:pt idx="2190">
                  <c:v>0.11332468572476186</c:v>
                </c:pt>
                <c:pt idx="2191">
                  <c:v>0.11332468572476186</c:v>
                </c:pt>
                <c:pt idx="2192">
                  <c:v>0.11332468572476186</c:v>
                </c:pt>
                <c:pt idx="2193">
                  <c:v>0.11332468572476186</c:v>
                </c:pt>
                <c:pt idx="2194">
                  <c:v>0.11332468572476186</c:v>
                </c:pt>
                <c:pt idx="2195">
                  <c:v>0.11332468572476186</c:v>
                </c:pt>
                <c:pt idx="2196">
                  <c:v>0.11332468572476186</c:v>
                </c:pt>
                <c:pt idx="2197">
                  <c:v>0.11332468572476186</c:v>
                </c:pt>
                <c:pt idx="2198">
                  <c:v>0.11332468572476186</c:v>
                </c:pt>
                <c:pt idx="2199">
                  <c:v>0.11332468572476186</c:v>
                </c:pt>
                <c:pt idx="2200">
                  <c:v>0.11332468572476186</c:v>
                </c:pt>
                <c:pt idx="2201">
                  <c:v>0.11332468572476186</c:v>
                </c:pt>
                <c:pt idx="2202">
                  <c:v>0.11332468572476186</c:v>
                </c:pt>
                <c:pt idx="2203">
                  <c:v>0.11332468572476186</c:v>
                </c:pt>
                <c:pt idx="2204">
                  <c:v>0.11332468572476186</c:v>
                </c:pt>
                <c:pt idx="2205">
                  <c:v>0.11332468572476186</c:v>
                </c:pt>
                <c:pt idx="2206">
                  <c:v>0.11332468572476186</c:v>
                </c:pt>
                <c:pt idx="2207">
                  <c:v>0.11332468572476186</c:v>
                </c:pt>
                <c:pt idx="2208">
                  <c:v>0.11332468572476186</c:v>
                </c:pt>
                <c:pt idx="2209">
                  <c:v>0.11332468572476186</c:v>
                </c:pt>
                <c:pt idx="2210">
                  <c:v>0.11332468572476186</c:v>
                </c:pt>
                <c:pt idx="2211">
                  <c:v>0.11332468572476186</c:v>
                </c:pt>
                <c:pt idx="2212">
                  <c:v>0.11332468572476186</c:v>
                </c:pt>
                <c:pt idx="2213">
                  <c:v>0.11332468572476186</c:v>
                </c:pt>
                <c:pt idx="2214">
                  <c:v>0.11332468572476186</c:v>
                </c:pt>
                <c:pt idx="2215">
                  <c:v>0.11332468572476186</c:v>
                </c:pt>
                <c:pt idx="2216">
                  <c:v>0.11332468572476186</c:v>
                </c:pt>
                <c:pt idx="2217">
                  <c:v>0.11332468572476186</c:v>
                </c:pt>
                <c:pt idx="2218">
                  <c:v>0.11332468572476186</c:v>
                </c:pt>
                <c:pt idx="2219">
                  <c:v>0.11332468572476186</c:v>
                </c:pt>
                <c:pt idx="2220">
                  <c:v>0.11332468572476186</c:v>
                </c:pt>
                <c:pt idx="2221">
                  <c:v>0.11332468572476186</c:v>
                </c:pt>
                <c:pt idx="2222">
                  <c:v>0.11332468572476186</c:v>
                </c:pt>
                <c:pt idx="2223">
                  <c:v>0.11332468572476186</c:v>
                </c:pt>
                <c:pt idx="2224">
                  <c:v>0.11332468572476186</c:v>
                </c:pt>
                <c:pt idx="2225">
                  <c:v>0.11332468572476186</c:v>
                </c:pt>
                <c:pt idx="2226">
                  <c:v>0.11332468572476186</c:v>
                </c:pt>
                <c:pt idx="2227">
                  <c:v>0.11332468572476186</c:v>
                </c:pt>
                <c:pt idx="2228">
                  <c:v>0.11332468572476186</c:v>
                </c:pt>
                <c:pt idx="2229">
                  <c:v>0.11332468572476186</c:v>
                </c:pt>
                <c:pt idx="2230">
                  <c:v>0.11332468572476186</c:v>
                </c:pt>
                <c:pt idx="2231">
                  <c:v>0.11332468572476186</c:v>
                </c:pt>
                <c:pt idx="2232">
                  <c:v>0.11332468572476186</c:v>
                </c:pt>
                <c:pt idx="2233">
                  <c:v>0.11332468572476186</c:v>
                </c:pt>
                <c:pt idx="2234">
                  <c:v>0.11332468572476186</c:v>
                </c:pt>
                <c:pt idx="2235">
                  <c:v>0.11332468572476186</c:v>
                </c:pt>
                <c:pt idx="2236">
                  <c:v>0.11332468572476186</c:v>
                </c:pt>
                <c:pt idx="2237">
                  <c:v>0.11332468572476186</c:v>
                </c:pt>
                <c:pt idx="2238">
                  <c:v>0.11332468572476186</c:v>
                </c:pt>
                <c:pt idx="2239">
                  <c:v>0.11332468572476186</c:v>
                </c:pt>
                <c:pt idx="2240">
                  <c:v>0.11332468572476186</c:v>
                </c:pt>
                <c:pt idx="2241">
                  <c:v>0.11332468572476186</c:v>
                </c:pt>
                <c:pt idx="2242">
                  <c:v>0.11332468572476186</c:v>
                </c:pt>
                <c:pt idx="2243">
                  <c:v>0.11332468572476186</c:v>
                </c:pt>
                <c:pt idx="2244">
                  <c:v>0.11332468572476186</c:v>
                </c:pt>
                <c:pt idx="2245">
                  <c:v>0.11332468572476186</c:v>
                </c:pt>
                <c:pt idx="2246">
                  <c:v>0.11332468572476186</c:v>
                </c:pt>
                <c:pt idx="2247">
                  <c:v>0.11332468572476186</c:v>
                </c:pt>
                <c:pt idx="2248">
                  <c:v>0.11332468572476186</c:v>
                </c:pt>
                <c:pt idx="2249">
                  <c:v>0.11332468572476186</c:v>
                </c:pt>
                <c:pt idx="2250">
                  <c:v>0.11332468572476186</c:v>
                </c:pt>
                <c:pt idx="2251">
                  <c:v>0.11332468572476186</c:v>
                </c:pt>
                <c:pt idx="2252">
                  <c:v>0.11332468572476186</c:v>
                </c:pt>
                <c:pt idx="2253">
                  <c:v>0.11332468572476186</c:v>
                </c:pt>
                <c:pt idx="2254">
                  <c:v>0.11332468572476186</c:v>
                </c:pt>
                <c:pt idx="2255">
                  <c:v>0.11332468572476186</c:v>
                </c:pt>
                <c:pt idx="2256">
                  <c:v>0.11332468572476186</c:v>
                </c:pt>
                <c:pt idx="2257">
                  <c:v>0.11332468572476186</c:v>
                </c:pt>
                <c:pt idx="2258">
                  <c:v>0.11332468572476186</c:v>
                </c:pt>
                <c:pt idx="2259">
                  <c:v>0.11332468572476186</c:v>
                </c:pt>
                <c:pt idx="2260">
                  <c:v>0.11332468572476186</c:v>
                </c:pt>
                <c:pt idx="2261">
                  <c:v>0.11332468572476186</c:v>
                </c:pt>
                <c:pt idx="2262">
                  <c:v>0.11332468572476186</c:v>
                </c:pt>
                <c:pt idx="2263">
                  <c:v>0.11332468572476186</c:v>
                </c:pt>
                <c:pt idx="2264">
                  <c:v>0.11332468572476186</c:v>
                </c:pt>
                <c:pt idx="2265">
                  <c:v>0.11332468572476186</c:v>
                </c:pt>
                <c:pt idx="2266">
                  <c:v>0.11332468572476186</c:v>
                </c:pt>
                <c:pt idx="2267">
                  <c:v>0.11332468572476186</c:v>
                </c:pt>
                <c:pt idx="2268">
                  <c:v>0.11332468572476186</c:v>
                </c:pt>
                <c:pt idx="2269">
                  <c:v>0.11332468572476186</c:v>
                </c:pt>
                <c:pt idx="2270">
                  <c:v>0.11332468572476186</c:v>
                </c:pt>
                <c:pt idx="2271">
                  <c:v>0.11332468572476186</c:v>
                </c:pt>
                <c:pt idx="2272">
                  <c:v>0.11332468572476186</c:v>
                </c:pt>
                <c:pt idx="2273">
                  <c:v>0.11332468572476186</c:v>
                </c:pt>
                <c:pt idx="2274">
                  <c:v>0.11332468572476186</c:v>
                </c:pt>
                <c:pt idx="2275">
                  <c:v>0.11332468572476186</c:v>
                </c:pt>
                <c:pt idx="2276">
                  <c:v>0.11332468572476186</c:v>
                </c:pt>
                <c:pt idx="2277">
                  <c:v>0.11332468572476186</c:v>
                </c:pt>
                <c:pt idx="2278">
                  <c:v>0.11332468572476186</c:v>
                </c:pt>
                <c:pt idx="2279">
                  <c:v>0.11332468572476186</c:v>
                </c:pt>
                <c:pt idx="2280">
                  <c:v>0.11332468572476186</c:v>
                </c:pt>
                <c:pt idx="2281">
                  <c:v>0.11332468572476186</c:v>
                </c:pt>
                <c:pt idx="2282">
                  <c:v>0.11332468572476186</c:v>
                </c:pt>
                <c:pt idx="2283">
                  <c:v>0.11332468572476186</c:v>
                </c:pt>
                <c:pt idx="2284">
                  <c:v>0.11332468572476186</c:v>
                </c:pt>
                <c:pt idx="2285">
                  <c:v>0.11332468572476186</c:v>
                </c:pt>
                <c:pt idx="2286">
                  <c:v>0.11332468572476186</c:v>
                </c:pt>
                <c:pt idx="2287">
                  <c:v>0.11332468572476186</c:v>
                </c:pt>
                <c:pt idx="2288">
                  <c:v>0.11332468572476186</c:v>
                </c:pt>
                <c:pt idx="2289">
                  <c:v>0.11332468572476186</c:v>
                </c:pt>
                <c:pt idx="2290">
                  <c:v>0.11332468572476186</c:v>
                </c:pt>
                <c:pt idx="2291">
                  <c:v>0.11332468572476186</c:v>
                </c:pt>
                <c:pt idx="2292">
                  <c:v>0.11332468572476186</c:v>
                </c:pt>
                <c:pt idx="2293">
                  <c:v>0.11332468572476186</c:v>
                </c:pt>
                <c:pt idx="2294">
                  <c:v>0.11332468572476186</c:v>
                </c:pt>
                <c:pt idx="2295">
                  <c:v>0.11332468572476186</c:v>
                </c:pt>
                <c:pt idx="2296">
                  <c:v>0.11332468572476186</c:v>
                </c:pt>
                <c:pt idx="2297">
                  <c:v>0.11332468572476186</c:v>
                </c:pt>
                <c:pt idx="2298">
                  <c:v>0.11332468572476186</c:v>
                </c:pt>
                <c:pt idx="2299">
                  <c:v>0.11332468572476186</c:v>
                </c:pt>
                <c:pt idx="2300">
                  <c:v>0.11332468572476186</c:v>
                </c:pt>
                <c:pt idx="2301">
                  <c:v>0.11332468572476186</c:v>
                </c:pt>
                <c:pt idx="2302">
                  <c:v>0.11332468572476186</c:v>
                </c:pt>
                <c:pt idx="2303">
                  <c:v>0.11332468572476186</c:v>
                </c:pt>
                <c:pt idx="2304">
                  <c:v>0.11332468572476186</c:v>
                </c:pt>
                <c:pt idx="2305">
                  <c:v>0.11332468572476186</c:v>
                </c:pt>
                <c:pt idx="2306">
                  <c:v>0.11332468572476186</c:v>
                </c:pt>
                <c:pt idx="2307">
                  <c:v>0.11332468572476186</c:v>
                </c:pt>
                <c:pt idx="2308">
                  <c:v>0.11332468572476186</c:v>
                </c:pt>
                <c:pt idx="2309">
                  <c:v>0.11332468572476186</c:v>
                </c:pt>
                <c:pt idx="2310">
                  <c:v>0.11332468572476186</c:v>
                </c:pt>
                <c:pt idx="2311">
                  <c:v>0.11332468572476186</c:v>
                </c:pt>
                <c:pt idx="2312">
                  <c:v>0.11332468572476186</c:v>
                </c:pt>
                <c:pt idx="2313">
                  <c:v>0.11332468572476186</c:v>
                </c:pt>
                <c:pt idx="2314">
                  <c:v>0.11332468572476186</c:v>
                </c:pt>
                <c:pt idx="2315">
                  <c:v>0.11332468572476186</c:v>
                </c:pt>
                <c:pt idx="2316">
                  <c:v>0.11332468572476186</c:v>
                </c:pt>
                <c:pt idx="2317">
                  <c:v>0.11332468572476186</c:v>
                </c:pt>
                <c:pt idx="2318">
                  <c:v>0.11332468572476186</c:v>
                </c:pt>
                <c:pt idx="2319">
                  <c:v>0.11332468572476186</c:v>
                </c:pt>
                <c:pt idx="2320">
                  <c:v>0.11332468572476186</c:v>
                </c:pt>
                <c:pt idx="2321">
                  <c:v>0.11332468572476186</c:v>
                </c:pt>
                <c:pt idx="2322">
                  <c:v>0.11332468572476186</c:v>
                </c:pt>
                <c:pt idx="2323">
                  <c:v>0.11332468572476186</c:v>
                </c:pt>
                <c:pt idx="2324">
                  <c:v>0.11332468572476186</c:v>
                </c:pt>
                <c:pt idx="2325">
                  <c:v>0.11332468572476186</c:v>
                </c:pt>
                <c:pt idx="2326">
                  <c:v>0.11332468572476186</c:v>
                </c:pt>
                <c:pt idx="2327">
                  <c:v>0.11332468572476186</c:v>
                </c:pt>
                <c:pt idx="2328">
                  <c:v>0.11332468572476186</c:v>
                </c:pt>
                <c:pt idx="2329">
                  <c:v>0.11332468572476186</c:v>
                </c:pt>
                <c:pt idx="2330">
                  <c:v>0.11332468572476186</c:v>
                </c:pt>
                <c:pt idx="2331">
                  <c:v>0.11332468572476186</c:v>
                </c:pt>
                <c:pt idx="2332">
                  <c:v>0.11332468572476186</c:v>
                </c:pt>
                <c:pt idx="2333">
                  <c:v>0.11332468572476186</c:v>
                </c:pt>
                <c:pt idx="2334">
                  <c:v>0.11332468572476186</c:v>
                </c:pt>
                <c:pt idx="2335">
                  <c:v>0.11332468572476186</c:v>
                </c:pt>
                <c:pt idx="2336">
                  <c:v>0.11332468572476186</c:v>
                </c:pt>
                <c:pt idx="2337">
                  <c:v>0.11332468572476186</c:v>
                </c:pt>
                <c:pt idx="2338">
                  <c:v>0.11332468572476186</c:v>
                </c:pt>
                <c:pt idx="2339">
                  <c:v>0.11332468572476186</c:v>
                </c:pt>
                <c:pt idx="2340">
                  <c:v>0.11332468572476186</c:v>
                </c:pt>
                <c:pt idx="2341">
                  <c:v>0.11332468572476186</c:v>
                </c:pt>
                <c:pt idx="2342">
                  <c:v>0.11332468572476186</c:v>
                </c:pt>
                <c:pt idx="2343">
                  <c:v>0.11332468572476186</c:v>
                </c:pt>
                <c:pt idx="2344">
                  <c:v>0.11332468572476186</c:v>
                </c:pt>
                <c:pt idx="2345">
                  <c:v>0.11332468572476186</c:v>
                </c:pt>
                <c:pt idx="2346">
                  <c:v>0.11332468572476186</c:v>
                </c:pt>
                <c:pt idx="2347">
                  <c:v>0.11332468572476186</c:v>
                </c:pt>
                <c:pt idx="2348">
                  <c:v>0.11332468572476186</c:v>
                </c:pt>
                <c:pt idx="2349">
                  <c:v>0.11332468572476186</c:v>
                </c:pt>
                <c:pt idx="2350">
                  <c:v>0.11332468572476186</c:v>
                </c:pt>
                <c:pt idx="2351">
                  <c:v>0.11332468572476186</c:v>
                </c:pt>
                <c:pt idx="2352">
                  <c:v>0.11332468572476186</c:v>
                </c:pt>
                <c:pt idx="2353">
                  <c:v>0.11332468572476186</c:v>
                </c:pt>
                <c:pt idx="2354">
                  <c:v>0.11332468572476186</c:v>
                </c:pt>
                <c:pt idx="2355">
                  <c:v>0.11332468572476186</c:v>
                </c:pt>
                <c:pt idx="2356">
                  <c:v>0.11332468572476186</c:v>
                </c:pt>
                <c:pt idx="2357">
                  <c:v>0.11332468572476186</c:v>
                </c:pt>
                <c:pt idx="2358">
                  <c:v>0.11332468572476186</c:v>
                </c:pt>
                <c:pt idx="2359">
                  <c:v>0.11332468572476186</c:v>
                </c:pt>
                <c:pt idx="2360">
                  <c:v>0.11332468572476186</c:v>
                </c:pt>
                <c:pt idx="2361">
                  <c:v>0.11332468572476186</c:v>
                </c:pt>
                <c:pt idx="2362">
                  <c:v>0.11332468572476186</c:v>
                </c:pt>
                <c:pt idx="2363">
                  <c:v>0.11332468572476186</c:v>
                </c:pt>
                <c:pt idx="2364">
                  <c:v>0.11332468572476186</c:v>
                </c:pt>
                <c:pt idx="2365">
                  <c:v>0.11332468572476186</c:v>
                </c:pt>
                <c:pt idx="2366">
                  <c:v>0.11332468572476186</c:v>
                </c:pt>
                <c:pt idx="2367">
                  <c:v>0.11332468572476186</c:v>
                </c:pt>
                <c:pt idx="2368">
                  <c:v>0.11332468572476186</c:v>
                </c:pt>
                <c:pt idx="2369">
                  <c:v>0.11332468572476186</c:v>
                </c:pt>
                <c:pt idx="2370">
                  <c:v>0.11332468572476186</c:v>
                </c:pt>
                <c:pt idx="2371">
                  <c:v>0.11332468572476186</c:v>
                </c:pt>
                <c:pt idx="2372">
                  <c:v>0.11332468572476186</c:v>
                </c:pt>
                <c:pt idx="2373">
                  <c:v>0.11332468572476186</c:v>
                </c:pt>
                <c:pt idx="2374">
                  <c:v>0.11332468572476186</c:v>
                </c:pt>
                <c:pt idx="2375">
                  <c:v>0.11332468572476186</c:v>
                </c:pt>
                <c:pt idx="2376">
                  <c:v>0.11332468572476186</c:v>
                </c:pt>
                <c:pt idx="2377">
                  <c:v>0.11332468572476186</c:v>
                </c:pt>
                <c:pt idx="2378">
                  <c:v>0.11332468572476186</c:v>
                </c:pt>
                <c:pt idx="2379">
                  <c:v>0.11332468572476186</c:v>
                </c:pt>
                <c:pt idx="2380">
                  <c:v>0.11332468572476186</c:v>
                </c:pt>
                <c:pt idx="2381">
                  <c:v>0.11332468572476186</c:v>
                </c:pt>
                <c:pt idx="2382">
                  <c:v>0.11332468572476186</c:v>
                </c:pt>
                <c:pt idx="2383">
                  <c:v>0.11332468572476186</c:v>
                </c:pt>
                <c:pt idx="2384">
                  <c:v>0.11332468572476186</c:v>
                </c:pt>
                <c:pt idx="2385">
                  <c:v>0.11332468572476186</c:v>
                </c:pt>
                <c:pt idx="2386">
                  <c:v>0.11332468572476186</c:v>
                </c:pt>
                <c:pt idx="2387">
                  <c:v>0.11332468572476186</c:v>
                </c:pt>
                <c:pt idx="2388">
                  <c:v>0.11332468572476186</c:v>
                </c:pt>
                <c:pt idx="2389">
                  <c:v>0.11332468572476186</c:v>
                </c:pt>
                <c:pt idx="2390">
                  <c:v>0.11332468572476186</c:v>
                </c:pt>
                <c:pt idx="2391">
                  <c:v>0.11332468572476186</c:v>
                </c:pt>
                <c:pt idx="2392">
                  <c:v>0.11332468572476186</c:v>
                </c:pt>
                <c:pt idx="2393">
                  <c:v>0.11332468572476186</c:v>
                </c:pt>
                <c:pt idx="2394">
                  <c:v>0.11332468572476186</c:v>
                </c:pt>
                <c:pt idx="2395">
                  <c:v>0.11332468572476186</c:v>
                </c:pt>
                <c:pt idx="2396">
                  <c:v>0.11332468572476186</c:v>
                </c:pt>
                <c:pt idx="2397">
                  <c:v>0.11332468572476186</c:v>
                </c:pt>
                <c:pt idx="2398">
                  <c:v>0.11332468572476186</c:v>
                </c:pt>
                <c:pt idx="2399">
                  <c:v>0.11332468572476186</c:v>
                </c:pt>
                <c:pt idx="2400">
                  <c:v>0.11332468572476186</c:v>
                </c:pt>
                <c:pt idx="2401">
                  <c:v>0.11332468572476186</c:v>
                </c:pt>
                <c:pt idx="2402">
                  <c:v>0.11332468572476186</c:v>
                </c:pt>
                <c:pt idx="2403">
                  <c:v>0.11332468572476186</c:v>
                </c:pt>
                <c:pt idx="2404">
                  <c:v>0.11332468572476186</c:v>
                </c:pt>
                <c:pt idx="2405">
                  <c:v>0.11332468572476186</c:v>
                </c:pt>
                <c:pt idx="2406">
                  <c:v>0.11332468572476186</c:v>
                </c:pt>
                <c:pt idx="2407">
                  <c:v>0.11332468572476186</c:v>
                </c:pt>
                <c:pt idx="2408">
                  <c:v>0.11332468572476186</c:v>
                </c:pt>
                <c:pt idx="2409">
                  <c:v>0.11332468572476186</c:v>
                </c:pt>
                <c:pt idx="2410">
                  <c:v>0.11332468572476186</c:v>
                </c:pt>
                <c:pt idx="2411">
                  <c:v>0.11332468572476186</c:v>
                </c:pt>
                <c:pt idx="2412">
                  <c:v>0.11332468572476186</c:v>
                </c:pt>
                <c:pt idx="2413">
                  <c:v>0.11332468572476186</c:v>
                </c:pt>
                <c:pt idx="2414">
                  <c:v>0.11332468572476186</c:v>
                </c:pt>
                <c:pt idx="2415">
                  <c:v>0.11332468572476186</c:v>
                </c:pt>
                <c:pt idx="2416">
                  <c:v>0.11332468572476186</c:v>
                </c:pt>
                <c:pt idx="2417">
                  <c:v>0.11332468572476186</c:v>
                </c:pt>
                <c:pt idx="2418">
                  <c:v>0.11332468572476186</c:v>
                </c:pt>
                <c:pt idx="2419">
                  <c:v>0.11332468572476186</c:v>
                </c:pt>
                <c:pt idx="2420">
                  <c:v>0.11332468572476186</c:v>
                </c:pt>
                <c:pt idx="2421">
                  <c:v>0.11332468572476186</c:v>
                </c:pt>
                <c:pt idx="2422">
                  <c:v>0.11332468572476186</c:v>
                </c:pt>
                <c:pt idx="2423">
                  <c:v>0.11332468572476186</c:v>
                </c:pt>
                <c:pt idx="2424">
                  <c:v>0.11332468572476186</c:v>
                </c:pt>
                <c:pt idx="2425">
                  <c:v>0.11332468572476186</c:v>
                </c:pt>
                <c:pt idx="2426">
                  <c:v>0.11332468572476186</c:v>
                </c:pt>
                <c:pt idx="2427">
                  <c:v>0.11332468572476186</c:v>
                </c:pt>
                <c:pt idx="2428">
                  <c:v>0.11332468572476186</c:v>
                </c:pt>
                <c:pt idx="2429">
                  <c:v>0.11332468572476186</c:v>
                </c:pt>
                <c:pt idx="2430">
                  <c:v>0.11332468572476186</c:v>
                </c:pt>
                <c:pt idx="2431">
                  <c:v>0.11332468572476186</c:v>
                </c:pt>
                <c:pt idx="2432">
                  <c:v>0.11332468572476186</c:v>
                </c:pt>
                <c:pt idx="2433">
                  <c:v>0.11332468572476186</c:v>
                </c:pt>
                <c:pt idx="2434">
                  <c:v>0.11332468572476186</c:v>
                </c:pt>
                <c:pt idx="2435">
                  <c:v>0.11332468572476186</c:v>
                </c:pt>
                <c:pt idx="2436">
                  <c:v>0.11332468572476186</c:v>
                </c:pt>
                <c:pt idx="2437">
                  <c:v>0.11332468572476186</c:v>
                </c:pt>
                <c:pt idx="2438">
                  <c:v>0.11332468572476186</c:v>
                </c:pt>
                <c:pt idx="2439">
                  <c:v>0.11332468572476186</c:v>
                </c:pt>
                <c:pt idx="2440">
                  <c:v>0.11332468572476186</c:v>
                </c:pt>
                <c:pt idx="2441">
                  <c:v>0.11332468572476186</c:v>
                </c:pt>
                <c:pt idx="2442">
                  <c:v>0.11332468572476186</c:v>
                </c:pt>
                <c:pt idx="2443">
                  <c:v>0.11332468572476186</c:v>
                </c:pt>
                <c:pt idx="2444">
                  <c:v>0.11332468572476186</c:v>
                </c:pt>
                <c:pt idx="2445">
                  <c:v>0.11332468572476186</c:v>
                </c:pt>
                <c:pt idx="2446">
                  <c:v>0.11332468572476186</c:v>
                </c:pt>
                <c:pt idx="2447">
                  <c:v>0.11332468572476186</c:v>
                </c:pt>
                <c:pt idx="2448">
                  <c:v>0.11332468572476186</c:v>
                </c:pt>
                <c:pt idx="2449">
                  <c:v>0.11332468572476186</c:v>
                </c:pt>
                <c:pt idx="2450">
                  <c:v>0.11332468572476186</c:v>
                </c:pt>
                <c:pt idx="2451">
                  <c:v>0.11332468572476186</c:v>
                </c:pt>
                <c:pt idx="2452">
                  <c:v>0.11332468572476186</c:v>
                </c:pt>
                <c:pt idx="2453">
                  <c:v>0.11332468572476186</c:v>
                </c:pt>
                <c:pt idx="2454">
                  <c:v>0.11332468572476186</c:v>
                </c:pt>
                <c:pt idx="2455">
                  <c:v>0.11332468572476186</c:v>
                </c:pt>
                <c:pt idx="2456">
                  <c:v>0.11332468572476186</c:v>
                </c:pt>
                <c:pt idx="2457">
                  <c:v>0.11332468572476186</c:v>
                </c:pt>
                <c:pt idx="2458">
                  <c:v>0.11332468572476186</c:v>
                </c:pt>
                <c:pt idx="2459">
                  <c:v>0.11332468572476186</c:v>
                </c:pt>
                <c:pt idx="2460">
                  <c:v>0.11332468572476186</c:v>
                </c:pt>
                <c:pt idx="2461">
                  <c:v>0.11332468572476186</c:v>
                </c:pt>
                <c:pt idx="2462">
                  <c:v>0.11332468572476186</c:v>
                </c:pt>
                <c:pt idx="2463">
                  <c:v>0.11332468572476186</c:v>
                </c:pt>
                <c:pt idx="2464">
                  <c:v>0.11332468572476186</c:v>
                </c:pt>
                <c:pt idx="2465">
                  <c:v>0.11332468572476186</c:v>
                </c:pt>
                <c:pt idx="2466">
                  <c:v>0.11332468572476186</c:v>
                </c:pt>
                <c:pt idx="2467">
                  <c:v>0.11332468572476186</c:v>
                </c:pt>
                <c:pt idx="2468">
                  <c:v>0.11332468572476186</c:v>
                </c:pt>
                <c:pt idx="2469">
                  <c:v>0.11332468572476186</c:v>
                </c:pt>
                <c:pt idx="2470">
                  <c:v>0.11332468572476186</c:v>
                </c:pt>
                <c:pt idx="2471">
                  <c:v>0.11332468572476186</c:v>
                </c:pt>
                <c:pt idx="2472">
                  <c:v>0.11332468572476186</c:v>
                </c:pt>
                <c:pt idx="2473">
                  <c:v>0.11332468572476186</c:v>
                </c:pt>
                <c:pt idx="2474">
                  <c:v>0.11332468572476186</c:v>
                </c:pt>
                <c:pt idx="2475">
                  <c:v>0.11332468572476186</c:v>
                </c:pt>
                <c:pt idx="2476">
                  <c:v>0.11332468572476186</c:v>
                </c:pt>
                <c:pt idx="2477">
                  <c:v>0.11332468572476186</c:v>
                </c:pt>
                <c:pt idx="2478">
                  <c:v>0.11332468572476186</c:v>
                </c:pt>
                <c:pt idx="2479">
                  <c:v>0.11332468572476186</c:v>
                </c:pt>
                <c:pt idx="2480">
                  <c:v>0.11332468572476186</c:v>
                </c:pt>
                <c:pt idx="2481">
                  <c:v>0.11332468572476186</c:v>
                </c:pt>
                <c:pt idx="2482">
                  <c:v>0.11332468572476186</c:v>
                </c:pt>
                <c:pt idx="2483">
                  <c:v>0.11332468572476186</c:v>
                </c:pt>
                <c:pt idx="2484">
                  <c:v>0.11332468572476186</c:v>
                </c:pt>
                <c:pt idx="2485">
                  <c:v>0.11332468572476186</c:v>
                </c:pt>
                <c:pt idx="2486">
                  <c:v>0.11332468572476186</c:v>
                </c:pt>
                <c:pt idx="2487">
                  <c:v>0.11332468572476186</c:v>
                </c:pt>
                <c:pt idx="2488">
                  <c:v>0.11332468572476186</c:v>
                </c:pt>
                <c:pt idx="2489">
                  <c:v>0.11332468572476186</c:v>
                </c:pt>
                <c:pt idx="2490">
                  <c:v>0.11332468572476186</c:v>
                </c:pt>
                <c:pt idx="2491">
                  <c:v>0.11332468572476186</c:v>
                </c:pt>
                <c:pt idx="2492">
                  <c:v>0.11332468572476186</c:v>
                </c:pt>
                <c:pt idx="2493">
                  <c:v>0.11332468572476186</c:v>
                </c:pt>
                <c:pt idx="2494">
                  <c:v>0.11332468572476186</c:v>
                </c:pt>
                <c:pt idx="2495">
                  <c:v>0.11332468572476186</c:v>
                </c:pt>
                <c:pt idx="2496">
                  <c:v>0.11332468572476186</c:v>
                </c:pt>
                <c:pt idx="2497">
                  <c:v>0.11332468572476186</c:v>
                </c:pt>
                <c:pt idx="2498">
                  <c:v>0.11332468572476186</c:v>
                </c:pt>
                <c:pt idx="2499">
                  <c:v>0.11332468572476186</c:v>
                </c:pt>
                <c:pt idx="2500">
                  <c:v>0.11332468572476186</c:v>
                </c:pt>
                <c:pt idx="2501">
                  <c:v>0.11332468572476186</c:v>
                </c:pt>
                <c:pt idx="2502">
                  <c:v>0.11332468572476186</c:v>
                </c:pt>
                <c:pt idx="2503">
                  <c:v>0.11332468572476186</c:v>
                </c:pt>
                <c:pt idx="2504">
                  <c:v>0.11332468572476186</c:v>
                </c:pt>
                <c:pt idx="2505">
                  <c:v>0.11332468572476186</c:v>
                </c:pt>
                <c:pt idx="2506">
                  <c:v>0.11332468572476186</c:v>
                </c:pt>
                <c:pt idx="2507">
                  <c:v>0.11332468572476186</c:v>
                </c:pt>
                <c:pt idx="2508">
                  <c:v>0.11332468572476186</c:v>
                </c:pt>
                <c:pt idx="2509">
                  <c:v>0.11332468572476186</c:v>
                </c:pt>
                <c:pt idx="2510">
                  <c:v>0.11332468572476186</c:v>
                </c:pt>
                <c:pt idx="2511">
                  <c:v>0.11332468572476186</c:v>
                </c:pt>
                <c:pt idx="2512">
                  <c:v>0.11332468572476186</c:v>
                </c:pt>
                <c:pt idx="2513">
                  <c:v>0.11332468572476186</c:v>
                </c:pt>
                <c:pt idx="2514">
                  <c:v>0.11332468572476186</c:v>
                </c:pt>
                <c:pt idx="2515">
                  <c:v>0.11332468572476186</c:v>
                </c:pt>
                <c:pt idx="2516">
                  <c:v>0.11332468572476186</c:v>
                </c:pt>
                <c:pt idx="2517">
                  <c:v>0.11332468572476186</c:v>
                </c:pt>
                <c:pt idx="2518">
                  <c:v>0.11332468572476186</c:v>
                </c:pt>
                <c:pt idx="2519">
                  <c:v>0.11332468572476186</c:v>
                </c:pt>
                <c:pt idx="2520">
                  <c:v>0.11332468572476186</c:v>
                </c:pt>
                <c:pt idx="2521">
                  <c:v>0.11332468572476186</c:v>
                </c:pt>
                <c:pt idx="2522">
                  <c:v>0.11332468572476186</c:v>
                </c:pt>
                <c:pt idx="2523">
                  <c:v>0.11332468572476186</c:v>
                </c:pt>
                <c:pt idx="2524">
                  <c:v>0.11332468572476186</c:v>
                </c:pt>
                <c:pt idx="2525">
                  <c:v>0.11332468572476186</c:v>
                </c:pt>
                <c:pt idx="2526">
                  <c:v>0.11332468572476186</c:v>
                </c:pt>
                <c:pt idx="2527">
                  <c:v>0.11332468572476186</c:v>
                </c:pt>
                <c:pt idx="2528">
                  <c:v>0.11332468572476186</c:v>
                </c:pt>
                <c:pt idx="2529">
                  <c:v>0.11332468572476186</c:v>
                </c:pt>
                <c:pt idx="2530">
                  <c:v>0.11332468572476186</c:v>
                </c:pt>
                <c:pt idx="2531">
                  <c:v>0.11332468572476186</c:v>
                </c:pt>
                <c:pt idx="2532">
                  <c:v>0.11332468572476186</c:v>
                </c:pt>
                <c:pt idx="2533">
                  <c:v>0.11332468572476186</c:v>
                </c:pt>
                <c:pt idx="2534">
                  <c:v>0.11332468572476186</c:v>
                </c:pt>
                <c:pt idx="2535">
                  <c:v>0.11332468572476186</c:v>
                </c:pt>
                <c:pt idx="2536">
                  <c:v>0.11332468572476186</c:v>
                </c:pt>
                <c:pt idx="2537">
                  <c:v>0.11332468572476186</c:v>
                </c:pt>
                <c:pt idx="2538">
                  <c:v>0.11332468572476186</c:v>
                </c:pt>
                <c:pt idx="2539">
                  <c:v>0.11332468572476186</c:v>
                </c:pt>
                <c:pt idx="2540">
                  <c:v>0.11332468572476186</c:v>
                </c:pt>
                <c:pt idx="2541">
                  <c:v>0.11332468572476186</c:v>
                </c:pt>
                <c:pt idx="2542">
                  <c:v>0.11332468572476186</c:v>
                </c:pt>
                <c:pt idx="2543">
                  <c:v>0.11332468572476186</c:v>
                </c:pt>
                <c:pt idx="2544">
                  <c:v>0.11332468572476186</c:v>
                </c:pt>
                <c:pt idx="2545">
                  <c:v>0.11332468572476186</c:v>
                </c:pt>
                <c:pt idx="2546">
                  <c:v>0.11332468572476186</c:v>
                </c:pt>
                <c:pt idx="2547">
                  <c:v>0.11332468572476186</c:v>
                </c:pt>
                <c:pt idx="2548">
                  <c:v>0.11332468572476186</c:v>
                </c:pt>
                <c:pt idx="2549">
                  <c:v>0.11332468572476186</c:v>
                </c:pt>
                <c:pt idx="2550">
                  <c:v>0.11332468572476186</c:v>
                </c:pt>
                <c:pt idx="2551">
                  <c:v>0.11332468572476186</c:v>
                </c:pt>
                <c:pt idx="2552">
                  <c:v>0.11332468572476186</c:v>
                </c:pt>
                <c:pt idx="2553">
                  <c:v>0.11332468572476186</c:v>
                </c:pt>
                <c:pt idx="2554">
                  <c:v>0.11332468572476186</c:v>
                </c:pt>
                <c:pt idx="2555">
                  <c:v>0.11332468572476186</c:v>
                </c:pt>
                <c:pt idx="2556">
                  <c:v>0.11332468572476186</c:v>
                </c:pt>
                <c:pt idx="2557">
                  <c:v>0.11332468572476186</c:v>
                </c:pt>
                <c:pt idx="2558">
                  <c:v>0.11332468572476186</c:v>
                </c:pt>
                <c:pt idx="2559">
                  <c:v>0.11332468572476186</c:v>
                </c:pt>
                <c:pt idx="2560">
                  <c:v>0.11332468572476186</c:v>
                </c:pt>
                <c:pt idx="2561">
                  <c:v>0.11332468572476186</c:v>
                </c:pt>
                <c:pt idx="2562">
                  <c:v>0.11332468572476186</c:v>
                </c:pt>
                <c:pt idx="2563">
                  <c:v>0.11332468572476186</c:v>
                </c:pt>
                <c:pt idx="2564">
                  <c:v>0.11332468572476186</c:v>
                </c:pt>
                <c:pt idx="2565">
                  <c:v>0.11332468572476186</c:v>
                </c:pt>
                <c:pt idx="2566">
                  <c:v>0.11332468572476186</c:v>
                </c:pt>
                <c:pt idx="2567">
                  <c:v>0.11332468572476186</c:v>
                </c:pt>
                <c:pt idx="2568">
                  <c:v>0.11332468572476186</c:v>
                </c:pt>
                <c:pt idx="2569">
                  <c:v>0.11332468572476186</c:v>
                </c:pt>
                <c:pt idx="2570">
                  <c:v>0.11332468572476186</c:v>
                </c:pt>
                <c:pt idx="2571">
                  <c:v>0.11332468572476186</c:v>
                </c:pt>
                <c:pt idx="2572">
                  <c:v>0.11332468572476186</c:v>
                </c:pt>
                <c:pt idx="2573">
                  <c:v>0.11332468572476186</c:v>
                </c:pt>
                <c:pt idx="2574">
                  <c:v>0.11332468572476186</c:v>
                </c:pt>
                <c:pt idx="2575">
                  <c:v>0.11332468572476186</c:v>
                </c:pt>
                <c:pt idx="2576">
                  <c:v>0.11332468572476186</c:v>
                </c:pt>
                <c:pt idx="2577">
                  <c:v>0.11332468572476186</c:v>
                </c:pt>
                <c:pt idx="2578">
                  <c:v>0.11332468572476186</c:v>
                </c:pt>
                <c:pt idx="2579">
                  <c:v>0.11332468572476186</c:v>
                </c:pt>
                <c:pt idx="2580">
                  <c:v>0.11332468572476186</c:v>
                </c:pt>
                <c:pt idx="2581">
                  <c:v>0.11332468572476186</c:v>
                </c:pt>
                <c:pt idx="2582">
                  <c:v>0.11332468572476186</c:v>
                </c:pt>
                <c:pt idx="2583">
                  <c:v>0.11332468572476186</c:v>
                </c:pt>
                <c:pt idx="2584">
                  <c:v>0.11332468572476186</c:v>
                </c:pt>
                <c:pt idx="2585">
                  <c:v>0.11332468572476186</c:v>
                </c:pt>
                <c:pt idx="2586">
                  <c:v>0.11332468572476186</c:v>
                </c:pt>
                <c:pt idx="2587">
                  <c:v>0.11332468572476186</c:v>
                </c:pt>
                <c:pt idx="2588">
                  <c:v>0.11332468572476186</c:v>
                </c:pt>
                <c:pt idx="2589">
                  <c:v>0.11332468572476186</c:v>
                </c:pt>
                <c:pt idx="2590">
                  <c:v>0.11332468572476186</c:v>
                </c:pt>
                <c:pt idx="2591">
                  <c:v>0.11332468572476186</c:v>
                </c:pt>
                <c:pt idx="2592">
                  <c:v>0.11332468572476186</c:v>
                </c:pt>
                <c:pt idx="2593">
                  <c:v>0.11332468572476186</c:v>
                </c:pt>
                <c:pt idx="2594">
                  <c:v>0.11332468572476186</c:v>
                </c:pt>
                <c:pt idx="2595">
                  <c:v>0.11332468572476186</c:v>
                </c:pt>
                <c:pt idx="2596">
                  <c:v>0.11332468572476186</c:v>
                </c:pt>
                <c:pt idx="2597">
                  <c:v>0.11332468572476186</c:v>
                </c:pt>
                <c:pt idx="2598">
                  <c:v>0.11332468572476186</c:v>
                </c:pt>
                <c:pt idx="2599">
                  <c:v>0.11332468572476186</c:v>
                </c:pt>
                <c:pt idx="2600">
                  <c:v>0.11332468572476186</c:v>
                </c:pt>
                <c:pt idx="2601">
                  <c:v>0.11332468572476186</c:v>
                </c:pt>
                <c:pt idx="2602">
                  <c:v>0.11332468572476186</c:v>
                </c:pt>
                <c:pt idx="2603">
                  <c:v>0.11332468572476186</c:v>
                </c:pt>
                <c:pt idx="2604">
                  <c:v>0.11332468572476186</c:v>
                </c:pt>
                <c:pt idx="2605">
                  <c:v>0.11332468572476186</c:v>
                </c:pt>
                <c:pt idx="2606">
                  <c:v>0.11332468572476186</c:v>
                </c:pt>
                <c:pt idx="2607">
                  <c:v>0.11332468572476186</c:v>
                </c:pt>
                <c:pt idx="2608">
                  <c:v>0.11332468572476186</c:v>
                </c:pt>
                <c:pt idx="2609">
                  <c:v>0.11332468572476186</c:v>
                </c:pt>
                <c:pt idx="2610">
                  <c:v>0.11332468572476186</c:v>
                </c:pt>
                <c:pt idx="2611">
                  <c:v>0.11332468572476186</c:v>
                </c:pt>
                <c:pt idx="2612">
                  <c:v>0.11332468572476186</c:v>
                </c:pt>
                <c:pt idx="2613">
                  <c:v>0.11332468572476186</c:v>
                </c:pt>
                <c:pt idx="2614">
                  <c:v>0.11332468572476186</c:v>
                </c:pt>
                <c:pt idx="2615">
                  <c:v>0.11332468572476186</c:v>
                </c:pt>
                <c:pt idx="2616">
                  <c:v>0.11332468572476186</c:v>
                </c:pt>
                <c:pt idx="2617">
                  <c:v>0.11332468572476186</c:v>
                </c:pt>
                <c:pt idx="2618">
                  <c:v>0.11332468572476186</c:v>
                </c:pt>
                <c:pt idx="2619">
                  <c:v>0.11332468572476186</c:v>
                </c:pt>
                <c:pt idx="2620">
                  <c:v>0.11332468572476186</c:v>
                </c:pt>
                <c:pt idx="2621">
                  <c:v>0.11332468572476186</c:v>
                </c:pt>
                <c:pt idx="2622">
                  <c:v>0.11332468572476186</c:v>
                </c:pt>
                <c:pt idx="2623">
                  <c:v>0.11332468572476186</c:v>
                </c:pt>
                <c:pt idx="2624">
                  <c:v>0.11332468572476186</c:v>
                </c:pt>
                <c:pt idx="2625">
                  <c:v>0.11332468572476186</c:v>
                </c:pt>
                <c:pt idx="2626">
                  <c:v>0.11332468572476186</c:v>
                </c:pt>
                <c:pt idx="2627">
                  <c:v>0.11332468572476186</c:v>
                </c:pt>
                <c:pt idx="2628">
                  <c:v>0.11332468572476186</c:v>
                </c:pt>
                <c:pt idx="2629">
                  <c:v>0.11332468572476186</c:v>
                </c:pt>
                <c:pt idx="2630">
                  <c:v>0.11332468572476186</c:v>
                </c:pt>
                <c:pt idx="2631">
                  <c:v>0.11332468572476186</c:v>
                </c:pt>
                <c:pt idx="2632">
                  <c:v>0.11332468572476186</c:v>
                </c:pt>
                <c:pt idx="2633">
                  <c:v>0.11332468572476186</c:v>
                </c:pt>
                <c:pt idx="2634">
                  <c:v>0.11332468572476186</c:v>
                </c:pt>
                <c:pt idx="2635">
                  <c:v>0.11332468572476186</c:v>
                </c:pt>
                <c:pt idx="2636">
                  <c:v>0.11332468572476186</c:v>
                </c:pt>
                <c:pt idx="2637">
                  <c:v>0.11332468572476186</c:v>
                </c:pt>
                <c:pt idx="2638">
                  <c:v>0.11332468572476186</c:v>
                </c:pt>
                <c:pt idx="2639">
                  <c:v>0.11332468572476186</c:v>
                </c:pt>
                <c:pt idx="2640">
                  <c:v>0.11332468572476186</c:v>
                </c:pt>
                <c:pt idx="2641">
                  <c:v>0.11332468572476186</c:v>
                </c:pt>
                <c:pt idx="2642">
                  <c:v>0.11332468572476186</c:v>
                </c:pt>
                <c:pt idx="2643">
                  <c:v>0.11332468572476186</c:v>
                </c:pt>
                <c:pt idx="2644">
                  <c:v>0.11332468572476186</c:v>
                </c:pt>
                <c:pt idx="2645">
                  <c:v>0.11332468572476186</c:v>
                </c:pt>
                <c:pt idx="2646">
                  <c:v>0.11332468572476186</c:v>
                </c:pt>
                <c:pt idx="2647">
                  <c:v>0.11332468572476186</c:v>
                </c:pt>
                <c:pt idx="2648">
                  <c:v>0.11332468572476186</c:v>
                </c:pt>
                <c:pt idx="2649">
                  <c:v>0.11332468572476186</c:v>
                </c:pt>
                <c:pt idx="2650">
                  <c:v>0.11332468572476186</c:v>
                </c:pt>
                <c:pt idx="2651">
                  <c:v>0.11332468572476186</c:v>
                </c:pt>
                <c:pt idx="2652">
                  <c:v>0.11332468572476186</c:v>
                </c:pt>
                <c:pt idx="2653">
                  <c:v>0.11332468572476186</c:v>
                </c:pt>
                <c:pt idx="2654">
                  <c:v>0.11332468572476186</c:v>
                </c:pt>
                <c:pt idx="2655">
                  <c:v>0.11332468572476186</c:v>
                </c:pt>
                <c:pt idx="2656">
                  <c:v>0.11332468572476186</c:v>
                </c:pt>
                <c:pt idx="2657">
                  <c:v>0.11332468572476186</c:v>
                </c:pt>
                <c:pt idx="2658">
                  <c:v>0.11332468572476186</c:v>
                </c:pt>
                <c:pt idx="2659">
                  <c:v>0.11332468572476186</c:v>
                </c:pt>
                <c:pt idx="2660">
                  <c:v>0.11332468572476186</c:v>
                </c:pt>
                <c:pt idx="2661">
                  <c:v>0.11332468572476186</c:v>
                </c:pt>
                <c:pt idx="2662">
                  <c:v>0.11332468572476186</c:v>
                </c:pt>
                <c:pt idx="2663">
                  <c:v>0.11332468572476186</c:v>
                </c:pt>
                <c:pt idx="2664">
                  <c:v>0.11332468572476186</c:v>
                </c:pt>
                <c:pt idx="2665">
                  <c:v>0.11332468572476186</c:v>
                </c:pt>
                <c:pt idx="2666">
                  <c:v>0.11332468572476186</c:v>
                </c:pt>
                <c:pt idx="2667">
                  <c:v>0.11332468572476186</c:v>
                </c:pt>
                <c:pt idx="2668">
                  <c:v>0.11332468572476186</c:v>
                </c:pt>
                <c:pt idx="2669">
                  <c:v>0.11332468572476186</c:v>
                </c:pt>
                <c:pt idx="2670">
                  <c:v>0.11332468572476186</c:v>
                </c:pt>
                <c:pt idx="2671">
                  <c:v>0.11332468572476186</c:v>
                </c:pt>
                <c:pt idx="2672">
                  <c:v>0.11332468572476186</c:v>
                </c:pt>
                <c:pt idx="2673">
                  <c:v>0.11332468572476186</c:v>
                </c:pt>
                <c:pt idx="2674">
                  <c:v>0.11332468572476186</c:v>
                </c:pt>
                <c:pt idx="2675">
                  <c:v>0.11332468572476186</c:v>
                </c:pt>
                <c:pt idx="2676">
                  <c:v>0.11332468572476186</c:v>
                </c:pt>
                <c:pt idx="2677">
                  <c:v>0.11332468572476186</c:v>
                </c:pt>
                <c:pt idx="2678">
                  <c:v>0.11332468572476186</c:v>
                </c:pt>
                <c:pt idx="2679">
                  <c:v>0.11332468572476186</c:v>
                </c:pt>
                <c:pt idx="2680">
                  <c:v>0.11332468572476186</c:v>
                </c:pt>
                <c:pt idx="2681">
                  <c:v>0.11332468572476186</c:v>
                </c:pt>
                <c:pt idx="2682">
                  <c:v>0.11332468572476186</c:v>
                </c:pt>
                <c:pt idx="2683">
                  <c:v>0.11332468572476186</c:v>
                </c:pt>
                <c:pt idx="2684">
                  <c:v>0.11332468572476186</c:v>
                </c:pt>
                <c:pt idx="2685">
                  <c:v>0.11332468572476186</c:v>
                </c:pt>
                <c:pt idx="2686">
                  <c:v>0.11332468572476186</c:v>
                </c:pt>
                <c:pt idx="2687">
                  <c:v>0.11332468572476186</c:v>
                </c:pt>
                <c:pt idx="2688">
                  <c:v>0.11332468572476186</c:v>
                </c:pt>
                <c:pt idx="2689">
                  <c:v>0.11332468572476186</c:v>
                </c:pt>
                <c:pt idx="2690">
                  <c:v>0.11332468572476186</c:v>
                </c:pt>
                <c:pt idx="2691">
                  <c:v>0.11332468572476186</c:v>
                </c:pt>
                <c:pt idx="2692">
                  <c:v>0.11332468572476186</c:v>
                </c:pt>
                <c:pt idx="2693">
                  <c:v>0.11332468572476186</c:v>
                </c:pt>
                <c:pt idx="2694">
                  <c:v>0.11332468572476186</c:v>
                </c:pt>
                <c:pt idx="2695">
                  <c:v>0.11332468572476186</c:v>
                </c:pt>
                <c:pt idx="2696">
                  <c:v>0.11332468572476186</c:v>
                </c:pt>
                <c:pt idx="2697">
                  <c:v>0.11332468572476186</c:v>
                </c:pt>
                <c:pt idx="2698">
                  <c:v>0.11332468572476186</c:v>
                </c:pt>
                <c:pt idx="2699">
                  <c:v>0.11332468572476186</c:v>
                </c:pt>
                <c:pt idx="2700">
                  <c:v>0.11332468572476186</c:v>
                </c:pt>
                <c:pt idx="2701">
                  <c:v>0.11332468572476186</c:v>
                </c:pt>
                <c:pt idx="2702">
                  <c:v>0.11332468572476186</c:v>
                </c:pt>
                <c:pt idx="2703">
                  <c:v>0.11332468572476186</c:v>
                </c:pt>
                <c:pt idx="2704">
                  <c:v>0.11332468572476186</c:v>
                </c:pt>
                <c:pt idx="2705">
                  <c:v>0.11332468572476186</c:v>
                </c:pt>
                <c:pt idx="2706">
                  <c:v>0.11332468572476186</c:v>
                </c:pt>
                <c:pt idx="2707">
                  <c:v>0.11332468572476186</c:v>
                </c:pt>
                <c:pt idx="2708">
                  <c:v>0.11332468572476186</c:v>
                </c:pt>
                <c:pt idx="2709">
                  <c:v>0.11332468572476186</c:v>
                </c:pt>
                <c:pt idx="2710">
                  <c:v>0.11332468572476186</c:v>
                </c:pt>
                <c:pt idx="2711">
                  <c:v>0.11332468572476186</c:v>
                </c:pt>
                <c:pt idx="2712">
                  <c:v>0.11332468572476186</c:v>
                </c:pt>
                <c:pt idx="2713">
                  <c:v>0.11332468572476186</c:v>
                </c:pt>
                <c:pt idx="2714">
                  <c:v>0.11332468572476186</c:v>
                </c:pt>
                <c:pt idx="2715">
                  <c:v>0.11332468572476186</c:v>
                </c:pt>
                <c:pt idx="2716">
                  <c:v>0.11332468572476186</c:v>
                </c:pt>
                <c:pt idx="2717">
                  <c:v>0.11332468572476186</c:v>
                </c:pt>
                <c:pt idx="2718">
                  <c:v>0.11332468572476186</c:v>
                </c:pt>
                <c:pt idx="2719">
                  <c:v>0.11332468572476186</c:v>
                </c:pt>
                <c:pt idx="2720">
                  <c:v>0.11332468572476186</c:v>
                </c:pt>
                <c:pt idx="2721">
                  <c:v>0.11332468572476186</c:v>
                </c:pt>
                <c:pt idx="2722">
                  <c:v>0.11332468572476186</c:v>
                </c:pt>
                <c:pt idx="2723">
                  <c:v>0.11332468572476186</c:v>
                </c:pt>
                <c:pt idx="2724">
                  <c:v>0.11332468572476186</c:v>
                </c:pt>
                <c:pt idx="2725">
                  <c:v>0.11332468572476186</c:v>
                </c:pt>
                <c:pt idx="2726">
                  <c:v>0.11332468572476186</c:v>
                </c:pt>
                <c:pt idx="2727">
                  <c:v>0.11332468572476186</c:v>
                </c:pt>
                <c:pt idx="2728">
                  <c:v>0.11332468572476186</c:v>
                </c:pt>
                <c:pt idx="2729">
                  <c:v>0.11332468572476186</c:v>
                </c:pt>
                <c:pt idx="2730">
                  <c:v>0.11332468572476186</c:v>
                </c:pt>
                <c:pt idx="2731">
                  <c:v>0.11332468572476186</c:v>
                </c:pt>
                <c:pt idx="2732">
                  <c:v>0.11332468572476186</c:v>
                </c:pt>
                <c:pt idx="2733">
                  <c:v>0.11332468572476186</c:v>
                </c:pt>
                <c:pt idx="2734">
                  <c:v>0.11332468572476186</c:v>
                </c:pt>
                <c:pt idx="2735">
                  <c:v>0.11332468572476186</c:v>
                </c:pt>
                <c:pt idx="2736">
                  <c:v>0.11332468572476186</c:v>
                </c:pt>
                <c:pt idx="2737">
                  <c:v>0.11332468572476186</c:v>
                </c:pt>
                <c:pt idx="2738">
                  <c:v>0.11332468572476186</c:v>
                </c:pt>
                <c:pt idx="2739">
                  <c:v>0.11332468572476186</c:v>
                </c:pt>
                <c:pt idx="2740">
                  <c:v>0.11332468572476186</c:v>
                </c:pt>
                <c:pt idx="2741">
                  <c:v>0.11332468572476186</c:v>
                </c:pt>
                <c:pt idx="2742">
                  <c:v>0.11332468572476186</c:v>
                </c:pt>
                <c:pt idx="2743">
                  <c:v>0.11332468572476186</c:v>
                </c:pt>
                <c:pt idx="2744">
                  <c:v>0.11332468572476186</c:v>
                </c:pt>
                <c:pt idx="2745">
                  <c:v>0.11332468572476186</c:v>
                </c:pt>
                <c:pt idx="2746">
                  <c:v>0.11332468572476186</c:v>
                </c:pt>
                <c:pt idx="2747">
                  <c:v>0.11332468572476186</c:v>
                </c:pt>
                <c:pt idx="2748">
                  <c:v>0.11332468572476186</c:v>
                </c:pt>
                <c:pt idx="2749">
                  <c:v>0.11332468572476186</c:v>
                </c:pt>
                <c:pt idx="2750">
                  <c:v>0.11332468572476186</c:v>
                </c:pt>
                <c:pt idx="2751">
                  <c:v>0.11332468572476186</c:v>
                </c:pt>
                <c:pt idx="2752">
                  <c:v>0.11332468572476186</c:v>
                </c:pt>
                <c:pt idx="2753">
                  <c:v>0.11332468572476186</c:v>
                </c:pt>
                <c:pt idx="2754">
                  <c:v>0.11332468572476186</c:v>
                </c:pt>
                <c:pt idx="2755">
                  <c:v>0.11332468572476186</c:v>
                </c:pt>
                <c:pt idx="2756">
                  <c:v>0.11332468572476186</c:v>
                </c:pt>
                <c:pt idx="2757">
                  <c:v>0.11332468572476186</c:v>
                </c:pt>
                <c:pt idx="2758">
                  <c:v>0.11332468572476186</c:v>
                </c:pt>
                <c:pt idx="2759">
                  <c:v>0.11332468572476186</c:v>
                </c:pt>
                <c:pt idx="2760">
                  <c:v>0.11332468572476186</c:v>
                </c:pt>
                <c:pt idx="2761">
                  <c:v>0.11332468572476186</c:v>
                </c:pt>
                <c:pt idx="2762">
                  <c:v>0.11332468572476186</c:v>
                </c:pt>
                <c:pt idx="2763">
                  <c:v>0.11332468572476186</c:v>
                </c:pt>
                <c:pt idx="2764">
                  <c:v>0.11332468572476186</c:v>
                </c:pt>
                <c:pt idx="2765">
                  <c:v>0.11332468572476186</c:v>
                </c:pt>
                <c:pt idx="2766">
                  <c:v>0.11332468572476186</c:v>
                </c:pt>
                <c:pt idx="2767">
                  <c:v>0.11332468572476186</c:v>
                </c:pt>
                <c:pt idx="2768">
                  <c:v>0.11332468572476186</c:v>
                </c:pt>
                <c:pt idx="2769">
                  <c:v>0.11332468572476186</c:v>
                </c:pt>
                <c:pt idx="2770">
                  <c:v>0.11332468572476186</c:v>
                </c:pt>
                <c:pt idx="2771">
                  <c:v>0.11332468572476186</c:v>
                </c:pt>
                <c:pt idx="2772">
                  <c:v>0.11332468572476186</c:v>
                </c:pt>
                <c:pt idx="2773">
                  <c:v>0.11332468572476186</c:v>
                </c:pt>
                <c:pt idx="2774">
                  <c:v>0.11332468572476186</c:v>
                </c:pt>
                <c:pt idx="2775">
                  <c:v>0.11332468572476186</c:v>
                </c:pt>
                <c:pt idx="2776">
                  <c:v>0.11332468572476186</c:v>
                </c:pt>
                <c:pt idx="2777">
                  <c:v>0.11332468572476186</c:v>
                </c:pt>
                <c:pt idx="2778">
                  <c:v>0.11332468572476186</c:v>
                </c:pt>
                <c:pt idx="2779">
                  <c:v>0.11332468572476186</c:v>
                </c:pt>
                <c:pt idx="2780">
                  <c:v>0.11332468572476186</c:v>
                </c:pt>
                <c:pt idx="2781">
                  <c:v>0.11332468572476186</c:v>
                </c:pt>
                <c:pt idx="2782">
                  <c:v>0.11332468572476186</c:v>
                </c:pt>
                <c:pt idx="2783">
                  <c:v>0.11332468572476186</c:v>
                </c:pt>
                <c:pt idx="2784">
                  <c:v>0.11332468572476186</c:v>
                </c:pt>
                <c:pt idx="2785">
                  <c:v>0.11332468572476186</c:v>
                </c:pt>
                <c:pt idx="2786">
                  <c:v>0.11332468572476186</c:v>
                </c:pt>
                <c:pt idx="2787">
                  <c:v>0.11332468572476186</c:v>
                </c:pt>
                <c:pt idx="2788">
                  <c:v>0.11332468572476186</c:v>
                </c:pt>
                <c:pt idx="2789">
                  <c:v>0.11332468572476186</c:v>
                </c:pt>
                <c:pt idx="2790">
                  <c:v>0.11332468572476186</c:v>
                </c:pt>
                <c:pt idx="2791">
                  <c:v>0.11332468572476186</c:v>
                </c:pt>
                <c:pt idx="2792">
                  <c:v>0.11332468572476186</c:v>
                </c:pt>
                <c:pt idx="2793">
                  <c:v>0.11332468572476186</c:v>
                </c:pt>
                <c:pt idx="2794">
                  <c:v>0.11332468572476186</c:v>
                </c:pt>
                <c:pt idx="2795">
                  <c:v>0.11332468572476186</c:v>
                </c:pt>
                <c:pt idx="2796">
                  <c:v>0.11332468572476186</c:v>
                </c:pt>
                <c:pt idx="2797">
                  <c:v>0.11332468572476186</c:v>
                </c:pt>
                <c:pt idx="2798">
                  <c:v>0.11332468572476186</c:v>
                </c:pt>
                <c:pt idx="2799">
                  <c:v>0.11332468572476186</c:v>
                </c:pt>
                <c:pt idx="2800">
                  <c:v>0.11332468572476186</c:v>
                </c:pt>
                <c:pt idx="2801">
                  <c:v>0.11332468572476186</c:v>
                </c:pt>
                <c:pt idx="2802">
                  <c:v>0.11332468572476186</c:v>
                </c:pt>
                <c:pt idx="2803">
                  <c:v>0.11332468572476186</c:v>
                </c:pt>
                <c:pt idx="2804">
                  <c:v>0.11332468572476186</c:v>
                </c:pt>
                <c:pt idx="2805">
                  <c:v>0.11332468572476186</c:v>
                </c:pt>
                <c:pt idx="2806">
                  <c:v>0.11332468572476186</c:v>
                </c:pt>
                <c:pt idx="2807">
                  <c:v>0.11332468572476186</c:v>
                </c:pt>
                <c:pt idx="2808">
                  <c:v>0.11332468572476186</c:v>
                </c:pt>
                <c:pt idx="2809">
                  <c:v>0.11332468572476186</c:v>
                </c:pt>
                <c:pt idx="2810">
                  <c:v>0.11332468572476186</c:v>
                </c:pt>
                <c:pt idx="2811">
                  <c:v>0.11332468572476186</c:v>
                </c:pt>
                <c:pt idx="2812">
                  <c:v>0.11332468572476186</c:v>
                </c:pt>
                <c:pt idx="2813">
                  <c:v>0.11332468572476186</c:v>
                </c:pt>
                <c:pt idx="2814">
                  <c:v>0.11332468572476186</c:v>
                </c:pt>
                <c:pt idx="2815">
                  <c:v>0.11332468572476186</c:v>
                </c:pt>
                <c:pt idx="2816">
                  <c:v>0.11332468572476186</c:v>
                </c:pt>
                <c:pt idx="2817">
                  <c:v>0.11332468572476186</c:v>
                </c:pt>
                <c:pt idx="2818">
                  <c:v>0.11332468572476186</c:v>
                </c:pt>
                <c:pt idx="2819">
                  <c:v>0.11332468572476186</c:v>
                </c:pt>
                <c:pt idx="2820">
                  <c:v>0.11332468572476186</c:v>
                </c:pt>
                <c:pt idx="2821">
                  <c:v>0.11332468572476186</c:v>
                </c:pt>
                <c:pt idx="2822">
                  <c:v>0.11332468572476186</c:v>
                </c:pt>
                <c:pt idx="2823">
                  <c:v>0.11332468572476186</c:v>
                </c:pt>
                <c:pt idx="2824">
                  <c:v>0.11332468572476186</c:v>
                </c:pt>
                <c:pt idx="2825">
                  <c:v>0.11332468572476186</c:v>
                </c:pt>
                <c:pt idx="2826">
                  <c:v>0.11332468572476186</c:v>
                </c:pt>
                <c:pt idx="2827">
                  <c:v>0.11332468572476186</c:v>
                </c:pt>
                <c:pt idx="2828">
                  <c:v>0.11332468572476186</c:v>
                </c:pt>
                <c:pt idx="2829">
                  <c:v>0.11332468572476186</c:v>
                </c:pt>
                <c:pt idx="2830">
                  <c:v>0.11332468572476186</c:v>
                </c:pt>
                <c:pt idx="2831">
                  <c:v>0.11332468572476186</c:v>
                </c:pt>
                <c:pt idx="2832">
                  <c:v>0.11332468572476186</c:v>
                </c:pt>
                <c:pt idx="2833">
                  <c:v>0.11332468572476186</c:v>
                </c:pt>
                <c:pt idx="2834">
                  <c:v>0.11332468572476186</c:v>
                </c:pt>
                <c:pt idx="2835">
                  <c:v>0.11332468572476186</c:v>
                </c:pt>
                <c:pt idx="2836">
                  <c:v>0.11332468572476186</c:v>
                </c:pt>
                <c:pt idx="2837">
                  <c:v>0.11332468572476186</c:v>
                </c:pt>
                <c:pt idx="2838">
                  <c:v>0.11332468572476186</c:v>
                </c:pt>
                <c:pt idx="2839">
                  <c:v>0.11332468572476186</c:v>
                </c:pt>
                <c:pt idx="2840">
                  <c:v>0.11332468572476186</c:v>
                </c:pt>
                <c:pt idx="2841">
                  <c:v>0.11332468572476186</c:v>
                </c:pt>
                <c:pt idx="2842">
                  <c:v>0.11332468572476186</c:v>
                </c:pt>
                <c:pt idx="2843">
                  <c:v>0.11332468572476186</c:v>
                </c:pt>
                <c:pt idx="2844">
                  <c:v>0.11332468572476186</c:v>
                </c:pt>
                <c:pt idx="2845">
                  <c:v>0.11332468572476186</c:v>
                </c:pt>
                <c:pt idx="2846">
                  <c:v>0.11332468572476186</c:v>
                </c:pt>
                <c:pt idx="2847">
                  <c:v>0.11332468572476186</c:v>
                </c:pt>
                <c:pt idx="2848">
                  <c:v>0.11332468572476186</c:v>
                </c:pt>
                <c:pt idx="2849">
                  <c:v>0.11332468572476186</c:v>
                </c:pt>
                <c:pt idx="2850">
                  <c:v>0.11332468572476186</c:v>
                </c:pt>
                <c:pt idx="2851">
                  <c:v>0.11332468572476186</c:v>
                </c:pt>
                <c:pt idx="2852">
                  <c:v>0.11332468572476186</c:v>
                </c:pt>
                <c:pt idx="2853">
                  <c:v>0.11332468572476186</c:v>
                </c:pt>
                <c:pt idx="2854">
                  <c:v>0.11332468572476186</c:v>
                </c:pt>
                <c:pt idx="2855">
                  <c:v>0.11332468572476186</c:v>
                </c:pt>
                <c:pt idx="2856">
                  <c:v>0.11332468572476186</c:v>
                </c:pt>
                <c:pt idx="2857">
                  <c:v>0.11332468572476186</c:v>
                </c:pt>
                <c:pt idx="2858">
                  <c:v>0.11332468572476186</c:v>
                </c:pt>
                <c:pt idx="2859">
                  <c:v>0.11332468572476186</c:v>
                </c:pt>
                <c:pt idx="2860">
                  <c:v>0.11332468572476186</c:v>
                </c:pt>
                <c:pt idx="2861">
                  <c:v>0.11332468572476186</c:v>
                </c:pt>
                <c:pt idx="2862">
                  <c:v>0.11332468572476186</c:v>
                </c:pt>
                <c:pt idx="2863">
                  <c:v>0.11332468572476186</c:v>
                </c:pt>
                <c:pt idx="2864">
                  <c:v>0.11332468572476186</c:v>
                </c:pt>
                <c:pt idx="2865">
                  <c:v>0.11332468572476186</c:v>
                </c:pt>
                <c:pt idx="2866">
                  <c:v>0.11332468572476186</c:v>
                </c:pt>
                <c:pt idx="2867">
                  <c:v>0.11332468572476186</c:v>
                </c:pt>
                <c:pt idx="2868">
                  <c:v>0.11332468572476186</c:v>
                </c:pt>
                <c:pt idx="2869">
                  <c:v>0.11332468572476186</c:v>
                </c:pt>
                <c:pt idx="2870">
                  <c:v>0.11332468572476186</c:v>
                </c:pt>
                <c:pt idx="2871">
                  <c:v>0.11332468572476186</c:v>
                </c:pt>
                <c:pt idx="2872">
                  <c:v>0.11332468572476186</c:v>
                </c:pt>
                <c:pt idx="2873">
                  <c:v>0.11332468572476186</c:v>
                </c:pt>
                <c:pt idx="2874">
                  <c:v>0.11332468572476186</c:v>
                </c:pt>
                <c:pt idx="2875">
                  <c:v>0.11332468572476186</c:v>
                </c:pt>
                <c:pt idx="2876">
                  <c:v>0.11332468572476186</c:v>
                </c:pt>
                <c:pt idx="2877">
                  <c:v>0.11332468572476186</c:v>
                </c:pt>
                <c:pt idx="2878">
                  <c:v>0.11332468572476186</c:v>
                </c:pt>
                <c:pt idx="2879">
                  <c:v>0.11332468572476186</c:v>
                </c:pt>
                <c:pt idx="2880">
                  <c:v>0.11332468572476186</c:v>
                </c:pt>
                <c:pt idx="2881">
                  <c:v>0.11332468572476186</c:v>
                </c:pt>
                <c:pt idx="2882">
                  <c:v>0.11332468572476186</c:v>
                </c:pt>
                <c:pt idx="2883">
                  <c:v>0.11332468572476186</c:v>
                </c:pt>
                <c:pt idx="2884">
                  <c:v>0.11332468572476186</c:v>
                </c:pt>
                <c:pt idx="2885">
                  <c:v>0.11332468572476186</c:v>
                </c:pt>
                <c:pt idx="2886">
                  <c:v>0.11332468572476186</c:v>
                </c:pt>
                <c:pt idx="2887">
                  <c:v>0.11332468572476186</c:v>
                </c:pt>
                <c:pt idx="2888">
                  <c:v>0.11332468572476186</c:v>
                </c:pt>
                <c:pt idx="2889">
                  <c:v>0.11332468572476186</c:v>
                </c:pt>
                <c:pt idx="2890">
                  <c:v>0.11332468572476186</c:v>
                </c:pt>
                <c:pt idx="2891">
                  <c:v>0.11332468572476186</c:v>
                </c:pt>
                <c:pt idx="2892">
                  <c:v>0.11332468572476186</c:v>
                </c:pt>
                <c:pt idx="2893">
                  <c:v>0.11332468572476186</c:v>
                </c:pt>
                <c:pt idx="2894">
                  <c:v>0.11332468572476186</c:v>
                </c:pt>
                <c:pt idx="2895">
                  <c:v>0.11332468572476186</c:v>
                </c:pt>
                <c:pt idx="2896">
                  <c:v>0.11332468572476186</c:v>
                </c:pt>
                <c:pt idx="2897">
                  <c:v>0.11332468572476186</c:v>
                </c:pt>
                <c:pt idx="2898">
                  <c:v>0.11332468572476186</c:v>
                </c:pt>
                <c:pt idx="2899">
                  <c:v>0.11332468572476186</c:v>
                </c:pt>
                <c:pt idx="2900">
                  <c:v>0.11332468572476186</c:v>
                </c:pt>
                <c:pt idx="2901">
                  <c:v>0.11332468572476186</c:v>
                </c:pt>
                <c:pt idx="2902">
                  <c:v>0.11332468572476186</c:v>
                </c:pt>
                <c:pt idx="2903">
                  <c:v>0.11332468572476186</c:v>
                </c:pt>
                <c:pt idx="2904">
                  <c:v>0.11332468572476186</c:v>
                </c:pt>
                <c:pt idx="2905">
                  <c:v>0.11332468572476186</c:v>
                </c:pt>
                <c:pt idx="2906">
                  <c:v>0.11332468572476186</c:v>
                </c:pt>
                <c:pt idx="2907">
                  <c:v>0.11332468572476186</c:v>
                </c:pt>
                <c:pt idx="2908">
                  <c:v>0.11332468572476186</c:v>
                </c:pt>
                <c:pt idx="2909">
                  <c:v>0.11332468572476186</c:v>
                </c:pt>
                <c:pt idx="2910">
                  <c:v>0.11332468572476186</c:v>
                </c:pt>
                <c:pt idx="2911">
                  <c:v>0.11332468572476186</c:v>
                </c:pt>
                <c:pt idx="2912">
                  <c:v>0.11332468572476186</c:v>
                </c:pt>
                <c:pt idx="2913">
                  <c:v>0.11332468572476186</c:v>
                </c:pt>
                <c:pt idx="2914">
                  <c:v>0.11332468572476186</c:v>
                </c:pt>
                <c:pt idx="2915">
                  <c:v>0.11332468572476186</c:v>
                </c:pt>
                <c:pt idx="2916">
                  <c:v>0.11332468572476186</c:v>
                </c:pt>
                <c:pt idx="2917">
                  <c:v>0.11332468572476186</c:v>
                </c:pt>
                <c:pt idx="2918">
                  <c:v>0.11332468572476186</c:v>
                </c:pt>
                <c:pt idx="2919">
                  <c:v>0.11332468572476186</c:v>
                </c:pt>
                <c:pt idx="2920">
                  <c:v>0.11332468572476186</c:v>
                </c:pt>
                <c:pt idx="2921">
                  <c:v>0.11332468572476186</c:v>
                </c:pt>
                <c:pt idx="2922">
                  <c:v>0.11332468572476186</c:v>
                </c:pt>
                <c:pt idx="2923">
                  <c:v>0.11332468572476186</c:v>
                </c:pt>
                <c:pt idx="2924">
                  <c:v>0.11332468572476186</c:v>
                </c:pt>
                <c:pt idx="2925">
                  <c:v>0.11332468572476186</c:v>
                </c:pt>
                <c:pt idx="2926">
                  <c:v>0.11332468572476186</c:v>
                </c:pt>
                <c:pt idx="2927">
                  <c:v>0.11332468572476186</c:v>
                </c:pt>
                <c:pt idx="2928">
                  <c:v>0.11332468572476186</c:v>
                </c:pt>
                <c:pt idx="2929">
                  <c:v>0.11332468572476186</c:v>
                </c:pt>
                <c:pt idx="2930">
                  <c:v>0.11332468572476186</c:v>
                </c:pt>
                <c:pt idx="2931">
                  <c:v>0.11332468572476186</c:v>
                </c:pt>
                <c:pt idx="2932">
                  <c:v>0.11332468572476186</c:v>
                </c:pt>
                <c:pt idx="2933">
                  <c:v>0.11332468572476186</c:v>
                </c:pt>
                <c:pt idx="2934">
                  <c:v>0.11332468572476186</c:v>
                </c:pt>
                <c:pt idx="2935">
                  <c:v>0.11332468572476186</c:v>
                </c:pt>
                <c:pt idx="2936">
                  <c:v>0.11332468572476186</c:v>
                </c:pt>
                <c:pt idx="2937">
                  <c:v>0.11332468572476186</c:v>
                </c:pt>
                <c:pt idx="2938">
                  <c:v>0.11332468572476186</c:v>
                </c:pt>
                <c:pt idx="2939">
                  <c:v>0.11332468572476186</c:v>
                </c:pt>
                <c:pt idx="2940">
                  <c:v>0.11332468572476186</c:v>
                </c:pt>
                <c:pt idx="2941">
                  <c:v>0.11332468572476186</c:v>
                </c:pt>
                <c:pt idx="2942">
                  <c:v>0.11332468572476186</c:v>
                </c:pt>
                <c:pt idx="2943">
                  <c:v>0.11332468572476186</c:v>
                </c:pt>
                <c:pt idx="2944">
                  <c:v>0.11332468572476186</c:v>
                </c:pt>
                <c:pt idx="2945">
                  <c:v>0.11332468572476186</c:v>
                </c:pt>
                <c:pt idx="2946">
                  <c:v>0.11332468572476186</c:v>
                </c:pt>
                <c:pt idx="2947">
                  <c:v>0.11332468572476186</c:v>
                </c:pt>
                <c:pt idx="2948">
                  <c:v>0.11332468572476186</c:v>
                </c:pt>
                <c:pt idx="2949">
                  <c:v>0.11332468572476186</c:v>
                </c:pt>
                <c:pt idx="2950">
                  <c:v>0.11332468572476186</c:v>
                </c:pt>
                <c:pt idx="2951">
                  <c:v>0.11332468572476186</c:v>
                </c:pt>
                <c:pt idx="2952">
                  <c:v>0.11332468572476186</c:v>
                </c:pt>
                <c:pt idx="2953">
                  <c:v>0.11332468572476186</c:v>
                </c:pt>
                <c:pt idx="2954">
                  <c:v>0.11332468572476186</c:v>
                </c:pt>
                <c:pt idx="2955">
                  <c:v>0.11332468572476186</c:v>
                </c:pt>
                <c:pt idx="2956">
                  <c:v>0.11332468572476186</c:v>
                </c:pt>
                <c:pt idx="2957">
                  <c:v>0.11332468572476186</c:v>
                </c:pt>
                <c:pt idx="2958">
                  <c:v>0.11332468572476186</c:v>
                </c:pt>
                <c:pt idx="2959">
                  <c:v>0.11332468572476186</c:v>
                </c:pt>
                <c:pt idx="2960">
                  <c:v>0.11332468572476186</c:v>
                </c:pt>
                <c:pt idx="2961">
                  <c:v>0.11332468572476186</c:v>
                </c:pt>
                <c:pt idx="2962">
                  <c:v>0.11332468572476186</c:v>
                </c:pt>
                <c:pt idx="2963">
                  <c:v>0.11332468572476186</c:v>
                </c:pt>
                <c:pt idx="2964">
                  <c:v>0.11332468572476186</c:v>
                </c:pt>
                <c:pt idx="2965">
                  <c:v>0.11332468572476186</c:v>
                </c:pt>
                <c:pt idx="2966">
                  <c:v>0.11332468572476186</c:v>
                </c:pt>
                <c:pt idx="2967">
                  <c:v>0.11332468572476186</c:v>
                </c:pt>
                <c:pt idx="2968">
                  <c:v>0.11332468572476186</c:v>
                </c:pt>
                <c:pt idx="2969">
                  <c:v>0.11332468572476186</c:v>
                </c:pt>
                <c:pt idx="2970">
                  <c:v>0.11332468572476186</c:v>
                </c:pt>
                <c:pt idx="2971">
                  <c:v>0.11332468572476186</c:v>
                </c:pt>
                <c:pt idx="2972">
                  <c:v>0.11332468572476186</c:v>
                </c:pt>
                <c:pt idx="2973">
                  <c:v>0.11332468572476186</c:v>
                </c:pt>
                <c:pt idx="2974">
                  <c:v>0.11332468572476186</c:v>
                </c:pt>
                <c:pt idx="2975">
                  <c:v>0.11332468572476186</c:v>
                </c:pt>
                <c:pt idx="2976">
                  <c:v>0.11332468572476186</c:v>
                </c:pt>
                <c:pt idx="2977">
                  <c:v>0.11332468572476186</c:v>
                </c:pt>
                <c:pt idx="2978">
                  <c:v>0.11332468572476186</c:v>
                </c:pt>
                <c:pt idx="2979">
                  <c:v>0.11332468572476186</c:v>
                </c:pt>
                <c:pt idx="2980">
                  <c:v>0.11332468572476186</c:v>
                </c:pt>
                <c:pt idx="2981">
                  <c:v>0.11332468572476186</c:v>
                </c:pt>
                <c:pt idx="2982">
                  <c:v>0.11332468572476186</c:v>
                </c:pt>
                <c:pt idx="2983">
                  <c:v>0.11332468572476186</c:v>
                </c:pt>
                <c:pt idx="2984">
                  <c:v>0.11332468572476186</c:v>
                </c:pt>
                <c:pt idx="2985">
                  <c:v>0.11332468572476186</c:v>
                </c:pt>
                <c:pt idx="2986">
                  <c:v>0.11332468572476186</c:v>
                </c:pt>
                <c:pt idx="2987">
                  <c:v>0.11332468572476186</c:v>
                </c:pt>
                <c:pt idx="2988">
                  <c:v>0.11332468572476186</c:v>
                </c:pt>
                <c:pt idx="2989">
                  <c:v>0.11332468572476186</c:v>
                </c:pt>
                <c:pt idx="2990">
                  <c:v>0.11332468572476186</c:v>
                </c:pt>
                <c:pt idx="2991">
                  <c:v>0.11332468572476186</c:v>
                </c:pt>
                <c:pt idx="2992">
                  <c:v>0.11332468572476186</c:v>
                </c:pt>
                <c:pt idx="2993">
                  <c:v>0.11332468572476186</c:v>
                </c:pt>
                <c:pt idx="2994">
                  <c:v>0.11332468572476186</c:v>
                </c:pt>
                <c:pt idx="2995">
                  <c:v>0.11332468572476186</c:v>
                </c:pt>
                <c:pt idx="2996">
                  <c:v>0.11332468572476186</c:v>
                </c:pt>
                <c:pt idx="2997">
                  <c:v>0.11332468572476186</c:v>
                </c:pt>
                <c:pt idx="2998">
                  <c:v>0.11332468572476186</c:v>
                </c:pt>
                <c:pt idx="2999">
                  <c:v>0.11332468572476186</c:v>
                </c:pt>
                <c:pt idx="3000">
                  <c:v>0.11332468572476186</c:v>
                </c:pt>
                <c:pt idx="3001">
                  <c:v>0.11332468572476186</c:v>
                </c:pt>
                <c:pt idx="3002">
                  <c:v>0.11332468572476186</c:v>
                </c:pt>
                <c:pt idx="3003">
                  <c:v>0.11332468572476186</c:v>
                </c:pt>
                <c:pt idx="3004">
                  <c:v>0.11332468572476186</c:v>
                </c:pt>
                <c:pt idx="3005">
                  <c:v>0.11332468572476186</c:v>
                </c:pt>
                <c:pt idx="3006">
                  <c:v>0.11332468572476186</c:v>
                </c:pt>
                <c:pt idx="3007">
                  <c:v>0.11332468572476186</c:v>
                </c:pt>
                <c:pt idx="3008">
                  <c:v>0.11332468572476186</c:v>
                </c:pt>
                <c:pt idx="3009">
                  <c:v>0.11332468572476186</c:v>
                </c:pt>
                <c:pt idx="3010">
                  <c:v>0.11332468572476186</c:v>
                </c:pt>
                <c:pt idx="3011">
                  <c:v>0.11332468572476186</c:v>
                </c:pt>
                <c:pt idx="3012">
                  <c:v>0.11332468572476186</c:v>
                </c:pt>
                <c:pt idx="3013">
                  <c:v>0.11332468572476186</c:v>
                </c:pt>
                <c:pt idx="3014">
                  <c:v>0.11332468572476186</c:v>
                </c:pt>
                <c:pt idx="3015">
                  <c:v>0.11332468572476186</c:v>
                </c:pt>
                <c:pt idx="3016">
                  <c:v>0.11332468572476186</c:v>
                </c:pt>
                <c:pt idx="3017">
                  <c:v>0.11332468572476186</c:v>
                </c:pt>
                <c:pt idx="3018">
                  <c:v>0.11332468572476186</c:v>
                </c:pt>
                <c:pt idx="3019">
                  <c:v>0.11332468572476186</c:v>
                </c:pt>
                <c:pt idx="3020">
                  <c:v>0.11332468572476186</c:v>
                </c:pt>
                <c:pt idx="3021">
                  <c:v>0.11332468572476186</c:v>
                </c:pt>
                <c:pt idx="3022">
                  <c:v>0.11332468572476186</c:v>
                </c:pt>
                <c:pt idx="3023">
                  <c:v>0.11332468572476186</c:v>
                </c:pt>
                <c:pt idx="3024">
                  <c:v>0.11332468572476186</c:v>
                </c:pt>
                <c:pt idx="3025">
                  <c:v>0.11332468572476186</c:v>
                </c:pt>
                <c:pt idx="3026">
                  <c:v>0.11332468572476186</c:v>
                </c:pt>
                <c:pt idx="3027">
                  <c:v>0.11332468572476186</c:v>
                </c:pt>
                <c:pt idx="3028">
                  <c:v>0.11332468572476186</c:v>
                </c:pt>
                <c:pt idx="3029">
                  <c:v>0.11332468572476186</c:v>
                </c:pt>
                <c:pt idx="3030">
                  <c:v>0.11332468572476186</c:v>
                </c:pt>
                <c:pt idx="3031">
                  <c:v>0.11332468572476186</c:v>
                </c:pt>
                <c:pt idx="3032">
                  <c:v>0.11332468572476186</c:v>
                </c:pt>
                <c:pt idx="3033">
                  <c:v>0.11332468572476186</c:v>
                </c:pt>
                <c:pt idx="3034">
                  <c:v>0.11332468572476186</c:v>
                </c:pt>
                <c:pt idx="3035">
                  <c:v>0.11332468572476186</c:v>
                </c:pt>
                <c:pt idx="3036">
                  <c:v>0.11332468572476186</c:v>
                </c:pt>
                <c:pt idx="3037">
                  <c:v>0.11332468572476186</c:v>
                </c:pt>
                <c:pt idx="3038">
                  <c:v>0.11332468572476186</c:v>
                </c:pt>
                <c:pt idx="3039">
                  <c:v>0.11332468572476186</c:v>
                </c:pt>
                <c:pt idx="3040">
                  <c:v>0.11332468572476186</c:v>
                </c:pt>
                <c:pt idx="3041">
                  <c:v>0.11332468572476186</c:v>
                </c:pt>
                <c:pt idx="3042">
                  <c:v>0.11332468572476186</c:v>
                </c:pt>
                <c:pt idx="3043">
                  <c:v>0.11332468572476186</c:v>
                </c:pt>
                <c:pt idx="3044">
                  <c:v>0.11332468572476186</c:v>
                </c:pt>
                <c:pt idx="3045">
                  <c:v>0.11332468572476186</c:v>
                </c:pt>
                <c:pt idx="3046">
                  <c:v>0.11332468572476186</c:v>
                </c:pt>
                <c:pt idx="3047">
                  <c:v>0.11332468572476186</c:v>
                </c:pt>
                <c:pt idx="3048">
                  <c:v>0.11332468572476186</c:v>
                </c:pt>
                <c:pt idx="3049">
                  <c:v>0.11332468572476186</c:v>
                </c:pt>
                <c:pt idx="3050">
                  <c:v>0.11332468572476186</c:v>
                </c:pt>
                <c:pt idx="3051">
                  <c:v>0.11332468572476186</c:v>
                </c:pt>
                <c:pt idx="3052">
                  <c:v>0.11332468572476186</c:v>
                </c:pt>
                <c:pt idx="3053">
                  <c:v>0.11332468572476186</c:v>
                </c:pt>
                <c:pt idx="3054">
                  <c:v>0.11332468572476186</c:v>
                </c:pt>
                <c:pt idx="3055">
                  <c:v>0.11332468572476186</c:v>
                </c:pt>
                <c:pt idx="3056">
                  <c:v>0.11332468572476186</c:v>
                </c:pt>
                <c:pt idx="3057">
                  <c:v>0.11332468572476186</c:v>
                </c:pt>
                <c:pt idx="3058">
                  <c:v>0.11332468572476186</c:v>
                </c:pt>
                <c:pt idx="3059">
                  <c:v>0.11332468572476186</c:v>
                </c:pt>
                <c:pt idx="3060">
                  <c:v>0.11332468572476186</c:v>
                </c:pt>
                <c:pt idx="3061">
                  <c:v>0.11332468572476186</c:v>
                </c:pt>
                <c:pt idx="3062">
                  <c:v>0.11332468572476186</c:v>
                </c:pt>
                <c:pt idx="3063">
                  <c:v>0.11332468572476186</c:v>
                </c:pt>
                <c:pt idx="3064">
                  <c:v>0.11332468572476186</c:v>
                </c:pt>
                <c:pt idx="3065">
                  <c:v>0.11332468572476186</c:v>
                </c:pt>
                <c:pt idx="3066">
                  <c:v>0.11332468572476186</c:v>
                </c:pt>
                <c:pt idx="3067">
                  <c:v>0.11332468572476186</c:v>
                </c:pt>
                <c:pt idx="3068">
                  <c:v>0.11332468572476186</c:v>
                </c:pt>
                <c:pt idx="3069">
                  <c:v>0.11332468572476186</c:v>
                </c:pt>
                <c:pt idx="3070">
                  <c:v>0.11332468572476186</c:v>
                </c:pt>
                <c:pt idx="3071">
                  <c:v>0.11332468572476186</c:v>
                </c:pt>
                <c:pt idx="3072">
                  <c:v>0.11332468572476186</c:v>
                </c:pt>
                <c:pt idx="3073">
                  <c:v>0.11332468572476186</c:v>
                </c:pt>
                <c:pt idx="3074">
                  <c:v>0.11332468572476186</c:v>
                </c:pt>
                <c:pt idx="3075">
                  <c:v>0.11332468572476186</c:v>
                </c:pt>
                <c:pt idx="3076">
                  <c:v>0.11332468572476186</c:v>
                </c:pt>
                <c:pt idx="3077">
                  <c:v>0.11332468572476186</c:v>
                </c:pt>
                <c:pt idx="3078">
                  <c:v>0.11332468572476186</c:v>
                </c:pt>
                <c:pt idx="3079">
                  <c:v>0.11332468572476186</c:v>
                </c:pt>
                <c:pt idx="3080">
                  <c:v>0.11332468572476186</c:v>
                </c:pt>
                <c:pt idx="3081">
                  <c:v>0.11332468572476186</c:v>
                </c:pt>
                <c:pt idx="3082">
                  <c:v>0.11332468572476186</c:v>
                </c:pt>
                <c:pt idx="3083">
                  <c:v>0.11332468572476186</c:v>
                </c:pt>
                <c:pt idx="3084">
                  <c:v>0.11332468572476186</c:v>
                </c:pt>
                <c:pt idx="3085">
                  <c:v>0.11332468572476186</c:v>
                </c:pt>
                <c:pt idx="3086">
                  <c:v>0.11332468572476186</c:v>
                </c:pt>
                <c:pt idx="3087">
                  <c:v>0.11332468572476186</c:v>
                </c:pt>
                <c:pt idx="3088">
                  <c:v>0.11332468572476186</c:v>
                </c:pt>
                <c:pt idx="3089">
                  <c:v>0.11332468572476186</c:v>
                </c:pt>
                <c:pt idx="3090">
                  <c:v>0.11332468572476186</c:v>
                </c:pt>
                <c:pt idx="3091">
                  <c:v>0.11332468572476186</c:v>
                </c:pt>
                <c:pt idx="3092">
                  <c:v>0.11332468572476186</c:v>
                </c:pt>
                <c:pt idx="3093">
                  <c:v>0.11332468572476186</c:v>
                </c:pt>
                <c:pt idx="3094">
                  <c:v>0.11332468572476186</c:v>
                </c:pt>
                <c:pt idx="3095">
                  <c:v>0.11332468572476186</c:v>
                </c:pt>
                <c:pt idx="3096">
                  <c:v>0.11332468572476186</c:v>
                </c:pt>
                <c:pt idx="3097">
                  <c:v>0.11332468572476186</c:v>
                </c:pt>
                <c:pt idx="3098">
                  <c:v>0.11332468572476186</c:v>
                </c:pt>
                <c:pt idx="3099">
                  <c:v>0.11332468572476186</c:v>
                </c:pt>
                <c:pt idx="3100">
                  <c:v>0.11332468572476186</c:v>
                </c:pt>
                <c:pt idx="3101">
                  <c:v>0.11332468572476186</c:v>
                </c:pt>
                <c:pt idx="3102">
                  <c:v>0.11332468572476186</c:v>
                </c:pt>
                <c:pt idx="3103">
                  <c:v>0.11332468572476186</c:v>
                </c:pt>
                <c:pt idx="3104">
                  <c:v>0.11332468572476186</c:v>
                </c:pt>
                <c:pt idx="3105">
                  <c:v>0.11332468572476186</c:v>
                </c:pt>
                <c:pt idx="3106">
                  <c:v>0.11332468572476186</c:v>
                </c:pt>
                <c:pt idx="3107">
                  <c:v>0.11332468572476186</c:v>
                </c:pt>
                <c:pt idx="3108">
                  <c:v>0.11332468572476186</c:v>
                </c:pt>
                <c:pt idx="3109">
                  <c:v>0.11332468572476186</c:v>
                </c:pt>
                <c:pt idx="3110">
                  <c:v>0.11332468572476186</c:v>
                </c:pt>
                <c:pt idx="3111">
                  <c:v>0.11332468572476186</c:v>
                </c:pt>
                <c:pt idx="3112">
                  <c:v>0.11332468572476186</c:v>
                </c:pt>
                <c:pt idx="3113">
                  <c:v>0.11332468572476186</c:v>
                </c:pt>
                <c:pt idx="3114">
                  <c:v>0.11332468572476186</c:v>
                </c:pt>
                <c:pt idx="3115">
                  <c:v>0.11332468572476186</c:v>
                </c:pt>
                <c:pt idx="3116">
                  <c:v>0.11332468572476186</c:v>
                </c:pt>
                <c:pt idx="3117">
                  <c:v>0.11332468572476186</c:v>
                </c:pt>
                <c:pt idx="3118">
                  <c:v>0.11332468572476186</c:v>
                </c:pt>
                <c:pt idx="3119">
                  <c:v>0.11332468572476186</c:v>
                </c:pt>
                <c:pt idx="3120">
                  <c:v>0.11332468572476186</c:v>
                </c:pt>
                <c:pt idx="3121">
                  <c:v>0.11332468572476186</c:v>
                </c:pt>
                <c:pt idx="3122">
                  <c:v>0.11332468572476186</c:v>
                </c:pt>
                <c:pt idx="3123">
                  <c:v>0.11332468572476186</c:v>
                </c:pt>
                <c:pt idx="3124">
                  <c:v>0.11332468572476186</c:v>
                </c:pt>
                <c:pt idx="3125">
                  <c:v>0.11332468572476186</c:v>
                </c:pt>
                <c:pt idx="3126">
                  <c:v>0.11332468572476186</c:v>
                </c:pt>
                <c:pt idx="3127">
                  <c:v>0.11332468572476186</c:v>
                </c:pt>
                <c:pt idx="3128">
                  <c:v>0.11332468572476186</c:v>
                </c:pt>
                <c:pt idx="3129">
                  <c:v>0.11332468572476186</c:v>
                </c:pt>
                <c:pt idx="3130">
                  <c:v>0.11332468572476186</c:v>
                </c:pt>
                <c:pt idx="3131">
                  <c:v>0.11332468572476186</c:v>
                </c:pt>
                <c:pt idx="3132">
                  <c:v>0.11332468572476186</c:v>
                </c:pt>
                <c:pt idx="3133">
                  <c:v>0.11332468572476186</c:v>
                </c:pt>
                <c:pt idx="3134">
                  <c:v>0.11332468572476186</c:v>
                </c:pt>
                <c:pt idx="3135">
                  <c:v>0.11332468572476186</c:v>
                </c:pt>
                <c:pt idx="3136">
                  <c:v>0.11332468572476186</c:v>
                </c:pt>
                <c:pt idx="3137">
                  <c:v>0.11332468572476186</c:v>
                </c:pt>
                <c:pt idx="3138">
                  <c:v>0.11332468572476186</c:v>
                </c:pt>
                <c:pt idx="3139">
                  <c:v>0.11332468572476186</c:v>
                </c:pt>
                <c:pt idx="3140">
                  <c:v>0.11332468572476186</c:v>
                </c:pt>
                <c:pt idx="3141">
                  <c:v>0.11332468572476186</c:v>
                </c:pt>
                <c:pt idx="3142">
                  <c:v>0.11332468572476186</c:v>
                </c:pt>
                <c:pt idx="3143">
                  <c:v>0.11332468572476186</c:v>
                </c:pt>
                <c:pt idx="3144">
                  <c:v>0.11332468572476186</c:v>
                </c:pt>
                <c:pt idx="3145">
                  <c:v>0.11332468572476186</c:v>
                </c:pt>
                <c:pt idx="3146">
                  <c:v>0.11332468572476186</c:v>
                </c:pt>
                <c:pt idx="3147">
                  <c:v>0.11332468572476186</c:v>
                </c:pt>
                <c:pt idx="3148">
                  <c:v>0.11332468572476186</c:v>
                </c:pt>
                <c:pt idx="3149">
                  <c:v>0.11332468572476186</c:v>
                </c:pt>
                <c:pt idx="3150">
                  <c:v>0.11332468572476186</c:v>
                </c:pt>
                <c:pt idx="3151">
                  <c:v>0.11332468572476186</c:v>
                </c:pt>
                <c:pt idx="3152">
                  <c:v>0.11332468572476186</c:v>
                </c:pt>
                <c:pt idx="3153">
                  <c:v>0.11332468572476186</c:v>
                </c:pt>
                <c:pt idx="3154">
                  <c:v>0.11332468572476186</c:v>
                </c:pt>
                <c:pt idx="3155">
                  <c:v>0.11332468572476186</c:v>
                </c:pt>
                <c:pt idx="3156">
                  <c:v>0.11332468572476186</c:v>
                </c:pt>
                <c:pt idx="3157">
                  <c:v>0.11332468572476186</c:v>
                </c:pt>
                <c:pt idx="3158">
                  <c:v>0.11332468572476186</c:v>
                </c:pt>
                <c:pt idx="3159">
                  <c:v>0.11332468572476186</c:v>
                </c:pt>
                <c:pt idx="3160">
                  <c:v>0.11332468572476186</c:v>
                </c:pt>
                <c:pt idx="3161">
                  <c:v>0.11332468572476186</c:v>
                </c:pt>
                <c:pt idx="3162">
                  <c:v>0.11332468572476186</c:v>
                </c:pt>
                <c:pt idx="3163">
                  <c:v>0.11332468572476186</c:v>
                </c:pt>
                <c:pt idx="3164">
                  <c:v>0.11332468572476186</c:v>
                </c:pt>
                <c:pt idx="3165">
                  <c:v>0.11332468572476186</c:v>
                </c:pt>
                <c:pt idx="3166">
                  <c:v>0.11332468572476186</c:v>
                </c:pt>
                <c:pt idx="3167">
                  <c:v>0.11332468572476186</c:v>
                </c:pt>
                <c:pt idx="3168">
                  <c:v>0.11332468572476186</c:v>
                </c:pt>
                <c:pt idx="3169">
                  <c:v>0.11332468572476186</c:v>
                </c:pt>
                <c:pt idx="3170">
                  <c:v>0.11332468572476186</c:v>
                </c:pt>
                <c:pt idx="3171">
                  <c:v>0.11332468572476186</c:v>
                </c:pt>
                <c:pt idx="3172">
                  <c:v>0.11332468572476186</c:v>
                </c:pt>
                <c:pt idx="3173">
                  <c:v>0.11332468572476186</c:v>
                </c:pt>
                <c:pt idx="3174">
                  <c:v>0.11332468572476186</c:v>
                </c:pt>
                <c:pt idx="3175">
                  <c:v>0.11332468572476186</c:v>
                </c:pt>
                <c:pt idx="3176">
                  <c:v>0.11332468572476186</c:v>
                </c:pt>
                <c:pt idx="3177">
                  <c:v>0.11332468572476186</c:v>
                </c:pt>
                <c:pt idx="3178">
                  <c:v>0.11332468572476186</c:v>
                </c:pt>
                <c:pt idx="3179">
                  <c:v>0.11332468572476186</c:v>
                </c:pt>
                <c:pt idx="3180">
                  <c:v>0.11332468572476186</c:v>
                </c:pt>
                <c:pt idx="3181">
                  <c:v>0.11332468572476186</c:v>
                </c:pt>
                <c:pt idx="3182">
                  <c:v>0.11332468572476186</c:v>
                </c:pt>
                <c:pt idx="3183">
                  <c:v>0.11332468572476186</c:v>
                </c:pt>
                <c:pt idx="3184">
                  <c:v>0.11332468572476186</c:v>
                </c:pt>
                <c:pt idx="3185">
                  <c:v>0.11332468572476186</c:v>
                </c:pt>
                <c:pt idx="3186">
                  <c:v>0.11332468572476186</c:v>
                </c:pt>
                <c:pt idx="3187">
                  <c:v>0.11332468572476186</c:v>
                </c:pt>
                <c:pt idx="3188">
                  <c:v>0.11332468572476186</c:v>
                </c:pt>
                <c:pt idx="3189">
                  <c:v>0.11332468572476186</c:v>
                </c:pt>
                <c:pt idx="3190">
                  <c:v>0.11332468572476186</c:v>
                </c:pt>
                <c:pt idx="3191">
                  <c:v>0.11332468572476186</c:v>
                </c:pt>
                <c:pt idx="3192">
                  <c:v>0.11332468572476186</c:v>
                </c:pt>
                <c:pt idx="3193">
                  <c:v>0.11332468572476186</c:v>
                </c:pt>
                <c:pt idx="3194">
                  <c:v>0.11332468572476186</c:v>
                </c:pt>
                <c:pt idx="3195">
                  <c:v>0.11332468572476186</c:v>
                </c:pt>
                <c:pt idx="3196">
                  <c:v>0.11332468572476186</c:v>
                </c:pt>
                <c:pt idx="3197">
                  <c:v>0.11332468572476186</c:v>
                </c:pt>
                <c:pt idx="3198">
                  <c:v>0.11332468572476186</c:v>
                </c:pt>
                <c:pt idx="3199">
                  <c:v>0.11332468572476186</c:v>
                </c:pt>
                <c:pt idx="3200">
                  <c:v>0.11332468572476186</c:v>
                </c:pt>
                <c:pt idx="3201">
                  <c:v>0.11332468572476186</c:v>
                </c:pt>
                <c:pt idx="3202">
                  <c:v>0.11332468572476186</c:v>
                </c:pt>
                <c:pt idx="3203">
                  <c:v>0.11332468572476186</c:v>
                </c:pt>
                <c:pt idx="3204">
                  <c:v>0.11332468572476186</c:v>
                </c:pt>
                <c:pt idx="3205">
                  <c:v>0.11332468572476186</c:v>
                </c:pt>
                <c:pt idx="3206">
                  <c:v>0.11332468572476186</c:v>
                </c:pt>
                <c:pt idx="3207">
                  <c:v>0.11332468572476186</c:v>
                </c:pt>
                <c:pt idx="3208">
                  <c:v>0.11332468572476186</c:v>
                </c:pt>
                <c:pt idx="3209">
                  <c:v>0.11332468572476186</c:v>
                </c:pt>
                <c:pt idx="3210">
                  <c:v>0.11332468572476186</c:v>
                </c:pt>
                <c:pt idx="3211">
                  <c:v>0.11332468572476186</c:v>
                </c:pt>
                <c:pt idx="3212">
                  <c:v>0.11332468572476186</c:v>
                </c:pt>
                <c:pt idx="3213">
                  <c:v>0.11332468572476186</c:v>
                </c:pt>
                <c:pt idx="3214">
                  <c:v>0.11332468572476186</c:v>
                </c:pt>
                <c:pt idx="3215">
                  <c:v>0.11332468572476186</c:v>
                </c:pt>
                <c:pt idx="3216">
                  <c:v>0.11332468572476186</c:v>
                </c:pt>
                <c:pt idx="3217">
                  <c:v>0.11332468572476186</c:v>
                </c:pt>
                <c:pt idx="3218">
                  <c:v>0.11332468572476186</c:v>
                </c:pt>
                <c:pt idx="3219">
                  <c:v>0.11332468572476186</c:v>
                </c:pt>
                <c:pt idx="3220">
                  <c:v>0.11332468572476186</c:v>
                </c:pt>
                <c:pt idx="3221">
                  <c:v>0.11332468572476186</c:v>
                </c:pt>
                <c:pt idx="3222">
                  <c:v>0.11332468572476186</c:v>
                </c:pt>
                <c:pt idx="3223">
                  <c:v>0.11332468572476186</c:v>
                </c:pt>
                <c:pt idx="3224">
                  <c:v>0.11332468572476186</c:v>
                </c:pt>
                <c:pt idx="3225">
                  <c:v>0.11332468572476186</c:v>
                </c:pt>
                <c:pt idx="3226">
                  <c:v>0.11332468572476186</c:v>
                </c:pt>
                <c:pt idx="3227">
                  <c:v>0.11332468572476186</c:v>
                </c:pt>
                <c:pt idx="3228">
                  <c:v>0.11332468572476186</c:v>
                </c:pt>
                <c:pt idx="3229">
                  <c:v>0.11332468572476186</c:v>
                </c:pt>
                <c:pt idx="3230">
                  <c:v>0.11332468572476186</c:v>
                </c:pt>
                <c:pt idx="3231">
                  <c:v>0.11332468572476186</c:v>
                </c:pt>
                <c:pt idx="3232">
                  <c:v>0.11332468572476186</c:v>
                </c:pt>
                <c:pt idx="3233">
                  <c:v>0.11332468572476186</c:v>
                </c:pt>
                <c:pt idx="3234">
                  <c:v>0.11332468572476186</c:v>
                </c:pt>
                <c:pt idx="3235">
                  <c:v>0.11332468572476186</c:v>
                </c:pt>
                <c:pt idx="3236">
                  <c:v>0.11332468572476186</c:v>
                </c:pt>
                <c:pt idx="3237">
                  <c:v>0.11332468572476186</c:v>
                </c:pt>
                <c:pt idx="3238">
                  <c:v>0.11332468572476186</c:v>
                </c:pt>
                <c:pt idx="3239">
                  <c:v>0.11332468572476186</c:v>
                </c:pt>
                <c:pt idx="3240">
                  <c:v>0.11332468572476186</c:v>
                </c:pt>
                <c:pt idx="3241">
                  <c:v>0.11332468572476186</c:v>
                </c:pt>
                <c:pt idx="3242">
                  <c:v>0.11332468572476186</c:v>
                </c:pt>
                <c:pt idx="3243">
                  <c:v>0.11332468572476186</c:v>
                </c:pt>
                <c:pt idx="3244">
                  <c:v>0.11332468572476186</c:v>
                </c:pt>
                <c:pt idx="3245">
                  <c:v>0.11332468572476186</c:v>
                </c:pt>
                <c:pt idx="3246">
                  <c:v>0.11332468572476186</c:v>
                </c:pt>
                <c:pt idx="3247">
                  <c:v>0.11332468572476186</c:v>
                </c:pt>
                <c:pt idx="3248">
                  <c:v>0.11332468572476186</c:v>
                </c:pt>
                <c:pt idx="3249">
                  <c:v>0.11332468572476186</c:v>
                </c:pt>
                <c:pt idx="3250">
                  <c:v>0.11332468572476186</c:v>
                </c:pt>
                <c:pt idx="3251">
                  <c:v>0.11332468572476186</c:v>
                </c:pt>
                <c:pt idx="3252">
                  <c:v>0.11332468572476186</c:v>
                </c:pt>
                <c:pt idx="3253">
                  <c:v>0.11332468572476186</c:v>
                </c:pt>
                <c:pt idx="3254">
                  <c:v>0.11332468572476186</c:v>
                </c:pt>
                <c:pt idx="3255">
                  <c:v>0.11332468572476186</c:v>
                </c:pt>
                <c:pt idx="3256">
                  <c:v>0.11332468572476186</c:v>
                </c:pt>
                <c:pt idx="3257">
                  <c:v>0.11332468572476186</c:v>
                </c:pt>
                <c:pt idx="3258">
                  <c:v>0.11332468572476186</c:v>
                </c:pt>
                <c:pt idx="3259">
                  <c:v>0.11332468572476186</c:v>
                </c:pt>
                <c:pt idx="3260">
                  <c:v>0.11332468572476186</c:v>
                </c:pt>
                <c:pt idx="3261">
                  <c:v>0.11332468572476186</c:v>
                </c:pt>
                <c:pt idx="3262">
                  <c:v>0.11332468572476186</c:v>
                </c:pt>
                <c:pt idx="3263">
                  <c:v>0.11332468572476186</c:v>
                </c:pt>
                <c:pt idx="3264">
                  <c:v>0.11332468572476186</c:v>
                </c:pt>
                <c:pt idx="3265">
                  <c:v>0.11332468572476186</c:v>
                </c:pt>
                <c:pt idx="3266">
                  <c:v>0.11332468572476186</c:v>
                </c:pt>
                <c:pt idx="3267">
                  <c:v>0.11332468572476186</c:v>
                </c:pt>
                <c:pt idx="3268">
                  <c:v>0.11332468572476186</c:v>
                </c:pt>
                <c:pt idx="3269">
                  <c:v>0.11332468572476186</c:v>
                </c:pt>
                <c:pt idx="3270">
                  <c:v>0.11332468572476186</c:v>
                </c:pt>
                <c:pt idx="3271">
                  <c:v>0.11332468572476186</c:v>
                </c:pt>
                <c:pt idx="3272">
                  <c:v>0.11332468572476186</c:v>
                </c:pt>
                <c:pt idx="3273">
                  <c:v>0.11332468572476186</c:v>
                </c:pt>
                <c:pt idx="3274">
                  <c:v>0.11332468572476186</c:v>
                </c:pt>
                <c:pt idx="3275">
                  <c:v>0.11332468572476186</c:v>
                </c:pt>
                <c:pt idx="3276">
                  <c:v>0.11332468572476186</c:v>
                </c:pt>
                <c:pt idx="3277">
                  <c:v>0.11332468572476186</c:v>
                </c:pt>
                <c:pt idx="3278">
                  <c:v>0.11332468572476186</c:v>
                </c:pt>
                <c:pt idx="3279">
                  <c:v>0.11332468572476186</c:v>
                </c:pt>
                <c:pt idx="3280">
                  <c:v>0.11332468572476186</c:v>
                </c:pt>
                <c:pt idx="3281">
                  <c:v>0.11332468572476186</c:v>
                </c:pt>
                <c:pt idx="3282">
                  <c:v>0.11332468572476186</c:v>
                </c:pt>
                <c:pt idx="3283">
                  <c:v>0.11332468572476186</c:v>
                </c:pt>
                <c:pt idx="3284">
                  <c:v>0.11332468572476186</c:v>
                </c:pt>
                <c:pt idx="3285">
                  <c:v>0.11332468572476186</c:v>
                </c:pt>
                <c:pt idx="3286">
                  <c:v>0.11332468572476186</c:v>
                </c:pt>
                <c:pt idx="3287">
                  <c:v>0.11332468572476186</c:v>
                </c:pt>
                <c:pt idx="3288">
                  <c:v>0.11332468572476186</c:v>
                </c:pt>
                <c:pt idx="3289">
                  <c:v>0.11332468572476186</c:v>
                </c:pt>
                <c:pt idx="3290">
                  <c:v>0.11332468572476186</c:v>
                </c:pt>
                <c:pt idx="3291">
                  <c:v>0.11332468572476186</c:v>
                </c:pt>
                <c:pt idx="3292">
                  <c:v>0.11332468572476186</c:v>
                </c:pt>
                <c:pt idx="3293">
                  <c:v>0.11332468572476186</c:v>
                </c:pt>
                <c:pt idx="3294">
                  <c:v>0.11332468572476186</c:v>
                </c:pt>
                <c:pt idx="3295">
                  <c:v>0.11332468572476186</c:v>
                </c:pt>
                <c:pt idx="3296">
                  <c:v>0.11332468572476186</c:v>
                </c:pt>
                <c:pt idx="3297">
                  <c:v>0.11332468572476186</c:v>
                </c:pt>
                <c:pt idx="3298">
                  <c:v>0.11332468572476186</c:v>
                </c:pt>
                <c:pt idx="3299">
                  <c:v>0.11332468572476186</c:v>
                </c:pt>
                <c:pt idx="3300">
                  <c:v>0.11332468572476186</c:v>
                </c:pt>
                <c:pt idx="3301">
                  <c:v>0.11332468572476186</c:v>
                </c:pt>
                <c:pt idx="3302">
                  <c:v>0.11332468572476186</c:v>
                </c:pt>
                <c:pt idx="3303">
                  <c:v>0.11332468572476186</c:v>
                </c:pt>
                <c:pt idx="3304">
                  <c:v>0.11332468572476186</c:v>
                </c:pt>
                <c:pt idx="3305">
                  <c:v>0.11332468572476186</c:v>
                </c:pt>
                <c:pt idx="3306">
                  <c:v>0.11332468572476186</c:v>
                </c:pt>
                <c:pt idx="3307">
                  <c:v>0.11332468572476186</c:v>
                </c:pt>
                <c:pt idx="3308">
                  <c:v>0.11332468572476186</c:v>
                </c:pt>
                <c:pt idx="3309">
                  <c:v>0.11332468572476186</c:v>
                </c:pt>
                <c:pt idx="3310">
                  <c:v>0.11332468572476186</c:v>
                </c:pt>
                <c:pt idx="3311">
                  <c:v>0.11332468572476186</c:v>
                </c:pt>
                <c:pt idx="3312">
                  <c:v>0.11332468572476186</c:v>
                </c:pt>
                <c:pt idx="3313">
                  <c:v>0.11332468572476186</c:v>
                </c:pt>
                <c:pt idx="3314">
                  <c:v>0.11332468572476186</c:v>
                </c:pt>
                <c:pt idx="3315">
                  <c:v>0.11332468572476186</c:v>
                </c:pt>
                <c:pt idx="3316">
                  <c:v>0.11332468572476186</c:v>
                </c:pt>
                <c:pt idx="3317">
                  <c:v>0.11332468572476186</c:v>
                </c:pt>
                <c:pt idx="3318">
                  <c:v>0.11332468572476186</c:v>
                </c:pt>
                <c:pt idx="3319">
                  <c:v>0.11332468572476186</c:v>
                </c:pt>
                <c:pt idx="3320">
                  <c:v>0.11332468572476186</c:v>
                </c:pt>
                <c:pt idx="3321">
                  <c:v>0.11332468572476186</c:v>
                </c:pt>
                <c:pt idx="3322">
                  <c:v>0.11332468572476186</c:v>
                </c:pt>
                <c:pt idx="3323">
                  <c:v>0.11332468572476186</c:v>
                </c:pt>
                <c:pt idx="3324">
                  <c:v>0.11332468572476186</c:v>
                </c:pt>
                <c:pt idx="3325">
                  <c:v>0.11332468572476186</c:v>
                </c:pt>
                <c:pt idx="3326">
                  <c:v>0.11332468572476186</c:v>
                </c:pt>
                <c:pt idx="3327">
                  <c:v>0.11332468572476186</c:v>
                </c:pt>
                <c:pt idx="3328">
                  <c:v>0.11332468572476186</c:v>
                </c:pt>
                <c:pt idx="3329">
                  <c:v>0.11332468572476186</c:v>
                </c:pt>
                <c:pt idx="3330">
                  <c:v>0.11332468572476186</c:v>
                </c:pt>
                <c:pt idx="3331">
                  <c:v>0.11332468572476186</c:v>
                </c:pt>
                <c:pt idx="3332">
                  <c:v>0.11332468572476186</c:v>
                </c:pt>
                <c:pt idx="3333">
                  <c:v>0.11332468572476186</c:v>
                </c:pt>
                <c:pt idx="3334">
                  <c:v>0.11332468572476186</c:v>
                </c:pt>
                <c:pt idx="3335">
                  <c:v>0.11332468572476186</c:v>
                </c:pt>
                <c:pt idx="3336">
                  <c:v>0.11332468572476186</c:v>
                </c:pt>
                <c:pt idx="3337">
                  <c:v>0.11332468572476186</c:v>
                </c:pt>
                <c:pt idx="3338">
                  <c:v>0.11332468572476186</c:v>
                </c:pt>
                <c:pt idx="3339">
                  <c:v>0.11332468572476186</c:v>
                </c:pt>
                <c:pt idx="3340">
                  <c:v>0.11332468572476186</c:v>
                </c:pt>
                <c:pt idx="3341">
                  <c:v>0.11332468572476186</c:v>
                </c:pt>
                <c:pt idx="3342">
                  <c:v>0.11332468572476186</c:v>
                </c:pt>
                <c:pt idx="3343">
                  <c:v>0.11332468572476186</c:v>
                </c:pt>
                <c:pt idx="3344">
                  <c:v>0.11332468572476186</c:v>
                </c:pt>
                <c:pt idx="3345">
                  <c:v>0.11332468572476186</c:v>
                </c:pt>
                <c:pt idx="3346">
                  <c:v>0.11332468572476186</c:v>
                </c:pt>
                <c:pt idx="3347">
                  <c:v>0.11332468572476186</c:v>
                </c:pt>
                <c:pt idx="3348">
                  <c:v>0.11332468572476186</c:v>
                </c:pt>
                <c:pt idx="3349">
                  <c:v>0.11332468572476186</c:v>
                </c:pt>
                <c:pt idx="3350">
                  <c:v>0.11332468572476186</c:v>
                </c:pt>
                <c:pt idx="3351">
                  <c:v>0.11332468572476186</c:v>
                </c:pt>
                <c:pt idx="3352">
                  <c:v>0.11332468572476186</c:v>
                </c:pt>
                <c:pt idx="3353">
                  <c:v>0.11332468572476186</c:v>
                </c:pt>
                <c:pt idx="3354">
                  <c:v>0.11332468572476186</c:v>
                </c:pt>
                <c:pt idx="3355">
                  <c:v>0.11332468572476186</c:v>
                </c:pt>
                <c:pt idx="3356">
                  <c:v>0.11332468572476186</c:v>
                </c:pt>
                <c:pt idx="3357">
                  <c:v>0.11332468572476186</c:v>
                </c:pt>
                <c:pt idx="3358">
                  <c:v>0.11332468572476186</c:v>
                </c:pt>
                <c:pt idx="3359">
                  <c:v>0.11332468572476186</c:v>
                </c:pt>
                <c:pt idx="3360">
                  <c:v>0.11332468572476186</c:v>
                </c:pt>
                <c:pt idx="3361">
                  <c:v>0.11332468572476186</c:v>
                </c:pt>
                <c:pt idx="3362">
                  <c:v>0.11332468572476186</c:v>
                </c:pt>
                <c:pt idx="3363">
                  <c:v>0.11332468572476186</c:v>
                </c:pt>
                <c:pt idx="3364">
                  <c:v>0.11332468572476186</c:v>
                </c:pt>
                <c:pt idx="3365">
                  <c:v>0.11332468572476186</c:v>
                </c:pt>
                <c:pt idx="3366">
                  <c:v>0.11332468572476186</c:v>
                </c:pt>
                <c:pt idx="3367">
                  <c:v>0.11332468572476186</c:v>
                </c:pt>
                <c:pt idx="3368">
                  <c:v>0.11332468572476186</c:v>
                </c:pt>
                <c:pt idx="3369">
                  <c:v>0.11332468572476186</c:v>
                </c:pt>
                <c:pt idx="3370">
                  <c:v>0.11332468572476186</c:v>
                </c:pt>
                <c:pt idx="3371">
                  <c:v>0.11332468572476186</c:v>
                </c:pt>
                <c:pt idx="3372">
                  <c:v>0.11332468572476186</c:v>
                </c:pt>
                <c:pt idx="3373">
                  <c:v>0.11332468572476186</c:v>
                </c:pt>
                <c:pt idx="3374">
                  <c:v>0.11332468572476186</c:v>
                </c:pt>
                <c:pt idx="3375">
                  <c:v>0.11332468572476186</c:v>
                </c:pt>
                <c:pt idx="3376">
                  <c:v>0.11332468572476186</c:v>
                </c:pt>
                <c:pt idx="3377">
                  <c:v>0.11332468572476186</c:v>
                </c:pt>
                <c:pt idx="3378">
                  <c:v>0.11332468572476186</c:v>
                </c:pt>
                <c:pt idx="3379">
                  <c:v>0.11332468572476186</c:v>
                </c:pt>
                <c:pt idx="3380">
                  <c:v>0.11332468572476186</c:v>
                </c:pt>
                <c:pt idx="3381">
                  <c:v>0.11332468572476186</c:v>
                </c:pt>
                <c:pt idx="3382">
                  <c:v>0.11332468572476186</c:v>
                </c:pt>
                <c:pt idx="3383">
                  <c:v>0.11332468572476186</c:v>
                </c:pt>
                <c:pt idx="3384">
                  <c:v>0.11332468572476186</c:v>
                </c:pt>
                <c:pt idx="3385">
                  <c:v>0.11332468572476186</c:v>
                </c:pt>
                <c:pt idx="3386">
                  <c:v>0.11332468572476186</c:v>
                </c:pt>
                <c:pt idx="3387">
                  <c:v>0.11332468572476186</c:v>
                </c:pt>
                <c:pt idx="3388">
                  <c:v>0.11332468572476186</c:v>
                </c:pt>
                <c:pt idx="3389">
                  <c:v>0.11332468572476186</c:v>
                </c:pt>
                <c:pt idx="3390">
                  <c:v>0.11332468572476186</c:v>
                </c:pt>
                <c:pt idx="3391">
                  <c:v>0.11332468572476186</c:v>
                </c:pt>
                <c:pt idx="3392">
                  <c:v>0.11332468572476186</c:v>
                </c:pt>
                <c:pt idx="3393">
                  <c:v>0.11332468572476186</c:v>
                </c:pt>
                <c:pt idx="3394">
                  <c:v>0.11332468572476186</c:v>
                </c:pt>
                <c:pt idx="3395">
                  <c:v>0.11332468572476186</c:v>
                </c:pt>
                <c:pt idx="3396">
                  <c:v>0.11332468572476186</c:v>
                </c:pt>
                <c:pt idx="3397">
                  <c:v>0.11332468572476186</c:v>
                </c:pt>
                <c:pt idx="3398">
                  <c:v>0.11332468572476186</c:v>
                </c:pt>
                <c:pt idx="3399">
                  <c:v>0.11332468572476186</c:v>
                </c:pt>
                <c:pt idx="3400">
                  <c:v>0.11332468572476186</c:v>
                </c:pt>
                <c:pt idx="3401">
                  <c:v>0.11332468572476186</c:v>
                </c:pt>
                <c:pt idx="3402">
                  <c:v>0.11332468572476186</c:v>
                </c:pt>
                <c:pt idx="3403">
                  <c:v>0.11332468572476186</c:v>
                </c:pt>
                <c:pt idx="3404">
                  <c:v>0.11332468572476186</c:v>
                </c:pt>
                <c:pt idx="3405">
                  <c:v>0.11332468572476186</c:v>
                </c:pt>
                <c:pt idx="3406">
                  <c:v>0.11332468572476186</c:v>
                </c:pt>
                <c:pt idx="3407">
                  <c:v>0.11332468572476186</c:v>
                </c:pt>
                <c:pt idx="3408">
                  <c:v>0.11332468572476186</c:v>
                </c:pt>
                <c:pt idx="3409">
                  <c:v>0.11332468572476186</c:v>
                </c:pt>
                <c:pt idx="3410">
                  <c:v>0.11332468572476186</c:v>
                </c:pt>
                <c:pt idx="3411">
                  <c:v>0.11332468572476186</c:v>
                </c:pt>
                <c:pt idx="3412">
                  <c:v>0.11332468572476186</c:v>
                </c:pt>
                <c:pt idx="3413">
                  <c:v>0.11332468572476186</c:v>
                </c:pt>
                <c:pt idx="3414">
                  <c:v>0.11332468572476186</c:v>
                </c:pt>
                <c:pt idx="3415">
                  <c:v>0.11332468572476186</c:v>
                </c:pt>
                <c:pt idx="3416">
                  <c:v>0.11332468572476186</c:v>
                </c:pt>
                <c:pt idx="3417">
                  <c:v>0.11332468572476186</c:v>
                </c:pt>
                <c:pt idx="3418">
                  <c:v>0.11332468572476186</c:v>
                </c:pt>
                <c:pt idx="3419">
                  <c:v>0.11332468572476186</c:v>
                </c:pt>
                <c:pt idx="3420">
                  <c:v>0.11332468572476186</c:v>
                </c:pt>
                <c:pt idx="3421">
                  <c:v>0.11332468572476186</c:v>
                </c:pt>
                <c:pt idx="3422">
                  <c:v>0.11332468572476186</c:v>
                </c:pt>
                <c:pt idx="3423">
                  <c:v>0.11332468572476186</c:v>
                </c:pt>
                <c:pt idx="3424">
                  <c:v>0.11332468572476186</c:v>
                </c:pt>
                <c:pt idx="3425">
                  <c:v>0.11332468572476186</c:v>
                </c:pt>
                <c:pt idx="3426">
                  <c:v>0.11332468572476186</c:v>
                </c:pt>
                <c:pt idx="3427">
                  <c:v>0.11332468572476186</c:v>
                </c:pt>
                <c:pt idx="3428">
                  <c:v>0.11332468572476186</c:v>
                </c:pt>
                <c:pt idx="3429">
                  <c:v>0.11332468572476186</c:v>
                </c:pt>
                <c:pt idx="3430">
                  <c:v>0.11332468572476186</c:v>
                </c:pt>
                <c:pt idx="3431">
                  <c:v>0.11332468572476186</c:v>
                </c:pt>
                <c:pt idx="3432">
                  <c:v>0.11332468572476186</c:v>
                </c:pt>
                <c:pt idx="3433">
                  <c:v>0.11332468572476186</c:v>
                </c:pt>
                <c:pt idx="3434">
                  <c:v>0.11332468572476186</c:v>
                </c:pt>
                <c:pt idx="3435">
                  <c:v>0.11332468572476186</c:v>
                </c:pt>
                <c:pt idx="3436">
                  <c:v>0.11332468572476186</c:v>
                </c:pt>
                <c:pt idx="3437">
                  <c:v>0.11332468572476186</c:v>
                </c:pt>
                <c:pt idx="3438">
                  <c:v>0.11332468572476186</c:v>
                </c:pt>
                <c:pt idx="3439">
                  <c:v>0.11332468572476186</c:v>
                </c:pt>
                <c:pt idx="3440">
                  <c:v>0.11332468572476186</c:v>
                </c:pt>
                <c:pt idx="3441">
                  <c:v>0.11332468572476186</c:v>
                </c:pt>
                <c:pt idx="3442">
                  <c:v>0.11332468572476186</c:v>
                </c:pt>
                <c:pt idx="3443">
                  <c:v>0.11332468572476186</c:v>
                </c:pt>
                <c:pt idx="3444">
                  <c:v>0.11332468572476186</c:v>
                </c:pt>
                <c:pt idx="3445">
                  <c:v>0.11332468572476186</c:v>
                </c:pt>
                <c:pt idx="3446">
                  <c:v>0.11332468572476186</c:v>
                </c:pt>
                <c:pt idx="3447">
                  <c:v>0.11332468572476186</c:v>
                </c:pt>
                <c:pt idx="3448">
                  <c:v>0.11332468572476186</c:v>
                </c:pt>
                <c:pt idx="3449">
                  <c:v>0.11332468572476186</c:v>
                </c:pt>
                <c:pt idx="3450">
                  <c:v>0.11332468572476186</c:v>
                </c:pt>
                <c:pt idx="3451">
                  <c:v>0.11332468572476186</c:v>
                </c:pt>
                <c:pt idx="3452">
                  <c:v>0.11332468572476186</c:v>
                </c:pt>
                <c:pt idx="3453">
                  <c:v>0.11332468572476186</c:v>
                </c:pt>
                <c:pt idx="3454">
                  <c:v>0.11332468572476186</c:v>
                </c:pt>
                <c:pt idx="3455">
                  <c:v>0.11332468572476186</c:v>
                </c:pt>
                <c:pt idx="3456">
                  <c:v>0.11332468572476186</c:v>
                </c:pt>
                <c:pt idx="3457">
                  <c:v>0.11332468572476186</c:v>
                </c:pt>
                <c:pt idx="3458">
                  <c:v>0.11332468572476186</c:v>
                </c:pt>
                <c:pt idx="3459">
                  <c:v>0.11332468572476186</c:v>
                </c:pt>
                <c:pt idx="3460">
                  <c:v>0.11332468572476186</c:v>
                </c:pt>
                <c:pt idx="3461">
                  <c:v>0.11332468572476186</c:v>
                </c:pt>
                <c:pt idx="3462">
                  <c:v>0.11332468572476186</c:v>
                </c:pt>
                <c:pt idx="3463">
                  <c:v>0.11332468572476186</c:v>
                </c:pt>
                <c:pt idx="3464">
                  <c:v>0.11332468572476186</c:v>
                </c:pt>
                <c:pt idx="3465">
                  <c:v>0.11332468572476186</c:v>
                </c:pt>
                <c:pt idx="3466">
                  <c:v>0.11332468572476186</c:v>
                </c:pt>
                <c:pt idx="3467">
                  <c:v>0.11332468572476186</c:v>
                </c:pt>
                <c:pt idx="3468">
                  <c:v>0.11332468572476186</c:v>
                </c:pt>
                <c:pt idx="3469">
                  <c:v>0.11332468572476186</c:v>
                </c:pt>
                <c:pt idx="3470">
                  <c:v>0.11332468572476186</c:v>
                </c:pt>
                <c:pt idx="3471">
                  <c:v>0.11332468572476186</c:v>
                </c:pt>
                <c:pt idx="3472">
                  <c:v>0.11332468572476186</c:v>
                </c:pt>
                <c:pt idx="3473">
                  <c:v>0.11332468572476186</c:v>
                </c:pt>
                <c:pt idx="3474">
                  <c:v>0.11332468572476186</c:v>
                </c:pt>
                <c:pt idx="3475">
                  <c:v>0.11332468572476186</c:v>
                </c:pt>
                <c:pt idx="3476">
                  <c:v>0.11332468572476186</c:v>
                </c:pt>
                <c:pt idx="3477">
                  <c:v>0.11332468572476186</c:v>
                </c:pt>
                <c:pt idx="3478">
                  <c:v>0.11332468572476186</c:v>
                </c:pt>
                <c:pt idx="3479">
                  <c:v>0.11332468572476186</c:v>
                </c:pt>
                <c:pt idx="3480">
                  <c:v>0.11332468572476186</c:v>
                </c:pt>
                <c:pt idx="3481">
                  <c:v>0.11332468572476186</c:v>
                </c:pt>
                <c:pt idx="3482">
                  <c:v>0.11332468572476186</c:v>
                </c:pt>
                <c:pt idx="3483">
                  <c:v>0.11332468572476186</c:v>
                </c:pt>
                <c:pt idx="3484">
                  <c:v>0.11332468572476186</c:v>
                </c:pt>
                <c:pt idx="3485">
                  <c:v>0.11332468572476186</c:v>
                </c:pt>
                <c:pt idx="3486">
                  <c:v>0.11332468572476186</c:v>
                </c:pt>
                <c:pt idx="3487">
                  <c:v>0.11332468572476186</c:v>
                </c:pt>
                <c:pt idx="3488">
                  <c:v>0.11332468572476186</c:v>
                </c:pt>
                <c:pt idx="3489">
                  <c:v>0.11332468572476186</c:v>
                </c:pt>
                <c:pt idx="3490">
                  <c:v>0.11332468572476186</c:v>
                </c:pt>
                <c:pt idx="3491">
                  <c:v>0.11332468572476186</c:v>
                </c:pt>
                <c:pt idx="3492">
                  <c:v>0.11332468572476186</c:v>
                </c:pt>
                <c:pt idx="3493">
                  <c:v>0.11332468572476186</c:v>
                </c:pt>
                <c:pt idx="3494">
                  <c:v>0.11332468572476186</c:v>
                </c:pt>
                <c:pt idx="3495">
                  <c:v>0.11332468572476186</c:v>
                </c:pt>
                <c:pt idx="3496">
                  <c:v>0.11332468572476186</c:v>
                </c:pt>
                <c:pt idx="3497">
                  <c:v>0.11332468572476186</c:v>
                </c:pt>
                <c:pt idx="3498">
                  <c:v>0.11332468572476186</c:v>
                </c:pt>
                <c:pt idx="3499">
                  <c:v>0.11332468572476186</c:v>
                </c:pt>
                <c:pt idx="3500">
                  <c:v>0.11332468572476186</c:v>
                </c:pt>
                <c:pt idx="3501">
                  <c:v>0.11332468572476186</c:v>
                </c:pt>
                <c:pt idx="3502">
                  <c:v>0.11332468572476186</c:v>
                </c:pt>
                <c:pt idx="3503">
                  <c:v>0.11332468572476186</c:v>
                </c:pt>
                <c:pt idx="3504">
                  <c:v>0.11332468572476186</c:v>
                </c:pt>
                <c:pt idx="3505">
                  <c:v>0.11332468572476186</c:v>
                </c:pt>
                <c:pt idx="3506">
                  <c:v>0.11332468572476186</c:v>
                </c:pt>
                <c:pt idx="3507">
                  <c:v>0.11332468572476186</c:v>
                </c:pt>
                <c:pt idx="3508">
                  <c:v>0.11332468572476186</c:v>
                </c:pt>
                <c:pt idx="3509">
                  <c:v>0.11332468572476186</c:v>
                </c:pt>
                <c:pt idx="3510">
                  <c:v>0.11332468572476186</c:v>
                </c:pt>
                <c:pt idx="3511">
                  <c:v>0.11332468572476186</c:v>
                </c:pt>
                <c:pt idx="3512">
                  <c:v>0.11332468572476186</c:v>
                </c:pt>
                <c:pt idx="3513">
                  <c:v>0.11332468572476186</c:v>
                </c:pt>
                <c:pt idx="3514">
                  <c:v>0.11332468572476186</c:v>
                </c:pt>
                <c:pt idx="3515">
                  <c:v>0.11332468572476186</c:v>
                </c:pt>
                <c:pt idx="3516">
                  <c:v>0.11332468572476186</c:v>
                </c:pt>
                <c:pt idx="3517">
                  <c:v>0.11332468572476186</c:v>
                </c:pt>
                <c:pt idx="3518">
                  <c:v>0.11332468572476186</c:v>
                </c:pt>
                <c:pt idx="3519">
                  <c:v>0.11332468572476186</c:v>
                </c:pt>
                <c:pt idx="3520">
                  <c:v>0.11332468572476186</c:v>
                </c:pt>
                <c:pt idx="3521">
                  <c:v>0.11332468572476186</c:v>
                </c:pt>
                <c:pt idx="3522">
                  <c:v>0.11332468572476186</c:v>
                </c:pt>
                <c:pt idx="3523">
                  <c:v>0.11332468572476186</c:v>
                </c:pt>
                <c:pt idx="3524">
                  <c:v>0.11332468572476186</c:v>
                </c:pt>
                <c:pt idx="3525">
                  <c:v>0.11332468572476186</c:v>
                </c:pt>
                <c:pt idx="3526">
                  <c:v>0.11332468572476186</c:v>
                </c:pt>
                <c:pt idx="3527">
                  <c:v>0.11332468572476186</c:v>
                </c:pt>
                <c:pt idx="3528">
                  <c:v>0.11332468572476186</c:v>
                </c:pt>
                <c:pt idx="3529">
                  <c:v>0.11332468572476186</c:v>
                </c:pt>
                <c:pt idx="3530">
                  <c:v>0.11332468572476186</c:v>
                </c:pt>
                <c:pt idx="3531">
                  <c:v>0.11332468572476186</c:v>
                </c:pt>
                <c:pt idx="3532">
                  <c:v>0.11332468572476186</c:v>
                </c:pt>
                <c:pt idx="3533">
                  <c:v>0.11332468572476186</c:v>
                </c:pt>
                <c:pt idx="3534">
                  <c:v>0.11332468572476186</c:v>
                </c:pt>
                <c:pt idx="3535">
                  <c:v>0.11332468572476186</c:v>
                </c:pt>
                <c:pt idx="3536">
                  <c:v>0.11332468572476186</c:v>
                </c:pt>
                <c:pt idx="3537">
                  <c:v>0.11332468572476186</c:v>
                </c:pt>
                <c:pt idx="3538">
                  <c:v>0.11332468572476186</c:v>
                </c:pt>
                <c:pt idx="3539">
                  <c:v>0.11332468572476186</c:v>
                </c:pt>
                <c:pt idx="3540">
                  <c:v>0.11332468572476186</c:v>
                </c:pt>
                <c:pt idx="3541">
                  <c:v>0.11332468572476186</c:v>
                </c:pt>
                <c:pt idx="3542">
                  <c:v>0.11332468572476186</c:v>
                </c:pt>
                <c:pt idx="3543">
                  <c:v>0.11332468572476186</c:v>
                </c:pt>
                <c:pt idx="3544">
                  <c:v>0.11332468572476186</c:v>
                </c:pt>
                <c:pt idx="3545">
                  <c:v>0.11332468572476186</c:v>
                </c:pt>
                <c:pt idx="3546">
                  <c:v>0.11332468572476186</c:v>
                </c:pt>
                <c:pt idx="3547">
                  <c:v>0.11332468572476186</c:v>
                </c:pt>
                <c:pt idx="3548">
                  <c:v>0.11332468572476186</c:v>
                </c:pt>
                <c:pt idx="3549">
                  <c:v>0.11332468572476186</c:v>
                </c:pt>
                <c:pt idx="3550">
                  <c:v>0.11332468572476186</c:v>
                </c:pt>
                <c:pt idx="3551">
                  <c:v>0.11332468572476186</c:v>
                </c:pt>
                <c:pt idx="3552">
                  <c:v>0.11332468572476186</c:v>
                </c:pt>
                <c:pt idx="3553">
                  <c:v>0.11332468572476186</c:v>
                </c:pt>
                <c:pt idx="3554">
                  <c:v>0.11332468572476186</c:v>
                </c:pt>
                <c:pt idx="3555">
                  <c:v>0.11332468572476186</c:v>
                </c:pt>
                <c:pt idx="3556">
                  <c:v>0.11332468572476186</c:v>
                </c:pt>
                <c:pt idx="3557">
                  <c:v>0.11332468572476186</c:v>
                </c:pt>
                <c:pt idx="3558">
                  <c:v>0.11332468572476186</c:v>
                </c:pt>
                <c:pt idx="3559">
                  <c:v>0.11332468572476186</c:v>
                </c:pt>
                <c:pt idx="3560">
                  <c:v>0.11332468572476186</c:v>
                </c:pt>
                <c:pt idx="3561">
                  <c:v>0.11332468572476186</c:v>
                </c:pt>
                <c:pt idx="3562">
                  <c:v>0.11332468572476186</c:v>
                </c:pt>
                <c:pt idx="3563">
                  <c:v>0.11332468572476186</c:v>
                </c:pt>
                <c:pt idx="3564">
                  <c:v>0.11332468572476186</c:v>
                </c:pt>
                <c:pt idx="3565">
                  <c:v>0.11332468572476186</c:v>
                </c:pt>
                <c:pt idx="3566">
                  <c:v>0.11332468572476186</c:v>
                </c:pt>
                <c:pt idx="3567">
                  <c:v>0.11332468572476186</c:v>
                </c:pt>
                <c:pt idx="3568">
                  <c:v>0.11332468572476186</c:v>
                </c:pt>
                <c:pt idx="3569">
                  <c:v>0.11332468572476186</c:v>
                </c:pt>
                <c:pt idx="3570">
                  <c:v>0.11332468572476186</c:v>
                </c:pt>
                <c:pt idx="3571">
                  <c:v>0.11332468572476186</c:v>
                </c:pt>
                <c:pt idx="3572">
                  <c:v>0.11332468572476186</c:v>
                </c:pt>
                <c:pt idx="3573">
                  <c:v>0.11332468572476186</c:v>
                </c:pt>
                <c:pt idx="3574">
                  <c:v>0.11332468572476186</c:v>
                </c:pt>
                <c:pt idx="3575">
                  <c:v>0.11332468572476186</c:v>
                </c:pt>
                <c:pt idx="3576">
                  <c:v>0.11332468572476186</c:v>
                </c:pt>
                <c:pt idx="3577">
                  <c:v>0.11332468572476186</c:v>
                </c:pt>
                <c:pt idx="3578">
                  <c:v>0.11332468572476186</c:v>
                </c:pt>
                <c:pt idx="3579">
                  <c:v>0.11332468572476186</c:v>
                </c:pt>
                <c:pt idx="3580">
                  <c:v>0.11332468572476186</c:v>
                </c:pt>
                <c:pt idx="3581">
                  <c:v>0.11332468572476186</c:v>
                </c:pt>
                <c:pt idx="3582">
                  <c:v>0.11332468572476186</c:v>
                </c:pt>
                <c:pt idx="3583">
                  <c:v>0.11332468572476186</c:v>
                </c:pt>
                <c:pt idx="3584">
                  <c:v>0.11332468572476186</c:v>
                </c:pt>
                <c:pt idx="3585">
                  <c:v>0.11332468572476186</c:v>
                </c:pt>
                <c:pt idx="3586">
                  <c:v>0.11332468572476186</c:v>
                </c:pt>
                <c:pt idx="3587">
                  <c:v>0.11332468572476186</c:v>
                </c:pt>
                <c:pt idx="3588">
                  <c:v>0.11332468572476186</c:v>
                </c:pt>
                <c:pt idx="3589">
                  <c:v>0.11332468572476186</c:v>
                </c:pt>
                <c:pt idx="3590">
                  <c:v>0.11332468572476186</c:v>
                </c:pt>
                <c:pt idx="3591">
                  <c:v>0.11332468572476186</c:v>
                </c:pt>
                <c:pt idx="3592">
                  <c:v>0.11332468572476186</c:v>
                </c:pt>
                <c:pt idx="3593">
                  <c:v>0.11332468572476186</c:v>
                </c:pt>
                <c:pt idx="3594">
                  <c:v>0.11332468572476186</c:v>
                </c:pt>
                <c:pt idx="3595">
                  <c:v>0.11332468572476186</c:v>
                </c:pt>
                <c:pt idx="3596">
                  <c:v>0.11332468572476186</c:v>
                </c:pt>
                <c:pt idx="3597">
                  <c:v>0.11332468572476186</c:v>
                </c:pt>
                <c:pt idx="3598">
                  <c:v>0.11332468572476186</c:v>
                </c:pt>
                <c:pt idx="3599">
                  <c:v>0.11332468572476186</c:v>
                </c:pt>
                <c:pt idx="3600">
                  <c:v>0.11332468572476186</c:v>
                </c:pt>
                <c:pt idx="3601">
                  <c:v>0.11332468572476186</c:v>
                </c:pt>
                <c:pt idx="3602">
                  <c:v>0.11332468572476186</c:v>
                </c:pt>
                <c:pt idx="3603">
                  <c:v>0.11332468572476186</c:v>
                </c:pt>
                <c:pt idx="3604">
                  <c:v>0.11332468572476186</c:v>
                </c:pt>
                <c:pt idx="3605">
                  <c:v>0.11332468572476186</c:v>
                </c:pt>
                <c:pt idx="3606">
                  <c:v>0.11332468572476186</c:v>
                </c:pt>
                <c:pt idx="3607">
                  <c:v>0.11332468572476186</c:v>
                </c:pt>
                <c:pt idx="3608">
                  <c:v>0.11332468572476186</c:v>
                </c:pt>
                <c:pt idx="3609">
                  <c:v>0.11332468572476186</c:v>
                </c:pt>
                <c:pt idx="3610">
                  <c:v>0.11332468572476186</c:v>
                </c:pt>
                <c:pt idx="3611">
                  <c:v>0.11332468572476186</c:v>
                </c:pt>
                <c:pt idx="3612">
                  <c:v>0.11332468572476186</c:v>
                </c:pt>
                <c:pt idx="3613">
                  <c:v>0.11332468572476186</c:v>
                </c:pt>
                <c:pt idx="3614">
                  <c:v>0.11332468572476186</c:v>
                </c:pt>
                <c:pt idx="3615">
                  <c:v>0.11332468572476186</c:v>
                </c:pt>
                <c:pt idx="3616">
                  <c:v>0.11332468572476186</c:v>
                </c:pt>
                <c:pt idx="3617">
                  <c:v>0.11332468572476186</c:v>
                </c:pt>
                <c:pt idx="3618">
                  <c:v>0.11332468572476186</c:v>
                </c:pt>
                <c:pt idx="3619">
                  <c:v>0.11332468572476186</c:v>
                </c:pt>
                <c:pt idx="3620">
                  <c:v>0.11332468572476186</c:v>
                </c:pt>
                <c:pt idx="3621">
                  <c:v>0.11332468572476186</c:v>
                </c:pt>
                <c:pt idx="3622">
                  <c:v>0.11332468572476186</c:v>
                </c:pt>
                <c:pt idx="3623">
                  <c:v>0.11332468572476186</c:v>
                </c:pt>
                <c:pt idx="3624">
                  <c:v>0.11332468572476186</c:v>
                </c:pt>
                <c:pt idx="3625">
                  <c:v>0.11332468572476186</c:v>
                </c:pt>
                <c:pt idx="3626">
                  <c:v>0.11332468572476186</c:v>
                </c:pt>
                <c:pt idx="3627">
                  <c:v>0.11332468572476186</c:v>
                </c:pt>
                <c:pt idx="3628">
                  <c:v>0.11332468572476186</c:v>
                </c:pt>
                <c:pt idx="3629">
                  <c:v>0.11332468572476186</c:v>
                </c:pt>
                <c:pt idx="3630">
                  <c:v>0.11332468572476186</c:v>
                </c:pt>
                <c:pt idx="3631">
                  <c:v>0.11332468572476186</c:v>
                </c:pt>
                <c:pt idx="3632">
                  <c:v>0.11332468572476186</c:v>
                </c:pt>
                <c:pt idx="3633">
                  <c:v>0.11332468572476186</c:v>
                </c:pt>
                <c:pt idx="3634">
                  <c:v>0.11332468572476186</c:v>
                </c:pt>
                <c:pt idx="3635">
                  <c:v>0.11332468572476186</c:v>
                </c:pt>
                <c:pt idx="3636">
                  <c:v>0.11332468572476186</c:v>
                </c:pt>
                <c:pt idx="3637">
                  <c:v>0.11332468572476186</c:v>
                </c:pt>
                <c:pt idx="3638">
                  <c:v>0.11332468572476186</c:v>
                </c:pt>
                <c:pt idx="3639">
                  <c:v>0.11332468572476186</c:v>
                </c:pt>
                <c:pt idx="3640">
                  <c:v>0.11332468572476186</c:v>
                </c:pt>
                <c:pt idx="3641">
                  <c:v>0.11332468572476186</c:v>
                </c:pt>
                <c:pt idx="3642">
                  <c:v>0.11332468572476186</c:v>
                </c:pt>
                <c:pt idx="3643">
                  <c:v>0.11332468572476186</c:v>
                </c:pt>
                <c:pt idx="3644">
                  <c:v>0.11332468572476186</c:v>
                </c:pt>
                <c:pt idx="3645">
                  <c:v>0.11332468572476186</c:v>
                </c:pt>
                <c:pt idx="3646">
                  <c:v>0.11332468572476186</c:v>
                </c:pt>
                <c:pt idx="3647">
                  <c:v>0.11332468572476186</c:v>
                </c:pt>
                <c:pt idx="3648">
                  <c:v>0.11332468572476186</c:v>
                </c:pt>
                <c:pt idx="3649">
                  <c:v>0.11332468572476186</c:v>
                </c:pt>
                <c:pt idx="3650">
                  <c:v>0.11332468572476186</c:v>
                </c:pt>
                <c:pt idx="3651">
                  <c:v>0.11332468572476186</c:v>
                </c:pt>
                <c:pt idx="3652">
                  <c:v>0.11332468572476186</c:v>
                </c:pt>
                <c:pt idx="3653">
                  <c:v>0.11332468572476186</c:v>
                </c:pt>
                <c:pt idx="3654">
                  <c:v>0.11332468572476186</c:v>
                </c:pt>
                <c:pt idx="3655">
                  <c:v>0.11332468572476186</c:v>
                </c:pt>
                <c:pt idx="3656">
                  <c:v>0.11332468572476186</c:v>
                </c:pt>
                <c:pt idx="3657">
                  <c:v>0.11332468572476186</c:v>
                </c:pt>
                <c:pt idx="3658">
                  <c:v>0.11332468572476186</c:v>
                </c:pt>
                <c:pt idx="3659">
                  <c:v>0.11332468572476186</c:v>
                </c:pt>
                <c:pt idx="3660">
                  <c:v>0.11332468572476186</c:v>
                </c:pt>
                <c:pt idx="3661">
                  <c:v>0.11332468572476186</c:v>
                </c:pt>
                <c:pt idx="3662">
                  <c:v>0.11332468572476186</c:v>
                </c:pt>
                <c:pt idx="3663">
                  <c:v>0.11332468572476186</c:v>
                </c:pt>
                <c:pt idx="3664">
                  <c:v>0.11332468572476186</c:v>
                </c:pt>
                <c:pt idx="3665">
                  <c:v>0.11332468572476186</c:v>
                </c:pt>
                <c:pt idx="3666">
                  <c:v>0.11332468572476186</c:v>
                </c:pt>
                <c:pt idx="3667">
                  <c:v>0.11332468572476186</c:v>
                </c:pt>
                <c:pt idx="3668">
                  <c:v>0.11332468572476186</c:v>
                </c:pt>
                <c:pt idx="3669">
                  <c:v>0.11332468572476186</c:v>
                </c:pt>
                <c:pt idx="3670">
                  <c:v>0.11332468572476186</c:v>
                </c:pt>
                <c:pt idx="3671">
                  <c:v>0.11332468572476186</c:v>
                </c:pt>
                <c:pt idx="3672">
                  <c:v>0.11332468572476186</c:v>
                </c:pt>
                <c:pt idx="3673">
                  <c:v>0.11332468572476186</c:v>
                </c:pt>
                <c:pt idx="3674">
                  <c:v>0.11332468572476186</c:v>
                </c:pt>
                <c:pt idx="3675">
                  <c:v>0.11332468572476186</c:v>
                </c:pt>
                <c:pt idx="3676">
                  <c:v>0.11332468572476186</c:v>
                </c:pt>
                <c:pt idx="3677">
                  <c:v>0.11332468572476186</c:v>
                </c:pt>
                <c:pt idx="3678">
                  <c:v>0.11332468572476186</c:v>
                </c:pt>
                <c:pt idx="3679">
                  <c:v>0.11332468572476186</c:v>
                </c:pt>
                <c:pt idx="3680">
                  <c:v>0.11332468572476186</c:v>
                </c:pt>
                <c:pt idx="3681">
                  <c:v>0.11332468572476186</c:v>
                </c:pt>
                <c:pt idx="3682">
                  <c:v>0.11332468572476186</c:v>
                </c:pt>
                <c:pt idx="3683">
                  <c:v>0.11332468572476186</c:v>
                </c:pt>
                <c:pt idx="3684">
                  <c:v>0.11332468572476186</c:v>
                </c:pt>
                <c:pt idx="3685">
                  <c:v>0.11332468572476186</c:v>
                </c:pt>
                <c:pt idx="3686">
                  <c:v>0.11332468572476186</c:v>
                </c:pt>
                <c:pt idx="3687">
                  <c:v>0.11332468572476186</c:v>
                </c:pt>
                <c:pt idx="3688">
                  <c:v>0.11332468572476186</c:v>
                </c:pt>
                <c:pt idx="3689">
                  <c:v>0.11332468572476186</c:v>
                </c:pt>
                <c:pt idx="3690">
                  <c:v>0.11332468572476186</c:v>
                </c:pt>
                <c:pt idx="3691">
                  <c:v>0.11332468572476186</c:v>
                </c:pt>
                <c:pt idx="3692">
                  <c:v>0.11332468572476186</c:v>
                </c:pt>
                <c:pt idx="3693">
                  <c:v>0.11332468572476186</c:v>
                </c:pt>
                <c:pt idx="3694">
                  <c:v>0.11332468572476186</c:v>
                </c:pt>
                <c:pt idx="3695">
                  <c:v>0.11332468572476186</c:v>
                </c:pt>
                <c:pt idx="3696">
                  <c:v>0.11332468572476186</c:v>
                </c:pt>
                <c:pt idx="3697">
                  <c:v>0.11332468572476186</c:v>
                </c:pt>
                <c:pt idx="3698">
                  <c:v>0.11332468572476186</c:v>
                </c:pt>
                <c:pt idx="3699">
                  <c:v>0.11332468572476186</c:v>
                </c:pt>
                <c:pt idx="3700">
                  <c:v>0.11332468572476186</c:v>
                </c:pt>
                <c:pt idx="3701">
                  <c:v>0.11332468572476186</c:v>
                </c:pt>
                <c:pt idx="3702">
                  <c:v>0.11332468572476186</c:v>
                </c:pt>
                <c:pt idx="3703">
                  <c:v>0.11332468572476186</c:v>
                </c:pt>
                <c:pt idx="3704">
                  <c:v>0.11332468572476186</c:v>
                </c:pt>
                <c:pt idx="3705">
                  <c:v>0.11332468572476186</c:v>
                </c:pt>
                <c:pt idx="3706">
                  <c:v>0.11332468572476186</c:v>
                </c:pt>
                <c:pt idx="3707">
                  <c:v>0.11332468572476186</c:v>
                </c:pt>
                <c:pt idx="3708">
                  <c:v>0.11332468572476186</c:v>
                </c:pt>
                <c:pt idx="3709">
                  <c:v>0.11332468572476186</c:v>
                </c:pt>
                <c:pt idx="3710">
                  <c:v>0.11332468572476186</c:v>
                </c:pt>
                <c:pt idx="3711">
                  <c:v>0.11332468572476186</c:v>
                </c:pt>
                <c:pt idx="3712">
                  <c:v>0.11332468572476186</c:v>
                </c:pt>
                <c:pt idx="3713">
                  <c:v>0.11332468572476186</c:v>
                </c:pt>
                <c:pt idx="3714">
                  <c:v>0.11332468572476186</c:v>
                </c:pt>
                <c:pt idx="3715">
                  <c:v>0.11332468572476186</c:v>
                </c:pt>
                <c:pt idx="3716">
                  <c:v>0.11332468572476186</c:v>
                </c:pt>
                <c:pt idx="3717">
                  <c:v>0.11332468572476186</c:v>
                </c:pt>
                <c:pt idx="3718">
                  <c:v>0.11332468572476186</c:v>
                </c:pt>
                <c:pt idx="3719">
                  <c:v>0.11332468572476186</c:v>
                </c:pt>
                <c:pt idx="3720">
                  <c:v>0.11332468572476186</c:v>
                </c:pt>
                <c:pt idx="3721">
                  <c:v>0.11332468572476186</c:v>
                </c:pt>
                <c:pt idx="3722">
                  <c:v>0.11332468572476186</c:v>
                </c:pt>
                <c:pt idx="3723">
                  <c:v>0.11332468572476186</c:v>
                </c:pt>
                <c:pt idx="3724">
                  <c:v>0.11332468572476186</c:v>
                </c:pt>
                <c:pt idx="3725">
                  <c:v>0.11332468572476186</c:v>
                </c:pt>
                <c:pt idx="3726">
                  <c:v>0.11332468572476186</c:v>
                </c:pt>
                <c:pt idx="3727">
                  <c:v>0.11332468572476186</c:v>
                </c:pt>
                <c:pt idx="3728">
                  <c:v>0.11332468572476186</c:v>
                </c:pt>
                <c:pt idx="3729">
                  <c:v>0.11332468572476186</c:v>
                </c:pt>
                <c:pt idx="3730">
                  <c:v>0.11332468572476186</c:v>
                </c:pt>
                <c:pt idx="3731">
                  <c:v>0.11332468572476186</c:v>
                </c:pt>
                <c:pt idx="3732">
                  <c:v>0.11332468572476186</c:v>
                </c:pt>
                <c:pt idx="3733">
                  <c:v>0.11332468572476186</c:v>
                </c:pt>
                <c:pt idx="3734">
                  <c:v>0.11332468572476186</c:v>
                </c:pt>
                <c:pt idx="3735">
                  <c:v>0.11332468572476186</c:v>
                </c:pt>
                <c:pt idx="3736">
                  <c:v>0.11332468572476186</c:v>
                </c:pt>
                <c:pt idx="3737">
                  <c:v>0.11332468572476186</c:v>
                </c:pt>
                <c:pt idx="3738">
                  <c:v>0.11332468572476186</c:v>
                </c:pt>
                <c:pt idx="3739">
                  <c:v>0.11332468572476186</c:v>
                </c:pt>
                <c:pt idx="3740">
                  <c:v>0.11332468572476186</c:v>
                </c:pt>
                <c:pt idx="3741">
                  <c:v>0.11332468572476186</c:v>
                </c:pt>
                <c:pt idx="3742">
                  <c:v>0.11332468572476186</c:v>
                </c:pt>
                <c:pt idx="3743">
                  <c:v>0.11332468572476186</c:v>
                </c:pt>
                <c:pt idx="3744">
                  <c:v>0.11332468572476186</c:v>
                </c:pt>
                <c:pt idx="3745">
                  <c:v>0.11332468572476186</c:v>
                </c:pt>
                <c:pt idx="3746">
                  <c:v>0.11332468572476186</c:v>
                </c:pt>
                <c:pt idx="3747">
                  <c:v>0.11332468572476186</c:v>
                </c:pt>
                <c:pt idx="3748">
                  <c:v>0.11332468572476186</c:v>
                </c:pt>
                <c:pt idx="3749">
                  <c:v>0.11332468572476186</c:v>
                </c:pt>
                <c:pt idx="3750">
                  <c:v>0.11332468572476186</c:v>
                </c:pt>
                <c:pt idx="3751">
                  <c:v>0.11332468572476186</c:v>
                </c:pt>
                <c:pt idx="3752">
                  <c:v>0.11332468572476186</c:v>
                </c:pt>
                <c:pt idx="3753">
                  <c:v>0.11332468572476186</c:v>
                </c:pt>
                <c:pt idx="3754">
                  <c:v>0.11332468572476186</c:v>
                </c:pt>
                <c:pt idx="3755">
                  <c:v>0.11332468572476186</c:v>
                </c:pt>
                <c:pt idx="3756">
                  <c:v>0.11332468572476186</c:v>
                </c:pt>
                <c:pt idx="3757">
                  <c:v>0.11332468572476186</c:v>
                </c:pt>
                <c:pt idx="3758">
                  <c:v>0.11332468572476186</c:v>
                </c:pt>
                <c:pt idx="3759">
                  <c:v>0.11332468572476186</c:v>
                </c:pt>
                <c:pt idx="3760">
                  <c:v>0.11332468572476186</c:v>
                </c:pt>
                <c:pt idx="3761">
                  <c:v>0.11332468572476186</c:v>
                </c:pt>
                <c:pt idx="3762">
                  <c:v>0.11332468572476186</c:v>
                </c:pt>
                <c:pt idx="3763">
                  <c:v>0.11332468572476186</c:v>
                </c:pt>
                <c:pt idx="3764">
                  <c:v>0.11332468572476186</c:v>
                </c:pt>
                <c:pt idx="3765">
                  <c:v>0.11332468572476186</c:v>
                </c:pt>
                <c:pt idx="3766">
                  <c:v>0.11332468572476186</c:v>
                </c:pt>
                <c:pt idx="3767">
                  <c:v>0.11332468572476186</c:v>
                </c:pt>
                <c:pt idx="3768">
                  <c:v>0.11332468572476186</c:v>
                </c:pt>
                <c:pt idx="3769">
                  <c:v>0.11332468572476186</c:v>
                </c:pt>
                <c:pt idx="3770">
                  <c:v>0.11332468572476186</c:v>
                </c:pt>
                <c:pt idx="3771">
                  <c:v>0.11332468572476186</c:v>
                </c:pt>
                <c:pt idx="3772">
                  <c:v>0.11332468572476186</c:v>
                </c:pt>
                <c:pt idx="3773">
                  <c:v>0.11332468572476186</c:v>
                </c:pt>
                <c:pt idx="3774">
                  <c:v>0.11332468572476186</c:v>
                </c:pt>
                <c:pt idx="3775">
                  <c:v>0.11332468572476186</c:v>
                </c:pt>
                <c:pt idx="3776">
                  <c:v>0.11332468572476186</c:v>
                </c:pt>
                <c:pt idx="3777">
                  <c:v>0.11332468572476186</c:v>
                </c:pt>
                <c:pt idx="3778">
                  <c:v>0.11332468572476186</c:v>
                </c:pt>
                <c:pt idx="3779">
                  <c:v>0.11332468572476186</c:v>
                </c:pt>
                <c:pt idx="3780">
                  <c:v>0.11332468572476186</c:v>
                </c:pt>
                <c:pt idx="3781">
                  <c:v>0.11332468572476186</c:v>
                </c:pt>
                <c:pt idx="3782">
                  <c:v>0.11332468572476186</c:v>
                </c:pt>
                <c:pt idx="3783">
                  <c:v>0.11332468572476186</c:v>
                </c:pt>
                <c:pt idx="3784">
                  <c:v>0.11332468572476186</c:v>
                </c:pt>
                <c:pt idx="3785">
                  <c:v>0.11332468572476186</c:v>
                </c:pt>
                <c:pt idx="3786">
                  <c:v>0.11332468572476186</c:v>
                </c:pt>
                <c:pt idx="3787">
                  <c:v>0.11332468572476186</c:v>
                </c:pt>
                <c:pt idx="3788">
                  <c:v>0.11332468572476186</c:v>
                </c:pt>
                <c:pt idx="3789">
                  <c:v>0.11332468572476186</c:v>
                </c:pt>
                <c:pt idx="3790">
                  <c:v>0.11332468572476186</c:v>
                </c:pt>
                <c:pt idx="3791">
                  <c:v>0.11332468572476186</c:v>
                </c:pt>
                <c:pt idx="3792">
                  <c:v>0.11332468572476186</c:v>
                </c:pt>
                <c:pt idx="3793">
                  <c:v>0.11332468572476186</c:v>
                </c:pt>
                <c:pt idx="3794">
                  <c:v>0.11332468572476186</c:v>
                </c:pt>
                <c:pt idx="3795">
                  <c:v>0.11332468572476186</c:v>
                </c:pt>
                <c:pt idx="3796">
                  <c:v>0.11332468572476186</c:v>
                </c:pt>
                <c:pt idx="3797">
                  <c:v>0.11332468572476186</c:v>
                </c:pt>
                <c:pt idx="3798">
                  <c:v>0.11332468572476186</c:v>
                </c:pt>
                <c:pt idx="3799">
                  <c:v>0.11332468572476186</c:v>
                </c:pt>
                <c:pt idx="3800">
                  <c:v>0.11332468572476186</c:v>
                </c:pt>
                <c:pt idx="3801">
                  <c:v>0.11332468572476186</c:v>
                </c:pt>
                <c:pt idx="3802">
                  <c:v>0.11332468572476186</c:v>
                </c:pt>
                <c:pt idx="3803">
                  <c:v>0.11332468572476186</c:v>
                </c:pt>
                <c:pt idx="3804">
                  <c:v>0.11332468572476186</c:v>
                </c:pt>
                <c:pt idx="3805">
                  <c:v>0.11332468572476186</c:v>
                </c:pt>
                <c:pt idx="3806">
                  <c:v>0.11332468572476186</c:v>
                </c:pt>
                <c:pt idx="3807">
                  <c:v>0.11332468572476186</c:v>
                </c:pt>
                <c:pt idx="3808">
                  <c:v>0.11332468572476186</c:v>
                </c:pt>
                <c:pt idx="3809">
                  <c:v>0.11332468572476186</c:v>
                </c:pt>
                <c:pt idx="3810">
                  <c:v>0.11332468572476186</c:v>
                </c:pt>
                <c:pt idx="3811">
                  <c:v>0.11332468572476186</c:v>
                </c:pt>
                <c:pt idx="3812">
                  <c:v>0.11332468572476186</c:v>
                </c:pt>
                <c:pt idx="3813">
                  <c:v>0.11332468572476186</c:v>
                </c:pt>
                <c:pt idx="3814">
                  <c:v>0.11332468572476186</c:v>
                </c:pt>
                <c:pt idx="3815">
                  <c:v>0.11332468572476186</c:v>
                </c:pt>
                <c:pt idx="3816">
                  <c:v>0.11332468572476186</c:v>
                </c:pt>
                <c:pt idx="3817">
                  <c:v>0.11332468572476186</c:v>
                </c:pt>
                <c:pt idx="3818">
                  <c:v>0.11332468572476186</c:v>
                </c:pt>
                <c:pt idx="3819">
                  <c:v>0.11332468572476186</c:v>
                </c:pt>
                <c:pt idx="3820">
                  <c:v>0.11332468572476186</c:v>
                </c:pt>
                <c:pt idx="3821">
                  <c:v>0.11332468572476186</c:v>
                </c:pt>
                <c:pt idx="3822">
                  <c:v>0.11332468572476186</c:v>
                </c:pt>
                <c:pt idx="3823">
                  <c:v>0.11332468572476186</c:v>
                </c:pt>
                <c:pt idx="3824">
                  <c:v>0.11332468572476186</c:v>
                </c:pt>
                <c:pt idx="3825">
                  <c:v>0.11332468572476186</c:v>
                </c:pt>
                <c:pt idx="3826">
                  <c:v>0.11332468572476186</c:v>
                </c:pt>
                <c:pt idx="3827">
                  <c:v>0.11332468572476186</c:v>
                </c:pt>
                <c:pt idx="3828">
                  <c:v>0.11332468572476186</c:v>
                </c:pt>
                <c:pt idx="3829">
                  <c:v>0.11332468572476186</c:v>
                </c:pt>
                <c:pt idx="3830">
                  <c:v>0.11332468572476186</c:v>
                </c:pt>
                <c:pt idx="3831">
                  <c:v>0.11332468572476186</c:v>
                </c:pt>
                <c:pt idx="3832">
                  <c:v>0.11332468572476186</c:v>
                </c:pt>
                <c:pt idx="3833">
                  <c:v>0.11332468572476186</c:v>
                </c:pt>
                <c:pt idx="3834">
                  <c:v>0.11332468572476186</c:v>
                </c:pt>
                <c:pt idx="3835">
                  <c:v>0.11332468572476186</c:v>
                </c:pt>
                <c:pt idx="3836">
                  <c:v>0.11332468572476186</c:v>
                </c:pt>
                <c:pt idx="3837">
                  <c:v>0.11332468572476186</c:v>
                </c:pt>
                <c:pt idx="3838">
                  <c:v>0.11332468572476186</c:v>
                </c:pt>
                <c:pt idx="3839">
                  <c:v>0.11332468572476186</c:v>
                </c:pt>
                <c:pt idx="3840">
                  <c:v>0.11332468572476186</c:v>
                </c:pt>
                <c:pt idx="3841">
                  <c:v>0.11332468572476186</c:v>
                </c:pt>
                <c:pt idx="3842">
                  <c:v>0.11332468572476186</c:v>
                </c:pt>
                <c:pt idx="3843">
                  <c:v>0.11332468572476186</c:v>
                </c:pt>
                <c:pt idx="3844">
                  <c:v>0.11332468572476186</c:v>
                </c:pt>
                <c:pt idx="3845">
                  <c:v>0.11332468572476186</c:v>
                </c:pt>
                <c:pt idx="3846">
                  <c:v>0.11332468572476186</c:v>
                </c:pt>
                <c:pt idx="3847">
                  <c:v>0.11332468572476186</c:v>
                </c:pt>
                <c:pt idx="3848">
                  <c:v>0.11332468572476186</c:v>
                </c:pt>
                <c:pt idx="3849">
                  <c:v>0.11332468572476186</c:v>
                </c:pt>
                <c:pt idx="3850">
                  <c:v>0.11332468572476186</c:v>
                </c:pt>
                <c:pt idx="3851">
                  <c:v>0.11332468572476186</c:v>
                </c:pt>
                <c:pt idx="3852">
                  <c:v>0.11332468572476186</c:v>
                </c:pt>
                <c:pt idx="3853">
                  <c:v>0.11332468572476186</c:v>
                </c:pt>
                <c:pt idx="3854">
                  <c:v>0.11332468572476186</c:v>
                </c:pt>
                <c:pt idx="3855">
                  <c:v>0.11332468572476186</c:v>
                </c:pt>
                <c:pt idx="3856">
                  <c:v>0.11332468572476186</c:v>
                </c:pt>
                <c:pt idx="3857">
                  <c:v>0.11332468572476186</c:v>
                </c:pt>
                <c:pt idx="3858">
                  <c:v>0.11332468572476186</c:v>
                </c:pt>
                <c:pt idx="3859">
                  <c:v>0.11332468572476186</c:v>
                </c:pt>
                <c:pt idx="3860">
                  <c:v>0.11332468572476186</c:v>
                </c:pt>
                <c:pt idx="3861">
                  <c:v>0.11332468572476186</c:v>
                </c:pt>
                <c:pt idx="3862">
                  <c:v>0.11332468572476186</c:v>
                </c:pt>
                <c:pt idx="3863">
                  <c:v>0.11332468572476186</c:v>
                </c:pt>
                <c:pt idx="3864">
                  <c:v>0.11332468572476186</c:v>
                </c:pt>
                <c:pt idx="3865">
                  <c:v>0.11332468572476186</c:v>
                </c:pt>
                <c:pt idx="3866">
                  <c:v>0.11332468572476186</c:v>
                </c:pt>
                <c:pt idx="3867">
                  <c:v>0.11332468572476186</c:v>
                </c:pt>
                <c:pt idx="3868">
                  <c:v>0.11332468572476186</c:v>
                </c:pt>
                <c:pt idx="3869">
                  <c:v>0.11332468572476186</c:v>
                </c:pt>
                <c:pt idx="3870">
                  <c:v>0.11332468572476186</c:v>
                </c:pt>
                <c:pt idx="3871">
                  <c:v>0.11332468572476186</c:v>
                </c:pt>
                <c:pt idx="3872">
                  <c:v>0.11332468572476186</c:v>
                </c:pt>
                <c:pt idx="3873">
                  <c:v>0.11332468572476186</c:v>
                </c:pt>
                <c:pt idx="3874">
                  <c:v>0.11332468572476186</c:v>
                </c:pt>
                <c:pt idx="3875">
                  <c:v>0.11332468572476186</c:v>
                </c:pt>
                <c:pt idx="3876">
                  <c:v>0.11332468572476186</c:v>
                </c:pt>
                <c:pt idx="3877">
                  <c:v>0.11332468572476186</c:v>
                </c:pt>
                <c:pt idx="3878">
                  <c:v>0.11332468572476186</c:v>
                </c:pt>
                <c:pt idx="3879">
                  <c:v>0.11332468572476186</c:v>
                </c:pt>
                <c:pt idx="3880">
                  <c:v>0.11332468572476186</c:v>
                </c:pt>
                <c:pt idx="3881">
                  <c:v>0.11332468572476186</c:v>
                </c:pt>
                <c:pt idx="3882">
                  <c:v>0.11332468572476186</c:v>
                </c:pt>
                <c:pt idx="3883">
                  <c:v>0.11332468572476186</c:v>
                </c:pt>
                <c:pt idx="3884">
                  <c:v>0.11332468572476186</c:v>
                </c:pt>
                <c:pt idx="3885">
                  <c:v>0.11332468572476186</c:v>
                </c:pt>
                <c:pt idx="3886">
                  <c:v>0.11332468572476186</c:v>
                </c:pt>
                <c:pt idx="3887">
                  <c:v>0.11332468572476186</c:v>
                </c:pt>
                <c:pt idx="3888">
                  <c:v>0.11332468572476186</c:v>
                </c:pt>
                <c:pt idx="3889">
                  <c:v>0.11332468572476186</c:v>
                </c:pt>
                <c:pt idx="3890">
                  <c:v>0.11332468572476186</c:v>
                </c:pt>
                <c:pt idx="3891">
                  <c:v>0.11332468572476186</c:v>
                </c:pt>
                <c:pt idx="3892">
                  <c:v>0.11332468572476186</c:v>
                </c:pt>
                <c:pt idx="3893">
                  <c:v>0.11332468572476186</c:v>
                </c:pt>
                <c:pt idx="3894">
                  <c:v>0.11332468572476186</c:v>
                </c:pt>
                <c:pt idx="3895">
                  <c:v>0.11332468572476186</c:v>
                </c:pt>
                <c:pt idx="3896">
                  <c:v>0.11332468572476186</c:v>
                </c:pt>
                <c:pt idx="3897">
                  <c:v>0.11332468572476186</c:v>
                </c:pt>
                <c:pt idx="3898">
                  <c:v>0.11332468572476186</c:v>
                </c:pt>
                <c:pt idx="3899">
                  <c:v>0.11332468572476186</c:v>
                </c:pt>
                <c:pt idx="3900">
                  <c:v>0.11332468572476186</c:v>
                </c:pt>
                <c:pt idx="3901">
                  <c:v>0.11332468572476186</c:v>
                </c:pt>
                <c:pt idx="3902">
                  <c:v>0.11332468572476186</c:v>
                </c:pt>
                <c:pt idx="3903">
                  <c:v>0.11332468572476186</c:v>
                </c:pt>
                <c:pt idx="3904">
                  <c:v>0.11332468572476186</c:v>
                </c:pt>
                <c:pt idx="3905">
                  <c:v>0.11332468572476186</c:v>
                </c:pt>
                <c:pt idx="3906">
                  <c:v>0.11332468572476186</c:v>
                </c:pt>
                <c:pt idx="3907">
                  <c:v>0.11332468572476186</c:v>
                </c:pt>
                <c:pt idx="3908">
                  <c:v>0.11332468572476186</c:v>
                </c:pt>
                <c:pt idx="3909">
                  <c:v>0.11332468572476186</c:v>
                </c:pt>
                <c:pt idx="3910">
                  <c:v>0.11332468572476186</c:v>
                </c:pt>
                <c:pt idx="3911">
                  <c:v>0.11332468572476186</c:v>
                </c:pt>
                <c:pt idx="3912">
                  <c:v>0.11332468572476186</c:v>
                </c:pt>
                <c:pt idx="3913">
                  <c:v>0.11332468572476186</c:v>
                </c:pt>
                <c:pt idx="3914">
                  <c:v>0.11332468572476186</c:v>
                </c:pt>
                <c:pt idx="3915">
                  <c:v>0.11332468572476186</c:v>
                </c:pt>
                <c:pt idx="3916">
                  <c:v>0.11332468572476186</c:v>
                </c:pt>
                <c:pt idx="3917">
                  <c:v>0.11332468572476186</c:v>
                </c:pt>
                <c:pt idx="3918">
                  <c:v>0.11332468572476186</c:v>
                </c:pt>
                <c:pt idx="3919">
                  <c:v>0.11332468572476186</c:v>
                </c:pt>
                <c:pt idx="3920">
                  <c:v>0.11332468572476186</c:v>
                </c:pt>
                <c:pt idx="3921">
                  <c:v>0.11332468572476186</c:v>
                </c:pt>
                <c:pt idx="3922">
                  <c:v>0.11332468572476186</c:v>
                </c:pt>
                <c:pt idx="3923">
                  <c:v>0.11332468572476186</c:v>
                </c:pt>
                <c:pt idx="3924">
                  <c:v>0.11332468572476186</c:v>
                </c:pt>
                <c:pt idx="3925">
                  <c:v>0.11332468572476186</c:v>
                </c:pt>
                <c:pt idx="3926">
                  <c:v>0.11332468572476186</c:v>
                </c:pt>
                <c:pt idx="3927">
                  <c:v>0.11332468572476186</c:v>
                </c:pt>
                <c:pt idx="3928">
                  <c:v>0.11332468572476186</c:v>
                </c:pt>
                <c:pt idx="3929">
                  <c:v>0.11332468572476186</c:v>
                </c:pt>
                <c:pt idx="3930">
                  <c:v>0.11332468572476186</c:v>
                </c:pt>
                <c:pt idx="3931">
                  <c:v>0.11332468572476186</c:v>
                </c:pt>
                <c:pt idx="3932">
                  <c:v>0.11332468572476186</c:v>
                </c:pt>
                <c:pt idx="3933">
                  <c:v>0.11332468572476186</c:v>
                </c:pt>
                <c:pt idx="3934">
                  <c:v>0.11332468572476186</c:v>
                </c:pt>
                <c:pt idx="3935">
                  <c:v>0.11332468572476186</c:v>
                </c:pt>
                <c:pt idx="3936">
                  <c:v>0.11332468572476186</c:v>
                </c:pt>
                <c:pt idx="3937">
                  <c:v>0.11332468572476186</c:v>
                </c:pt>
                <c:pt idx="3938">
                  <c:v>0.11332468572476186</c:v>
                </c:pt>
                <c:pt idx="3939">
                  <c:v>0.11332468572476186</c:v>
                </c:pt>
                <c:pt idx="3940">
                  <c:v>0.11332468572476186</c:v>
                </c:pt>
                <c:pt idx="3941">
                  <c:v>0.11332468572476186</c:v>
                </c:pt>
                <c:pt idx="3942">
                  <c:v>0.11332468572476186</c:v>
                </c:pt>
                <c:pt idx="3943">
                  <c:v>0.11332468572476186</c:v>
                </c:pt>
                <c:pt idx="3944">
                  <c:v>0.11332468572476186</c:v>
                </c:pt>
                <c:pt idx="3945">
                  <c:v>0.11332468572476186</c:v>
                </c:pt>
                <c:pt idx="3946">
                  <c:v>0.11332468572476186</c:v>
                </c:pt>
                <c:pt idx="3947">
                  <c:v>0.11332468572476186</c:v>
                </c:pt>
                <c:pt idx="3948">
                  <c:v>0.11332468572476186</c:v>
                </c:pt>
                <c:pt idx="3949">
                  <c:v>0.11332468572476186</c:v>
                </c:pt>
                <c:pt idx="3950">
                  <c:v>0.11332468572476186</c:v>
                </c:pt>
                <c:pt idx="3951">
                  <c:v>0.11332468572476186</c:v>
                </c:pt>
                <c:pt idx="3952">
                  <c:v>0.11332468572476186</c:v>
                </c:pt>
                <c:pt idx="3953">
                  <c:v>0.11332468572476186</c:v>
                </c:pt>
                <c:pt idx="3954">
                  <c:v>0.11332468572476186</c:v>
                </c:pt>
                <c:pt idx="3955">
                  <c:v>0.11332468572476186</c:v>
                </c:pt>
                <c:pt idx="3956">
                  <c:v>0.11332468572476186</c:v>
                </c:pt>
                <c:pt idx="3957">
                  <c:v>0.11332468572476186</c:v>
                </c:pt>
                <c:pt idx="3958">
                  <c:v>0.11332468572476186</c:v>
                </c:pt>
                <c:pt idx="3959">
                  <c:v>0.11332468572476186</c:v>
                </c:pt>
                <c:pt idx="3960">
                  <c:v>0.11332468572476186</c:v>
                </c:pt>
                <c:pt idx="3961">
                  <c:v>0.11332468572476186</c:v>
                </c:pt>
                <c:pt idx="3962">
                  <c:v>0.11332468572476186</c:v>
                </c:pt>
                <c:pt idx="3963">
                  <c:v>0.11332468572476186</c:v>
                </c:pt>
                <c:pt idx="3964">
                  <c:v>0.11332468572476186</c:v>
                </c:pt>
                <c:pt idx="3965">
                  <c:v>0.11332468572476186</c:v>
                </c:pt>
                <c:pt idx="3966">
                  <c:v>0.11332468572476186</c:v>
                </c:pt>
                <c:pt idx="3967">
                  <c:v>0.11332468572476186</c:v>
                </c:pt>
                <c:pt idx="3968">
                  <c:v>0.11332468572476186</c:v>
                </c:pt>
                <c:pt idx="3969">
                  <c:v>0.11332468572476186</c:v>
                </c:pt>
                <c:pt idx="3970">
                  <c:v>0.11332468572476186</c:v>
                </c:pt>
                <c:pt idx="3971">
                  <c:v>0.11332468572476186</c:v>
                </c:pt>
                <c:pt idx="3972">
                  <c:v>0.11332468572476186</c:v>
                </c:pt>
                <c:pt idx="3973">
                  <c:v>0.11332468572476186</c:v>
                </c:pt>
                <c:pt idx="3974">
                  <c:v>0.11332468572476186</c:v>
                </c:pt>
                <c:pt idx="3975">
                  <c:v>0.11332468572476186</c:v>
                </c:pt>
                <c:pt idx="3976">
                  <c:v>0.11332468572476186</c:v>
                </c:pt>
                <c:pt idx="3977">
                  <c:v>0.11332468572476186</c:v>
                </c:pt>
                <c:pt idx="3978">
                  <c:v>0.11332468572476186</c:v>
                </c:pt>
                <c:pt idx="3979">
                  <c:v>0.11332468572476186</c:v>
                </c:pt>
                <c:pt idx="3980">
                  <c:v>0.11332468572476186</c:v>
                </c:pt>
                <c:pt idx="3981">
                  <c:v>0.11332468572476186</c:v>
                </c:pt>
                <c:pt idx="3982">
                  <c:v>0.11332468572476186</c:v>
                </c:pt>
                <c:pt idx="3983">
                  <c:v>0.11332468572476186</c:v>
                </c:pt>
                <c:pt idx="3984">
                  <c:v>0.11332468572476186</c:v>
                </c:pt>
                <c:pt idx="3985">
                  <c:v>0.11332468572476186</c:v>
                </c:pt>
                <c:pt idx="3986">
                  <c:v>0.11332468572476186</c:v>
                </c:pt>
                <c:pt idx="3987">
                  <c:v>0.11332468572476186</c:v>
                </c:pt>
                <c:pt idx="3988">
                  <c:v>0.11332468572476186</c:v>
                </c:pt>
                <c:pt idx="3989">
                  <c:v>0.11332468572476186</c:v>
                </c:pt>
                <c:pt idx="3990">
                  <c:v>0.11332468572476186</c:v>
                </c:pt>
                <c:pt idx="3991">
                  <c:v>0.11332468572476186</c:v>
                </c:pt>
                <c:pt idx="3992">
                  <c:v>0.11332468572476186</c:v>
                </c:pt>
                <c:pt idx="3993">
                  <c:v>0.11332468572476186</c:v>
                </c:pt>
                <c:pt idx="3994">
                  <c:v>0.11332468572476186</c:v>
                </c:pt>
                <c:pt idx="3995">
                  <c:v>0.11332468572476186</c:v>
                </c:pt>
                <c:pt idx="3996">
                  <c:v>0.11332468572476186</c:v>
                </c:pt>
                <c:pt idx="3997">
                  <c:v>0.11332468572476186</c:v>
                </c:pt>
                <c:pt idx="3998">
                  <c:v>0.11332468572476186</c:v>
                </c:pt>
                <c:pt idx="3999">
                  <c:v>0.11332468572476186</c:v>
                </c:pt>
                <c:pt idx="4000">
                  <c:v>0.11332468572476186</c:v>
                </c:pt>
                <c:pt idx="4001">
                  <c:v>0.11332468572476186</c:v>
                </c:pt>
                <c:pt idx="4002">
                  <c:v>0.11332468572476186</c:v>
                </c:pt>
                <c:pt idx="4003">
                  <c:v>0.11332468572476186</c:v>
                </c:pt>
                <c:pt idx="4004">
                  <c:v>0.11332468572476186</c:v>
                </c:pt>
                <c:pt idx="4005">
                  <c:v>0.11332468572476186</c:v>
                </c:pt>
                <c:pt idx="4006">
                  <c:v>0.11332468572476186</c:v>
                </c:pt>
                <c:pt idx="4007">
                  <c:v>0.11332468572476186</c:v>
                </c:pt>
                <c:pt idx="4008">
                  <c:v>0.11332468572476186</c:v>
                </c:pt>
                <c:pt idx="4009">
                  <c:v>0.11332468572476186</c:v>
                </c:pt>
                <c:pt idx="4010">
                  <c:v>0.11332468572476186</c:v>
                </c:pt>
                <c:pt idx="4011">
                  <c:v>0.11332468572476186</c:v>
                </c:pt>
                <c:pt idx="4012">
                  <c:v>0.11332468572476186</c:v>
                </c:pt>
                <c:pt idx="4013">
                  <c:v>0.11332468572476186</c:v>
                </c:pt>
                <c:pt idx="4014">
                  <c:v>0.11332468572476186</c:v>
                </c:pt>
                <c:pt idx="4015">
                  <c:v>0.11332468572476186</c:v>
                </c:pt>
                <c:pt idx="4016">
                  <c:v>0.11332468572476186</c:v>
                </c:pt>
                <c:pt idx="4017">
                  <c:v>0.11332468572476186</c:v>
                </c:pt>
                <c:pt idx="4018">
                  <c:v>0.11332468572476186</c:v>
                </c:pt>
                <c:pt idx="4019">
                  <c:v>0.11332468572476186</c:v>
                </c:pt>
                <c:pt idx="4020">
                  <c:v>0.11332468572476186</c:v>
                </c:pt>
                <c:pt idx="4021">
                  <c:v>0.11332468572476186</c:v>
                </c:pt>
                <c:pt idx="4022">
                  <c:v>0.11332468572476186</c:v>
                </c:pt>
                <c:pt idx="4023">
                  <c:v>0.11332468572476186</c:v>
                </c:pt>
                <c:pt idx="4024">
                  <c:v>0.11332468572476186</c:v>
                </c:pt>
                <c:pt idx="4025">
                  <c:v>0.11332468572476186</c:v>
                </c:pt>
                <c:pt idx="4026">
                  <c:v>0.11332468572476186</c:v>
                </c:pt>
                <c:pt idx="4027">
                  <c:v>0.11332468572476186</c:v>
                </c:pt>
                <c:pt idx="4028">
                  <c:v>0.11332468572476186</c:v>
                </c:pt>
                <c:pt idx="4029">
                  <c:v>0.11332468572476186</c:v>
                </c:pt>
                <c:pt idx="4030">
                  <c:v>0.11332468572476186</c:v>
                </c:pt>
                <c:pt idx="4031">
                  <c:v>0.11332468572476186</c:v>
                </c:pt>
                <c:pt idx="4032">
                  <c:v>0.11332468572476186</c:v>
                </c:pt>
                <c:pt idx="4033">
                  <c:v>0.11332468572476186</c:v>
                </c:pt>
                <c:pt idx="4034">
                  <c:v>0.11332468572476186</c:v>
                </c:pt>
                <c:pt idx="4035">
                  <c:v>0.11332468572476186</c:v>
                </c:pt>
                <c:pt idx="4036">
                  <c:v>0.11332468572476186</c:v>
                </c:pt>
                <c:pt idx="4037">
                  <c:v>0.11332468572476186</c:v>
                </c:pt>
                <c:pt idx="4038">
                  <c:v>0.11332468572476186</c:v>
                </c:pt>
                <c:pt idx="4039">
                  <c:v>0.11332468572476186</c:v>
                </c:pt>
                <c:pt idx="4040">
                  <c:v>0.11332468572476186</c:v>
                </c:pt>
                <c:pt idx="4041">
                  <c:v>0.11332468572476186</c:v>
                </c:pt>
                <c:pt idx="4042">
                  <c:v>0.11332468572476186</c:v>
                </c:pt>
                <c:pt idx="4043">
                  <c:v>0.11332468572476186</c:v>
                </c:pt>
                <c:pt idx="4044">
                  <c:v>0.11332468572476186</c:v>
                </c:pt>
                <c:pt idx="4045">
                  <c:v>0.11332468572476186</c:v>
                </c:pt>
                <c:pt idx="4046">
                  <c:v>0.11332468572476186</c:v>
                </c:pt>
                <c:pt idx="4047">
                  <c:v>0.11332468572476186</c:v>
                </c:pt>
                <c:pt idx="4048">
                  <c:v>0.11332468572476186</c:v>
                </c:pt>
                <c:pt idx="4049">
                  <c:v>0.11332468572476186</c:v>
                </c:pt>
                <c:pt idx="4050">
                  <c:v>0.11332468572476186</c:v>
                </c:pt>
                <c:pt idx="4051">
                  <c:v>0.11332468572476186</c:v>
                </c:pt>
                <c:pt idx="4052">
                  <c:v>0.11332468572476186</c:v>
                </c:pt>
                <c:pt idx="4053">
                  <c:v>0.11332468572476186</c:v>
                </c:pt>
                <c:pt idx="4054">
                  <c:v>0.11332468572476186</c:v>
                </c:pt>
                <c:pt idx="4055">
                  <c:v>0.11332468572476186</c:v>
                </c:pt>
                <c:pt idx="4056">
                  <c:v>0.11332468572476186</c:v>
                </c:pt>
                <c:pt idx="4057">
                  <c:v>0.11332468572476186</c:v>
                </c:pt>
                <c:pt idx="4058">
                  <c:v>0.11332468572476186</c:v>
                </c:pt>
                <c:pt idx="4059">
                  <c:v>0.11332468572476186</c:v>
                </c:pt>
                <c:pt idx="4060">
                  <c:v>0.11332468572476186</c:v>
                </c:pt>
                <c:pt idx="4061">
                  <c:v>0.11332468572476186</c:v>
                </c:pt>
                <c:pt idx="4062">
                  <c:v>0.11332468572476186</c:v>
                </c:pt>
                <c:pt idx="4063">
                  <c:v>0.11332468572476186</c:v>
                </c:pt>
                <c:pt idx="4064">
                  <c:v>0.11332468572476186</c:v>
                </c:pt>
                <c:pt idx="4065">
                  <c:v>0.11332468572476186</c:v>
                </c:pt>
                <c:pt idx="4066">
                  <c:v>0.11332468572476186</c:v>
                </c:pt>
                <c:pt idx="4067">
                  <c:v>0.11332468572476186</c:v>
                </c:pt>
                <c:pt idx="4068">
                  <c:v>0.11332468572476186</c:v>
                </c:pt>
                <c:pt idx="4069">
                  <c:v>0.11332468572476186</c:v>
                </c:pt>
                <c:pt idx="4070">
                  <c:v>0.11332468572476186</c:v>
                </c:pt>
                <c:pt idx="4071">
                  <c:v>0.11332468572476186</c:v>
                </c:pt>
                <c:pt idx="4072">
                  <c:v>0.11332468572476186</c:v>
                </c:pt>
                <c:pt idx="4073">
                  <c:v>0.11332468572476186</c:v>
                </c:pt>
                <c:pt idx="4074">
                  <c:v>0.11332468572476186</c:v>
                </c:pt>
                <c:pt idx="4075">
                  <c:v>0.11332468572476186</c:v>
                </c:pt>
                <c:pt idx="4076">
                  <c:v>0.11332468572476186</c:v>
                </c:pt>
                <c:pt idx="4077">
                  <c:v>0.11332468572476186</c:v>
                </c:pt>
                <c:pt idx="4078">
                  <c:v>0.11332468572476186</c:v>
                </c:pt>
                <c:pt idx="4079">
                  <c:v>0.11332468572476186</c:v>
                </c:pt>
                <c:pt idx="4080">
                  <c:v>0.11332468572476186</c:v>
                </c:pt>
                <c:pt idx="4081">
                  <c:v>0.11332468572476186</c:v>
                </c:pt>
                <c:pt idx="4082">
                  <c:v>0.11332468572476186</c:v>
                </c:pt>
                <c:pt idx="4083">
                  <c:v>0.11332468572476186</c:v>
                </c:pt>
                <c:pt idx="4084">
                  <c:v>0.11332468572476186</c:v>
                </c:pt>
                <c:pt idx="4085">
                  <c:v>0.11332468572476186</c:v>
                </c:pt>
                <c:pt idx="4086">
                  <c:v>0.11332468572476186</c:v>
                </c:pt>
                <c:pt idx="4087">
                  <c:v>0.11332468572476186</c:v>
                </c:pt>
                <c:pt idx="4088">
                  <c:v>0.11332468572476186</c:v>
                </c:pt>
                <c:pt idx="4089">
                  <c:v>0.11332468572476186</c:v>
                </c:pt>
                <c:pt idx="4090">
                  <c:v>0.11332468572476186</c:v>
                </c:pt>
                <c:pt idx="4091">
                  <c:v>0.11332468572476186</c:v>
                </c:pt>
                <c:pt idx="4092">
                  <c:v>0.11332468572476186</c:v>
                </c:pt>
                <c:pt idx="4093">
                  <c:v>0.11332468572476186</c:v>
                </c:pt>
                <c:pt idx="4094">
                  <c:v>0.11332468572476186</c:v>
                </c:pt>
                <c:pt idx="4095">
                  <c:v>0.11332468572476186</c:v>
                </c:pt>
                <c:pt idx="4096">
                  <c:v>0.11332468572476186</c:v>
                </c:pt>
                <c:pt idx="4097">
                  <c:v>0.11332468572476186</c:v>
                </c:pt>
                <c:pt idx="4098">
                  <c:v>0.11332468572476186</c:v>
                </c:pt>
                <c:pt idx="4099">
                  <c:v>0.11332468572476186</c:v>
                </c:pt>
                <c:pt idx="4100">
                  <c:v>0.11332468572476186</c:v>
                </c:pt>
                <c:pt idx="4101">
                  <c:v>0.11332468572476186</c:v>
                </c:pt>
                <c:pt idx="4102">
                  <c:v>0.11332468572476186</c:v>
                </c:pt>
                <c:pt idx="4103">
                  <c:v>0.11332468572476186</c:v>
                </c:pt>
                <c:pt idx="4104">
                  <c:v>0.11332468572476186</c:v>
                </c:pt>
                <c:pt idx="4105">
                  <c:v>0.11332468572476186</c:v>
                </c:pt>
                <c:pt idx="4106">
                  <c:v>0.11332468572476186</c:v>
                </c:pt>
                <c:pt idx="4107">
                  <c:v>0.11332468572476186</c:v>
                </c:pt>
                <c:pt idx="4108">
                  <c:v>0.11332468572476186</c:v>
                </c:pt>
                <c:pt idx="4109">
                  <c:v>0.11332468572476186</c:v>
                </c:pt>
                <c:pt idx="4110">
                  <c:v>0.11332468572476186</c:v>
                </c:pt>
                <c:pt idx="4111">
                  <c:v>0.11332468572476186</c:v>
                </c:pt>
                <c:pt idx="4112">
                  <c:v>0.11332468572476186</c:v>
                </c:pt>
                <c:pt idx="4113">
                  <c:v>0.11332468572476186</c:v>
                </c:pt>
                <c:pt idx="4114">
                  <c:v>0.11332468572476186</c:v>
                </c:pt>
                <c:pt idx="4115">
                  <c:v>0.11332468572476186</c:v>
                </c:pt>
                <c:pt idx="4116">
                  <c:v>0.11332468572476186</c:v>
                </c:pt>
                <c:pt idx="4117">
                  <c:v>0.11332468572476186</c:v>
                </c:pt>
                <c:pt idx="4118">
                  <c:v>0.11332468572476186</c:v>
                </c:pt>
                <c:pt idx="4119">
                  <c:v>0.11332468572476186</c:v>
                </c:pt>
                <c:pt idx="4120">
                  <c:v>0.11332468572476186</c:v>
                </c:pt>
                <c:pt idx="4121">
                  <c:v>0.11332468572476186</c:v>
                </c:pt>
                <c:pt idx="4122">
                  <c:v>0.11332468572476186</c:v>
                </c:pt>
                <c:pt idx="4123">
                  <c:v>0.11332468572476186</c:v>
                </c:pt>
                <c:pt idx="4124">
                  <c:v>0.11332468572476186</c:v>
                </c:pt>
                <c:pt idx="4125">
                  <c:v>0.11332468572476186</c:v>
                </c:pt>
                <c:pt idx="4126">
                  <c:v>0.11332468572476186</c:v>
                </c:pt>
                <c:pt idx="4127">
                  <c:v>0.11332468572476186</c:v>
                </c:pt>
                <c:pt idx="4128">
                  <c:v>0.11332468572476186</c:v>
                </c:pt>
                <c:pt idx="4129">
                  <c:v>0.11332468572476186</c:v>
                </c:pt>
                <c:pt idx="4130">
                  <c:v>0.11332468572476186</c:v>
                </c:pt>
                <c:pt idx="4131">
                  <c:v>0.11332468572476186</c:v>
                </c:pt>
                <c:pt idx="4132">
                  <c:v>0.11332468572476186</c:v>
                </c:pt>
                <c:pt idx="4133">
                  <c:v>0.11332468572476186</c:v>
                </c:pt>
                <c:pt idx="4134">
                  <c:v>0.11332468572476186</c:v>
                </c:pt>
                <c:pt idx="4135">
                  <c:v>0.11332468572476186</c:v>
                </c:pt>
                <c:pt idx="4136">
                  <c:v>0.11332468572476186</c:v>
                </c:pt>
                <c:pt idx="4137">
                  <c:v>0.11332468572476186</c:v>
                </c:pt>
                <c:pt idx="4138">
                  <c:v>0.11332468572476186</c:v>
                </c:pt>
                <c:pt idx="4139">
                  <c:v>0.11332468572476186</c:v>
                </c:pt>
                <c:pt idx="4140">
                  <c:v>0.11332468572476186</c:v>
                </c:pt>
                <c:pt idx="4141">
                  <c:v>0.11332468572476186</c:v>
                </c:pt>
                <c:pt idx="4142">
                  <c:v>0.11332468572476186</c:v>
                </c:pt>
                <c:pt idx="4143">
                  <c:v>0.11332468572476186</c:v>
                </c:pt>
                <c:pt idx="4144">
                  <c:v>0.11332468572476186</c:v>
                </c:pt>
                <c:pt idx="4145">
                  <c:v>0.11332468572476186</c:v>
                </c:pt>
                <c:pt idx="4146">
                  <c:v>0.11332468572476186</c:v>
                </c:pt>
                <c:pt idx="4147">
                  <c:v>0.11332468572476186</c:v>
                </c:pt>
                <c:pt idx="4148">
                  <c:v>0.11332468572476186</c:v>
                </c:pt>
                <c:pt idx="4149">
                  <c:v>0.11332468572476186</c:v>
                </c:pt>
                <c:pt idx="4150">
                  <c:v>0.11332468572476186</c:v>
                </c:pt>
                <c:pt idx="4151">
                  <c:v>0.11332468572476186</c:v>
                </c:pt>
                <c:pt idx="4152">
                  <c:v>0.11332468572476186</c:v>
                </c:pt>
                <c:pt idx="4153">
                  <c:v>0.11332468572476186</c:v>
                </c:pt>
                <c:pt idx="4154">
                  <c:v>0.11332468572476186</c:v>
                </c:pt>
                <c:pt idx="4155">
                  <c:v>0.11332468572476186</c:v>
                </c:pt>
                <c:pt idx="4156">
                  <c:v>0.11332468572476186</c:v>
                </c:pt>
                <c:pt idx="4157">
                  <c:v>0.11332468572476186</c:v>
                </c:pt>
                <c:pt idx="4158">
                  <c:v>0.11332468572476186</c:v>
                </c:pt>
                <c:pt idx="4159">
                  <c:v>0.11332468572476186</c:v>
                </c:pt>
                <c:pt idx="4160">
                  <c:v>0.11332468572476186</c:v>
                </c:pt>
                <c:pt idx="4161">
                  <c:v>0.11332468572476186</c:v>
                </c:pt>
                <c:pt idx="4162">
                  <c:v>0.11332468572476186</c:v>
                </c:pt>
                <c:pt idx="4163">
                  <c:v>0.11332468572476186</c:v>
                </c:pt>
                <c:pt idx="4164">
                  <c:v>0.11332468572476186</c:v>
                </c:pt>
                <c:pt idx="4165">
                  <c:v>0.11332468572476186</c:v>
                </c:pt>
                <c:pt idx="4166">
                  <c:v>0.11332468572476186</c:v>
                </c:pt>
                <c:pt idx="4167">
                  <c:v>0.11332468572476186</c:v>
                </c:pt>
                <c:pt idx="4168">
                  <c:v>0.11332468572476186</c:v>
                </c:pt>
                <c:pt idx="4169">
                  <c:v>0.11332468572476186</c:v>
                </c:pt>
                <c:pt idx="4170">
                  <c:v>0.11332468572476186</c:v>
                </c:pt>
                <c:pt idx="4171">
                  <c:v>0.11332468572476186</c:v>
                </c:pt>
                <c:pt idx="4172">
                  <c:v>0.11332468572476186</c:v>
                </c:pt>
                <c:pt idx="4173">
                  <c:v>0.11332468572476186</c:v>
                </c:pt>
                <c:pt idx="4174">
                  <c:v>0.11332468572476186</c:v>
                </c:pt>
                <c:pt idx="4175">
                  <c:v>0.11332468572476186</c:v>
                </c:pt>
                <c:pt idx="4176">
                  <c:v>0.11332468572476186</c:v>
                </c:pt>
                <c:pt idx="4177">
                  <c:v>0.11332468572476186</c:v>
                </c:pt>
                <c:pt idx="4178">
                  <c:v>0.11332468572476186</c:v>
                </c:pt>
                <c:pt idx="4179">
                  <c:v>0.11332468572476186</c:v>
                </c:pt>
                <c:pt idx="4180">
                  <c:v>0.11332468572476186</c:v>
                </c:pt>
                <c:pt idx="4181">
                  <c:v>0.11332468572476186</c:v>
                </c:pt>
                <c:pt idx="4182">
                  <c:v>0.11332468572476186</c:v>
                </c:pt>
                <c:pt idx="4183">
                  <c:v>0.11332468572476186</c:v>
                </c:pt>
                <c:pt idx="4184">
                  <c:v>0.11332468572476186</c:v>
                </c:pt>
                <c:pt idx="4185">
                  <c:v>0.11332468572476186</c:v>
                </c:pt>
                <c:pt idx="4186">
                  <c:v>0.11332468572476186</c:v>
                </c:pt>
                <c:pt idx="4187">
                  <c:v>0.11332468572476186</c:v>
                </c:pt>
                <c:pt idx="4188">
                  <c:v>0.11332468572476186</c:v>
                </c:pt>
                <c:pt idx="4189">
                  <c:v>0.11332468572476186</c:v>
                </c:pt>
                <c:pt idx="4190">
                  <c:v>0.11332468572476186</c:v>
                </c:pt>
                <c:pt idx="4191">
                  <c:v>0.11332468572476186</c:v>
                </c:pt>
                <c:pt idx="4192">
                  <c:v>0.11332468572476186</c:v>
                </c:pt>
                <c:pt idx="4193">
                  <c:v>0.11332468572476186</c:v>
                </c:pt>
                <c:pt idx="4194">
                  <c:v>0.11332468572476186</c:v>
                </c:pt>
                <c:pt idx="4195">
                  <c:v>0.11332468572476186</c:v>
                </c:pt>
                <c:pt idx="4196">
                  <c:v>0.11332468572476186</c:v>
                </c:pt>
                <c:pt idx="4197">
                  <c:v>0.11332468572476186</c:v>
                </c:pt>
                <c:pt idx="4198">
                  <c:v>0.11332468572476186</c:v>
                </c:pt>
                <c:pt idx="4199">
                  <c:v>0.11332468572476186</c:v>
                </c:pt>
                <c:pt idx="4200">
                  <c:v>0.11332468572476186</c:v>
                </c:pt>
                <c:pt idx="4201">
                  <c:v>0.11332468572476186</c:v>
                </c:pt>
                <c:pt idx="4202">
                  <c:v>0.11332468572476186</c:v>
                </c:pt>
                <c:pt idx="4203">
                  <c:v>0.11332468572476186</c:v>
                </c:pt>
                <c:pt idx="4204">
                  <c:v>0.11332468572476186</c:v>
                </c:pt>
                <c:pt idx="4205">
                  <c:v>0.11332468572476186</c:v>
                </c:pt>
                <c:pt idx="4206">
                  <c:v>0.11332468572476186</c:v>
                </c:pt>
                <c:pt idx="4207">
                  <c:v>0.11332468572476186</c:v>
                </c:pt>
                <c:pt idx="4208">
                  <c:v>0.11332468572476186</c:v>
                </c:pt>
                <c:pt idx="4209">
                  <c:v>0.11332468572476186</c:v>
                </c:pt>
                <c:pt idx="4210">
                  <c:v>0.11332468572476186</c:v>
                </c:pt>
                <c:pt idx="4211">
                  <c:v>0.11332468572476186</c:v>
                </c:pt>
                <c:pt idx="4212">
                  <c:v>0.11332468572476186</c:v>
                </c:pt>
                <c:pt idx="4213">
                  <c:v>0.11332468572476186</c:v>
                </c:pt>
                <c:pt idx="4214">
                  <c:v>0.11332468572476186</c:v>
                </c:pt>
                <c:pt idx="4215">
                  <c:v>0.11332468572476186</c:v>
                </c:pt>
                <c:pt idx="4216">
                  <c:v>0.11332468572476186</c:v>
                </c:pt>
                <c:pt idx="4217">
                  <c:v>0.11332468572476186</c:v>
                </c:pt>
                <c:pt idx="4218">
                  <c:v>0.11332468572476186</c:v>
                </c:pt>
                <c:pt idx="4219">
                  <c:v>0.11332468572476186</c:v>
                </c:pt>
                <c:pt idx="4220">
                  <c:v>0.11332468572476186</c:v>
                </c:pt>
                <c:pt idx="4221">
                  <c:v>0.11332468572476186</c:v>
                </c:pt>
                <c:pt idx="4222">
                  <c:v>0.11332468572476186</c:v>
                </c:pt>
                <c:pt idx="4223">
                  <c:v>0.11332468572476186</c:v>
                </c:pt>
                <c:pt idx="4224">
                  <c:v>0.11332468572476186</c:v>
                </c:pt>
                <c:pt idx="4225">
                  <c:v>0.11332468572476186</c:v>
                </c:pt>
                <c:pt idx="4226">
                  <c:v>0.11332468572476186</c:v>
                </c:pt>
                <c:pt idx="4227">
                  <c:v>0.11332468572476186</c:v>
                </c:pt>
                <c:pt idx="4228">
                  <c:v>0.11332468572476186</c:v>
                </c:pt>
                <c:pt idx="4229">
                  <c:v>0.11332468572476186</c:v>
                </c:pt>
                <c:pt idx="4230">
                  <c:v>0.11332468572476186</c:v>
                </c:pt>
                <c:pt idx="4231">
                  <c:v>0.11332468572476186</c:v>
                </c:pt>
                <c:pt idx="4232">
                  <c:v>0.11332468572476186</c:v>
                </c:pt>
                <c:pt idx="4233">
                  <c:v>0.11332468572476186</c:v>
                </c:pt>
                <c:pt idx="4234">
                  <c:v>0.11332468572476186</c:v>
                </c:pt>
                <c:pt idx="4235">
                  <c:v>0.11332468572476186</c:v>
                </c:pt>
                <c:pt idx="4236">
                  <c:v>0.11332468572476186</c:v>
                </c:pt>
                <c:pt idx="4237">
                  <c:v>0.11332468572476186</c:v>
                </c:pt>
                <c:pt idx="4238">
                  <c:v>0.11332468572476186</c:v>
                </c:pt>
                <c:pt idx="4239">
                  <c:v>0.11332468572476186</c:v>
                </c:pt>
                <c:pt idx="4240">
                  <c:v>0.11332468572476186</c:v>
                </c:pt>
                <c:pt idx="4241">
                  <c:v>0.11332468572476186</c:v>
                </c:pt>
                <c:pt idx="4242">
                  <c:v>0.11332468572476186</c:v>
                </c:pt>
                <c:pt idx="4243">
                  <c:v>0.11332468572476186</c:v>
                </c:pt>
                <c:pt idx="4244">
                  <c:v>0.11332468572476186</c:v>
                </c:pt>
                <c:pt idx="4245">
                  <c:v>0.11332468572476186</c:v>
                </c:pt>
                <c:pt idx="4246">
                  <c:v>0.11332468572476186</c:v>
                </c:pt>
                <c:pt idx="4247">
                  <c:v>0.11332468572476186</c:v>
                </c:pt>
                <c:pt idx="4248">
                  <c:v>0.11332468572476186</c:v>
                </c:pt>
                <c:pt idx="4249">
                  <c:v>0.11332468572476186</c:v>
                </c:pt>
                <c:pt idx="4250">
                  <c:v>0.11332468572476186</c:v>
                </c:pt>
                <c:pt idx="4251">
                  <c:v>0.11332468572476186</c:v>
                </c:pt>
                <c:pt idx="4252">
                  <c:v>0.11332468572476186</c:v>
                </c:pt>
                <c:pt idx="4253">
                  <c:v>0.11332468572476186</c:v>
                </c:pt>
                <c:pt idx="4254">
                  <c:v>0.11332468572476186</c:v>
                </c:pt>
                <c:pt idx="4255">
                  <c:v>0.11332468572476186</c:v>
                </c:pt>
                <c:pt idx="4256">
                  <c:v>0.11332468572476186</c:v>
                </c:pt>
                <c:pt idx="4257">
                  <c:v>0.11332468572476186</c:v>
                </c:pt>
                <c:pt idx="4258">
                  <c:v>0.11332468572476186</c:v>
                </c:pt>
                <c:pt idx="4259">
                  <c:v>0.11332468572476186</c:v>
                </c:pt>
                <c:pt idx="4260">
                  <c:v>0.11332468572476186</c:v>
                </c:pt>
                <c:pt idx="4261">
                  <c:v>0.11332468572476186</c:v>
                </c:pt>
                <c:pt idx="4262">
                  <c:v>0.11332468572476186</c:v>
                </c:pt>
                <c:pt idx="4263">
                  <c:v>0.11332468572476186</c:v>
                </c:pt>
                <c:pt idx="4264">
                  <c:v>0.11332468572476186</c:v>
                </c:pt>
                <c:pt idx="4265">
                  <c:v>0.11332468572476186</c:v>
                </c:pt>
                <c:pt idx="4266">
                  <c:v>0.11332468572476186</c:v>
                </c:pt>
                <c:pt idx="4267">
                  <c:v>0.11332468572476186</c:v>
                </c:pt>
                <c:pt idx="4268">
                  <c:v>0.11332468572476186</c:v>
                </c:pt>
                <c:pt idx="4269">
                  <c:v>0.11332468572476186</c:v>
                </c:pt>
                <c:pt idx="4270">
                  <c:v>0.11332468572476186</c:v>
                </c:pt>
                <c:pt idx="4271">
                  <c:v>0.11332468572476186</c:v>
                </c:pt>
                <c:pt idx="4272">
                  <c:v>0.11332468572476186</c:v>
                </c:pt>
                <c:pt idx="4273">
                  <c:v>0.11332468572476186</c:v>
                </c:pt>
                <c:pt idx="4274">
                  <c:v>0.11332468572476186</c:v>
                </c:pt>
                <c:pt idx="4275">
                  <c:v>0.11332468572476186</c:v>
                </c:pt>
                <c:pt idx="4276">
                  <c:v>0.11332468572476186</c:v>
                </c:pt>
                <c:pt idx="4277">
                  <c:v>0.11332468572476186</c:v>
                </c:pt>
                <c:pt idx="4278">
                  <c:v>0.11332468572476186</c:v>
                </c:pt>
                <c:pt idx="4279">
                  <c:v>0.11332468572476186</c:v>
                </c:pt>
                <c:pt idx="4280">
                  <c:v>0.11332468572476186</c:v>
                </c:pt>
                <c:pt idx="4281">
                  <c:v>0.11332468572476186</c:v>
                </c:pt>
                <c:pt idx="4282">
                  <c:v>0.11332468572476186</c:v>
                </c:pt>
                <c:pt idx="4283">
                  <c:v>0.11332468572476186</c:v>
                </c:pt>
                <c:pt idx="4284">
                  <c:v>0.11332468572476186</c:v>
                </c:pt>
                <c:pt idx="4285">
                  <c:v>0.11332468572476186</c:v>
                </c:pt>
                <c:pt idx="4286">
                  <c:v>0.11332468572476186</c:v>
                </c:pt>
                <c:pt idx="4287">
                  <c:v>0.11332468572476186</c:v>
                </c:pt>
                <c:pt idx="4288">
                  <c:v>0.11332468572476186</c:v>
                </c:pt>
                <c:pt idx="4289">
                  <c:v>0.11332468572476186</c:v>
                </c:pt>
                <c:pt idx="4290">
                  <c:v>0.11332468572476186</c:v>
                </c:pt>
                <c:pt idx="4291">
                  <c:v>0.11332468572476186</c:v>
                </c:pt>
                <c:pt idx="4292">
                  <c:v>0.11332468572476186</c:v>
                </c:pt>
                <c:pt idx="4293">
                  <c:v>0.11332468572476186</c:v>
                </c:pt>
                <c:pt idx="4294">
                  <c:v>0.11332468572476186</c:v>
                </c:pt>
                <c:pt idx="4295">
                  <c:v>0.11332468572476186</c:v>
                </c:pt>
                <c:pt idx="4296">
                  <c:v>0.11332468572476186</c:v>
                </c:pt>
                <c:pt idx="4297">
                  <c:v>0.11332468572476186</c:v>
                </c:pt>
                <c:pt idx="4298">
                  <c:v>0.11332468572476186</c:v>
                </c:pt>
                <c:pt idx="4299">
                  <c:v>0.11332468572476186</c:v>
                </c:pt>
                <c:pt idx="4300">
                  <c:v>0.11332468572476186</c:v>
                </c:pt>
                <c:pt idx="4301">
                  <c:v>0.11332468572476186</c:v>
                </c:pt>
                <c:pt idx="4302">
                  <c:v>0.11332468572476186</c:v>
                </c:pt>
                <c:pt idx="4303">
                  <c:v>0.11332468572476186</c:v>
                </c:pt>
                <c:pt idx="4304">
                  <c:v>0.11332468572476186</c:v>
                </c:pt>
                <c:pt idx="4305">
                  <c:v>0.11332468572476186</c:v>
                </c:pt>
                <c:pt idx="4306">
                  <c:v>0.11332468572476186</c:v>
                </c:pt>
                <c:pt idx="4307">
                  <c:v>0.11332468572476186</c:v>
                </c:pt>
                <c:pt idx="4308">
                  <c:v>0.11332468572476186</c:v>
                </c:pt>
                <c:pt idx="4309">
                  <c:v>0.11332468572476186</c:v>
                </c:pt>
                <c:pt idx="4310">
                  <c:v>0.11332468572476186</c:v>
                </c:pt>
                <c:pt idx="4311">
                  <c:v>0.11332468572476186</c:v>
                </c:pt>
                <c:pt idx="4312">
                  <c:v>0.11332468572476186</c:v>
                </c:pt>
                <c:pt idx="4313">
                  <c:v>0.11332468572476186</c:v>
                </c:pt>
                <c:pt idx="4314">
                  <c:v>0.11332468572476186</c:v>
                </c:pt>
                <c:pt idx="4315">
                  <c:v>0.11332468572476186</c:v>
                </c:pt>
                <c:pt idx="4316">
                  <c:v>0.11332468572476186</c:v>
                </c:pt>
                <c:pt idx="4317">
                  <c:v>0.11332468572476186</c:v>
                </c:pt>
                <c:pt idx="4318">
                  <c:v>0.11332468572476186</c:v>
                </c:pt>
                <c:pt idx="4319">
                  <c:v>0.11332468572476186</c:v>
                </c:pt>
                <c:pt idx="4320">
                  <c:v>0.11332468572476186</c:v>
                </c:pt>
                <c:pt idx="4321">
                  <c:v>0.11332468572476186</c:v>
                </c:pt>
                <c:pt idx="4322">
                  <c:v>0.11332468572476186</c:v>
                </c:pt>
                <c:pt idx="4323">
                  <c:v>0.11332468572476186</c:v>
                </c:pt>
                <c:pt idx="4324">
                  <c:v>0.11332468572476186</c:v>
                </c:pt>
                <c:pt idx="4325">
                  <c:v>0.11332468572476186</c:v>
                </c:pt>
                <c:pt idx="4326">
                  <c:v>0.11332468572476186</c:v>
                </c:pt>
                <c:pt idx="4327">
                  <c:v>0.11332468572476186</c:v>
                </c:pt>
                <c:pt idx="4328">
                  <c:v>0.11332468572476186</c:v>
                </c:pt>
                <c:pt idx="4329">
                  <c:v>0.11332468572476186</c:v>
                </c:pt>
                <c:pt idx="4330">
                  <c:v>0.11332468572476186</c:v>
                </c:pt>
                <c:pt idx="4331">
                  <c:v>0.11332468572476186</c:v>
                </c:pt>
                <c:pt idx="4332">
                  <c:v>0.11332468572476186</c:v>
                </c:pt>
                <c:pt idx="4333">
                  <c:v>0.11332468572476186</c:v>
                </c:pt>
                <c:pt idx="4334">
                  <c:v>0.11332468572476186</c:v>
                </c:pt>
                <c:pt idx="4335">
                  <c:v>0.11332468572476186</c:v>
                </c:pt>
                <c:pt idx="4336">
                  <c:v>0.11332468572476186</c:v>
                </c:pt>
                <c:pt idx="4337">
                  <c:v>0.11332468572476186</c:v>
                </c:pt>
                <c:pt idx="4338">
                  <c:v>0.11332468572476186</c:v>
                </c:pt>
                <c:pt idx="4339">
                  <c:v>0.11332468572476186</c:v>
                </c:pt>
                <c:pt idx="4340">
                  <c:v>0.11332468572476186</c:v>
                </c:pt>
                <c:pt idx="4341">
                  <c:v>0.11332468572476186</c:v>
                </c:pt>
                <c:pt idx="4342">
                  <c:v>0.11332468572476186</c:v>
                </c:pt>
                <c:pt idx="4343">
                  <c:v>0.11332468572476186</c:v>
                </c:pt>
                <c:pt idx="4344">
                  <c:v>0.11332468572476186</c:v>
                </c:pt>
                <c:pt idx="4345">
                  <c:v>0.11332468572476186</c:v>
                </c:pt>
                <c:pt idx="4346">
                  <c:v>0.11332468572476186</c:v>
                </c:pt>
                <c:pt idx="4347">
                  <c:v>0.11332468572476186</c:v>
                </c:pt>
                <c:pt idx="4348">
                  <c:v>0.11332468572476186</c:v>
                </c:pt>
                <c:pt idx="4349">
                  <c:v>0.11332468572476186</c:v>
                </c:pt>
                <c:pt idx="4350">
                  <c:v>0.11332468572476186</c:v>
                </c:pt>
                <c:pt idx="4351">
                  <c:v>0.11332468572476186</c:v>
                </c:pt>
                <c:pt idx="4352">
                  <c:v>0.11332468572476186</c:v>
                </c:pt>
                <c:pt idx="4353">
                  <c:v>0.11332468572476186</c:v>
                </c:pt>
                <c:pt idx="4354">
                  <c:v>0.11332468572476186</c:v>
                </c:pt>
                <c:pt idx="4355">
                  <c:v>0.11332468572476186</c:v>
                </c:pt>
                <c:pt idx="4356">
                  <c:v>0.11332468572476186</c:v>
                </c:pt>
                <c:pt idx="4357">
                  <c:v>0.11332468572476186</c:v>
                </c:pt>
                <c:pt idx="4358">
                  <c:v>0.11332468572476186</c:v>
                </c:pt>
                <c:pt idx="4359">
                  <c:v>0.11332468572476186</c:v>
                </c:pt>
                <c:pt idx="4360">
                  <c:v>0.11332468572476186</c:v>
                </c:pt>
                <c:pt idx="4361">
                  <c:v>0.11332468572476186</c:v>
                </c:pt>
                <c:pt idx="4362">
                  <c:v>0.11332468572476186</c:v>
                </c:pt>
                <c:pt idx="4363">
                  <c:v>0.11332468572476186</c:v>
                </c:pt>
                <c:pt idx="4364">
                  <c:v>0.11332468572476186</c:v>
                </c:pt>
                <c:pt idx="4365">
                  <c:v>0.11332468572476186</c:v>
                </c:pt>
                <c:pt idx="4366">
                  <c:v>0.11332468572476186</c:v>
                </c:pt>
                <c:pt idx="4367">
                  <c:v>0.11332468572476186</c:v>
                </c:pt>
                <c:pt idx="4368">
                  <c:v>0.11332468572476186</c:v>
                </c:pt>
                <c:pt idx="4369">
                  <c:v>0.11332468572476186</c:v>
                </c:pt>
                <c:pt idx="4370">
                  <c:v>0.11332468572476186</c:v>
                </c:pt>
                <c:pt idx="4371">
                  <c:v>0.11332468572476186</c:v>
                </c:pt>
                <c:pt idx="4372">
                  <c:v>0.11332468572476186</c:v>
                </c:pt>
                <c:pt idx="4373">
                  <c:v>0.11332468572476186</c:v>
                </c:pt>
                <c:pt idx="4374">
                  <c:v>0.11332468572476186</c:v>
                </c:pt>
                <c:pt idx="4375">
                  <c:v>0.11332468572476186</c:v>
                </c:pt>
                <c:pt idx="4376">
                  <c:v>0.11332468572476186</c:v>
                </c:pt>
                <c:pt idx="4377">
                  <c:v>0.11332468572476186</c:v>
                </c:pt>
                <c:pt idx="4378">
                  <c:v>0.11332468572476186</c:v>
                </c:pt>
                <c:pt idx="4379">
                  <c:v>0.11332468572476186</c:v>
                </c:pt>
                <c:pt idx="4380">
                  <c:v>0.11332468572476186</c:v>
                </c:pt>
                <c:pt idx="4381">
                  <c:v>0.11332468572476186</c:v>
                </c:pt>
                <c:pt idx="4382">
                  <c:v>0.11332468572476186</c:v>
                </c:pt>
                <c:pt idx="4383">
                  <c:v>0.11332468572476186</c:v>
                </c:pt>
                <c:pt idx="4384">
                  <c:v>0.11332468572476186</c:v>
                </c:pt>
                <c:pt idx="4385">
                  <c:v>0.11332468572476186</c:v>
                </c:pt>
                <c:pt idx="4386">
                  <c:v>0.11332468572476186</c:v>
                </c:pt>
                <c:pt idx="4387">
                  <c:v>0.11332468572476186</c:v>
                </c:pt>
                <c:pt idx="4388">
                  <c:v>0.11332468572476186</c:v>
                </c:pt>
                <c:pt idx="4389">
                  <c:v>0.11332468572476186</c:v>
                </c:pt>
                <c:pt idx="4390">
                  <c:v>0.11332468572476186</c:v>
                </c:pt>
                <c:pt idx="4391">
                  <c:v>0.11332468572476186</c:v>
                </c:pt>
                <c:pt idx="4392">
                  <c:v>0.11332468572476186</c:v>
                </c:pt>
                <c:pt idx="4393">
                  <c:v>0.11332468572476186</c:v>
                </c:pt>
                <c:pt idx="4394">
                  <c:v>0.11332468572476186</c:v>
                </c:pt>
                <c:pt idx="4395">
                  <c:v>0.11332468572476186</c:v>
                </c:pt>
                <c:pt idx="4396">
                  <c:v>0.11332468572476186</c:v>
                </c:pt>
                <c:pt idx="4397">
                  <c:v>0.11332468572476186</c:v>
                </c:pt>
                <c:pt idx="4398">
                  <c:v>0.11332468572476186</c:v>
                </c:pt>
                <c:pt idx="4399">
                  <c:v>0.11332468572476186</c:v>
                </c:pt>
                <c:pt idx="4400">
                  <c:v>0.11332468572476186</c:v>
                </c:pt>
                <c:pt idx="4401">
                  <c:v>0.11332468572476186</c:v>
                </c:pt>
                <c:pt idx="4402">
                  <c:v>0.11332468572476186</c:v>
                </c:pt>
                <c:pt idx="4403">
                  <c:v>0.11332468572476186</c:v>
                </c:pt>
                <c:pt idx="4404">
                  <c:v>0.11332468572476186</c:v>
                </c:pt>
                <c:pt idx="4405">
                  <c:v>0.11332468572476186</c:v>
                </c:pt>
                <c:pt idx="4406">
                  <c:v>0.11332468572476186</c:v>
                </c:pt>
                <c:pt idx="4407">
                  <c:v>0.11332468572476186</c:v>
                </c:pt>
                <c:pt idx="4408">
                  <c:v>0.11332468572476186</c:v>
                </c:pt>
                <c:pt idx="4409">
                  <c:v>0.11332468572476186</c:v>
                </c:pt>
                <c:pt idx="4410">
                  <c:v>0.11332468572476186</c:v>
                </c:pt>
                <c:pt idx="4411">
                  <c:v>0.11332468572476186</c:v>
                </c:pt>
                <c:pt idx="4412">
                  <c:v>0.11332468572476186</c:v>
                </c:pt>
                <c:pt idx="4413">
                  <c:v>0.11332468572476186</c:v>
                </c:pt>
                <c:pt idx="4414">
                  <c:v>0.11332468572476186</c:v>
                </c:pt>
                <c:pt idx="4415">
                  <c:v>0.11332468572476186</c:v>
                </c:pt>
                <c:pt idx="4416">
                  <c:v>0.11332468572476186</c:v>
                </c:pt>
                <c:pt idx="4417">
                  <c:v>0.11332468572476186</c:v>
                </c:pt>
                <c:pt idx="4418">
                  <c:v>0.11332468572476186</c:v>
                </c:pt>
                <c:pt idx="4419">
                  <c:v>0.11332468572476186</c:v>
                </c:pt>
                <c:pt idx="4420">
                  <c:v>0.11332468572476186</c:v>
                </c:pt>
                <c:pt idx="4421">
                  <c:v>0.11332468572476186</c:v>
                </c:pt>
                <c:pt idx="4422">
                  <c:v>0.11332468572476186</c:v>
                </c:pt>
                <c:pt idx="4423">
                  <c:v>0.11332468572476186</c:v>
                </c:pt>
                <c:pt idx="4424">
                  <c:v>0.11332468572476186</c:v>
                </c:pt>
                <c:pt idx="4425">
                  <c:v>0.11332468572476186</c:v>
                </c:pt>
                <c:pt idx="4426">
                  <c:v>0.11332468572476186</c:v>
                </c:pt>
                <c:pt idx="4427">
                  <c:v>0.11332468572476186</c:v>
                </c:pt>
                <c:pt idx="4428">
                  <c:v>0.11332468572476186</c:v>
                </c:pt>
                <c:pt idx="4429">
                  <c:v>0.11332468572476186</c:v>
                </c:pt>
                <c:pt idx="4430">
                  <c:v>0.11332468572476186</c:v>
                </c:pt>
                <c:pt idx="4431">
                  <c:v>0.11332468572476186</c:v>
                </c:pt>
                <c:pt idx="4432">
                  <c:v>0.11332468572476186</c:v>
                </c:pt>
                <c:pt idx="4433">
                  <c:v>0.11332468572476186</c:v>
                </c:pt>
                <c:pt idx="4434">
                  <c:v>0.11332468572476186</c:v>
                </c:pt>
                <c:pt idx="4435">
                  <c:v>0.11332468572476186</c:v>
                </c:pt>
                <c:pt idx="4436">
                  <c:v>0.11332468572476186</c:v>
                </c:pt>
                <c:pt idx="4437">
                  <c:v>0.11332468572476186</c:v>
                </c:pt>
                <c:pt idx="4438">
                  <c:v>0.11332468572476186</c:v>
                </c:pt>
                <c:pt idx="4439">
                  <c:v>0.11332468572476186</c:v>
                </c:pt>
                <c:pt idx="4440">
                  <c:v>0.11332468572476186</c:v>
                </c:pt>
                <c:pt idx="4441">
                  <c:v>0.11332468572476186</c:v>
                </c:pt>
                <c:pt idx="4442">
                  <c:v>0.11332468572476186</c:v>
                </c:pt>
                <c:pt idx="4443">
                  <c:v>0.11332468572476186</c:v>
                </c:pt>
                <c:pt idx="4444">
                  <c:v>0.11332468572476186</c:v>
                </c:pt>
                <c:pt idx="4445">
                  <c:v>0.11332468572476186</c:v>
                </c:pt>
                <c:pt idx="4446">
                  <c:v>0.11332468572476186</c:v>
                </c:pt>
                <c:pt idx="4447">
                  <c:v>0.11332468572476186</c:v>
                </c:pt>
                <c:pt idx="4448">
                  <c:v>0.11332468572476186</c:v>
                </c:pt>
                <c:pt idx="4449">
                  <c:v>0.11332468572476186</c:v>
                </c:pt>
                <c:pt idx="4450">
                  <c:v>0.11332468572476186</c:v>
                </c:pt>
                <c:pt idx="4451">
                  <c:v>0.11332468572476186</c:v>
                </c:pt>
                <c:pt idx="4452">
                  <c:v>0.11332468572476186</c:v>
                </c:pt>
                <c:pt idx="4453">
                  <c:v>0.11332468572476186</c:v>
                </c:pt>
                <c:pt idx="4454">
                  <c:v>0.11332468572476186</c:v>
                </c:pt>
                <c:pt idx="4455">
                  <c:v>0.11332468572476186</c:v>
                </c:pt>
                <c:pt idx="4456">
                  <c:v>0.11332468572476186</c:v>
                </c:pt>
                <c:pt idx="4457">
                  <c:v>0.11332468572476186</c:v>
                </c:pt>
                <c:pt idx="4458">
                  <c:v>0.11332468572476186</c:v>
                </c:pt>
                <c:pt idx="4459">
                  <c:v>0.11332468572476186</c:v>
                </c:pt>
                <c:pt idx="4460">
                  <c:v>0.11332468572476186</c:v>
                </c:pt>
                <c:pt idx="4461">
                  <c:v>0.11332468572476186</c:v>
                </c:pt>
                <c:pt idx="4462">
                  <c:v>0.11332468572476186</c:v>
                </c:pt>
                <c:pt idx="4463">
                  <c:v>0.11332468572476186</c:v>
                </c:pt>
                <c:pt idx="4464">
                  <c:v>0.11332468572476186</c:v>
                </c:pt>
                <c:pt idx="4465">
                  <c:v>0.11332468572476186</c:v>
                </c:pt>
                <c:pt idx="4466">
                  <c:v>0.11332468572476186</c:v>
                </c:pt>
                <c:pt idx="4467">
                  <c:v>0.11332468572476186</c:v>
                </c:pt>
                <c:pt idx="4468">
                  <c:v>0.11332468572476186</c:v>
                </c:pt>
                <c:pt idx="4469">
                  <c:v>0.11332468572476186</c:v>
                </c:pt>
                <c:pt idx="4470">
                  <c:v>0.11332468572476186</c:v>
                </c:pt>
                <c:pt idx="4471">
                  <c:v>0.11332468572476186</c:v>
                </c:pt>
                <c:pt idx="4472">
                  <c:v>0.11332468572476186</c:v>
                </c:pt>
                <c:pt idx="4473">
                  <c:v>0.11332468572476186</c:v>
                </c:pt>
                <c:pt idx="4474">
                  <c:v>0.11332468572476186</c:v>
                </c:pt>
                <c:pt idx="4475">
                  <c:v>0.11332468572476186</c:v>
                </c:pt>
                <c:pt idx="4476">
                  <c:v>0.11332468572476186</c:v>
                </c:pt>
                <c:pt idx="4477">
                  <c:v>0.11332468572476186</c:v>
                </c:pt>
                <c:pt idx="4478">
                  <c:v>0.11332468572476186</c:v>
                </c:pt>
                <c:pt idx="4479">
                  <c:v>0.11332468572476186</c:v>
                </c:pt>
                <c:pt idx="4480">
                  <c:v>0.11332468572476186</c:v>
                </c:pt>
                <c:pt idx="4481">
                  <c:v>0.11332468572476186</c:v>
                </c:pt>
                <c:pt idx="4482">
                  <c:v>0.11332468572476186</c:v>
                </c:pt>
                <c:pt idx="4483">
                  <c:v>0.11332468572476186</c:v>
                </c:pt>
                <c:pt idx="4484">
                  <c:v>0.11332468572476186</c:v>
                </c:pt>
                <c:pt idx="4485">
                  <c:v>0.11332468572476186</c:v>
                </c:pt>
                <c:pt idx="4486">
                  <c:v>0.11332468572476186</c:v>
                </c:pt>
                <c:pt idx="4487">
                  <c:v>0.11332468572476186</c:v>
                </c:pt>
                <c:pt idx="4488">
                  <c:v>0.11332468572476186</c:v>
                </c:pt>
                <c:pt idx="4489">
                  <c:v>0.11332468572476186</c:v>
                </c:pt>
                <c:pt idx="4490">
                  <c:v>0.11332468572476186</c:v>
                </c:pt>
                <c:pt idx="4491">
                  <c:v>0.11332468572476186</c:v>
                </c:pt>
                <c:pt idx="4492">
                  <c:v>0.11332468572476186</c:v>
                </c:pt>
                <c:pt idx="4493">
                  <c:v>0.11332468572476186</c:v>
                </c:pt>
                <c:pt idx="4494">
                  <c:v>0.11332468572476186</c:v>
                </c:pt>
                <c:pt idx="4495">
                  <c:v>0.11332468572476186</c:v>
                </c:pt>
                <c:pt idx="4496">
                  <c:v>0.11332468572476186</c:v>
                </c:pt>
                <c:pt idx="4497">
                  <c:v>0.11332468572476186</c:v>
                </c:pt>
                <c:pt idx="4498">
                  <c:v>0.11332468572476186</c:v>
                </c:pt>
                <c:pt idx="4499">
                  <c:v>0.11332468572476186</c:v>
                </c:pt>
                <c:pt idx="4500">
                  <c:v>0.11332468572476186</c:v>
                </c:pt>
                <c:pt idx="4501">
                  <c:v>0.11332468572476186</c:v>
                </c:pt>
                <c:pt idx="4502">
                  <c:v>0.11332468572476186</c:v>
                </c:pt>
                <c:pt idx="4503">
                  <c:v>0.11332468572476186</c:v>
                </c:pt>
                <c:pt idx="4504">
                  <c:v>0.11332468572476186</c:v>
                </c:pt>
                <c:pt idx="4505">
                  <c:v>0.11332468572476186</c:v>
                </c:pt>
                <c:pt idx="4506">
                  <c:v>0.11332468572476186</c:v>
                </c:pt>
                <c:pt idx="4507">
                  <c:v>0.11332468572476186</c:v>
                </c:pt>
                <c:pt idx="4508">
                  <c:v>0.11332468572476186</c:v>
                </c:pt>
                <c:pt idx="4509">
                  <c:v>0.11332468572476186</c:v>
                </c:pt>
                <c:pt idx="4510">
                  <c:v>0.11332468572476186</c:v>
                </c:pt>
                <c:pt idx="4511">
                  <c:v>0.11332468572476186</c:v>
                </c:pt>
                <c:pt idx="4512">
                  <c:v>0.11332468572476186</c:v>
                </c:pt>
                <c:pt idx="4513">
                  <c:v>0.11332468572476186</c:v>
                </c:pt>
                <c:pt idx="4514">
                  <c:v>0.11332468572476186</c:v>
                </c:pt>
                <c:pt idx="4515">
                  <c:v>0.11332468572476186</c:v>
                </c:pt>
                <c:pt idx="4516">
                  <c:v>0.11332468572476186</c:v>
                </c:pt>
                <c:pt idx="4517">
                  <c:v>0.11332468572476186</c:v>
                </c:pt>
                <c:pt idx="4518">
                  <c:v>0.11332468572476186</c:v>
                </c:pt>
                <c:pt idx="4519">
                  <c:v>0.11332468572476186</c:v>
                </c:pt>
                <c:pt idx="4520">
                  <c:v>0.11332468572476186</c:v>
                </c:pt>
                <c:pt idx="4521">
                  <c:v>0.11332468572476186</c:v>
                </c:pt>
                <c:pt idx="4522">
                  <c:v>0.11332468572476186</c:v>
                </c:pt>
                <c:pt idx="4523">
                  <c:v>0.11332468572476186</c:v>
                </c:pt>
                <c:pt idx="4524">
                  <c:v>0.11332468572476186</c:v>
                </c:pt>
                <c:pt idx="4525">
                  <c:v>0.11332468572476186</c:v>
                </c:pt>
                <c:pt idx="4526">
                  <c:v>0.11332468572476186</c:v>
                </c:pt>
                <c:pt idx="4527">
                  <c:v>0.11332468572476186</c:v>
                </c:pt>
                <c:pt idx="4528">
                  <c:v>0.11332468572476186</c:v>
                </c:pt>
                <c:pt idx="4529">
                  <c:v>0.11332468572476186</c:v>
                </c:pt>
                <c:pt idx="4530">
                  <c:v>0.11332468572476186</c:v>
                </c:pt>
                <c:pt idx="4531">
                  <c:v>0.11332468572476186</c:v>
                </c:pt>
                <c:pt idx="4532">
                  <c:v>0.11332468572476186</c:v>
                </c:pt>
                <c:pt idx="4533">
                  <c:v>0.11332468572476186</c:v>
                </c:pt>
                <c:pt idx="4534">
                  <c:v>0.11332468572476186</c:v>
                </c:pt>
                <c:pt idx="4535">
                  <c:v>0.11332468572476186</c:v>
                </c:pt>
                <c:pt idx="4536">
                  <c:v>0.11332468572476186</c:v>
                </c:pt>
                <c:pt idx="4537">
                  <c:v>0.11332468572476186</c:v>
                </c:pt>
                <c:pt idx="4538">
                  <c:v>0.11332468572476186</c:v>
                </c:pt>
                <c:pt idx="4539">
                  <c:v>0.11332468572476186</c:v>
                </c:pt>
                <c:pt idx="4540">
                  <c:v>0.11332468572476186</c:v>
                </c:pt>
                <c:pt idx="4541">
                  <c:v>0.11332468572476186</c:v>
                </c:pt>
                <c:pt idx="4542">
                  <c:v>0.11332468572476186</c:v>
                </c:pt>
                <c:pt idx="4543">
                  <c:v>0.11332468572476186</c:v>
                </c:pt>
                <c:pt idx="4544">
                  <c:v>0.11332468572476186</c:v>
                </c:pt>
                <c:pt idx="4545">
                  <c:v>0.11332468572476186</c:v>
                </c:pt>
                <c:pt idx="4546">
                  <c:v>0.11332468572476186</c:v>
                </c:pt>
                <c:pt idx="4547">
                  <c:v>0.11332468572476186</c:v>
                </c:pt>
                <c:pt idx="4548">
                  <c:v>0.11332468572476186</c:v>
                </c:pt>
                <c:pt idx="4549">
                  <c:v>0.11332468572476186</c:v>
                </c:pt>
                <c:pt idx="4550">
                  <c:v>0.11332468572476186</c:v>
                </c:pt>
                <c:pt idx="4551">
                  <c:v>0.11332468572476186</c:v>
                </c:pt>
                <c:pt idx="4552">
                  <c:v>0.11332468572476186</c:v>
                </c:pt>
                <c:pt idx="4553">
                  <c:v>0.11332468572476186</c:v>
                </c:pt>
                <c:pt idx="4554">
                  <c:v>0.11332468572476186</c:v>
                </c:pt>
                <c:pt idx="4555">
                  <c:v>0.11332468572476186</c:v>
                </c:pt>
                <c:pt idx="4556">
                  <c:v>0.11332468572476186</c:v>
                </c:pt>
                <c:pt idx="4557">
                  <c:v>0.11332468572476186</c:v>
                </c:pt>
                <c:pt idx="4558">
                  <c:v>0.11332468572476186</c:v>
                </c:pt>
                <c:pt idx="4559">
                  <c:v>0.11332468572476186</c:v>
                </c:pt>
                <c:pt idx="4560">
                  <c:v>0.11332468572476186</c:v>
                </c:pt>
                <c:pt idx="4561">
                  <c:v>0.11332468572476186</c:v>
                </c:pt>
                <c:pt idx="4562">
                  <c:v>0.11332468572476186</c:v>
                </c:pt>
                <c:pt idx="4563">
                  <c:v>0.11332468572476186</c:v>
                </c:pt>
                <c:pt idx="4564">
                  <c:v>0.11332468572476186</c:v>
                </c:pt>
                <c:pt idx="4565">
                  <c:v>0.11332468572476186</c:v>
                </c:pt>
                <c:pt idx="4566">
                  <c:v>0.11332468572476186</c:v>
                </c:pt>
                <c:pt idx="4567">
                  <c:v>0.11332468572476186</c:v>
                </c:pt>
                <c:pt idx="4568">
                  <c:v>0.11332468572476186</c:v>
                </c:pt>
                <c:pt idx="4569">
                  <c:v>0.11332468572476186</c:v>
                </c:pt>
                <c:pt idx="4570">
                  <c:v>0.11332468572476186</c:v>
                </c:pt>
                <c:pt idx="4571">
                  <c:v>0.11332468572476186</c:v>
                </c:pt>
                <c:pt idx="4572">
                  <c:v>0.11332468572476186</c:v>
                </c:pt>
                <c:pt idx="4573">
                  <c:v>0.11332468572476186</c:v>
                </c:pt>
                <c:pt idx="4574">
                  <c:v>0.11332468572476186</c:v>
                </c:pt>
                <c:pt idx="4575">
                  <c:v>0.11332468572476186</c:v>
                </c:pt>
                <c:pt idx="4576">
                  <c:v>0.11332468572476186</c:v>
                </c:pt>
                <c:pt idx="4577">
                  <c:v>0.11332468572476186</c:v>
                </c:pt>
                <c:pt idx="4578">
                  <c:v>0.11332468572476186</c:v>
                </c:pt>
                <c:pt idx="4579">
                  <c:v>0.11332468572476186</c:v>
                </c:pt>
                <c:pt idx="4580">
                  <c:v>0.11332468572476186</c:v>
                </c:pt>
                <c:pt idx="4581">
                  <c:v>0.11332468572476186</c:v>
                </c:pt>
                <c:pt idx="4582">
                  <c:v>0.11332468572476186</c:v>
                </c:pt>
                <c:pt idx="4583">
                  <c:v>0.11332468572476186</c:v>
                </c:pt>
                <c:pt idx="4584">
                  <c:v>0.11332468572476186</c:v>
                </c:pt>
                <c:pt idx="4585">
                  <c:v>0.11332468572476186</c:v>
                </c:pt>
                <c:pt idx="4586">
                  <c:v>0.11332468572476186</c:v>
                </c:pt>
                <c:pt idx="4587">
                  <c:v>0.11332468572476186</c:v>
                </c:pt>
                <c:pt idx="4588">
                  <c:v>0.11332468572476186</c:v>
                </c:pt>
                <c:pt idx="4589">
                  <c:v>0.11332468572476186</c:v>
                </c:pt>
                <c:pt idx="4590">
                  <c:v>0.11332468572476186</c:v>
                </c:pt>
                <c:pt idx="4591">
                  <c:v>0.11332468572476186</c:v>
                </c:pt>
                <c:pt idx="4592">
                  <c:v>0.11332468572476186</c:v>
                </c:pt>
                <c:pt idx="4593">
                  <c:v>0.11332468572476186</c:v>
                </c:pt>
                <c:pt idx="4594">
                  <c:v>0.11332468572476186</c:v>
                </c:pt>
                <c:pt idx="4595">
                  <c:v>0.11332468572476186</c:v>
                </c:pt>
                <c:pt idx="4596">
                  <c:v>0.11332468572476186</c:v>
                </c:pt>
                <c:pt idx="4597">
                  <c:v>0.11332468572476186</c:v>
                </c:pt>
                <c:pt idx="4598">
                  <c:v>0.11332468572476186</c:v>
                </c:pt>
                <c:pt idx="4599">
                  <c:v>0.11332468572476186</c:v>
                </c:pt>
                <c:pt idx="4600">
                  <c:v>0.11332468572476186</c:v>
                </c:pt>
                <c:pt idx="4601">
                  <c:v>0.11332468572476186</c:v>
                </c:pt>
                <c:pt idx="4602">
                  <c:v>0.11332468572476186</c:v>
                </c:pt>
                <c:pt idx="4603">
                  <c:v>0.11332468572476186</c:v>
                </c:pt>
                <c:pt idx="4604">
                  <c:v>0.11332468572476186</c:v>
                </c:pt>
                <c:pt idx="4605">
                  <c:v>0.11332468572476186</c:v>
                </c:pt>
                <c:pt idx="4606">
                  <c:v>0.11332468572476186</c:v>
                </c:pt>
                <c:pt idx="4607">
                  <c:v>0.11332468572476186</c:v>
                </c:pt>
                <c:pt idx="4608">
                  <c:v>0.11332468572476186</c:v>
                </c:pt>
                <c:pt idx="4609">
                  <c:v>0.11332468572476186</c:v>
                </c:pt>
                <c:pt idx="4610">
                  <c:v>0.11332468572476186</c:v>
                </c:pt>
                <c:pt idx="4611">
                  <c:v>0.11332468572476186</c:v>
                </c:pt>
                <c:pt idx="4612">
                  <c:v>0.11332468572476186</c:v>
                </c:pt>
                <c:pt idx="4613">
                  <c:v>0.11332468572476186</c:v>
                </c:pt>
                <c:pt idx="4614">
                  <c:v>0.11332468572476186</c:v>
                </c:pt>
                <c:pt idx="4615">
                  <c:v>0.11332468572476186</c:v>
                </c:pt>
                <c:pt idx="4616">
                  <c:v>0.11332468572476186</c:v>
                </c:pt>
                <c:pt idx="4617">
                  <c:v>0.11332468572476186</c:v>
                </c:pt>
                <c:pt idx="4618">
                  <c:v>0.11332468572476186</c:v>
                </c:pt>
                <c:pt idx="4619">
                  <c:v>0.11332468572476186</c:v>
                </c:pt>
                <c:pt idx="4620">
                  <c:v>0.11332468572476186</c:v>
                </c:pt>
                <c:pt idx="4621">
                  <c:v>0.11332468572476186</c:v>
                </c:pt>
                <c:pt idx="4622">
                  <c:v>0.11332468572476186</c:v>
                </c:pt>
                <c:pt idx="4623">
                  <c:v>0.11332468572476186</c:v>
                </c:pt>
                <c:pt idx="4624">
                  <c:v>0.11332468572476186</c:v>
                </c:pt>
                <c:pt idx="4625">
                  <c:v>0.11332468572476186</c:v>
                </c:pt>
                <c:pt idx="4626">
                  <c:v>0.11332468572476186</c:v>
                </c:pt>
                <c:pt idx="4627">
                  <c:v>0.11332468572476186</c:v>
                </c:pt>
                <c:pt idx="4628">
                  <c:v>0.11332468572476186</c:v>
                </c:pt>
                <c:pt idx="4629">
                  <c:v>0.11332468572476186</c:v>
                </c:pt>
                <c:pt idx="4630">
                  <c:v>0.11332468572476186</c:v>
                </c:pt>
                <c:pt idx="4631">
                  <c:v>0.11332468572476186</c:v>
                </c:pt>
                <c:pt idx="4632">
                  <c:v>0.11332468572476186</c:v>
                </c:pt>
                <c:pt idx="4633">
                  <c:v>0.11332468572476186</c:v>
                </c:pt>
                <c:pt idx="4634">
                  <c:v>0.11332468572476186</c:v>
                </c:pt>
                <c:pt idx="4635">
                  <c:v>0.11332468572476186</c:v>
                </c:pt>
                <c:pt idx="4636">
                  <c:v>0.11332468572476186</c:v>
                </c:pt>
                <c:pt idx="4637">
                  <c:v>0.11332468572476186</c:v>
                </c:pt>
                <c:pt idx="4638">
                  <c:v>0.11332468572476186</c:v>
                </c:pt>
                <c:pt idx="4639">
                  <c:v>0.11332468572476186</c:v>
                </c:pt>
                <c:pt idx="4640">
                  <c:v>0.11332468572476186</c:v>
                </c:pt>
                <c:pt idx="4641">
                  <c:v>0.11332468572476186</c:v>
                </c:pt>
                <c:pt idx="4642">
                  <c:v>0.11332468572476186</c:v>
                </c:pt>
                <c:pt idx="4643">
                  <c:v>0.11332468572476186</c:v>
                </c:pt>
                <c:pt idx="4644">
                  <c:v>0.11332468572476186</c:v>
                </c:pt>
                <c:pt idx="4645">
                  <c:v>0.11332468572476186</c:v>
                </c:pt>
                <c:pt idx="4646">
                  <c:v>0.11332468572476186</c:v>
                </c:pt>
                <c:pt idx="4647">
                  <c:v>0.11332468572476186</c:v>
                </c:pt>
                <c:pt idx="4648">
                  <c:v>0.11332468572476186</c:v>
                </c:pt>
                <c:pt idx="4649">
                  <c:v>0.11332468572476186</c:v>
                </c:pt>
                <c:pt idx="4650">
                  <c:v>0.11332468572476186</c:v>
                </c:pt>
                <c:pt idx="4651">
                  <c:v>0.11332468572476186</c:v>
                </c:pt>
                <c:pt idx="4652">
                  <c:v>0.11332468572476186</c:v>
                </c:pt>
                <c:pt idx="4653">
                  <c:v>0.11332468572476186</c:v>
                </c:pt>
                <c:pt idx="4654">
                  <c:v>0.11332468572476186</c:v>
                </c:pt>
                <c:pt idx="4655">
                  <c:v>0.11332468572476186</c:v>
                </c:pt>
                <c:pt idx="4656">
                  <c:v>0.11332468572476186</c:v>
                </c:pt>
                <c:pt idx="4657">
                  <c:v>0.11332468572476186</c:v>
                </c:pt>
                <c:pt idx="4658">
                  <c:v>0.11332468572476186</c:v>
                </c:pt>
                <c:pt idx="4659">
                  <c:v>0.11332468572476186</c:v>
                </c:pt>
                <c:pt idx="4660">
                  <c:v>0.11332468572476186</c:v>
                </c:pt>
                <c:pt idx="4661">
                  <c:v>0.11332468572476186</c:v>
                </c:pt>
                <c:pt idx="4662">
                  <c:v>0.11332468572476186</c:v>
                </c:pt>
                <c:pt idx="4663">
                  <c:v>0.11332468572476186</c:v>
                </c:pt>
                <c:pt idx="4664">
                  <c:v>0.11332468572476186</c:v>
                </c:pt>
                <c:pt idx="4665">
                  <c:v>0.11332468572476186</c:v>
                </c:pt>
                <c:pt idx="4666">
                  <c:v>0.11332468572476186</c:v>
                </c:pt>
                <c:pt idx="4667">
                  <c:v>0.11332468572476186</c:v>
                </c:pt>
                <c:pt idx="4668">
                  <c:v>0.11332468572476186</c:v>
                </c:pt>
                <c:pt idx="4669">
                  <c:v>0.11332468572476186</c:v>
                </c:pt>
                <c:pt idx="4670">
                  <c:v>0.11332468572476186</c:v>
                </c:pt>
                <c:pt idx="4671">
                  <c:v>0.11332468572476186</c:v>
                </c:pt>
                <c:pt idx="4672">
                  <c:v>0.11332468572476186</c:v>
                </c:pt>
                <c:pt idx="4673">
                  <c:v>0.11332468572476186</c:v>
                </c:pt>
                <c:pt idx="4674">
                  <c:v>0.11332468572476186</c:v>
                </c:pt>
                <c:pt idx="4675">
                  <c:v>0.11332468572476186</c:v>
                </c:pt>
                <c:pt idx="4676">
                  <c:v>0.11332468572476186</c:v>
                </c:pt>
                <c:pt idx="4677">
                  <c:v>0.11332468572476186</c:v>
                </c:pt>
                <c:pt idx="4678">
                  <c:v>0.11332468572476186</c:v>
                </c:pt>
                <c:pt idx="4679">
                  <c:v>0.11332468572476186</c:v>
                </c:pt>
                <c:pt idx="4680">
                  <c:v>0.11332468572476186</c:v>
                </c:pt>
                <c:pt idx="4681">
                  <c:v>0.11332468572476186</c:v>
                </c:pt>
                <c:pt idx="4682">
                  <c:v>0.11332468572476186</c:v>
                </c:pt>
                <c:pt idx="4683">
                  <c:v>0.11332468572476186</c:v>
                </c:pt>
                <c:pt idx="4684">
                  <c:v>0.11332468572476186</c:v>
                </c:pt>
                <c:pt idx="4685">
                  <c:v>0.11332468572476186</c:v>
                </c:pt>
                <c:pt idx="4686">
                  <c:v>0.11332468572476186</c:v>
                </c:pt>
                <c:pt idx="4687">
                  <c:v>0.11332468572476186</c:v>
                </c:pt>
                <c:pt idx="4688">
                  <c:v>0.11332468572476186</c:v>
                </c:pt>
                <c:pt idx="4689">
                  <c:v>0.11332468572476186</c:v>
                </c:pt>
                <c:pt idx="4690">
                  <c:v>0.11332468572476186</c:v>
                </c:pt>
                <c:pt idx="4691">
                  <c:v>0.11332468572476186</c:v>
                </c:pt>
                <c:pt idx="4692">
                  <c:v>0.11332468572476186</c:v>
                </c:pt>
                <c:pt idx="4693">
                  <c:v>0.11332468572476186</c:v>
                </c:pt>
                <c:pt idx="4694">
                  <c:v>0.11332468572476186</c:v>
                </c:pt>
                <c:pt idx="4695">
                  <c:v>0.11332468572476186</c:v>
                </c:pt>
                <c:pt idx="4696">
                  <c:v>0.11332468572476186</c:v>
                </c:pt>
                <c:pt idx="4697">
                  <c:v>0.11332468572476186</c:v>
                </c:pt>
                <c:pt idx="4698">
                  <c:v>0.11332468572476186</c:v>
                </c:pt>
                <c:pt idx="4699">
                  <c:v>0.11332468572476186</c:v>
                </c:pt>
                <c:pt idx="4700">
                  <c:v>0.11332468572476186</c:v>
                </c:pt>
                <c:pt idx="4701">
                  <c:v>0.11332468572476186</c:v>
                </c:pt>
                <c:pt idx="4702">
                  <c:v>0.11332468572476186</c:v>
                </c:pt>
                <c:pt idx="4703">
                  <c:v>0.11332468572476186</c:v>
                </c:pt>
                <c:pt idx="4704">
                  <c:v>0.11332468572476186</c:v>
                </c:pt>
                <c:pt idx="4705">
                  <c:v>0.11332468572476186</c:v>
                </c:pt>
                <c:pt idx="4706">
                  <c:v>0.11332468572476186</c:v>
                </c:pt>
                <c:pt idx="4707">
                  <c:v>0.11332468572476186</c:v>
                </c:pt>
                <c:pt idx="4708">
                  <c:v>0.11332468572476186</c:v>
                </c:pt>
                <c:pt idx="4709">
                  <c:v>0.11332468572476186</c:v>
                </c:pt>
                <c:pt idx="4710">
                  <c:v>0.11332468572476186</c:v>
                </c:pt>
                <c:pt idx="4711">
                  <c:v>0.11332468572476186</c:v>
                </c:pt>
                <c:pt idx="4712">
                  <c:v>0.11332468572476186</c:v>
                </c:pt>
                <c:pt idx="4713">
                  <c:v>0.11332468572476186</c:v>
                </c:pt>
                <c:pt idx="4714">
                  <c:v>0.11332468572476186</c:v>
                </c:pt>
                <c:pt idx="4715">
                  <c:v>0.11332468572476186</c:v>
                </c:pt>
                <c:pt idx="4716">
                  <c:v>0.11332468572476186</c:v>
                </c:pt>
                <c:pt idx="4717">
                  <c:v>0.11332468572476186</c:v>
                </c:pt>
                <c:pt idx="4718">
                  <c:v>0.11332468572476186</c:v>
                </c:pt>
                <c:pt idx="4719">
                  <c:v>0.11332468572476186</c:v>
                </c:pt>
                <c:pt idx="4720">
                  <c:v>0.11332468572476186</c:v>
                </c:pt>
                <c:pt idx="4721">
                  <c:v>0.11332468572476186</c:v>
                </c:pt>
                <c:pt idx="4722">
                  <c:v>0.11332468572476186</c:v>
                </c:pt>
                <c:pt idx="4723">
                  <c:v>0.11332468572476186</c:v>
                </c:pt>
                <c:pt idx="4724">
                  <c:v>0.11332468572476186</c:v>
                </c:pt>
                <c:pt idx="4725">
                  <c:v>0.11332468572476186</c:v>
                </c:pt>
                <c:pt idx="4726">
                  <c:v>0.11332468572476186</c:v>
                </c:pt>
                <c:pt idx="4727">
                  <c:v>0.11332468572476186</c:v>
                </c:pt>
                <c:pt idx="4728">
                  <c:v>0.11332468572476186</c:v>
                </c:pt>
                <c:pt idx="4729">
                  <c:v>0.11332468572476186</c:v>
                </c:pt>
                <c:pt idx="4730">
                  <c:v>0.11332468572476186</c:v>
                </c:pt>
                <c:pt idx="4731">
                  <c:v>0.11332468572476186</c:v>
                </c:pt>
                <c:pt idx="4732">
                  <c:v>0.11332468572476186</c:v>
                </c:pt>
                <c:pt idx="4733">
                  <c:v>0.11332468572476186</c:v>
                </c:pt>
                <c:pt idx="4734">
                  <c:v>0.11332468572476186</c:v>
                </c:pt>
                <c:pt idx="4735">
                  <c:v>0.11332468572476186</c:v>
                </c:pt>
                <c:pt idx="4736">
                  <c:v>0.11332468572476186</c:v>
                </c:pt>
                <c:pt idx="4737">
                  <c:v>0.11332468572476186</c:v>
                </c:pt>
                <c:pt idx="4738">
                  <c:v>0.11332468572476186</c:v>
                </c:pt>
                <c:pt idx="4739">
                  <c:v>0.11332468572476186</c:v>
                </c:pt>
                <c:pt idx="4740">
                  <c:v>0.11332468572476186</c:v>
                </c:pt>
                <c:pt idx="4741">
                  <c:v>0.11332468572476186</c:v>
                </c:pt>
                <c:pt idx="4742">
                  <c:v>0.11332468572476186</c:v>
                </c:pt>
                <c:pt idx="4743">
                  <c:v>0.11332468572476186</c:v>
                </c:pt>
                <c:pt idx="4744">
                  <c:v>0.11332468572476186</c:v>
                </c:pt>
                <c:pt idx="4745">
                  <c:v>0.11332468572476186</c:v>
                </c:pt>
                <c:pt idx="4746">
                  <c:v>0.11332468572476186</c:v>
                </c:pt>
                <c:pt idx="4747">
                  <c:v>0.11332468572476186</c:v>
                </c:pt>
                <c:pt idx="4748">
                  <c:v>0.11332468572476186</c:v>
                </c:pt>
                <c:pt idx="4749">
                  <c:v>0.11332468572476186</c:v>
                </c:pt>
                <c:pt idx="4750">
                  <c:v>0.11332468572476186</c:v>
                </c:pt>
                <c:pt idx="4751">
                  <c:v>0.11332468572476186</c:v>
                </c:pt>
                <c:pt idx="4752">
                  <c:v>0.11332468572476186</c:v>
                </c:pt>
                <c:pt idx="4753">
                  <c:v>0.11332468572476186</c:v>
                </c:pt>
                <c:pt idx="4754">
                  <c:v>0.11332468572476186</c:v>
                </c:pt>
                <c:pt idx="4755">
                  <c:v>0.11332468572476186</c:v>
                </c:pt>
                <c:pt idx="4756">
                  <c:v>0.11332468572476186</c:v>
                </c:pt>
                <c:pt idx="4757">
                  <c:v>0.11332468572476186</c:v>
                </c:pt>
                <c:pt idx="4758">
                  <c:v>0.11332468572476186</c:v>
                </c:pt>
                <c:pt idx="4759">
                  <c:v>0.11332468572476186</c:v>
                </c:pt>
                <c:pt idx="4760">
                  <c:v>0.11332468572476186</c:v>
                </c:pt>
                <c:pt idx="4761">
                  <c:v>0.11332468572476186</c:v>
                </c:pt>
                <c:pt idx="4762">
                  <c:v>0.11332468572476186</c:v>
                </c:pt>
                <c:pt idx="4763">
                  <c:v>0.11332468572476186</c:v>
                </c:pt>
                <c:pt idx="4764">
                  <c:v>0.11332468572476186</c:v>
                </c:pt>
                <c:pt idx="4765">
                  <c:v>0.11332468572476186</c:v>
                </c:pt>
                <c:pt idx="4766">
                  <c:v>0.11332468572476186</c:v>
                </c:pt>
                <c:pt idx="4767">
                  <c:v>0.11332468572476186</c:v>
                </c:pt>
                <c:pt idx="4768">
                  <c:v>0.11332468572476186</c:v>
                </c:pt>
                <c:pt idx="4769">
                  <c:v>0.11332468572476186</c:v>
                </c:pt>
                <c:pt idx="4770">
                  <c:v>0.11332468572476186</c:v>
                </c:pt>
                <c:pt idx="4771">
                  <c:v>0.11332468572476186</c:v>
                </c:pt>
                <c:pt idx="4772">
                  <c:v>0.11332468572476186</c:v>
                </c:pt>
                <c:pt idx="4773">
                  <c:v>0.11332468572476186</c:v>
                </c:pt>
                <c:pt idx="4774">
                  <c:v>0.11332468572476186</c:v>
                </c:pt>
                <c:pt idx="4775">
                  <c:v>0.11332468572476186</c:v>
                </c:pt>
                <c:pt idx="4776">
                  <c:v>0.11332468572476186</c:v>
                </c:pt>
                <c:pt idx="4777">
                  <c:v>0.11332468572476186</c:v>
                </c:pt>
                <c:pt idx="4778">
                  <c:v>0.11332468572476186</c:v>
                </c:pt>
                <c:pt idx="4779">
                  <c:v>0.11332468572476186</c:v>
                </c:pt>
                <c:pt idx="4780">
                  <c:v>0.11332468572476186</c:v>
                </c:pt>
                <c:pt idx="4781">
                  <c:v>0.11332468572476186</c:v>
                </c:pt>
                <c:pt idx="4782">
                  <c:v>0.11332468572476186</c:v>
                </c:pt>
                <c:pt idx="4783">
                  <c:v>0.11332468572476186</c:v>
                </c:pt>
                <c:pt idx="4784">
                  <c:v>0.11332468572476186</c:v>
                </c:pt>
                <c:pt idx="4785">
                  <c:v>0.11332468572476186</c:v>
                </c:pt>
                <c:pt idx="4786">
                  <c:v>0.11332468572476186</c:v>
                </c:pt>
                <c:pt idx="4787">
                  <c:v>0.11332468572476186</c:v>
                </c:pt>
                <c:pt idx="4788">
                  <c:v>0.11332468572476186</c:v>
                </c:pt>
                <c:pt idx="4789">
                  <c:v>0.11332468572476186</c:v>
                </c:pt>
                <c:pt idx="4790">
                  <c:v>0.11332468572476186</c:v>
                </c:pt>
                <c:pt idx="4791">
                  <c:v>0.11332468572476186</c:v>
                </c:pt>
                <c:pt idx="4792">
                  <c:v>0.11332468572476186</c:v>
                </c:pt>
                <c:pt idx="4793">
                  <c:v>0.11332468572476186</c:v>
                </c:pt>
                <c:pt idx="4794">
                  <c:v>0.11332468572476186</c:v>
                </c:pt>
                <c:pt idx="4795">
                  <c:v>0.11332468572476186</c:v>
                </c:pt>
                <c:pt idx="4796">
                  <c:v>0.11332468572476186</c:v>
                </c:pt>
                <c:pt idx="4797">
                  <c:v>0.11332468572476186</c:v>
                </c:pt>
                <c:pt idx="4798">
                  <c:v>0.11332468572476186</c:v>
                </c:pt>
                <c:pt idx="4799">
                  <c:v>0.11332468572476186</c:v>
                </c:pt>
                <c:pt idx="4800">
                  <c:v>0.11332468572476186</c:v>
                </c:pt>
                <c:pt idx="4801">
                  <c:v>0.11332468572476186</c:v>
                </c:pt>
                <c:pt idx="4802">
                  <c:v>0.11332468572476186</c:v>
                </c:pt>
                <c:pt idx="4803">
                  <c:v>0.11332468572476186</c:v>
                </c:pt>
                <c:pt idx="4804">
                  <c:v>0.11332468572476186</c:v>
                </c:pt>
                <c:pt idx="4805">
                  <c:v>0.11332468572476186</c:v>
                </c:pt>
                <c:pt idx="4806">
                  <c:v>0.11332468572476186</c:v>
                </c:pt>
                <c:pt idx="4807">
                  <c:v>0.11332468572476186</c:v>
                </c:pt>
                <c:pt idx="4808">
                  <c:v>0.11332468572476186</c:v>
                </c:pt>
                <c:pt idx="4809">
                  <c:v>0.11332468572476186</c:v>
                </c:pt>
                <c:pt idx="4810">
                  <c:v>0.11332468572476186</c:v>
                </c:pt>
                <c:pt idx="4811">
                  <c:v>0.11332468572476186</c:v>
                </c:pt>
                <c:pt idx="4812">
                  <c:v>0.11332468572476186</c:v>
                </c:pt>
                <c:pt idx="4813">
                  <c:v>0.11332468572476186</c:v>
                </c:pt>
                <c:pt idx="4814">
                  <c:v>0.11332468572476186</c:v>
                </c:pt>
                <c:pt idx="4815">
                  <c:v>0.11332468572476186</c:v>
                </c:pt>
                <c:pt idx="4816">
                  <c:v>0.11332468572476186</c:v>
                </c:pt>
                <c:pt idx="4817">
                  <c:v>0.11332468572476186</c:v>
                </c:pt>
                <c:pt idx="4818">
                  <c:v>0.11332468572476186</c:v>
                </c:pt>
                <c:pt idx="4819">
                  <c:v>0.11332468572476186</c:v>
                </c:pt>
                <c:pt idx="4820">
                  <c:v>0.11332468572476186</c:v>
                </c:pt>
                <c:pt idx="4821">
                  <c:v>0.11332468572476186</c:v>
                </c:pt>
                <c:pt idx="4822">
                  <c:v>0.11332468572476186</c:v>
                </c:pt>
                <c:pt idx="4823">
                  <c:v>0.11332468572476186</c:v>
                </c:pt>
                <c:pt idx="4824">
                  <c:v>0.11332468572476186</c:v>
                </c:pt>
                <c:pt idx="4825">
                  <c:v>0.11332468572476186</c:v>
                </c:pt>
                <c:pt idx="4826">
                  <c:v>0.11332468572476186</c:v>
                </c:pt>
                <c:pt idx="4827">
                  <c:v>0.11332468572476186</c:v>
                </c:pt>
                <c:pt idx="4828">
                  <c:v>0.11332468572476186</c:v>
                </c:pt>
                <c:pt idx="4829">
                  <c:v>0.11332468572476186</c:v>
                </c:pt>
                <c:pt idx="4830">
                  <c:v>0.11332468572476186</c:v>
                </c:pt>
                <c:pt idx="4831">
                  <c:v>0.11332468572476186</c:v>
                </c:pt>
                <c:pt idx="4832">
                  <c:v>0.11332468572476186</c:v>
                </c:pt>
                <c:pt idx="4833">
                  <c:v>0.11332468572476186</c:v>
                </c:pt>
                <c:pt idx="4834">
                  <c:v>0.11332468572476186</c:v>
                </c:pt>
                <c:pt idx="4835">
                  <c:v>0.11332468572476186</c:v>
                </c:pt>
                <c:pt idx="4836">
                  <c:v>0.11332468572476186</c:v>
                </c:pt>
                <c:pt idx="4837">
                  <c:v>0.11332468572476186</c:v>
                </c:pt>
                <c:pt idx="4838">
                  <c:v>0.11332468572476186</c:v>
                </c:pt>
                <c:pt idx="4839">
                  <c:v>0.11332468572476186</c:v>
                </c:pt>
                <c:pt idx="4840">
                  <c:v>0.11332468572476186</c:v>
                </c:pt>
                <c:pt idx="4841">
                  <c:v>0.11332468572476186</c:v>
                </c:pt>
                <c:pt idx="4842">
                  <c:v>0.11332468572476186</c:v>
                </c:pt>
                <c:pt idx="4843">
                  <c:v>0.11332468572476186</c:v>
                </c:pt>
                <c:pt idx="4844">
                  <c:v>0.11332468572476186</c:v>
                </c:pt>
                <c:pt idx="4845">
                  <c:v>0.11332468572476186</c:v>
                </c:pt>
                <c:pt idx="4846">
                  <c:v>0.11332468572476186</c:v>
                </c:pt>
                <c:pt idx="4847">
                  <c:v>0.11332468572476186</c:v>
                </c:pt>
                <c:pt idx="4848">
                  <c:v>0.11332468572476186</c:v>
                </c:pt>
                <c:pt idx="4849">
                  <c:v>0.11332468572476186</c:v>
                </c:pt>
                <c:pt idx="4850">
                  <c:v>0.11332468572476186</c:v>
                </c:pt>
                <c:pt idx="4851">
                  <c:v>0.11332468572476186</c:v>
                </c:pt>
                <c:pt idx="4852">
                  <c:v>0.11332468572476186</c:v>
                </c:pt>
                <c:pt idx="4853">
                  <c:v>0.11332468572476186</c:v>
                </c:pt>
                <c:pt idx="4854">
                  <c:v>0.11332468572476186</c:v>
                </c:pt>
                <c:pt idx="4855">
                  <c:v>0.11332468572476186</c:v>
                </c:pt>
                <c:pt idx="4856">
                  <c:v>0.11332468572476186</c:v>
                </c:pt>
                <c:pt idx="4857">
                  <c:v>0.11332468572476186</c:v>
                </c:pt>
                <c:pt idx="4858">
                  <c:v>0.11332468572476186</c:v>
                </c:pt>
                <c:pt idx="4859">
                  <c:v>0.11332468572476186</c:v>
                </c:pt>
                <c:pt idx="4860">
                  <c:v>0.11332468572476186</c:v>
                </c:pt>
                <c:pt idx="4861">
                  <c:v>0.11332468572476186</c:v>
                </c:pt>
                <c:pt idx="4862">
                  <c:v>0.11332468572476186</c:v>
                </c:pt>
                <c:pt idx="4863">
                  <c:v>0.11332468572476186</c:v>
                </c:pt>
                <c:pt idx="4864">
                  <c:v>0.11332468572476186</c:v>
                </c:pt>
                <c:pt idx="4865">
                  <c:v>0.11332468572476186</c:v>
                </c:pt>
                <c:pt idx="4866">
                  <c:v>0.11332468572476186</c:v>
                </c:pt>
                <c:pt idx="4867">
                  <c:v>0.11332468572476186</c:v>
                </c:pt>
                <c:pt idx="4868">
                  <c:v>0.11332468572476186</c:v>
                </c:pt>
                <c:pt idx="4869">
                  <c:v>0.11332468572476186</c:v>
                </c:pt>
                <c:pt idx="4870">
                  <c:v>0.11332468572476186</c:v>
                </c:pt>
                <c:pt idx="4871">
                  <c:v>0.11332468572476186</c:v>
                </c:pt>
                <c:pt idx="4872">
                  <c:v>0.11332468572476186</c:v>
                </c:pt>
                <c:pt idx="4873">
                  <c:v>0.11332468572476186</c:v>
                </c:pt>
                <c:pt idx="4874">
                  <c:v>0.11332468572476186</c:v>
                </c:pt>
                <c:pt idx="4875">
                  <c:v>0.11332468572476186</c:v>
                </c:pt>
                <c:pt idx="4876">
                  <c:v>0.11332468572476186</c:v>
                </c:pt>
                <c:pt idx="4877">
                  <c:v>0.11332468572476186</c:v>
                </c:pt>
                <c:pt idx="4878">
                  <c:v>0.11332468572476186</c:v>
                </c:pt>
                <c:pt idx="4879">
                  <c:v>0.11332468572476186</c:v>
                </c:pt>
                <c:pt idx="4880">
                  <c:v>0.11332468572476186</c:v>
                </c:pt>
                <c:pt idx="4881">
                  <c:v>0.11332468572476186</c:v>
                </c:pt>
                <c:pt idx="4882">
                  <c:v>0.11332468572476186</c:v>
                </c:pt>
                <c:pt idx="4883">
                  <c:v>0.11332468572476186</c:v>
                </c:pt>
                <c:pt idx="4884">
                  <c:v>0.11332468572476186</c:v>
                </c:pt>
                <c:pt idx="4885">
                  <c:v>0.11332468572476186</c:v>
                </c:pt>
                <c:pt idx="4886">
                  <c:v>0.11332468572476186</c:v>
                </c:pt>
                <c:pt idx="4887">
                  <c:v>0.11332468572476186</c:v>
                </c:pt>
                <c:pt idx="4888">
                  <c:v>0.11332468572476186</c:v>
                </c:pt>
                <c:pt idx="4889">
                  <c:v>0.11332468572476186</c:v>
                </c:pt>
                <c:pt idx="4890">
                  <c:v>0.11332468572476186</c:v>
                </c:pt>
                <c:pt idx="4891">
                  <c:v>0.11332468572476186</c:v>
                </c:pt>
                <c:pt idx="4892">
                  <c:v>0.11332468572476186</c:v>
                </c:pt>
                <c:pt idx="4893">
                  <c:v>0.11332468572476186</c:v>
                </c:pt>
                <c:pt idx="4894">
                  <c:v>0.11332468572476186</c:v>
                </c:pt>
                <c:pt idx="4895">
                  <c:v>0.11332468572476186</c:v>
                </c:pt>
                <c:pt idx="4896">
                  <c:v>0.11332468572476186</c:v>
                </c:pt>
                <c:pt idx="4897">
                  <c:v>0.11332468572476186</c:v>
                </c:pt>
                <c:pt idx="4898">
                  <c:v>0.11332468572476186</c:v>
                </c:pt>
                <c:pt idx="4899">
                  <c:v>0.11332468572476186</c:v>
                </c:pt>
                <c:pt idx="4900">
                  <c:v>0.11332468572476186</c:v>
                </c:pt>
                <c:pt idx="4901">
                  <c:v>0.11332468572476186</c:v>
                </c:pt>
                <c:pt idx="4902">
                  <c:v>0.11332468572476186</c:v>
                </c:pt>
                <c:pt idx="4903">
                  <c:v>0.11332468572476186</c:v>
                </c:pt>
                <c:pt idx="4904">
                  <c:v>0.11332468572476186</c:v>
                </c:pt>
                <c:pt idx="4905">
                  <c:v>0.11332468572476186</c:v>
                </c:pt>
                <c:pt idx="4906">
                  <c:v>0.11332468572476186</c:v>
                </c:pt>
                <c:pt idx="4907">
                  <c:v>0.11332468572476186</c:v>
                </c:pt>
                <c:pt idx="4908">
                  <c:v>0.11332468572476186</c:v>
                </c:pt>
                <c:pt idx="4909">
                  <c:v>0.11332468572476186</c:v>
                </c:pt>
                <c:pt idx="4910">
                  <c:v>0.11332468572476186</c:v>
                </c:pt>
                <c:pt idx="4911">
                  <c:v>0.11332468572476186</c:v>
                </c:pt>
                <c:pt idx="4912">
                  <c:v>0.11332468572476186</c:v>
                </c:pt>
                <c:pt idx="4913">
                  <c:v>0.11332468572476186</c:v>
                </c:pt>
                <c:pt idx="4914">
                  <c:v>0.11332468572476186</c:v>
                </c:pt>
                <c:pt idx="4915">
                  <c:v>0.11332468572476186</c:v>
                </c:pt>
                <c:pt idx="4916">
                  <c:v>0.11332468572476186</c:v>
                </c:pt>
                <c:pt idx="4917">
                  <c:v>0.11332468572476186</c:v>
                </c:pt>
                <c:pt idx="4918">
                  <c:v>0.11332468572476186</c:v>
                </c:pt>
                <c:pt idx="4919">
                  <c:v>0.11332468572476186</c:v>
                </c:pt>
                <c:pt idx="4920">
                  <c:v>0.11332468572476186</c:v>
                </c:pt>
                <c:pt idx="4921">
                  <c:v>0.11332468572476186</c:v>
                </c:pt>
                <c:pt idx="4922">
                  <c:v>0.11332468572476186</c:v>
                </c:pt>
                <c:pt idx="4923">
                  <c:v>0.11332468572476186</c:v>
                </c:pt>
                <c:pt idx="4924">
                  <c:v>0.11332468572476186</c:v>
                </c:pt>
                <c:pt idx="4925">
                  <c:v>0.11332468572476186</c:v>
                </c:pt>
                <c:pt idx="4926">
                  <c:v>0.11332468572476186</c:v>
                </c:pt>
                <c:pt idx="4927">
                  <c:v>0.11332468572476186</c:v>
                </c:pt>
                <c:pt idx="4928">
                  <c:v>0.11332468572476186</c:v>
                </c:pt>
                <c:pt idx="4929">
                  <c:v>0.11332468572476186</c:v>
                </c:pt>
                <c:pt idx="4930">
                  <c:v>0.11332468572476186</c:v>
                </c:pt>
                <c:pt idx="4931">
                  <c:v>0.11332468572476186</c:v>
                </c:pt>
                <c:pt idx="4932">
                  <c:v>0.11332468572476186</c:v>
                </c:pt>
                <c:pt idx="4933">
                  <c:v>0.11332468572476186</c:v>
                </c:pt>
                <c:pt idx="4934">
                  <c:v>0.11332468572476186</c:v>
                </c:pt>
                <c:pt idx="4935">
                  <c:v>0.11332468572476186</c:v>
                </c:pt>
                <c:pt idx="4936">
                  <c:v>0.11332468572476186</c:v>
                </c:pt>
                <c:pt idx="4937">
                  <c:v>0.11332468572476186</c:v>
                </c:pt>
                <c:pt idx="4938">
                  <c:v>0.11332468572476186</c:v>
                </c:pt>
                <c:pt idx="4939">
                  <c:v>0.11332468572476186</c:v>
                </c:pt>
                <c:pt idx="4940">
                  <c:v>0.11332468572476186</c:v>
                </c:pt>
                <c:pt idx="4941">
                  <c:v>0.11332468572476186</c:v>
                </c:pt>
                <c:pt idx="4942">
                  <c:v>0.11332468572476186</c:v>
                </c:pt>
                <c:pt idx="4943">
                  <c:v>0.11332468572476186</c:v>
                </c:pt>
                <c:pt idx="4944">
                  <c:v>0.11332468572476186</c:v>
                </c:pt>
                <c:pt idx="4945">
                  <c:v>0.11332468572476186</c:v>
                </c:pt>
                <c:pt idx="4946">
                  <c:v>0.11332468572476186</c:v>
                </c:pt>
                <c:pt idx="4947">
                  <c:v>0.11332468572476186</c:v>
                </c:pt>
                <c:pt idx="4948">
                  <c:v>0.11332468572476186</c:v>
                </c:pt>
                <c:pt idx="4949">
                  <c:v>0.11332468572476186</c:v>
                </c:pt>
                <c:pt idx="4950">
                  <c:v>0.11332468572476186</c:v>
                </c:pt>
                <c:pt idx="4951">
                  <c:v>0.11332468572476186</c:v>
                </c:pt>
                <c:pt idx="4952">
                  <c:v>0.11332468572476186</c:v>
                </c:pt>
                <c:pt idx="4953">
                  <c:v>0.11332468572476186</c:v>
                </c:pt>
                <c:pt idx="4954">
                  <c:v>0.11332468572476186</c:v>
                </c:pt>
                <c:pt idx="4955">
                  <c:v>0.11332468572476186</c:v>
                </c:pt>
                <c:pt idx="4956">
                  <c:v>0.11332468572476186</c:v>
                </c:pt>
                <c:pt idx="4957">
                  <c:v>0.11332468572476186</c:v>
                </c:pt>
                <c:pt idx="4958">
                  <c:v>0.11332468572476186</c:v>
                </c:pt>
                <c:pt idx="4959">
                  <c:v>0.11332468572476186</c:v>
                </c:pt>
                <c:pt idx="4960">
                  <c:v>0.11332468572476186</c:v>
                </c:pt>
                <c:pt idx="4961">
                  <c:v>0.11332468572476186</c:v>
                </c:pt>
                <c:pt idx="4962">
                  <c:v>0.11332468572476186</c:v>
                </c:pt>
                <c:pt idx="4963">
                  <c:v>0.11332468572476186</c:v>
                </c:pt>
                <c:pt idx="4964">
                  <c:v>0.11332468572476186</c:v>
                </c:pt>
                <c:pt idx="4965">
                  <c:v>0.11332468572476186</c:v>
                </c:pt>
                <c:pt idx="4966">
                  <c:v>0.11332468572476186</c:v>
                </c:pt>
                <c:pt idx="4967">
                  <c:v>0.11332468572476186</c:v>
                </c:pt>
                <c:pt idx="4968">
                  <c:v>0.11332468572476186</c:v>
                </c:pt>
                <c:pt idx="4969">
                  <c:v>0.11332468572476186</c:v>
                </c:pt>
                <c:pt idx="4970">
                  <c:v>0.11332468572476186</c:v>
                </c:pt>
                <c:pt idx="4971">
                  <c:v>0.11332468572476186</c:v>
                </c:pt>
                <c:pt idx="4972">
                  <c:v>0.11332468572476186</c:v>
                </c:pt>
                <c:pt idx="4973">
                  <c:v>0.11332468572476186</c:v>
                </c:pt>
                <c:pt idx="4974">
                  <c:v>0.11332468572476186</c:v>
                </c:pt>
                <c:pt idx="4975">
                  <c:v>0.11332468572476186</c:v>
                </c:pt>
                <c:pt idx="4976">
                  <c:v>0.11332468572476186</c:v>
                </c:pt>
                <c:pt idx="4977">
                  <c:v>0.11332468572476186</c:v>
                </c:pt>
                <c:pt idx="4978">
                  <c:v>0.11332468572476186</c:v>
                </c:pt>
                <c:pt idx="4979">
                  <c:v>0.11332468572476186</c:v>
                </c:pt>
                <c:pt idx="4980">
                  <c:v>0.11332468572476186</c:v>
                </c:pt>
                <c:pt idx="4981">
                  <c:v>0.11332468572476186</c:v>
                </c:pt>
                <c:pt idx="4982">
                  <c:v>0.11332468572476186</c:v>
                </c:pt>
                <c:pt idx="4983">
                  <c:v>0.11332468572476186</c:v>
                </c:pt>
                <c:pt idx="4984">
                  <c:v>0.11332468572476186</c:v>
                </c:pt>
                <c:pt idx="4985">
                  <c:v>0.11332468572476186</c:v>
                </c:pt>
                <c:pt idx="4986">
                  <c:v>0.11332468572476186</c:v>
                </c:pt>
                <c:pt idx="4987">
                  <c:v>0.11332468572476186</c:v>
                </c:pt>
                <c:pt idx="4988">
                  <c:v>0.11332468572476186</c:v>
                </c:pt>
                <c:pt idx="4989">
                  <c:v>0.11332468572476186</c:v>
                </c:pt>
                <c:pt idx="4990">
                  <c:v>0.11332468572476186</c:v>
                </c:pt>
                <c:pt idx="4991">
                  <c:v>0.11332468572476186</c:v>
                </c:pt>
                <c:pt idx="4992">
                  <c:v>0.11332468572476186</c:v>
                </c:pt>
                <c:pt idx="4993">
                  <c:v>0.11332468572476186</c:v>
                </c:pt>
                <c:pt idx="4994">
                  <c:v>0.11332468572476186</c:v>
                </c:pt>
                <c:pt idx="4995">
                  <c:v>0.11332468572476186</c:v>
                </c:pt>
                <c:pt idx="4996">
                  <c:v>0.11332468572476186</c:v>
                </c:pt>
                <c:pt idx="4997">
                  <c:v>0.11332468572476186</c:v>
                </c:pt>
                <c:pt idx="4998">
                  <c:v>0.11332468572476186</c:v>
                </c:pt>
                <c:pt idx="4999">
                  <c:v>0.11332468572476186</c:v>
                </c:pt>
              </c:numCache>
            </c:numRef>
          </c:val>
          <c:extLst>
            <c:ext xmlns:c16="http://schemas.microsoft.com/office/drawing/2014/chart" uri="{C3380CC4-5D6E-409C-BE32-E72D297353CC}">
              <c16:uniqueId val="{00000003-A3B8-4A7A-88F9-3FB27C46CC0F}"/>
            </c:ext>
          </c:extLst>
        </c:ser>
        <c:dLbls>
          <c:showLegendKey val="0"/>
          <c:showVal val="0"/>
          <c:showCatName val="0"/>
          <c:showSerName val="0"/>
          <c:showPercent val="0"/>
          <c:showBubbleSize val="0"/>
        </c:dLbls>
        <c:gapWidth val="0"/>
        <c:overlap val="100"/>
        <c:axId val="29358096"/>
        <c:axId val="457071392"/>
      </c:barChart>
      <c:catAx>
        <c:axId val="2935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57071392"/>
        <c:crosses val="autoZero"/>
        <c:auto val="1"/>
        <c:lblAlgn val="ctr"/>
        <c:lblOffset val="100"/>
        <c:noMultiLvlLbl val="0"/>
      </c:catAx>
      <c:valAx>
        <c:axId val="457071392"/>
        <c:scaling>
          <c:orientation val="minMax"/>
        </c:scaling>
        <c:delete val="1"/>
        <c:axPos val="l"/>
        <c:numFmt formatCode="General" sourceLinked="1"/>
        <c:majorTickMark val="out"/>
        <c:minorTickMark val="none"/>
        <c:tickLblPos val="nextTo"/>
        <c:crossAx val="29358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BeskrivendeStatistik!$AQ$2</c:f>
          <c:strCache>
            <c:ptCount val="1"/>
            <c:pt idx="0">
              <c:v>Søjlediagram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1"/>
          <c:order val="0"/>
          <c:tx>
            <c:strRef>
              <c:f>BeskrivendeStatistik!$AQ$4</c:f>
              <c:strCache>
                <c:ptCount val="1"/>
                <c:pt idx="0">
                  <c:v>Observationer (n = 12)</c:v>
                </c:pt>
              </c:strCache>
            </c:strRef>
          </c:tx>
          <c:spPr>
            <a:solidFill>
              <a:schemeClr val="accent1"/>
            </a:solidFill>
            <a:ln>
              <a:noFill/>
            </a:ln>
            <a:effectLst/>
          </c:spPr>
          <c:invertIfNegative val="0"/>
          <c:cat>
            <c:strRef>
              <c:f>[0]!BxS</c:f>
              <c:strCache>
                <c:ptCount val="70"/>
                <c:pt idx="3">
                  <c:v>-1.48</c:v>
                </c:pt>
                <c:pt idx="9">
                  <c:v>-1.147</c:v>
                </c:pt>
                <c:pt idx="15">
                  <c:v>-0.898</c:v>
                </c:pt>
                <c:pt idx="21">
                  <c:v>-0.409</c:v>
                </c:pt>
                <c:pt idx="27">
                  <c:v>-0.307</c:v>
                </c:pt>
                <c:pt idx="33">
                  <c:v>0.084</c:v>
                </c:pt>
                <c:pt idx="39">
                  <c:v>0.914</c:v>
                </c:pt>
                <c:pt idx="45">
                  <c:v>1.299</c:v>
                </c:pt>
                <c:pt idx="51">
                  <c:v>1.38</c:v>
                </c:pt>
                <c:pt idx="57">
                  <c:v>1.811</c:v>
                </c:pt>
                <c:pt idx="63">
                  <c:v>8</c:v>
                </c:pt>
                <c:pt idx="69">
                  <c:v>13</c:v>
                </c:pt>
              </c:strCache>
            </c:strRef>
          </c:cat>
          <c:val>
            <c:numRef>
              <c:f>[0]!Buf</c:f>
              <c:numCache>
                <c:formatCode>General</c:formatCode>
                <c:ptCount val="72"/>
                <c:pt idx="0">
                  <c:v>#N/A</c:v>
                </c:pt>
                <c:pt idx="1">
                  <c:v>1</c:v>
                </c:pt>
                <c:pt idx="2">
                  <c:v>1</c:v>
                </c:pt>
                <c:pt idx="3">
                  <c:v>1</c:v>
                </c:pt>
                <c:pt idx="4">
                  <c:v>1</c:v>
                </c:pt>
                <c:pt idx="5">
                  <c:v>#N/A</c:v>
                </c:pt>
                <c:pt idx="6">
                  <c:v>#N/A</c:v>
                </c:pt>
                <c:pt idx="7">
                  <c:v>1</c:v>
                </c:pt>
                <c:pt idx="8">
                  <c:v>1</c:v>
                </c:pt>
                <c:pt idx="9">
                  <c:v>1</c:v>
                </c:pt>
                <c:pt idx="10">
                  <c:v>1</c:v>
                </c:pt>
                <c:pt idx="11">
                  <c:v>#N/A</c:v>
                </c:pt>
                <c:pt idx="12">
                  <c:v>#N/A</c:v>
                </c:pt>
                <c:pt idx="13">
                  <c:v>1</c:v>
                </c:pt>
                <c:pt idx="14">
                  <c:v>1</c:v>
                </c:pt>
                <c:pt idx="15">
                  <c:v>1</c:v>
                </c:pt>
                <c:pt idx="16">
                  <c:v>1</c:v>
                </c:pt>
                <c:pt idx="17">
                  <c:v>#N/A</c:v>
                </c:pt>
                <c:pt idx="18">
                  <c:v>#N/A</c:v>
                </c:pt>
                <c:pt idx="19">
                  <c:v>1</c:v>
                </c:pt>
                <c:pt idx="20">
                  <c:v>1</c:v>
                </c:pt>
                <c:pt idx="21">
                  <c:v>1</c:v>
                </c:pt>
                <c:pt idx="22">
                  <c:v>1</c:v>
                </c:pt>
                <c:pt idx="23">
                  <c:v>#N/A</c:v>
                </c:pt>
                <c:pt idx="24">
                  <c:v>#N/A</c:v>
                </c:pt>
                <c:pt idx="25">
                  <c:v>1</c:v>
                </c:pt>
                <c:pt idx="26">
                  <c:v>1</c:v>
                </c:pt>
                <c:pt idx="27">
                  <c:v>1</c:v>
                </c:pt>
                <c:pt idx="28">
                  <c:v>1</c:v>
                </c:pt>
                <c:pt idx="29">
                  <c:v>#N/A</c:v>
                </c:pt>
                <c:pt idx="30">
                  <c:v>#N/A</c:v>
                </c:pt>
                <c:pt idx="31">
                  <c:v>1</c:v>
                </c:pt>
                <c:pt idx="32">
                  <c:v>1</c:v>
                </c:pt>
                <c:pt idx="33">
                  <c:v>1</c:v>
                </c:pt>
                <c:pt idx="34">
                  <c:v>1</c:v>
                </c:pt>
                <c:pt idx="35">
                  <c:v>#N/A</c:v>
                </c:pt>
                <c:pt idx="36">
                  <c:v>#N/A</c:v>
                </c:pt>
                <c:pt idx="37">
                  <c:v>1</c:v>
                </c:pt>
                <c:pt idx="38">
                  <c:v>1</c:v>
                </c:pt>
                <c:pt idx="39">
                  <c:v>1</c:v>
                </c:pt>
                <c:pt idx="40">
                  <c:v>1</c:v>
                </c:pt>
                <c:pt idx="41">
                  <c:v>#N/A</c:v>
                </c:pt>
                <c:pt idx="42">
                  <c:v>#N/A</c:v>
                </c:pt>
                <c:pt idx="43">
                  <c:v>1</c:v>
                </c:pt>
                <c:pt idx="44">
                  <c:v>1</c:v>
                </c:pt>
                <c:pt idx="45">
                  <c:v>1</c:v>
                </c:pt>
                <c:pt idx="46">
                  <c:v>1</c:v>
                </c:pt>
                <c:pt idx="47">
                  <c:v>#N/A</c:v>
                </c:pt>
                <c:pt idx="48">
                  <c:v>#N/A</c:v>
                </c:pt>
                <c:pt idx="49">
                  <c:v>1</c:v>
                </c:pt>
                <c:pt idx="50">
                  <c:v>1</c:v>
                </c:pt>
                <c:pt idx="51">
                  <c:v>1</c:v>
                </c:pt>
                <c:pt idx="52">
                  <c:v>1</c:v>
                </c:pt>
                <c:pt idx="53">
                  <c:v>#N/A</c:v>
                </c:pt>
                <c:pt idx="54">
                  <c:v>#N/A</c:v>
                </c:pt>
                <c:pt idx="55">
                  <c:v>1</c:v>
                </c:pt>
                <c:pt idx="56">
                  <c:v>1</c:v>
                </c:pt>
                <c:pt idx="57">
                  <c:v>1</c:v>
                </c:pt>
                <c:pt idx="58">
                  <c:v>1</c:v>
                </c:pt>
                <c:pt idx="59">
                  <c:v>#N/A</c:v>
                </c:pt>
                <c:pt idx="60">
                  <c:v>#N/A</c:v>
                </c:pt>
                <c:pt idx="61">
                  <c:v>1</c:v>
                </c:pt>
                <c:pt idx="62">
                  <c:v>1</c:v>
                </c:pt>
                <c:pt idx="63">
                  <c:v>1</c:v>
                </c:pt>
                <c:pt idx="64">
                  <c:v>1</c:v>
                </c:pt>
                <c:pt idx="65">
                  <c:v>#N/A</c:v>
                </c:pt>
                <c:pt idx="66">
                  <c:v>#N/A</c:v>
                </c:pt>
                <c:pt idx="67">
                  <c:v>1</c:v>
                </c:pt>
                <c:pt idx="68">
                  <c:v>1</c:v>
                </c:pt>
                <c:pt idx="69">
                  <c:v>1</c:v>
                </c:pt>
                <c:pt idx="70">
                  <c:v>1</c:v>
                </c:pt>
                <c:pt idx="71">
                  <c:v>#N/A</c:v>
                </c:pt>
              </c:numCache>
            </c:numRef>
          </c:val>
          <c:extLst>
            <c:ext xmlns:c16="http://schemas.microsoft.com/office/drawing/2014/chart" uri="{C3380CC4-5D6E-409C-BE32-E72D297353CC}">
              <c16:uniqueId val="{00000000-3710-44A1-B30A-EFAC2C341C27}"/>
            </c:ext>
          </c:extLst>
        </c:ser>
        <c:dLbls>
          <c:showLegendKey val="0"/>
          <c:showVal val="0"/>
          <c:showCatName val="0"/>
          <c:showSerName val="0"/>
          <c:showPercent val="0"/>
          <c:showBubbleSize val="0"/>
        </c:dLbls>
        <c:gapWidth val="0"/>
        <c:axId val="247937903"/>
        <c:axId val="31931263"/>
      </c:barChart>
      <c:catAx>
        <c:axId val="247937903"/>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da-DK"/>
          </a:p>
        </c:txPr>
        <c:crossAx val="31931263"/>
        <c:crosses val="autoZero"/>
        <c:auto val="1"/>
        <c:lblAlgn val="ctr"/>
        <c:lblOffset val="100"/>
        <c:tickLblSkip val="1"/>
        <c:noMultiLvlLbl val="0"/>
      </c:catAx>
      <c:valAx>
        <c:axId val="31931263"/>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7937903"/>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BeskrivendeStatistik!$Y$2</c:f>
          <c:strCache>
            <c:ptCount val="1"/>
            <c:pt idx="0">
              <c:v>Histogram med 15 intervaller
og normalfordeling for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1"/>
          <c:order val="1"/>
          <c:tx>
            <c:strRef>
              <c:f>BeskrivendeStatistik!$Y$4</c:f>
              <c:strCache>
                <c:ptCount val="1"/>
                <c:pt idx="0">
                  <c:v>Observationer (n = 12)</c:v>
                </c:pt>
              </c:strCache>
            </c:strRef>
          </c:tx>
          <c:spPr>
            <a:solidFill>
              <a:schemeClr val="accent1"/>
            </a:solidFill>
            <a:ln>
              <a:noFill/>
            </a:ln>
            <a:effectLst/>
          </c:spPr>
          <c:invertIfNegative val="0"/>
          <c:val>
            <c:numRef>
              <c:f>[0]!BfHist</c:f>
              <c:numCache>
                <c:formatCode>General</c:formatCode>
                <c:ptCount val="2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0.6209326687253206</c:v>
                </c:pt>
                <c:pt idx="86">
                  <c:v>0.6209326687253206</c:v>
                </c:pt>
                <c:pt idx="87">
                  <c:v>0.6209326687253206</c:v>
                </c:pt>
                <c:pt idx="88">
                  <c:v>0.6209326687253206</c:v>
                </c:pt>
                <c:pt idx="89">
                  <c:v>0.6209326687253206</c:v>
                </c:pt>
                <c:pt idx="90">
                  <c:v>0.6209326687253206</c:v>
                </c:pt>
                <c:pt idx="91">
                  <c:v>0.6209326687253206</c:v>
                </c:pt>
                <c:pt idx="92">
                  <c:v>0.6209326687253206</c:v>
                </c:pt>
                <c:pt idx="93">
                  <c:v>0.6209326687253206</c:v>
                </c:pt>
                <c:pt idx="94">
                  <c:v>0.6209326687253206</c:v>
                </c:pt>
                <c:pt idx="95">
                  <c:v>0.6209326687253206</c:v>
                </c:pt>
                <c:pt idx="96">
                  <c:v>0.6209326687253206</c:v>
                </c:pt>
                <c:pt idx="97">
                  <c:v>0.6209326687253206</c:v>
                </c:pt>
                <c:pt idx="98">
                  <c:v>0.6209326687253206</c:v>
                </c:pt>
                <c:pt idx="99">
                  <c:v>0.6209326687253206</c:v>
                </c:pt>
                <c:pt idx="100">
                  <c:v>0.6209326687253206</c:v>
                </c:pt>
                <c:pt idx="101">
                  <c:v>0.6209326687253206</c:v>
                </c:pt>
                <c:pt idx="102">
                  <c:v>0.8279102249670941</c:v>
                </c:pt>
                <c:pt idx="103">
                  <c:v>0.8279102249670941</c:v>
                </c:pt>
                <c:pt idx="104">
                  <c:v>0.8279102249670941</c:v>
                </c:pt>
                <c:pt idx="105">
                  <c:v>0.8279102249670941</c:v>
                </c:pt>
                <c:pt idx="106">
                  <c:v>0.8279102249670941</c:v>
                </c:pt>
                <c:pt idx="107">
                  <c:v>0.8279102249670941</c:v>
                </c:pt>
                <c:pt idx="108">
                  <c:v>0.8279102249670941</c:v>
                </c:pt>
                <c:pt idx="109">
                  <c:v>0.8279102249670941</c:v>
                </c:pt>
                <c:pt idx="110">
                  <c:v>0.8279102249670941</c:v>
                </c:pt>
                <c:pt idx="111">
                  <c:v>0.8279102249670941</c:v>
                </c:pt>
                <c:pt idx="112">
                  <c:v>0.8279102249670941</c:v>
                </c:pt>
                <c:pt idx="113">
                  <c:v>0.8279102249670941</c:v>
                </c:pt>
                <c:pt idx="114">
                  <c:v>0.8279102249670941</c:v>
                </c:pt>
                <c:pt idx="115">
                  <c:v>0.8279102249670941</c:v>
                </c:pt>
                <c:pt idx="116">
                  <c:v>0.8279102249670941</c:v>
                </c:pt>
                <c:pt idx="117">
                  <c:v>0.8279102249670941</c:v>
                </c:pt>
                <c:pt idx="118">
                  <c:v>0.8279102249670941</c:v>
                </c:pt>
                <c:pt idx="119">
                  <c:v>0.6209326687253206</c:v>
                </c:pt>
                <c:pt idx="120">
                  <c:v>0.6209326687253206</c:v>
                </c:pt>
                <c:pt idx="121">
                  <c:v>0.6209326687253206</c:v>
                </c:pt>
                <c:pt idx="122">
                  <c:v>0.6209326687253206</c:v>
                </c:pt>
                <c:pt idx="123">
                  <c:v>0.6209326687253206</c:v>
                </c:pt>
                <c:pt idx="124">
                  <c:v>0.6209326687253206</c:v>
                </c:pt>
                <c:pt idx="125">
                  <c:v>0.6209326687253206</c:v>
                </c:pt>
                <c:pt idx="126">
                  <c:v>0.6209326687253206</c:v>
                </c:pt>
                <c:pt idx="127">
                  <c:v>0.6209326687253206</c:v>
                </c:pt>
                <c:pt idx="128">
                  <c:v>0.6209326687253206</c:v>
                </c:pt>
                <c:pt idx="129">
                  <c:v>0.6209326687253206</c:v>
                </c:pt>
                <c:pt idx="130">
                  <c:v>0.6209326687253206</c:v>
                </c:pt>
                <c:pt idx="131">
                  <c:v>0.6209326687253206</c:v>
                </c:pt>
                <c:pt idx="132">
                  <c:v>0.6209326687253206</c:v>
                </c:pt>
                <c:pt idx="133">
                  <c:v>0.6209326687253206</c:v>
                </c:pt>
                <c:pt idx="134">
                  <c:v>0.6209326687253206</c:v>
                </c:pt>
                <c:pt idx="135">
                  <c:v>0.6209326687253206</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0.20697755624177352</c:v>
                </c:pt>
                <c:pt idx="188">
                  <c:v>0.20697755624177352</c:v>
                </c:pt>
                <c:pt idx="189">
                  <c:v>0.20697755624177352</c:v>
                </c:pt>
                <c:pt idx="190">
                  <c:v>0.20697755624177352</c:v>
                </c:pt>
                <c:pt idx="191">
                  <c:v>0.20697755624177352</c:v>
                </c:pt>
                <c:pt idx="192">
                  <c:v>0.20697755624177352</c:v>
                </c:pt>
                <c:pt idx="193">
                  <c:v>0.20697755624177352</c:v>
                </c:pt>
                <c:pt idx="194">
                  <c:v>0.20697755624177352</c:v>
                </c:pt>
                <c:pt idx="195">
                  <c:v>0.20697755624177352</c:v>
                </c:pt>
                <c:pt idx="196">
                  <c:v>0.20697755624177352</c:v>
                </c:pt>
                <c:pt idx="197">
                  <c:v>0.20697755624177352</c:v>
                </c:pt>
                <c:pt idx="198">
                  <c:v>0.20697755624177352</c:v>
                </c:pt>
                <c:pt idx="199">
                  <c:v>0.20697755624177352</c:v>
                </c:pt>
                <c:pt idx="200">
                  <c:v>0.20697755624177352</c:v>
                </c:pt>
                <c:pt idx="201">
                  <c:v>0.20697755624177352</c:v>
                </c:pt>
                <c:pt idx="202">
                  <c:v>0.20697755624177352</c:v>
                </c:pt>
                <c:pt idx="203">
                  <c:v>0.20697755624177352</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0.20697755624177352</c:v>
                </c:pt>
                <c:pt idx="222">
                  <c:v>0.20697755624177352</c:v>
                </c:pt>
                <c:pt idx="223">
                  <c:v>0.20697755624177352</c:v>
                </c:pt>
                <c:pt idx="224">
                  <c:v>0.20697755624177352</c:v>
                </c:pt>
                <c:pt idx="225">
                  <c:v>0.20697755624177352</c:v>
                </c:pt>
                <c:pt idx="226">
                  <c:v>0.20697755624177352</c:v>
                </c:pt>
                <c:pt idx="227">
                  <c:v>0.20697755624177352</c:v>
                </c:pt>
                <c:pt idx="228">
                  <c:v>0.20697755624177352</c:v>
                </c:pt>
                <c:pt idx="229">
                  <c:v>0.20697755624177352</c:v>
                </c:pt>
                <c:pt idx="230">
                  <c:v>0.20697755624177352</c:v>
                </c:pt>
                <c:pt idx="231">
                  <c:v>0.20697755624177352</c:v>
                </c:pt>
                <c:pt idx="232">
                  <c:v>0.20697755624177352</c:v>
                </c:pt>
                <c:pt idx="233">
                  <c:v>0.20697755624177352</c:v>
                </c:pt>
                <c:pt idx="234">
                  <c:v>0.20697755624177352</c:v>
                </c:pt>
                <c:pt idx="235">
                  <c:v>0.20697755624177352</c:v>
                </c:pt>
                <c:pt idx="236">
                  <c:v>0.20697755624177352</c:v>
                </c:pt>
                <c:pt idx="237">
                  <c:v>0.20697755624177352</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numCache>
            </c:numRef>
          </c:val>
          <c:extLst>
            <c:ext xmlns:c16="http://schemas.microsoft.com/office/drawing/2014/chart" uri="{C3380CC4-5D6E-409C-BE32-E72D297353CC}">
              <c16:uniqueId val="{00000000-ACA4-42F2-AF4F-DF9CBA922816}"/>
            </c:ext>
          </c:extLst>
        </c:ser>
        <c:dLbls>
          <c:showLegendKey val="0"/>
          <c:showVal val="0"/>
          <c:showCatName val="0"/>
          <c:showSerName val="0"/>
          <c:showPercent val="0"/>
          <c:showBubbleSize val="0"/>
        </c:dLbls>
        <c:gapWidth val="0"/>
        <c:axId val="247937903"/>
        <c:axId val="31931263"/>
      </c:barChart>
      <c:lineChart>
        <c:grouping val="standard"/>
        <c:varyColors val="0"/>
        <c:ser>
          <c:idx val="0"/>
          <c:order val="0"/>
          <c:tx>
            <c:strRef>
              <c:f>BeskrivendeStatistik!$Y$6</c:f>
              <c:strCache>
                <c:ptCount val="1"/>
                <c:pt idx="0">
                  <c:v>Normalfordeling (1.854 ; 4.307)</c:v>
                </c:pt>
              </c:strCache>
            </c:strRef>
          </c:tx>
          <c:spPr>
            <a:ln w="28575" cap="rnd">
              <a:solidFill>
                <a:sysClr val="windowText" lastClr="000000"/>
              </a:solidFill>
              <a:round/>
            </a:ln>
            <a:effectLst/>
          </c:spPr>
          <c:marker>
            <c:symbol val="none"/>
          </c:marker>
          <c:dLbls>
            <c:dLbl>
              <c:idx val="0"/>
              <c:tx>
                <c:rich>
                  <a:bodyPr/>
                  <a:lstStyle/>
                  <a:p>
                    <a:fld id="{CE892F54-6287-43B8-A8EC-D1BA8BF7BF6D}" type="CELLRANGE">
                      <a:rPr lang="el-GR"/>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ACA4-42F2-AF4F-DF9CBA922816}"/>
                </c:ext>
              </c:extLst>
            </c:dLbl>
            <c:dLbl>
              <c:idx val="1"/>
              <c:tx>
                <c:rich>
                  <a:bodyPr/>
                  <a:lstStyle/>
                  <a:p>
                    <a:fld id="{3E5B2327-46AC-41E3-994B-09982ECE1E8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ACA4-42F2-AF4F-DF9CBA922816}"/>
                </c:ext>
              </c:extLst>
            </c:dLbl>
            <c:dLbl>
              <c:idx val="2"/>
              <c:tx>
                <c:rich>
                  <a:bodyPr/>
                  <a:lstStyle/>
                  <a:p>
                    <a:fld id="{F9ECDE28-BE9C-47E2-9F54-3FD1459D9C1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CA4-42F2-AF4F-DF9CBA922816}"/>
                </c:ext>
              </c:extLst>
            </c:dLbl>
            <c:dLbl>
              <c:idx val="3"/>
              <c:tx>
                <c:rich>
                  <a:bodyPr/>
                  <a:lstStyle/>
                  <a:p>
                    <a:fld id="{8405BF87-A55F-477E-9CD8-C20D93F2F08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CA4-42F2-AF4F-DF9CBA922816}"/>
                </c:ext>
              </c:extLst>
            </c:dLbl>
            <c:dLbl>
              <c:idx val="4"/>
              <c:tx>
                <c:rich>
                  <a:bodyPr/>
                  <a:lstStyle/>
                  <a:p>
                    <a:fld id="{587AB442-C379-4855-809A-F9AD8D59F65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CA4-42F2-AF4F-DF9CBA922816}"/>
                </c:ext>
              </c:extLst>
            </c:dLbl>
            <c:dLbl>
              <c:idx val="5"/>
              <c:tx>
                <c:rich>
                  <a:bodyPr/>
                  <a:lstStyle/>
                  <a:p>
                    <a:fld id="{BE3B9810-757B-49D3-BA4C-9E865CE8BC1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CA4-42F2-AF4F-DF9CBA922816}"/>
                </c:ext>
              </c:extLst>
            </c:dLbl>
            <c:dLbl>
              <c:idx val="6"/>
              <c:tx>
                <c:rich>
                  <a:bodyPr/>
                  <a:lstStyle/>
                  <a:p>
                    <a:fld id="{6971CB97-CA2C-4A5B-9C27-D4F2C1ABF67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CA4-42F2-AF4F-DF9CBA922816}"/>
                </c:ext>
              </c:extLst>
            </c:dLbl>
            <c:dLbl>
              <c:idx val="7"/>
              <c:tx>
                <c:rich>
                  <a:bodyPr/>
                  <a:lstStyle/>
                  <a:p>
                    <a:fld id="{82D1EAC6-C405-4BD6-BCA0-2B34EF78108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CA4-42F2-AF4F-DF9CBA922816}"/>
                </c:ext>
              </c:extLst>
            </c:dLbl>
            <c:dLbl>
              <c:idx val="8"/>
              <c:tx>
                <c:rich>
                  <a:bodyPr/>
                  <a:lstStyle/>
                  <a:p>
                    <a:fld id="{20D0D1FA-8036-4628-9D02-8998560BD61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CA4-42F2-AF4F-DF9CBA922816}"/>
                </c:ext>
              </c:extLst>
            </c:dLbl>
            <c:dLbl>
              <c:idx val="9"/>
              <c:tx>
                <c:rich>
                  <a:bodyPr/>
                  <a:lstStyle/>
                  <a:p>
                    <a:fld id="{B27CB83F-A5C4-4560-9CDE-4410AA4E262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CA4-42F2-AF4F-DF9CBA922816}"/>
                </c:ext>
              </c:extLst>
            </c:dLbl>
            <c:dLbl>
              <c:idx val="10"/>
              <c:tx>
                <c:rich>
                  <a:bodyPr/>
                  <a:lstStyle/>
                  <a:p>
                    <a:fld id="{5DC57B32-F49B-435A-94F7-D482DBC2999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CA4-42F2-AF4F-DF9CBA922816}"/>
                </c:ext>
              </c:extLst>
            </c:dLbl>
            <c:dLbl>
              <c:idx val="11"/>
              <c:tx>
                <c:rich>
                  <a:bodyPr/>
                  <a:lstStyle/>
                  <a:p>
                    <a:fld id="{5B0034FE-B2CF-4F73-A42C-DDF926659F5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CA4-42F2-AF4F-DF9CBA922816}"/>
                </c:ext>
              </c:extLst>
            </c:dLbl>
            <c:dLbl>
              <c:idx val="12"/>
              <c:tx>
                <c:rich>
                  <a:bodyPr/>
                  <a:lstStyle/>
                  <a:p>
                    <a:fld id="{4D2DCBB7-4719-4DF6-9137-41C646D514A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ACA4-42F2-AF4F-DF9CBA922816}"/>
                </c:ext>
              </c:extLst>
            </c:dLbl>
            <c:dLbl>
              <c:idx val="13"/>
              <c:tx>
                <c:rich>
                  <a:bodyPr/>
                  <a:lstStyle/>
                  <a:p>
                    <a:fld id="{DFBD2E96-BF0F-46BA-84EA-6B61A221D04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ACA4-42F2-AF4F-DF9CBA922816}"/>
                </c:ext>
              </c:extLst>
            </c:dLbl>
            <c:dLbl>
              <c:idx val="14"/>
              <c:tx>
                <c:rich>
                  <a:bodyPr/>
                  <a:lstStyle/>
                  <a:p>
                    <a:fld id="{5D5D6657-B344-4A07-A4A8-578B83C1DFA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ACA4-42F2-AF4F-DF9CBA922816}"/>
                </c:ext>
              </c:extLst>
            </c:dLbl>
            <c:dLbl>
              <c:idx val="15"/>
              <c:tx>
                <c:rich>
                  <a:bodyPr/>
                  <a:lstStyle/>
                  <a:p>
                    <a:fld id="{46B336F0-BBDE-48CA-A56F-68B35DB06E2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ACA4-42F2-AF4F-DF9CBA922816}"/>
                </c:ext>
              </c:extLst>
            </c:dLbl>
            <c:dLbl>
              <c:idx val="16"/>
              <c:tx>
                <c:rich>
                  <a:bodyPr/>
                  <a:lstStyle/>
                  <a:p>
                    <a:fld id="{A0CF8BBA-7067-4F4A-B730-6FB0BEE0338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ACA4-42F2-AF4F-DF9CBA922816}"/>
                </c:ext>
              </c:extLst>
            </c:dLbl>
            <c:dLbl>
              <c:idx val="17"/>
              <c:tx>
                <c:rich>
                  <a:bodyPr/>
                  <a:lstStyle/>
                  <a:p>
                    <a:fld id="{17324DC3-EF75-4C3B-8216-2AACC837671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ACA4-42F2-AF4F-DF9CBA922816}"/>
                </c:ext>
              </c:extLst>
            </c:dLbl>
            <c:dLbl>
              <c:idx val="18"/>
              <c:tx>
                <c:rich>
                  <a:bodyPr/>
                  <a:lstStyle/>
                  <a:p>
                    <a:fld id="{F7E3CF55-842B-4741-AF30-38C79D8E826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ACA4-42F2-AF4F-DF9CBA922816}"/>
                </c:ext>
              </c:extLst>
            </c:dLbl>
            <c:dLbl>
              <c:idx val="19"/>
              <c:tx>
                <c:rich>
                  <a:bodyPr/>
                  <a:lstStyle/>
                  <a:p>
                    <a:fld id="{3A1CA45C-7E80-45A9-9C62-017165E8D7E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ACA4-42F2-AF4F-DF9CBA922816}"/>
                </c:ext>
              </c:extLst>
            </c:dLbl>
            <c:dLbl>
              <c:idx val="20"/>
              <c:tx>
                <c:rich>
                  <a:bodyPr/>
                  <a:lstStyle/>
                  <a:p>
                    <a:fld id="{2FD7E65F-1CBC-4836-8292-BF7DFD5C398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ACA4-42F2-AF4F-DF9CBA922816}"/>
                </c:ext>
              </c:extLst>
            </c:dLbl>
            <c:dLbl>
              <c:idx val="21"/>
              <c:tx>
                <c:rich>
                  <a:bodyPr/>
                  <a:lstStyle/>
                  <a:p>
                    <a:fld id="{5A1C8C1B-EF9B-4D77-AFD8-40FDE0DDB6E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ACA4-42F2-AF4F-DF9CBA922816}"/>
                </c:ext>
              </c:extLst>
            </c:dLbl>
            <c:dLbl>
              <c:idx val="22"/>
              <c:tx>
                <c:rich>
                  <a:bodyPr/>
                  <a:lstStyle/>
                  <a:p>
                    <a:fld id="{5867B9A3-0E0F-4886-B635-92B8096374B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ACA4-42F2-AF4F-DF9CBA922816}"/>
                </c:ext>
              </c:extLst>
            </c:dLbl>
            <c:dLbl>
              <c:idx val="23"/>
              <c:tx>
                <c:rich>
                  <a:bodyPr/>
                  <a:lstStyle/>
                  <a:p>
                    <a:fld id="{83F5CA7F-02EE-4949-A5DB-9FA687DD797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ACA4-42F2-AF4F-DF9CBA922816}"/>
                </c:ext>
              </c:extLst>
            </c:dLbl>
            <c:dLbl>
              <c:idx val="24"/>
              <c:tx>
                <c:rich>
                  <a:bodyPr/>
                  <a:lstStyle/>
                  <a:p>
                    <a:fld id="{A682FE1D-09D5-4899-9151-8A55E797303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ACA4-42F2-AF4F-DF9CBA922816}"/>
                </c:ext>
              </c:extLst>
            </c:dLbl>
            <c:dLbl>
              <c:idx val="25"/>
              <c:tx>
                <c:rich>
                  <a:bodyPr/>
                  <a:lstStyle/>
                  <a:p>
                    <a:fld id="{1307B255-ACA9-4946-A6DC-08A1C7AF941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ACA4-42F2-AF4F-DF9CBA922816}"/>
                </c:ext>
              </c:extLst>
            </c:dLbl>
            <c:dLbl>
              <c:idx val="26"/>
              <c:tx>
                <c:rich>
                  <a:bodyPr/>
                  <a:lstStyle/>
                  <a:p>
                    <a:fld id="{1FABFF6D-FCD3-49DF-A067-E1D91B6AE87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ACA4-42F2-AF4F-DF9CBA922816}"/>
                </c:ext>
              </c:extLst>
            </c:dLbl>
            <c:dLbl>
              <c:idx val="27"/>
              <c:tx>
                <c:rich>
                  <a:bodyPr/>
                  <a:lstStyle/>
                  <a:p>
                    <a:fld id="{FE78C081-C719-46EE-82CC-BF75CF34986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ACA4-42F2-AF4F-DF9CBA922816}"/>
                </c:ext>
              </c:extLst>
            </c:dLbl>
            <c:dLbl>
              <c:idx val="28"/>
              <c:tx>
                <c:rich>
                  <a:bodyPr/>
                  <a:lstStyle/>
                  <a:p>
                    <a:fld id="{298B647F-6DA6-465C-BD3D-3FC34658646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ACA4-42F2-AF4F-DF9CBA922816}"/>
                </c:ext>
              </c:extLst>
            </c:dLbl>
            <c:dLbl>
              <c:idx val="29"/>
              <c:tx>
                <c:rich>
                  <a:bodyPr/>
                  <a:lstStyle/>
                  <a:p>
                    <a:fld id="{C883DA73-F8C1-464E-AD72-AA3FF27DBBC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ACA4-42F2-AF4F-DF9CBA922816}"/>
                </c:ext>
              </c:extLst>
            </c:dLbl>
            <c:dLbl>
              <c:idx val="30"/>
              <c:tx>
                <c:rich>
                  <a:bodyPr/>
                  <a:lstStyle/>
                  <a:p>
                    <a:fld id="{C0013378-05E9-418B-AACF-7D2F7C00E41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ACA4-42F2-AF4F-DF9CBA922816}"/>
                </c:ext>
              </c:extLst>
            </c:dLbl>
            <c:dLbl>
              <c:idx val="31"/>
              <c:tx>
                <c:rich>
                  <a:bodyPr/>
                  <a:lstStyle/>
                  <a:p>
                    <a:fld id="{4F15BB6C-545A-4491-8B0B-1C59C99DD24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ACA4-42F2-AF4F-DF9CBA922816}"/>
                </c:ext>
              </c:extLst>
            </c:dLbl>
            <c:dLbl>
              <c:idx val="32"/>
              <c:tx>
                <c:rich>
                  <a:bodyPr/>
                  <a:lstStyle/>
                  <a:p>
                    <a:fld id="{5EF569CD-EE7A-4417-9985-983C9353E9A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ACA4-42F2-AF4F-DF9CBA922816}"/>
                </c:ext>
              </c:extLst>
            </c:dLbl>
            <c:dLbl>
              <c:idx val="33"/>
              <c:tx>
                <c:rich>
                  <a:bodyPr/>
                  <a:lstStyle/>
                  <a:p>
                    <a:fld id="{1A2D60A6-E140-4B00-B2FD-C01F5DD7892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ACA4-42F2-AF4F-DF9CBA922816}"/>
                </c:ext>
              </c:extLst>
            </c:dLbl>
            <c:dLbl>
              <c:idx val="34"/>
              <c:tx>
                <c:rich>
                  <a:bodyPr/>
                  <a:lstStyle/>
                  <a:p>
                    <a:fld id="{59054AE4-84EF-477F-B6F9-43D87AFC5AE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ACA4-42F2-AF4F-DF9CBA922816}"/>
                </c:ext>
              </c:extLst>
            </c:dLbl>
            <c:dLbl>
              <c:idx val="35"/>
              <c:tx>
                <c:rich>
                  <a:bodyPr/>
                  <a:lstStyle/>
                  <a:p>
                    <a:fld id="{ED08DFBC-C1D8-478F-856E-673ED2D7578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ACA4-42F2-AF4F-DF9CBA922816}"/>
                </c:ext>
              </c:extLst>
            </c:dLbl>
            <c:dLbl>
              <c:idx val="36"/>
              <c:tx>
                <c:rich>
                  <a:bodyPr/>
                  <a:lstStyle/>
                  <a:p>
                    <a:fld id="{5A19C812-D20D-4B5F-8948-586611C205A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ACA4-42F2-AF4F-DF9CBA922816}"/>
                </c:ext>
              </c:extLst>
            </c:dLbl>
            <c:dLbl>
              <c:idx val="37"/>
              <c:tx>
                <c:rich>
                  <a:bodyPr/>
                  <a:lstStyle/>
                  <a:p>
                    <a:fld id="{89CD53A6-5E82-4A9B-A114-1F0BA9FCDC8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ACA4-42F2-AF4F-DF9CBA922816}"/>
                </c:ext>
              </c:extLst>
            </c:dLbl>
            <c:dLbl>
              <c:idx val="38"/>
              <c:tx>
                <c:rich>
                  <a:bodyPr/>
                  <a:lstStyle/>
                  <a:p>
                    <a:fld id="{16356165-B4F2-4016-B286-608B03EC856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ACA4-42F2-AF4F-DF9CBA922816}"/>
                </c:ext>
              </c:extLst>
            </c:dLbl>
            <c:dLbl>
              <c:idx val="39"/>
              <c:tx>
                <c:rich>
                  <a:bodyPr/>
                  <a:lstStyle/>
                  <a:p>
                    <a:fld id="{F5DDB3C4-30C4-4F0C-87C6-7A52A01B9D3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ACA4-42F2-AF4F-DF9CBA922816}"/>
                </c:ext>
              </c:extLst>
            </c:dLbl>
            <c:dLbl>
              <c:idx val="40"/>
              <c:tx>
                <c:rich>
                  <a:bodyPr/>
                  <a:lstStyle/>
                  <a:p>
                    <a:fld id="{7AC7C893-8C89-4267-8EB1-5E554E78932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ACA4-42F2-AF4F-DF9CBA922816}"/>
                </c:ext>
              </c:extLst>
            </c:dLbl>
            <c:dLbl>
              <c:idx val="41"/>
              <c:tx>
                <c:rich>
                  <a:bodyPr/>
                  <a:lstStyle/>
                  <a:p>
                    <a:fld id="{27F61FE5-6039-4375-B262-06D6908212A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ACA4-42F2-AF4F-DF9CBA922816}"/>
                </c:ext>
              </c:extLst>
            </c:dLbl>
            <c:dLbl>
              <c:idx val="42"/>
              <c:tx>
                <c:rich>
                  <a:bodyPr/>
                  <a:lstStyle/>
                  <a:p>
                    <a:fld id="{27266BAC-1E28-48BC-9B77-CF6F6382767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ACA4-42F2-AF4F-DF9CBA922816}"/>
                </c:ext>
              </c:extLst>
            </c:dLbl>
            <c:dLbl>
              <c:idx val="43"/>
              <c:tx>
                <c:rich>
                  <a:bodyPr/>
                  <a:lstStyle/>
                  <a:p>
                    <a:fld id="{5D581AF9-EBCF-4825-B012-84367B72626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ACA4-42F2-AF4F-DF9CBA922816}"/>
                </c:ext>
              </c:extLst>
            </c:dLbl>
            <c:dLbl>
              <c:idx val="44"/>
              <c:tx>
                <c:rich>
                  <a:bodyPr/>
                  <a:lstStyle/>
                  <a:p>
                    <a:fld id="{51B2D59F-0A89-4AC5-BC69-81B0BB4E376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ACA4-42F2-AF4F-DF9CBA922816}"/>
                </c:ext>
              </c:extLst>
            </c:dLbl>
            <c:dLbl>
              <c:idx val="45"/>
              <c:tx>
                <c:rich>
                  <a:bodyPr/>
                  <a:lstStyle/>
                  <a:p>
                    <a:fld id="{FD55EF45-E469-43B8-9DD3-80AF116FE34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ACA4-42F2-AF4F-DF9CBA922816}"/>
                </c:ext>
              </c:extLst>
            </c:dLbl>
            <c:dLbl>
              <c:idx val="46"/>
              <c:tx>
                <c:rich>
                  <a:bodyPr/>
                  <a:lstStyle/>
                  <a:p>
                    <a:fld id="{E526FF6F-2F5D-4FAB-A7A7-5D77F28D7C0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ACA4-42F2-AF4F-DF9CBA922816}"/>
                </c:ext>
              </c:extLst>
            </c:dLbl>
            <c:dLbl>
              <c:idx val="47"/>
              <c:tx>
                <c:rich>
                  <a:bodyPr/>
                  <a:lstStyle/>
                  <a:p>
                    <a:fld id="{B34DB66E-CF30-49EC-9E30-88F75D8B530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ACA4-42F2-AF4F-DF9CBA922816}"/>
                </c:ext>
              </c:extLst>
            </c:dLbl>
            <c:dLbl>
              <c:idx val="48"/>
              <c:tx>
                <c:rich>
                  <a:bodyPr/>
                  <a:lstStyle/>
                  <a:p>
                    <a:fld id="{B8C1F1F2-872E-4603-A19D-B3EDE3F0FBD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ACA4-42F2-AF4F-DF9CBA922816}"/>
                </c:ext>
              </c:extLst>
            </c:dLbl>
            <c:dLbl>
              <c:idx val="49"/>
              <c:tx>
                <c:rich>
                  <a:bodyPr/>
                  <a:lstStyle/>
                  <a:p>
                    <a:fld id="{5BD653E9-732E-4E58-BE91-D6FFD25CF42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ACA4-42F2-AF4F-DF9CBA922816}"/>
                </c:ext>
              </c:extLst>
            </c:dLbl>
            <c:dLbl>
              <c:idx val="50"/>
              <c:tx>
                <c:rich>
                  <a:bodyPr/>
                  <a:lstStyle/>
                  <a:p>
                    <a:fld id="{B61A65C3-056D-48D8-92F1-945EC1545C9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ACA4-42F2-AF4F-DF9CBA922816}"/>
                </c:ext>
              </c:extLst>
            </c:dLbl>
            <c:dLbl>
              <c:idx val="51"/>
              <c:tx>
                <c:rich>
                  <a:bodyPr/>
                  <a:lstStyle/>
                  <a:p>
                    <a:fld id="{B6D83A37-3D0C-475E-88F5-A696B4CB86F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ACA4-42F2-AF4F-DF9CBA922816}"/>
                </c:ext>
              </c:extLst>
            </c:dLbl>
            <c:dLbl>
              <c:idx val="52"/>
              <c:tx>
                <c:rich>
                  <a:bodyPr/>
                  <a:lstStyle/>
                  <a:p>
                    <a:fld id="{0DBA9624-DE20-4269-91BB-D3B14135A5E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ACA4-42F2-AF4F-DF9CBA922816}"/>
                </c:ext>
              </c:extLst>
            </c:dLbl>
            <c:dLbl>
              <c:idx val="53"/>
              <c:tx>
                <c:rich>
                  <a:bodyPr/>
                  <a:lstStyle/>
                  <a:p>
                    <a:fld id="{8A126EE3-9630-48C4-81F9-52917D5EE08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ACA4-42F2-AF4F-DF9CBA922816}"/>
                </c:ext>
              </c:extLst>
            </c:dLbl>
            <c:dLbl>
              <c:idx val="54"/>
              <c:tx>
                <c:rich>
                  <a:bodyPr/>
                  <a:lstStyle/>
                  <a:p>
                    <a:fld id="{A60B52AD-C3C5-4B83-99FA-1823ECAE024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ACA4-42F2-AF4F-DF9CBA922816}"/>
                </c:ext>
              </c:extLst>
            </c:dLbl>
            <c:dLbl>
              <c:idx val="55"/>
              <c:tx>
                <c:rich>
                  <a:bodyPr/>
                  <a:lstStyle/>
                  <a:p>
                    <a:fld id="{843D9140-7164-4422-AB60-B5D0976DD3E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ACA4-42F2-AF4F-DF9CBA922816}"/>
                </c:ext>
              </c:extLst>
            </c:dLbl>
            <c:dLbl>
              <c:idx val="56"/>
              <c:tx>
                <c:rich>
                  <a:bodyPr/>
                  <a:lstStyle/>
                  <a:p>
                    <a:fld id="{1C3ECBF1-087A-4383-BE98-C9DB71ACBC0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ACA4-42F2-AF4F-DF9CBA922816}"/>
                </c:ext>
              </c:extLst>
            </c:dLbl>
            <c:dLbl>
              <c:idx val="57"/>
              <c:tx>
                <c:rich>
                  <a:bodyPr/>
                  <a:lstStyle/>
                  <a:p>
                    <a:fld id="{A6D154C8-3DD5-43B2-97A6-A8E59F1DC5E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ACA4-42F2-AF4F-DF9CBA922816}"/>
                </c:ext>
              </c:extLst>
            </c:dLbl>
            <c:dLbl>
              <c:idx val="58"/>
              <c:tx>
                <c:rich>
                  <a:bodyPr/>
                  <a:lstStyle/>
                  <a:p>
                    <a:fld id="{33448CF0-4F0F-4200-871D-6DC7E0FEF4E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ACA4-42F2-AF4F-DF9CBA922816}"/>
                </c:ext>
              </c:extLst>
            </c:dLbl>
            <c:dLbl>
              <c:idx val="59"/>
              <c:tx>
                <c:rich>
                  <a:bodyPr/>
                  <a:lstStyle/>
                  <a:p>
                    <a:fld id="{F683B9F8-8288-48B7-9874-3A5BE894EE4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ACA4-42F2-AF4F-DF9CBA922816}"/>
                </c:ext>
              </c:extLst>
            </c:dLbl>
            <c:dLbl>
              <c:idx val="60"/>
              <c:tx>
                <c:rich>
                  <a:bodyPr/>
                  <a:lstStyle/>
                  <a:p>
                    <a:fld id="{9DD7DD98-51C5-407D-AE18-FDFD3D4072D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ACA4-42F2-AF4F-DF9CBA922816}"/>
                </c:ext>
              </c:extLst>
            </c:dLbl>
            <c:dLbl>
              <c:idx val="61"/>
              <c:tx>
                <c:rich>
                  <a:bodyPr/>
                  <a:lstStyle/>
                  <a:p>
                    <a:fld id="{BD68B095-62AD-43FE-A718-2624D77F913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ACA4-42F2-AF4F-DF9CBA922816}"/>
                </c:ext>
              </c:extLst>
            </c:dLbl>
            <c:dLbl>
              <c:idx val="62"/>
              <c:tx>
                <c:rich>
                  <a:bodyPr/>
                  <a:lstStyle/>
                  <a:p>
                    <a:fld id="{978F93B8-8F29-446C-9499-C4BE06E06CF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ACA4-42F2-AF4F-DF9CBA922816}"/>
                </c:ext>
              </c:extLst>
            </c:dLbl>
            <c:dLbl>
              <c:idx val="63"/>
              <c:tx>
                <c:rich>
                  <a:bodyPr/>
                  <a:lstStyle/>
                  <a:p>
                    <a:fld id="{A8B7F976-78A7-42FD-A11F-A0ED66C4A2A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ACA4-42F2-AF4F-DF9CBA922816}"/>
                </c:ext>
              </c:extLst>
            </c:dLbl>
            <c:dLbl>
              <c:idx val="64"/>
              <c:tx>
                <c:rich>
                  <a:bodyPr/>
                  <a:lstStyle/>
                  <a:p>
                    <a:fld id="{01F3687D-5721-4936-AA4B-2909FB7C78C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ACA4-42F2-AF4F-DF9CBA922816}"/>
                </c:ext>
              </c:extLst>
            </c:dLbl>
            <c:dLbl>
              <c:idx val="65"/>
              <c:tx>
                <c:rich>
                  <a:bodyPr/>
                  <a:lstStyle/>
                  <a:p>
                    <a:fld id="{EA841BB5-6C75-4FDB-AE7A-938657A4BCB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ACA4-42F2-AF4F-DF9CBA922816}"/>
                </c:ext>
              </c:extLst>
            </c:dLbl>
            <c:dLbl>
              <c:idx val="66"/>
              <c:tx>
                <c:rich>
                  <a:bodyPr/>
                  <a:lstStyle/>
                  <a:p>
                    <a:fld id="{4EC00089-E377-4D6F-AED7-C89367C27AD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ACA4-42F2-AF4F-DF9CBA922816}"/>
                </c:ext>
              </c:extLst>
            </c:dLbl>
            <c:dLbl>
              <c:idx val="67"/>
              <c:tx>
                <c:rich>
                  <a:bodyPr/>
                  <a:lstStyle/>
                  <a:p>
                    <a:fld id="{39EB07B9-B28A-4F33-914B-21857C74C0A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ACA4-42F2-AF4F-DF9CBA922816}"/>
                </c:ext>
              </c:extLst>
            </c:dLbl>
            <c:dLbl>
              <c:idx val="68"/>
              <c:tx>
                <c:rich>
                  <a:bodyPr/>
                  <a:lstStyle/>
                  <a:p>
                    <a:fld id="{8424B030-FB0E-4D9E-85A8-9E055905181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ACA4-42F2-AF4F-DF9CBA922816}"/>
                </c:ext>
              </c:extLst>
            </c:dLbl>
            <c:dLbl>
              <c:idx val="69"/>
              <c:tx>
                <c:rich>
                  <a:bodyPr/>
                  <a:lstStyle/>
                  <a:p>
                    <a:fld id="{FF955FC6-5EF8-4481-9196-0EEEF9E0D3B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ACA4-42F2-AF4F-DF9CBA922816}"/>
                </c:ext>
              </c:extLst>
            </c:dLbl>
            <c:dLbl>
              <c:idx val="70"/>
              <c:tx>
                <c:rich>
                  <a:bodyPr/>
                  <a:lstStyle/>
                  <a:p>
                    <a:fld id="{447D4555-FAD3-44C8-B49F-23AE442E181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ACA4-42F2-AF4F-DF9CBA922816}"/>
                </c:ext>
              </c:extLst>
            </c:dLbl>
            <c:dLbl>
              <c:idx val="71"/>
              <c:tx>
                <c:rich>
                  <a:bodyPr/>
                  <a:lstStyle/>
                  <a:p>
                    <a:fld id="{D8B17216-BF94-40D8-AB6D-08BE76C717F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ACA4-42F2-AF4F-DF9CBA922816}"/>
                </c:ext>
              </c:extLst>
            </c:dLbl>
            <c:dLbl>
              <c:idx val="72"/>
              <c:tx>
                <c:rich>
                  <a:bodyPr/>
                  <a:lstStyle/>
                  <a:p>
                    <a:fld id="{B7DD7219-2668-426E-B648-7815AED860C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ACA4-42F2-AF4F-DF9CBA922816}"/>
                </c:ext>
              </c:extLst>
            </c:dLbl>
            <c:dLbl>
              <c:idx val="73"/>
              <c:tx>
                <c:rich>
                  <a:bodyPr/>
                  <a:lstStyle/>
                  <a:p>
                    <a:fld id="{76D6CA45-D623-4B94-A1B6-EED464E6FB6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ACA4-42F2-AF4F-DF9CBA922816}"/>
                </c:ext>
              </c:extLst>
            </c:dLbl>
            <c:dLbl>
              <c:idx val="74"/>
              <c:tx>
                <c:rich>
                  <a:bodyPr/>
                  <a:lstStyle/>
                  <a:p>
                    <a:fld id="{5A90EC22-CB65-454C-9B3B-F3FFB62E24B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ACA4-42F2-AF4F-DF9CBA922816}"/>
                </c:ext>
              </c:extLst>
            </c:dLbl>
            <c:dLbl>
              <c:idx val="75"/>
              <c:tx>
                <c:rich>
                  <a:bodyPr/>
                  <a:lstStyle/>
                  <a:p>
                    <a:fld id="{A0FF31AF-4B3E-46D7-A6F2-DCF760B54B5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ACA4-42F2-AF4F-DF9CBA922816}"/>
                </c:ext>
              </c:extLst>
            </c:dLbl>
            <c:dLbl>
              <c:idx val="76"/>
              <c:tx>
                <c:rich>
                  <a:bodyPr/>
                  <a:lstStyle/>
                  <a:p>
                    <a:fld id="{FA8FBFE6-D860-4F1F-A72E-2A9B50654C7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ACA4-42F2-AF4F-DF9CBA922816}"/>
                </c:ext>
              </c:extLst>
            </c:dLbl>
            <c:dLbl>
              <c:idx val="77"/>
              <c:tx>
                <c:rich>
                  <a:bodyPr/>
                  <a:lstStyle/>
                  <a:p>
                    <a:fld id="{5976BB6B-5B28-400B-A7CA-BFC66145DD9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ACA4-42F2-AF4F-DF9CBA922816}"/>
                </c:ext>
              </c:extLst>
            </c:dLbl>
            <c:dLbl>
              <c:idx val="78"/>
              <c:tx>
                <c:rich>
                  <a:bodyPr/>
                  <a:lstStyle/>
                  <a:p>
                    <a:fld id="{BE9FE462-824C-4CA0-A5AE-A072A98E391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ACA4-42F2-AF4F-DF9CBA922816}"/>
                </c:ext>
              </c:extLst>
            </c:dLbl>
            <c:dLbl>
              <c:idx val="79"/>
              <c:tx>
                <c:rich>
                  <a:bodyPr/>
                  <a:lstStyle/>
                  <a:p>
                    <a:fld id="{2CFFC3EB-5456-4CC7-BAA6-8B76B3541AF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ACA4-42F2-AF4F-DF9CBA922816}"/>
                </c:ext>
              </c:extLst>
            </c:dLbl>
            <c:dLbl>
              <c:idx val="80"/>
              <c:tx>
                <c:rich>
                  <a:bodyPr/>
                  <a:lstStyle/>
                  <a:p>
                    <a:fld id="{7E6E0560-13A8-420B-A6CE-793A0747014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ACA4-42F2-AF4F-DF9CBA922816}"/>
                </c:ext>
              </c:extLst>
            </c:dLbl>
            <c:dLbl>
              <c:idx val="81"/>
              <c:tx>
                <c:rich>
                  <a:bodyPr/>
                  <a:lstStyle/>
                  <a:p>
                    <a:fld id="{0F09BB90-BF67-48D7-82A8-92AB58E2984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ACA4-42F2-AF4F-DF9CBA922816}"/>
                </c:ext>
              </c:extLst>
            </c:dLbl>
            <c:dLbl>
              <c:idx val="82"/>
              <c:tx>
                <c:rich>
                  <a:bodyPr/>
                  <a:lstStyle/>
                  <a:p>
                    <a:fld id="{3E01EAF5-7A60-493C-A933-74405E56B03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ACA4-42F2-AF4F-DF9CBA922816}"/>
                </c:ext>
              </c:extLst>
            </c:dLbl>
            <c:dLbl>
              <c:idx val="83"/>
              <c:tx>
                <c:rich>
                  <a:bodyPr/>
                  <a:lstStyle/>
                  <a:p>
                    <a:fld id="{010E675D-5B8A-4DE5-BB10-EB877DE051F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ACA4-42F2-AF4F-DF9CBA922816}"/>
                </c:ext>
              </c:extLst>
            </c:dLbl>
            <c:dLbl>
              <c:idx val="84"/>
              <c:tx>
                <c:rich>
                  <a:bodyPr/>
                  <a:lstStyle/>
                  <a:p>
                    <a:fld id="{11A366C9-E311-4055-9A20-B786B747F71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ACA4-42F2-AF4F-DF9CBA922816}"/>
                </c:ext>
              </c:extLst>
            </c:dLbl>
            <c:dLbl>
              <c:idx val="85"/>
              <c:tx>
                <c:rich>
                  <a:bodyPr/>
                  <a:lstStyle/>
                  <a:p>
                    <a:fld id="{DCF9A113-6EA1-4AEC-B8D0-6F672148917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ACA4-42F2-AF4F-DF9CBA922816}"/>
                </c:ext>
              </c:extLst>
            </c:dLbl>
            <c:dLbl>
              <c:idx val="86"/>
              <c:tx>
                <c:rich>
                  <a:bodyPr/>
                  <a:lstStyle/>
                  <a:p>
                    <a:fld id="{533487DE-BC8E-42AE-9986-B4D8287419C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ACA4-42F2-AF4F-DF9CBA922816}"/>
                </c:ext>
              </c:extLst>
            </c:dLbl>
            <c:dLbl>
              <c:idx val="87"/>
              <c:tx>
                <c:rich>
                  <a:bodyPr/>
                  <a:lstStyle/>
                  <a:p>
                    <a:fld id="{96A0CC1C-65B0-4084-A23D-C4EC2622C2C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ACA4-42F2-AF4F-DF9CBA922816}"/>
                </c:ext>
              </c:extLst>
            </c:dLbl>
            <c:dLbl>
              <c:idx val="88"/>
              <c:tx>
                <c:rich>
                  <a:bodyPr/>
                  <a:lstStyle/>
                  <a:p>
                    <a:fld id="{EEA9E418-A058-4740-B295-EE2EF688F3B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ACA4-42F2-AF4F-DF9CBA922816}"/>
                </c:ext>
              </c:extLst>
            </c:dLbl>
            <c:dLbl>
              <c:idx val="89"/>
              <c:tx>
                <c:rich>
                  <a:bodyPr/>
                  <a:lstStyle/>
                  <a:p>
                    <a:fld id="{9C4398F8-BAD1-4CBB-AEBE-BBF0A26F51B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ACA4-42F2-AF4F-DF9CBA922816}"/>
                </c:ext>
              </c:extLst>
            </c:dLbl>
            <c:dLbl>
              <c:idx val="90"/>
              <c:tx>
                <c:rich>
                  <a:bodyPr/>
                  <a:lstStyle/>
                  <a:p>
                    <a:fld id="{63563F82-AA7C-4524-BD13-5BDD378C47E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ACA4-42F2-AF4F-DF9CBA922816}"/>
                </c:ext>
              </c:extLst>
            </c:dLbl>
            <c:dLbl>
              <c:idx val="91"/>
              <c:tx>
                <c:rich>
                  <a:bodyPr/>
                  <a:lstStyle/>
                  <a:p>
                    <a:fld id="{2726F687-2EC4-48D5-A550-7A6E985FBA4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ACA4-42F2-AF4F-DF9CBA922816}"/>
                </c:ext>
              </c:extLst>
            </c:dLbl>
            <c:dLbl>
              <c:idx val="92"/>
              <c:tx>
                <c:rich>
                  <a:bodyPr/>
                  <a:lstStyle/>
                  <a:p>
                    <a:fld id="{06DD03BD-F536-4A16-B43B-E1D45E028A9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ACA4-42F2-AF4F-DF9CBA922816}"/>
                </c:ext>
              </c:extLst>
            </c:dLbl>
            <c:dLbl>
              <c:idx val="93"/>
              <c:tx>
                <c:rich>
                  <a:bodyPr/>
                  <a:lstStyle/>
                  <a:p>
                    <a:fld id="{256B3CE4-411E-459C-8479-96853586313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ACA4-42F2-AF4F-DF9CBA922816}"/>
                </c:ext>
              </c:extLst>
            </c:dLbl>
            <c:dLbl>
              <c:idx val="94"/>
              <c:tx>
                <c:rich>
                  <a:bodyPr/>
                  <a:lstStyle/>
                  <a:p>
                    <a:fld id="{FDF5A601-6965-4A2A-B163-2BDAF221ED9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ACA4-42F2-AF4F-DF9CBA922816}"/>
                </c:ext>
              </c:extLst>
            </c:dLbl>
            <c:dLbl>
              <c:idx val="95"/>
              <c:tx>
                <c:rich>
                  <a:bodyPr/>
                  <a:lstStyle/>
                  <a:p>
                    <a:fld id="{A64AF793-D4A8-4583-9817-E30A25211CA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ACA4-42F2-AF4F-DF9CBA922816}"/>
                </c:ext>
              </c:extLst>
            </c:dLbl>
            <c:dLbl>
              <c:idx val="96"/>
              <c:tx>
                <c:rich>
                  <a:bodyPr/>
                  <a:lstStyle/>
                  <a:p>
                    <a:fld id="{69F74791-E854-468C-A2FD-D984C60CC7B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ACA4-42F2-AF4F-DF9CBA922816}"/>
                </c:ext>
              </c:extLst>
            </c:dLbl>
            <c:dLbl>
              <c:idx val="97"/>
              <c:tx>
                <c:rich>
                  <a:bodyPr/>
                  <a:lstStyle/>
                  <a:p>
                    <a:fld id="{DD6DA237-65D9-4FE3-8D16-3DC9FB63006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ACA4-42F2-AF4F-DF9CBA922816}"/>
                </c:ext>
              </c:extLst>
            </c:dLbl>
            <c:dLbl>
              <c:idx val="98"/>
              <c:tx>
                <c:rich>
                  <a:bodyPr/>
                  <a:lstStyle/>
                  <a:p>
                    <a:fld id="{C3CB452C-70E8-43DD-94B9-9EEE4821CC9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ACA4-42F2-AF4F-DF9CBA922816}"/>
                </c:ext>
              </c:extLst>
            </c:dLbl>
            <c:dLbl>
              <c:idx val="99"/>
              <c:tx>
                <c:rich>
                  <a:bodyPr/>
                  <a:lstStyle/>
                  <a:p>
                    <a:fld id="{557F9933-A60E-4A2F-8B29-5E1A939771F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ACA4-42F2-AF4F-DF9CBA922816}"/>
                </c:ext>
              </c:extLst>
            </c:dLbl>
            <c:dLbl>
              <c:idx val="100"/>
              <c:tx>
                <c:rich>
                  <a:bodyPr/>
                  <a:lstStyle/>
                  <a:p>
                    <a:fld id="{B8F5B244-42A8-4F6A-AB85-5FE5632AB8D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ACA4-42F2-AF4F-DF9CBA922816}"/>
                </c:ext>
              </c:extLst>
            </c:dLbl>
            <c:dLbl>
              <c:idx val="101"/>
              <c:tx>
                <c:rich>
                  <a:bodyPr/>
                  <a:lstStyle/>
                  <a:p>
                    <a:fld id="{39C656E8-0731-4EE8-9CFC-DED86CF3F53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ACA4-42F2-AF4F-DF9CBA922816}"/>
                </c:ext>
              </c:extLst>
            </c:dLbl>
            <c:dLbl>
              <c:idx val="102"/>
              <c:tx>
                <c:rich>
                  <a:bodyPr/>
                  <a:lstStyle/>
                  <a:p>
                    <a:fld id="{6B331B76-B1E1-430E-96A4-26B2B98BEBB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ACA4-42F2-AF4F-DF9CBA922816}"/>
                </c:ext>
              </c:extLst>
            </c:dLbl>
            <c:dLbl>
              <c:idx val="103"/>
              <c:tx>
                <c:rich>
                  <a:bodyPr/>
                  <a:lstStyle/>
                  <a:p>
                    <a:fld id="{E52E0DF6-DA0A-4D07-8463-506992AAE9B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ACA4-42F2-AF4F-DF9CBA922816}"/>
                </c:ext>
              </c:extLst>
            </c:dLbl>
            <c:dLbl>
              <c:idx val="104"/>
              <c:tx>
                <c:rich>
                  <a:bodyPr/>
                  <a:lstStyle/>
                  <a:p>
                    <a:fld id="{F623F9FB-B3CD-4D06-B3EB-D1586E89454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ACA4-42F2-AF4F-DF9CBA922816}"/>
                </c:ext>
              </c:extLst>
            </c:dLbl>
            <c:dLbl>
              <c:idx val="105"/>
              <c:tx>
                <c:rich>
                  <a:bodyPr/>
                  <a:lstStyle/>
                  <a:p>
                    <a:fld id="{D3792EA5-7F3B-44C9-BAE0-43306D7A07C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ACA4-42F2-AF4F-DF9CBA922816}"/>
                </c:ext>
              </c:extLst>
            </c:dLbl>
            <c:dLbl>
              <c:idx val="106"/>
              <c:tx>
                <c:rich>
                  <a:bodyPr/>
                  <a:lstStyle/>
                  <a:p>
                    <a:fld id="{59492A42-7715-41EA-8536-E2D1984A4A1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ACA4-42F2-AF4F-DF9CBA922816}"/>
                </c:ext>
              </c:extLst>
            </c:dLbl>
            <c:dLbl>
              <c:idx val="107"/>
              <c:tx>
                <c:rich>
                  <a:bodyPr/>
                  <a:lstStyle/>
                  <a:p>
                    <a:fld id="{12AF4847-E0B2-472F-8B2E-DE013CB8055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ACA4-42F2-AF4F-DF9CBA922816}"/>
                </c:ext>
              </c:extLst>
            </c:dLbl>
            <c:dLbl>
              <c:idx val="108"/>
              <c:tx>
                <c:rich>
                  <a:bodyPr/>
                  <a:lstStyle/>
                  <a:p>
                    <a:fld id="{524C3FFC-9568-491D-84B2-658B9BA2352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ACA4-42F2-AF4F-DF9CBA922816}"/>
                </c:ext>
              </c:extLst>
            </c:dLbl>
            <c:dLbl>
              <c:idx val="109"/>
              <c:tx>
                <c:rich>
                  <a:bodyPr/>
                  <a:lstStyle/>
                  <a:p>
                    <a:fld id="{750C23F5-DCA4-46D8-AA4E-A0D0CF7E2EC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ACA4-42F2-AF4F-DF9CBA922816}"/>
                </c:ext>
              </c:extLst>
            </c:dLbl>
            <c:dLbl>
              <c:idx val="110"/>
              <c:tx>
                <c:rich>
                  <a:bodyPr/>
                  <a:lstStyle/>
                  <a:p>
                    <a:fld id="{68C08DCD-620B-4D52-94AA-59B455B9F41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ACA4-42F2-AF4F-DF9CBA922816}"/>
                </c:ext>
              </c:extLst>
            </c:dLbl>
            <c:dLbl>
              <c:idx val="111"/>
              <c:tx>
                <c:rich>
                  <a:bodyPr/>
                  <a:lstStyle/>
                  <a:p>
                    <a:fld id="{FE341F58-413D-45A3-936C-DA6C5644C7E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ACA4-42F2-AF4F-DF9CBA922816}"/>
                </c:ext>
              </c:extLst>
            </c:dLbl>
            <c:dLbl>
              <c:idx val="112"/>
              <c:tx>
                <c:rich>
                  <a:bodyPr/>
                  <a:lstStyle/>
                  <a:p>
                    <a:fld id="{DD5B919E-83C4-46A0-911C-9180F644C8C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ACA4-42F2-AF4F-DF9CBA922816}"/>
                </c:ext>
              </c:extLst>
            </c:dLbl>
            <c:dLbl>
              <c:idx val="113"/>
              <c:tx>
                <c:rich>
                  <a:bodyPr/>
                  <a:lstStyle/>
                  <a:p>
                    <a:fld id="{C36B4D4F-6CD6-4C24-9179-27AEE8D164B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ACA4-42F2-AF4F-DF9CBA922816}"/>
                </c:ext>
              </c:extLst>
            </c:dLbl>
            <c:dLbl>
              <c:idx val="114"/>
              <c:tx>
                <c:rich>
                  <a:bodyPr/>
                  <a:lstStyle/>
                  <a:p>
                    <a:fld id="{F9881E81-357D-4900-AEF0-4772789E058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ACA4-42F2-AF4F-DF9CBA922816}"/>
                </c:ext>
              </c:extLst>
            </c:dLbl>
            <c:dLbl>
              <c:idx val="115"/>
              <c:tx>
                <c:rich>
                  <a:bodyPr/>
                  <a:lstStyle/>
                  <a:p>
                    <a:fld id="{DC192AE6-6E7D-4B06-9010-D92877BA039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ACA4-42F2-AF4F-DF9CBA922816}"/>
                </c:ext>
              </c:extLst>
            </c:dLbl>
            <c:dLbl>
              <c:idx val="116"/>
              <c:tx>
                <c:rich>
                  <a:bodyPr/>
                  <a:lstStyle/>
                  <a:p>
                    <a:fld id="{9F7F0FDE-A2D7-4922-A90C-9784A19C4CC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ACA4-42F2-AF4F-DF9CBA922816}"/>
                </c:ext>
              </c:extLst>
            </c:dLbl>
            <c:dLbl>
              <c:idx val="117"/>
              <c:tx>
                <c:rich>
                  <a:bodyPr/>
                  <a:lstStyle/>
                  <a:p>
                    <a:fld id="{21F039C4-92A7-492B-87B3-4D82B5C4C81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ACA4-42F2-AF4F-DF9CBA922816}"/>
                </c:ext>
              </c:extLst>
            </c:dLbl>
            <c:dLbl>
              <c:idx val="118"/>
              <c:tx>
                <c:rich>
                  <a:bodyPr/>
                  <a:lstStyle/>
                  <a:p>
                    <a:fld id="{E2219037-2BF3-4544-B060-A51139C4304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ACA4-42F2-AF4F-DF9CBA922816}"/>
                </c:ext>
              </c:extLst>
            </c:dLbl>
            <c:dLbl>
              <c:idx val="119"/>
              <c:tx>
                <c:rich>
                  <a:bodyPr/>
                  <a:lstStyle/>
                  <a:p>
                    <a:fld id="{E1B4AED7-E831-43BB-8D42-DD495890F7F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ACA4-42F2-AF4F-DF9CBA922816}"/>
                </c:ext>
              </c:extLst>
            </c:dLbl>
            <c:dLbl>
              <c:idx val="120"/>
              <c:tx>
                <c:rich>
                  <a:bodyPr/>
                  <a:lstStyle/>
                  <a:p>
                    <a:fld id="{E59D0F43-D220-4AFA-A58B-B42596DBF0E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ACA4-42F2-AF4F-DF9CBA922816}"/>
                </c:ext>
              </c:extLst>
            </c:dLbl>
            <c:dLbl>
              <c:idx val="121"/>
              <c:tx>
                <c:rich>
                  <a:bodyPr/>
                  <a:lstStyle/>
                  <a:p>
                    <a:fld id="{2883A7AA-C3B8-4B49-A065-A8480A2729B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ACA4-42F2-AF4F-DF9CBA922816}"/>
                </c:ext>
              </c:extLst>
            </c:dLbl>
            <c:dLbl>
              <c:idx val="122"/>
              <c:tx>
                <c:rich>
                  <a:bodyPr/>
                  <a:lstStyle/>
                  <a:p>
                    <a:fld id="{38C20807-337E-40D7-A0C6-F44CAEA776D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ACA4-42F2-AF4F-DF9CBA922816}"/>
                </c:ext>
              </c:extLst>
            </c:dLbl>
            <c:dLbl>
              <c:idx val="123"/>
              <c:tx>
                <c:rich>
                  <a:bodyPr/>
                  <a:lstStyle/>
                  <a:p>
                    <a:fld id="{698294EE-1A3C-4C96-8051-1A699980B36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ACA4-42F2-AF4F-DF9CBA922816}"/>
                </c:ext>
              </c:extLst>
            </c:dLbl>
            <c:dLbl>
              <c:idx val="124"/>
              <c:tx>
                <c:rich>
                  <a:bodyPr/>
                  <a:lstStyle/>
                  <a:p>
                    <a:fld id="{F423C82C-FF34-4ED5-BEA2-E3286BE8293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ACA4-42F2-AF4F-DF9CBA922816}"/>
                </c:ext>
              </c:extLst>
            </c:dLbl>
            <c:dLbl>
              <c:idx val="125"/>
              <c:tx>
                <c:rich>
                  <a:bodyPr/>
                  <a:lstStyle/>
                  <a:p>
                    <a:fld id="{C04816CE-D890-4295-9756-F4FD18B7D67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ACA4-42F2-AF4F-DF9CBA922816}"/>
                </c:ext>
              </c:extLst>
            </c:dLbl>
            <c:dLbl>
              <c:idx val="126"/>
              <c:tx>
                <c:rich>
                  <a:bodyPr/>
                  <a:lstStyle/>
                  <a:p>
                    <a:fld id="{26C223A1-913F-4B44-AB2E-22E03F58337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ACA4-42F2-AF4F-DF9CBA922816}"/>
                </c:ext>
              </c:extLst>
            </c:dLbl>
            <c:dLbl>
              <c:idx val="127"/>
              <c:tx>
                <c:rich>
                  <a:bodyPr/>
                  <a:lstStyle/>
                  <a:p>
                    <a:fld id="{EAB865F5-8EDE-49B7-8441-EBEF8062A25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ACA4-42F2-AF4F-DF9CBA922816}"/>
                </c:ext>
              </c:extLst>
            </c:dLbl>
            <c:dLbl>
              <c:idx val="128"/>
              <c:tx>
                <c:rich>
                  <a:bodyPr/>
                  <a:lstStyle/>
                  <a:p>
                    <a:fld id="{465D56DE-F63B-4A0F-8CBE-EBBE589C873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ACA4-42F2-AF4F-DF9CBA922816}"/>
                </c:ext>
              </c:extLst>
            </c:dLbl>
            <c:dLbl>
              <c:idx val="129"/>
              <c:tx>
                <c:rich>
                  <a:bodyPr/>
                  <a:lstStyle/>
                  <a:p>
                    <a:fld id="{CCC2709B-9453-44E5-A7FA-1BF3A7BD670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ACA4-42F2-AF4F-DF9CBA922816}"/>
                </c:ext>
              </c:extLst>
            </c:dLbl>
            <c:dLbl>
              <c:idx val="130"/>
              <c:tx>
                <c:rich>
                  <a:bodyPr/>
                  <a:lstStyle/>
                  <a:p>
                    <a:fld id="{F606EF83-CB40-49D2-BC20-8AB5D650208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ACA4-42F2-AF4F-DF9CBA922816}"/>
                </c:ext>
              </c:extLst>
            </c:dLbl>
            <c:dLbl>
              <c:idx val="131"/>
              <c:tx>
                <c:rich>
                  <a:bodyPr/>
                  <a:lstStyle/>
                  <a:p>
                    <a:fld id="{1F2878B8-2BFA-49B0-BF5A-30896746751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ACA4-42F2-AF4F-DF9CBA922816}"/>
                </c:ext>
              </c:extLst>
            </c:dLbl>
            <c:dLbl>
              <c:idx val="132"/>
              <c:tx>
                <c:rich>
                  <a:bodyPr/>
                  <a:lstStyle/>
                  <a:p>
                    <a:fld id="{C24193E0-BB24-47F0-8FDC-C4855A44AEA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ACA4-42F2-AF4F-DF9CBA922816}"/>
                </c:ext>
              </c:extLst>
            </c:dLbl>
            <c:dLbl>
              <c:idx val="133"/>
              <c:tx>
                <c:rich>
                  <a:bodyPr/>
                  <a:lstStyle/>
                  <a:p>
                    <a:fld id="{6684F8EB-3BEE-4A06-8B29-DF88228F3A0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ACA4-42F2-AF4F-DF9CBA922816}"/>
                </c:ext>
              </c:extLst>
            </c:dLbl>
            <c:dLbl>
              <c:idx val="134"/>
              <c:tx>
                <c:rich>
                  <a:bodyPr/>
                  <a:lstStyle/>
                  <a:p>
                    <a:fld id="{0B052E2F-A147-4198-8560-53E0ECC8C99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ACA4-42F2-AF4F-DF9CBA922816}"/>
                </c:ext>
              </c:extLst>
            </c:dLbl>
            <c:dLbl>
              <c:idx val="135"/>
              <c:tx>
                <c:rich>
                  <a:bodyPr/>
                  <a:lstStyle/>
                  <a:p>
                    <a:fld id="{6236A6D9-ED6E-4718-A3A0-70507D4485A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ACA4-42F2-AF4F-DF9CBA922816}"/>
                </c:ext>
              </c:extLst>
            </c:dLbl>
            <c:dLbl>
              <c:idx val="136"/>
              <c:tx>
                <c:rich>
                  <a:bodyPr/>
                  <a:lstStyle/>
                  <a:p>
                    <a:fld id="{CE31BCB1-3A27-4CDB-A5B9-4EF221150E3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ACA4-42F2-AF4F-DF9CBA922816}"/>
                </c:ext>
              </c:extLst>
            </c:dLbl>
            <c:dLbl>
              <c:idx val="137"/>
              <c:tx>
                <c:rich>
                  <a:bodyPr/>
                  <a:lstStyle/>
                  <a:p>
                    <a:fld id="{2BA33773-1617-4C4F-99A1-FFB065F2EDF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ACA4-42F2-AF4F-DF9CBA922816}"/>
                </c:ext>
              </c:extLst>
            </c:dLbl>
            <c:dLbl>
              <c:idx val="138"/>
              <c:tx>
                <c:rich>
                  <a:bodyPr/>
                  <a:lstStyle/>
                  <a:p>
                    <a:fld id="{BB62428B-3244-4C4D-9496-4B6E0F32E5B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ACA4-42F2-AF4F-DF9CBA922816}"/>
                </c:ext>
              </c:extLst>
            </c:dLbl>
            <c:dLbl>
              <c:idx val="139"/>
              <c:tx>
                <c:rich>
                  <a:bodyPr/>
                  <a:lstStyle/>
                  <a:p>
                    <a:fld id="{1C5F3950-D0D0-4F4F-A75B-DC4EC7967F8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ACA4-42F2-AF4F-DF9CBA922816}"/>
                </c:ext>
              </c:extLst>
            </c:dLbl>
            <c:dLbl>
              <c:idx val="140"/>
              <c:tx>
                <c:rich>
                  <a:bodyPr/>
                  <a:lstStyle/>
                  <a:p>
                    <a:fld id="{31CA98F5-C635-42C2-8143-AB42A59FAE3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ACA4-42F2-AF4F-DF9CBA922816}"/>
                </c:ext>
              </c:extLst>
            </c:dLbl>
            <c:dLbl>
              <c:idx val="141"/>
              <c:tx>
                <c:rich>
                  <a:bodyPr/>
                  <a:lstStyle/>
                  <a:p>
                    <a:fld id="{E95126B7-005F-4871-A0D7-D0BA7419711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ACA4-42F2-AF4F-DF9CBA922816}"/>
                </c:ext>
              </c:extLst>
            </c:dLbl>
            <c:dLbl>
              <c:idx val="142"/>
              <c:tx>
                <c:rich>
                  <a:bodyPr/>
                  <a:lstStyle/>
                  <a:p>
                    <a:fld id="{CE8557A8-75D0-4DB9-BD2D-F3399594961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ACA4-42F2-AF4F-DF9CBA922816}"/>
                </c:ext>
              </c:extLst>
            </c:dLbl>
            <c:dLbl>
              <c:idx val="143"/>
              <c:tx>
                <c:rich>
                  <a:bodyPr/>
                  <a:lstStyle/>
                  <a:p>
                    <a:fld id="{18254102-1D20-4C5D-96A1-169A5BEE61F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ACA4-42F2-AF4F-DF9CBA922816}"/>
                </c:ext>
              </c:extLst>
            </c:dLbl>
            <c:dLbl>
              <c:idx val="144"/>
              <c:tx>
                <c:rich>
                  <a:bodyPr/>
                  <a:lstStyle/>
                  <a:p>
                    <a:fld id="{D36F4EC4-046F-4EB4-AA7C-BEC524ADF6A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ACA4-42F2-AF4F-DF9CBA922816}"/>
                </c:ext>
              </c:extLst>
            </c:dLbl>
            <c:dLbl>
              <c:idx val="145"/>
              <c:tx>
                <c:rich>
                  <a:bodyPr/>
                  <a:lstStyle/>
                  <a:p>
                    <a:fld id="{408C3CF1-391E-44A5-BA8D-0CECF0341F3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ACA4-42F2-AF4F-DF9CBA922816}"/>
                </c:ext>
              </c:extLst>
            </c:dLbl>
            <c:dLbl>
              <c:idx val="146"/>
              <c:tx>
                <c:rich>
                  <a:bodyPr/>
                  <a:lstStyle/>
                  <a:p>
                    <a:fld id="{602C2B6E-829A-45DF-956B-8FCDC7D101B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ACA4-42F2-AF4F-DF9CBA922816}"/>
                </c:ext>
              </c:extLst>
            </c:dLbl>
            <c:dLbl>
              <c:idx val="147"/>
              <c:tx>
                <c:rich>
                  <a:bodyPr/>
                  <a:lstStyle/>
                  <a:p>
                    <a:fld id="{2E1ED9D1-29DE-4EAA-9B36-B0025E26190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ACA4-42F2-AF4F-DF9CBA922816}"/>
                </c:ext>
              </c:extLst>
            </c:dLbl>
            <c:dLbl>
              <c:idx val="148"/>
              <c:tx>
                <c:rich>
                  <a:bodyPr/>
                  <a:lstStyle/>
                  <a:p>
                    <a:fld id="{C02EC646-BF56-4C62-A370-22BA110D4B9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ACA4-42F2-AF4F-DF9CBA922816}"/>
                </c:ext>
              </c:extLst>
            </c:dLbl>
            <c:dLbl>
              <c:idx val="149"/>
              <c:tx>
                <c:rich>
                  <a:bodyPr/>
                  <a:lstStyle/>
                  <a:p>
                    <a:fld id="{C189B899-FBCF-4BDE-9F8C-291EBEC6105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ACA4-42F2-AF4F-DF9CBA922816}"/>
                </c:ext>
              </c:extLst>
            </c:dLbl>
            <c:dLbl>
              <c:idx val="150"/>
              <c:tx>
                <c:rich>
                  <a:bodyPr/>
                  <a:lstStyle/>
                  <a:p>
                    <a:fld id="{BEB131CD-D01A-49CE-8F9A-033D19B7C84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ACA4-42F2-AF4F-DF9CBA922816}"/>
                </c:ext>
              </c:extLst>
            </c:dLbl>
            <c:dLbl>
              <c:idx val="151"/>
              <c:tx>
                <c:rich>
                  <a:bodyPr/>
                  <a:lstStyle/>
                  <a:p>
                    <a:fld id="{D94649C9-8A0C-45D5-8E95-86117A776B8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ACA4-42F2-AF4F-DF9CBA922816}"/>
                </c:ext>
              </c:extLst>
            </c:dLbl>
            <c:dLbl>
              <c:idx val="152"/>
              <c:tx>
                <c:rich>
                  <a:bodyPr/>
                  <a:lstStyle/>
                  <a:p>
                    <a:fld id="{47B4AC57-8A67-42ED-81FF-A206257DC16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ACA4-42F2-AF4F-DF9CBA922816}"/>
                </c:ext>
              </c:extLst>
            </c:dLbl>
            <c:dLbl>
              <c:idx val="153"/>
              <c:tx>
                <c:rich>
                  <a:bodyPr/>
                  <a:lstStyle/>
                  <a:p>
                    <a:fld id="{412DFBD7-6A1A-4AB4-B370-78A2EADAD0C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ACA4-42F2-AF4F-DF9CBA922816}"/>
                </c:ext>
              </c:extLst>
            </c:dLbl>
            <c:dLbl>
              <c:idx val="154"/>
              <c:tx>
                <c:rich>
                  <a:bodyPr/>
                  <a:lstStyle/>
                  <a:p>
                    <a:fld id="{BC71F8FA-32E4-44EC-A741-5CD50C6ED3A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ACA4-42F2-AF4F-DF9CBA922816}"/>
                </c:ext>
              </c:extLst>
            </c:dLbl>
            <c:dLbl>
              <c:idx val="155"/>
              <c:tx>
                <c:rich>
                  <a:bodyPr/>
                  <a:lstStyle/>
                  <a:p>
                    <a:fld id="{52373BDD-6079-4AEB-BD26-9C4AE490E30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ACA4-42F2-AF4F-DF9CBA922816}"/>
                </c:ext>
              </c:extLst>
            </c:dLbl>
            <c:dLbl>
              <c:idx val="156"/>
              <c:tx>
                <c:rich>
                  <a:bodyPr/>
                  <a:lstStyle/>
                  <a:p>
                    <a:fld id="{6B156D06-B6CD-4CCE-9158-FD6BF9411E3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ACA4-42F2-AF4F-DF9CBA922816}"/>
                </c:ext>
              </c:extLst>
            </c:dLbl>
            <c:dLbl>
              <c:idx val="157"/>
              <c:tx>
                <c:rich>
                  <a:bodyPr/>
                  <a:lstStyle/>
                  <a:p>
                    <a:fld id="{6F73C6D8-B7B0-489E-89A6-8E9D342EA59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ACA4-42F2-AF4F-DF9CBA922816}"/>
                </c:ext>
              </c:extLst>
            </c:dLbl>
            <c:dLbl>
              <c:idx val="158"/>
              <c:tx>
                <c:rich>
                  <a:bodyPr/>
                  <a:lstStyle/>
                  <a:p>
                    <a:fld id="{08FC7835-9756-4588-9A72-1FF08B23353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ACA4-42F2-AF4F-DF9CBA922816}"/>
                </c:ext>
              </c:extLst>
            </c:dLbl>
            <c:dLbl>
              <c:idx val="159"/>
              <c:tx>
                <c:rich>
                  <a:bodyPr/>
                  <a:lstStyle/>
                  <a:p>
                    <a:fld id="{59116BB8-C3CB-42CF-B2C8-25027A3594D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ACA4-42F2-AF4F-DF9CBA922816}"/>
                </c:ext>
              </c:extLst>
            </c:dLbl>
            <c:dLbl>
              <c:idx val="160"/>
              <c:tx>
                <c:rich>
                  <a:bodyPr/>
                  <a:lstStyle/>
                  <a:p>
                    <a:fld id="{6F84EAF6-7952-4E1C-8DF2-D73F6407735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ACA4-42F2-AF4F-DF9CBA922816}"/>
                </c:ext>
              </c:extLst>
            </c:dLbl>
            <c:dLbl>
              <c:idx val="161"/>
              <c:tx>
                <c:rich>
                  <a:bodyPr/>
                  <a:lstStyle/>
                  <a:p>
                    <a:fld id="{7BD6C992-B692-4F61-A97E-4A470C47550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ACA4-42F2-AF4F-DF9CBA922816}"/>
                </c:ext>
              </c:extLst>
            </c:dLbl>
            <c:dLbl>
              <c:idx val="162"/>
              <c:tx>
                <c:rich>
                  <a:bodyPr/>
                  <a:lstStyle/>
                  <a:p>
                    <a:fld id="{3C690EFA-CF97-4B38-9E9D-BA9D897E57E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ACA4-42F2-AF4F-DF9CBA922816}"/>
                </c:ext>
              </c:extLst>
            </c:dLbl>
            <c:dLbl>
              <c:idx val="163"/>
              <c:tx>
                <c:rich>
                  <a:bodyPr/>
                  <a:lstStyle/>
                  <a:p>
                    <a:fld id="{3BEF3C88-6D7C-4580-AF45-CA18A49249F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ACA4-42F2-AF4F-DF9CBA922816}"/>
                </c:ext>
              </c:extLst>
            </c:dLbl>
            <c:dLbl>
              <c:idx val="164"/>
              <c:tx>
                <c:rich>
                  <a:bodyPr/>
                  <a:lstStyle/>
                  <a:p>
                    <a:fld id="{2965FD75-3463-4D32-9C22-4AFD6C9A172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ACA4-42F2-AF4F-DF9CBA922816}"/>
                </c:ext>
              </c:extLst>
            </c:dLbl>
            <c:dLbl>
              <c:idx val="165"/>
              <c:tx>
                <c:rich>
                  <a:bodyPr/>
                  <a:lstStyle/>
                  <a:p>
                    <a:fld id="{3884893D-5F37-4933-932F-260F838ADC1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ACA4-42F2-AF4F-DF9CBA922816}"/>
                </c:ext>
              </c:extLst>
            </c:dLbl>
            <c:dLbl>
              <c:idx val="166"/>
              <c:tx>
                <c:rich>
                  <a:bodyPr/>
                  <a:lstStyle/>
                  <a:p>
                    <a:fld id="{EA0A5A2D-6202-4E4A-BDED-A83B57ED1F2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ACA4-42F2-AF4F-DF9CBA922816}"/>
                </c:ext>
              </c:extLst>
            </c:dLbl>
            <c:dLbl>
              <c:idx val="167"/>
              <c:tx>
                <c:rich>
                  <a:bodyPr/>
                  <a:lstStyle/>
                  <a:p>
                    <a:fld id="{5E02D89C-FEC3-42B1-8C57-BD5A11C8A9B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ACA4-42F2-AF4F-DF9CBA922816}"/>
                </c:ext>
              </c:extLst>
            </c:dLbl>
            <c:dLbl>
              <c:idx val="168"/>
              <c:tx>
                <c:rich>
                  <a:bodyPr/>
                  <a:lstStyle/>
                  <a:p>
                    <a:fld id="{1B74E823-A504-4784-AF0A-607360F7245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ACA4-42F2-AF4F-DF9CBA922816}"/>
                </c:ext>
              </c:extLst>
            </c:dLbl>
            <c:dLbl>
              <c:idx val="169"/>
              <c:tx>
                <c:rich>
                  <a:bodyPr/>
                  <a:lstStyle/>
                  <a:p>
                    <a:fld id="{6E374B01-6928-47DC-A60B-E290B70F57C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ACA4-42F2-AF4F-DF9CBA922816}"/>
                </c:ext>
              </c:extLst>
            </c:dLbl>
            <c:dLbl>
              <c:idx val="170"/>
              <c:tx>
                <c:rich>
                  <a:bodyPr/>
                  <a:lstStyle/>
                  <a:p>
                    <a:fld id="{A728E8C5-DE28-4684-99A4-7219FB05601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ACA4-42F2-AF4F-DF9CBA922816}"/>
                </c:ext>
              </c:extLst>
            </c:dLbl>
            <c:dLbl>
              <c:idx val="171"/>
              <c:tx>
                <c:rich>
                  <a:bodyPr/>
                  <a:lstStyle/>
                  <a:p>
                    <a:fld id="{DC803F05-D152-41F5-B56F-83F6C344B9B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ACA4-42F2-AF4F-DF9CBA922816}"/>
                </c:ext>
              </c:extLst>
            </c:dLbl>
            <c:dLbl>
              <c:idx val="172"/>
              <c:tx>
                <c:rich>
                  <a:bodyPr/>
                  <a:lstStyle/>
                  <a:p>
                    <a:fld id="{40893D43-107D-467F-BFC8-5F13DEF8D6E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ACA4-42F2-AF4F-DF9CBA922816}"/>
                </c:ext>
              </c:extLst>
            </c:dLbl>
            <c:dLbl>
              <c:idx val="173"/>
              <c:tx>
                <c:rich>
                  <a:bodyPr/>
                  <a:lstStyle/>
                  <a:p>
                    <a:fld id="{F53EB388-E25E-4759-A2BF-002D54D8CD9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ACA4-42F2-AF4F-DF9CBA922816}"/>
                </c:ext>
              </c:extLst>
            </c:dLbl>
            <c:dLbl>
              <c:idx val="174"/>
              <c:tx>
                <c:rich>
                  <a:bodyPr/>
                  <a:lstStyle/>
                  <a:p>
                    <a:fld id="{8E086A95-4121-4B0A-913D-317B8EB7CAE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ACA4-42F2-AF4F-DF9CBA922816}"/>
                </c:ext>
              </c:extLst>
            </c:dLbl>
            <c:dLbl>
              <c:idx val="175"/>
              <c:tx>
                <c:rich>
                  <a:bodyPr/>
                  <a:lstStyle/>
                  <a:p>
                    <a:fld id="{CF0A13D8-FED1-40C3-B266-CDB780483F2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ACA4-42F2-AF4F-DF9CBA922816}"/>
                </c:ext>
              </c:extLst>
            </c:dLbl>
            <c:dLbl>
              <c:idx val="176"/>
              <c:tx>
                <c:rich>
                  <a:bodyPr/>
                  <a:lstStyle/>
                  <a:p>
                    <a:fld id="{6FAD0E15-5596-4092-85A4-852534041C3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ACA4-42F2-AF4F-DF9CBA922816}"/>
                </c:ext>
              </c:extLst>
            </c:dLbl>
            <c:dLbl>
              <c:idx val="177"/>
              <c:tx>
                <c:rich>
                  <a:bodyPr/>
                  <a:lstStyle/>
                  <a:p>
                    <a:fld id="{98EEE52C-9562-4621-8B41-A8B1805E0CC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ACA4-42F2-AF4F-DF9CBA922816}"/>
                </c:ext>
              </c:extLst>
            </c:dLbl>
            <c:dLbl>
              <c:idx val="178"/>
              <c:tx>
                <c:rich>
                  <a:bodyPr/>
                  <a:lstStyle/>
                  <a:p>
                    <a:fld id="{FEA63EC9-8E82-493C-9BF5-334D657D1F1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ACA4-42F2-AF4F-DF9CBA922816}"/>
                </c:ext>
              </c:extLst>
            </c:dLbl>
            <c:dLbl>
              <c:idx val="179"/>
              <c:tx>
                <c:rich>
                  <a:bodyPr/>
                  <a:lstStyle/>
                  <a:p>
                    <a:fld id="{1F0FC915-ACE4-4D20-B136-8C56E2D3758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ACA4-42F2-AF4F-DF9CBA922816}"/>
                </c:ext>
              </c:extLst>
            </c:dLbl>
            <c:dLbl>
              <c:idx val="180"/>
              <c:tx>
                <c:rich>
                  <a:bodyPr/>
                  <a:lstStyle/>
                  <a:p>
                    <a:fld id="{817E8BB2-EDA6-48AF-AEAA-F9EF1B7813B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ACA4-42F2-AF4F-DF9CBA922816}"/>
                </c:ext>
              </c:extLst>
            </c:dLbl>
            <c:dLbl>
              <c:idx val="181"/>
              <c:tx>
                <c:rich>
                  <a:bodyPr/>
                  <a:lstStyle/>
                  <a:p>
                    <a:fld id="{CD307FDD-0984-4EF7-9239-5FB1C5A8A6C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ACA4-42F2-AF4F-DF9CBA922816}"/>
                </c:ext>
              </c:extLst>
            </c:dLbl>
            <c:dLbl>
              <c:idx val="182"/>
              <c:tx>
                <c:rich>
                  <a:bodyPr/>
                  <a:lstStyle/>
                  <a:p>
                    <a:fld id="{8126E023-F9F6-442B-B1C0-BA62A0B333A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ACA4-42F2-AF4F-DF9CBA922816}"/>
                </c:ext>
              </c:extLst>
            </c:dLbl>
            <c:dLbl>
              <c:idx val="183"/>
              <c:tx>
                <c:rich>
                  <a:bodyPr/>
                  <a:lstStyle/>
                  <a:p>
                    <a:fld id="{6D1C59F7-7049-4E57-85CE-3CB6ECE36F98}"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ACA4-42F2-AF4F-DF9CBA922816}"/>
                </c:ext>
              </c:extLst>
            </c:dLbl>
            <c:dLbl>
              <c:idx val="184"/>
              <c:tx>
                <c:rich>
                  <a:bodyPr/>
                  <a:lstStyle/>
                  <a:p>
                    <a:fld id="{1B7CD299-882A-4FF2-A7F2-50E331C0C3F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ACA4-42F2-AF4F-DF9CBA922816}"/>
                </c:ext>
              </c:extLst>
            </c:dLbl>
            <c:dLbl>
              <c:idx val="185"/>
              <c:tx>
                <c:rich>
                  <a:bodyPr/>
                  <a:lstStyle/>
                  <a:p>
                    <a:fld id="{5998D7A3-40C6-4CA3-A632-9817EA214C9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ACA4-42F2-AF4F-DF9CBA922816}"/>
                </c:ext>
              </c:extLst>
            </c:dLbl>
            <c:dLbl>
              <c:idx val="186"/>
              <c:tx>
                <c:rich>
                  <a:bodyPr/>
                  <a:lstStyle/>
                  <a:p>
                    <a:fld id="{03CFA7D8-B565-4F52-9DA5-267A06B7E23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ACA4-42F2-AF4F-DF9CBA922816}"/>
                </c:ext>
              </c:extLst>
            </c:dLbl>
            <c:dLbl>
              <c:idx val="187"/>
              <c:tx>
                <c:rich>
                  <a:bodyPr/>
                  <a:lstStyle/>
                  <a:p>
                    <a:fld id="{4E486645-3BF0-4CCB-92EE-E36F7D4F319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ACA4-42F2-AF4F-DF9CBA922816}"/>
                </c:ext>
              </c:extLst>
            </c:dLbl>
            <c:dLbl>
              <c:idx val="188"/>
              <c:tx>
                <c:rich>
                  <a:bodyPr/>
                  <a:lstStyle/>
                  <a:p>
                    <a:fld id="{1EAF16FD-5176-4710-86EB-D389E47AC5A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ACA4-42F2-AF4F-DF9CBA922816}"/>
                </c:ext>
              </c:extLst>
            </c:dLbl>
            <c:dLbl>
              <c:idx val="189"/>
              <c:tx>
                <c:rich>
                  <a:bodyPr/>
                  <a:lstStyle/>
                  <a:p>
                    <a:fld id="{2A783D35-A31B-4E3C-8247-B6FB69F5678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ACA4-42F2-AF4F-DF9CBA922816}"/>
                </c:ext>
              </c:extLst>
            </c:dLbl>
            <c:dLbl>
              <c:idx val="190"/>
              <c:tx>
                <c:rich>
                  <a:bodyPr/>
                  <a:lstStyle/>
                  <a:p>
                    <a:fld id="{D2C2460D-587C-4AC3-82A4-6EA6E4BC6F4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ACA4-42F2-AF4F-DF9CBA922816}"/>
                </c:ext>
              </c:extLst>
            </c:dLbl>
            <c:dLbl>
              <c:idx val="191"/>
              <c:tx>
                <c:rich>
                  <a:bodyPr/>
                  <a:lstStyle/>
                  <a:p>
                    <a:fld id="{699E932A-8E8D-4DEF-883A-FD95009DC2D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ACA4-42F2-AF4F-DF9CBA922816}"/>
                </c:ext>
              </c:extLst>
            </c:dLbl>
            <c:dLbl>
              <c:idx val="192"/>
              <c:tx>
                <c:rich>
                  <a:bodyPr/>
                  <a:lstStyle/>
                  <a:p>
                    <a:fld id="{37E962B6-5B19-4C05-A7CF-F80FF1B3A8D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ACA4-42F2-AF4F-DF9CBA922816}"/>
                </c:ext>
              </c:extLst>
            </c:dLbl>
            <c:dLbl>
              <c:idx val="193"/>
              <c:tx>
                <c:rich>
                  <a:bodyPr/>
                  <a:lstStyle/>
                  <a:p>
                    <a:fld id="{D7F0C15E-F7FB-4513-8D0C-CFDE9ED577E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ACA4-42F2-AF4F-DF9CBA922816}"/>
                </c:ext>
              </c:extLst>
            </c:dLbl>
            <c:dLbl>
              <c:idx val="194"/>
              <c:tx>
                <c:rich>
                  <a:bodyPr/>
                  <a:lstStyle/>
                  <a:p>
                    <a:fld id="{0253E024-552C-4B65-9292-FE66EDE761C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ACA4-42F2-AF4F-DF9CBA922816}"/>
                </c:ext>
              </c:extLst>
            </c:dLbl>
            <c:dLbl>
              <c:idx val="195"/>
              <c:tx>
                <c:rich>
                  <a:bodyPr/>
                  <a:lstStyle/>
                  <a:p>
                    <a:fld id="{10472506-E6B7-4656-867F-738E5196371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ACA4-42F2-AF4F-DF9CBA922816}"/>
                </c:ext>
              </c:extLst>
            </c:dLbl>
            <c:dLbl>
              <c:idx val="196"/>
              <c:tx>
                <c:rich>
                  <a:bodyPr/>
                  <a:lstStyle/>
                  <a:p>
                    <a:fld id="{1FFAB6F4-CB71-45C7-BCB7-D489C726792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ACA4-42F2-AF4F-DF9CBA922816}"/>
                </c:ext>
              </c:extLst>
            </c:dLbl>
            <c:dLbl>
              <c:idx val="197"/>
              <c:tx>
                <c:rich>
                  <a:bodyPr/>
                  <a:lstStyle/>
                  <a:p>
                    <a:fld id="{1111F390-8F09-4405-9D90-84D47A3E718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ACA4-42F2-AF4F-DF9CBA922816}"/>
                </c:ext>
              </c:extLst>
            </c:dLbl>
            <c:dLbl>
              <c:idx val="198"/>
              <c:tx>
                <c:rich>
                  <a:bodyPr/>
                  <a:lstStyle/>
                  <a:p>
                    <a:fld id="{C5C88463-A782-45D9-BD01-AD4077CD638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ACA4-42F2-AF4F-DF9CBA922816}"/>
                </c:ext>
              </c:extLst>
            </c:dLbl>
            <c:dLbl>
              <c:idx val="199"/>
              <c:tx>
                <c:rich>
                  <a:bodyPr/>
                  <a:lstStyle/>
                  <a:p>
                    <a:fld id="{DA6993CE-4117-4774-B0F9-6590FBF666A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ACA4-42F2-AF4F-DF9CBA922816}"/>
                </c:ext>
              </c:extLst>
            </c:dLbl>
            <c:dLbl>
              <c:idx val="200"/>
              <c:tx>
                <c:rich>
                  <a:bodyPr/>
                  <a:lstStyle/>
                  <a:p>
                    <a:fld id="{56C8942B-1114-42D1-92A7-5D2FFF6AE0B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ACA4-42F2-AF4F-DF9CBA922816}"/>
                </c:ext>
              </c:extLst>
            </c:dLbl>
            <c:dLbl>
              <c:idx val="201"/>
              <c:tx>
                <c:rich>
                  <a:bodyPr/>
                  <a:lstStyle/>
                  <a:p>
                    <a:fld id="{BB5DA795-490E-4F59-8EE7-5351CCCB493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ACA4-42F2-AF4F-DF9CBA922816}"/>
                </c:ext>
              </c:extLst>
            </c:dLbl>
            <c:dLbl>
              <c:idx val="202"/>
              <c:tx>
                <c:rich>
                  <a:bodyPr/>
                  <a:lstStyle/>
                  <a:p>
                    <a:fld id="{32A8D95C-0511-40BA-9668-E9D3C698B8B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ACA4-42F2-AF4F-DF9CBA922816}"/>
                </c:ext>
              </c:extLst>
            </c:dLbl>
            <c:dLbl>
              <c:idx val="203"/>
              <c:tx>
                <c:rich>
                  <a:bodyPr/>
                  <a:lstStyle/>
                  <a:p>
                    <a:fld id="{2E3DFAC8-747F-46D8-9307-2511005057D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ACA4-42F2-AF4F-DF9CBA922816}"/>
                </c:ext>
              </c:extLst>
            </c:dLbl>
            <c:dLbl>
              <c:idx val="204"/>
              <c:tx>
                <c:rich>
                  <a:bodyPr/>
                  <a:lstStyle/>
                  <a:p>
                    <a:fld id="{A9200926-B5C7-4147-BD4A-AA8312A62AC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ACA4-42F2-AF4F-DF9CBA922816}"/>
                </c:ext>
              </c:extLst>
            </c:dLbl>
            <c:dLbl>
              <c:idx val="205"/>
              <c:tx>
                <c:rich>
                  <a:bodyPr/>
                  <a:lstStyle/>
                  <a:p>
                    <a:fld id="{2F518993-7AE7-4047-BBD5-0A0DCF1F7B1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ACA4-42F2-AF4F-DF9CBA922816}"/>
                </c:ext>
              </c:extLst>
            </c:dLbl>
            <c:dLbl>
              <c:idx val="206"/>
              <c:tx>
                <c:rich>
                  <a:bodyPr/>
                  <a:lstStyle/>
                  <a:p>
                    <a:fld id="{48A958C4-0E02-4776-AEB7-9003B2CE3D0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ACA4-42F2-AF4F-DF9CBA922816}"/>
                </c:ext>
              </c:extLst>
            </c:dLbl>
            <c:dLbl>
              <c:idx val="207"/>
              <c:tx>
                <c:rich>
                  <a:bodyPr/>
                  <a:lstStyle/>
                  <a:p>
                    <a:fld id="{DD9D55C6-461E-431C-B8C9-8C01F56354A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ACA4-42F2-AF4F-DF9CBA922816}"/>
                </c:ext>
              </c:extLst>
            </c:dLbl>
            <c:dLbl>
              <c:idx val="208"/>
              <c:tx>
                <c:rich>
                  <a:bodyPr/>
                  <a:lstStyle/>
                  <a:p>
                    <a:fld id="{2A2AD9D3-2F32-4C35-8D11-01125D1ED4F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ACA4-42F2-AF4F-DF9CBA922816}"/>
                </c:ext>
              </c:extLst>
            </c:dLbl>
            <c:dLbl>
              <c:idx val="209"/>
              <c:tx>
                <c:rich>
                  <a:bodyPr/>
                  <a:lstStyle/>
                  <a:p>
                    <a:fld id="{3F47F37C-847F-48F1-9FBE-2D11F2C197C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ACA4-42F2-AF4F-DF9CBA922816}"/>
                </c:ext>
              </c:extLst>
            </c:dLbl>
            <c:dLbl>
              <c:idx val="210"/>
              <c:tx>
                <c:rich>
                  <a:bodyPr/>
                  <a:lstStyle/>
                  <a:p>
                    <a:fld id="{6FFCEE1E-9930-44BA-8D86-CB3DA8957DD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ACA4-42F2-AF4F-DF9CBA922816}"/>
                </c:ext>
              </c:extLst>
            </c:dLbl>
            <c:dLbl>
              <c:idx val="211"/>
              <c:tx>
                <c:rich>
                  <a:bodyPr/>
                  <a:lstStyle/>
                  <a:p>
                    <a:fld id="{DC933CC6-4794-4F75-BBC7-45D2CB0694A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ACA4-42F2-AF4F-DF9CBA922816}"/>
                </c:ext>
              </c:extLst>
            </c:dLbl>
            <c:dLbl>
              <c:idx val="212"/>
              <c:tx>
                <c:rich>
                  <a:bodyPr/>
                  <a:lstStyle/>
                  <a:p>
                    <a:fld id="{CB567E99-B4AB-4A57-BDA2-72BC92A940E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ACA4-42F2-AF4F-DF9CBA922816}"/>
                </c:ext>
              </c:extLst>
            </c:dLbl>
            <c:dLbl>
              <c:idx val="213"/>
              <c:tx>
                <c:rich>
                  <a:bodyPr/>
                  <a:lstStyle/>
                  <a:p>
                    <a:fld id="{FE8B7011-9B68-46ED-8523-8CC39425D2D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ACA4-42F2-AF4F-DF9CBA922816}"/>
                </c:ext>
              </c:extLst>
            </c:dLbl>
            <c:dLbl>
              <c:idx val="214"/>
              <c:tx>
                <c:rich>
                  <a:bodyPr/>
                  <a:lstStyle/>
                  <a:p>
                    <a:fld id="{69B449C2-86DB-40A6-B157-2B5C5C74741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ACA4-42F2-AF4F-DF9CBA922816}"/>
                </c:ext>
              </c:extLst>
            </c:dLbl>
            <c:dLbl>
              <c:idx val="215"/>
              <c:tx>
                <c:rich>
                  <a:bodyPr/>
                  <a:lstStyle/>
                  <a:p>
                    <a:fld id="{6A7BB276-ECD4-491F-A6C8-7F185F64CFD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ACA4-42F2-AF4F-DF9CBA922816}"/>
                </c:ext>
              </c:extLst>
            </c:dLbl>
            <c:dLbl>
              <c:idx val="216"/>
              <c:tx>
                <c:rich>
                  <a:bodyPr/>
                  <a:lstStyle/>
                  <a:p>
                    <a:fld id="{E7B22EA2-3B9D-4B62-B1D1-8FD40F58695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ACA4-42F2-AF4F-DF9CBA922816}"/>
                </c:ext>
              </c:extLst>
            </c:dLbl>
            <c:dLbl>
              <c:idx val="217"/>
              <c:tx>
                <c:rich>
                  <a:bodyPr/>
                  <a:lstStyle/>
                  <a:p>
                    <a:fld id="{B6F997D2-5B3E-4CE1-BAE4-714E0FEBEF4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ACA4-42F2-AF4F-DF9CBA922816}"/>
                </c:ext>
              </c:extLst>
            </c:dLbl>
            <c:dLbl>
              <c:idx val="218"/>
              <c:tx>
                <c:rich>
                  <a:bodyPr/>
                  <a:lstStyle/>
                  <a:p>
                    <a:fld id="{97269266-CA94-4352-B017-81AB260E9E6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ACA4-42F2-AF4F-DF9CBA922816}"/>
                </c:ext>
              </c:extLst>
            </c:dLbl>
            <c:dLbl>
              <c:idx val="219"/>
              <c:tx>
                <c:rich>
                  <a:bodyPr/>
                  <a:lstStyle/>
                  <a:p>
                    <a:fld id="{9F1D457E-A477-4C39-8374-575BB3494FC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ACA4-42F2-AF4F-DF9CBA922816}"/>
                </c:ext>
              </c:extLst>
            </c:dLbl>
            <c:dLbl>
              <c:idx val="220"/>
              <c:tx>
                <c:rich>
                  <a:bodyPr/>
                  <a:lstStyle/>
                  <a:p>
                    <a:fld id="{06AA25F5-5F29-4F35-AC4A-15A45E5E52F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ACA4-42F2-AF4F-DF9CBA922816}"/>
                </c:ext>
              </c:extLst>
            </c:dLbl>
            <c:dLbl>
              <c:idx val="221"/>
              <c:tx>
                <c:rich>
                  <a:bodyPr/>
                  <a:lstStyle/>
                  <a:p>
                    <a:fld id="{CB1FB3F2-E13A-483C-B0E2-DB7684CCCED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ACA4-42F2-AF4F-DF9CBA922816}"/>
                </c:ext>
              </c:extLst>
            </c:dLbl>
            <c:dLbl>
              <c:idx val="222"/>
              <c:tx>
                <c:rich>
                  <a:bodyPr/>
                  <a:lstStyle/>
                  <a:p>
                    <a:fld id="{C03749CB-61DC-4134-89BE-945B5F4823B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ACA4-42F2-AF4F-DF9CBA922816}"/>
                </c:ext>
              </c:extLst>
            </c:dLbl>
            <c:dLbl>
              <c:idx val="223"/>
              <c:tx>
                <c:rich>
                  <a:bodyPr/>
                  <a:lstStyle/>
                  <a:p>
                    <a:fld id="{71967E80-8857-4823-8DC3-1946E61123E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ACA4-42F2-AF4F-DF9CBA922816}"/>
                </c:ext>
              </c:extLst>
            </c:dLbl>
            <c:dLbl>
              <c:idx val="224"/>
              <c:tx>
                <c:rich>
                  <a:bodyPr/>
                  <a:lstStyle/>
                  <a:p>
                    <a:fld id="{7312811F-FFEE-4BF7-AA66-191B8068F10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ACA4-42F2-AF4F-DF9CBA922816}"/>
                </c:ext>
              </c:extLst>
            </c:dLbl>
            <c:dLbl>
              <c:idx val="225"/>
              <c:tx>
                <c:rich>
                  <a:bodyPr/>
                  <a:lstStyle/>
                  <a:p>
                    <a:fld id="{C449C74B-3666-4342-8C32-9C7B0D9F8E5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ACA4-42F2-AF4F-DF9CBA922816}"/>
                </c:ext>
              </c:extLst>
            </c:dLbl>
            <c:dLbl>
              <c:idx val="226"/>
              <c:tx>
                <c:rich>
                  <a:bodyPr/>
                  <a:lstStyle/>
                  <a:p>
                    <a:fld id="{0C2AA8DC-A817-4F45-BEE3-BFBB4B689D5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3-ACA4-42F2-AF4F-DF9CBA922816}"/>
                </c:ext>
              </c:extLst>
            </c:dLbl>
            <c:dLbl>
              <c:idx val="227"/>
              <c:tx>
                <c:rich>
                  <a:bodyPr/>
                  <a:lstStyle/>
                  <a:p>
                    <a:fld id="{9EB76FB3-1F43-4BCE-AF0E-F0336479EA8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4-ACA4-42F2-AF4F-DF9CBA922816}"/>
                </c:ext>
              </c:extLst>
            </c:dLbl>
            <c:dLbl>
              <c:idx val="228"/>
              <c:tx>
                <c:rich>
                  <a:bodyPr/>
                  <a:lstStyle/>
                  <a:p>
                    <a:fld id="{A7FC5342-5DB0-4F67-B08C-B3EB1E8FB7C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5-ACA4-42F2-AF4F-DF9CBA922816}"/>
                </c:ext>
              </c:extLst>
            </c:dLbl>
            <c:dLbl>
              <c:idx val="229"/>
              <c:tx>
                <c:rich>
                  <a:bodyPr/>
                  <a:lstStyle/>
                  <a:p>
                    <a:fld id="{C7F835E0-1041-4C36-AB15-C734DAC31E3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6-ACA4-42F2-AF4F-DF9CBA922816}"/>
                </c:ext>
              </c:extLst>
            </c:dLbl>
            <c:dLbl>
              <c:idx val="230"/>
              <c:tx>
                <c:rich>
                  <a:bodyPr/>
                  <a:lstStyle/>
                  <a:p>
                    <a:fld id="{7D8D938D-577D-43F7-A01B-99A3C30CEF2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7-ACA4-42F2-AF4F-DF9CBA922816}"/>
                </c:ext>
              </c:extLst>
            </c:dLbl>
            <c:dLbl>
              <c:idx val="231"/>
              <c:tx>
                <c:rich>
                  <a:bodyPr/>
                  <a:lstStyle/>
                  <a:p>
                    <a:fld id="{ED3FA414-C397-4DA6-A79B-9905C1CE6A3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8-ACA4-42F2-AF4F-DF9CBA922816}"/>
                </c:ext>
              </c:extLst>
            </c:dLbl>
            <c:dLbl>
              <c:idx val="232"/>
              <c:tx>
                <c:rich>
                  <a:bodyPr/>
                  <a:lstStyle/>
                  <a:p>
                    <a:fld id="{8F903BF8-82C3-4EA0-8B29-5BC261DA0EA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9-ACA4-42F2-AF4F-DF9CBA922816}"/>
                </c:ext>
              </c:extLst>
            </c:dLbl>
            <c:dLbl>
              <c:idx val="233"/>
              <c:tx>
                <c:rich>
                  <a:bodyPr/>
                  <a:lstStyle/>
                  <a:p>
                    <a:fld id="{E1184B24-5769-4129-B665-79BC16DA071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A-ACA4-42F2-AF4F-DF9CBA922816}"/>
                </c:ext>
              </c:extLst>
            </c:dLbl>
            <c:dLbl>
              <c:idx val="234"/>
              <c:tx>
                <c:rich>
                  <a:bodyPr/>
                  <a:lstStyle/>
                  <a:p>
                    <a:fld id="{4FE49BBE-CE77-4C0E-8984-0483A85E8CF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B-ACA4-42F2-AF4F-DF9CBA922816}"/>
                </c:ext>
              </c:extLst>
            </c:dLbl>
            <c:dLbl>
              <c:idx val="235"/>
              <c:tx>
                <c:rich>
                  <a:bodyPr/>
                  <a:lstStyle/>
                  <a:p>
                    <a:fld id="{CF90700E-DB45-41B8-B087-341222D6A99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C-ACA4-42F2-AF4F-DF9CBA922816}"/>
                </c:ext>
              </c:extLst>
            </c:dLbl>
            <c:dLbl>
              <c:idx val="236"/>
              <c:tx>
                <c:rich>
                  <a:bodyPr/>
                  <a:lstStyle/>
                  <a:p>
                    <a:fld id="{21878EA8-ADCB-4FBC-991C-FDE9634C5BC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D-ACA4-42F2-AF4F-DF9CBA922816}"/>
                </c:ext>
              </c:extLst>
            </c:dLbl>
            <c:dLbl>
              <c:idx val="237"/>
              <c:tx>
                <c:rich>
                  <a:bodyPr/>
                  <a:lstStyle/>
                  <a:p>
                    <a:fld id="{7351FAB6-AB3F-4D74-8EE0-81FF6EB44A1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E-ACA4-42F2-AF4F-DF9CBA922816}"/>
                </c:ext>
              </c:extLst>
            </c:dLbl>
            <c:dLbl>
              <c:idx val="238"/>
              <c:tx>
                <c:rich>
                  <a:bodyPr/>
                  <a:lstStyle/>
                  <a:p>
                    <a:fld id="{EE2DA4D3-B8FB-4FF6-A6F3-D878CD4E118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F-ACA4-42F2-AF4F-DF9CBA922816}"/>
                </c:ext>
              </c:extLst>
            </c:dLbl>
            <c:dLbl>
              <c:idx val="239"/>
              <c:tx>
                <c:rich>
                  <a:bodyPr/>
                  <a:lstStyle/>
                  <a:p>
                    <a:fld id="{0E3D703B-1F5C-43CC-B526-0D6EED31824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0-ACA4-42F2-AF4F-DF9CBA922816}"/>
                </c:ext>
              </c:extLst>
            </c:dLbl>
            <c:dLbl>
              <c:idx val="240"/>
              <c:tx>
                <c:rich>
                  <a:bodyPr/>
                  <a:lstStyle/>
                  <a:p>
                    <a:fld id="{68B4EE0F-5210-44C7-A8F4-7B43642A139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1-ACA4-42F2-AF4F-DF9CBA922816}"/>
                </c:ext>
              </c:extLst>
            </c:dLbl>
            <c:dLbl>
              <c:idx val="241"/>
              <c:tx>
                <c:rich>
                  <a:bodyPr/>
                  <a:lstStyle/>
                  <a:p>
                    <a:fld id="{D6BFA190-B4B0-4480-BDF6-03C9E513813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2-ACA4-42F2-AF4F-DF9CBA922816}"/>
                </c:ext>
              </c:extLst>
            </c:dLbl>
            <c:dLbl>
              <c:idx val="242"/>
              <c:tx>
                <c:rich>
                  <a:bodyPr/>
                  <a:lstStyle/>
                  <a:p>
                    <a:fld id="{F46DD5BD-22BA-4F20-AA63-84261A977DF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3-ACA4-42F2-AF4F-DF9CBA922816}"/>
                </c:ext>
              </c:extLst>
            </c:dLbl>
            <c:dLbl>
              <c:idx val="243"/>
              <c:tx>
                <c:rich>
                  <a:bodyPr/>
                  <a:lstStyle/>
                  <a:p>
                    <a:fld id="{98DCA03F-4D29-48E3-B21E-B2BA5C1EDA4E}"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4-ACA4-42F2-AF4F-DF9CBA922816}"/>
                </c:ext>
              </c:extLst>
            </c:dLbl>
            <c:dLbl>
              <c:idx val="244"/>
              <c:tx>
                <c:rich>
                  <a:bodyPr/>
                  <a:lstStyle/>
                  <a:p>
                    <a:fld id="{159142D3-DF4E-4420-9357-C7A4A4A7A802}"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5-ACA4-42F2-AF4F-DF9CBA922816}"/>
                </c:ext>
              </c:extLst>
            </c:dLbl>
            <c:dLbl>
              <c:idx val="245"/>
              <c:tx>
                <c:rich>
                  <a:bodyPr/>
                  <a:lstStyle/>
                  <a:p>
                    <a:fld id="{8B3F0113-BFB9-49F3-AC13-92A9B331C5E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6-ACA4-42F2-AF4F-DF9CBA922816}"/>
                </c:ext>
              </c:extLst>
            </c:dLbl>
            <c:dLbl>
              <c:idx val="246"/>
              <c:tx>
                <c:rich>
                  <a:bodyPr/>
                  <a:lstStyle/>
                  <a:p>
                    <a:fld id="{5C277D76-4358-487C-BC72-6E5EA8FB9D5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7-ACA4-42F2-AF4F-DF9CBA922816}"/>
                </c:ext>
              </c:extLst>
            </c:dLbl>
            <c:dLbl>
              <c:idx val="247"/>
              <c:tx>
                <c:rich>
                  <a:bodyPr/>
                  <a:lstStyle/>
                  <a:p>
                    <a:fld id="{1FB5FA84-DB1C-42AD-842C-B3C6C86FC68F}"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8-ACA4-42F2-AF4F-DF9CBA922816}"/>
                </c:ext>
              </c:extLst>
            </c:dLbl>
            <c:dLbl>
              <c:idx val="248"/>
              <c:tx>
                <c:rich>
                  <a:bodyPr/>
                  <a:lstStyle/>
                  <a:p>
                    <a:fld id="{9AEC60C5-D22F-4B3E-A315-377E4382437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9-ACA4-42F2-AF4F-DF9CBA922816}"/>
                </c:ext>
              </c:extLst>
            </c:dLbl>
            <c:dLbl>
              <c:idx val="249"/>
              <c:tx>
                <c:rich>
                  <a:bodyPr/>
                  <a:lstStyle/>
                  <a:p>
                    <a:fld id="{3FC0E6B4-3192-4200-88C8-D43D1D8BA7B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A-ACA4-42F2-AF4F-DF9CBA922816}"/>
                </c:ext>
              </c:extLst>
            </c:dLbl>
            <c:dLbl>
              <c:idx val="250"/>
              <c:tx>
                <c:rich>
                  <a:bodyPr/>
                  <a:lstStyle/>
                  <a:p>
                    <a:fld id="{DF63D020-4487-4FEB-8C46-153582E83B34}"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B-ACA4-42F2-AF4F-DF9CBA922816}"/>
                </c:ext>
              </c:extLst>
            </c:dLbl>
            <c:dLbl>
              <c:idx val="251"/>
              <c:tx>
                <c:rich>
                  <a:bodyPr/>
                  <a:lstStyle/>
                  <a:p>
                    <a:fld id="{BC8BBBE4-55CB-45A1-8CC9-CD8540E0E72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C-ACA4-42F2-AF4F-DF9CBA922816}"/>
                </c:ext>
              </c:extLst>
            </c:dLbl>
            <c:dLbl>
              <c:idx val="252"/>
              <c:tx>
                <c:rich>
                  <a:bodyPr/>
                  <a:lstStyle/>
                  <a:p>
                    <a:fld id="{AD9E5DA8-33A4-48EA-868F-9A6DFEE5B6D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D-ACA4-42F2-AF4F-DF9CBA922816}"/>
                </c:ext>
              </c:extLst>
            </c:dLbl>
            <c:dLbl>
              <c:idx val="253"/>
              <c:tx>
                <c:rich>
                  <a:bodyPr/>
                  <a:lstStyle/>
                  <a:p>
                    <a:fld id="{6A451FC7-4BA9-48EC-B516-8419227B0B5C}"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E-ACA4-42F2-AF4F-DF9CBA922816}"/>
                </c:ext>
              </c:extLst>
            </c:dLbl>
            <c:dLbl>
              <c:idx val="254"/>
              <c:tx>
                <c:rich>
                  <a:bodyPr/>
                  <a:lstStyle/>
                  <a:p>
                    <a:fld id="{970FE4E9-A561-4B6B-B38E-39FAD5A5CB4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F-ACA4-42F2-AF4F-DF9CBA92281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[0]!BxHist</c:f>
              <c:strCache>
                <c:ptCount val="255"/>
                <c:pt idx="0">
                  <c:v>-11.07</c:v>
                </c:pt>
                <c:pt idx="17">
                  <c:v>-9.34</c:v>
                </c:pt>
                <c:pt idx="34">
                  <c:v>-7.62</c:v>
                </c:pt>
                <c:pt idx="51">
                  <c:v>-5.9</c:v>
                </c:pt>
                <c:pt idx="68">
                  <c:v>-4.18</c:v>
                </c:pt>
                <c:pt idx="85">
                  <c:v>-2.45</c:v>
                </c:pt>
                <c:pt idx="102">
                  <c:v>-0.73</c:v>
                </c:pt>
                <c:pt idx="119">
                  <c:v>0.99</c:v>
                </c:pt>
                <c:pt idx="136">
                  <c:v>2.72</c:v>
                </c:pt>
                <c:pt idx="153">
                  <c:v>4.44</c:v>
                </c:pt>
                <c:pt idx="170">
                  <c:v>6.16</c:v>
                </c:pt>
                <c:pt idx="187">
                  <c:v>7.88</c:v>
                </c:pt>
                <c:pt idx="204">
                  <c:v>9.61</c:v>
                </c:pt>
                <c:pt idx="221">
                  <c:v>11.33</c:v>
                </c:pt>
                <c:pt idx="238">
                  <c:v>13.05</c:v>
                </c:pt>
                <c:pt idx="254">
                  <c:v>14.77</c:v>
                </c:pt>
              </c:strCache>
            </c:strRef>
          </c:cat>
          <c:val>
            <c:numRef>
              <c:f>[0]!BzHist</c:f>
              <c:numCache>
                <c:formatCode>General</c:formatCode>
                <c:ptCount val="255"/>
                <c:pt idx="0">
                  <c:v>4.4318484119380075E-3</c:v>
                </c:pt>
                <c:pt idx="1">
                  <c:v>4.7559852950567272E-3</c:v>
                </c:pt>
                <c:pt idx="2">
                  <c:v>5.1009817796137192E-3</c:v>
                </c:pt>
                <c:pt idx="3">
                  <c:v>5.4679521393008702E-3</c:v>
                </c:pt>
                <c:pt idx="4">
                  <c:v>5.8580530466154357E-3</c:v>
                </c:pt>
                <c:pt idx="5">
                  <c:v>6.2724839501383011E-3</c:v>
                </c:pt>
                <c:pt idx="6">
                  <c:v>6.7124873553275682E-3</c:v>
                </c:pt>
                <c:pt idx="7">
                  <c:v>7.1793490009733575E-3</c:v>
                </c:pt>
                <c:pt idx="8">
                  <c:v>7.674397923323451E-3</c:v>
                </c:pt>
                <c:pt idx="9">
                  <c:v>8.1990063997801985E-3</c:v>
                </c:pt>
                <c:pt idx="10">
                  <c:v>8.754589763990156E-3</c:v>
                </c:pt>
                <c:pt idx="11">
                  <c:v>9.3426060841007019E-3</c:v>
                </c:pt>
                <c:pt idx="12">
                  <c:v>9.9645556959455598E-3</c:v>
                </c:pt>
                <c:pt idx="13">
                  <c:v>1.0621980582946014E-2</c:v>
                </c:pt>
                <c:pt idx="14">
                  <c:v>1.1316463594578965E-2</c:v>
                </c:pt>
                <c:pt idx="15">
                  <c:v>1.2049627495369133E-2</c:v>
                </c:pt>
                <c:pt idx="16">
                  <c:v>1.2823133836513139E-2</c:v>
                </c:pt>
                <c:pt idx="17">
                  <c:v>1.3638681642439747E-2</c:v>
                </c:pt>
                <c:pt idx="18">
                  <c:v>1.449800590485566E-2</c:v>
                </c:pt>
                <c:pt idx="19">
                  <c:v>1.54028758771209E-2</c:v>
                </c:pt>
                <c:pt idx="20">
                  <c:v>1.6355093162145264E-2</c:v>
                </c:pt>
                <c:pt idx="21">
                  <c:v>1.7356489587397227E-2</c:v>
                </c:pt>
                <c:pt idx="22">
                  <c:v>1.840892486107203E-2</c:v>
                </c:pt>
                <c:pt idx="23">
                  <c:v>1.9514284003976069E-2</c:v>
                </c:pt>
                <c:pt idx="24">
                  <c:v>2.0674474552252395E-2</c:v>
                </c:pt>
                <c:pt idx="25">
                  <c:v>2.1891423526696506E-2</c:v>
                </c:pt>
                <c:pt idx="26">
                  <c:v>2.3167074165093303E-2</c:v>
                </c:pt>
                <c:pt idx="27">
                  <c:v>2.4503382414745537E-2</c:v>
                </c:pt>
                <c:pt idx="28">
                  <c:v>2.5902313183160039E-2</c:v>
                </c:pt>
                <c:pt idx="29">
                  <c:v>2.7365836345710239E-2</c:v>
                </c:pt>
                <c:pt idx="30">
                  <c:v>2.8895922510000907E-2</c:v>
                </c:pt>
                <c:pt idx="31">
                  <c:v>3.0494538537622264E-2</c:v>
                </c:pt>
                <c:pt idx="32">
                  <c:v>3.2163642824992435E-2</c:v>
                </c:pt>
                <c:pt idx="33">
                  <c:v>3.3905180346050105E-2</c:v>
                </c:pt>
                <c:pt idx="34">
                  <c:v>3.5721077460667557E-2</c:v>
                </c:pt>
                <c:pt idx="35">
                  <c:v>3.7613236493806372E-2</c:v>
                </c:pt>
                <c:pt idx="36">
                  <c:v>3.9583530091630813E-2</c:v>
                </c:pt>
                <c:pt idx="37">
                  <c:v>4.1633795362021969E-2</c:v>
                </c:pt>
                <c:pt idx="38">
                  <c:v>4.3765827808196101E-2</c:v>
                </c:pt>
                <c:pt idx="39">
                  <c:v>4.5981375065417315E-2</c:v>
                </c:pt>
                <c:pt idx="40">
                  <c:v>4.8282130452103389E-2</c:v>
                </c:pt>
                <c:pt idx="41">
                  <c:v>5.0669726347948529E-2</c:v>
                </c:pt>
                <c:pt idx="42">
                  <c:v>5.3145727413021412E-2</c:v>
                </c:pt>
                <c:pt idx="43">
                  <c:v>5.5711623663135007E-2</c:v>
                </c:pt>
                <c:pt idx="44">
                  <c:v>5.836882341812101E-2</c:v>
                </c:pt>
                <c:pt idx="45">
                  <c:v>6.1118646140966536E-2</c:v>
                </c:pt>
                <c:pt idx="46">
                  <c:v>6.3962315187079122E-2</c:v>
                </c:pt>
                <c:pt idx="47">
                  <c:v>6.6900950484229685E-2</c:v>
                </c:pt>
                <c:pt idx="48">
                  <c:v>6.9935561164973667E-2</c:v>
                </c:pt>
                <c:pt idx="49">
                  <c:v>7.3067038174560756E-2</c:v>
                </c:pt>
                <c:pt idx="50">
                  <c:v>7.6296146878504542E-2</c:v>
                </c:pt>
                <c:pt idx="51">
                  <c:v>7.9623519695089101E-2</c:v>
                </c:pt>
                <c:pt idx="52">
                  <c:v>8.3049648779127044E-2</c:v>
                </c:pt>
                <c:pt idx="53">
                  <c:v>8.6574878784251505E-2</c:v>
                </c:pt>
                <c:pt idx="54">
                  <c:v>9.0199399731906077E-2</c:v>
                </c:pt>
                <c:pt idx="55">
                  <c:v>9.392324001599342E-2</c:v>
                </c:pt>
                <c:pt idx="56">
                  <c:v>9.7746259572838501E-2</c:v>
                </c:pt>
                <c:pt idx="57">
                  <c:v>0.10166814324671321</c:v>
                </c:pt>
                <c:pt idx="58">
                  <c:v>0.10568839438164808</c:v>
                </c:pt>
                <c:pt idx="59">
                  <c:v>0.1098063286706146</c:v>
                </c:pt>
                <c:pt idx="60">
                  <c:v>0.11402106829339084</c:v>
                </c:pt>
                <c:pt idx="61">
                  <c:v>0.11833153637452416</c:v>
                </c:pt>
                <c:pt idx="62">
                  <c:v>0.12273645179276051</c:v>
                </c:pt>
                <c:pt idx="63">
                  <c:v>0.12723432437312576</c:v>
                </c:pt>
                <c:pt idx="64">
                  <c:v>0.1318234504925114</c:v>
                </c:pt>
                <c:pt idx="65">
                  <c:v>0.13650190912912655</c:v>
                </c:pt>
                <c:pt idx="66">
                  <c:v>0.14126755838553859</c:v>
                </c:pt>
                <c:pt idx="67">
                  <c:v>0.14611803251422095</c:v>
                </c:pt>
                <c:pt idx="68">
                  <c:v>0.1510507394735649</c:v>
                </c:pt>
                <c:pt idx="69">
                  <c:v>0.15606285904118991</c:v>
                </c:pt>
                <c:pt idx="70">
                  <c:v>0.16115134151010232</c:v>
                </c:pt>
                <c:pt idx="71">
                  <c:v>0.16631290699180915</c:v>
                </c:pt>
                <c:pt idx="72">
                  <c:v>0.17154404534889048</c:v>
                </c:pt>
                <c:pt idx="73">
                  <c:v>0.17684101677777864</c:v>
                </c:pt>
                <c:pt idx="74">
                  <c:v>0.18219985306058237</c:v>
                </c:pt>
                <c:pt idx="75">
                  <c:v>0.18761635950273947</c:v>
                </c:pt>
                <c:pt idx="76">
                  <c:v>0.19308611757108682</c:v>
                </c:pt>
                <c:pt idx="77">
                  <c:v>0.19860448824460644</c:v>
                </c:pt>
                <c:pt idx="78">
                  <c:v>0.20416661608765052</c:v>
                </c:pt>
                <c:pt idx="79">
                  <c:v>0.20976743405287621</c:v>
                </c:pt>
                <c:pt idx="80">
                  <c:v>0.21540166901844124</c:v>
                </c:pt>
                <c:pt idx="81">
                  <c:v>0.22106384806123056</c:v>
                </c:pt>
                <c:pt idx="82">
                  <c:v>0.22674830546502484</c:v>
                </c:pt>
                <c:pt idx="83">
                  <c:v>0.23244919045958226</c:v>
                </c:pt>
                <c:pt idx="84">
                  <c:v>0.2381604756836066</c:v>
                </c:pt>
                <c:pt idx="85">
                  <c:v>0.24387596636153336</c:v>
                </c:pt>
                <c:pt idx="86">
                  <c:v>0.24958931018098326</c:v>
                </c:pt>
                <c:pt idx="87">
                  <c:v>0.25529400785464174</c:v>
                </c:pt>
                <c:pt idx="88">
                  <c:v>0.26098342434722177</c:v>
                </c:pt>
                <c:pt idx="89">
                  <c:v>0.26665080074508374</c:v>
                </c:pt>
                <c:pt idx="90">
                  <c:v>0.27228926674302883</c:v>
                </c:pt>
                <c:pt idx="91">
                  <c:v>0.27789185371977293</c:v>
                </c:pt>
                <c:pt idx="92">
                  <c:v>0.28345150837065552</c:v>
                </c:pt>
                <c:pt idx="93">
                  <c:v>0.28896110686327098</c:v>
                </c:pt>
                <c:pt idx="94">
                  <c:v>0.29441346947892549</c:v>
                </c:pt>
                <c:pt idx="95">
                  <c:v>0.29980137570016047</c:v>
                </c:pt>
                <c:pt idx="96">
                  <c:v>0.30511757970203796</c:v>
                </c:pt>
                <c:pt idx="97">
                  <c:v>0.31035482620248367</c:v>
                </c:pt>
                <c:pt idx="98">
                  <c:v>0.31550586662473823</c:v>
                </c:pt>
                <c:pt idx="99">
                  <c:v>0.32056347552289172</c:v>
                </c:pt>
                <c:pt idx="100">
                  <c:v>0.32552046721958716</c:v>
                </c:pt>
                <c:pt idx="101">
                  <c:v>0.33036971260328207</c:v>
                </c:pt>
                <c:pt idx="102">
                  <c:v>0.33510415603097365</c:v>
                </c:pt>
                <c:pt idx="103">
                  <c:v>0.33971683228102528</c:v>
                </c:pt>
                <c:pt idx="104">
                  <c:v>0.34420088349969502</c:v>
                </c:pt>
                <c:pt idx="105">
                  <c:v>0.34854957608416842</c:v>
                </c:pt>
                <c:pt idx="106">
                  <c:v>0.35275631744434299</c:v>
                </c:pt>
                <c:pt idx="107">
                  <c:v>0.35681467258531119</c:v>
                </c:pt>
                <c:pt idx="108">
                  <c:v>0.36071838045244237</c:v>
                </c:pt>
                <c:pt idx="109">
                  <c:v>0.36446136998117984</c:v>
                </c:pt>
                <c:pt idx="110">
                  <c:v>0.36803777579414604</c:v>
                </c:pt>
                <c:pt idx="111">
                  <c:v>0.3714419534888897</c:v>
                </c:pt>
                <c:pt idx="112">
                  <c:v>0.37466849446061029</c:v>
                </c:pt>
                <c:pt idx="113">
                  <c:v>0.3777122402054594</c:v>
                </c:pt>
                <c:pt idx="114">
                  <c:v>0.38056829605153553</c:v>
                </c:pt>
                <c:pt idx="115">
                  <c:v>0.38323204426646018</c:v>
                </c:pt>
                <c:pt idx="116">
                  <c:v>0.38569915649243564</c:v>
                </c:pt>
                <c:pt idx="117">
                  <c:v>0.38796560546193709</c:v>
                </c:pt>
                <c:pt idx="118">
                  <c:v>0.39002767594966714</c:v>
                </c:pt>
                <c:pt idx="119">
                  <c:v>0.39188197491909466</c:v>
                </c:pt>
                <c:pt idx="120">
                  <c:v>0.39352544082479718</c:v>
                </c:pt>
                <c:pt idx="121">
                  <c:v>0.39495535203491233</c:v>
                </c:pt>
                <c:pt idx="122">
                  <c:v>0.39616933434126872</c:v>
                </c:pt>
                <c:pt idx="123">
                  <c:v>0.39716536752818871</c:v>
                </c:pt>
                <c:pt idx="124">
                  <c:v>0.39794179097452625</c:v>
                </c:pt>
                <c:pt idx="125">
                  <c:v>0.39849730826719421</c:v>
                </c:pt>
                <c:pt idx="126">
                  <c:v>0.39883099080824164</c:v>
                </c:pt>
                <c:pt idx="127">
                  <c:v>0.3989422804014327</c:v>
                </c:pt>
                <c:pt idx="128">
                  <c:v>0.39883099080824164</c:v>
                </c:pt>
                <c:pt idx="129">
                  <c:v>0.39849730826719421</c:v>
                </c:pt>
                <c:pt idx="130">
                  <c:v>0.39794179097452625</c:v>
                </c:pt>
                <c:pt idx="131">
                  <c:v>0.39716536752818871</c:v>
                </c:pt>
                <c:pt idx="132">
                  <c:v>0.39616933434126872</c:v>
                </c:pt>
                <c:pt idx="133">
                  <c:v>0.39495535203491233</c:v>
                </c:pt>
                <c:pt idx="134">
                  <c:v>0.39352544082479718</c:v>
                </c:pt>
                <c:pt idx="135">
                  <c:v>0.39188197491909466</c:v>
                </c:pt>
                <c:pt idx="136">
                  <c:v>0.39002767594966714</c:v>
                </c:pt>
                <c:pt idx="137">
                  <c:v>0.38796560546193709</c:v>
                </c:pt>
                <c:pt idx="138">
                  <c:v>0.38569915649243564</c:v>
                </c:pt>
                <c:pt idx="139">
                  <c:v>0.38323204426646018</c:v>
                </c:pt>
                <c:pt idx="140">
                  <c:v>0.38056829605153553</c:v>
                </c:pt>
                <c:pt idx="141">
                  <c:v>0.3777122402054594</c:v>
                </c:pt>
                <c:pt idx="142">
                  <c:v>0.37466849446061029</c:v>
                </c:pt>
                <c:pt idx="143">
                  <c:v>0.37144195348888975</c:v>
                </c:pt>
                <c:pt idx="144">
                  <c:v>0.36803777579414604</c:v>
                </c:pt>
                <c:pt idx="145">
                  <c:v>0.36446136998117984</c:v>
                </c:pt>
                <c:pt idx="146">
                  <c:v>0.36071838045244237</c:v>
                </c:pt>
                <c:pt idx="147">
                  <c:v>0.35681467258531119</c:v>
                </c:pt>
                <c:pt idx="148">
                  <c:v>0.35275631744434299</c:v>
                </c:pt>
                <c:pt idx="149">
                  <c:v>0.34854957608416842</c:v>
                </c:pt>
                <c:pt idx="150">
                  <c:v>0.34420088349969502</c:v>
                </c:pt>
                <c:pt idx="151">
                  <c:v>0.33971683228102528</c:v>
                </c:pt>
                <c:pt idx="152">
                  <c:v>0.33510415603097365</c:v>
                </c:pt>
                <c:pt idx="153">
                  <c:v>0.33036971260328218</c:v>
                </c:pt>
                <c:pt idx="154">
                  <c:v>0.32552046721958727</c:v>
                </c:pt>
                <c:pt idx="155">
                  <c:v>0.32056347552289172</c:v>
                </c:pt>
                <c:pt idx="156">
                  <c:v>0.31550586662473823</c:v>
                </c:pt>
                <c:pt idx="157">
                  <c:v>0.31035482620248367</c:v>
                </c:pt>
                <c:pt idx="158">
                  <c:v>0.30511757970203796</c:v>
                </c:pt>
                <c:pt idx="159">
                  <c:v>0.29980137570016047</c:v>
                </c:pt>
                <c:pt idx="160">
                  <c:v>0.29441346947892549</c:v>
                </c:pt>
                <c:pt idx="161">
                  <c:v>0.28896110686327098</c:v>
                </c:pt>
                <c:pt idx="162">
                  <c:v>0.28345150837065552</c:v>
                </c:pt>
                <c:pt idx="163">
                  <c:v>0.27789185371977293</c:v>
                </c:pt>
                <c:pt idx="164">
                  <c:v>0.272289266743029</c:v>
                </c:pt>
                <c:pt idx="165">
                  <c:v>0.26665080074508385</c:v>
                </c:pt>
                <c:pt idx="166">
                  <c:v>0.26098342434722177</c:v>
                </c:pt>
                <c:pt idx="167">
                  <c:v>0.25529400785464174</c:v>
                </c:pt>
                <c:pt idx="168">
                  <c:v>0.24958931018098326</c:v>
                </c:pt>
                <c:pt idx="169">
                  <c:v>0.24387596636153336</c:v>
                </c:pt>
                <c:pt idx="170">
                  <c:v>0.2381604756836066</c:v>
                </c:pt>
                <c:pt idx="171">
                  <c:v>0.23244919045958226</c:v>
                </c:pt>
                <c:pt idx="172">
                  <c:v>0.22674830546502489</c:v>
                </c:pt>
                <c:pt idx="173">
                  <c:v>0.22106384806123058</c:v>
                </c:pt>
                <c:pt idx="174">
                  <c:v>0.21540166901844132</c:v>
                </c:pt>
                <c:pt idx="175">
                  <c:v>0.20976743405287629</c:v>
                </c:pt>
                <c:pt idx="176">
                  <c:v>0.20416661608765058</c:v>
                </c:pt>
                <c:pt idx="177">
                  <c:v>0.19860448824460655</c:v>
                </c:pt>
                <c:pt idx="178">
                  <c:v>0.19308611757108693</c:v>
                </c:pt>
                <c:pt idx="179">
                  <c:v>0.18761635950273958</c:v>
                </c:pt>
                <c:pt idx="180">
                  <c:v>0.18219985306058248</c:v>
                </c:pt>
                <c:pt idx="181">
                  <c:v>0.17684101677777875</c:v>
                </c:pt>
                <c:pt idx="182">
                  <c:v>0.17154404534889039</c:v>
                </c:pt>
                <c:pt idx="183">
                  <c:v>0.16631290699180909</c:v>
                </c:pt>
                <c:pt idx="184">
                  <c:v>0.1611513415101023</c:v>
                </c:pt>
                <c:pt idx="185">
                  <c:v>0.15606285904118986</c:v>
                </c:pt>
                <c:pt idx="186">
                  <c:v>0.15105073947356487</c:v>
                </c:pt>
                <c:pt idx="187">
                  <c:v>0.1461180325142209</c:v>
                </c:pt>
                <c:pt idx="188">
                  <c:v>0.14126755838553859</c:v>
                </c:pt>
                <c:pt idx="189">
                  <c:v>0.13650190912912655</c:v>
                </c:pt>
                <c:pt idx="190">
                  <c:v>0.1318234504925114</c:v>
                </c:pt>
                <c:pt idx="191">
                  <c:v>0.12723432437312576</c:v>
                </c:pt>
                <c:pt idx="192">
                  <c:v>0.12273645179276051</c:v>
                </c:pt>
                <c:pt idx="193">
                  <c:v>0.11833153637452423</c:v>
                </c:pt>
                <c:pt idx="194">
                  <c:v>0.11402106829339088</c:v>
                </c:pt>
                <c:pt idx="195">
                  <c:v>0.10980632867061464</c:v>
                </c:pt>
                <c:pt idx="196">
                  <c:v>0.10568839438164815</c:v>
                </c:pt>
                <c:pt idx="197">
                  <c:v>0.10166814324671322</c:v>
                </c:pt>
                <c:pt idx="198">
                  <c:v>9.7746259572838598E-2</c:v>
                </c:pt>
                <c:pt idx="199">
                  <c:v>9.3923240015993517E-2</c:v>
                </c:pt>
                <c:pt idx="200">
                  <c:v>9.0199399731906132E-2</c:v>
                </c:pt>
                <c:pt idx="201">
                  <c:v>8.657487878425156E-2</c:v>
                </c:pt>
                <c:pt idx="202">
                  <c:v>8.3049648779127114E-2</c:v>
                </c:pt>
                <c:pt idx="203">
                  <c:v>7.9623519695089018E-2</c:v>
                </c:pt>
                <c:pt idx="204">
                  <c:v>7.6296146878504514E-2</c:v>
                </c:pt>
                <c:pt idx="205">
                  <c:v>7.3067038174560742E-2</c:v>
                </c:pt>
                <c:pt idx="206">
                  <c:v>6.9935561164973653E-2</c:v>
                </c:pt>
                <c:pt idx="207">
                  <c:v>6.6900950484229643E-2</c:v>
                </c:pt>
                <c:pt idx="208">
                  <c:v>6.3962315187079094E-2</c:v>
                </c:pt>
                <c:pt idx="209">
                  <c:v>6.1118646140966536E-2</c:v>
                </c:pt>
                <c:pt idx="210">
                  <c:v>5.836882341812101E-2</c:v>
                </c:pt>
                <c:pt idx="211">
                  <c:v>5.5711623663135007E-2</c:v>
                </c:pt>
                <c:pt idx="212">
                  <c:v>5.3145727413021412E-2</c:v>
                </c:pt>
                <c:pt idx="213">
                  <c:v>5.0669726347948529E-2</c:v>
                </c:pt>
                <c:pt idx="214">
                  <c:v>4.8282130452103389E-2</c:v>
                </c:pt>
                <c:pt idx="215">
                  <c:v>4.5981375065417315E-2</c:v>
                </c:pt>
                <c:pt idx="216">
                  <c:v>4.3765827808196101E-2</c:v>
                </c:pt>
                <c:pt idx="217">
                  <c:v>4.1633795362021969E-2</c:v>
                </c:pt>
                <c:pt idx="218">
                  <c:v>3.9583530091630813E-2</c:v>
                </c:pt>
                <c:pt idx="219">
                  <c:v>3.7613236493806407E-2</c:v>
                </c:pt>
                <c:pt idx="220">
                  <c:v>3.5721077460667591E-2</c:v>
                </c:pt>
                <c:pt idx="221">
                  <c:v>3.3905180346050147E-2</c:v>
                </c:pt>
                <c:pt idx="222">
                  <c:v>3.2163642824992462E-2</c:v>
                </c:pt>
                <c:pt idx="223">
                  <c:v>3.0494538537622302E-2</c:v>
                </c:pt>
                <c:pt idx="224">
                  <c:v>2.8895922510000935E-2</c:v>
                </c:pt>
                <c:pt idx="225">
                  <c:v>2.7365836345710208E-2</c:v>
                </c:pt>
                <c:pt idx="226">
                  <c:v>2.5902313183160039E-2</c:v>
                </c:pt>
                <c:pt idx="227">
                  <c:v>2.4503382414745537E-2</c:v>
                </c:pt>
                <c:pt idx="228">
                  <c:v>2.3167074165093303E-2</c:v>
                </c:pt>
                <c:pt idx="229">
                  <c:v>2.1891423526696506E-2</c:v>
                </c:pt>
                <c:pt idx="230">
                  <c:v>2.0674474552252395E-2</c:v>
                </c:pt>
                <c:pt idx="231">
                  <c:v>1.9514284003976069E-2</c:v>
                </c:pt>
                <c:pt idx="232">
                  <c:v>1.840892486107203E-2</c:v>
                </c:pt>
                <c:pt idx="233">
                  <c:v>1.7356489587397227E-2</c:v>
                </c:pt>
                <c:pt idx="234">
                  <c:v>1.6355093162145264E-2</c:v>
                </c:pt>
                <c:pt idx="235">
                  <c:v>1.54028758771209E-2</c:v>
                </c:pt>
                <c:pt idx="236">
                  <c:v>1.449800590485566E-2</c:v>
                </c:pt>
                <c:pt idx="237">
                  <c:v>1.3638681642439747E-2</c:v>
                </c:pt>
                <c:pt idx="238">
                  <c:v>1.2823133836513139E-2</c:v>
                </c:pt>
                <c:pt idx="239">
                  <c:v>1.2049627495369144E-2</c:v>
                </c:pt>
                <c:pt idx="240">
                  <c:v>1.131646359457898E-2</c:v>
                </c:pt>
                <c:pt idx="241">
                  <c:v>1.0621980582946028E-2</c:v>
                </c:pt>
                <c:pt idx="242">
                  <c:v>9.9645556959455719E-3</c:v>
                </c:pt>
                <c:pt idx="243">
                  <c:v>9.3426060841007141E-3</c:v>
                </c:pt>
                <c:pt idx="244">
                  <c:v>8.7545897639901629E-3</c:v>
                </c:pt>
                <c:pt idx="245">
                  <c:v>8.1990063997802055E-3</c:v>
                </c:pt>
                <c:pt idx="246">
                  <c:v>7.6743979233234441E-3</c:v>
                </c:pt>
                <c:pt idx="247">
                  <c:v>7.1793490009733505E-3</c:v>
                </c:pt>
                <c:pt idx="248">
                  <c:v>6.7124873553275569E-3</c:v>
                </c:pt>
                <c:pt idx="249">
                  <c:v>6.2724839501383011E-3</c:v>
                </c:pt>
                <c:pt idx="250">
                  <c:v>5.8580530466154357E-3</c:v>
                </c:pt>
                <c:pt idx="251">
                  <c:v>5.4679521393008702E-3</c:v>
                </c:pt>
                <c:pt idx="252">
                  <c:v>5.1009817796137192E-3</c:v>
                </c:pt>
                <c:pt idx="253">
                  <c:v>4.7559852950567272E-3</c:v>
                </c:pt>
                <c:pt idx="254">
                  <c:v>4.4318484119380075E-3</c:v>
                </c:pt>
              </c:numCache>
            </c:numRef>
          </c:val>
          <c:smooth val="1"/>
          <c:extLst>
            <c:ext xmlns:c15="http://schemas.microsoft.com/office/drawing/2012/chart" uri="{02D57815-91ED-43cb-92C2-25804820EDAC}">
              <c15:datalabelsRange>
                <c15:f>[0]!Bx2Hist</c15:f>
                <c15:dlblRangeCache>
                  <c:ptCount val="255"/>
                  <c:pt idx="0">
                    <c:v>-3σ</c:v>
                  </c:pt>
                  <c:pt idx="43">
                    <c:v>-2σ</c:v>
                  </c:pt>
                  <c:pt idx="85">
                    <c:v>-1σ</c:v>
                  </c:pt>
                  <c:pt idx="127">
                    <c:v>0σ</c:v>
                  </c:pt>
                  <c:pt idx="170">
                    <c:v>1σ</c:v>
                  </c:pt>
                  <c:pt idx="212">
                    <c:v>2σ</c:v>
                  </c:pt>
                  <c:pt idx="254">
                    <c:v>3σ</c:v>
                  </c:pt>
                </c15:dlblRangeCache>
              </c15:datalabelsRange>
            </c:ext>
            <c:ext xmlns:c16="http://schemas.microsoft.com/office/drawing/2014/chart" uri="{C3380CC4-5D6E-409C-BE32-E72D297353CC}">
              <c16:uniqueId val="{00000100-ACA4-42F2-AF4F-DF9CBA922816}"/>
            </c:ext>
          </c:extLst>
        </c:ser>
        <c:dLbls>
          <c:showLegendKey val="0"/>
          <c:showVal val="0"/>
          <c:showCatName val="0"/>
          <c:showSerName val="0"/>
          <c:showPercent val="0"/>
          <c:showBubbleSize val="0"/>
        </c:dLbls>
        <c:marker val="1"/>
        <c:smooth val="0"/>
        <c:axId val="247937903"/>
        <c:axId val="31931263"/>
      </c:lineChart>
      <c:catAx>
        <c:axId val="247937903"/>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da-DK"/>
          </a:p>
        </c:txPr>
        <c:crossAx val="31931263"/>
        <c:crosses val="autoZero"/>
        <c:auto val="1"/>
        <c:lblAlgn val="ctr"/>
        <c:lblOffset val="100"/>
        <c:tickLblSkip val="1"/>
        <c:noMultiLvlLbl val="0"/>
      </c:catAx>
      <c:valAx>
        <c:axId val="31931263"/>
        <c:scaling>
          <c:orientation val="minMax"/>
        </c:scaling>
        <c:delete val="1"/>
        <c:axPos val="l"/>
        <c:numFmt formatCode="General" sourceLinked="1"/>
        <c:majorTickMark val="none"/>
        <c:minorTickMark val="none"/>
        <c:tickLblPos val="nextTo"/>
        <c:crossAx val="2479379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BeskrivendeStatistik!$R$14</c:f>
          <c:strCache>
            <c:ptCount val="1"/>
            <c:pt idx="0">
              <c:v>Normalfraktildiagram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BeskrivendeStatistik!$R$16</c:f>
              <c:strCache>
                <c:ptCount val="1"/>
                <c:pt idx="0">
                  <c:v>Observationer (n = 12)</c:v>
                </c:pt>
              </c:strCache>
            </c:strRef>
          </c:tx>
          <c:spPr>
            <a:ln w="25400" cap="rnd">
              <a:noFill/>
              <a:round/>
            </a:ln>
            <a:effectLst/>
          </c:spPr>
          <c:marker>
            <c:symbol val="circle"/>
            <c:size val="7"/>
            <c:spPr>
              <a:solidFill>
                <a:schemeClr val="accent1">
                  <a:alpha val="70000"/>
                </a:schemeClr>
              </a:solidFill>
              <a:ln w="9525">
                <a:noFill/>
              </a:ln>
              <a:effectLst/>
            </c:spPr>
          </c:marker>
          <c:xVal>
            <c:numRef>
              <c:f>[0]!BsData</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[0]!BfZ</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0-89D3-4F86-B0F4-2D5C20606D08}"/>
            </c:ext>
          </c:extLst>
        </c:ser>
        <c:ser>
          <c:idx val="0"/>
          <c:order val="1"/>
          <c:tx>
            <c:strRef>
              <c:f>BeskrivendeStatistik!$R$18</c:f>
              <c:strCache>
                <c:ptCount val="1"/>
                <c:pt idx="0">
                  <c:v>Normalfordeling (1.854 ; 4.307)</c:v>
                </c:pt>
              </c:strCache>
            </c:strRef>
          </c:tx>
          <c:spPr>
            <a:ln w="25400" cap="rnd">
              <a:solidFill>
                <a:schemeClr val="tx1"/>
              </a:solidFill>
              <a:round/>
            </a:ln>
            <a:effectLst/>
          </c:spPr>
          <c:marker>
            <c:symbol val="none"/>
          </c:marker>
          <c:xVal>
            <c:numRef>
              <c:f>[0]!BsData</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[0]!BzData</c:f>
              <c:numCache>
                <c:formatCode>General</c:formatCode>
                <c:ptCount val="12"/>
                <c:pt idx="0">
                  <c:v>-0.77401919912526185</c:v>
                </c:pt>
                <c:pt idx="1">
                  <c:v>-0.69678601922273553</c:v>
                </c:pt>
                <c:pt idx="2">
                  <c:v>-0.63891969173901442</c:v>
                </c:pt>
                <c:pt idx="3">
                  <c:v>-0.52552347669826049</c:v>
                </c:pt>
                <c:pt idx="4">
                  <c:v>-0.50181281269986555</c:v>
                </c:pt>
                <c:pt idx="5">
                  <c:v>-0.41087347954148701</c:v>
                </c:pt>
                <c:pt idx="6">
                  <c:v>-0.21823583738750846</c:v>
                </c:pt>
                <c:pt idx="7">
                  <c:v>-0.12887460638676285</c:v>
                </c:pt>
                <c:pt idx="8">
                  <c:v>-0.10996969888101016</c:v>
                </c:pt>
                <c:pt idx="9">
                  <c:v>-9.9675111476018041E-3</c:v>
                </c:pt>
                <c:pt idx="10">
                  <c:v>1.4270226861079138</c:v>
                </c:pt>
                <c:pt idx="11">
                  <c:v>2.5879596467215951</c:v>
                </c:pt>
              </c:numCache>
            </c:numRef>
          </c:yVal>
          <c:smooth val="1"/>
          <c:extLst>
            <c:ext xmlns:c16="http://schemas.microsoft.com/office/drawing/2014/chart" uri="{C3380CC4-5D6E-409C-BE32-E72D297353CC}">
              <c16:uniqueId val="{00000001-89D3-4F86-B0F4-2D5C20606D08}"/>
            </c:ext>
          </c:extLst>
        </c:ser>
        <c:dLbls>
          <c:showLegendKey val="0"/>
          <c:showVal val="0"/>
          <c:showCatName val="0"/>
          <c:showSerName val="0"/>
          <c:showPercent val="0"/>
          <c:showBubbleSize val="0"/>
        </c:dLbls>
        <c:axId val="22412559"/>
        <c:axId val="2117143967"/>
      </c:scatterChart>
      <c:valAx>
        <c:axId val="2241255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Værdier og forventede værdier i observationssæt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rgbClr val="BFBFBF"/>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17143967"/>
        <c:crosses val="autoZero"/>
        <c:crossBetween val="midCat"/>
      </c:valAx>
      <c:valAx>
        <c:axId val="2117143967"/>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Standardafvigelse i normalfordeling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2412559"/>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Sandsynlighed!$AF$9</c:f>
          <c:strCache>
            <c:ptCount val="1"/>
            <c:pt idx="0">
              <c:v>Binomialfordeling
(Antal forsøg: 6 ; Chance for succes: 86%)
 P(k &lt; 5) = 20.027%
 P(k = 5) = 39.516%
 P(k &gt; 5) = 40.457%</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42989578094346714"/>
          <c:w val="0.7982489213142222"/>
          <c:h val="0.45645915006011989"/>
        </c:manualLayout>
      </c:layout>
      <c:areaChart>
        <c:grouping val="standard"/>
        <c:varyColors val="0"/>
        <c:ser>
          <c:idx val="0"/>
          <c:order val="0"/>
          <c:tx>
            <c:strRef>
              <c:f>Sandsynlighed!$AL$12</c:f>
              <c:strCache>
                <c:ptCount val="1"/>
                <c:pt idx="0">
                  <c:v>Venstre</c:v>
                </c:pt>
              </c:strCache>
            </c:strRef>
          </c:tx>
          <c:spPr>
            <a:solidFill>
              <a:schemeClr val="accent1"/>
            </a:solidFill>
            <a:ln w="25400">
              <a:noFill/>
            </a:ln>
            <a:effectLst/>
          </c:spPr>
          <c:cat>
            <c:strRef>
              <c:f>Sandsynlighed!$AO$13:$AO$663</c:f>
              <c:strCache>
                <c:ptCount val="599"/>
                <c:pt idx="46">
                  <c:v>0</c:v>
                </c:pt>
                <c:pt idx="138">
                  <c:v>1</c:v>
                </c:pt>
                <c:pt idx="230">
                  <c:v>2</c:v>
                </c:pt>
                <c:pt idx="322">
                  <c:v>3</c:v>
                </c:pt>
                <c:pt idx="414">
                  <c:v>4</c:v>
                </c:pt>
                <c:pt idx="506">
                  <c:v>5</c:v>
                </c:pt>
                <c:pt idx="598">
                  <c:v>6</c:v>
                </c:pt>
              </c:strCache>
            </c:strRef>
          </c:cat>
          <c:val>
            <c:numRef>
              <c:f>Sandsynlighed!$AL$13:$AL$663</c:f>
              <c:numCache>
                <c:formatCode>General</c:formatCode>
                <c:ptCount val="651"/>
                <c:pt idx="0">
                  <c:v>#N/A</c:v>
                </c:pt>
                <c:pt idx="1">
                  <c:v>7.529536000000004E-6</c:v>
                </c:pt>
                <c:pt idx="2">
                  <c:v>7.529536000000004E-6</c:v>
                </c:pt>
                <c:pt idx="3">
                  <c:v>7.529536000000004E-6</c:v>
                </c:pt>
                <c:pt idx="4">
                  <c:v>7.529536000000004E-6</c:v>
                </c:pt>
                <c:pt idx="5">
                  <c:v>7.529536000000004E-6</c:v>
                </c:pt>
                <c:pt idx="6">
                  <c:v>7.529536000000004E-6</c:v>
                </c:pt>
                <c:pt idx="7">
                  <c:v>7.529536000000004E-6</c:v>
                </c:pt>
                <c:pt idx="8">
                  <c:v>7.529536000000004E-6</c:v>
                </c:pt>
                <c:pt idx="9">
                  <c:v>7.529536000000004E-6</c:v>
                </c:pt>
                <c:pt idx="10">
                  <c:v>7.529536000000004E-6</c:v>
                </c:pt>
                <c:pt idx="11">
                  <c:v>7.529536000000004E-6</c:v>
                </c:pt>
                <c:pt idx="12">
                  <c:v>7.529536000000004E-6</c:v>
                </c:pt>
                <c:pt idx="13">
                  <c:v>7.529536000000004E-6</c:v>
                </c:pt>
                <c:pt idx="14">
                  <c:v>7.529536000000004E-6</c:v>
                </c:pt>
                <c:pt idx="15">
                  <c:v>7.529536000000004E-6</c:v>
                </c:pt>
                <c:pt idx="16">
                  <c:v>7.529536000000004E-6</c:v>
                </c:pt>
                <c:pt idx="17">
                  <c:v>7.529536000000004E-6</c:v>
                </c:pt>
                <c:pt idx="18">
                  <c:v>7.529536000000004E-6</c:v>
                </c:pt>
                <c:pt idx="19">
                  <c:v>7.529536000000004E-6</c:v>
                </c:pt>
                <c:pt idx="20">
                  <c:v>7.529536000000004E-6</c:v>
                </c:pt>
                <c:pt idx="21">
                  <c:v>7.529536000000004E-6</c:v>
                </c:pt>
                <c:pt idx="22">
                  <c:v>7.529536000000004E-6</c:v>
                </c:pt>
                <c:pt idx="23">
                  <c:v>7.529536000000004E-6</c:v>
                </c:pt>
                <c:pt idx="24">
                  <c:v>7.529536000000004E-6</c:v>
                </c:pt>
                <c:pt idx="25">
                  <c:v>7.529536000000004E-6</c:v>
                </c:pt>
                <c:pt idx="26">
                  <c:v>7.529536000000004E-6</c:v>
                </c:pt>
                <c:pt idx="27">
                  <c:v>7.529536000000004E-6</c:v>
                </c:pt>
                <c:pt idx="28">
                  <c:v>7.529536000000004E-6</c:v>
                </c:pt>
                <c:pt idx="29">
                  <c:v>7.529536000000004E-6</c:v>
                </c:pt>
                <c:pt idx="30">
                  <c:v>7.529536000000004E-6</c:v>
                </c:pt>
                <c:pt idx="31">
                  <c:v>7.529536000000004E-6</c:v>
                </c:pt>
                <c:pt idx="32">
                  <c:v>7.529536000000004E-6</c:v>
                </c:pt>
                <c:pt idx="33">
                  <c:v>7.529536000000004E-6</c:v>
                </c:pt>
                <c:pt idx="34">
                  <c:v>7.529536000000004E-6</c:v>
                </c:pt>
                <c:pt idx="35">
                  <c:v>7.529536000000004E-6</c:v>
                </c:pt>
                <c:pt idx="36">
                  <c:v>7.529536000000004E-6</c:v>
                </c:pt>
                <c:pt idx="37">
                  <c:v>7.529536000000004E-6</c:v>
                </c:pt>
                <c:pt idx="38">
                  <c:v>7.529536000000004E-6</c:v>
                </c:pt>
                <c:pt idx="39">
                  <c:v>7.529536000000004E-6</c:v>
                </c:pt>
                <c:pt idx="40">
                  <c:v>7.529536000000004E-6</c:v>
                </c:pt>
                <c:pt idx="41">
                  <c:v>7.529536000000004E-6</c:v>
                </c:pt>
                <c:pt idx="42">
                  <c:v>7.529536000000004E-6</c:v>
                </c:pt>
                <c:pt idx="43">
                  <c:v>7.529536000000004E-6</c:v>
                </c:pt>
                <c:pt idx="44">
                  <c:v>7.529536000000004E-6</c:v>
                </c:pt>
                <c:pt idx="45">
                  <c:v>7.529536000000004E-6</c:v>
                </c:pt>
                <c:pt idx="46">
                  <c:v>7.529536000000004E-6</c:v>
                </c:pt>
                <c:pt idx="47">
                  <c:v>7.529536000000004E-6</c:v>
                </c:pt>
                <c:pt idx="48">
                  <c:v>7.529536000000004E-6</c:v>
                </c:pt>
                <c:pt idx="49">
                  <c:v>7.529536000000004E-6</c:v>
                </c:pt>
                <c:pt idx="50">
                  <c:v>7.529536000000004E-6</c:v>
                </c:pt>
                <c:pt idx="51">
                  <c:v>7.529536000000004E-6</c:v>
                </c:pt>
                <c:pt idx="52">
                  <c:v>7.529536000000004E-6</c:v>
                </c:pt>
                <c:pt idx="53">
                  <c:v>7.529536000000004E-6</c:v>
                </c:pt>
                <c:pt idx="54">
                  <c:v>7.529536000000004E-6</c:v>
                </c:pt>
                <c:pt idx="55">
                  <c:v>7.529536000000004E-6</c:v>
                </c:pt>
                <c:pt idx="56">
                  <c:v>7.529536000000004E-6</c:v>
                </c:pt>
                <c:pt idx="57">
                  <c:v>7.529536000000004E-6</c:v>
                </c:pt>
                <c:pt idx="58">
                  <c:v>7.529536000000004E-6</c:v>
                </c:pt>
                <c:pt idx="59">
                  <c:v>7.529536000000004E-6</c:v>
                </c:pt>
                <c:pt idx="60">
                  <c:v>7.529536000000004E-6</c:v>
                </c:pt>
                <c:pt idx="61">
                  <c:v>7.529536000000004E-6</c:v>
                </c:pt>
                <c:pt idx="62">
                  <c:v>7.529536000000004E-6</c:v>
                </c:pt>
                <c:pt idx="63">
                  <c:v>7.529536000000004E-6</c:v>
                </c:pt>
                <c:pt idx="64">
                  <c:v>7.529536000000004E-6</c:v>
                </c:pt>
                <c:pt idx="65">
                  <c:v>7.529536000000004E-6</c:v>
                </c:pt>
                <c:pt idx="66">
                  <c:v>7.529536000000004E-6</c:v>
                </c:pt>
                <c:pt idx="67">
                  <c:v>7.529536000000004E-6</c:v>
                </c:pt>
                <c:pt idx="68">
                  <c:v>7.529536000000004E-6</c:v>
                </c:pt>
                <c:pt idx="69">
                  <c:v>7.529536000000004E-6</c:v>
                </c:pt>
                <c:pt idx="70">
                  <c:v>7.529536000000004E-6</c:v>
                </c:pt>
                <c:pt idx="71">
                  <c:v>7.529536000000004E-6</c:v>
                </c:pt>
                <c:pt idx="72">
                  <c:v>7.529536000000004E-6</c:v>
                </c:pt>
                <c:pt idx="73">
                  <c:v>7.529536000000004E-6</c:v>
                </c:pt>
                <c:pt idx="74">
                  <c:v>7.529536000000004E-6</c:v>
                </c:pt>
                <c:pt idx="75">
                  <c:v>7.529536000000004E-6</c:v>
                </c:pt>
                <c:pt idx="76">
                  <c:v>7.529536000000004E-6</c:v>
                </c:pt>
                <c:pt idx="77">
                  <c:v>7.529536000000004E-6</c:v>
                </c:pt>
                <c:pt idx="78">
                  <c:v>7.529536000000004E-6</c:v>
                </c:pt>
                <c:pt idx="79">
                  <c:v>7.529536000000004E-6</c:v>
                </c:pt>
                <c:pt idx="80">
                  <c:v>7.529536000000004E-6</c:v>
                </c:pt>
                <c:pt idx="81">
                  <c:v>7.529536000000004E-6</c:v>
                </c:pt>
                <c:pt idx="82">
                  <c:v>7.529536000000004E-6</c:v>
                </c:pt>
                <c:pt idx="83">
                  <c:v>7.529536000000004E-6</c:v>
                </c:pt>
                <c:pt idx="84">
                  <c:v>7.529536000000004E-6</c:v>
                </c:pt>
                <c:pt idx="85">
                  <c:v>7.529536000000004E-6</c:v>
                </c:pt>
                <c:pt idx="86">
                  <c:v>7.529536000000004E-6</c:v>
                </c:pt>
                <c:pt idx="87">
                  <c:v>7.529536000000004E-6</c:v>
                </c:pt>
                <c:pt idx="88">
                  <c:v>7.529536000000004E-6</c:v>
                </c:pt>
                <c:pt idx="89">
                  <c:v>7.529536000000004E-6</c:v>
                </c:pt>
                <c:pt idx="90">
                  <c:v>7.529536000000004E-6</c:v>
                </c:pt>
                <c:pt idx="91">
                  <c:v>7.529536000000004E-6</c:v>
                </c:pt>
                <c:pt idx="92">
                  <c:v>#N/A</c:v>
                </c:pt>
                <c:pt idx="93">
                  <c:v>2.7751718400000021E-4</c:v>
                </c:pt>
                <c:pt idx="94">
                  <c:v>2.7751718400000021E-4</c:v>
                </c:pt>
                <c:pt idx="95">
                  <c:v>2.7751718400000021E-4</c:v>
                </c:pt>
                <c:pt idx="96">
                  <c:v>2.7751718400000021E-4</c:v>
                </c:pt>
                <c:pt idx="97">
                  <c:v>2.7751718400000021E-4</c:v>
                </c:pt>
                <c:pt idx="98">
                  <c:v>2.7751718400000021E-4</c:v>
                </c:pt>
                <c:pt idx="99">
                  <c:v>2.7751718400000021E-4</c:v>
                </c:pt>
                <c:pt idx="100">
                  <c:v>2.7751718400000021E-4</c:v>
                </c:pt>
                <c:pt idx="101">
                  <c:v>2.7751718400000021E-4</c:v>
                </c:pt>
                <c:pt idx="102">
                  <c:v>2.7751718400000021E-4</c:v>
                </c:pt>
                <c:pt idx="103">
                  <c:v>2.7751718400000021E-4</c:v>
                </c:pt>
                <c:pt idx="104">
                  <c:v>2.7751718400000021E-4</c:v>
                </c:pt>
                <c:pt idx="105">
                  <c:v>2.7751718400000021E-4</c:v>
                </c:pt>
                <c:pt idx="106">
                  <c:v>2.7751718400000021E-4</c:v>
                </c:pt>
                <c:pt idx="107">
                  <c:v>2.7751718400000021E-4</c:v>
                </c:pt>
                <c:pt idx="108">
                  <c:v>2.7751718400000021E-4</c:v>
                </c:pt>
                <c:pt idx="109">
                  <c:v>2.7751718400000021E-4</c:v>
                </c:pt>
                <c:pt idx="110">
                  <c:v>2.7751718400000021E-4</c:v>
                </c:pt>
                <c:pt idx="111">
                  <c:v>2.7751718400000021E-4</c:v>
                </c:pt>
                <c:pt idx="112">
                  <c:v>2.7751718400000021E-4</c:v>
                </c:pt>
                <c:pt idx="113">
                  <c:v>2.7751718400000021E-4</c:v>
                </c:pt>
                <c:pt idx="114">
                  <c:v>2.7751718400000021E-4</c:v>
                </c:pt>
                <c:pt idx="115">
                  <c:v>2.7751718400000021E-4</c:v>
                </c:pt>
                <c:pt idx="116">
                  <c:v>2.7751718400000021E-4</c:v>
                </c:pt>
                <c:pt idx="117">
                  <c:v>2.7751718400000021E-4</c:v>
                </c:pt>
                <c:pt idx="118">
                  <c:v>2.7751718400000021E-4</c:v>
                </c:pt>
                <c:pt idx="119">
                  <c:v>2.7751718400000021E-4</c:v>
                </c:pt>
                <c:pt idx="120">
                  <c:v>2.7751718400000021E-4</c:v>
                </c:pt>
                <c:pt idx="121">
                  <c:v>2.7751718400000021E-4</c:v>
                </c:pt>
                <c:pt idx="122">
                  <c:v>2.7751718400000021E-4</c:v>
                </c:pt>
                <c:pt idx="123">
                  <c:v>2.7751718400000021E-4</c:v>
                </c:pt>
                <c:pt idx="124">
                  <c:v>2.7751718400000021E-4</c:v>
                </c:pt>
                <c:pt idx="125">
                  <c:v>2.7751718400000021E-4</c:v>
                </c:pt>
                <c:pt idx="126">
                  <c:v>2.7751718400000021E-4</c:v>
                </c:pt>
                <c:pt idx="127">
                  <c:v>2.7751718400000021E-4</c:v>
                </c:pt>
                <c:pt idx="128">
                  <c:v>2.7751718400000021E-4</c:v>
                </c:pt>
                <c:pt idx="129">
                  <c:v>2.7751718400000021E-4</c:v>
                </c:pt>
                <c:pt idx="130">
                  <c:v>2.7751718400000021E-4</c:v>
                </c:pt>
                <c:pt idx="131">
                  <c:v>2.7751718400000021E-4</c:v>
                </c:pt>
                <c:pt idx="132">
                  <c:v>2.7751718400000021E-4</c:v>
                </c:pt>
                <c:pt idx="133">
                  <c:v>2.7751718400000021E-4</c:v>
                </c:pt>
                <c:pt idx="134">
                  <c:v>2.7751718400000021E-4</c:v>
                </c:pt>
                <c:pt idx="135">
                  <c:v>2.7751718400000021E-4</c:v>
                </c:pt>
                <c:pt idx="136">
                  <c:v>2.7751718400000021E-4</c:v>
                </c:pt>
                <c:pt idx="137">
                  <c:v>2.7751718400000021E-4</c:v>
                </c:pt>
                <c:pt idx="138">
                  <c:v>2.7751718400000021E-4</c:v>
                </c:pt>
                <c:pt idx="139">
                  <c:v>2.7751718400000021E-4</c:v>
                </c:pt>
                <c:pt idx="140">
                  <c:v>2.7751718400000021E-4</c:v>
                </c:pt>
                <c:pt idx="141">
                  <c:v>2.7751718400000021E-4</c:v>
                </c:pt>
                <c:pt idx="142">
                  <c:v>2.7751718400000021E-4</c:v>
                </c:pt>
                <c:pt idx="143">
                  <c:v>2.7751718400000021E-4</c:v>
                </c:pt>
                <c:pt idx="144">
                  <c:v>2.7751718400000021E-4</c:v>
                </c:pt>
                <c:pt idx="145">
                  <c:v>2.7751718400000021E-4</c:v>
                </c:pt>
                <c:pt idx="146">
                  <c:v>2.7751718400000021E-4</c:v>
                </c:pt>
                <c:pt idx="147">
                  <c:v>2.7751718400000021E-4</c:v>
                </c:pt>
                <c:pt idx="148">
                  <c:v>2.7751718400000021E-4</c:v>
                </c:pt>
                <c:pt idx="149">
                  <c:v>2.7751718400000021E-4</c:v>
                </c:pt>
                <c:pt idx="150">
                  <c:v>2.7751718400000021E-4</c:v>
                </c:pt>
                <c:pt idx="151">
                  <c:v>2.7751718400000021E-4</c:v>
                </c:pt>
                <c:pt idx="152">
                  <c:v>2.7751718400000021E-4</c:v>
                </c:pt>
                <c:pt idx="153">
                  <c:v>2.7751718400000021E-4</c:v>
                </c:pt>
                <c:pt idx="154">
                  <c:v>2.7751718400000021E-4</c:v>
                </c:pt>
                <c:pt idx="155">
                  <c:v>2.7751718400000021E-4</c:v>
                </c:pt>
                <c:pt idx="156">
                  <c:v>2.7751718400000021E-4</c:v>
                </c:pt>
                <c:pt idx="157">
                  <c:v>2.7751718400000021E-4</c:v>
                </c:pt>
                <c:pt idx="158">
                  <c:v>2.7751718400000021E-4</c:v>
                </c:pt>
                <c:pt idx="159">
                  <c:v>2.7751718400000021E-4</c:v>
                </c:pt>
                <c:pt idx="160">
                  <c:v>2.7751718400000021E-4</c:v>
                </c:pt>
                <c:pt idx="161">
                  <c:v>2.7751718400000021E-4</c:v>
                </c:pt>
                <c:pt idx="162">
                  <c:v>2.7751718400000021E-4</c:v>
                </c:pt>
                <c:pt idx="163">
                  <c:v>2.7751718400000021E-4</c:v>
                </c:pt>
                <c:pt idx="164">
                  <c:v>2.7751718400000021E-4</c:v>
                </c:pt>
                <c:pt idx="165">
                  <c:v>2.7751718400000021E-4</c:v>
                </c:pt>
                <c:pt idx="166">
                  <c:v>2.7751718400000021E-4</c:v>
                </c:pt>
                <c:pt idx="167">
                  <c:v>2.7751718400000021E-4</c:v>
                </c:pt>
                <c:pt idx="168">
                  <c:v>2.7751718400000021E-4</c:v>
                </c:pt>
                <c:pt idx="169">
                  <c:v>2.7751718400000021E-4</c:v>
                </c:pt>
                <c:pt idx="170">
                  <c:v>2.7751718400000021E-4</c:v>
                </c:pt>
                <c:pt idx="171">
                  <c:v>2.7751718400000021E-4</c:v>
                </c:pt>
                <c:pt idx="172">
                  <c:v>2.7751718400000021E-4</c:v>
                </c:pt>
                <c:pt idx="173">
                  <c:v>2.7751718400000021E-4</c:v>
                </c:pt>
                <c:pt idx="174">
                  <c:v>2.7751718400000021E-4</c:v>
                </c:pt>
                <c:pt idx="175">
                  <c:v>2.7751718400000021E-4</c:v>
                </c:pt>
                <c:pt idx="176">
                  <c:v>2.7751718400000021E-4</c:v>
                </c:pt>
                <c:pt idx="177">
                  <c:v>2.7751718400000021E-4</c:v>
                </c:pt>
                <c:pt idx="178">
                  <c:v>2.7751718400000021E-4</c:v>
                </c:pt>
                <c:pt idx="179">
                  <c:v>2.7751718400000021E-4</c:v>
                </c:pt>
                <c:pt idx="180">
                  <c:v>2.7751718400000021E-4</c:v>
                </c:pt>
                <c:pt idx="181">
                  <c:v>2.7751718400000021E-4</c:v>
                </c:pt>
                <c:pt idx="182">
                  <c:v>2.7751718400000021E-4</c:v>
                </c:pt>
                <c:pt idx="183">
                  <c:v>2.7751718400000021E-4</c:v>
                </c:pt>
                <c:pt idx="184">
                  <c:v>#N/A</c:v>
                </c:pt>
                <c:pt idx="185">
                  <c:v>4.261871040000002E-3</c:v>
                </c:pt>
                <c:pt idx="186">
                  <c:v>4.261871040000002E-3</c:v>
                </c:pt>
                <c:pt idx="187">
                  <c:v>4.261871040000002E-3</c:v>
                </c:pt>
                <c:pt idx="188">
                  <c:v>4.261871040000002E-3</c:v>
                </c:pt>
                <c:pt idx="189">
                  <c:v>4.261871040000002E-3</c:v>
                </c:pt>
                <c:pt idx="190">
                  <c:v>4.261871040000002E-3</c:v>
                </c:pt>
                <c:pt idx="191">
                  <c:v>4.261871040000002E-3</c:v>
                </c:pt>
                <c:pt idx="192">
                  <c:v>4.261871040000002E-3</c:v>
                </c:pt>
                <c:pt idx="193">
                  <c:v>4.261871040000002E-3</c:v>
                </c:pt>
                <c:pt idx="194">
                  <c:v>4.261871040000002E-3</c:v>
                </c:pt>
                <c:pt idx="195">
                  <c:v>4.261871040000002E-3</c:v>
                </c:pt>
                <c:pt idx="196">
                  <c:v>4.261871040000002E-3</c:v>
                </c:pt>
                <c:pt idx="197">
                  <c:v>4.261871040000002E-3</c:v>
                </c:pt>
                <c:pt idx="198">
                  <c:v>4.261871040000002E-3</c:v>
                </c:pt>
                <c:pt idx="199">
                  <c:v>4.261871040000002E-3</c:v>
                </c:pt>
                <c:pt idx="200">
                  <c:v>4.261871040000002E-3</c:v>
                </c:pt>
                <c:pt idx="201">
                  <c:v>4.261871040000002E-3</c:v>
                </c:pt>
                <c:pt idx="202">
                  <c:v>4.261871040000002E-3</c:v>
                </c:pt>
                <c:pt idx="203">
                  <c:v>4.261871040000002E-3</c:v>
                </c:pt>
                <c:pt idx="204">
                  <c:v>4.261871040000002E-3</c:v>
                </c:pt>
                <c:pt idx="205">
                  <c:v>4.261871040000002E-3</c:v>
                </c:pt>
                <c:pt idx="206">
                  <c:v>4.261871040000002E-3</c:v>
                </c:pt>
                <c:pt idx="207">
                  <c:v>4.261871040000002E-3</c:v>
                </c:pt>
                <c:pt idx="208">
                  <c:v>4.261871040000002E-3</c:v>
                </c:pt>
                <c:pt idx="209">
                  <c:v>4.261871040000002E-3</c:v>
                </c:pt>
                <c:pt idx="210">
                  <c:v>4.261871040000002E-3</c:v>
                </c:pt>
                <c:pt idx="211">
                  <c:v>4.261871040000002E-3</c:v>
                </c:pt>
                <c:pt idx="212">
                  <c:v>4.261871040000002E-3</c:v>
                </c:pt>
                <c:pt idx="213">
                  <c:v>4.261871040000002E-3</c:v>
                </c:pt>
                <c:pt idx="214">
                  <c:v>4.261871040000002E-3</c:v>
                </c:pt>
                <c:pt idx="215">
                  <c:v>4.261871040000002E-3</c:v>
                </c:pt>
                <c:pt idx="216">
                  <c:v>4.261871040000002E-3</c:v>
                </c:pt>
                <c:pt idx="217">
                  <c:v>4.261871040000002E-3</c:v>
                </c:pt>
                <c:pt idx="218">
                  <c:v>4.261871040000002E-3</c:v>
                </c:pt>
                <c:pt idx="219">
                  <c:v>4.261871040000002E-3</c:v>
                </c:pt>
                <c:pt idx="220">
                  <c:v>4.261871040000002E-3</c:v>
                </c:pt>
                <c:pt idx="221">
                  <c:v>4.261871040000002E-3</c:v>
                </c:pt>
                <c:pt idx="222">
                  <c:v>4.261871040000002E-3</c:v>
                </c:pt>
                <c:pt idx="223">
                  <c:v>4.261871040000002E-3</c:v>
                </c:pt>
                <c:pt idx="224">
                  <c:v>4.261871040000002E-3</c:v>
                </c:pt>
                <c:pt idx="225">
                  <c:v>4.261871040000002E-3</c:v>
                </c:pt>
                <c:pt idx="226">
                  <c:v>4.261871040000002E-3</c:v>
                </c:pt>
                <c:pt idx="227">
                  <c:v>4.261871040000002E-3</c:v>
                </c:pt>
                <c:pt idx="228">
                  <c:v>4.261871040000002E-3</c:v>
                </c:pt>
                <c:pt idx="229">
                  <c:v>4.261871040000002E-3</c:v>
                </c:pt>
                <c:pt idx="230">
                  <c:v>4.261871040000002E-3</c:v>
                </c:pt>
                <c:pt idx="231">
                  <c:v>4.261871040000002E-3</c:v>
                </c:pt>
                <c:pt idx="232">
                  <c:v>4.261871040000002E-3</c:v>
                </c:pt>
                <c:pt idx="233">
                  <c:v>4.261871040000002E-3</c:v>
                </c:pt>
                <c:pt idx="234">
                  <c:v>4.261871040000002E-3</c:v>
                </c:pt>
                <c:pt idx="235">
                  <c:v>4.261871040000002E-3</c:v>
                </c:pt>
                <c:pt idx="236">
                  <c:v>4.261871040000002E-3</c:v>
                </c:pt>
                <c:pt idx="237">
                  <c:v>4.261871040000002E-3</c:v>
                </c:pt>
                <c:pt idx="238">
                  <c:v>4.261871040000002E-3</c:v>
                </c:pt>
                <c:pt idx="239">
                  <c:v>4.261871040000002E-3</c:v>
                </c:pt>
                <c:pt idx="240">
                  <c:v>4.261871040000002E-3</c:v>
                </c:pt>
                <c:pt idx="241">
                  <c:v>4.261871040000002E-3</c:v>
                </c:pt>
                <c:pt idx="242">
                  <c:v>4.261871040000002E-3</c:v>
                </c:pt>
                <c:pt idx="243">
                  <c:v>4.261871040000002E-3</c:v>
                </c:pt>
                <c:pt idx="244">
                  <c:v>4.261871040000002E-3</c:v>
                </c:pt>
                <c:pt idx="245">
                  <c:v>4.261871040000002E-3</c:v>
                </c:pt>
                <c:pt idx="246">
                  <c:v>4.261871040000002E-3</c:v>
                </c:pt>
                <c:pt idx="247">
                  <c:v>4.261871040000002E-3</c:v>
                </c:pt>
                <c:pt idx="248">
                  <c:v>4.261871040000002E-3</c:v>
                </c:pt>
                <c:pt idx="249">
                  <c:v>4.261871040000002E-3</c:v>
                </c:pt>
                <c:pt idx="250">
                  <c:v>4.261871040000002E-3</c:v>
                </c:pt>
                <c:pt idx="251">
                  <c:v>4.261871040000002E-3</c:v>
                </c:pt>
                <c:pt idx="252">
                  <c:v>4.261871040000002E-3</c:v>
                </c:pt>
                <c:pt idx="253">
                  <c:v>4.261871040000002E-3</c:v>
                </c:pt>
                <c:pt idx="254">
                  <c:v>4.261871040000002E-3</c:v>
                </c:pt>
                <c:pt idx="255">
                  <c:v>4.261871040000002E-3</c:v>
                </c:pt>
                <c:pt idx="256">
                  <c:v>4.261871040000002E-3</c:v>
                </c:pt>
                <c:pt idx="257">
                  <c:v>4.261871040000002E-3</c:v>
                </c:pt>
                <c:pt idx="258">
                  <c:v>4.261871040000002E-3</c:v>
                </c:pt>
                <c:pt idx="259">
                  <c:v>4.261871040000002E-3</c:v>
                </c:pt>
                <c:pt idx="260">
                  <c:v>4.261871040000002E-3</c:v>
                </c:pt>
                <c:pt idx="261">
                  <c:v>4.261871040000002E-3</c:v>
                </c:pt>
                <c:pt idx="262">
                  <c:v>4.261871040000002E-3</c:v>
                </c:pt>
                <c:pt idx="263">
                  <c:v>4.261871040000002E-3</c:v>
                </c:pt>
                <c:pt idx="264">
                  <c:v>4.261871040000002E-3</c:v>
                </c:pt>
                <c:pt idx="265">
                  <c:v>4.261871040000002E-3</c:v>
                </c:pt>
                <c:pt idx="266">
                  <c:v>4.261871040000002E-3</c:v>
                </c:pt>
                <c:pt idx="267">
                  <c:v>4.261871040000002E-3</c:v>
                </c:pt>
                <c:pt idx="268">
                  <c:v>4.261871040000002E-3</c:v>
                </c:pt>
                <c:pt idx="269">
                  <c:v>4.261871040000002E-3</c:v>
                </c:pt>
                <c:pt idx="270">
                  <c:v>4.261871040000002E-3</c:v>
                </c:pt>
                <c:pt idx="271">
                  <c:v>4.261871040000002E-3</c:v>
                </c:pt>
                <c:pt idx="272">
                  <c:v>4.261871040000002E-3</c:v>
                </c:pt>
                <c:pt idx="273">
                  <c:v>4.261871040000002E-3</c:v>
                </c:pt>
                <c:pt idx="274">
                  <c:v>4.261871040000002E-3</c:v>
                </c:pt>
                <c:pt idx="275">
                  <c:v>4.261871040000002E-3</c:v>
                </c:pt>
                <c:pt idx="276">
                  <c:v>#N/A</c:v>
                </c:pt>
                <c:pt idx="277">
                  <c:v>3.4906753280000008E-2</c:v>
                </c:pt>
                <c:pt idx="278">
                  <c:v>3.4906753280000008E-2</c:v>
                </c:pt>
                <c:pt idx="279">
                  <c:v>3.4906753280000008E-2</c:v>
                </c:pt>
                <c:pt idx="280">
                  <c:v>3.4906753280000008E-2</c:v>
                </c:pt>
                <c:pt idx="281">
                  <c:v>3.4906753280000008E-2</c:v>
                </c:pt>
                <c:pt idx="282">
                  <c:v>3.4906753280000008E-2</c:v>
                </c:pt>
                <c:pt idx="283">
                  <c:v>3.4906753280000008E-2</c:v>
                </c:pt>
                <c:pt idx="284">
                  <c:v>3.4906753280000008E-2</c:v>
                </c:pt>
                <c:pt idx="285">
                  <c:v>3.4906753280000008E-2</c:v>
                </c:pt>
                <c:pt idx="286">
                  <c:v>3.4906753280000008E-2</c:v>
                </c:pt>
                <c:pt idx="287">
                  <c:v>3.4906753280000008E-2</c:v>
                </c:pt>
                <c:pt idx="288">
                  <c:v>3.4906753280000008E-2</c:v>
                </c:pt>
                <c:pt idx="289">
                  <c:v>3.4906753280000008E-2</c:v>
                </c:pt>
                <c:pt idx="290">
                  <c:v>3.4906753280000008E-2</c:v>
                </c:pt>
                <c:pt idx="291">
                  <c:v>3.4906753280000008E-2</c:v>
                </c:pt>
                <c:pt idx="292">
                  <c:v>3.4906753280000008E-2</c:v>
                </c:pt>
                <c:pt idx="293">
                  <c:v>3.4906753280000008E-2</c:v>
                </c:pt>
                <c:pt idx="294">
                  <c:v>3.4906753280000008E-2</c:v>
                </c:pt>
                <c:pt idx="295">
                  <c:v>3.4906753280000008E-2</c:v>
                </c:pt>
                <c:pt idx="296">
                  <c:v>3.4906753280000008E-2</c:v>
                </c:pt>
                <c:pt idx="297">
                  <c:v>3.4906753280000008E-2</c:v>
                </c:pt>
                <c:pt idx="298">
                  <c:v>3.4906753280000008E-2</c:v>
                </c:pt>
                <c:pt idx="299">
                  <c:v>3.4906753280000008E-2</c:v>
                </c:pt>
                <c:pt idx="300">
                  <c:v>3.4906753280000008E-2</c:v>
                </c:pt>
                <c:pt idx="301">
                  <c:v>3.4906753280000008E-2</c:v>
                </c:pt>
                <c:pt idx="302">
                  <c:v>3.4906753280000008E-2</c:v>
                </c:pt>
                <c:pt idx="303">
                  <c:v>3.4906753280000008E-2</c:v>
                </c:pt>
                <c:pt idx="304">
                  <c:v>3.4906753280000008E-2</c:v>
                </c:pt>
                <c:pt idx="305">
                  <c:v>3.4906753280000008E-2</c:v>
                </c:pt>
                <c:pt idx="306">
                  <c:v>3.4906753280000008E-2</c:v>
                </c:pt>
                <c:pt idx="307">
                  <c:v>3.4906753280000008E-2</c:v>
                </c:pt>
                <c:pt idx="308">
                  <c:v>3.4906753280000008E-2</c:v>
                </c:pt>
                <c:pt idx="309">
                  <c:v>3.4906753280000008E-2</c:v>
                </c:pt>
                <c:pt idx="310">
                  <c:v>3.4906753280000008E-2</c:v>
                </c:pt>
                <c:pt idx="311">
                  <c:v>3.4906753280000008E-2</c:v>
                </c:pt>
                <c:pt idx="312">
                  <c:v>3.4906753280000008E-2</c:v>
                </c:pt>
                <c:pt idx="313">
                  <c:v>3.4906753280000008E-2</c:v>
                </c:pt>
                <c:pt idx="314">
                  <c:v>3.4906753280000008E-2</c:v>
                </c:pt>
                <c:pt idx="315">
                  <c:v>3.4906753280000008E-2</c:v>
                </c:pt>
                <c:pt idx="316">
                  <c:v>3.4906753280000008E-2</c:v>
                </c:pt>
                <c:pt idx="317">
                  <c:v>3.4906753280000008E-2</c:v>
                </c:pt>
                <c:pt idx="318">
                  <c:v>3.4906753280000008E-2</c:v>
                </c:pt>
                <c:pt idx="319">
                  <c:v>3.4906753280000008E-2</c:v>
                </c:pt>
                <c:pt idx="320">
                  <c:v>3.4906753280000008E-2</c:v>
                </c:pt>
                <c:pt idx="321">
                  <c:v>3.4906753280000008E-2</c:v>
                </c:pt>
                <c:pt idx="322">
                  <c:v>3.4906753280000008E-2</c:v>
                </c:pt>
                <c:pt idx="323">
                  <c:v>3.4906753280000008E-2</c:v>
                </c:pt>
                <c:pt idx="324">
                  <c:v>3.4906753280000008E-2</c:v>
                </c:pt>
                <c:pt idx="325">
                  <c:v>3.4906753280000008E-2</c:v>
                </c:pt>
                <c:pt idx="326">
                  <c:v>3.4906753280000008E-2</c:v>
                </c:pt>
                <c:pt idx="327">
                  <c:v>3.4906753280000008E-2</c:v>
                </c:pt>
                <c:pt idx="328">
                  <c:v>3.4906753280000008E-2</c:v>
                </c:pt>
                <c:pt idx="329">
                  <c:v>3.4906753280000008E-2</c:v>
                </c:pt>
                <c:pt idx="330">
                  <c:v>3.4906753280000008E-2</c:v>
                </c:pt>
                <c:pt idx="331">
                  <c:v>3.4906753280000008E-2</c:v>
                </c:pt>
                <c:pt idx="332">
                  <c:v>3.4906753280000008E-2</c:v>
                </c:pt>
                <c:pt idx="333">
                  <c:v>3.4906753280000008E-2</c:v>
                </c:pt>
                <c:pt idx="334">
                  <c:v>3.4906753280000008E-2</c:v>
                </c:pt>
                <c:pt idx="335">
                  <c:v>3.4906753280000008E-2</c:v>
                </c:pt>
                <c:pt idx="336">
                  <c:v>3.4906753280000008E-2</c:v>
                </c:pt>
                <c:pt idx="337">
                  <c:v>3.4906753280000008E-2</c:v>
                </c:pt>
                <c:pt idx="338">
                  <c:v>3.4906753280000008E-2</c:v>
                </c:pt>
                <c:pt idx="339">
                  <c:v>3.4906753280000008E-2</c:v>
                </c:pt>
                <c:pt idx="340">
                  <c:v>3.4906753280000008E-2</c:v>
                </c:pt>
                <c:pt idx="341">
                  <c:v>3.4906753280000008E-2</c:v>
                </c:pt>
                <c:pt idx="342">
                  <c:v>3.4906753280000008E-2</c:v>
                </c:pt>
                <c:pt idx="343">
                  <c:v>3.4906753280000008E-2</c:v>
                </c:pt>
                <c:pt idx="344">
                  <c:v>3.4906753280000008E-2</c:v>
                </c:pt>
                <c:pt idx="345">
                  <c:v>3.4906753280000008E-2</c:v>
                </c:pt>
                <c:pt idx="346">
                  <c:v>3.4906753280000008E-2</c:v>
                </c:pt>
                <c:pt idx="347">
                  <c:v>3.4906753280000008E-2</c:v>
                </c:pt>
                <c:pt idx="348">
                  <c:v>3.4906753280000008E-2</c:v>
                </c:pt>
                <c:pt idx="349">
                  <c:v>3.4906753280000008E-2</c:v>
                </c:pt>
                <c:pt idx="350">
                  <c:v>3.4906753280000008E-2</c:v>
                </c:pt>
                <c:pt idx="351">
                  <c:v>3.4906753280000008E-2</c:v>
                </c:pt>
                <c:pt idx="352">
                  <c:v>3.4906753280000008E-2</c:v>
                </c:pt>
                <c:pt idx="353">
                  <c:v>3.4906753280000008E-2</c:v>
                </c:pt>
                <c:pt idx="354">
                  <c:v>3.4906753280000008E-2</c:v>
                </c:pt>
                <c:pt idx="355">
                  <c:v>3.4906753280000008E-2</c:v>
                </c:pt>
                <c:pt idx="356">
                  <c:v>3.4906753280000008E-2</c:v>
                </c:pt>
                <c:pt idx="357">
                  <c:v>3.4906753280000008E-2</c:v>
                </c:pt>
                <c:pt idx="358">
                  <c:v>3.4906753280000008E-2</c:v>
                </c:pt>
                <c:pt idx="359">
                  <c:v>3.4906753280000008E-2</c:v>
                </c:pt>
                <c:pt idx="360">
                  <c:v>3.4906753280000008E-2</c:v>
                </c:pt>
                <c:pt idx="361">
                  <c:v>3.4906753280000008E-2</c:v>
                </c:pt>
                <c:pt idx="362">
                  <c:v>3.4906753280000008E-2</c:v>
                </c:pt>
                <c:pt idx="363">
                  <c:v>3.4906753280000008E-2</c:v>
                </c:pt>
                <c:pt idx="364">
                  <c:v>3.4906753280000008E-2</c:v>
                </c:pt>
                <c:pt idx="365">
                  <c:v>3.4906753280000008E-2</c:v>
                </c:pt>
                <c:pt idx="366">
                  <c:v>3.4906753280000008E-2</c:v>
                </c:pt>
                <c:pt idx="367">
                  <c:v>3.4906753280000008E-2</c:v>
                </c:pt>
                <c:pt idx="368">
                  <c:v>#N/A</c:v>
                </c:pt>
                <c:pt idx="369">
                  <c:v>0.16082039904000001</c:v>
                </c:pt>
                <c:pt idx="370">
                  <c:v>0.16082039904000001</c:v>
                </c:pt>
                <c:pt idx="371">
                  <c:v>0.16082039904000001</c:v>
                </c:pt>
                <c:pt idx="372">
                  <c:v>0.16082039904000001</c:v>
                </c:pt>
                <c:pt idx="373">
                  <c:v>0.16082039904000001</c:v>
                </c:pt>
                <c:pt idx="374">
                  <c:v>0.16082039904000001</c:v>
                </c:pt>
                <c:pt idx="375">
                  <c:v>0.16082039904000001</c:v>
                </c:pt>
                <c:pt idx="376">
                  <c:v>0.16082039904000001</c:v>
                </c:pt>
                <c:pt idx="377">
                  <c:v>0.16082039904000001</c:v>
                </c:pt>
                <c:pt idx="378">
                  <c:v>0.16082039904000001</c:v>
                </c:pt>
                <c:pt idx="379">
                  <c:v>0.16082039904000001</c:v>
                </c:pt>
                <c:pt idx="380">
                  <c:v>0.16082039904000001</c:v>
                </c:pt>
                <c:pt idx="381">
                  <c:v>0.16082039904000001</c:v>
                </c:pt>
                <c:pt idx="382">
                  <c:v>0.16082039904000001</c:v>
                </c:pt>
                <c:pt idx="383">
                  <c:v>0.16082039904000001</c:v>
                </c:pt>
                <c:pt idx="384">
                  <c:v>0.16082039904000001</c:v>
                </c:pt>
                <c:pt idx="385">
                  <c:v>0.16082039904000001</c:v>
                </c:pt>
                <c:pt idx="386">
                  <c:v>0.16082039904000001</c:v>
                </c:pt>
                <c:pt idx="387">
                  <c:v>0.16082039904000001</c:v>
                </c:pt>
                <c:pt idx="388">
                  <c:v>0.16082039904000001</c:v>
                </c:pt>
                <c:pt idx="389">
                  <c:v>0.16082039904000001</c:v>
                </c:pt>
                <c:pt idx="390">
                  <c:v>0.16082039904000001</c:v>
                </c:pt>
                <c:pt idx="391">
                  <c:v>0.16082039904000001</c:v>
                </c:pt>
                <c:pt idx="392">
                  <c:v>0.16082039904000001</c:v>
                </c:pt>
                <c:pt idx="393">
                  <c:v>0.16082039904000001</c:v>
                </c:pt>
                <c:pt idx="394">
                  <c:v>0.16082039904000001</c:v>
                </c:pt>
                <c:pt idx="395">
                  <c:v>0.16082039904000001</c:v>
                </c:pt>
                <c:pt idx="396">
                  <c:v>0.16082039904000001</c:v>
                </c:pt>
                <c:pt idx="397">
                  <c:v>0.16082039904000001</c:v>
                </c:pt>
                <c:pt idx="398">
                  <c:v>0.16082039904000001</c:v>
                </c:pt>
                <c:pt idx="399">
                  <c:v>0.16082039904000001</c:v>
                </c:pt>
                <c:pt idx="400">
                  <c:v>0.16082039904000001</c:v>
                </c:pt>
                <c:pt idx="401">
                  <c:v>0.16082039904000001</c:v>
                </c:pt>
                <c:pt idx="402">
                  <c:v>0.16082039904000001</c:v>
                </c:pt>
                <c:pt idx="403">
                  <c:v>0.16082039904000001</c:v>
                </c:pt>
                <c:pt idx="404">
                  <c:v>0.16082039904000001</c:v>
                </c:pt>
                <c:pt idx="405">
                  <c:v>0.16082039904000001</c:v>
                </c:pt>
                <c:pt idx="406">
                  <c:v>0.16082039904000001</c:v>
                </c:pt>
                <c:pt idx="407">
                  <c:v>0.16082039904000001</c:v>
                </c:pt>
                <c:pt idx="408">
                  <c:v>0.16082039904000001</c:v>
                </c:pt>
                <c:pt idx="409">
                  <c:v>0.16082039904000001</c:v>
                </c:pt>
                <c:pt idx="410">
                  <c:v>0.16082039904000001</c:v>
                </c:pt>
                <c:pt idx="411">
                  <c:v>0.16082039904000001</c:v>
                </c:pt>
                <c:pt idx="412">
                  <c:v>0.16082039904000001</c:v>
                </c:pt>
                <c:pt idx="413">
                  <c:v>0.16082039904000001</c:v>
                </c:pt>
                <c:pt idx="414">
                  <c:v>0.16082039904000001</c:v>
                </c:pt>
                <c:pt idx="415">
                  <c:v>0.16082039904000001</c:v>
                </c:pt>
                <c:pt idx="416">
                  <c:v>0.16082039904000001</c:v>
                </c:pt>
                <c:pt idx="417">
                  <c:v>0.16082039904000001</c:v>
                </c:pt>
                <c:pt idx="418">
                  <c:v>0.16082039904000001</c:v>
                </c:pt>
                <c:pt idx="419">
                  <c:v>0.16082039904000001</c:v>
                </c:pt>
                <c:pt idx="420">
                  <c:v>0.16082039904000001</c:v>
                </c:pt>
                <c:pt idx="421">
                  <c:v>0.16082039904000001</c:v>
                </c:pt>
                <c:pt idx="422">
                  <c:v>0.16082039904000001</c:v>
                </c:pt>
                <c:pt idx="423">
                  <c:v>0.16082039904000001</c:v>
                </c:pt>
                <c:pt idx="424">
                  <c:v>0.16082039904000001</c:v>
                </c:pt>
                <c:pt idx="425">
                  <c:v>0.16082039904000001</c:v>
                </c:pt>
                <c:pt idx="426">
                  <c:v>0.16082039904000001</c:v>
                </c:pt>
                <c:pt idx="427">
                  <c:v>0.16082039904000001</c:v>
                </c:pt>
                <c:pt idx="428">
                  <c:v>0.16082039904000001</c:v>
                </c:pt>
                <c:pt idx="429">
                  <c:v>0.16082039904000001</c:v>
                </c:pt>
                <c:pt idx="430">
                  <c:v>0.16082039904000001</c:v>
                </c:pt>
                <c:pt idx="431">
                  <c:v>0.16082039904000001</c:v>
                </c:pt>
                <c:pt idx="432">
                  <c:v>0.16082039904000001</c:v>
                </c:pt>
                <c:pt idx="433">
                  <c:v>0.16082039904000001</c:v>
                </c:pt>
                <c:pt idx="434">
                  <c:v>0.16082039904000001</c:v>
                </c:pt>
                <c:pt idx="435">
                  <c:v>0.16082039904000001</c:v>
                </c:pt>
                <c:pt idx="436">
                  <c:v>0.16082039904000001</c:v>
                </c:pt>
                <c:pt idx="437">
                  <c:v>0.16082039904000001</c:v>
                </c:pt>
                <c:pt idx="438">
                  <c:v>0.16082039904000001</c:v>
                </c:pt>
                <c:pt idx="439">
                  <c:v>0.16082039904000001</c:v>
                </c:pt>
                <c:pt idx="440">
                  <c:v>0.16082039904000001</c:v>
                </c:pt>
                <c:pt idx="441">
                  <c:v>0.16082039904000001</c:v>
                </c:pt>
                <c:pt idx="442">
                  <c:v>0.16082039904000001</c:v>
                </c:pt>
                <c:pt idx="443">
                  <c:v>0.16082039904000001</c:v>
                </c:pt>
                <c:pt idx="444">
                  <c:v>0.16082039904000001</c:v>
                </c:pt>
                <c:pt idx="445">
                  <c:v>0.16082039904000001</c:v>
                </c:pt>
                <c:pt idx="446">
                  <c:v>0.16082039904000001</c:v>
                </c:pt>
                <c:pt idx="447">
                  <c:v>0.16082039904000001</c:v>
                </c:pt>
                <c:pt idx="448">
                  <c:v>0.16082039904000001</c:v>
                </c:pt>
                <c:pt idx="449">
                  <c:v>0.16082039904000001</c:v>
                </c:pt>
                <c:pt idx="450">
                  <c:v>0.16082039904000001</c:v>
                </c:pt>
                <c:pt idx="451">
                  <c:v>0.16082039904000001</c:v>
                </c:pt>
                <c:pt idx="452">
                  <c:v>0.16082039904000001</c:v>
                </c:pt>
                <c:pt idx="453">
                  <c:v>0.16082039904000001</c:v>
                </c:pt>
                <c:pt idx="454">
                  <c:v>0.16082039904000001</c:v>
                </c:pt>
                <c:pt idx="455">
                  <c:v>0.16082039904000001</c:v>
                </c:pt>
                <c:pt idx="456">
                  <c:v>0.16082039904000001</c:v>
                </c:pt>
                <c:pt idx="457">
                  <c:v>0.16082039904000001</c:v>
                </c:pt>
                <c:pt idx="458">
                  <c:v>0.16082039904000001</c:v>
                </c:pt>
                <c:pt idx="459">
                  <c:v>0.16082039904000001</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numCache>
            </c:numRef>
          </c:val>
          <c:extLst>
            <c:ext xmlns:c16="http://schemas.microsoft.com/office/drawing/2014/chart" uri="{C3380CC4-5D6E-409C-BE32-E72D297353CC}">
              <c16:uniqueId val="{00000000-5115-49A2-9A80-4D4E2D00519A}"/>
            </c:ext>
          </c:extLst>
        </c:ser>
        <c:ser>
          <c:idx val="3"/>
          <c:order val="1"/>
          <c:tx>
            <c:strRef>
              <c:f>Sandsynlighed!$AM$12</c:f>
              <c:strCache>
                <c:ptCount val="1"/>
                <c:pt idx="0">
                  <c:v>Midt</c:v>
                </c:pt>
              </c:strCache>
            </c:strRef>
          </c:tx>
          <c:spPr>
            <a:solidFill>
              <a:schemeClr val="accent4"/>
            </a:solidFill>
            <a:ln>
              <a:noFill/>
            </a:ln>
            <a:effectLst/>
          </c:spPr>
          <c:cat>
            <c:strRef>
              <c:f>Sandsynlighed!$AO$13:$AO$663</c:f>
              <c:strCache>
                <c:ptCount val="599"/>
                <c:pt idx="46">
                  <c:v>0</c:v>
                </c:pt>
                <c:pt idx="138">
                  <c:v>1</c:v>
                </c:pt>
                <c:pt idx="230">
                  <c:v>2</c:v>
                </c:pt>
                <c:pt idx="322">
                  <c:v>3</c:v>
                </c:pt>
                <c:pt idx="414">
                  <c:v>4</c:v>
                </c:pt>
                <c:pt idx="506">
                  <c:v>5</c:v>
                </c:pt>
                <c:pt idx="598">
                  <c:v>6</c:v>
                </c:pt>
              </c:strCache>
            </c:strRef>
          </c:cat>
          <c:val>
            <c:numRef>
              <c:f>Sandsynlighed!$AM$13:$AM$663</c:f>
              <c:numCache>
                <c:formatCode>General</c:formatCode>
                <c:ptCount val="6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0.39515869478400001</c:v>
                </c:pt>
                <c:pt idx="462">
                  <c:v>0.39515869478400001</c:v>
                </c:pt>
                <c:pt idx="463">
                  <c:v>0.39515869478400001</c:v>
                </c:pt>
                <c:pt idx="464">
                  <c:v>0.39515869478400001</c:v>
                </c:pt>
                <c:pt idx="465">
                  <c:v>0.39515869478400001</c:v>
                </c:pt>
                <c:pt idx="466">
                  <c:v>0.39515869478400001</c:v>
                </c:pt>
                <c:pt idx="467">
                  <c:v>0.39515869478400001</c:v>
                </c:pt>
                <c:pt idx="468">
                  <c:v>0.39515869478400001</c:v>
                </c:pt>
                <c:pt idx="469">
                  <c:v>0.39515869478400001</c:v>
                </c:pt>
                <c:pt idx="470">
                  <c:v>0.39515869478400001</c:v>
                </c:pt>
                <c:pt idx="471">
                  <c:v>0.39515869478400001</c:v>
                </c:pt>
                <c:pt idx="472">
                  <c:v>0.39515869478400001</c:v>
                </c:pt>
                <c:pt idx="473">
                  <c:v>0.39515869478400001</c:v>
                </c:pt>
                <c:pt idx="474">
                  <c:v>0.39515869478400001</c:v>
                </c:pt>
                <c:pt idx="475">
                  <c:v>0.39515869478400001</c:v>
                </c:pt>
                <c:pt idx="476">
                  <c:v>0.39515869478400001</c:v>
                </c:pt>
                <c:pt idx="477">
                  <c:v>0.39515869478400001</c:v>
                </c:pt>
                <c:pt idx="478">
                  <c:v>0.39515869478400001</c:v>
                </c:pt>
                <c:pt idx="479">
                  <c:v>0.39515869478400001</c:v>
                </c:pt>
                <c:pt idx="480">
                  <c:v>0.39515869478400001</c:v>
                </c:pt>
                <c:pt idx="481">
                  <c:v>0.39515869478400001</c:v>
                </c:pt>
                <c:pt idx="482">
                  <c:v>0.39515869478400001</c:v>
                </c:pt>
                <c:pt idx="483">
                  <c:v>0.39515869478400001</c:v>
                </c:pt>
                <c:pt idx="484">
                  <c:v>0.39515869478400001</c:v>
                </c:pt>
                <c:pt idx="485">
                  <c:v>0.39515869478400001</c:v>
                </c:pt>
                <c:pt idx="486">
                  <c:v>0.39515869478400001</c:v>
                </c:pt>
                <c:pt idx="487">
                  <c:v>0.39515869478400001</c:v>
                </c:pt>
                <c:pt idx="488">
                  <c:v>0.39515869478400001</c:v>
                </c:pt>
                <c:pt idx="489">
                  <c:v>0.39515869478400001</c:v>
                </c:pt>
                <c:pt idx="490">
                  <c:v>0.39515869478400001</c:v>
                </c:pt>
                <c:pt idx="491">
                  <c:v>0.39515869478400001</c:v>
                </c:pt>
                <c:pt idx="492">
                  <c:v>0.39515869478400001</c:v>
                </c:pt>
                <c:pt idx="493">
                  <c:v>0.39515869478400001</c:v>
                </c:pt>
                <c:pt idx="494">
                  <c:v>0.39515869478400001</c:v>
                </c:pt>
                <c:pt idx="495">
                  <c:v>0.39515869478400001</c:v>
                </c:pt>
                <c:pt idx="496">
                  <c:v>0.39515869478400001</c:v>
                </c:pt>
                <c:pt idx="497">
                  <c:v>0.39515869478400001</c:v>
                </c:pt>
                <c:pt idx="498">
                  <c:v>0.39515869478400001</c:v>
                </c:pt>
                <c:pt idx="499">
                  <c:v>0.39515869478400001</c:v>
                </c:pt>
                <c:pt idx="500">
                  <c:v>0.39515869478400001</c:v>
                </c:pt>
                <c:pt idx="501">
                  <c:v>0.39515869478400001</c:v>
                </c:pt>
                <c:pt idx="502">
                  <c:v>0.39515869478400001</c:v>
                </c:pt>
                <c:pt idx="503">
                  <c:v>0.39515869478400001</c:v>
                </c:pt>
                <c:pt idx="504">
                  <c:v>0.39515869478400001</c:v>
                </c:pt>
                <c:pt idx="505">
                  <c:v>0.39515869478400001</c:v>
                </c:pt>
                <c:pt idx="506">
                  <c:v>0.39515869478400001</c:v>
                </c:pt>
                <c:pt idx="507">
                  <c:v>0.39515869478400001</c:v>
                </c:pt>
                <c:pt idx="508">
                  <c:v>0.39515869478400001</c:v>
                </c:pt>
                <c:pt idx="509">
                  <c:v>0.39515869478400001</c:v>
                </c:pt>
                <c:pt idx="510">
                  <c:v>0.39515869478400001</c:v>
                </c:pt>
                <c:pt idx="511">
                  <c:v>0.39515869478400001</c:v>
                </c:pt>
                <c:pt idx="512">
                  <c:v>0.39515869478400001</c:v>
                </c:pt>
                <c:pt idx="513">
                  <c:v>0.39515869478400001</c:v>
                </c:pt>
                <c:pt idx="514">
                  <c:v>0.39515869478400001</c:v>
                </c:pt>
                <c:pt idx="515">
                  <c:v>0.39515869478400001</c:v>
                </c:pt>
                <c:pt idx="516">
                  <c:v>0.39515869478400001</c:v>
                </c:pt>
                <c:pt idx="517">
                  <c:v>0.39515869478400001</c:v>
                </c:pt>
                <c:pt idx="518">
                  <c:v>0.39515869478400001</c:v>
                </c:pt>
                <c:pt idx="519">
                  <c:v>0.39515869478400001</c:v>
                </c:pt>
                <c:pt idx="520">
                  <c:v>0.39515869478400001</c:v>
                </c:pt>
                <c:pt idx="521">
                  <c:v>0.39515869478400001</c:v>
                </c:pt>
                <c:pt idx="522">
                  <c:v>0.39515869478400001</c:v>
                </c:pt>
                <c:pt idx="523">
                  <c:v>0.39515869478400001</c:v>
                </c:pt>
                <c:pt idx="524">
                  <c:v>0.39515869478400001</c:v>
                </c:pt>
                <c:pt idx="525">
                  <c:v>0.39515869478400001</c:v>
                </c:pt>
                <c:pt idx="526">
                  <c:v>0.39515869478400001</c:v>
                </c:pt>
                <c:pt idx="527">
                  <c:v>0.39515869478400001</c:v>
                </c:pt>
                <c:pt idx="528">
                  <c:v>0.39515869478400001</c:v>
                </c:pt>
                <c:pt idx="529">
                  <c:v>0.39515869478400001</c:v>
                </c:pt>
                <c:pt idx="530">
                  <c:v>0.39515869478400001</c:v>
                </c:pt>
                <c:pt idx="531">
                  <c:v>0.39515869478400001</c:v>
                </c:pt>
                <c:pt idx="532">
                  <c:v>0.39515869478400001</c:v>
                </c:pt>
                <c:pt idx="533">
                  <c:v>0.39515869478400001</c:v>
                </c:pt>
                <c:pt idx="534">
                  <c:v>0.39515869478400001</c:v>
                </c:pt>
                <c:pt idx="535">
                  <c:v>0.39515869478400001</c:v>
                </c:pt>
                <c:pt idx="536">
                  <c:v>0.39515869478400001</c:v>
                </c:pt>
                <c:pt idx="537">
                  <c:v>0.39515869478400001</c:v>
                </c:pt>
                <c:pt idx="538">
                  <c:v>0.39515869478400001</c:v>
                </c:pt>
                <c:pt idx="539">
                  <c:v>0.39515869478400001</c:v>
                </c:pt>
                <c:pt idx="540">
                  <c:v>0.39515869478400001</c:v>
                </c:pt>
                <c:pt idx="541">
                  <c:v>0.39515869478400001</c:v>
                </c:pt>
                <c:pt idx="542">
                  <c:v>0.39515869478400001</c:v>
                </c:pt>
                <c:pt idx="543">
                  <c:v>0.39515869478400001</c:v>
                </c:pt>
                <c:pt idx="544">
                  <c:v>0.39515869478400001</c:v>
                </c:pt>
                <c:pt idx="545">
                  <c:v>0.39515869478400001</c:v>
                </c:pt>
                <c:pt idx="546">
                  <c:v>0.39515869478400001</c:v>
                </c:pt>
                <c:pt idx="547">
                  <c:v>0.39515869478400001</c:v>
                </c:pt>
                <c:pt idx="548">
                  <c:v>0.39515869478400001</c:v>
                </c:pt>
                <c:pt idx="549">
                  <c:v>0.39515869478400001</c:v>
                </c:pt>
                <c:pt idx="550">
                  <c:v>0.39515869478400001</c:v>
                </c:pt>
                <c:pt idx="551">
                  <c:v>0.39515869478400001</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numCache>
            </c:numRef>
          </c:val>
          <c:extLst>
            <c:ext xmlns:c16="http://schemas.microsoft.com/office/drawing/2014/chart" uri="{C3380CC4-5D6E-409C-BE32-E72D297353CC}">
              <c16:uniqueId val="{00000005-5115-49A2-9A80-4D4E2D00519A}"/>
            </c:ext>
          </c:extLst>
        </c:ser>
        <c:ser>
          <c:idx val="1"/>
          <c:order val="2"/>
          <c:tx>
            <c:strRef>
              <c:f>Sandsynlighed!$AN$12</c:f>
              <c:strCache>
                <c:ptCount val="1"/>
                <c:pt idx="0">
                  <c:v>Højre</c:v>
                </c:pt>
              </c:strCache>
            </c:strRef>
          </c:tx>
          <c:spPr>
            <a:solidFill>
              <a:schemeClr val="accent2"/>
            </a:solidFill>
            <a:ln w="25400">
              <a:noFill/>
            </a:ln>
            <a:effectLst/>
          </c:spPr>
          <c:cat>
            <c:strRef>
              <c:f>Sandsynlighed!$AO$13:$AO$663</c:f>
              <c:strCache>
                <c:ptCount val="599"/>
                <c:pt idx="46">
                  <c:v>0</c:v>
                </c:pt>
                <c:pt idx="138">
                  <c:v>1</c:v>
                </c:pt>
                <c:pt idx="230">
                  <c:v>2</c:v>
                </c:pt>
                <c:pt idx="322">
                  <c:v>3</c:v>
                </c:pt>
                <c:pt idx="414">
                  <c:v>4</c:v>
                </c:pt>
                <c:pt idx="506">
                  <c:v>5</c:v>
                </c:pt>
                <c:pt idx="598">
                  <c:v>6</c:v>
                </c:pt>
              </c:strCache>
            </c:strRef>
          </c:cat>
          <c:val>
            <c:numRef>
              <c:f>Sandsynlighed!$AN$13:$AN$663</c:f>
              <c:numCache>
                <c:formatCode>General</c:formatCode>
                <c:ptCount val="6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0.40456723513599996</c:v>
                </c:pt>
                <c:pt idx="554">
                  <c:v>0.40456723513599996</c:v>
                </c:pt>
                <c:pt idx="555">
                  <c:v>0.40456723513599996</c:v>
                </c:pt>
                <c:pt idx="556">
                  <c:v>0.40456723513599996</c:v>
                </c:pt>
                <c:pt idx="557">
                  <c:v>0.40456723513599996</c:v>
                </c:pt>
                <c:pt idx="558">
                  <c:v>0.40456723513599996</c:v>
                </c:pt>
                <c:pt idx="559">
                  <c:v>0.40456723513599996</c:v>
                </c:pt>
                <c:pt idx="560">
                  <c:v>0.40456723513599996</c:v>
                </c:pt>
                <c:pt idx="561">
                  <c:v>0.40456723513599996</c:v>
                </c:pt>
                <c:pt idx="562">
                  <c:v>0.40456723513599996</c:v>
                </c:pt>
                <c:pt idx="563">
                  <c:v>0.40456723513599996</c:v>
                </c:pt>
                <c:pt idx="564">
                  <c:v>0.40456723513599996</c:v>
                </c:pt>
                <c:pt idx="565">
                  <c:v>0.40456723513599996</c:v>
                </c:pt>
                <c:pt idx="566">
                  <c:v>0.40456723513599996</c:v>
                </c:pt>
                <c:pt idx="567">
                  <c:v>0.40456723513599996</c:v>
                </c:pt>
                <c:pt idx="568">
                  <c:v>0.40456723513599996</c:v>
                </c:pt>
                <c:pt idx="569">
                  <c:v>0.40456723513599996</c:v>
                </c:pt>
                <c:pt idx="570">
                  <c:v>0.40456723513599996</c:v>
                </c:pt>
                <c:pt idx="571">
                  <c:v>0.40456723513599996</c:v>
                </c:pt>
                <c:pt idx="572">
                  <c:v>0.40456723513599996</c:v>
                </c:pt>
                <c:pt idx="573">
                  <c:v>0.40456723513599996</c:v>
                </c:pt>
                <c:pt idx="574">
                  <c:v>0.40456723513599996</c:v>
                </c:pt>
                <c:pt idx="575">
                  <c:v>0.40456723513599996</c:v>
                </c:pt>
                <c:pt idx="576">
                  <c:v>0.40456723513599996</c:v>
                </c:pt>
                <c:pt idx="577">
                  <c:v>0.40456723513599996</c:v>
                </c:pt>
                <c:pt idx="578">
                  <c:v>0.40456723513599996</c:v>
                </c:pt>
                <c:pt idx="579">
                  <c:v>0.40456723513599996</c:v>
                </c:pt>
                <c:pt idx="580">
                  <c:v>0.40456723513599996</c:v>
                </c:pt>
                <c:pt idx="581">
                  <c:v>0.40456723513599996</c:v>
                </c:pt>
                <c:pt idx="582">
                  <c:v>0.40456723513599996</c:v>
                </c:pt>
                <c:pt idx="583">
                  <c:v>0.40456723513599996</c:v>
                </c:pt>
                <c:pt idx="584">
                  <c:v>0.40456723513599996</c:v>
                </c:pt>
                <c:pt idx="585">
                  <c:v>0.40456723513599996</c:v>
                </c:pt>
                <c:pt idx="586">
                  <c:v>0.40456723513599996</c:v>
                </c:pt>
                <c:pt idx="587">
                  <c:v>0.40456723513599996</c:v>
                </c:pt>
                <c:pt idx="588">
                  <c:v>0.40456723513599996</c:v>
                </c:pt>
                <c:pt idx="589">
                  <c:v>0.40456723513599996</c:v>
                </c:pt>
                <c:pt idx="590">
                  <c:v>0.40456723513599996</c:v>
                </c:pt>
                <c:pt idx="591">
                  <c:v>0.40456723513599996</c:v>
                </c:pt>
                <c:pt idx="592">
                  <c:v>0.40456723513599996</c:v>
                </c:pt>
                <c:pt idx="593">
                  <c:v>0.40456723513599996</c:v>
                </c:pt>
                <c:pt idx="594">
                  <c:v>0.40456723513599996</c:v>
                </c:pt>
                <c:pt idx="595">
                  <c:v>0.40456723513599996</c:v>
                </c:pt>
                <c:pt idx="596">
                  <c:v>0.40456723513599996</c:v>
                </c:pt>
                <c:pt idx="597">
                  <c:v>0.40456723513599996</c:v>
                </c:pt>
                <c:pt idx="598">
                  <c:v>0.40456723513599996</c:v>
                </c:pt>
                <c:pt idx="599">
                  <c:v>0.40456723513599996</c:v>
                </c:pt>
                <c:pt idx="600">
                  <c:v>0.40456723513599996</c:v>
                </c:pt>
                <c:pt idx="601">
                  <c:v>0.40456723513599996</c:v>
                </c:pt>
                <c:pt idx="602">
                  <c:v>0.40456723513599996</c:v>
                </c:pt>
                <c:pt idx="603">
                  <c:v>0.40456723513599996</c:v>
                </c:pt>
                <c:pt idx="604">
                  <c:v>0.40456723513599996</c:v>
                </c:pt>
                <c:pt idx="605">
                  <c:v>0.40456723513599996</c:v>
                </c:pt>
                <c:pt idx="606">
                  <c:v>0.40456723513599996</c:v>
                </c:pt>
                <c:pt idx="607">
                  <c:v>0.40456723513599996</c:v>
                </c:pt>
                <c:pt idx="608">
                  <c:v>0.40456723513599996</c:v>
                </c:pt>
                <c:pt idx="609">
                  <c:v>0.40456723513599996</c:v>
                </c:pt>
                <c:pt idx="610">
                  <c:v>0.40456723513599996</c:v>
                </c:pt>
                <c:pt idx="611">
                  <c:v>0.40456723513599996</c:v>
                </c:pt>
                <c:pt idx="612">
                  <c:v>0.40456723513599996</c:v>
                </c:pt>
                <c:pt idx="613">
                  <c:v>0.40456723513599996</c:v>
                </c:pt>
                <c:pt idx="614">
                  <c:v>0.40456723513599996</c:v>
                </c:pt>
                <c:pt idx="615">
                  <c:v>0.40456723513599996</c:v>
                </c:pt>
                <c:pt idx="616">
                  <c:v>0.40456723513599996</c:v>
                </c:pt>
                <c:pt idx="617">
                  <c:v>0.40456723513599996</c:v>
                </c:pt>
                <c:pt idx="618">
                  <c:v>0.40456723513599996</c:v>
                </c:pt>
                <c:pt idx="619">
                  <c:v>0.40456723513599996</c:v>
                </c:pt>
                <c:pt idx="620">
                  <c:v>0.40456723513599996</c:v>
                </c:pt>
                <c:pt idx="621">
                  <c:v>0.40456723513599996</c:v>
                </c:pt>
                <c:pt idx="622">
                  <c:v>0.40456723513599996</c:v>
                </c:pt>
                <c:pt idx="623">
                  <c:v>0.40456723513599996</c:v>
                </c:pt>
                <c:pt idx="624">
                  <c:v>0.40456723513599996</c:v>
                </c:pt>
                <c:pt idx="625">
                  <c:v>0.40456723513599996</c:v>
                </c:pt>
                <c:pt idx="626">
                  <c:v>0.40456723513599996</c:v>
                </c:pt>
                <c:pt idx="627">
                  <c:v>0.40456723513599996</c:v>
                </c:pt>
                <c:pt idx="628">
                  <c:v>0.40456723513599996</c:v>
                </c:pt>
                <c:pt idx="629">
                  <c:v>0.40456723513599996</c:v>
                </c:pt>
                <c:pt idx="630">
                  <c:v>0.40456723513599996</c:v>
                </c:pt>
                <c:pt idx="631">
                  <c:v>0.40456723513599996</c:v>
                </c:pt>
                <c:pt idx="632">
                  <c:v>0.40456723513599996</c:v>
                </c:pt>
                <c:pt idx="633">
                  <c:v>0.40456723513599996</c:v>
                </c:pt>
                <c:pt idx="634">
                  <c:v>0.40456723513599996</c:v>
                </c:pt>
                <c:pt idx="635">
                  <c:v>0.40456723513599996</c:v>
                </c:pt>
                <c:pt idx="636">
                  <c:v>0.40456723513599996</c:v>
                </c:pt>
                <c:pt idx="637">
                  <c:v>0.40456723513599996</c:v>
                </c:pt>
                <c:pt idx="638">
                  <c:v>0.40456723513599996</c:v>
                </c:pt>
                <c:pt idx="639">
                  <c:v>0.40456723513599996</c:v>
                </c:pt>
                <c:pt idx="640">
                  <c:v>0.40456723513599996</c:v>
                </c:pt>
                <c:pt idx="641">
                  <c:v>0.40456723513599996</c:v>
                </c:pt>
                <c:pt idx="642">
                  <c:v>0.40456723513599996</c:v>
                </c:pt>
                <c:pt idx="643">
                  <c:v>0.40456723513599996</c:v>
                </c:pt>
                <c:pt idx="644">
                  <c:v>#N/A</c:v>
                </c:pt>
                <c:pt idx="645">
                  <c:v>#N/A</c:v>
                </c:pt>
                <c:pt idx="646">
                  <c:v>#N/A</c:v>
                </c:pt>
                <c:pt idx="647">
                  <c:v>#N/A</c:v>
                </c:pt>
                <c:pt idx="648">
                  <c:v>#N/A</c:v>
                </c:pt>
                <c:pt idx="649">
                  <c:v>#N/A</c:v>
                </c:pt>
                <c:pt idx="650">
                  <c:v>#N/A</c:v>
                </c:pt>
              </c:numCache>
            </c:numRef>
          </c:val>
          <c:extLst>
            <c:ext xmlns:c16="http://schemas.microsoft.com/office/drawing/2014/chart" uri="{C3380CC4-5D6E-409C-BE32-E72D297353CC}">
              <c16:uniqueId val="{00000001-5115-49A2-9A80-4D4E2D00519A}"/>
            </c:ext>
          </c:extLst>
        </c:ser>
        <c:dLbls>
          <c:showLegendKey val="0"/>
          <c:showVal val="0"/>
          <c:showCatName val="0"/>
          <c:showSerName val="0"/>
          <c:showPercent val="0"/>
          <c:showBubbleSize val="0"/>
        </c:dLbls>
        <c:axId val="2085993312"/>
        <c:axId val="2125624672"/>
      </c:areaChart>
      <c:scatterChart>
        <c:scatterStyle val="lineMarker"/>
        <c:varyColors val="0"/>
        <c:ser>
          <c:idx val="2"/>
          <c:order val="3"/>
          <c:tx>
            <c:strRef>
              <c:f>Sandsynlighed!$AN$4</c:f>
              <c:strCache>
                <c:ptCount val="1"/>
                <c:pt idx="0">
                  <c:v>20.027%
mindre end 5</c:v>
                </c:pt>
              </c:strCache>
            </c:strRef>
          </c:tx>
          <c:spPr>
            <a:ln w="28575" cap="rnd">
              <a:solidFill>
                <a:schemeClr val="accent3"/>
              </a:solidFill>
              <a:round/>
            </a:ln>
            <a:effectLst/>
          </c:spPr>
          <c:marker>
            <c:symbol val="none"/>
          </c:marker>
          <c:dLbls>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Sandsynlighed!$AN$7</c:f>
              <c:numCache>
                <c:formatCode>General</c:formatCode>
                <c:ptCount val="1"/>
                <c:pt idx="0">
                  <c:v>231</c:v>
                </c:pt>
              </c:numCache>
            </c:numRef>
          </c:xVal>
          <c:yVal>
            <c:numRef>
              <c:f>Sandsynlighed!$AP$4</c:f>
              <c:numCache>
                <c:formatCode>General</c:formatCode>
                <c:ptCount val="1"/>
                <c:pt idx="0">
                  <c:v>4.261871040000002E-3</c:v>
                </c:pt>
              </c:numCache>
            </c:numRef>
          </c:yVal>
          <c:smooth val="0"/>
          <c:extLst>
            <c:ext xmlns:c16="http://schemas.microsoft.com/office/drawing/2014/chart" uri="{C3380CC4-5D6E-409C-BE32-E72D297353CC}">
              <c16:uniqueId val="{00000003-5115-49A2-9A80-4D4E2D00519A}"/>
            </c:ext>
          </c:extLst>
        </c:ser>
        <c:ser>
          <c:idx val="5"/>
          <c:order val="4"/>
          <c:tx>
            <c:strRef>
              <c:f>Sandsynlighed!$AN$5</c:f>
              <c:strCache>
                <c:ptCount val="1"/>
                <c:pt idx="0">
                  <c:v>39.516%
lig med 5</c:v>
                </c:pt>
              </c:strCache>
            </c:strRef>
          </c:tx>
          <c:spPr>
            <a:ln w="28575" cap="rnd">
              <a:solidFill>
                <a:schemeClr val="accent6"/>
              </a:solidFill>
              <a:round/>
            </a:ln>
            <a:effectLst/>
          </c:spPr>
          <c:marker>
            <c:symbol val="none"/>
          </c:marker>
          <c:dLbls>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Sandsynlighed!$AN$8</c:f>
              <c:numCache>
                <c:formatCode>General</c:formatCode>
                <c:ptCount val="1"/>
                <c:pt idx="0">
                  <c:v>507</c:v>
                </c:pt>
              </c:numCache>
            </c:numRef>
          </c:xVal>
          <c:yVal>
            <c:numRef>
              <c:f>Sandsynlighed!$AP$5</c:f>
              <c:numCache>
                <c:formatCode>General</c:formatCode>
                <c:ptCount val="1"/>
                <c:pt idx="0">
                  <c:v>0.39515869478400001</c:v>
                </c:pt>
              </c:numCache>
            </c:numRef>
          </c:yVal>
          <c:smooth val="0"/>
          <c:extLst>
            <c:ext xmlns:c16="http://schemas.microsoft.com/office/drawing/2014/chart" uri="{C3380CC4-5D6E-409C-BE32-E72D297353CC}">
              <c16:uniqueId val="{00000006-5115-49A2-9A80-4D4E2D00519A}"/>
            </c:ext>
          </c:extLst>
        </c:ser>
        <c:ser>
          <c:idx val="4"/>
          <c:order val="5"/>
          <c:tx>
            <c:strRef>
              <c:f>Sandsynlighed!$AN$6</c:f>
              <c:strCache>
                <c:ptCount val="1"/>
                <c:pt idx="0">
                  <c:v>40.457%
større end 5</c:v>
                </c:pt>
              </c:strCache>
            </c:strRef>
          </c:tx>
          <c:spPr>
            <a:ln w="28575" cap="rnd">
              <a:solidFill>
                <a:schemeClr val="accent5"/>
              </a:solidFill>
              <a:round/>
            </a:ln>
            <a:effectLst/>
          </c:spPr>
          <c:marker>
            <c:symbol val="none"/>
          </c:marker>
          <c:dLbls>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Sandsynlighed!$AN$9</c:f>
              <c:numCache>
                <c:formatCode>General</c:formatCode>
                <c:ptCount val="1"/>
                <c:pt idx="0">
                  <c:v>599</c:v>
                </c:pt>
              </c:numCache>
            </c:numRef>
          </c:xVal>
          <c:yVal>
            <c:numRef>
              <c:f>Sandsynlighed!$AP$6</c:f>
              <c:numCache>
                <c:formatCode>General</c:formatCode>
                <c:ptCount val="1"/>
                <c:pt idx="0">
                  <c:v>0.40456723513599996</c:v>
                </c:pt>
              </c:numCache>
            </c:numRef>
          </c:yVal>
          <c:smooth val="0"/>
          <c:extLst>
            <c:ext xmlns:c16="http://schemas.microsoft.com/office/drawing/2014/chart" uri="{C3380CC4-5D6E-409C-BE32-E72D297353CC}">
              <c16:uniqueId val="{00000004-5115-49A2-9A80-4D4E2D00519A}"/>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Sandsynlighed!$U$10</c:f>
          <c:strCache>
            <c:ptCount val="1"/>
            <c:pt idx="0">
              <c:v>Normalfordeling
(Gennemsnit: 20 ; Standardafvigelse: 4)
x = 45.445 P(x) = 100%</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9605539697501607"/>
          <c:w val="0.7982489213142222"/>
          <c:h val="0.45222910206406358"/>
        </c:manualLayout>
      </c:layout>
      <c:areaChart>
        <c:grouping val="standard"/>
        <c:varyColors val="0"/>
        <c:ser>
          <c:idx val="0"/>
          <c:order val="0"/>
          <c:tx>
            <c:strRef>
              <c:f>Sandsynlighed!$Z$12</c:f>
              <c:strCache>
                <c:ptCount val="1"/>
                <c:pt idx="0">
                  <c:v>Venstre</c:v>
                </c:pt>
              </c:strCache>
            </c:strRef>
          </c:tx>
          <c:spPr>
            <a:solidFill>
              <a:schemeClr val="accent1"/>
            </a:solidFill>
            <a:ln w="25400">
              <a:noFill/>
            </a:ln>
            <a:effectLst/>
          </c:spPr>
          <c:cat>
            <c:strRef>
              <c:f>Sandsynlighed!$AB$13:$AB$296</c:f>
              <c:strCache>
                <c:ptCount val="255"/>
                <c:pt idx="4">
                  <c:v>8.022</c:v>
                </c:pt>
                <c:pt idx="46">
                  <c:v>12.047</c:v>
                </c:pt>
                <c:pt idx="87">
                  <c:v>15.976</c:v>
                </c:pt>
                <c:pt idx="129">
                  <c:v>20.000</c:v>
                </c:pt>
                <c:pt idx="171">
                  <c:v>24.024</c:v>
                </c:pt>
                <c:pt idx="212">
                  <c:v>27.953</c:v>
                </c:pt>
                <c:pt idx="254">
                  <c:v>31.978</c:v>
                </c:pt>
              </c:strCache>
            </c:strRef>
          </c:cat>
          <c:val>
            <c:numRef>
              <c:f>Sandsynlighed!$Z$13:$Z$296</c:f>
              <c:numCache>
                <c:formatCode>General</c:formatCode>
                <c:ptCount val="284"/>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CC5A-4391-AE19-3DDCFA65A5F9}"/>
            </c:ext>
          </c:extLst>
        </c:ser>
        <c:ser>
          <c:idx val="1"/>
          <c:order val="1"/>
          <c:tx>
            <c:strRef>
              <c:f>Sandsynlighed!$AA$12</c:f>
              <c:strCache>
                <c:ptCount val="1"/>
                <c:pt idx="0">
                  <c:v>Højre</c:v>
                </c:pt>
              </c:strCache>
            </c:strRef>
          </c:tx>
          <c:spPr>
            <a:solidFill>
              <a:schemeClr val="accent2"/>
            </a:solidFill>
            <a:ln w="25400">
              <a:noFill/>
            </a:ln>
            <a:effectLst/>
          </c:spPr>
          <c:cat>
            <c:strRef>
              <c:f>Sandsynlighed!$AB$13:$AB$296</c:f>
              <c:strCache>
                <c:ptCount val="255"/>
                <c:pt idx="4">
                  <c:v>8.022</c:v>
                </c:pt>
                <c:pt idx="46">
                  <c:v>12.047</c:v>
                </c:pt>
                <c:pt idx="87">
                  <c:v>15.976</c:v>
                </c:pt>
                <c:pt idx="129">
                  <c:v>20.000</c:v>
                </c:pt>
                <c:pt idx="171">
                  <c:v>24.024</c:v>
                </c:pt>
                <c:pt idx="212">
                  <c:v>27.953</c:v>
                </c:pt>
                <c:pt idx="254">
                  <c:v>31.978</c:v>
                </c:pt>
              </c:strCache>
            </c:strRef>
          </c:cat>
          <c:val>
            <c:numRef>
              <c:f>Sandsynlighed!$AA$13:$AA$296</c:f>
              <c:numCache>
                <c:formatCode>General</c:formatCode>
                <c:ptCount val="2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CC5A-4391-AE19-3DDCFA65A5F9}"/>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Sandsynlighed!$W$12</c:f>
              <c:strCache>
                <c:ptCount val="1"/>
                <c:pt idx="0">
                  <c:v>Normalfordeling</c:v>
                </c:pt>
              </c:strCache>
            </c:strRef>
          </c:tx>
          <c:spPr>
            <a:ln w="28575" cap="rnd">
              <a:solidFill>
                <a:schemeClr val="bg1"/>
              </a:solidFill>
              <a:round/>
            </a:ln>
            <a:effectLst/>
          </c:spPr>
          <c:marker>
            <c:symbol val="none"/>
          </c:marker>
          <c:xVal>
            <c:numRef>
              <c:f>Sandsynlighed!$U$13:$U$296</c:f>
              <c:numCache>
                <c:formatCode>General</c:formatCode>
                <c:ptCount val="28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Sandsynlighed!$W$13:$W$296</c:f>
              <c:numCache>
                <c:formatCode>General</c:formatCode>
                <c:ptCount val="284"/>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CC5A-4391-AE19-3DDCFA65A5F9}"/>
            </c:ext>
          </c:extLst>
        </c:ser>
        <c:ser>
          <c:idx val="2"/>
          <c:order val="3"/>
          <c:tx>
            <c:strRef>
              <c:f>Sandsynlighed!$AC$4</c:f>
              <c:strCache>
                <c:ptCount val="1"/>
                <c:pt idx="0">
                  <c:v>100%
mindre end
45.445</c:v>
                </c:pt>
              </c:strCache>
            </c:strRef>
          </c:tx>
          <c:spPr>
            <a:ln w="28575" cap="rnd">
              <a:solidFill>
                <a:schemeClr val="accent3"/>
              </a:solidFill>
              <a:round/>
            </a:ln>
            <a:effectLst/>
          </c:spPr>
          <c:marker>
            <c:symbol val="none"/>
          </c:marker>
          <c:dLbls>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Sandsynlighed!$AC$6</c:f>
              <c:numCache>
                <c:formatCode>General</c:formatCode>
                <c:ptCount val="1"/>
                <c:pt idx="0">
                  <c:v>130</c:v>
                </c:pt>
              </c:numCache>
            </c:numRef>
          </c:xVal>
          <c:yVal>
            <c:numRef>
              <c:f>Sandsynlighed!$AC$8</c:f>
              <c:numCache>
                <c:formatCode>General</c:formatCode>
                <c:ptCount val="1"/>
                <c:pt idx="0">
                  <c:v>0.3989422804014327</c:v>
                </c:pt>
              </c:numCache>
            </c:numRef>
          </c:yVal>
          <c:smooth val="0"/>
          <c:extLst>
            <c:ext xmlns:c16="http://schemas.microsoft.com/office/drawing/2014/chart" uri="{C3380CC4-5D6E-409C-BE32-E72D297353CC}">
              <c16:uniqueId val="{00000003-CC5A-4391-AE19-3DDCFA65A5F9}"/>
            </c:ext>
          </c:extLst>
        </c:ser>
        <c:ser>
          <c:idx val="4"/>
          <c:order val="4"/>
          <c:tx>
            <c:strRef>
              <c:f>Sandsynlighed!$AC$5</c:f>
              <c:strCache>
                <c:ptCount val="1"/>
                <c:pt idx="0">
                  <c:v>0%
større end
45.445</c:v>
                </c:pt>
              </c:strCache>
            </c:strRef>
          </c:tx>
          <c:spPr>
            <a:ln w="28575" cap="rnd">
              <a:solidFill>
                <a:schemeClr val="accent5"/>
              </a:solidFill>
              <a:round/>
            </a:ln>
            <a:effectLst/>
          </c:spPr>
          <c:marker>
            <c:symbol val="none"/>
          </c:marker>
          <c:dLbls>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Sandsynlighed!$AC$7</c:f>
              <c:numCache>
                <c:formatCode>General</c:formatCode>
                <c:ptCount val="1"/>
                <c:pt idx="0">
                  <c:v>258</c:v>
                </c:pt>
              </c:numCache>
            </c:numRef>
          </c:xVal>
          <c:yVal>
            <c:numRef>
              <c:f>Sandsynlighed!$AC$9</c:f>
              <c:numCache>
                <c:formatCode>General</c:formatCode>
                <c:ptCount val="1"/>
                <c:pt idx="0">
                  <c:v>3.6247646909920261E-3</c:v>
                </c:pt>
              </c:numCache>
            </c:numRef>
          </c:yVal>
          <c:smooth val="0"/>
          <c:extLst>
            <c:ext xmlns:c16="http://schemas.microsoft.com/office/drawing/2014/chart" uri="{C3380CC4-5D6E-409C-BE32-E72D297353CC}">
              <c16:uniqueId val="{00000004-CC5A-4391-AE19-3DDCFA65A5F9}"/>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Sandsynlighed!$AS$10</c:f>
          <c:strCache>
            <c:ptCount val="1"/>
            <c:pt idx="0">
              <c:v>Poissonfordeling
(Intensitet: 3)
 P(k &lt; 2) = 19.915%
 P(k = 2) = 22.404%
 P(k &gt; 2) = 57.681%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42989578094346714"/>
          <c:w val="0.7982489213142222"/>
          <c:h val="0.45645915006011989"/>
        </c:manualLayout>
      </c:layout>
      <c:areaChart>
        <c:grouping val="standard"/>
        <c:varyColors val="0"/>
        <c:ser>
          <c:idx val="0"/>
          <c:order val="0"/>
          <c:tx>
            <c:strRef>
              <c:f>Sandsynlighed!$AY$12</c:f>
              <c:strCache>
                <c:ptCount val="1"/>
                <c:pt idx="0">
                  <c:v>Venstre</c:v>
                </c:pt>
              </c:strCache>
            </c:strRef>
          </c:tx>
          <c:spPr>
            <a:solidFill>
              <a:schemeClr val="accent1"/>
            </a:solidFill>
            <a:ln w="25400">
              <a:noFill/>
            </a:ln>
            <a:effectLst/>
          </c:spPr>
          <c:cat>
            <c:strRef>
              <c:f>Sandsynlighed!$BB$13:$BB$663</c:f>
              <c:strCache>
                <c:ptCount val="618"/>
                <c:pt idx="32">
                  <c:v>0</c:v>
                </c:pt>
                <c:pt idx="97">
                  <c:v>1</c:v>
                </c:pt>
                <c:pt idx="162">
                  <c:v>2</c:v>
                </c:pt>
                <c:pt idx="227">
                  <c:v>3</c:v>
                </c:pt>
                <c:pt idx="292">
                  <c:v>4</c:v>
                </c:pt>
                <c:pt idx="357">
                  <c:v>5</c:v>
                </c:pt>
                <c:pt idx="422">
                  <c:v>6</c:v>
                </c:pt>
                <c:pt idx="487">
                  <c:v>7</c:v>
                </c:pt>
                <c:pt idx="552">
                  <c:v>8</c:v>
                </c:pt>
                <c:pt idx="617">
                  <c:v>9</c:v>
                </c:pt>
              </c:strCache>
            </c:strRef>
          </c:cat>
          <c:val>
            <c:numRef>
              <c:f>Sandsynlighed!$AY$13:$AY$663</c:f>
              <c:numCache>
                <c:formatCode>General</c:formatCode>
                <c:ptCount val="651"/>
                <c:pt idx="0">
                  <c:v>#N/A</c:v>
                </c:pt>
                <c:pt idx="1">
                  <c:v>4.9787068367863944E-2</c:v>
                </c:pt>
                <c:pt idx="2">
                  <c:v>4.9787068367863944E-2</c:v>
                </c:pt>
                <c:pt idx="3">
                  <c:v>4.9787068367863944E-2</c:v>
                </c:pt>
                <c:pt idx="4">
                  <c:v>4.9787068367863944E-2</c:v>
                </c:pt>
                <c:pt idx="5">
                  <c:v>4.9787068367863944E-2</c:v>
                </c:pt>
                <c:pt idx="6">
                  <c:v>4.9787068367863944E-2</c:v>
                </c:pt>
                <c:pt idx="7">
                  <c:v>4.9787068367863944E-2</c:v>
                </c:pt>
                <c:pt idx="8">
                  <c:v>4.9787068367863944E-2</c:v>
                </c:pt>
                <c:pt idx="9">
                  <c:v>4.9787068367863944E-2</c:v>
                </c:pt>
                <c:pt idx="10">
                  <c:v>4.9787068367863944E-2</c:v>
                </c:pt>
                <c:pt idx="11">
                  <c:v>4.9787068367863944E-2</c:v>
                </c:pt>
                <c:pt idx="12">
                  <c:v>4.9787068367863944E-2</c:v>
                </c:pt>
                <c:pt idx="13">
                  <c:v>4.9787068367863944E-2</c:v>
                </c:pt>
                <c:pt idx="14">
                  <c:v>4.9787068367863944E-2</c:v>
                </c:pt>
                <c:pt idx="15">
                  <c:v>4.9787068367863944E-2</c:v>
                </c:pt>
                <c:pt idx="16">
                  <c:v>4.9787068367863944E-2</c:v>
                </c:pt>
                <c:pt idx="17">
                  <c:v>4.9787068367863944E-2</c:v>
                </c:pt>
                <c:pt idx="18">
                  <c:v>4.9787068367863944E-2</c:v>
                </c:pt>
                <c:pt idx="19">
                  <c:v>4.9787068367863944E-2</c:v>
                </c:pt>
                <c:pt idx="20">
                  <c:v>4.9787068367863944E-2</c:v>
                </c:pt>
                <c:pt idx="21">
                  <c:v>4.9787068367863944E-2</c:v>
                </c:pt>
                <c:pt idx="22">
                  <c:v>4.9787068367863944E-2</c:v>
                </c:pt>
                <c:pt idx="23">
                  <c:v>4.9787068367863944E-2</c:v>
                </c:pt>
                <c:pt idx="24">
                  <c:v>4.9787068367863944E-2</c:v>
                </c:pt>
                <c:pt idx="25">
                  <c:v>4.9787068367863944E-2</c:v>
                </c:pt>
                <c:pt idx="26">
                  <c:v>4.9787068367863944E-2</c:v>
                </c:pt>
                <c:pt idx="27">
                  <c:v>4.9787068367863944E-2</c:v>
                </c:pt>
                <c:pt idx="28">
                  <c:v>4.9787068367863944E-2</c:v>
                </c:pt>
                <c:pt idx="29">
                  <c:v>4.9787068367863944E-2</c:v>
                </c:pt>
                <c:pt idx="30">
                  <c:v>4.9787068367863944E-2</c:v>
                </c:pt>
                <c:pt idx="31">
                  <c:v>4.9787068367863944E-2</c:v>
                </c:pt>
                <c:pt idx="32">
                  <c:v>4.9787068367863944E-2</c:v>
                </c:pt>
                <c:pt idx="33">
                  <c:v>4.9787068367863944E-2</c:v>
                </c:pt>
                <c:pt idx="34">
                  <c:v>4.9787068367863944E-2</c:v>
                </c:pt>
                <c:pt idx="35">
                  <c:v>4.9787068367863944E-2</c:v>
                </c:pt>
                <c:pt idx="36">
                  <c:v>4.9787068367863944E-2</c:v>
                </c:pt>
                <c:pt idx="37">
                  <c:v>4.9787068367863944E-2</c:v>
                </c:pt>
                <c:pt idx="38">
                  <c:v>4.9787068367863944E-2</c:v>
                </c:pt>
                <c:pt idx="39">
                  <c:v>4.9787068367863944E-2</c:v>
                </c:pt>
                <c:pt idx="40">
                  <c:v>4.9787068367863944E-2</c:v>
                </c:pt>
                <c:pt idx="41">
                  <c:v>4.9787068367863944E-2</c:v>
                </c:pt>
                <c:pt idx="42">
                  <c:v>4.9787068367863944E-2</c:v>
                </c:pt>
                <c:pt idx="43">
                  <c:v>4.9787068367863944E-2</c:v>
                </c:pt>
                <c:pt idx="44">
                  <c:v>4.9787068367863944E-2</c:v>
                </c:pt>
                <c:pt idx="45">
                  <c:v>4.9787068367863944E-2</c:v>
                </c:pt>
                <c:pt idx="46">
                  <c:v>4.9787068367863944E-2</c:v>
                </c:pt>
                <c:pt idx="47">
                  <c:v>4.9787068367863944E-2</c:v>
                </c:pt>
                <c:pt idx="48">
                  <c:v>4.9787068367863944E-2</c:v>
                </c:pt>
                <c:pt idx="49">
                  <c:v>4.9787068367863944E-2</c:v>
                </c:pt>
                <c:pt idx="50">
                  <c:v>4.9787068367863944E-2</c:v>
                </c:pt>
                <c:pt idx="51">
                  <c:v>4.9787068367863944E-2</c:v>
                </c:pt>
                <c:pt idx="52">
                  <c:v>4.9787068367863944E-2</c:v>
                </c:pt>
                <c:pt idx="53">
                  <c:v>4.9787068367863944E-2</c:v>
                </c:pt>
                <c:pt idx="54">
                  <c:v>4.9787068367863944E-2</c:v>
                </c:pt>
                <c:pt idx="55">
                  <c:v>4.9787068367863944E-2</c:v>
                </c:pt>
                <c:pt idx="56">
                  <c:v>4.9787068367863944E-2</c:v>
                </c:pt>
                <c:pt idx="57">
                  <c:v>4.9787068367863944E-2</c:v>
                </c:pt>
                <c:pt idx="58">
                  <c:v>4.9787068367863944E-2</c:v>
                </c:pt>
                <c:pt idx="59">
                  <c:v>4.9787068367863944E-2</c:v>
                </c:pt>
                <c:pt idx="60">
                  <c:v>4.9787068367863944E-2</c:v>
                </c:pt>
                <c:pt idx="61">
                  <c:v>4.9787068367863944E-2</c:v>
                </c:pt>
                <c:pt idx="62">
                  <c:v>4.9787068367863944E-2</c:v>
                </c:pt>
                <c:pt idx="63">
                  <c:v>4.9787068367863944E-2</c:v>
                </c:pt>
                <c:pt idx="64">
                  <c:v>4.9787068367863944E-2</c:v>
                </c:pt>
                <c:pt idx="65">
                  <c:v>#N/A</c:v>
                </c:pt>
                <c:pt idx="66">
                  <c:v>0.14936120510359185</c:v>
                </c:pt>
                <c:pt idx="67">
                  <c:v>0.14936120510359185</c:v>
                </c:pt>
                <c:pt idx="68">
                  <c:v>0.14936120510359185</c:v>
                </c:pt>
                <c:pt idx="69">
                  <c:v>0.14936120510359185</c:v>
                </c:pt>
                <c:pt idx="70">
                  <c:v>0.14936120510359185</c:v>
                </c:pt>
                <c:pt idx="71">
                  <c:v>0.14936120510359185</c:v>
                </c:pt>
                <c:pt idx="72">
                  <c:v>0.14936120510359185</c:v>
                </c:pt>
                <c:pt idx="73">
                  <c:v>0.14936120510359185</c:v>
                </c:pt>
                <c:pt idx="74">
                  <c:v>0.14936120510359185</c:v>
                </c:pt>
                <c:pt idx="75">
                  <c:v>0.14936120510359185</c:v>
                </c:pt>
                <c:pt idx="76">
                  <c:v>0.14936120510359185</c:v>
                </c:pt>
                <c:pt idx="77">
                  <c:v>0.14936120510359185</c:v>
                </c:pt>
                <c:pt idx="78">
                  <c:v>0.14936120510359185</c:v>
                </c:pt>
                <c:pt idx="79">
                  <c:v>0.14936120510359185</c:v>
                </c:pt>
                <c:pt idx="80">
                  <c:v>0.14936120510359185</c:v>
                </c:pt>
                <c:pt idx="81">
                  <c:v>0.14936120510359185</c:v>
                </c:pt>
                <c:pt idx="82">
                  <c:v>0.14936120510359185</c:v>
                </c:pt>
                <c:pt idx="83">
                  <c:v>0.14936120510359185</c:v>
                </c:pt>
                <c:pt idx="84">
                  <c:v>0.14936120510359185</c:v>
                </c:pt>
                <c:pt idx="85">
                  <c:v>0.14936120510359185</c:v>
                </c:pt>
                <c:pt idx="86">
                  <c:v>0.14936120510359185</c:v>
                </c:pt>
                <c:pt idx="87">
                  <c:v>0.14936120510359185</c:v>
                </c:pt>
                <c:pt idx="88">
                  <c:v>0.14936120510359185</c:v>
                </c:pt>
                <c:pt idx="89">
                  <c:v>0.14936120510359185</c:v>
                </c:pt>
                <c:pt idx="90">
                  <c:v>0.14936120510359185</c:v>
                </c:pt>
                <c:pt idx="91">
                  <c:v>0.14936120510359185</c:v>
                </c:pt>
                <c:pt idx="92">
                  <c:v>0.14936120510359185</c:v>
                </c:pt>
                <c:pt idx="93">
                  <c:v>0.14936120510359185</c:v>
                </c:pt>
                <c:pt idx="94">
                  <c:v>0.14936120510359185</c:v>
                </c:pt>
                <c:pt idx="95">
                  <c:v>0.14936120510359185</c:v>
                </c:pt>
                <c:pt idx="96">
                  <c:v>0.14936120510359185</c:v>
                </c:pt>
                <c:pt idx="97">
                  <c:v>0.14936120510359185</c:v>
                </c:pt>
                <c:pt idx="98">
                  <c:v>0.14936120510359185</c:v>
                </c:pt>
                <c:pt idx="99">
                  <c:v>0.14936120510359185</c:v>
                </c:pt>
                <c:pt idx="100">
                  <c:v>0.14936120510359185</c:v>
                </c:pt>
                <c:pt idx="101">
                  <c:v>0.14936120510359185</c:v>
                </c:pt>
                <c:pt idx="102">
                  <c:v>0.14936120510359185</c:v>
                </c:pt>
                <c:pt idx="103">
                  <c:v>0.14936120510359185</c:v>
                </c:pt>
                <c:pt idx="104">
                  <c:v>0.14936120510359185</c:v>
                </c:pt>
                <c:pt idx="105">
                  <c:v>0.14936120510359185</c:v>
                </c:pt>
                <c:pt idx="106">
                  <c:v>0.14936120510359185</c:v>
                </c:pt>
                <c:pt idx="107">
                  <c:v>0.14936120510359185</c:v>
                </c:pt>
                <c:pt idx="108">
                  <c:v>0.14936120510359185</c:v>
                </c:pt>
                <c:pt idx="109">
                  <c:v>0.14936120510359185</c:v>
                </c:pt>
                <c:pt idx="110">
                  <c:v>0.14936120510359185</c:v>
                </c:pt>
                <c:pt idx="111">
                  <c:v>0.14936120510359185</c:v>
                </c:pt>
                <c:pt idx="112">
                  <c:v>0.14936120510359185</c:v>
                </c:pt>
                <c:pt idx="113">
                  <c:v>0.14936120510359185</c:v>
                </c:pt>
                <c:pt idx="114">
                  <c:v>0.14936120510359185</c:v>
                </c:pt>
                <c:pt idx="115">
                  <c:v>0.14936120510359185</c:v>
                </c:pt>
                <c:pt idx="116">
                  <c:v>0.14936120510359185</c:v>
                </c:pt>
                <c:pt idx="117">
                  <c:v>0.14936120510359185</c:v>
                </c:pt>
                <c:pt idx="118">
                  <c:v>0.14936120510359185</c:v>
                </c:pt>
                <c:pt idx="119">
                  <c:v>0.14936120510359185</c:v>
                </c:pt>
                <c:pt idx="120">
                  <c:v>0.14936120510359185</c:v>
                </c:pt>
                <c:pt idx="121">
                  <c:v>0.14936120510359185</c:v>
                </c:pt>
                <c:pt idx="122">
                  <c:v>0.14936120510359185</c:v>
                </c:pt>
                <c:pt idx="123">
                  <c:v>0.14936120510359185</c:v>
                </c:pt>
                <c:pt idx="124">
                  <c:v>0.14936120510359185</c:v>
                </c:pt>
                <c:pt idx="125">
                  <c:v>0.14936120510359185</c:v>
                </c:pt>
                <c:pt idx="126">
                  <c:v>0.14936120510359185</c:v>
                </c:pt>
                <c:pt idx="127">
                  <c:v>0.14936120510359185</c:v>
                </c:pt>
                <c:pt idx="128">
                  <c:v>0.14936120510359185</c:v>
                </c:pt>
                <c:pt idx="129">
                  <c:v>0.14936120510359185</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numCache>
            </c:numRef>
          </c:val>
          <c:extLst>
            <c:ext xmlns:c16="http://schemas.microsoft.com/office/drawing/2014/chart" uri="{C3380CC4-5D6E-409C-BE32-E72D297353CC}">
              <c16:uniqueId val="{00000000-6293-4D7D-A5A6-C52DE4B1855D}"/>
            </c:ext>
          </c:extLst>
        </c:ser>
        <c:ser>
          <c:idx val="3"/>
          <c:order val="1"/>
          <c:tx>
            <c:strRef>
              <c:f>Sandsynlighed!$AZ$12</c:f>
              <c:strCache>
                <c:ptCount val="1"/>
                <c:pt idx="0">
                  <c:v>Midt</c:v>
                </c:pt>
              </c:strCache>
            </c:strRef>
          </c:tx>
          <c:spPr>
            <a:solidFill>
              <a:schemeClr val="accent4"/>
            </a:solidFill>
            <a:ln w="25400">
              <a:noFill/>
            </a:ln>
            <a:effectLst/>
          </c:spPr>
          <c:cat>
            <c:strRef>
              <c:f>Sandsynlighed!$BB$13:$BB$663</c:f>
              <c:strCache>
                <c:ptCount val="618"/>
                <c:pt idx="32">
                  <c:v>0</c:v>
                </c:pt>
                <c:pt idx="97">
                  <c:v>1</c:v>
                </c:pt>
                <c:pt idx="162">
                  <c:v>2</c:v>
                </c:pt>
                <c:pt idx="227">
                  <c:v>3</c:v>
                </c:pt>
                <c:pt idx="292">
                  <c:v>4</c:v>
                </c:pt>
                <c:pt idx="357">
                  <c:v>5</c:v>
                </c:pt>
                <c:pt idx="422">
                  <c:v>6</c:v>
                </c:pt>
                <c:pt idx="487">
                  <c:v>7</c:v>
                </c:pt>
                <c:pt idx="552">
                  <c:v>8</c:v>
                </c:pt>
                <c:pt idx="617">
                  <c:v>9</c:v>
                </c:pt>
              </c:strCache>
            </c:strRef>
          </c:cat>
          <c:val>
            <c:numRef>
              <c:f>Sandsynlighed!$AZ$13:$AZ$663</c:f>
              <c:numCache>
                <c:formatCode>General</c:formatCode>
                <c:ptCount val="6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0.22404180765538775</c:v>
                </c:pt>
                <c:pt idx="132">
                  <c:v>0.22404180765538775</c:v>
                </c:pt>
                <c:pt idx="133">
                  <c:v>0.22404180765538775</c:v>
                </c:pt>
                <c:pt idx="134">
                  <c:v>0.22404180765538775</c:v>
                </c:pt>
                <c:pt idx="135">
                  <c:v>0.22404180765538775</c:v>
                </c:pt>
                <c:pt idx="136">
                  <c:v>0.22404180765538775</c:v>
                </c:pt>
                <c:pt idx="137">
                  <c:v>0.22404180765538775</c:v>
                </c:pt>
                <c:pt idx="138">
                  <c:v>0.22404180765538775</c:v>
                </c:pt>
                <c:pt idx="139">
                  <c:v>0.22404180765538775</c:v>
                </c:pt>
                <c:pt idx="140">
                  <c:v>0.22404180765538775</c:v>
                </c:pt>
                <c:pt idx="141">
                  <c:v>0.22404180765538775</c:v>
                </c:pt>
                <c:pt idx="142">
                  <c:v>0.22404180765538775</c:v>
                </c:pt>
                <c:pt idx="143">
                  <c:v>0.22404180765538775</c:v>
                </c:pt>
                <c:pt idx="144">
                  <c:v>0.22404180765538775</c:v>
                </c:pt>
                <c:pt idx="145">
                  <c:v>0.22404180765538775</c:v>
                </c:pt>
                <c:pt idx="146">
                  <c:v>0.22404180765538775</c:v>
                </c:pt>
                <c:pt idx="147">
                  <c:v>0.22404180765538775</c:v>
                </c:pt>
                <c:pt idx="148">
                  <c:v>0.22404180765538775</c:v>
                </c:pt>
                <c:pt idx="149">
                  <c:v>0.22404180765538775</c:v>
                </c:pt>
                <c:pt idx="150">
                  <c:v>0.22404180765538775</c:v>
                </c:pt>
                <c:pt idx="151">
                  <c:v>0.22404180765538775</c:v>
                </c:pt>
                <c:pt idx="152">
                  <c:v>0.22404180765538775</c:v>
                </c:pt>
                <c:pt idx="153">
                  <c:v>0.22404180765538775</c:v>
                </c:pt>
                <c:pt idx="154">
                  <c:v>0.22404180765538775</c:v>
                </c:pt>
                <c:pt idx="155">
                  <c:v>0.22404180765538775</c:v>
                </c:pt>
                <c:pt idx="156">
                  <c:v>0.22404180765538775</c:v>
                </c:pt>
                <c:pt idx="157">
                  <c:v>0.22404180765538775</c:v>
                </c:pt>
                <c:pt idx="158">
                  <c:v>0.22404180765538775</c:v>
                </c:pt>
                <c:pt idx="159">
                  <c:v>0.22404180765538775</c:v>
                </c:pt>
                <c:pt idx="160">
                  <c:v>0.22404180765538775</c:v>
                </c:pt>
                <c:pt idx="161">
                  <c:v>0.22404180765538775</c:v>
                </c:pt>
                <c:pt idx="162">
                  <c:v>0.22404180765538775</c:v>
                </c:pt>
                <c:pt idx="163">
                  <c:v>0.22404180765538775</c:v>
                </c:pt>
                <c:pt idx="164">
                  <c:v>0.22404180765538775</c:v>
                </c:pt>
                <c:pt idx="165">
                  <c:v>0.22404180765538775</c:v>
                </c:pt>
                <c:pt idx="166">
                  <c:v>0.22404180765538775</c:v>
                </c:pt>
                <c:pt idx="167">
                  <c:v>0.22404180765538775</c:v>
                </c:pt>
                <c:pt idx="168">
                  <c:v>0.22404180765538775</c:v>
                </c:pt>
                <c:pt idx="169">
                  <c:v>0.22404180765538775</c:v>
                </c:pt>
                <c:pt idx="170">
                  <c:v>0.22404180765538775</c:v>
                </c:pt>
                <c:pt idx="171">
                  <c:v>0.22404180765538775</c:v>
                </c:pt>
                <c:pt idx="172">
                  <c:v>0.22404180765538775</c:v>
                </c:pt>
                <c:pt idx="173">
                  <c:v>0.22404180765538775</c:v>
                </c:pt>
                <c:pt idx="174">
                  <c:v>0.22404180765538775</c:v>
                </c:pt>
                <c:pt idx="175">
                  <c:v>0.22404180765538775</c:v>
                </c:pt>
                <c:pt idx="176">
                  <c:v>0.22404180765538775</c:v>
                </c:pt>
                <c:pt idx="177">
                  <c:v>0.22404180765538775</c:v>
                </c:pt>
                <c:pt idx="178">
                  <c:v>0.22404180765538775</c:v>
                </c:pt>
                <c:pt idx="179">
                  <c:v>0.22404180765538775</c:v>
                </c:pt>
                <c:pt idx="180">
                  <c:v>0.22404180765538775</c:v>
                </c:pt>
                <c:pt idx="181">
                  <c:v>0.22404180765538775</c:v>
                </c:pt>
                <c:pt idx="182">
                  <c:v>0.22404180765538775</c:v>
                </c:pt>
                <c:pt idx="183">
                  <c:v>0.22404180765538775</c:v>
                </c:pt>
                <c:pt idx="184">
                  <c:v>0.22404180765538775</c:v>
                </c:pt>
                <c:pt idx="185">
                  <c:v>0.22404180765538775</c:v>
                </c:pt>
                <c:pt idx="186">
                  <c:v>0.22404180765538775</c:v>
                </c:pt>
                <c:pt idx="187">
                  <c:v>0.22404180765538775</c:v>
                </c:pt>
                <c:pt idx="188">
                  <c:v>0.22404180765538775</c:v>
                </c:pt>
                <c:pt idx="189">
                  <c:v>0.22404180765538775</c:v>
                </c:pt>
                <c:pt idx="190">
                  <c:v>0.22404180765538775</c:v>
                </c:pt>
                <c:pt idx="191">
                  <c:v>0.22404180765538775</c:v>
                </c:pt>
                <c:pt idx="192">
                  <c:v>0.22404180765538775</c:v>
                </c:pt>
                <c:pt idx="193">
                  <c:v>0.22404180765538775</c:v>
                </c:pt>
                <c:pt idx="194">
                  <c:v>0.22404180765538775</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numCache>
            </c:numRef>
          </c:val>
          <c:extLst>
            <c:ext xmlns:c16="http://schemas.microsoft.com/office/drawing/2014/chart" uri="{C3380CC4-5D6E-409C-BE32-E72D297353CC}">
              <c16:uniqueId val="{00000001-6293-4D7D-A5A6-C52DE4B1855D}"/>
            </c:ext>
          </c:extLst>
        </c:ser>
        <c:ser>
          <c:idx val="1"/>
          <c:order val="2"/>
          <c:tx>
            <c:strRef>
              <c:f>Sandsynlighed!$BA$12</c:f>
              <c:strCache>
                <c:ptCount val="1"/>
                <c:pt idx="0">
                  <c:v>Højre</c:v>
                </c:pt>
              </c:strCache>
            </c:strRef>
          </c:tx>
          <c:spPr>
            <a:solidFill>
              <a:schemeClr val="accent2"/>
            </a:solidFill>
            <a:ln w="25400">
              <a:noFill/>
            </a:ln>
            <a:effectLst/>
          </c:spPr>
          <c:cat>
            <c:strRef>
              <c:f>Sandsynlighed!$BB$13:$BB$663</c:f>
              <c:strCache>
                <c:ptCount val="618"/>
                <c:pt idx="32">
                  <c:v>0</c:v>
                </c:pt>
                <c:pt idx="97">
                  <c:v>1</c:v>
                </c:pt>
                <c:pt idx="162">
                  <c:v>2</c:v>
                </c:pt>
                <c:pt idx="227">
                  <c:v>3</c:v>
                </c:pt>
                <c:pt idx="292">
                  <c:v>4</c:v>
                </c:pt>
                <c:pt idx="357">
                  <c:v>5</c:v>
                </c:pt>
                <c:pt idx="422">
                  <c:v>6</c:v>
                </c:pt>
                <c:pt idx="487">
                  <c:v>7</c:v>
                </c:pt>
                <c:pt idx="552">
                  <c:v>8</c:v>
                </c:pt>
                <c:pt idx="617">
                  <c:v>9</c:v>
                </c:pt>
              </c:strCache>
            </c:strRef>
          </c:cat>
          <c:val>
            <c:numRef>
              <c:f>Sandsynlighed!$BA$13:$BA$663</c:f>
              <c:numCache>
                <c:formatCode>General</c:formatCode>
                <c:ptCount val="6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0.22404180765538778</c:v>
                </c:pt>
                <c:pt idx="197">
                  <c:v>0.22404180765538778</c:v>
                </c:pt>
                <c:pt idx="198">
                  <c:v>0.22404180765538778</c:v>
                </c:pt>
                <c:pt idx="199">
                  <c:v>0.22404180765538778</c:v>
                </c:pt>
                <c:pt idx="200">
                  <c:v>0.22404180765538778</c:v>
                </c:pt>
                <c:pt idx="201">
                  <c:v>0.22404180765538778</c:v>
                </c:pt>
                <c:pt idx="202">
                  <c:v>0.22404180765538778</c:v>
                </c:pt>
                <c:pt idx="203">
                  <c:v>0.22404180765538778</c:v>
                </c:pt>
                <c:pt idx="204">
                  <c:v>0.22404180765538778</c:v>
                </c:pt>
                <c:pt idx="205">
                  <c:v>0.22404180765538778</c:v>
                </c:pt>
                <c:pt idx="206">
                  <c:v>0.22404180765538778</c:v>
                </c:pt>
                <c:pt idx="207">
                  <c:v>0.22404180765538778</c:v>
                </c:pt>
                <c:pt idx="208">
                  <c:v>0.22404180765538778</c:v>
                </c:pt>
                <c:pt idx="209">
                  <c:v>0.22404180765538778</c:v>
                </c:pt>
                <c:pt idx="210">
                  <c:v>0.22404180765538778</c:v>
                </c:pt>
                <c:pt idx="211">
                  <c:v>0.22404180765538778</c:v>
                </c:pt>
                <c:pt idx="212">
                  <c:v>0.22404180765538778</c:v>
                </c:pt>
                <c:pt idx="213">
                  <c:v>0.22404180765538778</c:v>
                </c:pt>
                <c:pt idx="214">
                  <c:v>0.22404180765538778</c:v>
                </c:pt>
                <c:pt idx="215">
                  <c:v>0.22404180765538778</c:v>
                </c:pt>
                <c:pt idx="216">
                  <c:v>0.22404180765538778</c:v>
                </c:pt>
                <c:pt idx="217">
                  <c:v>0.22404180765538778</c:v>
                </c:pt>
                <c:pt idx="218">
                  <c:v>0.22404180765538778</c:v>
                </c:pt>
                <c:pt idx="219">
                  <c:v>0.22404180765538778</c:v>
                </c:pt>
                <c:pt idx="220">
                  <c:v>0.22404180765538778</c:v>
                </c:pt>
                <c:pt idx="221">
                  <c:v>0.22404180765538778</c:v>
                </c:pt>
                <c:pt idx="222">
                  <c:v>0.22404180765538778</c:v>
                </c:pt>
                <c:pt idx="223">
                  <c:v>0.22404180765538778</c:v>
                </c:pt>
                <c:pt idx="224">
                  <c:v>0.22404180765538778</c:v>
                </c:pt>
                <c:pt idx="225">
                  <c:v>0.22404180765538778</c:v>
                </c:pt>
                <c:pt idx="226">
                  <c:v>0.22404180765538778</c:v>
                </c:pt>
                <c:pt idx="227">
                  <c:v>0.22404180765538778</c:v>
                </c:pt>
                <c:pt idx="228">
                  <c:v>0.22404180765538778</c:v>
                </c:pt>
                <c:pt idx="229">
                  <c:v>0.22404180765538778</c:v>
                </c:pt>
                <c:pt idx="230">
                  <c:v>0.22404180765538778</c:v>
                </c:pt>
                <c:pt idx="231">
                  <c:v>0.22404180765538778</c:v>
                </c:pt>
                <c:pt idx="232">
                  <c:v>0.22404180765538778</c:v>
                </c:pt>
                <c:pt idx="233">
                  <c:v>0.22404180765538778</c:v>
                </c:pt>
                <c:pt idx="234">
                  <c:v>0.22404180765538778</c:v>
                </c:pt>
                <c:pt idx="235">
                  <c:v>0.22404180765538778</c:v>
                </c:pt>
                <c:pt idx="236">
                  <c:v>0.22404180765538778</c:v>
                </c:pt>
                <c:pt idx="237">
                  <c:v>0.22404180765538778</c:v>
                </c:pt>
                <c:pt idx="238">
                  <c:v>0.22404180765538778</c:v>
                </c:pt>
                <c:pt idx="239">
                  <c:v>0.22404180765538778</c:v>
                </c:pt>
                <c:pt idx="240">
                  <c:v>0.22404180765538778</c:v>
                </c:pt>
                <c:pt idx="241">
                  <c:v>0.22404180765538778</c:v>
                </c:pt>
                <c:pt idx="242">
                  <c:v>0.22404180765538778</c:v>
                </c:pt>
                <c:pt idx="243">
                  <c:v>0.22404180765538778</c:v>
                </c:pt>
                <c:pt idx="244">
                  <c:v>0.22404180765538778</c:v>
                </c:pt>
                <c:pt idx="245">
                  <c:v>0.22404180765538778</c:v>
                </c:pt>
                <c:pt idx="246">
                  <c:v>0.22404180765538778</c:v>
                </c:pt>
                <c:pt idx="247">
                  <c:v>0.22404180765538778</c:v>
                </c:pt>
                <c:pt idx="248">
                  <c:v>0.22404180765538778</c:v>
                </c:pt>
                <c:pt idx="249">
                  <c:v>0.22404180765538778</c:v>
                </c:pt>
                <c:pt idx="250">
                  <c:v>0.22404180765538778</c:v>
                </c:pt>
                <c:pt idx="251">
                  <c:v>0.22404180765538778</c:v>
                </c:pt>
                <c:pt idx="252">
                  <c:v>0.22404180765538778</c:v>
                </c:pt>
                <c:pt idx="253">
                  <c:v>0.22404180765538778</c:v>
                </c:pt>
                <c:pt idx="254">
                  <c:v>0.22404180765538778</c:v>
                </c:pt>
                <c:pt idx="255">
                  <c:v>0.22404180765538778</c:v>
                </c:pt>
                <c:pt idx="256">
                  <c:v>0.22404180765538778</c:v>
                </c:pt>
                <c:pt idx="257">
                  <c:v>0.22404180765538778</c:v>
                </c:pt>
                <c:pt idx="258">
                  <c:v>0.22404180765538778</c:v>
                </c:pt>
                <c:pt idx="259">
                  <c:v>0.22404180765538778</c:v>
                </c:pt>
                <c:pt idx="260">
                  <c:v>#N/A</c:v>
                </c:pt>
                <c:pt idx="261">
                  <c:v>0.16803135574154085</c:v>
                </c:pt>
                <c:pt idx="262">
                  <c:v>0.16803135574154085</c:v>
                </c:pt>
                <c:pt idx="263">
                  <c:v>0.16803135574154085</c:v>
                </c:pt>
                <c:pt idx="264">
                  <c:v>0.16803135574154085</c:v>
                </c:pt>
                <c:pt idx="265">
                  <c:v>0.16803135574154085</c:v>
                </c:pt>
                <c:pt idx="266">
                  <c:v>0.16803135574154085</c:v>
                </c:pt>
                <c:pt idx="267">
                  <c:v>0.16803135574154085</c:v>
                </c:pt>
                <c:pt idx="268">
                  <c:v>0.16803135574154085</c:v>
                </c:pt>
                <c:pt idx="269">
                  <c:v>0.16803135574154085</c:v>
                </c:pt>
                <c:pt idx="270">
                  <c:v>0.16803135574154085</c:v>
                </c:pt>
                <c:pt idx="271">
                  <c:v>0.16803135574154085</c:v>
                </c:pt>
                <c:pt idx="272">
                  <c:v>0.16803135574154085</c:v>
                </c:pt>
                <c:pt idx="273">
                  <c:v>0.16803135574154085</c:v>
                </c:pt>
                <c:pt idx="274">
                  <c:v>0.16803135574154085</c:v>
                </c:pt>
                <c:pt idx="275">
                  <c:v>0.16803135574154085</c:v>
                </c:pt>
                <c:pt idx="276">
                  <c:v>0.16803135574154085</c:v>
                </c:pt>
                <c:pt idx="277">
                  <c:v>0.16803135574154085</c:v>
                </c:pt>
                <c:pt idx="278">
                  <c:v>0.16803135574154085</c:v>
                </c:pt>
                <c:pt idx="279">
                  <c:v>0.16803135574154085</c:v>
                </c:pt>
                <c:pt idx="280">
                  <c:v>0.16803135574154085</c:v>
                </c:pt>
                <c:pt idx="281">
                  <c:v>0.16803135574154085</c:v>
                </c:pt>
                <c:pt idx="282">
                  <c:v>0.16803135574154085</c:v>
                </c:pt>
                <c:pt idx="283">
                  <c:v>0.16803135574154085</c:v>
                </c:pt>
                <c:pt idx="284">
                  <c:v>0.16803135574154085</c:v>
                </c:pt>
                <c:pt idx="285">
                  <c:v>0.16803135574154085</c:v>
                </c:pt>
                <c:pt idx="286">
                  <c:v>0.16803135574154085</c:v>
                </c:pt>
                <c:pt idx="287">
                  <c:v>0.16803135574154085</c:v>
                </c:pt>
                <c:pt idx="288">
                  <c:v>0.16803135574154085</c:v>
                </c:pt>
                <c:pt idx="289">
                  <c:v>0.16803135574154085</c:v>
                </c:pt>
                <c:pt idx="290">
                  <c:v>0.16803135574154085</c:v>
                </c:pt>
                <c:pt idx="291">
                  <c:v>0.16803135574154085</c:v>
                </c:pt>
                <c:pt idx="292">
                  <c:v>0.16803135574154085</c:v>
                </c:pt>
                <c:pt idx="293">
                  <c:v>0.16803135574154085</c:v>
                </c:pt>
                <c:pt idx="294">
                  <c:v>0.16803135574154085</c:v>
                </c:pt>
                <c:pt idx="295">
                  <c:v>0.16803135574154085</c:v>
                </c:pt>
                <c:pt idx="296">
                  <c:v>0.16803135574154085</c:v>
                </c:pt>
                <c:pt idx="297">
                  <c:v>0.16803135574154085</c:v>
                </c:pt>
                <c:pt idx="298">
                  <c:v>0.16803135574154085</c:v>
                </c:pt>
                <c:pt idx="299">
                  <c:v>0.16803135574154085</c:v>
                </c:pt>
                <c:pt idx="300">
                  <c:v>0.16803135574154085</c:v>
                </c:pt>
                <c:pt idx="301">
                  <c:v>0.16803135574154085</c:v>
                </c:pt>
                <c:pt idx="302">
                  <c:v>0.16803135574154085</c:v>
                </c:pt>
                <c:pt idx="303">
                  <c:v>0.16803135574154085</c:v>
                </c:pt>
                <c:pt idx="304">
                  <c:v>0.16803135574154085</c:v>
                </c:pt>
                <c:pt idx="305">
                  <c:v>0.16803135574154085</c:v>
                </c:pt>
                <c:pt idx="306">
                  <c:v>0.16803135574154085</c:v>
                </c:pt>
                <c:pt idx="307">
                  <c:v>0.16803135574154085</c:v>
                </c:pt>
                <c:pt idx="308">
                  <c:v>0.16803135574154085</c:v>
                </c:pt>
                <c:pt idx="309">
                  <c:v>0.16803135574154085</c:v>
                </c:pt>
                <c:pt idx="310">
                  <c:v>0.16803135574154085</c:v>
                </c:pt>
                <c:pt idx="311">
                  <c:v>0.16803135574154085</c:v>
                </c:pt>
                <c:pt idx="312">
                  <c:v>0.16803135574154085</c:v>
                </c:pt>
                <c:pt idx="313">
                  <c:v>0.16803135574154085</c:v>
                </c:pt>
                <c:pt idx="314">
                  <c:v>0.16803135574154085</c:v>
                </c:pt>
                <c:pt idx="315">
                  <c:v>0.16803135574154085</c:v>
                </c:pt>
                <c:pt idx="316">
                  <c:v>0.16803135574154085</c:v>
                </c:pt>
                <c:pt idx="317">
                  <c:v>0.16803135574154085</c:v>
                </c:pt>
                <c:pt idx="318">
                  <c:v>0.16803135574154085</c:v>
                </c:pt>
                <c:pt idx="319">
                  <c:v>0.16803135574154085</c:v>
                </c:pt>
                <c:pt idx="320">
                  <c:v>0.16803135574154085</c:v>
                </c:pt>
                <c:pt idx="321">
                  <c:v>0.16803135574154085</c:v>
                </c:pt>
                <c:pt idx="322">
                  <c:v>0.16803135574154085</c:v>
                </c:pt>
                <c:pt idx="323">
                  <c:v>0.16803135574154085</c:v>
                </c:pt>
                <c:pt idx="324">
                  <c:v>0.16803135574154085</c:v>
                </c:pt>
                <c:pt idx="325">
                  <c:v>#N/A</c:v>
                </c:pt>
                <c:pt idx="326">
                  <c:v>0.10081881344492449</c:v>
                </c:pt>
                <c:pt idx="327">
                  <c:v>0.10081881344492449</c:v>
                </c:pt>
                <c:pt idx="328">
                  <c:v>0.10081881344492449</c:v>
                </c:pt>
                <c:pt idx="329">
                  <c:v>0.10081881344492449</c:v>
                </c:pt>
                <c:pt idx="330">
                  <c:v>0.10081881344492449</c:v>
                </c:pt>
                <c:pt idx="331">
                  <c:v>0.10081881344492449</c:v>
                </c:pt>
                <c:pt idx="332">
                  <c:v>0.10081881344492449</c:v>
                </c:pt>
                <c:pt idx="333">
                  <c:v>0.10081881344492449</c:v>
                </c:pt>
                <c:pt idx="334">
                  <c:v>0.10081881344492449</c:v>
                </c:pt>
                <c:pt idx="335">
                  <c:v>0.10081881344492449</c:v>
                </c:pt>
                <c:pt idx="336">
                  <c:v>0.10081881344492449</c:v>
                </c:pt>
                <c:pt idx="337">
                  <c:v>0.10081881344492449</c:v>
                </c:pt>
                <c:pt idx="338">
                  <c:v>0.10081881344492449</c:v>
                </c:pt>
                <c:pt idx="339">
                  <c:v>0.10081881344492449</c:v>
                </c:pt>
                <c:pt idx="340">
                  <c:v>0.10081881344492449</c:v>
                </c:pt>
                <c:pt idx="341">
                  <c:v>0.10081881344492449</c:v>
                </c:pt>
                <c:pt idx="342">
                  <c:v>0.10081881344492449</c:v>
                </c:pt>
                <c:pt idx="343">
                  <c:v>0.10081881344492449</c:v>
                </c:pt>
                <c:pt idx="344">
                  <c:v>0.10081881344492449</c:v>
                </c:pt>
                <c:pt idx="345">
                  <c:v>0.10081881344492449</c:v>
                </c:pt>
                <c:pt idx="346">
                  <c:v>0.10081881344492449</c:v>
                </c:pt>
                <c:pt idx="347">
                  <c:v>0.10081881344492449</c:v>
                </c:pt>
                <c:pt idx="348">
                  <c:v>0.10081881344492449</c:v>
                </c:pt>
                <c:pt idx="349">
                  <c:v>0.10081881344492449</c:v>
                </c:pt>
                <c:pt idx="350">
                  <c:v>0.10081881344492449</c:v>
                </c:pt>
                <c:pt idx="351">
                  <c:v>0.10081881344492449</c:v>
                </c:pt>
                <c:pt idx="352">
                  <c:v>0.10081881344492449</c:v>
                </c:pt>
                <c:pt idx="353">
                  <c:v>0.10081881344492449</c:v>
                </c:pt>
                <c:pt idx="354">
                  <c:v>0.10081881344492449</c:v>
                </c:pt>
                <c:pt idx="355">
                  <c:v>0.10081881344492449</c:v>
                </c:pt>
                <c:pt idx="356">
                  <c:v>0.10081881344492449</c:v>
                </c:pt>
                <c:pt idx="357">
                  <c:v>0.10081881344492449</c:v>
                </c:pt>
                <c:pt idx="358">
                  <c:v>0.10081881344492449</c:v>
                </c:pt>
                <c:pt idx="359">
                  <c:v>0.10081881344492449</c:v>
                </c:pt>
                <c:pt idx="360">
                  <c:v>0.10081881344492449</c:v>
                </c:pt>
                <c:pt idx="361">
                  <c:v>0.10081881344492449</c:v>
                </c:pt>
                <c:pt idx="362">
                  <c:v>0.10081881344492449</c:v>
                </c:pt>
                <c:pt idx="363">
                  <c:v>0.10081881344492449</c:v>
                </c:pt>
                <c:pt idx="364">
                  <c:v>0.10081881344492449</c:v>
                </c:pt>
                <c:pt idx="365">
                  <c:v>0.10081881344492449</c:v>
                </c:pt>
                <c:pt idx="366">
                  <c:v>0.10081881344492449</c:v>
                </c:pt>
                <c:pt idx="367">
                  <c:v>0.10081881344492449</c:v>
                </c:pt>
                <c:pt idx="368">
                  <c:v>0.10081881344492449</c:v>
                </c:pt>
                <c:pt idx="369">
                  <c:v>0.10081881344492449</c:v>
                </c:pt>
                <c:pt idx="370">
                  <c:v>0.10081881344492449</c:v>
                </c:pt>
                <c:pt idx="371">
                  <c:v>0.10081881344492449</c:v>
                </c:pt>
                <c:pt idx="372">
                  <c:v>0.10081881344492449</c:v>
                </c:pt>
                <c:pt idx="373">
                  <c:v>0.10081881344492449</c:v>
                </c:pt>
                <c:pt idx="374">
                  <c:v>0.10081881344492449</c:v>
                </c:pt>
                <c:pt idx="375">
                  <c:v>0.10081881344492449</c:v>
                </c:pt>
                <c:pt idx="376">
                  <c:v>0.10081881344492449</c:v>
                </c:pt>
                <c:pt idx="377">
                  <c:v>0.10081881344492449</c:v>
                </c:pt>
                <c:pt idx="378">
                  <c:v>0.10081881344492449</c:v>
                </c:pt>
                <c:pt idx="379">
                  <c:v>0.10081881344492449</c:v>
                </c:pt>
                <c:pt idx="380">
                  <c:v>0.10081881344492449</c:v>
                </c:pt>
                <c:pt idx="381">
                  <c:v>0.10081881344492449</c:v>
                </c:pt>
                <c:pt idx="382">
                  <c:v>0.10081881344492449</c:v>
                </c:pt>
                <c:pt idx="383">
                  <c:v>0.10081881344492449</c:v>
                </c:pt>
                <c:pt idx="384">
                  <c:v>0.10081881344492449</c:v>
                </c:pt>
                <c:pt idx="385">
                  <c:v>0.10081881344492449</c:v>
                </c:pt>
                <c:pt idx="386">
                  <c:v>0.10081881344492449</c:v>
                </c:pt>
                <c:pt idx="387">
                  <c:v>0.10081881344492449</c:v>
                </c:pt>
                <c:pt idx="388">
                  <c:v>0.10081881344492449</c:v>
                </c:pt>
                <c:pt idx="389">
                  <c:v>0.10081881344492449</c:v>
                </c:pt>
                <c:pt idx="390">
                  <c:v>#N/A</c:v>
                </c:pt>
                <c:pt idx="391">
                  <c:v>5.0409406722462261E-2</c:v>
                </c:pt>
                <c:pt idx="392">
                  <c:v>5.0409406722462261E-2</c:v>
                </c:pt>
                <c:pt idx="393">
                  <c:v>5.0409406722462261E-2</c:v>
                </c:pt>
                <c:pt idx="394">
                  <c:v>5.0409406722462261E-2</c:v>
                </c:pt>
                <c:pt idx="395">
                  <c:v>5.0409406722462261E-2</c:v>
                </c:pt>
                <c:pt idx="396">
                  <c:v>5.0409406722462261E-2</c:v>
                </c:pt>
                <c:pt idx="397">
                  <c:v>5.0409406722462261E-2</c:v>
                </c:pt>
                <c:pt idx="398">
                  <c:v>5.0409406722462261E-2</c:v>
                </c:pt>
                <c:pt idx="399">
                  <c:v>5.0409406722462261E-2</c:v>
                </c:pt>
                <c:pt idx="400">
                  <c:v>5.0409406722462261E-2</c:v>
                </c:pt>
                <c:pt idx="401">
                  <c:v>5.0409406722462261E-2</c:v>
                </c:pt>
                <c:pt idx="402">
                  <c:v>5.0409406722462261E-2</c:v>
                </c:pt>
                <c:pt idx="403">
                  <c:v>5.0409406722462261E-2</c:v>
                </c:pt>
                <c:pt idx="404">
                  <c:v>5.0409406722462261E-2</c:v>
                </c:pt>
                <c:pt idx="405">
                  <c:v>5.0409406722462261E-2</c:v>
                </c:pt>
                <c:pt idx="406">
                  <c:v>5.0409406722462261E-2</c:v>
                </c:pt>
                <c:pt idx="407">
                  <c:v>5.0409406722462261E-2</c:v>
                </c:pt>
                <c:pt idx="408">
                  <c:v>5.0409406722462261E-2</c:v>
                </c:pt>
                <c:pt idx="409">
                  <c:v>5.0409406722462261E-2</c:v>
                </c:pt>
                <c:pt idx="410">
                  <c:v>5.0409406722462261E-2</c:v>
                </c:pt>
                <c:pt idx="411">
                  <c:v>5.0409406722462261E-2</c:v>
                </c:pt>
                <c:pt idx="412">
                  <c:v>5.0409406722462261E-2</c:v>
                </c:pt>
                <c:pt idx="413">
                  <c:v>5.0409406722462261E-2</c:v>
                </c:pt>
                <c:pt idx="414">
                  <c:v>5.0409406722462261E-2</c:v>
                </c:pt>
                <c:pt idx="415">
                  <c:v>5.0409406722462261E-2</c:v>
                </c:pt>
                <c:pt idx="416">
                  <c:v>5.0409406722462261E-2</c:v>
                </c:pt>
                <c:pt idx="417">
                  <c:v>5.0409406722462261E-2</c:v>
                </c:pt>
                <c:pt idx="418">
                  <c:v>5.0409406722462261E-2</c:v>
                </c:pt>
                <c:pt idx="419">
                  <c:v>5.0409406722462261E-2</c:v>
                </c:pt>
                <c:pt idx="420">
                  <c:v>5.0409406722462261E-2</c:v>
                </c:pt>
                <c:pt idx="421">
                  <c:v>5.0409406722462261E-2</c:v>
                </c:pt>
                <c:pt idx="422">
                  <c:v>5.0409406722462261E-2</c:v>
                </c:pt>
                <c:pt idx="423">
                  <c:v>5.0409406722462261E-2</c:v>
                </c:pt>
                <c:pt idx="424">
                  <c:v>5.0409406722462261E-2</c:v>
                </c:pt>
                <c:pt idx="425">
                  <c:v>5.0409406722462261E-2</c:v>
                </c:pt>
                <c:pt idx="426">
                  <c:v>5.0409406722462261E-2</c:v>
                </c:pt>
                <c:pt idx="427">
                  <c:v>5.0409406722462261E-2</c:v>
                </c:pt>
                <c:pt idx="428">
                  <c:v>5.0409406722462261E-2</c:v>
                </c:pt>
                <c:pt idx="429">
                  <c:v>5.0409406722462261E-2</c:v>
                </c:pt>
                <c:pt idx="430">
                  <c:v>5.0409406722462261E-2</c:v>
                </c:pt>
                <c:pt idx="431">
                  <c:v>5.0409406722462261E-2</c:v>
                </c:pt>
                <c:pt idx="432">
                  <c:v>5.0409406722462261E-2</c:v>
                </c:pt>
                <c:pt idx="433">
                  <c:v>5.0409406722462261E-2</c:v>
                </c:pt>
                <c:pt idx="434">
                  <c:v>5.0409406722462261E-2</c:v>
                </c:pt>
                <c:pt idx="435">
                  <c:v>5.0409406722462261E-2</c:v>
                </c:pt>
                <c:pt idx="436">
                  <c:v>5.0409406722462261E-2</c:v>
                </c:pt>
                <c:pt idx="437">
                  <c:v>5.0409406722462261E-2</c:v>
                </c:pt>
                <c:pt idx="438">
                  <c:v>5.0409406722462261E-2</c:v>
                </c:pt>
                <c:pt idx="439">
                  <c:v>5.0409406722462261E-2</c:v>
                </c:pt>
                <c:pt idx="440">
                  <c:v>5.0409406722462261E-2</c:v>
                </c:pt>
                <c:pt idx="441">
                  <c:v>5.0409406722462261E-2</c:v>
                </c:pt>
                <c:pt idx="442">
                  <c:v>5.0409406722462261E-2</c:v>
                </c:pt>
                <c:pt idx="443">
                  <c:v>5.0409406722462261E-2</c:v>
                </c:pt>
                <c:pt idx="444">
                  <c:v>5.0409406722462261E-2</c:v>
                </c:pt>
                <c:pt idx="445">
                  <c:v>5.0409406722462261E-2</c:v>
                </c:pt>
                <c:pt idx="446">
                  <c:v>5.0409406722462261E-2</c:v>
                </c:pt>
                <c:pt idx="447">
                  <c:v>5.0409406722462261E-2</c:v>
                </c:pt>
                <c:pt idx="448">
                  <c:v>5.0409406722462261E-2</c:v>
                </c:pt>
                <c:pt idx="449">
                  <c:v>5.0409406722462261E-2</c:v>
                </c:pt>
                <c:pt idx="450">
                  <c:v>5.0409406722462261E-2</c:v>
                </c:pt>
                <c:pt idx="451">
                  <c:v>5.0409406722462261E-2</c:v>
                </c:pt>
                <c:pt idx="452">
                  <c:v>5.0409406722462261E-2</c:v>
                </c:pt>
                <c:pt idx="453">
                  <c:v>5.0409406722462261E-2</c:v>
                </c:pt>
                <c:pt idx="454">
                  <c:v>5.0409406722462261E-2</c:v>
                </c:pt>
                <c:pt idx="455">
                  <c:v>#N/A</c:v>
                </c:pt>
                <c:pt idx="456">
                  <c:v>2.1604031452483807E-2</c:v>
                </c:pt>
                <c:pt idx="457">
                  <c:v>2.1604031452483807E-2</c:v>
                </c:pt>
                <c:pt idx="458">
                  <c:v>2.1604031452483807E-2</c:v>
                </c:pt>
                <c:pt idx="459">
                  <c:v>2.1604031452483807E-2</c:v>
                </c:pt>
                <c:pt idx="460">
                  <c:v>2.1604031452483807E-2</c:v>
                </c:pt>
                <c:pt idx="461">
                  <c:v>2.1604031452483807E-2</c:v>
                </c:pt>
                <c:pt idx="462">
                  <c:v>2.1604031452483807E-2</c:v>
                </c:pt>
                <c:pt idx="463">
                  <c:v>2.1604031452483807E-2</c:v>
                </c:pt>
                <c:pt idx="464">
                  <c:v>2.1604031452483807E-2</c:v>
                </c:pt>
                <c:pt idx="465">
                  <c:v>2.1604031452483807E-2</c:v>
                </c:pt>
                <c:pt idx="466">
                  <c:v>2.1604031452483807E-2</c:v>
                </c:pt>
                <c:pt idx="467">
                  <c:v>2.1604031452483807E-2</c:v>
                </c:pt>
                <c:pt idx="468">
                  <c:v>2.1604031452483807E-2</c:v>
                </c:pt>
                <c:pt idx="469">
                  <c:v>2.1604031452483807E-2</c:v>
                </c:pt>
                <c:pt idx="470">
                  <c:v>2.1604031452483807E-2</c:v>
                </c:pt>
                <c:pt idx="471">
                  <c:v>2.1604031452483807E-2</c:v>
                </c:pt>
                <c:pt idx="472">
                  <c:v>2.1604031452483807E-2</c:v>
                </c:pt>
                <c:pt idx="473">
                  <c:v>2.1604031452483807E-2</c:v>
                </c:pt>
                <c:pt idx="474">
                  <c:v>2.1604031452483807E-2</c:v>
                </c:pt>
                <c:pt idx="475">
                  <c:v>2.1604031452483807E-2</c:v>
                </c:pt>
                <c:pt idx="476">
                  <c:v>2.1604031452483807E-2</c:v>
                </c:pt>
                <c:pt idx="477">
                  <c:v>2.1604031452483807E-2</c:v>
                </c:pt>
                <c:pt idx="478">
                  <c:v>2.1604031452483807E-2</c:v>
                </c:pt>
                <c:pt idx="479">
                  <c:v>2.1604031452483807E-2</c:v>
                </c:pt>
                <c:pt idx="480">
                  <c:v>2.1604031452483807E-2</c:v>
                </c:pt>
                <c:pt idx="481">
                  <c:v>2.1604031452483807E-2</c:v>
                </c:pt>
                <c:pt idx="482">
                  <c:v>2.1604031452483807E-2</c:v>
                </c:pt>
                <c:pt idx="483">
                  <c:v>2.1604031452483807E-2</c:v>
                </c:pt>
                <c:pt idx="484">
                  <c:v>2.1604031452483807E-2</c:v>
                </c:pt>
                <c:pt idx="485">
                  <c:v>2.1604031452483807E-2</c:v>
                </c:pt>
                <c:pt idx="486">
                  <c:v>2.1604031452483807E-2</c:v>
                </c:pt>
                <c:pt idx="487">
                  <c:v>2.1604031452483807E-2</c:v>
                </c:pt>
                <c:pt idx="488">
                  <c:v>2.1604031452483807E-2</c:v>
                </c:pt>
                <c:pt idx="489">
                  <c:v>2.1604031452483807E-2</c:v>
                </c:pt>
                <c:pt idx="490">
                  <c:v>2.1604031452483807E-2</c:v>
                </c:pt>
                <c:pt idx="491">
                  <c:v>2.1604031452483807E-2</c:v>
                </c:pt>
                <c:pt idx="492">
                  <c:v>2.1604031452483807E-2</c:v>
                </c:pt>
                <c:pt idx="493">
                  <c:v>2.1604031452483807E-2</c:v>
                </c:pt>
                <c:pt idx="494">
                  <c:v>2.1604031452483807E-2</c:v>
                </c:pt>
                <c:pt idx="495">
                  <c:v>2.1604031452483807E-2</c:v>
                </c:pt>
                <c:pt idx="496">
                  <c:v>2.1604031452483807E-2</c:v>
                </c:pt>
                <c:pt idx="497">
                  <c:v>2.1604031452483807E-2</c:v>
                </c:pt>
                <c:pt idx="498">
                  <c:v>2.1604031452483807E-2</c:v>
                </c:pt>
                <c:pt idx="499">
                  <c:v>2.1604031452483807E-2</c:v>
                </c:pt>
                <c:pt idx="500">
                  <c:v>2.1604031452483807E-2</c:v>
                </c:pt>
                <c:pt idx="501">
                  <c:v>2.1604031452483807E-2</c:v>
                </c:pt>
                <c:pt idx="502">
                  <c:v>2.1604031452483807E-2</c:v>
                </c:pt>
                <c:pt idx="503">
                  <c:v>2.1604031452483807E-2</c:v>
                </c:pt>
                <c:pt idx="504">
                  <c:v>2.1604031452483807E-2</c:v>
                </c:pt>
                <c:pt idx="505">
                  <c:v>2.1604031452483807E-2</c:v>
                </c:pt>
                <c:pt idx="506">
                  <c:v>2.1604031452483807E-2</c:v>
                </c:pt>
                <c:pt idx="507">
                  <c:v>2.1604031452483807E-2</c:v>
                </c:pt>
                <c:pt idx="508">
                  <c:v>2.1604031452483807E-2</c:v>
                </c:pt>
                <c:pt idx="509">
                  <c:v>2.1604031452483807E-2</c:v>
                </c:pt>
                <c:pt idx="510">
                  <c:v>2.1604031452483807E-2</c:v>
                </c:pt>
                <c:pt idx="511">
                  <c:v>2.1604031452483807E-2</c:v>
                </c:pt>
                <c:pt idx="512">
                  <c:v>2.1604031452483807E-2</c:v>
                </c:pt>
                <c:pt idx="513">
                  <c:v>2.1604031452483807E-2</c:v>
                </c:pt>
                <c:pt idx="514">
                  <c:v>2.1604031452483807E-2</c:v>
                </c:pt>
                <c:pt idx="515">
                  <c:v>2.1604031452483807E-2</c:v>
                </c:pt>
                <c:pt idx="516">
                  <c:v>2.1604031452483807E-2</c:v>
                </c:pt>
                <c:pt idx="517">
                  <c:v>2.1604031452483807E-2</c:v>
                </c:pt>
                <c:pt idx="518">
                  <c:v>2.1604031452483807E-2</c:v>
                </c:pt>
                <c:pt idx="519">
                  <c:v>2.1604031452483807E-2</c:v>
                </c:pt>
                <c:pt idx="520">
                  <c:v>#N/A</c:v>
                </c:pt>
                <c:pt idx="521">
                  <c:v>8.1015117946814375E-3</c:v>
                </c:pt>
                <c:pt idx="522">
                  <c:v>8.1015117946814375E-3</c:v>
                </c:pt>
                <c:pt idx="523">
                  <c:v>8.1015117946814375E-3</c:v>
                </c:pt>
                <c:pt idx="524">
                  <c:v>8.1015117946814375E-3</c:v>
                </c:pt>
                <c:pt idx="525">
                  <c:v>8.1015117946814375E-3</c:v>
                </c:pt>
                <c:pt idx="526">
                  <c:v>8.1015117946814375E-3</c:v>
                </c:pt>
                <c:pt idx="527">
                  <c:v>8.1015117946814375E-3</c:v>
                </c:pt>
                <c:pt idx="528">
                  <c:v>8.1015117946814375E-3</c:v>
                </c:pt>
                <c:pt idx="529">
                  <c:v>8.1015117946814375E-3</c:v>
                </c:pt>
                <c:pt idx="530">
                  <c:v>8.1015117946814375E-3</c:v>
                </c:pt>
                <c:pt idx="531">
                  <c:v>8.1015117946814375E-3</c:v>
                </c:pt>
                <c:pt idx="532">
                  <c:v>8.1015117946814375E-3</c:v>
                </c:pt>
                <c:pt idx="533">
                  <c:v>8.1015117946814375E-3</c:v>
                </c:pt>
                <c:pt idx="534">
                  <c:v>8.1015117946814375E-3</c:v>
                </c:pt>
                <c:pt idx="535">
                  <c:v>8.1015117946814375E-3</c:v>
                </c:pt>
                <c:pt idx="536">
                  <c:v>8.1015117946814375E-3</c:v>
                </c:pt>
                <c:pt idx="537">
                  <c:v>8.1015117946814375E-3</c:v>
                </c:pt>
                <c:pt idx="538">
                  <c:v>8.1015117946814375E-3</c:v>
                </c:pt>
                <c:pt idx="539">
                  <c:v>8.1015117946814375E-3</c:v>
                </c:pt>
                <c:pt idx="540">
                  <c:v>8.1015117946814375E-3</c:v>
                </c:pt>
                <c:pt idx="541">
                  <c:v>8.1015117946814375E-3</c:v>
                </c:pt>
                <c:pt idx="542">
                  <c:v>8.1015117946814375E-3</c:v>
                </c:pt>
                <c:pt idx="543">
                  <c:v>8.1015117946814375E-3</c:v>
                </c:pt>
                <c:pt idx="544">
                  <c:v>8.1015117946814375E-3</c:v>
                </c:pt>
                <c:pt idx="545">
                  <c:v>8.1015117946814375E-3</c:v>
                </c:pt>
                <c:pt idx="546">
                  <c:v>8.1015117946814375E-3</c:v>
                </c:pt>
                <c:pt idx="547">
                  <c:v>8.1015117946814375E-3</c:v>
                </c:pt>
                <c:pt idx="548">
                  <c:v>8.1015117946814375E-3</c:v>
                </c:pt>
                <c:pt idx="549">
                  <c:v>8.1015117946814375E-3</c:v>
                </c:pt>
                <c:pt idx="550">
                  <c:v>8.1015117946814375E-3</c:v>
                </c:pt>
                <c:pt idx="551">
                  <c:v>8.1015117946814375E-3</c:v>
                </c:pt>
                <c:pt idx="552">
                  <c:v>8.1015117946814375E-3</c:v>
                </c:pt>
                <c:pt idx="553">
                  <c:v>8.1015117946814375E-3</c:v>
                </c:pt>
                <c:pt idx="554">
                  <c:v>8.1015117946814375E-3</c:v>
                </c:pt>
                <c:pt idx="555">
                  <c:v>8.1015117946814375E-3</c:v>
                </c:pt>
                <c:pt idx="556">
                  <c:v>8.1015117946814375E-3</c:v>
                </c:pt>
                <c:pt idx="557">
                  <c:v>8.1015117946814375E-3</c:v>
                </c:pt>
                <c:pt idx="558">
                  <c:v>8.1015117946814375E-3</c:v>
                </c:pt>
                <c:pt idx="559">
                  <c:v>8.1015117946814375E-3</c:v>
                </c:pt>
                <c:pt idx="560">
                  <c:v>8.1015117946814375E-3</c:v>
                </c:pt>
                <c:pt idx="561">
                  <c:v>8.1015117946814375E-3</c:v>
                </c:pt>
                <c:pt idx="562">
                  <c:v>8.1015117946814375E-3</c:v>
                </c:pt>
                <c:pt idx="563">
                  <c:v>8.1015117946814375E-3</c:v>
                </c:pt>
                <c:pt idx="564">
                  <c:v>8.1015117946814375E-3</c:v>
                </c:pt>
                <c:pt idx="565">
                  <c:v>8.1015117946814375E-3</c:v>
                </c:pt>
                <c:pt idx="566">
                  <c:v>8.1015117946814375E-3</c:v>
                </c:pt>
                <c:pt idx="567">
                  <c:v>8.1015117946814375E-3</c:v>
                </c:pt>
                <c:pt idx="568">
                  <c:v>8.1015117946814375E-3</c:v>
                </c:pt>
                <c:pt idx="569">
                  <c:v>8.1015117946814375E-3</c:v>
                </c:pt>
                <c:pt idx="570">
                  <c:v>8.1015117946814375E-3</c:v>
                </c:pt>
                <c:pt idx="571">
                  <c:v>8.1015117946814375E-3</c:v>
                </c:pt>
                <c:pt idx="572">
                  <c:v>8.1015117946814375E-3</c:v>
                </c:pt>
                <c:pt idx="573">
                  <c:v>8.1015117946814375E-3</c:v>
                </c:pt>
                <c:pt idx="574">
                  <c:v>8.1015117946814375E-3</c:v>
                </c:pt>
                <c:pt idx="575">
                  <c:v>8.1015117946814375E-3</c:v>
                </c:pt>
                <c:pt idx="576">
                  <c:v>8.1015117946814375E-3</c:v>
                </c:pt>
                <c:pt idx="577">
                  <c:v>8.1015117946814375E-3</c:v>
                </c:pt>
                <c:pt idx="578">
                  <c:v>8.1015117946814375E-3</c:v>
                </c:pt>
                <c:pt idx="579">
                  <c:v>8.1015117946814375E-3</c:v>
                </c:pt>
                <c:pt idx="580">
                  <c:v>8.1015117946814375E-3</c:v>
                </c:pt>
                <c:pt idx="581">
                  <c:v>8.1015117946814375E-3</c:v>
                </c:pt>
                <c:pt idx="582">
                  <c:v>8.1015117946814375E-3</c:v>
                </c:pt>
                <c:pt idx="583">
                  <c:v>8.1015117946814375E-3</c:v>
                </c:pt>
                <c:pt idx="584">
                  <c:v>8.1015117946814375E-3</c:v>
                </c:pt>
                <c:pt idx="585">
                  <c:v>#N/A</c:v>
                </c:pt>
                <c:pt idx="586">
                  <c:v>2.7005039315604771E-3</c:v>
                </c:pt>
                <c:pt idx="587">
                  <c:v>2.7005039315604771E-3</c:v>
                </c:pt>
                <c:pt idx="588">
                  <c:v>2.7005039315604771E-3</c:v>
                </c:pt>
                <c:pt idx="589">
                  <c:v>2.7005039315604771E-3</c:v>
                </c:pt>
                <c:pt idx="590">
                  <c:v>2.7005039315604771E-3</c:v>
                </c:pt>
                <c:pt idx="591">
                  <c:v>2.7005039315604771E-3</c:v>
                </c:pt>
                <c:pt idx="592">
                  <c:v>2.7005039315604771E-3</c:v>
                </c:pt>
                <c:pt idx="593">
                  <c:v>2.7005039315604771E-3</c:v>
                </c:pt>
                <c:pt idx="594">
                  <c:v>2.7005039315604771E-3</c:v>
                </c:pt>
                <c:pt idx="595">
                  <c:v>2.7005039315604771E-3</c:v>
                </c:pt>
                <c:pt idx="596">
                  <c:v>2.7005039315604771E-3</c:v>
                </c:pt>
                <c:pt idx="597">
                  <c:v>2.7005039315604771E-3</c:v>
                </c:pt>
                <c:pt idx="598">
                  <c:v>2.7005039315604771E-3</c:v>
                </c:pt>
                <c:pt idx="599">
                  <c:v>2.7005039315604771E-3</c:v>
                </c:pt>
                <c:pt idx="600">
                  <c:v>2.7005039315604771E-3</c:v>
                </c:pt>
                <c:pt idx="601">
                  <c:v>2.7005039315604771E-3</c:v>
                </c:pt>
                <c:pt idx="602">
                  <c:v>2.7005039315604771E-3</c:v>
                </c:pt>
                <c:pt idx="603">
                  <c:v>2.7005039315604771E-3</c:v>
                </c:pt>
                <c:pt idx="604">
                  <c:v>2.7005039315604771E-3</c:v>
                </c:pt>
                <c:pt idx="605">
                  <c:v>2.7005039315604771E-3</c:v>
                </c:pt>
                <c:pt idx="606">
                  <c:v>2.7005039315604771E-3</c:v>
                </c:pt>
                <c:pt idx="607">
                  <c:v>2.7005039315604771E-3</c:v>
                </c:pt>
                <c:pt idx="608">
                  <c:v>2.7005039315604771E-3</c:v>
                </c:pt>
                <c:pt idx="609">
                  <c:v>2.7005039315604771E-3</c:v>
                </c:pt>
                <c:pt idx="610">
                  <c:v>2.7005039315604771E-3</c:v>
                </c:pt>
                <c:pt idx="611">
                  <c:v>2.7005039315604771E-3</c:v>
                </c:pt>
                <c:pt idx="612">
                  <c:v>2.7005039315604771E-3</c:v>
                </c:pt>
                <c:pt idx="613">
                  <c:v>2.7005039315604771E-3</c:v>
                </c:pt>
                <c:pt idx="614">
                  <c:v>2.7005039315604771E-3</c:v>
                </c:pt>
                <c:pt idx="615">
                  <c:v>2.7005039315604771E-3</c:v>
                </c:pt>
                <c:pt idx="616">
                  <c:v>2.7005039315604771E-3</c:v>
                </c:pt>
                <c:pt idx="617">
                  <c:v>2.7005039315604771E-3</c:v>
                </c:pt>
                <c:pt idx="618">
                  <c:v>2.7005039315604771E-3</c:v>
                </c:pt>
                <c:pt idx="619">
                  <c:v>2.7005039315604771E-3</c:v>
                </c:pt>
                <c:pt idx="620">
                  <c:v>2.7005039315604771E-3</c:v>
                </c:pt>
                <c:pt idx="621">
                  <c:v>2.7005039315604771E-3</c:v>
                </c:pt>
                <c:pt idx="622">
                  <c:v>2.7005039315604771E-3</c:v>
                </c:pt>
                <c:pt idx="623">
                  <c:v>2.7005039315604771E-3</c:v>
                </c:pt>
                <c:pt idx="624">
                  <c:v>2.7005039315604771E-3</c:v>
                </c:pt>
                <c:pt idx="625">
                  <c:v>2.7005039315604771E-3</c:v>
                </c:pt>
                <c:pt idx="626">
                  <c:v>2.7005039315604771E-3</c:v>
                </c:pt>
                <c:pt idx="627">
                  <c:v>2.7005039315604771E-3</c:v>
                </c:pt>
                <c:pt idx="628">
                  <c:v>2.7005039315604771E-3</c:v>
                </c:pt>
                <c:pt idx="629">
                  <c:v>2.7005039315604771E-3</c:v>
                </c:pt>
                <c:pt idx="630">
                  <c:v>2.7005039315604771E-3</c:v>
                </c:pt>
                <c:pt idx="631">
                  <c:v>2.7005039315604771E-3</c:v>
                </c:pt>
                <c:pt idx="632">
                  <c:v>2.7005039315604771E-3</c:v>
                </c:pt>
                <c:pt idx="633">
                  <c:v>2.7005039315604771E-3</c:v>
                </c:pt>
                <c:pt idx="634">
                  <c:v>2.7005039315604771E-3</c:v>
                </c:pt>
                <c:pt idx="635">
                  <c:v>2.7005039315604771E-3</c:v>
                </c:pt>
                <c:pt idx="636">
                  <c:v>2.7005039315604771E-3</c:v>
                </c:pt>
                <c:pt idx="637">
                  <c:v>2.7005039315604771E-3</c:v>
                </c:pt>
                <c:pt idx="638">
                  <c:v>2.7005039315604771E-3</c:v>
                </c:pt>
                <c:pt idx="639">
                  <c:v>2.7005039315604771E-3</c:v>
                </c:pt>
                <c:pt idx="640">
                  <c:v>2.7005039315604771E-3</c:v>
                </c:pt>
                <c:pt idx="641">
                  <c:v>2.7005039315604771E-3</c:v>
                </c:pt>
                <c:pt idx="642">
                  <c:v>2.7005039315604771E-3</c:v>
                </c:pt>
                <c:pt idx="643">
                  <c:v>2.7005039315604771E-3</c:v>
                </c:pt>
                <c:pt idx="644">
                  <c:v>2.7005039315604771E-3</c:v>
                </c:pt>
                <c:pt idx="645">
                  <c:v>2.7005039315604771E-3</c:v>
                </c:pt>
                <c:pt idx="646">
                  <c:v>2.7005039315604771E-3</c:v>
                </c:pt>
                <c:pt idx="647">
                  <c:v>2.7005039315604771E-3</c:v>
                </c:pt>
                <c:pt idx="648">
                  <c:v>2.7005039315604771E-3</c:v>
                </c:pt>
                <c:pt idx="649">
                  <c:v>2.7005039315604771E-3</c:v>
                </c:pt>
                <c:pt idx="650">
                  <c:v>#N/A</c:v>
                </c:pt>
              </c:numCache>
            </c:numRef>
          </c:val>
          <c:extLst>
            <c:ext xmlns:c16="http://schemas.microsoft.com/office/drawing/2014/chart" uri="{C3380CC4-5D6E-409C-BE32-E72D297353CC}">
              <c16:uniqueId val="{00000002-6293-4D7D-A5A6-C52DE4B1855D}"/>
            </c:ext>
          </c:extLst>
        </c:ser>
        <c:dLbls>
          <c:showLegendKey val="0"/>
          <c:showVal val="0"/>
          <c:showCatName val="0"/>
          <c:showSerName val="0"/>
          <c:showPercent val="0"/>
          <c:showBubbleSize val="0"/>
        </c:dLbls>
        <c:axId val="2085993312"/>
        <c:axId val="2125624672"/>
      </c:areaChart>
      <c:scatterChart>
        <c:scatterStyle val="lineMarker"/>
        <c:varyColors val="0"/>
        <c:ser>
          <c:idx val="2"/>
          <c:order val="3"/>
          <c:tx>
            <c:strRef>
              <c:f>Sandsynlighed!$BA$4</c:f>
              <c:strCache>
                <c:ptCount val="1"/>
                <c:pt idx="0">
                  <c:v>19.915%
 mindre end 2</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Sandsynlighed!$BA$7</c:f>
              <c:numCache>
                <c:formatCode>General</c:formatCode>
                <c:ptCount val="1"/>
                <c:pt idx="0">
                  <c:v>98</c:v>
                </c:pt>
              </c:numCache>
            </c:numRef>
          </c:xVal>
          <c:yVal>
            <c:numRef>
              <c:f>Sandsynlighed!$BC$4</c:f>
              <c:numCache>
                <c:formatCode>General</c:formatCode>
                <c:ptCount val="1"/>
                <c:pt idx="0">
                  <c:v>0.14936120510359185</c:v>
                </c:pt>
              </c:numCache>
            </c:numRef>
          </c:yVal>
          <c:smooth val="0"/>
          <c:extLst>
            <c:ext xmlns:c16="http://schemas.microsoft.com/office/drawing/2014/chart" uri="{C3380CC4-5D6E-409C-BE32-E72D297353CC}">
              <c16:uniqueId val="{00000003-6293-4D7D-A5A6-C52DE4B1855D}"/>
            </c:ext>
          </c:extLst>
        </c:ser>
        <c:ser>
          <c:idx val="5"/>
          <c:order val="4"/>
          <c:tx>
            <c:strRef>
              <c:f>Sandsynlighed!$BA$5</c:f>
              <c:strCache>
                <c:ptCount val="1"/>
                <c:pt idx="0">
                  <c:v>22.404%
 lig med 2</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Sandsynlighed!$BA$8</c:f>
              <c:numCache>
                <c:formatCode>General</c:formatCode>
                <c:ptCount val="1"/>
                <c:pt idx="0">
                  <c:v>163</c:v>
                </c:pt>
              </c:numCache>
            </c:numRef>
          </c:xVal>
          <c:yVal>
            <c:numRef>
              <c:f>Sandsynlighed!$BC$5</c:f>
              <c:numCache>
                <c:formatCode>General</c:formatCode>
                <c:ptCount val="1"/>
                <c:pt idx="0">
                  <c:v>0.22404180765538775</c:v>
                </c:pt>
              </c:numCache>
            </c:numRef>
          </c:yVal>
          <c:smooth val="0"/>
          <c:extLst>
            <c:ext xmlns:c16="http://schemas.microsoft.com/office/drawing/2014/chart" uri="{C3380CC4-5D6E-409C-BE32-E72D297353CC}">
              <c16:uniqueId val="{00000004-6293-4D7D-A5A6-C52DE4B1855D}"/>
            </c:ext>
          </c:extLst>
        </c:ser>
        <c:ser>
          <c:idx val="4"/>
          <c:order val="5"/>
          <c:tx>
            <c:strRef>
              <c:f>Sandsynlighed!$BA$6</c:f>
              <c:strCache>
                <c:ptCount val="1"/>
                <c:pt idx="0">
                  <c:v>57.681%
 større end 2</c:v>
                </c:pt>
              </c:strCache>
            </c:strRef>
          </c:tx>
          <c:spPr>
            <a:ln w="28575" cap="rnd">
              <a:solidFill>
                <a:schemeClr val="accent5"/>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Sandsynlighed!$BA$9</c:f>
              <c:numCache>
                <c:formatCode>General</c:formatCode>
                <c:ptCount val="1"/>
                <c:pt idx="0">
                  <c:v>228</c:v>
                </c:pt>
              </c:numCache>
            </c:numRef>
          </c:xVal>
          <c:yVal>
            <c:numRef>
              <c:f>Sandsynlighed!$BC$6</c:f>
              <c:numCache>
                <c:formatCode>General</c:formatCode>
                <c:ptCount val="1"/>
                <c:pt idx="0">
                  <c:v>0.22404180765538778</c:v>
                </c:pt>
              </c:numCache>
            </c:numRef>
          </c:yVal>
          <c:smooth val="0"/>
          <c:extLst>
            <c:ext xmlns:c16="http://schemas.microsoft.com/office/drawing/2014/chart" uri="{C3380CC4-5D6E-409C-BE32-E72D297353CC}">
              <c16:uniqueId val="{00000005-6293-4D7D-A5A6-C52DE4B1855D}"/>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Estimation!$BE$10</c:f>
          <c:strCache>
            <c:ptCount val="1"/>
            <c:pt idx="0">
              <c:v>95% Konfidensinterval for gennemsnit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Estimation!$CE$9</c:f>
              <c:strCache>
                <c:ptCount val="1"/>
                <c:pt idx="0">
                  <c:v>Alternativ hypotese</c:v>
                </c:pt>
              </c:strCache>
            </c:strRef>
          </c:tx>
          <c:spPr>
            <a:solidFill>
              <a:schemeClr val="accent1"/>
            </a:solidFill>
            <a:ln w="25400">
              <a:noFill/>
            </a:ln>
            <a:effectLst/>
          </c:spPr>
          <c:cat>
            <c:strRef>
              <c:f>Estimation!$CG$10:$CG$268</c:f>
              <c:strCache>
                <c:ptCount val="212"/>
                <c:pt idx="47">
                  <c:v>-0.583</c:v>
                </c:pt>
                <c:pt idx="129">
                  <c:v>1.854</c:v>
                </c:pt>
                <c:pt idx="211">
                  <c:v>4.291</c:v>
                </c:pt>
              </c:strCache>
            </c:strRef>
          </c:cat>
          <c:val>
            <c:numRef>
              <c:f>Estimation!$CE$10:$CE$268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EFFC-4E17-B92C-D6FCE9F53211}"/>
            </c:ext>
          </c:extLst>
        </c:ser>
        <c:ser>
          <c:idx val="1"/>
          <c:order val="1"/>
          <c:tx>
            <c:strRef>
              <c:f>Estimation!$CF$9</c:f>
              <c:strCache>
                <c:ptCount val="1"/>
                <c:pt idx="0">
                  <c:v>Nulhypotese</c:v>
                </c:pt>
              </c:strCache>
            </c:strRef>
          </c:tx>
          <c:spPr>
            <a:solidFill>
              <a:schemeClr val="accent2"/>
            </a:solidFill>
            <a:ln w="25400">
              <a:noFill/>
            </a:ln>
            <a:effectLst/>
          </c:spPr>
          <c:cat>
            <c:strRef>
              <c:f>Estimation!$CG$10:$CG$268</c:f>
              <c:strCache>
                <c:ptCount val="212"/>
                <c:pt idx="47">
                  <c:v>-0.583</c:v>
                </c:pt>
                <c:pt idx="129">
                  <c:v>1.854</c:v>
                </c:pt>
                <c:pt idx="211">
                  <c:v>4.291</c:v>
                </c:pt>
              </c:strCache>
            </c:strRef>
          </c:cat>
          <c:val>
            <c:numRef>
              <c:f>Estimation!$CF$10:$CF$268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EFFC-4E17-B92C-D6FCE9F53211}"/>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Estimation!$BZ$4</c:f>
              <c:strCache>
                <c:ptCount val="1"/>
              </c:strCache>
            </c:strRef>
          </c:tx>
          <c:spPr>
            <a:ln w="28575" cap="rnd">
              <a:solidFill>
                <a:schemeClr val="bg1"/>
              </a:solidFill>
              <a:round/>
            </a:ln>
            <a:effectLst/>
          </c:spPr>
          <c:marker>
            <c:symbol val="none"/>
          </c:marker>
          <c:xVal>
            <c:numRef>
              <c:f>Estimation!$BT$10:$BT$268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Estimation!$CD$10:$CD$268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EFFC-4E17-B92C-D6FCE9F53211}"/>
            </c:ext>
          </c:extLst>
        </c:ser>
        <c:ser>
          <c:idx val="2"/>
          <c:order val="3"/>
          <c:tx>
            <c:strRef>
              <c:f>Estimation!$CH$5</c:f>
              <c:strCache>
                <c:ptCount val="1"/>
                <c:pt idx="0">
                  <c:v>2.5% mindre end -0.583</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Estimation!$CI$2</c:f>
              <c:numCache>
                <c:formatCode>General</c:formatCode>
                <c:ptCount val="1"/>
                <c:pt idx="0">
                  <c:v>25</c:v>
                </c:pt>
              </c:numCache>
            </c:numRef>
          </c:xVal>
          <c:yVal>
            <c:numRef>
              <c:f>Estimation!$CJ$2</c:f>
              <c:numCache>
                <c:formatCode>General</c:formatCode>
                <c:ptCount val="1"/>
                <c:pt idx="0">
                  <c:v>1.7910804685522155E-2</c:v>
                </c:pt>
              </c:numCache>
            </c:numRef>
          </c:yVal>
          <c:smooth val="0"/>
          <c:extLst>
            <c:ext xmlns:c16="http://schemas.microsoft.com/office/drawing/2014/chart" uri="{C3380CC4-5D6E-409C-BE32-E72D297353CC}">
              <c16:uniqueId val="{00000003-EFFC-4E17-B92C-D6FCE9F53211}"/>
            </c:ext>
          </c:extLst>
        </c:ser>
        <c:ser>
          <c:idx val="5"/>
          <c:order val="4"/>
          <c:tx>
            <c:strRef>
              <c:f>Estimation!$CH$7</c:f>
              <c:strCache>
                <c:ptCount val="1"/>
                <c:pt idx="0">
                  <c:v>2.5% større end 4.291</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Estimation!$CI$4</c:f>
              <c:numCache>
                <c:formatCode>General</c:formatCode>
                <c:ptCount val="1"/>
                <c:pt idx="0">
                  <c:v>235</c:v>
                </c:pt>
              </c:numCache>
            </c:numRef>
          </c:xVal>
          <c:yVal>
            <c:numRef>
              <c:f>Estimation!$CJ$4</c:f>
              <c:numCache>
                <c:formatCode>General</c:formatCode>
                <c:ptCount val="1"/>
                <c:pt idx="0">
                  <c:v>1.6868301418220717E-2</c:v>
                </c:pt>
              </c:numCache>
            </c:numRef>
          </c:yVal>
          <c:smooth val="0"/>
          <c:extLst>
            <c:ext xmlns:c16="http://schemas.microsoft.com/office/drawing/2014/chart" uri="{C3380CC4-5D6E-409C-BE32-E72D297353CC}">
              <c16:uniqueId val="{00000007-EFFC-4E17-B92C-D6FCE9F53211}"/>
            </c:ext>
          </c:extLst>
        </c:ser>
        <c:ser>
          <c:idx val="4"/>
          <c:order val="5"/>
          <c:tx>
            <c:strRef>
              <c:f>Estimation!$CH$6</c:f>
              <c:strCache>
                <c:ptCount val="1"/>
                <c:pt idx="0">
                  <c:v>95% mellem -0.583 og 4.291</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Estimation!$CI$3</c:f>
              <c:numCache>
                <c:formatCode>General</c:formatCode>
                <c:ptCount val="1"/>
                <c:pt idx="0">
                  <c:v>130</c:v>
                </c:pt>
              </c:numCache>
            </c:numRef>
          </c:xVal>
          <c:yVal>
            <c:numRef>
              <c:f>Estimation!$CJ$3</c:f>
              <c:numCache>
                <c:formatCode>General</c:formatCode>
                <c:ptCount val="1"/>
                <c:pt idx="0">
                  <c:v>0.3989422804014327</c:v>
                </c:pt>
              </c:numCache>
            </c:numRef>
          </c:yVal>
          <c:smooth val="0"/>
          <c:extLst>
            <c:ext xmlns:c16="http://schemas.microsoft.com/office/drawing/2014/chart" uri="{C3380CC4-5D6E-409C-BE32-E72D297353CC}">
              <c16:uniqueId val="{00000004-EFFC-4E17-B92C-D6FCE9F53211}"/>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Estimation!$BE$11</c:f>
              <c:strCache>
                <c:ptCount val="1"/>
                <c:pt idx="0">
                  <c:v>Populationsestimat for gennemsnit fra stikprøver af størrelsen n = 12
fra en population med gennemsnit = 1.854
 og standardafvigelse = 4.307</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Estimation!$BF$10</c:f>
          <c:strCache>
            <c:ptCount val="1"/>
            <c:pt idx="0">
              <c:v>95% Konfidensinterval for standardafvigelse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Estimation!$DS$9</c:f>
              <c:strCache>
                <c:ptCount val="1"/>
                <c:pt idx="0">
                  <c:v>Alternativ hypotese</c:v>
                </c:pt>
              </c:strCache>
            </c:strRef>
          </c:tx>
          <c:spPr>
            <a:solidFill>
              <a:schemeClr val="accent1"/>
            </a:solidFill>
            <a:ln w="25400">
              <a:noFill/>
            </a:ln>
            <a:effectLst/>
          </c:spPr>
          <c:cat>
            <c:strRef>
              <c:f>Estimation!$DU$10:$DU$268</c:f>
              <c:strCache>
                <c:ptCount val="177"/>
                <c:pt idx="17">
                  <c:v>3.051</c:v>
                </c:pt>
                <c:pt idx="75">
                  <c:v>4.307</c:v>
                </c:pt>
                <c:pt idx="176">
                  <c:v>7.313</c:v>
                </c:pt>
              </c:strCache>
            </c:strRef>
          </c:cat>
          <c:val>
            <c:numRef>
              <c:f>Estimation!$DS$10:$DS$268</c:f>
              <c:numCache>
                <c:formatCode>General</c:formatCode>
                <c:ptCount val="259"/>
                <c:pt idx="0">
                  <c:v>2.584652692089497E-3</c:v>
                </c:pt>
                <c:pt idx="1">
                  <c:v>3.2030638559866179E-3</c:v>
                </c:pt>
                <c:pt idx="2">
                  <c:v>3.9085485663345257E-3</c:v>
                </c:pt>
                <c:pt idx="3">
                  <c:v>4.7040864314258782E-3</c:v>
                </c:pt>
                <c:pt idx="4">
                  <c:v>5.5918734303673726E-3</c:v>
                </c:pt>
                <c:pt idx="5">
                  <c:v>6.5733183610466994E-3</c:v>
                </c:pt>
                <c:pt idx="6">
                  <c:v>7.6490508688432726E-3</c:v>
                </c:pt>
                <c:pt idx="7">
                  <c:v>8.8189394770563246E-3</c:v>
                </c:pt>
                <c:pt idx="8">
                  <c:v>1.0082118119969227E-2</c:v>
                </c:pt>
                <c:pt idx="9">
                  <c:v>1.1437019773006292E-2</c:v>
                </c:pt>
                <c:pt idx="10">
                  <c:v>1.2881415876320907E-2</c:v>
                </c:pt>
                <c:pt idx="11">
                  <c:v>1.4412460354358489E-2</c:v>
                </c:pt>
                <c:pt idx="12">
                  <c:v>1.6026737141399662E-2</c:v>
                </c:pt>
                <c:pt idx="13">
                  <c:v>1.7720310229491915E-2</c:v>
                </c:pt>
                <c:pt idx="14">
                  <c:v>1.9488775358795587E-2</c:v>
                </c:pt>
                <c:pt idx="15">
                  <c:v>2.1327312569947666E-2</c:v>
                </c:pt>
                <c:pt idx="16">
                  <c:v>2.3230738932695595E-2</c:v>
                </c:pt>
                <c:pt idx="17">
                  <c:v>2.5193560854176802E-2</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7.6914759938026978E-3</c:v>
                </c:pt>
                <c:pt idx="178">
                  <c:v>7.4359322344494704E-3</c:v>
                </c:pt>
                <c:pt idx="179">
                  <c:v>7.1880199014143151E-3</c:v>
                </c:pt>
                <c:pt idx="180">
                  <c:v>6.9475513000146864E-3</c:v>
                </c:pt>
                <c:pt idx="181">
                  <c:v>6.7143414024175164E-3</c:v>
                </c:pt>
                <c:pt idx="182">
                  <c:v>6.4882079162847089E-3</c:v>
                </c:pt>
                <c:pt idx="183">
                  <c:v>6.2689713455861351E-3</c:v>
                </c:pt>
                <c:pt idx="184">
                  <c:v>6.0564550439681829E-3</c:v>
                </c:pt>
                <c:pt idx="185">
                  <c:v>5.8504852610541331E-3</c:v>
                </c:pt>
                <c:pt idx="186">
                  <c:v>5.6508911820412622E-3</c:v>
                </c:pt>
                <c:pt idx="187">
                  <c:v>5.4575049609478614E-3</c:v>
                </c:pt>
                <c:pt idx="188">
                  <c:v>5.2701617478520162E-3</c:v>
                </c:pt>
                <c:pt idx="189">
                  <c:v>5.0886997104524724E-3</c:v>
                </c:pt>
                <c:pt idx="190">
                  <c:v>4.9129600502706896E-3</c:v>
                </c:pt>
                <c:pt idx="191">
                  <c:v>4.742787013801879E-3</c:v>
                </c:pt>
                <c:pt idx="192">
                  <c:v>4.5780278989119051E-3</c:v>
                </c:pt>
                <c:pt idx="193">
                  <c:v>4.4185330567658521E-3</c:v>
                </c:pt>
                <c:pt idx="194">
                  <c:v>4.2641558895634693E-3</c:v>
                </c:pt>
                <c:pt idx="195">
                  <c:v>4.1147528443460516E-3</c:v>
                </c:pt>
                <c:pt idx="196">
                  <c:v>3.9701834031289508E-3</c:v>
                </c:pt>
                <c:pt idx="197">
                  <c:v>3.8303100696038244E-3</c:v>
                </c:pt>
                <c:pt idx="198">
                  <c:v>3.6949983526446363E-3</c:v>
                </c:pt>
                <c:pt idx="199">
                  <c:v>3.564116746841857E-3</c:v>
                </c:pt>
                <c:pt idx="200">
                  <c:v>3.4375367102795801E-3</c:v>
                </c:pt>
                <c:pt idx="201">
                  <c:v>3.3151326397612151E-3</c:v>
                </c:pt>
                <c:pt idx="202">
                  <c:v>3.1967818436801831E-3</c:v>
                </c:pt>
                <c:pt idx="203">
                  <c:v>3.0823645127233709E-3</c:v>
                </c:pt>
                <c:pt idx="204">
                  <c:v>2.9717636885863707E-3</c:v>
                </c:pt>
                <c:pt idx="205">
                  <c:v>2.8648652308713566E-3</c:v>
                </c:pt>
                <c:pt idx="206">
                  <c:v>2.7615577823302622E-3</c:v>
                </c:pt>
                <c:pt idx="207">
                  <c:v>2.6617327326080762E-3</c:v>
                </c:pt>
                <c:pt idx="208">
                  <c:v>2.5652841806335465E-3</c:v>
                </c:pt>
                <c:pt idx="209">
                  <c:v>2.4721088957970891E-3</c:v>
                </c:pt>
                <c:pt idx="210">
                  <c:v>2.3821062780487148E-3</c:v>
                </c:pt>
                <c:pt idx="211">
                  <c:v>2.2951783170417853E-3</c:v>
                </c:pt>
                <c:pt idx="212">
                  <c:v>2.2112295504418127E-3</c:v>
                </c:pt>
                <c:pt idx="213">
                  <c:v>2.13016702151311E-3</c:v>
                </c:pt>
                <c:pt idx="214">
                  <c:v>2.0519002360898223E-3</c:v>
                </c:pt>
                <c:pt idx="215">
                  <c:v>1.9763411190320398E-3</c:v>
                </c:pt>
                <c:pt idx="216">
                  <c:v>1.9034039702618313E-3</c:v>
                </c:pt>
                <c:pt idx="217">
                  <c:v>1.8330054204685668E-3</c:v>
                </c:pt>
                <c:pt idx="218">
                  <c:v>1.765064386567556E-3</c:v>
                </c:pt>
                <c:pt idx="219">
                  <c:v>1.6995020269909965E-3</c:v>
                </c:pt>
                <c:pt idx="220">
                  <c:v>1.6362416968852462E-3</c:v>
                </c:pt>
                <c:pt idx="221">
                  <c:v>1.5752089032837508E-3</c:v>
                </c:pt>
                <c:pt idx="222">
                  <c:v>1.5163312603205478E-3</c:v>
                </c:pt>
                <c:pt idx="223">
                  <c:v>1.4595384445448083E-3</c:v>
                </c:pt>
                <c:pt idx="224">
                  <c:v>1.4047621503929077E-3</c:v>
                </c:pt>
                <c:pt idx="225">
                  <c:v>1.3519360458704474E-3</c:v>
                </c:pt>
                <c:pt idx="226">
                  <c:v>1.3009957284929644E-3</c:v>
                </c:pt>
                <c:pt idx="227">
                  <c:v>1.2518786815304316E-3</c:v>
                </c:pt>
                <c:pt idx="228">
                  <c:v>1.2045242305972269E-3</c:v>
                </c:pt>
                <c:pt idx="229">
                  <c:v>1.1588735006259946E-3</c:v>
                </c:pt>
                <c:pt idx="230">
                  <c:v>1.1148693732606777E-3</c:v>
                </c:pt>
                <c:pt idx="231">
                  <c:v>1.072456444701067E-3</c:v>
                </c:pt>
                <c:pt idx="232">
                  <c:v>1.0315809840283814E-3</c:v>
                </c:pt>
                <c:pt idx="233">
                  <c:v>9.9219089203870831E-4</c:v>
                </c:pt>
                <c:pt idx="234">
                  <c:v>9.5423566060861794E-4</c:v>
                </c:pt>
                <c:pt idx="235">
                  <c:v>9.1766633261481496E-4</c:v>
                </c:pt>
                <c:pt idx="236">
                  <c:v>8.8243546242745981E-4</c:v>
                </c:pt>
                <c:pt idx="237">
                  <c:v>8.4849707699458045E-4</c:v>
                </c:pt>
                <c:pt idx="238">
                  <c:v>8.1580663753299219E-4</c:v>
                </c:pt>
                <c:pt idx="239">
                  <c:v>7.8432100183917892E-4</c:v>
                </c:pt>
                <c:pt idx="240">
                  <c:v>7.539983872317963E-4</c:v>
                </c:pt>
                <c:pt idx="241">
                  <c:v>7.2479833413572193E-4</c:v>
                </c:pt>
                <c:pt idx="242">
                  <c:v>6.966816703159669E-4</c:v>
                </c:pt>
                <c:pt idx="243">
                  <c:v>6.696104757682301E-4</c:v>
                </c:pt>
                <c:pt idx="244">
                  <c:v>6.4354804827147945E-4</c:v>
                </c:pt>
                <c:pt idx="245">
                  <c:v>6.1845886960655789E-4</c:v>
                </c:pt>
                <c:pt idx="246">
                  <c:v>5.9430857244359425E-4</c:v>
                </c:pt>
                <c:pt idx="247">
                  <c:v>5.7106390789980711E-4</c:v>
                </c:pt>
                <c:pt idx="248">
                  <c:v>5.4869271376819053E-4</c:v>
                </c:pt>
                <c:pt idx="249">
                  <c:v>5.2716388341654432E-4</c:v>
                </c:pt>
                <c:pt idx="250">
                  <c:v>5.0644733535538239E-4</c:v>
                </c:pt>
                <c:pt idx="251">
                  <c:v>4.8651398347232842E-4</c:v>
                </c:pt>
                <c:pt idx="252">
                  <c:v>4.6733570792980748E-4</c:v>
                </c:pt>
                <c:pt idx="253">
                  <c:v>4.4888532672208905E-4</c:v>
                </c:pt>
                <c:pt idx="254">
                  <c:v>4.3113656788701659E-4</c:v>
                </c:pt>
                <c:pt idx="255">
                  <c:v>4.1406404236711146E-4</c:v>
                </c:pt>
                <c:pt idx="256">
                  <c:v>3.9764321751416568E-4</c:v>
                </c:pt>
                <c:pt idx="257">
                  <c:v>3.8185039123086372E-4</c:v>
                </c:pt>
                <c:pt idx="258">
                  <c:v>3.6666266674250183E-4</c:v>
                </c:pt>
              </c:numCache>
            </c:numRef>
          </c:val>
          <c:extLst>
            <c:ext xmlns:c16="http://schemas.microsoft.com/office/drawing/2014/chart" uri="{C3380CC4-5D6E-409C-BE32-E72D297353CC}">
              <c16:uniqueId val="{00000000-82A0-46BD-ACDC-0C36174C5835}"/>
            </c:ext>
          </c:extLst>
        </c:ser>
        <c:ser>
          <c:idx val="1"/>
          <c:order val="1"/>
          <c:tx>
            <c:strRef>
              <c:f>Estimation!$DT$9</c:f>
              <c:strCache>
                <c:ptCount val="1"/>
                <c:pt idx="0">
                  <c:v>Nulhypotese</c:v>
                </c:pt>
              </c:strCache>
            </c:strRef>
          </c:tx>
          <c:spPr>
            <a:solidFill>
              <a:schemeClr val="accent2"/>
            </a:solidFill>
            <a:ln w="25400">
              <a:noFill/>
            </a:ln>
            <a:effectLst/>
          </c:spPr>
          <c:cat>
            <c:strRef>
              <c:f>Estimation!$DU$10:$DU$268</c:f>
              <c:strCache>
                <c:ptCount val="177"/>
                <c:pt idx="17">
                  <c:v>3.051</c:v>
                </c:pt>
                <c:pt idx="75">
                  <c:v>4.307</c:v>
                </c:pt>
                <c:pt idx="176">
                  <c:v>7.313</c:v>
                </c:pt>
              </c:strCache>
            </c:strRef>
          </c:cat>
          <c:val>
            <c:numRef>
              <c:f>Estimation!$DT$10:$DT$268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2.7210025453453968E-2</c:v>
                </c:pt>
                <c:pt idx="19">
                  <c:v>2.9274170566074054E-2</c:v>
                </c:pt>
                <c:pt idx="20">
                  <c:v>3.1379873013457245E-2</c:v>
                </c:pt>
                <c:pt idx="21">
                  <c:v>3.3520894836903251E-2</c:v>
                </c:pt>
                <c:pt idx="22">
                  <c:v>3.5690927255072682E-2</c:v>
                </c:pt>
                <c:pt idx="23">
                  <c:v>3.7883632157168431E-2</c:v>
                </c:pt>
                <c:pt idx="24">
                  <c:v>4.0092680991955953E-2</c:v>
                </c:pt>
                <c:pt idx="25">
                  <c:v>4.2311790955508063E-2</c:v>
                </c:pt>
                <c:pt idx="26">
                  <c:v>4.4534758418438077E-2</c:v>
                </c:pt>
                <c:pt idx="27">
                  <c:v>4.6755489566712091E-2</c:v>
                </c:pt>
                <c:pt idx="28">
                  <c:v>4.8968028259221252E-2</c:v>
                </c:pt>
                <c:pt idx="29">
                  <c:v>5.1166581130469804E-2</c:v>
                </c:pt>
                <c:pt idx="30">
                  <c:v>5.3345539988300897E-2</c:v>
                </c:pt>
                <c:pt idx="31">
                  <c:v>5.5499501574844977E-2</c:v>
                </c:pt>
                <c:pt idx="32">
                  <c:v>5.7623284774130229E-2</c:v>
                </c:pt>
                <c:pt idx="33">
                  <c:v>5.9711945362308241E-2</c:v>
                </c:pt>
                <c:pt idx="34">
                  <c:v>6.1760788406504986E-2</c:v>
                </c:pt>
                <c:pt idx="35">
                  <c:v>6.3765378426136568E-2</c:v>
                </c:pt>
                <c:pt idx="36">
                  <c:v>6.5721547436379868E-2</c:v>
                </c:pt>
                <c:pt idx="37">
                  <c:v>6.7625400997576274E-2</c:v>
                </c:pt>
                <c:pt idx="38">
                  <c:v>6.9473322396871304E-2</c:v>
                </c:pt>
                <c:pt idx="39">
                  <c:v>7.126197508955133E-2</c:v>
                </c:pt>
                <c:pt idx="40">
                  <c:v>7.2988303527497175E-2</c:v>
                </c:pt>
                <c:pt idx="41">
                  <c:v>7.4649532501100041E-2</c:v>
                </c:pt>
                <c:pt idx="42">
                  <c:v>7.6243165119018616E-2</c:v>
                </c:pt>
                <c:pt idx="43">
                  <c:v>7.7766979547437623E-2</c:v>
                </c:pt>
                <c:pt idx="44">
                  <c:v>7.9219024627133594E-2</c:v>
                </c:pt>
                <c:pt idx="45">
                  <c:v>8.0597614482774499E-2</c:v>
                </c:pt>
                <c:pt idx="46">
                  <c:v>8.1901322234579216E-2</c:v>
                </c:pt>
                <c:pt idx="47">
                  <c:v>8.3128972917823465E-2</c:v>
                </c:pt>
                <c:pt idx="48">
                  <c:v>8.4279635710785644E-2</c:v>
                </c:pt>
                <c:pt idx="49">
                  <c:v>8.5352615566646459E-2</c:v>
                </c:pt>
                <c:pt idx="50">
                  <c:v>8.6347444339654689E-2</c:v>
                </c:pt>
                <c:pt idx="51">
                  <c:v>8.7263871490603204E-2</c:v>
                </c:pt>
                <c:pt idx="52">
                  <c:v>8.8101854451371309E-2</c:v>
                </c:pt>
                <c:pt idx="53">
                  <c:v>8.8861548723025457E-2</c:v>
                </c:pt>
                <c:pt idx="54">
                  <c:v>8.954329777676559E-2</c:v>
                </c:pt>
                <c:pt idx="55">
                  <c:v>9.0147622821889442E-2</c:v>
                </c:pt>
                <c:pt idx="56">
                  <c:v>9.0675212499950975E-2</c:v>
                </c:pt>
                <c:pt idx="57">
                  <c:v>9.1126912559427717E-2</c:v>
                </c:pt>
                <c:pt idx="58">
                  <c:v>9.1503715560512691E-2</c:v>
                </c:pt>
                <c:pt idx="59">
                  <c:v>9.1806750655112832E-2</c:v>
                </c:pt>
                <c:pt idx="60">
                  <c:v>9.2037273482789353E-2</c:v>
                </c:pt>
                <c:pt idx="61">
                  <c:v>9.2196656219217965E-2</c:v>
                </c:pt>
                <c:pt idx="62">
                  <c:v>9.228637780978749E-2</c:v>
                </c:pt>
                <c:pt idx="63">
                  <c:v>9.2308014417196882E-2</c:v>
                </c:pt>
                <c:pt idx="64">
                  <c:v>9.226323010835695E-2</c:v>
                </c:pt>
                <c:pt idx="65">
                  <c:v>9.2153767802551093E-2</c:v>
                </c:pt>
                <c:pt idx="66">
                  <c:v>9.198144049966174E-2</c:v>
                </c:pt>
                <c:pt idx="67">
                  <c:v>9.1748122804320709E-2</c:v>
                </c:pt>
                <c:pt idx="68">
                  <c:v>9.1455742759090727E-2</c:v>
                </c:pt>
                <c:pt idx="69">
                  <c:v>9.1106273997226025E-2</c:v>
                </c:pt>
                <c:pt idx="70">
                  <c:v>9.0701728223188074E-2</c:v>
                </c:pt>
                <c:pt idx="71">
                  <c:v>9.024414802690281E-2</c:v>
                </c:pt>
                <c:pt idx="72">
                  <c:v>8.9735600035729654E-2</c:v>
                </c:pt>
                <c:pt idx="73">
                  <c:v>8.9178168406266661E-2</c:v>
                </c:pt>
                <c:pt idx="74">
                  <c:v>8.857394865643009E-2</c:v>
                </c:pt>
                <c:pt idx="75">
                  <c:v>8.7925041836716789E-2</c:v>
                </c:pt>
                <c:pt idx="76">
                  <c:v>8.7233549038172459E-2</c:v>
                </c:pt>
                <c:pt idx="77">
                  <c:v>8.6501566233345414E-2</c:v>
                </c:pt>
                <c:pt idx="78">
                  <c:v>8.5731179445392575E-2</c:v>
                </c:pt>
                <c:pt idx="79">
                  <c:v>8.4924460239516705E-2</c:v>
                </c:pt>
                <c:pt idx="80">
                  <c:v>8.4083461530043563E-2</c:v>
                </c:pt>
                <c:pt idx="81">
                  <c:v>8.3210213695687846E-2</c:v>
                </c:pt>
                <c:pt idx="82">
                  <c:v>8.230672099489951E-2</c:v>
                </c:pt>
                <c:pt idx="83">
                  <c:v>8.1374958272621298E-2</c:v>
                </c:pt>
                <c:pt idx="84">
                  <c:v>8.0416867949317919E-2</c:v>
                </c:pt>
                <c:pt idx="85">
                  <c:v>7.9434357282748405E-2</c:v>
                </c:pt>
                <c:pt idx="86">
                  <c:v>7.842929589264333E-2</c:v>
                </c:pt>
                <c:pt idx="87">
                  <c:v>7.7403513538207847E-2</c:v>
                </c:pt>
                <c:pt idx="88">
                  <c:v>7.635879813819707E-2</c:v>
                </c:pt>
                <c:pt idx="89">
                  <c:v>7.5296894023195615E-2</c:v>
                </c:pt>
                <c:pt idx="90">
                  <c:v>7.4219500409672207E-2</c:v>
                </c:pt>
                <c:pt idx="91">
                  <c:v>7.3128270085369887E-2</c:v>
                </c:pt>
                <c:pt idx="92">
                  <c:v>7.2024808295626394E-2</c:v>
                </c:pt>
                <c:pt idx="93">
                  <c:v>7.0910671820293661E-2</c:v>
                </c:pt>
                <c:pt idx="94">
                  <c:v>6.9787368231036304E-2</c:v>
                </c:pt>
                <c:pt idx="95">
                  <c:v>6.8656355318932036E-2</c:v>
                </c:pt>
                <c:pt idx="96">
                  <c:v>6.7519040682468889E-2</c:v>
                </c:pt>
                <c:pt idx="97">
                  <c:v>6.6376781466230855E-2</c:v>
                </c:pt>
                <c:pt idx="98">
                  <c:v>6.5230884240782203E-2</c:v>
                </c:pt>
                <c:pt idx="99">
                  <c:v>6.4082605014498681E-2</c:v>
                </c:pt>
                <c:pt idx="100">
                  <c:v>6.293314936834786E-2</c:v>
                </c:pt>
                <c:pt idx="101">
                  <c:v>6.1783672704887396E-2</c:v>
                </c:pt>
                <c:pt idx="102">
                  <c:v>6.0635280603029251E-2</c:v>
                </c:pt>
                <c:pt idx="103">
                  <c:v>5.9489029270404468E-2</c:v>
                </c:pt>
                <c:pt idx="104">
                  <c:v>5.834592608545798E-2</c:v>
                </c:pt>
                <c:pt idx="105">
                  <c:v>5.7206930221701147E-2</c:v>
                </c:pt>
                <c:pt idx="106">
                  <c:v>5.6072953346852777E-2</c:v>
                </c:pt>
                <c:pt idx="107">
                  <c:v>5.494486038990349E-2</c:v>
                </c:pt>
                <c:pt idx="108">
                  <c:v>5.3823470369441753E-2</c:v>
                </c:pt>
                <c:pt idx="109">
                  <c:v>5.2709557276885192E-2</c:v>
                </c:pt>
                <c:pt idx="110">
                  <c:v>5.1603851008559944E-2</c:v>
                </c:pt>
                <c:pt idx="111">
                  <c:v>5.0507038340871085E-2</c:v>
                </c:pt>
                <c:pt idx="112">
                  <c:v>4.9419763943099951E-2</c:v>
                </c:pt>
                <c:pt idx="113">
                  <c:v>4.8342631422654346E-2</c:v>
                </c:pt>
                <c:pt idx="114">
                  <c:v>4.7276204397881473E-2</c:v>
                </c:pt>
                <c:pt idx="115">
                  <c:v>4.6221007593830528E-2</c:v>
                </c:pt>
                <c:pt idx="116">
                  <c:v>4.5177527956623796E-2</c:v>
                </c:pt>
                <c:pt idx="117">
                  <c:v>4.4146215782358278E-2</c:v>
                </c:pt>
                <c:pt idx="118">
                  <c:v>4.3127485856716836E-2</c:v>
                </c:pt>
                <c:pt idx="119">
                  <c:v>4.2121718601716034E-2</c:v>
                </c:pt>
                <c:pt idx="120">
                  <c:v>4.1129261226258734E-2</c:v>
                </c:pt>
                <c:pt idx="121">
                  <c:v>4.0150428877391404E-2</c:v>
                </c:pt>
                <c:pt idx="122">
                  <c:v>3.9185505789390514E-2</c:v>
                </c:pt>
                <c:pt idx="123">
                  <c:v>3.8234746428017247E-2</c:v>
                </c:pt>
                <c:pt idx="124">
                  <c:v>3.7298376627487174E-2</c:v>
                </c:pt>
                <c:pt idx="125">
                  <c:v>3.6376594717899113E-2</c:v>
                </c:pt>
                <c:pt idx="126">
                  <c:v>3.5469572641058468E-2</c:v>
                </c:pt>
                <c:pt idx="127">
                  <c:v>3.4577457052810151E-2</c:v>
                </c:pt>
                <c:pt idx="128">
                  <c:v>3.3700370410170197E-2</c:v>
                </c:pt>
                <c:pt idx="129">
                  <c:v>3.2838412041709814E-2</c:v>
                </c:pt>
                <c:pt idx="130">
                  <c:v>3.1991659199801618E-2</c:v>
                </c:pt>
                <c:pt idx="131">
                  <c:v>3.1160168093486602E-2</c:v>
                </c:pt>
                <c:pt idx="132">
                  <c:v>3.0343974900861607E-2</c:v>
                </c:pt>
                <c:pt idx="133">
                  <c:v>2.9543096760019427E-2</c:v>
                </c:pt>
                <c:pt idx="134">
                  <c:v>2.8757532737699435E-2</c:v>
                </c:pt>
                <c:pt idx="135">
                  <c:v>2.798726477492559E-2</c:v>
                </c:pt>
                <c:pt idx="136">
                  <c:v>2.7232258609019386E-2</c:v>
                </c:pt>
                <c:pt idx="137">
                  <c:v>2.6492464671480021E-2</c:v>
                </c:pt>
                <c:pt idx="138">
                  <c:v>2.5767818961322256E-2</c:v>
                </c:pt>
                <c:pt idx="139">
                  <c:v>2.5058243893553676E-2</c:v>
                </c:pt>
                <c:pt idx="140">
                  <c:v>2.4363649122558756E-2</c:v>
                </c:pt>
                <c:pt idx="141">
                  <c:v>2.368393234023642E-2</c:v>
                </c:pt>
                <c:pt idx="142">
                  <c:v>2.3018980048812178E-2</c:v>
                </c:pt>
                <c:pt idx="143">
                  <c:v>2.2368668308313761E-2</c:v>
                </c:pt>
                <c:pt idx="144">
                  <c:v>2.1732863458762738E-2</c:v>
                </c:pt>
                <c:pt idx="145">
                  <c:v>2.1111422817193068E-2</c:v>
                </c:pt>
                <c:pt idx="146">
                  <c:v>2.0504195349660678E-2</c:v>
                </c:pt>
                <c:pt idx="147">
                  <c:v>1.9911022318457171E-2</c:v>
                </c:pt>
                <c:pt idx="148">
                  <c:v>1.9331737904786175E-2</c:v>
                </c:pt>
                <c:pt idx="149">
                  <c:v>1.8766169807200226E-2</c:v>
                </c:pt>
                <c:pt idx="150">
                  <c:v>1.8214139816133987E-2</c:v>
                </c:pt>
                <c:pt idx="151">
                  <c:v>1.7675464364901958E-2</c:v>
                </c:pt>
                <c:pt idx="152">
                  <c:v>1.7149955057558421E-2</c:v>
                </c:pt>
                <c:pt idx="153">
                  <c:v>1.6637419174044116E-2</c:v>
                </c:pt>
                <c:pt idx="154">
                  <c:v>1.61376601530667E-2</c:v>
                </c:pt>
                <c:pt idx="155">
                  <c:v>1.5650478053182721E-2</c:v>
                </c:pt>
                <c:pt idx="156">
                  <c:v>1.5175669992566221E-2</c:v>
                </c:pt>
                <c:pt idx="157">
                  <c:v>1.4713030567963909E-2</c:v>
                </c:pt>
                <c:pt idx="158">
                  <c:v>1.4262352253349727E-2</c:v>
                </c:pt>
                <c:pt idx="159">
                  <c:v>1.3823425778801282E-2</c:v>
                </c:pt>
                <c:pt idx="160">
                  <c:v>1.3396040490129536E-2</c:v>
                </c:pt>
                <c:pt idx="161">
                  <c:v>1.2979984689798841E-2</c:v>
                </c:pt>
                <c:pt idx="162">
                  <c:v>1.2575045959678788E-2</c:v>
                </c:pt>
                <c:pt idx="163">
                  <c:v>1.2181011466172601E-2</c:v>
                </c:pt>
                <c:pt idx="164">
                  <c:v>1.1797668248267034E-2</c:v>
                </c:pt>
                <c:pt idx="165">
                  <c:v>1.1424803489049444E-2</c:v>
                </c:pt>
                <c:pt idx="166">
                  <c:v>1.1062204771235188E-2</c:v>
                </c:pt>
                <c:pt idx="167">
                  <c:v>1.0709660317246334E-2</c:v>
                </c:pt>
                <c:pt idx="168">
                  <c:v>1.0366959214378312E-2</c:v>
                </c:pt>
                <c:pt idx="169">
                  <c:v>1.0033891625586211E-2</c:v>
                </c:pt>
                <c:pt idx="170">
                  <c:v>9.7102489864168053E-3</c:v>
                </c:pt>
                <c:pt idx="171">
                  <c:v>9.3958241886053437E-3</c:v>
                </c:pt>
                <c:pt idx="172">
                  <c:v>9.0904117508488272E-3</c:v>
                </c:pt>
                <c:pt idx="173">
                  <c:v>8.7938079772592812E-3</c:v>
                </c:pt>
                <c:pt idx="174">
                  <c:v>8.5058111039919785E-3</c:v>
                </c:pt>
                <c:pt idx="175">
                  <c:v>8.2262214345339302E-3</c:v>
                </c:pt>
                <c:pt idx="176">
                  <c:v>7.9548414641286321E-3</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82A0-46BD-ACDC-0C36174C5835}"/>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Estimation!$DN$4</c:f>
              <c:strCache>
                <c:ptCount val="1"/>
              </c:strCache>
            </c:strRef>
          </c:tx>
          <c:spPr>
            <a:ln w="28575" cap="rnd">
              <a:solidFill>
                <a:schemeClr val="bg1"/>
              </a:solidFill>
              <a:round/>
            </a:ln>
            <a:effectLst/>
          </c:spPr>
          <c:marker>
            <c:symbol val="none"/>
          </c:marker>
          <c:xVal>
            <c:numRef>
              <c:f>Estimation!$DH$10:$DH$268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Estimation!$DR$10:$DR$268</c:f>
              <c:numCache>
                <c:formatCode>General</c:formatCode>
                <c:ptCount val="259"/>
                <c:pt idx="0">
                  <c:v>2.584652692089497E-3</c:v>
                </c:pt>
                <c:pt idx="1">
                  <c:v>3.2030638559866179E-3</c:v>
                </c:pt>
                <c:pt idx="2">
                  <c:v>3.9085485663345257E-3</c:v>
                </c:pt>
                <c:pt idx="3">
                  <c:v>4.7040864314258782E-3</c:v>
                </c:pt>
                <c:pt idx="4">
                  <c:v>5.5918734303673726E-3</c:v>
                </c:pt>
                <c:pt idx="5">
                  <c:v>6.5733183610466994E-3</c:v>
                </c:pt>
                <c:pt idx="6">
                  <c:v>7.6490508688432726E-3</c:v>
                </c:pt>
                <c:pt idx="7">
                  <c:v>8.8189394770563246E-3</c:v>
                </c:pt>
                <c:pt idx="8">
                  <c:v>1.0082118119969227E-2</c:v>
                </c:pt>
                <c:pt idx="9">
                  <c:v>1.1437019773006292E-2</c:v>
                </c:pt>
                <c:pt idx="10">
                  <c:v>1.2881415876320907E-2</c:v>
                </c:pt>
                <c:pt idx="11">
                  <c:v>1.4412460354358489E-2</c:v>
                </c:pt>
                <c:pt idx="12">
                  <c:v>1.6026737141399662E-2</c:v>
                </c:pt>
                <c:pt idx="13">
                  <c:v>1.7720310229491915E-2</c:v>
                </c:pt>
                <c:pt idx="14">
                  <c:v>1.9488775358795587E-2</c:v>
                </c:pt>
                <c:pt idx="15">
                  <c:v>2.1327312569947666E-2</c:v>
                </c:pt>
                <c:pt idx="16">
                  <c:v>2.3230738932695595E-2</c:v>
                </c:pt>
                <c:pt idx="17">
                  <c:v>2.5193560854176802E-2</c:v>
                </c:pt>
                <c:pt idx="18">
                  <c:v>2.7210025453453968E-2</c:v>
                </c:pt>
                <c:pt idx="19">
                  <c:v>2.9274170566074054E-2</c:v>
                </c:pt>
                <c:pt idx="20">
                  <c:v>3.1379873013457245E-2</c:v>
                </c:pt>
                <c:pt idx="21">
                  <c:v>3.3520894836903251E-2</c:v>
                </c:pt>
                <c:pt idx="22">
                  <c:v>3.5690927255072682E-2</c:v>
                </c:pt>
                <c:pt idx="23">
                  <c:v>3.7883632157168431E-2</c:v>
                </c:pt>
                <c:pt idx="24">
                  <c:v>4.0092680991955953E-2</c:v>
                </c:pt>
                <c:pt idx="25">
                  <c:v>4.2311790955508063E-2</c:v>
                </c:pt>
                <c:pt idx="26">
                  <c:v>4.4534758418438077E-2</c:v>
                </c:pt>
                <c:pt idx="27">
                  <c:v>4.6755489566712091E-2</c:v>
                </c:pt>
                <c:pt idx="28">
                  <c:v>4.8968028259221252E-2</c:v>
                </c:pt>
                <c:pt idx="29">
                  <c:v>5.1166581130469804E-2</c:v>
                </c:pt>
                <c:pt idx="30">
                  <c:v>5.3345539988300897E-2</c:v>
                </c:pt>
                <c:pt idx="31">
                  <c:v>5.5499501574844977E-2</c:v>
                </c:pt>
                <c:pt idx="32">
                  <c:v>5.7623284774130229E-2</c:v>
                </c:pt>
                <c:pt idx="33">
                  <c:v>5.9711945362308241E-2</c:v>
                </c:pt>
                <c:pt idx="34">
                  <c:v>6.1760788406504986E-2</c:v>
                </c:pt>
                <c:pt idx="35">
                  <c:v>6.3765378426136568E-2</c:v>
                </c:pt>
                <c:pt idx="36">
                  <c:v>6.5721547436379868E-2</c:v>
                </c:pt>
                <c:pt idx="37">
                  <c:v>6.7625400997576274E-2</c:v>
                </c:pt>
                <c:pt idx="38">
                  <c:v>6.9473322396871304E-2</c:v>
                </c:pt>
                <c:pt idx="39">
                  <c:v>7.126197508955133E-2</c:v>
                </c:pt>
                <c:pt idx="40">
                  <c:v>7.2988303527497175E-2</c:v>
                </c:pt>
                <c:pt idx="41">
                  <c:v>7.4649532501100041E-2</c:v>
                </c:pt>
                <c:pt idx="42">
                  <c:v>7.6243165119018616E-2</c:v>
                </c:pt>
                <c:pt idx="43">
                  <c:v>7.7766979547437623E-2</c:v>
                </c:pt>
                <c:pt idx="44">
                  <c:v>7.9219024627133594E-2</c:v>
                </c:pt>
                <c:pt idx="45">
                  <c:v>8.0597614482774499E-2</c:v>
                </c:pt>
                <c:pt idx="46">
                  <c:v>8.1901322234579216E-2</c:v>
                </c:pt>
                <c:pt idx="47">
                  <c:v>8.3128972917823465E-2</c:v>
                </c:pt>
                <c:pt idx="48">
                  <c:v>8.4279635710785644E-2</c:v>
                </c:pt>
                <c:pt idx="49">
                  <c:v>8.5352615566646459E-2</c:v>
                </c:pt>
                <c:pt idx="50">
                  <c:v>8.6347444339654689E-2</c:v>
                </c:pt>
                <c:pt idx="51">
                  <c:v>8.7263871490603204E-2</c:v>
                </c:pt>
                <c:pt idx="52">
                  <c:v>8.8101854451371309E-2</c:v>
                </c:pt>
                <c:pt idx="53">
                  <c:v>8.8861548723025457E-2</c:v>
                </c:pt>
                <c:pt idx="54">
                  <c:v>8.954329777676559E-2</c:v>
                </c:pt>
                <c:pt idx="55">
                  <c:v>9.0147622821889442E-2</c:v>
                </c:pt>
                <c:pt idx="56">
                  <c:v>9.0675212499950975E-2</c:v>
                </c:pt>
                <c:pt idx="57">
                  <c:v>9.1126912559427717E-2</c:v>
                </c:pt>
                <c:pt idx="58">
                  <c:v>9.1503715560512691E-2</c:v>
                </c:pt>
                <c:pt idx="59">
                  <c:v>9.1806750655112832E-2</c:v>
                </c:pt>
                <c:pt idx="60">
                  <c:v>9.2037273482789353E-2</c:v>
                </c:pt>
                <c:pt idx="61">
                  <c:v>9.2196656219217965E-2</c:v>
                </c:pt>
                <c:pt idx="62">
                  <c:v>9.228637780978749E-2</c:v>
                </c:pt>
                <c:pt idx="63">
                  <c:v>9.2308014417196882E-2</c:v>
                </c:pt>
                <c:pt idx="64">
                  <c:v>9.226323010835695E-2</c:v>
                </c:pt>
                <c:pt idx="65">
                  <c:v>9.2153767802551093E-2</c:v>
                </c:pt>
                <c:pt idx="66">
                  <c:v>9.198144049966174E-2</c:v>
                </c:pt>
                <c:pt idx="67">
                  <c:v>9.1748122804320709E-2</c:v>
                </c:pt>
                <c:pt idx="68">
                  <c:v>9.1455742759090727E-2</c:v>
                </c:pt>
                <c:pt idx="69">
                  <c:v>9.1106273997226025E-2</c:v>
                </c:pt>
                <c:pt idx="70">
                  <c:v>9.0701728223188074E-2</c:v>
                </c:pt>
                <c:pt idx="71">
                  <c:v>9.024414802690281E-2</c:v>
                </c:pt>
                <c:pt idx="72">
                  <c:v>8.9735600035729654E-2</c:v>
                </c:pt>
                <c:pt idx="73">
                  <c:v>8.9178168406266661E-2</c:v>
                </c:pt>
                <c:pt idx="74">
                  <c:v>8.857394865643009E-2</c:v>
                </c:pt>
                <c:pt idx="75">
                  <c:v>8.7925041836716789E-2</c:v>
                </c:pt>
                <c:pt idx="76">
                  <c:v>8.7233549038172459E-2</c:v>
                </c:pt>
                <c:pt idx="77">
                  <c:v>8.6501566233345414E-2</c:v>
                </c:pt>
                <c:pt idx="78">
                  <c:v>8.5731179445392575E-2</c:v>
                </c:pt>
                <c:pt idx="79">
                  <c:v>8.4924460239516705E-2</c:v>
                </c:pt>
                <c:pt idx="80">
                  <c:v>8.4083461530043563E-2</c:v>
                </c:pt>
                <c:pt idx="81">
                  <c:v>8.3210213695687846E-2</c:v>
                </c:pt>
                <c:pt idx="82">
                  <c:v>8.230672099489951E-2</c:v>
                </c:pt>
                <c:pt idx="83">
                  <c:v>8.1374958272621298E-2</c:v>
                </c:pt>
                <c:pt idx="84">
                  <c:v>8.0416867949317919E-2</c:v>
                </c:pt>
                <c:pt idx="85">
                  <c:v>7.9434357282748405E-2</c:v>
                </c:pt>
                <c:pt idx="86">
                  <c:v>7.842929589264333E-2</c:v>
                </c:pt>
                <c:pt idx="87">
                  <c:v>7.7403513538207847E-2</c:v>
                </c:pt>
                <c:pt idx="88">
                  <c:v>7.635879813819707E-2</c:v>
                </c:pt>
                <c:pt idx="89">
                  <c:v>7.5296894023195615E-2</c:v>
                </c:pt>
                <c:pt idx="90">
                  <c:v>7.4219500409672207E-2</c:v>
                </c:pt>
                <c:pt idx="91">
                  <c:v>7.3128270085369887E-2</c:v>
                </c:pt>
                <c:pt idx="92">
                  <c:v>7.2024808295626394E-2</c:v>
                </c:pt>
                <c:pt idx="93">
                  <c:v>7.0910671820293661E-2</c:v>
                </c:pt>
                <c:pt idx="94">
                  <c:v>6.9787368231036304E-2</c:v>
                </c:pt>
                <c:pt idx="95">
                  <c:v>6.8656355318932036E-2</c:v>
                </c:pt>
                <c:pt idx="96">
                  <c:v>6.7519040682468889E-2</c:v>
                </c:pt>
                <c:pt idx="97">
                  <c:v>6.6376781466230855E-2</c:v>
                </c:pt>
                <c:pt idx="98">
                  <c:v>6.5230884240782203E-2</c:v>
                </c:pt>
                <c:pt idx="99">
                  <c:v>6.4082605014498681E-2</c:v>
                </c:pt>
                <c:pt idx="100">
                  <c:v>6.293314936834786E-2</c:v>
                </c:pt>
                <c:pt idx="101">
                  <c:v>6.1783672704887396E-2</c:v>
                </c:pt>
                <c:pt idx="102">
                  <c:v>6.0635280603029251E-2</c:v>
                </c:pt>
                <c:pt idx="103">
                  <c:v>5.9489029270404468E-2</c:v>
                </c:pt>
                <c:pt idx="104">
                  <c:v>5.834592608545798E-2</c:v>
                </c:pt>
                <c:pt idx="105">
                  <c:v>5.7206930221701147E-2</c:v>
                </c:pt>
                <c:pt idx="106">
                  <c:v>5.6072953346852777E-2</c:v>
                </c:pt>
                <c:pt idx="107">
                  <c:v>5.494486038990349E-2</c:v>
                </c:pt>
                <c:pt idx="108">
                  <c:v>5.3823470369441753E-2</c:v>
                </c:pt>
                <c:pt idx="109">
                  <c:v>5.2709557276885192E-2</c:v>
                </c:pt>
                <c:pt idx="110">
                  <c:v>5.1603851008559944E-2</c:v>
                </c:pt>
                <c:pt idx="111">
                  <c:v>5.0507038340871085E-2</c:v>
                </c:pt>
                <c:pt idx="112">
                  <c:v>4.9419763943099951E-2</c:v>
                </c:pt>
                <c:pt idx="113">
                  <c:v>4.8342631422654346E-2</c:v>
                </c:pt>
                <c:pt idx="114">
                  <c:v>4.7276204397881473E-2</c:v>
                </c:pt>
                <c:pt idx="115">
                  <c:v>4.6221007593830528E-2</c:v>
                </c:pt>
                <c:pt idx="116">
                  <c:v>4.5177527956623796E-2</c:v>
                </c:pt>
                <c:pt idx="117">
                  <c:v>4.4146215782358278E-2</c:v>
                </c:pt>
                <c:pt idx="118">
                  <c:v>4.3127485856716836E-2</c:v>
                </c:pt>
                <c:pt idx="119">
                  <c:v>4.2121718601716034E-2</c:v>
                </c:pt>
                <c:pt idx="120">
                  <c:v>4.1129261226258734E-2</c:v>
                </c:pt>
                <c:pt idx="121">
                  <c:v>4.0150428877391404E-2</c:v>
                </c:pt>
                <c:pt idx="122">
                  <c:v>3.9185505789390514E-2</c:v>
                </c:pt>
                <c:pt idx="123">
                  <c:v>3.8234746428017247E-2</c:v>
                </c:pt>
                <c:pt idx="124">
                  <c:v>3.7298376627487174E-2</c:v>
                </c:pt>
                <c:pt idx="125">
                  <c:v>3.6376594717899113E-2</c:v>
                </c:pt>
                <c:pt idx="126">
                  <c:v>3.5469572641058468E-2</c:v>
                </c:pt>
                <c:pt idx="127">
                  <c:v>3.4577457052810151E-2</c:v>
                </c:pt>
                <c:pt idx="128">
                  <c:v>3.3700370410170197E-2</c:v>
                </c:pt>
                <c:pt idx="129">
                  <c:v>3.2838412041709814E-2</c:v>
                </c:pt>
                <c:pt idx="130">
                  <c:v>3.1991659199801618E-2</c:v>
                </c:pt>
                <c:pt idx="131">
                  <c:v>3.1160168093486602E-2</c:v>
                </c:pt>
                <c:pt idx="132">
                  <c:v>3.0343974900861607E-2</c:v>
                </c:pt>
                <c:pt idx="133">
                  <c:v>2.9543096760019427E-2</c:v>
                </c:pt>
                <c:pt idx="134">
                  <c:v>2.8757532737699435E-2</c:v>
                </c:pt>
                <c:pt idx="135">
                  <c:v>2.798726477492559E-2</c:v>
                </c:pt>
                <c:pt idx="136">
                  <c:v>2.7232258609019386E-2</c:v>
                </c:pt>
                <c:pt idx="137">
                  <c:v>2.6492464671480021E-2</c:v>
                </c:pt>
                <c:pt idx="138">
                  <c:v>2.5767818961322256E-2</c:v>
                </c:pt>
                <c:pt idx="139">
                  <c:v>2.5058243893553676E-2</c:v>
                </c:pt>
                <c:pt idx="140">
                  <c:v>2.4363649122558756E-2</c:v>
                </c:pt>
                <c:pt idx="141">
                  <c:v>2.368393234023642E-2</c:v>
                </c:pt>
                <c:pt idx="142">
                  <c:v>2.3018980048812178E-2</c:v>
                </c:pt>
                <c:pt idx="143">
                  <c:v>2.2368668308313761E-2</c:v>
                </c:pt>
                <c:pt idx="144">
                  <c:v>2.1732863458762738E-2</c:v>
                </c:pt>
                <c:pt idx="145">
                  <c:v>2.1111422817193068E-2</c:v>
                </c:pt>
                <c:pt idx="146">
                  <c:v>2.0504195349660678E-2</c:v>
                </c:pt>
                <c:pt idx="147">
                  <c:v>1.9911022318457171E-2</c:v>
                </c:pt>
                <c:pt idx="148">
                  <c:v>1.9331737904786175E-2</c:v>
                </c:pt>
                <c:pt idx="149">
                  <c:v>1.8766169807200226E-2</c:v>
                </c:pt>
                <c:pt idx="150">
                  <c:v>1.8214139816133987E-2</c:v>
                </c:pt>
                <c:pt idx="151">
                  <c:v>1.7675464364901958E-2</c:v>
                </c:pt>
                <c:pt idx="152">
                  <c:v>1.7149955057558421E-2</c:v>
                </c:pt>
                <c:pt idx="153">
                  <c:v>1.6637419174044116E-2</c:v>
                </c:pt>
                <c:pt idx="154">
                  <c:v>1.61376601530667E-2</c:v>
                </c:pt>
                <c:pt idx="155">
                  <c:v>1.5650478053182721E-2</c:v>
                </c:pt>
                <c:pt idx="156">
                  <c:v>1.5175669992566221E-2</c:v>
                </c:pt>
                <c:pt idx="157">
                  <c:v>1.4713030567963909E-2</c:v>
                </c:pt>
                <c:pt idx="158">
                  <c:v>1.4262352253349727E-2</c:v>
                </c:pt>
                <c:pt idx="159">
                  <c:v>1.3823425778801282E-2</c:v>
                </c:pt>
                <c:pt idx="160">
                  <c:v>1.3396040490129536E-2</c:v>
                </c:pt>
                <c:pt idx="161">
                  <c:v>1.2979984689798841E-2</c:v>
                </c:pt>
                <c:pt idx="162">
                  <c:v>1.2575045959678788E-2</c:v>
                </c:pt>
                <c:pt idx="163">
                  <c:v>1.2181011466172601E-2</c:v>
                </c:pt>
                <c:pt idx="164">
                  <c:v>1.1797668248267034E-2</c:v>
                </c:pt>
                <c:pt idx="165">
                  <c:v>1.1424803489049444E-2</c:v>
                </c:pt>
                <c:pt idx="166">
                  <c:v>1.1062204771235188E-2</c:v>
                </c:pt>
                <c:pt idx="167">
                  <c:v>1.0709660317246334E-2</c:v>
                </c:pt>
                <c:pt idx="168">
                  <c:v>1.0366959214378312E-2</c:v>
                </c:pt>
                <c:pt idx="169">
                  <c:v>1.0033891625586211E-2</c:v>
                </c:pt>
                <c:pt idx="170">
                  <c:v>9.7102489864168053E-3</c:v>
                </c:pt>
                <c:pt idx="171">
                  <c:v>9.3958241886053437E-3</c:v>
                </c:pt>
                <c:pt idx="172">
                  <c:v>9.0904117508488272E-3</c:v>
                </c:pt>
                <c:pt idx="173">
                  <c:v>8.7938079772592812E-3</c:v>
                </c:pt>
                <c:pt idx="174">
                  <c:v>8.5058111039919785E-3</c:v>
                </c:pt>
                <c:pt idx="175">
                  <c:v>8.2262214345339302E-3</c:v>
                </c:pt>
                <c:pt idx="176">
                  <c:v>7.9548414641286321E-3</c:v>
                </c:pt>
                <c:pt idx="177">
                  <c:v>7.6914759938026978E-3</c:v>
                </c:pt>
                <c:pt idx="178">
                  <c:v>7.4359322344494704E-3</c:v>
                </c:pt>
                <c:pt idx="179">
                  <c:v>7.1880199014143151E-3</c:v>
                </c:pt>
                <c:pt idx="180">
                  <c:v>6.9475513000146864E-3</c:v>
                </c:pt>
                <c:pt idx="181">
                  <c:v>6.7143414024175164E-3</c:v>
                </c:pt>
                <c:pt idx="182">
                  <c:v>6.4882079162847089E-3</c:v>
                </c:pt>
                <c:pt idx="183">
                  <c:v>6.2689713455861351E-3</c:v>
                </c:pt>
                <c:pt idx="184">
                  <c:v>6.0564550439681829E-3</c:v>
                </c:pt>
                <c:pt idx="185">
                  <c:v>5.8504852610541331E-3</c:v>
                </c:pt>
                <c:pt idx="186">
                  <c:v>5.6508911820412622E-3</c:v>
                </c:pt>
                <c:pt idx="187">
                  <c:v>5.4575049609478614E-3</c:v>
                </c:pt>
                <c:pt idx="188">
                  <c:v>5.2701617478520162E-3</c:v>
                </c:pt>
                <c:pt idx="189">
                  <c:v>5.0886997104524724E-3</c:v>
                </c:pt>
                <c:pt idx="190">
                  <c:v>4.9129600502706896E-3</c:v>
                </c:pt>
                <c:pt idx="191">
                  <c:v>4.742787013801879E-3</c:v>
                </c:pt>
                <c:pt idx="192">
                  <c:v>4.5780278989119051E-3</c:v>
                </c:pt>
                <c:pt idx="193">
                  <c:v>4.4185330567658521E-3</c:v>
                </c:pt>
                <c:pt idx="194">
                  <c:v>4.2641558895634693E-3</c:v>
                </c:pt>
                <c:pt idx="195">
                  <c:v>4.1147528443460516E-3</c:v>
                </c:pt>
                <c:pt idx="196">
                  <c:v>3.9701834031289508E-3</c:v>
                </c:pt>
                <c:pt idx="197">
                  <c:v>3.8303100696038244E-3</c:v>
                </c:pt>
                <c:pt idx="198">
                  <c:v>3.6949983526446363E-3</c:v>
                </c:pt>
                <c:pt idx="199">
                  <c:v>3.564116746841857E-3</c:v>
                </c:pt>
                <c:pt idx="200">
                  <c:v>3.4375367102795801E-3</c:v>
                </c:pt>
                <c:pt idx="201">
                  <c:v>3.3151326397612151E-3</c:v>
                </c:pt>
                <c:pt idx="202">
                  <c:v>3.1967818436801831E-3</c:v>
                </c:pt>
                <c:pt idx="203">
                  <c:v>3.0823645127233709E-3</c:v>
                </c:pt>
                <c:pt idx="204">
                  <c:v>2.9717636885863707E-3</c:v>
                </c:pt>
                <c:pt idx="205">
                  <c:v>2.8648652308713566E-3</c:v>
                </c:pt>
                <c:pt idx="206">
                  <c:v>2.7615577823302622E-3</c:v>
                </c:pt>
                <c:pt idx="207">
                  <c:v>2.6617327326080762E-3</c:v>
                </c:pt>
                <c:pt idx="208">
                  <c:v>2.5652841806335465E-3</c:v>
                </c:pt>
                <c:pt idx="209">
                  <c:v>2.4721088957970891E-3</c:v>
                </c:pt>
                <c:pt idx="210">
                  <c:v>2.3821062780487148E-3</c:v>
                </c:pt>
                <c:pt idx="211">
                  <c:v>2.2951783170417853E-3</c:v>
                </c:pt>
                <c:pt idx="212">
                  <c:v>2.2112295504418127E-3</c:v>
                </c:pt>
                <c:pt idx="213">
                  <c:v>2.13016702151311E-3</c:v>
                </c:pt>
                <c:pt idx="214">
                  <c:v>2.0519002360898223E-3</c:v>
                </c:pt>
                <c:pt idx="215">
                  <c:v>1.9763411190320398E-3</c:v>
                </c:pt>
                <c:pt idx="216">
                  <c:v>1.9034039702618313E-3</c:v>
                </c:pt>
                <c:pt idx="217">
                  <c:v>1.8330054204685668E-3</c:v>
                </c:pt>
                <c:pt idx="218">
                  <c:v>1.765064386567556E-3</c:v>
                </c:pt>
                <c:pt idx="219">
                  <c:v>1.6995020269909965E-3</c:v>
                </c:pt>
                <c:pt idx="220">
                  <c:v>1.6362416968852462E-3</c:v>
                </c:pt>
                <c:pt idx="221">
                  <c:v>1.5752089032837508E-3</c:v>
                </c:pt>
                <c:pt idx="222">
                  <c:v>1.5163312603205478E-3</c:v>
                </c:pt>
                <c:pt idx="223">
                  <c:v>1.4595384445448083E-3</c:v>
                </c:pt>
                <c:pt idx="224">
                  <c:v>1.4047621503929077E-3</c:v>
                </c:pt>
                <c:pt idx="225">
                  <c:v>1.3519360458704474E-3</c:v>
                </c:pt>
                <c:pt idx="226">
                  <c:v>1.3009957284929644E-3</c:v>
                </c:pt>
                <c:pt idx="227">
                  <c:v>1.2518786815304316E-3</c:v>
                </c:pt>
                <c:pt idx="228">
                  <c:v>1.2045242305972269E-3</c:v>
                </c:pt>
                <c:pt idx="229">
                  <c:v>1.1588735006259946E-3</c:v>
                </c:pt>
                <c:pt idx="230">
                  <c:v>1.1148693732606777E-3</c:v>
                </c:pt>
                <c:pt idx="231">
                  <c:v>1.072456444701067E-3</c:v>
                </c:pt>
                <c:pt idx="232">
                  <c:v>1.0315809840283814E-3</c:v>
                </c:pt>
                <c:pt idx="233">
                  <c:v>9.9219089203870831E-4</c:v>
                </c:pt>
                <c:pt idx="234">
                  <c:v>9.5423566060861794E-4</c:v>
                </c:pt>
                <c:pt idx="235">
                  <c:v>9.1766633261481496E-4</c:v>
                </c:pt>
                <c:pt idx="236">
                  <c:v>8.8243546242745981E-4</c:v>
                </c:pt>
                <c:pt idx="237">
                  <c:v>8.4849707699458045E-4</c:v>
                </c:pt>
                <c:pt idx="238">
                  <c:v>8.1580663753299219E-4</c:v>
                </c:pt>
                <c:pt idx="239">
                  <c:v>7.8432100183917892E-4</c:v>
                </c:pt>
                <c:pt idx="240">
                  <c:v>7.539983872317963E-4</c:v>
                </c:pt>
                <c:pt idx="241">
                  <c:v>7.2479833413572193E-4</c:v>
                </c:pt>
                <c:pt idx="242">
                  <c:v>6.966816703159669E-4</c:v>
                </c:pt>
                <c:pt idx="243">
                  <c:v>6.696104757682301E-4</c:v>
                </c:pt>
                <c:pt idx="244">
                  <c:v>6.4354804827147945E-4</c:v>
                </c:pt>
                <c:pt idx="245">
                  <c:v>6.1845886960655789E-4</c:v>
                </c:pt>
                <c:pt idx="246">
                  <c:v>5.9430857244359425E-4</c:v>
                </c:pt>
                <c:pt idx="247">
                  <c:v>5.7106390789980711E-4</c:v>
                </c:pt>
                <c:pt idx="248">
                  <c:v>5.4869271376819053E-4</c:v>
                </c:pt>
                <c:pt idx="249">
                  <c:v>5.2716388341654432E-4</c:v>
                </c:pt>
                <c:pt idx="250">
                  <c:v>5.0644733535538239E-4</c:v>
                </c:pt>
                <c:pt idx="251">
                  <c:v>4.8651398347232842E-4</c:v>
                </c:pt>
                <c:pt idx="252">
                  <c:v>4.6733570792980748E-4</c:v>
                </c:pt>
                <c:pt idx="253">
                  <c:v>4.4888532672208905E-4</c:v>
                </c:pt>
                <c:pt idx="254">
                  <c:v>4.3113656788701659E-4</c:v>
                </c:pt>
                <c:pt idx="255">
                  <c:v>4.1406404236711146E-4</c:v>
                </c:pt>
                <c:pt idx="256">
                  <c:v>3.9764321751416568E-4</c:v>
                </c:pt>
                <c:pt idx="257">
                  <c:v>3.8185039123086372E-4</c:v>
                </c:pt>
                <c:pt idx="258">
                  <c:v>3.6666266674250183E-4</c:v>
                </c:pt>
              </c:numCache>
            </c:numRef>
          </c:yVal>
          <c:smooth val="1"/>
          <c:extLst>
            <c:ext xmlns:c16="http://schemas.microsoft.com/office/drawing/2014/chart" uri="{C3380CC4-5D6E-409C-BE32-E72D297353CC}">
              <c16:uniqueId val="{00000002-82A0-46BD-ACDC-0C36174C5835}"/>
            </c:ext>
          </c:extLst>
        </c:ser>
        <c:ser>
          <c:idx val="2"/>
          <c:order val="3"/>
          <c:tx>
            <c:strRef>
              <c:f>Estimation!$DV$5</c:f>
              <c:strCache>
                <c:ptCount val="1"/>
                <c:pt idx="0">
                  <c:v>2.5% mindre end 3.051</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Estimation!$DW$2</c:f>
              <c:numCache>
                <c:formatCode>General</c:formatCode>
                <c:ptCount val="1"/>
                <c:pt idx="0">
                  <c:v>10</c:v>
                </c:pt>
              </c:numCache>
            </c:numRef>
          </c:xVal>
          <c:yVal>
            <c:numRef>
              <c:f>Estimation!$DX$2</c:f>
              <c:numCache>
                <c:formatCode>General</c:formatCode>
                <c:ptCount val="1"/>
                <c:pt idx="0">
                  <c:v>1.1437019773006292E-2</c:v>
                </c:pt>
              </c:numCache>
            </c:numRef>
          </c:yVal>
          <c:smooth val="0"/>
          <c:extLst>
            <c:ext xmlns:c16="http://schemas.microsoft.com/office/drawing/2014/chart" uri="{C3380CC4-5D6E-409C-BE32-E72D297353CC}">
              <c16:uniqueId val="{00000003-82A0-46BD-ACDC-0C36174C5835}"/>
            </c:ext>
          </c:extLst>
        </c:ser>
        <c:ser>
          <c:idx val="5"/>
          <c:order val="4"/>
          <c:tx>
            <c:strRef>
              <c:f>Estimation!$DV$7</c:f>
              <c:strCache>
                <c:ptCount val="1"/>
                <c:pt idx="0">
                  <c:v>2.5% større end 7.313</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Estimation!$DW$4</c:f>
              <c:numCache>
                <c:formatCode>General</c:formatCode>
                <c:ptCount val="1"/>
                <c:pt idx="0">
                  <c:v>218</c:v>
                </c:pt>
              </c:numCache>
            </c:numRef>
          </c:xVal>
          <c:yVal>
            <c:numRef>
              <c:f>Estimation!$DX$4</c:f>
              <c:numCache>
                <c:formatCode>General</c:formatCode>
                <c:ptCount val="1"/>
                <c:pt idx="0">
                  <c:v>1.8330054204685668E-3</c:v>
                </c:pt>
              </c:numCache>
            </c:numRef>
          </c:yVal>
          <c:smooth val="0"/>
          <c:extLst>
            <c:ext xmlns:c16="http://schemas.microsoft.com/office/drawing/2014/chart" uri="{C3380CC4-5D6E-409C-BE32-E72D297353CC}">
              <c16:uniqueId val="{00000004-82A0-46BD-ACDC-0C36174C5835}"/>
            </c:ext>
          </c:extLst>
        </c:ser>
        <c:ser>
          <c:idx val="4"/>
          <c:order val="5"/>
          <c:tx>
            <c:strRef>
              <c:f>Estimation!$DV$6</c:f>
              <c:strCache>
                <c:ptCount val="1"/>
                <c:pt idx="0">
                  <c:v>95% mellem 3.051 og 7.313</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Estimation!$DW$3</c:f>
              <c:numCache>
                <c:formatCode>General</c:formatCode>
                <c:ptCount val="1"/>
                <c:pt idx="0">
                  <c:v>76</c:v>
                </c:pt>
              </c:numCache>
            </c:numRef>
          </c:xVal>
          <c:yVal>
            <c:numRef>
              <c:f>Estimation!$DX$3</c:f>
              <c:numCache>
                <c:formatCode>General</c:formatCode>
                <c:ptCount val="1"/>
                <c:pt idx="0">
                  <c:v>8.7925041836716789E-2</c:v>
                </c:pt>
              </c:numCache>
            </c:numRef>
          </c:yVal>
          <c:smooth val="0"/>
          <c:extLst>
            <c:ext xmlns:c16="http://schemas.microsoft.com/office/drawing/2014/chart" uri="{C3380CC4-5D6E-409C-BE32-E72D297353CC}">
              <c16:uniqueId val="{00000005-82A0-46BD-ACDC-0C36174C5835}"/>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Estimation!$BF$11</c:f>
              <c:strCache>
                <c:ptCount val="1"/>
                <c:pt idx="0">
                  <c:v>Populationsestimat for standardafvigelse fra stikprøver af størrelsen n = 12
baseret på en stikprøve med standardafvigelse = 4.307</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Estimation!$BG$10</c:f>
          <c:strCache>
            <c:ptCount val="1"/>
            <c:pt idx="0">
              <c:v>95% Konfidensinterval for andel
af Eksempel 4 (nominal)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Estimation!$EL$9</c:f>
              <c:strCache>
                <c:ptCount val="1"/>
                <c:pt idx="0">
                  <c:v>Alternativ hypotese</c:v>
                </c:pt>
              </c:strCache>
            </c:strRef>
          </c:tx>
          <c:spPr>
            <a:solidFill>
              <a:schemeClr val="accent1"/>
            </a:solidFill>
            <a:ln w="25400">
              <a:noFill/>
            </a:ln>
            <a:effectLst/>
          </c:spPr>
          <c:cat>
            <c:strRef>
              <c:f>Estimation!$EN$10:$EN$268</c:f>
              <c:strCache>
                <c:ptCount val="212"/>
                <c:pt idx="47">
                  <c:v>20.06%</c:v>
                </c:pt>
                <c:pt idx="129">
                  <c:v>41.667%</c:v>
                </c:pt>
                <c:pt idx="211">
                  <c:v>63.273%</c:v>
                </c:pt>
              </c:strCache>
            </c:strRef>
          </c:cat>
          <c:val>
            <c:numRef>
              <c:f>Estimation!$EL$10:$EL$268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EAB3-4400-A5F5-EE2430B7A450}"/>
            </c:ext>
          </c:extLst>
        </c:ser>
        <c:ser>
          <c:idx val="1"/>
          <c:order val="1"/>
          <c:tx>
            <c:strRef>
              <c:f>Estimation!$EM$9</c:f>
              <c:strCache>
                <c:ptCount val="1"/>
                <c:pt idx="0">
                  <c:v>Nulhypotese</c:v>
                </c:pt>
              </c:strCache>
            </c:strRef>
          </c:tx>
          <c:spPr>
            <a:solidFill>
              <a:schemeClr val="accent2"/>
            </a:solidFill>
            <a:ln w="25400">
              <a:noFill/>
            </a:ln>
            <a:effectLst/>
          </c:spPr>
          <c:cat>
            <c:strRef>
              <c:f>Estimation!$EN$10:$EN$268</c:f>
              <c:strCache>
                <c:ptCount val="212"/>
                <c:pt idx="47">
                  <c:v>20.06%</c:v>
                </c:pt>
                <c:pt idx="129">
                  <c:v>41.667%</c:v>
                </c:pt>
                <c:pt idx="211">
                  <c:v>63.273%</c:v>
                </c:pt>
              </c:strCache>
            </c:strRef>
          </c:cat>
          <c:val>
            <c:numRef>
              <c:f>Estimation!$EM$10:$EM$268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EAB3-4400-A5F5-EE2430B7A450}"/>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Estimation!$EG$4</c:f>
              <c:strCache>
                <c:ptCount val="1"/>
              </c:strCache>
            </c:strRef>
          </c:tx>
          <c:spPr>
            <a:ln w="28575" cap="rnd">
              <a:solidFill>
                <a:schemeClr val="bg1"/>
              </a:solidFill>
              <a:round/>
            </a:ln>
            <a:effectLst/>
          </c:spPr>
          <c:marker>
            <c:symbol val="none"/>
          </c:marker>
          <c:xVal>
            <c:numRef>
              <c:f>Estimation!$EA$10:$EA$268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Estimation!$EK$10:$EK$268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EAB3-4400-A5F5-EE2430B7A450}"/>
            </c:ext>
          </c:extLst>
        </c:ser>
        <c:ser>
          <c:idx val="2"/>
          <c:order val="3"/>
          <c:tx>
            <c:strRef>
              <c:f>Estimation!$EO$5</c:f>
              <c:strCache>
                <c:ptCount val="1"/>
                <c:pt idx="0">
                  <c:v>2.5% mindre end 20.06%</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Estimation!$EP$2</c:f>
              <c:numCache>
                <c:formatCode>General</c:formatCode>
                <c:ptCount val="1"/>
                <c:pt idx="0">
                  <c:v>25</c:v>
                </c:pt>
              </c:numCache>
            </c:numRef>
          </c:xVal>
          <c:yVal>
            <c:numRef>
              <c:f>Estimation!$EQ$2</c:f>
              <c:numCache>
                <c:formatCode>General</c:formatCode>
                <c:ptCount val="1"/>
                <c:pt idx="0">
                  <c:v>1.6868301418220717E-2</c:v>
                </c:pt>
              </c:numCache>
            </c:numRef>
          </c:yVal>
          <c:smooth val="0"/>
          <c:extLst>
            <c:ext xmlns:c16="http://schemas.microsoft.com/office/drawing/2014/chart" uri="{C3380CC4-5D6E-409C-BE32-E72D297353CC}">
              <c16:uniqueId val="{00000003-EAB3-4400-A5F5-EE2430B7A450}"/>
            </c:ext>
          </c:extLst>
        </c:ser>
        <c:ser>
          <c:idx val="5"/>
          <c:order val="4"/>
          <c:tx>
            <c:strRef>
              <c:f>Estimation!$EO$7</c:f>
              <c:strCache>
                <c:ptCount val="1"/>
                <c:pt idx="0">
                  <c:v>2.5% større end 63.273%</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Estimation!$EP$4</c:f>
              <c:numCache>
                <c:formatCode>General</c:formatCode>
                <c:ptCount val="1"/>
                <c:pt idx="0">
                  <c:v>235</c:v>
                </c:pt>
              </c:numCache>
            </c:numRef>
          </c:xVal>
          <c:yVal>
            <c:numRef>
              <c:f>Estimation!$EQ$4</c:f>
              <c:numCache>
                <c:formatCode>General</c:formatCode>
                <c:ptCount val="1"/>
                <c:pt idx="0">
                  <c:v>1.6868301418220717E-2</c:v>
                </c:pt>
              </c:numCache>
            </c:numRef>
          </c:yVal>
          <c:smooth val="0"/>
          <c:extLst>
            <c:ext xmlns:c16="http://schemas.microsoft.com/office/drawing/2014/chart" uri="{C3380CC4-5D6E-409C-BE32-E72D297353CC}">
              <c16:uniqueId val="{00000004-EAB3-4400-A5F5-EE2430B7A450}"/>
            </c:ext>
          </c:extLst>
        </c:ser>
        <c:ser>
          <c:idx val="4"/>
          <c:order val="5"/>
          <c:tx>
            <c:strRef>
              <c:f>Estimation!$EO$6</c:f>
              <c:strCache>
                <c:ptCount val="1"/>
                <c:pt idx="0">
                  <c:v>95% mellem 20.06% og 63.273%</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Estimation!$EP$3</c:f>
              <c:numCache>
                <c:formatCode>General</c:formatCode>
                <c:ptCount val="1"/>
                <c:pt idx="0">
                  <c:v>130</c:v>
                </c:pt>
              </c:numCache>
            </c:numRef>
          </c:xVal>
          <c:yVal>
            <c:numRef>
              <c:f>Estimation!$EQ$3</c:f>
              <c:numCache>
                <c:formatCode>General</c:formatCode>
                <c:ptCount val="1"/>
                <c:pt idx="0">
                  <c:v>0.3989422804014327</c:v>
                </c:pt>
              </c:numCache>
            </c:numRef>
          </c:yVal>
          <c:smooth val="0"/>
          <c:extLst>
            <c:ext xmlns:c16="http://schemas.microsoft.com/office/drawing/2014/chart" uri="{C3380CC4-5D6E-409C-BE32-E72D297353CC}">
              <c16:uniqueId val="{00000005-EAB3-4400-A5F5-EE2430B7A450}"/>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Estimation!$BG$11</c:f>
              <c:strCache>
                <c:ptCount val="1"/>
                <c:pt idx="0">
                  <c:v>Populationsestimat for andel fra stikprøver af størrelsen n = 20
fra en population med andel = 41.667%</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Estimation!$BH$10</c:f>
          <c:strCache>
            <c:ptCount val="1"/>
            <c:pt idx="0">
              <c:v>95% Konfidensinterval for intensitet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Estimation!$GU$9</c:f>
              <c:strCache>
                <c:ptCount val="1"/>
                <c:pt idx="0">
                  <c:v>Alternativ hypotese</c:v>
                </c:pt>
              </c:strCache>
            </c:strRef>
          </c:tx>
          <c:spPr>
            <a:solidFill>
              <a:schemeClr val="accent1"/>
            </a:solidFill>
            <a:ln w="25400">
              <a:noFill/>
            </a:ln>
            <a:effectLst/>
          </c:spPr>
          <c:cat>
            <c:strRef>
              <c:f>Estimation!$GW$10:$GW$268</c:f>
              <c:strCache>
                <c:ptCount val="212"/>
                <c:pt idx="47">
                  <c:v>1.084</c:v>
                </c:pt>
                <c:pt idx="129">
                  <c:v>1.854</c:v>
                </c:pt>
                <c:pt idx="211">
                  <c:v>2.624</c:v>
                </c:pt>
              </c:strCache>
            </c:strRef>
          </c:cat>
          <c:val>
            <c:numRef>
              <c:f>Estimation!$GU$10:$GU$268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D29F-4EBF-9962-F5E1AC4F0225}"/>
            </c:ext>
          </c:extLst>
        </c:ser>
        <c:ser>
          <c:idx val="1"/>
          <c:order val="1"/>
          <c:tx>
            <c:strRef>
              <c:f>Estimation!$GV$9</c:f>
              <c:strCache>
                <c:ptCount val="1"/>
                <c:pt idx="0">
                  <c:v>Nulhypotese</c:v>
                </c:pt>
              </c:strCache>
            </c:strRef>
          </c:tx>
          <c:spPr>
            <a:solidFill>
              <a:schemeClr val="accent2"/>
            </a:solidFill>
            <a:ln w="25400">
              <a:noFill/>
            </a:ln>
            <a:effectLst/>
          </c:spPr>
          <c:cat>
            <c:strRef>
              <c:f>Estimation!$GW$10:$GW$268</c:f>
              <c:strCache>
                <c:ptCount val="212"/>
                <c:pt idx="47">
                  <c:v>1.084</c:v>
                </c:pt>
                <c:pt idx="129">
                  <c:v>1.854</c:v>
                </c:pt>
                <c:pt idx="211">
                  <c:v>2.624</c:v>
                </c:pt>
              </c:strCache>
            </c:strRef>
          </c:cat>
          <c:val>
            <c:numRef>
              <c:f>Estimation!$GV$10:$GV$268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D29F-4EBF-9962-F5E1AC4F0225}"/>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Estimation!$GP$4</c:f>
              <c:strCache>
                <c:ptCount val="1"/>
              </c:strCache>
            </c:strRef>
          </c:tx>
          <c:spPr>
            <a:ln w="28575" cap="rnd">
              <a:solidFill>
                <a:schemeClr val="bg1"/>
              </a:solidFill>
              <a:round/>
            </a:ln>
            <a:effectLst/>
          </c:spPr>
          <c:marker>
            <c:symbol val="none"/>
          </c:marker>
          <c:xVal>
            <c:numRef>
              <c:f>Estimation!$GJ$10:$GJ$268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Estimation!$GT$10:$GT$268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D29F-4EBF-9962-F5E1AC4F0225}"/>
            </c:ext>
          </c:extLst>
        </c:ser>
        <c:ser>
          <c:idx val="2"/>
          <c:order val="3"/>
          <c:tx>
            <c:strRef>
              <c:f>Estimation!$GX$5</c:f>
              <c:strCache>
                <c:ptCount val="1"/>
                <c:pt idx="0">
                  <c:v>2.5% mindre end 1.084</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Estimation!$GY$2</c:f>
              <c:numCache>
                <c:formatCode>General</c:formatCode>
                <c:ptCount val="1"/>
                <c:pt idx="0">
                  <c:v>25</c:v>
                </c:pt>
              </c:numCache>
            </c:numRef>
          </c:xVal>
          <c:yVal>
            <c:numRef>
              <c:f>Estimation!$GZ$2</c:f>
              <c:numCache>
                <c:formatCode>General</c:formatCode>
                <c:ptCount val="1"/>
                <c:pt idx="0">
                  <c:v>1.6868301418220717E-2</c:v>
                </c:pt>
              </c:numCache>
            </c:numRef>
          </c:yVal>
          <c:smooth val="0"/>
          <c:extLst>
            <c:ext xmlns:c16="http://schemas.microsoft.com/office/drawing/2014/chart" uri="{C3380CC4-5D6E-409C-BE32-E72D297353CC}">
              <c16:uniqueId val="{00000003-D29F-4EBF-9962-F5E1AC4F0225}"/>
            </c:ext>
          </c:extLst>
        </c:ser>
        <c:ser>
          <c:idx val="5"/>
          <c:order val="4"/>
          <c:tx>
            <c:strRef>
              <c:f>Estimation!$GX$7</c:f>
              <c:strCache>
                <c:ptCount val="1"/>
                <c:pt idx="0">
                  <c:v>2.5% større end 2.624</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Estimation!$GY$4</c:f>
              <c:numCache>
                <c:formatCode>General</c:formatCode>
                <c:ptCount val="1"/>
                <c:pt idx="0">
                  <c:v>235</c:v>
                </c:pt>
              </c:numCache>
            </c:numRef>
          </c:xVal>
          <c:yVal>
            <c:numRef>
              <c:f>Estimation!$GZ$4</c:f>
              <c:numCache>
                <c:formatCode>General</c:formatCode>
                <c:ptCount val="1"/>
                <c:pt idx="0">
                  <c:v>1.6868301418220717E-2</c:v>
                </c:pt>
              </c:numCache>
            </c:numRef>
          </c:yVal>
          <c:smooth val="0"/>
          <c:extLst>
            <c:ext xmlns:c16="http://schemas.microsoft.com/office/drawing/2014/chart" uri="{C3380CC4-5D6E-409C-BE32-E72D297353CC}">
              <c16:uniqueId val="{00000004-D29F-4EBF-9962-F5E1AC4F0225}"/>
            </c:ext>
          </c:extLst>
        </c:ser>
        <c:ser>
          <c:idx val="4"/>
          <c:order val="5"/>
          <c:tx>
            <c:strRef>
              <c:f>Estimation!$GX$6</c:f>
              <c:strCache>
                <c:ptCount val="1"/>
                <c:pt idx="0">
                  <c:v>95% mellem 1.084 og 2.624</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Estimation!$GY$3</c:f>
              <c:numCache>
                <c:formatCode>General</c:formatCode>
                <c:ptCount val="1"/>
                <c:pt idx="0">
                  <c:v>130</c:v>
                </c:pt>
              </c:numCache>
            </c:numRef>
          </c:xVal>
          <c:yVal>
            <c:numRef>
              <c:f>Estimation!$GZ$3</c:f>
              <c:numCache>
                <c:formatCode>General</c:formatCode>
                <c:ptCount val="1"/>
                <c:pt idx="0">
                  <c:v>0.3989422804014327</c:v>
                </c:pt>
              </c:numCache>
            </c:numRef>
          </c:yVal>
          <c:smooth val="0"/>
          <c:extLst>
            <c:ext xmlns:c16="http://schemas.microsoft.com/office/drawing/2014/chart" uri="{C3380CC4-5D6E-409C-BE32-E72D297353CC}">
              <c16:uniqueId val="{00000005-D29F-4EBF-9962-F5E1AC4F0225}"/>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Estimation!$BH$11</c:f>
              <c:strCache>
                <c:ptCount val="1"/>
                <c:pt idx="0">
                  <c:v>Populationsestimat for intensitet fra stikprøver af størrelsen n = 12
fra en population med intensitet = 1.854</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Estimation!$BI$10</c:f>
          <c:strCache>
            <c:ptCount val="1"/>
            <c:pt idx="0">
              <c:v>Hypotesetest om koefficient i regressionsmodel
Nulhypotesen om at koefficienten for Eksempel 1 (interval) er større end 0
kan ikke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Estimation!$HO$9</c:f>
              <c:strCache>
                <c:ptCount val="1"/>
                <c:pt idx="0">
                  <c:v>Alternativ hypotese</c:v>
                </c:pt>
              </c:strCache>
            </c:strRef>
          </c:tx>
          <c:spPr>
            <a:solidFill>
              <a:schemeClr val="accent1"/>
            </a:solidFill>
            <a:ln w="25400">
              <a:noFill/>
            </a:ln>
            <a:effectLst/>
          </c:spPr>
          <c:cat>
            <c:strRef>
              <c:f>Estimation!$HQ$10:$HQ$268</c:f>
              <c:strCache>
                <c:ptCount val="176"/>
                <c:pt idx="129">
                  <c:v>0.000</c:v>
                </c:pt>
                <c:pt idx="175">
                  <c:v>0.341</c:v>
                </c:pt>
              </c:strCache>
            </c:strRef>
          </c:cat>
          <c:val>
            <c:numRef>
              <c:f>Estimation!$HO$10:$HO$268</c:f>
              <c:numCache>
                <c:formatCode>General</c:formatCode>
                <c:ptCount val="259"/>
                <c:pt idx="0">
                  <c:v>1.1566894571072798E-3</c:v>
                </c:pt>
                <c:pt idx="1">
                  <c:v>1.2130723617778491E-3</c:v>
                </c:pt>
                <c:pt idx="2">
                  <c:v>1.2724530798355995E-3</c:v>
                </c:pt>
                <c:pt idx="3">
                  <c:v>1.3350024886192569E-3</c:v>
                </c:pt>
                <c:pt idx="4">
                  <c:v>1.4009017297980497E-3</c:v>
                </c:pt>
                <c:pt idx="5">
                  <c:v>1.4703428466840097E-3</c:v>
                </c:pt>
                <c:pt idx="6">
                  <c:v>1.5435294614151312E-3</c:v>
                </c:pt>
                <c:pt idx="7">
                  <c:v>1.6206774944199514E-3</c:v>
                </c:pt>
                <c:pt idx="8">
                  <c:v>1.7020159287022905E-3</c:v>
                </c:pt>
                <c:pt idx="9">
                  <c:v>1.7877876216175568E-3</c:v>
                </c:pt>
                <c:pt idx="10">
                  <c:v>1.8782501669481135E-3</c:v>
                </c:pt>
                <c:pt idx="11">
                  <c:v>1.973676810225125E-3</c:v>
                </c:pt>
                <c:pt idx="12">
                  <c:v>2.0743574203867876E-3</c:v>
                </c:pt>
                <c:pt idx="13">
                  <c:v>2.1805995210078645E-3</c:v>
                </c:pt>
                <c:pt idx="14">
                  <c:v>2.292729384481872E-3</c:v>
                </c:pt>
                <c:pt idx="15">
                  <c:v>2.4110931926843594E-3</c:v>
                </c:pt>
                <c:pt idx="16">
                  <c:v>2.5360582677923203E-3</c:v>
                </c:pt>
                <c:pt idx="17">
                  <c:v>2.6680143770795384E-3</c:v>
                </c:pt>
                <c:pt idx="18">
                  <c:v>2.8073751156491695E-3</c:v>
                </c:pt>
                <c:pt idx="19">
                  <c:v>2.9545793712011021E-3</c:v>
                </c:pt>
                <c:pt idx="20">
                  <c:v>3.1100928750608663E-3</c:v>
                </c:pt>
                <c:pt idx="21">
                  <c:v>3.2744098438161496E-3</c:v>
                </c:pt>
                <c:pt idx="22">
                  <c:v>3.4480547160141268E-3</c:v>
                </c:pt>
                <c:pt idx="23">
                  <c:v>3.6315839884640427E-3</c:v>
                </c:pt>
                <c:pt idx="24">
                  <c:v>3.8255881567615399E-3</c:v>
                </c:pt>
                <c:pt idx="25">
                  <c:v>4.0306937646998392E-3</c:v>
                </c:pt>
                <c:pt idx="26">
                  <c:v>4.2475655672530406E-3</c:v>
                </c:pt>
                <c:pt idx="27">
                  <c:v>4.4769088118036685E-3</c:v>
                </c:pt>
                <c:pt idx="28">
                  <c:v>4.7194716422334568E-3</c:v>
                </c:pt>
                <c:pt idx="29">
                  <c:v>4.9760476303971407E-3</c:v>
                </c:pt>
                <c:pt idx="30">
                  <c:v>5.2474784393453646E-3</c:v>
                </c:pt>
                <c:pt idx="31">
                  <c:v>5.5346566224468898E-3</c:v>
                </c:pt>
                <c:pt idx="32">
                  <c:v>5.8385285622718358E-3</c:v>
                </c:pt>
                <c:pt idx="33">
                  <c:v>6.160097552727048E-3</c:v>
                </c:pt>
                <c:pt idx="34">
                  <c:v>6.5004270274693883E-3</c:v>
                </c:pt>
                <c:pt idx="35">
                  <c:v>6.8606439370502287E-3</c:v>
                </c:pt>
                <c:pt idx="36">
                  <c:v>7.2419422765507783E-3</c:v>
                </c:pt>
                <c:pt idx="37">
                  <c:v>7.6455867646367508E-3</c:v>
                </c:pt>
                <c:pt idx="38">
                  <c:v>8.0729166739766621E-3</c:v>
                </c:pt>
                <c:pt idx="39">
                  <c:v>8.5253498118103947E-3</c:v>
                </c:pt>
                <c:pt idx="40">
                  <c:v>9.0043866481057163E-3</c:v>
                </c:pt>
                <c:pt idx="41">
                  <c:v>9.511614587176604E-3</c:v>
                </c:pt>
                <c:pt idx="42">
                  <c:v>1.0048712376837356E-2</c:v>
                </c:pt>
                <c:pt idx="43">
                  <c:v>1.061745464710373E-2</c:v>
                </c:pt>
                <c:pt idx="44">
                  <c:v>1.1219716568102925E-2</c:v>
                </c:pt>
                <c:pt idx="45">
                  <c:v>1.1857478614188162E-2</c:v>
                </c:pt>
                <c:pt idx="46">
                  <c:v>1.2532831418244374E-2</c:v>
                </c:pt>
                <c:pt idx="47">
                  <c:v>1.3247980696787178E-2</c:v>
                </c:pt>
                <c:pt idx="48">
                  <c:v>1.4005252222668935E-2</c:v>
                </c:pt>
                <c:pt idx="49">
                  <c:v>1.4807096817980554E-2</c:v>
                </c:pt>
                <c:pt idx="50">
                  <c:v>1.5656095335046926E-2</c:v>
                </c:pt>
                <c:pt idx="51">
                  <c:v>1.6554963588224721E-2</c:v>
                </c:pt>
                <c:pt idx="52">
                  <c:v>1.750655719349652E-2</c:v>
                </c:pt>
                <c:pt idx="53">
                  <c:v>1.8513876266587268E-2</c:v>
                </c:pt>
                <c:pt idx="54">
                  <c:v>1.9580069923484249E-2</c:v>
                </c:pt>
                <c:pt idx="55">
                  <c:v>2.0708440519801124E-2</c:v>
                </c:pt>
                <c:pt idx="56">
                  <c:v>2.1902447557375637E-2</c:v>
                </c:pt>
                <c:pt idx="57">
                  <c:v>2.3165711177825694E-2</c:v>
                </c:pt>
                <c:pt idx="58">
                  <c:v>2.4502015153508718E-2</c:v>
                </c:pt>
                <c:pt idx="59">
                  <c:v>2.5915309276453989E-2</c:v>
                </c:pt>
                <c:pt idx="60">
                  <c:v>2.7409711035389889E-2</c:v>
                </c:pt>
                <c:pt idx="61">
                  <c:v>2.8989506460017089E-2</c:v>
                </c:pt>
                <c:pt idx="62">
                  <c:v>3.0659150000244034E-2</c:v>
                </c:pt>
                <c:pt idx="63">
                  <c:v>3.2423263296291388E-2</c:v>
                </c:pt>
                <c:pt idx="64">
                  <c:v>3.428663268349693E-2</c:v>
                </c:pt>
                <c:pt idx="65">
                  <c:v>3.6254205263453354E-2</c:v>
                </c:pt>
                <c:pt idx="66">
                  <c:v>3.8331083360961797E-2</c:v>
                </c:pt>
                <c:pt idx="67">
                  <c:v>4.0522517174392161E-2</c:v>
                </c:pt>
                <c:pt idx="68">
                  <c:v>4.2833895415660274E-2</c:v>
                </c:pt>
                <c:pt idx="69">
                  <c:v>4.5270733725450971E-2</c:v>
                </c:pt>
                <c:pt idx="70">
                  <c:v>4.7838660639883103E-2</c:v>
                </c:pt>
                <c:pt idx="71">
                  <c:v>5.0543400876907167E-2</c:v>
                </c:pt>
                <c:pt idx="72">
                  <c:v>5.3390755704805393E-2</c:v>
                </c:pt>
                <c:pt idx="73">
                  <c:v>5.6386580151706368E-2</c:v>
                </c:pt>
                <c:pt idx="74">
                  <c:v>5.9536756814595811E-2</c:v>
                </c:pt>
                <c:pt idx="75">
                  <c:v>6.2847166029487478E-2</c:v>
                </c:pt>
                <c:pt idx="76">
                  <c:v>6.6323652171868364E-2</c:v>
                </c:pt>
                <c:pt idx="77">
                  <c:v>6.9971985868934911E-2</c:v>
                </c:pt>
                <c:pt idx="78">
                  <c:v>7.3797821923210979E-2</c:v>
                </c:pt>
                <c:pt idx="79">
                  <c:v>7.7806652771627821E-2</c:v>
                </c:pt>
                <c:pt idx="80">
                  <c:v>8.2003757335797206E-2</c:v>
                </c:pt>
                <c:pt idx="81">
                  <c:v>8.6394145158752933E-2</c:v>
                </c:pt>
                <c:pt idx="82">
                  <c:v>9.0982495771573788E-2</c:v>
                </c:pt>
                <c:pt idx="83">
                  <c:v>9.5773093290658348E-2</c:v>
                </c:pt>
                <c:pt idx="84">
                  <c:v>0.10076975631354264</c:v>
                </c:pt>
                <c:pt idx="85">
                  <c:v>0.10597576325843158</c:v>
                </c:pt>
                <c:pt idx="86">
                  <c:v>0.11139377338028286</c:v>
                </c:pt>
                <c:pt idx="87">
                  <c:v>0.11702574379435818</c:v>
                </c:pt>
                <c:pt idx="88">
                  <c:v>0.12287284294637515</c:v>
                </c:pt>
                <c:pt idx="89">
                  <c:v>0.12893536108620499</c:v>
                </c:pt>
                <c:pt idx="90">
                  <c:v>0.13521261842852653</c:v>
                </c:pt>
                <c:pt idx="91">
                  <c:v>0.14170287181765592</c:v>
                </c:pt>
                <c:pt idx="92">
                  <c:v>0.1484032208531284</c:v>
                </c:pt>
                <c:pt idx="93">
                  <c:v>0.15530951457528158</c:v>
                </c:pt>
                <c:pt idx="94">
                  <c:v>0.16241625995329936</c:v>
                </c:pt>
                <c:pt idx="95">
                  <c:v>0.16971653355867566</c:v>
                </c:pt>
                <c:pt idx="96">
                  <c:v>0.17720189794105068</c:v>
                </c:pt>
                <c:pt idx="97">
                  <c:v>0.18486232434663522</c:v>
                </c:pt>
                <c:pt idx="98">
                  <c:v>0.19268612352727205</c:v>
                </c:pt>
                <c:pt idx="99">
                  <c:v>0.20065988647559618</c:v>
                </c:pt>
                <c:pt idx="100">
                  <c:v>0.20876843698347813</c:v>
                </c:pt>
                <c:pt idx="101">
                  <c:v>0.21699479795162499</c:v>
                </c:pt>
                <c:pt idx="102">
                  <c:v>0.22532017337259727</c:v>
                </c:pt>
                <c:pt idx="103">
                  <c:v>0.23372394786255571</c:v>
                </c:pt>
                <c:pt idx="104">
                  <c:v>0.24218370552426591</c:v>
                </c:pt>
                <c:pt idx="105">
                  <c:v>0.25067526978144983</c:v>
                </c:pt>
                <c:pt idx="106">
                  <c:v>0.25917276562967623</c:v>
                </c:pt>
                <c:pt idx="107">
                  <c:v>0.26764870550000192</c:v>
                </c:pt>
                <c:pt idx="108">
                  <c:v>0.27607409962841173</c:v>
                </c:pt>
                <c:pt idx="109">
                  <c:v>0.28441859146828474</c:v>
                </c:pt>
                <c:pt idx="110">
                  <c:v>0.29265061827805422</c:v>
                </c:pt>
                <c:pt idx="111">
                  <c:v>0.30073759656733073</c:v>
                </c:pt>
                <c:pt idx="112">
                  <c:v>0.30864613159943455</c:v>
                </c:pt>
                <c:pt idx="113">
                  <c:v>0.3163422496360116</c:v>
                </c:pt>
                <c:pt idx="114">
                  <c:v>0.32379165108150787</c:v>
                </c:pt>
                <c:pt idx="115">
                  <c:v>0.33095998215482658</c:v>
                </c:pt>
                <c:pt idx="116">
                  <c:v>0.3378131221968852</c:v>
                </c:pt>
                <c:pt idx="117">
                  <c:v>0.34431748323144512</c:v>
                </c:pt>
                <c:pt idx="118">
                  <c:v>0.35044031794837699</c:v>
                </c:pt>
                <c:pt idx="119">
                  <c:v>0.35615003188924521</c:v>
                </c:pt>
                <c:pt idx="120">
                  <c:v>0.36141649529983938</c:v>
                </c:pt>
                <c:pt idx="121">
                  <c:v>0.36621134988680171</c:v>
                </c:pt>
                <c:pt idx="122">
                  <c:v>0.37050830558756809</c:v>
                </c:pt>
                <c:pt idx="123">
                  <c:v>0.37428342244366131</c:v>
                </c:pt>
                <c:pt idx="124">
                  <c:v>0.37751537276303793</c:v>
                </c:pt>
                <c:pt idx="125">
                  <c:v>0.38018567897028177</c:v>
                </c:pt>
                <c:pt idx="126">
                  <c:v>0.38227892287272441</c:v>
                </c:pt>
                <c:pt idx="127">
                  <c:v>0.38378292251089163</c:v>
                </c:pt>
                <c:pt idx="128">
                  <c:v>0.38468887330394552</c:v>
                </c:pt>
                <c:pt idx="129">
                  <c:v>0.38499145083226738</c:v>
                </c:pt>
                <c:pt idx="130">
                  <c:v>0.38468887330394552</c:v>
                </c:pt>
                <c:pt idx="131">
                  <c:v>0.38378292251089163</c:v>
                </c:pt>
                <c:pt idx="132">
                  <c:v>0.38227892287272436</c:v>
                </c:pt>
                <c:pt idx="133">
                  <c:v>0.38018567897028177</c:v>
                </c:pt>
                <c:pt idx="134">
                  <c:v>0.37751537276303793</c:v>
                </c:pt>
                <c:pt idx="135">
                  <c:v>0.3742834224436612</c:v>
                </c:pt>
                <c:pt idx="136">
                  <c:v>0.37050830558756798</c:v>
                </c:pt>
                <c:pt idx="137">
                  <c:v>0.36621134988680171</c:v>
                </c:pt>
                <c:pt idx="138">
                  <c:v>0.36141649529983938</c:v>
                </c:pt>
                <c:pt idx="139">
                  <c:v>0.35615003188924504</c:v>
                </c:pt>
                <c:pt idx="140">
                  <c:v>0.35044031794837688</c:v>
                </c:pt>
                <c:pt idx="141">
                  <c:v>0.34431748323144512</c:v>
                </c:pt>
                <c:pt idx="142">
                  <c:v>0.3378131221968852</c:v>
                </c:pt>
                <c:pt idx="143">
                  <c:v>0.33095998215482636</c:v>
                </c:pt>
                <c:pt idx="144">
                  <c:v>0.3237916510815077</c:v>
                </c:pt>
                <c:pt idx="145">
                  <c:v>0.3163422496360116</c:v>
                </c:pt>
                <c:pt idx="146">
                  <c:v>0.30864613159943455</c:v>
                </c:pt>
                <c:pt idx="147">
                  <c:v>0.30073759656733073</c:v>
                </c:pt>
                <c:pt idx="148">
                  <c:v>0.29265061827805405</c:v>
                </c:pt>
                <c:pt idx="149">
                  <c:v>0.28441859146828452</c:v>
                </c:pt>
                <c:pt idx="150">
                  <c:v>0.27607409962841173</c:v>
                </c:pt>
                <c:pt idx="151">
                  <c:v>0.26764870550000192</c:v>
                </c:pt>
                <c:pt idx="152">
                  <c:v>0.25917276562967606</c:v>
                </c:pt>
                <c:pt idx="153">
                  <c:v>0.25067526978144972</c:v>
                </c:pt>
                <c:pt idx="154">
                  <c:v>0.24218370552426577</c:v>
                </c:pt>
                <c:pt idx="155">
                  <c:v>0.23372394786255571</c:v>
                </c:pt>
                <c:pt idx="156">
                  <c:v>0.2253201733725971</c:v>
                </c:pt>
                <c:pt idx="157">
                  <c:v>0.21699479795162491</c:v>
                </c:pt>
                <c:pt idx="158">
                  <c:v>0.20876843698347805</c:v>
                </c:pt>
                <c:pt idx="159">
                  <c:v>0.20065988647559618</c:v>
                </c:pt>
                <c:pt idx="160">
                  <c:v>0.19268612352727185</c:v>
                </c:pt>
                <c:pt idx="161">
                  <c:v>0.18486232434663508</c:v>
                </c:pt>
                <c:pt idx="162">
                  <c:v>0.1772018979410506</c:v>
                </c:pt>
                <c:pt idx="163">
                  <c:v>0.16971653355867558</c:v>
                </c:pt>
                <c:pt idx="164">
                  <c:v>0.16241625995329936</c:v>
                </c:pt>
                <c:pt idx="165">
                  <c:v>0.15530951457528139</c:v>
                </c:pt>
                <c:pt idx="166">
                  <c:v>0.14840322085312829</c:v>
                </c:pt>
                <c:pt idx="167">
                  <c:v>0.14170287181765581</c:v>
                </c:pt>
                <c:pt idx="168">
                  <c:v>0.13521261842852653</c:v>
                </c:pt>
                <c:pt idx="169">
                  <c:v>0.12893536108620479</c:v>
                </c:pt>
                <c:pt idx="170">
                  <c:v>0.1228728429463751</c:v>
                </c:pt>
                <c:pt idx="171">
                  <c:v>0.11702574379435811</c:v>
                </c:pt>
                <c:pt idx="172">
                  <c:v>0.11139377338028286</c:v>
                </c:pt>
                <c:pt idx="173">
                  <c:v>0.10597576325843147</c:v>
                </c:pt>
                <c:pt idx="174">
                  <c:v>0.10076975631354256</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0-B65F-49D8-8B34-644D7A6B279F}"/>
            </c:ext>
          </c:extLst>
        </c:ser>
        <c:ser>
          <c:idx val="1"/>
          <c:order val="1"/>
          <c:tx>
            <c:strRef>
              <c:f>Estimation!$HP$9</c:f>
              <c:strCache>
                <c:ptCount val="1"/>
                <c:pt idx="0">
                  <c:v>Nulhypotese</c:v>
                </c:pt>
              </c:strCache>
            </c:strRef>
          </c:tx>
          <c:spPr>
            <a:solidFill>
              <a:schemeClr val="accent2"/>
            </a:solidFill>
            <a:ln w="25400">
              <a:noFill/>
            </a:ln>
            <a:effectLst/>
          </c:spPr>
          <c:cat>
            <c:strRef>
              <c:f>Estimation!$HQ$10:$HQ$268</c:f>
              <c:strCache>
                <c:ptCount val="176"/>
                <c:pt idx="129">
                  <c:v>0.000</c:v>
                </c:pt>
                <c:pt idx="175">
                  <c:v>0.341</c:v>
                </c:pt>
              </c:strCache>
            </c:strRef>
          </c:cat>
          <c:val>
            <c:numRef>
              <c:f>Estimation!$HP$10:$HP$268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9.5773093290658293E-2</c:v>
                </c:pt>
                <c:pt idx="176">
                  <c:v>9.0982495771573788E-2</c:v>
                </c:pt>
                <c:pt idx="177">
                  <c:v>8.6394145158752933E-2</c:v>
                </c:pt>
                <c:pt idx="178">
                  <c:v>8.2003757335797123E-2</c:v>
                </c:pt>
                <c:pt idx="179">
                  <c:v>7.7806652771627752E-2</c:v>
                </c:pt>
                <c:pt idx="180">
                  <c:v>7.3797821923210966E-2</c:v>
                </c:pt>
                <c:pt idx="181">
                  <c:v>6.9971985868934911E-2</c:v>
                </c:pt>
                <c:pt idx="182">
                  <c:v>6.6323652171868239E-2</c:v>
                </c:pt>
                <c:pt idx="183">
                  <c:v>6.2847166029487422E-2</c:v>
                </c:pt>
                <c:pt idx="184">
                  <c:v>5.9536756814595783E-2</c:v>
                </c:pt>
                <c:pt idx="185">
                  <c:v>5.6386580151706368E-2</c:v>
                </c:pt>
                <c:pt idx="186">
                  <c:v>5.3390755704805351E-2</c:v>
                </c:pt>
                <c:pt idx="187">
                  <c:v>5.0543400876907167E-2</c:v>
                </c:pt>
                <c:pt idx="188">
                  <c:v>4.7838660639883096E-2</c:v>
                </c:pt>
                <c:pt idx="189">
                  <c:v>4.5270733725450971E-2</c:v>
                </c:pt>
                <c:pt idx="190">
                  <c:v>4.2833895415660177E-2</c:v>
                </c:pt>
                <c:pt idx="191">
                  <c:v>4.0522517174392161E-2</c:v>
                </c:pt>
                <c:pt idx="192">
                  <c:v>3.8331083360961776E-2</c:v>
                </c:pt>
                <c:pt idx="193">
                  <c:v>3.6254205263453354E-2</c:v>
                </c:pt>
                <c:pt idx="194">
                  <c:v>3.428663268349693E-2</c:v>
                </c:pt>
                <c:pt idx="195">
                  <c:v>3.2423263296291346E-2</c:v>
                </c:pt>
                <c:pt idx="196">
                  <c:v>3.0659150000243988E-2</c:v>
                </c:pt>
                <c:pt idx="197">
                  <c:v>2.8989506460017054E-2</c:v>
                </c:pt>
                <c:pt idx="198">
                  <c:v>2.7409711035389889E-2</c:v>
                </c:pt>
                <c:pt idx="199">
                  <c:v>2.5915309276453979E-2</c:v>
                </c:pt>
                <c:pt idx="200">
                  <c:v>2.4502015153508718E-2</c:v>
                </c:pt>
                <c:pt idx="201">
                  <c:v>2.3165711177825673E-2</c:v>
                </c:pt>
                <c:pt idx="202">
                  <c:v>2.1902447557375637E-2</c:v>
                </c:pt>
                <c:pt idx="203">
                  <c:v>2.0708440519801093E-2</c:v>
                </c:pt>
                <c:pt idx="204">
                  <c:v>1.9580069923484249E-2</c:v>
                </c:pt>
                <c:pt idx="205">
                  <c:v>1.8513876266587247E-2</c:v>
                </c:pt>
                <c:pt idx="206">
                  <c:v>1.750655719349652E-2</c:v>
                </c:pt>
                <c:pt idx="207">
                  <c:v>1.6554963588224707E-2</c:v>
                </c:pt>
                <c:pt idx="208">
                  <c:v>1.5656095335046905E-2</c:v>
                </c:pt>
                <c:pt idx="209">
                  <c:v>1.4807096817980541E-2</c:v>
                </c:pt>
                <c:pt idx="210">
                  <c:v>1.4005252222668935E-2</c:v>
                </c:pt>
                <c:pt idx="211">
                  <c:v>1.3247980696787178E-2</c:v>
                </c:pt>
                <c:pt idx="212">
                  <c:v>1.2532831418244361E-2</c:v>
                </c:pt>
                <c:pt idx="213">
                  <c:v>1.1857478614188162E-2</c:v>
                </c:pt>
                <c:pt idx="214">
                  <c:v>1.1219716568102925E-2</c:v>
                </c:pt>
                <c:pt idx="215">
                  <c:v>1.061745464710373E-2</c:v>
                </c:pt>
                <c:pt idx="216">
                  <c:v>1.0048712376837356E-2</c:v>
                </c:pt>
                <c:pt idx="217">
                  <c:v>9.511614587176604E-3</c:v>
                </c:pt>
                <c:pt idx="218">
                  <c:v>9.0043866481057076E-3</c:v>
                </c:pt>
                <c:pt idx="219">
                  <c:v>8.5253498118103913E-3</c:v>
                </c:pt>
                <c:pt idx="220">
                  <c:v>8.0729166739766517E-3</c:v>
                </c:pt>
                <c:pt idx="221">
                  <c:v>7.645586764636743E-3</c:v>
                </c:pt>
                <c:pt idx="222">
                  <c:v>7.2419422765507679E-3</c:v>
                </c:pt>
                <c:pt idx="223">
                  <c:v>6.8606439370502287E-3</c:v>
                </c:pt>
                <c:pt idx="224">
                  <c:v>6.5004270274693883E-3</c:v>
                </c:pt>
                <c:pt idx="225">
                  <c:v>6.160097552727048E-3</c:v>
                </c:pt>
                <c:pt idx="226">
                  <c:v>5.8385285622718358E-3</c:v>
                </c:pt>
                <c:pt idx="227">
                  <c:v>5.5346566224468846E-3</c:v>
                </c:pt>
                <c:pt idx="228">
                  <c:v>5.2474784393453577E-3</c:v>
                </c:pt>
                <c:pt idx="229">
                  <c:v>4.976047630397132E-3</c:v>
                </c:pt>
                <c:pt idx="230">
                  <c:v>4.7194716422334559E-3</c:v>
                </c:pt>
                <c:pt idx="231">
                  <c:v>4.4769088118036685E-3</c:v>
                </c:pt>
                <c:pt idx="232">
                  <c:v>4.2475655672530406E-3</c:v>
                </c:pt>
                <c:pt idx="233">
                  <c:v>4.0306937646998392E-3</c:v>
                </c:pt>
                <c:pt idx="234">
                  <c:v>3.8255881567615399E-3</c:v>
                </c:pt>
                <c:pt idx="235">
                  <c:v>3.6315839884640327E-3</c:v>
                </c:pt>
                <c:pt idx="236">
                  <c:v>3.4480547160141203E-3</c:v>
                </c:pt>
                <c:pt idx="237">
                  <c:v>3.2744098438161427E-3</c:v>
                </c:pt>
                <c:pt idx="238">
                  <c:v>3.1100928750608632E-3</c:v>
                </c:pt>
                <c:pt idx="239">
                  <c:v>2.9545793712011021E-3</c:v>
                </c:pt>
                <c:pt idx="240">
                  <c:v>2.8073751156491695E-3</c:v>
                </c:pt>
                <c:pt idx="241">
                  <c:v>2.6680143770795384E-3</c:v>
                </c:pt>
                <c:pt idx="242">
                  <c:v>2.5360582677923203E-3</c:v>
                </c:pt>
                <c:pt idx="243">
                  <c:v>2.4110931926843594E-3</c:v>
                </c:pt>
                <c:pt idx="244">
                  <c:v>2.2927293844818694E-3</c:v>
                </c:pt>
                <c:pt idx="245">
                  <c:v>2.1805995210078624E-3</c:v>
                </c:pt>
                <c:pt idx="246">
                  <c:v>2.0743574203867855E-3</c:v>
                </c:pt>
                <c:pt idx="247">
                  <c:v>1.9736768102251228E-3</c:v>
                </c:pt>
                <c:pt idx="248">
                  <c:v>1.8782501669481135E-3</c:v>
                </c:pt>
                <c:pt idx="249">
                  <c:v>1.7877876216175568E-3</c:v>
                </c:pt>
                <c:pt idx="250">
                  <c:v>1.7020159287022905E-3</c:v>
                </c:pt>
                <c:pt idx="251">
                  <c:v>1.6206774944199514E-3</c:v>
                </c:pt>
                <c:pt idx="252">
                  <c:v>1.5435294614151295E-3</c:v>
                </c:pt>
                <c:pt idx="253">
                  <c:v>1.4703428466840082E-3</c:v>
                </c:pt>
                <c:pt idx="254">
                  <c:v>1.4009017297980497E-3</c:v>
                </c:pt>
                <c:pt idx="255">
                  <c:v>1.3350024886192543E-3</c:v>
                </c:pt>
                <c:pt idx="256">
                  <c:v>1.2724530798355995E-3</c:v>
                </c:pt>
                <c:pt idx="257">
                  <c:v>1.2130723617778491E-3</c:v>
                </c:pt>
                <c:pt idx="258">
                  <c:v>1.1566894571072798E-3</c:v>
                </c:pt>
              </c:numCache>
            </c:numRef>
          </c:val>
          <c:extLst>
            <c:ext xmlns:c16="http://schemas.microsoft.com/office/drawing/2014/chart" uri="{C3380CC4-5D6E-409C-BE32-E72D297353CC}">
              <c16:uniqueId val="{00000001-B65F-49D8-8B34-644D7A6B279F}"/>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Estimation!$HJ$4</c:f>
              <c:strCache>
                <c:ptCount val="1"/>
              </c:strCache>
            </c:strRef>
          </c:tx>
          <c:spPr>
            <a:ln w="28575" cap="rnd">
              <a:solidFill>
                <a:schemeClr val="bg1"/>
              </a:solidFill>
              <a:round/>
            </a:ln>
            <a:effectLst/>
          </c:spPr>
          <c:marker>
            <c:symbol val="none"/>
          </c:marker>
          <c:xVal>
            <c:numRef>
              <c:f>Estimation!$HD$10:$HD$268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Estimation!$HN$10:$HN$268</c:f>
              <c:numCache>
                <c:formatCode>General</c:formatCode>
                <c:ptCount val="259"/>
                <c:pt idx="0">
                  <c:v>1.1566894571072798E-3</c:v>
                </c:pt>
                <c:pt idx="1">
                  <c:v>1.2130723617778491E-3</c:v>
                </c:pt>
                <c:pt idx="2">
                  <c:v>1.2724530798355995E-3</c:v>
                </c:pt>
                <c:pt idx="3">
                  <c:v>1.3350024886192569E-3</c:v>
                </c:pt>
                <c:pt idx="4">
                  <c:v>1.4009017297980497E-3</c:v>
                </c:pt>
                <c:pt idx="5">
                  <c:v>1.4703428466840097E-3</c:v>
                </c:pt>
                <c:pt idx="6">
                  <c:v>1.5435294614151312E-3</c:v>
                </c:pt>
                <c:pt idx="7">
                  <c:v>1.6206774944199514E-3</c:v>
                </c:pt>
                <c:pt idx="8">
                  <c:v>1.7020159287022905E-3</c:v>
                </c:pt>
                <c:pt idx="9">
                  <c:v>1.7877876216175568E-3</c:v>
                </c:pt>
                <c:pt idx="10">
                  <c:v>1.8782501669481135E-3</c:v>
                </c:pt>
                <c:pt idx="11">
                  <c:v>1.973676810225125E-3</c:v>
                </c:pt>
                <c:pt idx="12">
                  <c:v>2.0743574203867876E-3</c:v>
                </c:pt>
                <c:pt idx="13">
                  <c:v>2.1805995210078645E-3</c:v>
                </c:pt>
                <c:pt idx="14">
                  <c:v>2.292729384481872E-3</c:v>
                </c:pt>
                <c:pt idx="15">
                  <c:v>2.4110931926843594E-3</c:v>
                </c:pt>
                <c:pt idx="16">
                  <c:v>2.5360582677923203E-3</c:v>
                </c:pt>
                <c:pt idx="17">
                  <c:v>2.6680143770795384E-3</c:v>
                </c:pt>
                <c:pt idx="18">
                  <c:v>2.8073751156491695E-3</c:v>
                </c:pt>
                <c:pt idx="19">
                  <c:v>2.9545793712011021E-3</c:v>
                </c:pt>
                <c:pt idx="20">
                  <c:v>3.1100928750608663E-3</c:v>
                </c:pt>
                <c:pt idx="21">
                  <c:v>3.2744098438161496E-3</c:v>
                </c:pt>
                <c:pt idx="22">
                  <c:v>3.4480547160141268E-3</c:v>
                </c:pt>
                <c:pt idx="23">
                  <c:v>3.6315839884640427E-3</c:v>
                </c:pt>
                <c:pt idx="24">
                  <c:v>3.8255881567615399E-3</c:v>
                </c:pt>
                <c:pt idx="25">
                  <c:v>4.0306937646998392E-3</c:v>
                </c:pt>
                <c:pt idx="26">
                  <c:v>4.2475655672530406E-3</c:v>
                </c:pt>
                <c:pt idx="27">
                  <c:v>4.4769088118036685E-3</c:v>
                </c:pt>
                <c:pt idx="28">
                  <c:v>4.7194716422334568E-3</c:v>
                </c:pt>
                <c:pt idx="29">
                  <c:v>4.9760476303971407E-3</c:v>
                </c:pt>
                <c:pt idx="30">
                  <c:v>5.2474784393453646E-3</c:v>
                </c:pt>
                <c:pt idx="31">
                  <c:v>5.5346566224468898E-3</c:v>
                </c:pt>
                <c:pt idx="32">
                  <c:v>5.8385285622718358E-3</c:v>
                </c:pt>
                <c:pt idx="33">
                  <c:v>6.160097552727048E-3</c:v>
                </c:pt>
                <c:pt idx="34">
                  <c:v>6.5004270274693883E-3</c:v>
                </c:pt>
                <c:pt idx="35">
                  <c:v>6.8606439370502287E-3</c:v>
                </c:pt>
                <c:pt idx="36">
                  <c:v>7.2419422765507783E-3</c:v>
                </c:pt>
                <c:pt idx="37">
                  <c:v>7.6455867646367508E-3</c:v>
                </c:pt>
                <c:pt idx="38">
                  <c:v>8.0729166739766621E-3</c:v>
                </c:pt>
                <c:pt idx="39">
                  <c:v>8.5253498118103947E-3</c:v>
                </c:pt>
                <c:pt idx="40">
                  <c:v>9.0043866481057163E-3</c:v>
                </c:pt>
                <c:pt idx="41">
                  <c:v>9.511614587176604E-3</c:v>
                </c:pt>
                <c:pt idx="42">
                  <c:v>1.0048712376837356E-2</c:v>
                </c:pt>
                <c:pt idx="43">
                  <c:v>1.061745464710373E-2</c:v>
                </c:pt>
                <c:pt idx="44">
                  <c:v>1.1219716568102925E-2</c:v>
                </c:pt>
                <c:pt idx="45">
                  <c:v>1.1857478614188162E-2</c:v>
                </c:pt>
                <c:pt idx="46">
                  <c:v>1.2532831418244374E-2</c:v>
                </c:pt>
                <c:pt idx="47">
                  <c:v>1.3247980696787178E-2</c:v>
                </c:pt>
                <c:pt idx="48">
                  <c:v>1.4005252222668935E-2</c:v>
                </c:pt>
                <c:pt idx="49">
                  <c:v>1.4807096817980554E-2</c:v>
                </c:pt>
                <c:pt idx="50">
                  <c:v>1.5656095335046926E-2</c:v>
                </c:pt>
                <c:pt idx="51">
                  <c:v>1.6554963588224721E-2</c:v>
                </c:pt>
                <c:pt idx="52">
                  <c:v>1.750655719349652E-2</c:v>
                </c:pt>
                <c:pt idx="53">
                  <c:v>1.8513876266587268E-2</c:v>
                </c:pt>
                <c:pt idx="54">
                  <c:v>1.9580069923484249E-2</c:v>
                </c:pt>
                <c:pt idx="55">
                  <c:v>2.0708440519801124E-2</c:v>
                </c:pt>
                <c:pt idx="56">
                  <c:v>2.1902447557375637E-2</c:v>
                </c:pt>
                <c:pt idx="57">
                  <c:v>2.3165711177825694E-2</c:v>
                </c:pt>
                <c:pt idx="58">
                  <c:v>2.4502015153508718E-2</c:v>
                </c:pt>
                <c:pt idx="59">
                  <c:v>2.5915309276453989E-2</c:v>
                </c:pt>
                <c:pt idx="60">
                  <c:v>2.7409711035389889E-2</c:v>
                </c:pt>
                <c:pt idx="61">
                  <c:v>2.8989506460017089E-2</c:v>
                </c:pt>
                <c:pt idx="62">
                  <c:v>3.0659150000244034E-2</c:v>
                </c:pt>
                <c:pt idx="63">
                  <c:v>3.2423263296291388E-2</c:v>
                </c:pt>
                <c:pt idx="64">
                  <c:v>3.428663268349693E-2</c:v>
                </c:pt>
                <c:pt idx="65">
                  <c:v>3.6254205263453354E-2</c:v>
                </c:pt>
                <c:pt idx="66">
                  <c:v>3.8331083360961797E-2</c:v>
                </c:pt>
                <c:pt idx="67">
                  <c:v>4.0522517174392161E-2</c:v>
                </c:pt>
                <c:pt idx="68">
                  <c:v>4.2833895415660274E-2</c:v>
                </c:pt>
                <c:pt idx="69">
                  <c:v>4.5270733725450971E-2</c:v>
                </c:pt>
                <c:pt idx="70">
                  <c:v>4.7838660639883103E-2</c:v>
                </c:pt>
                <c:pt idx="71">
                  <c:v>5.0543400876907167E-2</c:v>
                </c:pt>
                <c:pt idx="72">
                  <c:v>5.3390755704805393E-2</c:v>
                </c:pt>
                <c:pt idx="73">
                  <c:v>5.6386580151706368E-2</c:v>
                </c:pt>
                <c:pt idx="74">
                  <c:v>5.9536756814595811E-2</c:v>
                </c:pt>
                <c:pt idx="75">
                  <c:v>6.2847166029487478E-2</c:v>
                </c:pt>
                <c:pt idx="76">
                  <c:v>6.6323652171868364E-2</c:v>
                </c:pt>
                <c:pt idx="77">
                  <c:v>6.9971985868934911E-2</c:v>
                </c:pt>
                <c:pt idx="78">
                  <c:v>7.3797821923210979E-2</c:v>
                </c:pt>
                <c:pt idx="79">
                  <c:v>7.7806652771627821E-2</c:v>
                </c:pt>
                <c:pt idx="80">
                  <c:v>8.2003757335797206E-2</c:v>
                </c:pt>
                <c:pt idx="81">
                  <c:v>8.6394145158752933E-2</c:v>
                </c:pt>
                <c:pt idx="82">
                  <c:v>9.0982495771573788E-2</c:v>
                </c:pt>
                <c:pt idx="83">
                  <c:v>9.5773093290658348E-2</c:v>
                </c:pt>
                <c:pt idx="84">
                  <c:v>0.10076975631354264</c:v>
                </c:pt>
                <c:pt idx="85">
                  <c:v>0.10597576325843158</c:v>
                </c:pt>
                <c:pt idx="86">
                  <c:v>0.11139377338028286</c:v>
                </c:pt>
                <c:pt idx="87">
                  <c:v>0.11702574379435818</c:v>
                </c:pt>
                <c:pt idx="88">
                  <c:v>0.12287284294637515</c:v>
                </c:pt>
                <c:pt idx="89">
                  <c:v>0.12893536108620499</c:v>
                </c:pt>
                <c:pt idx="90">
                  <c:v>0.13521261842852653</c:v>
                </c:pt>
                <c:pt idx="91">
                  <c:v>0.14170287181765592</c:v>
                </c:pt>
                <c:pt idx="92">
                  <c:v>0.1484032208531284</c:v>
                </c:pt>
                <c:pt idx="93">
                  <c:v>0.15530951457528158</c:v>
                </c:pt>
                <c:pt idx="94">
                  <c:v>0.16241625995329936</c:v>
                </c:pt>
                <c:pt idx="95">
                  <c:v>0.16971653355867566</c:v>
                </c:pt>
                <c:pt idx="96">
                  <c:v>0.17720189794105068</c:v>
                </c:pt>
                <c:pt idx="97">
                  <c:v>0.18486232434663522</c:v>
                </c:pt>
                <c:pt idx="98">
                  <c:v>0.19268612352727205</c:v>
                </c:pt>
                <c:pt idx="99">
                  <c:v>0.20065988647559618</c:v>
                </c:pt>
                <c:pt idx="100">
                  <c:v>0.20876843698347813</c:v>
                </c:pt>
                <c:pt idx="101">
                  <c:v>0.21699479795162499</c:v>
                </c:pt>
                <c:pt idx="102">
                  <c:v>0.22532017337259727</c:v>
                </c:pt>
                <c:pt idx="103">
                  <c:v>0.23372394786255571</c:v>
                </c:pt>
                <c:pt idx="104">
                  <c:v>0.24218370552426591</c:v>
                </c:pt>
                <c:pt idx="105">
                  <c:v>0.25067526978144983</c:v>
                </c:pt>
                <c:pt idx="106">
                  <c:v>0.25917276562967623</c:v>
                </c:pt>
                <c:pt idx="107">
                  <c:v>0.26764870550000192</c:v>
                </c:pt>
                <c:pt idx="108">
                  <c:v>0.27607409962841173</c:v>
                </c:pt>
                <c:pt idx="109">
                  <c:v>0.28441859146828474</c:v>
                </c:pt>
                <c:pt idx="110">
                  <c:v>0.29265061827805422</c:v>
                </c:pt>
                <c:pt idx="111">
                  <c:v>0.30073759656733073</c:v>
                </c:pt>
                <c:pt idx="112">
                  <c:v>0.30864613159943455</c:v>
                </c:pt>
                <c:pt idx="113">
                  <c:v>0.3163422496360116</c:v>
                </c:pt>
                <c:pt idx="114">
                  <c:v>0.32379165108150787</c:v>
                </c:pt>
                <c:pt idx="115">
                  <c:v>0.33095998215482658</c:v>
                </c:pt>
                <c:pt idx="116">
                  <c:v>0.3378131221968852</c:v>
                </c:pt>
                <c:pt idx="117">
                  <c:v>0.34431748323144512</c:v>
                </c:pt>
                <c:pt idx="118">
                  <c:v>0.35044031794837699</c:v>
                </c:pt>
                <c:pt idx="119">
                  <c:v>0.35615003188924521</c:v>
                </c:pt>
                <c:pt idx="120">
                  <c:v>0.36141649529983938</c:v>
                </c:pt>
                <c:pt idx="121">
                  <c:v>0.36621134988680171</c:v>
                </c:pt>
                <c:pt idx="122">
                  <c:v>0.37050830558756809</c:v>
                </c:pt>
                <c:pt idx="123">
                  <c:v>0.37428342244366131</c:v>
                </c:pt>
                <c:pt idx="124">
                  <c:v>0.37751537276303793</c:v>
                </c:pt>
                <c:pt idx="125">
                  <c:v>0.38018567897028177</c:v>
                </c:pt>
                <c:pt idx="126">
                  <c:v>0.38227892287272441</c:v>
                </c:pt>
                <c:pt idx="127">
                  <c:v>0.38378292251089163</c:v>
                </c:pt>
                <c:pt idx="128">
                  <c:v>0.38468887330394552</c:v>
                </c:pt>
                <c:pt idx="129">
                  <c:v>0.38499145083226738</c:v>
                </c:pt>
                <c:pt idx="130">
                  <c:v>0.38468887330394552</c:v>
                </c:pt>
                <c:pt idx="131">
                  <c:v>0.38378292251089163</c:v>
                </c:pt>
                <c:pt idx="132">
                  <c:v>0.38227892287272436</c:v>
                </c:pt>
                <c:pt idx="133">
                  <c:v>0.38018567897028177</c:v>
                </c:pt>
                <c:pt idx="134">
                  <c:v>0.37751537276303793</c:v>
                </c:pt>
                <c:pt idx="135">
                  <c:v>0.3742834224436612</c:v>
                </c:pt>
                <c:pt idx="136">
                  <c:v>0.37050830558756798</c:v>
                </c:pt>
                <c:pt idx="137">
                  <c:v>0.36621134988680171</c:v>
                </c:pt>
                <c:pt idx="138">
                  <c:v>0.36141649529983938</c:v>
                </c:pt>
                <c:pt idx="139">
                  <c:v>0.35615003188924504</c:v>
                </c:pt>
                <c:pt idx="140">
                  <c:v>0.35044031794837688</c:v>
                </c:pt>
                <c:pt idx="141">
                  <c:v>0.34431748323144512</c:v>
                </c:pt>
                <c:pt idx="142">
                  <c:v>0.3378131221968852</c:v>
                </c:pt>
                <c:pt idx="143">
                  <c:v>0.33095998215482636</c:v>
                </c:pt>
                <c:pt idx="144">
                  <c:v>0.3237916510815077</c:v>
                </c:pt>
                <c:pt idx="145">
                  <c:v>0.3163422496360116</c:v>
                </c:pt>
                <c:pt idx="146">
                  <c:v>0.30864613159943455</c:v>
                </c:pt>
                <c:pt idx="147">
                  <c:v>0.30073759656733073</c:v>
                </c:pt>
                <c:pt idx="148">
                  <c:v>0.29265061827805405</c:v>
                </c:pt>
                <c:pt idx="149">
                  <c:v>0.28441859146828452</c:v>
                </c:pt>
                <c:pt idx="150">
                  <c:v>0.27607409962841173</c:v>
                </c:pt>
                <c:pt idx="151">
                  <c:v>0.26764870550000192</c:v>
                </c:pt>
                <c:pt idx="152">
                  <c:v>0.25917276562967606</c:v>
                </c:pt>
                <c:pt idx="153">
                  <c:v>0.25067526978144972</c:v>
                </c:pt>
                <c:pt idx="154">
                  <c:v>0.24218370552426577</c:v>
                </c:pt>
                <c:pt idx="155">
                  <c:v>0.23372394786255571</c:v>
                </c:pt>
                <c:pt idx="156">
                  <c:v>0.2253201733725971</c:v>
                </c:pt>
                <c:pt idx="157">
                  <c:v>0.21699479795162491</c:v>
                </c:pt>
                <c:pt idx="158">
                  <c:v>0.20876843698347805</c:v>
                </c:pt>
                <c:pt idx="159">
                  <c:v>0.20065988647559618</c:v>
                </c:pt>
                <c:pt idx="160">
                  <c:v>0.19268612352727185</c:v>
                </c:pt>
                <c:pt idx="161">
                  <c:v>0.18486232434663508</c:v>
                </c:pt>
                <c:pt idx="162">
                  <c:v>0.1772018979410506</c:v>
                </c:pt>
                <c:pt idx="163">
                  <c:v>0.16971653355867558</c:v>
                </c:pt>
                <c:pt idx="164">
                  <c:v>0.16241625995329936</c:v>
                </c:pt>
                <c:pt idx="165">
                  <c:v>0.15530951457528139</c:v>
                </c:pt>
                <c:pt idx="166">
                  <c:v>0.14840322085312829</c:v>
                </c:pt>
                <c:pt idx="167">
                  <c:v>0.14170287181765581</c:v>
                </c:pt>
                <c:pt idx="168">
                  <c:v>0.13521261842852653</c:v>
                </c:pt>
                <c:pt idx="169">
                  <c:v>0.12893536108620479</c:v>
                </c:pt>
                <c:pt idx="170">
                  <c:v>0.1228728429463751</c:v>
                </c:pt>
                <c:pt idx="171">
                  <c:v>0.11702574379435811</c:v>
                </c:pt>
                <c:pt idx="172">
                  <c:v>0.11139377338028286</c:v>
                </c:pt>
                <c:pt idx="173">
                  <c:v>0.10597576325843147</c:v>
                </c:pt>
                <c:pt idx="174">
                  <c:v>0.10076975631354256</c:v>
                </c:pt>
                <c:pt idx="175">
                  <c:v>9.5773093290658293E-2</c:v>
                </c:pt>
                <c:pt idx="176">
                  <c:v>9.0982495771573788E-2</c:v>
                </c:pt>
                <c:pt idx="177">
                  <c:v>8.6394145158752933E-2</c:v>
                </c:pt>
                <c:pt idx="178">
                  <c:v>8.2003757335797123E-2</c:v>
                </c:pt>
                <c:pt idx="179">
                  <c:v>7.7806652771627752E-2</c:v>
                </c:pt>
                <c:pt idx="180">
                  <c:v>7.3797821923210966E-2</c:v>
                </c:pt>
                <c:pt idx="181">
                  <c:v>6.9971985868934911E-2</c:v>
                </c:pt>
                <c:pt idx="182">
                  <c:v>6.6323652171868239E-2</c:v>
                </c:pt>
                <c:pt idx="183">
                  <c:v>6.2847166029487422E-2</c:v>
                </c:pt>
                <c:pt idx="184">
                  <c:v>5.9536756814595783E-2</c:v>
                </c:pt>
                <c:pt idx="185">
                  <c:v>5.6386580151706368E-2</c:v>
                </c:pt>
                <c:pt idx="186">
                  <c:v>5.3390755704805351E-2</c:v>
                </c:pt>
                <c:pt idx="187">
                  <c:v>5.0543400876907167E-2</c:v>
                </c:pt>
                <c:pt idx="188">
                  <c:v>4.7838660639883096E-2</c:v>
                </c:pt>
                <c:pt idx="189">
                  <c:v>4.5270733725450971E-2</c:v>
                </c:pt>
                <c:pt idx="190">
                  <c:v>4.2833895415660177E-2</c:v>
                </c:pt>
                <c:pt idx="191">
                  <c:v>4.0522517174392161E-2</c:v>
                </c:pt>
                <c:pt idx="192">
                  <c:v>3.8331083360961776E-2</c:v>
                </c:pt>
                <c:pt idx="193">
                  <c:v>3.6254205263453354E-2</c:v>
                </c:pt>
                <c:pt idx="194">
                  <c:v>3.428663268349693E-2</c:v>
                </c:pt>
                <c:pt idx="195">
                  <c:v>3.2423263296291346E-2</c:v>
                </c:pt>
                <c:pt idx="196">
                  <c:v>3.0659150000243988E-2</c:v>
                </c:pt>
                <c:pt idx="197">
                  <c:v>2.8989506460017054E-2</c:v>
                </c:pt>
                <c:pt idx="198">
                  <c:v>2.7409711035389889E-2</c:v>
                </c:pt>
                <c:pt idx="199">
                  <c:v>2.5915309276453979E-2</c:v>
                </c:pt>
                <c:pt idx="200">
                  <c:v>2.4502015153508718E-2</c:v>
                </c:pt>
                <c:pt idx="201">
                  <c:v>2.3165711177825673E-2</c:v>
                </c:pt>
                <c:pt idx="202">
                  <c:v>2.1902447557375637E-2</c:v>
                </c:pt>
                <c:pt idx="203">
                  <c:v>2.0708440519801093E-2</c:v>
                </c:pt>
                <c:pt idx="204">
                  <c:v>1.9580069923484249E-2</c:v>
                </c:pt>
                <c:pt idx="205">
                  <c:v>1.8513876266587247E-2</c:v>
                </c:pt>
                <c:pt idx="206">
                  <c:v>1.750655719349652E-2</c:v>
                </c:pt>
                <c:pt idx="207">
                  <c:v>1.6554963588224707E-2</c:v>
                </c:pt>
                <c:pt idx="208">
                  <c:v>1.5656095335046905E-2</c:v>
                </c:pt>
                <c:pt idx="209">
                  <c:v>1.4807096817980541E-2</c:v>
                </c:pt>
                <c:pt idx="210">
                  <c:v>1.4005252222668935E-2</c:v>
                </c:pt>
                <c:pt idx="211">
                  <c:v>1.3247980696787178E-2</c:v>
                </c:pt>
                <c:pt idx="212">
                  <c:v>1.2532831418244361E-2</c:v>
                </c:pt>
                <c:pt idx="213">
                  <c:v>1.1857478614188162E-2</c:v>
                </c:pt>
                <c:pt idx="214">
                  <c:v>1.1219716568102925E-2</c:v>
                </c:pt>
                <c:pt idx="215">
                  <c:v>1.061745464710373E-2</c:v>
                </c:pt>
                <c:pt idx="216">
                  <c:v>1.0048712376837356E-2</c:v>
                </c:pt>
                <c:pt idx="217">
                  <c:v>9.511614587176604E-3</c:v>
                </c:pt>
                <c:pt idx="218">
                  <c:v>9.0043866481057076E-3</c:v>
                </c:pt>
                <c:pt idx="219">
                  <c:v>8.5253498118103913E-3</c:v>
                </c:pt>
                <c:pt idx="220">
                  <c:v>8.0729166739766517E-3</c:v>
                </c:pt>
                <c:pt idx="221">
                  <c:v>7.645586764636743E-3</c:v>
                </c:pt>
                <c:pt idx="222">
                  <c:v>7.2419422765507679E-3</c:v>
                </c:pt>
                <c:pt idx="223">
                  <c:v>6.8606439370502287E-3</c:v>
                </c:pt>
                <c:pt idx="224">
                  <c:v>6.5004270274693883E-3</c:v>
                </c:pt>
                <c:pt idx="225">
                  <c:v>6.160097552727048E-3</c:v>
                </c:pt>
                <c:pt idx="226">
                  <c:v>5.8385285622718358E-3</c:v>
                </c:pt>
                <c:pt idx="227">
                  <c:v>5.5346566224468846E-3</c:v>
                </c:pt>
                <c:pt idx="228">
                  <c:v>5.2474784393453577E-3</c:v>
                </c:pt>
                <c:pt idx="229">
                  <c:v>4.976047630397132E-3</c:v>
                </c:pt>
                <c:pt idx="230">
                  <c:v>4.7194716422334559E-3</c:v>
                </c:pt>
                <c:pt idx="231">
                  <c:v>4.4769088118036685E-3</c:v>
                </c:pt>
                <c:pt idx="232">
                  <c:v>4.2475655672530406E-3</c:v>
                </c:pt>
                <c:pt idx="233">
                  <c:v>4.0306937646998392E-3</c:v>
                </c:pt>
                <c:pt idx="234">
                  <c:v>3.8255881567615399E-3</c:v>
                </c:pt>
                <c:pt idx="235">
                  <c:v>3.6315839884640327E-3</c:v>
                </c:pt>
                <c:pt idx="236">
                  <c:v>3.4480547160141203E-3</c:v>
                </c:pt>
                <c:pt idx="237">
                  <c:v>3.2744098438161427E-3</c:v>
                </c:pt>
                <c:pt idx="238">
                  <c:v>3.1100928750608632E-3</c:v>
                </c:pt>
                <c:pt idx="239">
                  <c:v>2.9545793712011021E-3</c:v>
                </c:pt>
                <c:pt idx="240">
                  <c:v>2.8073751156491695E-3</c:v>
                </c:pt>
                <c:pt idx="241">
                  <c:v>2.6680143770795384E-3</c:v>
                </c:pt>
                <c:pt idx="242">
                  <c:v>2.5360582677923203E-3</c:v>
                </c:pt>
                <c:pt idx="243">
                  <c:v>2.4110931926843594E-3</c:v>
                </c:pt>
                <c:pt idx="244">
                  <c:v>2.2927293844818694E-3</c:v>
                </c:pt>
                <c:pt idx="245">
                  <c:v>2.1805995210078624E-3</c:v>
                </c:pt>
                <c:pt idx="246">
                  <c:v>2.0743574203867855E-3</c:v>
                </c:pt>
                <c:pt idx="247">
                  <c:v>1.9736768102251228E-3</c:v>
                </c:pt>
                <c:pt idx="248">
                  <c:v>1.8782501669481135E-3</c:v>
                </c:pt>
                <c:pt idx="249">
                  <c:v>1.7877876216175568E-3</c:v>
                </c:pt>
                <c:pt idx="250">
                  <c:v>1.7020159287022905E-3</c:v>
                </c:pt>
                <c:pt idx="251">
                  <c:v>1.6206774944199514E-3</c:v>
                </c:pt>
                <c:pt idx="252">
                  <c:v>1.5435294614151295E-3</c:v>
                </c:pt>
                <c:pt idx="253">
                  <c:v>1.4703428466840082E-3</c:v>
                </c:pt>
                <c:pt idx="254">
                  <c:v>1.4009017297980497E-3</c:v>
                </c:pt>
                <c:pt idx="255">
                  <c:v>1.3350024886192543E-3</c:v>
                </c:pt>
                <c:pt idx="256">
                  <c:v>1.2724530798355995E-3</c:v>
                </c:pt>
                <c:pt idx="257">
                  <c:v>1.2130723617778491E-3</c:v>
                </c:pt>
                <c:pt idx="258">
                  <c:v>1.1566894571072798E-3</c:v>
                </c:pt>
              </c:numCache>
            </c:numRef>
          </c:yVal>
          <c:smooth val="1"/>
          <c:extLst>
            <c:ext xmlns:c16="http://schemas.microsoft.com/office/drawing/2014/chart" uri="{C3380CC4-5D6E-409C-BE32-E72D297353CC}">
              <c16:uniqueId val="{00000002-B65F-49D8-8B34-644D7A6B279F}"/>
            </c:ext>
          </c:extLst>
        </c:ser>
        <c:ser>
          <c:idx val="2"/>
          <c:order val="3"/>
          <c:tx>
            <c:strRef>
              <c:f>Estimation!$HR$5</c:f>
              <c:strCache>
                <c:ptCount val="1"/>
                <c:pt idx="0">
                  <c:v>93.41% mindre end 0.341</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Estimation!$HS$2</c:f>
              <c:numCache>
                <c:formatCode>General</c:formatCode>
                <c:ptCount val="1"/>
                <c:pt idx="0">
                  <c:v>88</c:v>
                </c:pt>
              </c:numCache>
            </c:numRef>
          </c:xVal>
          <c:yVal>
            <c:numRef>
              <c:f>Estimation!$HT$2</c:f>
              <c:numCache>
                <c:formatCode>General</c:formatCode>
                <c:ptCount val="1"/>
                <c:pt idx="0">
                  <c:v>0.11702574379435818</c:v>
                </c:pt>
              </c:numCache>
            </c:numRef>
          </c:yVal>
          <c:smooth val="0"/>
          <c:extLst>
            <c:ext xmlns:c16="http://schemas.microsoft.com/office/drawing/2014/chart" uri="{C3380CC4-5D6E-409C-BE32-E72D297353CC}">
              <c16:uniqueId val="{00000003-B65F-49D8-8B34-644D7A6B279F}"/>
            </c:ext>
          </c:extLst>
        </c:ser>
        <c:ser>
          <c:idx val="5"/>
          <c:order val="4"/>
          <c:tx>
            <c:strRef>
              <c:f>Estimation!$HR$7</c:f>
              <c:strCache>
                <c:ptCount val="1"/>
                <c:pt idx="0">
                  <c:v>6.59% større end 0.341</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Estimation!$HS$4</c:f>
              <c:numCache>
                <c:formatCode>General</c:formatCode>
                <c:ptCount val="1"/>
                <c:pt idx="0">
                  <c:v>217</c:v>
                </c:pt>
              </c:numCache>
            </c:numRef>
          </c:xVal>
          <c:yVal>
            <c:numRef>
              <c:f>Estimation!$HT$4</c:f>
              <c:numCache>
                <c:formatCode>General</c:formatCode>
                <c:ptCount val="1"/>
                <c:pt idx="0">
                  <c:v>1.0048712376837356E-2</c:v>
                </c:pt>
              </c:numCache>
            </c:numRef>
          </c:yVal>
          <c:smooth val="0"/>
          <c:extLst>
            <c:ext xmlns:c16="http://schemas.microsoft.com/office/drawing/2014/chart" uri="{C3380CC4-5D6E-409C-BE32-E72D297353CC}">
              <c16:uniqueId val="{00000004-B65F-49D8-8B34-644D7A6B279F}"/>
            </c:ext>
          </c:extLst>
        </c:ser>
        <c:ser>
          <c:idx val="4"/>
          <c:order val="5"/>
          <c:tx>
            <c:strRef>
              <c:f>Estimation!$HR$6</c:f>
              <c:strCache>
                <c:ptCount val="1"/>
                <c:pt idx="0">
                  <c:v> </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Estimation!$HS$3</c:f>
              <c:numCache>
                <c:formatCode>General</c:formatCode>
                <c:ptCount val="1"/>
                <c:pt idx="0">
                  <c:v>130</c:v>
                </c:pt>
              </c:numCache>
            </c:numRef>
          </c:xVal>
          <c:yVal>
            <c:numRef>
              <c:f>Estimation!$HT$3</c:f>
              <c:numCache>
                <c:formatCode>General</c:formatCode>
                <c:ptCount val="1"/>
                <c:pt idx="0">
                  <c:v>0.38499145083226738</c:v>
                </c:pt>
              </c:numCache>
            </c:numRef>
          </c:yVal>
          <c:smooth val="0"/>
          <c:extLst>
            <c:ext xmlns:c16="http://schemas.microsoft.com/office/drawing/2014/chart" uri="{C3380CC4-5D6E-409C-BE32-E72D297353CC}">
              <c16:uniqueId val="{00000005-B65F-49D8-8B34-644D7A6B279F}"/>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Estimation!$BI$11</c:f>
              <c:strCache>
                <c:ptCount val="1"/>
                <c:pt idx="0">
                  <c:v>Koefficient i stikprøver af størrelsen n = 12
fra en population med koefficient = 0</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Styrke for hypotesetest om gennemsnit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Estimation!$CM$9</c:f>
              <c:strCache>
                <c:ptCount val="1"/>
                <c:pt idx="0">
                  <c:v>Falsk negativ
Nulhypotese afvises
Fejltype 2</c:v>
                </c:pt>
              </c:strCache>
            </c:strRef>
          </c:tx>
          <c:spPr>
            <a:solidFill>
              <a:schemeClr val="accent5"/>
            </a:solidFill>
            <a:ln w="25400">
              <a:noFill/>
            </a:ln>
            <a:effectLst/>
          </c:spPr>
          <c:cat>
            <c:strRef>
              <c:f>Estimation!$CP$10:$CP$268</c:f>
              <c:strCache>
                <c:ptCount val="130"/>
                <c:pt idx="129">
                  <c:v>0.000</c:v>
                </c:pt>
              </c:strCache>
            </c:strRef>
          </c:cat>
          <c:val>
            <c:numRef>
              <c:f>Estimation!$CL$10:$CL$268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0-DB88-4DEE-897B-81255767AB0E}"/>
            </c:ext>
          </c:extLst>
        </c:ser>
        <c:ser>
          <c:idx val="1"/>
          <c:order val="1"/>
          <c:tx>
            <c:strRef>
              <c:f>Estimation!$CN$9</c:f>
              <c:strCache>
                <c:ptCount val="1"/>
                <c:pt idx="0">
                  <c:v>Sand negativ
Nulhypotese afvises
Korrekt</c:v>
                </c:pt>
              </c:strCache>
            </c:strRef>
          </c:tx>
          <c:spPr>
            <a:solidFill>
              <a:schemeClr val="accent3"/>
            </a:solidFill>
            <a:ln w="25400">
              <a:noFill/>
            </a:ln>
            <a:effectLst/>
          </c:spPr>
          <c:cat>
            <c:strRef>
              <c:f>Estimation!$CP$10:$CP$268</c:f>
              <c:strCache>
                <c:ptCount val="130"/>
                <c:pt idx="129">
                  <c:v>0.000</c:v>
                </c:pt>
              </c:strCache>
            </c:strRef>
          </c:cat>
          <c:val>
            <c:numRef>
              <c:f>Estimation!$CN$10:$CN$268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DB88-4DEE-897B-81255767AB0E}"/>
            </c:ext>
          </c:extLst>
        </c:ser>
        <c:dLbls>
          <c:showLegendKey val="0"/>
          <c:showVal val="0"/>
          <c:showCatName val="0"/>
          <c:showSerName val="0"/>
          <c:showPercent val="0"/>
          <c:showBubbleSize val="0"/>
        </c:dLbls>
        <c:axId val="2085993312"/>
        <c:axId val="2125624672"/>
      </c:areaChart>
      <c:scatterChart>
        <c:scatterStyle val="lineMarker"/>
        <c:varyColors val="0"/>
        <c:ser>
          <c:idx val="2"/>
          <c:order val="2"/>
          <c:tx>
            <c:strRef>
              <c:f>Estimation!$CO$5</c:f>
              <c:strCache>
                <c:ptCount val="1"/>
                <c:pt idx="0">
                  <c:v>#N/A</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Estimation!$CN$2</c:f>
              <c:numCache>
                <c:formatCode>General</c:formatCode>
                <c:ptCount val="1"/>
                <c:pt idx="0">
                  <c:v>#N/A</c:v>
                </c:pt>
              </c:numCache>
            </c:numRef>
          </c:xVal>
          <c:yVal>
            <c:numRef>
              <c:f>Estimation!$CP$2</c:f>
              <c:numCache>
                <c:formatCode>General</c:formatCode>
                <c:ptCount val="1"/>
                <c:pt idx="0">
                  <c:v>#N/A</c:v>
                </c:pt>
              </c:numCache>
            </c:numRef>
          </c:yVal>
          <c:smooth val="0"/>
          <c:extLst>
            <c:ext xmlns:c16="http://schemas.microsoft.com/office/drawing/2014/chart" uri="{C3380CC4-5D6E-409C-BE32-E72D297353CC}">
              <c16:uniqueId val="{00000003-DB88-4DEE-897B-81255767AB0E}"/>
            </c:ext>
          </c:extLst>
        </c:ser>
        <c:ser>
          <c:idx val="5"/>
          <c:order val="3"/>
          <c:tx>
            <c:strRef>
              <c:f>Estimation!$CO$6</c:f>
              <c:strCache>
                <c:ptCount val="1"/>
                <c:pt idx="0">
                  <c:v>#N/A</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Estimation!$CN$3</c:f>
              <c:numCache>
                <c:formatCode>General</c:formatCode>
                <c:ptCount val="1"/>
                <c:pt idx="0">
                  <c:v>129</c:v>
                </c:pt>
              </c:numCache>
            </c:numRef>
          </c:xVal>
          <c:yVal>
            <c:numRef>
              <c:f>Estimation!$CP$3</c:f>
              <c:numCache>
                <c:formatCode>General</c:formatCode>
                <c:ptCount val="1"/>
                <c:pt idx="0">
                  <c:v>#N/A</c:v>
                </c:pt>
              </c:numCache>
            </c:numRef>
          </c:yVal>
          <c:smooth val="0"/>
          <c:extLst>
            <c:ext xmlns:c16="http://schemas.microsoft.com/office/drawing/2014/chart" uri="{C3380CC4-5D6E-409C-BE32-E72D297353CC}">
              <c16:uniqueId val="{00000004-DB88-4DEE-897B-81255767AB0E}"/>
            </c:ext>
          </c:extLst>
        </c:ser>
        <c:ser>
          <c:idx val="4"/>
          <c:order val="4"/>
          <c:tx>
            <c:strRef>
              <c:f>Estimation!$CO$7</c:f>
              <c:strCache>
                <c:ptCount val="1"/>
                <c:pt idx="0">
                  <c:v>#N/A</c:v>
                </c:pt>
              </c:strCache>
            </c:strRef>
          </c:tx>
          <c:spPr>
            <a:ln w="28575" cap="rnd">
              <a:solidFill>
                <a:schemeClr val="accent5"/>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Estimation!$CN$4</c:f>
              <c:numCache>
                <c:formatCode>General</c:formatCode>
                <c:ptCount val="1"/>
                <c:pt idx="0">
                  <c:v>#N/A</c:v>
                </c:pt>
              </c:numCache>
            </c:numRef>
          </c:xVal>
          <c:yVal>
            <c:numRef>
              <c:f>Estimation!$CP$4</c:f>
              <c:numCache>
                <c:formatCode>General</c:formatCode>
                <c:ptCount val="1"/>
                <c:pt idx="0">
                  <c:v>#N/A</c:v>
                </c:pt>
              </c:numCache>
            </c:numRef>
          </c:yVal>
          <c:smooth val="0"/>
          <c:extLst>
            <c:ext xmlns:c16="http://schemas.microsoft.com/office/drawing/2014/chart" uri="{C3380CC4-5D6E-409C-BE32-E72D297353CC}">
              <c16:uniqueId val="{00000005-DB88-4DEE-897B-81255767AB0E}"/>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Sandt populationsgennemsnit</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max val="1"/>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085993312"/>
        <c:crosses val="autoZero"/>
        <c:crossBetween val="between"/>
        <c:majorUnit val="0.25"/>
      </c:valAx>
      <c:spPr>
        <a:noFill/>
        <a:ln>
          <a:noFill/>
        </a:ln>
        <a:effectLst/>
      </c:spPr>
    </c:plotArea>
    <c:legend>
      <c:legendPos val="t"/>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Styrke for hypotesetest om andel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7"/>
          <c:order val="0"/>
          <c:tx>
            <c:strRef>
              <c:f>Estimation!$ET$9</c:f>
              <c:strCache>
                <c:ptCount val="1"/>
                <c:pt idx="0">
                  <c:v>Falsk negativ
Nulhypotese afvises
Fejltype 2</c:v>
                </c:pt>
              </c:strCache>
            </c:strRef>
          </c:tx>
          <c:spPr>
            <a:solidFill>
              <a:schemeClr val="accent5"/>
            </a:solidFill>
            <a:ln w="25400">
              <a:noFill/>
            </a:ln>
            <a:effectLst/>
          </c:spPr>
          <c:cat>
            <c:strRef>
              <c:f>Estimation!$EW$10:$EW$268</c:f>
              <c:strCache>
                <c:ptCount val="130"/>
                <c:pt idx="129">
                  <c:v>0.000%</c:v>
                </c:pt>
              </c:strCache>
            </c:strRef>
          </c:cat>
          <c:val>
            <c:numRef>
              <c:f>Estimation!$EV$10:$EV$268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0-D5FA-473F-85EE-48529502B1A3}"/>
            </c:ext>
          </c:extLst>
        </c:ser>
        <c:ser>
          <c:idx val="1"/>
          <c:order val="1"/>
          <c:tx>
            <c:strRef>
              <c:f>Estimation!$EU$9</c:f>
              <c:strCache>
                <c:ptCount val="1"/>
                <c:pt idx="0">
                  <c:v>Sand negativ
Nulhypotese afvises
Korrekt</c:v>
                </c:pt>
              </c:strCache>
            </c:strRef>
          </c:tx>
          <c:spPr>
            <a:solidFill>
              <a:schemeClr val="accent3"/>
            </a:solidFill>
            <a:ln w="25400">
              <a:noFill/>
            </a:ln>
            <a:effectLst/>
          </c:spPr>
          <c:cat>
            <c:strRef>
              <c:f>Estimation!$EW$10:$EW$268</c:f>
              <c:strCache>
                <c:ptCount val="130"/>
                <c:pt idx="129">
                  <c:v>0.000%</c:v>
                </c:pt>
              </c:strCache>
            </c:strRef>
          </c:cat>
          <c:val>
            <c:numRef>
              <c:f>Estimation!$EU$10:$EU$268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D5FA-473F-85EE-48529502B1A3}"/>
            </c:ext>
          </c:extLst>
        </c:ser>
        <c:dLbls>
          <c:showLegendKey val="0"/>
          <c:showVal val="0"/>
          <c:showCatName val="0"/>
          <c:showSerName val="0"/>
          <c:showPercent val="0"/>
          <c:showBubbleSize val="0"/>
        </c:dLbls>
        <c:axId val="2085993312"/>
        <c:axId val="2125624672"/>
      </c:areaChart>
      <c:scatterChart>
        <c:scatterStyle val="lineMarker"/>
        <c:varyColors val="0"/>
        <c:ser>
          <c:idx val="2"/>
          <c:order val="2"/>
          <c:tx>
            <c:strRef>
              <c:f>Estimation!$EV$5</c:f>
              <c:strCache>
                <c:ptCount val="1"/>
                <c:pt idx="0">
                  <c:v>#N/A</c:v>
                </c:pt>
              </c:strCache>
            </c:strRef>
          </c:tx>
          <c:spPr>
            <a:ln w="25400" cap="rnd">
              <a:no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Estimation!$EU$2</c:f>
              <c:numCache>
                <c:formatCode>General</c:formatCode>
                <c:ptCount val="1"/>
                <c:pt idx="0">
                  <c:v>#N/A</c:v>
                </c:pt>
              </c:numCache>
            </c:numRef>
          </c:xVal>
          <c:yVal>
            <c:numRef>
              <c:f>Estimation!$EW$2</c:f>
              <c:numCache>
                <c:formatCode>General</c:formatCode>
                <c:ptCount val="1"/>
                <c:pt idx="0">
                  <c:v>#N/A</c:v>
                </c:pt>
              </c:numCache>
            </c:numRef>
          </c:yVal>
          <c:smooth val="0"/>
          <c:extLst>
            <c:ext xmlns:c16="http://schemas.microsoft.com/office/drawing/2014/chart" uri="{C3380CC4-5D6E-409C-BE32-E72D297353CC}">
              <c16:uniqueId val="{00000000-35AE-403A-B110-11EFB9A99445}"/>
            </c:ext>
          </c:extLst>
        </c:ser>
        <c:ser>
          <c:idx val="3"/>
          <c:order val="3"/>
          <c:tx>
            <c:strRef>
              <c:f>Estimation!$EV$7</c:f>
              <c:strCache>
                <c:ptCount val="1"/>
                <c:pt idx="0">
                  <c:v>#N/A</c:v>
                </c:pt>
              </c:strCache>
            </c:strRef>
          </c:tx>
          <c:spPr>
            <a:ln w="25400" cap="rnd">
              <a:no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Estimation!$EU$4</c:f>
              <c:numCache>
                <c:formatCode>General</c:formatCode>
                <c:ptCount val="1"/>
                <c:pt idx="0">
                  <c:v>#N/A</c:v>
                </c:pt>
              </c:numCache>
            </c:numRef>
          </c:xVal>
          <c:yVal>
            <c:numRef>
              <c:f>Estimation!$EW$4</c:f>
              <c:numCache>
                <c:formatCode>General</c:formatCode>
                <c:ptCount val="1"/>
                <c:pt idx="0">
                  <c:v>#N/A</c:v>
                </c:pt>
              </c:numCache>
            </c:numRef>
          </c:yVal>
          <c:smooth val="0"/>
          <c:extLst>
            <c:ext xmlns:c16="http://schemas.microsoft.com/office/drawing/2014/chart" uri="{C3380CC4-5D6E-409C-BE32-E72D297353CC}">
              <c16:uniqueId val="{00000001-35AE-403A-B110-11EFB9A99445}"/>
            </c:ext>
          </c:extLst>
        </c:ser>
        <c:ser>
          <c:idx val="4"/>
          <c:order val="4"/>
          <c:tx>
            <c:strRef>
              <c:f>Estimation!$EV$6</c:f>
              <c:strCache>
                <c:ptCount val="1"/>
                <c:pt idx="0">
                  <c:v>#N/A</c:v>
                </c:pt>
              </c:strCache>
            </c:strRef>
          </c:tx>
          <c:spPr>
            <a:ln w="25400" cap="rnd">
              <a:no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Estimation!$EV$3</c:f>
              <c:numCache>
                <c:formatCode>General</c:formatCode>
                <c:ptCount val="1"/>
                <c:pt idx="0">
                  <c:v>130</c:v>
                </c:pt>
              </c:numCache>
            </c:numRef>
          </c:xVal>
          <c:yVal>
            <c:numRef>
              <c:f>Estimation!$EW$3</c:f>
              <c:numCache>
                <c:formatCode>General</c:formatCode>
                <c:ptCount val="1"/>
                <c:pt idx="0">
                  <c:v>#N/A</c:v>
                </c:pt>
              </c:numCache>
            </c:numRef>
          </c:yVal>
          <c:smooth val="0"/>
          <c:extLst>
            <c:ext xmlns:c16="http://schemas.microsoft.com/office/drawing/2014/chart" uri="{C3380CC4-5D6E-409C-BE32-E72D297353CC}">
              <c16:uniqueId val="{00000002-35AE-403A-B110-11EFB9A99445}"/>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Sand populationandel</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noMultiLvlLbl val="0"/>
      </c:catAx>
      <c:valAx>
        <c:axId val="2125624672"/>
        <c:scaling>
          <c:orientation val="minMax"/>
          <c:max val="1"/>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085993312"/>
        <c:crosses val="autoZero"/>
        <c:crossBetween val="between"/>
        <c:majorUnit val="0.25"/>
      </c:valAx>
      <c:spPr>
        <a:noFill/>
        <a:ln>
          <a:noFill/>
        </a:ln>
        <a:effectLst/>
      </c:spPr>
    </c:plotArea>
    <c:legend>
      <c:legendPos val="t"/>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LineærRegression!$BQ$10</c:f>
          <c:strCache>
            <c:ptCount val="1"/>
            <c:pt idx="0">
              <c:v>Koefficienteffekt i multipel lineær regression
Ændringer i Eksempel 2 (interval) har størst effekt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LineærRegression!$BQ$12</c:f>
              <c:strCache>
                <c:ptCount val="1"/>
                <c:pt idx="0">
                  <c:v>Normaliseret effekt af uafhængig variabel</c:v>
                </c:pt>
              </c:strCache>
            </c:strRef>
          </c:tx>
          <c:spPr>
            <a:ln w="28575" cap="rnd">
              <a:solidFill>
                <a:schemeClr val="accent1"/>
              </a:solidFill>
              <a:round/>
            </a:ln>
            <a:effectLst/>
          </c:spPr>
          <c:marker>
            <c:symbol val="none"/>
          </c:marker>
          <c:dLbls>
            <c:dLbl>
              <c:idx val="0"/>
              <c:tx>
                <c:rich>
                  <a:bodyPr/>
                  <a:lstStyle/>
                  <a:p>
                    <a:fld id="{F2335BC3-8B3E-473C-92B6-226537D05C21}"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391D-4C21-9DB1-33ADF270BBD8}"/>
                </c:ext>
              </c:extLst>
            </c:dLbl>
            <c:dLbl>
              <c:idx val="1"/>
              <c:tx>
                <c:rich>
                  <a:bodyPr/>
                  <a:lstStyle/>
                  <a:p>
                    <a:fld id="{F905CEF0-B4FC-4078-BD29-4A0E417D683B}"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91D-4C21-9DB1-33ADF270BBD8}"/>
                </c:ext>
              </c:extLst>
            </c:dLbl>
            <c:dLbl>
              <c:idx val="2"/>
              <c:tx>
                <c:rich>
                  <a:bodyPr/>
                  <a:lstStyle/>
                  <a:p>
                    <a:endParaRPr lang="da-DK"/>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391D-4C21-9DB1-33ADF270BBD8}"/>
                </c:ext>
              </c:extLst>
            </c:dLbl>
            <c:dLbl>
              <c:idx val="3"/>
              <c:tx>
                <c:rich>
                  <a:bodyPr/>
                  <a:lstStyle/>
                  <a:p>
                    <a:fld id="{8BE675FB-569F-45A7-9FF6-8FD15490659A}"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91D-4C21-9DB1-33ADF270BBD8}"/>
                </c:ext>
              </c:extLst>
            </c:dLbl>
            <c:dLbl>
              <c:idx val="4"/>
              <c:tx>
                <c:rich>
                  <a:bodyPr/>
                  <a:lstStyle/>
                  <a:p>
                    <a:fld id="{170B7065-79A1-42F3-856F-440EB8AFB163}"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91D-4C21-9DB1-33ADF270BBD8}"/>
                </c:ext>
              </c:extLst>
            </c:dLbl>
            <c:dLbl>
              <c:idx val="5"/>
              <c:tx>
                <c:rich>
                  <a:bodyPr/>
                  <a:lstStyle/>
                  <a:p>
                    <a:endParaRPr lang="da-DK"/>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391D-4C21-9DB1-33ADF270BB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[0]!LmkX</c:f>
              <c:numCache>
                <c:formatCode>General</c:formatCode>
                <c:ptCount val="6"/>
                <c:pt idx="0">
                  <c:v>1.3568458048465697</c:v>
                </c:pt>
                <c:pt idx="1">
                  <c:v>-1.807500578536976</c:v>
                </c:pt>
                <c:pt idx="2">
                  <c:v>#N/A</c:v>
                </c:pt>
                <c:pt idx="3">
                  <c:v>1.7320508075688774</c:v>
                </c:pt>
                <c:pt idx="4">
                  <c:v>-0.57735026918962584</c:v>
                </c:pt>
                <c:pt idx="5">
                  <c:v>#N/A</c:v>
                </c:pt>
              </c:numCache>
            </c:numRef>
          </c:xVal>
          <c:yVal>
            <c:numRef>
              <c:f>[0]!LmkY</c:f>
              <c:numCache>
                <c:formatCode>General</c:formatCode>
                <c:ptCount val="6"/>
                <c:pt idx="0">
                  <c:v>4.118459773571125</c:v>
                </c:pt>
                <c:pt idx="1">
                  <c:v>-1.3882569782235548</c:v>
                </c:pt>
                <c:pt idx="2">
                  <c:v>#N/A</c:v>
                </c:pt>
                <c:pt idx="3">
                  <c:v>0.92006454592698861</c:v>
                </c:pt>
                <c:pt idx="4">
                  <c:v>0</c:v>
                </c:pt>
                <c:pt idx="5">
                  <c:v>#N/A</c:v>
                </c:pt>
              </c:numCache>
            </c:numRef>
          </c:yVal>
          <c:smooth val="0"/>
          <c:extLst>
            <c:ext xmlns:c15="http://schemas.microsoft.com/office/drawing/2012/chart" uri="{02D57815-91ED-43cb-92C2-25804820EDAC}">
              <c15:datalabelsRange>
                <c15:f>Beregningsark!$A$3:$A$152</c15:f>
                <c15:dlblRangeCache>
                  <c:ptCount val="150"/>
                  <c:pt idx="0">
                    <c:v>Eksempel 2 (interval)</c:v>
                  </c:pt>
                  <c:pt idx="1">
                    <c:v>Eksempel 2 (interval)</c:v>
                  </c:pt>
                  <c:pt idx="2">
                    <c:v>Eksempel 2 (interval)</c:v>
                  </c:pt>
                  <c:pt idx="3">
                    <c:v>Eksempel 3 (nominal)</c:v>
                  </c:pt>
                  <c:pt idx="4">
                    <c:v>Eksempel 3 (nominal)</c:v>
                  </c:pt>
                  <c:pt idx="5">
                    <c:v>Eksempel 3 (nominal)</c:v>
                  </c:pt>
                </c15:dlblRangeCache>
              </c15:datalabelsRange>
            </c:ext>
            <c:ext xmlns:c16="http://schemas.microsoft.com/office/drawing/2014/chart" uri="{C3380CC4-5D6E-409C-BE32-E72D297353CC}">
              <c16:uniqueId val="{00000009-391D-4C21-9DB1-33ADF270BBD8}"/>
            </c:ext>
          </c:extLst>
        </c:ser>
        <c:ser>
          <c:idx val="1"/>
          <c:order val="1"/>
          <c:tx>
            <c:strRef>
              <c:f>LineærRegression!$BQ$14</c:f>
              <c:strCache>
                <c:ptCount val="1"/>
                <c:pt idx="0">
                  <c:v>Koefficienteffekt ved værdi af interesse</c:v>
                </c:pt>
              </c:strCache>
            </c:strRef>
          </c:tx>
          <c:spPr>
            <a:ln w="19050" cap="rnd">
              <a:noFill/>
              <a:round/>
            </a:ln>
            <a:effectLst/>
          </c:spPr>
          <c:marker>
            <c:symbol val="x"/>
            <c:size val="15"/>
            <c:spPr>
              <a:noFill/>
              <a:ln w="28575">
                <a:solidFill>
                  <a:schemeClr val="accent2"/>
                </a:solidFill>
              </a:ln>
              <a:effectLst/>
            </c:spPr>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[0]!LmkVxX</c:f>
              <c:numCache>
                <c:formatCode>General</c:formatCode>
                <c:ptCount val="2"/>
                <c:pt idx="0">
                  <c:v>-0.76599512378686307</c:v>
                </c:pt>
                <c:pt idx="1">
                  <c:v>1.7320508075688774</c:v>
                </c:pt>
              </c:numCache>
            </c:numRef>
          </c:xVal>
          <c:yVal>
            <c:numRef>
              <c:f>[0]!LmkVxY</c:f>
              <c:numCache>
                <c:formatCode>General</c:formatCode>
                <c:ptCount val="2"/>
                <c:pt idx="0">
                  <c:v>0.42421069752609331</c:v>
                </c:pt>
                <c:pt idx="1">
                  <c:v>0.92006454592698861</c:v>
                </c:pt>
              </c:numCache>
            </c:numRef>
          </c:yVal>
          <c:smooth val="0"/>
          <c:extLst>
            <c:ext xmlns:c16="http://schemas.microsoft.com/office/drawing/2014/chart" uri="{C3380CC4-5D6E-409C-BE32-E72D297353CC}">
              <c16:uniqueId val="{0000000A-391D-4C21-9DB1-33ADF270BBD8}"/>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LineærRegression!$BQ$16</c:f>
              <c:strCache>
                <c:ptCount val="1"/>
                <c:pt idx="0">
                  <c:v>Standardiseret score for uafhængig variabel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LineærRegression!$BQ$18</c:f>
              <c:strCache>
                <c:ptCount val="1"/>
                <c:pt idx="0">
                  <c:v>Effekt på afhængig variabel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LineærRegression!$AR$10</c:f>
          <c:strCache>
            <c:ptCount val="1"/>
            <c:pt idx="0">
              <c:v>Linjetilpasningsplot for simpel lineær regression
Eksempel 2 (interval) forklarer 19.5%
af variationen i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LineærRegression!$AR$14</c:f>
              <c:strCache>
                <c:ptCount val="1"/>
                <c:pt idx="0">
                  <c:v> Eksempel 1 (interval) = 0.444 * Eksempel 2 (interval) + 0.015</c:v>
                </c:pt>
              </c:strCache>
            </c:strRef>
          </c:tx>
          <c:spPr>
            <a:ln w="28575" cap="rnd">
              <a:solidFill>
                <a:schemeClr val="tx1"/>
              </a:solidFill>
              <a:round/>
            </a:ln>
            <a:effectLst/>
          </c:spPr>
          <c:marker>
            <c:symbol val="none"/>
          </c:marker>
          <c:trendline>
            <c:spPr>
              <a:ln w="19050" cap="rnd">
                <a:noFill/>
                <a:prstDash val="sysDot"/>
              </a:ln>
              <a:effectLst/>
            </c:spPr>
            <c:trendlineType val="linear"/>
            <c:dispRSqr val="0"/>
            <c:dispEq val="1"/>
            <c:trendlineLbl>
              <c:layout>
                <c:manualLayout>
                  <c:x val="9.1441677702123914E-2"/>
                  <c:y val="-8.351473983189761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rendlineLbl>
          </c:trendline>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[0]!Lsy2Simpel</c:f>
              <c:numCache>
                <c:formatCode>General</c:formatCode>
                <c:ptCount val="12"/>
                <c:pt idx="0">
                  <c:v>-1.4374212088539973</c:v>
                </c:pt>
                <c:pt idx="1">
                  <c:v>-0.97817244327948039</c:v>
                </c:pt>
                <c:pt idx="2">
                  <c:v>0.90303445595636256</c:v>
                </c:pt>
                <c:pt idx="3">
                  <c:v>0.91319495017121943</c:v>
                </c:pt>
                <c:pt idx="4">
                  <c:v>0.91702475807613404</c:v>
                </c:pt>
                <c:pt idx="5">
                  <c:v>1.7908208645529828</c:v>
                </c:pt>
                <c:pt idx="6">
                  <c:v>2.234714068851293</c:v>
                </c:pt>
                <c:pt idx="7">
                  <c:v>2.4220592653040312</c:v>
                </c:pt>
                <c:pt idx="8">
                  <c:v>2.8229195991085057</c:v>
                </c:pt>
                <c:pt idx="9">
                  <c:v>4.0102868860445335</c:v>
                </c:pt>
                <c:pt idx="10">
                  <c:v>4.3247959119600328</c:v>
                </c:pt>
                <c:pt idx="11">
                  <c:v>4.3247959119600328</c:v>
                </c:pt>
              </c:numCache>
            </c:numRef>
          </c:yVal>
          <c:smooth val="1"/>
          <c:extLst>
            <c:ext xmlns:c16="http://schemas.microsoft.com/office/drawing/2014/chart" uri="{C3380CC4-5D6E-409C-BE32-E72D297353CC}">
              <c16:uniqueId val="{00000001-4D7F-44CB-80F5-EC93153FAEEA}"/>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LineærRegression!$AR$12</c:f>
              <c:strCache>
                <c:ptCount val="1"/>
                <c:pt idx="0">
                  <c:v> Observationer (n=12)</c:v>
                </c:pt>
              </c:strCache>
            </c:strRef>
          </c:tx>
          <c:spPr>
            <a:ln w="25400" cap="rnd">
              <a:noFill/>
              <a:round/>
            </a:ln>
            <a:effectLst/>
          </c:spPr>
          <c:marker>
            <c:symbol val="circle"/>
            <c:size val="7"/>
            <c:spPr>
              <a:noFill/>
              <a:ln w="28575">
                <a:solidFill>
                  <a:schemeClr val="accent1">
                    <a:alpha val="70000"/>
                  </a:schemeClr>
                </a:solidFill>
              </a:ln>
              <a:effectLst/>
            </c:spPr>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[0]!LsySimpel</c:f>
              <c:numCache>
                <c:formatCode>General</c:formatCode>
                <c:ptCount val="12"/>
                <c:pt idx="0">
                  <c:v>-1.1469596428732241</c:v>
                </c:pt>
                <c:pt idx="1">
                  <c:v>-1.479592604535932</c:v>
                </c:pt>
                <c:pt idx="2">
                  <c:v>1.2989587493526971</c:v>
                </c:pt>
                <c:pt idx="3">
                  <c:v>-0.30723615599325882</c:v>
                </c:pt>
                <c:pt idx="4">
                  <c:v>-0.40935481016144565</c:v>
                </c:pt>
                <c:pt idx="5">
                  <c:v>1.8110756828005981</c:v>
                </c:pt>
                <c:pt idx="6">
                  <c:v>8</c:v>
                </c:pt>
                <c:pt idx="7">
                  <c:v>8.4427372017371785E-2</c:v>
                </c:pt>
                <c:pt idx="8">
                  <c:v>1.3803796539630533</c:v>
                </c:pt>
                <c:pt idx="9">
                  <c:v>13</c:v>
                </c:pt>
                <c:pt idx="10">
                  <c:v>0.91409189597286977</c:v>
                </c:pt>
                <c:pt idx="11">
                  <c:v>-0.89773712069108735</c:v>
                </c:pt>
              </c:numCache>
            </c:numRef>
          </c:yVal>
          <c:smooth val="0"/>
          <c:extLst>
            <c:ext xmlns:c16="http://schemas.microsoft.com/office/drawing/2014/chart" uri="{C3380CC4-5D6E-409C-BE32-E72D297353CC}">
              <c16:uniqueId val="{00000002-4D7F-44CB-80F5-EC93153FAEEA}"/>
            </c:ext>
          </c:extLst>
        </c:ser>
        <c:ser>
          <c:idx val="2"/>
          <c:order val="2"/>
          <c:tx>
            <c:strRef>
              <c:f>LineærRegression!$AR$10</c:f>
              <c:strCache>
                <c:ptCount val="1"/>
                <c:pt idx="0">
                  <c:v>Linjetilpasningsplot for simpel lineær regression
Eksempel 2 (interval) forklarer 19.5%
af variationen i Eksempel 1 (interval)</c:v>
                </c:pt>
              </c:strCache>
            </c:strRef>
          </c:tx>
          <c:spPr>
            <a:ln w="25400" cap="rnd">
              <a:noFill/>
              <a:round/>
            </a:ln>
            <a:effectLst/>
          </c:spPr>
          <c:marker>
            <c:symbol val="none"/>
          </c:marker>
          <c:xVal>
            <c:numRef>
              <c:f>(LineærRegression!$AR$38,LineærRegression!$AR$38)</c:f>
              <c:numCache>
                <c:formatCode>General</c:formatCode>
                <c:ptCount val="2"/>
                <c:pt idx="0">
                  <c:v>4.14233953833077</c:v>
                </c:pt>
                <c:pt idx="1">
                  <c:v>4.14233953833077</c:v>
                </c:pt>
              </c:numCache>
            </c:numRef>
          </c:xVal>
          <c:yVal>
            <c:numRef>
              <c:f>(LineærRegression!$AQ$28,LineærRegression!$AQ$30)</c:f>
              <c:numCache>
                <c:formatCode>General</c:formatCode>
                <c:ptCount val="2"/>
                <c:pt idx="0">
                  <c:v>-11.951147136555756</c:v>
                </c:pt>
                <c:pt idx="1">
                  <c:v>14.367118518839385</c:v>
                </c:pt>
              </c:numCache>
            </c:numRef>
          </c:yVal>
          <c:smooth val="0"/>
          <c:extLst>
            <c:ext xmlns:c16="http://schemas.microsoft.com/office/drawing/2014/chart" uri="{C3380CC4-5D6E-409C-BE32-E72D297353CC}">
              <c16:uniqueId val="{00000003-4D7F-44CB-80F5-EC93153FAEEA}"/>
            </c:ext>
          </c:extLst>
        </c:ser>
        <c:ser>
          <c:idx val="3"/>
          <c:order val="3"/>
          <c:tx>
            <c:strRef>
              <c:f>LineærRegression!$AR$16</c:f>
              <c:strCache>
                <c:ptCount val="1"/>
                <c:pt idx="0">
                  <c:v> Givet at Eksempel 2 (interval) = 1 estimeres Eksempel 1 (interval) = 0.459</c:v>
                </c:pt>
              </c:strCache>
            </c:strRef>
          </c:tx>
          <c:spPr>
            <a:ln w="25400" cap="rnd">
              <a:noFill/>
              <a:round/>
            </a:ln>
            <a:effectLst/>
          </c:spPr>
          <c:marker>
            <c:symbol val="x"/>
            <c:size val="15"/>
            <c:spPr>
              <a:noFill/>
              <a:ln w="2857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LineærRegression!$B$38</c:f>
              <c:numCache>
                <c:formatCode>General</c:formatCode>
                <c:ptCount val="1"/>
                <c:pt idx="0">
                  <c:v>1</c:v>
                </c:pt>
              </c:numCache>
            </c:numRef>
          </c:xVal>
          <c:yVal>
            <c:numRef>
              <c:f>LineærRegression!$B$40</c:f>
              <c:numCache>
                <c:formatCode>#,##0.000</c:formatCode>
                <c:ptCount val="1"/>
                <c:pt idx="0">
                  <c:v>0.45914125165805242</c:v>
                </c:pt>
              </c:numCache>
            </c:numRef>
          </c:yVal>
          <c:smooth val="0"/>
          <c:extLst>
            <c:ext xmlns:c16="http://schemas.microsoft.com/office/drawing/2014/chart" uri="{C3380CC4-5D6E-409C-BE32-E72D297353CC}">
              <c16:uniqueId val="{00000004-4D7F-44CB-80F5-EC93153FAEEA}"/>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LineærRegression!$BL$10</c:f>
          <c:strCache>
            <c:ptCount val="1"/>
            <c:pt idx="0">
              <c:v>Ud af 2 inkluderede uafhængige variable
er 0 signifikante ved 95% konfidensniveau</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bar"/>
        <c:grouping val="stacked"/>
        <c:varyColors val="0"/>
        <c:ser>
          <c:idx val="0"/>
          <c:order val="0"/>
          <c:tx>
            <c:strRef>
              <c:f>LineærRegression!$BL$12</c:f>
              <c:strCache>
                <c:ptCount val="1"/>
                <c:pt idx="0">
                  <c:v>Signifikant</c:v>
                </c:pt>
              </c:strCache>
            </c:strRef>
          </c:tx>
          <c:spPr>
            <a:solidFill>
              <a:schemeClr val="accent1"/>
            </a:solidFill>
            <a:ln>
              <a:noFill/>
            </a:ln>
            <a:effectLst/>
          </c:spPr>
          <c:invertIfNegative val="0"/>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inBase"/>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[0]!Lssx</c:f>
              <c:strCache>
                <c:ptCount val="2"/>
                <c:pt idx="0">
                  <c:v>Eksempel 2 (interval)     </c:v>
                </c:pt>
                <c:pt idx="1">
                  <c:v>Eksempel 3 (nominal)     </c:v>
                </c:pt>
              </c:strCache>
            </c:strRef>
          </c:cat>
          <c:val>
            <c:numRef>
              <c:f>[0]!Lssy1</c:f>
              <c:numCache>
                <c:formatCode>General</c:formatCode>
                <c:ptCount val="2"/>
                <c:pt idx="0">
                  <c:v>#N/A</c:v>
                </c:pt>
                <c:pt idx="1">
                  <c:v>#N/A</c:v>
                </c:pt>
              </c:numCache>
            </c:numRef>
          </c:val>
          <c:extLst>
            <c:ext xmlns:c16="http://schemas.microsoft.com/office/drawing/2014/chart" uri="{C3380CC4-5D6E-409C-BE32-E72D297353CC}">
              <c16:uniqueId val="{00000000-5E5C-4BC6-98E9-F928001F9D2A}"/>
            </c:ext>
          </c:extLst>
        </c:ser>
        <c:ser>
          <c:idx val="1"/>
          <c:order val="1"/>
          <c:tx>
            <c:strRef>
              <c:f>LineærRegression!$BL$14</c:f>
              <c:strCache>
                <c:ptCount val="1"/>
                <c:pt idx="0">
                  <c:v>Ikke signifikant</c:v>
                </c:pt>
              </c:strCache>
            </c:strRef>
          </c:tx>
          <c:spPr>
            <a:solidFill>
              <a:schemeClr val="accent2"/>
            </a:solidFill>
            <a:ln>
              <a:noFill/>
            </a:ln>
            <a:effectLst/>
          </c:spPr>
          <c:invertIfNegative val="0"/>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inBase"/>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[0]!Lssx</c:f>
              <c:strCache>
                <c:ptCount val="2"/>
                <c:pt idx="0">
                  <c:v>Eksempel 2 (interval)     </c:v>
                </c:pt>
                <c:pt idx="1">
                  <c:v>Eksempel 3 (nominal)     </c:v>
                </c:pt>
              </c:strCache>
            </c:strRef>
          </c:cat>
          <c:val>
            <c:numRef>
              <c:f>[0]!Lssy2</c:f>
              <c:numCache>
                <c:formatCode>General</c:formatCode>
                <c:ptCount val="2"/>
                <c:pt idx="0">
                  <c:v>0.19806158153598377</c:v>
                </c:pt>
                <c:pt idx="1">
                  <c:v>0.7576462468032521</c:v>
                </c:pt>
              </c:numCache>
            </c:numRef>
          </c:val>
          <c:extLst>
            <c:ext xmlns:c16="http://schemas.microsoft.com/office/drawing/2014/chart" uri="{C3380CC4-5D6E-409C-BE32-E72D297353CC}">
              <c16:uniqueId val="{00000001-5E5C-4BC6-98E9-F928001F9D2A}"/>
            </c:ext>
          </c:extLst>
        </c:ser>
        <c:dLbls>
          <c:showLegendKey val="0"/>
          <c:showVal val="0"/>
          <c:showCatName val="0"/>
          <c:showSerName val="0"/>
          <c:showPercent val="0"/>
          <c:showBubbleSize val="0"/>
        </c:dLbls>
        <c:gapWidth val="25"/>
        <c:overlap val="100"/>
        <c:axId val="530040208"/>
        <c:axId val="530040624"/>
      </c:barChart>
      <c:scatterChart>
        <c:scatterStyle val="lineMarker"/>
        <c:varyColors val="0"/>
        <c:ser>
          <c:idx val="2"/>
          <c:order val="2"/>
          <c:tx>
            <c:strRef>
              <c:f>LineærRegression!$BL$16</c:f>
              <c:strCache>
                <c:ptCount val="1"/>
                <c:pt idx="0">
                  <c:v>Grænse for signifikans = 5%</c:v>
                </c:pt>
              </c:strCache>
            </c:strRef>
          </c:tx>
          <c:spPr>
            <a:ln w="28575" cap="rnd">
              <a:solidFill>
                <a:sysClr val="windowText" lastClr="000000"/>
              </a:solidFill>
              <a:round/>
            </a:ln>
            <a:effectLst/>
          </c:spPr>
          <c:marker>
            <c:symbol val="none"/>
          </c:marker>
          <c:dPt>
            <c:idx val="1"/>
            <c:marker>
              <c:symbol val="none"/>
            </c:marker>
            <c:bubble3D val="0"/>
            <c:extLst>
              <c:ext xmlns:c16="http://schemas.microsoft.com/office/drawing/2014/chart" uri="{C3380CC4-5D6E-409C-BE32-E72D297353CC}">
                <c16:uniqueId val="{00000002-5E5C-4BC6-98E9-F928001F9D2A}"/>
              </c:ext>
            </c:extLst>
          </c:dPt>
          <c:dLbls>
            <c:dLbl>
              <c:idx val="1"/>
              <c:delete val="1"/>
              <c:extLst>
                <c:ext xmlns:c15="http://schemas.microsoft.com/office/drawing/2012/chart" uri="{CE6537A1-D6FC-4f65-9D91-7224C49458BB}"/>
                <c:ext xmlns:c16="http://schemas.microsoft.com/office/drawing/2014/chart" uri="{C3380CC4-5D6E-409C-BE32-E72D297353CC}">
                  <c16:uniqueId val="{00000002-5E5C-4BC6-98E9-F928001F9D2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(LineærRegression!$BL$24,LineærRegression!$BL$24)</c:f>
              <c:numCache>
                <c:formatCode>0.000%</c:formatCode>
                <c:ptCount val="2"/>
                <c:pt idx="0">
                  <c:v>5.0000000000000044E-2</c:v>
                </c:pt>
                <c:pt idx="1">
                  <c:v>5.0000000000000044E-2</c:v>
                </c:pt>
              </c:numCache>
            </c:numRef>
          </c:xVal>
          <c:yVal>
            <c:numRef>
              <c:f>(LineærRegression!$BL$20,LineærRegression!$BL$22)</c:f>
              <c:numCache>
                <c:formatCode>General</c:formatCode>
                <c:ptCount val="2"/>
                <c:pt idx="0">
                  <c:v>0</c:v>
                </c:pt>
                <c:pt idx="1">
                  <c:v>1</c:v>
                </c:pt>
              </c:numCache>
            </c:numRef>
          </c:yVal>
          <c:smooth val="0"/>
          <c:extLst>
            <c:ext xmlns:c16="http://schemas.microsoft.com/office/drawing/2014/chart" uri="{C3380CC4-5D6E-409C-BE32-E72D297353CC}">
              <c16:uniqueId val="{00000004-5E5C-4BC6-98E9-F928001F9D2A}"/>
            </c:ext>
          </c:extLst>
        </c:ser>
        <c:dLbls>
          <c:showLegendKey val="0"/>
          <c:showVal val="0"/>
          <c:showCatName val="0"/>
          <c:showSerName val="0"/>
          <c:showPercent val="0"/>
          <c:showBubbleSize val="0"/>
        </c:dLbls>
        <c:axId val="881375776"/>
        <c:axId val="881366208"/>
      </c:scatterChart>
      <c:valAx>
        <c:axId val="881375776"/>
        <c:scaling>
          <c:orientation val="minMax"/>
        </c:scaling>
        <c:delete val="1"/>
        <c:axPos val="b"/>
        <c:numFmt formatCode="0.000%" sourceLinked="1"/>
        <c:majorTickMark val="none"/>
        <c:minorTickMark val="none"/>
        <c:tickLblPos val="high"/>
        <c:crossAx val="881366208"/>
        <c:crosses val="autoZero"/>
        <c:crossBetween val="midCat"/>
      </c:valAx>
      <c:valAx>
        <c:axId val="881366208"/>
        <c:scaling>
          <c:orientation val="minMax"/>
          <c:max val="1"/>
        </c:scaling>
        <c:delete val="0"/>
        <c:axPos val="l"/>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81375776"/>
        <c:crosses val="autoZero"/>
        <c:crossBetween val="midCat"/>
      </c:valAx>
      <c:valAx>
        <c:axId val="530040624"/>
        <c:scaling>
          <c:orientation val="minMax"/>
        </c:scaling>
        <c:delete val="0"/>
        <c:axPos val="t"/>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530040208"/>
        <c:crosses val="autoZero"/>
        <c:crossBetween val="between"/>
      </c:valAx>
      <c:catAx>
        <c:axId val="530040208"/>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530040624"/>
        <c:crosses val="autoZero"/>
        <c:auto val="1"/>
        <c:lblAlgn val="ctr"/>
        <c:lblOffset val="100"/>
        <c:noMultiLvlLbl val="0"/>
      </c:cat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LineærRegression!$EM$10</c:f>
          <c:strCache>
            <c:ptCount val="1"/>
            <c:pt idx="0">
              <c:v>Forklaringsgrad i simpel regression:   19.5% (justeret 11.5%)
Forklaringsgrad i multipel regression: 20.4% (justeret 2.7%)</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LineærRegression!$EM$14</c:f>
              <c:strCache>
                <c:ptCount val="1"/>
                <c:pt idx="0">
                  <c:v> Beregnet værdi, simpel lineær regression</c:v>
                </c:pt>
              </c:strCache>
            </c:strRef>
          </c:tx>
          <c:spPr>
            <a:ln w="25400" cap="rnd">
              <a:noFill/>
              <a:round/>
            </a:ln>
            <a:effectLst/>
          </c:spPr>
          <c:marker>
            <c:symbol val="circle"/>
            <c:size val="7"/>
            <c:spPr>
              <a:noFill/>
              <a:ln w="28575">
                <a:solidFill>
                  <a:schemeClr val="accent1">
                    <a:alpha val="70000"/>
                  </a:schemeClr>
                </a:solidFill>
              </a:ln>
              <a:effectLst/>
            </c:spPr>
          </c:marker>
          <c:xVal>
            <c:numRef>
              <c:f>[0]!Lfyx</c:f>
              <c:numCache>
                <c:formatCode>General</c:formatCode>
                <c:ptCount val="12"/>
                <c:pt idx="0">
                  <c:v>1.2989587493526971</c:v>
                </c:pt>
                <c:pt idx="1">
                  <c:v>-1.1469596428732241</c:v>
                </c:pt>
                <c:pt idx="2">
                  <c:v>-0.40935481016144565</c:v>
                </c:pt>
                <c:pt idx="3">
                  <c:v>-1.479592604535932</c:v>
                </c:pt>
                <c:pt idx="4">
                  <c:v>1.8110756828005981</c:v>
                </c:pt>
                <c:pt idx="5">
                  <c:v>8</c:v>
                </c:pt>
                <c:pt idx="6">
                  <c:v>-0.30723615599325882</c:v>
                </c:pt>
                <c:pt idx="7">
                  <c:v>13</c:v>
                </c:pt>
                <c:pt idx="8">
                  <c:v>1.3803796539630533</c:v>
                </c:pt>
                <c:pt idx="9">
                  <c:v>8.4427372017371785E-2</c:v>
                </c:pt>
                <c:pt idx="10">
                  <c:v>0.91409189597286977</c:v>
                </c:pt>
                <c:pt idx="11">
                  <c:v>-0.89773712069108735</c:v>
                </c:pt>
              </c:numCache>
            </c:numRef>
          </c:xVal>
          <c:yVal>
            <c:numRef>
              <c:f>[0]!Lfs</c:f>
              <c:numCache>
                <c:formatCode>General</c:formatCode>
                <c:ptCount val="12"/>
                <c:pt idx="0">
                  <c:v>0.90303445595636256</c:v>
                </c:pt>
                <c:pt idx="1">
                  <c:v>-1.4374212088539973</c:v>
                </c:pt>
                <c:pt idx="2">
                  <c:v>0.91702475807613404</c:v>
                </c:pt>
                <c:pt idx="3">
                  <c:v>-0.97817244327948039</c:v>
                </c:pt>
                <c:pt idx="4">
                  <c:v>1.7908208645529828</c:v>
                </c:pt>
                <c:pt idx="5">
                  <c:v>2.234714068851293</c:v>
                </c:pt>
                <c:pt idx="6">
                  <c:v>0.91319495017121943</c:v>
                </c:pt>
                <c:pt idx="7">
                  <c:v>4.0102868860445335</c:v>
                </c:pt>
                <c:pt idx="8">
                  <c:v>2.8229195991085057</c:v>
                </c:pt>
                <c:pt idx="9">
                  <c:v>2.4220592653040312</c:v>
                </c:pt>
                <c:pt idx="10">
                  <c:v>4.3247959119600328</c:v>
                </c:pt>
                <c:pt idx="11">
                  <c:v>4.3247959119600328</c:v>
                </c:pt>
              </c:numCache>
            </c:numRef>
          </c:yVal>
          <c:smooth val="0"/>
          <c:extLst>
            <c:ext xmlns:c16="http://schemas.microsoft.com/office/drawing/2014/chart" uri="{C3380CC4-5D6E-409C-BE32-E72D297353CC}">
              <c16:uniqueId val="{00000000-592A-4A84-BF3A-F7DA74A1DBCF}"/>
            </c:ext>
          </c:extLst>
        </c:ser>
        <c:ser>
          <c:idx val="3"/>
          <c:order val="1"/>
          <c:tx>
            <c:strRef>
              <c:f>LineærRegression!$EM$16</c:f>
              <c:strCache>
                <c:ptCount val="1"/>
                <c:pt idx="0">
                  <c:v> Beregnet værdi, multipel lineær regression</c:v>
                </c:pt>
              </c:strCache>
            </c:strRef>
          </c:tx>
          <c:spPr>
            <a:ln w="25400" cap="rnd">
              <a:noFill/>
              <a:round/>
            </a:ln>
            <a:effectLst/>
          </c:spPr>
          <c:marker>
            <c:symbol val="circle"/>
            <c:size val="7"/>
            <c:spPr>
              <a:noFill/>
              <a:ln w="28575">
                <a:solidFill>
                  <a:schemeClr val="accent2">
                    <a:alpha val="70000"/>
                  </a:schemeClr>
                </a:solidFill>
              </a:ln>
              <a:effectLst/>
            </c:spPr>
          </c:marker>
          <c:xVal>
            <c:numRef>
              <c:f>[0]!Lfyx</c:f>
              <c:numCache>
                <c:formatCode>General</c:formatCode>
                <c:ptCount val="12"/>
                <c:pt idx="0">
                  <c:v>1.2989587493526971</c:v>
                </c:pt>
                <c:pt idx="1">
                  <c:v>-1.1469596428732241</c:v>
                </c:pt>
                <c:pt idx="2">
                  <c:v>-0.40935481016144565</c:v>
                </c:pt>
                <c:pt idx="3">
                  <c:v>-1.479592604535932</c:v>
                </c:pt>
                <c:pt idx="4">
                  <c:v>1.8110756828005981</c:v>
                </c:pt>
                <c:pt idx="5">
                  <c:v>8</c:v>
                </c:pt>
                <c:pt idx="6">
                  <c:v>-0.30723615599325882</c:v>
                </c:pt>
                <c:pt idx="7">
                  <c:v>13</c:v>
                </c:pt>
                <c:pt idx="8">
                  <c:v>1.3803796539630533</c:v>
                </c:pt>
                <c:pt idx="9">
                  <c:v>8.4427372017371785E-2</c:v>
                </c:pt>
                <c:pt idx="10">
                  <c:v>0.91409189597286977</c:v>
                </c:pt>
                <c:pt idx="11">
                  <c:v>-0.89773712069108735</c:v>
                </c:pt>
              </c:numCache>
            </c:numRef>
          </c:xVal>
          <c:yVal>
            <c:numRef>
              <c:f>[0]!Lfm</c:f>
              <c:numCache>
                <c:formatCode>General</c:formatCode>
                <c:ptCount val="12"/>
                <c:pt idx="0">
                  <c:v>0.71518493194619648</c:v>
                </c:pt>
                <c:pt idx="1">
                  <c:v>-1.5214934413295471</c:v>
                </c:pt>
                <c:pt idx="2">
                  <c:v>0.72855489517915606</c:v>
                </c:pt>
                <c:pt idx="3">
                  <c:v>-1.0826080578726749</c:v>
                </c:pt>
                <c:pt idx="4">
                  <c:v>1.5636063269983851</c:v>
                </c:pt>
                <c:pt idx="5">
                  <c:v>2.907881570451468</c:v>
                </c:pt>
                <c:pt idx="6">
                  <c:v>0.72489490339058404</c:v>
                </c:pt>
                <c:pt idx="7">
                  <c:v>3.6846598146288567</c:v>
                </c:pt>
                <c:pt idx="8">
                  <c:v>3.4700056936931274</c:v>
                </c:pt>
                <c:pt idx="9">
                  <c:v>3.0869197618358313</c:v>
                </c:pt>
                <c:pt idx="10">
                  <c:v>3.9852233104651327</c:v>
                </c:pt>
                <c:pt idx="11">
                  <c:v>3.9852233104651327</c:v>
                </c:pt>
              </c:numCache>
            </c:numRef>
          </c:yVal>
          <c:smooth val="0"/>
          <c:extLst>
            <c:ext xmlns:c16="http://schemas.microsoft.com/office/drawing/2014/chart" uri="{C3380CC4-5D6E-409C-BE32-E72D297353CC}">
              <c16:uniqueId val="{00000001-592A-4A84-BF3A-F7DA74A1DBCF}"/>
            </c:ext>
          </c:extLst>
        </c:ser>
        <c:ser>
          <c:idx val="2"/>
          <c:order val="2"/>
          <c:tx>
            <c:strRef>
              <c:f>LineærRegression!$EM$10</c:f>
              <c:strCache>
                <c:ptCount val="1"/>
                <c:pt idx="0">
                  <c:v>Forklaringsgrad i simpel regression:   19.5% (justeret 11.5%)
Forklaringsgrad i multipel regression: 20.4% (justeret 2.7%)</c:v>
                </c:pt>
              </c:strCache>
            </c:strRef>
          </c:tx>
          <c:spPr>
            <a:ln w="25400" cap="rnd">
              <a:noFill/>
              <a:round/>
            </a:ln>
            <a:effectLst/>
          </c:spPr>
          <c:marker>
            <c:symbol val="none"/>
          </c:marker>
          <c:xVal>
            <c:numRef>
              <c:f>(LineærRegression!$EM$40,LineærRegression!$EM$40)</c:f>
              <c:numCache>
                <c:formatCode>General</c:formatCode>
                <c:ptCount val="2"/>
                <c:pt idx="0">
                  <c:v>1.8540044183209705</c:v>
                </c:pt>
                <c:pt idx="1">
                  <c:v>1.8540044183209705</c:v>
                </c:pt>
              </c:numCache>
            </c:numRef>
          </c:xVal>
          <c:yVal>
            <c:numRef>
              <c:f>(LineærRegression!$AQ$28,LineærRegression!$AQ$30)</c:f>
              <c:numCache>
                <c:formatCode>General</c:formatCode>
                <c:ptCount val="2"/>
                <c:pt idx="0">
                  <c:v>-11.951147136555756</c:v>
                </c:pt>
                <c:pt idx="1">
                  <c:v>14.367118518839385</c:v>
                </c:pt>
              </c:numCache>
            </c:numRef>
          </c:yVal>
          <c:smooth val="0"/>
          <c:extLst>
            <c:ext xmlns:c16="http://schemas.microsoft.com/office/drawing/2014/chart" uri="{C3380CC4-5D6E-409C-BE32-E72D297353CC}">
              <c16:uniqueId val="{00000002-592A-4A84-BF3A-F7DA74A1DBCF}"/>
            </c:ext>
          </c:extLst>
        </c:ser>
        <c:ser>
          <c:idx val="0"/>
          <c:order val="3"/>
          <c:tx>
            <c:strRef>
              <c:f>LineærRegression!$EM$12</c:f>
              <c:strCache>
                <c:ptCount val="1"/>
                <c:pt idx="0">
                  <c:v> Referencelinje ved perfekt forklaringsgrad</c:v>
                </c:pt>
              </c:strCache>
            </c:strRef>
          </c:tx>
          <c:spPr>
            <a:ln w="28575" cap="rnd">
              <a:solidFill>
                <a:schemeClr val="tx1"/>
              </a:solidFill>
              <a:round/>
            </a:ln>
            <a:effectLst/>
          </c:spPr>
          <c:marker>
            <c:symbol val="none"/>
          </c:marker>
          <c:xVal>
            <c:numRef>
              <c:f>[0]!Lfsy</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[0]!Lfsy</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yVal>
          <c:smooth val="0"/>
          <c:extLst>
            <c:ext xmlns:c16="http://schemas.microsoft.com/office/drawing/2014/chart" uri="{C3380CC4-5D6E-409C-BE32-E72D297353CC}">
              <c16:uniqueId val="{00000003-592A-4A84-BF3A-F7DA74A1DBCF}"/>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LineærRegression!$EM$18</c:f>
              <c:strCache>
                <c:ptCount val="1"/>
                <c:pt idx="0">
                  <c:v>Beregnet værdi i regression</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LineærRegression!$EM$20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LineærRegression!$AX$10</c:f>
          <c:strCache>
            <c:ptCount val="1"/>
            <c:pt idx="0">
              <c:v>Konfidensinterval for simpel lineær regression
Gennemsnittet er med 95% sandsynlighed mellem
øvre og nedre grænse i konfidensintervallet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4"/>
          <c:order val="1"/>
          <c:tx>
            <c:strRef>
              <c:f>LineærRegression!$AX$14</c:f>
              <c:strCache>
                <c:ptCount val="1"/>
                <c:pt idx="0">
                  <c:v> Givet at Eksempel 2 (interval) = 1 estimeres øvre grænse for konfidensinterval = 3.743</c:v>
                </c:pt>
              </c:strCache>
            </c:strRef>
          </c:tx>
          <c:spPr>
            <a:ln w="25400" cap="rnd">
              <a:noFill/>
              <a:round/>
            </a:ln>
            <a:effectLst/>
          </c:spPr>
          <c:marker>
            <c:symbol val="x"/>
            <c:size val="15"/>
            <c:spPr>
              <a:noFill/>
              <a:ln w="28575">
                <a:solidFill>
                  <a:schemeClr val="tx1"/>
                </a:solidFill>
                <a:prstDash val="solid"/>
              </a:ln>
              <a:effectLst/>
            </c:spPr>
          </c:marker>
          <c:dLbls>
            <c:dLbl>
              <c:idx val="0"/>
              <c:tx>
                <c:rich>
                  <a:bodyPr/>
                  <a:lstStyle/>
                  <a:p>
                    <a:fld id="{4B7390AC-DF2E-4A02-8CB5-601FC5C68E0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LineærRegression!$AX$24</c:f>
              <c:numCache>
                <c:formatCode>General</c:formatCode>
                <c:ptCount val="1"/>
                <c:pt idx="0">
                  <c:v>3.7427861990338451</c:v>
                </c:pt>
              </c:numCache>
            </c:numRef>
          </c:yVal>
          <c:smooth val="0"/>
          <c:extLst>
            <c:ext xmlns:c15="http://schemas.microsoft.com/office/drawing/2012/chart" uri="{02D57815-91ED-43cb-92C2-25804820EDAC}">
              <c15:datalabelsRange>
                <c15:f>LineærRegression!$AX$50</c15:f>
                <c15:dlblRangeCache>
                  <c:ptCount val="1"/>
                  <c:pt idx="0">
                    <c:v>3.743</c:v>
                  </c:pt>
                </c15:dlblRangeCache>
              </c15:datalabelsRange>
            </c:ext>
            <c:ext xmlns:c16="http://schemas.microsoft.com/office/drawing/2014/chart" uri="{C3380CC4-5D6E-409C-BE32-E72D297353CC}">
              <c16:uniqueId val="{00000001-7141-461C-B0AD-34C0C2F9AA78}"/>
            </c:ext>
          </c:extLst>
        </c:ser>
        <c:ser>
          <c:idx val="5"/>
          <c:order val="2"/>
          <c:tx>
            <c:strRef>
              <c:f>LineærRegression!$AX$16</c:f>
              <c:strCache>
                <c:ptCount val="1"/>
                <c:pt idx="0">
                  <c:v> Givet at Eksempel 2 (interval) = 1 estimeres nedre grænse for konfidensinterval = -2.825</c:v>
                </c:pt>
              </c:strCache>
            </c:strRef>
          </c:tx>
          <c:spPr>
            <a:ln w="25400" cap="rnd">
              <a:noFill/>
              <a:round/>
            </a:ln>
            <a:effectLst/>
          </c:spPr>
          <c:marker>
            <c:symbol val="x"/>
            <c:size val="15"/>
            <c:spPr>
              <a:noFill/>
              <a:ln w="28575">
                <a:solidFill>
                  <a:schemeClr val="tx1"/>
                </a:solidFill>
              </a:ln>
              <a:effectLst/>
            </c:spPr>
          </c:marker>
          <c:dLbls>
            <c:dLbl>
              <c:idx val="0"/>
              <c:tx>
                <c:rich>
                  <a:bodyPr/>
                  <a:lstStyle/>
                  <a:p>
                    <a:fld id="{9E479E7D-8B42-4E45-8036-8DB9A2B25D79}" type="CELLRANGE">
                      <a:rPr lang="en-US"/>
                      <a:pPr/>
                      <a:t>[CELLRANGE]</a:t>
                    </a:fld>
                    <a:endParaRPr lang="da-DK"/>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LineærRegression!$AX$26</c:f>
              <c:numCache>
                <c:formatCode>General</c:formatCode>
                <c:ptCount val="1"/>
                <c:pt idx="0">
                  <c:v>-2.8245036957177403</c:v>
                </c:pt>
              </c:numCache>
            </c:numRef>
          </c:yVal>
          <c:smooth val="0"/>
          <c:extLst>
            <c:ext xmlns:c15="http://schemas.microsoft.com/office/drawing/2012/chart" uri="{02D57815-91ED-43cb-92C2-25804820EDAC}">
              <c15:datalabelsRange>
                <c15:f>LineærRegression!$AX$52</c15:f>
                <c15:dlblRangeCache>
                  <c:ptCount val="1"/>
                  <c:pt idx="0">
                    <c:v>-2.825</c:v>
                  </c:pt>
                </c15:dlblRangeCache>
              </c15:datalabelsRange>
            </c:ext>
            <c:ext xmlns:c16="http://schemas.microsoft.com/office/drawing/2014/chart" uri="{C3380CC4-5D6E-409C-BE32-E72D297353CC}">
              <c16:uniqueId val="{00000003-7141-461C-B0AD-34C0C2F9AA78}"/>
            </c:ext>
          </c:extLst>
        </c:ser>
        <c:dLbls>
          <c:showLegendKey val="0"/>
          <c:showVal val="0"/>
          <c:showCatName val="0"/>
          <c:showSerName val="0"/>
          <c:showPercent val="0"/>
          <c:showBubbleSize val="0"/>
        </c:dLbls>
        <c:axId val="1385891392"/>
        <c:axId val="1328708544"/>
      </c:scatterChart>
      <c:scatterChart>
        <c:scatterStyle val="smoothMarker"/>
        <c:varyColors val="0"/>
        <c:ser>
          <c:idx val="0"/>
          <c:order val="0"/>
          <c:tx>
            <c:strRef>
              <c:f>LineærRegression!$AX$12</c:f>
              <c:strCache>
                <c:ptCount val="1"/>
                <c:pt idx="0">
                  <c:v> Eksempel 1 (interval) = 0.444 * Eksempel 2 (interval) + 0.015</c:v>
                </c:pt>
              </c:strCache>
            </c:strRef>
          </c:tx>
          <c:spPr>
            <a:ln w="31750" cap="rnd">
              <a:solidFill>
                <a:schemeClr val="tx1"/>
              </a:solidFill>
              <a:round/>
            </a:ln>
            <a:effectLst/>
          </c:spPr>
          <c:marker>
            <c:symbol val="none"/>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[0]!Lsy2Simpel</c:f>
              <c:numCache>
                <c:formatCode>General</c:formatCode>
                <c:ptCount val="12"/>
                <c:pt idx="0">
                  <c:v>-1.4374212088539973</c:v>
                </c:pt>
                <c:pt idx="1">
                  <c:v>-0.97817244327948039</c:v>
                </c:pt>
                <c:pt idx="2">
                  <c:v>0.90303445595636256</c:v>
                </c:pt>
                <c:pt idx="3">
                  <c:v>0.91319495017121943</c:v>
                </c:pt>
                <c:pt idx="4">
                  <c:v>0.91702475807613404</c:v>
                </c:pt>
                <c:pt idx="5">
                  <c:v>1.7908208645529828</c:v>
                </c:pt>
                <c:pt idx="6">
                  <c:v>2.234714068851293</c:v>
                </c:pt>
                <c:pt idx="7">
                  <c:v>2.4220592653040312</c:v>
                </c:pt>
                <c:pt idx="8">
                  <c:v>2.8229195991085057</c:v>
                </c:pt>
                <c:pt idx="9">
                  <c:v>4.0102868860445335</c:v>
                </c:pt>
                <c:pt idx="10">
                  <c:v>4.3247959119600328</c:v>
                </c:pt>
                <c:pt idx="11">
                  <c:v>4.3247959119600328</c:v>
                </c:pt>
              </c:numCache>
            </c:numRef>
          </c:yVal>
          <c:smooth val="1"/>
          <c:extLst>
            <c:ext xmlns:c16="http://schemas.microsoft.com/office/drawing/2014/chart" uri="{C3380CC4-5D6E-409C-BE32-E72D297353CC}">
              <c16:uniqueId val="{00000004-7141-461C-B0AD-34C0C2F9AA78}"/>
            </c:ext>
          </c:extLst>
        </c:ser>
        <c:ser>
          <c:idx val="8"/>
          <c:order val="3"/>
          <c:tx>
            <c:strRef>
              <c:f>LineærRegression!$AX$18</c:f>
              <c:strCache>
                <c:ptCount val="1"/>
                <c:pt idx="0">
                  <c:v> Grænser for 95% konfidensinterval</c:v>
                </c:pt>
              </c:strCache>
            </c:strRef>
          </c:tx>
          <c:spPr>
            <a:ln w="19050" cap="rnd">
              <a:solidFill>
                <a:schemeClr val="tx1"/>
              </a:solidFill>
              <a:prstDash val="dash"/>
              <a:round/>
            </a:ln>
            <a:effectLst/>
          </c:spPr>
          <c:marker>
            <c:symbol val="none"/>
          </c:marker>
          <c:xVal>
            <c:numRef>
              <c:f>[0]!LkX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[0]!LkOevre</c:f>
              <c:numCache>
                <c:formatCode>General</c:formatCode>
                <c:ptCount val="100"/>
                <c:pt idx="0">
                  <c:v>3.9473397635976206</c:v>
                </c:pt>
                <c:pt idx="1">
                  <c:v>3.932790807936239</c:v>
                </c:pt>
                <c:pt idx="2">
                  <c:v>3.9185566305684998</c:v>
                </c:pt>
                <c:pt idx="3">
                  <c:v>3.9046504693713131</c:v>
                </c:pt>
                <c:pt idx="4">
                  <c:v>3.8910862498768983</c:v>
                </c:pt>
                <c:pt idx="5">
                  <c:v>3.8778786253262791</c:v>
                </c:pt>
                <c:pt idx="6">
                  <c:v>3.8650430190456255</c:v>
                </c:pt>
                <c:pt idx="7">
                  <c:v>3.8525956692418513</c:v>
                </c:pt>
                <c:pt idx="8">
                  <c:v>3.8405536763083283</c:v>
                </c:pt>
                <c:pt idx="9">
                  <c:v>3.8289350527234558</c:v>
                </c:pt>
                <c:pt idx="10">
                  <c:v>3.8177587756134965</c:v>
                </c:pt>
                <c:pt idx="11">
                  <c:v>3.8070448420359329</c:v>
                </c:pt>
                <c:pt idx="12">
                  <c:v>3.7968143270199075</c:v>
                </c:pt>
                <c:pt idx="13">
                  <c:v>3.787089444375181</c:v>
                </c:pt>
                <c:pt idx="14">
                  <c:v>3.7778936102494756</c:v>
                </c:pt>
                <c:pt idx="15">
                  <c:v>3.7692515093750201</c:v>
                </c:pt>
                <c:pt idx="16">
                  <c:v>3.7611891638972974</c:v>
                </c:pt>
                <c:pt idx="17">
                  <c:v>3.7537340046209176</c:v>
                </c:pt>
                <c:pt idx="18">
                  <c:v>3.7469149444379388</c:v>
                </c:pt>
                <c:pt idx="19">
                  <c:v>3.7407624536207549</c:v>
                </c:pt>
                <c:pt idx="20">
                  <c:v>3.7353086365635431</c:v>
                </c:pt>
                <c:pt idx="21">
                  <c:v>3.7305873094410016</c:v>
                </c:pt>
                <c:pt idx="22">
                  <c:v>3.7266340781190403</c:v>
                </c:pt>
                <c:pt idx="23">
                  <c:v>3.7234864154973413</c:v>
                </c:pt>
                <c:pt idx="24">
                  <c:v>3.7211837372866006</c:v>
                </c:pt>
                <c:pt idx="25">
                  <c:v>3.7197674750225578</c:v>
                </c:pt>
                <c:pt idx="26">
                  <c:v>3.7192811448936158</c:v>
                </c:pt>
                <c:pt idx="27">
                  <c:v>3.719770410709021</c:v>
                </c:pt>
                <c:pt idx="28">
                  <c:v>3.7212831390610166</c:v>
                </c:pt>
                <c:pt idx="29">
                  <c:v>3.7238694444394724</c:v>
                </c:pt>
                <c:pt idx="30">
                  <c:v>3.727581721745393</c:v>
                </c:pt>
                <c:pt idx="31">
                  <c:v>3.7324746633267907</c:v>
                </c:pt>
                <c:pt idx="32">
                  <c:v>3.7386052573358994</c:v>
                </c:pt>
                <c:pt idx="33">
                  <c:v>3.7460327638932136</c:v>
                </c:pt>
                <c:pt idx="34">
                  <c:v>3.7548186652575861</c:v>
                </c:pt>
                <c:pt idx="35">
                  <c:v>3.7650265859632701</c:v>
                </c:pt>
                <c:pt idx="36">
                  <c:v>3.7767221787192868</c:v>
                </c:pt>
                <c:pt idx="37">
                  <c:v>3.789972971803147</c:v>
                </c:pt>
                <c:pt idx="38">
                  <c:v>3.804848173752954</c:v>
                </c:pt>
                <c:pt idx="39">
                  <c:v>3.8214184314052813</c:v>
                </c:pt>
                <c:pt idx="40">
                  <c:v>3.8397555377779344</c:v>
                </c:pt>
                <c:pt idx="41">
                  <c:v>3.8599320869924476</c:v>
                </c:pt>
                <c:pt idx="42">
                  <c:v>3.8820210744014054</c:v>
                </c:pt>
                <c:pt idx="43">
                  <c:v>3.9060954413519884</c:v>
                </c:pt>
                <c:pt idx="44">
                  <c:v>3.9322275655867651</c:v>
                </c:pt>
                <c:pt idx="45">
                  <c:v>3.960488700143626</c:v>
                </c:pt>
                <c:pt idx="46">
                  <c:v>3.990948365732534</c:v>
                </c:pt>
                <c:pt idx="47">
                  <c:v>4.0236737038727357</c:v>
                </c:pt>
                <c:pt idx="48">
                  <c:v>4.0587288004750208</c:v>
                </c:pt>
                <c:pt idx="49">
                  <c:v>4.0961739919247737</c:v>
                </c:pt>
                <c:pt idx="50">
                  <c:v>4.1360651679126743</c:v>
                </c:pt>
                <c:pt idx="51">
                  <c:v>4.1784530871042111</c:v>
                </c:pt>
                <c:pt idx="52">
                  <c:v>4.223382723065539</c:v>
                </c:pt>
                <c:pt idx="53">
                  <c:v>4.2708926585130067</c:v>
                </c:pt>
                <c:pt idx="54">
                  <c:v>4.3210145457979081</c:v>
                </c:pt>
                <c:pt idx="55">
                  <c:v>4.3737726504959626</c:v>
                </c:pt>
                <c:pt idx="56">
                  <c:v>4.4291834930244667</c:v>
                </c:pt>
                <c:pt idx="57">
                  <c:v>4.4872556004126256</c:v>
                </c:pt>
                <c:pt idx="58">
                  <c:v>4.5479893768298627</c:v>
                </c:pt>
                <c:pt idx="59">
                  <c:v>4.6113770974262263</c:v>
                </c:pt>
                <c:pt idx="60">
                  <c:v>4.6774030257026569</c:v>
                </c:pt>
                <c:pt idx="61">
                  <c:v>4.7460436502788301</c:v>
                </c:pt>
                <c:pt idx="62">
                  <c:v>4.8172680328356998</c:v>
                </c:pt>
                <c:pt idx="63">
                  <c:v>4.8910382554268876</c:v>
                </c:pt>
                <c:pt idx="64">
                  <c:v>4.9673099524770805</c:v>
                </c:pt>
                <c:pt idx="65">
                  <c:v>5.0460329107509612</c:v>
                </c:pt>
                <c:pt idx="66">
                  <c:v>5.1271517194440257</c:v>
                </c:pt>
                <c:pt idx="67">
                  <c:v>5.2106064523057274</c:v>
                </c:pt>
                <c:pt idx="68">
                  <c:v>5.2963333642802759</c:v>
                </c:pt>
                <c:pt idx="69">
                  <c:v>5.3842655864164142</c:v>
                </c:pt>
                <c:pt idx="70">
                  <c:v>5.4743338045980341</c:v>
                </c:pt>
                <c:pt idx="71">
                  <c:v>5.5664669098117674</c:v>
                </c:pt>
                <c:pt idx="72">
                  <c:v>5.6605926100281021</c:v>
                </c:pt>
                <c:pt idx="73">
                  <c:v>5.7566379961765604</c:v>
                </c:pt>
                <c:pt idx="74">
                  <c:v>5.8545300570156638</c:v>
                </c:pt>
                <c:pt idx="75">
                  <c:v>5.9541961398363767</c:v>
                </c:pt>
                <c:pt idx="76">
                  <c:v>6.0555643558260384</c:v>
                </c:pt>
                <c:pt idx="77">
                  <c:v>6.1585639305191515</c:v>
                </c:pt>
                <c:pt idx="78">
                  <c:v>6.2631255010577425</c:v>
                </c:pt>
                <c:pt idx="79">
                  <c:v>6.3691813629829248</c:v>
                </c:pt>
                <c:pt idx="80">
                  <c:v>6.476665670000946</c:v>
                </c:pt>
                <c:pt idx="81">
                  <c:v>6.5855145906414219</c:v>
                </c:pt>
                <c:pt idx="82">
                  <c:v>6.6956664259878798</c:v>
                </c:pt>
                <c:pt idx="83">
                  <c:v>6.8070616927480039</c:v>
                </c:pt>
                <c:pt idx="84">
                  <c:v>6.9196431758796191</c:v>
                </c:pt>
                <c:pt idx="85">
                  <c:v>7.03335595483163</c:v>
                </c:pt>
                <c:pt idx="86">
                  <c:v>7.1481474072268334</c:v>
                </c:pt>
                <c:pt idx="87">
                  <c:v>7.2639671935310748</c:v>
                </c:pt>
                <c:pt idx="88">
                  <c:v>7.3807672259415797</c:v>
                </c:pt>
                <c:pt idx="89">
                  <c:v>7.4985016244032892</c:v>
                </c:pt>
                <c:pt idx="90">
                  <c:v>7.6171266623384755</c:v>
                </c:pt>
                <c:pt idx="91">
                  <c:v>7.7366007043614298</c:v>
                </c:pt>
                <c:pt idx="92">
                  <c:v>7.8568841379531733</c:v>
                </c:pt>
                <c:pt idx="93">
                  <c:v>7.977939300795299</c:v>
                </c:pt>
                <c:pt idx="94">
                  <c:v>8.0997304052098826</c:v>
                </c:pt>
                <c:pt idx="95">
                  <c:v>8.2222234609245604</c:v>
                </c:pt>
                <c:pt idx="96">
                  <c:v>8.3453861971788541</c:v>
                </c:pt>
                <c:pt idx="97">
                  <c:v>8.469187985008336</c:v>
                </c:pt>
                <c:pt idx="98">
                  <c:v>8.5935997603863665</c:v>
                </c:pt>
                <c:pt idx="99">
                  <c:v>8.7185939487671469</c:v>
                </c:pt>
              </c:numCache>
            </c:numRef>
          </c:yVal>
          <c:smooth val="1"/>
          <c:extLst>
            <c:ext xmlns:c16="http://schemas.microsoft.com/office/drawing/2014/chart" uri="{C3380CC4-5D6E-409C-BE32-E72D297353CC}">
              <c16:uniqueId val="{00000005-7141-461C-B0AD-34C0C2F9AA78}"/>
            </c:ext>
          </c:extLst>
        </c:ser>
        <c:ser>
          <c:idx val="9"/>
          <c:order val="4"/>
          <c:tx>
            <c:strRef>
              <c:f>LineærRegression!$AX$18</c:f>
              <c:strCache>
                <c:ptCount val="1"/>
                <c:pt idx="0">
                  <c:v> Grænser for 95% konfidensinterval</c:v>
                </c:pt>
              </c:strCache>
            </c:strRef>
          </c:tx>
          <c:spPr>
            <a:ln w="19050" cap="rnd">
              <a:solidFill>
                <a:schemeClr val="tx1"/>
              </a:solidFill>
              <a:prstDash val="dash"/>
              <a:round/>
            </a:ln>
            <a:effectLst/>
          </c:spPr>
          <c:marker>
            <c:symbol val="none"/>
          </c:marker>
          <c:xVal>
            <c:numRef>
              <c:f>[0]!LkX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[0]!LkNedre</c:f>
              <c:numCache>
                <c:formatCode>General</c:formatCode>
                <c:ptCount val="100"/>
                <c:pt idx="0">
                  <c:v>-6.8221821813056156</c:v>
                </c:pt>
                <c:pt idx="1">
                  <c:v>-6.6912247989611213</c:v>
                </c:pt>
                <c:pt idx="2">
                  <c:v>-6.5605821949102712</c:v>
                </c:pt>
                <c:pt idx="3">
                  <c:v>-6.4302676070299718</c:v>
                </c:pt>
                <c:pt idx="4">
                  <c:v>-6.3002949608524466</c:v>
                </c:pt>
                <c:pt idx="5">
                  <c:v>-6.1706789096187151</c:v>
                </c:pt>
                <c:pt idx="6">
                  <c:v>-6.0414348766549502</c:v>
                </c:pt>
                <c:pt idx="7">
                  <c:v>-5.9125791001680641</c:v>
                </c:pt>
                <c:pt idx="8">
                  <c:v>-5.7841286805514294</c:v>
                </c:pt>
                <c:pt idx="9">
                  <c:v>-5.6561016302834446</c:v>
                </c:pt>
                <c:pt idx="10">
                  <c:v>-5.528516926490374</c:v>
                </c:pt>
                <c:pt idx="11">
                  <c:v>-5.4013945662296985</c:v>
                </c:pt>
                <c:pt idx="12">
                  <c:v>-5.2747556245305613</c:v>
                </c:pt>
                <c:pt idx="13">
                  <c:v>-5.1486223152027231</c:v>
                </c:pt>
                <c:pt idx="14">
                  <c:v>-5.0230180543939058</c:v>
                </c:pt>
                <c:pt idx="15">
                  <c:v>-4.8979675268363385</c:v>
                </c:pt>
                <c:pt idx="16">
                  <c:v>-4.7734967546755041</c:v>
                </c:pt>
                <c:pt idx="17">
                  <c:v>-4.6496331687160124</c:v>
                </c:pt>
                <c:pt idx="18">
                  <c:v>-4.5264056818499219</c:v>
                </c:pt>
                <c:pt idx="19">
                  <c:v>-4.4038447643496266</c:v>
                </c:pt>
                <c:pt idx="20">
                  <c:v>-4.2819825206093025</c:v>
                </c:pt>
                <c:pt idx="21">
                  <c:v>-4.1608527668036501</c:v>
                </c:pt>
                <c:pt idx="22">
                  <c:v>-4.0404911087985775</c:v>
                </c:pt>
                <c:pt idx="23">
                  <c:v>-3.9209350194937662</c:v>
                </c:pt>
                <c:pt idx="24">
                  <c:v>-3.8022239145999137</c:v>
                </c:pt>
                <c:pt idx="25">
                  <c:v>-3.6843992256527591</c:v>
                </c:pt>
                <c:pt idx="26">
                  <c:v>-3.5675044688407054</c:v>
                </c:pt>
                <c:pt idx="27">
                  <c:v>-3.4515853079729988</c:v>
                </c:pt>
                <c:pt idx="28">
                  <c:v>-3.3366896096418834</c:v>
                </c:pt>
                <c:pt idx="29">
                  <c:v>-3.2228674883372275</c:v>
                </c:pt>
                <c:pt idx="30">
                  <c:v>-3.1101713389600363</c:v>
                </c:pt>
                <c:pt idx="31">
                  <c:v>-2.9986558538583221</c:v>
                </c:pt>
                <c:pt idx="32">
                  <c:v>-2.8883780211843191</c:v>
                </c:pt>
                <c:pt idx="33">
                  <c:v>-2.7793971010585214</c:v>
                </c:pt>
                <c:pt idx="34">
                  <c:v>-2.6717745757397822</c:v>
                </c:pt>
                <c:pt idx="35">
                  <c:v>-2.5655740697623544</c:v>
                </c:pt>
                <c:pt idx="36">
                  <c:v>-2.4608612358352584</c:v>
                </c:pt>
                <c:pt idx="37">
                  <c:v>-2.3577036022360076</c:v>
                </c:pt>
                <c:pt idx="38">
                  <c:v>-2.2561703775027038</c:v>
                </c:pt>
                <c:pt idx="39">
                  <c:v>-2.1563322084719183</c:v>
                </c:pt>
                <c:pt idx="40">
                  <c:v>-2.0582608881614588</c:v>
                </c:pt>
                <c:pt idx="41">
                  <c:v>-1.962029010692862</c:v>
                </c:pt>
                <c:pt idx="42">
                  <c:v>-1.867709571418708</c:v>
                </c:pt>
                <c:pt idx="43">
                  <c:v>-1.7753755116861785</c:v>
                </c:pt>
                <c:pt idx="44">
                  <c:v>-1.6850992092378443</c:v>
                </c:pt>
                <c:pt idx="45">
                  <c:v>-1.5969519171115931</c:v>
                </c:pt>
                <c:pt idx="46">
                  <c:v>-1.5110031560173893</c:v>
                </c:pt>
                <c:pt idx="47">
                  <c:v>-1.427320067474479</c:v>
                </c:pt>
                <c:pt idx="48">
                  <c:v>-1.3459667373936532</c:v>
                </c:pt>
                <c:pt idx="49">
                  <c:v>-1.2670035021602939</c:v>
                </c:pt>
                <c:pt idx="50">
                  <c:v>-1.1904862514650829</c:v>
                </c:pt>
                <c:pt idx="51">
                  <c:v>-1.116465743973508</c:v>
                </c:pt>
                <c:pt idx="52">
                  <c:v>-1.0449869532517237</c:v>
                </c:pt>
                <c:pt idx="53">
                  <c:v>-0.97608846201608035</c:v>
                </c:pt>
                <c:pt idx="54">
                  <c:v>-0.90980192261786863</c:v>
                </c:pt>
                <c:pt idx="55">
                  <c:v>-0.84615160063281292</c:v>
                </c:pt>
                <c:pt idx="56">
                  <c:v>-0.78515401647820515</c:v>
                </c:pt>
                <c:pt idx="57">
                  <c:v>-0.72681769718325206</c:v>
                </c:pt>
                <c:pt idx="58">
                  <c:v>-0.67114304691737825</c:v>
                </c:pt>
                <c:pt idx="59">
                  <c:v>-0.61812234083062934</c:v>
                </c:pt>
                <c:pt idx="60">
                  <c:v>-0.56773984242394793</c:v>
                </c:pt>
                <c:pt idx="61">
                  <c:v>-0.51997204031700983</c:v>
                </c:pt>
                <c:pt idx="62">
                  <c:v>-0.47478799619076906</c:v>
                </c:pt>
                <c:pt idx="63">
                  <c:v>-0.4321497920988433</c:v>
                </c:pt>
                <c:pt idx="64">
                  <c:v>-0.3920130624659266</c:v>
                </c:pt>
                <c:pt idx="65">
                  <c:v>-0.35432759405669545</c:v>
                </c:pt>
                <c:pt idx="66">
                  <c:v>-0.31903797606664597</c:v>
                </c:pt>
                <c:pt idx="67">
                  <c:v>-0.28608428224523719</c:v>
                </c:pt>
                <c:pt idx="68">
                  <c:v>-0.25540276753667301</c:v>
                </c:pt>
                <c:pt idx="69">
                  <c:v>-0.22692656298970082</c:v>
                </c:pt>
                <c:pt idx="70">
                  <c:v>-0.2005863544882085</c:v>
                </c:pt>
                <c:pt idx="71">
                  <c:v>-0.17631103301882911</c:v>
                </c:pt>
                <c:pt idx="72">
                  <c:v>-0.15402830655205157</c:v>
                </c:pt>
                <c:pt idx="73">
                  <c:v>-0.13366526601739981</c:v>
                </c:pt>
                <c:pt idx="74">
                  <c:v>-0.11514890017339097</c:v>
                </c:pt>
                <c:pt idx="75">
                  <c:v>-9.8406556310992155E-2</c:v>
                </c:pt>
                <c:pt idx="76">
                  <c:v>-8.3366345617542414E-2</c:v>
                </c:pt>
                <c:pt idx="77">
                  <c:v>-6.9957493627543776E-2</c:v>
                </c:pt>
                <c:pt idx="78">
                  <c:v>-5.811063748302292E-2</c:v>
                </c:pt>
                <c:pt idx="79">
                  <c:v>-4.775807272509347E-2</c:v>
                </c:pt>
                <c:pt idx="80">
                  <c:v>-3.883395306000148E-2</c:v>
                </c:pt>
                <c:pt idx="81">
                  <c:v>-3.1274447017366924E-2</c:v>
                </c:pt>
                <c:pt idx="82">
                  <c:v>-2.5017855680713019E-2</c:v>
                </c:pt>
                <c:pt idx="83">
                  <c:v>-2.0004695757726676E-2</c:v>
                </c:pt>
                <c:pt idx="84">
                  <c:v>-1.6177752206230522E-2</c:v>
                </c:pt>
                <c:pt idx="85">
                  <c:v>-1.3482104475127876E-2</c:v>
                </c:pt>
                <c:pt idx="86">
                  <c:v>-1.1865130187219464E-2</c:v>
                </c:pt>
                <c:pt idx="87">
                  <c:v>-1.1276489808349499E-2</c:v>
                </c:pt>
                <c:pt idx="88">
                  <c:v>-1.1668095535743994E-2</c:v>
                </c:pt>
                <c:pt idx="89">
                  <c:v>-1.299406731434205E-2</c:v>
                </c:pt>
                <c:pt idx="90">
                  <c:v>-1.5210678566414337E-2</c:v>
                </c:pt>
                <c:pt idx="91">
                  <c:v>-1.8276293906258623E-2</c:v>
                </c:pt>
                <c:pt idx="92">
                  <c:v>-2.2151300814890362E-2</c:v>
                </c:pt>
                <c:pt idx="93">
                  <c:v>-2.679803697390426E-2</c:v>
                </c:pt>
                <c:pt idx="94">
                  <c:v>-3.2180714705374314E-2</c:v>
                </c:pt>
                <c:pt idx="95">
                  <c:v>-3.826534373693935E-2</c:v>
                </c:pt>
                <c:pt idx="96">
                  <c:v>-4.5019653308123964E-2</c:v>
                </c:pt>
                <c:pt idx="97">
                  <c:v>-5.2413014454494089E-2</c:v>
                </c:pt>
                <c:pt idx="98">
                  <c:v>-6.0416363149412788E-2</c:v>
                </c:pt>
                <c:pt idx="99">
                  <c:v>-6.9002124847081348E-2</c:v>
                </c:pt>
              </c:numCache>
            </c:numRef>
          </c:yVal>
          <c:smooth val="1"/>
          <c:extLst>
            <c:ext xmlns:c16="http://schemas.microsoft.com/office/drawing/2014/chart" uri="{C3380CC4-5D6E-409C-BE32-E72D297353CC}">
              <c16:uniqueId val="{00000006-7141-461C-B0AD-34C0C2F9AA78}"/>
            </c:ext>
          </c:extLst>
        </c:ser>
        <c:ser>
          <c:idx val="1"/>
          <c:order val="5"/>
          <c:tx>
            <c:strRef>
              <c:f>LineærRegression!$AX$20</c:f>
              <c:strCache>
                <c:ptCount val="1"/>
                <c:pt idx="0">
                  <c:v>Givet at Eksempel 2 (interval) = 1 estimeres gennemsnit = 0.459</c:v>
                </c:pt>
              </c:strCache>
            </c:strRef>
          </c:tx>
          <c:spPr>
            <a:ln w="25400" cap="rnd">
              <a:noFill/>
              <a:round/>
            </a:ln>
            <a:effectLst/>
          </c:spPr>
          <c:marker>
            <c:symbol val="dash"/>
            <c:size val="15"/>
            <c:spPr>
              <a:solidFill>
                <a:schemeClr val="tx1"/>
              </a:solidFill>
              <a:ln w="28575">
                <a:solidFill>
                  <a:schemeClr val="tx1"/>
                </a:solidFill>
              </a:ln>
              <a:effectLst/>
            </c:spPr>
          </c:marker>
          <c:dLbls>
            <c:dLbl>
              <c:idx val="0"/>
              <c:tx>
                <c:rich>
                  <a:bodyPr/>
                  <a:lstStyle/>
                  <a:p>
                    <a:fld id="{48EB511B-C623-48CB-A236-D305686D0259}" type="CELLRANGE">
                      <a:rPr lang="en-US"/>
                      <a:pPr/>
                      <a:t>[CELLRANGE]</a:t>
                    </a:fld>
                    <a:endParaRPr lang="da-DK"/>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LineærRegression!$AX$22</c:f>
              <c:numCache>
                <c:formatCode>General</c:formatCode>
                <c:ptCount val="1"/>
                <c:pt idx="0">
                  <c:v>0.45914125165805242</c:v>
                </c:pt>
              </c:numCache>
            </c:numRef>
          </c:yVal>
          <c:smooth val="1"/>
          <c:extLst>
            <c:ext xmlns:c15="http://schemas.microsoft.com/office/drawing/2012/chart" uri="{02D57815-91ED-43cb-92C2-25804820EDAC}">
              <c15:datalabelsRange>
                <c15:f>LineærRegression!$AX$48</c15:f>
                <c15:dlblRangeCache>
                  <c:ptCount val="1"/>
                  <c:pt idx="0">
                    <c:v>0.459</c:v>
                  </c:pt>
                </c15:dlblRangeCache>
              </c15:datalabelsRange>
            </c:ext>
            <c:ext xmlns:c16="http://schemas.microsoft.com/office/drawing/2014/chart" uri="{C3380CC4-5D6E-409C-BE32-E72D297353CC}">
              <c16:uniqueId val="{00000008-7141-461C-B0AD-34C0C2F9AA78}"/>
            </c:ext>
          </c:extLst>
        </c:ser>
        <c:ser>
          <c:idx val="2"/>
          <c:order val="6"/>
          <c:tx>
            <c:strRef>
              <c:f>LineærRegression!$AX$10</c:f>
              <c:strCache>
                <c:ptCount val="1"/>
                <c:pt idx="0">
                  <c:v>Konfidensinterval for simpel lineær regression
Gennemsnittet er med 95% sandsynlighed mellem
øvre og nedre grænse i konfidensintervallet</c:v>
                </c:pt>
              </c:strCache>
            </c:strRef>
          </c:tx>
          <c:spPr>
            <a:ln w="19050" cap="rnd">
              <a:noFill/>
              <a:round/>
            </a:ln>
            <a:effectLst/>
          </c:spPr>
          <c:marker>
            <c:symbol val="none"/>
          </c:marker>
          <c:xVal>
            <c:numRef>
              <c:f>(LineærRegression!$AX$54,LineærRegression!$AX$54)</c:f>
              <c:numCache>
                <c:formatCode>General</c:formatCode>
                <c:ptCount val="2"/>
                <c:pt idx="0">
                  <c:v>3.2179796634897779</c:v>
                </c:pt>
                <c:pt idx="1">
                  <c:v>3.2179796634897779</c:v>
                </c:pt>
              </c:numCache>
            </c:numRef>
          </c:xVal>
          <c:yVal>
            <c:numRef>
              <c:f>(LineærRegression!$AQ$28,LineærRegression!$AQ$30)</c:f>
              <c:numCache>
                <c:formatCode>General</c:formatCode>
                <c:ptCount val="2"/>
                <c:pt idx="0">
                  <c:v>-11.951147136555756</c:v>
                </c:pt>
                <c:pt idx="1">
                  <c:v>14.367118518839385</c:v>
                </c:pt>
              </c:numCache>
            </c:numRef>
          </c:yVal>
          <c:smooth val="1"/>
          <c:extLst>
            <c:ext xmlns:c16="http://schemas.microsoft.com/office/drawing/2014/chart" uri="{C3380CC4-5D6E-409C-BE32-E72D297353CC}">
              <c16:uniqueId val="{00000009-7141-461C-B0AD-34C0C2F9AA78}"/>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LineærRegression!$DW$10</c:f>
          <c:strCache>
            <c:ptCount val="1"/>
            <c:pt idx="0">
              <c:v>Simpel lineær regression
Normalfraktildiagram af residualer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LineærRegression!$DW$12</c:f>
              <c:strCache>
                <c:ptCount val="1"/>
                <c:pt idx="0">
                  <c:v> Normalfordeling for residualer</c:v>
                </c:pt>
              </c:strCache>
            </c:strRef>
          </c:tx>
          <c:spPr>
            <a:ln w="28575" cap="rnd">
              <a:solidFill>
                <a:sysClr val="windowText" lastClr="000000"/>
              </a:solidFill>
              <a:round/>
            </a:ln>
            <a:effectLst/>
          </c:spPr>
          <c:marker>
            <c:symbol val="none"/>
          </c:marker>
          <c:xVal>
            <c:numRef>
              <c:f>[0]!LrS</c:f>
              <c:numCache>
                <c:formatCode>General</c:formatCode>
                <c:ptCount val="12"/>
                <c:pt idx="0">
                  <c:v>-5.2225330326511203</c:v>
                </c:pt>
                <c:pt idx="1">
                  <c:v>-3.4107040159871631</c:v>
                </c:pt>
                <c:pt idx="2">
                  <c:v>-2.3376318932866593</c:v>
                </c:pt>
                <c:pt idx="3">
                  <c:v>-1.4425399451454524</c:v>
                </c:pt>
                <c:pt idx="4">
                  <c:v>-1.3263795682375796</c:v>
                </c:pt>
                <c:pt idx="5">
                  <c:v>-1.2204311061644781</c:v>
                </c:pt>
                <c:pt idx="6">
                  <c:v>-0.50142016125645161</c:v>
                </c:pt>
                <c:pt idx="7">
                  <c:v>2.0254818247615214E-2</c:v>
                </c:pt>
                <c:pt idx="8">
                  <c:v>0.29046156598077322</c:v>
                </c:pt>
                <c:pt idx="9">
                  <c:v>0.3959242933963345</c:v>
                </c:pt>
                <c:pt idx="10">
                  <c:v>5.765285931148707</c:v>
                </c:pt>
                <c:pt idx="11">
                  <c:v>8.9897131139554673</c:v>
                </c:pt>
              </c:numCache>
            </c:numRef>
          </c:xVal>
          <c:yVal>
            <c:numRef>
              <c:f>[0]!LrZ</c:f>
              <c:numCache>
                <c:formatCode>General</c:formatCode>
                <c:ptCount val="12"/>
                <c:pt idx="0">
                  <c:v>-1.3515341605289024</c:v>
                </c:pt>
                <c:pt idx="1">
                  <c:v>-0.88265272047877275</c:v>
                </c:pt>
                <c:pt idx="2">
                  <c:v>-0.60495344668312601</c:v>
                </c:pt>
                <c:pt idx="3">
                  <c:v>-0.37331348631065892</c:v>
                </c:pt>
                <c:pt idx="4">
                  <c:v>-0.34325245720670183</c:v>
                </c:pt>
                <c:pt idx="5">
                  <c:v>-0.3158341594473465</c:v>
                </c:pt>
                <c:pt idx="6">
                  <c:v>-0.12976202782809215</c:v>
                </c:pt>
                <c:pt idx="7">
                  <c:v>5.2417243904074803E-3</c:v>
                </c:pt>
                <c:pt idx="8">
                  <c:v>7.5168261510153558E-2</c:v>
                </c:pt>
                <c:pt idx="9">
                  <c:v>0.10246085647768087</c:v>
                </c:pt>
                <c:pt idx="10">
                  <c:v>1.4919926465661257</c:v>
                </c:pt>
                <c:pt idx="11">
                  <c:v>2.3264389695392311</c:v>
                </c:pt>
              </c:numCache>
            </c:numRef>
          </c:yVal>
          <c:smooth val="1"/>
          <c:extLst>
            <c:ext xmlns:c16="http://schemas.microsoft.com/office/drawing/2014/chart" uri="{C3380CC4-5D6E-409C-BE32-E72D297353CC}">
              <c16:uniqueId val="{00000000-09A9-4F30-A6E2-9A56FA6694DC}"/>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LineærRegression!$DW$14</c:f>
              <c:strCache>
                <c:ptCount val="1"/>
                <c:pt idx="0">
                  <c:v> Residualer</c:v>
                </c:pt>
              </c:strCache>
            </c:strRef>
          </c:tx>
          <c:spPr>
            <a:ln w="25400" cap="rnd">
              <a:noFill/>
              <a:round/>
            </a:ln>
            <a:effectLst/>
          </c:spPr>
          <c:marker>
            <c:symbol val="circle"/>
            <c:size val="7"/>
            <c:spPr>
              <a:noFill/>
              <a:ln w="28575">
                <a:solidFill>
                  <a:schemeClr val="accent1">
                    <a:alpha val="70000"/>
                  </a:schemeClr>
                </a:solidFill>
              </a:ln>
              <a:effectLst/>
            </c:spPr>
          </c:marker>
          <c:xVal>
            <c:numRef>
              <c:f>[0]!LrS</c:f>
              <c:numCache>
                <c:formatCode>General</c:formatCode>
                <c:ptCount val="12"/>
                <c:pt idx="0">
                  <c:v>-5.2225330326511203</c:v>
                </c:pt>
                <c:pt idx="1">
                  <c:v>-3.4107040159871631</c:v>
                </c:pt>
                <c:pt idx="2">
                  <c:v>-2.3376318932866593</c:v>
                </c:pt>
                <c:pt idx="3">
                  <c:v>-1.4425399451454524</c:v>
                </c:pt>
                <c:pt idx="4">
                  <c:v>-1.3263795682375796</c:v>
                </c:pt>
                <c:pt idx="5">
                  <c:v>-1.2204311061644781</c:v>
                </c:pt>
                <c:pt idx="6">
                  <c:v>-0.50142016125645161</c:v>
                </c:pt>
                <c:pt idx="7">
                  <c:v>2.0254818247615214E-2</c:v>
                </c:pt>
                <c:pt idx="8">
                  <c:v>0.29046156598077322</c:v>
                </c:pt>
                <c:pt idx="9">
                  <c:v>0.3959242933963345</c:v>
                </c:pt>
                <c:pt idx="10">
                  <c:v>5.765285931148707</c:v>
                </c:pt>
                <c:pt idx="11">
                  <c:v>8.9897131139554673</c:v>
                </c:pt>
              </c:numCache>
            </c:numRef>
          </c:xVal>
          <c:yVal>
            <c:numRef>
              <c:f>[0]!LrfZ</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1-09A9-4F30-A6E2-9A56FA6694DC}"/>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LineærRegression!$DW$16</c:f>
              <c:strCache>
                <c:ptCount val="1"/>
                <c:pt idx="0">
                  <c:v>Værdier og forventede værdier for residualer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LineærRegression!$DW$18</c:f>
              <c:strCache>
                <c:ptCount val="1"/>
                <c:pt idx="0">
                  <c:v>Standardafvigelse i normalfordeling for residualer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LineærRegression!$EE$10</c:f>
          <c:strCache>
            <c:ptCount val="1"/>
            <c:pt idx="0">
              <c:v> Multipel lineær regression
Normalfraktildiagram af residualer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LineærRegression!$EE$12</c:f>
              <c:strCache>
                <c:ptCount val="1"/>
                <c:pt idx="0">
                  <c:v> Normalfordeling for residualer</c:v>
                </c:pt>
              </c:strCache>
            </c:strRef>
          </c:tx>
          <c:spPr>
            <a:ln w="28575" cap="rnd">
              <a:solidFill>
                <a:sysClr val="windowText" lastClr="000000"/>
              </a:solidFill>
              <a:round/>
            </a:ln>
            <a:effectLst/>
          </c:spPr>
          <c:marker>
            <c:symbol val="none"/>
          </c:marker>
          <c:xVal>
            <c:numRef>
              <c:f>[0]!LrSm</c:f>
              <c:numCache>
                <c:formatCode>General</c:formatCode>
                <c:ptCount val="12"/>
                <c:pt idx="0">
                  <c:v>-4.8829604311562198</c:v>
                </c:pt>
                <c:pt idx="1">
                  <c:v>-3.071131414492263</c:v>
                </c:pt>
                <c:pt idx="2">
                  <c:v>-3.0024923898184595</c:v>
                </c:pt>
                <c:pt idx="3">
                  <c:v>-2.0896260397300743</c:v>
                </c:pt>
                <c:pt idx="4">
                  <c:v>-1.1379097053406018</c:v>
                </c:pt>
                <c:pt idx="5">
                  <c:v>-1.0321310593838429</c:v>
                </c:pt>
                <c:pt idx="6">
                  <c:v>-0.39698454666325711</c:v>
                </c:pt>
                <c:pt idx="7">
                  <c:v>0.24746935580221296</c:v>
                </c:pt>
                <c:pt idx="8">
                  <c:v>0.37453379845632306</c:v>
                </c:pt>
                <c:pt idx="9">
                  <c:v>0.58377381740650058</c:v>
                </c:pt>
                <c:pt idx="10">
                  <c:v>5.092118429548532</c:v>
                </c:pt>
                <c:pt idx="11">
                  <c:v>9.3153401853711433</c:v>
                </c:pt>
              </c:numCache>
            </c:numRef>
          </c:xVal>
          <c:yVal>
            <c:numRef>
              <c:f>[0]!LrZm</c:f>
              <c:numCache>
                <c:formatCode>General</c:formatCode>
                <c:ptCount val="12"/>
                <c:pt idx="0">
                  <c:v>-1.2707415438526144</c:v>
                </c:pt>
                <c:pt idx="1">
                  <c:v>-0.79923118977682861</c:v>
                </c:pt>
                <c:pt idx="2">
                  <c:v>-0.78136857110271551</c:v>
                </c:pt>
                <c:pt idx="3">
                  <c:v>-0.54380424687825335</c:v>
                </c:pt>
                <c:pt idx="4">
                  <c:v>-0.29612960336584154</c:v>
                </c:pt>
                <c:pt idx="5">
                  <c:v>-0.26860177024803294</c:v>
                </c:pt>
                <c:pt idx="6">
                  <c:v>-0.10331125202115289</c:v>
                </c:pt>
                <c:pt idx="7">
                  <c:v>6.4401421162828029E-2</c:v>
                </c:pt>
                <c:pt idx="8">
                  <c:v>9.7468669669861882E-2</c:v>
                </c:pt>
                <c:pt idx="9">
                  <c:v>0.15192128882687186</c:v>
                </c:pt>
                <c:pt idx="10">
                  <c:v>1.3251728179809683</c:v>
                </c:pt>
                <c:pt idx="11">
                  <c:v>2.4242239796049074</c:v>
                </c:pt>
              </c:numCache>
            </c:numRef>
          </c:yVal>
          <c:smooth val="1"/>
          <c:extLst>
            <c:ext xmlns:c16="http://schemas.microsoft.com/office/drawing/2014/chart" uri="{C3380CC4-5D6E-409C-BE32-E72D297353CC}">
              <c16:uniqueId val="{00000000-5508-4FB5-9B9B-4F5A866A2F4B}"/>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LineærRegression!$EE$14</c:f>
              <c:strCache>
                <c:ptCount val="1"/>
                <c:pt idx="0">
                  <c:v> Residualer</c:v>
                </c:pt>
              </c:strCache>
            </c:strRef>
          </c:tx>
          <c:spPr>
            <a:ln w="25400" cap="rnd">
              <a:noFill/>
              <a:round/>
            </a:ln>
            <a:effectLst/>
          </c:spPr>
          <c:marker>
            <c:symbol val="circle"/>
            <c:size val="7"/>
            <c:spPr>
              <a:noFill/>
              <a:ln w="28575">
                <a:solidFill>
                  <a:schemeClr val="accent1">
                    <a:alpha val="70000"/>
                  </a:schemeClr>
                </a:solidFill>
              </a:ln>
              <a:effectLst/>
            </c:spPr>
          </c:marker>
          <c:xVal>
            <c:numRef>
              <c:f>[0]!LrSm</c:f>
              <c:numCache>
                <c:formatCode>General</c:formatCode>
                <c:ptCount val="12"/>
                <c:pt idx="0">
                  <c:v>-4.8829604311562198</c:v>
                </c:pt>
                <c:pt idx="1">
                  <c:v>-3.071131414492263</c:v>
                </c:pt>
                <c:pt idx="2">
                  <c:v>-3.0024923898184595</c:v>
                </c:pt>
                <c:pt idx="3">
                  <c:v>-2.0896260397300743</c:v>
                </c:pt>
                <c:pt idx="4">
                  <c:v>-1.1379097053406018</c:v>
                </c:pt>
                <c:pt idx="5">
                  <c:v>-1.0321310593838429</c:v>
                </c:pt>
                <c:pt idx="6">
                  <c:v>-0.39698454666325711</c:v>
                </c:pt>
                <c:pt idx="7">
                  <c:v>0.24746935580221296</c:v>
                </c:pt>
                <c:pt idx="8">
                  <c:v>0.37453379845632306</c:v>
                </c:pt>
                <c:pt idx="9">
                  <c:v>0.58377381740650058</c:v>
                </c:pt>
                <c:pt idx="10">
                  <c:v>5.092118429548532</c:v>
                </c:pt>
                <c:pt idx="11">
                  <c:v>9.3153401853711433</c:v>
                </c:pt>
              </c:numCache>
            </c:numRef>
          </c:xVal>
          <c:yVal>
            <c:numRef>
              <c:f>[0]!LrfZm</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1-5508-4FB5-9B9B-4F5A866A2F4B}"/>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LineærRegression!$EE$16</c:f>
              <c:strCache>
                <c:ptCount val="1"/>
                <c:pt idx="0">
                  <c:v>Værdier og forventede værdier for residualer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LineærRegression!$EE$18</c:f>
              <c:strCache>
                <c:ptCount val="1"/>
                <c:pt idx="0">
                  <c:v>Standardafvigelse i normalfordeling for residualer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LineærRegression!$BG$10</c:f>
          <c:strCache>
            <c:ptCount val="1"/>
            <c:pt idx="0">
              <c:v>Forudsigelsesinterval for simpel lineær regression
Observationer er med 95% sandsynlighed mellem
øvre og nedre grænse i forudsigelsesintervallet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LineærRegression!$BG$12</c:f>
              <c:strCache>
                <c:ptCount val="1"/>
                <c:pt idx="0">
                  <c:v> Observationer (n=12)</c:v>
                </c:pt>
              </c:strCache>
            </c:strRef>
          </c:tx>
          <c:spPr>
            <a:ln w="25400" cap="rnd">
              <a:noFill/>
              <a:round/>
            </a:ln>
            <a:effectLst/>
          </c:spPr>
          <c:marker>
            <c:symbol val="circle"/>
            <c:size val="7"/>
            <c:spPr>
              <a:noFill/>
              <a:ln w="28575">
                <a:solidFill>
                  <a:schemeClr val="accent1">
                    <a:alpha val="70000"/>
                  </a:schemeClr>
                </a:solidFill>
              </a:ln>
              <a:effectLst/>
            </c:spPr>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[0]!LsySimpel</c:f>
              <c:numCache>
                <c:formatCode>General</c:formatCode>
                <c:ptCount val="12"/>
                <c:pt idx="0">
                  <c:v>-1.1469596428732241</c:v>
                </c:pt>
                <c:pt idx="1">
                  <c:v>-1.479592604535932</c:v>
                </c:pt>
                <c:pt idx="2">
                  <c:v>1.2989587493526971</c:v>
                </c:pt>
                <c:pt idx="3">
                  <c:v>-0.30723615599325882</c:v>
                </c:pt>
                <c:pt idx="4">
                  <c:v>-0.40935481016144565</c:v>
                </c:pt>
                <c:pt idx="5">
                  <c:v>1.8110756828005981</c:v>
                </c:pt>
                <c:pt idx="6">
                  <c:v>8</c:v>
                </c:pt>
                <c:pt idx="7">
                  <c:v>8.4427372017371785E-2</c:v>
                </c:pt>
                <c:pt idx="8">
                  <c:v>1.3803796539630533</c:v>
                </c:pt>
                <c:pt idx="9">
                  <c:v>13</c:v>
                </c:pt>
                <c:pt idx="10">
                  <c:v>0.91409189597286977</c:v>
                </c:pt>
                <c:pt idx="11">
                  <c:v>-0.89773712069108735</c:v>
                </c:pt>
              </c:numCache>
            </c:numRef>
          </c:yVal>
          <c:smooth val="0"/>
          <c:extLst>
            <c:ext xmlns:c16="http://schemas.microsoft.com/office/drawing/2014/chart" uri="{C3380CC4-5D6E-409C-BE32-E72D297353CC}">
              <c16:uniqueId val="{00000000-CAD5-4133-B01C-EB92EFF5F7B3}"/>
            </c:ext>
          </c:extLst>
        </c:ser>
        <c:ser>
          <c:idx val="2"/>
          <c:order val="1"/>
          <c:tx>
            <c:strRef>
              <c:f>LineærRegression!$BG$14</c:f>
              <c:strCache>
                <c:ptCount val="1"/>
                <c:pt idx="0">
                  <c:v> Givet at Eksempel 2 (interval) = 1 estimeres øvre grænse for fjorudsigelsesinterval = 10.068</c:v>
                </c:pt>
              </c:strCache>
            </c:strRef>
          </c:tx>
          <c:spPr>
            <a:ln w="19050" cap="rnd">
              <a:noFill/>
              <a:prstDash val="sysDash"/>
              <a:round/>
            </a:ln>
            <a:effectLst/>
          </c:spPr>
          <c:marker>
            <c:symbol val="x"/>
            <c:size val="15"/>
            <c:spPr>
              <a:noFill/>
              <a:ln w="28575">
                <a:solidFill>
                  <a:schemeClr val="accent1"/>
                </a:solidFill>
              </a:ln>
              <a:effectLst/>
            </c:spPr>
          </c:marker>
          <c:dLbls>
            <c:dLbl>
              <c:idx val="0"/>
              <c:tx>
                <c:rich>
                  <a:bodyPr/>
                  <a:lstStyle/>
                  <a:p>
                    <a:fld id="{8D9BE9A5-A442-4C75-8DE0-D66AA8C5B2F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LineærRegression!$BG$24</c:f>
              <c:numCache>
                <c:formatCode>General</c:formatCode>
                <c:ptCount val="1"/>
                <c:pt idx="0">
                  <c:v>10.067736689744549</c:v>
                </c:pt>
              </c:numCache>
            </c:numRef>
          </c:yVal>
          <c:smooth val="0"/>
          <c:extLst>
            <c:ext xmlns:c15="http://schemas.microsoft.com/office/drawing/2012/chart" uri="{02D57815-91ED-43cb-92C2-25804820EDAC}">
              <c15:datalabelsRange>
                <c15:f>LineærRegression!$BG$44</c15:f>
                <c15:dlblRangeCache>
                  <c:ptCount val="1"/>
                  <c:pt idx="0">
                    <c:v>10.068</c:v>
                  </c:pt>
                </c15:dlblRangeCache>
              </c15:datalabelsRange>
            </c:ext>
            <c:ext xmlns:c16="http://schemas.microsoft.com/office/drawing/2014/chart" uri="{C3380CC4-5D6E-409C-BE32-E72D297353CC}">
              <c16:uniqueId val="{00000002-CAD5-4133-B01C-EB92EFF5F7B3}"/>
            </c:ext>
          </c:extLst>
        </c:ser>
        <c:ser>
          <c:idx val="3"/>
          <c:order val="2"/>
          <c:tx>
            <c:strRef>
              <c:f>LineærRegression!$BG$16</c:f>
              <c:strCache>
                <c:ptCount val="1"/>
                <c:pt idx="0">
                  <c:v> Givet at Eksempel 2 (interval) = 1 estimeres nedre grænse for forudsigelsesinterval = -9.149</c:v>
                </c:pt>
              </c:strCache>
            </c:strRef>
          </c:tx>
          <c:spPr>
            <a:ln w="25400" cap="rnd">
              <a:noFill/>
              <a:round/>
            </a:ln>
            <a:effectLst/>
          </c:spPr>
          <c:marker>
            <c:symbol val="x"/>
            <c:size val="15"/>
            <c:spPr>
              <a:noFill/>
              <a:ln w="28575">
                <a:solidFill>
                  <a:schemeClr val="accent1"/>
                </a:solidFill>
              </a:ln>
              <a:effectLst/>
            </c:spPr>
          </c:marker>
          <c:dLbls>
            <c:dLbl>
              <c:idx val="0"/>
              <c:tx>
                <c:rich>
                  <a:bodyPr/>
                  <a:lstStyle/>
                  <a:p>
                    <a:fld id="{CA5D8AEA-3581-4FB7-85BF-0919974268D6}" type="CELLRANGE">
                      <a:rPr lang="en-US"/>
                      <a:pPr/>
                      <a:t>[CELLRANGE]</a:t>
                    </a:fld>
                    <a:endParaRPr lang="da-DK"/>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LineærRegression!$BG$26</c:f>
              <c:numCache>
                <c:formatCode>General</c:formatCode>
                <c:ptCount val="1"/>
                <c:pt idx="0">
                  <c:v>-9.1494541864284464</c:v>
                </c:pt>
              </c:numCache>
            </c:numRef>
          </c:yVal>
          <c:smooth val="0"/>
          <c:extLst>
            <c:ext xmlns:c15="http://schemas.microsoft.com/office/drawing/2012/chart" uri="{02D57815-91ED-43cb-92C2-25804820EDAC}">
              <c15:datalabelsRange>
                <c15:f>LineærRegression!$BG$46</c15:f>
                <c15:dlblRangeCache>
                  <c:ptCount val="1"/>
                  <c:pt idx="0">
                    <c:v>-9.149</c:v>
                  </c:pt>
                </c15:dlblRangeCache>
              </c15:datalabelsRange>
            </c:ext>
            <c:ext xmlns:c16="http://schemas.microsoft.com/office/drawing/2014/chart" uri="{C3380CC4-5D6E-409C-BE32-E72D297353CC}">
              <c16:uniqueId val="{00000004-CAD5-4133-B01C-EB92EFF5F7B3}"/>
            </c:ext>
          </c:extLst>
        </c:ser>
        <c:dLbls>
          <c:showLegendKey val="0"/>
          <c:showVal val="0"/>
          <c:showCatName val="0"/>
          <c:showSerName val="0"/>
          <c:showPercent val="0"/>
          <c:showBubbleSize val="0"/>
        </c:dLbls>
        <c:axId val="1385891392"/>
        <c:axId val="1328708544"/>
      </c:scatterChart>
      <c:scatterChart>
        <c:scatterStyle val="smoothMarker"/>
        <c:varyColors val="0"/>
        <c:ser>
          <c:idx val="6"/>
          <c:order val="3"/>
          <c:tx>
            <c:strRef>
              <c:f>LineærRegression!$BG$18</c:f>
              <c:strCache>
                <c:ptCount val="1"/>
                <c:pt idx="0">
                  <c:v> Grænser for 95% forudsigelsesinterval</c:v>
                </c:pt>
              </c:strCache>
            </c:strRef>
          </c:tx>
          <c:spPr>
            <a:ln w="19050" cap="rnd">
              <a:solidFill>
                <a:schemeClr val="accent1"/>
              </a:solidFill>
              <a:prstDash val="dash"/>
              <a:round/>
            </a:ln>
            <a:effectLst/>
          </c:spPr>
          <c:marker>
            <c:symbol val="none"/>
          </c:marker>
          <c:xVal>
            <c:numRef>
              <c:f>[0]!LfX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[0]!LfOevre</c:f>
              <c:numCache>
                <c:formatCode>General</c:formatCode>
                <c:ptCount val="100"/>
                <c:pt idx="0">
                  <c:v>9.0763047188477604</c:v>
                </c:pt>
                <c:pt idx="1">
                  <c:v>9.0974336647076335</c:v>
                </c:pt>
                <c:pt idx="2">
                  <c:v>9.119095923360117</c:v>
                </c:pt>
                <c:pt idx="3">
                  <c:v>9.1412971142109782</c:v>
                </c:pt>
                <c:pt idx="4">
                  <c:v>9.1640428512596852</c:v>
                </c:pt>
                <c:pt idx="5">
                  <c:v>9.1873387400621507</c:v>
                </c:pt>
                <c:pt idx="6">
                  <c:v>9.211190374606387</c:v>
                </c:pt>
                <c:pt idx="7">
                  <c:v>9.2356033341027057</c:v>
                </c:pt>
                <c:pt idx="8">
                  <c:v>9.2605831796902613</c:v>
                </c:pt>
                <c:pt idx="9">
                  <c:v>9.286135451062135</c:v>
                </c:pt>
                <c:pt idx="10">
                  <c:v>9.3122656630112886</c:v>
                </c:pt>
                <c:pt idx="11">
                  <c:v>9.3389793019001779</c:v>
                </c:pt>
                <c:pt idx="12">
                  <c:v>9.3662818220569886</c:v>
                </c:pt>
                <c:pt idx="13">
                  <c:v>9.3941786421017781</c:v>
                </c:pt>
                <c:pt idx="14">
                  <c:v>9.4226751412061684</c:v>
                </c:pt>
                <c:pt idx="15">
                  <c:v>9.451776655290498</c:v>
                </c:pt>
                <c:pt idx="16">
                  <c:v>9.481488473162635</c:v>
                </c:pt>
                <c:pt idx="17">
                  <c:v>9.5118158326030038</c:v>
                </c:pt>
                <c:pt idx="18">
                  <c:v>9.5427639164006752</c:v>
                </c:pt>
                <c:pt idx="19">
                  <c:v>9.5743378483456283</c:v>
                </c:pt>
                <c:pt idx="20">
                  <c:v>9.6065426891826835</c:v>
                </c:pt>
                <c:pt idx="21">
                  <c:v>9.6393834325327887</c:v>
                </c:pt>
                <c:pt idx="22">
                  <c:v>9.6728650007877501</c:v>
                </c:pt>
                <c:pt idx="23">
                  <c:v>9.7069922409846612</c:v>
                </c:pt>
                <c:pt idx="24">
                  <c:v>9.7417699206666324</c:v>
                </c:pt>
                <c:pt idx="25">
                  <c:v>9.7772027237366679</c:v>
                </c:pt>
                <c:pt idx="26">
                  <c:v>9.8132952463117125</c:v>
                </c:pt>
                <c:pt idx="27">
                  <c:v>9.8500519925842216</c:v>
                </c:pt>
                <c:pt idx="28">
                  <c:v>9.8874773706987256</c:v>
                </c:pt>
                <c:pt idx="29">
                  <c:v>9.9255756886510902</c:v>
                </c:pt>
                <c:pt idx="30">
                  <c:v>9.9643511502183593</c:v>
                </c:pt>
                <c:pt idx="31">
                  <c:v>10.003807850927142</c:v>
                </c:pt>
                <c:pt idx="32">
                  <c:v>10.043949774068713</c:v>
                </c:pt>
                <c:pt idx="33">
                  <c:v>10.08478078676905</c:v>
                </c:pt>
                <c:pt idx="34">
                  <c:v>10.126304636122065</c:v>
                </c:pt>
                <c:pt idx="35">
                  <c:v>10.168524945394413</c:v>
                </c:pt>
                <c:pt idx="36">
                  <c:v>10.211445210310197</c:v>
                </c:pt>
                <c:pt idx="37">
                  <c:v>10.255068795423895</c:v>
                </c:pt>
                <c:pt idx="38">
                  <c:v>10.299398930589822</c:v>
                </c:pt>
                <c:pt idx="39">
                  <c:v>10.344438707536275</c:v>
                </c:pt>
                <c:pt idx="40">
                  <c:v>10.390191076552485</c:v>
                </c:pt>
                <c:pt idx="41">
                  <c:v>10.436658843296298</c:v>
                </c:pt>
                <c:pt idx="42">
                  <c:v>10.483844665730373</c:v>
                </c:pt>
                <c:pt idx="43">
                  <c:v>10.531751051194391</c:v>
                </c:pt>
                <c:pt idx="44">
                  <c:v>10.580380353620637</c:v>
                </c:pt>
                <c:pt idx="45">
                  <c:v>10.629734770899974</c:v>
                </c:pt>
                <c:pt idx="46">
                  <c:v>10.679816342404907</c:v>
                </c:pt>
                <c:pt idx="47">
                  <c:v>10.730626946676173</c:v>
                </c:pt>
                <c:pt idx="48">
                  <c:v>10.782168299278826</c:v>
                </c:pt>
                <c:pt idx="49">
                  <c:v>10.834441950833515</c:v>
                </c:pt>
                <c:pt idx="50">
                  <c:v>10.88744928522811</c:v>
                </c:pt>
                <c:pt idx="51">
                  <c:v>10.941191518014461</c:v>
                </c:pt>
                <c:pt idx="52">
                  <c:v>10.995669694994625</c:v>
                </c:pt>
                <c:pt idx="53">
                  <c:v>11.050884691000324</c:v>
                </c:pt>
                <c:pt idx="54">
                  <c:v>11.106837208868976</c:v>
                </c:pt>
                <c:pt idx="55">
                  <c:v>11.163527778619086</c:v>
                </c:pt>
                <c:pt idx="56">
                  <c:v>11.220956756827228</c:v>
                </c:pt>
                <c:pt idx="57">
                  <c:v>11.279124326208352</c:v>
                </c:pt>
                <c:pt idx="58">
                  <c:v>11.33803049540056</c:v>
                </c:pt>
                <c:pt idx="59">
                  <c:v>11.397675098954911</c:v>
                </c:pt>
                <c:pt idx="60">
                  <c:v>11.458057797530337</c:v>
                </c:pt>
                <c:pt idx="61">
                  <c:v>11.519178078293093</c:v>
                </c:pt>
                <c:pt idx="62">
                  <c:v>11.581035255519655</c:v>
                </c:pt>
                <c:pt idx="63">
                  <c:v>11.643628471401435</c:v>
                </c:pt>
                <c:pt idx="64">
                  <c:v>11.706956697049065</c:v>
                </c:pt>
                <c:pt idx="65">
                  <c:v>11.771018733693587</c:v>
                </c:pt>
                <c:pt idx="66">
                  <c:v>11.835813214081222</c:v>
                </c:pt>
                <c:pt idx="67">
                  <c:v>11.901338604057976</c:v>
                </c:pt>
                <c:pt idx="68">
                  <c:v>11.967593204339867</c:v>
                </c:pt>
                <c:pt idx="69">
                  <c:v>12.034575152463969</c:v>
                </c:pt>
                <c:pt idx="70">
                  <c:v>12.102282424915206</c:v>
                </c:pt>
                <c:pt idx="71">
                  <c:v>12.17071283942318</c:v>
                </c:pt>
                <c:pt idx="72">
                  <c:v>12.239864057423178</c:v>
                </c:pt>
                <c:pt idx="73">
                  <c:v>12.309733586674902</c:v>
                </c:pt>
                <c:pt idx="74">
                  <c:v>12.380318784032298</c:v>
                </c:pt>
                <c:pt idx="75">
                  <c:v>12.451616858357383</c:v>
                </c:pt>
                <c:pt idx="76">
                  <c:v>12.523624873570963</c:v>
                </c:pt>
                <c:pt idx="77">
                  <c:v>12.596339751832478</c:v>
                </c:pt>
                <c:pt idx="78">
                  <c:v>12.669758276841467</c:v>
                </c:pt>
                <c:pt idx="79">
                  <c:v>12.743877097252565</c:v>
                </c:pt>
                <c:pt idx="80">
                  <c:v>12.81869273019603</c:v>
                </c:pt>
                <c:pt idx="81">
                  <c:v>12.894201564895596</c:v>
                </c:pt>
                <c:pt idx="82">
                  <c:v>12.970399866375399</c:v>
                </c:pt>
                <c:pt idx="83">
                  <c:v>13.047283779247611</c:v>
                </c:pt>
                <c:pt idx="84">
                  <c:v>13.12484933157247</c:v>
                </c:pt>
                <c:pt idx="85">
                  <c:v>13.203092438782356</c:v>
                </c:pt>
                <c:pt idx="86">
                  <c:v>13.282008907661595</c:v>
                </c:pt>
                <c:pt idx="87">
                  <c:v>13.361594440373821</c:v>
                </c:pt>
                <c:pt idx="88">
                  <c:v>13.441844638528645</c:v>
                </c:pt>
                <c:pt idx="89">
                  <c:v>13.522755007279734</c:v>
                </c:pt>
                <c:pt idx="90">
                  <c:v>13.604320959446337</c:v>
                </c:pt>
                <c:pt idx="91">
                  <c:v>13.686537819650562</c:v>
                </c:pt>
                <c:pt idx="92">
                  <c:v>13.76940082846291</c:v>
                </c:pt>
                <c:pt idx="93">
                  <c:v>13.852905146548702</c:v>
                </c:pt>
                <c:pt idx="94">
                  <c:v>13.937045858808354</c:v>
                </c:pt>
                <c:pt idx="95">
                  <c:v>14.021817978504576</c:v>
                </c:pt>
                <c:pt idx="96">
                  <c:v>14.10721645136997</c:v>
                </c:pt>
                <c:pt idx="97">
                  <c:v>14.193236159688645</c:v>
                </c:pt>
                <c:pt idx="98">
                  <c:v>14.279871926345772</c:v>
                </c:pt>
                <c:pt idx="99">
                  <c:v>14.367118518839385</c:v>
                </c:pt>
              </c:numCache>
            </c:numRef>
          </c:yVal>
          <c:smooth val="1"/>
          <c:extLst>
            <c:ext xmlns:c16="http://schemas.microsoft.com/office/drawing/2014/chart" uri="{C3380CC4-5D6E-409C-BE32-E72D297353CC}">
              <c16:uniqueId val="{00000005-CAD5-4133-B01C-EB92EFF5F7B3}"/>
            </c:ext>
          </c:extLst>
        </c:ser>
        <c:ser>
          <c:idx val="7"/>
          <c:order val="4"/>
          <c:tx>
            <c:strRef>
              <c:f>LineærRegression!$BG$18</c:f>
              <c:strCache>
                <c:ptCount val="1"/>
                <c:pt idx="0">
                  <c:v> Grænser for 95% forudsigelsesinterval</c:v>
                </c:pt>
              </c:strCache>
            </c:strRef>
          </c:tx>
          <c:spPr>
            <a:ln w="19050" cap="rnd">
              <a:solidFill>
                <a:schemeClr val="accent1"/>
              </a:solidFill>
              <a:prstDash val="dash"/>
              <a:round/>
            </a:ln>
            <a:effectLst/>
          </c:spPr>
          <c:marker>
            <c:symbol val="none"/>
          </c:marker>
          <c:xVal>
            <c:numRef>
              <c:f>[0]!LfX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[0]!LfNedre</c:f>
              <c:numCache>
                <c:formatCode>General</c:formatCode>
                <c:ptCount val="100"/>
                <c:pt idx="0">
                  <c:v>-11.951147136555756</c:v>
                </c:pt>
                <c:pt idx="1">
                  <c:v>-11.855867655732517</c:v>
                </c:pt>
                <c:pt idx="2">
                  <c:v>-11.761121487701889</c:v>
                </c:pt>
                <c:pt idx="3">
                  <c:v>-11.666914251869638</c:v>
                </c:pt>
                <c:pt idx="4">
                  <c:v>-11.573251562235233</c:v>
                </c:pt>
                <c:pt idx="5">
                  <c:v>-11.480139024354587</c:v>
                </c:pt>
                <c:pt idx="6">
                  <c:v>-11.387582232215712</c:v>
                </c:pt>
                <c:pt idx="7">
                  <c:v>-11.295586765028919</c:v>
                </c:pt>
                <c:pt idx="8">
                  <c:v>-11.204158183933362</c:v>
                </c:pt>
                <c:pt idx="9">
                  <c:v>-11.113302028622124</c:v>
                </c:pt>
                <c:pt idx="10">
                  <c:v>-11.023023813888166</c:v>
                </c:pt>
                <c:pt idx="11">
                  <c:v>-10.933329026093944</c:v>
                </c:pt>
                <c:pt idx="12">
                  <c:v>-10.844223119567642</c:v>
                </c:pt>
                <c:pt idx="13">
                  <c:v>-10.75571151292932</c:v>
                </c:pt>
                <c:pt idx="14">
                  <c:v>-10.667799585350599</c:v>
                </c:pt>
                <c:pt idx="15">
                  <c:v>-10.580492672751816</c:v>
                </c:pt>
                <c:pt idx="16">
                  <c:v>-10.493796063940842</c:v>
                </c:pt>
                <c:pt idx="17">
                  <c:v>-10.407714996698099</c:v>
                </c:pt>
                <c:pt idx="18">
                  <c:v>-10.322254653812658</c:v>
                </c:pt>
                <c:pt idx="19">
                  <c:v>-10.2374201590745</c:v>
                </c:pt>
                <c:pt idx="20">
                  <c:v>-10.153216573228443</c:v>
                </c:pt>
                <c:pt idx="21">
                  <c:v>-10.069648889895436</c:v>
                </c:pt>
                <c:pt idx="22">
                  <c:v>-9.986722031467286</c:v>
                </c:pt>
                <c:pt idx="23">
                  <c:v>-9.9044408449810852</c:v>
                </c:pt>
                <c:pt idx="24">
                  <c:v>-9.8228100979799446</c:v>
                </c:pt>
                <c:pt idx="25">
                  <c:v>-9.7418344743668683</c:v>
                </c:pt>
                <c:pt idx="26">
                  <c:v>-9.6615185702588011</c:v>
                </c:pt>
                <c:pt idx="27">
                  <c:v>-9.5818668898481985</c:v>
                </c:pt>
                <c:pt idx="28">
                  <c:v>-9.5028838412795906</c:v>
                </c:pt>
                <c:pt idx="29">
                  <c:v>-9.4245737325488435</c:v>
                </c:pt>
                <c:pt idx="30">
                  <c:v>-9.3469407674330007</c:v>
                </c:pt>
                <c:pt idx="31">
                  <c:v>-9.2699890414586719</c:v>
                </c:pt>
                <c:pt idx="32">
                  <c:v>-9.1937225379171341</c:v>
                </c:pt>
                <c:pt idx="33">
                  <c:v>-9.1181451239343563</c:v>
                </c:pt>
                <c:pt idx="34">
                  <c:v>-9.0432605466042588</c:v>
                </c:pt>
                <c:pt idx="35">
                  <c:v>-8.9690724291934991</c:v>
                </c:pt>
                <c:pt idx="36">
                  <c:v>-8.8955842674261678</c:v>
                </c:pt>
                <c:pt idx="37">
                  <c:v>-8.8227994258567577</c:v>
                </c:pt>
                <c:pt idx="38">
                  <c:v>-8.7507211343395728</c:v>
                </c:pt>
                <c:pt idx="39">
                  <c:v>-8.679352484602914</c:v>
                </c:pt>
                <c:pt idx="40">
                  <c:v>-8.6086964269360085</c:v>
                </c:pt>
                <c:pt idx="41">
                  <c:v>-8.5387557669967133</c:v>
                </c:pt>
                <c:pt idx="42">
                  <c:v>-8.4695331627476769</c:v>
                </c:pt>
                <c:pt idx="43">
                  <c:v>-8.4010311215285824</c:v>
                </c:pt>
                <c:pt idx="44">
                  <c:v>-8.3332519972717165</c:v>
                </c:pt>
                <c:pt idx="45">
                  <c:v>-8.2661979878679421</c:v>
                </c:pt>
                <c:pt idx="46">
                  <c:v>-8.1998711326897631</c:v>
                </c:pt>
                <c:pt idx="47">
                  <c:v>-8.1342733102779174</c:v>
                </c:pt>
                <c:pt idx="48">
                  <c:v>-8.0694062361974588</c:v>
                </c:pt>
                <c:pt idx="49">
                  <c:v>-8.0052714610690359</c:v>
                </c:pt>
                <c:pt idx="50">
                  <c:v>-7.9418703687805188</c:v>
                </c:pt>
                <c:pt idx="51">
                  <c:v>-7.8792041748837587</c:v>
                </c:pt>
                <c:pt idx="52">
                  <c:v>-7.8172739251808103</c:v>
                </c:pt>
                <c:pt idx="53">
                  <c:v>-7.7560804945033972</c:v>
                </c:pt>
                <c:pt idx="54">
                  <c:v>-7.6956245856889378</c:v>
                </c:pt>
                <c:pt idx="55">
                  <c:v>-7.6359067287559359</c:v>
                </c:pt>
                <c:pt idx="56">
                  <c:v>-7.576927280280966</c:v>
                </c:pt>
                <c:pt idx="57">
                  <c:v>-7.5186864229789787</c:v>
                </c:pt>
                <c:pt idx="58">
                  <c:v>-7.4611841654880742</c:v>
                </c:pt>
                <c:pt idx="59">
                  <c:v>-7.4044203423593142</c:v>
                </c:pt>
                <c:pt idx="60">
                  <c:v>-7.3483946142516281</c:v>
                </c:pt>
                <c:pt idx="61">
                  <c:v>-7.2931064683312723</c:v>
                </c:pt>
                <c:pt idx="62">
                  <c:v>-7.2385552188747253</c:v>
                </c:pt>
                <c:pt idx="63">
                  <c:v>-7.1847400080733905</c:v>
                </c:pt>
                <c:pt idx="64">
                  <c:v>-7.1316598070379102</c:v>
                </c:pt>
                <c:pt idx="65">
                  <c:v>-7.0793134169993222</c:v>
                </c:pt>
                <c:pt idx="66">
                  <c:v>-7.0276994707038423</c:v>
                </c:pt>
                <c:pt idx="67">
                  <c:v>-6.9768164339974854</c:v>
                </c:pt>
                <c:pt idx="68">
                  <c:v>-6.9266626075962634</c:v>
                </c:pt>
                <c:pt idx="69">
                  <c:v>-6.8772361290372563</c:v>
                </c:pt>
                <c:pt idx="70">
                  <c:v>-6.8285349748053816</c:v>
                </c:pt>
                <c:pt idx="71">
                  <c:v>-6.7805569626302411</c:v>
                </c:pt>
                <c:pt idx="72">
                  <c:v>-6.7332997539471275</c:v>
                </c:pt>
                <c:pt idx="73">
                  <c:v>-6.6867608565157424</c:v>
                </c:pt>
                <c:pt idx="74">
                  <c:v>-6.6409376271900245</c:v>
                </c:pt>
                <c:pt idx="75">
                  <c:v>-6.5958272748319997</c:v>
                </c:pt>
                <c:pt idx="76">
                  <c:v>-6.5514268633624662</c:v>
                </c:pt>
                <c:pt idx="77">
                  <c:v>-6.5077333149408707</c:v>
                </c:pt>
                <c:pt idx="78">
                  <c:v>-6.4647434132667465</c:v>
                </c:pt>
                <c:pt idx="79">
                  <c:v>-6.4224538069947341</c:v>
                </c:pt>
                <c:pt idx="80">
                  <c:v>-6.3808610132550854</c:v>
                </c:pt>
                <c:pt idx="81">
                  <c:v>-6.3399614212715418</c:v>
                </c:pt>
                <c:pt idx="82">
                  <c:v>-6.2997512960682327</c:v>
                </c:pt>
                <c:pt idx="83">
                  <c:v>-6.2602267822573339</c:v>
                </c:pt>
                <c:pt idx="84">
                  <c:v>-6.2213839078990816</c:v>
                </c:pt>
                <c:pt idx="85">
                  <c:v>-6.183218588425853</c:v>
                </c:pt>
                <c:pt idx="86">
                  <c:v>-6.145726630621982</c:v>
                </c:pt>
                <c:pt idx="87">
                  <c:v>-6.1089037366510945</c:v>
                </c:pt>
                <c:pt idx="88">
                  <c:v>-6.072745508122809</c:v>
                </c:pt>
                <c:pt idx="89">
                  <c:v>-6.0372474501907867</c:v>
                </c:pt>
                <c:pt idx="90">
                  <c:v>-6.0024049756742768</c:v>
                </c:pt>
                <c:pt idx="91">
                  <c:v>-5.9682134091953909</c:v>
                </c:pt>
                <c:pt idx="92">
                  <c:v>-5.934667991324627</c:v>
                </c:pt>
                <c:pt idx="93">
                  <c:v>-5.9017638827273071</c:v>
                </c:pt>
                <c:pt idx="94">
                  <c:v>-5.8694961683038462</c:v>
                </c:pt>
                <c:pt idx="95">
                  <c:v>-5.8378598613169546</c:v>
                </c:pt>
                <c:pt idx="96">
                  <c:v>-5.8068499074992399</c:v>
                </c:pt>
                <c:pt idx="97">
                  <c:v>-5.7764611891348032</c:v>
                </c:pt>
                <c:pt idx="98">
                  <c:v>-5.7466885291088179</c:v>
                </c:pt>
                <c:pt idx="99">
                  <c:v>-5.7175266949193198</c:v>
                </c:pt>
              </c:numCache>
            </c:numRef>
          </c:yVal>
          <c:smooth val="1"/>
          <c:extLst>
            <c:ext xmlns:c16="http://schemas.microsoft.com/office/drawing/2014/chart" uri="{C3380CC4-5D6E-409C-BE32-E72D297353CC}">
              <c16:uniqueId val="{00000006-CAD5-4133-B01C-EB92EFF5F7B3}"/>
            </c:ext>
          </c:extLst>
        </c:ser>
        <c:ser>
          <c:idx val="0"/>
          <c:order val="5"/>
          <c:tx>
            <c:strRef>
              <c:f>LineærRegression!$BG$20</c:f>
              <c:strCache>
                <c:ptCount val="1"/>
                <c:pt idx="0">
                  <c:v>Givet at Eksempel 2 (interval) = 1 estimeres gennemsnit = 0.459</c:v>
                </c:pt>
              </c:strCache>
            </c:strRef>
          </c:tx>
          <c:spPr>
            <a:ln w="19050" cap="rnd">
              <a:noFill/>
              <a:round/>
            </a:ln>
            <a:effectLst/>
          </c:spPr>
          <c:marker>
            <c:symbol val="dash"/>
            <c:size val="15"/>
            <c:spPr>
              <a:solidFill>
                <a:schemeClr val="tx1"/>
              </a:solidFill>
              <a:ln w="28575">
                <a:solidFill>
                  <a:schemeClr val="tx1"/>
                </a:solidFill>
              </a:ln>
              <a:effectLst/>
            </c:spPr>
          </c:marker>
          <c:dLbls>
            <c:dLbl>
              <c:idx val="0"/>
              <c:tx>
                <c:rich>
                  <a:bodyPr/>
                  <a:lstStyle/>
                  <a:p>
                    <a:fld id="{7B564360-341C-4249-BFB0-1F36E6B1DABC}" type="CELLRANGE">
                      <a:rPr lang="en-US"/>
                      <a:pPr/>
                      <a:t>[CELLRANGE]</a:t>
                    </a:fld>
                    <a:endParaRPr lang="da-DK"/>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LineærRegression!$BG$22</c:f>
              <c:numCache>
                <c:formatCode>General</c:formatCode>
                <c:ptCount val="1"/>
                <c:pt idx="0">
                  <c:v>0.45914125165805242</c:v>
                </c:pt>
              </c:numCache>
            </c:numRef>
          </c:yVal>
          <c:smooth val="1"/>
          <c:extLst>
            <c:ext xmlns:c15="http://schemas.microsoft.com/office/drawing/2012/chart" uri="{02D57815-91ED-43cb-92C2-25804820EDAC}">
              <c15:datalabelsRange>
                <c15:f>LineærRegression!$BG$42</c15:f>
                <c15:dlblRangeCache>
                  <c:ptCount val="1"/>
                  <c:pt idx="0">
                    <c:v>0.459</c:v>
                  </c:pt>
                </c15:dlblRangeCache>
              </c15:datalabelsRange>
            </c:ext>
            <c:ext xmlns:c16="http://schemas.microsoft.com/office/drawing/2014/chart" uri="{C3380CC4-5D6E-409C-BE32-E72D297353CC}">
              <c16:uniqueId val="{00000008-CAD5-4133-B01C-EB92EFF5F7B3}"/>
            </c:ext>
          </c:extLst>
        </c:ser>
        <c:ser>
          <c:idx val="4"/>
          <c:order val="6"/>
          <c:tx>
            <c:strRef>
              <c:f>LineærRegression!$BG$10</c:f>
              <c:strCache>
                <c:ptCount val="1"/>
                <c:pt idx="0">
                  <c:v>Forudsigelsesinterval for simpel lineær regression
Observationer er med 95% sandsynlighed mellem
øvre og nedre grænse i forudsigelsesintervallet</c:v>
                </c:pt>
              </c:strCache>
            </c:strRef>
          </c:tx>
          <c:spPr>
            <a:ln w="19050" cap="rnd">
              <a:noFill/>
              <a:round/>
            </a:ln>
            <a:effectLst/>
          </c:spPr>
          <c:marker>
            <c:symbol val="none"/>
          </c:marker>
          <c:xVal>
            <c:numRef>
              <c:f>(LineærRegression!$BG$48,LineærRegression!$BG$48)</c:f>
              <c:numCache>
                <c:formatCode>General</c:formatCode>
                <c:ptCount val="2"/>
                <c:pt idx="0">
                  <c:v>3.2179796634897779</c:v>
                </c:pt>
                <c:pt idx="1">
                  <c:v>3.2179796634897779</c:v>
                </c:pt>
              </c:numCache>
            </c:numRef>
          </c:xVal>
          <c:yVal>
            <c:numRef>
              <c:f>(LineærRegression!$AQ$28,LineærRegression!$AQ$30)</c:f>
              <c:numCache>
                <c:formatCode>General</c:formatCode>
                <c:ptCount val="2"/>
                <c:pt idx="0">
                  <c:v>-11.951147136555756</c:v>
                </c:pt>
                <c:pt idx="1">
                  <c:v>14.367118518839385</c:v>
                </c:pt>
              </c:numCache>
            </c:numRef>
          </c:yVal>
          <c:smooth val="1"/>
          <c:extLst>
            <c:ext xmlns:c16="http://schemas.microsoft.com/office/drawing/2014/chart" uri="{C3380CC4-5D6E-409C-BE32-E72D297353CC}">
              <c16:uniqueId val="{00000009-CAD5-4133-B01C-EB92EFF5F7B3}"/>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LineærRegression!$CP$10</c:f>
          <c:strCache>
            <c:ptCount val="1"/>
            <c:pt idx="0">
              <c:v>0 par af uafhængige variable er stærkt korrelede
Den stærkeste korrelation er mellem Eksempel 2 (interval) og Eksempel 3 (nominal)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2423922239415965"/>
          <c:y val="0.12630804743032872"/>
          <c:w val="0.84870719770771985"/>
          <c:h val="0.85826614631304154"/>
        </c:manualLayout>
      </c:layout>
      <c:scatterChart>
        <c:scatterStyle val="lineMarker"/>
        <c:varyColors val="0"/>
        <c:ser>
          <c:idx val="0"/>
          <c:order val="0"/>
          <c:tx>
            <c:strRef>
              <c:f>LineærRegression!$CP$12</c:f>
              <c:strCache>
                <c:ptCount val="1"/>
                <c:pt idx="0">
                  <c:v>Parallelle koordinater</c:v>
                </c:pt>
              </c:strCache>
            </c:strRef>
          </c:tx>
          <c:spPr>
            <a:ln w="12700" cap="rnd">
              <a:solidFill>
                <a:schemeClr val="tx1"/>
              </a:solidFill>
              <a:round/>
            </a:ln>
            <a:effectLst/>
          </c:spPr>
          <c:marker>
            <c:symbol val="circle"/>
            <c:size val="5"/>
            <c:spPr>
              <a:noFill/>
              <a:ln w="9525">
                <a:solidFill>
                  <a:schemeClr val="accent1"/>
                </a:solidFill>
              </a:ln>
              <a:effectLst/>
            </c:spPr>
          </c:marker>
          <c:xVal>
            <c:numRef>
              <c:f>[0]!LpX</c:f>
              <c:numCache>
                <c:formatCode>General</c:formatCode>
                <c:ptCount val="36"/>
                <c:pt idx="0">
                  <c:v>1</c:v>
                </c:pt>
                <c:pt idx="1">
                  <c:v>2</c:v>
                </c:pt>
                <c:pt idx="2">
                  <c:v>#N/A</c:v>
                </c:pt>
                <c:pt idx="3">
                  <c:v>1</c:v>
                </c:pt>
                <c:pt idx="4">
                  <c:v>2</c:v>
                </c:pt>
                <c:pt idx="5">
                  <c:v>#N/A</c:v>
                </c:pt>
                <c:pt idx="6">
                  <c:v>1</c:v>
                </c:pt>
                <c:pt idx="7">
                  <c:v>2</c:v>
                </c:pt>
                <c:pt idx="8">
                  <c:v>#N/A</c:v>
                </c:pt>
                <c:pt idx="9">
                  <c:v>1</c:v>
                </c:pt>
                <c:pt idx="10">
                  <c:v>2</c:v>
                </c:pt>
                <c:pt idx="11">
                  <c:v>#N/A</c:v>
                </c:pt>
                <c:pt idx="12">
                  <c:v>1</c:v>
                </c:pt>
                <c:pt idx="13">
                  <c:v>2</c:v>
                </c:pt>
                <c:pt idx="14">
                  <c:v>#N/A</c:v>
                </c:pt>
                <c:pt idx="15">
                  <c:v>1</c:v>
                </c:pt>
                <c:pt idx="16">
                  <c:v>2</c:v>
                </c:pt>
                <c:pt idx="17">
                  <c:v>#N/A</c:v>
                </c:pt>
                <c:pt idx="18">
                  <c:v>1</c:v>
                </c:pt>
                <c:pt idx="19">
                  <c:v>2</c:v>
                </c:pt>
                <c:pt idx="20">
                  <c:v>#N/A</c:v>
                </c:pt>
                <c:pt idx="21">
                  <c:v>1</c:v>
                </c:pt>
                <c:pt idx="22">
                  <c:v>2</c:v>
                </c:pt>
                <c:pt idx="23">
                  <c:v>#N/A</c:v>
                </c:pt>
                <c:pt idx="24">
                  <c:v>1</c:v>
                </c:pt>
                <c:pt idx="25">
                  <c:v>2</c:v>
                </c:pt>
                <c:pt idx="26">
                  <c:v>#N/A</c:v>
                </c:pt>
                <c:pt idx="27">
                  <c:v>1</c:v>
                </c:pt>
                <c:pt idx="28">
                  <c:v>2</c:v>
                </c:pt>
                <c:pt idx="29">
                  <c:v>#N/A</c:v>
                </c:pt>
                <c:pt idx="30">
                  <c:v>1</c:v>
                </c:pt>
                <c:pt idx="31">
                  <c:v>2</c:v>
                </c:pt>
                <c:pt idx="32">
                  <c:v>#N/A</c:v>
                </c:pt>
                <c:pt idx="33">
                  <c:v>1</c:v>
                </c:pt>
                <c:pt idx="34">
                  <c:v>2</c:v>
                </c:pt>
                <c:pt idx="35">
                  <c:v>#N/A</c:v>
                </c:pt>
              </c:numCache>
            </c:numRef>
          </c:xVal>
          <c:yVal>
            <c:numRef>
              <c:f>[0]!LpY</c:f>
              <c:numCache>
                <c:formatCode>General</c:formatCode>
                <c:ptCount val="36"/>
                <c:pt idx="0">
                  <c:v>-2.5</c:v>
                </c:pt>
                <c:pt idx="1">
                  <c:v>-2.0938272342504645</c:v>
                </c:pt>
                <c:pt idx="2">
                  <c:v>#N/A</c:v>
                </c:pt>
                <c:pt idx="3">
                  <c:v>-2.5</c:v>
                </c:pt>
                <c:pt idx="4">
                  <c:v>-2.5</c:v>
                </c:pt>
                <c:pt idx="5">
                  <c:v>#N/A</c:v>
                </c:pt>
                <c:pt idx="6">
                  <c:v>-2.5</c:v>
                </c:pt>
                <c:pt idx="7">
                  <c:v>-2.0913992969085626</c:v>
                </c:pt>
                <c:pt idx="8">
                  <c:v>#N/A</c:v>
                </c:pt>
                <c:pt idx="9">
                  <c:v>-2.5</c:v>
                </c:pt>
                <c:pt idx="10">
                  <c:v>-2.4202999894058768</c:v>
                </c:pt>
                <c:pt idx="11">
                  <c:v>#N/A</c:v>
                </c:pt>
                <c:pt idx="12">
                  <c:v>-2.5</c:v>
                </c:pt>
                <c:pt idx="13">
                  <c:v>-1.9397569536652717</c:v>
                </c:pt>
                <c:pt idx="14">
                  <c:v>#N/A</c:v>
                </c:pt>
                <c:pt idx="15">
                  <c:v>-1.5</c:v>
                </c:pt>
                <c:pt idx="16">
                  <c:v>-1.8627218133726751</c:v>
                </c:pt>
                <c:pt idx="17">
                  <c:v>#N/A</c:v>
                </c:pt>
                <c:pt idx="18">
                  <c:v>-2.5</c:v>
                </c:pt>
                <c:pt idx="19">
                  <c:v>-2.0920639382826405</c:v>
                </c:pt>
                <c:pt idx="20">
                  <c:v>#N/A</c:v>
                </c:pt>
                <c:pt idx="21">
                  <c:v>-2.5</c:v>
                </c:pt>
                <c:pt idx="22">
                  <c:v>-1.554581252202289</c:v>
                </c:pt>
                <c:pt idx="23">
                  <c:v>#N/A</c:v>
                </c:pt>
                <c:pt idx="24">
                  <c:v>-1.5</c:v>
                </c:pt>
                <c:pt idx="25">
                  <c:v>-1.760642089904338</c:v>
                </c:pt>
                <c:pt idx="26">
                  <c:v>#N/A</c:v>
                </c:pt>
                <c:pt idx="27">
                  <c:v>-1.5</c:v>
                </c:pt>
                <c:pt idx="28">
                  <c:v>-1.8302091203372082</c:v>
                </c:pt>
                <c:pt idx="29">
                  <c:v>#N/A</c:v>
                </c:pt>
                <c:pt idx="30">
                  <c:v>-2.5</c:v>
                </c:pt>
                <c:pt idx="31">
                  <c:v>-1.5</c:v>
                </c:pt>
                <c:pt idx="32">
                  <c:v>#N/A</c:v>
                </c:pt>
                <c:pt idx="33">
                  <c:v>-2.5</c:v>
                </c:pt>
                <c:pt idx="34">
                  <c:v>-1.5</c:v>
                </c:pt>
                <c:pt idx="35">
                  <c:v>#N/A</c:v>
                </c:pt>
              </c:numCache>
            </c:numRef>
          </c:yVal>
          <c:smooth val="0"/>
          <c:extLst>
            <c:ext xmlns:c16="http://schemas.microsoft.com/office/drawing/2014/chart" uri="{C3380CC4-5D6E-409C-BE32-E72D297353CC}">
              <c16:uniqueId val="{00000000-CDBA-4620-AD22-7A04BADC9AF9}"/>
            </c:ext>
          </c:extLst>
        </c:ser>
        <c:ser>
          <c:idx val="1"/>
          <c:order val="1"/>
          <c:tx>
            <c:strRef>
              <c:f>LineærRegression!$CP$14</c:f>
              <c:strCache>
                <c:ptCount val="1"/>
                <c:pt idx="0">
                  <c:v>Korrelationskoefficienter</c:v>
                </c:pt>
              </c:strCache>
            </c:strRef>
          </c:tx>
          <c:spPr>
            <a:ln w="19050" cap="rnd">
              <a:noFill/>
              <a:round/>
            </a:ln>
            <a:effectLst/>
          </c:spPr>
          <c:marker>
            <c:symbol val="none"/>
          </c:marker>
          <c:dLbls>
            <c:dLbl>
              <c:idx val="0"/>
              <c:tx>
                <c:rich>
                  <a:bodyPr/>
                  <a:lstStyle/>
                  <a:p>
                    <a:fld id="{98A19AB9-2701-477C-B387-A6453C68D828}" type="CELLRANGE">
                      <a:rPr lang="en-US"/>
                      <a:pPr/>
                      <a:t>[CELLRANGE]</a:t>
                    </a:fld>
                    <a:endParaRPr lang="da-DK"/>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[0]!LpRx</c:f>
              <c:numCache>
                <c:formatCode>General</c:formatCode>
                <c:ptCount val="1"/>
                <c:pt idx="0">
                  <c:v>2</c:v>
                </c:pt>
              </c:numCache>
            </c:numRef>
          </c:xVal>
          <c:yVal>
            <c:numRef>
              <c:f>[0]!LpRy</c:f>
              <c:numCache>
                <c:formatCode>General</c:formatCode>
                <c:ptCount val="1"/>
                <c:pt idx="0">
                  <c:v>-2</c:v>
                </c:pt>
              </c:numCache>
            </c:numRef>
          </c:yVal>
          <c:smooth val="0"/>
          <c:extLst>
            <c:ext xmlns:c15="http://schemas.microsoft.com/office/drawing/2012/chart" uri="{02D57815-91ED-43cb-92C2-25804820EDAC}">
              <c15:datalabelsRange>
                <c15:f>Beregningsark!$B$3:$B$1700</c15:f>
                <c15:dlblRangeCache>
                  <c:ptCount val="1698"/>
                  <c:pt idx="0">
                    <c:v>0.2</c:v>
                  </c:pt>
                </c15:dlblRangeCache>
              </c15:datalabelsRange>
            </c:ext>
            <c:ext xmlns:c16="http://schemas.microsoft.com/office/drawing/2014/chart" uri="{C3380CC4-5D6E-409C-BE32-E72D297353CC}">
              <c16:uniqueId val="{00000025-CDBA-4620-AD22-7A04BADC9AF9}"/>
            </c:ext>
          </c:extLst>
        </c:ser>
        <c:ser>
          <c:idx val="2"/>
          <c:order val="2"/>
          <c:tx>
            <c:strRef>
              <c:f>LineærRegression!$CP$18</c:f>
              <c:strCache>
                <c:ptCount val="1"/>
                <c:pt idx="0">
                  <c:v>Venstre side uafhængige variabel</c:v>
                </c:pt>
              </c:strCache>
            </c:strRef>
          </c:tx>
          <c:spPr>
            <a:ln w="19050" cap="rnd">
              <a:noFill/>
              <a:round/>
            </a:ln>
            <a:effectLst/>
          </c:spPr>
          <c:marker>
            <c:symbol val="none"/>
          </c:marker>
          <c:dLbls>
            <c:dLbl>
              <c:idx val="0"/>
              <c:tx>
                <c:rich>
                  <a:bodyPr/>
                  <a:lstStyle/>
                  <a:p>
                    <a:fld id="{9AF853E4-AB05-4411-95F1-6D58AA3D7A61}" type="CELLRANGE">
                      <a:rPr lang="en-US"/>
                      <a:pPr/>
                      <a:t>[CELLRANGE]</a:t>
                    </a:fld>
                    <a:endParaRPr lang="da-DK"/>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6-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[0]!LpYlx</c:f>
              <c:numCache>
                <c:formatCode>General</c:formatCode>
                <c:ptCount val="1"/>
                <c:pt idx="0">
                  <c:v>1</c:v>
                </c:pt>
              </c:numCache>
            </c:numRef>
          </c:xVal>
          <c:yVal>
            <c:numRef>
              <c:f>[0]!LpYly</c:f>
              <c:numCache>
                <c:formatCode>General</c:formatCode>
                <c:ptCount val="1"/>
                <c:pt idx="0">
                  <c:v>-2</c:v>
                </c:pt>
              </c:numCache>
            </c:numRef>
          </c:yVal>
          <c:smooth val="0"/>
          <c:extLst>
            <c:ext xmlns:c15="http://schemas.microsoft.com/office/drawing/2012/chart" uri="{02D57815-91ED-43cb-92C2-25804820EDAC}">
              <c15:datalabelsRange>
                <c15:f>Beregningsark!$C$3:$C$1700</c15:f>
                <c15:dlblRangeCache>
                  <c:ptCount val="1698"/>
                  <c:pt idx="0">
                    <c:v>Eksempel 3 (nominal)</c:v>
                  </c:pt>
                </c15:dlblRangeCache>
              </c15:datalabelsRange>
            </c:ext>
            <c:ext xmlns:c16="http://schemas.microsoft.com/office/drawing/2014/chart" uri="{C3380CC4-5D6E-409C-BE32-E72D297353CC}">
              <c16:uniqueId val="{0000002E-CDBA-4620-AD22-7A04BADC9AF9}"/>
            </c:ext>
          </c:extLst>
        </c:ser>
        <c:ser>
          <c:idx val="3"/>
          <c:order val="3"/>
          <c:tx>
            <c:strRef>
              <c:f>LineærRegression!$CP$16</c:f>
              <c:strCache>
                <c:ptCount val="1"/>
                <c:pt idx="0">
                  <c:v>Højre side uafhængige variabel</c:v>
                </c:pt>
              </c:strCache>
            </c:strRef>
          </c:tx>
          <c:spPr>
            <a:ln w="19050" cap="rnd">
              <a:noFill/>
              <a:round/>
            </a:ln>
            <a:effectLst/>
          </c:spPr>
          <c:marker>
            <c:symbol val="none"/>
          </c:marker>
          <c:dLbls>
            <c:dLbl>
              <c:idx val="0"/>
              <c:tx>
                <c:rich>
                  <a:bodyPr/>
                  <a:lstStyle/>
                  <a:p>
                    <a:fld id="{86F9F10F-D570-407F-A627-FB33065C859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F-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[0]!LpXlx</c:f>
              <c:numCache>
                <c:formatCode>General</c:formatCode>
                <c:ptCount val="1"/>
                <c:pt idx="0">
                  <c:v>2</c:v>
                </c:pt>
              </c:numCache>
            </c:numRef>
          </c:xVal>
          <c:yVal>
            <c:numRef>
              <c:f>[0]!LpXly</c:f>
              <c:numCache>
                <c:formatCode>General</c:formatCode>
                <c:ptCount val="1"/>
                <c:pt idx="0">
                  <c:v>-1.5</c:v>
                </c:pt>
              </c:numCache>
            </c:numRef>
          </c:yVal>
          <c:smooth val="0"/>
          <c:extLst>
            <c:ext xmlns:c15="http://schemas.microsoft.com/office/drawing/2012/chart" uri="{02D57815-91ED-43cb-92C2-25804820EDAC}">
              <c15:datalabelsRange>
                <c15:f>Beregningsark!$D$3:$D$1700</c15:f>
                <c15:dlblRangeCache>
                  <c:ptCount val="1698"/>
                  <c:pt idx="0">
                    <c:v>Eksempel 2 (interval)</c:v>
                  </c:pt>
                </c15:dlblRangeCache>
              </c15:datalabelsRange>
            </c:ext>
            <c:ext xmlns:c16="http://schemas.microsoft.com/office/drawing/2014/chart" uri="{C3380CC4-5D6E-409C-BE32-E72D297353CC}">
              <c16:uniqueId val="{00000037-CDBA-4620-AD22-7A04BADC9AF9}"/>
            </c:ext>
          </c:extLst>
        </c:ser>
        <c:dLbls>
          <c:showLegendKey val="0"/>
          <c:showVal val="0"/>
          <c:showCatName val="0"/>
          <c:showSerName val="0"/>
          <c:showPercent val="0"/>
          <c:showBubbleSize val="0"/>
        </c:dLbls>
        <c:axId val="1002634608"/>
        <c:axId val="1002633776"/>
      </c:scatterChart>
      <c:valAx>
        <c:axId val="1002634608"/>
        <c:scaling>
          <c:orientation val="minMax"/>
        </c:scaling>
        <c:delete val="1"/>
        <c:axPos val="b"/>
        <c:numFmt formatCode="General" sourceLinked="1"/>
        <c:majorTickMark val="out"/>
        <c:minorTickMark val="none"/>
        <c:tickLblPos val="nextTo"/>
        <c:crossAx val="1002633776"/>
        <c:crosses val="autoZero"/>
        <c:crossBetween val="midCat"/>
        <c:majorUnit val="2"/>
      </c:valAx>
      <c:valAx>
        <c:axId val="1002633776"/>
        <c:scaling>
          <c:orientation val="minMax"/>
        </c:scaling>
        <c:delete val="1"/>
        <c:axPos val="l"/>
        <c:numFmt formatCode="General" sourceLinked="1"/>
        <c:majorTickMark val="out"/>
        <c:minorTickMark val="none"/>
        <c:tickLblPos val="nextTo"/>
        <c:crossAx val="1002634608"/>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ANOVA!$CC$9</c:f>
          <c:strCache>
            <c:ptCount val="1"/>
            <c:pt idx="0">
              <c:v>Hypotesetest om forskel mellem flere gennemsnit
Nulhypotese om at alle populationers gennemsnit er ens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ANOVA!$CC$13</c:f>
              <c:strCache>
                <c:ptCount val="1"/>
                <c:pt idx="0">
                  <c:v>Alternativ hypotese</c:v>
                </c:pt>
              </c:strCache>
            </c:strRef>
          </c:tx>
          <c:spPr>
            <a:solidFill>
              <a:schemeClr val="accent1"/>
            </a:solidFill>
            <a:ln w="25400">
              <a:noFill/>
            </a:ln>
            <a:effectLst/>
          </c:spPr>
          <c:cat>
            <c:strRef>
              <c:f>[0]!AlG</c:f>
              <c:strCache>
                <c:ptCount val="250"/>
                <c:pt idx="0">
                  <c:v>0</c:v>
                </c:pt>
                <c:pt idx="25">
                  <c:v>0.861</c:v>
                </c:pt>
                <c:pt idx="50">
                  <c:v>1.723</c:v>
                </c:pt>
                <c:pt idx="75">
                  <c:v>2.584</c:v>
                </c:pt>
                <c:pt idx="100">
                  <c:v>3.445</c:v>
                </c:pt>
                <c:pt idx="125">
                  <c:v>4.306</c:v>
                </c:pt>
                <c:pt idx="150">
                  <c:v>5.168</c:v>
                </c:pt>
                <c:pt idx="175">
                  <c:v>6.029</c:v>
                </c:pt>
                <c:pt idx="200">
                  <c:v>6.89</c:v>
                </c:pt>
                <c:pt idx="225">
                  <c:v>7.752</c:v>
                </c:pt>
                <c:pt idx="249">
                  <c:v>8.579</c:v>
                </c:pt>
              </c:strCache>
            </c:strRef>
          </c:cat>
          <c:val>
            <c:numRef>
              <c:f>[0]!AyGa</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3.6207573194551715E-2</c:v>
                </c:pt>
                <c:pt idx="101">
                  <c:v>3.5130373452467903E-2</c:v>
                </c:pt>
                <c:pt idx="102">
                  <c:v>3.4086994779636316E-2</c:v>
                </c:pt>
                <c:pt idx="103">
                  <c:v>3.3076319790228424E-2</c:v>
                </c:pt>
                <c:pt idx="104">
                  <c:v>3.2097269842137698E-2</c:v>
                </c:pt>
                <c:pt idx="105">
                  <c:v>3.1148803630451225E-2</c:v>
                </c:pt>
                <c:pt idx="106">
                  <c:v>3.0229915834267793E-2</c:v>
                </c:pt>
                <c:pt idx="107">
                  <c:v>2.9339635814752792E-2</c:v>
                </c:pt>
                <c:pt idx="108">
                  <c:v>2.8477026362407024E-2</c:v>
                </c:pt>
                <c:pt idx="109">
                  <c:v>2.7641182491609701E-2</c:v>
                </c:pt>
                <c:pt idx="110">
                  <c:v>2.6831230280575491E-2</c:v>
                </c:pt>
                <c:pt idx="111">
                  <c:v>2.6046325754941556E-2</c:v>
                </c:pt>
                <c:pt idx="112">
                  <c:v>2.5285653813273922E-2</c:v>
                </c:pt>
                <c:pt idx="113">
                  <c:v>2.4548427192851448E-2</c:v>
                </c:pt>
                <c:pt idx="114">
                  <c:v>2.3833885474153556E-2</c:v>
                </c:pt>
                <c:pt idx="115">
                  <c:v>2.3141294122541144E-2</c:v>
                </c:pt>
                <c:pt idx="116">
                  <c:v>2.2469943565682025E-2</c:v>
                </c:pt>
                <c:pt idx="117">
                  <c:v>2.1819148305330376E-2</c:v>
                </c:pt>
                <c:pt idx="118">
                  <c:v>2.1188246062126707E-2</c:v>
                </c:pt>
                <c:pt idx="119">
                  <c:v>2.0576596952137979E-2</c:v>
                </c:pt>
                <c:pt idx="120">
                  <c:v>1.99835826939097E-2</c:v>
                </c:pt>
                <c:pt idx="121">
                  <c:v>1.9408605844851289E-2</c:v>
                </c:pt>
                <c:pt idx="122">
                  <c:v>1.8851089065822769E-2</c:v>
                </c:pt>
                <c:pt idx="123">
                  <c:v>1.8310474412837192E-2</c:v>
                </c:pt>
                <c:pt idx="124">
                  <c:v>1.7786222654836249E-2</c:v>
                </c:pt>
                <c:pt idx="125">
                  <c:v>1.7277812616538015E-2</c:v>
                </c:pt>
                <c:pt idx="126">
                  <c:v>1.678474054539612E-2</c:v>
                </c:pt>
                <c:pt idx="127">
                  <c:v>1.6306519501748138E-2</c:v>
                </c:pt>
                <c:pt idx="128">
                  <c:v>1.5842678771267042E-2</c:v>
                </c:pt>
                <c:pt idx="129">
                  <c:v>1.5392763298865407E-2</c:v>
                </c:pt>
                <c:pt idx="130">
                  <c:v>1.4956333143235686E-2</c:v>
                </c:pt>
                <c:pt idx="131">
                  <c:v>1.4532962951241834E-2</c:v>
                </c:pt>
                <c:pt idx="132">
                  <c:v>1.4122241451409293E-2</c:v>
                </c:pt>
                <c:pt idx="133">
                  <c:v>1.3723770965789384E-2</c:v>
                </c:pt>
                <c:pt idx="134">
                  <c:v>1.3337166939503374E-2</c:v>
                </c:pt>
                <c:pt idx="135">
                  <c:v>1.29620574872981E-2</c:v>
                </c:pt>
                <c:pt idx="136">
                  <c:v>1.259808295647215E-2</c:v>
                </c:pt>
                <c:pt idx="137">
                  <c:v>1.2244895505555936E-2</c:v>
                </c:pt>
                <c:pt idx="138">
                  <c:v>1.1902158698153767E-2</c:v>
                </c:pt>
                <c:pt idx="139">
                  <c:v>1.1569547111378834E-2</c:v>
                </c:pt>
                <c:pt idx="140">
                  <c:v>1.1246745958334522E-2</c:v>
                </c:pt>
                <c:pt idx="141">
                  <c:v>1.0933450724116209E-2</c:v>
                </c:pt>
                <c:pt idx="142">
                  <c:v>1.0629366814829325E-2</c:v>
                </c:pt>
                <c:pt idx="143">
                  <c:v>1.0334209219137564E-2</c:v>
                </c:pt>
                <c:pt idx="144">
                  <c:v>1.0047702181875248E-2</c:v>
                </c:pt>
                <c:pt idx="145">
                  <c:v>9.7695788892752725E-3</c:v>
                </c:pt>
                <c:pt idx="146">
                  <c:v>9.4995811653814516E-3</c:v>
                </c:pt>
                <c:pt idx="147">
                  <c:v>9.2374591792312166E-3</c:v>
                </c:pt>
                <c:pt idx="148">
                  <c:v>8.9829711624096909E-3</c:v>
                </c:pt>
                <c:pt idx="149">
                  <c:v>8.7358831365925271E-3</c:v>
                </c:pt>
                <c:pt idx="150">
                  <c:v>8.4959686507088978E-3</c:v>
                </c:pt>
                <c:pt idx="151">
                  <c:v>8.2630085273705228E-3</c:v>
                </c:pt>
                <c:pt idx="152">
                  <c:v>8.0367906182259429E-3</c:v>
                </c:pt>
                <c:pt idx="153">
                  <c:v>7.817109567912716E-3</c:v>
                </c:pt>
                <c:pt idx="154">
                  <c:v>7.6037665862920371E-3</c:v>
                </c:pt>
                <c:pt idx="155">
                  <c:v>7.3965692286631669E-3</c:v>
                </c:pt>
                <c:pt idx="156">
                  <c:v>7.1953311836657303E-3</c:v>
                </c:pt>
                <c:pt idx="157">
                  <c:v>6.9998720685896902E-3</c:v>
                </c:pt>
                <c:pt idx="158">
                  <c:v>6.8100172318231803E-3</c:v>
                </c:pt>
                <c:pt idx="159">
                  <c:v>6.625597562178529E-3</c:v>
                </c:pt>
                <c:pt idx="160">
                  <c:v>6.4464493048467762E-3</c:v>
                </c:pt>
                <c:pt idx="161">
                  <c:v>6.2724138837404698E-3</c:v>
                </c:pt>
                <c:pt idx="162">
                  <c:v>6.1033377299934454E-3</c:v>
                </c:pt>
                <c:pt idx="163">
                  <c:v>5.9390721163949337E-3</c:v>
                </c:pt>
                <c:pt idx="164">
                  <c:v>5.7794729975441678E-3</c:v>
                </c:pt>
                <c:pt idx="165">
                  <c:v>5.6244008555190687E-3</c:v>
                </c:pt>
                <c:pt idx="166">
                  <c:v>5.4737205508607906E-3</c:v>
                </c:pt>
                <c:pt idx="167">
                  <c:v>5.327301178683198E-3</c:v>
                </c:pt>
                <c:pt idx="168">
                  <c:v>5.1850159297233767E-3</c:v>
                </c:pt>
                <c:pt idx="169">
                  <c:v>5.0467419561563013E-3</c:v>
                </c:pt>
                <c:pt idx="170">
                  <c:v>4.9123602420033151E-3</c:v>
                </c:pt>
                <c:pt idx="171">
                  <c:v>4.781755477970372E-3</c:v>
                </c:pt>
                <c:pt idx="172">
                  <c:v>4.6548159405581579E-3</c:v>
                </c:pt>
                <c:pt idx="173">
                  <c:v>4.5314333752920453E-3</c:v>
                </c:pt>
                <c:pt idx="174">
                  <c:v>4.411502883925454E-3</c:v>
                </c:pt>
                <c:pt idx="175">
                  <c:v>4.2949228154755955E-3</c:v>
                </c:pt>
                <c:pt idx="176">
                  <c:v>4.1815946609558589E-3</c:v>
                </c:pt>
                <c:pt idx="177">
                  <c:v>4.0714229516739999E-3</c:v>
                </c:pt>
                <c:pt idx="178">
                  <c:v>3.9643151609702306E-3</c:v>
                </c:pt>
                <c:pt idx="179">
                  <c:v>3.8601816092737528E-3</c:v>
                </c:pt>
                <c:pt idx="180">
                  <c:v>3.7589353723610675E-3</c:v>
                </c:pt>
                <c:pt idx="181">
                  <c:v>3.6604921927032184E-3</c:v>
                </c:pt>
                <c:pt idx="182">
                  <c:v>3.564770393793641E-3</c:v>
                </c:pt>
                <c:pt idx="183">
                  <c:v>3.4716907973521898E-3</c:v>
                </c:pt>
                <c:pt idx="184">
                  <c:v>3.3811766433043899E-3</c:v>
                </c:pt>
                <c:pt idx="185">
                  <c:v>3.2931535124391597E-3</c:v>
                </c:pt>
                <c:pt idx="186">
                  <c:v>3.2075492516513782E-3</c:v>
                </c:pt>
                <c:pt idx="187">
                  <c:v>3.1242939016791422E-3</c:v>
                </c:pt>
                <c:pt idx="188">
                  <c:v>3.0433196272491325E-3</c:v>
                </c:pt>
                <c:pt idx="189">
                  <c:v>2.9645606495461115E-3</c:v>
                </c:pt>
                <c:pt idx="190">
                  <c:v>2.8879531809260467E-3</c:v>
                </c:pt>
                <c:pt idx="191">
                  <c:v>2.8134353617951997E-3</c:v>
                </c:pt>
                <c:pt idx="192">
                  <c:v>2.7409471995800765E-3</c:v>
                </c:pt>
                <c:pt idx="193">
                  <c:v>2.6704305097160676E-3</c:v>
                </c:pt>
                <c:pt idx="194">
                  <c:v>2.601828858585245E-3</c:v>
                </c:pt>
                <c:pt idx="195">
                  <c:v>2.5350875083360027E-3</c:v>
                </c:pt>
                <c:pt idx="196">
                  <c:v>2.4701533635199044E-3</c:v>
                </c:pt>
                <c:pt idx="197">
                  <c:v>2.4069749194833745E-3</c:v>
                </c:pt>
                <c:pt idx="198">
                  <c:v>2.3455022124539535E-3</c:v>
                </c:pt>
                <c:pt idx="199">
                  <c:v>2.285686771263078E-3</c:v>
                </c:pt>
                <c:pt idx="200">
                  <c:v>2.2274815706496065E-3</c:v>
                </c:pt>
                <c:pt idx="201">
                  <c:v>2.1708409860898403E-3</c:v>
                </c:pt>
                <c:pt idx="202">
                  <c:v>2.1157207501022041E-3</c:v>
                </c:pt>
                <c:pt idx="203">
                  <c:v>2.0620779099763181E-3</c:v>
                </c:pt>
                <c:pt idx="204">
                  <c:v>2.0098707868779903E-3</c:v>
                </c:pt>
                <c:pt idx="205">
                  <c:v>1.9590589362834562E-3</c:v>
                </c:pt>
                <c:pt idx="206">
                  <c:v>1.9096031096978456E-3</c:v>
                </c:pt>
                <c:pt idx="207">
                  <c:v>1.8614652176143168E-3</c:v>
                </c:pt>
                <c:pt idx="208">
                  <c:v>1.8146082936719783E-3</c:v>
                </c:pt>
                <c:pt idx="209">
                  <c:v>1.7689964599721456E-3</c:v>
                </c:pt>
                <c:pt idx="210">
                  <c:v>1.7245948935138281E-3</c:v>
                </c:pt>
                <c:pt idx="211">
                  <c:v>1.6813697937108673E-3</c:v>
                </c:pt>
                <c:pt idx="212">
                  <c:v>1.63928835095429E-3</c:v>
                </c:pt>
                <c:pt idx="213">
                  <c:v>1.5983187161848253E-3</c:v>
                </c:pt>
                <c:pt idx="214">
                  <c:v>1.5584299714417875E-3</c:v>
                </c:pt>
                <c:pt idx="215">
                  <c:v>1.5195921013555502E-3</c:v>
                </c:pt>
                <c:pt idx="216">
                  <c:v>1.4817759655521483E-3</c:v>
                </c:pt>
                <c:pt idx="217">
                  <c:v>1.4449532719395786E-3</c:v>
                </c:pt>
                <c:pt idx="218">
                  <c:v>1.4090965508463606E-3</c:v>
                </c:pt>
                <c:pt idx="219">
                  <c:v>1.3741791299840386E-3</c:v>
                </c:pt>
                <c:pt idx="220">
                  <c:v>1.3401751102062611E-3</c:v>
                </c:pt>
                <c:pt idx="221">
                  <c:v>1.3070593420379587E-3</c:v>
                </c:pt>
                <c:pt idx="222">
                  <c:v>1.2748074029491352E-3</c:v>
                </c:pt>
                <c:pt idx="223">
                  <c:v>1.2433955753486422E-3</c:v>
                </c:pt>
                <c:pt idx="224">
                  <c:v>1.2128008252741199E-3</c:v>
                </c:pt>
                <c:pt idx="225">
                  <c:v>1.1830007817551383E-3</c:v>
                </c:pt>
                <c:pt idx="226">
                  <c:v>1.1539737168273978E-3</c:v>
                </c:pt>
                <c:pt idx="227">
                  <c:v>1.1256985261765126E-3</c:v>
                </c:pt>
                <c:pt idx="228">
                  <c:v>1.098154710390717E-3</c:v>
                </c:pt>
                <c:pt idx="229">
                  <c:v>1.0713223568025257E-3</c:v>
                </c:pt>
                <c:pt idx="230">
                  <c:v>1.045182121900015E-3</c:v>
                </c:pt>
                <c:pt idx="231">
                  <c:v>1.0197152142891474E-3</c:v>
                </c:pt>
                <c:pt idx="232">
                  <c:v>9.9490337818906893E-4</c:v>
                </c:pt>
                <c:pt idx="233">
                  <c:v>9.7072887744301475E-4</c:v>
                </c:pt>
                <c:pt idx="234">
                  <c:v>9.4717448002805578E-4</c:v>
                </c:pt>
                <c:pt idx="235">
                  <c:v>9.2422344304740329E-4</c:v>
                </c:pt>
                <c:pt idx="236">
                  <c:v>9.0185949818960684E-4</c:v>
                </c:pt>
                <c:pt idx="237">
                  <c:v>8.8006683763952966E-4</c:v>
                </c:pt>
                <c:pt idx="238">
                  <c:v>8.5883010042641435E-4</c:v>
                </c:pt>
                <c:pt idx="239">
                  <c:v>8.3813435919490855E-4</c:v>
                </c:pt>
                <c:pt idx="240">
                  <c:v>8.1796510738542112E-4</c:v>
                </c:pt>
                <c:pt idx="241">
                  <c:v>7.983082468105366E-4</c:v>
                </c:pt>
                <c:pt idx="242">
                  <c:v>7.7915007561476872E-4</c:v>
                </c:pt>
                <c:pt idx="243">
                  <c:v>7.6047727660531229E-4</c:v>
                </c:pt>
                <c:pt idx="244">
                  <c:v>7.4227690594184958E-4</c:v>
                </c:pt>
                <c:pt idx="245">
                  <c:v>7.2453638217389812E-4</c:v>
                </c:pt>
                <c:pt idx="246">
                  <c:v>7.0724347561458253E-4</c:v>
                </c:pt>
                <c:pt idx="247">
                  <c:v>6.9038629804002612E-4</c:v>
                </c:pt>
                <c:pt idx="248">
                  <c:v>6.7395329270396797E-4</c:v>
                </c:pt>
                <c:pt idx="249">
                  <c:v>6.5793322465757084E-4</c:v>
                </c:pt>
              </c:numCache>
            </c:numRef>
          </c:val>
          <c:extLst>
            <c:ext xmlns:c16="http://schemas.microsoft.com/office/drawing/2014/chart" uri="{C3380CC4-5D6E-409C-BE32-E72D297353CC}">
              <c16:uniqueId val="{00000000-4810-47BD-894D-11DB21D7DF81}"/>
            </c:ext>
          </c:extLst>
        </c:ser>
        <c:ser>
          <c:idx val="1"/>
          <c:order val="1"/>
          <c:tx>
            <c:strRef>
              <c:f>ANOVA!$CC$11</c:f>
              <c:strCache>
                <c:ptCount val="1"/>
                <c:pt idx="0">
                  <c:v>Nulhypotese</c:v>
                </c:pt>
              </c:strCache>
            </c:strRef>
          </c:tx>
          <c:spPr>
            <a:solidFill>
              <a:schemeClr val="accent2"/>
            </a:solidFill>
            <a:ln w="25400">
              <a:noFill/>
            </a:ln>
            <a:effectLst/>
          </c:spPr>
          <c:cat>
            <c:strRef>
              <c:f>[0]!AlG</c:f>
              <c:strCache>
                <c:ptCount val="250"/>
                <c:pt idx="0">
                  <c:v>0</c:v>
                </c:pt>
                <c:pt idx="25">
                  <c:v>0.861</c:v>
                </c:pt>
                <c:pt idx="50">
                  <c:v>1.723</c:v>
                </c:pt>
                <c:pt idx="75">
                  <c:v>2.584</c:v>
                </c:pt>
                <c:pt idx="100">
                  <c:v>3.445</c:v>
                </c:pt>
                <c:pt idx="125">
                  <c:v>4.306</c:v>
                </c:pt>
                <c:pt idx="150">
                  <c:v>5.168</c:v>
                </c:pt>
                <c:pt idx="175">
                  <c:v>6.029</c:v>
                </c:pt>
                <c:pt idx="200">
                  <c:v>6.89</c:v>
                </c:pt>
                <c:pt idx="225">
                  <c:v>7.752</c:v>
                </c:pt>
                <c:pt idx="249">
                  <c:v>8.579</c:v>
                </c:pt>
              </c:strCache>
            </c:strRef>
          </c:cat>
          <c:val>
            <c:numRef>
              <c:f>[0]!AyGn</c:f>
              <c:numCache>
                <c:formatCode>General</c:formatCode>
                <c:ptCount val="250"/>
                <c:pt idx="0">
                  <c:v>1</c:v>
                </c:pt>
                <c:pt idx="1">
                  <c:v>0.96415631893896581</c:v>
                </c:pt>
                <c:pt idx="2">
                  <c:v>0.92966803880132187</c:v>
                </c:pt>
                <c:pt idx="3">
                  <c:v>0.89648124620809611</c:v>
                </c:pt>
                <c:pt idx="4">
                  <c:v>0.86454427764871955</c:v>
                </c:pt>
                <c:pt idx="5">
                  <c:v>0.83380762121200558</c:v>
                </c:pt>
                <c:pt idx="6">
                  <c:v>0.80422382279979376</c:v>
                </c:pt>
                <c:pt idx="7">
                  <c:v>0.77574739661012126</c:v>
                </c:pt>
                <c:pt idx="8">
                  <c:v>0.74833473968732989</c:v>
                </c:pt>
                <c:pt idx="9">
                  <c:v>0.72194405034651732</c:v>
                </c:pt>
                <c:pt idx="10">
                  <c:v>0.69653525028923047</c:v>
                </c:pt>
                <c:pt idx="11">
                  <c:v>0.67206991023630136</c:v>
                </c:pt>
                <c:pt idx="12">
                  <c:v>0.64851117891227206</c:v>
                </c:pt>
                <c:pt idx="13">
                  <c:v>0.62582371522395908</c:v>
                </c:pt>
                <c:pt idx="14">
                  <c:v>0.60397362348341044</c:v>
                </c:pt>
                <c:pt idx="15">
                  <c:v>0.58292839153280418</c:v>
                </c:pt>
                <c:pt idx="16">
                  <c:v>0.56265683163578095</c:v>
                </c:pt>
                <c:pt idx="17">
                  <c:v>0.54312902400628027</c:v>
                </c:pt>
                <c:pt idx="18">
                  <c:v>0.524316262852208</c:v>
                </c:pt>
                <c:pt idx="19">
                  <c:v>0.50619100481719215</c:v>
                </c:pt>
                <c:pt idx="20">
                  <c:v>0.48872681970933252</c:v>
                </c:pt>
                <c:pt idx="21">
                  <c:v>0.4718983434111928</c:v>
                </c:pt>
                <c:pt idx="22">
                  <c:v>0.45568123287038503</c:v>
                </c:pt>
                <c:pt idx="23">
                  <c:v>0.44005212307491548</c:v>
                </c:pt>
                <c:pt idx="24">
                  <c:v>0.42498858592206529</c:v>
                </c:pt>
                <c:pt idx="25">
                  <c:v>0.41046909089393424</c:v>
                </c:pt>
                <c:pt idx="26">
                  <c:v>0.39647296745692678</c:v>
                </c:pt>
                <c:pt idx="27">
                  <c:v>0.38298036910639988</c:v>
                </c:pt>
                <c:pt idx="28">
                  <c:v>0.36997223898143639</c:v>
                </c:pt>
                <c:pt idx="29">
                  <c:v>0.35743027697827279</c:v>
                </c:pt>
                <c:pt idx="30">
                  <c:v>0.34533690829428981</c:v>
                </c:pt>
                <c:pt idx="31">
                  <c:v>0.33367525333769943</c:v>
                </c:pt>
                <c:pt idx="32">
                  <c:v>0.32242909894111627</c:v>
                </c:pt>
                <c:pt idx="33">
                  <c:v>0.31158287082011971</c:v>
                </c:pt>
                <c:pt idx="34">
                  <c:v>0.30112160722067222</c:v>
                </c:pt>
                <c:pt idx="35">
                  <c:v>0.29103093370190219</c:v>
                </c:pt>
                <c:pt idx="36">
                  <c:v>0.28129703900325542</c:v>
                </c:pt>
                <c:pt idx="37">
                  <c:v>0.27190665194741026</c:v>
                </c:pt>
                <c:pt idx="38">
                  <c:v>0.26284701933261334</c:v>
                </c:pt>
                <c:pt idx="39">
                  <c:v>0.25410588477025337</c:v>
                </c:pt>
                <c:pt idx="40">
                  <c:v>0.24567146842553902</c:v>
                </c:pt>
                <c:pt idx="41">
                  <c:v>0.23753244762111084</c:v>
                </c:pt>
                <c:pt idx="42">
                  <c:v>0.22967793826526423</c:v>
                </c:pt>
                <c:pt idx="43">
                  <c:v>0.22209747706823882</c:v>
                </c:pt>
                <c:pt idx="44">
                  <c:v>0.21478100451171675</c:v>
                </c:pt>
                <c:pt idx="45">
                  <c:v>0.20771884853826894</c:v>
                </c:pt>
                <c:pt idx="46">
                  <c:v>0.20090170892902393</c:v>
                </c:pt>
                <c:pt idx="47">
                  <c:v>0.19432064233928636</c:v>
                </c:pt>
                <c:pt idx="48">
                  <c:v>0.18796704796321512</c:v>
                </c:pt>
                <c:pt idx="49">
                  <c:v>0.18183265379999633</c:v>
                </c:pt>
                <c:pt idx="50">
                  <c:v>0.17590950349519938</c:v>
                </c:pt>
                <c:pt idx="51">
                  <c:v>0.170189943732203</c:v>
                </c:pt>
                <c:pt idx="52">
                  <c:v>0.16466661214971975</c:v>
                </c:pt>
                <c:pt idx="53">
                  <c:v>0.15933242576253434</c:v>
                </c:pt>
                <c:pt idx="54">
                  <c:v>0.15418056986360645</c:v>
                </c:pt>
                <c:pt idx="55">
                  <c:v>0.14920448738667683</c:v>
                </c:pt>
                <c:pt idx="56">
                  <c:v>0.14439786870945562</c:v>
                </c:pt>
                <c:pt idx="57">
                  <c:v>0.13975464187836859</c:v>
                </c:pt>
                <c:pt idx="58">
                  <c:v>0.13526896323669277</c:v>
                </c:pt>
                <c:pt idx="59">
                  <c:v>0.13093520843872647</c:v>
                </c:pt>
                <c:pt idx="60">
                  <c:v>0.12674796383341594</c:v>
                </c:pt>
                <c:pt idx="61">
                  <c:v>0.12270201820160426</c:v>
                </c:pt>
                <c:pt idx="62">
                  <c:v>0.11879235483176906</c:v>
                </c:pt>
                <c:pt idx="63">
                  <c:v>0.11501414391979549</c:v>
                </c:pt>
                <c:pt idx="64">
                  <c:v>0.11136273527896913</c:v>
                </c:pt>
                <c:pt idx="65">
                  <c:v>0.10783365134698773</c:v>
                </c:pt>
                <c:pt idx="66">
                  <c:v>0.10442258047737547</c:v>
                </c:pt>
                <c:pt idx="67">
                  <c:v>0.10112537050324176</c:v>
                </c:pt>
                <c:pt idx="68">
                  <c:v>9.7938022561856339E-2</c:v>
                </c:pt>
                <c:pt idx="69">
                  <c:v>9.4856685169023056E-2</c:v>
                </c:pt>
                <c:pt idx="70">
                  <c:v>9.1877648532716516E-2</c:v>
                </c:pt>
                <c:pt idx="71">
                  <c:v>8.8997339095911634E-2</c:v>
                </c:pt>
                <c:pt idx="72">
                  <c:v>8.6212314298971887E-2</c:v>
                </c:pt>
                <c:pt idx="73">
                  <c:v>8.3519257552389661E-2</c:v>
                </c:pt>
                <c:pt idx="74">
                  <c:v>8.0914973411068819E-2</c:v>
                </c:pt>
                <c:pt idx="75">
                  <c:v>7.8396382941726683E-2</c:v>
                </c:pt>
                <c:pt idx="76">
                  <c:v>7.5960519275357727E-2</c:v>
                </c:pt>
                <c:pt idx="77">
                  <c:v>7.3604523337050753E-2</c:v>
                </c:pt>
                <c:pt idx="78">
                  <c:v>7.1325639745787178E-2</c:v>
                </c:pt>
                <c:pt idx="79">
                  <c:v>6.912121287716419E-2</c:v>
                </c:pt>
                <c:pt idx="80">
                  <c:v>6.6988683082295067E-2</c:v>
                </c:pt>
                <c:pt idx="81">
                  <c:v>6.4925583056426123E-2</c:v>
                </c:pt>
                <c:pt idx="82">
                  <c:v>6.2929534351090374E-2</c:v>
                </c:pt>
                <c:pt idx="83">
                  <c:v>6.0998244023881945E-2</c:v>
                </c:pt>
                <c:pt idx="84">
                  <c:v>5.9129501420190821E-2</c:v>
                </c:pt>
                <c:pt idx="85">
                  <c:v>5.7321175081477681E-2</c:v>
                </c:pt>
                <c:pt idx="86">
                  <c:v>5.5571209774901563E-2</c:v>
                </c:pt>
                <c:pt idx="87">
                  <c:v>5.3877623639334557E-2</c:v>
                </c:pt>
                <c:pt idx="88">
                  <c:v>5.2238505443008232E-2</c:v>
                </c:pt>
                <c:pt idx="89">
                  <c:v>5.0652011948239699E-2</c:v>
                </c:pt>
                <c:pt idx="90">
                  <c:v>4.9116365378877584E-2</c:v>
                </c:pt>
                <c:pt idx="91">
                  <c:v>4.7629850986293881E-2</c:v>
                </c:pt>
                <c:pt idx="92">
                  <c:v>4.6190814709922638E-2</c:v>
                </c:pt>
                <c:pt idx="93">
                  <c:v>4.4797660928517648E-2</c:v>
                </c:pt>
                <c:pt idx="94">
                  <c:v>4.3448850298459844E-2</c:v>
                </c:pt>
                <c:pt idx="95">
                  <c:v>4.2142897675601899E-2</c:v>
                </c:pt>
                <c:pt idx="96">
                  <c:v>4.0878370117283888E-2</c:v>
                </c:pt>
                <c:pt idx="97">
                  <c:v>3.9653884961294988E-2</c:v>
                </c:pt>
                <c:pt idx="98">
                  <c:v>3.8468107978691976E-2</c:v>
                </c:pt>
                <c:pt idx="99">
                  <c:v>3.7319751597513211E-2</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4810-47BD-894D-11DB21D7DF81}"/>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ANOVA!$CC$15</c:f>
              <c:strCache>
                <c:ptCount val="1"/>
                <c:pt idx="0">
                  <c:v>F fordeling med 2 og 33 frihedsgrader</c:v>
                </c:pt>
              </c:strCache>
            </c:strRef>
          </c:tx>
          <c:spPr>
            <a:ln w="28575" cap="rnd">
              <a:solidFill>
                <a:schemeClr val="bg1"/>
              </a:solidFill>
              <a:round/>
            </a:ln>
            <a:effectLst/>
          </c:spPr>
          <c:marker>
            <c:symbol val="none"/>
          </c:marker>
          <c:xVal>
            <c:numRef>
              <c:f>[0]!AxG</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[0]!AyGs</c:f>
              <c:numCache>
                <c:formatCode>General</c:formatCode>
                <c:ptCount val="250"/>
                <c:pt idx="0">
                  <c:v>1</c:v>
                </c:pt>
                <c:pt idx="1">
                  <c:v>0.96415631893896581</c:v>
                </c:pt>
                <c:pt idx="2">
                  <c:v>0.92966803880132187</c:v>
                </c:pt>
                <c:pt idx="3">
                  <c:v>0.89648124620809611</c:v>
                </c:pt>
                <c:pt idx="4">
                  <c:v>0.86454427764871955</c:v>
                </c:pt>
                <c:pt idx="5">
                  <c:v>0.83380762121200558</c:v>
                </c:pt>
                <c:pt idx="6">
                  <c:v>0.80422382279979376</c:v>
                </c:pt>
                <c:pt idx="7">
                  <c:v>0.77574739661012126</c:v>
                </c:pt>
                <c:pt idx="8">
                  <c:v>0.74833473968732989</c:v>
                </c:pt>
                <c:pt idx="9">
                  <c:v>0.72194405034651732</c:v>
                </c:pt>
                <c:pt idx="10">
                  <c:v>0.69653525028923047</c:v>
                </c:pt>
                <c:pt idx="11">
                  <c:v>0.67206991023630136</c:v>
                </c:pt>
                <c:pt idx="12">
                  <c:v>0.64851117891227206</c:v>
                </c:pt>
                <c:pt idx="13">
                  <c:v>0.62582371522395908</c:v>
                </c:pt>
                <c:pt idx="14">
                  <c:v>0.60397362348341044</c:v>
                </c:pt>
                <c:pt idx="15">
                  <c:v>0.58292839153280418</c:v>
                </c:pt>
                <c:pt idx="16">
                  <c:v>0.56265683163578095</c:v>
                </c:pt>
                <c:pt idx="17">
                  <c:v>0.54312902400628027</c:v>
                </c:pt>
                <c:pt idx="18">
                  <c:v>0.524316262852208</c:v>
                </c:pt>
                <c:pt idx="19">
                  <c:v>0.50619100481719215</c:v>
                </c:pt>
                <c:pt idx="20">
                  <c:v>0.48872681970933252</c:v>
                </c:pt>
                <c:pt idx="21">
                  <c:v>0.4718983434111928</c:v>
                </c:pt>
                <c:pt idx="22">
                  <c:v>0.45568123287038503</c:v>
                </c:pt>
                <c:pt idx="23">
                  <c:v>0.44005212307491548</c:v>
                </c:pt>
                <c:pt idx="24">
                  <c:v>0.42498858592206529</c:v>
                </c:pt>
                <c:pt idx="25">
                  <c:v>0.41046909089393424</c:v>
                </c:pt>
                <c:pt idx="26">
                  <c:v>0.39647296745692678</c:v>
                </c:pt>
                <c:pt idx="27">
                  <c:v>0.38298036910639988</c:v>
                </c:pt>
                <c:pt idx="28">
                  <c:v>0.36997223898143639</c:v>
                </c:pt>
                <c:pt idx="29">
                  <c:v>0.35743027697827279</c:v>
                </c:pt>
                <c:pt idx="30">
                  <c:v>0.34533690829428981</c:v>
                </c:pt>
                <c:pt idx="31">
                  <c:v>0.33367525333769943</c:v>
                </c:pt>
                <c:pt idx="32">
                  <c:v>0.32242909894111627</c:v>
                </c:pt>
                <c:pt idx="33">
                  <c:v>0.31158287082011971</c:v>
                </c:pt>
                <c:pt idx="34">
                  <c:v>0.30112160722067222</c:v>
                </c:pt>
                <c:pt idx="35">
                  <c:v>0.29103093370190219</c:v>
                </c:pt>
                <c:pt idx="36">
                  <c:v>0.28129703900325542</c:v>
                </c:pt>
                <c:pt idx="37">
                  <c:v>0.27190665194741026</c:v>
                </c:pt>
                <c:pt idx="38">
                  <c:v>0.26284701933261334</c:v>
                </c:pt>
                <c:pt idx="39">
                  <c:v>0.25410588477025337</c:v>
                </c:pt>
                <c:pt idx="40">
                  <c:v>0.24567146842553902</c:v>
                </c:pt>
                <c:pt idx="41">
                  <c:v>0.23753244762111084</c:v>
                </c:pt>
                <c:pt idx="42">
                  <c:v>0.22967793826526423</c:v>
                </c:pt>
                <c:pt idx="43">
                  <c:v>0.22209747706823882</c:v>
                </c:pt>
                <c:pt idx="44">
                  <c:v>0.21478100451171675</c:v>
                </c:pt>
                <c:pt idx="45">
                  <c:v>0.20771884853826894</c:v>
                </c:pt>
                <c:pt idx="46">
                  <c:v>0.20090170892902393</c:v>
                </c:pt>
                <c:pt idx="47">
                  <c:v>0.19432064233928636</c:v>
                </c:pt>
                <c:pt idx="48">
                  <c:v>0.18796704796321512</c:v>
                </c:pt>
                <c:pt idx="49">
                  <c:v>0.18183265379999633</c:v>
                </c:pt>
                <c:pt idx="50">
                  <c:v>0.17590950349519938</c:v>
                </c:pt>
                <c:pt idx="51">
                  <c:v>0.170189943732203</c:v>
                </c:pt>
                <c:pt idx="52">
                  <c:v>0.16466661214971975</c:v>
                </c:pt>
                <c:pt idx="53">
                  <c:v>0.15933242576253434</c:v>
                </c:pt>
                <c:pt idx="54">
                  <c:v>0.15418056986360645</c:v>
                </c:pt>
                <c:pt idx="55">
                  <c:v>0.14920448738667683</c:v>
                </c:pt>
                <c:pt idx="56">
                  <c:v>0.14439786870945562</c:v>
                </c:pt>
                <c:pt idx="57">
                  <c:v>0.13975464187836859</c:v>
                </c:pt>
                <c:pt idx="58">
                  <c:v>0.13526896323669277</c:v>
                </c:pt>
                <c:pt idx="59">
                  <c:v>0.13093520843872647</c:v>
                </c:pt>
                <c:pt idx="60">
                  <c:v>0.12674796383341594</c:v>
                </c:pt>
                <c:pt idx="61">
                  <c:v>0.12270201820160426</c:v>
                </c:pt>
                <c:pt idx="62">
                  <c:v>0.11879235483176906</c:v>
                </c:pt>
                <c:pt idx="63">
                  <c:v>0.11501414391979549</c:v>
                </c:pt>
                <c:pt idx="64">
                  <c:v>0.11136273527896913</c:v>
                </c:pt>
                <c:pt idx="65">
                  <c:v>0.10783365134698773</c:v>
                </c:pt>
                <c:pt idx="66">
                  <c:v>0.10442258047737547</c:v>
                </c:pt>
                <c:pt idx="67">
                  <c:v>0.10112537050324176</c:v>
                </c:pt>
                <c:pt idx="68">
                  <c:v>9.7938022561856339E-2</c:v>
                </c:pt>
                <c:pt idx="69">
                  <c:v>9.4856685169023056E-2</c:v>
                </c:pt>
                <c:pt idx="70">
                  <c:v>9.1877648532716516E-2</c:v>
                </c:pt>
                <c:pt idx="71">
                  <c:v>8.8997339095911634E-2</c:v>
                </c:pt>
                <c:pt idx="72">
                  <c:v>8.6212314298971887E-2</c:v>
                </c:pt>
                <c:pt idx="73">
                  <c:v>8.3519257552389661E-2</c:v>
                </c:pt>
                <c:pt idx="74">
                  <c:v>8.0914973411068819E-2</c:v>
                </c:pt>
                <c:pt idx="75">
                  <c:v>7.8396382941726683E-2</c:v>
                </c:pt>
                <c:pt idx="76">
                  <c:v>7.5960519275357727E-2</c:v>
                </c:pt>
                <c:pt idx="77">
                  <c:v>7.3604523337050753E-2</c:v>
                </c:pt>
                <c:pt idx="78">
                  <c:v>7.1325639745787178E-2</c:v>
                </c:pt>
                <c:pt idx="79">
                  <c:v>6.912121287716419E-2</c:v>
                </c:pt>
                <c:pt idx="80">
                  <c:v>6.6988683082295067E-2</c:v>
                </c:pt>
                <c:pt idx="81">
                  <c:v>6.4925583056426123E-2</c:v>
                </c:pt>
                <c:pt idx="82">
                  <c:v>6.2929534351090374E-2</c:v>
                </c:pt>
                <c:pt idx="83">
                  <c:v>6.0998244023881945E-2</c:v>
                </c:pt>
                <c:pt idx="84">
                  <c:v>5.9129501420190821E-2</c:v>
                </c:pt>
                <c:pt idx="85">
                  <c:v>5.7321175081477681E-2</c:v>
                </c:pt>
                <c:pt idx="86">
                  <c:v>5.5571209774901563E-2</c:v>
                </c:pt>
                <c:pt idx="87">
                  <c:v>5.3877623639334557E-2</c:v>
                </c:pt>
                <c:pt idx="88">
                  <c:v>5.2238505443008232E-2</c:v>
                </c:pt>
                <c:pt idx="89">
                  <c:v>5.0652011948239699E-2</c:v>
                </c:pt>
                <c:pt idx="90">
                  <c:v>4.9116365378877584E-2</c:v>
                </c:pt>
                <c:pt idx="91">
                  <c:v>4.7629850986293881E-2</c:v>
                </c:pt>
                <c:pt idx="92">
                  <c:v>4.6190814709922638E-2</c:v>
                </c:pt>
                <c:pt idx="93">
                  <c:v>4.4797660928517648E-2</c:v>
                </c:pt>
                <c:pt idx="94">
                  <c:v>4.3448850298459844E-2</c:v>
                </c:pt>
                <c:pt idx="95">
                  <c:v>4.2142897675601899E-2</c:v>
                </c:pt>
                <c:pt idx="96">
                  <c:v>4.0878370117283888E-2</c:v>
                </c:pt>
                <c:pt idx="97">
                  <c:v>3.9653884961294988E-2</c:v>
                </c:pt>
                <c:pt idx="98">
                  <c:v>3.8468107978691976E-2</c:v>
                </c:pt>
                <c:pt idx="99">
                  <c:v>3.7319751597513211E-2</c:v>
                </c:pt>
                <c:pt idx="100">
                  <c:v>3.6207573194551715E-2</c:v>
                </c:pt>
                <c:pt idx="101">
                  <c:v>3.5130373452467903E-2</c:v>
                </c:pt>
                <c:pt idx="102">
                  <c:v>3.4086994779636316E-2</c:v>
                </c:pt>
                <c:pt idx="103">
                  <c:v>3.3076319790228424E-2</c:v>
                </c:pt>
                <c:pt idx="104">
                  <c:v>3.2097269842137698E-2</c:v>
                </c:pt>
                <c:pt idx="105">
                  <c:v>3.1148803630451225E-2</c:v>
                </c:pt>
                <c:pt idx="106">
                  <c:v>3.0229915834267793E-2</c:v>
                </c:pt>
                <c:pt idx="107">
                  <c:v>2.9339635814752792E-2</c:v>
                </c:pt>
                <c:pt idx="108">
                  <c:v>2.8477026362407024E-2</c:v>
                </c:pt>
                <c:pt idx="109">
                  <c:v>2.7641182491609701E-2</c:v>
                </c:pt>
                <c:pt idx="110">
                  <c:v>2.6831230280575491E-2</c:v>
                </c:pt>
                <c:pt idx="111">
                  <c:v>2.6046325754941556E-2</c:v>
                </c:pt>
                <c:pt idx="112">
                  <c:v>2.5285653813273922E-2</c:v>
                </c:pt>
                <c:pt idx="113">
                  <c:v>2.4548427192851448E-2</c:v>
                </c:pt>
                <c:pt idx="114">
                  <c:v>2.3833885474153556E-2</c:v>
                </c:pt>
                <c:pt idx="115">
                  <c:v>2.3141294122541144E-2</c:v>
                </c:pt>
                <c:pt idx="116">
                  <c:v>2.2469943565682025E-2</c:v>
                </c:pt>
                <c:pt idx="117">
                  <c:v>2.1819148305330376E-2</c:v>
                </c:pt>
                <c:pt idx="118">
                  <c:v>2.1188246062126707E-2</c:v>
                </c:pt>
                <c:pt idx="119">
                  <c:v>2.0576596952137979E-2</c:v>
                </c:pt>
                <c:pt idx="120">
                  <c:v>1.99835826939097E-2</c:v>
                </c:pt>
                <c:pt idx="121">
                  <c:v>1.9408605844851289E-2</c:v>
                </c:pt>
                <c:pt idx="122">
                  <c:v>1.8851089065822769E-2</c:v>
                </c:pt>
                <c:pt idx="123">
                  <c:v>1.8310474412837192E-2</c:v>
                </c:pt>
                <c:pt idx="124">
                  <c:v>1.7786222654836249E-2</c:v>
                </c:pt>
                <c:pt idx="125">
                  <c:v>1.7277812616538015E-2</c:v>
                </c:pt>
                <c:pt idx="126">
                  <c:v>1.678474054539612E-2</c:v>
                </c:pt>
                <c:pt idx="127">
                  <c:v>1.6306519501748138E-2</c:v>
                </c:pt>
                <c:pt idx="128">
                  <c:v>1.5842678771267042E-2</c:v>
                </c:pt>
                <c:pt idx="129">
                  <c:v>1.5392763298865407E-2</c:v>
                </c:pt>
                <c:pt idx="130">
                  <c:v>1.4956333143235686E-2</c:v>
                </c:pt>
                <c:pt idx="131">
                  <c:v>1.4532962951241834E-2</c:v>
                </c:pt>
                <c:pt idx="132">
                  <c:v>1.4122241451409293E-2</c:v>
                </c:pt>
                <c:pt idx="133">
                  <c:v>1.3723770965789384E-2</c:v>
                </c:pt>
                <c:pt idx="134">
                  <c:v>1.3337166939503374E-2</c:v>
                </c:pt>
                <c:pt idx="135">
                  <c:v>1.29620574872981E-2</c:v>
                </c:pt>
                <c:pt idx="136">
                  <c:v>1.259808295647215E-2</c:v>
                </c:pt>
                <c:pt idx="137">
                  <c:v>1.2244895505555936E-2</c:v>
                </c:pt>
                <c:pt idx="138">
                  <c:v>1.1902158698153767E-2</c:v>
                </c:pt>
                <c:pt idx="139">
                  <c:v>1.1569547111378834E-2</c:v>
                </c:pt>
                <c:pt idx="140">
                  <c:v>1.1246745958334522E-2</c:v>
                </c:pt>
                <c:pt idx="141">
                  <c:v>1.0933450724116209E-2</c:v>
                </c:pt>
                <c:pt idx="142">
                  <c:v>1.0629366814829325E-2</c:v>
                </c:pt>
                <c:pt idx="143">
                  <c:v>1.0334209219137564E-2</c:v>
                </c:pt>
                <c:pt idx="144">
                  <c:v>1.0047702181875248E-2</c:v>
                </c:pt>
                <c:pt idx="145">
                  <c:v>9.7695788892752725E-3</c:v>
                </c:pt>
                <c:pt idx="146">
                  <c:v>9.4995811653814516E-3</c:v>
                </c:pt>
                <c:pt idx="147">
                  <c:v>9.2374591792312166E-3</c:v>
                </c:pt>
                <c:pt idx="148">
                  <c:v>8.9829711624096909E-3</c:v>
                </c:pt>
                <c:pt idx="149">
                  <c:v>8.7358831365925271E-3</c:v>
                </c:pt>
                <c:pt idx="150">
                  <c:v>8.4959686507088978E-3</c:v>
                </c:pt>
                <c:pt idx="151">
                  <c:v>8.2630085273705228E-3</c:v>
                </c:pt>
                <c:pt idx="152">
                  <c:v>8.0367906182259429E-3</c:v>
                </c:pt>
                <c:pt idx="153">
                  <c:v>7.817109567912716E-3</c:v>
                </c:pt>
                <c:pt idx="154">
                  <c:v>7.6037665862920371E-3</c:v>
                </c:pt>
                <c:pt idx="155">
                  <c:v>7.3965692286631669E-3</c:v>
                </c:pt>
                <c:pt idx="156">
                  <c:v>7.1953311836657303E-3</c:v>
                </c:pt>
                <c:pt idx="157">
                  <c:v>6.9998720685896902E-3</c:v>
                </c:pt>
                <c:pt idx="158">
                  <c:v>6.8100172318231803E-3</c:v>
                </c:pt>
                <c:pt idx="159">
                  <c:v>6.625597562178529E-3</c:v>
                </c:pt>
                <c:pt idx="160">
                  <c:v>6.4464493048467762E-3</c:v>
                </c:pt>
                <c:pt idx="161">
                  <c:v>6.2724138837404698E-3</c:v>
                </c:pt>
                <c:pt idx="162">
                  <c:v>6.1033377299934454E-3</c:v>
                </c:pt>
                <c:pt idx="163">
                  <c:v>5.9390721163949337E-3</c:v>
                </c:pt>
                <c:pt idx="164">
                  <c:v>5.7794729975441678E-3</c:v>
                </c:pt>
                <c:pt idx="165">
                  <c:v>5.6244008555190687E-3</c:v>
                </c:pt>
                <c:pt idx="166">
                  <c:v>5.4737205508607906E-3</c:v>
                </c:pt>
                <c:pt idx="167">
                  <c:v>5.327301178683198E-3</c:v>
                </c:pt>
                <c:pt idx="168">
                  <c:v>5.1850159297233767E-3</c:v>
                </c:pt>
                <c:pt idx="169">
                  <c:v>5.0467419561563013E-3</c:v>
                </c:pt>
                <c:pt idx="170">
                  <c:v>4.9123602420033151E-3</c:v>
                </c:pt>
                <c:pt idx="171">
                  <c:v>4.781755477970372E-3</c:v>
                </c:pt>
                <c:pt idx="172">
                  <c:v>4.6548159405581579E-3</c:v>
                </c:pt>
                <c:pt idx="173">
                  <c:v>4.5314333752920453E-3</c:v>
                </c:pt>
                <c:pt idx="174">
                  <c:v>4.411502883925454E-3</c:v>
                </c:pt>
                <c:pt idx="175">
                  <c:v>4.2949228154755955E-3</c:v>
                </c:pt>
                <c:pt idx="176">
                  <c:v>4.1815946609558589E-3</c:v>
                </c:pt>
                <c:pt idx="177">
                  <c:v>4.0714229516739999E-3</c:v>
                </c:pt>
                <c:pt idx="178">
                  <c:v>3.9643151609702306E-3</c:v>
                </c:pt>
                <c:pt idx="179">
                  <c:v>3.8601816092737528E-3</c:v>
                </c:pt>
                <c:pt idx="180">
                  <c:v>3.7589353723610675E-3</c:v>
                </c:pt>
                <c:pt idx="181">
                  <c:v>3.6604921927032184E-3</c:v>
                </c:pt>
                <c:pt idx="182">
                  <c:v>3.564770393793641E-3</c:v>
                </c:pt>
                <c:pt idx="183">
                  <c:v>3.4716907973521898E-3</c:v>
                </c:pt>
                <c:pt idx="184">
                  <c:v>3.3811766433043899E-3</c:v>
                </c:pt>
                <c:pt idx="185">
                  <c:v>3.2931535124391597E-3</c:v>
                </c:pt>
                <c:pt idx="186">
                  <c:v>3.2075492516513782E-3</c:v>
                </c:pt>
                <c:pt idx="187">
                  <c:v>3.1242939016791422E-3</c:v>
                </c:pt>
                <c:pt idx="188">
                  <c:v>3.0433196272491325E-3</c:v>
                </c:pt>
                <c:pt idx="189">
                  <c:v>2.9645606495461115E-3</c:v>
                </c:pt>
                <c:pt idx="190">
                  <c:v>2.8879531809260467E-3</c:v>
                </c:pt>
                <c:pt idx="191">
                  <c:v>2.8134353617951997E-3</c:v>
                </c:pt>
                <c:pt idx="192">
                  <c:v>2.7409471995800765E-3</c:v>
                </c:pt>
                <c:pt idx="193">
                  <c:v>2.6704305097160676E-3</c:v>
                </c:pt>
                <c:pt idx="194">
                  <c:v>2.601828858585245E-3</c:v>
                </c:pt>
                <c:pt idx="195">
                  <c:v>2.5350875083360027E-3</c:v>
                </c:pt>
                <c:pt idx="196">
                  <c:v>2.4701533635199044E-3</c:v>
                </c:pt>
                <c:pt idx="197">
                  <c:v>2.4069749194833745E-3</c:v>
                </c:pt>
                <c:pt idx="198">
                  <c:v>2.3455022124539535E-3</c:v>
                </c:pt>
                <c:pt idx="199">
                  <c:v>2.285686771263078E-3</c:v>
                </c:pt>
                <c:pt idx="200">
                  <c:v>2.2274815706496065E-3</c:v>
                </c:pt>
                <c:pt idx="201">
                  <c:v>2.1708409860898403E-3</c:v>
                </c:pt>
                <c:pt idx="202">
                  <c:v>2.1157207501022041E-3</c:v>
                </c:pt>
                <c:pt idx="203">
                  <c:v>2.0620779099763181E-3</c:v>
                </c:pt>
                <c:pt idx="204">
                  <c:v>2.0098707868779903E-3</c:v>
                </c:pt>
                <c:pt idx="205">
                  <c:v>1.9590589362834562E-3</c:v>
                </c:pt>
                <c:pt idx="206">
                  <c:v>1.9096031096978456E-3</c:v>
                </c:pt>
                <c:pt idx="207">
                  <c:v>1.8614652176143168E-3</c:v>
                </c:pt>
                <c:pt idx="208">
                  <c:v>1.8146082936719783E-3</c:v>
                </c:pt>
                <c:pt idx="209">
                  <c:v>1.7689964599721456E-3</c:v>
                </c:pt>
                <c:pt idx="210">
                  <c:v>1.7245948935138281E-3</c:v>
                </c:pt>
                <c:pt idx="211">
                  <c:v>1.6813697937108673E-3</c:v>
                </c:pt>
                <c:pt idx="212">
                  <c:v>1.63928835095429E-3</c:v>
                </c:pt>
                <c:pt idx="213">
                  <c:v>1.5983187161848253E-3</c:v>
                </c:pt>
                <c:pt idx="214">
                  <c:v>1.5584299714417875E-3</c:v>
                </c:pt>
                <c:pt idx="215">
                  <c:v>1.5195921013555502E-3</c:v>
                </c:pt>
                <c:pt idx="216">
                  <c:v>1.4817759655521483E-3</c:v>
                </c:pt>
                <c:pt idx="217">
                  <c:v>1.4449532719395786E-3</c:v>
                </c:pt>
                <c:pt idx="218">
                  <c:v>1.4090965508463606E-3</c:v>
                </c:pt>
                <c:pt idx="219">
                  <c:v>1.3741791299840386E-3</c:v>
                </c:pt>
                <c:pt idx="220">
                  <c:v>1.3401751102062611E-3</c:v>
                </c:pt>
                <c:pt idx="221">
                  <c:v>1.3070593420379587E-3</c:v>
                </c:pt>
                <c:pt idx="222">
                  <c:v>1.2748074029491352E-3</c:v>
                </c:pt>
                <c:pt idx="223">
                  <c:v>1.2433955753486422E-3</c:v>
                </c:pt>
                <c:pt idx="224">
                  <c:v>1.2128008252741199E-3</c:v>
                </c:pt>
                <c:pt idx="225">
                  <c:v>1.1830007817551383E-3</c:v>
                </c:pt>
                <c:pt idx="226">
                  <c:v>1.1539737168273978E-3</c:v>
                </c:pt>
                <c:pt idx="227">
                  <c:v>1.1256985261765126E-3</c:v>
                </c:pt>
                <c:pt idx="228">
                  <c:v>1.098154710390717E-3</c:v>
                </c:pt>
                <c:pt idx="229">
                  <c:v>1.0713223568025257E-3</c:v>
                </c:pt>
                <c:pt idx="230">
                  <c:v>1.045182121900015E-3</c:v>
                </c:pt>
                <c:pt idx="231">
                  <c:v>1.0197152142891474E-3</c:v>
                </c:pt>
                <c:pt idx="232">
                  <c:v>9.9490337818906893E-4</c:v>
                </c:pt>
                <c:pt idx="233">
                  <c:v>9.7072887744301475E-4</c:v>
                </c:pt>
                <c:pt idx="234">
                  <c:v>9.4717448002805578E-4</c:v>
                </c:pt>
                <c:pt idx="235">
                  <c:v>9.2422344304740329E-4</c:v>
                </c:pt>
                <c:pt idx="236">
                  <c:v>9.0185949818960684E-4</c:v>
                </c:pt>
                <c:pt idx="237">
                  <c:v>8.8006683763952966E-4</c:v>
                </c:pt>
                <c:pt idx="238">
                  <c:v>8.5883010042641435E-4</c:v>
                </c:pt>
                <c:pt idx="239">
                  <c:v>8.3813435919490855E-4</c:v>
                </c:pt>
                <c:pt idx="240">
                  <c:v>8.1796510738542112E-4</c:v>
                </c:pt>
                <c:pt idx="241">
                  <c:v>7.983082468105366E-4</c:v>
                </c:pt>
                <c:pt idx="242">
                  <c:v>7.7915007561476872E-4</c:v>
                </c:pt>
                <c:pt idx="243">
                  <c:v>7.6047727660531229E-4</c:v>
                </c:pt>
                <c:pt idx="244">
                  <c:v>7.4227690594184958E-4</c:v>
                </c:pt>
                <c:pt idx="245">
                  <c:v>7.2453638217389812E-4</c:v>
                </c:pt>
                <c:pt idx="246">
                  <c:v>7.0724347561458253E-4</c:v>
                </c:pt>
                <c:pt idx="247">
                  <c:v>6.9038629804002612E-4</c:v>
                </c:pt>
                <c:pt idx="248">
                  <c:v>6.7395329270396797E-4</c:v>
                </c:pt>
                <c:pt idx="249">
                  <c:v>6.5793322465757084E-4</c:v>
                </c:pt>
              </c:numCache>
            </c:numRef>
          </c:yVal>
          <c:smooth val="1"/>
          <c:extLst>
            <c:ext xmlns:c16="http://schemas.microsoft.com/office/drawing/2014/chart" uri="{C3380CC4-5D6E-409C-BE32-E72D297353CC}">
              <c16:uniqueId val="{00000002-4810-47BD-894D-11DB21D7DF81}"/>
            </c:ext>
          </c:extLst>
        </c:ser>
        <c:ser>
          <c:idx val="2"/>
          <c:order val="3"/>
          <c:tx>
            <c:strRef>
              <c:f>ANOVA!$CC$29</c:f>
              <c:strCache>
                <c:ptCount val="1"/>
                <c:pt idx="0">
                  <c:v>95.528% mindre end 3.419</c:v>
                </c:pt>
              </c:strCache>
            </c:strRef>
          </c:tx>
          <c:spPr>
            <a:ln w="28575" cap="rnd">
              <a:noFill/>
              <a:round/>
            </a:ln>
            <a:effectLst/>
          </c:spPr>
          <c:marker>
            <c:symbol val="none"/>
          </c:marker>
          <c:dLbls>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extLst>
                <c:ext xmlns:c16="http://schemas.microsoft.com/office/drawing/2014/chart" uri="{C3380CC4-5D6E-409C-BE32-E72D297353CC}">
                  <c16:uniqueId val="{00000006-4810-47BD-894D-11DB21D7DF81}"/>
                </c:ext>
              </c:extLst>
            </c:dLbl>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ANOVA!$CC$25</c:f>
              <c:numCache>
                <c:formatCode>#,##0.000</c:formatCode>
                <c:ptCount val="1"/>
                <c:pt idx="0">
                  <c:v>50</c:v>
                </c:pt>
              </c:numCache>
            </c:numRef>
          </c:xVal>
          <c:yVal>
            <c:numRef>
              <c:f>ANOVA!$CC$27</c:f>
              <c:numCache>
                <c:formatCode>#,##0.000</c:formatCode>
                <c:ptCount val="1"/>
                <c:pt idx="0">
                  <c:v>0.18183265379999633</c:v>
                </c:pt>
              </c:numCache>
            </c:numRef>
          </c:yVal>
          <c:smooth val="0"/>
          <c:extLst>
            <c:ext xmlns:c16="http://schemas.microsoft.com/office/drawing/2014/chart" uri="{C3380CC4-5D6E-409C-BE32-E72D297353CC}">
              <c16:uniqueId val="{00000003-4810-47BD-894D-11DB21D7DF81}"/>
            </c:ext>
          </c:extLst>
        </c:ser>
        <c:ser>
          <c:idx val="5"/>
          <c:order val="4"/>
          <c:tx>
            <c:strRef>
              <c:f>ANOVA!$CC$35</c:f>
              <c:strCache>
                <c:ptCount val="1"/>
                <c:pt idx="0">
                  <c:v>4.472% større end 3.419</c:v>
                </c:pt>
              </c:strCache>
            </c:strRef>
          </c:tx>
          <c:spPr>
            <a:ln w="28575"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ANOVA!$CC$31</c:f>
              <c:numCache>
                <c:formatCode>#,##0.000</c:formatCode>
                <c:ptCount val="1"/>
                <c:pt idx="0">
                  <c:v>175</c:v>
                </c:pt>
              </c:numCache>
            </c:numRef>
          </c:xVal>
          <c:yVal>
            <c:numRef>
              <c:f>ANOVA!$CC$33</c:f>
              <c:numCache>
                <c:formatCode>#,##0.000</c:formatCode>
                <c:ptCount val="1"/>
                <c:pt idx="0">
                  <c:v>4.411502883925454E-3</c:v>
                </c:pt>
              </c:numCache>
            </c:numRef>
          </c:yVal>
          <c:smooth val="0"/>
          <c:extLst>
            <c:ext xmlns:c16="http://schemas.microsoft.com/office/drawing/2014/chart" uri="{C3380CC4-5D6E-409C-BE32-E72D297353CC}">
              <c16:uniqueId val="{00000004-4810-47BD-894D-11DB21D7DF81}"/>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ANOVA!$CC$15</c:f>
              <c:strCache>
                <c:ptCount val="1"/>
                <c:pt idx="0">
                  <c:v>F fordeling med 2 og 33 frihedsgrader</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out"/>
        <c:minorTickMark val="none"/>
        <c:tickLblPos val="nextTo"/>
        <c:spPr>
          <a:noFill/>
          <a:ln w="9525" cap="flat" cmpd="sng" algn="ctr">
            <a:solidFill>
              <a:schemeClr val="tx1">
                <a:lumMod val="50000"/>
                <a:lumOff val="50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tickMarkSkip val="25"/>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tr"/>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ANOVA!$CJ$9</c:f>
          <c:strCache>
            <c:ptCount val="1"/>
            <c:pt idx="0">
              <c:v>Hypotesetest om forskel mellem flere standardafvigelser (Bartlett's)
Nulhypotese om at alle populationers standardafvigelser er ens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ANOVA!$CJ$13</c:f>
              <c:strCache>
                <c:ptCount val="1"/>
                <c:pt idx="0">
                  <c:v>Alternativ hypotese</c:v>
                </c:pt>
              </c:strCache>
            </c:strRef>
          </c:tx>
          <c:spPr>
            <a:solidFill>
              <a:schemeClr val="accent1"/>
            </a:solidFill>
            <a:ln w="25400">
              <a:noFill/>
            </a:ln>
            <a:effectLst/>
          </c:spPr>
          <c:cat>
            <c:strRef>
              <c:f>[0]!AlS</c:f>
              <c:strCache>
                <c:ptCount val="250"/>
                <c:pt idx="0">
                  <c:v>0</c:v>
                </c:pt>
                <c:pt idx="25">
                  <c:v>1.387</c:v>
                </c:pt>
                <c:pt idx="50">
                  <c:v>2.774</c:v>
                </c:pt>
                <c:pt idx="75">
                  <c:v>4.161</c:v>
                </c:pt>
                <c:pt idx="100">
                  <c:v>5.548</c:v>
                </c:pt>
                <c:pt idx="125">
                  <c:v>6.935</c:v>
                </c:pt>
                <c:pt idx="150">
                  <c:v>8.323</c:v>
                </c:pt>
                <c:pt idx="175">
                  <c:v>9.71</c:v>
                </c:pt>
                <c:pt idx="200">
                  <c:v>11.097</c:v>
                </c:pt>
                <c:pt idx="225">
                  <c:v>12.484</c:v>
                </c:pt>
                <c:pt idx="249">
                  <c:v>13.816</c:v>
                </c:pt>
              </c:strCache>
            </c:strRef>
          </c:cat>
          <c:val>
            <c:numRef>
              <c:f>[0]!AySa</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33EA-4720-9A65-7F0ECC1B9512}"/>
            </c:ext>
          </c:extLst>
        </c:ser>
        <c:ser>
          <c:idx val="1"/>
          <c:order val="1"/>
          <c:tx>
            <c:strRef>
              <c:f>ANOVA!$CJ$11</c:f>
              <c:strCache>
                <c:ptCount val="1"/>
                <c:pt idx="0">
                  <c:v>Nulhypotese</c:v>
                </c:pt>
              </c:strCache>
            </c:strRef>
          </c:tx>
          <c:spPr>
            <a:solidFill>
              <a:schemeClr val="accent2"/>
            </a:solidFill>
            <a:ln w="25400">
              <a:noFill/>
            </a:ln>
            <a:effectLst/>
          </c:spPr>
          <c:cat>
            <c:strRef>
              <c:f>[0]!AlS</c:f>
              <c:strCache>
                <c:ptCount val="250"/>
                <c:pt idx="0">
                  <c:v>0</c:v>
                </c:pt>
                <c:pt idx="25">
                  <c:v>1.387</c:v>
                </c:pt>
                <c:pt idx="50">
                  <c:v>2.774</c:v>
                </c:pt>
                <c:pt idx="75">
                  <c:v>4.161</c:v>
                </c:pt>
                <c:pt idx="100">
                  <c:v>5.548</c:v>
                </c:pt>
                <c:pt idx="125">
                  <c:v>6.935</c:v>
                </c:pt>
                <c:pt idx="150">
                  <c:v>8.323</c:v>
                </c:pt>
                <c:pt idx="175">
                  <c:v>9.71</c:v>
                </c:pt>
                <c:pt idx="200">
                  <c:v>11.097</c:v>
                </c:pt>
                <c:pt idx="225">
                  <c:v>12.484</c:v>
                </c:pt>
                <c:pt idx="249">
                  <c:v>13.816</c:v>
                </c:pt>
              </c:strCache>
            </c:strRef>
          </c:cat>
          <c:val>
            <c:numRef>
              <c:f>[0]!AySn</c:f>
              <c:numCache>
                <c:formatCode>General</c:formatCode>
                <c:ptCount val="250"/>
                <c:pt idx="0">
                  <c:v>0.5</c:v>
                </c:pt>
                <c:pt idx="1">
                  <c:v>0.48631964299724262</c:v>
                </c:pt>
                <c:pt idx="2">
                  <c:v>0.47301359032993112</c:v>
                </c:pt>
                <c:pt idx="3">
                  <c:v>0.46007160076419201</c:v>
                </c:pt>
                <c:pt idx="4">
                  <c:v>0.44748371327362363</c:v>
                </c:pt>
                <c:pt idx="5">
                  <c:v>0.43524023937261824</c:v>
                </c:pt>
                <c:pt idx="6">
                  <c:v>0.42333175565945225</c:v>
                </c:pt>
                <c:pt idx="7">
                  <c:v>0.41174909656340142</c:v>
                </c:pt>
                <c:pt idx="8">
                  <c:v>0.40048334729030116</c:v>
                </c:pt>
                <c:pt idx="9">
                  <c:v>0.38952583696111998</c:v>
                </c:pt>
                <c:pt idx="10">
                  <c:v>0.37886813193826813</c:v>
                </c:pt>
                <c:pt idx="11">
                  <c:v>0.36850202933450144</c:v>
                </c:pt>
                <c:pt idx="12">
                  <c:v>0.35841955069942838</c:v>
                </c:pt>
                <c:pt idx="13">
                  <c:v>0.34861293587875619</c:v>
                </c:pt>
                <c:pt idx="14">
                  <c:v>0.33907463704155466</c:v>
                </c:pt>
                <c:pt idx="15">
                  <c:v>0.32979731287093694</c:v>
                </c:pt>
                <c:pt idx="16">
                  <c:v>0.32077382291368794</c:v>
                </c:pt>
                <c:pt idx="17">
                  <c:v>0.31199722208449093</c:v>
                </c:pt>
                <c:pt idx="18">
                  <c:v>0.30346075532052202</c:v>
                </c:pt>
                <c:pt idx="19">
                  <c:v>0.2951578523822998</c:v>
                </c:pt>
                <c:pt idx="20">
                  <c:v>0.28708212279678574</c:v>
                </c:pt>
                <c:pt idx="21">
                  <c:v>0.27922735093884682</c:v>
                </c:pt>
                <c:pt idx="22">
                  <c:v>0.27158749124729153</c:v>
                </c:pt>
                <c:pt idx="23">
                  <c:v>0.26415666357179912</c:v>
                </c:pt>
                <c:pt idx="24">
                  <c:v>0.25692914864716015</c:v>
                </c:pt>
                <c:pt idx="25">
                  <c:v>0.24989938369134482</c:v>
                </c:pt>
                <c:pt idx="26">
                  <c:v>0.24306195812401155</c:v>
                </c:pt>
                <c:pt idx="27">
                  <c:v>0.23641160940216002</c:v>
                </c:pt>
                <c:pt idx="28">
                  <c:v>0.22994321896972408</c:v>
                </c:pt>
                <c:pt idx="29">
                  <c:v>0.22365180831798601</c:v>
                </c:pt>
                <c:pt idx="30">
                  <c:v>0.21753253515378135</c:v>
                </c:pt>
                <c:pt idx="31">
                  <c:v>0.2115806896725442</c:v>
                </c:pt>
                <c:pt idx="32">
                  <c:v>0.20579169093332408</c:v>
                </c:pt>
                <c:pt idx="33">
                  <c:v>0.20016108333298616</c:v>
                </c:pt>
                <c:pt idx="34">
                  <c:v>0.19468453317687828</c:v>
                </c:pt>
                <c:pt idx="35">
                  <c:v>0.1893578253433286</c:v>
                </c:pt>
                <c:pt idx="36">
                  <c:v>0.18417686003940356</c:v>
                </c:pt>
                <c:pt idx="37">
                  <c:v>0.17913764964543169</c:v>
                </c:pt>
                <c:pt idx="38">
                  <c:v>0.17423631564586292</c:v>
                </c:pt>
                <c:pt idx="39">
                  <c:v>0.1694690856441019</c:v>
                </c:pt>
                <c:pt idx="40">
                  <c:v>0.16483229045901757</c:v>
                </c:pt>
                <c:pt idx="41">
                  <c:v>0.16032236130089444</c:v>
                </c:pt>
                <c:pt idx="42">
                  <c:v>0.15593582702465184</c:v>
                </c:pt>
                <c:pt idx="43">
                  <c:v>0.15166931145821691</c:v>
                </c:pt>
                <c:pt idx="44">
                  <c:v>0.1475195308039953</c:v>
                </c:pt>
                <c:pt idx="45">
                  <c:v>0.14348329111143945</c:v>
                </c:pt>
                <c:pt idx="46">
                  <c:v>0.13955748581876934</c:v>
                </c:pt>
                <c:pt idx="47">
                  <c:v>0.13573909336195331</c:v>
                </c:pt>
                <c:pt idx="48">
                  <c:v>0.13202517484910906</c:v>
                </c:pt>
                <c:pt idx="49">
                  <c:v>0.1284128717985345</c:v>
                </c:pt>
                <c:pt idx="50">
                  <c:v>0.12489940393862797</c:v>
                </c:pt>
                <c:pt idx="51">
                  <c:v>0.12148206706800389</c:v>
                </c:pt>
                <c:pt idx="52">
                  <c:v>0.11815823097415748</c:v>
                </c:pt>
                <c:pt idx="53">
                  <c:v>0.11492533740907598</c:v>
                </c:pt>
                <c:pt idx="54">
                  <c:v>0.11178089812023899</c:v>
                </c:pt>
                <c:pt idx="55">
                  <c:v>0.10872249293549151</c:v>
                </c:pt>
                <c:pt idx="56">
                  <c:v>0.10574776790031694</c:v>
                </c:pt>
                <c:pt idx="57">
                  <c:v>0.10285443346607481</c:v>
                </c:pt>
                <c:pt idx="58">
                  <c:v>0.1000402627278103</c:v>
                </c:pt>
                <c:pt idx="59">
                  <c:v>9.7303089710278109E-2</c:v>
                </c:pt>
                <c:pt idx="60">
                  <c:v>9.4640807700862237E-2</c:v>
                </c:pt>
                <c:pt idx="61">
                  <c:v>9.2051367628108047E-2</c:v>
                </c:pt>
                <c:pt idx="62">
                  <c:v>8.9532776484618881E-2</c:v>
                </c:pt>
                <c:pt idx="63">
                  <c:v>8.708309579310354E-2</c:v>
                </c:pt>
                <c:pt idx="64">
                  <c:v>8.4700440114393594E-2</c:v>
                </c:pt>
                <c:pt idx="65">
                  <c:v>8.2382975596282451E-2</c:v>
                </c:pt>
                <c:pt idx="66">
                  <c:v>8.0128918562069232E-2</c:v>
                </c:pt>
                <c:pt idx="67">
                  <c:v>7.7936534137721294E-2</c:v>
                </c:pt>
                <c:pt idx="68">
                  <c:v>7.5804134916598057E-2</c:v>
                </c:pt>
                <c:pt idx="69">
                  <c:v>7.3730079660709574E-2</c:v>
                </c:pt>
                <c:pt idx="70">
                  <c:v>7.1712772037509059E-2</c:v>
                </c:pt>
                <c:pt idx="71">
                  <c:v>6.975065939124811E-2</c:v>
                </c:pt>
                <c:pt idx="72">
                  <c:v>6.7842231547948065E-2</c:v>
                </c:pt>
                <c:pt idx="73">
                  <c:v>6.5986019653068786E-2</c:v>
                </c:pt>
                <c:pt idx="74">
                  <c:v>6.4180595040978866E-2</c:v>
                </c:pt>
                <c:pt idx="75">
                  <c:v>6.2424568135358904E-2</c:v>
                </c:pt>
                <c:pt idx="76">
                  <c:v>6.0716587379689588E-2</c:v>
                </c:pt>
                <c:pt idx="77">
                  <c:v>5.9055338197003024E-2</c:v>
                </c:pt>
                <c:pt idx="78">
                  <c:v>5.7439541978095886E-2</c:v>
                </c:pt>
                <c:pt idx="79">
                  <c:v>5.586795509742546E-2</c:v>
                </c:pt>
                <c:pt idx="80">
                  <c:v>5.4339367955931868E-2</c:v>
                </c:pt>
                <c:pt idx="81">
                  <c:v>5.2852604050049157E-2</c:v>
                </c:pt>
                <c:pt idx="82">
                  <c:v>5.1406519066189066E-2</c:v>
                </c:pt>
                <c:pt idx="83">
                  <c:v>5.0000000000000017E-2</c:v>
                </c:pt>
                <c:pt idx="84">
                  <c:v>4.863196429972428E-2</c:v>
                </c:pt>
                <c:pt idx="85">
                  <c:v>4.7301359032993102E-2</c:v>
                </c:pt>
                <c:pt idx="86">
                  <c:v>4.6007160076419217E-2</c:v>
                </c:pt>
                <c:pt idx="87">
                  <c:v>4.4748371327362375E-2</c:v>
                </c:pt>
                <c:pt idx="88">
                  <c:v>4.3524023937261846E-2</c:v>
                </c:pt>
                <c:pt idx="89">
                  <c:v>4.2333175565945236E-2</c:v>
                </c:pt>
                <c:pt idx="90">
                  <c:v>4.1174909656340165E-2</c:v>
                </c:pt>
                <c:pt idx="91">
                  <c:v>4.004833472903014E-2</c:v>
                </c:pt>
                <c:pt idx="92">
                  <c:v>3.8952583696112014E-2</c:v>
                </c:pt>
                <c:pt idx="93">
                  <c:v>3.7886813193826807E-2</c:v>
                </c:pt>
                <c:pt idx="94">
                  <c:v>3.6850202933450156E-2</c:v>
                </c:pt>
                <c:pt idx="95">
                  <c:v>3.5841955069942845E-2</c:v>
                </c:pt>
                <c:pt idx="96">
                  <c:v>3.4861293587875632E-2</c:v>
                </c:pt>
                <c:pt idx="97">
                  <c:v>3.3907463704155483E-2</c:v>
                </c:pt>
                <c:pt idx="98">
                  <c:v>3.2979731287093708E-2</c:v>
                </c:pt>
                <c:pt idx="99">
                  <c:v>3.2077382291368813E-2</c:v>
                </c:pt>
                <c:pt idx="100">
                  <c:v>3.1199722208449101E-2</c:v>
                </c:pt>
                <c:pt idx="101">
                  <c:v>3.0346075532052222E-2</c:v>
                </c:pt>
                <c:pt idx="102">
                  <c:v>2.951578523822998E-2</c:v>
                </c:pt>
                <c:pt idx="103">
                  <c:v>2.8708212279678583E-2</c:v>
                </c:pt>
                <c:pt idx="104">
                  <c:v>2.7922735093884699E-2</c:v>
                </c:pt>
                <c:pt idx="105">
                  <c:v>2.7158749124729167E-2</c:v>
                </c:pt>
                <c:pt idx="106">
                  <c:v>2.6415666357179918E-2</c:v>
                </c:pt>
                <c:pt idx="107">
                  <c:v>2.5692914864716032E-2</c:v>
                </c:pt>
                <c:pt idx="108">
                  <c:v>2.4989938369134497E-2</c:v>
                </c:pt>
                <c:pt idx="109">
                  <c:v>2.4306195812401163E-2</c:v>
                </c:pt>
                <c:pt idx="110">
                  <c:v>2.3641160940216007E-2</c:v>
                </c:pt>
                <c:pt idx="111">
                  <c:v>2.2994321896972415E-2</c:v>
                </c:pt>
                <c:pt idx="112">
                  <c:v>2.2365180831798611E-2</c:v>
                </c:pt>
                <c:pt idx="113">
                  <c:v>2.1753253515378147E-2</c:v>
                </c:pt>
                <c:pt idx="114">
                  <c:v>2.1158068967254421E-2</c:v>
                </c:pt>
                <c:pt idx="115">
                  <c:v>2.0579169093332423E-2</c:v>
                </c:pt>
                <c:pt idx="116">
                  <c:v>2.0016108333298626E-2</c:v>
                </c:pt>
                <c:pt idx="117">
                  <c:v>1.9468453317687845E-2</c:v>
                </c:pt>
                <c:pt idx="118">
                  <c:v>1.8935782534332861E-2</c:v>
                </c:pt>
                <c:pt idx="119">
                  <c:v>1.8417686003940358E-2</c:v>
                </c:pt>
                <c:pt idx="120">
                  <c:v>1.7913764964543177E-2</c:v>
                </c:pt>
                <c:pt idx="121">
                  <c:v>1.7423631564586307E-2</c:v>
                </c:pt>
                <c:pt idx="122">
                  <c:v>1.6946908564410196E-2</c:v>
                </c:pt>
                <c:pt idx="123">
                  <c:v>1.648322904590176E-2</c:v>
                </c:pt>
                <c:pt idx="124">
                  <c:v>1.6032236130089451E-2</c:v>
                </c:pt>
                <c:pt idx="125">
                  <c:v>1.5593582702465197E-2</c:v>
                </c:pt>
                <c:pt idx="126">
                  <c:v>1.5166931145821693E-2</c:v>
                </c:pt>
                <c:pt idx="127">
                  <c:v>1.4751953080399534E-2</c:v>
                </c:pt>
                <c:pt idx="128">
                  <c:v>1.4348329111143953E-2</c:v>
                </c:pt>
                <c:pt idx="129">
                  <c:v>1.3955748581876941E-2</c:v>
                </c:pt>
                <c:pt idx="130">
                  <c:v>1.3573909336195341E-2</c:v>
                </c:pt>
                <c:pt idx="131">
                  <c:v>1.3202517484910909E-2</c:v>
                </c:pt>
                <c:pt idx="132">
                  <c:v>1.2841287179853453E-2</c:v>
                </c:pt>
                <c:pt idx="133">
                  <c:v>1.2489940393862803E-2</c:v>
                </c:pt>
                <c:pt idx="134">
                  <c:v>1.2148206706800398E-2</c:v>
                </c:pt>
                <c:pt idx="135">
                  <c:v>1.1815823097415749E-2</c:v>
                </c:pt>
                <c:pt idx="136">
                  <c:v>1.1492533740907604E-2</c:v>
                </c:pt>
                <c:pt idx="137">
                  <c:v>1.1178089812023898E-2</c:v>
                </c:pt>
                <c:pt idx="138">
                  <c:v>1.0872249293549159E-2</c:v>
                </c:pt>
                <c:pt idx="139">
                  <c:v>1.0574776790031697E-2</c:v>
                </c:pt>
                <c:pt idx="140">
                  <c:v>1.0285443346607484E-2</c:v>
                </c:pt>
                <c:pt idx="141">
                  <c:v>1.0004026272781037E-2</c:v>
                </c:pt>
                <c:pt idx="142">
                  <c:v>9.7303089710278172E-3</c:v>
                </c:pt>
                <c:pt idx="143">
                  <c:v>9.4640807700862306E-3</c:v>
                </c:pt>
                <c:pt idx="144">
                  <c:v>9.205136762810805E-3</c:v>
                </c:pt>
                <c:pt idx="145">
                  <c:v>8.9532776484618961E-3</c:v>
                </c:pt>
                <c:pt idx="146">
                  <c:v>8.7083095793103592E-3</c:v>
                </c:pt>
                <c:pt idx="147">
                  <c:v>8.4700440114393628E-3</c:v>
                </c:pt>
                <c:pt idx="148">
                  <c:v>8.2382975596282434E-3</c:v>
                </c:pt>
                <c:pt idx="149">
                  <c:v>8.0128918562069225E-3</c:v>
                </c:pt>
                <c:pt idx="150">
                  <c:v>7.7936534137721305E-3</c:v>
                </c:pt>
                <c:pt idx="151">
                  <c:v>7.580413491659806E-3</c:v>
                </c:pt>
                <c:pt idx="152">
                  <c:v>7.3730079660709611E-3</c:v>
                </c:pt>
                <c:pt idx="153">
                  <c:v>7.1712772037509087E-3</c:v>
                </c:pt>
                <c:pt idx="154">
                  <c:v>6.9750659391248117E-3</c:v>
                </c:pt>
                <c:pt idx="155">
                  <c:v>6.7842231547948131E-3</c:v>
                </c:pt>
                <c:pt idx="156">
                  <c:v>6.5986019653068795E-3</c:v>
                </c:pt>
                <c:pt idx="157">
                  <c:v>6.4180595040978878E-3</c:v>
                </c:pt>
                <c:pt idx="158">
                  <c:v>6.2424568135358953E-3</c:v>
                </c:pt>
                <c:pt idx="159">
                  <c:v>6.0716587379689591E-3</c:v>
                </c:pt>
                <c:pt idx="160">
                  <c:v>5.9055338197003095E-3</c:v>
                </c:pt>
                <c:pt idx="161">
                  <c:v>5.7439541978095933E-3</c:v>
                </c:pt>
                <c:pt idx="162">
                  <c:v>5.5867955097425462E-3</c:v>
                </c:pt>
                <c:pt idx="163">
                  <c:v>5.4339367955931906E-3</c:v>
                </c:pt>
                <c:pt idx="164">
                  <c:v>5.2852604050049193E-3</c:v>
                </c:pt>
                <c:pt idx="165">
                  <c:v>5.1406519066189123E-3</c:v>
                </c:pt>
                <c:pt idx="166">
                  <c:v>5.0000000000000027E-3</c:v>
                </c:pt>
                <c:pt idx="167">
                  <c:v>4.8631964299724268E-3</c:v>
                </c:pt>
                <c:pt idx="168">
                  <c:v>4.7301359032993137E-3</c:v>
                </c:pt>
                <c:pt idx="169">
                  <c:v>4.6007160076419222E-3</c:v>
                </c:pt>
                <c:pt idx="170">
                  <c:v>4.4748371327362358E-3</c:v>
                </c:pt>
                <c:pt idx="171">
                  <c:v>4.3524023937261853E-3</c:v>
                </c:pt>
                <c:pt idx="172">
                  <c:v>4.2333175565945243E-3</c:v>
                </c:pt>
                <c:pt idx="173">
                  <c:v>4.1174909656340195E-3</c:v>
                </c:pt>
                <c:pt idx="174">
                  <c:v>4.0048334729030147E-3</c:v>
                </c:pt>
                <c:pt idx="175">
                  <c:v>3.8952583696112019E-3</c:v>
                </c:pt>
                <c:pt idx="176">
                  <c:v>3.7886813193826851E-3</c:v>
                </c:pt>
                <c:pt idx="177">
                  <c:v>3.6850202933450173E-3</c:v>
                </c:pt>
                <c:pt idx="178">
                  <c:v>3.5841955069942856E-3</c:v>
                </c:pt>
                <c:pt idx="179">
                  <c:v>3.4861293587875658E-3</c:v>
                </c:pt>
                <c:pt idx="180">
                  <c:v>3.3907463704155498E-3</c:v>
                </c:pt>
                <c:pt idx="181">
                  <c:v>3.2979731287093752E-3</c:v>
                </c:pt>
                <c:pt idx="182">
                  <c:v>3.2077382291368843E-3</c:v>
                </c:pt>
                <c:pt idx="183">
                  <c:v>3.1199722208449096E-3</c:v>
                </c:pt>
                <c:pt idx="184">
                  <c:v>3.0346075532052229E-3</c:v>
                </c:pt>
                <c:pt idx="185">
                  <c:v>2.9515785238229987E-3</c:v>
                </c:pt>
                <c:pt idx="186">
                  <c:v>2.8708212279678581E-3</c:v>
                </c:pt>
                <c:pt idx="187">
                  <c:v>2.7922735093884698E-3</c:v>
                </c:pt>
                <c:pt idx="188">
                  <c:v>2.7158749124729163E-3</c:v>
                </c:pt>
                <c:pt idx="189">
                  <c:v>2.641566635717994E-3</c:v>
                </c:pt>
                <c:pt idx="190">
                  <c:v>2.5692914864716035E-3</c:v>
                </c:pt>
                <c:pt idx="191">
                  <c:v>2.4989938369134488E-3</c:v>
                </c:pt>
                <c:pt idx="192">
                  <c:v>2.4306195812401174E-3</c:v>
                </c:pt>
                <c:pt idx="193">
                  <c:v>2.364116094021602E-3</c:v>
                </c:pt>
                <c:pt idx="194">
                  <c:v>2.2994321896972437E-3</c:v>
                </c:pt>
                <c:pt idx="195">
                  <c:v>2.2365180831798626E-3</c:v>
                </c:pt>
                <c:pt idx="196">
                  <c:v>2.1753253515378154E-3</c:v>
                </c:pt>
                <c:pt idx="197">
                  <c:v>2.1158068967254448E-3</c:v>
                </c:pt>
                <c:pt idx="198">
                  <c:v>2.0579169093332436E-3</c:v>
                </c:pt>
                <c:pt idx="199">
                  <c:v>2.0016108333298635E-3</c:v>
                </c:pt>
                <c:pt idx="200">
                  <c:v>1.9468453317687843E-3</c:v>
                </c:pt>
                <c:pt idx="201">
                  <c:v>1.8935782534332867E-3</c:v>
                </c:pt>
                <c:pt idx="202">
                  <c:v>1.8417686003940374E-3</c:v>
                </c:pt>
                <c:pt idx="203">
                  <c:v>1.7913764964543185E-3</c:v>
                </c:pt>
                <c:pt idx="204">
                  <c:v>1.7423631564586302E-3</c:v>
                </c:pt>
                <c:pt idx="205">
                  <c:v>1.6946908564410205E-3</c:v>
                </c:pt>
                <c:pt idx="206">
                  <c:v>1.6483229045901762E-3</c:v>
                </c:pt>
                <c:pt idx="207">
                  <c:v>1.603223613008945E-3</c:v>
                </c:pt>
                <c:pt idx="208">
                  <c:v>1.5593582702465197E-3</c:v>
                </c:pt>
                <c:pt idx="209">
                  <c:v>1.5166931145821703E-3</c:v>
                </c:pt>
                <c:pt idx="210">
                  <c:v>1.475195308039955E-3</c:v>
                </c:pt>
                <c:pt idx="211">
                  <c:v>1.4348329111143958E-3</c:v>
                </c:pt>
                <c:pt idx="212">
                  <c:v>1.3955748581876944E-3</c:v>
                </c:pt>
                <c:pt idx="213">
                  <c:v>1.3573909336195347E-3</c:v>
                </c:pt>
                <c:pt idx="214">
                  <c:v>1.3202517484910917E-3</c:v>
                </c:pt>
                <c:pt idx="215">
                  <c:v>1.2841287179853457E-3</c:v>
                </c:pt>
                <c:pt idx="216">
                  <c:v>1.2489940393862811E-3</c:v>
                </c:pt>
                <c:pt idx="217">
                  <c:v>1.2148206706800392E-3</c:v>
                </c:pt>
                <c:pt idx="218">
                  <c:v>1.1815823097415757E-3</c:v>
                </c:pt>
                <c:pt idx="219">
                  <c:v>1.1492533740907606E-3</c:v>
                </c:pt>
                <c:pt idx="220">
                  <c:v>1.11780898120239E-3</c:v>
                </c:pt>
                <c:pt idx="221">
                  <c:v>1.0872249293549163E-3</c:v>
                </c:pt>
                <c:pt idx="222">
                  <c:v>1.0574776790031699E-3</c:v>
                </c:pt>
                <c:pt idx="223">
                  <c:v>1.0285443346607485E-3</c:v>
                </c:pt>
                <c:pt idx="224">
                  <c:v>1.0004026272781037E-3</c:v>
                </c:pt>
                <c:pt idx="225">
                  <c:v>9.7303089710278176E-4</c:v>
                </c:pt>
                <c:pt idx="226">
                  <c:v>9.4640807700862358E-4</c:v>
                </c:pt>
                <c:pt idx="227">
                  <c:v>9.2051367628108124E-4</c:v>
                </c:pt>
                <c:pt idx="228">
                  <c:v>8.9532776484618911E-4</c:v>
                </c:pt>
                <c:pt idx="229">
                  <c:v>8.7083095793103642E-4</c:v>
                </c:pt>
                <c:pt idx="230">
                  <c:v>8.4700440114393648E-4</c:v>
                </c:pt>
                <c:pt idx="231">
                  <c:v>8.2382975596282564E-4</c:v>
                </c:pt>
                <c:pt idx="232">
                  <c:v>8.0128918562069335E-4</c:v>
                </c:pt>
                <c:pt idx="233">
                  <c:v>7.7936534137721368E-4</c:v>
                </c:pt>
                <c:pt idx="234">
                  <c:v>7.5804134916598171E-4</c:v>
                </c:pt>
                <c:pt idx="235">
                  <c:v>7.3730079660709602E-4</c:v>
                </c:pt>
                <c:pt idx="236">
                  <c:v>7.1712772037509087E-4</c:v>
                </c:pt>
                <c:pt idx="237">
                  <c:v>6.9750659391248167E-4</c:v>
                </c:pt>
                <c:pt idx="238">
                  <c:v>6.7842231547948111E-4</c:v>
                </c:pt>
                <c:pt idx="239">
                  <c:v>6.5986019653068828E-4</c:v>
                </c:pt>
                <c:pt idx="240">
                  <c:v>6.4180595040978924E-4</c:v>
                </c:pt>
                <c:pt idx="241">
                  <c:v>6.2424568135358927E-4</c:v>
                </c:pt>
                <c:pt idx="242">
                  <c:v>6.0716587379689639E-4</c:v>
                </c:pt>
                <c:pt idx="243">
                  <c:v>5.9055338197003086E-4</c:v>
                </c:pt>
                <c:pt idx="244">
                  <c:v>5.7439541978095913E-4</c:v>
                </c:pt>
                <c:pt idx="245">
                  <c:v>5.5867955097425512E-4</c:v>
                </c:pt>
                <c:pt idx="246">
                  <c:v>5.4339367955931895E-4</c:v>
                </c:pt>
                <c:pt idx="247">
                  <c:v>5.2852604050049237E-4</c:v>
                </c:pt>
                <c:pt idx="248">
                  <c:v>5.1406519066189119E-4</c:v>
                </c:pt>
                <c:pt idx="249">
                  <c:v>5.0000000000000055E-4</c:v>
                </c:pt>
              </c:numCache>
            </c:numRef>
          </c:val>
          <c:extLst>
            <c:ext xmlns:c16="http://schemas.microsoft.com/office/drawing/2014/chart" uri="{C3380CC4-5D6E-409C-BE32-E72D297353CC}">
              <c16:uniqueId val="{00000001-33EA-4720-9A65-7F0ECC1B9512}"/>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ANOVA!$CJ$15</c:f>
              <c:strCache>
                <c:ptCount val="1"/>
                <c:pt idx="0">
                  <c:v>Chi i anden fordeling med 2 frihedsgrader</c:v>
                </c:pt>
              </c:strCache>
            </c:strRef>
          </c:tx>
          <c:spPr>
            <a:ln w="28575" cap="rnd">
              <a:solidFill>
                <a:schemeClr val="bg1"/>
              </a:solidFill>
              <a:round/>
            </a:ln>
            <a:effectLst/>
          </c:spPr>
          <c:marker>
            <c:symbol val="none"/>
          </c:marker>
          <c:xVal>
            <c:numRef>
              <c:f>[0]!AxS</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[0]!AySs</c:f>
              <c:numCache>
                <c:formatCode>General</c:formatCode>
                <c:ptCount val="250"/>
                <c:pt idx="0">
                  <c:v>0.5</c:v>
                </c:pt>
                <c:pt idx="1">
                  <c:v>0.48631964299724262</c:v>
                </c:pt>
                <c:pt idx="2">
                  <c:v>0.47301359032993112</c:v>
                </c:pt>
                <c:pt idx="3">
                  <c:v>0.46007160076419201</c:v>
                </c:pt>
                <c:pt idx="4">
                  <c:v>0.44748371327362363</c:v>
                </c:pt>
                <c:pt idx="5">
                  <c:v>0.43524023937261824</c:v>
                </c:pt>
                <c:pt idx="6">
                  <c:v>0.42333175565945225</c:v>
                </c:pt>
                <c:pt idx="7">
                  <c:v>0.41174909656340142</c:v>
                </c:pt>
                <c:pt idx="8">
                  <c:v>0.40048334729030116</c:v>
                </c:pt>
                <c:pt idx="9">
                  <c:v>0.38952583696111998</c:v>
                </c:pt>
                <c:pt idx="10">
                  <c:v>0.37886813193826813</c:v>
                </c:pt>
                <c:pt idx="11">
                  <c:v>0.36850202933450144</c:v>
                </c:pt>
                <c:pt idx="12">
                  <c:v>0.35841955069942838</c:v>
                </c:pt>
                <c:pt idx="13">
                  <c:v>0.34861293587875619</c:v>
                </c:pt>
                <c:pt idx="14">
                  <c:v>0.33907463704155466</c:v>
                </c:pt>
                <c:pt idx="15">
                  <c:v>0.32979731287093694</c:v>
                </c:pt>
                <c:pt idx="16">
                  <c:v>0.32077382291368794</c:v>
                </c:pt>
                <c:pt idx="17">
                  <c:v>0.31199722208449093</c:v>
                </c:pt>
                <c:pt idx="18">
                  <c:v>0.30346075532052202</c:v>
                </c:pt>
                <c:pt idx="19">
                  <c:v>0.2951578523822998</c:v>
                </c:pt>
                <c:pt idx="20">
                  <c:v>0.28708212279678574</c:v>
                </c:pt>
                <c:pt idx="21">
                  <c:v>0.27922735093884682</c:v>
                </c:pt>
                <c:pt idx="22">
                  <c:v>0.27158749124729153</c:v>
                </c:pt>
                <c:pt idx="23">
                  <c:v>0.26415666357179912</c:v>
                </c:pt>
                <c:pt idx="24">
                  <c:v>0.25692914864716015</c:v>
                </c:pt>
                <c:pt idx="25">
                  <c:v>0.24989938369134482</c:v>
                </c:pt>
                <c:pt idx="26">
                  <c:v>0.24306195812401155</c:v>
                </c:pt>
                <c:pt idx="27">
                  <c:v>0.23641160940216002</c:v>
                </c:pt>
                <c:pt idx="28">
                  <c:v>0.22994321896972408</c:v>
                </c:pt>
                <c:pt idx="29">
                  <c:v>0.22365180831798601</c:v>
                </c:pt>
                <c:pt idx="30">
                  <c:v>0.21753253515378135</c:v>
                </c:pt>
                <c:pt idx="31">
                  <c:v>0.2115806896725442</c:v>
                </c:pt>
                <c:pt idx="32">
                  <c:v>0.20579169093332408</c:v>
                </c:pt>
                <c:pt idx="33">
                  <c:v>0.20016108333298616</c:v>
                </c:pt>
                <c:pt idx="34">
                  <c:v>0.19468453317687828</c:v>
                </c:pt>
                <c:pt idx="35">
                  <c:v>0.1893578253433286</c:v>
                </c:pt>
                <c:pt idx="36">
                  <c:v>0.18417686003940356</c:v>
                </c:pt>
                <c:pt idx="37">
                  <c:v>0.17913764964543169</c:v>
                </c:pt>
                <c:pt idx="38">
                  <c:v>0.17423631564586292</c:v>
                </c:pt>
                <c:pt idx="39">
                  <c:v>0.1694690856441019</c:v>
                </c:pt>
                <c:pt idx="40">
                  <c:v>0.16483229045901757</c:v>
                </c:pt>
                <c:pt idx="41">
                  <c:v>0.16032236130089444</c:v>
                </c:pt>
                <c:pt idx="42">
                  <c:v>0.15593582702465184</c:v>
                </c:pt>
                <c:pt idx="43">
                  <c:v>0.15166931145821691</c:v>
                </c:pt>
                <c:pt idx="44">
                  <c:v>0.1475195308039953</c:v>
                </c:pt>
                <c:pt idx="45">
                  <c:v>0.14348329111143945</c:v>
                </c:pt>
                <c:pt idx="46">
                  <c:v>0.13955748581876934</c:v>
                </c:pt>
                <c:pt idx="47">
                  <c:v>0.13573909336195331</c:v>
                </c:pt>
                <c:pt idx="48">
                  <c:v>0.13202517484910906</c:v>
                </c:pt>
                <c:pt idx="49">
                  <c:v>0.1284128717985345</c:v>
                </c:pt>
                <c:pt idx="50">
                  <c:v>0.12489940393862797</c:v>
                </c:pt>
                <c:pt idx="51">
                  <c:v>0.12148206706800389</c:v>
                </c:pt>
                <c:pt idx="52">
                  <c:v>0.11815823097415748</c:v>
                </c:pt>
                <c:pt idx="53">
                  <c:v>0.11492533740907598</c:v>
                </c:pt>
                <c:pt idx="54">
                  <c:v>0.11178089812023899</c:v>
                </c:pt>
                <c:pt idx="55">
                  <c:v>0.10872249293549151</c:v>
                </c:pt>
                <c:pt idx="56">
                  <c:v>0.10574776790031694</c:v>
                </c:pt>
                <c:pt idx="57">
                  <c:v>0.10285443346607481</c:v>
                </c:pt>
                <c:pt idx="58">
                  <c:v>0.1000402627278103</c:v>
                </c:pt>
                <c:pt idx="59">
                  <c:v>9.7303089710278109E-2</c:v>
                </c:pt>
                <c:pt idx="60">
                  <c:v>9.4640807700862237E-2</c:v>
                </c:pt>
                <c:pt idx="61">
                  <c:v>9.2051367628108047E-2</c:v>
                </c:pt>
                <c:pt idx="62">
                  <c:v>8.9532776484618881E-2</c:v>
                </c:pt>
                <c:pt idx="63">
                  <c:v>8.708309579310354E-2</c:v>
                </c:pt>
                <c:pt idx="64">
                  <c:v>8.4700440114393594E-2</c:v>
                </c:pt>
                <c:pt idx="65">
                  <c:v>8.2382975596282451E-2</c:v>
                </c:pt>
                <c:pt idx="66">
                  <c:v>8.0128918562069232E-2</c:v>
                </c:pt>
                <c:pt idx="67">
                  <c:v>7.7936534137721294E-2</c:v>
                </c:pt>
                <c:pt idx="68">
                  <c:v>7.5804134916598057E-2</c:v>
                </c:pt>
                <c:pt idx="69">
                  <c:v>7.3730079660709574E-2</c:v>
                </c:pt>
                <c:pt idx="70">
                  <c:v>7.1712772037509059E-2</c:v>
                </c:pt>
                <c:pt idx="71">
                  <c:v>6.975065939124811E-2</c:v>
                </c:pt>
                <c:pt idx="72">
                  <c:v>6.7842231547948065E-2</c:v>
                </c:pt>
                <c:pt idx="73">
                  <c:v>6.5986019653068786E-2</c:v>
                </c:pt>
                <c:pt idx="74">
                  <c:v>6.4180595040978866E-2</c:v>
                </c:pt>
                <c:pt idx="75">
                  <c:v>6.2424568135358904E-2</c:v>
                </c:pt>
                <c:pt idx="76">
                  <c:v>6.0716587379689588E-2</c:v>
                </c:pt>
                <c:pt idx="77">
                  <c:v>5.9055338197003024E-2</c:v>
                </c:pt>
                <c:pt idx="78">
                  <c:v>5.7439541978095886E-2</c:v>
                </c:pt>
                <c:pt idx="79">
                  <c:v>5.586795509742546E-2</c:v>
                </c:pt>
                <c:pt idx="80">
                  <c:v>5.4339367955931868E-2</c:v>
                </c:pt>
                <c:pt idx="81">
                  <c:v>5.2852604050049157E-2</c:v>
                </c:pt>
                <c:pt idx="82">
                  <c:v>5.1406519066189066E-2</c:v>
                </c:pt>
                <c:pt idx="83">
                  <c:v>5.0000000000000017E-2</c:v>
                </c:pt>
                <c:pt idx="84">
                  <c:v>4.863196429972428E-2</c:v>
                </c:pt>
                <c:pt idx="85">
                  <c:v>4.7301359032993102E-2</c:v>
                </c:pt>
                <c:pt idx="86">
                  <c:v>4.6007160076419217E-2</c:v>
                </c:pt>
                <c:pt idx="87">
                  <c:v>4.4748371327362375E-2</c:v>
                </c:pt>
                <c:pt idx="88">
                  <c:v>4.3524023937261846E-2</c:v>
                </c:pt>
                <c:pt idx="89">
                  <c:v>4.2333175565945236E-2</c:v>
                </c:pt>
                <c:pt idx="90">
                  <c:v>4.1174909656340165E-2</c:v>
                </c:pt>
                <c:pt idx="91">
                  <c:v>4.004833472903014E-2</c:v>
                </c:pt>
                <c:pt idx="92">
                  <c:v>3.8952583696112014E-2</c:v>
                </c:pt>
                <c:pt idx="93">
                  <c:v>3.7886813193826807E-2</c:v>
                </c:pt>
                <c:pt idx="94">
                  <c:v>3.6850202933450156E-2</c:v>
                </c:pt>
                <c:pt idx="95">
                  <c:v>3.5841955069942845E-2</c:v>
                </c:pt>
                <c:pt idx="96">
                  <c:v>3.4861293587875632E-2</c:v>
                </c:pt>
                <c:pt idx="97">
                  <c:v>3.3907463704155483E-2</c:v>
                </c:pt>
                <c:pt idx="98">
                  <c:v>3.2979731287093708E-2</c:v>
                </c:pt>
                <c:pt idx="99">
                  <c:v>3.2077382291368813E-2</c:v>
                </c:pt>
                <c:pt idx="100">
                  <c:v>3.1199722208449101E-2</c:v>
                </c:pt>
                <c:pt idx="101">
                  <c:v>3.0346075532052222E-2</c:v>
                </c:pt>
                <c:pt idx="102">
                  <c:v>2.951578523822998E-2</c:v>
                </c:pt>
                <c:pt idx="103">
                  <c:v>2.8708212279678583E-2</c:v>
                </c:pt>
                <c:pt idx="104">
                  <c:v>2.7922735093884699E-2</c:v>
                </c:pt>
                <c:pt idx="105">
                  <c:v>2.7158749124729167E-2</c:v>
                </c:pt>
                <c:pt idx="106">
                  <c:v>2.6415666357179918E-2</c:v>
                </c:pt>
                <c:pt idx="107">
                  <c:v>2.5692914864716032E-2</c:v>
                </c:pt>
                <c:pt idx="108">
                  <c:v>2.4989938369134497E-2</c:v>
                </c:pt>
                <c:pt idx="109">
                  <c:v>2.4306195812401163E-2</c:v>
                </c:pt>
                <c:pt idx="110">
                  <c:v>2.3641160940216007E-2</c:v>
                </c:pt>
                <c:pt idx="111">
                  <c:v>2.2994321896972415E-2</c:v>
                </c:pt>
                <c:pt idx="112">
                  <c:v>2.2365180831798611E-2</c:v>
                </c:pt>
                <c:pt idx="113">
                  <c:v>2.1753253515378147E-2</c:v>
                </c:pt>
                <c:pt idx="114">
                  <c:v>2.1158068967254421E-2</c:v>
                </c:pt>
                <c:pt idx="115">
                  <c:v>2.0579169093332423E-2</c:v>
                </c:pt>
                <c:pt idx="116">
                  <c:v>2.0016108333298626E-2</c:v>
                </c:pt>
                <c:pt idx="117">
                  <c:v>1.9468453317687845E-2</c:v>
                </c:pt>
                <c:pt idx="118">
                  <c:v>1.8935782534332861E-2</c:v>
                </c:pt>
                <c:pt idx="119">
                  <c:v>1.8417686003940358E-2</c:v>
                </c:pt>
                <c:pt idx="120">
                  <c:v>1.7913764964543177E-2</c:v>
                </c:pt>
                <c:pt idx="121">
                  <c:v>1.7423631564586307E-2</c:v>
                </c:pt>
                <c:pt idx="122">
                  <c:v>1.6946908564410196E-2</c:v>
                </c:pt>
                <c:pt idx="123">
                  <c:v>1.648322904590176E-2</c:v>
                </c:pt>
                <c:pt idx="124">
                  <c:v>1.6032236130089451E-2</c:v>
                </c:pt>
                <c:pt idx="125">
                  <c:v>1.5593582702465197E-2</c:v>
                </c:pt>
                <c:pt idx="126">
                  <c:v>1.5166931145821693E-2</c:v>
                </c:pt>
                <c:pt idx="127">
                  <c:v>1.4751953080399534E-2</c:v>
                </c:pt>
                <c:pt idx="128">
                  <c:v>1.4348329111143953E-2</c:v>
                </c:pt>
                <c:pt idx="129">
                  <c:v>1.3955748581876941E-2</c:v>
                </c:pt>
                <c:pt idx="130">
                  <c:v>1.3573909336195341E-2</c:v>
                </c:pt>
                <c:pt idx="131">
                  <c:v>1.3202517484910909E-2</c:v>
                </c:pt>
                <c:pt idx="132">
                  <c:v>1.2841287179853453E-2</c:v>
                </c:pt>
                <c:pt idx="133">
                  <c:v>1.2489940393862803E-2</c:v>
                </c:pt>
                <c:pt idx="134">
                  <c:v>1.2148206706800398E-2</c:v>
                </c:pt>
                <c:pt idx="135">
                  <c:v>1.1815823097415749E-2</c:v>
                </c:pt>
                <c:pt idx="136">
                  <c:v>1.1492533740907604E-2</c:v>
                </c:pt>
                <c:pt idx="137">
                  <c:v>1.1178089812023898E-2</c:v>
                </c:pt>
                <c:pt idx="138">
                  <c:v>1.0872249293549159E-2</c:v>
                </c:pt>
                <c:pt idx="139">
                  <c:v>1.0574776790031697E-2</c:v>
                </c:pt>
                <c:pt idx="140">
                  <c:v>1.0285443346607484E-2</c:v>
                </c:pt>
                <c:pt idx="141">
                  <c:v>1.0004026272781037E-2</c:v>
                </c:pt>
                <c:pt idx="142">
                  <c:v>9.7303089710278172E-3</c:v>
                </c:pt>
                <c:pt idx="143">
                  <c:v>9.4640807700862306E-3</c:v>
                </c:pt>
                <c:pt idx="144">
                  <c:v>9.205136762810805E-3</c:v>
                </c:pt>
                <c:pt idx="145">
                  <c:v>8.9532776484618961E-3</c:v>
                </c:pt>
                <c:pt idx="146">
                  <c:v>8.7083095793103592E-3</c:v>
                </c:pt>
                <c:pt idx="147">
                  <c:v>8.4700440114393628E-3</c:v>
                </c:pt>
                <c:pt idx="148">
                  <c:v>8.2382975596282434E-3</c:v>
                </c:pt>
                <c:pt idx="149">
                  <c:v>8.0128918562069225E-3</c:v>
                </c:pt>
                <c:pt idx="150">
                  <c:v>7.7936534137721305E-3</c:v>
                </c:pt>
                <c:pt idx="151">
                  <c:v>7.580413491659806E-3</c:v>
                </c:pt>
                <c:pt idx="152">
                  <c:v>7.3730079660709611E-3</c:v>
                </c:pt>
                <c:pt idx="153">
                  <c:v>7.1712772037509087E-3</c:v>
                </c:pt>
                <c:pt idx="154">
                  <c:v>6.9750659391248117E-3</c:v>
                </c:pt>
                <c:pt idx="155">
                  <c:v>6.7842231547948131E-3</c:v>
                </c:pt>
                <c:pt idx="156">
                  <c:v>6.5986019653068795E-3</c:v>
                </c:pt>
                <c:pt idx="157">
                  <c:v>6.4180595040978878E-3</c:v>
                </c:pt>
                <c:pt idx="158">
                  <c:v>6.2424568135358953E-3</c:v>
                </c:pt>
                <c:pt idx="159">
                  <c:v>6.0716587379689591E-3</c:v>
                </c:pt>
                <c:pt idx="160">
                  <c:v>5.9055338197003095E-3</c:v>
                </c:pt>
                <c:pt idx="161">
                  <c:v>5.7439541978095933E-3</c:v>
                </c:pt>
                <c:pt idx="162">
                  <c:v>5.5867955097425462E-3</c:v>
                </c:pt>
                <c:pt idx="163">
                  <c:v>5.4339367955931906E-3</c:v>
                </c:pt>
                <c:pt idx="164">
                  <c:v>5.2852604050049193E-3</c:v>
                </c:pt>
                <c:pt idx="165">
                  <c:v>5.1406519066189123E-3</c:v>
                </c:pt>
                <c:pt idx="166">
                  <c:v>5.0000000000000027E-3</c:v>
                </c:pt>
                <c:pt idx="167">
                  <c:v>4.8631964299724268E-3</c:v>
                </c:pt>
                <c:pt idx="168">
                  <c:v>4.7301359032993137E-3</c:v>
                </c:pt>
                <c:pt idx="169">
                  <c:v>4.6007160076419222E-3</c:v>
                </c:pt>
                <c:pt idx="170">
                  <c:v>4.4748371327362358E-3</c:v>
                </c:pt>
                <c:pt idx="171">
                  <c:v>4.3524023937261853E-3</c:v>
                </c:pt>
                <c:pt idx="172">
                  <c:v>4.2333175565945243E-3</c:v>
                </c:pt>
                <c:pt idx="173">
                  <c:v>4.1174909656340195E-3</c:v>
                </c:pt>
                <c:pt idx="174">
                  <c:v>4.0048334729030147E-3</c:v>
                </c:pt>
                <c:pt idx="175">
                  <c:v>3.8952583696112019E-3</c:v>
                </c:pt>
                <c:pt idx="176">
                  <c:v>3.7886813193826851E-3</c:v>
                </c:pt>
                <c:pt idx="177">
                  <c:v>3.6850202933450173E-3</c:v>
                </c:pt>
                <c:pt idx="178">
                  <c:v>3.5841955069942856E-3</c:v>
                </c:pt>
                <c:pt idx="179">
                  <c:v>3.4861293587875658E-3</c:v>
                </c:pt>
                <c:pt idx="180">
                  <c:v>3.3907463704155498E-3</c:v>
                </c:pt>
                <c:pt idx="181">
                  <c:v>3.2979731287093752E-3</c:v>
                </c:pt>
                <c:pt idx="182">
                  <c:v>3.2077382291368843E-3</c:v>
                </c:pt>
                <c:pt idx="183">
                  <c:v>3.1199722208449096E-3</c:v>
                </c:pt>
                <c:pt idx="184">
                  <c:v>3.0346075532052229E-3</c:v>
                </c:pt>
                <c:pt idx="185">
                  <c:v>2.9515785238229987E-3</c:v>
                </c:pt>
                <c:pt idx="186">
                  <c:v>2.8708212279678581E-3</c:v>
                </c:pt>
                <c:pt idx="187">
                  <c:v>2.7922735093884698E-3</c:v>
                </c:pt>
                <c:pt idx="188">
                  <c:v>2.7158749124729163E-3</c:v>
                </c:pt>
                <c:pt idx="189">
                  <c:v>2.641566635717994E-3</c:v>
                </c:pt>
                <c:pt idx="190">
                  <c:v>2.5692914864716035E-3</c:v>
                </c:pt>
                <c:pt idx="191">
                  <c:v>2.4989938369134488E-3</c:v>
                </c:pt>
                <c:pt idx="192">
                  <c:v>2.4306195812401174E-3</c:v>
                </c:pt>
                <c:pt idx="193">
                  <c:v>2.364116094021602E-3</c:v>
                </c:pt>
                <c:pt idx="194">
                  <c:v>2.2994321896972437E-3</c:v>
                </c:pt>
                <c:pt idx="195">
                  <c:v>2.2365180831798626E-3</c:v>
                </c:pt>
                <c:pt idx="196">
                  <c:v>2.1753253515378154E-3</c:v>
                </c:pt>
                <c:pt idx="197">
                  <c:v>2.1158068967254448E-3</c:v>
                </c:pt>
                <c:pt idx="198">
                  <c:v>2.0579169093332436E-3</c:v>
                </c:pt>
                <c:pt idx="199">
                  <c:v>2.0016108333298635E-3</c:v>
                </c:pt>
                <c:pt idx="200">
                  <c:v>1.9468453317687843E-3</c:v>
                </c:pt>
                <c:pt idx="201">
                  <c:v>1.8935782534332867E-3</c:v>
                </c:pt>
                <c:pt idx="202">
                  <c:v>1.8417686003940374E-3</c:v>
                </c:pt>
                <c:pt idx="203">
                  <c:v>1.7913764964543185E-3</c:v>
                </c:pt>
                <c:pt idx="204">
                  <c:v>1.7423631564586302E-3</c:v>
                </c:pt>
                <c:pt idx="205">
                  <c:v>1.6946908564410205E-3</c:v>
                </c:pt>
                <c:pt idx="206">
                  <c:v>1.6483229045901762E-3</c:v>
                </c:pt>
                <c:pt idx="207">
                  <c:v>1.603223613008945E-3</c:v>
                </c:pt>
                <c:pt idx="208">
                  <c:v>1.5593582702465197E-3</c:v>
                </c:pt>
                <c:pt idx="209">
                  <c:v>1.5166931145821703E-3</c:v>
                </c:pt>
                <c:pt idx="210">
                  <c:v>1.475195308039955E-3</c:v>
                </c:pt>
                <c:pt idx="211">
                  <c:v>1.4348329111143958E-3</c:v>
                </c:pt>
                <c:pt idx="212">
                  <c:v>1.3955748581876944E-3</c:v>
                </c:pt>
                <c:pt idx="213">
                  <c:v>1.3573909336195347E-3</c:v>
                </c:pt>
                <c:pt idx="214">
                  <c:v>1.3202517484910917E-3</c:v>
                </c:pt>
                <c:pt idx="215">
                  <c:v>1.2841287179853457E-3</c:v>
                </c:pt>
                <c:pt idx="216">
                  <c:v>1.2489940393862811E-3</c:v>
                </c:pt>
                <c:pt idx="217">
                  <c:v>1.2148206706800392E-3</c:v>
                </c:pt>
                <c:pt idx="218">
                  <c:v>1.1815823097415757E-3</c:v>
                </c:pt>
                <c:pt idx="219">
                  <c:v>1.1492533740907606E-3</c:v>
                </c:pt>
                <c:pt idx="220">
                  <c:v>1.11780898120239E-3</c:v>
                </c:pt>
                <c:pt idx="221">
                  <c:v>1.0872249293549163E-3</c:v>
                </c:pt>
                <c:pt idx="222">
                  <c:v>1.0574776790031699E-3</c:v>
                </c:pt>
                <c:pt idx="223">
                  <c:v>1.0285443346607485E-3</c:v>
                </c:pt>
                <c:pt idx="224">
                  <c:v>1.0004026272781037E-3</c:v>
                </c:pt>
                <c:pt idx="225">
                  <c:v>9.7303089710278176E-4</c:v>
                </c:pt>
                <c:pt idx="226">
                  <c:v>9.4640807700862358E-4</c:v>
                </c:pt>
                <c:pt idx="227">
                  <c:v>9.2051367628108124E-4</c:v>
                </c:pt>
                <c:pt idx="228">
                  <c:v>8.9532776484618911E-4</c:v>
                </c:pt>
                <c:pt idx="229">
                  <c:v>8.7083095793103642E-4</c:v>
                </c:pt>
                <c:pt idx="230">
                  <c:v>8.4700440114393648E-4</c:v>
                </c:pt>
                <c:pt idx="231">
                  <c:v>8.2382975596282564E-4</c:v>
                </c:pt>
                <c:pt idx="232">
                  <c:v>8.0128918562069335E-4</c:v>
                </c:pt>
                <c:pt idx="233">
                  <c:v>7.7936534137721368E-4</c:v>
                </c:pt>
                <c:pt idx="234">
                  <c:v>7.5804134916598171E-4</c:v>
                </c:pt>
                <c:pt idx="235">
                  <c:v>7.3730079660709602E-4</c:v>
                </c:pt>
                <c:pt idx="236">
                  <c:v>7.1712772037509087E-4</c:v>
                </c:pt>
                <c:pt idx="237">
                  <c:v>6.9750659391248167E-4</c:v>
                </c:pt>
                <c:pt idx="238">
                  <c:v>6.7842231547948111E-4</c:v>
                </c:pt>
                <c:pt idx="239">
                  <c:v>6.5986019653068828E-4</c:v>
                </c:pt>
                <c:pt idx="240">
                  <c:v>6.4180595040978924E-4</c:v>
                </c:pt>
                <c:pt idx="241">
                  <c:v>6.2424568135358927E-4</c:v>
                </c:pt>
                <c:pt idx="242">
                  <c:v>6.0716587379689639E-4</c:v>
                </c:pt>
                <c:pt idx="243">
                  <c:v>5.9055338197003086E-4</c:v>
                </c:pt>
                <c:pt idx="244">
                  <c:v>5.7439541978095913E-4</c:v>
                </c:pt>
                <c:pt idx="245">
                  <c:v>5.5867955097425512E-4</c:v>
                </c:pt>
                <c:pt idx="246">
                  <c:v>5.4339367955931895E-4</c:v>
                </c:pt>
                <c:pt idx="247">
                  <c:v>5.2852604050049237E-4</c:v>
                </c:pt>
                <c:pt idx="248">
                  <c:v>5.1406519066189119E-4</c:v>
                </c:pt>
                <c:pt idx="249">
                  <c:v>5.0000000000000055E-4</c:v>
                </c:pt>
              </c:numCache>
            </c:numRef>
          </c:yVal>
          <c:smooth val="1"/>
          <c:extLst>
            <c:ext xmlns:c16="http://schemas.microsoft.com/office/drawing/2014/chart" uri="{C3380CC4-5D6E-409C-BE32-E72D297353CC}">
              <c16:uniqueId val="{00000002-33EA-4720-9A65-7F0ECC1B9512}"/>
            </c:ext>
          </c:extLst>
        </c:ser>
        <c:ser>
          <c:idx val="2"/>
          <c:order val="3"/>
          <c:tx>
            <c:strRef>
              <c:f>ANOVA!$CJ$35</c:f>
              <c:strCache>
                <c:ptCount val="1"/>
                <c:pt idx="0">
                  <c:v>100% mindre end 32.224</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ANOVA!$CJ$31</c:f>
              <c:numCache>
                <c:formatCode>#,##0.000</c:formatCode>
                <c:ptCount val="1"/>
                <c:pt idx="0">
                  <c:v>125</c:v>
                </c:pt>
              </c:numCache>
            </c:numRef>
          </c:xVal>
          <c:yVal>
            <c:numRef>
              <c:f>ANOVA!$CJ$33</c:f>
              <c:numCache>
                <c:formatCode>#,##0.000</c:formatCode>
                <c:ptCount val="1"/>
                <c:pt idx="0">
                  <c:v>1.6032236130089451E-2</c:v>
                </c:pt>
              </c:numCache>
            </c:numRef>
          </c:yVal>
          <c:smooth val="0"/>
          <c:extLst>
            <c:ext xmlns:c16="http://schemas.microsoft.com/office/drawing/2014/chart" uri="{C3380CC4-5D6E-409C-BE32-E72D297353CC}">
              <c16:uniqueId val="{00000003-33EA-4720-9A65-7F0ECC1B9512}"/>
            </c:ext>
          </c:extLst>
        </c:ser>
        <c:ser>
          <c:idx val="5"/>
          <c:order val="4"/>
          <c:tx>
            <c:strRef>
              <c:f>ANOVA!$CJ$41</c:f>
              <c:strCache>
                <c:ptCount val="1"/>
                <c:pt idx="0">
                  <c:v>0% større end 32.224</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ANOVA!$CJ$37</c:f>
              <c:numCache>
                <c:formatCode>#,##0.000</c:formatCode>
                <c:ptCount val="1"/>
                <c:pt idx="0">
                  <c:v>250</c:v>
                </c:pt>
              </c:numCache>
            </c:numRef>
          </c:xVal>
          <c:yVal>
            <c:numRef>
              <c:f>ANOVA!$CJ$39</c:f>
              <c:numCache>
                <c:formatCode>#,##0.000</c:formatCode>
                <c:ptCount val="1"/>
                <c:pt idx="0">
                  <c:v>5.0000000000000055E-4</c:v>
                </c:pt>
              </c:numCache>
            </c:numRef>
          </c:yVal>
          <c:smooth val="0"/>
          <c:extLst>
            <c:ext xmlns:c16="http://schemas.microsoft.com/office/drawing/2014/chart" uri="{C3380CC4-5D6E-409C-BE32-E72D297353CC}">
              <c16:uniqueId val="{00000004-33EA-4720-9A65-7F0ECC1B9512}"/>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ANOVA!$CJ$15</c:f>
              <c:strCache>
                <c:ptCount val="1"/>
                <c:pt idx="0">
                  <c:v>Chi i anden fordeling med 2 frihedsgrader</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out"/>
        <c:minorTickMark val="none"/>
        <c:tickLblPos val="nextTo"/>
        <c:spPr>
          <a:noFill/>
          <a:ln w="9525" cap="flat" cmpd="sng" algn="ctr">
            <a:solidFill>
              <a:schemeClr val="tx1">
                <a:lumMod val="50000"/>
                <a:lumOff val="50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tickMarkSkip val="25"/>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tr"/>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ANOVA!$AQ$9</c:f>
          <c:strCache>
            <c:ptCount val="1"/>
            <c:pt idx="0">
              <c:v>Sammenligning med estimerede normalfordelinger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3.8368600930773704E-2"/>
          <c:y val="0.18175883539336118"/>
          <c:w val="0.92870884235020357"/>
          <c:h val="0.78532043650793648"/>
        </c:manualLayout>
      </c:layout>
      <c:scatterChart>
        <c:scatterStyle val="lineMarker"/>
        <c:varyColors val="0"/>
        <c:ser>
          <c:idx val="0"/>
          <c:order val="0"/>
          <c:tx>
            <c:strRef>
              <c:f>ANOVA!$AQ$11</c:f>
              <c:strCache>
                <c:ptCount val="1"/>
                <c:pt idx="0">
                  <c:v>Estimeret normalfordeling</c:v>
                </c:pt>
              </c:strCache>
            </c:strRef>
          </c:tx>
          <c:spPr>
            <a:ln w="19050" cap="rnd">
              <a:solidFill>
                <a:schemeClr val="accent1"/>
              </a:solidFill>
              <a:round/>
            </a:ln>
            <a:effectLst/>
          </c:spPr>
          <c:marker>
            <c:symbol val="none"/>
          </c:marker>
          <c:xVal>
            <c:numRef>
              <c:f>[0]!AxNorm</c:f>
              <c:numCache>
                <c:formatCode>General</c:formatCode>
                <c:ptCount val="2727"/>
                <c:pt idx="0">
                  <c:v>-11.066593778562057</c:v>
                </c:pt>
                <c:pt idx="1">
                  <c:v>-11.03565324724471</c:v>
                </c:pt>
                <c:pt idx="2">
                  <c:v>-11.004712715927365</c:v>
                </c:pt>
                <c:pt idx="3">
                  <c:v>-10.973772184610018</c:v>
                </c:pt>
                <c:pt idx="4">
                  <c:v>-10.942831653292671</c:v>
                </c:pt>
                <c:pt idx="5">
                  <c:v>-10.911891121975325</c:v>
                </c:pt>
                <c:pt idx="6">
                  <c:v>-10.88095059065798</c:v>
                </c:pt>
                <c:pt idx="7">
                  <c:v>-10.850010059340633</c:v>
                </c:pt>
                <c:pt idx="8">
                  <c:v>-10.819069528023286</c:v>
                </c:pt>
                <c:pt idx="9">
                  <c:v>-10.788128996705939</c:v>
                </c:pt>
                <c:pt idx="10">
                  <c:v>-10.757188465388595</c:v>
                </c:pt>
                <c:pt idx="11">
                  <c:v>-10.726247934071248</c:v>
                </c:pt>
                <c:pt idx="12">
                  <c:v>-10.695307402753901</c:v>
                </c:pt>
                <c:pt idx="13">
                  <c:v>-10.664366871436556</c:v>
                </c:pt>
                <c:pt idx="14">
                  <c:v>-10.633426340119209</c:v>
                </c:pt>
                <c:pt idx="15">
                  <c:v>-10.602485808801863</c:v>
                </c:pt>
                <c:pt idx="16">
                  <c:v>-10.571545277484516</c:v>
                </c:pt>
                <c:pt idx="17">
                  <c:v>-10.540604746167171</c:v>
                </c:pt>
                <c:pt idx="18">
                  <c:v>-10.509664214849824</c:v>
                </c:pt>
                <c:pt idx="19">
                  <c:v>-10.478723683532477</c:v>
                </c:pt>
                <c:pt idx="20">
                  <c:v>-10.447783152215131</c:v>
                </c:pt>
                <c:pt idx="21">
                  <c:v>-10.416842620897786</c:v>
                </c:pt>
                <c:pt idx="22">
                  <c:v>-10.385902089580439</c:v>
                </c:pt>
                <c:pt idx="23">
                  <c:v>-10.354961558263092</c:v>
                </c:pt>
                <c:pt idx="24">
                  <c:v>-10.324021026945747</c:v>
                </c:pt>
                <c:pt idx="25">
                  <c:v>-10.2930804956284</c:v>
                </c:pt>
                <c:pt idx="26">
                  <c:v>-10.262139964311054</c:v>
                </c:pt>
                <c:pt idx="27">
                  <c:v>-10.231199432993707</c:v>
                </c:pt>
                <c:pt idx="28">
                  <c:v>-10.200258901676362</c:v>
                </c:pt>
                <c:pt idx="29">
                  <c:v>-10.169318370359015</c:v>
                </c:pt>
                <c:pt idx="30">
                  <c:v>-10.138377839041668</c:v>
                </c:pt>
                <c:pt idx="31">
                  <c:v>-10.107437307724322</c:v>
                </c:pt>
                <c:pt idx="32">
                  <c:v>-10.076496776406977</c:v>
                </c:pt>
                <c:pt idx="33">
                  <c:v>-10.04555624508963</c:v>
                </c:pt>
                <c:pt idx="34">
                  <c:v>-10.014615713772283</c:v>
                </c:pt>
                <c:pt idx="35">
                  <c:v>-9.9836751824549363</c:v>
                </c:pt>
                <c:pt idx="36">
                  <c:v>-9.9527346511375914</c:v>
                </c:pt>
                <c:pt idx="37">
                  <c:v>-9.9217941198202446</c:v>
                </c:pt>
                <c:pt idx="38">
                  <c:v>-9.8908535885028979</c:v>
                </c:pt>
                <c:pt idx="39">
                  <c:v>-9.8599130571855511</c:v>
                </c:pt>
                <c:pt idx="40">
                  <c:v>-9.8289725258682061</c:v>
                </c:pt>
                <c:pt idx="41">
                  <c:v>-9.7980319945508594</c:v>
                </c:pt>
                <c:pt idx="42">
                  <c:v>-9.7670914632335126</c:v>
                </c:pt>
                <c:pt idx="43">
                  <c:v>-9.7361509319161677</c:v>
                </c:pt>
                <c:pt idx="44">
                  <c:v>-9.7052104005988209</c:v>
                </c:pt>
                <c:pt idx="45">
                  <c:v>-9.6742698692814741</c:v>
                </c:pt>
                <c:pt idx="46">
                  <c:v>-9.6433293379641274</c:v>
                </c:pt>
                <c:pt idx="47">
                  <c:v>-9.6123888066467824</c:v>
                </c:pt>
                <c:pt idx="48">
                  <c:v>-9.5814482753294357</c:v>
                </c:pt>
                <c:pt idx="49">
                  <c:v>-9.5505077440120889</c:v>
                </c:pt>
                <c:pt idx="50">
                  <c:v>-9.5195672126947422</c:v>
                </c:pt>
                <c:pt idx="51">
                  <c:v>-9.4886266813773972</c:v>
                </c:pt>
                <c:pt idx="52">
                  <c:v>-9.4576861500600504</c:v>
                </c:pt>
                <c:pt idx="53">
                  <c:v>-9.4267456187427037</c:v>
                </c:pt>
                <c:pt idx="54">
                  <c:v>-9.3958050874253587</c:v>
                </c:pt>
                <c:pt idx="55">
                  <c:v>-9.3648645561080119</c:v>
                </c:pt>
                <c:pt idx="56">
                  <c:v>-9.3339240247906652</c:v>
                </c:pt>
                <c:pt idx="57">
                  <c:v>-9.3029834934733184</c:v>
                </c:pt>
                <c:pt idx="58">
                  <c:v>-9.2720429621559735</c:v>
                </c:pt>
                <c:pt idx="59">
                  <c:v>-9.2411024308386267</c:v>
                </c:pt>
                <c:pt idx="60">
                  <c:v>-9.2101618995212799</c:v>
                </c:pt>
                <c:pt idx="61">
                  <c:v>-9.1792213682039332</c:v>
                </c:pt>
                <c:pt idx="62">
                  <c:v>-9.1482808368865882</c:v>
                </c:pt>
                <c:pt idx="63">
                  <c:v>-9.1173403055692415</c:v>
                </c:pt>
                <c:pt idx="64">
                  <c:v>-9.0863997742518947</c:v>
                </c:pt>
                <c:pt idx="65">
                  <c:v>-9.0554592429345497</c:v>
                </c:pt>
                <c:pt idx="66">
                  <c:v>-9.024518711617203</c:v>
                </c:pt>
                <c:pt idx="67">
                  <c:v>-8.9935781802998562</c:v>
                </c:pt>
                <c:pt idx="68">
                  <c:v>-8.9626376489825095</c:v>
                </c:pt>
                <c:pt idx="69">
                  <c:v>-8.9316971176651627</c:v>
                </c:pt>
                <c:pt idx="70">
                  <c:v>-8.9007565863478177</c:v>
                </c:pt>
                <c:pt idx="71">
                  <c:v>-8.869816055030471</c:v>
                </c:pt>
                <c:pt idx="72">
                  <c:v>-8.8388755237131242</c:v>
                </c:pt>
                <c:pt idx="73">
                  <c:v>-8.8079349923957793</c:v>
                </c:pt>
                <c:pt idx="74">
                  <c:v>-8.7769944610784325</c:v>
                </c:pt>
                <c:pt idx="75">
                  <c:v>-8.7460539297610858</c:v>
                </c:pt>
                <c:pt idx="76">
                  <c:v>-8.7151133984437408</c:v>
                </c:pt>
                <c:pt idx="77">
                  <c:v>-8.684172867126394</c:v>
                </c:pt>
                <c:pt idx="78">
                  <c:v>-8.6532323358090473</c:v>
                </c:pt>
                <c:pt idx="79">
                  <c:v>-8.6222918044917005</c:v>
                </c:pt>
                <c:pt idx="80">
                  <c:v>-8.5913512731743538</c:v>
                </c:pt>
                <c:pt idx="81">
                  <c:v>-8.5604107418570088</c:v>
                </c:pt>
                <c:pt idx="82">
                  <c:v>-8.529470210539662</c:v>
                </c:pt>
                <c:pt idx="83">
                  <c:v>-8.4985296792223153</c:v>
                </c:pt>
                <c:pt idx="84">
                  <c:v>-8.4675891479049703</c:v>
                </c:pt>
                <c:pt idx="85">
                  <c:v>-8.4366486165876236</c:v>
                </c:pt>
                <c:pt idx="86">
                  <c:v>-8.4057080852702768</c:v>
                </c:pt>
                <c:pt idx="87">
                  <c:v>-8.3747675539529318</c:v>
                </c:pt>
                <c:pt idx="88">
                  <c:v>-8.3438270226355851</c:v>
                </c:pt>
                <c:pt idx="89">
                  <c:v>-8.3128864913182383</c:v>
                </c:pt>
                <c:pt idx="90">
                  <c:v>-8.2819459600008916</c:v>
                </c:pt>
                <c:pt idx="91">
                  <c:v>-8.2510054286835448</c:v>
                </c:pt>
                <c:pt idx="92">
                  <c:v>-8.2200648973661998</c:v>
                </c:pt>
                <c:pt idx="93">
                  <c:v>-8.1891243660488531</c:v>
                </c:pt>
                <c:pt idx="94">
                  <c:v>-8.1581838347315063</c:v>
                </c:pt>
                <c:pt idx="95">
                  <c:v>-8.1272433034141613</c:v>
                </c:pt>
                <c:pt idx="96">
                  <c:v>-8.0963027720968146</c:v>
                </c:pt>
                <c:pt idx="97">
                  <c:v>-8.0653622407794678</c:v>
                </c:pt>
                <c:pt idx="98">
                  <c:v>-8.0344217094621229</c:v>
                </c:pt>
                <c:pt idx="99">
                  <c:v>-8.0034811781447761</c:v>
                </c:pt>
                <c:pt idx="100">
                  <c:v>-7.9725406468274294</c:v>
                </c:pt>
                <c:pt idx="101">
                  <c:v>-7.9416001155100826</c:v>
                </c:pt>
                <c:pt idx="102">
                  <c:v>-7.9106595841927367</c:v>
                </c:pt>
                <c:pt idx="103">
                  <c:v>-7.8797190528753909</c:v>
                </c:pt>
                <c:pt idx="104">
                  <c:v>-7.8487785215580441</c:v>
                </c:pt>
                <c:pt idx="105">
                  <c:v>-7.8178379902406974</c:v>
                </c:pt>
                <c:pt idx="106">
                  <c:v>-7.7868974589233515</c:v>
                </c:pt>
                <c:pt idx="107">
                  <c:v>-7.7559569276060056</c:v>
                </c:pt>
                <c:pt idx="108">
                  <c:v>-7.7250163962886589</c:v>
                </c:pt>
                <c:pt idx="109">
                  <c:v>-7.694075864971313</c:v>
                </c:pt>
                <c:pt idx="110">
                  <c:v>-7.6631353336539672</c:v>
                </c:pt>
                <c:pt idx="111">
                  <c:v>-7.6321948023366204</c:v>
                </c:pt>
                <c:pt idx="112">
                  <c:v>-7.6012542710192736</c:v>
                </c:pt>
                <c:pt idx="113">
                  <c:v>-7.5703137397019278</c:v>
                </c:pt>
                <c:pt idx="114">
                  <c:v>-7.5393732083845819</c:v>
                </c:pt>
                <c:pt idx="115">
                  <c:v>-7.5084326770672352</c:v>
                </c:pt>
                <c:pt idx="116">
                  <c:v>-7.4774921457498884</c:v>
                </c:pt>
                <c:pt idx="117">
                  <c:v>-7.4465516144325425</c:v>
                </c:pt>
                <c:pt idx="118">
                  <c:v>-7.4156110831151967</c:v>
                </c:pt>
                <c:pt idx="119">
                  <c:v>-7.3846705517978499</c:v>
                </c:pt>
                <c:pt idx="120">
                  <c:v>-7.3537300204805032</c:v>
                </c:pt>
                <c:pt idx="121">
                  <c:v>-7.3227894891631573</c:v>
                </c:pt>
                <c:pt idx="122">
                  <c:v>-7.2918489578458114</c:v>
                </c:pt>
                <c:pt idx="123">
                  <c:v>-7.2609084265284647</c:v>
                </c:pt>
                <c:pt idx="124">
                  <c:v>-7.2299678952111188</c:v>
                </c:pt>
                <c:pt idx="125">
                  <c:v>-7.199027363893773</c:v>
                </c:pt>
                <c:pt idx="126">
                  <c:v>-7.1680868325764262</c:v>
                </c:pt>
                <c:pt idx="127">
                  <c:v>-7.1371463012590795</c:v>
                </c:pt>
                <c:pt idx="128">
                  <c:v>-7.1062057699417336</c:v>
                </c:pt>
                <c:pt idx="129">
                  <c:v>-7.0752652386243877</c:v>
                </c:pt>
                <c:pt idx="130">
                  <c:v>-7.044324707307041</c:v>
                </c:pt>
                <c:pt idx="131">
                  <c:v>-7.0133841759896951</c:v>
                </c:pt>
                <c:pt idx="132">
                  <c:v>-6.9824436446723483</c:v>
                </c:pt>
                <c:pt idx="133">
                  <c:v>-6.9515031133550025</c:v>
                </c:pt>
                <c:pt idx="134">
                  <c:v>-6.9205625820376557</c:v>
                </c:pt>
                <c:pt idx="135">
                  <c:v>-6.8896220507203099</c:v>
                </c:pt>
                <c:pt idx="136">
                  <c:v>-6.8586815194029631</c:v>
                </c:pt>
                <c:pt idx="137">
                  <c:v>-6.8277409880856172</c:v>
                </c:pt>
                <c:pt idx="138">
                  <c:v>-6.7968004567682705</c:v>
                </c:pt>
                <c:pt idx="139">
                  <c:v>-6.7658599254509246</c:v>
                </c:pt>
                <c:pt idx="140">
                  <c:v>-6.7349193941335779</c:v>
                </c:pt>
                <c:pt idx="141">
                  <c:v>-6.703978862816232</c:v>
                </c:pt>
                <c:pt idx="142">
                  <c:v>-6.6730383314988861</c:v>
                </c:pt>
                <c:pt idx="143">
                  <c:v>-6.6420978001815394</c:v>
                </c:pt>
                <c:pt idx="144">
                  <c:v>-6.6111572688641935</c:v>
                </c:pt>
                <c:pt idx="145">
                  <c:v>-6.5802167375468468</c:v>
                </c:pt>
                <c:pt idx="146">
                  <c:v>-6.5492762062295009</c:v>
                </c:pt>
                <c:pt idx="147">
                  <c:v>-6.5183356749121542</c:v>
                </c:pt>
                <c:pt idx="148">
                  <c:v>-6.4873951435948083</c:v>
                </c:pt>
                <c:pt idx="149">
                  <c:v>-6.4564546122774615</c:v>
                </c:pt>
                <c:pt idx="150">
                  <c:v>-6.4255140809601157</c:v>
                </c:pt>
                <c:pt idx="151">
                  <c:v>-6.3945735496427689</c:v>
                </c:pt>
                <c:pt idx="152">
                  <c:v>-6.3636330183254231</c:v>
                </c:pt>
                <c:pt idx="153">
                  <c:v>-6.3326924870080763</c:v>
                </c:pt>
                <c:pt idx="154">
                  <c:v>-6.3017519556907304</c:v>
                </c:pt>
                <c:pt idx="155">
                  <c:v>-6.2708114243733846</c:v>
                </c:pt>
                <c:pt idx="156">
                  <c:v>-6.2398708930560378</c:v>
                </c:pt>
                <c:pt idx="157">
                  <c:v>-6.2089303617386919</c:v>
                </c:pt>
                <c:pt idx="158">
                  <c:v>-6.1779898304213452</c:v>
                </c:pt>
                <c:pt idx="159">
                  <c:v>-6.1470492991039993</c:v>
                </c:pt>
                <c:pt idx="160">
                  <c:v>-6.1161087677866526</c:v>
                </c:pt>
                <c:pt idx="161">
                  <c:v>-6.0851682364693067</c:v>
                </c:pt>
                <c:pt idx="162">
                  <c:v>-6.05422770515196</c:v>
                </c:pt>
                <c:pt idx="163">
                  <c:v>-6.0232871738346141</c:v>
                </c:pt>
                <c:pt idx="164">
                  <c:v>-5.9923466425172673</c:v>
                </c:pt>
                <c:pt idx="165">
                  <c:v>-5.9614061111999215</c:v>
                </c:pt>
                <c:pt idx="166">
                  <c:v>-5.9304655798825747</c:v>
                </c:pt>
                <c:pt idx="167">
                  <c:v>-5.8995250485652289</c:v>
                </c:pt>
                <c:pt idx="168">
                  <c:v>-5.868584517247883</c:v>
                </c:pt>
                <c:pt idx="169">
                  <c:v>-5.8376439859305362</c:v>
                </c:pt>
                <c:pt idx="170">
                  <c:v>-5.8067034546131904</c:v>
                </c:pt>
                <c:pt idx="171">
                  <c:v>-5.7757629232958436</c:v>
                </c:pt>
                <c:pt idx="172">
                  <c:v>-5.7448223919784978</c:v>
                </c:pt>
                <c:pt idx="173">
                  <c:v>-5.713881860661151</c:v>
                </c:pt>
                <c:pt idx="174">
                  <c:v>-5.6829413293438051</c:v>
                </c:pt>
                <c:pt idx="175">
                  <c:v>-5.6520007980264584</c:v>
                </c:pt>
                <c:pt idx="176">
                  <c:v>-5.6210602667091125</c:v>
                </c:pt>
                <c:pt idx="177">
                  <c:v>-5.5901197353917658</c:v>
                </c:pt>
                <c:pt idx="178">
                  <c:v>-5.5591792040744199</c:v>
                </c:pt>
                <c:pt idx="179">
                  <c:v>-5.5282386727570731</c:v>
                </c:pt>
                <c:pt idx="180">
                  <c:v>-5.4972981414397273</c:v>
                </c:pt>
                <c:pt idx="181">
                  <c:v>-5.4663576101223814</c:v>
                </c:pt>
                <c:pt idx="182">
                  <c:v>-5.4354170788050347</c:v>
                </c:pt>
                <c:pt idx="183">
                  <c:v>-5.4044765474876888</c:v>
                </c:pt>
                <c:pt idx="184">
                  <c:v>-5.373536016170342</c:v>
                </c:pt>
                <c:pt idx="185">
                  <c:v>-5.3425954848529962</c:v>
                </c:pt>
                <c:pt idx="186">
                  <c:v>-5.3116549535356494</c:v>
                </c:pt>
                <c:pt idx="187">
                  <c:v>-5.2807144222183036</c:v>
                </c:pt>
                <c:pt idx="188">
                  <c:v>-5.2497738909009568</c:v>
                </c:pt>
                <c:pt idx="189">
                  <c:v>-5.2188333595836109</c:v>
                </c:pt>
                <c:pt idx="190">
                  <c:v>-5.1878928282662642</c:v>
                </c:pt>
                <c:pt idx="191">
                  <c:v>-5.1569522969489183</c:v>
                </c:pt>
                <c:pt idx="192">
                  <c:v>-5.1260117656315725</c:v>
                </c:pt>
                <c:pt idx="193">
                  <c:v>-5.0950712343142257</c:v>
                </c:pt>
                <c:pt idx="194">
                  <c:v>-5.0641307029968798</c:v>
                </c:pt>
                <c:pt idx="195">
                  <c:v>-5.0331901716795331</c:v>
                </c:pt>
                <c:pt idx="196">
                  <c:v>-5.0022496403621872</c:v>
                </c:pt>
                <c:pt idx="197">
                  <c:v>-4.9713091090448405</c:v>
                </c:pt>
                <c:pt idx="198">
                  <c:v>-4.9403685777274946</c:v>
                </c:pt>
                <c:pt idx="199">
                  <c:v>-4.9094280464101479</c:v>
                </c:pt>
                <c:pt idx="200">
                  <c:v>-4.878487515092802</c:v>
                </c:pt>
                <c:pt idx="201">
                  <c:v>-4.8475469837754552</c:v>
                </c:pt>
                <c:pt idx="202">
                  <c:v>-4.8166064524581094</c:v>
                </c:pt>
                <c:pt idx="203">
                  <c:v>-4.7856659211407626</c:v>
                </c:pt>
                <c:pt idx="204">
                  <c:v>-4.7547253898234167</c:v>
                </c:pt>
                <c:pt idx="205">
                  <c:v>-4.7237848585060709</c:v>
                </c:pt>
                <c:pt idx="206">
                  <c:v>-4.6928443271887241</c:v>
                </c:pt>
                <c:pt idx="207">
                  <c:v>-4.6619037958713783</c:v>
                </c:pt>
                <c:pt idx="208">
                  <c:v>-4.6309632645540315</c:v>
                </c:pt>
                <c:pt idx="209">
                  <c:v>-4.6000227332366856</c:v>
                </c:pt>
                <c:pt idx="210">
                  <c:v>-4.5690822019193389</c:v>
                </c:pt>
                <c:pt idx="211">
                  <c:v>-4.538141670601993</c:v>
                </c:pt>
                <c:pt idx="212">
                  <c:v>-4.5072011392846463</c:v>
                </c:pt>
                <c:pt idx="213">
                  <c:v>-4.4762606079673004</c:v>
                </c:pt>
                <c:pt idx="214">
                  <c:v>-4.4453200766499537</c:v>
                </c:pt>
                <c:pt idx="215">
                  <c:v>-4.4143795453326078</c:v>
                </c:pt>
                <c:pt idx="216">
                  <c:v>-4.383439014015261</c:v>
                </c:pt>
                <c:pt idx="217">
                  <c:v>-4.3524984826979152</c:v>
                </c:pt>
                <c:pt idx="218">
                  <c:v>-4.3215579513805693</c:v>
                </c:pt>
                <c:pt idx="219">
                  <c:v>-4.2906174200632226</c:v>
                </c:pt>
                <c:pt idx="220">
                  <c:v>-4.2596768887458767</c:v>
                </c:pt>
                <c:pt idx="221">
                  <c:v>-4.2287363574285299</c:v>
                </c:pt>
                <c:pt idx="222">
                  <c:v>-4.1977958261111841</c:v>
                </c:pt>
                <c:pt idx="223">
                  <c:v>-4.1668552947938373</c:v>
                </c:pt>
                <c:pt idx="224">
                  <c:v>-4.1359147634764915</c:v>
                </c:pt>
                <c:pt idx="225">
                  <c:v>-4.1049742321591447</c:v>
                </c:pt>
                <c:pt idx="226">
                  <c:v>-4.0740337008417988</c:v>
                </c:pt>
                <c:pt idx="227">
                  <c:v>-4.0430931695244521</c:v>
                </c:pt>
                <c:pt idx="228">
                  <c:v>-4.0121526382071062</c:v>
                </c:pt>
                <c:pt idx="229">
                  <c:v>-3.9812121068897595</c:v>
                </c:pt>
                <c:pt idx="230">
                  <c:v>-3.9502715755724136</c:v>
                </c:pt>
                <c:pt idx="231">
                  <c:v>-3.9193310442550677</c:v>
                </c:pt>
                <c:pt idx="232">
                  <c:v>-3.888390512937721</c:v>
                </c:pt>
                <c:pt idx="233">
                  <c:v>-3.8574499816203751</c:v>
                </c:pt>
                <c:pt idx="234">
                  <c:v>-3.8265094503030284</c:v>
                </c:pt>
                <c:pt idx="235">
                  <c:v>-3.7955689189856825</c:v>
                </c:pt>
                <c:pt idx="236">
                  <c:v>-3.7646283876683357</c:v>
                </c:pt>
                <c:pt idx="237">
                  <c:v>-3.7336878563509899</c:v>
                </c:pt>
                <c:pt idx="238">
                  <c:v>-3.7027473250336431</c:v>
                </c:pt>
                <c:pt idx="239">
                  <c:v>-3.6718067937162973</c:v>
                </c:pt>
                <c:pt idx="240">
                  <c:v>-3.6408662623989505</c:v>
                </c:pt>
                <c:pt idx="241">
                  <c:v>-3.6099257310816046</c:v>
                </c:pt>
                <c:pt idx="242">
                  <c:v>-3.5789851997642579</c:v>
                </c:pt>
                <c:pt idx="243">
                  <c:v>-3.548044668446912</c:v>
                </c:pt>
                <c:pt idx="244">
                  <c:v>-3.5171041371295662</c:v>
                </c:pt>
                <c:pt idx="245">
                  <c:v>-3.4861636058122194</c:v>
                </c:pt>
                <c:pt idx="246">
                  <c:v>-3.4552230744948735</c:v>
                </c:pt>
                <c:pt idx="247">
                  <c:v>-3.4242825431775268</c:v>
                </c:pt>
                <c:pt idx="248">
                  <c:v>-3.3933420118601809</c:v>
                </c:pt>
                <c:pt idx="249">
                  <c:v>-3.3624014805428342</c:v>
                </c:pt>
                <c:pt idx="250">
                  <c:v>-3.3314609492254883</c:v>
                </c:pt>
                <c:pt idx="251">
                  <c:v>-3.3005204179081415</c:v>
                </c:pt>
                <c:pt idx="252">
                  <c:v>-3.2695798865907957</c:v>
                </c:pt>
                <c:pt idx="253">
                  <c:v>-3.2386393552734489</c:v>
                </c:pt>
                <c:pt idx="254">
                  <c:v>-3.2076988239561031</c:v>
                </c:pt>
                <c:pt idx="255">
                  <c:v>-3.1767582926387563</c:v>
                </c:pt>
                <c:pt idx="256">
                  <c:v>-3.1458177613214104</c:v>
                </c:pt>
                <c:pt idx="257">
                  <c:v>-3.1148772300040646</c:v>
                </c:pt>
                <c:pt idx="258">
                  <c:v>-3.0839366986867178</c:v>
                </c:pt>
                <c:pt idx="259">
                  <c:v>-3.052996167369372</c:v>
                </c:pt>
                <c:pt idx="260">
                  <c:v>-3.0220556360520252</c:v>
                </c:pt>
                <c:pt idx="261">
                  <c:v>-2.9911151047346785</c:v>
                </c:pt>
                <c:pt idx="262">
                  <c:v>-2.9601745734173335</c:v>
                </c:pt>
                <c:pt idx="263">
                  <c:v>-2.9292340420999867</c:v>
                </c:pt>
                <c:pt idx="264">
                  <c:v>-2.89829351078264</c:v>
                </c:pt>
                <c:pt idx="265">
                  <c:v>-2.8673529794652932</c:v>
                </c:pt>
                <c:pt idx="266">
                  <c:v>-2.8364124481479482</c:v>
                </c:pt>
                <c:pt idx="267">
                  <c:v>-2.8054719168306015</c:v>
                </c:pt>
                <c:pt idx="268">
                  <c:v>-2.7745313855132547</c:v>
                </c:pt>
                <c:pt idx="269">
                  <c:v>-2.7435908541959098</c:v>
                </c:pt>
                <c:pt idx="270">
                  <c:v>-2.712650322878563</c:v>
                </c:pt>
                <c:pt idx="271">
                  <c:v>-2.6817097915612162</c:v>
                </c:pt>
                <c:pt idx="272">
                  <c:v>-2.6507692602438695</c:v>
                </c:pt>
                <c:pt idx="273">
                  <c:v>-2.6198287289265245</c:v>
                </c:pt>
                <c:pt idx="274">
                  <c:v>-2.5888881976091778</c:v>
                </c:pt>
                <c:pt idx="275">
                  <c:v>-2.557947666291831</c:v>
                </c:pt>
                <c:pt idx="276">
                  <c:v>-2.5270071349744843</c:v>
                </c:pt>
                <c:pt idx="277">
                  <c:v>-2.4960666036571393</c:v>
                </c:pt>
                <c:pt idx="278">
                  <c:v>-2.4651260723397925</c:v>
                </c:pt>
                <c:pt idx="279">
                  <c:v>-2.4341855410224458</c:v>
                </c:pt>
                <c:pt idx="280">
                  <c:v>-2.403245009705099</c:v>
                </c:pt>
                <c:pt idx="281">
                  <c:v>-2.372304478387754</c:v>
                </c:pt>
                <c:pt idx="282">
                  <c:v>-2.3413639470704073</c:v>
                </c:pt>
                <c:pt idx="283">
                  <c:v>-2.3104234157530605</c:v>
                </c:pt>
                <c:pt idx="284">
                  <c:v>-2.2794828844357156</c:v>
                </c:pt>
                <c:pt idx="285">
                  <c:v>-2.2485423531183688</c:v>
                </c:pt>
                <c:pt idx="286">
                  <c:v>-2.2176018218010221</c:v>
                </c:pt>
                <c:pt idx="287">
                  <c:v>-2.1866612904836753</c:v>
                </c:pt>
                <c:pt idx="288">
                  <c:v>-2.1557207591663303</c:v>
                </c:pt>
                <c:pt idx="289">
                  <c:v>-2.1247802278489836</c:v>
                </c:pt>
                <c:pt idx="290">
                  <c:v>-2.0938396965316368</c:v>
                </c:pt>
                <c:pt idx="291">
                  <c:v>-2.0628991652142901</c:v>
                </c:pt>
                <c:pt idx="292">
                  <c:v>-2.0319586338969451</c:v>
                </c:pt>
                <c:pt idx="293">
                  <c:v>-2.0010181025795983</c:v>
                </c:pt>
                <c:pt idx="294">
                  <c:v>-1.9700775712622516</c:v>
                </c:pt>
                <c:pt idx="295">
                  <c:v>-1.9391370399449066</c:v>
                </c:pt>
                <c:pt idx="296">
                  <c:v>-1.9081965086275599</c:v>
                </c:pt>
                <c:pt idx="297">
                  <c:v>-1.8772559773102131</c:v>
                </c:pt>
                <c:pt idx="298">
                  <c:v>-1.8463154459928663</c:v>
                </c:pt>
                <c:pt idx="299">
                  <c:v>-1.8153749146755214</c:v>
                </c:pt>
                <c:pt idx="300">
                  <c:v>-1.7844343833581746</c:v>
                </c:pt>
                <c:pt idx="301">
                  <c:v>-1.7534938520408279</c:v>
                </c:pt>
                <c:pt idx="302">
                  <c:v>-1.7225533207234811</c:v>
                </c:pt>
                <c:pt idx="303">
                  <c:v>-1.6916127894061361</c:v>
                </c:pt>
                <c:pt idx="304">
                  <c:v>-1.6606722580887894</c:v>
                </c:pt>
                <c:pt idx="305">
                  <c:v>-1.6297317267714426</c:v>
                </c:pt>
                <c:pt idx="306">
                  <c:v>-1.5987911954540959</c:v>
                </c:pt>
                <c:pt idx="307">
                  <c:v>-1.5678506641367509</c:v>
                </c:pt>
                <c:pt idx="308">
                  <c:v>-1.5369101328194041</c:v>
                </c:pt>
                <c:pt idx="309">
                  <c:v>-1.5059696015020574</c:v>
                </c:pt>
                <c:pt idx="310">
                  <c:v>-1.4750290701847124</c:v>
                </c:pt>
                <c:pt idx="311">
                  <c:v>-1.4440885388673657</c:v>
                </c:pt>
                <c:pt idx="312">
                  <c:v>-1.4131480075500189</c:v>
                </c:pt>
                <c:pt idx="313">
                  <c:v>-1.3822074762326721</c:v>
                </c:pt>
                <c:pt idx="314">
                  <c:v>-1.3512669449153272</c:v>
                </c:pt>
                <c:pt idx="315">
                  <c:v>-1.3203264135979804</c:v>
                </c:pt>
                <c:pt idx="316">
                  <c:v>-1.2893858822806337</c:v>
                </c:pt>
                <c:pt idx="317">
                  <c:v>-1.2584453509632869</c:v>
                </c:pt>
                <c:pt idx="318">
                  <c:v>-1.2275048196459419</c:v>
                </c:pt>
                <c:pt idx="319">
                  <c:v>-1.1965642883285952</c:v>
                </c:pt>
                <c:pt idx="320">
                  <c:v>-1.1656237570112484</c:v>
                </c:pt>
                <c:pt idx="321">
                  <c:v>-1.1346832256939035</c:v>
                </c:pt>
                <c:pt idx="322">
                  <c:v>-1.1037426943765567</c:v>
                </c:pt>
                <c:pt idx="323">
                  <c:v>-1.0728021630592099</c:v>
                </c:pt>
                <c:pt idx="324">
                  <c:v>-1.0418616317418632</c:v>
                </c:pt>
                <c:pt idx="325">
                  <c:v>-1.0109211004245182</c:v>
                </c:pt>
                <c:pt idx="326">
                  <c:v>-0.97998056910717146</c:v>
                </c:pt>
                <c:pt idx="327">
                  <c:v>-0.94904003778982471</c:v>
                </c:pt>
                <c:pt idx="328">
                  <c:v>-0.91809950647247796</c:v>
                </c:pt>
                <c:pt idx="329">
                  <c:v>-0.88715897515513298</c:v>
                </c:pt>
                <c:pt idx="330">
                  <c:v>-0.85621844383778623</c:v>
                </c:pt>
                <c:pt idx="331">
                  <c:v>-0.82527791252043947</c:v>
                </c:pt>
                <c:pt idx="332">
                  <c:v>-0.79433738120309272</c:v>
                </c:pt>
                <c:pt idx="333">
                  <c:v>-0.76339684988574774</c:v>
                </c:pt>
                <c:pt idx="334">
                  <c:v>-0.73245631856840099</c:v>
                </c:pt>
                <c:pt idx="335">
                  <c:v>-0.70151578725105423</c:v>
                </c:pt>
                <c:pt idx="336">
                  <c:v>-0.67057525593370926</c:v>
                </c:pt>
                <c:pt idx="337">
                  <c:v>-0.6396347246163625</c:v>
                </c:pt>
                <c:pt idx="338">
                  <c:v>-0.60869419329901575</c:v>
                </c:pt>
                <c:pt idx="339">
                  <c:v>-0.577753661981669</c:v>
                </c:pt>
                <c:pt idx="340">
                  <c:v>-0.54681313066432402</c:v>
                </c:pt>
                <c:pt idx="341">
                  <c:v>-0.51587259934697727</c:v>
                </c:pt>
                <c:pt idx="342">
                  <c:v>-0.48493206802963051</c:v>
                </c:pt>
                <c:pt idx="343">
                  <c:v>-0.45399153671228376</c:v>
                </c:pt>
                <c:pt idx="344">
                  <c:v>-0.42305100539493878</c:v>
                </c:pt>
                <c:pt idx="345">
                  <c:v>-0.39211047407759203</c:v>
                </c:pt>
                <c:pt idx="346">
                  <c:v>-0.36116994276024528</c:v>
                </c:pt>
                <c:pt idx="347">
                  <c:v>-0.3302294114429003</c:v>
                </c:pt>
                <c:pt idx="348">
                  <c:v>-0.29928888012555355</c:v>
                </c:pt>
                <c:pt idx="349">
                  <c:v>-0.26834834880820679</c:v>
                </c:pt>
                <c:pt idx="350">
                  <c:v>-0.23740781749086004</c:v>
                </c:pt>
                <c:pt idx="351">
                  <c:v>-0.20646728617351506</c:v>
                </c:pt>
                <c:pt idx="352">
                  <c:v>-0.17552675485616831</c:v>
                </c:pt>
                <c:pt idx="353">
                  <c:v>-0.14458622353882156</c:v>
                </c:pt>
                <c:pt idx="354">
                  <c:v>-0.1136456922214748</c:v>
                </c:pt>
                <c:pt idx="355">
                  <c:v>-8.2705160904129826E-2</c:v>
                </c:pt>
                <c:pt idx="356">
                  <c:v>-5.1764629586783073E-2</c:v>
                </c:pt>
                <c:pt idx="357">
                  <c:v>-2.082409826943632E-2</c:v>
                </c:pt>
                <c:pt idx="358">
                  <c:v>1.0116433047910434E-2</c:v>
                </c:pt>
                <c:pt idx="359">
                  <c:v>4.1056964365255411E-2</c:v>
                </c:pt>
                <c:pt idx="360">
                  <c:v>7.1997495682602164E-2</c:v>
                </c:pt>
                <c:pt idx="361">
                  <c:v>0.10293802699994892</c:v>
                </c:pt>
                <c:pt idx="362">
                  <c:v>0.13387855831729389</c:v>
                </c:pt>
                <c:pt idx="363">
                  <c:v>0.16481908963464065</c:v>
                </c:pt>
                <c:pt idx="364">
                  <c:v>0.1957596209519874</c:v>
                </c:pt>
                <c:pt idx="365">
                  <c:v>0.22670015226933415</c:v>
                </c:pt>
                <c:pt idx="366">
                  <c:v>0.25764068358667913</c:v>
                </c:pt>
                <c:pt idx="367">
                  <c:v>0.28858121490402588</c:v>
                </c:pt>
                <c:pt idx="368">
                  <c:v>0.31952174622137264</c:v>
                </c:pt>
                <c:pt idx="369">
                  <c:v>0.35046227753871939</c:v>
                </c:pt>
                <c:pt idx="370">
                  <c:v>0.38140280885606437</c:v>
                </c:pt>
                <c:pt idx="371">
                  <c:v>0.41234334017341112</c:v>
                </c:pt>
                <c:pt idx="372">
                  <c:v>0.44328387149075787</c:v>
                </c:pt>
                <c:pt idx="373">
                  <c:v>0.47422440280810285</c:v>
                </c:pt>
                <c:pt idx="374">
                  <c:v>0.50516493412544961</c:v>
                </c:pt>
                <c:pt idx="375">
                  <c:v>0.53610546544279636</c:v>
                </c:pt>
                <c:pt idx="376">
                  <c:v>0.56704599676014311</c:v>
                </c:pt>
                <c:pt idx="377">
                  <c:v>0.59798652807748809</c:v>
                </c:pt>
                <c:pt idx="378">
                  <c:v>0.62892705939483484</c:v>
                </c:pt>
                <c:pt idx="379">
                  <c:v>0.6598675907121816</c:v>
                </c:pt>
                <c:pt idx="380">
                  <c:v>0.69080812202952835</c:v>
                </c:pt>
                <c:pt idx="381">
                  <c:v>0.72174865334687333</c:v>
                </c:pt>
                <c:pt idx="382">
                  <c:v>0.75268918466422008</c:v>
                </c:pt>
                <c:pt idx="383">
                  <c:v>0.78362971598156683</c:v>
                </c:pt>
                <c:pt idx="384">
                  <c:v>0.81457024729891181</c:v>
                </c:pt>
                <c:pt idx="385">
                  <c:v>0.84551077861625856</c:v>
                </c:pt>
                <c:pt idx="386">
                  <c:v>0.87645130993360532</c:v>
                </c:pt>
                <c:pt idx="387">
                  <c:v>0.90739184125095207</c:v>
                </c:pt>
                <c:pt idx="388">
                  <c:v>0.93833237256829705</c:v>
                </c:pt>
                <c:pt idx="389">
                  <c:v>0.9692729038856438</c:v>
                </c:pt>
                <c:pt idx="390">
                  <c:v>1.0002134352029906</c:v>
                </c:pt>
                <c:pt idx="391">
                  <c:v>1.0311539665203373</c:v>
                </c:pt>
                <c:pt idx="392">
                  <c:v>1.0620944978376823</c:v>
                </c:pt>
                <c:pt idx="393">
                  <c:v>1.093035029155029</c:v>
                </c:pt>
                <c:pt idx="394">
                  <c:v>1.1239755604723758</c:v>
                </c:pt>
                <c:pt idx="395">
                  <c:v>1.1549160917897225</c:v>
                </c:pt>
                <c:pt idx="396">
                  <c:v>1.1858566231070675</c:v>
                </c:pt>
                <c:pt idx="397">
                  <c:v>1.2167971544244143</c:v>
                </c:pt>
                <c:pt idx="398">
                  <c:v>1.247737685741761</c:v>
                </c:pt>
                <c:pt idx="399">
                  <c:v>1.278678217059106</c:v>
                </c:pt>
                <c:pt idx="400">
                  <c:v>1.3096187483764528</c:v>
                </c:pt>
                <c:pt idx="401">
                  <c:v>1.3405592796937995</c:v>
                </c:pt>
                <c:pt idx="402">
                  <c:v>1.3714998110111463</c:v>
                </c:pt>
                <c:pt idx="403">
                  <c:v>1.4024403423284912</c:v>
                </c:pt>
                <c:pt idx="404">
                  <c:v>1.433380873645838</c:v>
                </c:pt>
                <c:pt idx="405">
                  <c:v>1.4643214049631847</c:v>
                </c:pt>
                <c:pt idx="406">
                  <c:v>1.4952619362805315</c:v>
                </c:pt>
                <c:pt idx="407">
                  <c:v>1.5262024675978765</c:v>
                </c:pt>
                <c:pt idx="408">
                  <c:v>1.5571429989152232</c:v>
                </c:pt>
                <c:pt idx="409">
                  <c:v>1.58808353023257</c:v>
                </c:pt>
                <c:pt idx="410">
                  <c:v>1.619024061549915</c:v>
                </c:pt>
                <c:pt idx="411">
                  <c:v>1.6499645928672617</c:v>
                </c:pt>
                <c:pt idx="412">
                  <c:v>1.6809051241846085</c:v>
                </c:pt>
                <c:pt idx="413">
                  <c:v>1.7118456555019552</c:v>
                </c:pt>
                <c:pt idx="414">
                  <c:v>1.7427861868193002</c:v>
                </c:pt>
                <c:pt idx="415">
                  <c:v>1.773726718136647</c:v>
                </c:pt>
                <c:pt idx="416">
                  <c:v>1.8046672494539937</c:v>
                </c:pt>
                <c:pt idx="417">
                  <c:v>1.8356077807713405</c:v>
                </c:pt>
                <c:pt idx="418">
                  <c:v>1.8665483120886854</c:v>
                </c:pt>
                <c:pt idx="419">
                  <c:v>1.8974888434060322</c:v>
                </c:pt>
                <c:pt idx="420">
                  <c:v>1.9284293747233789</c:v>
                </c:pt>
                <c:pt idx="421">
                  <c:v>1.9593699060407257</c:v>
                </c:pt>
                <c:pt idx="422">
                  <c:v>1.9903104373580707</c:v>
                </c:pt>
                <c:pt idx="423">
                  <c:v>2.0212509686754174</c:v>
                </c:pt>
                <c:pt idx="424">
                  <c:v>2.0521914999927642</c:v>
                </c:pt>
                <c:pt idx="425">
                  <c:v>2.0831320313101092</c:v>
                </c:pt>
                <c:pt idx="426">
                  <c:v>2.1140725626274559</c:v>
                </c:pt>
                <c:pt idx="427">
                  <c:v>2.1450130939448027</c:v>
                </c:pt>
                <c:pt idx="428">
                  <c:v>2.1759536252621494</c:v>
                </c:pt>
                <c:pt idx="429">
                  <c:v>2.2068941565794944</c:v>
                </c:pt>
                <c:pt idx="430">
                  <c:v>2.2378346878968411</c:v>
                </c:pt>
                <c:pt idx="431">
                  <c:v>2.2687752192141879</c:v>
                </c:pt>
                <c:pt idx="432">
                  <c:v>2.2997157505315347</c:v>
                </c:pt>
                <c:pt idx="433">
                  <c:v>2.3306562818488796</c:v>
                </c:pt>
                <c:pt idx="434">
                  <c:v>2.3615968131662264</c:v>
                </c:pt>
                <c:pt idx="435">
                  <c:v>2.3925373444835731</c:v>
                </c:pt>
                <c:pt idx="436">
                  <c:v>2.4234778758009181</c:v>
                </c:pt>
                <c:pt idx="437">
                  <c:v>2.4544184071182649</c:v>
                </c:pt>
                <c:pt idx="438">
                  <c:v>2.4853589384356116</c:v>
                </c:pt>
                <c:pt idx="439">
                  <c:v>2.5162994697529584</c:v>
                </c:pt>
                <c:pt idx="440">
                  <c:v>2.5472400010703034</c:v>
                </c:pt>
                <c:pt idx="441">
                  <c:v>2.5781805323876501</c:v>
                </c:pt>
                <c:pt idx="442">
                  <c:v>2.6091210637049969</c:v>
                </c:pt>
                <c:pt idx="443">
                  <c:v>2.6400615950223436</c:v>
                </c:pt>
                <c:pt idx="444">
                  <c:v>2.6710021263396886</c:v>
                </c:pt>
                <c:pt idx="445">
                  <c:v>2.7019426576570353</c:v>
                </c:pt>
                <c:pt idx="446">
                  <c:v>2.7328831889743821</c:v>
                </c:pt>
                <c:pt idx="447">
                  <c:v>2.7638237202917288</c:v>
                </c:pt>
                <c:pt idx="448">
                  <c:v>2.7947642516090738</c:v>
                </c:pt>
                <c:pt idx="449">
                  <c:v>2.8257047829264206</c:v>
                </c:pt>
                <c:pt idx="450">
                  <c:v>2.8566453142437673</c:v>
                </c:pt>
                <c:pt idx="451">
                  <c:v>2.8875858455611123</c:v>
                </c:pt>
                <c:pt idx="452">
                  <c:v>2.9185263768784591</c:v>
                </c:pt>
                <c:pt idx="453">
                  <c:v>2.9494669081958058</c:v>
                </c:pt>
                <c:pt idx="454">
                  <c:v>2.9804074395131526</c:v>
                </c:pt>
                <c:pt idx="455">
                  <c:v>3.0113479708304975</c:v>
                </c:pt>
                <c:pt idx="456">
                  <c:v>3.0422885021478443</c:v>
                </c:pt>
                <c:pt idx="457">
                  <c:v>3.0732290334651911</c:v>
                </c:pt>
                <c:pt idx="458">
                  <c:v>3.1041695647825378</c:v>
                </c:pt>
                <c:pt idx="459">
                  <c:v>3.1351100960998828</c:v>
                </c:pt>
                <c:pt idx="460">
                  <c:v>3.1660506274172295</c:v>
                </c:pt>
                <c:pt idx="461">
                  <c:v>3.1969911587345763</c:v>
                </c:pt>
                <c:pt idx="462">
                  <c:v>3.2279316900519213</c:v>
                </c:pt>
                <c:pt idx="463">
                  <c:v>3.258872221369268</c:v>
                </c:pt>
                <c:pt idx="464">
                  <c:v>3.2898127526866148</c:v>
                </c:pt>
                <c:pt idx="465">
                  <c:v>3.3207532840039615</c:v>
                </c:pt>
                <c:pt idx="466">
                  <c:v>3.3516938153213065</c:v>
                </c:pt>
                <c:pt idx="467">
                  <c:v>3.3826343466386533</c:v>
                </c:pt>
                <c:pt idx="468">
                  <c:v>3.413574877956</c:v>
                </c:pt>
                <c:pt idx="469">
                  <c:v>3.4445154092733468</c:v>
                </c:pt>
                <c:pt idx="470">
                  <c:v>3.4754559405906917</c:v>
                </c:pt>
                <c:pt idx="471">
                  <c:v>3.5063964719080385</c:v>
                </c:pt>
                <c:pt idx="472">
                  <c:v>3.5373370032253852</c:v>
                </c:pt>
                <c:pt idx="473">
                  <c:v>3.568277534542732</c:v>
                </c:pt>
                <c:pt idx="474">
                  <c:v>3.599218065860077</c:v>
                </c:pt>
                <c:pt idx="475">
                  <c:v>3.6301585971774237</c:v>
                </c:pt>
                <c:pt idx="476">
                  <c:v>3.6610991284947705</c:v>
                </c:pt>
                <c:pt idx="477">
                  <c:v>3.6920396598121155</c:v>
                </c:pt>
                <c:pt idx="478">
                  <c:v>3.7229801911294622</c:v>
                </c:pt>
                <c:pt idx="479">
                  <c:v>3.753920722446809</c:v>
                </c:pt>
                <c:pt idx="480">
                  <c:v>3.7848612537641557</c:v>
                </c:pt>
                <c:pt idx="481">
                  <c:v>3.8158017850815007</c:v>
                </c:pt>
                <c:pt idx="482">
                  <c:v>3.8467423163988474</c:v>
                </c:pt>
                <c:pt idx="483">
                  <c:v>3.8776828477161942</c:v>
                </c:pt>
                <c:pt idx="484">
                  <c:v>3.908623379033541</c:v>
                </c:pt>
                <c:pt idx="485">
                  <c:v>3.9395639103508859</c:v>
                </c:pt>
                <c:pt idx="486">
                  <c:v>3.9705044416682327</c:v>
                </c:pt>
                <c:pt idx="487">
                  <c:v>4.0014449729855794</c:v>
                </c:pt>
                <c:pt idx="488">
                  <c:v>4.0323855043029244</c:v>
                </c:pt>
                <c:pt idx="489">
                  <c:v>4.0633260356202712</c:v>
                </c:pt>
                <c:pt idx="490">
                  <c:v>4.0942665669376179</c:v>
                </c:pt>
                <c:pt idx="491">
                  <c:v>4.1252070982549647</c:v>
                </c:pt>
                <c:pt idx="492">
                  <c:v>4.1561476295723097</c:v>
                </c:pt>
                <c:pt idx="493">
                  <c:v>4.1870881608896564</c:v>
                </c:pt>
                <c:pt idx="494">
                  <c:v>4.2180286922070032</c:v>
                </c:pt>
                <c:pt idx="495">
                  <c:v>4.2489692235243499</c:v>
                </c:pt>
                <c:pt idx="496">
                  <c:v>4.2799097548416949</c:v>
                </c:pt>
                <c:pt idx="497">
                  <c:v>4.3108502861590416</c:v>
                </c:pt>
                <c:pt idx="498">
                  <c:v>4.3417908174763884</c:v>
                </c:pt>
                <c:pt idx="499">
                  <c:v>4.3727313487937352</c:v>
                </c:pt>
                <c:pt idx="500">
                  <c:v>4.4036718801110801</c:v>
                </c:pt>
                <c:pt idx="501">
                  <c:v>4.4346124114284269</c:v>
                </c:pt>
                <c:pt idx="502">
                  <c:v>4.4655529427457736</c:v>
                </c:pt>
                <c:pt idx="503">
                  <c:v>4.4964934740631186</c:v>
                </c:pt>
                <c:pt idx="504">
                  <c:v>4.5274340053804654</c:v>
                </c:pt>
                <c:pt idx="505">
                  <c:v>4.5583745366978121</c:v>
                </c:pt>
                <c:pt idx="506">
                  <c:v>4.5893150680151589</c:v>
                </c:pt>
                <c:pt idx="507">
                  <c:v>4.6202555993325038</c:v>
                </c:pt>
                <c:pt idx="508">
                  <c:v>4.6511961306498506</c:v>
                </c:pt>
                <c:pt idx="509">
                  <c:v>4.6821366619671974</c:v>
                </c:pt>
                <c:pt idx="510">
                  <c:v>4.7130771932845441</c:v>
                </c:pt>
                <c:pt idx="511">
                  <c:v>4.7440177246018891</c:v>
                </c:pt>
                <c:pt idx="512">
                  <c:v>4.7749582559192358</c:v>
                </c:pt>
                <c:pt idx="513">
                  <c:v>4.8058987872365826</c:v>
                </c:pt>
                <c:pt idx="514">
                  <c:v>4.8368393185539276</c:v>
                </c:pt>
                <c:pt idx="515">
                  <c:v>4.8677798498712743</c:v>
                </c:pt>
                <c:pt idx="516">
                  <c:v>4.8987203811886211</c:v>
                </c:pt>
                <c:pt idx="517">
                  <c:v>4.9296609125059678</c:v>
                </c:pt>
                <c:pt idx="518">
                  <c:v>4.9606014438233128</c:v>
                </c:pt>
                <c:pt idx="519">
                  <c:v>4.9915419751406613</c:v>
                </c:pt>
                <c:pt idx="520">
                  <c:v>5.0224825064580063</c:v>
                </c:pt>
                <c:pt idx="521">
                  <c:v>5.0534230377753513</c:v>
                </c:pt>
                <c:pt idx="522">
                  <c:v>5.0843635690926998</c:v>
                </c:pt>
                <c:pt idx="523">
                  <c:v>5.1153041004100448</c:v>
                </c:pt>
                <c:pt idx="524">
                  <c:v>5.1462446317273898</c:v>
                </c:pt>
                <c:pt idx="525">
                  <c:v>5.1771851630447383</c:v>
                </c:pt>
                <c:pt idx="526">
                  <c:v>5.2081256943620833</c:v>
                </c:pt>
                <c:pt idx="527">
                  <c:v>5.2390662256794283</c:v>
                </c:pt>
                <c:pt idx="528">
                  <c:v>5.2700067569967768</c:v>
                </c:pt>
                <c:pt idx="529">
                  <c:v>5.3009472883141218</c:v>
                </c:pt>
                <c:pt idx="530">
                  <c:v>5.3318878196314703</c:v>
                </c:pt>
                <c:pt idx="531">
                  <c:v>5.3628283509488153</c:v>
                </c:pt>
                <c:pt idx="532">
                  <c:v>5.3937688822661602</c:v>
                </c:pt>
                <c:pt idx="533">
                  <c:v>5.4247094135835088</c:v>
                </c:pt>
                <c:pt idx="534">
                  <c:v>5.4556499449008538</c:v>
                </c:pt>
                <c:pt idx="535">
                  <c:v>5.4865904762181987</c:v>
                </c:pt>
                <c:pt idx="536">
                  <c:v>5.5175310075355473</c:v>
                </c:pt>
                <c:pt idx="537">
                  <c:v>5.5484715388528922</c:v>
                </c:pt>
                <c:pt idx="538">
                  <c:v>5.5794120701702372</c:v>
                </c:pt>
                <c:pt idx="539">
                  <c:v>5.6103526014875857</c:v>
                </c:pt>
                <c:pt idx="540">
                  <c:v>5.6412931328049307</c:v>
                </c:pt>
                <c:pt idx="541">
                  <c:v>5.6722336641222793</c:v>
                </c:pt>
                <c:pt idx="542">
                  <c:v>5.7031741954396242</c:v>
                </c:pt>
                <c:pt idx="543">
                  <c:v>5.7341147267569692</c:v>
                </c:pt>
                <c:pt idx="544">
                  <c:v>5.7650552580743177</c:v>
                </c:pt>
                <c:pt idx="545">
                  <c:v>5.7959957893916627</c:v>
                </c:pt>
                <c:pt idx="546">
                  <c:v>5.8269363207090077</c:v>
                </c:pt>
                <c:pt idx="547">
                  <c:v>5.8578768520263562</c:v>
                </c:pt>
                <c:pt idx="548">
                  <c:v>5.8888173833437012</c:v>
                </c:pt>
                <c:pt idx="549">
                  <c:v>5.9197579146610497</c:v>
                </c:pt>
                <c:pt idx="550">
                  <c:v>5.9506984459783947</c:v>
                </c:pt>
                <c:pt idx="551">
                  <c:v>5.9816389772957397</c:v>
                </c:pt>
                <c:pt idx="552">
                  <c:v>6.0125795086130882</c:v>
                </c:pt>
                <c:pt idx="553">
                  <c:v>6.0435200399304332</c:v>
                </c:pt>
                <c:pt idx="554">
                  <c:v>6.0744605712477782</c:v>
                </c:pt>
                <c:pt idx="555">
                  <c:v>6.1054011025651267</c:v>
                </c:pt>
                <c:pt idx="556">
                  <c:v>6.1363416338824717</c:v>
                </c:pt>
                <c:pt idx="557">
                  <c:v>6.1672821651998166</c:v>
                </c:pt>
                <c:pt idx="558">
                  <c:v>6.1982226965171652</c:v>
                </c:pt>
                <c:pt idx="559">
                  <c:v>6.2291632278345102</c:v>
                </c:pt>
                <c:pt idx="560">
                  <c:v>6.2601037591518587</c:v>
                </c:pt>
                <c:pt idx="561">
                  <c:v>6.2910442904692037</c:v>
                </c:pt>
                <c:pt idx="562">
                  <c:v>6.3219848217865486</c:v>
                </c:pt>
                <c:pt idx="563">
                  <c:v>6.3529253531038972</c:v>
                </c:pt>
                <c:pt idx="564">
                  <c:v>6.3838658844212421</c:v>
                </c:pt>
                <c:pt idx="565">
                  <c:v>6.4148064157385871</c:v>
                </c:pt>
                <c:pt idx="566">
                  <c:v>6.4457469470559356</c:v>
                </c:pt>
                <c:pt idx="567">
                  <c:v>6.4766874783732806</c:v>
                </c:pt>
                <c:pt idx="568">
                  <c:v>6.5076280096906256</c:v>
                </c:pt>
                <c:pt idx="569">
                  <c:v>6.5385685410079741</c:v>
                </c:pt>
                <c:pt idx="570">
                  <c:v>6.5695090723253191</c:v>
                </c:pt>
                <c:pt idx="571">
                  <c:v>6.6004496036426676</c:v>
                </c:pt>
                <c:pt idx="572">
                  <c:v>6.6313901349600126</c:v>
                </c:pt>
                <c:pt idx="573">
                  <c:v>6.6623306662773576</c:v>
                </c:pt>
                <c:pt idx="574">
                  <c:v>6.6932711975947061</c:v>
                </c:pt>
                <c:pt idx="575">
                  <c:v>6.7242117289120511</c:v>
                </c:pt>
                <c:pt idx="576">
                  <c:v>6.7551522602293961</c:v>
                </c:pt>
                <c:pt idx="577">
                  <c:v>6.7860927915467446</c:v>
                </c:pt>
                <c:pt idx="578">
                  <c:v>6.8170333228640896</c:v>
                </c:pt>
                <c:pt idx="579">
                  <c:v>6.8479738541814346</c:v>
                </c:pt>
                <c:pt idx="580">
                  <c:v>6.8789143854987831</c:v>
                </c:pt>
                <c:pt idx="581">
                  <c:v>6.9098549168161281</c:v>
                </c:pt>
                <c:pt idx="582">
                  <c:v>6.9407954481334766</c:v>
                </c:pt>
                <c:pt idx="583">
                  <c:v>6.9717359794508216</c:v>
                </c:pt>
                <c:pt idx="584">
                  <c:v>7.0026765107681666</c:v>
                </c:pt>
                <c:pt idx="585">
                  <c:v>7.0336170420855151</c:v>
                </c:pt>
                <c:pt idx="586">
                  <c:v>7.0645575734028601</c:v>
                </c:pt>
                <c:pt idx="587">
                  <c:v>7.095498104720205</c:v>
                </c:pt>
                <c:pt idx="588">
                  <c:v>7.1264386360375536</c:v>
                </c:pt>
                <c:pt idx="589">
                  <c:v>7.1573791673548985</c:v>
                </c:pt>
                <c:pt idx="590">
                  <c:v>7.1883196986722435</c:v>
                </c:pt>
                <c:pt idx="591">
                  <c:v>7.219260229989592</c:v>
                </c:pt>
                <c:pt idx="592">
                  <c:v>7.250200761306937</c:v>
                </c:pt>
                <c:pt idx="593">
                  <c:v>7.2811412926242856</c:v>
                </c:pt>
                <c:pt idx="594">
                  <c:v>7.3120818239416305</c:v>
                </c:pt>
                <c:pt idx="595">
                  <c:v>7.3430223552589755</c:v>
                </c:pt>
                <c:pt idx="596">
                  <c:v>7.373962886576324</c:v>
                </c:pt>
                <c:pt idx="597">
                  <c:v>7.404903417893669</c:v>
                </c:pt>
                <c:pt idx="598">
                  <c:v>7.435843949211014</c:v>
                </c:pt>
                <c:pt idx="599">
                  <c:v>7.4667844805283625</c:v>
                </c:pt>
                <c:pt idx="600">
                  <c:v>7.4977250118457075</c:v>
                </c:pt>
                <c:pt idx="601">
                  <c:v>7.528665543163056</c:v>
                </c:pt>
                <c:pt idx="602">
                  <c:v>7.559606074480401</c:v>
                </c:pt>
                <c:pt idx="603">
                  <c:v>7.590546605797746</c:v>
                </c:pt>
                <c:pt idx="604">
                  <c:v>7.6214871371150945</c:v>
                </c:pt>
                <c:pt idx="605">
                  <c:v>7.6524276684324395</c:v>
                </c:pt>
                <c:pt idx="606">
                  <c:v>7.6833681997497845</c:v>
                </c:pt>
                <c:pt idx="607">
                  <c:v>7.714308731067133</c:v>
                </c:pt>
                <c:pt idx="608">
                  <c:v>7.745249262384478</c:v>
                </c:pt>
                <c:pt idx="609">
                  <c:v>7.7761897937018229</c:v>
                </c:pt>
                <c:pt idx="610">
                  <c:v>7.8071303250191715</c:v>
                </c:pt>
                <c:pt idx="611">
                  <c:v>7.8380708563365165</c:v>
                </c:pt>
                <c:pt idx="612">
                  <c:v>7.869011387653865</c:v>
                </c:pt>
                <c:pt idx="613">
                  <c:v>7.89995191897121</c:v>
                </c:pt>
                <c:pt idx="614">
                  <c:v>7.9308924502885549</c:v>
                </c:pt>
                <c:pt idx="615">
                  <c:v>7.9618329816059035</c:v>
                </c:pt>
                <c:pt idx="616">
                  <c:v>7.9927735129232484</c:v>
                </c:pt>
                <c:pt idx="617">
                  <c:v>8.0237140442405934</c:v>
                </c:pt>
                <c:pt idx="618">
                  <c:v>8.054654575557942</c:v>
                </c:pt>
                <c:pt idx="619">
                  <c:v>8.0855951068752869</c:v>
                </c:pt>
                <c:pt idx="620">
                  <c:v>8.1165356381926319</c:v>
                </c:pt>
                <c:pt idx="621">
                  <c:v>8.1474761695099804</c:v>
                </c:pt>
                <c:pt idx="622">
                  <c:v>8.1784167008273254</c:v>
                </c:pt>
                <c:pt idx="623">
                  <c:v>8.2093572321446739</c:v>
                </c:pt>
                <c:pt idx="624">
                  <c:v>8.2402977634620189</c:v>
                </c:pt>
                <c:pt idx="625">
                  <c:v>8.2712382947793639</c:v>
                </c:pt>
                <c:pt idx="626">
                  <c:v>8.3021788260967124</c:v>
                </c:pt>
                <c:pt idx="627">
                  <c:v>8.3331193574140574</c:v>
                </c:pt>
                <c:pt idx="628">
                  <c:v>8.3640598887314024</c:v>
                </c:pt>
                <c:pt idx="629">
                  <c:v>8.3950004200487509</c:v>
                </c:pt>
                <c:pt idx="630">
                  <c:v>8.4259409513660959</c:v>
                </c:pt>
                <c:pt idx="631">
                  <c:v>8.4568814826834409</c:v>
                </c:pt>
                <c:pt idx="632">
                  <c:v>8.4878220140007894</c:v>
                </c:pt>
                <c:pt idx="633">
                  <c:v>8.5187625453181344</c:v>
                </c:pt>
                <c:pt idx="634">
                  <c:v>8.5497030766354829</c:v>
                </c:pt>
                <c:pt idx="635">
                  <c:v>8.5806436079528279</c:v>
                </c:pt>
                <c:pt idx="636">
                  <c:v>8.6115841392701729</c:v>
                </c:pt>
                <c:pt idx="637">
                  <c:v>8.6425246705875214</c:v>
                </c:pt>
                <c:pt idx="638">
                  <c:v>8.6734652019048664</c:v>
                </c:pt>
                <c:pt idx="639">
                  <c:v>8.7044057332222113</c:v>
                </c:pt>
                <c:pt idx="640">
                  <c:v>8.7353462645395599</c:v>
                </c:pt>
                <c:pt idx="641">
                  <c:v>8.7662867958569048</c:v>
                </c:pt>
                <c:pt idx="642">
                  <c:v>8.7972273271742498</c:v>
                </c:pt>
                <c:pt idx="643">
                  <c:v>8.8281678584915984</c:v>
                </c:pt>
                <c:pt idx="644">
                  <c:v>8.8591083898089433</c:v>
                </c:pt>
                <c:pt idx="645">
                  <c:v>8.8900489211262919</c:v>
                </c:pt>
                <c:pt idx="646">
                  <c:v>8.9209894524436368</c:v>
                </c:pt>
                <c:pt idx="647">
                  <c:v>8.9519299837609818</c:v>
                </c:pt>
                <c:pt idx="648">
                  <c:v>8.9828705150783303</c:v>
                </c:pt>
                <c:pt idx="649">
                  <c:v>9.0138110463956753</c:v>
                </c:pt>
                <c:pt idx="650">
                  <c:v>9.0447515777130203</c:v>
                </c:pt>
                <c:pt idx="651">
                  <c:v>9.0756921090303688</c:v>
                </c:pt>
                <c:pt idx="652">
                  <c:v>9.1066326403477138</c:v>
                </c:pt>
                <c:pt idx="653">
                  <c:v>9.1375731716650588</c:v>
                </c:pt>
                <c:pt idx="654">
                  <c:v>9.1685137029824073</c:v>
                </c:pt>
                <c:pt idx="655">
                  <c:v>9.1994542342997523</c:v>
                </c:pt>
                <c:pt idx="656">
                  <c:v>9.2303947656171008</c:v>
                </c:pt>
                <c:pt idx="657">
                  <c:v>9.2613352969344458</c:v>
                </c:pt>
                <c:pt idx="658">
                  <c:v>9.2922758282517908</c:v>
                </c:pt>
                <c:pt idx="659">
                  <c:v>9.3232163595691393</c:v>
                </c:pt>
                <c:pt idx="660">
                  <c:v>9.3541568908864843</c:v>
                </c:pt>
                <c:pt idx="661">
                  <c:v>9.3850974222038293</c:v>
                </c:pt>
                <c:pt idx="662">
                  <c:v>9.4160379535211778</c:v>
                </c:pt>
                <c:pt idx="663">
                  <c:v>9.4469784848385228</c:v>
                </c:pt>
                <c:pt idx="664">
                  <c:v>9.4779190161558713</c:v>
                </c:pt>
                <c:pt idx="665">
                  <c:v>9.5088595474732163</c:v>
                </c:pt>
                <c:pt idx="666">
                  <c:v>9.5398000787905612</c:v>
                </c:pt>
                <c:pt idx="667">
                  <c:v>9.5707406101079098</c:v>
                </c:pt>
                <c:pt idx="668">
                  <c:v>9.6016811414252548</c:v>
                </c:pt>
                <c:pt idx="669">
                  <c:v>9.6326216727425997</c:v>
                </c:pt>
                <c:pt idx="670">
                  <c:v>9.6635622040599483</c:v>
                </c:pt>
                <c:pt idx="671">
                  <c:v>9.6945027353772932</c:v>
                </c:pt>
                <c:pt idx="672">
                  <c:v>9.7254432666946382</c:v>
                </c:pt>
                <c:pt idx="673">
                  <c:v>9.7563837980119867</c:v>
                </c:pt>
                <c:pt idx="674">
                  <c:v>9.7873243293293317</c:v>
                </c:pt>
                <c:pt idx="675">
                  <c:v>9.8182648606466802</c:v>
                </c:pt>
                <c:pt idx="676">
                  <c:v>9.8492053919640252</c:v>
                </c:pt>
                <c:pt idx="677">
                  <c:v>9.8801459232813702</c:v>
                </c:pt>
                <c:pt idx="678">
                  <c:v>9.9110864545987187</c:v>
                </c:pt>
                <c:pt idx="679">
                  <c:v>9.9420269859160637</c:v>
                </c:pt>
                <c:pt idx="680">
                  <c:v>9.9729675172334087</c:v>
                </c:pt>
                <c:pt idx="681">
                  <c:v>10.003908048550757</c:v>
                </c:pt>
                <c:pt idx="682">
                  <c:v>10.034848579868102</c:v>
                </c:pt>
                <c:pt idx="683">
                  <c:v>10.065789111185447</c:v>
                </c:pt>
                <c:pt idx="684">
                  <c:v>10.096729642502796</c:v>
                </c:pt>
                <c:pt idx="685">
                  <c:v>10.127670173820141</c:v>
                </c:pt>
                <c:pt idx="686">
                  <c:v>10.158610705137489</c:v>
                </c:pt>
                <c:pt idx="687">
                  <c:v>10.189551236454834</c:v>
                </c:pt>
                <c:pt idx="688">
                  <c:v>10.220491767772179</c:v>
                </c:pt>
                <c:pt idx="689">
                  <c:v>10.251432299089528</c:v>
                </c:pt>
                <c:pt idx="690">
                  <c:v>10.282372830406873</c:v>
                </c:pt>
                <c:pt idx="691">
                  <c:v>10.313313361724218</c:v>
                </c:pt>
                <c:pt idx="692">
                  <c:v>10.344253893041566</c:v>
                </c:pt>
                <c:pt idx="693">
                  <c:v>10.375194424358911</c:v>
                </c:pt>
                <c:pt idx="694">
                  <c:v>10.406134955676256</c:v>
                </c:pt>
                <c:pt idx="695">
                  <c:v>10.437075486993605</c:v>
                </c:pt>
                <c:pt idx="696">
                  <c:v>10.46801601831095</c:v>
                </c:pt>
                <c:pt idx="697">
                  <c:v>10.498956549628298</c:v>
                </c:pt>
                <c:pt idx="698">
                  <c:v>10.529897080945643</c:v>
                </c:pt>
                <c:pt idx="699">
                  <c:v>10.560837612262988</c:v>
                </c:pt>
                <c:pt idx="700">
                  <c:v>10.591778143580337</c:v>
                </c:pt>
                <c:pt idx="701">
                  <c:v>10.622718674897682</c:v>
                </c:pt>
                <c:pt idx="702">
                  <c:v>10.653659206215027</c:v>
                </c:pt>
                <c:pt idx="703">
                  <c:v>10.684599737532375</c:v>
                </c:pt>
                <c:pt idx="704">
                  <c:v>10.71554026884972</c:v>
                </c:pt>
                <c:pt idx="705">
                  <c:v>10.746480800167065</c:v>
                </c:pt>
                <c:pt idx="706">
                  <c:v>10.777421331484414</c:v>
                </c:pt>
                <c:pt idx="707">
                  <c:v>10.808361862801759</c:v>
                </c:pt>
                <c:pt idx="708">
                  <c:v>10.839302394119107</c:v>
                </c:pt>
                <c:pt idx="709">
                  <c:v>10.870242925436452</c:v>
                </c:pt>
                <c:pt idx="710">
                  <c:v>10.901183456753797</c:v>
                </c:pt>
                <c:pt idx="711">
                  <c:v>10.932123988071146</c:v>
                </c:pt>
                <c:pt idx="712">
                  <c:v>10.963064519388491</c:v>
                </c:pt>
                <c:pt idx="713">
                  <c:v>10.994005050705836</c:v>
                </c:pt>
                <c:pt idx="714">
                  <c:v>11.024945582023184</c:v>
                </c:pt>
                <c:pt idx="715">
                  <c:v>11.055886113340529</c:v>
                </c:pt>
                <c:pt idx="716">
                  <c:v>11.086826644657878</c:v>
                </c:pt>
                <c:pt idx="717">
                  <c:v>11.117767175975223</c:v>
                </c:pt>
                <c:pt idx="718">
                  <c:v>11.148707707292568</c:v>
                </c:pt>
                <c:pt idx="719">
                  <c:v>11.179648238609916</c:v>
                </c:pt>
                <c:pt idx="720">
                  <c:v>11.210588769927261</c:v>
                </c:pt>
                <c:pt idx="721">
                  <c:v>11.241529301244606</c:v>
                </c:pt>
                <c:pt idx="722">
                  <c:v>11.272469832561955</c:v>
                </c:pt>
                <c:pt idx="723">
                  <c:v>11.3034103638793</c:v>
                </c:pt>
                <c:pt idx="724">
                  <c:v>11.334350895196645</c:v>
                </c:pt>
                <c:pt idx="725">
                  <c:v>11.365291426513993</c:v>
                </c:pt>
                <c:pt idx="726">
                  <c:v>11.396231957831338</c:v>
                </c:pt>
                <c:pt idx="727">
                  <c:v>11.427172489148687</c:v>
                </c:pt>
                <c:pt idx="728">
                  <c:v>11.458113020466032</c:v>
                </c:pt>
                <c:pt idx="729">
                  <c:v>11.489053551783377</c:v>
                </c:pt>
                <c:pt idx="730">
                  <c:v>11.519994083100725</c:v>
                </c:pt>
                <c:pt idx="731">
                  <c:v>11.55093461441807</c:v>
                </c:pt>
                <c:pt idx="732">
                  <c:v>11.581875145735415</c:v>
                </c:pt>
                <c:pt idx="733">
                  <c:v>11.612815677052764</c:v>
                </c:pt>
                <c:pt idx="734">
                  <c:v>11.643756208370108</c:v>
                </c:pt>
                <c:pt idx="735">
                  <c:v>11.674696739687453</c:v>
                </c:pt>
                <c:pt idx="736">
                  <c:v>11.705637271004802</c:v>
                </c:pt>
                <c:pt idx="737">
                  <c:v>11.736577802322147</c:v>
                </c:pt>
                <c:pt idx="738">
                  <c:v>11.767518333639496</c:v>
                </c:pt>
                <c:pt idx="739">
                  <c:v>11.79845886495684</c:v>
                </c:pt>
                <c:pt idx="740">
                  <c:v>11.829399396274185</c:v>
                </c:pt>
                <c:pt idx="741">
                  <c:v>11.860339927591534</c:v>
                </c:pt>
                <c:pt idx="742">
                  <c:v>11.891280458908879</c:v>
                </c:pt>
                <c:pt idx="743">
                  <c:v>11.922220990226224</c:v>
                </c:pt>
                <c:pt idx="744">
                  <c:v>11.953161521543572</c:v>
                </c:pt>
                <c:pt idx="745">
                  <c:v>11.984102052860917</c:v>
                </c:pt>
                <c:pt idx="746">
                  <c:v>12.015042584178262</c:v>
                </c:pt>
                <c:pt idx="747">
                  <c:v>12.045983115495611</c:v>
                </c:pt>
                <c:pt idx="748">
                  <c:v>12.076923646812956</c:v>
                </c:pt>
                <c:pt idx="749">
                  <c:v>12.107864178130304</c:v>
                </c:pt>
                <c:pt idx="750">
                  <c:v>12.138804709447649</c:v>
                </c:pt>
                <c:pt idx="751">
                  <c:v>12.169745240764994</c:v>
                </c:pt>
                <c:pt idx="752">
                  <c:v>12.200685772082343</c:v>
                </c:pt>
                <c:pt idx="753">
                  <c:v>12.231626303399688</c:v>
                </c:pt>
                <c:pt idx="754">
                  <c:v>12.262566834717033</c:v>
                </c:pt>
                <c:pt idx="755">
                  <c:v>12.293507366034381</c:v>
                </c:pt>
                <c:pt idx="756">
                  <c:v>12.324447897351726</c:v>
                </c:pt>
                <c:pt idx="757">
                  <c:v>12.355388428669071</c:v>
                </c:pt>
                <c:pt idx="758">
                  <c:v>12.38632895998642</c:v>
                </c:pt>
                <c:pt idx="759">
                  <c:v>12.417269491303765</c:v>
                </c:pt>
                <c:pt idx="760">
                  <c:v>12.448210022621113</c:v>
                </c:pt>
                <c:pt idx="761">
                  <c:v>12.479150553938458</c:v>
                </c:pt>
                <c:pt idx="762">
                  <c:v>12.510091085255803</c:v>
                </c:pt>
                <c:pt idx="763">
                  <c:v>12.541031616573152</c:v>
                </c:pt>
                <c:pt idx="764">
                  <c:v>12.571972147890497</c:v>
                </c:pt>
                <c:pt idx="765">
                  <c:v>12.602912679207842</c:v>
                </c:pt>
                <c:pt idx="766">
                  <c:v>12.63385321052519</c:v>
                </c:pt>
                <c:pt idx="767">
                  <c:v>12.664793741842535</c:v>
                </c:pt>
                <c:pt idx="768">
                  <c:v>12.69573427315988</c:v>
                </c:pt>
                <c:pt idx="769">
                  <c:v>12.726674804477229</c:v>
                </c:pt>
                <c:pt idx="770">
                  <c:v>12.757615335794574</c:v>
                </c:pt>
                <c:pt idx="771">
                  <c:v>12.788555867111922</c:v>
                </c:pt>
                <c:pt idx="772">
                  <c:v>12.819496398429267</c:v>
                </c:pt>
                <c:pt idx="773">
                  <c:v>12.850436929746612</c:v>
                </c:pt>
                <c:pt idx="774">
                  <c:v>12.881377461063961</c:v>
                </c:pt>
                <c:pt idx="775">
                  <c:v>12.912317992381306</c:v>
                </c:pt>
                <c:pt idx="776">
                  <c:v>12.943258523698651</c:v>
                </c:pt>
                <c:pt idx="777">
                  <c:v>12.974199055015999</c:v>
                </c:pt>
                <c:pt idx="778">
                  <c:v>13.005139586333344</c:v>
                </c:pt>
                <c:pt idx="779">
                  <c:v>13.036080117650693</c:v>
                </c:pt>
                <c:pt idx="780">
                  <c:v>13.067020648968038</c:v>
                </c:pt>
                <c:pt idx="781">
                  <c:v>13.097961180285383</c:v>
                </c:pt>
                <c:pt idx="782">
                  <c:v>13.128901711602731</c:v>
                </c:pt>
                <c:pt idx="783">
                  <c:v>13.159842242920076</c:v>
                </c:pt>
                <c:pt idx="784">
                  <c:v>13.190782774237421</c:v>
                </c:pt>
                <c:pt idx="785">
                  <c:v>13.22172330555477</c:v>
                </c:pt>
                <c:pt idx="786">
                  <c:v>13.252663836872115</c:v>
                </c:pt>
                <c:pt idx="787">
                  <c:v>13.28360436818946</c:v>
                </c:pt>
                <c:pt idx="788">
                  <c:v>13.314544899506808</c:v>
                </c:pt>
                <c:pt idx="789">
                  <c:v>13.345485430824153</c:v>
                </c:pt>
                <c:pt idx="790">
                  <c:v>13.376425962141502</c:v>
                </c:pt>
                <c:pt idx="791">
                  <c:v>13.407366493458847</c:v>
                </c:pt>
                <c:pt idx="792">
                  <c:v>13.438307024776192</c:v>
                </c:pt>
                <c:pt idx="793">
                  <c:v>13.46924755609354</c:v>
                </c:pt>
                <c:pt idx="794">
                  <c:v>13.500188087410885</c:v>
                </c:pt>
                <c:pt idx="795">
                  <c:v>13.53112861872823</c:v>
                </c:pt>
                <c:pt idx="796">
                  <c:v>13.562069150045579</c:v>
                </c:pt>
                <c:pt idx="797">
                  <c:v>13.593009681362924</c:v>
                </c:pt>
                <c:pt idx="798">
                  <c:v>13.623950212680269</c:v>
                </c:pt>
                <c:pt idx="799">
                  <c:v>13.654890743997617</c:v>
                </c:pt>
                <c:pt idx="800">
                  <c:v>13.685831275314962</c:v>
                </c:pt>
                <c:pt idx="801">
                  <c:v>13.716771806632311</c:v>
                </c:pt>
                <c:pt idx="802">
                  <c:v>13.747712337949656</c:v>
                </c:pt>
                <c:pt idx="803">
                  <c:v>13.778652869267001</c:v>
                </c:pt>
                <c:pt idx="804">
                  <c:v>13.809593400584349</c:v>
                </c:pt>
                <c:pt idx="805">
                  <c:v>13.840533931901694</c:v>
                </c:pt>
                <c:pt idx="806">
                  <c:v>13.871474463219039</c:v>
                </c:pt>
                <c:pt idx="807">
                  <c:v>13.902414994536388</c:v>
                </c:pt>
                <c:pt idx="808">
                  <c:v>13.933355525853733</c:v>
                </c:pt>
                <c:pt idx="809">
                  <c:v>13.964296057171078</c:v>
                </c:pt>
                <c:pt idx="810">
                  <c:v>13.995236588488426</c:v>
                </c:pt>
                <c:pt idx="811">
                  <c:v>14.026177119805771</c:v>
                </c:pt>
                <c:pt idx="812">
                  <c:v>14.05711765112312</c:v>
                </c:pt>
                <c:pt idx="813">
                  <c:v>14.088058182440465</c:v>
                </c:pt>
                <c:pt idx="814">
                  <c:v>14.11899871375781</c:v>
                </c:pt>
                <c:pt idx="815">
                  <c:v>14.149939245075158</c:v>
                </c:pt>
                <c:pt idx="816">
                  <c:v>14.180879776392503</c:v>
                </c:pt>
                <c:pt idx="817">
                  <c:v>14.211820307709848</c:v>
                </c:pt>
                <c:pt idx="818">
                  <c:v>14.242760839027197</c:v>
                </c:pt>
                <c:pt idx="819">
                  <c:v>14.273701370344542</c:v>
                </c:pt>
                <c:pt idx="820">
                  <c:v>14.304641901661887</c:v>
                </c:pt>
                <c:pt idx="821">
                  <c:v>14.335582432979235</c:v>
                </c:pt>
                <c:pt idx="822">
                  <c:v>14.36652296429658</c:v>
                </c:pt>
                <c:pt idx="823">
                  <c:v>14.397463495613929</c:v>
                </c:pt>
                <c:pt idx="824">
                  <c:v>14.428404026931274</c:v>
                </c:pt>
                <c:pt idx="825">
                  <c:v>14.459344558248619</c:v>
                </c:pt>
                <c:pt idx="826">
                  <c:v>14.490285089565967</c:v>
                </c:pt>
                <c:pt idx="827">
                  <c:v>14.521225620883312</c:v>
                </c:pt>
                <c:pt idx="828">
                  <c:v>14.552166152200657</c:v>
                </c:pt>
                <c:pt idx="829">
                  <c:v>14.583106683518006</c:v>
                </c:pt>
                <c:pt idx="830">
                  <c:v>14.614047214835351</c:v>
                </c:pt>
                <c:pt idx="831">
                  <c:v>14.644987746152699</c:v>
                </c:pt>
                <c:pt idx="832">
                  <c:v>14.675928277470044</c:v>
                </c:pt>
                <c:pt idx="833">
                  <c:v>14.706868808787389</c:v>
                </c:pt>
                <c:pt idx="834">
                  <c:v>14.737809340104738</c:v>
                </c:pt>
                <c:pt idx="835">
                  <c:v>14.768749871422083</c:v>
                </c:pt>
                <c:pt idx="836">
                  <c:v>14.799690402739428</c:v>
                </c:pt>
                <c:pt idx="837">
                  <c:v>14.830630934056776</c:v>
                </c:pt>
                <c:pt idx="838">
                  <c:v>14.861571465374121</c:v>
                </c:pt>
                <c:pt idx="839">
                  <c:v>14.892511996691466</c:v>
                </c:pt>
                <c:pt idx="840">
                  <c:v>14.923452528008815</c:v>
                </c:pt>
                <c:pt idx="841">
                  <c:v>14.95439305932616</c:v>
                </c:pt>
                <c:pt idx="842">
                  <c:v>14.985333590643508</c:v>
                </c:pt>
                <c:pt idx="843">
                  <c:v>15.016274121960853</c:v>
                </c:pt>
                <c:pt idx="844">
                  <c:v>15.047214653278198</c:v>
                </c:pt>
                <c:pt idx="845">
                  <c:v>15.078155184595547</c:v>
                </c:pt>
                <c:pt idx="846">
                  <c:v>15.109095715912892</c:v>
                </c:pt>
                <c:pt idx="847">
                  <c:v>15.140036247230237</c:v>
                </c:pt>
                <c:pt idx="848">
                  <c:v>15.170976778547585</c:v>
                </c:pt>
                <c:pt idx="849">
                  <c:v>15.20191730986493</c:v>
                </c:pt>
                <c:pt idx="850">
                  <c:v>15.232857841182275</c:v>
                </c:pt>
                <c:pt idx="851">
                  <c:v>15.263798372499624</c:v>
                </c:pt>
                <c:pt idx="852">
                  <c:v>15.294738903816969</c:v>
                </c:pt>
                <c:pt idx="853">
                  <c:v>15.325679435134317</c:v>
                </c:pt>
                <c:pt idx="854">
                  <c:v>15.356619966451662</c:v>
                </c:pt>
                <c:pt idx="855">
                  <c:v>15.387560497769007</c:v>
                </c:pt>
                <c:pt idx="856">
                  <c:v>15.418501029086356</c:v>
                </c:pt>
                <c:pt idx="857">
                  <c:v>15.449441560403701</c:v>
                </c:pt>
                <c:pt idx="858">
                  <c:v>15.480382091721046</c:v>
                </c:pt>
                <c:pt idx="859">
                  <c:v>15.511322623038394</c:v>
                </c:pt>
                <c:pt idx="860">
                  <c:v>15.542263154355739</c:v>
                </c:pt>
                <c:pt idx="861">
                  <c:v>15.573203685673084</c:v>
                </c:pt>
                <c:pt idx="862">
                  <c:v>15.604144216990433</c:v>
                </c:pt>
                <c:pt idx="863">
                  <c:v>15.635084748307778</c:v>
                </c:pt>
                <c:pt idx="864">
                  <c:v>15.666025279625126</c:v>
                </c:pt>
                <c:pt idx="865">
                  <c:v>15.696965810942471</c:v>
                </c:pt>
                <c:pt idx="866">
                  <c:v>15.727906342259816</c:v>
                </c:pt>
                <c:pt idx="867">
                  <c:v>15.758846873577165</c:v>
                </c:pt>
                <c:pt idx="868">
                  <c:v>15.789787404894509</c:v>
                </c:pt>
                <c:pt idx="869">
                  <c:v>15.820727936211854</c:v>
                </c:pt>
                <c:pt idx="870">
                  <c:v>15.851668467529203</c:v>
                </c:pt>
                <c:pt idx="871">
                  <c:v>15.882608998846548</c:v>
                </c:pt>
                <c:pt idx="872">
                  <c:v>15.913549530163893</c:v>
                </c:pt>
                <c:pt idx="873">
                  <c:v>15.944490061481241</c:v>
                </c:pt>
                <c:pt idx="874">
                  <c:v>15.975430592798586</c:v>
                </c:pt>
                <c:pt idx="875">
                  <c:v>16.006371124115937</c:v>
                </c:pt>
                <c:pt idx="876">
                  <c:v>16.037311655433278</c:v>
                </c:pt>
                <c:pt idx="877">
                  <c:v>16.068252186750627</c:v>
                </c:pt>
                <c:pt idx="878">
                  <c:v>16.099192718067975</c:v>
                </c:pt>
                <c:pt idx="879">
                  <c:v>16.130133249385317</c:v>
                </c:pt>
                <c:pt idx="880">
                  <c:v>16.161073780702665</c:v>
                </c:pt>
                <c:pt idx="881">
                  <c:v>16.192014312020014</c:v>
                </c:pt>
                <c:pt idx="882">
                  <c:v>16.222954843337355</c:v>
                </c:pt>
                <c:pt idx="883">
                  <c:v>16.253895374654704</c:v>
                </c:pt>
                <c:pt idx="884">
                  <c:v>16.284835905972052</c:v>
                </c:pt>
                <c:pt idx="885">
                  <c:v>16.315776437289394</c:v>
                </c:pt>
                <c:pt idx="886">
                  <c:v>16.346716968606742</c:v>
                </c:pt>
                <c:pt idx="887">
                  <c:v>16.377657499924091</c:v>
                </c:pt>
                <c:pt idx="888">
                  <c:v>16.408598031241432</c:v>
                </c:pt>
                <c:pt idx="889">
                  <c:v>16.439538562558781</c:v>
                </c:pt>
                <c:pt idx="890">
                  <c:v>16.470479093876129</c:v>
                </c:pt>
                <c:pt idx="891">
                  <c:v>16.501419625193471</c:v>
                </c:pt>
                <c:pt idx="892">
                  <c:v>16.532360156510819</c:v>
                </c:pt>
                <c:pt idx="893">
                  <c:v>16.563300687828168</c:v>
                </c:pt>
                <c:pt idx="894">
                  <c:v>16.594241219145516</c:v>
                </c:pt>
                <c:pt idx="895">
                  <c:v>16.625181750462858</c:v>
                </c:pt>
                <c:pt idx="896">
                  <c:v>16.656122281780206</c:v>
                </c:pt>
                <c:pt idx="897">
                  <c:v>16.687062813097555</c:v>
                </c:pt>
                <c:pt idx="898">
                  <c:v>16.718003344414896</c:v>
                </c:pt>
                <c:pt idx="899">
                  <c:v>16.748943875732245</c:v>
                </c:pt>
                <c:pt idx="900">
                  <c:v>16.779884407049593</c:v>
                </c:pt>
                <c:pt idx="901">
                  <c:v>16.810824938366935</c:v>
                </c:pt>
                <c:pt idx="902">
                  <c:v>16.841765469684283</c:v>
                </c:pt>
                <c:pt idx="903">
                  <c:v>16.872706001001632</c:v>
                </c:pt>
                <c:pt idx="904">
                  <c:v>16.903646532318973</c:v>
                </c:pt>
                <c:pt idx="905">
                  <c:v>16.934587063636322</c:v>
                </c:pt>
                <c:pt idx="906">
                  <c:v>16.96552759495367</c:v>
                </c:pt>
                <c:pt idx="907">
                  <c:v>16.996468126271012</c:v>
                </c:pt>
                <c:pt idx="908">
                  <c:v>#N/A</c:v>
                </c:pt>
                <c:pt idx="909">
                  <c:v>-11.066593778562057</c:v>
                </c:pt>
                <c:pt idx="910">
                  <c:v>-11.03565324724471</c:v>
                </c:pt>
                <c:pt idx="911">
                  <c:v>-11.004712715927365</c:v>
                </c:pt>
                <c:pt idx="912">
                  <c:v>-10.973772184610018</c:v>
                </c:pt>
                <c:pt idx="913">
                  <c:v>-10.942831653292671</c:v>
                </c:pt>
                <c:pt idx="914">
                  <c:v>-10.911891121975325</c:v>
                </c:pt>
                <c:pt idx="915">
                  <c:v>-10.88095059065798</c:v>
                </c:pt>
                <c:pt idx="916">
                  <c:v>-10.850010059340633</c:v>
                </c:pt>
                <c:pt idx="917">
                  <c:v>-10.819069528023286</c:v>
                </c:pt>
                <c:pt idx="918">
                  <c:v>-10.788128996705939</c:v>
                </c:pt>
                <c:pt idx="919">
                  <c:v>-10.757188465388595</c:v>
                </c:pt>
                <c:pt idx="920">
                  <c:v>-10.726247934071248</c:v>
                </c:pt>
                <c:pt idx="921">
                  <c:v>-10.695307402753901</c:v>
                </c:pt>
                <c:pt idx="922">
                  <c:v>-10.664366871436556</c:v>
                </c:pt>
                <c:pt idx="923">
                  <c:v>-10.633426340119209</c:v>
                </c:pt>
                <c:pt idx="924">
                  <c:v>-10.602485808801863</c:v>
                </c:pt>
                <c:pt idx="925">
                  <c:v>-10.571545277484516</c:v>
                </c:pt>
                <c:pt idx="926">
                  <c:v>-10.540604746167171</c:v>
                </c:pt>
                <c:pt idx="927">
                  <c:v>-10.509664214849824</c:v>
                </c:pt>
                <c:pt idx="928">
                  <c:v>-10.478723683532477</c:v>
                </c:pt>
                <c:pt idx="929">
                  <c:v>-10.447783152215131</c:v>
                </c:pt>
                <c:pt idx="930">
                  <c:v>-10.416842620897786</c:v>
                </c:pt>
                <c:pt idx="931">
                  <c:v>-10.385902089580439</c:v>
                </c:pt>
                <c:pt idx="932">
                  <c:v>-10.354961558263092</c:v>
                </c:pt>
                <c:pt idx="933">
                  <c:v>-10.324021026945747</c:v>
                </c:pt>
                <c:pt idx="934">
                  <c:v>-10.2930804956284</c:v>
                </c:pt>
                <c:pt idx="935">
                  <c:v>-10.262139964311054</c:v>
                </c:pt>
                <c:pt idx="936">
                  <c:v>-10.231199432993707</c:v>
                </c:pt>
                <c:pt idx="937">
                  <c:v>-10.200258901676362</c:v>
                </c:pt>
                <c:pt idx="938">
                  <c:v>-10.169318370359015</c:v>
                </c:pt>
                <c:pt idx="939">
                  <c:v>-10.138377839041668</c:v>
                </c:pt>
                <c:pt idx="940">
                  <c:v>-10.107437307724322</c:v>
                </c:pt>
                <c:pt idx="941">
                  <c:v>-10.076496776406977</c:v>
                </c:pt>
                <c:pt idx="942">
                  <c:v>-10.04555624508963</c:v>
                </c:pt>
                <c:pt idx="943">
                  <c:v>-10.014615713772283</c:v>
                </c:pt>
                <c:pt idx="944">
                  <c:v>-9.9836751824549363</c:v>
                </c:pt>
                <c:pt idx="945">
                  <c:v>-9.9527346511375914</c:v>
                </c:pt>
                <c:pt idx="946">
                  <c:v>-9.9217941198202446</c:v>
                </c:pt>
                <c:pt idx="947">
                  <c:v>-9.8908535885028979</c:v>
                </c:pt>
                <c:pt idx="948">
                  <c:v>-9.8599130571855511</c:v>
                </c:pt>
                <c:pt idx="949">
                  <c:v>-9.8289725258682061</c:v>
                </c:pt>
                <c:pt idx="950">
                  <c:v>-9.7980319945508594</c:v>
                </c:pt>
                <c:pt idx="951">
                  <c:v>-9.7670914632335126</c:v>
                </c:pt>
                <c:pt idx="952">
                  <c:v>-9.7361509319161677</c:v>
                </c:pt>
                <c:pt idx="953">
                  <c:v>-9.7052104005988209</c:v>
                </c:pt>
                <c:pt idx="954">
                  <c:v>-9.6742698692814741</c:v>
                </c:pt>
                <c:pt idx="955">
                  <c:v>-9.6433293379641274</c:v>
                </c:pt>
                <c:pt idx="956">
                  <c:v>-9.6123888066467824</c:v>
                </c:pt>
                <c:pt idx="957">
                  <c:v>-9.5814482753294357</c:v>
                </c:pt>
                <c:pt idx="958">
                  <c:v>-9.5505077440120889</c:v>
                </c:pt>
                <c:pt idx="959">
                  <c:v>-9.5195672126947422</c:v>
                </c:pt>
                <c:pt idx="960">
                  <c:v>-9.4886266813773972</c:v>
                </c:pt>
                <c:pt idx="961">
                  <c:v>-9.4576861500600504</c:v>
                </c:pt>
                <c:pt idx="962">
                  <c:v>-9.4267456187427037</c:v>
                </c:pt>
                <c:pt idx="963">
                  <c:v>-9.3958050874253587</c:v>
                </c:pt>
                <c:pt idx="964">
                  <c:v>-9.3648645561080119</c:v>
                </c:pt>
                <c:pt idx="965">
                  <c:v>-9.3339240247906652</c:v>
                </c:pt>
                <c:pt idx="966">
                  <c:v>-9.3029834934733184</c:v>
                </c:pt>
                <c:pt idx="967">
                  <c:v>-9.2720429621559735</c:v>
                </c:pt>
                <c:pt idx="968">
                  <c:v>-9.2411024308386267</c:v>
                </c:pt>
                <c:pt idx="969">
                  <c:v>-9.2101618995212799</c:v>
                </c:pt>
                <c:pt idx="970">
                  <c:v>-9.1792213682039332</c:v>
                </c:pt>
                <c:pt idx="971">
                  <c:v>-9.1482808368865882</c:v>
                </c:pt>
                <c:pt idx="972">
                  <c:v>-9.1173403055692415</c:v>
                </c:pt>
                <c:pt idx="973">
                  <c:v>-9.0863997742518947</c:v>
                </c:pt>
                <c:pt idx="974">
                  <c:v>-9.0554592429345497</c:v>
                </c:pt>
                <c:pt idx="975">
                  <c:v>-9.024518711617203</c:v>
                </c:pt>
                <c:pt idx="976">
                  <c:v>-8.9935781802998562</c:v>
                </c:pt>
                <c:pt idx="977">
                  <c:v>-8.9626376489825095</c:v>
                </c:pt>
                <c:pt idx="978">
                  <c:v>-8.9316971176651627</c:v>
                </c:pt>
                <c:pt idx="979">
                  <c:v>-8.9007565863478177</c:v>
                </c:pt>
                <c:pt idx="980">
                  <c:v>-8.869816055030471</c:v>
                </c:pt>
                <c:pt idx="981">
                  <c:v>-8.8388755237131242</c:v>
                </c:pt>
                <c:pt idx="982">
                  <c:v>-8.8079349923957793</c:v>
                </c:pt>
                <c:pt idx="983">
                  <c:v>-8.7769944610784325</c:v>
                </c:pt>
                <c:pt idx="984">
                  <c:v>-8.7460539297610858</c:v>
                </c:pt>
                <c:pt idx="985">
                  <c:v>-8.7151133984437408</c:v>
                </c:pt>
                <c:pt idx="986">
                  <c:v>-8.684172867126394</c:v>
                </c:pt>
                <c:pt idx="987">
                  <c:v>-8.6532323358090473</c:v>
                </c:pt>
                <c:pt idx="988">
                  <c:v>-8.6222918044917005</c:v>
                </c:pt>
                <c:pt idx="989">
                  <c:v>-8.5913512731743538</c:v>
                </c:pt>
                <c:pt idx="990">
                  <c:v>-8.5604107418570088</c:v>
                </c:pt>
                <c:pt idx="991">
                  <c:v>-8.529470210539662</c:v>
                </c:pt>
                <c:pt idx="992">
                  <c:v>-8.4985296792223153</c:v>
                </c:pt>
                <c:pt idx="993">
                  <c:v>-8.4675891479049703</c:v>
                </c:pt>
                <c:pt idx="994">
                  <c:v>-8.4366486165876236</c:v>
                </c:pt>
                <c:pt idx="995">
                  <c:v>-8.4057080852702768</c:v>
                </c:pt>
                <c:pt idx="996">
                  <c:v>-8.3747675539529318</c:v>
                </c:pt>
                <c:pt idx="997">
                  <c:v>-8.3438270226355851</c:v>
                </c:pt>
                <c:pt idx="998">
                  <c:v>-8.3128864913182383</c:v>
                </c:pt>
                <c:pt idx="999">
                  <c:v>-8.2819459600008916</c:v>
                </c:pt>
                <c:pt idx="1000">
                  <c:v>-8.2510054286835448</c:v>
                </c:pt>
                <c:pt idx="1001">
                  <c:v>-8.2200648973661998</c:v>
                </c:pt>
                <c:pt idx="1002">
                  <c:v>-8.1891243660488531</c:v>
                </c:pt>
                <c:pt idx="1003">
                  <c:v>-8.1581838347315063</c:v>
                </c:pt>
                <c:pt idx="1004">
                  <c:v>-8.1272433034141613</c:v>
                </c:pt>
                <c:pt idx="1005">
                  <c:v>-8.0963027720968146</c:v>
                </c:pt>
                <c:pt idx="1006">
                  <c:v>-8.0653622407794678</c:v>
                </c:pt>
                <c:pt idx="1007">
                  <c:v>-8.0344217094621229</c:v>
                </c:pt>
                <c:pt idx="1008">
                  <c:v>-8.0034811781447761</c:v>
                </c:pt>
                <c:pt idx="1009">
                  <c:v>-7.9725406468274294</c:v>
                </c:pt>
                <c:pt idx="1010">
                  <c:v>-7.9416001155100826</c:v>
                </c:pt>
                <c:pt idx="1011">
                  <c:v>-7.9106595841927367</c:v>
                </c:pt>
                <c:pt idx="1012">
                  <c:v>-7.8797190528753909</c:v>
                </c:pt>
                <c:pt idx="1013">
                  <c:v>-7.8487785215580441</c:v>
                </c:pt>
                <c:pt idx="1014">
                  <c:v>-7.8178379902406974</c:v>
                </c:pt>
                <c:pt idx="1015">
                  <c:v>-7.7868974589233515</c:v>
                </c:pt>
                <c:pt idx="1016">
                  <c:v>-7.7559569276060056</c:v>
                </c:pt>
                <c:pt idx="1017">
                  <c:v>-7.7250163962886589</c:v>
                </c:pt>
                <c:pt idx="1018">
                  <c:v>-7.694075864971313</c:v>
                </c:pt>
                <c:pt idx="1019">
                  <c:v>-7.6631353336539672</c:v>
                </c:pt>
                <c:pt idx="1020">
                  <c:v>-7.6321948023366204</c:v>
                </c:pt>
                <c:pt idx="1021">
                  <c:v>-7.6012542710192736</c:v>
                </c:pt>
                <c:pt idx="1022">
                  <c:v>-7.5703137397019278</c:v>
                </c:pt>
                <c:pt idx="1023">
                  <c:v>-7.5393732083845819</c:v>
                </c:pt>
                <c:pt idx="1024">
                  <c:v>-7.5084326770672352</c:v>
                </c:pt>
                <c:pt idx="1025">
                  <c:v>-7.4774921457498884</c:v>
                </c:pt>
                <c:pt idx="1026">
                  <c:v>-7.4465516144325425</c:v>
                </c:pt>
                <c:pt idx="1027">
                  <c:v>-7.4156110831151967</c:v>
                </c:pt>
                <c:pt idx="1028">
                  <c:v>-7.3846705517978499</c:v>
                </c:pt>
                <c:pt idx="1029">
                  <c:v>-7.3537300204805032</c:v>
                </c:pt>
                <c:pt idx="1030">
                  <c:v>-7.3227894891631573</c:v>
                </c:pt>
                <c:pt idx="1031">
                  <c:v>-7.2918489578458114</c:v>
                </c:pt>
                <c:pt idx="1032">
                  <c:v>-7.2609084265284647</c:v>
                </c:pt>
                <c:pt idx="1033">
                  <c:v>-7.2299678952111188</c:v>
                </c:pt>
                <c:pt idx="1034">
                  <c:v>-7.199027363893773</c:v>
                </c:pt>
                <c:pt idx="1035">
                  <c:v>-7.1680868325764262</c:v>
                </c:pt>
                <c:pt idx="1036">
                  <c:v>-7.1371463012590795</c:v>
                </c:pt>
                <c:pt idx="1037">
                  <c:v>-7.1062057699417336</c:v>
                </c:pt>
                <c:pt idx="1038">
                  <c:v>-7.0752652386243877</c:v>
                </c:pt>
                <c:pt idx="1039">
                  <c:v>-7.044324707307041</c:v>
                </c:pt>
                <c:pt idx="1040">
                  <c:v>-7.0133841759896951</c:v>
                </c:pt>
                <c:pt idx="1041">
                  <c:v>-6.9824436446723483</c:v>
                </c:pt>
                <c:pt idx="1042">
                  <c:v>-6.9515031133550025</c:v>
                </c:pt>
                <c:pt idx="1043">
                  <c:v>-6.9205625820376557</c:v>
                </c:pt>
                <c:pt idx="1044">
                  <c:v>-6.8896220507203099</c:v>
                </c:pt>
                <c:pt idx="1045">
                  <c:v>-6.8586815194029631</c:v>
                </c:pt>
                <c:pt idx="1046">
                  <c:v>-6.8277409880856172</c:v>
                </c:pt>
                <c:pt idx="1047">
                  <c:v>-6.7968004567682705</c:v>
                </c:pt>
                <c:pt idx="1048">
                  <c:v>-6.7658599254509246</c:v>
                </c:pt>
                <c:pt idx="1049">
                  <c:v>-6.7349193941335779</c:v>
                </c:pt>
                <c:pt idx="1050">
                  <c:v>-6.703978862816232</c:v>
                </c:pt>
                <c:pt idx="1051">
                  <c:v>-6.6730383314988861</c:v>
                </c:pt>
                <c:pt idx="1052">
                  <c:v>-6.6420978001815394</c:v>
                </c:pt>
                <c:pt idx="1053">
                  <c:v>-6.6111572688641935</c:v>
                </c:pt>
                <c:pt idx="1054">
                  <c:v>-6.5802167375468468</c:v>
                </c:pt>
                <c:pt idx="1055">
                  <c:v>-6.5492762062295009</c:v>
                </c:pt>
                <c:pt idx="1056">
                  <c:v>-6.5183356749121542</c:v>
                </c:pt>
                <c:pt idx="1057">
                  <c:v>-6.4873951435948083</c:v>
                </c:pt>
                <c:pt idx="1058">
                  <c:v>-6.4564546122774615</c:v>
                </c:pt>
                <c:pt idx="1059">
                  <c:v>-6.4255140809601157</c:v>
                </c:pt>
                <c:pt idx="1060">
                  <c:v>-6.3945735496427689</c:v>
                </c:pt>
                <c:pt idx="1061">
                  <c:v>-6.3636330183254231</c:v>
                </c:pt>
                <c:pt idx="1062">
                  <c:v>-6.3326924870080763</c:v>
                </c:pt>
                <c:pt idx="1063">
                  <c:v>-6.3017519556907304</c:v>
                </c:pt>
                <c:pt idx="1064">
                  <c:v>-6.2708114243733846</c:v>
                </c:pt>
                <c:pt idx="1065">
                  <c:v>-6.2398708930560378</c:v>
                </c:pt>
                <c:pt idx="1066">
                  <c:v>-6.2089303617386919</c:v>
                </c:pt>
                <c:pt idx="1067">
                  <c:v>-6.1779898304213452</c:v>
                </c:pt>
                <c:pt idx="1068">
                  <c:v>-6.1470492991039993</c:v>
                </c:pt>
                <c:pt idx="1069">
                  <c:v>-6.1161087677866526</c:v>
                </c:pt>
                <c:pt idx="1070">
                  <c:v>-6.0851682364693067</c:v>
                </c:pt>
                <c:pt idx="1071">
                  <c:v>-6.05422770515196</c:v>
                </c:pt>
                <c:pt idx="1072">
                  <c:v>-6.0232871738346141</c:v>
                </c:pt>
                <c:pt idx="1073">
                  <c:v>-5.9923466425172673</c:v>
                </c:pt>
                <c:pt idx="1074">
                  <c:v>-5.9614061111999215</c:v>
                </c:pt>
                <c:pt idx="1075">
                  <c:v>-5.9304655798825747</c:v>
                </c:pt>
                <c:pt idx="1076">
                  <c:v>-5.8995250485652289</c:v>
                </c:pt>
                <c:pt idx="1077">
                  <c:v>-5.868584517247883</c:v>
                </c:pt>
                <c:pt idx="1078">
                  <c:v>-5.8376439859305362</c:v>
                </c:pt>
                <c:pt idx="1079">
                  <c:v>-5.8067034546131904</c:v>
                </c:pt>
                <c:pt idx="1080">
                  <c:v>-5.7757629232958436</c:v>
                </c:pt>
                <c:pt idx="1081">
                  <c:v>-5.7448223919784978</c:v>
                </c:pt>
                <c:pt idx="1082">
                  <c:v>-5.713881860661151</c:v>
                </c:pt>
                <c:pt idx="1083">
                  <c:v>-5.6829413293438051</c:v>
                </c:pt>
                <c:pt idx="1084">
                  <c:v>-5.6520007980264584</c:v>
                </c:pt>
                <c:pt idx="1085">
                  <c:v>-5.6210602667091125</c:v>
                </c:pt>
                <c:pt idx="1086">
                  <c:v>-5.5901197353917658</c:v>
                </c:pt>
                <c:pt idx="1087">
                  <c:v>-5.5591792040744199</c:v>
                </c:pt>
                <c:pt idx="1088">
                  <c:v>-5.5282386727570731</c:v>
                </c:pt>
                <c:pt idx="1089">
                  <c:v>-5.4972981414397273</c:v>
                </c:pt>
                <c:pt idx="1090">
                  <c:v>-5.4663576101223814</c:v>
                </c:pt>
                <c:pt idx="1091">
                  <c:v>-5.4354170788050347</c:v>
                </c:pt>
                <c:pt idx="1092">
                  <c:v>-5.4044765474876888</c:v>
                </c:pt>
                <c:pt idx="1093">
                  <c:v>-5.373536016170342</c:v>
                </c:pt>
                <c:pt idx="1094">
                  <c:v>-5.3425954848529962</c:v>
                </c:pt>
                <c:pt idx="1095">
                  <c:v>-5.3116549535356494</c:v>
                </c:pt>
                <c:pt idx="1096">
                  <c:v>-5.2807144222183036</c:v>
                </c:pt>
                <c:pt idx="1097">
                  <c:v>-5.2497738909009568</c:v>
                </c:pt>
                <c:pt idx="1098">
                  <c:v>-5.2188333595836109</c:v>
                </c:pt>
                <c:pt idx="1099">
                  <c:v>-5.1878928282662642</c:v>
                </c:pt>
                <c:pt idx="1100">
                  <c:v>-5.1569522969489183</c:v>
                </c:pt>
                <c:pt idx="1101">
                  <c:v>-5.1260117656315725</c:v>
                </c:pt>
                <c:pt idx="1102">
                  <c:v>-5.0950712343142257</c:v>
                </c:pt>
                <c:pt idx="1103">
                  <c:v>-5.0641307029968798</c:v>
                </c:pt>
                <c:pt idx="1104">
                  <c:v>-5.0331901716795331</c:v>
                </c:pt>
                <c:pt idx="1105">
                  <c:v>-5.0022496403621872</c:v>
                </c:pt>
                <c:pt idx="1106">
                  <c:v>-4.9713091090448405</c:v>
                </c:pt>
                <c:pt idx="1107">
                  <c:v>-4.9403685777274946</c:v>
                </c:pt>
                <c:pt idx="1108">
                  <c:v>-4.9094280464101479</c:v>
                </c:pt>
                <c:pt idx="1109">
                  <c:v>-4.878487515092802</c:v>
                </c:pt>
                <c:pt idx="1110">
                  <c:v>-4.8475469837754552</c:v>
                </c:pt>
                <c:pt idx="1111">
                  <c:v>-4.8166064524581094</c:v>
                </c:pt>
                <c:pt idx="1112">
                  <c:v>-4.7856659211407626</c:v>
                </c:pt>
                <c:pt idx="1113">
                  <c:v>-4.7547253898234167</c:v>
                </c:pt>
                <c:pt idx="1114">
                  <c:v>-4.7237848585060709</c:v>
                </c:pt>
                <c:pt idx="1115">
                  <c:v>-4.6928443271887241</c:v>
                </c:pt>
                <c:pt idx="1116">
                  <c:v>-4.6619037958713783</c:v>
                </c:pt>
                <c:pt idx="1117">
                  <c:v>-4.6309632645540315</c:v>
                </c:pt>
                <c:pt idx="1118">
                  <c:v>-4.6000227332366856</c:v>
                </c:pt>
                <c:pt idx="1119">
                  <c:v>-4.5690822019193389</c:v>
                </c:pt>
                <c:pt idx="1120">
                  <c:v>-4.538141670601993</c:v>
                </c:pt>
                <c:pt idx="1121">
                  <c:v>-4.5072011392846463</c:v>
                </c:pt>
                <c:pt idx="1122">
                  <c:v>-4.4762606079673004</c:v>
                </c:pt>
                <c:pt idx="1123">
                  <c:v>-4.4453200766499537</c:v>
                </c:pt>
                <c:pt idx="1124">
                  <c:v>-4.4143795453326078</c:v>
                </c:pt>
                <c:pt idx="1125">
                  <c:v>-4.383439014015261</c:v>
                </c:pt>
                <c:pt idx="1126">
                  <c:v>-4.3524984826979152</c:v>
                </c:pt>
                <c:pt idx="1127">
                  <c:v>-4.3215579513805693</c:v>
                </c:pt>
                <c:pt idx="1128">
                  <c:v>-4.2906174200632226</c:v>
                </c:pt>
                <c:pt idx="1129">
                  <c:v>-4.2596768887458767</c:v>
                </c:pt>
                <c:pt idx="1130">
                  <c:v>-4.2287363574285299</c:v>
                </c:pt>
                <c:pt idx="1131">
                  <c:v>-4.1977958261111841</c:v>
                </c:pt>
                <c:pt idx="1132">
                  <c:v>-4.1668552947938373</c:v>
                </c:pt>
                <c:pt idx="1133">
                  <c:v>-4.1359147634764915</c:v>
                </c:pt>
                <c:pt idx="1134">
                  <c:v>-4.1049742321591447</c:v>
                </c:pt>
                <c:pt idx="1135">
                  <c:v>-4.0740337008417988</c:v>
                </c:pt>
                <c:pt idx="1136">
                  <c:v>-4.0430931695244521</c:v>
                </c:pt>
                <c:pt idx="1137">
                  <c:v>-4.0121526382071062</c:v>
                </c:pt>
                <c:pt idx="1138">
                  <c:v>-3.9812121068897595</c:v>
                </c:pt>
                <c:pt idx="1139">
                  <c:v>-3.9502715755724136</c:v>
                </c:pt>
                <c:pt idx="1140">
                  <c:v>-3.9193310442550677</c:v>
                </c:pt>
                <c:pt idx="1141">
                  <c:v>-3.888390512937721</c:v>
                </c:pt>
                <c:pt idx="1142">
                  <c:v>-3.8574499816203751</c:v>
                </c:pt>
                <c:pt idx="1143">
                  <c:v>-3.8265094503030284</c:v>
                </c:pt>
                <c:pt idx="1144">
                  <c:v>-3.7955689189856825</c:v>
                </c:pt>
                <c:pt idx="1145">
                  <c:v>-3.7646283876683357</c:v>
                </c:pt>
                <c:pt idx="1146">
                  <c:v>-3.7336878563509899</c:v>
                </c:pt>
                <c:pt idx="1147">
                  <c:v>-3.7027473250336431</c:v>
                </c:pt>
                <c:pt idx="1148">
                  <c:v>-3.6718067937162973</c:v>
                </c:pt>
                <c:pt idx="1149">
                  <c:v>-3.6408662623989505</c:v>
                </c:pt>
                <c:pt idx="1150">
                  <c:v>-3.6099257310816046</c:v>
                </c:pt>
                <c:pt idx="1151">
                  <c:v>-3.5789851997642579</c:v>
                </c:pt>
                <c:pt idx="1152">
                  <c:v>-3.548044668446912</c:v>
                </c:pt>
                <c:pt idx="1153">
                  <c:v>-3.5171041371295662</c:v>
                </c:pt>
                <c:pt idx="1154">
                  <c:v>-3.4861636058122194</c:v>
                </c:pt>
                <c:pt idx="1155">
                  <c:v>-3.4552230744948735</c:v>
                </c:pt>
                <c:pt idx="1156">
                  <c:v>-3.4242825431775268</c:v>
                </c:pt>
                <c:pt idx="1157">
                  <c:v>-3.3933420118601809</c:v>
                </c:pt>
                <c:pt idx="1158">
                  <c:v>-3.3624014805428342</c:v>
                </c:pt>
                <c:pt idx="1159">
                  <c:v>-3.3314609492254883</c:v>
                </c:pt>
                <c:pt idx="1160">
                  <c:v>-3.3005204179081415</c:v>
                </c:pt>
                <c:pt idx="1161">
                  <c:v>-3.2695798865907957</c:v>
                </c:pt>
                <c:pt idx="1162">
                  <c:v>-3.2386393552734489</c:v>
                </c:pt>
                <c:pt idx="1163">
                  <c:v>-3.2076988239561031</c:v>
                </c:pt>
                <c:pt idx="1164">
                  <c:v>-3.1767582926387563</c:v>
                </c:pt>
                <c:pt idx="1165">
                  <c:v>-3.1458177613214104</c:v>
                </c:pt>
                <c:pt idx="1166">
                  <c:v>-3.1148772300040646</c:v>
                </c:pt>
                <c:pt idx="1167">
                  <c:v>-3.0839366986867178</c:v>
                </c:pt>
                <c:pt idx="1168">
                  <c:v>-3.052996167369372</c:v>
                </c:pt>
                <c:pt idx="1169">
                  <c:v>-3.0220556360520252</c:v>
                </c:pt>
                <c:pt idx="1170">
                  <c:v>-2.9911151047346785</c:v>
                </c:pt>
                <c:pt idx="1171">
                  <c:v>-2.9601745734173335</c:v>
                </c:pt>
                <c:pt idx="1172">
                  <c:v>-2.9292340420999867</c:v>
                </c:pt>
                <c:pt idx="1173">
                  <c:v>-2.89829351078264</c:v>
                </c:pt>
                <c:pt idx="1174">
                  <c:v>-2.8673529794652932</c:v>
                </c:pt>
                <c:pt idx="1175">
                  <c:v>-2.8364124481479482</c:v>
                </c:pt>
                <c:pt idx="1176">
                  <c:v>-2.8054719168306015</c:v>
                </c:pt>
                <c:pt idx="1177">
                  <c:v>-2.7745313855132547</c:v>
                </c:pt>
                <c:pt idx="1178">
                  <c:v>-2.7435908541959098</c:v>
                </c:pt>
                <c:pt idx="1179">
                  <c:v>-2.712650322878563</c:v>
                </c:pt>
                <c:pt idx="1180">
                  <c:v>-2.6817097915612162</c:v>
                </c:pt>
                <c:pt idx="1181">
                  <c:v>-2.6507692602438695</c:v>
                </c:pt>
                <c:pt idx="1182">
                  <c:v>-2.6198287289265245</c:v>
                </c:pt>
                <c:pt idx="1183">
                  <c:v>-2.5888881976091778</c:v>
                </c:pt>
                <c:pt idx="1184">
                  <c:v>-2.557947666291831</c:v>
                </c:pt>
                <c:pt idx="1185">
                  <c:v>-2.5270071349744843</c:v>
                </c:pt>
                <c:pt idx="1186">
                  <c:v>-2.4960666036571393</c:v>
                </c:pt>
                <c:pt idx="1187">
                  <c:v>-2.4651260723397925</c:v>
                </c:pt>
                <c:pt idx="1188">
                  <c:v>-2.4341855410224458</c:v>
                </c:pt>
                <c:pt idx="1189">
                  <c:v>-2.403245009705099</c:v>
                </c:pt>
                <c:pt idx="1190">
                  <c:v>-2.372304478387754</c:v>
                </c:pt>
                <c:pt idx="1191">
                  <c:v>-2.3413639470704073</c:v>
                </c:pt>
                <c:pt idx="1192">
                  <c:v>-2.3104234157530605</c:v>
                </c:pt>
                <c:pt idx="1193">
                  <c:v>-2.2794828844357156</c:v>
                </c:pt>
                <c:pt idx="1194">
                  <c:v>-2.2485423531183688</c:v>
                </c:pt>
                <c:pt idx="1195">
                  <c:v>-2.2176018218010221</c:v>
                </c:pt>
                <c:pt idx="1196">
                  <c:v>-2.1866612904836753</c:v>
                </c:pt>
                <c:pt idx="1197">
                  <c:v>-2.1557207591663303</c:v>
                </c:pt>
                <c:pt idx="1198">
                  <c:v>-2.1247802278489836</c:v>
                </c:pt>
                <c:pt idx="1199">
                  <c:v>-2.0938396965316368</c:v>
                </c:pt>
                <c:pt idx="1200">
                  <c:v>-2.0628991652142901</c:v>
                </c:pt>
                <c:pt idx="1201">
                  <c:v>-2.0319586338969451</c:v>
                </c:pt>
                <c:pt idx="1202">
                  <c:v>-2.0010181025795983</c:v>
                </c:pt>
                <c:pt idx="1203">
                  <c:v>-1.9700775712622516</c:v>
                </c:pt>
                <c:pt idx="1204">
                  <c:v>-1.9391370399449066</c:v>
                </c:pt>
                <c:pt idx="1205">
                  <c:v>-1.9081965086275599</c:v>
                </c:pt>
                <c:pt idx="1206">
                  <c:v>-1.8772559773102131</c:v>
                </c:pt>
                <c:pt idx="1207">
                  <c:v>-1.8463154459928663</c:v>
                </c:pt>
                <c:pt idx="1208">
                  <c:v>-1.8153749146755214</c:v>
                </c:pt>
                <c:pt idx="1209">
                  <c:v>-1.7844343833581746</c:v>
                </c:pt>
                <c:pt idx="1210">
                  <c:v>-1.7534938520408279</c:v>
                </c:pt>
                <c:pt idx="1211">
                  <c:v>-1.7225533207234811</c:v>
                </c:pt>
                <c:pt idx="1212">
                  <c:v>-1.6916127894061361</c:v>
                </c:pt>
                <c:pt idx="1213">
                  <c:v>-1.6606722580887894</c:v>
                </c:pt>
                <c:pt idx="1214">
                  <c:v>-1.6297317267714426</c:v>
                </c:pt>
                <c:pt idx="1215">
                  <c:v>-1.5987911954540959</c:v>
                </c:pt>
                <c:pt idx="1216">
                  <c:v>-1.5678506641367509</c:v>
                </c:pt>
                <c:pt idx="1217">
                  <c:v>-1.5369101328194041</c:v>
                </c:pt>
                <c:pt idx="1218">
                  <c:v>-1.5059696015020574</c:v>
                </c:pt>
                <c:pt idx="1219">
                  <c:v>-1.4750290701847124</c:v>
                </c:pt>
                <c:pt idx="1220">
                  <c:v>-1.4440885388673657</c:v>
                </c:pt>
                <c:pt idx="1221">
                  <c:v>-1.4131480075500189</c:v>
                </c:pt>
                <c:pt idx="1222">
                  <c:v>-1.3822074762326721</c:v>
                </c:pt>
                <c:pt idx="1223">
                  <c:v>-1.3512669449153272</c:v>
                </c:pt>
                <c:pt idx="1224">
                  <c:v>-1.3203264135979804</c:v>
                </c:pt>
                <c:pt idx="1225">
                  <c:v>-1.2893858822806337</c:v>
                </c:pt>
                <c:pt idx="1226">
                  <c:v>-1.2584453509632869</c:v>
                </c:pt>
                <c:pt idx="1227">
                  <c:v>-1.2275048196459419</c:v>
                </c:pt>
                <c:pt idx="1228">
                  <c:v>-1.1965642883285952</c:v>
                </c:pt>
                <c:pt idx="1229">
                  <c:v>-1.1656237570112484</c:v>
                </c:pt>
                <c:pt idx="1230">
                  <c:v>-1.1346832256939035</c:v>
                </c:pt>
                <c:pt idx="1231">
                  <c:v>-1.1037426943765567</c:v>
                </c:pt>
                <c:pt idx="1232">
                  <c:v>-1.0728021630592099</c:v>
                </c:pt>
                <c:pt idx="1233">
                  <c:v>-1.0418616317418632</c:v>
                </c:pt>
                <c:pt idx="1234">
                  <c:v>-1.0109211004245182</c:v>
                </c:pt>
                <c:pt idx="1235">
                  <c:v>-0.97998056910717146</c:v>
                </c:pt>
                <c:pt idx="1236">
                  <c:v>-0.94904003778982471</c:v>
                </c:pt>
                <c:pt idx="1237">
                  <c:v>-0.91809950647247796</c:v>
                </c:pt>
                <c:pt idx="1238">
                  <c:v>-0.88715897515513298</c:v>
                </c:pt>
                <c:pt idx="1239">
                  <c:v>-0.85621844383778623</c:v>
                </c:pt>
                <c:pt idx="1240">
                  <c:v>-0.82527791252043947</c:v>
                </c:pt>
                <c:pt idx="1241">
                  <c:v>-0.79433738120309272</c:v>
                </c:pt>
                <c:pt idx="1242">
                  <c:v>-0.76339684988574774</c:v>
                </c:pt>
                <c:pt idx="1243">
                  <c:v>-0.73245631856840099</c:v>
                </c:pt>
                <c:pt idx="1244">
                  <c:v>-0.70151578725105423</c:v>
                </c:pt>
                <c:pt idx="1245">
                  <c:v>-0.67057525593370926</c:v>
                </c:pt>
                <c:pt idx="1246">
                  <c:v>-0.6396347246163625</c:v>
                </c:pt>
                <c:pt idx="1247">
                  <c:v>-0.60869419329901575</c:v>
                </c:pt>
                <c:pt idx="1248">
                  <c:v>-0.577753661981669</c:v>
                </c:pt>
                <c:pt idx="1249">
                  <c:v>-0.54681313066432402</c:v>
                </c:pt>
                <c:pt idx="1250">
                  <c:v>-0.51587259934697727</c:v>
                </c:pt>
                <c:pt idx="1251">
                  <c:v>-0.48493206802963051</c:v>
                </c:pt>
                <c:pt idx="1252">
                  <c:v>-0.45399153671228376</c:v>
                </c:pt>
                <c:pt idx="1253">
                  <c:v>-0.42305100539493878</c:v>
                </c:pt>
                <c:pt idx="1254">
                  <c:v>-0.39211047407759203</c:v>
                </c:pt>
                <c:pt idx="1255">
                  <c:v>-0.36116994276024528</c:v>
                </c:pt>
                <c:pt idx="1256">
                  <c:v>-0.3302294114429003</c:v>
                </c:pt>
                <c:pt idx="1257">
                  <c:v>-0.29928888012555355</c:v>
                </c:pt>
                <c:pt idx="1258">
                  <c:v>-0.26834834880820679</c:v>
                </c:pt>
                <c:pt idx="1259">
                  <c:v>-0.23740781749086004</c:v>
                </c:pt>
                <c:pt idx="1260">
                  <c:v>-0.20646728617351506</c:v>
                </c:pt>
                <c:pt idx="1261">
                  <c:v>-0.17552675485616831</c:v>
                </c:pt>
                <c:pt idx="1262">
                  <c:v>-0.14458622353882156</c:v>
                </c:pt>
                <c:pt idx="1263">
                  <c:v>-0.1136456922214748</c:v>
                </c:pt>
                <c:pt idx="1264">
                  <c:v>-8.2705160904129826E-2</c:v>
                </c:pt>
                <c:pt idx="1265">
                  <c:v>-5.1764629586783073E-2</c:v>
                </c:pt>
                <c:pt idx="1266">
                  <c:v>-2.082409826943632E-2</c:v>
                </c:pt>
                <c:pt idx="1267">
                  <c:v>1.0116433047910434E-2</c:v>
                </c:pt>
                <c:pt idx="1268">
                  <c:v>4.1056964365255411E-2</c:v>
                </c:pt>
                <c:pt idx="1269">
                  <c:v>7.1997495682602164E-2</c:v>
                </c:pt>
                <c:pt idx="1270">
                  <c:v>0.10293802699994892</c:v>
                </c:pt>
                <c:pt idx="1271">
                  <c:v>0.13387855831729389</c:v>
                </c:pt>
                <c:pt idx="1272">
                  <c:v>0.16481908963464065</c:v>
                </c:pt>
                <c:pt idx="1273">
                  <c:v>0.1957596209519874</c:v>
                </c:pt>
                <c:pt idx="1274">
                  <c:v>0.22670015226933415</c:v>
                </c:pt>
                <c:pt idx="1275">
                  <c:v>0.25764068358667913</c:v>
                </c:pt>
                <c:pt idx="1276">
                  <c:v>0.28858121490402588</c:v>
                </c:pt>
                <c:pt idx="1277">
                  <c:v>0.31952174622137264</c:v>
                </c:pt>
                <c:pt idx="1278">
                  <c:v>0.35046227753871939</c:v>
                </c:pt>
                <c:pt idx="1279">
                  <c:v>0.38140280885606437</c:v>
                </c:pt>
                <c:pt idx="1280">
                  <c:v>0.41234334017341112</c:v>
                </c:pt>
                <c:pt idx="1281">
                  <c:v>0.44328387149075787</c:v>
                </c:pt>
                <c:pt idx="1282">
                  <c:v>0.47422440280810285</c:v>
                </c:pt>
                <c:pt idx="1283">
                  <c:v>0.50516493412544961</c:v>
                </c:pt>
                <c:pt idx="1284">
                  <c:v>0.53610546544279636</c:v>
                </c:pt>
                <c:pt idx="1285">
                  <c:v>0.56704599676014311</c:v>
                </c:pt>
                <c:pt idx="1286">
                  <c:v>0.59798652807748809</c:v>
                </c:pt>
                <c:pt idx="1287">
                  <c:v>0.62892705939483484</c:v>
                </c:pt>
                <c:pt idx="1288">
                  <c:v>0.6598675907121816</c:v>
                </c:pt>
                <c:pt idx="1289">
                  <c:v>0.69080812202952835</c:v>
                </c:pt>
                <c:pt idx="1290">
                  <c:v>0.72174865334687333</c:v>
                </c:pt>
                <c:pt idx="1291">
                  <c:v>0.75268918466422008</c:v>
                </c:pt>
                <c:pt idx="1292">
                  <c:v>0.78362971598156683</c:v>
                </c:pt>
                <c:pt idx="1293">
                  <c:v>0.81457024729891181</c:v>
                </c:pt>
                <c:pt idx="1294">
                  <c:v>0.84551077861625856</c:v>
                </c:pt>
                <c:pt idx="1295">
                  <c:v>0.87645130993360532</c:v>
                </c:pt>
                <c:pt idx="1296">
                  <c:v>0.90739184125095207</c:v>
                </c:pt>
                <c:pt idx="1297">
                  <c:v>0.93833237256829705</c:v>
                </c:pt>
                <c:pt idx="1298">
                  <c:v>0.9692729038856438</c:v>
                </c:pt>
                <c:pt idx="1299">
                  <c:v>1.0002134352029906</c:v>
                </c:pt>
                <c:pt idx="1300">
                  <c:v>1.0311539665203373</c:v>
                </c:pt>
                <c:pt idx="1301">
                  <c:v>1.0620944978376823</c:v>
                </c:pt>
                <c:pt idx="1302">
                  <c:v>1.093035029155029</c:v>
                </c:pt>
                <c:pt idx="1303">
                  <c:v>1.1239755604723758</c:v>
                </c:pt>
                <c:pt idx="1304">
                  <c:v>1.1549160917897225</c:v>
                </c:pt>
                <c:pt idx="1305">
                  <c:v>1.1858566231070675</c:v>
                </c:pt>
                <c:pt idx="1306">
                  <c:v>1.2167971544244143</c:v>
                </c:pt>
                <c:pt idx="1307">
                  <c:v>1.247737685741761</c:v>
                </c:pt>
                <c:pt idx="1308">
                  <c:v>1.278678217059106</c:v>
                </c:pt>
                <c:pt idx="1309">
                  <c:v>1.3096187483764528</c:v>
                </c:pt>
                <c:pt idx="1310">
                  <c:v>1.3405592796937995</c:v>
                </c:pt>
                <c:pt idx="1311">
                  <c:v>1.3714998110111463</c:v>
                </c:pt>
                <c:pt idx="1312">
                  <c:v>1.4024403423284912</c:v>
                </c:pt>
                <c:pt idx="1313">
                  <c:v>1.433380873645838</c:v>
                </c:pt>
                <c:pt idx="1314">
                  <c:v>1.4643214049631847</c:v>
                </c:pt>
                <c:pt idx="1315">
                  <c:v>1.4952619362805315</c:v>
                </c:pt>
                <c:pt idx="1316">
                  <c:v>1.5262024675978765</c:v>
                </c:pt>
                <c:pt idx="1317">
                  <c:v>1.5571429989152232</c:v>
                </c:pt>
                <c:pt idx="1318">
                  <c:v>1.58808353023257</c:v>
                </c:pt>
                <c:pt idx="1319">
                  <c:v>1.619024061549915</c:v>
                </c:pt>
                <c:pt idx="1320">
                  <c:v>1.6499645928672617</c:v>
                </c:pt>
                <c:pt idx="1321">
                  <c:v>1.6809051241846085</c:v>
                </c:pt>
                <c:pt idx="1322">
                  <c:v>1.7118456555019552</c:v>
                </c:pt>
                <c:pt idx="1323">
                  <c:v>1.7427861868193002</c:v>
                </c:pt>
                <c:pt idx="1324">
                  <c:v>1.773726718136647</c:v>
                </c:pt>
                <c:pt idx="1325">
                  <c:v>1.8046672494539937</c:v>
                </c:pt>
                <c:pt idx="1326">
                  <c:v>1.8356077807713405</c:v>
                </c:pt>
                <c:pt idx="1327">
                  <c:v>1.8665483120886854</c:v>
                </c:pt>
                <c:pt idx="1328">
                  <c:v>1.8974888434060322</c:v>
                </c:pt>
                <c:pt idx="1329">
                  <c:v>1.9284293747233789</c:v>
                </c:pt>
                <c:pt idx="1330">
                  <c:v>1.9593699060407257</c:v>
                </c:pt>
                <c:pt idx="1331">
                  <c:v>1.9903104373580707</c:v>
                </c:pt>
                <c:pt idx="1332">
                  <c:v>2.0212509686754174</c:v>
                </c:pt>
                <c:pt idx="1333">
                  <c:v>2.0521914999927642</c:v>
                </c:pt>
                <c:pt idx="1334">
                  <c:v>2.0831320313101092</c:v>
                </c:pt>
                <c:pt idx="1335">
                  <c:v>2.1140725626274559</c:v>
                </c:pt>
                <c:pt idx="1336">
                  <c:v>2.1450130939448027</c:v>
                </c:pt>
                <c:pt idx="1337">
                  <c:v>2.1759536252621494</c:v>
                </c:pt>
                <c:pt idx="1338">
                  <c:v>2.2068941565794944</c:v>
                </c:pt>
                <c:pt idx="1339">
                  <c:v>2.2378346878968411</c:v>
                </c:pt>
                <c:pt idx="1340">
                  <c:v>2.2687752192141879</c:v>
                </c:pt>
                <c:pt idx="1341">
                  <c:v>2.2997157505315347</c:v>
                </c:pt>
                <c:pt idx="1342">
                  <c:v>2.3306562818488796</c:v>
                </c:pt>
                <c:pt idx="1343">
                  <c:v>2.3615968131662264</c:v>
                </c:pt>
                <c:pt idx="1344">
                  <c:v>2.3925373444835731</c:v>
                </c:pt>
                <c:pt idx="1345">
                  <c:v>2.4234778758009181</c:v>
                </c:pt>
                <c:pt idx="1346">
                  <c:v>2.4544184071182649</c:v>
                </c:pt>
                <c:pt idx="1347">
                  <c:v>2.4853589384356116</c:v>
                </c:pt>
                <c:pt idx="1348">
                  <c:v>2.5162994697529584</c:v>
                </c:pt>
                <c:pt idx="1349">
                  <c:v>2.5472400010703034</c:v>
                </c:pt>
                <c:pt idx="1350">
                  <c:v>2.5781805323876501</c:v>
                </c:pt>
                <c:pt idx="1351">
                  <c:v>2.6091210637049969</c:v>
                </c:pt>
                <c:pt idx="1352">
                  <c:v>2.6400615950223436</c:v>
                </c:pt>
                <c:pt idx="1353">
                  <c:v>2.6710021263396886</c:v>
                </c:pt>
                <c:pt idx="1354">
                  <c:v>2.7019426576570353</c:v>
                </c:pt>
                <c:pt idx="1355">
                  <c:v>2.7328831889743821</c:v>
                </c:pt>
                <c:pt idx="1356">
                  <c:v>2.7638237202917288</c:v>
                </c:pt>
                <c:pt idx="1357">
                  <c:v>2.7947642516090738</c:v>
                </c:pt>
                <c:pt idx="1358">
                  <c:v>2.8257047829264206</c:v>
                </c:pt>
                <c:pt idx="1359">
                  <c:v>2.8566453142437673</c:v>
                </c:pt>
                <c:pt idx="1360">
                  <c:v>2.8875858455611123</c:v>
                </c:pt>
                <c:pt idx="1361">
                  <c:v>2.9185263768784591</c:v>
                </c:pt>
                <c:pt idx="1362">
                  <c:v>2.9494669081958058</c:v>
                </c:pt>
                <c:pt idx="1363">
                  <c:v>2.9804074395131526</c:v>
                </c:pt>
                <c:pt idx="1364">
                  <c:v>3.0113479708304975</c:v>
                </c:pt>
                <c:pt idx="1365">
                  <c:v>3.0422885021478443</c:v>
                </c:pt>
                <c:pt idx="1366">
                  <c:v>3.0732290334651911</c:v>
                </c:pt>
                <c:pt idx="1367">
                  <c:v>3.1041695647825378</c:v>
                </c:pt>
                <c:pt idx="1368">
                  <c:v>3.1351100960998828</c:v>
                </c:pt>
                <c:pt idx="1369">
                  <c:v>3.1660506274172295</c:v>
                </c:pt>
                <c:pt idx="1370">
                  <c:v>3.1969911587345763</c:v>
                </c:pt>
                <c:pt idx="1371">
                  <c:v>3.2279316900519213</c:v>
                </c:pt>
                <c:pt idx="1372">
                  <c:v>3.258872221369268</c:v>
                </c:pt>
                <c:pt idx="1373">
                  <c:v>3.2898127526866148</c:v>
                </c:pt>
                <c:pt idx="1374">
                  <c:v>3.3207532840039615</c:v>
                </c:pt>
                <c:pt idx="1375">
                  <c:v>3.3516938153213065</c:v>
                </c:pt>
                <c:pt idx="1376">
                  <c:v>3.3826343466386533</c:v>
                </c:pt>
                <c:pt idx="1377">
                  <c:v>3.413574877956</c:v>
                </c:pt>
                <c:pt idx="1378">
                  <c:v>3.4445154092733468</c:v>
                </c:pt>
                <c:pt idx="1379">
                  <c:v>3.4754559405906917</c:v>
                </c:pt>
                <c:pt idx="1380">
                  <c:v>3.5063964719080385</c:v>
                </c:pt>
                <c:pt idx="1381">
                  <c:v>3.5373370032253852</c:v>
                </c:pt>
                <c:pt idx="1382">
                  <c:v>3.568277534542732</c:v>
                </c:pt>
                <c:pt idx="1383">
                  <c:v>3.599218065860077</c:v>
                </c:pt>
                <c:pt idx="1384">
                  <c:v>3.6301585971774237</c:v>
                </c:pt>
                <c:pt idx="1385">
                  <c:v>3.6610991284947705</c:v>
                </c:pt>
                <c:pt idx="1386">
                  <c:v>3.6920396598121155</c:v>
                </c:pt>
                <c:pt idx="1387">
                  <c:v>3.7229801911294622</c:v>
                </c:pt>
                <c:pt idx="1388">
                  <c:v>3.753920722446809</c:v>
                </c:pt>
                <c:pt idx="1389">
                  <c:v>3.7848612537641557</c:v>
                </c:pt>
                <c:pt idx="1390">
                  <c:v>3.8158017850815007</c:v>
                </c:pt>
                <c:pt idx="1391">
                  <c:v>3.8467423163988474</c:v>
                </c:pt>
                <c:pt idx="1392">
                  <c:v>3.8776828477161942</c:v>
                </c:pt>
                <c:pt idx="1393">
                  <c:v>3.908623379033541</c:v>
                </c:pt>
                <c:pt idx="1394">
                  <c:v>3.9395639103508859</c:v>
                </c:pt>
                <c:pt idx="1395">
                  <c:v>3.9705044416682327</c:v>
                </c:pt>
                <c:pt idx="1396">
                  <c:v>4.0014449729855794</c:v>
                </c:pt>
                <c:pt idx="1397">
                  <c:v>4.0323855043029244</c:v>
                </c:pt>
                <c:pt idx="1398">
                  <c:v>4.0633260356202712</c:v>
                </c:pt>
                <c:pt idx="1399">
                  <c:v>4.0942665669376179</c:v>
                </c:pt>
                <c:pt idx="1400">
                  <c:v>4.1252070982549647</c:v>
                </c:pt>
                <c:pt idx="1401">
                  <c:v>4.1561476295723097</c:v>
                </c:pt>
                <c:pt idx="1402">
                  <c:v>4.1870881608896564</c:v>
                </c:pt>
                <c:pt idx="1403">
                  <c:v>4.2180286922070032</c:v>
                </c:pt>
                <c:pt idx="1404">
                  <c:v>4.2489692235243499</c:v>
                </c:pt>
                <c:pt idx="1405">
                  <c:v>4.2799097548416949</c:v>
                </c:pt>
                <c:pt idx="1406">
                  <c:v>4.3108502861590416</c:v>
                </c:pt>
                <c:pt idx="1407">
                  <c:v>4.3417908174763884</c:v>
                </c:pt>
                <c:pt idx="1408">
                  <c:v>4.3727313487937352</c:v>
                </c:pt>
                <c:pt idx="1409">
                  <c:v>4.4036718801110801</c:v>
                </c:pt>
                <c:pt idx="1410">
                  <c:v>4.4346124114284269</c:v>
                </c:pt>
                <c:pt idx="1411">
                  <c:v>4.4655529427457736</c:v>
                </c:pt>
                <c:pt idx="1412">
                  <c:v>4.4964934740631186</c:v>
                </c:pt>
                <c:pt idx="1413">
                  <c:v>4.5274340053804654</c:v>
                </c:pt>
                <c:pt idx="1414">
                  <c:v>4.5583745366978121</c:v>
                </c:pt>
                <c:pt idx="1415">
                  <c:v>4.5893150680151589</c:v>
                </c:pt>
                <c:pt idx="1416">
                  <c:v>4.6202555993325038</c:v>
                </c:pt>
                <c:pt idx="1417">
                  <c:v>4.6511961306498506</c:v>
                </c:pt>
                <c:pt idx="1418">
                  <c:v>4.6821366619671974</c:v>
                </c:pt>
                <c:pt idx="1419">
                  <c:v>4.7130771932845441</c:v>
                </c:pt>
                <c:pt idx="1420">
                  <c:v>4.7440177246018891</c:v>
                </c:pt>
                <c:pt idx="1421">
                  <c:v>4.7749582559192358</c:v>
                </c:pt>
                <c:pt idx="1422">
                  <c:v>4.8058987872365826</c:v>
                </c:pt>
                <c:pt idx="1423">
                  <c:v>4.8368393185539276</c:v>
                </c:pt>
                <c:pt idx="1424">
                  <c:v>4.8677798498712743</c:v>
                </c:pt>
                <c:pt idx="1425">
                  <c:v>4.8987203811886211</c:v>
                </c:pt>
                <c:pt idx="1426">
                  <c:v>4.9296609125059678</c:v>
                </c:pt>
                <c:pt idx="1427">
                  <c:v>4.9606014438233128</c:v>
                </c:pt>
                <c:pt idx="1428">
                  <c:v>4.9915419751406613</c:v>
                </c:pt>
                <c:pt idx="1429">
                  <c:v>5.0224825064580063</c:v>
                </c:pt>
                <c:pt idx="1430">
                  <c:v>5.0534230377753513</c:v>
                </c:pt>
                <c:pt idx="1431">
                  <c:v>5.0843635690926998</c:v>
                </c:pt>
                <c:pt idx="1432">
                  <c:v>5.1153041004100448</c:v>
                </c:pt>
                <c:pt idx="1433">
                  <c:v>5.1462446317273898</c:v>
                </c:pt>
                <c:pt idx="1434">
                  <c:v>5.1771851630447383</c:v>
                </c:pt>
                <c:pt idx="1435">
                  <c:v>5.2081256943620833</c:v>
                </c:pt>
                <c:pt idx="1436">
                  <c:v>5.2390662256794283</c:v>
                </c:pt>
                <c:pt idx="1437">
                  <c:v>5.2700067569967768</c:v>
                </c:pt>
                <c:pt idx="1438">
                  <c:v>5.3009472883141218</c:v>
                </c:pt>
                <c:pt idx="1439">
                  <c:v>5.3318878196314703</c:v>
                </c:pt>
                <c:pt idx="1440">
                  <c:v>5.3628283509488153</c:v>
                </c:pt>
                <c:pt idx="1441">
                  <c:v>5.3937688822661602</c:v>
                </c:pt>
                <c:pt idx="1442">
                  <c:v>5.4247094135835088</c:v>
                </c:pt>
                <c:pt idx="1443">
                  <c:v>5.4556499449008538</c:v>
                </c:pt>
                <c:pt idx="1444">
                  <c:v>5.4865904762181987</c:v>
                </c:pt>
                <c:pt idx="1445">
                  <c:v>5.5175310075355473</c:v>
                </c:pt>
                <c:pt idx="1446">
                  <c:v>5.5484715388528922</c:v>
                </c:pt>
                <c:pt idx="1447">
                  <c:v>5.5794120701702372</c:v>
                </c:pt>
                <c:pt idx="1448">
                  <c:v>5.6103526014875857</c:v>
                </c:pt>
                <c:pt idx="1449">
                  <c:v>5.6412931328049307</c:v>
                </c:pt>
                <c:pt idx="1450">
                  <c:v>5.6722336641222793</c:v>
                </c:pt>
                <c:pt idx="1451">
                  <c:v>5.7031741954396242</c:v>
                </c:pt>
                <c:pt idx="1452">
                  <c:v>5.7341147267569692</c:v>
                </c:pt>
                <c:pt idx="1453">
                  <c:v>5.7650552580743177</c:v>
                </c:pt>
                <c:pt idx="1454">
                  <c:v>5.7959957893916627</c:v>
                </c:pt>
                <c:pt idx="1455">
                  <c:v>5.8269363207090077</c:v>
                </c:pt>
                <c:pt idx="1456">
                  <c:v>5.8578768520263562</c:v>
                </c:pt>
                <c:pt idx="1457">
                  <c:v>5.8888173833437012</c:v>
                </c:pt>
                <c:pt idx="1458">
                  <c:v>5.9197579146610497</c:v>
                </c:pt>
                <c:pt idx="1459">
                  <c:v>5.9506984459783947</c:v>
                </c:pt>
                <c:pt idx="1460">
                  <c:v>5.9816389772957397</c:v>
                </c:pt>
                <c:pt idx="1461">
                  <c:v>6.0125795086130882</c:v>
                </c:pt>
                <c:pt idx="1462">
                  <c:v>6.0435200399304332</c:v>
                </c:pt>
                <c:pt idx="1463">
                  <c:v>6.0744605712477782</c:v>
                </c:pt>
                <c:pt idx="1464">
                  <c:v>6.1054011025651267</c:v>
                </c:pt>
                <c:pt idx="1465">
                  <c:v>6.1363416338824717</c:v>
                </c:pt>
                <c:pt idx="1466">
                  <c:v>6.1672821651998166</c:v>
                </c:pt>
                <c:pt idx="1467">
                  <c:v>6.1982226965171652</c:v>
                </c:pt>
                <c:pt idx="1468">
                  <c:v>6.2291632278345102</c:v>
                </c:pt>
                <c:pt idx="1469">
                  <c:v>6.2601037591518587</c:v>
                </c:pt>
                <c:pt idx="1470">
                  <c:v>6.2910442904692037</c:v>
                </c:pt>
                <c:pt idx="1471">
                  <c:v>6.3219848217865486</c:v>
                </c:pt>
                <c:pt idx="1472">
                  <c:v>6.3529253531038972</c:v>
                </c:pt>
                <c:pt idx="1473">
                  <c:v>6.3838658844212421</c:v>
                </c:pt>
                <c:pt idx="1474">
                  <c:v>6.4148064157385871</c:v>
                </c:pt>
                <c:pt idx="1475">
                  <c:v>6.4457469470559356</c:v>
                </c:pt>
                <c:pt idx="1476">
                  <c:v>6.4766874783732806</c:v>
                </c:pt>
                <c:pt idx="1477">
                  <c:v>6.5076280096906256</c:v>
                </c:pt>
                <c:pt idx="1478">
                  <c:v>6.5385685410079741</c:v>
                </c:pt>
                <c:pt idx="1479">
                  <c:v>6.5695090723253191</c:v>
                </c:pt>
                <c:pt idx="1480">
                  <c:v>6.6004496036426676</c:v>
                </c:pt>
                <c:pt idx="1481">
                  <c:v>6.6313901349600126</c:v>
                </c:pt>
                <c:pt idx="1482">
                  <c:v>6.6623306662773576</c:v>
                </c:pt>
                <c:pt idx="1483">
                  <c:v>6.6932711975947061</c:v>
                </c:pt>
                <c:pt idx="1484">
                  <c:v>6.7242117289120511</c:v>
                </c:pt>
                <c:pt idx="1485">
                  <c:v>6.7551522602293961</c:v>
                </c:pt>
                <c:pt idx="1486">
                  <c:v>6.7860927915467446</c:v>
                </c:pt>
                <c:pt idx="1487">
                  <c:v>6.8170333228640896</c:v>
                </c:pt>
                <c:pt idx="1488">
                  <c:v>6.8479738541814346</c:v>
                </c:pt>
                <c:pt idx="1489">
                  <c:v>6.8789143854987831</c:v>
                </c:pt>
                <c:pt idx="1490">
                  <c:v>6.9098549168161281</c:v>
                </c:pt>
                <c:pt idx="1491">
                  <c:v>6.9407954481334766</c:v>
                </c:pt>
                <c:pt idx="1492">
                  <c:v>6.9717359794508216</c:v>
                </c:pt>
                <c:pt idx="1493">
                  <c:v>7.0026765107681666</c:v>
                </c:pt>
                <c:pt idx="1494">
                  <c:v>7.0336170420855151</c:v>
                </c:pt>
                <c:pt idx="1495">
                  <c:v>7.0645575734028601</c:v>
                </c:pt>
                <c:pt idx="1496">
                  <c:v>7.095498104720205</c:v>
                </c:pt>
                <c:pt idx="1497">
                  <c:v>7.1264386360375536</c:v>
                </c:pt>
                <c:pt idx="1498">
                  <c:v>7.1573791673548985</c:v>
                </c:pt>
                <c:pt idx="1499">
                  <c:v>7.1883196986722435</c:v>
                </c:pt>
                <c:pt idx="1500">
                  <c:v>7.219260229989592</c:v>
                </c:pt>
                <c:pt idx="1501">
                  <c:v>7.250200761306937</c:v>
                </c:pt>
                <c:pt idx="1502">
                  <c:v>7.2811412926242856</c:v>
                </c:pt>
                <c:pt idx="1503">
                  <c:v>7.3120818239416305</c:v>
                </c:pt>
                <c:pt idx="1504">
                  <c:v>7.3430223552589755</c:v>
                </c:pt>
                <c:pt idx="1505">
                  <c:v>7.373962886576324</c:v>
                </c:pt>
                <c:pt idx="1506">
                  <c:v>7.404903417893669</c:v>
                </c:pt>
                <c:pt idx="1507">
                  <c:v>7.435843949211014</c:v>
                </c:pt>
                <c:pt idx="1508">
                  <c:v>7.4667844805283625</c:v>
                </c:pt>
                <c:pt idx="1509">
                  <c:v>7.4977250118457075</c:v>
                </c:pt>
                <c:pt idx="1510">
                  <c:v>7.528665543163056</c:v>
                </c:pt>
                <c:pt idx="1511">
                  <c:v>7.559606074480401</c:v>
                </c:pt>
                <c:pt idx="1512">
                  <c:v>7.590546605797746</c:v>
                </c:pt>
                <c:pt idx="1513">
                  <c:v>7.6214871371150945</c:v>
                </c:pt>
                <c:pt idx="1514">
                  <c:v>7.6524276684324395</c:v>
                </c:pt>
                <c:pt idx="1515">
                  <c:v>7.6833681997497845</c:v>
                </c:pt>
                <c:pt idx="1516">
                  <c:v>7.714308731067133</c:v>
                </c:pt>
                <c:pt idx="1517">
                  <c:v>7.745249262384478</c:v>
                </c:pt>
                <c:pt idx="1518">
                  <c:v>7.7761897937018229</c:v>
                </c:pt>
                <c:pt idx="1519">
                  <c:v>7.8071303250191715</c:v>
                </c:pt>
                <c:pt idx="1520">
                  <c:v>7.8380708563365165</c:v>
                </c:pt>
                <c:pt idx="1521">
                  <c:v>7.869011387653865</c:v>
                </c:pt>
                <c:pt idx="1522">
                  <c:v>7.89995191897121</c:v>
                </c:pt>
                <c:pt idx="1523">
                  <c:v>7.9308924502885549</c:v>
                </c:pt>
                <c:pt idx="1524">
                  <c:v>7.9618329816059035</c:v>
                </c:pt>
                <c:pt idx="1525">
                  <c:v>7.9927735129232484</c:v>
                </c:pt>
                <c:pt idx="1526">
                  <c:v>8.0237140442405934</c:v>
                </c:pt>
                <c:pt idx="1527">
                  <c:v>8.054654575557942</c:v>
                </c:pt>
                <c:pt idx="1528">
                  <c:v>8.0855951068752869</c:v>
                </c:pt>
                <c:pt idx="1529">
                  <c:v>8.1165356381926319</c:v>
                </c:pt>
                <c:pt idx="1530">
                  <c:v>8.1474761695099804</c:v>
                </c:pt>
                <c:pt idx="1531">
                  <c:v>8.1784167008273254</c:v>
                </c:pt>
                <c:pt idx="1532">
                  <c:v>8.2093572321446739</c:v>
                </c:pt>
                <c:pt idx="1533">
                  <c:v>8.2402977634620189</c:v>
                </c:pt>
                <c:pt idx="1534">
                  <c:v>8.2712382947793639</c:v>
                </c:pt>
                <c:pt idx="1535">
                  <c:v>8.3021788260967124</c:v>
                </c:pt>
                <c:pt idx="1536">
                  <c:v>8.3331193574140574</c:v>
                </c:pt>
                <c:pt idx="1537">
                  <c:v>8.3640598887314024</c:v>
                </c:pt>
                <c:pt idx="1538">
                  <c:v>8.3950004200487509</c:v>
                </c:pt>
                <c:pt idx="1539">
                  <c:v>8.4259409513660959</c:v>
                </c:pt>
                <c:pt idx="1540">
                  <c:v>8.4568814826834409</c:v>
                </c:pt>
                <c:pt idx="1541">
                  <c:v>8.4878220140007894</c:v>
                </c:pt>
                <c:pt idx="1542">
                  <c:v>8.5187625453181344</c:v>
                </c:pt>
                <c:pt idx="1543">
                  <c:v>8.5497030766354829</c:v>
                </c:pt>
                <c:pt idx="1544">
                  <c:v>8.5806436079528279</c:v>
                </c:pt>
                <c:pt idx="1545">
                  <c:v>8.6115841392701729</c:v>
                </c:pt>
                <c:pt idx="1546">
                  <c:v>8.6425246705875214</c:v>
                </c:pt>
                <c:pt idx="1547">
                  <c:v>8.6734652019048664</c:v>
                </c:pt>
                <c:pt idx="1548">
                  <c:v>8.7044057332222113</c:v>
                </c:pt>
                <c:pt idx="1549">
                  <c:v>8.7353462645395599</c:v>
                </c:pt>
                <c:pt idx="1550">
                  <c:v>8.7662867958569048</c:v>
                </c:pt>
                <c:pt idx="1551">
                  <c:v>8.7972273271742498</c:v>
                </c:pt>
                <c:pt idx="1552">
                  <c:v>8.8281678584915984</c:v>
                </c:pt>
                <c:pt idx="1553">
                  <c:v>8.8591083898089433</c:v>
                </c:pt>
                <c:pt idx="1554">
                  <c:v>8.8900489211262919</c:v>
                </c:pt>
                <c:pt idx="1555">
                  <c:v>8.9209894524436368</c:v>
                </c:pt>
                <c:pt idx="1556">
                  <c:v>8.9519299837609818</c:v>
                </c:pt>
                <c:pt idx="1557">
                  <c:v>8.9828705150783303</c:v>
                </c:pt>
                <c:pt idx="1558">
                  <c:v>9.0138110463956753</c:v>
                </c:pt>
                <c:pt idx="1559">
                  <c:v>9.0447515777130203</c:v>
                </c:pt>
                <c:pt idx="1560">
                  <c:v>9.0756921090303688</c:v>
                </c:pt>
                <c:pt idx="1561">
                  <c:v>9.1066326403477138</c:v>
                </c:pt>
                <c:pt idx="1562">
                  <c:v>9.1375731716650588</c:v>
                </c:pt>
                <c:pt idx="1563">
                  <c:v>9.1685137029824073</c:v>
                </c:pt>
                <c:pt idx="1564">
                  <c:v>9.1994542342997523</c:v>
                </c:pt>
                <c:pt idx="1565">
                  <c:v>9.2303947656171008</c:v>
                </c:pt>
                <c:pt idx="1566">
                  <c:v>9.2613352969344458</c:v>
                </c:pt>
                <c:pt idx="1567">
                  <c:v>9.2922758282517908</c:v>
                </c:pt>
                <c:pt idx="1568">
                  <c:v>9.3232163595691393</c:v>
                </c:pt>
                <c:pt idx="1569">
                  <c:v>9.3541568908864843</c:v>
                </c:pt>
                <c:pt idx="1570">
                  <c:v>9.3850974222038293</c:v>
                </c:pt>
                <c:pt idx="1571">
                  <c:v>9.4160379535211778</c:v>
                </c:pt>
                <c:pt idx="1572">
                  <c:v>9.4469784848385228</c:v>
                </c:pt>
                <c:pt idx="1573">
                  <c:v>9.4779190161558713</c:v>
                </c:pt>
                <c:pt idx="1574">
                  <c:v>9.5088595474732163</c:v>
                </c:pt>
                <c:pt idx="1575">
                  <c:v>9.5398000787905612</c:v>
                </c:pt>
                <c:pt idx="1576">
                  <c:v>9.5707406101079098</c:v>
                </c:pt>
                <c:pt idx="1577">
                  <c:v>9.6016811414252548</c:v>
                </c:pt>
                <c:pt idx="1578">
                  <c:v>9.6326216727425997</c:v>
                </c:pt>
                <c:pt idx="1579">
                  <c:v>9.6635622040599483</c:v>
                </c:pt>
                <c:pt idx="1580">
                  <c:v>9.6945027353772932</c:v>
                </c:pt>
                <c:pt idx="1581">
                  <c:v>9.7254432666946382</c:v>
                </c:pt>
                <c:pt idx="1582">
                  <c:v>9.7563837980119867</c:v>
                </c:pt>
                <c:pt idx="1583">
                  <c:v>9.7873243293293317</c:v>
                </c:pt>
                <c:pt idx="1584">
                  <c:v>9.8182648606466802</c:v>
                </c:pt>
                <c:pt idx="1585">
                  <c:v>9.8492053919640252</c:v>
                </c:pt>
                <c:pt idx="1586">
                  <c:v>9.8801459232813702</c:v>
                </c:pt>
                <c:pt idx="1587">
                  <c:v>9.9110864545987187</c:v>
                </c:pt>
                <c:pt idx="1588">
                  <c:v>9.9420269859160637</c:v>
                </c:pt>
                <c:pt idx="1589">
                  <c:v>9.9729675172334087</c:v>
                </c:pt>
                <c:pt idx="1590">
                  <c:v>10.003908048550757</c:v>
                </c:pt>
                <c:pt idx="1591">
                  <c:v>10.034848579868102</c:v>
                </c:pt>
                <c:pt idx="1592">
                  <c:v>10.065789111185447</c:v>
                </c:pt>
                <c:pt idx="1593">
                  <c:v>10.096729642502796</c:v>
                </c:pt>
                <c:pt idx="1594">
                  <c:v>10.127670173820141</c:v>
                </c:pt>
                <c:pt idx="1595">
                  <c:v>10.158610705137489</c:v>
                </c:pt>
                <c:pt idx="1596">
                  <c:v>10.189551236454834</c:v>
                </c:pt>
                <c:pt idx="1597">
                  <c:v>10.220491767772179</c:v>
                </c:pt>
                <c:pt idx="1598">
                  <c:v>10.251432299089528</c:v>
                </c:pt>
                <c:pt idx="1599">
                  <c:v>10.282372830406873</c:v>
                </c:pt>
                <c:pt idx="1600">
                  <c:v>10.313313361724218</c:v>
                </c:pt>
                <c:pt idx="1601">
                  <c:v>10.344253893041566</c:v>
                </c:pt>
                <c:pt idx="1602">
                  <c:v>10.375194424358911</c:v>
                </c:pt>
                <c:pt idx="1603">
                  <c:v>10.406134955676256</c:v>
                </c:pt>
                <c:pt idx="1604">
                  <c:v>10.437075486993605</c:v>
                </c:pt>
                <c:pt idx="1605">
                  <c:v>10.46801601831095</c:v>
                </c:pt>
                <c:pt idx="1606">
                  <c:v>10.498956549628298</c:v>
                </c:pt>
                <c:pt idx="1607">
                  <c:v>10.529897080945643</c:v>
                </c:pt>
                <c:pt idx="1608">
                  <c:v>10.560837612262988</c:v>
                </c:pt>
                <c:pt idx="1609">
                  <c:v>10.591778143580337</c:v>
                </c:pt>
                <c:pt idx="1610">
                  <c:v>10.622718674897682</c:v>
                </c:pt>
                <c:pt idx="1611">
                  <c:v>10.653659206215027</c:v>
                </c:pt>
                <c:pt idx="1612">
                  <c:v>10.684599737532375</c:v>
                </c:pt>
                <c:pt idx="1613">
                  <c:v>10.71554026884972</c:v>
                </c:pt>
                <c:pt idx="1614">
                  <c:v>10.746480800167065</c:v>
                </c:pt>
                <c:pt idx="1615">
                  <c:v>10.777421331484414</c:v>
                </c:pt>
                <c:pt idx="1616">
                  <c:v>10.808361862801759</c:v>
                </c:pt>
                <c:pt idx="1617">
                  <c:v>10.839302394119107</c:v>
                </c:pt>
                <c:pt idx="1618">
                  <c:v>10.870242925436452</c:v>
                </c:pt>
                <c:pt idx="1619">
                  <c:v>10.901183456753797</c:v>
                </c:pt>
                <c:pt idx="1620">
                  <c:v>10.932123988071146</c:v>
                </c:pt>
                <c:pt idx="1621">
                  <c:v>10.963064519388491</c:v>
                </c:pt>
                <c:pt idx="1622">
                  <c:v>10.994005050705836</c:v>
                </c:pt>
                <c:pt idx="1623">
                  <c:v>11.024945582023184</c:v>
                </c:pt>
                <c:pt idx="1624">
                  <c:v>11.055886113340529</c:v>
                </c:pt>
                <c:pt idx="1625">
                  <c:v>11.086826644657878</c:v>
                </c:pt>
                <c:pt idx="1626">
                  <c:v>11.117767175975223</c:v>
                </c:pt>
                <c:pt idx="1627">
                  <c:v>11.148707707292568</c:v>
                </c:pt>
                <c:pt idx="1628">
                  <c:v>11.179648238609916</c:v>
                </c:pt>
                <c:pt idx="1629">
                  <c:v>11.210588769927261</c:v>
                </c:pt>
                <c:pt idx="1630">
                  <c:v>11.241529301244606</c:v>
                </c:pt>
                <c:pt idx="1631">
                  <c:v>11.272469832561955</c:v>
                </c:pt>
                <c:pt idx="1632">
                  <c:v>11.3034103638793</c:v>
                </c:pt>
                <c:pt idx="1633">
                  <c:v>11.334350895196645</c:v>
                </c:pt>
                <c:pt idx="1634">
                  <c:v>11.365291426513993</c:v>
                </c:pt>
                <c:pt idx="1635">
                  <c:v>11.396231957831338</c:v>
                </c:pt>
                <c:pt idx="1636">
                  <c:v>11.427172489148687</c:v>
                </c:pt>
                <c:pt idx="1637">
                  <c:v>11.458113020466032</c:v>
                </c:pt>
                <c:pt idx="1638">
                  <c:v>11.489053551783377</c:v>
                </c:pt>
                <c:pt idx="1639">
                  <c:v>11.519994083100725</c:v>
                </c:pt>
                <c:pt idx="1640">
                  <c:v>11.55093461441807</c:v>
                </c:pt>
                <c:pt idx="1641">
                  <c:v>11.581875145735415</c:v>
                </c:pt>
                <c:pt idx="1642">
                  <c:v>11.612815677052764</c:v>
                </c:pt>
                <c:pt idx="1643">
                  <c:v>11.643756208370108</c:v>
                </c:pt>
                <c:pt idx="1644">
                  <c:v>11.674696739687453</c:v>
                </c:pt>
                <c:pt idx="1645">
                  <c:v>11.705637271004802</c:v>
                </c:pt>
                <c:pt idx="1646">
                  <c:v>11.736577802322147</c:v>
                </c:pt>
                <c:pt idx="1647">
                  <c:v>11.767518333639496</c:v>
                </c:pt>
                <c:pt idx="1648">
                  <c:v>11.79845886495684</c:v>
                </c:pt>
                <c:pt idx="1649">
                  <c:v>11.829399396274185</c:v>
                </c:pt>
                <c:pt idx="1650">
                  <c:v>11.860339927591534</c:v>
                </c:pt>
                <c:pt idx="1651">
                  <c:v>11.891280458908879</c:v>
                </c:pt>
                <c:pt idx="1652">
                  <c:v>11.922220990226224</c:v>
                </c:pt>
                <c:pt idx="1653">
                  <c:v>11.953161521543572</c:v>
                </c:pt>
                <c:pt idx="1654">
                  <c:v>11.984102052860917</c:v>
                </c:pt>
                <c:pt idx="1655">
                  <c:v>12.015042584178262</c:v>
                </c:pt>
                <c:pt idx="1656">
                  <c:v>12.045983115495611</c:v>
                </c:pt>
                <c:pt idx="1657">
                  <c:v>12.076923646812956</c:v>
                </c:pt>
                <c:pt idx="1658">
                  <c:v>12.107864178130304</c:v>
                </c:pt>
                <c:pt idx="1659">
                  <c:v>12.138804709447649</c:v>
                </c:pt>
                <c:pt idx="1660">
                  <c:v>12.169745240764994</c:v>
                </c:pt>
                <c:pt idx="1661">
                  <c:v>12.200685772082343</c:v>
                </c:pt>
                <c:pt idx="1662">
                  <c:v>12.231626303399688</c:v>
                </c:pt>
                <c:pt idx="1663">
                  <c:v>12.262566834717033</c:v>
                </c:pt>
                <c:pt idx="1664">
                  <c:v>12.293507366034381</c:v>
                </c:pt>
                <c:pt idx="1665">
                  <c:v>12.324447897351726</c:v>
                </c:pt>
                <c:pt idx="1666">
                  <c:v>12.355388428669071</c:v>
                </c:pt>
                <c:pt idx="1667">
                  <c:v>12.38632895998642</c:v>
                </c:pt>
                <c:pt idx="1668">
                  <c:v>12.417269491303765</c:v>
                </c:pt>
                <c:pt idx="1669">
                  <c:v>12.448210022621113</c:v>
                </c:pt>
                <c:pt idx="1670">
                  <c:v>12.479150553938458</c:v>
                </c:pt>
                <c:pt idx="1671">
                  <c:v>12.510091085255803</c:v>
                </c:pt>
                <c:pt idx="1672">
                  <c:v>12.541031616573152</c:v>
                </c:pt>
                <c:pt idx="1673">
                  <c:v>12.571972147890497</c:v>
                </c:pt>
                <c:pt idx="1674">
                  <c:v>12.602912679207842</c:v>
                </c:pt>
                <c:pt idx="1675">
                  <c:v>12.63385321052519</c:v>
                </c:pt>
                <c:pt idx="1676">
                  <c:v>12.664793741842535</c:v>
                </c:pt>
                <c:pt idx="1677">
                  <c:v>12.69573427315988</c:v>
                </c:pt>
                <c:pt idx="1678">
                  <c:v>12.726674804477229</c:v>
                </c:pt>
                <c:pt idx="1679">
                  <c:v>12.757615335794574</c:v>
                </c:pt>
                <c:pt idx="1680">
                  <c:v>12.788555867111922</c:v>
                </c:pt>
                <c:pt idx="1681">
                  <c:v>12.819496398429267</c:v>
                </c:pt>
                <c:pt idx="1682">
                  <c:v>12.850436929746612</c:v>
                </c:pt>
                <c:pt idx="1683">
                  <c:v>12.881377461063961</c:v>
                </c:pt>
                <c:pt idx="1684">
                  <c:v>12.912317992381306</c:v>
                </c:pt>
                <c:pt idx="1685">
                  <c:v>12.943258523698651</c:v>
                </c:pt>
                <c:pt idx="1686">
                  <c:v>12.974199055015999</c:v>
                </c:pt>
                <c:pt idx="1687">
                  <c:v>13.005139586333344</c:v>
                </c:pt>
                <c:pt idx="1688">
                  <c:v>13.036080117650693</c:v>
                </c:pt>
                <c:pt idx="1689">
                  <c:v>13.067020648968038</c:v>
                </c:pt>
                <c:pt idx="1690">
                  <c:v>13.097961180285383</c:v>
                </c:pt>
                <c:pt idx="1691">
                  <c:v>13.128901711602731</c:v>
                </c:pt>
                <c:pt idx="1692">
                  <c:v>13.159842242920076</c:v>
                </c:pt>
                <c:pt idx="1693">
                  <c:v>13.190782774237421</c:v>
                </c:pt>
                <c:pt idx="1694">
                  <c:v>13.22172330555477</c:v>
                </c:pt>
                <c:pt idx="1695">
                  <c:v>13.252663836872115</c:v>
                </c:pt>
                <c:pt idx="1696">
                  <c:v>13.28360436818946</c:v>
                </c:pt>
                <c:pt idx="1697">
                  <c:v>13.314544899506808</c:v>
                </c:pt>
                <c:pt idx="1698">
                  <c:v>13.345485430824153</c:v>
                </c:pt>
                <c:pt idx="1699">
                  <c:v>13.376425962141502</c:v>
                </c:pt>
                <c:pt idx="1700">
                  <c:v>13.407366493458847</c:v>
                </c:pt>
                <c:pt idx="1701">
                  <c:v>13.438307024776192</c:v>
                </c:pt>
                <c:pt idx="1702">
                  <c:v>13.46924755609354</c:v>
                </c:pt>
                <c:pt idx="1703">
                  <c:v>13.500188087410885</c:v>
                </c:pt>
                <c:pt idx="1704">
                  <c:v>13.53112861872823</c:v>
                </c:pt>
                <c:pt idx="1705">
                  <c:v>13.562069150045579</c:v>
                </c:pt>
                <c:pt idx="1706">
                  <c:v>13.593009681362924</c:v>
                </c:pt>
                <c:pt idx="1707">
                  <c:v>13.623950212680269</c:v>
                </c:pt>
                <c:pt idx="1708">
                  <c:v>13.654890743997617</c:v>
                </c:pt>
                <c:pt idx="1709">
                  <c:v>13.685831275314962</c:v>
                </c:pt>
                <c:pt idx="1710">
                  <c:v>13.716771806632311</c:v>
                </c:pt>
                <c:pt idx="1711">
                  <c:v>13.747712337949656</c:v>
                </c:pt>
                <c:pt idx="1712">
                  <c:v>13.778652869267001</c:v>
                </c:pt>
                <c:pt idx="1713">
                  <c:v>13.809593400584349</c:v>
                </c:pt>
                <c:pt idx="1714">
                  <c:v>13.840533931901694</c:v>
                </c:pt>
                <c:pt idx="1715">
                  <c:v>13.871474463219039</c:v>
                </c:pt>
                <c:pt idx="1716">
                  <c:v>13.902414994536388</c:v>
                </c:pt>
                <c:pt idx="1717">
                  <c:v>13.933355525853733</c:v>
                </c:pt>
                <c:pt idx="1718">
                  <c:v>13.964296057171078</c:v>
                </c:pt>
                <c:pt idx="1719">
                  <c:v>13.995236588488426</c:v>
                </c:pt>
                <c:pt idx="1720">
                  <c:v>14.026177119805771</c:v>
                </c:pt>
                <c:pt idx="1721">
                  <c:v>14.05711765112312</c:v>
                </c:pt>
                <c:pt idx="1722">
                  <c:v>14.088058182440465</c:v>
                </c:pt>
                <c:pt idx="1723">
                  <c:v>14.11899871375781</c:v>
                </c:pt>
                <c:pt idx="1724">
                  <c:v>14.149939245075158</c:v>
                </c:pt>
                <c:pt idx="1725">
                  <c:v>14.180879776392503</c:v>
                </c:pt>
                <c:pt idx="1726">
                  <c:v>14.211820307709848</c:v>
                </c:pt>
                <c:pt idx="1727">
                  <c:v>14.242760839027197</c:v>
                </c:pt>
                <c:pt idx="1728">
                  <c:v>14.273701370344542</c:v>
                </c:pt>
                <c:pt idx="1729">
                  <c:v>14.304641901661887</c:v>
                </c:pt>
                <c:pt idx="1730">
                  <c:v>14.335582432979235</c:v>
                </c:pt>
                <c:pt idx="1731">
                  <c:v>14.36652296429658</c:v>
                </c:pt>
                <c:pt idx="1732">
                  <c:v>14.397463495613929</c:v>
                </c:pt>
                <c:pt idx="1733">
                  <c:v>14.428404026931274</c:v>
                </c:pt>
                <c:pt idx="1734">
                  <c:v>14.459344558248619</c:v>
                </c:pt>
                <c:pt idx="1735">
                  <c:v>14.490285089565967</c:v>
                </c:pt>
                <c:pt idx="1736">
                  <c:v>14.521225620883312</c:v>
                </c:pt>
                <c:pt idx="1737">
                  <c:v>14.552166152200657</c:v>
                </c:pt>
                <c:pt idx="1738">
                  <c:v>14.583106683518006</c:v>
                </c:pt>
                <c:pt idx="1739">
                  <c:v>14.614047214835351</c:v>
                </c:pt>
                <c:pt idx="1740">
                  <c:v>14.644987746152699</c:v>
                </c:pt>
                <c:pt idx="1741">
                  <c:v>14.675928277470044</c:v>
                </c:pt>
                <c:pt idx="1742">
                  <c:v>14.706868808787389</c:v>
                </c:pt>
                <c:pt idx="1743">
                  <c:v>14.737809340104738</c:v>
                </c:pt>
                <c:pt idx="1744">
                  <c:v>14.768749871422083</c:v>
                </c:pt>
                <c:pt idx="1745">
                  <c:v>14.799690402739428</c:v>
                </c:pt>
                <c:pt idx="1746">
                  <c:v>14.830630934056776</c:v>
                </c:pt>
                <c:pt idx="1747">
                  <c:v>14.861571465374121</c:v>
                </c:pt>
                <c:pt idx="1748">
                  <c:v>14.892511996691466</c:v>
                </c:pt>
                <c:pt idx="1749">
                  <c:v>14.923452528008815</c:v>
                </c:pt>
                <c:pt idx="1750">
                  <c:v>14.95439305932616</c:v>
                </c:pt>
                <c:pt idx="1751">
                  <c:v>14.985333590643508</c:v>
                </c:pt>
                <c:pt idx="1752">
                  <c:v>15.016274121960853</c:v>
                </c:pt>
                <c:pt idx="1753">
                  <c:v>15.047214653278198</c:v>
                </c:pt>
                <c:pt idx="1754">
                  <c:v>15.078155184595547</c:v>
                </c:pt>
                <c:pt idx="1755">
                  <c:v>15.109095715912892</c:v>
                </c:pt>
                <c:pt idx="1756">
                  <c:v>15.140036247230237</c:v>
                </c:pt>
                <c:pt idx="1757">
                  <c:v>15.170976778547585</c:v>
                </c:pt>
                <c:pt idx="1758">
                  <c:v>15.20191730986493</c:v>
                </c:pt>
                <c:pt idx="1759">
                  <c:v>15.232857841182275</c:v>
                </c:pt>
                <c:pt idx="1760">
                  <c:v>15.263798372499624</c:v>
                </c:pt>
                <c:pt idx="1761">
                  <c:v>15.294738903816969</c:v>
                </c:pt>
                <c:pt idx="1762">
                  <c:v>15.325679435134317</c:v>
                </c:pt>
                <c:pt idx="1763">
                  <c:v>15.356619966451662</c:v>
                </c:pt>
                <c:pt idx="1764">
                  <c:v>15.387560497769007</c:v>
                </c:pt>
                <c:pt idx="1765">
                  <c:v>15.418501029086356</c:v>
                </c:pt>
                <c:pt idx="1766">
                  <c:v>15.449441560403701</c:v>
                </c:pt>
                <c:pt idx="1767">
                  <c:v>15.480382091721046</c:v>
                </c:pt>
                <c:pt idx="1768">
                  <c:v>15.511322623038394</c:v>
                </c:pt>
                <c:pt idx="1769">
                  <c:v>15.542263154355739</c:v>
                </c:pt>
                <c:pt idx="1770">
                  <c:v>15.573203685673084</c:v>
                </c:pt>
                <c:pt idx="1771">
                  <c:v>15.604144216990433</c:v>
                </c:pt>
                <c:pt idx="1772">
                  <c:v>15.635084748307778</c:v>
                </c:pt>
                <c:pt idx="1773">
                  <c:v>15.666025279625126</c:v>
                </c:pt>
                <c:pt idx="1774">
                  <c:v>15.696965810942471</c:v>
                </c:pt>
                <c:pt idx="1775">
                  <c:v>15.727906342259816</c:v>
                </c:pt>
                <c:pt idx="1776">
                  <c:v>15.758846873577165</c:v>
                </c:pt>
                <c:pt idx="1777">
                  <c:v>15.789787404894509</c:v>
                </c:pt>
                <c:pt idx="1778">
                  <c:v>15.820727936211854</c:v>
                </c:pt>
                <c:pt idx="1779">
                  <c:v>15.851668467529203</c:v>
                </c:pt>
                <c:pt idx="1780">
                  <c:v>15.882608998846548</c:v>
                </c:pt>
                <c:pt idx="1781">
                  <c:v>15.913549530163893</c:v>
                </c:pt>
                <c:pt idx="1782">
                  <c:v>15.944490061481241</c:v>
                </c:pt>
                <c:pt idx="1783">
                  <c:v>15.975430592798586</c:v>
                </c:pt>
                <c:pt idx="1784">
                  <c:v>16.006371124115937</c:v>
                </c:pt>
                <c:pt idx="1785">
                  <c:v>16.037311655433278</c:v>
                </c:pt>
                <c:pt idx="1786">
                  <c:v>16.068252186750627</c:v>
                </c:pt>
                <c:pt idx="1787">
                  <c:v>16.099192718067975</c:v>
                </c:pt>
                <c:pt idx="1788">
                  <c:v>16.130133249385317</c:v>
                </c:pt>
                <c:pt idx="1789">
                  <c:v>16.161073780702665</c:v>
                </c:pt>
                <c:pt idx="1790">
                  <c:v>16.192014312020014</c:v>
                </c:pt>
                <c:pt idx="1791">
                  <c:v>16.222954843337355</c:v>
                </c:pt>
                <c:pt idx="1792">
                  <c:v>16.253895374654704</c:v>
                </c:pt>
                <c:pt idx="1793">
                  <c:v>16.284835905972052</c:v>
                </c:pt>
                <c:pt idx="1794">
                  <c:v>16.315776437289394</c:v>
                </c:pt>
                <c:pt idx="1795">
                  <c:v>16.346716968606742</c:v>
                </c:pt>
                <c:pt idx="1796">
                  <c:v>16.377657499924091</c:v>
                </c:pt>
                <c:pt idx="1797">
                  <c:v>16.408598031241432</c:v>
                </c:pt>
                <c:pt idx="1798">
                  <c:v>16.439538562558781</c:v>
                </c:pt>
                <c:pt idx="1799">
                  <c:v>16.470479093876129</c:v>
                </c:pt>
                <c:pt idx="1800">
                  <c:v>16.501419625193471</c:v>
                </c:pt>
                <c:pt idx="1801">
                  <c:v>16.532360156510819</c:v>
                </c:pt>
                <c:pt idx="1802">
                  <c:v>16.563300687828168</c:v>
                </c:pt>
                <c:pt idx="1803">
                  <c:v>16.594241219145516</c:v>
                </c:pt>
                <c:pt idx="1804">
                  <c:v>16.625181750462858</c:v>
                </c:pt>
                <c:pt idx="1805">
                  <c:v>16.656122281780206</c:v>
                </c:pt>
                <c:pt idx="1806">
                  <c:v>16.687062813097555</c:v>
                </c:pt>
                <c:pt idx="1807">
                  <c:v>16.718003344414896</c:v>
                </c:pt>
                <c:pt idx="1808">
                  <c:v>16.748943875732245</c:v>
                </c:pt>
                <c:pt idx="1809">
                  <c:v>16.779884407049593</c:v>
                </c:pt>
                <c:pt idx="1810">
                  <c:v>16.810824938366935</c:v>
                </c:pt>
                <c:pt idx="1811">
                  <c:v>16.841765469684283</c:v>
                </c:pt>
                <c:pt idx="1812">
                  <c:v>16.872706001001632</c:v>
                </c:pt>
                <c:pt idx="1813">
                  <c:v>16.903646532318973</c:v>
                </c:pt>
                <c:pt idx="1814">
                  <c:v>16.934587063636322</c:v>
                </c:pt>
                <c:pt idx="1815">
                  <c:v>16.96552759495367</c:v>
                </c:pt>
                <c:pt idx="1816">
                  <c:v>16.996468126271012</c:v>
                </c:pt>
                <c:pt idx="1817">
                  <c:v>#N/A</c:v>
                </c:pt>
                <c:pt idx="1818">
                  <c:v>-11.066593778562057</c:v>
                </c:pt>
                <c:pt idx="1819">
                  <c:v>-11.03565324724471</c:v>
                </c:pt>
                <c:pt idx="1820">
                  <c:v>-11.004712715927365</c:v>
                </c:pt>
                <c:pt idx="1821">
                  <c:v>-10.973772184610018</c:v>
                </c:pt>
                <c:pt idx="1822">
                  <c:v>-10.942831653292671</c:v>
                </c:pt>
                <c:pt idx="1823">
                  <c:v>-10.911891121975325</c:v>
                </c:pt>
                <c:pt idx="1824">
                  <c:v>-10.88095059065798</c:v>
                </c:pt>
                <c:pt idx="1825">
                  <c:v>-10.850010059340633</c:v>
                </c:pt>
                <c:pt idx="1826">
                  <c:v>-10.819069528023286</c:v>
                </c:pt>
                <c:pt idx="1827">
                  <c:v>-10.788128996705939</c:v>
                </c:pt>
                <c:pt idx="1828">
                  <c:v>-10.757188465388595</c:v>
                </c:pt>
                <c:pt idx="1829">
                  <c:v>-10.726247934071248</c:v>
                </c:pt>
                <c:pt idx="1830">
                  <c:v>-10.695307402753901</c:v>
                </c:pt>
                <c:pt idx="1831">
                  <c:v>-10.664366871436556</c:v>
                </c:pt>
                <c:pt idx="1832">
                  <c:v>-10.633426340119209</c:v>
                </c:pt>
                <c:pt idx="1833">
                  <c:v>-10.602485808801863</c:v>
                </c:pt>
                <c:pt idx="1834">
                  <c:v>-10.571545277484516</c:v>
                </c:pt>
                <c:pt idx="1835">
                  <c:v>-10.540604746167171</c:v>
                </c:pt>
                <c:pt idx="1836">
                  <c:v>-10.509664214849824</c:v>
                </c:pt>
                <c:pt idx="1837">
                  <c:v>-10.478723683532477</c:v>
                </c:pt>
                <c:pt idx="1838">
                  <c:v>-10.447783152215131</c:v>
                </c:pt>
                <c:pt idx="1839">
                  <c:v>-10.416842620897786</c:v>
                </c:pt>
                <c:pt idx="1840">
                  <c:v>-10.385902089580439</c:v>
                </c:pt>
                <c:pt idx="1841">
                  <c:v>-10.354961558263092</c:v>
                </c:pt>
                <c:pt idx="1842">
                  <c:v>-10.324021026945747</c:v>
                </c:pt>
                <c:pt idx="1843">
                  <c:v>-10.2930804956284</c:v>
                </c:pt>
                <c:pt idx="1844">
                  <c:v>-10.262139964311054</c:v>
                </c:pt>
                <c:pt idx="1845">
                  <c:v>-10.231199432993707</c:v>
                </c:pt>
                <c:pt idx="1846">
                  <c:v>-10.200258901676362</c:v>
                </c:pt>
                <c:pt idx="1847">
                  <c:v>-10.169318370359015</c:v>
                </c:pt>
                <c:pt idx="1848">
                  <c:v>-10.138377839041668</c:v>
                </c:pt>
                <c:pt idx="1849">
                  <c:v>-10.107437307724322</c:v>
                </c:pt>
                <c:pt idx="1850">
                  <c:v>-10.076496776406977</c:v>
                </c:pt>
                <c:pt idx="1851">
                  <c:v>-10.04555624508963</c:v>
                </c:pt>
                <c:pt idx="1852">
                  <c:v>-10.014615713772283</c:v>
                </c:pt>
                <c:pt idx="1853">
                  <c:v>-9.9836751824549363</c:v>
                </c:pt>
                <c:pt idx="1854">
                  <c:v>-9.9527346511375914</c:v>
                </c:pt>
                <c:pt idx="1855">
                  <c:v>-9.9217941198202446</c:v>
                </c:pt>
                <c:pt idx="1856">
                  <c:v>-9.8908535885028979</c:v>
                </c:pt>
                <c:pt idx="1857">
                  <c:v>-9.8599130571855511</c:v>
                </c:pt>
                <c:pt idx="1858">
                  <c:v>-9.8289725258682061</c:v>
                </c:pt>
                <c:pt idx="1859">
                  <c:v>-9.7980319945508594</c:v>
                </c:pt>
                <c:pt idx="1860">
                  <c:v>-9.7670914632335126</c:v>
                </c:pt>
                <c:pt idx="1861">
                  <c:v>-9.7361509319161677</c:v>
                </c:pt>
                <c:pt idx="1862">
                  <c:v>-9.7052104005988209</c:v>
                </c:pt>
                <c:pt idx="1863">
                  <c:v>-9.6742698692814741</c:v>
                </c:pt>
                <c:pt idx="1864">
                  <c:v>-9.6433293379641274</c:v>
                </c:pt>
                <c:pt idx="1865">
                  <c:v>-9.6123888066467824</c:v>
                </c:pt>
                <c:pt idx="1866">
                  <c:v>-9.5814482753294357</c:v>
                </c:pt>
                <c:pt idx="1867">
                  <c:v>-9.5505077440120889</c:v>
                </c:pt>
                <c:pt idx="1868">
                  <c:v>-9.5195672126947422</c:v>
                </c:pt>
                <c:pt idx="1869">
                  <c:v>-9.4886266813773972</c:v>
                </c:pt>
                <c:pt idx="1870">
                  <c:v>-9.4576861500600504</c:v>
                </c:pt>
                <c:pt idx="1871">
                  <c:v>-9.4267456187427037</c:v>
                </c:pt>
                <c:pt idx="1872">
                  <c:v>-9.3958050874253587</c:v>
                </c:pt>
                <c:pt idx="1873">
                  <c:v>-9.3648645561080119</c:v>
                </c:pt>
                <c:pt idx="1874">
                  <c:v>-9.3339240247906652</c:v>
                </c:pt>
                <c:pt idx="1875">
                  <c:v>-9.3029834934733184</c:v>
                </c:pt>
                <c:pt idx="1876">
                  <c:v>-9.2720429621559735</c:v>
                </c:pt>
                <c:pt idx="1877">
                  <c:v>-9.2411024308386267</c:v>
                </c:pt>
                <c:pt idx="1878">
                  <c:v>-9.2101618995212799</c:v>
                </c:pt>
                <c:pt idx="1879">
                  <c:v>-9.1792213682039332</c:v>
                </c:pt>
                <c:pt idx="1880">
                  <c:v>-9.1482808368865882</c:v>
                </c:pt>
                <c:pt idx="1881">
                  <c:v>-9.1173403055692415</c:v>
                </c:pt>
                <c:pt idx="1882">
                  <c:v>-9.0863997742518947</c:v>
                </c:pt>
                <c:pt idx="1883">
                  <c:v>-9.0554592429345497</c:v>
                </c:pt>
                <c:pt idx="1884">
                  <c:v>-9.024518711617203</c:v>
                </c:pt>
                <c:pt idx="1885">
                  <c:v>-8.9935781802998562</c:v>
                </c:pt>
                <c:pt idx="1886">
                  <c:v>-8.9626376489825095</c:v>
                </c:pt>
                <c:pt idx="1887">
                  <c:v>-8.9316971176651627</c:v>
                </c:pt>
                <c:pt idx="1888">
                  <c:v>-8.9007565863478177</c:v>
                </c:pt>
                <c:pt idx="1889">
                  <c:v>-8.869816055030471</c:v>
                </c:pt>
                <c:pt idx="1890">
                  <c:v>-8.8388755237131242</c:v>
                </c:pt>
                <c:pt idx="1891">
                  <c:v>-8.8079349923957793</c:v>
                </c:pt>
                <c:pt idx="1892">
                  <c:v>-8.7769944610784325</c:v>
                </c:pt>
                <c:pt idx="1893">
                  <c:v>-8.7460539297610858</c:v>
                </c:pt>
                <c:pt idx="1894">
                  <c:v>-8.7151133984437408</c:v>
                </c:pt>
                <c:pt idx="1895">
                  <c:v>-8.684172867126394</c:v>
                </c:pt>
                <c:pt idx="1896">
                  <c:v>-8.6532323358090473</c:v>
                </c:pt>
                <c:pt idx="1897">
                  <c:v>-8.6222918044917005</c:v>
                </c:pt>
                <c:pt idx="1898">
                  <c:v>-8.5913512731743538</c:v>
                </c:pt>
                <c:pt idx="1899">
                  <c:v>-8.5604107418570088</c:v>
                </c:pt>
                <c:pt idx="1900">
                  <c:v>-8.529470210539662</c:v>
                </c:pt>
                <c:pt idx="1901">
                  <c:v>-8.4985296792223153</c:v>
                </c:pt>
                <c:pt idx="1902">
                  <c:v>-8.4675891479049703</c:v>
                </c:pt>
                <c:pt idx="1903">
                  <c:v>-8.4366486165876236</c:v>
                </c:pt>
                <c:pt idx="1904">
                  <c:v>-8.4057080852702768</c:v>
                </c:pt>
                <c:pt idx="1905">
                  <c:v>-8.3747675539529318</c:v>
                </c:pt>
                <c:pt idx="1906">
                  <c:v>-8.3438270226355851</c:v>
                </c:pt>
                <c:pt idx="1907">
                  <c:v>-8.3128864913182383</c:v>
                </c:pt>
                <c:pt idx="1908">
                  <c:v>-8.2819459600008916</c:v>
                </c:pt>
                <c:pt idx="1909">
                  <c:v>-8.2510054286835448</c:v>
                </c:pt>
                <c:pt idx="1910">
                  <c:v>-8.2200648973661998</c:v>
                </c:pt>
                <c:pt idx="1911">
                  <c:v>-8.1891243660488531</c:v>
                </c:pt>
                <c:pt idx="1912">
                  <c:v>-8.1581838347315063</c:v>
                </c:pt>
                <c:pt idx="1913">
                  <c:v>-8.1272433034141613</c:v>
                </c:pt>
                <c:pt idx="1914">
                  <c:v>-8.0963027720968146</c:v>
                </c:pt>
                <c:pt idx="1915">
                  <c:v>-8.0653622407794678</c:v>
                </c:pt>
                <c:pt idx="1916">
                  <c:v>-8.0344217094621229</c:v>
                </c:pt>
                <c:pt idx="1917">
                  <c:v>-8.0034811781447761</c:v>
                </c:pt>
                <c:pt idx="1918">
                  <c:v>-7.9725406468274294</c:v>
                </c:pt>
                <c:pt idx="1919">
                  <c:v>-7.9416001155100826</c:v>
                </c:pt>
                <c:pt idx="1920">
                  <c:v>-7.9106595841927367</c:v>
                </c:pt>
                <c:pt idx="1921">
                  <c:v>-7.8797190528753909</c:v>
                </c:pt>
                <c:pt idx="1922">
                  <c:v>-7.8487785215580441</c:v>
                </c:pt>
                <c:pt idx="1923">
                  <c:v>-7.8178379902406974</c:v>
                </c:pt>
                <c:pt idx="1924">
                  <c:v>-7.7868974589233515</c:v>
                </c:pt>
                <c:pt idx="1925">
                  <c:v>-7.7559569276060056</c:v>
                </c:pt>
                <c:pt idx="1926">
                  <c:v>-7.7250163962886589</c:v>
                </c:pt>
                <c:pt idx="1927">
                  <c:v>-7.694075864971313</c:v>
                </c:pt>
                <c:pt idx="1928">
                  <c:v>-7.6631353336539672</c:v>
                </c:pt>
                <c:pt idx="1929">
                  <c:v>-7.6321948023366204</c:v>
                </c:pt>
                <c:pt idx="1930">
                  <c:v>-7.6012542710192736</c:v>
                </c:pt>
                <c:pt idx="1931">
                  <c:v>-7.5703137397019278</c:v>
                </c:pt>
                <c:pt idx="1932">
                  <c:v>-7.5393732083845819</c:v>
                </c:pt>
                <c:pt idx="1933">
                  <c:v>-7.5084326770672352</c:v>
                </c:pt>
                <c:pt idx="1934">
                  <c:v>-7.4774921457498884</c:v>
                </c:pt>
                <c:pt idx="1935">
                  <c:v>-7.4465516144325425</c:v>
                </c:pt>
                <c:pt idx="1936">
                  <c:v>-7.4156110831151967</c:v>
                </c:pt>
                <c:pt idx="1937">
                  <c:v>-7.3846705517978499</c:v>
                </c:pt>
                <c:pt idx="1938">
                  <c:v>-7.3537300204805032</c:v>
                </c:pt>
                <c:pt idx="1939">
                  <c:v>-7.3227894891631573</c:v>
                </c:pt>
                <c:pt idx="1940">
                  <c:v>-7.2918489578458114</c:v>
                </c:pt>
                <c:pt idx="1941">
                  <c:v>-7.2609084265284647</c:v>
                </c:pt>
                <c:pt idx="1942">
                  <c:v>-7.2299678952111188</c:v>
                </c:pt>
                <c:pt idx="1943">
                  <c:v>-7.199027363893773</c:v>
                </c:pt>
                <c:pt idx="1944">
                  <c:v>-7.1680868325764262</c:v>
                </c:pt>
                <c:pt idx="1945">
                  <c:v>-7.1371463012590795</c:v>
                </c:pt>
                <c:pt idx="1946">
                  <c:v>-7.1062057699417336</c:v>
                </c:pt>
                <c:pt idx="1947">
                  <c:v>-7.0752652386243877</c:v>
                </c:pt>
                <c:pt idx="1948">
                  <c:v>-7.044324707307041</c:v>
                </c:pt>
                <c:pt idx="1949">
                  <c:v>-7.0133841759896951</c:v>
                </c:pt>
                <c:pt idx="1950">
                  <c:v>-6.9824436446723483</c:v>
                </c:pt>
                <c:pt idx="1951">
                  <c:v>-6.9515031133550025</c:v>
                </c:pt>
                <c:pt idx="1952">
                  <c:v>-6.9205625820376557</c:v>
                </c:pt>
                <c:pt idx="1953">
                  <c:v>-6.8896220507203099</c:v>
                </c:pt>
                <c:pt idx="1954">
                  <c:v>-6.8586815194029631</c:v>
                </c:pt>
                <c:pt idx="1955">
                  <c:v>-6.8277409880856172</c:v>
                </c:pt>
                <c:pt idx="1956">
                  <c:v>-6.7968004567682705</c:v>
                </c:pt>
                <c:pt idx="1957">
                  <c:v>-6.7658599254509246</c:v>
                </c:pt>
                <c:pt idx="1958">
                  <c:v>-6.7349193941335779</c:v>
                </c:pt>
                <c:pt idx="1959">
                  <c:v>-6.703978862816232</c:v>
                </c:pt>
                <c:pt idx="1960">
                  <c:v>-6.6730383314988861</c:v>
                </c:pt>
                <c:pt idx="1961">
                  <c:v>-6.6420978001815394</c:v>
                </c:pt>
                <c:pt idx="1962">
                  <c:v>-6.6111572688641935</c:v>
                </c:pt>
                <c:pt idx="1963">
                  <c:v>-6.5802167375468468</c:v>
                </c:pt>
                <c:pt idx="1964">
                  <c:v>-6.5492762062295009</c:v>
                </c:pt>
                <c:pt idx="1965">
                  <c:v>-6.5183356749121542</c:v>
                </c:pt>
                <c:pt idx="1966">
                  <c:v>-6.4873951435948083</c:v>
                </c:pt>
                <c:pt idx="1967">
                  <c:v>-6.4564546122774615</c:v>
                </c:pt>
                <c:pt idx="1968">
                  <c:v>-6.4255140809601157</c:v>
                </c:pt>
                <c:pt idx="1969">
                  <c:v>-6.3945735496427689</c:v>
                </c:pt>
                <c:pt idx="1970">
                  <c:v>-6.3636330183254231</c:v>
                </c:pt>
                <c:pt idx="1971">
                  <c:v>-6.3326924870080763</c:v>
                </c:pt>
                <c:pt idx="1972">
                  <c:v>-6.3017519556907304</c:v>
                </c:pt>
                <c:pt idx="1973">
                  <c:v>-6.2708114243733846</c:v>
                </c:pt>
                <c:pt idx="1974">
                  <c:v>-6.2398708930560378</c:v>
                </c:pt>
                <c:pt idx="1975">
                  <c:v>-6.2089303617386919</c:v>
                </c:pt>
                <c:pt idx="1976">
                  <c:v>-6.1779898304213452</c:v>
                </c:pt>
                <c:pt idx="1977">
                  <c:v>-6.1470492991039993</c:v>
                </c:pt>
                <c:pt idx="1978">
                  <c:v>-6.1161087677866526</c:v>
                </c:pt>
                <c:pt idx="1979">
                  <c:v>-6.0851682364693067</c:v>
                </c:pt>
                <c:pt idx="1980">
                  <c:v>-6.05422770515196</c:v>
                </c:pt>
                <c:pt idx="1981">
                  <c:v>-6.0232871738346141</c:v>
                </c:pt>
                <c:pt idx="1982">
                  <c:v>-5.9923466425172673</c:v>
                </c:pt>
                <c:pt idx="1983">
                  <c:v>-5.9614061111999215</c:v>
                </c:pt>
                <c:pt idx="1984">
                  <c:v>-5.9304655798825747</c:v>
                </c:pt>
                <c:pt idx="1985">
                  <c:v>-5.8995250485652289</c:v>
                </c:pt>
                <c:pt idx="1986">
                  <c:v>-5.868584517247883</c:v>
                </c:pt>
                <c:pt idx="1987">
                  <c:v>-5.8376439859305362</c:v>
                </c:pt>
                <c:pt idx="1988">
                  <c:v>-5.8067034546131904</c:v>
                </c:pt>
                <c:pt idx="1989">
                  <c:v>-5.7757629232958436</c:v>
                </c:pt>
                <c:pt idx="1990">
                  <c:v>-5.7448223919784978</c:v>
                </c:pt>
                <c:pt idx="1991">
                  <c:v>-5.713881860661151</c:v>
                </c:pt>
                <c:pt idx="1992">
                  <c:v>-5.6829413293438051</c:v>
                </c:pt>
                <c:pt idx="1993">
                  <c:v>-5.6520007980264584</c:v>
                </c:pt>
                <c:pt idx="1994">
                  <c:v>-5.6210602667091125</c:v>
                </c:pt>
                <c:pt idx="1995">
                  <c:v>-5.5901197353917658</c:v>
                </c:pt>
                <c:pt idx="1996">
                  <c:v>-5.5591792040744199</c:v>
                </c:pt>
                <c:pt idx="1997">
                  <c:v>-5.5282386727570731</c:v>
                </c:pt>
                <c:pt idx="1998">
                  <c:v>-5.4972981414397273</c:v>
                </c:pt>
                <c:pt idx="1999">
                  <c:v>-5.4663576101223814</c:v>
                </c:pt>
                <c:pt idx="2000">
                  <c:v>-5.4354170788050347</c:v>
                </c:pt>
                <c:pt idx="2001">
                  <c:v>-5.4044765474876888</c:v>
                </c:pt>
                <c:pt idx="2002">
                  <c:v>-5.373536016170342</c:v>
                </c:pt>
                <c:pt idx="2003">
                  <c:v>-5.3425954848529962</c:v>
                </c:pt>
                <c:pt idx="2004">
                  <c:v>-5.3116549535356494</c:v>
                </c:pt>
                <c:pt idx="2005">
                  <c:v>-5.2807144222183036</c:v>
                </c:pt>
                <c:pt idx="2006">
                  <c:v>-5.2497738909009568</c:v>
                </c:pt>
                <c:pt idx="2007">
                  <c:v>-5.2188333595836109</c:v>
                </c:pt>
                <c:pt idx="2008">
                  <c:v>-5.1878928282662642</c:v>
                </c:pt>
                <c:pt idx="2009">
                  <c:v>-5.1569522969489183</c:v>
                </c:pt>
                <c:pt idx="2010">
                  <c:v>-5.1260117656315725</c:v>
                </c:pt>
                <c:pt idx="2011">
                  <c:v>-5.0950712343142257</c:v>
                </c:pt>
                <c:pt idx="2012">
                  <c:v>-5.0641307029968798</c:v>
                </c:pt>
                <c:pt idx="2013">
                  <c:v>-5.0331901716795331</c:v>
                </c:pt>
                <c:pt idx="2014">
                  <c:v>-5.0022496403621872</c:v>
                </c:pt>
                <c:pt idx="2015">
                  <c:v>-4.9713091090448405</c:v>
                </c:pt>
                <c:pt idx="2016">
                  <c:v>-4.9403685777274946</c:v>
                </c:pt>
                <c:pt idx="2017">
                  <c:v>-4.9094280464101479</c:v>
                </c:pt>
                <c:pt idx="2018">
                  <c:v>-4.878487515092802</c:v>
                </c:pt>
                <c:pt idx="2019">
                  <c:v>-4.8475469837754552</c:v>
                </c:pt>
                <c:pt idx="2020">
                  <c:v>-4.8166064524581094</c:v>
                </c:pt>
                <c:pt idx="2021">
                  <c:v>-4.7856659211407626</c:v>
                </c:pt>
                <c:pt idx="2022">
                  <c:v>-4.7547253898234167</c:v>
                </c:pt>
                <c:pt idx="2023">
                  <c:v>-4.7237848585060709</c:v>
                </c:pt>
                <c:pt idx="2024">
                  <c:v>-4.6928443271887241</c:v>
                </c:pt>
                <c:pt idx="2025">
                  <c:v>-4.6619037958713783</c:v>
                </c:pt>
                <c:pt idx="2026">
                  <c:v>-4.6309632645540315</c:v>
                </c:pt>
                <c:pt idx="2027">
                  <c:v>-4.6000227332366856</c:v>
                </c:pt>
                <c:pt idx="2028">
                  <c:v>-4.5690822019193389</c:v>
                </c:pt>
                <c:pt idx="2029">
                  <c:v>-4.538141670601993</c:v>
                </c:pt>
                <c:pt idx="2030">
                  <c:v>-4.5072011392846463</c:v>
                </c:pt>
                <c:pt idx="2031">
                  <c:v>-4.4762606079673004</c:v>
                </c:pt>
                <c:pt idx="2032">
                  <c:v>-4.4453200766499537</c:v>
                </c:pt>
                <c:pt idx="2033">
                  <c:v>-4.4143795453326078</c:v>
                </c:pt>
                <c:pt idx="2034">
                  <c:v>-4.383439014015261</c:v>
                </c:pt>
                <c:pt idx="2035">
                  <c:v>-4.3524984826979152</c:v>
                </c:pt>
                <c:pt idx="2036">
                  <c:v>-4.3215579513805693</c:v>
                </c:pt>
                <c:pt idx="2037">
                  <c:v>-4.2906174200632226</c:v>
                </c:pt>
                <c:pt idx="2038">
                  <c:v>-4.2596768887458767</c:v>
                </c:pt>
                <c:pt idx="2039">
                  <c:v>-4.2287363574285299</c:v>
                </c:pt>
                <c:pt idx="2040">
                  <c:v>-4.1977958261111841</c:v>
                </c:pt>
                <c:pt idx="2041">
                  <c:v>-4.1668552947938373</c:v>
                </c:pt>
                <c:pt idx="2042">
                  <c:v>-4.1359147634764915</c:v>
                </c:pt>
                <c:pt idx="2043">
                  <c:v>-4.1049742321591447</c:v>
                </c:pt>
                <c:pt idx="2044">
                  <c:v>-4.0740337008417988</c:v>
                </c:pt>
                <c:pt idx="2045">
                  <c:v>-4.0430931695244521</c:v>
                </c:pt>
                <c:pt idx="2046">
                  <c:v>-4.0121526382071062</c:v>
                </c:pt>
                <c:pt idx="2047">
                  <c:v>-3.9812121068897595</c:v>
                </c:pt>
                <c:pt idx="2048">
                  <c:v>-3.9502715755724136</c:v>
                </c:pt>
                <c:pt idx="2049">
                  <c:v>-3.9193310442550677</c:v>
                </c:pt>
                <c:pt idx="2050">
                  <c:v>-3.888390512937721</c:v>
                </c:pt>
                <c:pt idx="2051">
                  <c:v>-3.8574499816203751</c:v>
                </c:pt>
                <c:pt idx="2052">
                  <c:v>-3.8265094503030284</c:v>
                </c:pt>
                <c:pt idx="2053">
                  <c:v>-3.7955689189856825</c:v>
                </c:pt>
                <c:pt idx="2054">
                  <c:v>-3.7646283876683357</c:v>
                </c:pt>
                <c:pt idx="2055">
                  <c:v>-3.7336878563509899</c:v>
                </c:pt>
                <c:pt idx="2056">
                  <c:v>-3.7027473250336431</c:v>
                </c:pt>
                <c:pt idx="2057">
                  <c:v>-3.6718067937162973</c:v>
                </c:pt>
                <c:pt idx="2058">
                  <c:v>-3.6408662623989505</c:v>
                </c:pt>
                <c:pt idx="2059">
                  <c:v>-3.6099257310816046</c:v>
                </c:pt>
                <c:pt idx="2060">
                  <c:v>-3.5789851997642579</c:v>
                </c:pt>
                <c:pt idx="2061">
                  <c:v>-3.548044668446912</c:v>
                </c:pt>
                <c:pt idx="2062">
                  <c:v>-3.5171041371295662</c:v>
                </c:pt>
                <c:pt idx="2063">
                  <c:v>-3.4861636058122194</c:v>
                </c:pt>
                <c:pt idx="2064">
                  <c:v>-3.4552230744948735</c:v>
                </c:pt>
                <c:pt idx="2065">
                  <c:v>-3.4242825431775268</c:v>
                </c:pt>
                <c:pt idx="2066">
                  <c:v>-3.3933420118601809</c:v>
                </c:pt>
                <c:pt idx="2067">
                  <c:v>-3.3624014805428342</c:v>
                </c:pt>
                <c:pt idx="2068">
                  <c:v>-3.3314609492254883</c:v>
                </c:pt>
                <c:pt idx="2069">
                  <c:v>-3.3005204179081415</c:v>
                </c:pt>
                <c:pt idx="2070">
                  <c:v>-3.2695798865907957</c:v>
                </c:pt>
                <c:pt idx="2071">
                  <c:v>-3.2386393552734489</c:v>
                </c:pt>
                <c:pt idx="2072">
                  <c:v>-3.2076988239561031</c:v>
                </c:pt>
                <c:pt idx="2073">
                  <c:v>-3.1767582926387563</c:v>
                </c:pt>
                <c:pt idx="2074">
                  <c:v>-3.1458177613214104</c:v>
                </c:pt>
                <c:pt idx="2075">
                  <c:v>-3.1148772300040646</c:v>
                </c:pt>
                <c:pt idx="2076">
                  <c:v>-3.0839366986867178</c:v>
                </c:pt>
                <c:pt idx="2077">
                  <c:v>-3.052996167369372</c:v>
                </c:pt>
                <c:pt idx="2078">
                  <c:v>-3.0220556360520252</c:v>
                </c:pt>
                <c:pt idx="2079">
                  <c:v>-2.9911151047346785</c:v>
                </c:pt>
                <c:pt idx="2080">
                  <c:v>-2.9601745734173335</c:v>
                </c:pt>
                <c:pt idx="2081">
                  <c:v>-2.9292340420999867</c:v>
                </c:pt>
                <c:pt idx="2082">
                  <c:v>-2.89829351078264</c:v>
                </c:pt>
                <c:pt idx="2083">
                  <c:v>-2.8673529794652932</c:v>
                </c:pt>
                <c:pt idx="2084">
                  <c:v>-2.8364124481479482</c:v>
                </c:pt>
                <c:pt idx="2085">
                  <c:v>-2.8054719168306015</c:v>
                </c:pt>
                <c:pt idx="2086">
                  <c:v>-2.7745313855132547</c:v>
                </c:pt>
                <c:pt idx="2087">
                  <c:v>-2.7435908541959098</c:v>
                </c:pt>
                <c:pt idx="2088">
                  <c:v>-2.712650322878563</c:v>
                </c:pt>
                <c:pt idx="2089">
                  <c:v>-2.6817097915612162</c:v>
                </c:pt>
                <c:pt idx="2090">
                  <c:v>-2.6507692602438695</c:v>
                </c:pt>
                <c:pt idx="2091">
                  <c:v>-2.6198287289265245</c:v>
                </c:pt>
                <c:pt idx="2092">
                  <c:v>-2.5888881976091778</c:v>
                </c:pt>
                <c:pt idx="2093">
                  <c:v>-2.557947666291831</c:v>
                </c:pt>
                <c:pt idx="2094">
                  <c:v>-2.5270071349744843</c:v>
                </c:pt>
                <c:pt idx="2095">
                  <c:v>-2.4960666036571393</c:v>
                </c:pt>
                <c:pt idx="2096">
                  <c:v>-2.4651260723397925</c:v>
                </c:pt>
                <c:pt idx="2097">
                  <c:v>-2.4341855410224458</c:v>
                </c:pt>
                <c:pt idx="2098">
                  <c:v>-2.403245009705099</c:v>
                </c:pt>
                <c:pt idx="2099">
                  <c:v>-2.372304478387754</c:v>
                </c:pt>
                <c:pt idx="2100">
                  <c:v>-2.3413639470704073</c:v>
                </c:pt>
                <c:pt idx="2101">
                  <c:v>-2.3104234157530605</c:v>
                </c:pt>
                <c:pt idx="2102">
                  <c:v>-2.2794828844357156</c:v>
                </c:pt>
                <c:pt idx="2103">
                  <c:v>-2.2485423531183688</c:v>
                </c:pt>
                <c:pt idx="2104">
                  <c:v>-2.2176018218010221</c:v>
                </c:pt>
                <c:pt idx="2105">
                  <c:v>-2.1866612904836753</c:v>
                </c:pt>
                <c:pt idx="2106">
                  <c:v>-2.1557207591663303</c:v>
                </c:pt>
                <c:pt idx="2107">
                  <c:v>-2.1247802278489836</c:v>
                </c:pt>
                <c:pt idx="2108">
                  <c:v>-2.0938396965316368</c:v>
                </c:pt>
                <c:pt idx="2109">
                  <c:v>-2.0628991652142901</c:v>
                </c:pt>
                <c:pt idx="2110">
                  <c:v>-2.0319586338969451</c:v>
                </c:pt>
                <c:pt idx="2111">
                  <c:v>-2.0010181025795983</c:v>
                </c:pt>
                <c:pt idx="2112">
                  <c:v>-1.9700775712622516</c:v>
                </c:pt>
                <c:pt idx="2113">
                  <c:v>-1.9391370399449066</c:v>
                </c:pt>
                <c:pt idx="2114">
                  <c:v>-1.9081965086275599</c:v>
                </c:pt>
                <c:pt idx="2115">
                  <c:v>-1.8772559773102131</c:v>
                </c:pt>
                <c:pt idx="2116">
                  <c:v>-1.8463154459928663</c:v>
                </c:pt>
                <c:pt idx="2117">
                  <c:v>-1.8153749146755214</c:v>
                </c:pt>
                <c:pt idx="2118">
                  <c:v>-1.7844343833581746</c:v>
                </c:pt>
                <c:pt idx="2119">
                  <c:v>-1.7534938520408279</c:v>
                </c:pt>
                <c:pt idx="2120">
                  <c:v>-1.7225533207234811</c:v>
                </c:pt>
                <c:pt idx="2121">
                  <c:v>-1.6916127894061361</c:v>
                </c:pt>
                <c:pt idx="2122">
                  <c:v>-1.6606722580887894</c:v>
                </c:pt>
                <c:pt idx="2123">
                  <c:v>-1.6297317267714426</c:v>
                </c:pt>
                <c:pt idx="2124">
                  <c:v>-1.5987911954540959</c:v>
                </c:pt>
                <c:pt idx="2125">
                  <c:v>-1.5678506641367509</c:v>
                </c:pt>
                <c:pt idx="2126">
                  <c:v>-1.5369101328194041</c:v>
                </c:pt>
                <c:pt idx="2127">
                  <c:v>-1.5059696015020574</c:v>
                </c:pt>
                <c:pt idx="2128">
                  <c:v>-1.4750290701847124</c:v>
                </c:pt>
                <c:pt idx="2129">
                  <c:v>-1.4440885388673657</c:v>
                </c:pt>
                <c:pt idx="2130">
                  <c:v>-1.4131480075500189</c:v>
                </c:pt>
                <c:pt idx="2131">
                  <c:v>-1.3822074762326721</c:v>
                </c:pt>
                <c:pt idx="2132">
                  <c:v>-1.3512669449153272</c:v>
                </c:pt>
                <c:pt idx="2133">
                  <c:v>-1.3203264135979804</c:v>
                </c:pt>
                <c:pt idx="2134">
                  <c:v>-1.2893858822806337</c:v>
                </c:pt>
                <c:pt idx="2135">
                  <c:v>-1.2584453509632869</c:v>
                </c:pt>
                <c:pt idx="2136">
                  <c:v>-1.2275048196459419</c:v>
                </c:pt>
                <c:pt idx="2137">
                  <c:v>-1.1965642883285952</c:v>
                </c:pt>
                <c:pt idx="2138">
                  <c:v>-1.1656237570112484</c:v>
                </c:pt>
                <c:pt idx="2139">
                  <c:v>-1.1346832256939035</c:v>
                </c:pt>
                <c:pt idx="2140">
                  <c:v>-1.1037426943765567</c:v>
                </c:pt>
                <c:pt idx="2141">
                  <c:v>-1.0728021630592099</c:v>
                </c:pt>
                <c:pt idx="2142">
                  <c:v>-1.0418616317418632</c:v>
                </c:pt>
                <c:pt idx="2143">
                  <c:v>-1.0109211004245182</c:v>
                </c:pt>
                <c:pt idx="2144">
                  <c:v>-0.97998056910717146</c:v>
                </c:pt>
                <c:pt idx="2145">
                  <c:v>-0.94904003778982471</c:v>
                </c:pt>
                <c:pt idx="2146">
                  <c:v>-0.91809950647247796</c:v>
                </c:pt>
                <c:pt idx="2147">
                  <c:v>-0.88715897515513298</c:v>
                </c:pt>
                <c:pt idx="2148">
                  <c:v>-0.85621844383778623</c:v>
                </c:pt>
                <c:pt idx="2149">
                  <c:v>-0.82527791252043947</c:v>
                </c:pt>
                <c:pt idx="2150">
                  <c:v>-0.79433738120309272</c:v>
                </c:pt>
                <c:pt idx="2151">
                  <c:v>-0.76339684988574774</c:v>
                </c:pt>
                <c:pt idx="2152">
                  <c:v>-0.73245631856840099</c:v>
                </c:pt>
                <c:pt idx="2153">
                  <c:v>-0.70151578725105423</c:v>
                </c:pt>
                <c:pt idx="2154">
                  <c:v>-0.67057525593370926</c:v>
                </c:pt>
                <c:pt idx="2155">
                  <c:v>-0.6396347246163625</c:v>
                </c:pt>
                <c:pt idx="2156">
                  <c:v>-0.60869419329901575</c:v>
                </c:pt>
                <c:pt idx="2157">
                  <c:v>-0.577753661981669</c:v>
                </c:pt>
                <c:pt idx="2158">
                  <c:v>-0.54681313066432402</c:v>
                </c:pt>
                <c:pt idx="2159">
                  <c:v>-0.51587259934697727</c:v>
                </c:pt>
                <c:pt idx="2160">
                  <c:v>-0.48493206802963051</c:v>
                </c:pt>
                <c:pt idx="2161">
                  <c:v>-0.45399153671228376</c:v>
                </c:pt>
                <c:pt idx="2162">
                  <c:v>-0.42305100539493878</c:v>
                </c:pt>
                <c:pt idx="2163">
                  <c:v>-0.39211047407759203</c:v>
                </c:pt>
                <c:pt idx="2164">
                  <c:v>-0.36116994276024528</c:v>
                </c:pt>
                <c:pt idx="2165">
                  <c:v>-0.3302294114429003</c:v>
                </c:pt>
                <c:pt idx="2166">
                  <c:v>-0.29928888012555355</c:v>
                </c:pt>
                <c:pt idx="2167">
                  <c:v>-0.26834834880820679</c:v>
                </c:pt>
                <c:pt idx="2168">
                  <c:v>-0.23740781749086004</c:v>
                </c:pt>
                <c:pt idx="2169">
                  <c:v>-0.20646728617351506</c:v>
                </c:pt>
                <c:pt idx="2170">
                  <c:v>-0.17552675485616831</c:v>
                </c:pt>
                <c:pt idx="2171">
                  <c:v>-0.14458622353882156</c:v>
                </c:pt>
                <c:pt idx="2172">
                  <c:v>-0.1136456922214748</c:v>
                </c:pt>
                <c:pt idx="2173">
                  <c:v>-8.2705160904129826E-2</c:v>
                </c:pt>
                <c:pt idx="2174">
                  <c:v>-5.1764629586783073E-2</c:v>
                </c:pt>
                <c:pt idx="2175">
                  <c:v>-2.082409826943632E-2</c:v>
                </c:pt>
                <c:pt idx="2176">
                  <c:v>1.0116433047910434E-2</c:v>
                </c:pt>
                <c:pt idx="2177">
                  <c:v>4.1056964365255411E-2</c:v>
                </c:pt>
                <c:pt idx="2178">
                  <c:v>7.1997495682602164E-2</c:v>
                </c:pt>
                <c:pt idx="2179">
                  <c:v>0.10293802699994892</c:v>
                </c:pt>
                <c:pt idx="2180">
                  <c:v>0.13387855831729389</c:v>
                </c:pt>
                <c:pt idx="2181">
                  <c:v>0.16481908963464065</c:v>
                </c:pt>
                <c:pt idx="2182">
                  <c:v>0.1957596209519874</c:v>
                </c:pt>
                <c:pt idx="2183">
                  <c:v>0.22670015226933415</c:v>
                </c:pt>
                <c:pt idx="2184">
                  <c:v>0.25764068358667913</c:v>
                </c:pt>
                <c:pt idx="2185">
                  <c:v>0.28858121490402588</c:v>
                </c:pt>
                <c:pt idx="2186">
                  <c:v>0.31952174622137264</c:v>
                </c:pt>
                <c:pt idx="2187">
                  <c:v>0.35046227753871939</c:v>
                </c:pt>
                <c:pt idx="2188">
                  <c:v>0.38140280885606437</c:v>
                </c:pt>
                <c:pt idx="2189">
                  <c:v>0.41234334017341112</c:v>
                </c:pt>
                <c:pt idx="2190">
                  <c:v>0.44328387149075787</c:v>
                </c:pt>
                <c:pt idx="2191">
                  <c:v>0.47422440280810285</c:v>
                </c:pt>
                <c:pt idx="2192">
                  <c:v>0.50516493412544961</c:v>
                </c:pt>
                <c:pt idx="2193">
                  <c:v>0.53610546544279636</c:v>
                </c:pt>
                <c:pt idx="2194">
                  <c:v>0.56704599676014311</c:v>
                </c:pt>
                <c:pt idx="2195">
                  <c:v>0.59798652807748809</c:v>
                </c:pt>
                <c:pt idx="2196">
                  <c:v>0.62892705939483484</c:v>
                </c:pt>
                <c:pt idx="2197">
                  <c:v>0.6598675907121816</c:v>
                </c:pt>
                <c:pt idx="2198">
                  <c:v>0.69080812202952835</c:v>
                </c:pt>
                <c:pt idx="2199">
                  <c:v>0.72174865334687333</c:v>
                </c:pt>
                <c:pt idx="2200">
                  <c:v>0.75268918466422008</c:v>
                </c:pt>
                <c:pt idx="2201">
                  <c:v>0.78362971598156683</c:v>
                </c:pt>
                <c:pt idx="2202">
                  <c:v>0.81457024729891181</c:v>
                </c:pt>
                <c:pt idx="2203">
                  <c:v>0.84551077861625856</c:v>
                </c:pt>
                <c:pt idx="2204">
                  <c:v>0.87645130993360532</c:v>
                </c:pt>
                <c:pt idx="2205">
                  <c:v>0.90739184125095207</c:v>
                </c:pt>
                <c:pt idx="2206">
                  <c:v>0.93833237256829705</c:v>
                </c:pt>
                <c:pt idx="2207">
                  <c:v>0.9692729038856438</c:v>
                </c:pt>
                <c:pt idx="2208">
                  <c:v>1.0002134352029906</c:v>
                </c:pt>
                <c:pt idx="2209">
                  <c:v>1.0311539665203373</c:v>
                </c:pt>
                <c:pt idx="2210">
                  <c:v>1.0620944978376823</c:v>
                </c:pt>
                <c:pt idx="2211">
                  <c:v>1.093035029155029</c:v>
                </c:pt>
                <c:pt idx="2212">
                  <c:v>1.1239755604723758</c:v>
                </c:pt>
                <c:pt idx="2213">
                  <c:v>1.1549160917897225</c:v>
                </c:pt>
                <c:pt idx="2214">
                  <c:v>1.1858566231070675</c:v>
                </c:pt>
                <c:pt idx="2215">
                  <c:v>1.2167971544244143</c:v>
                </c:pt>
                <c:pt idx="2216">
                  <c:v>1.247737685741761</c:v>
                </c:pt>
                <c:pt idx="2217">
                  <c:v>1.278678217059106</c:v>
                </c:pt>
                <c:pt idx="2218">
                  <c:v>1.3096187483764528</c:v>
                </c:pt>
                <c:pt idx="2219">
                  <c:v>1.3405592796937995</c:v>
                </c:pt>
                <c:pt idx="2220">
                  <c:v>1.3714998110111463</c:v>
                </c:pt>
                <c:pt idx="2221">
                  <c:v>1.4024403423284912</c:v>
                </c:pt>
                <c:pt idx="2222">
                  <c:v>1.433380873645838</c:v>
                </c:pt>
                <c:pt idx="2223">
                  <c:v>1.4643214049631847</c:v>
                </c:pt>
                <c:pt idx="2224">
                  <c:v>1.4952619362805315</c:v>
                </c:pt>
                <c:pt idx="2225">
                  <c:v>1.5262024675978765</c:v>
                </c:pt>
                <c:pt idx="2226">
                  <c:v>1.5571429989152232</c:v>
                </c:pt>
                <c:pt idx="2227">
                  <c:v>1.58808353023257</c:v>
                </c:pt>
                <c:pt idx="2228">
                  <c:v>1.619024061549915</c:v>
                </c:pt>
                <c:pt idx="2229">
                  <c:v>1.6499645928672617</c:v>
                </c:pt>
                <c:pt idx="2230">
                  <c:v>1.6809051241846085</c:v>
                </c:pt>
                <c:pt idx="2231">
                  <c:v>1.7118456555019552</c:v>
                </c:pt>
                <c:pt idx="2232">
                  <c:v>1.7427861868193002</c:v>
                </c:pt>
                <c:pt idx="2233">
                  <c:v>1.773726718136647</c:v>
                </c:pt>
                <c:pt idx="2234">
                  <c:v>1.8046672494539937</c:v>
                </c:pt>
                <c:pt idx="2235">
                  <c:v>1.8356077807713405</c:v>
                </c:pt>
                <c:pt idx="2236">
                  <c:v>1.8665483120886854</c:v>
                </c:pt>
                <c:pt idx="2237">
                  <c:v>1.8974888434060322</c:v>
                </c:pt>
                <c:pt idx="2238">
                  <c:v>1.9284293747233789</c:v>
                </c:pt>
                <c:pt idx="2239">
                  <c:v>1.9593699060407257</c:v>
                </c:pt>
                <c:pt idx="2240">
                  <c:v>1.9903104373580707</c:v>
                </c:pt>
                <c:pt idx="2241">
                  <c:v>2.0212509686754174</c:v>
                </c:pt>
                <c:pt idx="2242">
                  <c:v>2.0521914999927642</c:v>
                </c:pt>
                <c:pt idx="2243">
                  <c:v>2.0831320313101092</c:v>
                </c:pt>
                <c:pt idx="2244">
                  <c:v>2.1140725626274559</c:v>
                </c:pt>
                <c:pt idx="2245">
                  <c:v>2.1450130939448027</c:v>
                </c:pt>
                <c:pt idx="2246">
                  <c:v>2.1759536252621494</c:v>
                </c:pt>
                <c:pt idx="2247">
                  <c:v>2.2068941565794944</c:v>
                </c:pt>
                <c:pt idx="2248">
                  <c:v>2.2378346878968411</c:v>
                </c:pt>
                <c:pt idx="2249">
                  <c:v>2.2687752192141879</c:v>
                </c:pt>
                <c:pt idx="2250">
                  <c:v>2.2997157505315347</c:v>
                </c:pt>
                <c:pt idx="2251">
                  <c:v>2.3306562818488796</c:v>
                </c:pt>
                <c:pt idx="2252">
                  <c:v>2.3615968131662264</c:v>
                </c:pt>
                <c:pt idx="2253">
                  <c:v>2.3925373444835731</c:v>
                </c:pt>
                <c:pt idx="2254">
                  <c:v>2.4234778758009181</c:v>
                </c:pt>
                <c:pt idx="2255">
                  <c:v>2.4544184071182649</c:v>
                </c:pt>
                <c:pt idx="2256">
                  <c:v>2.4853589384356116</c:v>
                </c:pt>
                <c:pt idx="2257">
                  <c:v>2.5162994697529584</c:v>
                </c:pt>
                <c:pt idx="2258">
                  <c:v>2.5472400010703034</c:v>
                </c:pt>
                <c:pt idx="2259">
                  <c:v>2.5781805323876501</c:v>
                </c:pt>
                <c:pt idx="2260">
                  <c:v>2.6091210637049969</c:v>
                </c:pt>
                <c:pt idx="2261">
                  <c:v>2.6400615950223436</c:v>
                </c:pt>
                <c:pt idx="2262">
                  <c:v>2.6710021263396886</c:v>
                </c:pt>
                <c:pt idx="2263">
                  <c:v>2.7019426576570353</c:v>
                </c:pt>
                <c:pt idx="2264">
                  <c:v>2.7328831889743821</c:v>
                </c:pt>
                <c:pt idx="2265">
                  <c:v>2.7638237202917288</c:v>
                </c:pt>
                <c:pt idx="2266">
                  <c:v>2.7947642516090738</c:v>
                </c:pt>
                <c:pt idx="2267">
                  <c:v>2.8257047829264206</c:v>
                </c:pt>
                <c:pt idx="2268">
                  <c:v>2.8566453142437673</c:v>
                </c:pt>
                <c:pt idx="2269">
                  <c:v>2.8875858455611123</c:v>
                </c:pt>
                <c:pt idx="2270">
                  <c:v>2.9185263768784591</c:v>
                </c:pt>
                <c:pt idx="2271">
                  <c:v>2.9494669081958058</c:v>
                </c:pt>
                <c:pt idx="2272">
                  <c:v>2.9804074395131526</c:v>
                </c:pt>
                <c:pt idx="2273">
                  <c:v>3.0113479708304975</c:v>
                </c:pt>
                <c:pt idx="2274">
                  <c:v>3.0422885021478443</c:v>
                </c:pt>
                <c:pt idx="2275">
                  <c:v>3.0732290334651911</c:v>
                </c:pt>
                <c:pt idx="2276">
                  <c:v>3.1041695647825378</c:v>
                </c:pt>
                <c:pt idx="2277">
                  <c:v>3.1351100960998828</c:v>
                </c:pt>
                <c:pt idx="2278">
                  <c:v>3.1660506274172295</c:v>
                </c:pt>
                <c:pt idx="2279">
                  <c:v>3.1969911587345763</c:v>
                </c:pt>
                <c:pt idx="2280">
                  <c:v>3.2279316900519213</c:v>
                </c:pt>
                <c:pt idx="2281">
                  <c:v>3.258872221369268</c:v>
                </c:pt>
                <c:pt idx="2282">
                  <c:v>3.2898127526866148</c:v>
                </c:pt>
                <c:pt idx="2283">
                  <c:v>3.3207532840039615</c:v>
                </c:pt>
                <c:pt idx="2284">
                  <c:v>3.3516938153213065</c:v>
                </c:pt>
                <c:pt idx="2285">
                  <c:v>3.3826343466386533</c:v>
                </c:pt>
                <c:pt idx="2286">
                  <c:v>3.413574877956</c:v>
                </c:pt>
                <c:pt idx="2287">
                  <c:v>3.4445154092733468</c:v>
                </c:pt>
                <c:pt idx="2288">
                  <c:v>3.4754559405906917</c:v>
                </c:pt>
                <c:pt idx="2289">
                  <c:v>3.5063964719080385</c:v>
                </c:pt>
                <c:pt idx="2290">
                  <c:v>3.5373370032253852</c:v>
                </c:pt>
                <c:pt idx="2291">
                  <c:v>3.568277534542732</c:v>
                </c:pt>
                <c:pt idx="2292">
                  <c:v>3.599218065860077</c:v>
                </c:pt>
                <c:pt idx="2293">
                  <c:v>3.6301585971774237</c:v>
                </c:pt>
                <c:pt idx="2294">
                  <c:v>3.6610991284947705</c:v>
                </c:pt>
                <c:pt idx="2295">
                  <c:v>3.6920396598121155</c:v>
                </c:pt>
                <c:pt idx="2296">
                  <c:v>3.7229801911294622</c:v>
                </c:pt>
                <c:pt idx="2297">
                  <c:v>3.753920722446809</c:v>
                </c:pt>
                <c:pt idx="2298">
                  <c:v>3.7848612537641557</c:v>
                </c:pt>
                <c:pt idx="2299">
                  <c:v>3.8158017850815007</c:v>
                </c:pt>
                <c:pt idx="2300">
                  <c:v>3.8467423163988474</c:v>
                </c:pt>
                <c:pt idx="2301">
                  <c:v>3.8776828477161942</c:v>
                </c:pt>
                <c:pt idx="2302">
                  <c:v>3.908623379033541</c:v>
                </c:pt>
                <c:pt idx="2303">
                  <c:v>3.9395639103508859</c:v>
                </c:pt>
                <c:pt idx="2304">
                  <c:v>3.9705044416682327</c:v>
                </c:pt>
                <c:pt idx="2305">
                  <c:v>4.0014449729855794</c:v>
                </c:pt>
                <c:pt idx="2306">
                  <c:v>4.0323855043029244</c:v>
                </c:pt>
                <c:pt idx="2307">
                  <c:v>4.0633260356202712</c:v>
                </c:pt>
                <c:pt idx="2308">
                  <c:v>4.0942665669376179</c:v>
                </c:pt>
                <c:pt idx="2309">
                  <c:v>4.1252070982549647</c:v>
                </c:pt>
                <c:pt idx="2310">
                  <c:v>4.1561476295723097</c:v>
                </c:pt>
                <c:pt idx="2311">
                  <c:v>4.1870881608896564</c:v>
                </c:pt>
                <c:pt idx="2312">
                  <c:v>4.2180286922070032</c:v>
                </c:pt>
                <c:pt idx="2313">
                  <c:v>4.2489692235243499</c:v>
                </c:pt>
                <c:pt idx="2314">
                  <c:v>4.2799097548416949</c:v>
                </c:pt>
                <c:pt idx="2315">
                  <c:v>4.3108502861590416</c:v>
                </c:pt>
                <c:pt idx="2316">
                  <c:v>4.3417908174763884</c:v>
                </c:pt>
                <c:pt idx="2317">
                  <c:v>4.3727313487937352</c:v>
                </c:pt>
                <c:pt idx="2318">
                  <c:v>4.4036718801110801</c:v>
                </c:pt>
                <c:pt idx="2319">
                  <c:v>4.4346124114284269</c:v>
                </c:pt>
                <c:pt idx="2320">
                  <c:v>4.4655529427457736</c:v>
                </c:pt>
                <c:pt idx="2321">
                  <c:v>4.4964934740631186</c:v>
                </c:pt>
                <c:pt idx="2322">
                  <c:v>4.5274340053804654</c:v>
                </c:pt>
                <c:pt idx="2323">
                  <c:v>4.5583745366978121</c:v>
                </c:pt>
                <c:pt idx="2324">
                  <c:v>4.5893150680151589</c:v>
                </c:pt>
                <c:pt idx="2325">
                  <c:v>4.6202555993325038</c:v>
                </c:pt>
                <c:pt idx="2326">
                  <c:v>4.6511961306498506</c:v>
                </c:pt>
                <c:pt idx="2327">
                  <c:v>4.6821366619671974</c:v>
                </c:pt>
                <c:pt idx="2328">
                  <c:v>4.7130771932845441</c:v>
                </c:pt>
                <c:pt idx="2329">
                  <c:v>4.7440177246018891</c:v>
                </c:pt>
                <c:pt idx="2330">
                  <c:v>4.7749582559192358</c:v>
                </c:pt>
                <c:pt idx="2331">
                  <c:v>4.8058987872365826</c:v>
                </c:pt>
                <c:pt idx="2332">
                  <c:v>4.8368393185539276</c:v>
                </c:pt>
                <c:pt idx="2333">
                  <c:v>4.8677798498712743</c:v>
                </c:pt>
                <c:pt idx="2334">
                  <c:v>4.8987203811886211</c:v>
                </c:pt>
                <c:pt idx="2335">
                  <c:v>4.9296609125059678</c:v>
                </c:pt>
                <c:pt idx="2336">
                  <c:v>4.9606014438233128</c:v>
                </c:pt>
                <c:pt idx="2337">
                  <c:v>4.9915419751406613</c:v>
                </c:pt>
                <c:pt idx="2338">
                  <c:v>5.0224825064580063</c:v>
                </c:pt>
                <c:pt idx="2339">
                  <c:v>5.0534230377753513</c:v>
                </c:pt>
                <c:pt idx="2340">
                  <c:v>5.0843635690926998</c:v>
                </c:pt>
                <c:pt idx="2341">
                  <c:v>5.1153041004100448</c:v>
                </c:pt>
                <c:pt idx="2342">
                  <c:v>5.1462446317273898</c:v>
                </c:pt>
                <c:pt idx="2343">
                  <c:v>5.1771851630447383</c:v>
                </c:pt>
                <c:pt idx="2344">
                  <c:v>5.2081256943620833</c:v>
                </c:pt>
                <c:pt idx="2345">
                  <c:v>5.2390662256794283</c:v>
                </c:pt>
                <c:pt idx="2346">
                  <c:v>5.2700067569967768</c:v>
                </c:pt>
                <c:pt idx="2347">
                  <c:v>5.3009472883141218</c:v>
                </c:pt>
                <c:pt idx="2348">
                  <c:v>5.3318878196314703</c:v>
                </c:pt>
                <c:pt idx="2349">
                  <c:v>5.3628283509488153</c:v>
                </c:pt>
                <c:pt idx="2350">
                  <c:v>5.3937688822661602</c:v>
                </c:pt>
                <c:pt idx="2351">
                  <c:v>5.4247094135835088</c:v>
                </c:pt>
                <c:pt idx="2352">
                  <c:v>5.4556499449008538</c:v>
                </c:pt>
                <c:pt idx="2353">
                  <c:v>5.4865904762181987</c:v>
                </c:pt>
                <c:pt idx="2354">
                  <c:v>5.5175310075355473</c:v>
                </c:pt>
                <c:pt idx="2355">
                  <c:v>5.5484715388528922</c:v>
                </c:pt>
                <c:pt idx="2356">
                  <c:v>5.5794120701702372</c:v>
                </c:pt>
                <c:pt idx="2357">
                  <c:v>5.6103526014875857</c:v>
                </c:pt>
                <c:pt idx="2358">
                  <c:v>5.6412931328049307</c:v>
                </c:pt>
                <c:pt idx="2359">
                  <c:v>5.6722336641222793</c:v>
                </c:pt>
                <c:pt idx="2360">
                  <c:v>5.7031741954396242</c:v>
                </c:pt>
                <c:pt idx="2361">
                  <c:v>5.7341147267569692</c:v>
                </c:pt>
                <c:pt idx="2362">
                  <c:v>5.7650552580743177</c:v>
                </c:pt>
                <c:pt idx="2363">
                  <c:v>5.7959957893916627</c:v>
                </c:pt>
                <c:pt idx="2364">
                  <c:v>5.8269363207090077</c:v>
                </c:pt>
                <c:pt idx="2365">
                  <c:v>5.8578768520263562</c:v>
                </c:pt>
                <c:pt idx="2366">
                  <c:v>5.8888173833437012</c:v>
                </c:pt>
                <c:pt idx="2367">
                  <c:v>5.9197579146610497</c:v>
                </c:pt>
                <c:pt idx="2368">
                  <c:v>5.9506984459783947</c:v>
                </c:pt>
                <c:pt idx="2369">
                  <c:v>5.9816389772957397</c:v>
                </c:pt>
                <c:pt idx="2370">
                  <c:v>6.0125795086130882</c:v>
                </c:pt>
                <c:pt idx="2371">
                  <c:v>6.0435200399304332</c:v>
                </c:pt>
                <c:pt idx="2372">
                  <c:v>6.0744605712477782</c:v>
                </c:pt>
                <c:pt idx="2373">
                  <c:v>6.1054011025651267</c:v>
                </c:pt>
                <c:pt idx="2374">
                  <c:v>6.1363416338824717</c:v>
                </c:pt>
                <c:pt idx="2375">
                  <c:v>6.1672821651998166</c:v>
                </c:pt>
                <c:pt idx="2376">
                  <c:v>6.1982226965171652</c:v>
                </c:pt>
                <c:pt idx="2377">
                  <c:v>6.2291632278345102</c:v>
                </c:pt>
                <c:pt idx="2378">
                  <c:v>6.2601037591518587</c:v>
                </c:pt>
                <c:pt idx="2379">
                  <c:v>6.2910442904692037</c:v>
                </c:pt>
                <c:pt idx="2380">
                  <c:v>6.3219848217865486</c:v>
                </c:pt>
                <c:pt idx="2381">
                  <c:v>6.3529253531038972</c:v>
                </c:pt>
                <c:pt idx="2382">
                  <c:v>6.3838658844212421</c:v>
                </c:pt>
                <c:pt idx="2383">
                  <c:v>6.4148064157385871</c:v>
                </c:pt>
                <c:pt idx="2384">
                  <c:v>6.4457469470559356</c:v>
                </c:pt>
                <c:pt idx="2385">
                  <c:v>6.4766874783732806</c:v>
                </c:pt>
                <c:pt idx="2386">
                  <c:v>6.5076280096906256</c:v>
                </c:pt>
                <c:pt idx="2387">
                  <c:v>6.5385685410079741</c:v>
                </c:pt>
                <c:pt idx="2388">
                  <c:v>6.5695090723253191</c:v>
                </c:pt>
                <c:pt idx="2389">
                  <c:v>6.6004496036426676</c:v>
                </c:pt>
                <c:pt idx="2390">
                  <c:v>6.6313901349600126</c:v>
                </c:pt>
                <c:pt idx="2391">
                  <c:v>6.6623306662773576</c:v>
                </c:pt>
                <c:pt idx="2392">
                  <c:v>6.6932711975947061</c:v>
                </c:pt>
                <c:pt idx="2393">
                  <c:v>6.7242117289120511</c:v>
                </c:pt>
                <c:pt idx="2394">
                  <c:v>6.7551522602293961</c:v>
                </c:pt>
                <c:pt idx="2395">
                  <c:v>6.7860927915467446</c:v>
                </c:pt>
                <c:pt idx="2396">
                  <c:v>6.8170333228640896</c:v>
                </c:pt>
                <c:pt idx="2397">
                  <c:v>6.8479738541814346</c:v>
                </c:pt>
                <c:pt idx="2398">
                  <c:v>6.8789143854987831</c:v>
                </c:pt>
                <c:pt idx="2399">
                  <c:v>6.9098549168161281</c:v>
                </c:pt>
                <c:pt idx="2400">
                  <c:v>6.9407954481334766</c:v>
                </c:pt>
                <c:pt idx="2401">
                  <c:v>6.9717359794508216</c:v>
                </c:pt>
                <c:pt idx="2402">
                  <c:v>7.0026765107681666</c:v>
                </c:pt>
                <c:pt idx="2403">
                  <c:v>7.0336170420855151</c:v>
                </c:pt>
                <c:pt idx="2404">
                  <c:v>7.0645575734028601</c:v>
                </c:pt>
                <c:pt idx="2405">
                  <c:v>7.095498104720205</c:v>
                </c:pt>
                <c:pt idx="2406">
                  <c:v>7.1264386360375536</c:v>
                </c:pt>
                <c:pt idx="2407">
                  <c:v>7.1573791673548985</c:v>
                </c:pt>
                <c:pt idx="2408">
                  <c:v>7.1883196986722435</c:v>
                </c:pt>
                <c:pt idx="2409">
                  <c:v>7.219260229989592</c:v>
                </c:pt>
                <c:pt idx="2410">
                  <c:v>7.250200761306937</c:v>
                </c:pt>
                <c:pt idx="2411">
                  <c:v>7.2811412926242856</c:v>
                </c:pt>
                <c:pt idx="2412">
                  <c:v>7.3120818239416305</c:v>
                </c:pt>
                <c:pt idx="2413">
                  <c:v>7.3430223552589755</c:v>
                </c:pt>
                <c:pt idx="2414">
                  <c:v>7.373962886576324</c:v>
                </c:pt>
                <c:pt idx="2415">
                  <c:v>7.404903417893669</c:v>
                </c:pt>
                <c:pt idx="2416">
                  <c:v>7.435843949211014</c:v>
                </c:pt>
                <c:pt idx="2417">
                  <c:v>7.4667844805283625</c:v>
                </c:pt>
                <c:pt idx="2418">
                  <c:v>7.4977250118457075</c:v>
                </c:pt>
                <c:pt idx="2419">
                  <c:v>7.528665543163056</c:v>
                </c:pt>
                <c:pt idx="2420">
                  <c:v>7.559606074480401</c:v>
                </c:pt>
                <c:pt idx="2421">
                  <c:v>7.590546605797746</c:v>
                </c:pt>
                <c:pt idx="2422">
                  <c:v>7.6214871371150945</c:v>
                </c:pt>
                <c:pt idx="2423">
                  <c:v>7.6524276684324395</c:v>
                </c:pt>
                <c:pt idx="2424">
                  <c:v>7.6833681997497845</c:v>
                </c:pt>
                <c:pt idx="2425">
                  <c:v>7.714308731067133</c:v>
                </c:pt>
                <c:pt idx="2426">
                  <c:v>7.745249262384478</c:v>
                </c:pt>
                <c:pt idx="2427">
                  <c:v>7.7761897937018229</c:v>
                </c:pt>
                <c:pt idx="2428">
                  <c:v>7.8071303250191715</c:v>
                </c:pt>
                <c:pt idx="2429">
                  <c:v>7.8380708563365165</c:v>
                </c:pt>
                <c:pt idx="2430">
                  <c:v>7.869011387653865</c:v>
                </c:pt>
                <c:pt idx="2431">
                  <c:v>7.89995191897121</c:v>
                </c:pt>
                <c:pt idx="2432">
                  <c:v>7.9308924502885549</c:v>
                </c:pt>
                <c:pt idx="2433">
                  <c:v>7.9618329816059035</c:v>
                </c:pt>
                <c:pt idx="2434">
                  <c:v>7.9927735129232484</c:v>
                </c:pt>
                <c:pt idx="2435">
                  <c:v>8.0237140442405934</c:v>
                </c:pt>
                <c:pt idx="2436">
                  <c:v>8.054654575557942</c:v>
                </c:pt>
                <c:pt idx="2437">
                  <c:v>8.0855951068752869</c:v>
                </c:pt>
                <c:pt idx="2438">
                  <c:v>8.1165356381926319</c:v>
                </c:pt>
                <c:pt idx="2439">
                  <c:v>8.1474761695099804</c:v>
                </c:pt>
                <c:pt idx="2440">
                  <c:v>8.1784167008273254</c:v>
                </c:pt>
                <c:pt idx="2441">
                  <c:v>8.2093572321446739</c:v>
                </c:pt>
                <c:pt idx="2442">
                  <c:v>8.2402977634620189</c:v>
                </c:pt>
                <c:pt idx="2443">
                  <c:v>8.2712382947793639</c:v>
                </c:pt>
                <c:pt idx="2444">
                  <c:v>8.3021788260967124</c:v>
                </c:pt>
                <c:pt idx="2445">
                  <c:v>8.3331193574140574</c:v>
                </c:pt>
                <c:pt idx="2446">
                  <c:v>8.3640598887314024</c:v>
                </c:pt>
                <c:pt idx="2447">
                  <c:v>8.3950004200487509</c:v>
                </c:pt>
                <c:pt idx="2448">
                  <c:v>8.4259409513660959</c:v>
                </c:pt>
                <c:pt idx="2449">
                  <c:v>8.4568814826834409</c:v>
                </c:pt>
                <c:pt idx="2450">
                  <c:v>8.4878220140007894</c:v>
                </c:pt>
                <c:pt idx="2451">
                  <c:v>8.5187625453181344</c:v>
                </c:pt>
                <c:pt idx="2452">
                  <c:v>8.5497030766354829</c:v>
                </c:pt>
                <c:pt idx="2453">
                  <c:v>8.5806436079528279</c:v>
                </c:pt>
                <c:pt idx="2454">
                  <c:v>8.6115841392701729</c:v>
                </c:pt>
                <c:pt idx="2455">
                  <c:v>8.6425246705875214</c:v>
                </c:pt>
                <c:pt idx="2456">
                  <c:v>8.6734652019048664</c:v>
                </c:pt>
                <c:pt idx="2457">
                  <c:v>8.7044057332222113</c:v>
                </c:pt>
                <c:pt idx="2458">
                  <c:v>8.7353462645395599</c:v>
                </c:pt>
                <c:pt idx="2459">
                  <c:v>8.7662867958569048</c:v>
                </c:pt>
                <c:pt idx="2460">
                  <c:v>8.7972273271742498</c:v>
                </c:pt>
                <c:pt idx="2461">
                  <c:v>8.8281678584915984</c:v>
                </c:pt>
                <c:pt idx="2462">
                  <c:v>8.8591083898089433</c:v>
                </c:pt>
                <c:pt idx="2463">
                  <c:v>8.8900489211262919</c:v>
                </c:pt>
                <c:pt idx="2464">
                  <c:v>8.9209894524436368</c:v>
                </c:pt>
                <c:pt idx="2465">
                  <c:v>8.9519299837609818</c:v>
                </c:pt>
                <c:pt idx="2466">
                  <c:v>8.9828705150783303</c:v>
                </c:pt>
                <c:pt idx="2467">
                  <c:v>9.0138110463956753</c:v>
                </c:pt>
                <c:pt idx="2468">
                  <c:v>9.0447515777130203</c:v>
                </c:pt>
                <c:pt idx="2469">
                  <c:v>9.0756921090303688</c:v>
                </c:pt>
                <c:pt idx="2470">
                  <c:v>9.1066326403477138</c:v>
                </c:pt>
                <c:pt idx="2471">
                  <c:v>9.1375731716650588</c:v>
                </c:pt>
                <c:pt idx="2472">
                  <c:v>9.1685137029824073</c:v>
                </c:pt>
                <c:pt idx="2473">
                  <c:v>9.1994542342997523</c:v>
                </c:pt>
                <c:pt idx="2474">
                  <c:v>9.2303947656171008</c:v>
                </c:pt>
                <c:pt idx="2475">
                  <c:v>9.2613352969344458</c:v>
                </c:pt>
                <c:pt idx="2476">
                  <c:v>9.2922758282517908</c:v>
                </c:pt>
                <c:pt idx="2477">
                  <c:v>9.3232163595691393</c:v>
                </c:pt>
                <c:pt idx="2478">
                  <c:v>9.3541568908864843</c:v>
                </c:pt>
                <c:pt idx="2479">
                  <c:v>9.3850974222038293</c:v>
                </c:pt>
                <c:pt idx="2480">
                  <c:v>9.4160379535211778</c:v>
                </c:pt>
                <c:pt idx="2481">
                  <c:v>9.4469784848385228</c:v>
                </c:pt>
                <c:pt idx="2482">
                  <c:v>9.4779190161558713</c:v>
                </c:pt>
                <c:pt idx="2483">
                  <c:v>9.5088595474732163</c:v>
                </c:pt>
                <c:pt idx="2484">
                  <c:v>9.5398000787905612</c:v>
                </c:pt>
                <c:pt idx="2485">
                  <c:v>9.5707406101079098</c:v>
                </c:pt>
                <c:pt idx="2486">
                  <c:v>9.6016811414252548</c:v>
                </c:pt>
                <c:pt idx="2487">
                  <c:v>9.6326216727425997</c:v>
                </c:pt>
                <c:pt idx="2488">
                  <c:v>9.6635622040599483</c:v>
                </c:pt>
                <c:pt idx="2489">
                  <c:v>9.6945027353772932</c:v>
                </c:pt>
                <c:pt idx="2490">
                  <c:v>9.7254432666946382</c:v>
                </c:pt>
                <c:pt idx="2491">
                  <c:v>9.7563837980119867</c:v>
                </c:pt>
                <c:pt idx="2492">
                  <c:v>9.7873243293293317</c:v>
                </c:pt>
                <c:pt idx="2493">
                  <c:v>9.8182648606466802</c:v>
                </c:pt>
                <c:pt idx="2494">
                  <c:v>9.8492053919640252</c:v>
                </c:pt>
                <c:pt idx="2495">
                  <c:v>9.8801459232813702</c:v>
                </c:pt>
                <c:pt idx="2496">
                  <c:v>9.9110864545987187</c:v>
                </c:pt>
                <c:pt idx="2497">
                  <c:v>9.9420269859160637</c:v>
                </c:pt>
                <c:pt idx="2498">
                  <c:v>9.9729675172334087</c:v>
                </c:pt>
                <c:pt idx="2499">
                  <c:v>10.003908048550757</c:v>
                </c:pt>
                <c:pt idx="2500">
                  <c:v>10.034848579868102</c:v>
                </c:pt>
                <c:pt idx="2501">
                  <c:v>10.065789111185447</c:v>
                </c:pt>
                <c:pt idx="2502">
                  <c:v>10.096729642502796</c:v>
                </c:pt>
                <c:pt idx="2503">
                  <c:v>10.127670173820141</c:v>
                </c:pt>
                <c:pt idx="2504">
                  <c:v>10.158610705137489</c:v>
                </c:pt>
                <c:pt idx="2505">
                  <c:v>10.189551236454834</c:v>
                </c:pt>
                <c:pt idx="2506">
                  <c:v>10.220491767772179</c:v>
                </c:pt>
                <c:pt idx="2507">
                  <c:v>10.251432299089528</c:v>
                </c:pt>
                <c:pt idx="2508">
                  <c:v>10.282372830406873</c:v>
                </c:pt>
                <c:pt idx="2509">
                  <c:v>10.313313361724218</c:v>
                </c:pt>
                <c:pt idx="2510">
                  <c:v>10.344253893041566</c:v>
                </c:pt>
                <c:pt idx="2511">
                  <c:v>10.375194424358911</c:v>
                </c:pt>
                <c:pt idx="2512">
                  <c:v>10.406134955676256</c:v>
                </c:pt>
                <c:pt idx="2513">
                  <c:v>10.437075486993605</c:v>
                </c:pt>
                <c:pt idx="2514">
                  <c:v>10.46801601831095</c:v>
                </c:pt>
                <c:pt idx="2515">
                  <c:v>10.498956549628298</c:v>
                </c:pt>
                <c:pt idx="2516">
                  <c:v>10.529897080945643</c:v>
                </c:pt>
                <c:pt idx="2517">
                  <c:v>10.560837612262988</c:v>
                </c:pt>
                <c:pt idx="2518">
                  <c:v>10.591778143580337</c:v>
                </c:pt>
                <c:pt idx="2519">
                  <c:v>10.622718674897682</c:v>
                </c:pt>
                <c:pt idx="2520">
                  <c:v>10.653659206215027</c:v>
                </c:pt>
                <c:pt idx="2521">
                  <c:v>10.684599737532375</c:v>
                </c:pt>
                <c:pt idx="2522">
                  <c:v>10.71554026884972</c:v>
                </c:pt>
                <c:pt idx="2523">
                  <c:v>10.746480800167065</c:v>
                </c:pt>
                <c:pt idx="2524">
                  <c:v>10.777421331484414</c:v>
                </c:pt>
                <c:pt idx="2525">
                  <c:v>10.808361862801759</c:v>
                </c:pt>
                <c:pt idx="2526">
                  <c:v>10.839302394119107</c:v>
                </c:pt>
                <c:pt idx="2527">
                  <c:v>10.870242925436452</c:v>
                </c:pt>
                <c:pt idx="2528">
                  <c:v>10.901183456753797</c:v>
                </c:pt>
                <c:pt idx="2529">
                  <c:v>10.932123988071146</c:v>
                </c:pt>
                <c:pt idx="2530">
                  <c:v>10.963064519388491</c:v>
                </c:pt>
                <c:pt idx="2531">
                  <c:v>10.994005050705836</c:v>
                </c:pt>
                <c:pt idx="2532">
                  <c:v>11.024945582023184</c:v>
                </c:pt>
                <c:pt idx="2533">
                  <c:v>11.055886113340529</c:v>
                </c:pt>
                <c:pt idx="2534">
                  <c:v>11.086826644657878</c:v>
                </c:pt>
                <c:pt idx="2535">
                  <c:v>11.117767175975223</c:v>
                </c:pt>
                <c:pt idx="2536">
                  <c:v>11.148707707292568</c:v>
                </c:pt>
                <c:pt idx="2537">
                  <c:v>11.179648238609916</c:v>
                </c:pt>
                <c:pt idx="2538">
                  <c:v>11.210588769927261</c:v>
                </c:pt>
                <c:pt idx="2539">
                  <c:v>11.241529301244606</c:v>
                </c:pt>
                <c:pt idx="2540">
                  <c:v>11.272469832561955</c:v>
                </c:pt>
                <c:pt idx="2541">
                  <c:v>11.3034103638793</c:v>
                </c:pt>
                <c:pt idx="2542">
                  <c:v>11.334350895196645</c:v>
                </c:pt>
                <c:pt idx="2543">
                  <c:v>11.365291426513993</c:v>
                </c:pt>
                <c:pt idx="2544">
                  <c:v>11.396231957831338</c:v>
                </c:pt>
                <c:pt idx="2545">
                  <c:v>11.427172489148687</c:v>
                </c:pt>
                <c:pt idx="2546">
                  <c:v>11.458113020466032</c:v>
                </c:pt>
                <c:pt idx="2547">
                  <c:v>11.489053551783377</c:v>
                </c:pt>
                <c:pt idx="2548">
                  <c:v>11.519994083100725</c:v>
                </c:pt>
                <c:pt idx="2549">
                  <c:v>11.55093461441807</c:v>
                </c:pt>
                <c:pt idx="2550">
                  <c:v>11.581875145735415</c:v>
                </c:pt>
                <c:pt idx="2551">
                  <c:v>11.612815677052764</c:v>
                </c:pt>
                <c:pt idx="2552">
                  <c:v>11.643756208370108</c:v>
                </c:pt>
                <c:pt idx="2553">
                  <c:v>11.674696739687453</c:v>
                </c:pt>
                <c:pt idx="2554">
                  <c:v>11.705637271004802</c:v>
                </c:pt>
                <c:pt idx="2555">
                  <c:v>11.736577802322147</c:v>
                </c:pt>
                <c:pt idx="2556">
                  <c:v>11.767518333639496</c:v>
                </c:pt>
                <c:pt idx="2557">
                  <c:v>11.79845886495684</c:v>
                </c:pt>
                <c:pt idx="2558">
                  <c:v>11.829399396274185</c:v>
                </c:pt>
                <c:pt idx="2559">
                  <c:v>11.860339927591534</c:v>
                </c:pt>
                <c:pt idx="2560">
                  <c:v>11.891280458908879</c:v>
                </c:pt>
                <c:pt idx="2561">
                  <c:v>11.922220990226224</c:v>
                </c:pt>
                <c:pt idx="2562">
                  <c:v>11.953161521543572</c:v>
                </c:pt>
                <c:pt idx="2563">
                  <c:v>11.984102052860917</c:v>
                </c:pt>
                <c:pt idx="2564">
                  <c:v>12.015042584178262</c:v>
                </c:pt>
                <c:pt idx="2565">
                  <c:v>12.045983115495611</c:v>
                </c:pt>
                <c:pt idx="2566">
                  <c:v>12.076923646812956</c:v>
                </c:pt>
                <c:pt idx="2567">
                  <c:v>12.107864178130304</c:v>
                </c:pt>
                <c:pt idx="2568">
                  <c:v>12.138804709447649</c:v>
                </c:pt>
                <c:pt idx="2569">
                  <c:v>12.169745240764994</c:v>
                </c:pt>
                <c:pt idx="2570">
                  <c:v>12.200685772082343</c:v>
                </c:pt>
                <c:pt idx="2571">
                  <c:v>12.231626303399688</c:v>
                </c:pt>
                <c:pt idx="2572">
                  <c:v>12.262566834717033</c:v>
                </c:pt>
                <c:pt idx="2573">
                  <c:v>12.293507366034381</c:v>
                </c:pt>
                <c:pt idx="2574">
                  <c:v>12.324447897351726</c:v>
                </c:pt>
                <c:pt idx="2575">
                  <c:v>12.355388428669071</c:v>
                </c:pt>
                <c:pt idx="2576">
                  <c:v>12.38632895998642</c:v>
                </c:pt>
                <c:pt idx="2577">
                  <c:v>12.417269491303765</c:v>
                </c:pt>
                <c:pt idx="2578">
                  <c:v>12.448210022621113</c:v>
                </c:pt>
                <c:pt idx="2579">
                  <c:v>12.479150553938458</c:v>
                </c:pt>
                <c:pt idx="2580">
                  <c:v>12.510091085255803</c:v>
                </c:pt>
                <c:pt idx="2581">
                  <c:v>12.541031616573152</c:v>
                </c:pt>
                <c:pt idx="2582">
                  <c:v>12.571972147890497</c:v>
                </c:pt>
                <c:pt idx="2583">
                  <c:v>12.602912679207842</c:v>
                </c:pt>
                <c:pt idx="2584">
                  <c:v>12.63385321052519</c:v>
                </c:pt>
                <c:pt idx="2585">
                  <c:v>12.664793741842535</c:v>
                </c:pt>
                <c:pt idx="2586">
                  <c:v>12.69573427315988</c:v>
                </c:pt>
                <c:pt idx="2587">
                  <c:v>12.726674804477229</c:v>
                </c:pt>
                <c:pt idx="2588">
                  <c:v>12.757615335794574</c:v>
                </c:pt>
                <c:pt idx="2589">
                  <c:v>12.788555867111922</c:v>
                </c:pt>
                <c:pt idx="2590">
                  <c:v>12.819496398429267</c:v>
                </c:pt>
                <c:pt idx="2591">
                  <c:v>12.850436929746612</c:v>
                </c:pt>
                <c:pt idx="2592">
                  <c:v>12.881377461063961</c:v>
                </c:pt>
                <c:pt idx="2593">
                  <c:v>12.912317992381306</c:v>
                </c:pt>
                <c:pt idx="2594">
                  <c:v>12.943258523698651</c:v>
                </c:pt>
                <c:pt idx="2595">
                  <c:v>12.974199055015999</c:v>
                </c:pt>
                <c:pt idx="2596">
                  <c:v>13.005139586333344</c:v>
                </c:pt>
                <c:pt idx="2597">
                  <c:v>13.036080117650693</c:v>
                </c:pt>
                <c:pt idx="2598">
                  <c:v>13.067020648968038</c:v>
                </c:pt>
                <c:pt idx="2599">
                  <c:v>13.097961180285383</c:v>
                </c:pt>
                <c:pt idx="2600">
                  <c:v>13.128901711602731</c:v>
                </c:pt>
                <c:pt idx="2601">
                  <c:v>13.159842242920076</c:v>
                </c:pt>
                <c:pt idx="2602">
                  <c:v>13.190782774237421</c:v>
                </c:pt>
                <c:pt idx="2603">
                  <c:v>13.22172330555477</c:v>
                </c:pt>
                <c:pt idx="2604">
                  <c:v>13.252663836872115</c:v>
                </c:pt>
                <c:pt idx="2605">
                  <c:v>13.28360436818946</c:v>
                </c:pt>
                <c:pt idx="2606">
                  <c:v>13.314544899506808</c:v>
                </c:pt>
                <c:pt idx="2607">
                  <c:v>13.345485430824153</c:v>
                </c:pt>
                <c:pt idx="2608">
                  <c:v>13.376425962141502</c:v>
                </c:pt>
                <c:pt idx="2609">
                  <c:v>13.407366493458847</c:v>
                </c:pt>
                <c:pt idx="2610">
                  <c:v>13.438307024776192</c:v>
                </c:pt>
                <c:pt idx="2611">
                  <c:v>13.46924755609354</c:v>
                </c:pt>
                <c:pt idx="2612">
                  <c:v>13.500188087410885</c:v>
                </c:pt>
                <c:pt idx="2613">
                  <c:v>13.53112861872823</c:v>
                </c:pt>
                <c:pt idx="2614">
                  <c:v>13.562069150045579</c:v>
                </c:pt>
                <c:pt idx="2615">
                  <c:v>13.593009681362924</c:v>
                </c:pt>
                <c:pt idx="2616">
                  <c:v>13.623950212680269</c:v>
                </c:pt>
                <c:pt idx="2617">
                  <c:v>13.654890743997617</c:v>
                </c:pt>
                <c:pt idx="2618">
                  <c:v>13.685831275314962</c:v>
                </c:pt>
                <c:pt idx="2619">
                  <c:v>13.716771806632311</c:v>
                </c:pt>
                <c:pt idx="2620">
                  <c:v>13.747712337949656</c:v>
                </c:pt>
                <c:pt idx="2621">
                  <c:v>13.778652869267001</c:v>
                </c:pt>
                <c:pt idx="2622">
                  <c:v>13.809593400584349</c:v>
                </c:pt>
                <c:pt idx="2623">
                  <c:v>13.840533931901694</c:v>
                </c:pt>
                <c:pt idx="2624">
                  <c:v>13.871474463219039</c:v>
                </c:pt>
                <c:pt idx="2625">
                  <c:v>13.902414994536388</c:v>
                </c:pt>
                <c:pt idx="2626">
                  <c:v>13.933355525853733</c:v>
                </c:pt>
                <c:pt idx="2627">
                  <c:v>13.964296057171078</c:v>
                </c:pt>
                <c:pt idx="2628">
                  <c:v>13.995236588488426</c:v>
                </c:pt>
                <c:pt idx="2629">
                  <c:v>14.026177119805771</c:v>
                </c:pt>
                <c:pt idx="2630">
                  <c:v>14.05711765112312</c:v>
                </c:pt>
                <c:pt idx="2631">
                  <c:v>14.088058182440465</c:v>
                </c:pt>
                <c:pt idx="2632">
                  <c:v>14.11899871375781</c:v>
                </c:pt>
                <c:pt idx="2633">
                  <c:v>14.149939245075158</c:v>
                </c:pt>
                <c:pt idx="2634">
                  <c:v>14.180879776392503</c:v>
                </c:pt>
                <c:pt idx="2635">
                  <c:v>14.211820307709848</c:v>
                </c:pt>
                <c:pt idx="2636">
                  <c:v>14.242760839027197</c:v>
                </c:pt>
                <c:pt idx="2637">
                  <c:v>14.273701370344542</c:v>
                </c:pt>
                <c:pt idx="2638">
                  <c:v>14.304641901661887</c:v>
                </c:pt>
                <c:pt idx="2639">
                  <c:v>14.335582432979235</c:v>
                </c:pt>
                <c:pt idx="2640">
                  <c:v>14.36652296429658</c:v>
                </c:pt>
                <c:pt idx="2641">
                  <c:v>14.397463495613929</c:v>
                </c:pt>
                <c:pt idx="2642">
                  <c:v>14.428404026931274</c:v>
                </c:pt>
                <c:pt idx="2643">
                  <c:v>14.459344558248619</c:v>
                </c:pt>
                <c:pt idx="2644">
                  <c:v>14.490285089565967</c:v>
                </c:pt>
                <c:pt idx="2645">
                  <c:v>14.521225620883312</c:v>
                </c:pt>
                <c:pt idx="2646">
                  <c:v>14.552166152200657</c:v>
                </c:pt>
                <c:pt idx="2647">
                  <c:v>14.583106683518006</c:v>
                </c:pt>
                <c:pt idx="2648">
                  <c:v>14.614047214835351</c:v>
                </c:pt>
                <c:pt idx="2649">
                  <c:v>14.644987746152699</c:v>
                </c:pt>
                <c:pt idx="2650">
                  <c:v>14.675928277470044</c:v>
                </c:pt>
                <c:pt idx="2651">
                  <c:v>14.706868808787389</c:v>
                </c:pt>
                <c:pt idx="2652">
                  <c:v>14.737809340104738</c:v>
                </c:pt>
                <c:pt idx="2653">
                  <c:v>14.768749871422083</c:v>
                </c:pt>
                <c:pt idx="2654">
                  <c:v>14.799690402739428</c:v>
                </c:pt>
                <c:pt idx="2655">
                  <c:v>14.830630934056776</c:v>
                </c:pt>
                <c:pt idx="2656">
                  <c:v>14.861571465374121</c:v>
                </c:pt>
                <c:pt idx="2657">
                  <c:v>14.892511996691466</c:v>
                </c:pt>
                <c:pt idx="2658">
                  <c:v>14.923452528008815</c:v>
                </c:pt>
                <c:pt idx="2659">
                  <c:v>14.95439305932616</c:v>
                </c:pt>
                <c:pt idx="2660">
                  <c:v>14.985333590643508</c:v>
                </c:pt>
                <c:pt idx="2661">
                  <c:v>15.016274121960853</c:v>
                </c:pt>
                <c:pt idx="2662">
                  <c:v>15.047214653278198</c:v>
                </c:pt>
                <c:pt idx="2663">
                  <c:v>15.078155184595547</c:v>
                </c:pt>
                <c:pt idx="2664">
                  <c:v>15.109095715912892</c:v>
                </c:pt>
                <c:pt idx="2665">
                  <c:v>15.140036247230237</c:v>
                </c:pt>
                <c:pt idx="2666">
                  <c:v>15.170976778547585</c:v>
                </c:pt>
                <c:pt idx="2667">
                  <c:v>15.20191730986493</c:v>
                </c:pt>
                <c:pt idx="2668">
                  <c:v>15.232857841182275</c:v>
                </c:pt>
                <c:pt idx="2669">
                  <c:v>15.263798372499624</c:v>
                </c:pt>
                <c:pt idx="2670">
                  <c:v>15.294738903816969</c:v>
                </c:pt>
                <c:pt idx="2671">
                  <c:v>15.325679435134317</c:v>
                </c:pt>
                <c:pt idx="2672">
                  <c:v>15.356619966451662</c:v>
                </c:pt>
                <c:pt idx="2673">
                  <c:v>15.387560497769007</c:v>
                </c:pt>
                <c:pt idx="2674">
                  <c:v>15.418501029086356</c:v>
                </c:pt>
                <c:pt idx="2675">
                  <c:v>15.449441560403701</c:v>
                </c:pt>
                <c:pt idx="2676">
                  <c:v>15.480382091721046</c:v>
                </c:pt>
                <c:pt idx="2677">
                  <c:v>15.511322623038394</c:v>
                </c:pt>
                <c:pt idx="2678">
                  <c:v>15.542263154355739</c:v>
                </c:pt>
                <c:pt idx="2679">
                  <c:v>15.573203685673084</c:v>
                </c:pt>
                <c:pt idx="2680">
                  <c:v>15.604144216990433</c:v>
                </c:pt>
                <c:pt idx="2681">
                  <c:v>15.635084748307778</c:v>
                </c:pt>
                <c:pt idx="2682">
                  <c:v>15.666025279625126</c:v>
                </c:pt>
                <c:pt idx="2683">
                  <c:v>15.696965810942471</c:v>
                </c:pt>
                <c:pt idx="2684">
                  <c:v>15.727906342259816</c:v>
                </c:pt>
                <c:pt idx="2685">
                  <c:v>15.758846873577165</c:v>
                </c:pt>
                <c:pt idx="2686">
                  <c:v>15.789787404894509</c:v>
                </c:pt>
                <c:pt idx="2687">
                  <c:v>15.820727936211854</c:v>
                </c:pt>
                <c:pt idx="2688">
                  <c:v>15.851668467529203</c:v>
                </c:pt>
                <c:pt idx="2689">
                  <c:v>15.882608998846548</c:v>
                </c:pt>
                <c:pt idx="2690">
                  <c:v>15.913549530163893</c:v>
                </c:pt>
                <c:pt idx="2691">
                  <c:v>15.944490061481241</c:v>
                </c:pt>
                <c:pt idx="2692">
                  <c:v>15.975430592798586</c:v>
                </c:pt>
                <c:pt idx="2693">
                  <c:v>16.006371124115937</c:v>
                </c:pt>
                <c:pt idx="2694">
                  <c:v>16.037311655433278</c:v>
                </c:pt>
                <c:pt idx="2695">
                  <c:v>16.068252186750627</c:v>
                </c:pt>
                <c:pt idx="2696">
                  <c:v>16.099192718067975</c:v>
                </c:pt>
                <c:pt idx="2697">
                  <c:v>16.130133249385317</c:v>
                </c:pt>
                <c:pt idx="2698">
                  <c:v>16.161073780702665</c:v>
                </c:pt>
                <c:pt idx="2699">
                  <c:v>16.192014312020014</c:v>
                </c:pt>
                <c:pt idx="2700">
                  <c:v>16.222954843337355</c:v>
                </c:pt>
                <c:pt idx="2701">
                  <c:v>16.253895374654704</c:v>
                </c:pt>
                <c:pt idx="2702">
                  <c:v>16.284835905972052</c:v>
                </c:pt>
                <c:pt idx="2703">
                  <c:v>16.315776437289394</c:v>
                </c:pt>
                <c:pt idx="2704">
                  <c:v>16.346716968606742</c:v>
                </c:pt>
                <c:pt idx="2705">
                  <c:v>16.377657499924091</c:v>
                </c:pt>
                <c:pt idx="2706">
                  <c:v>16.408598031241432</c:v>
                </c:pt>
                <c:pt idx="2707">
                  <c:v>16.439538562558781</c:v>
                </c:pt>
                <c:pt idx="2708">
                  <c:v>16.470479093876129</c:v>
                </c:pt>
                <c:pt idx="2709">
                  <c:v>16.501419625193471</c:v>
                </c:pt>
                <c:pt idx="2710">
                  <c:v>16.532360156510819</c:v>
                </c:pt>
                <c:pt idx="2711">
                  <c:v>16.563300687828168</c:v>
                </c:pt>
                <c:pt idx="2712">
                  <c:v>16.594241219145516</c:v>
                </c:pt>
                <c:pt idx="2713">
                  <c:v>16.625181750462858</c:v>
                </c:pt>
                <c:pt idx="2714">
                  <c:v>16.656122281780206</c:v>
                </c:pt>
                <c:pt idx="2715">
                  <c:v>16.687062813097555</c:v>
                </c:pt>
                <c:pt idx="2716">
                  <c:v>16.718003344414896</c:v>
                </c:pt>
                <c:pt idx="2717">
                  <c:v>16.748943875732245</c:v>
                </c:pt>
                <c:pt idx="2718">
                  <c:v>16.779884407049593</c:v>
                </c:pt>
                <c:pt idx="2719">
                  <c:v>16.810824938366935</c:v>
                </c:pt>
                <c:pt idx="2720">
                  <c:v>16.841765469684283</c:v>
                </c:pt>
                <c:pt idx="2721">
                  <c:v>16.872706001001632</c:v>
                </c:pt>
                <c:pt idx="2722">
                  <c:v>16.903646532318973</c:v>
                </c:pt>
                <c:pt idx="2723">
                  <c:v>16.934587063636322</c:v>
                </c:pt>
                <c:pt idx="2724">
                  <c:v>16.96552759495367</c:v>
                </c:pt>
                <c:pt idx="2725">
                  <c:v>16.996468126271012</c:v>
                </c:pt>
                <c:pt idx="2726">
                  <c:v>#N/A</c:v>
                </c:pt>
              </c:numCache>
            </c:numRef>
          </c:xVal>
          <c:yVal>
            <c:numRef>
              <c:f>[0]!AyNorm</c:f>
              <c:numCache>
                <c:formatCode>General</c:formatCode>
                <c:ptCount val="2727"/>
                <c:pt idx="0">
                  <c:v>1.0290193250511765E-3</c:v>
                </c:pt>
                <c:pt idx="1">
                  <c:v>1.0514103317239135E-3</c:v>
                </c:pt>
                <c:pt idx="2">
                  <c:v>1.0742331143597441E-3</c:v>
                </c:pt>
                <c:pt idx="3">
                  <c:v>1.0974946641764966E-3</c:v>
                </c:pt>
                <c:pt idx="4">
                  <c:v>1.1212020552969838E-3</c:v>
                </c:pt>
                <c:pt idx="5">
                  <c:v>1.1453624450681371E-3</c:v>
                </c:pt>
                <c:pt idx="6">
                  <c:v>1.1699830743653228E-3</c:v>
                </c:pt>
                <c:pt idx="7">
                  <c:v>1.1950712678814519E-3</c:v>
                </c:pt>
                <c:pt idx="8">
                  <c:v>1.2206344344004312E-3</c:v>
                </c:pt>
                <c:pt idx="9">
                  <c:v>1.246680067054577E-3</c:v>
                </c:pt>
                <c:pt idx="10">
                  <c:v>1.2732157435655297E-3</c:v>
                </c:pt>
                <c:pt idx="11">
                  <c:v>1.3002491264682643E-3</c:v>
                </c:pt>
                <c:pt idx="12">
                  <c:v>1.3277879633177489E-3</c:v>
                </c:pt>
                <c:pt idx="13">
                  <c:v>1.3558400868778312E-3</c:v>
                </c:pt>
                <c:pt idx="14">
                  <c:v>1.3844134152919173E-3</c:v>
                </c:pt>
                <c:pt idx="15">
                  <c:v>1.4135159522349768E-3</c:v>
                </c:pt>
                <c:pt idx="16">
                  <c:v>1.4431557870464799E-3</c:v>
                </c:pt>
                <c:pt idx="17">
                  <c:v>1.4733410948437723E-3</c:v>
                </c:pt>
                <c:pt idx="18">
                  <c:v>1.5040801366154927E-3</c:v>
                </c:pt>
                <c:pt idx="19">
                  <c:v>1.5353812592945131E-3</c:v>
                </c:pt>
                <c:pt idx="20">
                  <c:v>1.5672528958100443E-3</c:v>
                </c:pt>
                <c:pt idx="21">
                  <c:v>1.5997035651183721E-3</c:v>
                </c:pt>
                <c:pt idx="22">
                  <c:v>1.632741872211831E-3</c:v>
                </c:pt>
                <c:pt idx="23">
                  <c:v>1.6663765081055008E-3</c:v>
                </c:pt>
                <c:pt idx="24">
                  <c:v>1.7006162498012303E-3</c:v>
                </c:pt>
                <c:pt idx="25">
                  <c:v>1.735469960228501E-3</c:v>
                </c:pt>
                <c:pt idx="26">
                  <c:v>1.7709465881616513E-3</c:v>
                </c:pt>
                <c:pt idx="27">
                  <c:v>1.807055168113057E-3</c:v>
                </c:pt>
                <c:pt idx="28">
                  <c:v>1.8438048202017449E-3</c:v>
                </c:pt>
                <c:pt idx="29">
                  <c:v>1.881204749997037E-3</c:v>
                </c:pt>
                <c:pt idx="30">
                  <c:v>1.9192642483367151E-3</c:v>
                </c:pt>
                <c:pt idx="31">
                  <c:v>1.9579926911192824E-3</c:v>
                </c:pt>
                <c:pt idx="32">
                  <c:v>1.9973995390698378E-3</c:v>
                </c:pt>
                <c:pt idx="33">
                  <c:v>2.0374943374791244E-3</c:v>
                </c:pt>
                <c:pt idx="34">
                  <c:v>2.0782867159152528E-3</c:v>
                </c:pt>
                <c:pt idx="35">
                  <c:v>2.1197863879076984E-3</c:v>
                </c:pt>
                <c:pt idx="36">
                  <c:v>2.1620031506030522E-3</c:v>
                </c:pt>
                <c:pt idx="37">
                  <c:v>2.2049468843921231E-3</c:v>
                </c:pt>
                <c:pt idx="38">
                  <c:v>2.2486275525078893E-3</c:v>
                </c:pt>
                <c:pt idx="39">
                  <c:v>2.293055200593877E-3</c:v>
                </c:pt>
                <c:pt idx="40">
                  <c:v>2.3382399562425007E-3</c:v>
                </c:pt>
                <c:pt idx="41">
                  <c:v>2.3841920285029186E-3</c:v>
                </c:pt>
                <c:pt idx="42">
                  <c:v>2.4309217073579361E-3</c:v>
                </c:pt>
                <c:pt idx="43">
                  <c:v>2.4784393631695537E-3</c:v>
                </c:pt>
                <c:pt idx="44">
                  <c:v>2.5267554460926696E-3</c:v>
                </c:pt>
                <c:pt idx="45">
                  <c:v>2.5758804854565109E-3</c:v>
                </c:pt>
                <c:pt idx="46">
                  <c:v>2.6258250891133881E-3</c:v>
                </c:pt>
                <c:pt idx="47">
                  <c:v>2.6765999427542852E-3</c:v>
                </c:pt>
                <c:pt idx="48">
                  <c:v>2.7282158091909061E-3</c:v>
                </c:pt>
                <c:pt idx="49">
                  <c:v>2.7806835276037024E-3</c:v>
                </c:pt>
                <c:pt idx="50">
                  <c:v>2.8340140127555021E-3</c:v>
                </c:pt>
                <c:pt idx="51">
                  <c:v>2.888218254170296E-3</c:v>
                </c:pt>
                <c:pt idx="52">
                  <c:v>2.9433073152768095E-3</c:v>
                </c:pt>
                <c:pt idx="53">
                  <c:v>2.9992923325163458E-3</c:v>
                </c:pt>
                <c:pt idx="54">
                  <c:v>3.0561845144146406E-3</c:v>
                </c:pt>
                <c:pt idx="55">
                  <c:v>3.1139951406172479E-3</c:v>
                </c:pt>
                <c:pt idx="56">
                  <c:v>3.1727355608880442E-3</c:v>
                </c:pt>
                <c:pt idx="57">
                  <c:v>3.2324171940705283E-3</c:v>
                </c:pt>
                <c:pt idx="58">
                  <c:v>3.2930515270115047E-3</c:v>
                </c:pt>
                <c:pt idx="59">
                  <c:v>3.3546501134467774E-3</c:v>
                </c:pt>
                <c:pt idx="60">
                  <c:v>3.417224572848493E-3</c:v>
                </c:pt>
                <c:pt idx="61">
                  <c:v>3.4807865892337538E-3</c:v>
                </c:pt>
                <c:pt idx="62">
                  <c:v>3.5453479099341913E-3</c:v>
                </c:pt>
                <c:pt idx="63">
                  <c:v>3.6109203443261411E-3</c:v>
                </c:pt>
                <c:pt idx="64">
                  <c:v>3.677515762521023E-3</c:v>
                </c:pt>
                <c:pt idx="65">
                  <c:v>3.7451460940157049E-3</c:v>
                </c:pt>
                <c:pt idx="66">
                  <c:v>3.8138233263024577E-3</c:v>
                </c:pt>
                <c:pt idx="67">
                  <c:v>3.8835595034381852E-3</c:v>
                </c:pt>
                <c:pt idx="68">
                  <c:v>3.9543667245726727E-3</c:v>
                </c:pt>
                <c:pt idx="69">
                  <c:v>4.026257142435566E-3</c:v>
                </c:pt>
                <c:pt idx="70">
                  <c:v>4.0992429617817032E-3</c:v>
                </c:pt>
                <c:pt idx="71">
                  <c:v>4.1733364377946735E-3</c:v>
                </c:pt>
                <c:pt idx="72">
                  <c:v>4.2485498744482039E-3</c:v>
                </c:pt>
                <c:pt idx="73">
                  <c:v>4.3248956228252172E-3</c:v>
                </c:pt>
                <c:pt idx="74">
                  <c:v>4.4023860793942953E-3</c:v>
                </c:pt>
                <c:pt idx="75">
                  <c:v>4.4810336842432633E-3</c:v>
                </c:pt>
                <c:pt idx="76">
                  <c:v>4.560850919269761E-3</c:v>
                </c:pt>
                <c:pt idx="77">
                  <c:v>4.6418503063285635E-3</c:v>
                </c:pt>
                <c:pt idx="78">
                  <c:v>4.7240444053354242E-3</c:v>
                </c:pt>
                <c:pt idx="79">
                  <c:v>4.8074458123272884E-3</c:v>
                </c:pt>
                <c:pt idx="80">
                  <c:v>4.8920671574787271E-3</c:v>
                </c:pt>
                <c:pt idx="81">
                  <c:v>4.9779211030743942E-3</c:v>
                </c:pt>
                <c:pt idx="82">
                  <c:v>5.0650203414374043E-3</c:v>
                </c:pt>
                <c:pt idx="83">
                  <c:v>5.1533775928134535E-3</c:v>
                </c:pt>
                <c:pt idx="84">
                  <c:v>5.2430056032106006E-3</c:v>
                </c:pt>
                <c:pt idx="85">
                  <c:v>5.3339171421946472E-3</c:v>
                </c:pt>
                <c:pt idx="86">
                  <c:v>5.4261250006399243E-3</c:v>
                </c:pt>
                <c:pt idx="87">
                  <c:v>5.5196419884354963E-3</c:v>
                </c:pt>
                <c:pt idx="88">
                  <c:v>5.6144809321467372E-3</c:v>
                </c:pt>
                <c:pt idx="89">
                  <c:v>5.7106546726321469E-3</c:v>
                </c:pt>
                <c:pt idx="90">
                  <c:v>5.8081760626154848E-3</c:v>
                </c:pt>
                <c:pt idx="91">
                  <c:v>5.9070579642131367E-3</c:v>
                </c:pt>
                <c:pt idx="92">
                  <c:v>6.0073132464167605E-3</c:v>
                </c:pt>
                <c:pt idx="93">
                  <c:v>6.108954782531228E-3</c:v>
                </c:pt>
                <c:pt idx="94">
                  <c:v>6.2119954475678835E-3</c:v>
                </c:pt>
                <c:pt idx="95">
                  <c:v>6.3164481155931519E-3</c:v>
                </c:pt>
                <c:pt idx="96">
                  <c:v>6.4223256570327012E-3</c:v>
                </c:pt>
                <c:pt idx="97">
                  <c:v>6.5296409359310329E-3</c:v>
                </c:pt>
                <c:pt idx="98">
                  <c:v>6.6384068071667912E-3</c:v>
                </c:pt>
                <c:pt idx="99">
                  <c:v>6.7486361136238999E-3</c:v>
                </c:pt>
                <c:pt idx="100">
                  <c:v>6.8603416833184902E-3</c:v>
                </c:pt>
                <c:pt idx="101">
                  <c:v>6.973536326482053E-3</c:v>
                </c:pt>
                <c:pt idx="102">
                  <c:v>7.0882328326007799E-3</c:v>
                </c:pt>
                <c:pt idx="103">
                  <c:v>7.2044439674114414E-3</c:v>
                </c:pt>
                <c:pt idx="104">
                  <c:v>7.3221824698538503E-3</c:v>
                </c:pt>
                <c:pt idx="105">
                  <c:v>7.4414610489803648E-3</c:v>
                </c:pt>
                <c:pt idx="106">
                  <c:v>7.5622923808225124E-3</c:v>
                </c:pt>
                <c:pt idx="107">
                  <c:v>7.6846891052151159E-3</c:v>
                </c:pt>
                <c:pt idx="108">
                  <c:v>7.8086638225781753E-3</c:v>
                </c:pt>
                <c:pt idx="109">
                  <c:v>7.9342290906567938E-3</c:v>
                </c:pt>
                <c:pt idx="110">
                  <c:v>8.0613974212195797E-3</c:v>
                </c:pt>
                <c:pt idx="111">
                  <c:v>8.1901812767158563E-3</c:v>
                </c:pt>
                <c:pt idx="112">
                  <c:v>8.3205930668919011E-3</c:v>
                </c:pt>
                <c:pt idx="113">
                  <c:v>8.4526451453668956E-3</c:v>
                </c:pt>
                <c:pt idx="114">
                  <c:v>8.5863498061688279E-3</c:v>
                </c:pt>
                <c:pt idx="115">
                  <c:v>8.7217192802307407E-3</c:v>
                </c:pt>
                <c:pt idx="116">
                  <c:v>8.858765731847993E-3</c:v>
                </c:pt>
                <c:pt idx="117">
                  <c:v>8.9975012550968306E-3</c:v>
                </c:pt>
                <c:pt idx="118">
                  <c:v>9.1379378702148798E-3</c:v>
                </c:pt>
                <c:pt idx="119">
                  <c:v>9.2800875199440733E-3</c:v>
                </c:pt>
                <c:pt idx="120">
                  <c:v>9.4239620658365247E-3</c:v>
                </c:pt>
                <c:pt idx="121">
                  <c:v>9.5695732845239474E-3</c:v>
                </c:pt>
                <c:pt idx="122">
                  <c:v>9.7169328639512952E-3</c:v>
                </c:pt>
                <c:pt idx="123">
                  <c:v>9.8660523995750676E-3</c:v>
                </c:pt>
                <c:pt idx="124">
                  <c:v>1.0016943390527106E-2</c:v>
                </c:pt>
                <c:pt idx="125">
                  <c:v>1.0169617235744438E-2</c:v>
                </c:pt>
                <c:pt idx="126">
                  <c:v>1.0324085230065866E-2</c:v>
                </c:pt>
                <c:pt idx="127">
                  <c:v>1.0480358560296027E-2</c:v>
                </c:pt>
                <c:pt idx="128">
                  <c:v>1.0638448301237729E-2</c:v>
                </c:pt>
                <c:pt idx="129">
                  <c:v>1.0798365411693111E-2</c:v>
                </c:pt>
                <c:pt idx="130">
                  <c:v>1.0960120730434678E-2</c:v>
                </c:pt>
                <c:pt idx="131">
                  <c:v>1.1123724972146759E-2</c:v>
                </c:pt>
                <c:pt idx="132">
                  <c:v>1.128918872333839E-2</c:v>
                </c:pt>
                <c:pt idx="133">
                  <c:v>1.1456522438228417E-2</c:v>
                </c:pt>
                <c:pt idx="134">
                  <c:v>1.1625736434603601E-2</c:v>
                </c:pt>
                <c:pt idx="135">
                  <c:v>1.1796840889650719E-2</c:v>
                </c:pt>
                <c:pt idx="136">
                  <c:v>1.1969845835763633E-2</c:v>
                </c:pt>
                <c:pt idx="137">
                  <c:v>1.2144761156325982E-2</c:v>
                </c:pt>
                <c:pt idx="138">
                  <c:v>1.2321596581470891E-2</c:v>
                </c:pt>
                <c:pt idx="139">
                  <c:v>1.2500361683818208E-2</c:v>
                </c:pt>
                <c:pt idx="140">
                  <c:v>1.2681065874190657E-2</c:v>
                </c:pt>
                <c:pt idx="141">
                  <c:v>1.2863718397309756E-2</c:v>
                </c:pt>
                <c:pt idx="142">
                  <c:v>1.304832832747249E-2</c:v>
                </c:pt>
                <c:pt idx="143">
                  <c:v>1.3234904564210002E-2</c:v>
                </c:pt>
                <c:pt idx="144">
                  <c:v>1.3423455827929243E-2</c:v>
                </c:pt>
                <c:pt idx="145">
                  <c:v>1.3613990655538692E-2</c:v>
                </c:pt>
                <c:pt idx="146">
                  <c:v>1.3806517396059407E-2</c:v>
                </c:pt>
                <c:pt idx="147">
                  <c:v>1.4001044206222495E-2</c:v>
                </c:pt>
                <c:pt idx="148">
                  <c:v>1.419757904605406E-2</c:v>
                </c:pt>
                <c:pt idx="149">
                  <c:v>1.4396129674449122E-2</c:v>
                </c:pt>
                <c:pt idx="150">
                  <c:v>1.4596703644735379E-2</c:v>
                </c:pt>
                <c:pt idx="151">
                  <c:v>1.4799308300228372E-2</c:v>
                </c:pt>
                <c:pt idx="152">
                  <c:v>1.5003950769779107E-2</c:v>
                </c:pt>
                <c:pt idx="153">
                  <c:v>1.5210637963315453E-2</c:v>
                </c:pt>
                <c:pt idx="154">
                  <c:v>1.541937656737871E-2</c:v>
                </c:pt>
                <c:pt idx="155">
                  <c:v>1.5630173040656659E-2</c:v>
                </c:pt>
                <c:pt idx="156">
                  <c:v>1.5843033609514254E-2</c:v>
                </c:pt>
                <c:pt idx="157">
                  <c:v>1.6057964263523558E-2</c:v>
                </c:pt>
                <c:pt idx="158">
                  <c:v>1.6274970750994225E-2</c:v>
                </c:pt>
                <c:pt idx="159">
                  <c:v>1.6494058574505775E-2</c:v>
                </c:pt>
                <c:pt idx="160">
                  <c:v>1.671523298644342E-2</c:v>
                </c:pt>
                <c:pt idx="161">
                  <c:v>1.6938498984538457E-2</c:v>
                </c:pt>
                <c:pt idx="162">
                  <c:v>1.7163861307415051E-2</c:v>
                </c:pt>
                <c:pt idx="163">
                  <c:v>1.7391324430144638E-2</c:v>
                </c:pt>
                <c:pt idx="164">
                  <c:v>1.7620892559809621E-2</c:v>
                </c:pt>
                <c:pt idx="165">
                  <c:v>1.7852569631077599E-2</c:v>
                </c:pt>
                <c:pt idx="166">
                  <c:v>1.8086359301788039E-2</c:v>
                </c:pt>
                <c:pt idx="167">
                  <c:v>1.8322264948552495E-2</c:v>
                </c:pt>
                <c:pt idx="168">
                  <c:v>1.8560289662370315E-2</c:v>
                </c:pt>
                <c:pt idx="169">
                  <c:v>1.8800436244261115E-2</c:v>
                </c:pt>
                <c:pt idx="170">
                  <c:v>1.9042707200915724E-2</c:v>
                </c:pt>
                <c:pt idx="171">
                  <c:v>1.928710474036727E-2</c:v>
                </c:pt>
                <c:pt idx="172">
                  <c:v>1.9533630767683819E-2</c:v>
                </c:pt>
                <c:pt idx="173">
                  <c:v>1.9782286880684379E-2</c:v>
                </c:pt>
                <c:pt idx="174">
                  <c:v>2.0033074365679762E-2</c:v>
                </c:pt>
                <c:pt idx="175">
                  <c:v>2.0285994193240085E-2</c:v>
                </c:pt>
                <c:pt idx="176">
                  <c:v>2.0541047013990395E-2</c:v>
                </c:pt>
                <c:pt idx="177">
                  <c:v>2.0798233154436345E-2</c:v>
                </c:pt>
                <c:pt idx="178">
                  <c:v>2.1057552612821207E-2</c:v>
                </c:pt>
                <c:pt idx="179">
                  <c:v>2.1319005055016351E-2</c:v>
                </c:pt>
                <c:pt idx="180">
                  <c:v>2.1582589810446553E-2</c:v>
                </c:pt>
                <c:pt idx="181">
                  <c:v>2.1848305868052052E-2</c:v>
                </c:pt>
                <c:pt idx="182">
                  <c:v>2.2116151872288888E-2</c:v>
                </c:pt>
                <c:pt idx="183">
                  <c:v>2.2386126119169347E-2</c:v>
                </c:pt>
                <c:pt idx="184">
                  <c:v>2.2658226552344337E-2</c:v>
                </c:pt>
                <c:pt idx="185">
                  <c:v>2.2932450759229131E-2</c:v>
                </c:pt>
                <c:pt idx="186">
                  <c:v>2.3208795967174584E-2</c:v>
                </c:pt>
                <c:pt idx="187">
                  <c:v>2.3487259039685206E-2</c:v>
                </c:pt>
                <c:pt idx="188">
                  <c:v>2.3767836472686238E-2</c:v>
                </c:pt>
                <c:pt idx="189">
                  <c:v>2.4050524390840999E-2</c:v>
                </c:pt>
                <c:pt idx="190">
                  <c:v>2.4335318543920736E-2</c:v>
                </c:pt>
                <c:pt idx="191">
                  <c:v>2.4622214303228362E-2</c:v>
                </c:pt>
                <c:pt idx="192">
                  <c:v>2.4911206658078153E-2</c:v>
                </c:pt>
                <c:pt idx="193">
                  <c:v>2.5202290212332813E-2</c:v>
                </c:pt>
                <c:pt idx="194">
                  <c:v>2.5495459180999991E-2</c:v>
                </c:pt>
                <c:pt idx="195">
                  <c:v>2.5790707386889808E-2</c:v>
                </c:pt>
                <c:pt idx="196">
                  <c:v>2.6088028257335184E-2</c:v>
                </c:pt>
                <c:pt idx="197">
                  <c:v>2.6387414820976837E-2</c:v>
                </c:pt>
                <c:pt idx="198">
                  <c:v>2.6688859704614477E-2</c:v>
                </c:pt>
                <c:pt idx="199">
                  <c:v>2.6992355130126169E-2</c:v>
                </c:pt>
                <c:pt idx="200">
                  <c:v>2.7297892911457431E-2</c:v>
                </c:pt>
                <c:pt idx="201">
                  <c:v>2.7605464451681966E-2</c:v>
                </c:pt>
                <c:pt idx="202">
                  <c:v>2.7915060740135552E-2</c:v>
                </c:pt>
                <c:pt idx="203">
                  <c:v>2.8226672349625049E-2</c:v>
                </c:pt>
                <c:pt idx="204">
                  <c:v>2.8540289433713971E-2</c:v>
                </c:pt>
                <c:pt idx="205">
                  <c:v>2.8855901724086669E-2</c:v>
                </c:pt>
                <c:pt idx="206">
                  <c:v>2.917349852799243E-2</c:v>
                </c:pt>
                <c:pt idx="207">
                  <c:v>2.9493068725771447E-2</c:v>
                </c:pt>
                <c:pt idx="208">
                  <c:v>2.9814600768464334E-2</c:v>
                </c:pt>
                <c:pt idx="209">
                  <c:v>3.013808267550663E-2</c:v>
                </c:pt>
                <c:pt idx="210">
                  <c:v>3.0463502032510231E-2</c:v>
                </c:pt>
                <c:pt idx="211">
                  <c:v>3.079084598913313E-2</c:v>
                </c:pt>
                <c:pt idx="212">
                  <c:v>3.112010125703929E-2</c:v>
                </c:pt>
                <c:pt idx="213">
                  <c:v>3.145125410795007E-2</c:v>
                </c:pt>
                <c:pt idx="214">
                  <c:v>3.1784290371789023E-2</c:v>
                </c:pt>
                <c:pt idx="215">
                  <c:v>3.2119195434921352E-2</c:v>
                </c:pt>
                <c:pt idx="216">
                  <c:v>3.2455954238489931E-2</c:v>
                </c:pt>
                <c:pt idx="217">
                  <c:v>3.2794551276849007E-2</c:v>
                </c:pt>
                <c:pt idx="218">
                  <c:v>3.313497059609756E-2</c:v>
                </c:pt>
                <c:pt idx="219">
                  <c:v>3.3477195792713486E-2</c:v>
                </c:pt>
                <c:pt idx="220">
                  <c:v>3.3821210012290111E-2</c:v>
                </c:pt>
                <c:pt idx="221">
                  <c:v>3.4166995948376765E-2</c:v>
                </c:pt>
                <c:pt idx="222">
                  <c:v>3.4514535841424436E-2</c:v>
                </c:pt>
                <c:pt idx="223">
                  <c:v>3.4863811477838375E-2</c:v>
                </c:pt>
                <c:pt idx="224">
                  <c:v>3.521480418913852E-2</c:v>
                </c:pt>
                <c:pt idx="225">
                  <c:v>3.5567494851229613E-2</c:v>
                </c:pt>
                <c:pt idx="226">
                  <c:v>3.5921863883781949E-2</c:v>
                </c:pt>
                <c:pt idx="227">
                  <c:v>3.6277891249724352E-2</c:v>
                </c:pt>
                <c:pt idx="228">
                  <c:v>3.6635556454850407E-2</c:v>
                </c:pt>
                <c:pt idx="229">
                  <c:v>3.6994838547539405E-2</c:v>
                </c:pt>
                <c:pt idx="230">
                  <c:v>3.7355716118593077E-2</c:v>
                </c:pt>
                <c:pt idx="231">
                  <c:v>3.7718167301189473E-2</c:v>
                </c:pt>
                <c:pt idx="232">
                  <c:v>3.8082169770954973E-2</c:v>
                </c:pt>
                <c:pt idx="233">
                  <c:v>3.844770074615559E-2</c:v>
                </c:pt>
                <c:pt idx="234">
                  <c:v>3.8814736988008858E-2</c:v>
                </c:pt>
                <c:pt idx="235">
                  <c:v>3.9183254801117062E-2</c:v>
                </c:pt>
                <c:pt idx="236">
                  <c:v>3.9553230034023182E-2</c:v>
                </c:pt>
                <c:pt idx="237">
                  <c:v>3.9924638079890169E-2</c:v>
                </c:pt>
                <c:pt idx="238">
                  <c:v>4.0297453877304844E-2</c:v>
                </c:pt>
                <c:pt idx="239">
                  <c:v>4.0671651911207175E-2</c:v>
                </c:pt>
                <c:pt idx="240">
                  <c:v>4.1047206213945933E-2</c:v>
                </c:pt>
                <c:pt idx="241">
                  <c:v>4.1424090366461309E-2</c:v>
                </c:pt>
                <c:pt idx="242">
                  <c:v>4.1802277499595773E-2</c:v>
                </c:pt>
                <c:pt idx="243">
                  <c:v>4.2181740295533392E-2</c:v>
                </c:pt>
                <c:pt idx="244">
                  <c:v>4.2562450989368929E-2</c:v>
                </c:pt>
                <c:pt idx="245">
                  <c:v>4.2944381370806854E-2</c:v>
                </c:pt>
                <c:pt idx="246">
                  <c:v>4.3327502785991283E-2</c:v>
                </c:pt>
                <c:pt idx="247">
                  <c:v>4.3711786139467405E-2</c:v>
                </c:pt>
                <c:pt idx="248">
                  <c:v>4.4097201896274814E-2</c:v>
                </c:pt>
                <c:pt idx="249">
                  <c:v>4.4483720084173513E-2</c:v>
                </c:pt>
                <c:pt idx="250">
                  <c:v>4.4871310296002706E-2</c:v>
                </c:pt>
                <c:pt idx="251">
                  <c:v>4.5259941692173344E-2</c:v>
                </c:pt>
                <c:pt idx="252">
                  <c:v>4.564958300329422E-2</c:v>
                </c:pt>
                <c:pt idx="253">
                  <c:v>4.6040202532932568E-2</c:v>
                </c:pt>
                <c:pt idx="254">
                  <c:v>4.6431768160508827E-2</c:v>
                </c:pt>
                <c:pt idx="255">
                  <c:v>4.6824247344326497E-2</c:v>
                </c:pt>
                <c:pt idx="256">
                  <c:v>4.7217607124736695E-2</c:v>
                </c:pt>
                <c:pt idx="257">
                  <c:v>4.761181412743809E-2</c:v>
                </c:pt>
                <c:pt idx="258">
                  <c:v>4.8006834566911891E-2</c:v>
                </c:pt>
                <c:pt idx="259">
                  <c:v>4.840263424999218E-2</c:v>
                </c:pt>
                <c:pt idx="260">
                  <c:v>4.8799178579571757E-2</c:v>
                </c:pt>
                <c:pt idx="261">
                  <c:v>4.9196432558443137E-2</c:v>
                </c:pt>
                <c:pt idx="262">
                  <c:v>4.9594360793274707E-2</c:v>
                </c:pt>
                <c:pt idx="263">
                  <c:v>4.999292749872232E-2</c:v>
                </c:pt>
                <c:pt idx="264">
                  <c:v>5.0392096501675324E-2</c:v>
                </c:pt>
                <c:pt idx="265">
                  <c:v>5.0791831245637777E-2</c:v>
                </c:pt>
                <c:pt idx="266">
                  <c:v>5.1192094795243691E-2</c:v>
                </c:pt>
                <c:pt idx="267">
                  <c:v>5.1592849840906695E-2</c:v>
                </c:pt>
                <c:pt idx="268">
                  <c:v>5.1994058703603067E-2</c:v>
                </c:pt>
                <c:pt idx="269">
                  <c:v>5.2395683339788258E-2</c:v>
                </c:pt>
                <c:pt idx="270">
                  <c:v>5.2797685346446251E-2</c:v>
                </c:pt>
                <c:pt idx="271">
                  <c:v>5.3200025966270902E-2</c:v>
                </c:pt>
                <c:pt idx="272">
                  <c:v>5.3602666092979187E-2</c:v>
                </c:pt>
                <c:pt idx="273">
                  <c:v>5.4005566276755401E-2</c:v>
                </c:pt>
                <c:pt idx="274">
                  <c:v>5.4408686729825663E-2</c:v>
                </c:pt>
                <c:pt idx="275">
                  <c:v>5.4811987332161978E-2</c:v>
                </c:pt>
                <c:pt idx="276">
                  <c:v>5.5215427637315052E-2</c:v>
                </c:pt>
                <c:pt idx="277">
                  <c:v>5.5618966878375177E-2</c:v>
                </c:pt>
                <c:pt idx="278">
                  <c:v>5.602256397406008E-2</c:v>
                </c:pt>
                <c:pt idx="279">
                  <c:v>5.64261775349287E-2</c:v>
                </c:pt>
                <c:pt idx="280">
                  <c:v>5.6829765869720113E-2</c:v>
                </c:pt>
                <c:pt idx="281">
                  <c:v>5.7233286991816623E-2</c:v>
                </c:pt>
                <c:pt idx="282">
                  <c:v>5.7636698625829472E-2</c:v>
                </c:pt>
                <c:pt idx="283">
                  <c:v>5.8039958214306318E-2</c:v>
                </c:pt>
                <c:pt idx="284">
                  <c:v>5.8443022924559392E-2</c:v>
                </c:pt>
                <c:pt idx="285">
                  <c:v>5.8845849655612646E-2</c:v>
                </c:pt>
                <c:pt idx="286">
                  <c:v>5.924839504526689E-2</c:v>
                </c:pt>
                <c:pt idx="287">
                  <c:v>5.9650615477281441E-2</c:v>
                </c:pt>
                <c:pt idx="288">
                  <c:v>6.0052467088670874E-2</c:v>
                </c:pt>
                <c:pt idx="289">
                  <c:v>6.0453905777115492E-2</c:v>
                </c:pt>
                <c:pt idx="290">
                  <c:v>6.0854887208483491E-2</c:v>
                </c:pt>
                <c:pt idx="291">
                  <c:v>6.1255366824464134E-2</c:v>
                </c:pt>
                <c:pt idx="292">
                  <c:v>6.1655299850309382E-2</c:v>
                </c:pt>
                <c:pt idx="293">
                  <c:v>6.2054641302683032E-2</c:v>
                </c:pt>
                <c:pt idx="294">
                  <c:v>6.245334599761497E-2</c:v>
                </c:pt>
                <c:pt idx="295">
                  <c:v>6.2851368558559259E-2</c:v>
                </c:pt>
                <c:pt idx="296">
                  <c:v>6.3248663424554263E-2</c:v>
                </c:pt>
                <c:pt idx="297">
                  <c:v>6.3645184858482307E-2</c:v>
                </c:pt>
                <c:pt idx="298">
                  <c:v>6.4040886955427617E-2</c:v>
                </c:pt>
                <c:pt idx="299">
                  <c:v>6.4435723651130344E-2</c:v>
                </c:pt>
                <c:pt idx="300">
                  <c:v>6.482964873053447E-2</c:v>
                </c:pt>
                <c:pt idx="301">
                  <c:v>6.5222615836427758E-2</c:v>
                </c:pt>
                <c:pt idx="302">
                  <c:v>6.5614578478171454E-2</c:v>
                </c:pt>
                <c:pt idx="303">
                  <c:v>6.600549004051777E-2</c:v>
                </c:pt>
                <c:pt idx="304">
                  <c:v>6.6395303792512822E-2</c:v>
                </c:pt>
                <c:pt idx="305">
                  <c:v>6.6783972896482705E-2</c:v>
                </c:pt>
                <c:pt idx="306">
                  <c:v>6.7171450417100473E-2</c:v>
                </c:pt>
                <c:pt idx="307">
                  <c:v>6.7557689330531856E-2</c:v>
                </c:pt>
                <c:pt idx="308">
                  <c:v>6.7942642533657088E-2</c:v>
                </c:pt>
                <c:pt idx="309">
                  <c:v>6.8326262853366473E-2</c:v>
                </c:pt>
                <c:pt idx="310">
                  <c:v>6.8708503055927253E-2</c:v>
                </c:pt>
                <c:pt idx="311">
                  <c:v>6.9089315856419545E-2</c:v>
                </c:pt>
                <c:pt idx="312">
                  <c:v>6.946865392823813E-2</c:v>
                </c:pt>
                <c:pt idx="313">
                  <c:v>6.9846469912658332E-2</c:v>
                </c:pt>
                <c:pt idx="314">
                  <c:v>7.0222716428462728E-2</c:v>
                </c:pt>
                <c:pt idx="315">
                  <c:v>7.0597346081626502E-2</c:v>
                </c:pt>
                <c:pt idx="316">
                  <c:v>7.0970311475058181E-2</c:v>
                </c:pt>
                <c:pt idx="317">
                  <c:v>7.1341565218393771E-2</c:v>
                </c:pt>
                <c:pt idx="318">
                  <c:v>7.1711059937840951E-2</c:v>
                </c:pt>
                <c:pt idx="319">
                  <c:v>7.2078748286070776E-2</c:v>
                </c:pt>
                <c:pt idx="320">
                  <c:v>7.2444582952153891E-2</c:v>
                </c:pt>
                <c:pt idx="321">
                  <c:v>7.2808516671538759E-2</c:v>
                </c:pt>
                <c:pt idx="322">
                  <c:v>7.3170502236068719E-2</c:v>
                </c:pt>
                <c:pt idx="323">
                  <c:v>7.3530492504034803E-2</c:v>
                </c:pt>
                <c:pt idx="324">
                  <c:v>7.3888440410261963E-2</c:v>
                </c:pt>
                <c:pt idx="325">
                  <c:v>7.424429897622517E-2</c:v>
                </c:pt>
                <c:pt idx="326">
                  <c:v>7.4598021320192706E-2</c:v>
                </c:pt>
                <c:pt idx="327">
                  <c:v>7.4949560667393333E-2</c:v>
                </c:pt>
                <c:pt idx="328">
                  <c:v>7.5298870360204814E-2</c:v>
                </c:pt>
                <c:pt idx="329">
                  <c:v>7.5645903868360106E-2</c:v>
                </c:pt>
                <c:pt idx="330">
                  <c:v>7.5990614799168715E-2</c:v>
                </c:pt>
                <c:pt idx="331">
                  <c:v>7.6332956907749591E-2</c:v>
                </c:pt>
                <c:pt idx="332">
                  <c:v>7.6672884107272812E-2</c:v>
                </c:pt>
                <c:pt idx="333">
                  <c:v>7.701035047920686E-2</c:v>
                </c:pt>
                <c:pt idx="334">
                  <c:v>7.7345310283568197E-2</c:v>
                </c:pt>
                <c:pt idx="335">
                  <c:v>7.7677717969169946E-2</c:v>
                </c:pt>
                <c:pt idx="336">
                  <c:v>7.8007528183866748E-2</c:v>
                </c:pt>
                <c:pt idx="337">
                  <c:v>7.8334695784792491E-2</c:v>
                </c:pt>
                <c:pt idx="338">
                  <c:v>7.8659175848587309E-2</c:v>
                </c:pt>
                <c:pt idx="339">
                  <c:v>7.8980923681611456E-2</c:v>
                </c:pt>
                <c:pt idx="340">
                  <c:v>7.9299894830141965E-2</c:v>
                </c:pt>
                <c:pt idx="341">
                  <c:v>7.9616045090549495E-2</c:v>
                </c:pt>
                <c:pt idx="342">
                  <c:v>7.9929330519451641E-2</c:v>
                </c:pt>
                <c:pt idx="343">
                  <c:v>8.0239707443839958E-2</c:v>
                </c:pt>
                <c:pt idx="344">
                  <c:v>8.054713247117698E-2</c:v>
                </c:pt>
                <c:pt idx="345">
                  <c:v>8.0851562499460336E-2</c:v>
                </c:pt>
                <c:pt idx="346">
                  <c:v>8.1152954727250481E-2</c:v>
                </c:pt>
                <c:pt idx="347">
                  <c:v>8.1451266663658872E-2</c:v>
                </c:pt>
                <c:pt idx="348">
                  <c:v>8.1746456138293497E-2</c:v>
                </c:pt>
                <c:pt idx="349">
                  <c:v>8.2038481311158165E-2</c:v>
                </c:pt>
                <c:pt idx="350">
                  <c:v>8.2327300682502672E-2</c:v>
                </c:pt>
                <c:pt idx="351">
                  <c:v>8.2612873102620332E-2</c:v>
                </c:pt>
                <c:pt idx="352">
                  <c:v>8.2895157781589957E-2</c:v>
                </c:pt>
                <c:pt idx="353">
                  <c:v>8.3174114298958657E-2</c:v>
                </c:pt>
                <c:pt idx="354">
                  <c:v>8.344970261336257E-2</c:v>
                </c:pt>
                <c:pt idx="355">
                  <c:v>8.3721883072082323E-2</c:v>
                </c:pt>
                <c:pt idx="356">
                  <c:v>8.3990616420529809E-2</c:v>
                </c:pt>
                <c:pt idx="357">
                  <c:v>8.4255863811663306E-2</c:v>
                </c:pt>
                <c:pt idx="358">
                  <c:v>8.45175868153277E-2</c:v>
                </c:pt>
                <c:pt idx="359">
                  <c:v>8.4775747427516854E-2</c:v>
                </c:pt>
                <c:pt idx="360">
                  <c:v>8.503030807955457E-2</c:v>
                </c:pt>
                <c:pt idx="361">
                  <c:v>8.5281231647191563E-2</c:v>
                </c:pt>
                <c:pt idx="362">
                  <c:v>8.5528481459615086E-2</c:v>
                </c:pt>
                <c:pt idx="363">
                  <c:v>8.5772021308368085E-2</c:v>
                </c:pt>
                <c:pt idx="364">
                  <c:v>8.6011815456175159E-2</c:v>
                </c:pt>
                <c:pt idx="365">
                  <c:v>8.624782864567189E-2</c:v>
                </c:pt>
                <c:pt idx="366">
                  <c:v>8.6480026108034999E-2</c:v>
                </c:pt>
                <c:pt idx="367">
                  <c:v>8.6708373571510053E-2</c:v>
                </c:pt>
                <c:pt idx="368">
                  <c:v>8.6932837269833932E-2</c:v>
                </c:pt>
                <c:pt idx="369">
                  <c:v>8.7153383950549224E-2</c:v>
                </c:pt>
                <c:pt idx="370">
                  <c:v>8.7369980883207451E-2</c:v>
                </c:pt>
                <c:pt idx="371">
                  <c:v>8.7582595867458549E-2</c:v>
                </c:pt>
                <c:pt idx="372">
                  <c:v>8.7791197241023772E-2</c:v>
                </c:pt>
                <c:pt idx="373">
                  <c:v>8.7995753887548989E-2</c:v>
                </c:pt>
                <c:pt idx="374">
                  <c:v>8.8196235244336077E-2</c:v>
                </c:pt>
                <c:pt idx="375">
                  <c:v>8.8392611309949312E-2</c:v>
                </c:pt>
                <c:pt idx="376">
                  <c:v>8.8584852651694371E-2</c:v>
                </c:pt>
                <c:pt idx="377">
                  <c:v>8.8772930412967355E-2</c:v>
                </c:pt>
                <c:pt idx="378">
                  <c:v>8.8956816320470908E-2</c:v>
                </c:pt>
                <c:pt idx="379">
                  <c:v>8.9136482691295496E-2</c:v>
                </c:pt>
                <c:pt idx="380">
                  <c:v>8.9311902439862728E-2</c:v>
                </c:pt>
                <c:pt idx="381">
                  <c:v>8.9483049084728816E-2</c:v>
                </c:pt>
                <c:pt idx="382">
                  <c:v>8.9649896755245428E-2</c:v>
                </c:pt>
                <c:pt idx="383">
                  <c:v>8.9812420198075796E-2</c:v>
                </c:pt>
                <c:pt idx="384">
                  <c:v>8.9970594783563548E-2</c:v>
                </c:pt>
                <c:pt idx="385">
                  <c:v>9.0124396511952476E-2</c:v>
                </c:pt>
                <c:pt idx="386">
                  <c:v>9.0273802019454383E-2</c:v>
                </c:pt>
                <c:pt idx="387">
                  <c:v>9.0418788584163398E-2</c:v>
                </c:pt>
                <c:pt idx="388">
                  <c:v>9.0559334131814509E-2</c:v>
                </c:pt>
                <c:pt idx="389">
                  <c:v>9.0695417241384191E-2</c:v>
                </c:pt>
                <c:pt idx="390">
                  <c:v>9.0827017150531084E-2</c:v>
                </c:pt>
                <c:pt idx="391">
                  <c:v>9.0954113760875102E-2</c:v>
                </c:pt>
                <c:pt idx="392">
                  <c:v>9.1076687643112761E-2</c:v>
                </c:pt>
                <c:pt idx="393">
                  <c:v>9.1194720041967006E-2</c:v>
                </c:pt>
                <c:pt idx="394">
                  <c:v>9.1308192880969863E-2</c:v>
                </c:pt>
                <c:pt idx="395">
                  <c:v>9.1417088767076091E-2</c:v>
                </c:pt>
                <c:pt idx="396">
                  <c:v>9.1521390995106269E-2</c:v>
                </c:pt>
                <c:pt idx="397">
                  <c:v>9.1621083552017632E-2</c:v>
                </c:pt>
                <c:pt idx="398">
                  <c:v>9.171615112100133E-2</c:v>
                </c:pt>
                <c:pt idx="399">
                  <c:v>9.1806579085404266E-2</c:v>
                </c:pt>
                <c:pt idx="400">
                  <c:v>9.1892353532474602E-2</c:v>
                </c:pt>
                <c:pt idx="401">
                  <c:v>9.1973461256929123E-2</c:v>
                </c:pt>
                <c:pt idx="402">
                  <c:v>9.2049889764341516E-2</c:v>
                </c:pt>
                <c:pt idx="403">
                  <c:v>9.2121627274350165E-2</c:v>
                </c:pt>
                <c:pt idx="404">
                  <c:v>9.2188662723684367E-2</c:v>
                </c:pt>
                <c:pt idx="405">
                  <c:v>9.2250985769007823E-2</c:v>
                </c:pt>
                <c:pt idx="406">
                  <c:v>9.2308586789578553E-2</c:v>
                </c:pt>
                <c:pt idx="407">
                  <c:v>9.2361456889724067E-2</c:v>
                </c:pt>
                <c:pt idx="408">
                  <c:v>9.2409587901130963E-2</c:v>
                </c:pt>
                <c:pt idx="409">
                  <c:v>9.2452972384948248E-2</c:v>
                </c:pt>
                <c:pt idx="410">
                  <c:v>9.2491603633703429E-2</c:v>
                </c:pt>
                <c:pt idx="411">
                  <c:v>9.2525475673030905E-2</c:v>
                </c:pt>
                <c:pt idx="412">
                  <c:v>9.2554583263211795E-2</c:v>
                </c:pt>
                <c:pt idx="413">
                  <c:v>9.257892190052476E-2</c:v>
                </c:pt>
                <c:pt idx="414">
                  <c:v>9.2598487818407557E-2</c:v>
                </c:pt>
                <c:pt idx="415">
                  <c:v>9.2613277988428347E-2</c:v>
                </c:pt>
                <c:pt idx="416">
                  <c:v>9.2623290121066987E-2</c:v>
                </c:pt>
                <c:pt idx="417">
                  <c:v>9.2628522666305793E-2</c:v>
                </c:pt>
                <c:pt idx="418">
                  <c:v>9.2628974814029333E-2</c:v>
                </c:pt>
                <c:pt idx="419">
                  <c:v>9.2624646494233576E-2</c:v>
                </c:pt>
                <c:pt idx="420">
                  <c:v>9.2615538377043893E-2</c:v>
                </c:pt>
                <c:pt idx="421">
                  <c:v>9.2601651872542184E-2</c:v>
                </c:pt>
                <c:pt idx="422">
                  <c:v>9.2582989130402985E-2</c:v>
                </c:pt>
                <c:pt idx="423">
                  <c:v>9.2559553039338952E-2</c:v>
                </c:pt>
                <c:pt idx="424">
                  <c:v>9.2531347226355531E-2</c:v>
                </c:pt>
                <c:pt idx="425">
                  <c:v>9.249837605581554E-2</c:v>
                </c:pt>
                <c:pt idx="426">
                  <c:v>9.2460644628313618E-2</c:v>
                </c:pt>
                <c:pt idx="427">
                  <c:v>9.2418158779361201E-2</c:v>
                </c:pt>
                <c:pt idx="428">
                  <c:v>9.2370925077882318E-2</c:v>
                </c:pt>
                <c:pt idx="429">
                  <c:v>9.2318950824520879E-2</c:v>
                </c:pt>
                <c:pt idx="430">
                  <c:v>9.2262244049759967E-2</c:v>
                </c:pt>
                <c:pt idx="431">
                  <c:v>9.2200813511854066E-2</c:v>
                </c:pt>
                <c:pt idx="432">
                  <c:v>9.2134668694574401E-2</c:v>
                </c:pt>
                <c:pt idx="433">
                  <c:v>9.2063819804768951E-2</c:v>
                </c:pt>
                <c:pt idx="434">
                  <c:v>9.198827776973735E-2</c:v>
                </c:pt>
                <c:pt idx="435">
                  <c:v>9.1908054234422082E-2</c:v>
                </c:pt>
                <c:pt idx="436">
                  <c:v>9.1823161558416716E-2</c:v>
                </c:pt>
                <c:pt idx="437">
                  <c:v>9.1733612812792409E-2</c:v>
                </c:pt>
                <c:pt idx="438">
                  <c:v>9.1639421776743626E-2</c:v>
                </c:pt>
                <c:pt idx="439">
                  <c:v>9.1540602934054596E-2</c:v>
                </c:pt>
                <c:pt idx="440">
                  <c:v>9.1437171469387374E-2</c:v>
                </c:pt>
                <c:pt idx="441">
                  <c:v>9.1329143264393328E-2</c:v>
                </c:pt>
                <c:pt idx="442">
                  <c:v>9.1216534893648796E-2</c:v>
                </c:pt>
                <c:pt idx="443">
                  <c:v>9.1099363620417151E-2</c:v>
                </c:pt>
                <c:pt idx="444">
                  <c:v>9.0977647392238029E-2</c:v>
                </c:pt>
                <c:pt idx="445">
                  <c:v>9.0851404836345892E-2</c:v>
                </c:pt>
                <c:pt idx="446">
                  <c:v>9.072065525491925E-2</c:v>
                </c:pt>
                <c:pt idx="447">
                  <c:v>9.0585418620162228E-2</c:v>
                </c:pt>
                <c:pt idx="448">
                  <c:v>9.0445715569220417E-2</c:v>
                </c:pt>
                <c:pt idx="449">
                  <c:v>9.0301567398932733E-2</c:v>
                </c:pt>
                <c:pt idx="450">
                  <c:v>9.0152996060420987E-2</c:v>
                </c:pt>
                <c:pt idx="451">
                  <c:v>9.0000024153519459E-2</c:v>
                </c:pt>
                <c:pt idx="452">
                  <c:v>8.9842674921046056E-2</c:v>
                </c:pt>
                <c:pt idx="453">
                  <c:v>8.9680972242917351E-2</c:v>
                </c:pt>
                <c:pt idx="454">
                  <c:v>8.951494063010948E-2</c:v>
                </c:pt>
                <c:pt idx="455">
                  <c:v>8.9344605218467127E-2</c:v>
                </c:pt>
                <c:pt idx="456">
                  <c:v>8.9169991762362566E-2</c:v>
                </c:pt>
                <c:pt idx="457">
                  <c:v>8.8991126628207309E-2</c:v>
                </c:pt>
                <c:pt idx="458">
                  <c:v>8.8808036787818456E-2</c:v>
                </c:pt>
                <c:pt idx="459">
                  <c:v>8.8620749811642044E-2</c:v>
                </c:pt>
                <c:pt idx="460">
                  <c:v>8.8429293861835886E-2</c:v>
                </c:pt>
                <c:pt idx="461">
                  <c:v>8.8233697685214385E-2</c:v>
                </c:pt>
                <c:pt idx="462">
                  <c:v>8.8033990606057558E-2</c:v>
                </c:pt>
                <c:pt idx="463">
                  <c:v>8.7830202518787023E-2</c:v>
                </c:pt>
                <c:pt idx="464">
                  <c:v>8.7622363880511422E-2</c:v>
                </c:pt>
                <c:pt idx="465">
                  <c:v>8.7410505703443886E-2</c:v>
                </c:pt>
                <c:pt idx="466">
                  <c:v>8.7194659547194103E-2</c:v>
                </c:pt>
                <c:pt idx="467">
                  <c:v>8.6974857510937795E-2</c:v>
                </c:pt>
                <c:pt idx="468">
                  <c:v>8.6751132225466321E-2</c:v>
                </c:pt>
                <c:pt idx="469">
                  <c:v>8.6523516845119053E-2</c:v>
                </c:pt>
                <c:pt idx="470">
                  <c:v>8.6292045039601362E-2</c:v>
                </c:pt>
                <c:pt idx="471">
                  <c:v>8.6056750985691058E-2</c:v>
                </c:pt>
                <c:pt idx="472">
                  <c:v>8.5817669358836182E-2</c:v>
                </c:pt>
                <c:pt idx="473">
                  <c:v>8.5574835324646964E-2</c:v>
                </c:pt>
                <c:pt idx="474">
                  <c:v>8.5328284530284806E-2</c:v>
                </c:pt>
                <c:pt idx="475">
                  <c:v>8.5078053095751491E-2</c:v>
                </c:pt>
                <c:pt idx="476">
                  <c:v>8.4824177605081305E-2</c:v>
                </c:pt>
                <c:pt idx="477">
                  <c:v>8.4566695097439221E-2</c:v>
                </c:pt>
                <c:pt idx="478">
                  <c:v>8.4305643058128182E-2</c:v>
                </c:pt>
                <c:pt idx="479">
                  <c:v>8.4041059409508484E-2</c:v>
                </c:pt>
                <c:pt idx="480">
                  <c:v>8.3772982501832294E-2</c:v>
                </c:pt>
                <c:pt idx="481">
                  <c:v>8.3501451103996593E-2</c:v>
                </c:pt>
                <c:pt idx="482">
                  <c:v>8.3226504394217402E-2</c:v>
                </c:pt>
                <c:pt idx="483">
                  <c:v>8.2948181950628558E-2</c:v>
                </c:pt>
                <c:pt idx="484">
                  <c:v>8.2666523741808301E-2</c:v>
                </c:pt>
                <c:pt idx="485">
                  <c:v>8.2381570117236472E-2</c:v>
                </c:pt>
                <c:pt idx="486">
                  <c:v>8.209336179768599E-2</c:v>
                </c:pt>
                <c:pt idx="487">
                  <c:v>8.1801939865551482E-2</c:v>
                </c:pt>
                <c:pt idx="488">
                  <c:v>8.1507345755118296E-2</c:v>
                </c:pt>
                <c:pt idx="489">
                  <c:v>8.1209621242775129E-2</c:v>
                </c:pt>
                <c:pt idx="490">
                  <c:v>8.090880843717374E-2</c:v>
                </c:pt>
                <c:pt idx="491">
                  <c:v>8.0604949769338533E-2</c:v>
                </c:pt>
                <c:pt idx="492">
                  <c:v>8.0298087982729652E-2</c:v>
                </c:pt>
                <c:pt idx="493">
                  <c:v>7.9988266123262541E-2</c:v>
                </c:pt>
                <c:pt idx="494">
                  <c:v>7.9675527529287485E-2</c:v>
                </c:pt>
                <c:pt idx="495">
                  <c:v>7.9359915821532151E-2</c:v>
                </c:pt>
                <c:pt idx="496">
                  <c:v>7.9041474893010458E-2</c:v>
                </c:pt>
                <c:pt idx="497">
                  <c:v>7.8720248898901043E-2</c:v>
                </c:pt>
                <c:pt idx="498">
                  <c:v>7.8396282246398719E-2</c:v>
                </c:pt>
                <c:pt idx="499">
                  <c:v>7.8069619584541755E-2</c:v>
                </c:pt>
                <c:pt idx="500">
                  <c:v>7.774030579401868E-2</c:v>
                </c:pt>
                <c:pt idx="501">
                  <c:v>7.7408385976957553E-2</c:v>
                </c:pt>
                <c:pt idx="502">
                  <c:v>7.7073905446701091E-2</c:v>
                </c:pt>
                <c:pt idx="503">
                  <c:v>7.6736909717570773E-2</c:v>
                </c:pt>
                <c:pt idx="504">
                  <c:v>7.6397444494623004E-2</c:v>
                </c:pt>
                <c:pt idx="505">
                  <c:v>7.6055555663401123E-2</c:v>
                </c:pt>
                <c:pt idx="506">
                  <c:v>7.5711289279685429E-2</c:v>
                </c:pt>
                <c:pt idx="507">
                  <c:v>7.5364691559245564E-2</c:v>
                </c:pt>
                <c:pt idx="508">
                  <c:v>7.5015808867597233E-2</c:v>
                </c:pt>
                <c:pt idx="509">
                  <c:v>7.4664687709767683E-2</c:v>
                </c:pt>
                <c:pt idx="510">
                  <c:v>7.4311374720071668E-2</c:v>
                </c:pt>
                <c:pt idx="511">
                  <c:v>7.3955916651902376E-2</c:v>
                </c:pt>
                <c:pt idx="512">
                  <c:v>7.3598360367539098E-2</c:v>
                </c:pt>
                <c:pt idx="513">
                  <c:v>7.3238752827976081E-2</c:v>
                </c:pt>
                <c:pt idx="514">
                  <c:v>7.2877141082774224E-2</c:v>
                </c:pt>
                <c:pt idx="515">
                  <c:v>7.251357225993961E-2</c:v>
                </c:pt>
                <c:pt idx="516">
                  <c:v>7.2148093555831669E-2</c:v>
                </c:pt>
                <c:pt idx="517">
                  <c:v>7.1780752225103564E-2</c:v>
                </c:pt>
                <c:pt idx="518">
                  <c:v>7.1411595570678194E-2</c:v>
                </c:pt>
                <c:pt idx="519">
                  <c:v>7.1040670933762401E-2</c:v>
                </c:pt>
                <c:pt idx="520">
                  <c:v>7.0668025683902735E-2</c:v>
                </c:pt>
                <c:pt idx="521">
                  <c:v>7.0293707209084885E-2</c:v>
                </c:pt>
                <c:pt idx="522">
                  <c:v>6.991776290588031E-2</c:v>
                </c:pt>
                <c:pt idx="523">
                  <c:v>6.954024016964272E-2</c:v>
                </c:pt>
                <c:pt idx="524">
                  <c:v>6.9161186384756643E-2</c:v>
                </c:pt>
                <c:pt idx="525">
                  <c:v>6.8780648914941567E-2</c:v>
                </c:pt>
                <c:pt idx="526">
                  <c:v>6.8398675093613984E-2</c:v>
                </c:pt>
                <c:pt idx="527">
                  <c:v>6.8015312214309689E-2</c:v>
                </c:pt>
                <c:pt idx="528">
                  <c:v>6.7630607521169672E-2</c:v>
                </c:pt>
                <c:pt idx="529">
                  <c:v>6.7244608199491698E-2</c:v>
                </c:pt>
                <c:pt idx="530">
                  <c:v>6.6857361366349927E-2</c:v>
                </c:pt>
                <c:pt idx="531">
                  <c:v>6.6468914061285925E-2</c:v>
                </c:pt>
                <c:pt idx="532">
                  <c:v>6.6079313237072446E-2</c:v>
                </c:pt>
                <c:pt idx="533">
                  <c:v>6.5688605750553256E-2</c:v>
                </c:pt>
                <c:pt idx="534">
                  <c:v>6.5296838353561273E-2</c:v>
                </c:pt>
                <c:pt idx="535">
                  <c:v>6.4904057683916647E-2</c:v>
                </c:pt>
                <c:pt idx="536">
                  <c:v>6.4510310256508066E-2</c:v>
                </c:pt>
                <c:pt idx="537">
                  <c:v>6.4115642454459137E-2</c:v>
                </c:pt>
                <c:pt idx="538">
                  <c:v>6.3720100520381656E-2</c:v>
                </c:pt>
                <c:pt idx="539">
                  <c:v>6.3323730547718504E-2</c:v>
                </c:pt>
                <c:pt idx="540">
                  <c:v>6.2926578472178488E-2</c:v>
                </c:pt>
                <c:pt idx="541">
                  <c:v>6.252869006326392E-2</c:v>
                </c:pt>
                <c:pt idx="542">
                  <c:v>6.2130110915894918E-2</c:v>
                </c:pt>
                <c:pt idx="543">
                  <c:v>6.1730886442130449E-2</c:v>
                </c:pt>
                <c:pt idx="544">
                  <c:v>6.1331061862989492E-2</c:v>
                </c:pt>
                <c:pt idx="545">
                  <c:v>6.0930682200373704E-2</c:v>
                </c:pt>
                <c:pt idx="546">
                  <c:v>6.0529792269092983E-2</c:v>
                </c:pt>
                <c:pt idx="547">
                  <c:v>6.0128436668996553E-2</c:v>
                </c:pt>
                <c:pt idx="548">
                  <c:v>5.9726659777210873E-2</c:v>
                </c:pt>
                <c:pt idx="549">
                  <c:v>5.9324505740485714E-2</c:v>
                </c:pt>
                <c:pt idx="550">
                  <c:v>5.8922018467651022E-2</c:v>
                </c:pt>
                <c:pt idx="551">
                  <c:v>5.8519241622184984E-2</c:v>
                </c:pt>
                <c:pt idx="552">
                  <c:v>5.811621861489575E-2</c:v>
                </c:pt>
                <c:pt idx="553">
                  <c:v>5.7712992596718138E-2</c:v>
                </c:pt>
                <c:pt idx="554">
                  <c:v>5.7309606451625923E-2</c:v>
                </c:pt>
                <c:pt idx="555">
                  <c:v>5.6906102789662509E-2</c:v>
                </c:pt>
                <c:pt idx="556">
                  <c:v>5.6502523940090275E-2</c:v>
                </c:pt>
                <c:pt idx="557">
                  <c:v>5.6098911944659907E-2</c:v>
                </c:pt>
                <c:pt idx="558">
                  <c:v>5.5695308551001646E-2</c:v>
                </c:pt>
                <c:pt idx="559">
                  <c:v>5.5291755206139125E-2</c:v>
                </c:pt>
                <c:pt idx="560">
                  <c:v>5.4888293050126567E-2</c:v>
                </c:pt>
                <c:pt idx="561">
                  <c:v>5.4484962909811502E-2</c:v>
                </c:pt>
                <c:pt idx="562">
                  <c:v>5.4081805292722829E-2</c:v>
                </c:pt>
                <c:pt idx="563">
                  <c:v>5.3678860381085887E-2</c:v>
                </c:pt>
                <c:pt idx="564">
                  <c:v>5.3276168025965596E-2</c:v>
                </c:pt>
                <c:pt idx="565">
                  <c:v>5.2873767741537618E-2</c:v>
                </c:pt>
                <c:pt idx="566">
                  <c:v>5.2471698699489373E-2</c:v>
                </c:pt>
                <c:pt idx="567">
                  <c:v>5.2069999723551391E-2</c:v>
                </c:pt>
                <c:pt idx="568">
                  <c:v>5.166870928415896E-2</c:v>
                </c:pt>
                <c:pt idx="569">
                  <c:v>5.1267865493245822E-2</c:v>
                </c:pt>
                <c:pt idx="570">
                  <c:v>5.0867506099169991E-2</c:v>
                </c:pt>
                <c:pt idx="571">
                  <c:v>5.0467668481771838E-2</c:v>
                </c:pt>
                <c:pt idx="572">
                  <c:v>5.0068389647565985E-2</c:v>
                </c:pt>
                <c:pt idx="573">
                  <c:v>4.9669706225066161E-2</c:v>
                </c:pt>
                <c:pt idx="574">
                  <c:v>4.9271654460244591E-2</c:v>
                </c:pt>
                <c:pt idx="575">
                  <c:v>4.8874270212125592E-2</c:v>
                </c:pt>
                <c:pt idx="576">
                  <c:v>4.8477588948513624E-2</c:v>
                </c:pt>
                <c:pt idx="577">
                  <c:v>4.8081645741856464E-2</c:v>
                </c:pt>
                <c:pt idx="578">
                  <c:v>4.7686475265243486E-2</c:v>
                </c:pt>
                <c:pt idx="579">
                  <c:v>4.7292111788538788E-2</c:v>
                </c:pt>
                <c:pt idx="580">
                  <c:v>4.6898589174650007E-2</c:v>
                </c:pt>
                <c:pt idx="581">
                  <c:v>4.6505940875932496E-2</c:v>
                </c:pt>
                <c:pt idx="582">
                  <c:v>4.6114199930728274E-2</c:v>
                </c:pt>
                <c:pt idx="583">
                  <c:v>4.5723398960041066E-2</c:v>
                </c:pt>
                <c:pt idx="584">
                  <c:v>4.5333570164345735E-2</c:v>
                </c:pt>
                <c:pt idx="585">
                  <c:v>4.4944745320533198E-2</c:v>
                </c:pt>
                <c:pt idx="586">
                  <c:v>4.4556955778990166E-2</c:v>
                </c:pt>
                <c:pt idx="587">
                  <c:v>4.4170232460812954E-2</c:v>
                </c:pt>
                <c:pt idx="588">
                  <c:v>4.3784605855156068E-2</c:v>
                </c:pt>
                <c:pt idx="589">
                  <c:v>4.3400106016714686E-2</c:v>
                </c:pt>
                <c:pt idx="590">
                  <c:v>4.3016762563340152E-2</c:v>
                </c:pt>
                <c:pt idx="591">
                  <c:v>4.263460467378917E-2</c:v>
                </c:pt>
                <c:pt idx="592">
                  <c:v>4.225366108560541E-2</c:v>
                </c:pt>
                <c:pt idx="593">
                  <c:v>4.1873960093133017E-2</c:v>
                </c:pt>
                <c:pt idx="594">
                  <c:v>4.1495529545662109E-2</c:v>
                </c:pt>
                <c:pt idx="595">
                  <c:v>4.1118396845704695E-2</c:v>
                </c:pt>
                <c:pt idx="596">
                  <c:v>4.0742588947401286E-2</c:v>
                </c:pt>
                <c:pt idx="597">
                  <c:v>4.0368132355057158E-2</c:v>
                </c:pt>
                <c:pt idx="598">
                  <c:v>3.9995053121807025E-2</c:v>
                </c:pt>
                <c:pt idx="599">
                  <c:v>3.9623376848408338E-2</c:v>
                </c:pt>
                <c:pt idx="600">
                  <c:v>3.9253128682161721E-2</c:v>
                </c:pt>
                <c:pt idx="601">
                  <c:v>3.8884333315957705E-2</c:v>
                </c:pt>
                <c:pt idx="602">
                  <c:v>3.8517014987449472E-2</c:v>
                </c:pt>
                <c:pt idx="603">
                  <c:v>3.8151197478349698E-2</c:v>
                </c:pt>
                <c:pt idx="604">
                  <c:v>3.778690411385157E-2</c:v>
                </c:pt>
                <c:pt idx="605">
                  <c:v>3.7424157762172533E-2</c:v>
                </c:pt>
                <c:pt idx="606">
                  <c:v>3.7062980834219258E-2</c:v>
                </c:pt>
                <c:pt idx="607">
                  <c:v>3.6703395283373762E-2</c:v>
                </c:pt>
                <c:pt idx="608">
                  <c:v>3.6345422605398997E-2</c:v>
                </c:pt>
                <c:pt idx="609">
                  <c:v>3.5989083838462527E-2</c:v>
                </c:pt>
                <c:pt idx="610">
                  <c:v>3.5634399563277776E-2</c:v>
                </c:pt>
                <c:pt idx="611">
                  <c:v>3.5281389903361507E-2</c:v>
                </c:pt>
                <c:pt idx="612">
                  <c:v>3.4930074525405572E-2</c:v>
                </c:pt>
                <c:pt idx="613">
                  <c:v>3.458047263976298E-2</c:v>
                </c:pt>
                <c:pt idx="614">
                  <c:v>3.4232603001045782E-2</c:v>
                </c:pt>
                <c:pt idx="615">
                  <c:v>3.3886483908834246E-2</c:v>
                </c:pt>
                <c:pt idx="616">
                  <c:v>3.3542133208495799E-2</c:v>
                </c:pt>
                <c:pt idx="617">
                  <c:v>3.3199568292112021E-2</c:v>
                </c:pt>
                <c:pt idx="618">
                  <c:v>3.2858806099512923E-2</c:v>
                </c:pt>
                <c:pt idx="619">
                  <c:v>3.251986311941675E-2</c:v>
                </c:pt>
                <c:pt idx="620">
                  <c:v>3.2182755390673654E-2</c:v>
                </c:pt>
                <c:pt idx="621">
                  <c:v>3.1847498503612293E-2</c:v>
                </c:pt>
                <c:pt idx="622">
                  <c:v>3.1514107601487838E-2</c:v>
                </c:pt>
                <c:pt idx="623">
                  <c:v>3.118259738202905E-2</c:v>
                </c:pt>
                <c:pt idx="624">
                  <c:v>3.0852982099084332E-2</c:v>
                </c:pt>
                <c:pt idx="625">
                  <c:v>3.0525275564363779E-2</c:v>
                </c:pt>
                <c:pt idx="626">
                  <c:v>3.0199491149276812E-2</c:v>
                </c:pt>
                <c:pt idx="627">
                  <c:v>2.9875641786863225E-2</c:v>
                </c:pt>
                <c:pt idx="628">
                  <c:v>2.955373997381594E-2</c:v>
                </c:pt>
                <c:pt idx="629">
                  <c:v>2.9233797772594439E-2</c:v>
                </c:pt>
                <c:pt idx="630">
                  <c:v>2.8915826813626876E-2</c:v>
                </c:pt>
                <c:pt idx="631">
                  <c:v>2.8599838297599007E-2</c:v>
                </c:pt>
                <c:pt idx="632">
                  <c:v>2.8285842997828877E-2</c:v>
                </c:pt>
                <c:pt idx="633">
                  <c:v>2.7973851262725263E-2</c:v>
                </c:pt>
                <c:pt idx="634">
                  <c:v>2.7663873018327935E-2</c:v>
                </c:pt>
                <c:pt idx="635">
                  <c:v>2.7355917770928832E-2</c:v>
                </c:pt>
                <c:pt idx="636">
                  <c:v>2.704999460977146E-2</c:v>
                </c:pt>
                <c:pt idx="637">
                  <c:v>2.674611220982764E-2</c:v>
                </c:pt>
                <c:pt idx="638">
                  <c:v>2.6444278834649664E-2</c:v>
                </c:pt>
                <c:pt idx="639">
                  <c:v>2.6144502339295623E-2</c:v>
                </c:pt>
                <c:pt idx="640">
                  <c:v>2.5846790173327038E-2</c:v>
                </c:pt>
                <c:pt idx="641">
                  <c:v>2.5551149383876513E-2</c:v>
                </c:pt>
                <c:pt idx="642">
                  <c:v>2.5257586618783533E-2</c:v>
                </c:pt>
                <c:pt idx="643">
                  <c:v>2.4966108129797267E-2</c:v>
                </c:pt>
                <c:pt idx="644">
                  <c:v>2.4676719775844194E-2</c:v>
                </c:pt>
                <c:pt idx="645">
                  <c:v>2.4389427026358594E-2</c:v>
                </c:pt>
                <c:pt idx="646">
                  <c:v>2.4104234964674912E-2</c:v>
                </c:pt>
                <c:pt idx="647">
                  <c:v>2.382114829147931E-2</c:v>
                </c:pt>
                <c:pt idx="648">
                  <c:v>2.3540171328319391E-2</c:v>
                </c:pt>
                <c:pt idx="649">
                  <c:v>2.3261308021170109E-2</c:v>
                </c:pt>
                <c:pt idx="650">
                  <c:v>2.2984561944053659E-2</c:v>
                </c:pt>
                <c:pt idx="651">
                  <c:v>2.2709936302712379E-2</c:v>
                </c:pt>
                <c:pt idx="652">
                  <c:v>2.2437433938332509E-2</c:v>
                </c:pt>
                <c:pt idx="653">
                  <c:v>2.2167057331316641E-2</c:v>
                </c:pt>
                <c:pt idx="654">
                  <c:v>2.1898808605104035E-2</c:v>
                </c:pt>
                <c:pt idx="655">
                  <c:v>2.1632689530036338E-2</c:v>
                </c:pt>
                <c:pt idx="656">
                  <c:v>2.1368701527267036E-2</c:v>
                </c:pt>
                <c:pt idx="657">
                  <c:v>2.110684567271344E-2</c:v>
                </c:pt>
                <c:pt idx="658">
                  <c:v>2.0847122701048618E-2</c:v>
                </c:pt>
                <c:pt idx="659">
                  <c:v>2.0589533009732361E-2</c:v>
                </c:pt>
                <c:pt idx="660">
                  <c:v>2.0334076663079154E-2</c:v>
                </c:pt>
                <c:pt idx="661">
                  <c:v>2.0080753396361065E-2</c:v>
                </c:pt>
                <c:pt idx="662">
                  <c:v>1.9829562619944591E-2</c:v>
                </c:pt>
                <c:pt idx="663">
                  <c:v>1.9580503423459263E-2</c:v>
                </c:pt>
                <c:pt idx="664">
                  <c:v>1.9333574579996304E-2</c:v>
                </c:pt>
                <c:pt idx="665">
                  <c:v>1.9088774550336141E-2</c:v>
                </c:pt>
                <c:pt idx="666">
                  <c:v>1.8846101487202435E-2</c:v>
                </c:pt>
                <c:pt idx="667">
                  <c:v>1.8605553239541592E-2</c:v>
                </c:pt>
                <c:pt idx="668">
                  <c:v>1.8367127356825885E-2</c:v>
                </c:pt>
                <c:pt idx="669">
                  <c:v>1.8130821093378272E-2</c:v>
                </c:pt>
                <c:pt idx="670">
                  <c:v>1.789663141271787E-2</c:v>
                </c:pt>
                <c:pt idx="671">
                  <c:v>1.7664554991924125E-2</c:v>
                </c:pt>
                <c:pt idx="672">
                  <c:v>1.7434588226017962E-2</c:v>
                </c:pt>
                <c:pt idx="673">
                  <c:v>1.7206727232358769E-2</c:v>
                </c:pt>
                <c:pt idx="674">
                  <c:v>1.6980967855055446E-2</c:v>
                </c:pt>
                <c:pt idx="675">
                  <c:v>1.6757305669389669E-2</c:v>
                </c:pt>
                <c:pt idx="676">
                  <c:v>1.653573598625056E-2</c:v>
                </c:pt>
                <c:pt idx="677">
                  <c:v>1.6316253856578467E-2</c:v>
                </c:pt>
                <c:pt idx="678">
                  <c:v>1.6098854075816949E-2</c:v>
                </c:pt>
                <c:pt idx="679">
                  <c:v>1.5883531188371307E-2</c:v>
                </c:pt>
                <c:pt idx="680">
                  <c:v>1.5670279492071896E-2</c:v>
                </c:pt>
                <c:pt idx="681">
                  <c:v>1.5459093042641342E-2</c:v>
                </c:pt>
                <c:pt idx="682">
                  <c:v>1.5249965658163932E-2</c:v>
                </c:pt>
                <c:pt idx="683">
                  <c:v>1.5042890923555523E-2</c:v>
                </c:pt>
                <c:pt idx="684">
                  <c:v>1.4837862195033132E-2</c:v>
                </c:pt>
                <c:pt idx="685">
                  <c:v>1.4634872604582534E-2</c:v>
                </c:pt>
                <c:pt idx="686">
                  <c:v>1.4433915064422336E-2</c:v>
                </c:pt>
                <c:pt idx="687">
                  <c:v>1.4234982271463734E-2</c:v>
                </c:pt>
                <c:pt idx="688">
                  <c:v>1.4038066711763992E-2</c:v>
                </c:pt>
                <c:pt idx="689">
                  <c:v>1.3843160664972921E-2</c:v>
                </c:pt>
                <c:pt idx="690">
                  <c:v>1.3650256208770851E-2</c:v>
                </c:pt>
                <c:pt idx="691">
                  <c:v>1.3459345223296663E-2</c:v>
                </c:pt>
                <c:pt idx="692">
                  <c:v>1.3270419395565027E-2</c:v>
                </c:pt>
                <c:pt idx="693">
                  <c:v>1.3083470223871447E-2</c:v>
                </c:pt>
                <c:pt idx="694">
                  <c:v>1.2898489022183808E-2</c:v>
                </c:pt>
                <c:pt idx="695">
                  <c:v>1.2715466924519537E-2</c:v>
                </c:pt>
                <c:pt idx="696">
                  <c:v>1.2534394889307115E-2</c:v>
                </c:pt>
                <c:pt idx="697">
                  <c:v>1.2355263703730541E-2</c:v>
                </c:pt>
                <c:pt idx="698">
                  <c:v>1.2178063988056348E-2</c:v>
                </c:pt>
                <c:pt idx="699">
                  <c:v>1.2002786199941211E-2</c:v>
                </c:pt>
                <c:pt idx="700">
                  <c:v>1.1829420638719817E-2</c:v>
                </c:pt>
                <c:pt idx="701">
                  <c:v>1.1657957449671703E-2</c:v>
                </c:pt>
                <c:pt idx="702">
                  <c:v>1.1488386628265797E-2</c:v>
                </c:pt>
                <c:pt idx="703">
                  <c:v>1.1320698024382169E-2</c:v>
                </c:pt>
                <c:pt idx="704">
                  <c:v>1.1154881346509719E-2</c:v>
                </c:pt>
                <c:pt idx="705">
                  <c:v>1.0990926165918787E-2</c:v>
                </c:pt>
                <c:pt idx="706">
                  <c:v>1.0828821920808073E-2</c:v>
                </c:pt>
                <c:pt idx="707">
                  <c:v>1.0668557920424752E-2</c:v>
                </c:pt>
                <c:pt idx="708">
                  <c:v>1.0510123349156819E-2</c:v>
                </c:pt>
                <c:pt idx="709">
                  <c:v>1.0353507270597202E-2</c:v>
                </c:pt>
                <c:pt idx="710">
                  <c:v>1.0198698631578306E-2</c:v>
                </c:pt>
                <c:pt idx="711">
                  <c:v>1.0045686266176622E-2</c:v>
                </c:pt>
                <c:pt idx="712">
                  <c:v>9.8944588996863984E-3</c:v>
                </c:pt>
                <c:pt idx="713">
                  <c:v>9.7450051525615825E-3</c:v>
                </c:pt>
                <c:pt idx="714">
                  <c:v>9.5973135443254594E-3</c:v>
                </c:pt>
                <c:pt idx="715">
                  <c:v>9.4513724974471958E-3</c:v>
                </c:pt>
                <c:pt idx="716">
                  <c:v>9.3071703411844106E-3</c:v>
                </c:pt>
                <c:pt idx="717">
                  <c:v>9.1646953153915762E-3</c:v>
                </c:pt>
                <c:pt idx="718">
                  <c:v>9.0239355742930058E-3</c:v>
                </c:pt>
                <c:pt idx="719">
                  <c:v>8.8848791902203014E-3</c:v>
                </c:pt>
                <c:pt idx="720">
                  <c:v>8.7475141573134293E-3</c:v>
                </c:pt>
                <c:pt idx="721">
                  <c:v>8.6118283951847879E-3</c:v>
                </c:pt>
                <c:pt idx="722">
                  <c:v>8.4778097525459051E-3</c:v>
                </c:pt>
                <c:pt idx="723">
                  <c:v>8.3454460107961446E-3</c:v>
                </c:pt>
                <c:pt idx="724">
                  <c:v>8.2147248875727285E-3</c:v>
                </c:pt>
                <c:pt idx="725">
                  <c:v>8.0856340402619218E-3</c:v>
                </c:pt>
                <c:pt idx="726">
                  <c:v>7.9581610694707018E-3</c:v>
                </c:pt>
                <c:pt idx="727">
                  <c:v>7.8322935224583879E-3</c:v>
                </c:pt>
                <c:pt idx="728">
                  <c:v>7.708018896528058E-3</c:v>
                </c:pt>
                <c:pt idx="729">
                  <c:v>7.5853246423771047E-3</c:v>
                </c:pt>
                <c:pt idx="730">
                  <c:v>7.4641981674066589E-3</c:v>
                </c:pt>
                <c:pt idx="731">
                  <c:v>7.3446268389896138E-3</c:v>
                </c:pt>
                <c:pt idx="732">
                  <c:v>7.2265979876965777E-3</c:v>
                </c:pt>
                <c:pt idx="733">
                  <c:v>7.1100989104798404E-3</c:v>
                </c:pt>
                <c:pt idx="734">
                  <c:v>6.9951168738148391E-3</c:v>
                </c:pt>
                <c:pt idx="735">
                  <c:v>6.8816391167987167E-3</c:v>
                </c:pt>
                <c:pt idx="736">
                  <c:v>6.7696528542060368E-3</c:v>
                </c:pt>
                <c:pt idx="737">
                  <c:v>6.6591452795011488E-3</c:v>
                </c:pt>
                <c:pt idx="738">
                  <c:v>6.550103567807013E-3</c:v>
                </c:pt>
                <c:pt idx="739">
                  <c:v>6.4425148788305056E-3</c:v>
                </c:pt>
                <c:pt idx="740">
                  <c:v>6.3363663597435929E-3</c:v>
                </c:pt>
                <c:pt idx="741">
                  <c:v>6.2316451480206765E-3</c:v>
                </c:pt>
                <c:pt idx="742">
                  <c:v>6.1283383742316913E-3</c:v>
                </c:pt>
                <c:pt idx="743">
                  <c:v>6.0264331647907794E-3</c:v>
                </c:pt>
                <c:pt idx="744">
                  <c:v>5.925916644660645E-3</c:v>
                </c:pt>
                <c:pt idx="745">
                  <c:v>5.8267759400123745E-3</c:v>
                </c:pt>
                <c:pt idx="746">
                  <c:v>5.7289981808405603E-3</c:v>
                </c:pt>
                <c:pt idx="747">
                  <c:v>5.6325705035338578E-3</c:v>
                </c:pt>
                <c:pt idx="748">
                  <c:v>5.5374800534008254E-3</c:v>
                </c:pt>
                <c:pt idx="749">
                  <c:v>5.4437139871509428E-3</c:v>
                </c:pt>
                <c:pt idx="750">
                  <c:v>5.3512594753310347E-3</c:v>
                </c:pt>
                <c:pt idx="751">
                  <c:v>5.2601037047168208E-3</c:v>
                </c:pt>
                <c:pt idx="752">
                  <c:v>5.170233880659846E-3</c:v>
                </c:pt>
                <c:pt idx="753">
                  <c:v>5.0816372293897563E-3</c:v>
                </c:pt>
                <c:pt idx="754">
                  <c:v>4.9943010002718238E-3</c:v>
                </c:pt>
                <c:pt idx="755">
                  <c:v>4.9082124680201022E-3</c:v>
                </c:pt>
                <c:pt idx="756">
                  <c:v>4.8233589348660238E-3</c:v>
                </c:pt>
                <c:pt idx="757">
                  <c:v>4.7397277326825978E-3</c:v>
                </c:pt>
                <c:pt idx="758">
                  <c:v>4.6573062250644393E-3</c:v>
                </c:pt>
                <c:pt idx="759">
                  <c:v>4.5760818093636508E-3</c:v>
                </c:pt>
                <c:pt idx="760">
                  <c:v>4.4960419186816543E-3</c:v>
                </c:pt>
                <c:pt idx="761">
                  <c:v>4.417174023817306E-3</c:v>
                </c:pt>
                <c:pt idx="762">
                  <c:v>4.3394656351712106E-3</c:v>
                </c:pt>
                <c:pt idx="763">
                  <c:v>4.2629043046066668E-3</c:v>
                </c:pt>
                <c:pt idx="764">
                  <c:v>4.1874776272672887E-3</c:v>
                </c:pt>
                <c:pt idx="765">
                  <c:v>4.1131732433514635E-3</c:v>
                </c:pt>
                <c:pt idx="766">
                  <c:v>4.0399788398440203E-3</c:v>
                </c:pt>
                <c:pt idx="767">
                  <c:v>3.9678821522052552E-3</c:v>
                </c:pt>
                <c:pt idx="768">
                  <c:v>3.8968709660174485E-3</c:v>
                </c:pt>
                <c:pt idx="769">
                  <c:v>3.82693311858932E-3</c:v>
                </c:pt>
                <c:pt idx="770">
                  <c:v>3.7580565005185832E-3</c:v>
                </c:pt>
                <c:pt idx="771">
                  <c:v>3.6902290572127594E-3</c:v>
                </c:pt>
                <c:pt idx="772">
                  <c:v>3.62343879036881E-3</c:v>
                </c:pt>
                <c:pt idx="773">
                  <c:v>3.5576737594115527E-3</c:v>
                </c:pt>
                <c:pt idx="774">
                  <c:v>3.4929220828914102E-3</c:v>
                </c:pt>
                <c:pt idx="775">
                  <c:v>3.4291719398417118E-3</c:v>
                </c:pt>
                <c:pt idx="776">
                  <c:v>3.3664115710957854E-3</c:v>
                </c:pt>
                <c:pt idx="777">
                  <c:v>3.3046292805643195E-3</c:v>
                </c:pt>
                <c:pt idx="778">
                  <c:v>3.243813436473245E-3</c:v>
                </c:pt>
                <c:pt idx="779">
                  <c:v>3.1839524725624244E-3</c:v>
                </c:pt>
                <c:pt idx="780">
                  <c:v>3.125034889245649E-3</c:v>
                </c:pt>
                <c:pt idx="781">
                  <c:v>3.0670492547321421E-3</c:v>
                </c:pt>
                <c:pt idx="782">
                  <c:v>3.0099842061100486E-3</c:v>
                </c:pt>
                <c:pt idx="783">
                  <c:v>2.9538284503922495E-3</c:v>
                </c:pt>
                <c:pt idx="784">
                  <c:v>2.8985707655248068E-3</c:v>
                </c:pt>
                <c:pt idx="785">
                  <c:v>2.8442000013585529E-3</c:v>
                </c:pt>
                <c:pt idx="786">
                  <c:v>2.7907050805841419E-3</c:v>
                </c:pt>
                <c:pt idx="787">
                  <c:v>2.7380749996309219E-3</c:v>
                </c:pt>
                <c:pt idx="788">
                  <c:v>2.6862988295301019E-3</c:v>
                </c:pt>
                <c:pt idx="789">
                  <c:v>2.6353657167426442E-3</c:v>
                </c:pt>
                <c:pt idx="790">
                  <c:v>2.5852648839521332E-3</c:v>
                </c:pt>
                <c:pt idx="791">
                  <c:v>2.5359856308232705E-3</c:v>
                </c:pt>
                <c:pt idx="792">
                  <c:v>2.4875173347261941E-3</c:v>
                </c:pt>
                <c:pt idx="793">
                  <c:v>2.4398494514272116E-3</c:v>
                </c:pt>
                <c:pt idx="794">
                  <c:v>2.3929715157463122E-3</c:v>
                </c:pt>
                <c:pt idx="795">
                  <c:v>2.3468731421818468E-3</c:v>
                </c:pt>
                <c:pt idx="796">
                  <c:v>2.3015440255029058E-3</c:v>
                </c:pt>
                <c:pt idx="797">
                  <c:v>2.2569739413097816E-3</c:v>
                </c:pt>
                <c:pt idx="798">
                  <c:v>2.2131527465629355E-3</c:v>
                </c:pt>
                <c:pt idx="799">
                  <c:v>2.1700703800809707E-3</c:v>
                </c:pt>
                <c:pt idx="800">
                  <c:v>2.1277168630080426E-3</c:v>
                </c:pt>
                <c:pt idx="801">
                  <c:v>2.0860822992510987E-3</c:v>
                </c:pt>
                <c:pt idx="802">
                  <c:v>2.0451568758875125E-3</c:v>
                </c:pt>
                <c:pt idx="803">
                  <c:v>2.0049308635434388E-3</c:v>
                </c:pt>
                <c:pt idx="804">
                  <c:v>1.9653946167434541E-3</c:v>
                </c:pt>
                <c:pt idx="805">
                  <c:v>1.9265385742318825E-3</c:v>
                </c:pt>
                <c:pt idx="806">
                  <c:v>1.8883532592662586E-3</c:v>
                </c:pt>
                <c:pt idx="807">
                  <c:v>1.8508292798834198E-3</c:v>
                </c:pt>
                <c:pt idx="808">
                  <c:v>1.81395732913869E-3</c:v>
                </c:pt>
                <c:pt idx="809">
                  <c:v>1.7777281853185451E-3</c:v>
                </c:pt>
                <c:pt idx="810">
                  <c:v>1.7421327121273245E-3</c:v>
                </c:pt>
                <c:pt idx="811">
                  <c:v>1.7071618588483902E-3</c:v>
                </c:pt>
                <c:pt idx="812">
                  <c:v>1.6728066604801632E-3</c:v>
                </c:pt>
                <c:pt idx="813">
                  <c:v>1.6390582378475941E-3</c:v>
                </c:pt>
                <c:pt idx="814">
                  <c:v>1.6059077976894199E-3</c:v>
                </c:pt>
                <c:pt idx="815">
                  <c:v>1.5733466327217463E-3</c:v>
                </c:pt>
                <c:pt idx="816">
                  <c:v>1.5413661216783984E-3</c:v>
                </c:pt>
                <c:pt idx="817">
                  <c:v>1.5099577293284283E-3</c:v>
                </c:pt>
                <c:pt idx="818">
                  <c:v>1.4791130064713536E-3</c:v>
                </c:pt>
                <c:pt idx="819">
                  <c:v>1.448823589910496E-3</c:v>
                </c:pt>
                <c:pt idx="820">
                  <c:v>1.4190812024048845E-3</c:v>
                </c:pt>
                <c:pt idx="821">
                  <c:v>1.389877652600214E-3</c:v>
                </c:pt>
                <c:pt idx="822">
                  <c:v>1.361204834939277E-3</c:v>
                </c:pt>
                <c:pt idx="823">
                  <c:v>1.3330547295523152E-3</c:v>
                </c:pt>
                <c:pt idx="824">
                  <c:v>1.3054194021277724E-3</c:v>
                </c:pt>
                <c:pt idx="825">
                  <c:v>1.2782910037638377E-3</c:v>
                </c:pt>
                <c:pt idx="826">
                  <c:v>1.2516617708012746E-3</c:v>
                </c:pt>
                <c:pt idx="827">
                  <c:v>1.2255240246379583E-3</c:v>
                </c:pt>
                <c:pt idx="828">
                  <c:v>1.1998701715255223E-3</c:v>
                </c:pt>
                <c:pt idx="829">
                  <c:v>1.1746927023486094E-3</c:v>
                </c:pt>
                <c:pt idx="830">
                  <c:v>1.1499841923871253E-3</c:v>
                </c:pt>
                <c:pt idx="831">
                  <c:v>1.1257373010619038E-3</c:v>
                </c:pt>
                <c:pt idx="832">
                  <c:v>1.1019447716642697E-3</c:v>
                </c:pt>
                <c:pt idx="833">
                  <c:v>1.0785994310698417E-3</c:v>
                </c:pt>
                <c:pt idx="834">
                  <c:v>1.0556941894370683E-3</c:v>
                </c:pt>
                <c:pt idx="835">
                  <c:v>1.0332220398908824E-3</c:v>
                </c:pt>
                <c:pt idx="836">
                  <c:v>1.0111760581918493E-3</c:v>
                </c:pt>
                <c:pt idx="837">
                  <c:v>9.8954940239129774E-4</c:v>
                </c:pt>
                <c:pt idx="838">
                  <c:v>9.6833531247276573E-4</c:v>
                </c:pt>
                <c:pt idx="839">
                  <c:v>9.4752710998019887E-4</c:v>
                </c:pt>
                <c:pt idx="840">
                  <c:v>9.271181976332907E-4</c:v>
                </c:pt>
                <c:pt idx="841">
                  <c:v>9.0710205893036223E-4</c:v>
                </c:pt>
                <c:pt idx="842">
                  <c:v>8.8747225773915092E-4</c:v>
                </c:pt>
                <c:pt idx="843">
                  <c:v>8.6822243787593677E-4</c:v>
                </c:pt>
                <c:pt idx="844">
                  <c:v>8.4934632267332378E-4</c:v>
                </c:pt>
                <c:pt idx="845">
                  <c:v>8.3083771453712246E-4</c:v>
                </c:pt>
                <c:pt idx="846">
                  <c:v>8.1269049449266516E-4</c:v>
                </c:pt>
                <c:pt idx="847">
                  <c:v>7.9489862172090863E-4</c:v>
                </c:pt>
                <c:pt idx="848">
                  <c:v>7.7745613308474347E-4</c:v>
                </c:pt>
                <c:pt idx="849">
                  <c:v>7.6035714264582237E-4</c:v>
                </c:pt>
                <c:pt idx="850">
                  <c:v>7.4359584117226877E-4</c:v>
                </c:pt>
                <c:pt idx="851">
                  <c:v>7.2716649563763511E-4</c:v>
                </c:pt>
                <c:pt idx="852">
                  <c:v>7.1106344871145358E-4</c:v>
                </c:pt>
                <c:pt idx="853">
                  <c:v>6.9528111824169103E-4</c:v>
                </c:pt>
                <c:pt idx="854">
                  <c:v>6.7981399672949736E-4</c:v>
                </c:pt>
                <c:pt idx="855">
                  <c:v>6.6465665079651901E-4</c:v>
                </c:pt>
                <c:pt idx="856">
                  <c:v>6.4980372064516053E-4</c:v>
                </c:pt>
                <c:pt idx="857">
                  <c:v>6.3524991951208795E-4</c:v>
                </c:pt>
                <c:pt idx="858">
                  <c:v>6.2099003311527699E-4</c:v>
                </c:pt>
                <c:pt idx="859">
                  <c:v>6.0701891909496373E-4</c:v>
                </c:pt>
                <c:pt idx="860">
                  <c:v>5.9333150644876953E-4</c:v>
                </c:pt>
                <c:pt idx="861">
                  <c:v>5.7992279496130964E-4</c:v>
                </c:pt>
                <c:pt idx="862">
                  <c:v>5.6678785462859795E-4</c:v>
                </c:pt>
                <c:pt idx="863">
                  <c:v>5.5392182507753437E-4</c:v>
                </c:pt>
                <c:pt idx="864">
                  <c:v>5.4131991498074586E-4</c:v>
                </c:pt>
                <c:pt idx="865">
                  <c:v>5.2897740146711034E-4</c:v>
                </c:pt>
                <c:pt idx="866">
                  <c:v>5.1688962952818281E-4</c:v>
                </c:pt>
                <c:pt idx="867">
                  <c:v>5.0505201142084916E-4</c:v>
                </c:pt>
                <c:pt idx="868">
                  <c:v>4.9346002606645469E-4</c:v>
                </c:pt>
                <c:pt idx="869">
                  <c:v>4.8210921844666168E-4</c:v>
                </c:pt>
                <c:pt idx="870">
                  <c:v>4.7099519899632071E-4</c:v>
                </c:pt>
                <c:pt idx="871">
                  <c:v>4.6011364299359598E-4</c:v>
                </c:pt>
                <c:pt idx="872">
                  <c:v>4.4946028994758552E-4</c:v>
                </c:pt>
                <c:pt idx="873">
                  <c:v>4.390309429837007E-4</c:v>
                </c:pt>
                <c:pt idx="874">
                  <c:v>4.2882146822703995E-4</c:v>
                </c:pt>
                <c:pt idx="875">
                  <c:v>4.1882779418397068E-4</c:v>
                </c:pt>
                <c:pt idx="876">
                  <c:v>4.0904591112219313E-4</c:v>
                </c:pt>
                <c:pt idx="877">
                  <c:v>3.9947187044945127E-4</c:v>
                </c:pt>
                <c:pt idx="878">
                  <c:v>3.9010178409118397E-4</c:v>
                </c:pt>
                <c:pt idx="879">
                  <c:v>3.8093182386726943E-4</c:v>
                </c:pt>
                <c:pt idx="880">
                  <c:v>3.7195822086809902E-4</c:v>
                </c:pt>
                <c:pt idx="881">
                  <c:v>3.6317726483020622E-4</c:v>
                </c:pt>
                <c:pt idx="882">
                  <c:v>3.5458530351162006E-4</c:v>
                </c:pt>
                <c:pt idx="883">
                  <c:v>3.4617874206714665E-4</c:v>
                </c:pt>
                <c:pt idx="884">
                  <c:v>3.3795404242380385E-4</c:v>
                </c:pt>
                <c:pt idx="885">
                  <c:v>3.2990772265655E-4</c:v>
                </c:pt>
                <c:pt idx="886">
                  <c:v>3.2203635636451563E-4</c:v>
                </c:pt>
                <c:pt idx="887">
                  <c:v>3.1433657204792923E-4</c:v>
                </c:pt>
                <c:pt idx="888">
                  <c:v>3.0680505248588012E-4</c:v>
                </c:pt>
                <c:pt idx="889">
                  <c:v>2.9943853411510519E-4</c:v>
                </c:pt>
                <c:pt idx="890">
                  <c:v>2.9223380640997968E-4</c:v>
                </c:pt>
                <c:pt idx="891">
                  <c:v>2.8518771126384373E-4</c:v>
                </c:pt>
                <c:pt idx="892">
                  <c:v>2.7829714237183426E-4</c:v>
                </c:pt>
                <c:pt idx="893">
                  <c:v>2.7155904461539227E-4</c:v>
                </c:pt>
                <c:pt idx="894">
                  <c:v>2.6497041344856191E-4</c:v>
                </c:pt>
                <c:pt idx="895">
                  <c:v>2.5852829428624891E-4</c:v>
                </c:pt>
                <c:pt idx="896">
                  <c:v>2.5222978189456464E-4</c:v>
                </c:pt>
                <c:pt idx="897">
                  <c:v>2.4607201978341016E-4</c:v>
                </c:pt>
                <c:pt idx="898">
                  <c:v>2.4005219960140548E-4</c:v>
                </c:pt>
                <c:pt idx="899">
                  <c:v>2.3416756053330881E-4</c:v>
                </c:pt>
                <c:pt idx="900">
                  <c:v>2.2841538870005472E-4</c:v>
                </c:pt>
                <c:pt idx="901">
                  <c:v>2.2279301656151273E-4</c:v>
                </c:pt>
                <c:pt idx="902">
                  <c:v>2.1729782232208944E-4</c:v>
                </c:pt>
                <c:pt idx="903">
                  <c:v>2.1192722933930129E-4</c:v>
                </c:pt>
                <c:pt idx="904">
                  <c:v>2.0667870553540049E-4</c:v>
                </c:pt>
                <c:pt idx="905">
                  <c:v>2.0154976281217142E-4</c:v>
                </c:pt>
                <c:pt idx="906">
                  <c:v>1.9653795646900764E-4</c:v>
                </c:pt>
                <c:pt idx="907">
                  <c:v>1.9164088462434687E-4</c:v>
                </c:pt>
                <c:pt idx="908">
                  <c:v>#N/A</c:v>
                </c:pt>
                <c:pt idx="909">
                  <c:v>1.7101452972453682E-4</c:v>
                </c:pt>
                <c:pt idx="910">
                  <c:v>1.7545007399451246E-4</c:v>
                </c:pt>
                <c:pt idx="911">
                  <c:v>1.7999127553895863E-4</c:v>
                </c:pt>
                <c:pt idx="912">
                  <c:v>1.8464038938287948E-4</c:v>
                </c:pt>
                <c:pt idx="913">
                  <c:v>1.8939971175929956E-4</c:v>
                </c:pt>
                <c:pt idx="914">
                  <c:v>1.9427158068854657E-4</c:v>
                </c:pt>
                <c:pt idx="915">
                  <c:v>1.9925837656144458E-4</c:v>
                </c:pt>
                <c:pt idx="916">
                  <c:v>2.0436252272633848E-4</c:v>
                </c:pt>
                <c:pt idx="917">
                  <c:v>2.0958648607985586E-4</c:v>
                </c:pt>
                <c:pt idx="918">
                  <c:v>2.1493277766132171E-4</c:v>
                </c:pt>
                <c:pt idx="919">
                  <c:v>2.2040395325072685E-4</c:v>
                </c:pt>
                <c:pt idx="920">
                  <c:v>2.2600261397015252E-4</c:v>
                </c:pt>
                <c:pt idx="921">
                  <c:v>2.3173140688854865E-4</c:v>
                </c:pt>
                <c:pt idx="922">
                  <c:v>2.3759302562976063E-4</c:v>
                </c:pt>
                <c:pt idx="923">
                  <c:v>2.4359021098369364E-4</c:v>
                </c:pt>
                <c:pt idx="924">
                  <c:v>2.4972575152049954E-4</c:v>
                </c:pt>
                <c:pt idx="925">
                  <c:v>2.5600248420767072E-4</c:v>
                </c:pt>
                <c:pt idx="926">
                  <c:v>2.6242329502991474E-4</c:v>
                </c:pt>
                <c:pt idx="927">
                  <c:v>2.6899111961168931E-4</c:v>
                </c:pt>
                <c:pt idx="928">
                  <c:v>2.7570894384226091E-4</c:v>
                </c:pt>
                <c:pt idx="929">
                  <c:v>2.825798045031557E-4</c:v>
                </c:pt>
                <c:pt idx="930">
                  <c:v>2.8960678989786709E-4</c:v>
                </c:pt>
                <c:pt idx="931">
                  <c:v>2.9679304048366818E-4</c:v>
                </c:pt>
                <c:pt idx="932">
                  <c:v>3.0414174950538811E-4</c:v>
                </c:pt>
                <c:pt idx="933">
                  <c:v>3.1165616363100105E-4</c:v>
                </c:pt>
                <c:pt idx="934">
                  <c:v>3.1933958358886855E-4</c:v>
                </c:pt>
                <c:pt idx="935">
                  <c:v>3.2719536480647031E-4</c:v>
                </c:pt>
                <c:pt idx="936">
                  <c:v>3.3522691805047108E-4</c:v>
                </c:pt>
                <c:pt idx="937">
                  <c:v>3.4343771006793678E-4</c:v>
                </c:pt>
                <c:pt idx="938">
                  <c:v>3.5183126422854186E-4</c:v>
                </c:pt>
                <c:pt idx="939">
                  <c:v>3.6041116116757228E-4</c:v>
                </c:pt>
                <c:pt idx="940">
                  <c:v>3.6918103942955592E-4</c:v>
                </c:pt>
                <c:pt idx="941">
                  <c:v>3.7814459611232044E-4</c:v>
                </c:pt>
                <c:pt idx="942">
                  <c:v>3.8730558751129071E-4</c:v>
                </c:pt>
                <c:pt idx="943">
                  <c:v>3.9666782976382358E-4</c:v>
                </c:pt>
                <c:pt idx="944">
                  <c:v>4.0623519949338152E-4</c:v>
                </c:pt>
                <c:pt idx="945">
                  <c:v>4.1601163445333501E-4</c:v>
                </c:pt>
                <c:pt idx="946">
                  <c:v>4.2600113417018122E-4</c:v>
                </c:pt>
                <c:pt idx="947">
                  <c:v>4.3620776058595899E-4</c:v>
                </c:pt>
                <c:pt idx="948">
                  <c:v>4.4663563869963964E-4</c:v>
                </c:pt>
                <c:pt idx="949">
                  <c:v>4.5728895720726671E-4</c:v>
                </c:pt>
                <c:pt idx="950">
                  <c:v>4.6817196914061327E-4</c:v>
                </c:pt>
                <c:pt idx="951">
                  <c:v>4.7928899250411017E-4</c:v>
                </c:pt>
                <c:pt idx="952">
                  <c:v>4.9064441090981555E-4</c:v>
                </c:pt>
                <c:pt idx="953">
                  <c:v>5.02242674210169E-4</c:v>
                </c:pt>
                <c:pt idx="954">
                  <c:v>5.1408829912827857E-4</c:v>
                </c:pt>
                <c:pt idx="955">
                  <c:v>5.2618586988548459E-4</c:v>
                </c:pt>
                <c:pt idx="956">
                  <c:v>5.3854003882593835E-4</c:v>
                </c:pt>
                <c:pt idx="957">
                  <c:v>5.5115552703793012E-4</c:v>
                </c:pt>
                <c:pt idx="958">
                  <c:v>5.6403712497167307E-4</c:v>
                </c:pt>
                <c:pt idx="959">
                  <c:v>5.7718969305330038E-4</c:v>
                </c:pt>
                <c:pt idx="960">
                  <c:v>5.9061816229475815E-4</c:v>
                </c:pt>
                <c:pt idx="961">
                  <c:v>6.0432753489933055E-4</c:v>
                </c:pt>
                <c:pt idx="962">
                  <c:v>6.1832288486248009E-4</c:v>
                </c:pt>
                <c:pt idx="963">
                  <c:v>6.3260935856772837E-4</c:v>
                </c:pt>
                <c:pt idx="964">
                  <c:v>6.4719217537725698E-4</c:v>
                </c:pt>
                <c:pt idx="965">
                  <c:v>6.6207662821691864E-4</c:v>
                </c:pt>
                <c:pt idx="966">
                  <c:v>6.7726808415536114E-4</c:v>
                </c:pt>
                <c:pt idx="967">
                  <c:v>6.9277198497692187E-4</c:v>
                </c:pt>
                <c:pt idx="968">
                  <c:v>7.0859384774799754E-4</c:v>
                </c:pt>
                <c:pt idx="969">
                  <c:v>7.2473926537651521E-4</c:v>
                </c:pt>
                <c:pt idx="970">
                  <c:v>7.412139071642258E-4</c:v>
                </c:pt>
                <c:pt idx="971">
                  <c:v>7.5802351935143493E-4</c:v>
                </c:pt>
                <c:pt idx="972">
                  <c:v>7.7517392565385607E-4</c:v>
                </c:pt>
                <c:pt idx="973">
                  <c:v>7.9267102779121497E-4</c:v>
                </c:pt>
                <c:pt idx="974">
                  <c:v>8.1052080600726583E-4</c:v>
                </c:pt>
                <c:pt idx="975">
                  <c:v>8.2872931958086432E-4</c:v>
                </c:pt>
                <c:pt idx="976">
                  <c:v>8.4730270732770701E-4</c:v>
                </c:pt>
                <c:pt idx="977">
                  <c:v>8.6624718809240786E-4</c:v>
                </c:pt>
                <c:pt idx="978">
                  <c:v>8.8556906123050309E-4</c:v>
                </c:pt>
                <c:pt idx="979">
                  <c:v>9.0527470708002969E-4</c:v>
                </c:pt>
                <c:pt idx="980">
                  <c:v>9.2537058742228422E-4</c:v>
                </c:pt>
                <c:pt idx="981">
                  <c:v>9.4586324593137381E-4</c:v>
                </c:pt>
                <c:pt idx="982">
                  <c:v>9.6675930861217626E-4</c:v>
                </c:pt>
                <c:pt idx="983">
                  <c:v>9.8806548422631204E-4</c:v>
                </c:pt>
                <c:pt idx="984">
                  <c:v>1.0097885647057151E-3</c:v>
                </c:pt>
                <c:pt idx="985">
                  <c:v>1.0319354255534101E-3</c:v>
                </c:pt>
                <c:pt idx="986">
                  <c:v>1.0545130262310945E-3</c:v>
                </c:pt>
                <c:pt idx="987">
                  <c:v>1.0775284105330844E-3</c:v>
                </c:pt>
                <c:pt idx="988">
                  <c:v>1.1009887069462431E-3</c:v>
                </c:pt>
                <c:pt idx="989">
                  <c:v>1.124901128995441E-3</c:v>
                </c:pt>
                <c:pt idx="990">
                  <c:v>1.1492729755741464E-3</c:v>
                </c:pt>
                <c:pt idx="991">
                  <c:v>1.1741116312596965E-3</c:v>
                </c:pt>
                <c:pt idx="992">
                  <c:v>1.1994245666128269E-3</c:v>
                </c:pt>
                <c:pt idx="993">
                  <c:v>1.2252193384610349E-3</c:v>
                </c:pt>
                <c:pt idx="994">
                  <c:v>1.2515035901653213E-3</c:v>
                </c:pt>
                <c:pt idx="995">
                  <c:v>1.2782850518698679E-3</c:v>
                </c:pt>
                <c:pt idx="996">
                  <c:v>1.3055715407342102E-3</c:v>
                </c:pt>
                <c:pt idx="997">
                  <c:v>1.3333709611474738E-3</c:v>
                </c:pt>
                <c:pt idx="998">
                  <c:v>1.3616913049241757E-3</c:v>
                </c:pt>
                <c:pt idx="999">
                  <c:v>1.3905406514811928E-3</c:v>
                </c:pt>
                <c:pt idx="1000">
                  <c:v>1.4199271679953985E-3</c:v>
                </c:pt>
                <c:pt idx="1001">
                  <c:v>1.4498591095415221E-3</c:v>
                </c:pt>
                <c:pt idx="1002">
                  <c:v>1.4803448192097755E-3</c:v>
                </c:pt>
                <c:pt idx="1003">
                  <c:v>1.5113927282027551E-3</c:v>
                </c:pt>
                <c:pt idx="1004">
                  <c:v>1.5430113559111969E-3</c:v>
                </c:pt>
                <c:pt idx="1005">
                  <c:v>1.5752093099680763E-3</c:v>
                </c:pt>
                <c:pt idx="1006">
                  <c:v>1.6079952862805909E-3</c:v>
                </c:pt>
                <c:pt idx="1007">
                  <c:v>1.6413780690395605E-3</c:v>
                </c:pt>
                <c:pt idx="1008">
                  <c:v>1.675366530705784E-3</c:v>
                </c:pt>
                <c:pt idx="1009">
                  <c:v>1.7099696319728287E-3</c:v>
                </c:pt>
                <c:pt idx="1010">
                  <c:v>1.7451964217058333E-3</c:v>
                </c:pt>
                <c:pt idx="1011">
                  <c:v>1.7810560368558227E-3</c:v>
                </c:pt>
                <c:pt idx="1012">
                  <c:v>1.8175577023490273E-3</c:v>
                </c:pt>
                <c:pt idx="1013">
                  <c:v>1.854710730950785E-3</c:v>
                </c:pt>
                <c:pt idx="1014">
                  <c:v>1.8925245231034933E-3</c:v>
                </c:pt>
                <c:pt idx="1015">
                  <c:v>1.9310085667381617E-3</c:v>
                </c:pt>
                <c:pt idx="1016">
                  <c:v>1.9701724370590826E-3</c:v>
                </c:pt>
                <c:pt idx="1017">
                  <c:v>2.0100257963011231E-3</c:v>
                </c:pt>
                <c:pt idx="1018">
                  <c:v>2.0505783934591619E-3</c:v>
                </c:pt>
                <c:pt idx="1019">
                  <c:v>2.0918400639892277E-3</c:v>
                </c:pt>
                <c:pt idx="1020">
                  <c:v>2.1338207294807933E-3</c:v>
                </c:pt>
                <c:pt idx="1021">
                  <c:v>2.1765303972998114E-3</c:v>
                </c:pt>
                <c:pt idx="1022">
                  <c:v>2.2199791602019953E-3</c:v>
                </c:pt>
                <c:pt idx="1023">
                  <c:v>2.264177195915827E-3</c:v>
                </c:pt>
                <c:pt idx="1024">
                  <c:v>2.3091347666949098E-3</c:v>
                </c:pt>
                <c:pt idx="1025">
                  <c:v>2.3548622188390936E-3</c:v>
                </c:pt>
                <c:pt idx="1026">
                  <c:v>2.4013699821839722E-3</c:v>
                </c:pt>
                <c:pt idx="1027">
                  <c:v>2.448668569558271E-3</c:v>
                </c:pt>
                <c:pt idx="1028">
                  <c:v>2.4967685762086393E-3</c:v>
                </c:pt>
                <c:pt idx="1029">
                  <c:v>2.5456806791913944E-3</c:v>
                </c:pt>
                <c:pt idx="1030">
                  <c:v>2.5954156367307842E-3</c:v>
                </c:pt>
                <c:pt idx="1031">
                  <c:v>2.6459842875432749E-3</c:v>
                </c:pt>
                <c:pt idx="1032">
                  <c:v>2.697397550127446E-3</c:v>
                </c:pt>
                <c:pt idx="1033">
                  <c:v>2.7496664220190118E-3</c:v>
                </c:pt>
                <c:pt idx="1034">
                  <c:v>2.8028019790105442E-3</c:v>
                </c:pt>
                <c:pt idx="1035">
                  <c:v>2.8568153743354771E-3</c:v>
                </c:pt>
                <c:pt idx="1036">
                  <c:v>2.9117178378159038E-3</c:v>
                </c:pt>
                <c:pt idx="1037">
                  <c:v>2.9675206749737904E-3</c:v>
                </c:pt>
                <c:pt idx="1038">
                  <c:v>3.0242352661051649E-3</c:v>
                </c:pt>
                <c:pt idx="1039">
                  <c:v>3.0818730653168398E-3</c:v>
                </c:pt>
                <c:pt idx="1040">
                  <c:v>3.1404455995252757E-3</c:v>
                </c:pt>
                <c:pt idx="1041">
                  <c:v>3.1999644674171996E-3</c:v>
                </c:pt>
                <c:pt idx="1042">
                  <c:v>3.2604413383715025E-3</c:v>
                </c:pt>
                <c:pt idx="1043">
                  <c:v>3.3218879513421447E-3</c:v>
                </c:pt>
                <c:pt idx="1044">
                  <c:v>3.3843161137015409E-3</c:v>
                </c:pt>
                <c:pt idx="1045">
                  <c:v>3.4477377000441357E-3</c:v>
                </c:pt>
                <c:pt idx="1046">
                  <c:v>3.5121646509498053E-3</c:v>
                </c:pt>
                <c:pt idx="1047">
                  <c:v>3.57760897170663E-3</c:v>
                </c:pt>
                <c:pt idx="1048">
                  <c:v>3.6440827309927775E-3</c:v>
                </c:pt>
                <c:pt idx="1049">
                  <c:v>3.7115980595171351E-3</c:v>
                </c:pt>
                <c:pt idx="1050">
                  <c:v>3.7801671486182259E-3</c:v>
                </c:pt>
                <c:pt idx="1051">
                  <c:v>3.8498022488213106E-3</c:v>
                </c:pt>
                <c:pt idx="1052">
                  <c:v>3.9205156683531327E-3</c:v>
                </c:pt>
                <c:pt idx="1053">
                  <c:v>3.9923197716140706E-3</c:v>
                </c:pt>
                <c:pt idx="1054">
                  <c:v>4.0652269776075079E-3</c:v>
                </c:pt>
                <c:pt idx="1055">
                  <c:v>4.1392497583259162E-3</c:v>
                </c:pt>
                <c:pt idx="1056">
                  <c:v>4.2144006370935403E-3</c:v>
                </c:pt>
                <c:pt idx="1057">
                  <c:v>4.2906921868653648E-3</c:v>
                </c:pt>
                <c:pt idx="1058">
                  <c:v>4.3681370284820572E-3</c:v>
                </c:pt>
                <c:pt idx="1059">
                  <c:v>4.4467478288807046E-3</c:v>
                </c:pt>
                <c:pt idx="1060">
                  <c:v>4.5265372992611139E-3</c:v>
                </c:pt>
                <c:pt idx="1061">
                  <c:v>4.6075181932073092E-3</c:v>
                </c:pt>
                <c:pt idx="1062">
                  <c:v>4.6897033047642823E-3</c:v>
                </c:pt>
                <c:pt idx="1063">
                  <c:v>4.7731054664695016E-3</c:v>
                </c:pt>
                <c:pt idx="1064">
                  <c:v>4.8577375473392113E-3</c:v>
                </c:pt>
                <c:pt idx="1065">
                  <c:v>4.9436124508092615E-3</c:v>
                </c:pt>
                <c:pt idx="1066">
                  <c:v>5.0307431126302956E-3</c:v>
                </c:pt>
                <c:pt idx="1067">
                  <c:v>5.1191424987171788E-3</c:v>
                </c:pt>
                <c:pt idx="1068">
                  <c:v>5.2088236029525729E-3</c:v>
                </c:pt>
                <c:pt idx="1069">
                  <c:v>5.2997994449444389E-3</c:v>
                </c:pt>
                <c:pt idx="1070">
                  <c:v>5.3920830677374717E-3</c:v>
                </c:pt>
                <c:pt idx="1071">
                  <c:v>5.4856875354783842E-3</c:v>
                </c:pt>
                <c:pt idx="1072">
                  <c:v>5.5806259310347698E-3</c:v>
                </c:pt>
                <c:pt idx="1073">
                  <c:v>5.676911353567857E-3</c:v>
                </c:pt>
                <c:pt idx="1074">
                  <c:v>5.7745569160587273E-3</c:v>
                </c:pt>
                <c:pt idx="1075">
                  <c:v>5.8735757427882491E-3</c:v>
                </c:pt>
                <c:pt idx="1076">
                  <c:v>5.973980966770649E-3</c:v>
                </c:pt>
                <c:pt idx="1077">
                  <c:v>6.0757857271405763E-3</c:v>
                </c:pt>
                <c:pt idx="1078">
                  <c:v>6.1790031664939911E-3</c:v>
                </c:pt>
                <c:pt idx="1079">
                  <c:v>6.2836464281826676E-3</c:v>
                </c:pt>
                <c:pt idx="1080">
                  <c:v>6.3897286535624541E-3</c:v>
                </c:pt>
                <c:pt idx="1081">
                  <c:v>6.4972629791954194E-3</c:v>
                </c:pt>
                <c:pt idx="1082">
                  <c:v>6.6062625340060034E-3</c:v>
                </c:pt>
                <c:pt idx="1083">
                  <c:v>6.7167404363910601E-3</c:v>
                </c:pt>
                <c:pt idx="1084">
                  <c:v>6.8287097912843511E-3</c:v>
                </c:pt>
                <c:pt idx="1085">
                  <c:v>6.9421836871752319E-3</c:v>
                </c:pt>
                <c:pt idx="1086">
                  <c:v>7.0571751930819243E-3</c:v>
                </c:pt>
                <c:pt idx="1087">
                  <c:v>7.1736973554796428E-3</c:v>
                </c:pt>
                <c:pt idx="1088">
                  <c:v>7.2917631951834828E-3</c:v>
                </c:pt>
                <c:pt idx="1089">
                  <c:v>7.4113857041866625E-3</c:v>
                </c:pt>
                <c:pt idx="1090">
                  <c:v>7.5325778424542144E-3</c:v>
                </c:pt>
                <c:pt idx="1091">
                  <c:v>7.6553525346722846E-3</c:v>
                </c:pt>
                <c:pt idx="1092">
                  <c:v>7.7797226669536262E-3</c:v>
                </c:pt>
                <c:pt idx="1093">
                  <c:v>7.9057010834993544E-3</c:v>
                </c:pt>
                <c:pt idx="1094">
                  <c:v>8.0333005832173478E-3</c:v>
                </c:pt>
                <c:pt idx="1095">
                  <c:v>8.1625339162978879E-3</c:v>
                </c:pt>
                <c:pt idx="1096">
                  <c:v>8.2934137807465259E-3</c:v>
                </c:pt>
                <c:pt idx="1097">
                  <c:v>8.4259528188749318E-3</c:v>
                </c:pt>
                <c:pt idx="1098">
                  <c:v>8.5601636137500516E-3</c:v>
                </c:pt>
                <c:pt idx="1099">
                  <c:v>8.6960586856017989E-3</c:v>
                </c:pt>
                <c:pt idx="1100">
                  <c:v>8.8336504881901829E-3</c:v>
                </c:pt>
                <c:pt idx="1101">
                  <c:v>8.9729514051320129E-3</c:v>
                </c:pt>
                <c:pt idx="1102">
                  <c:v>9.1139737461877826E-3</c:v>
                </c:pt>
                <c:pt idx="1103">
                  <c:v>9.2567297435094346E-3</c:v>
                </c:pt>
                <c:pt idx="1104">
                  <c:v>9.4012315478493487E-3</c:v>
                </c:pt>
                <c:pt idx="1105">
                  <c:v>9.5474912247312145E-3</c:v>
                </c:pt>
                <c:pt idx="1106">
                  <c:v>9.695520750583584E-3</c:v>
                </c:pt>
                <c:pt idx="1107">
                  <c:v>9.8453320088363709E-3</c:v>
                </c:pt>
                <c:pt idx="1108">
                  <c:v>9.9969367859813023E-3</c:v>
                </c:pt>
                <c:pt idx="1109">
                  <c:v>1.0150346767596855E-2</c:v>
                </c:pt>
                <c:pt idx="1110">
                  <c:v>1.0305573534338286E-2</c:v>
                </c:pt>
                <c:pt idx="1111">
                  <c:v>1.0462628557893679E-2</c:v>
                </c:pt>
                <c:pt idx="1112">
                  <c:v>1.0621523196906697E-2</c:v>
                </c:pt>
                <c:pt idx="1113">
                  <c:v>1.0782268692866628E-2</c:v>
                </c:pt>
                <c:pt idx="1114">
                  <c:v>1.0944876165966934E-2</c:v>
                </c:pt>
                <c:pt idx="1115">
                  <c:v>1.1109356610932618E-2</c:v>
                </c:pt>
                <c:pt idx="1116">
                  <c:v>1.1275720892817623E-2</c:v>
                </c:pt>
                <c:pt idx="1117">
                  <c:v>1.1443979742773147E-2</c:v>
                </c:pt>
                <c:pt idx="1118">
                  <c:v>1.1614143753787387E-2</c:v>
                </c:pt>
                <c:pt idx="1119">
                  <c:v>1.1786223376398151E-2</c:v>
                </c:pt>
                <c:pt idx="1120">
                  <c:v>1.1960228914378831E-2</c:v>
                </c:pt>
                <c:pt idx="1121">
                  <c:v>1.2136170520398979E-2</c:v>
                </c:pt>
                <c:pt idx="1122">
                  <c:v>1.2314058191660386E-2</c:v>
                </c:pt>
                <c:pt idx="1123">
                  <c:v>1.2493901765509689E-2</c:v>
                </c:pt>
                <c:pt idx="1124">
                  <c:v>1.2675710915028436E-2</c:v>
                </c:pt>
                <c:pt idx="1125">
                  <c:v>1.2859495144601978E-2</c:v>
                </c:pt>
                <c:pt idx="1126">
                  <c:v>1.3045263785467835E-2</c:v>
                </c:pt>
                <c:pt idx="1127">
                  <c:v>1.3233025991244991E-2</c:v>
                </c:pt>
                <c:pt idx="1128">
                  <c:v>1.3422790733445164E-2</c:v>
                </c:pt>
                <c:pt idx="1129">
                  <c:v>1.3614566796967055E-2</c:v>
                </c:pt>
                <c:pt idx="1130">
                  <c:v>1.3808362775574951E-2</c:v>
                </c:pt>
                <c:pt idx="1131">
                  <c:v>1.4004187067362818E-2</c:v>
                </c:pt>
                <c:pt idx="1132">
                  <c:v>1.4202047870204989E-2</c:v>
                </c:pt>
                <c:pt idx="1133">
                  <c:v>1.4401953177194844E-2</c:v>
                </c:pt>
                <c:pt idx="1134">
                  <c:v>1.4603910772072773E-2</c:v>
                </c:pt>
                <c:pt idx="1135">
                  <c:v>1.4807928224644409E-2</c:v>
                </c:pt>
                <c:pt idx="1136">
                  <c:v>1.5014012886190937E-2</c:v>
                </c:pt>
                <c:pt idx="1137">
                  <c:v>1.5222171884872291E-2</c:v>
                </c:pt>
                <c:pt idx="1138">
                  <c:v>1.5432412121124972E-2</c:v>
                </c:pt>
                <c:pt idx="1139">
                  <c:v>1.5644740263055699E-2</c:v>
                </c:pt>
                <c:pt idx="1140">
                  <c:v>1.5859162741832269E-2</c:v>
                </c:pt>
                <c:pt idx="1141">
                  <c:v>1.6075685747073083E-2</c:v>
                </c:pt>
                <c:pt idx="1142">
                  <c:v>1.6294315222236858E-2</c:v>
                </c:pt>
                <c:pt idx="1143">
                  <c:v>1.6515056860013744E-2</c:v>
                </c:pt>
                <c:pt idx="1144">
                  <c:v>1.673791609771956E-2</c:v>
                </c:pt>
                <c:pt idx="1145">
                  <c:v>1.6962898112694573E-2</c:v>
                </c:pt>
                <c:pt idx="1146">
                  <c:v>1.7190007817708165E-2</c:v>
                </c:pt>
                <c:pt idx="1147">
                  <c:v>1.7419249856371215E-2</c:v>
                </c:pt>
                <c:pt idx="1148">
                  <c:v>1.7650628598557462E-2</c:v>
                </c:pt>
                <c:pt idx="1149">
                  <c:v>1.7884148135835609E-2</c:v>
                </c:pt>
                <c:pt idx="1150">
                  <c:v>1.8119812276913602E-2</c:v>
                </c:pt>
                <c:pt idx="1151">
                  <c:v>1.8357624543096824E-2</c:v>
                </c:pt>
                <c:pt idx="1152">
                  <c:v>1.8597588163761676E-2</c:v>
                </c:pt>
                <c:pt idx="1153">
                  <c:v>1.8839706071846308E-2</c:v>
                </c:pt>
                <c:pt idx="1154">
                  <c:v>1.9083980899360017E-2</c:v>
                </c:pt>
                <c:pt idx="1155">
                  <c:v>1.9330414972913049E-2</c:v>
                </c:pt>
                <c:pt idx="1156">
                  <c:v>1.9579010309268542E-2</c:v>
                </c:pt>
                <c:pt idx="1157">
                  <c:v>1.9829768610918043E-2</c:v>
                </c:pt>
                <c:pt idx="1158">
                  <c:v>2.0082691261682672E-2</c:v>
                </c:pt>
                <c:pt idx="1159">
                  <c:v>2.0337779322341289E-2</c:v>
                </c:pt>
                <c:pt idx="1160">
                  <c:v>2.0595033526287627E-2</c:v>
                </c:pt>
                <c:pt idx="1161">
                  <c:v>2.085445427521802E-2</c:v>
                </c:pt>
                <c:pt idx="1162">
                  <c:v>2.1116041634851503E-2</c:v>
                </c:pt>
                <c:pt idx="1163">
                  <c:v>2.1379795330683977E-2</c:v>
                </c:pt>
                <c:pt idx="1164">
                  <c:v>2.1645714743778438E-2</c:v>
                </c:pt>
                <c:pt idx="1165">
                  <c:v>2.1913798906592601E-2</c:v>
                </c:pt>
                <c:pt idx="1166">
                  <c:v>2.2184046498846217E-2</c:v>
                </c:pt>
                <c:pt idx="1167">
                  <c:v>2.2456455843429514E-2</c:v>
                </c:pt>
                <c:pt idx="1168">
                  <c:v>2.2731024902354662E-2</c:v>
                </c:pt>
                <c:pt idx="1169">
                  <c:v>2.3007751272752137E-2</c:v>
                </c:pt>
                <c:pt idx="1170">
                  <c:v>2.3286632182913752E-2</c:v>
                </c:pt>
                <c:pt idx="1171">
                  <c:v>2.3567664488384005E-2</c:v>
                </c:pt>
                <c:pt idx="1172">
                  <c:v>2.3850844668102049E-2</c:v>
                </c:pt>
                <c:pt idx="1173">
                  <c:v>2.4136168820595317E-2</c:v>
                </c:pt>
                <c:pt idx="1174">
                  <c:v>2.4423632660227502E-2</c:v>
                </c:pt>
                <c:pt idx="1175">
                  <c:v>2.471323151350209E-2</c:v>
                </c:pt>
                <c:pt idx="1176">
                  <c:v>2.5004960315423565E-2</c:v>
                </c:pt>
                <c:pt idx="1177">
                  <c:v>2.5298813605917979E-2</c:v>
                </c:pt>
                <c:pt idx="1178">
                  <c:v>2.5594785526314869E-2</c:v>
                </c:pt>
                <c:pt idx="1179">
                  <c:v>2.5892869815892262E-2</c:v>
                </c:pt>
                <c:pt idx="1180">
                  <c:v>2.6193059808486525E-2</c:v>
                </c:pt>
                <c:pt idx="1181">
                  <c:v>2.6495348429169015E-2</c:v>
                </c:pt>
                <c:pt idx="1182">
                  <c:v>2.6799728190991273E-2</c:v>
                </c:pt>
                <c:pt idx="1183">
                  <c:v>2.7106191191800768E-2</c:v>
                </c:pt>
                <c:pt idx="1184">
                  <c:v>2.7414729111128518E-2</c:v>
                </c:pt>
                <c:pt idx="1185">
                  <c:v>2.7725333207151058E-2</c:v>
                </c:pt>
                <c:pt idx="1186">
                  <c:v>2.8037994313728012E-2</c:v>
                </c:pt>
                <c:pt idx="1187">
                  <c:v>2.8352702837517441E-2</c:v>
                </c:pt>
                <c:pt idx="1188">
                  <c:v>2.8669448755170364E-2</c:v>
                </c:pt>
                <c:pt idx="1189">
                  <c:v>2.8988221610606709E-2</c:v>
                </c:pt>
                <c:pt idx="1190">
                  <c:v>2.930901051237398E-2</c:v>
                </c:pt>
                <c:pt idx="1191">
                  <c:v>2.9631804131090907E-2</c:v>
                </c:pt>
                <c:pt idx="1192">
                  <c:v>2.9956590696977141E-2</c:v>
                </c:pt>
                <c:pt idx="1193">
                  <c:v>3.0283357997471512E-2</c:v>
                </c:pt>
                <c:pt idx="1194">
                  <c:v>3.0612093374940079E-2</c:v>
                </c:pt>
                <c:pt idx="1195">
                  <c:v>3.0942783724475582E-2</c:v>
                </c:pt>
                <c:pt idx="1196">
                  <c:v>3.1275415491790477E-2</c:v>
                </c:pt>
                <c:pt idx="1197">
                  <c:v>3.1609974671204792E-2</c:v>
                </c:pt>
                <c:pt idx="1198">
                  <c:v>3.1946446803730717E-2</c:v>
                </c:pt>
                <c:pt idx="1199">
                  <c:v>3.2284816975255315E-2</c:v>
                </c:pt>
                <c:pt idx="1200">
                  <c:v>3.2625069814823236E-2</c:v>
                </c:pt>
                <c:pt idx="1201">
                  <c:v>3.2967189493020937E-2</c:v>
                </c:pt>
                <c:pt idx="1202">
                  <c:v>3.331115972046407E-2</c:v>
                </c:pt>
                <c:pt idx="1203">
                  <c:v>3.3656963746389192E-2</c:v>
                </c:pt>
                <c:pt idx="1204">
                  <c:v>3.4004584357352069E-2</c:v>
                </c:pt>
                <c:pt idx="1205">
                  <c:v>3.4354003876033483E-2</c:v>
                </c:pt>
                <c:pt idx="1206">
                  <c:v>3.470520416015415E-2</c:v>
                </c:pt>
                <c:pt idx="1207">
                  <c:v>3.5058166601500525E-2</c:v>
                </c:pt>
                <c:pt idx="1208">
                  <c:v>3.5412872125062493E-2</c:v>
                </c:pt>
                <c:pt idx="1209">
                  <c:v>3.5769301188284849E-2</c:v>
                </c:pt>
                <c:pt idx="1210">
                  <c:v>3.6127433780433399E-2</c:v>
                </c:pt>
                <c:pt idx="1211">
                  <c:v>3.6487249422077546E-2</c:v>
                </c:pt>
                <c:pt idx="1212">
                  <c:v>3.6848727164690398E-2</c:v>
                </c:pt>
                <c:pt idx="1213">
                  <c:v>3.7211845590367949E-2</c:v>
                </c:pt>
                <c:pt idx="1214">
                  <c:v>3.7576582811668133E-2</c:v>
                </c:pt>
                <c:pt idx="1215">
                  <c:v>3.7942916471571601E-2</c:v>
                </c:pt>
                <c:pt idx="1216">
                  <c:v>3.8310823743565037E-2</c:v>
                </c:pt>
                <c:pt idx="1217">
                  <c:v>3.8680281331848275E-2</c:v>
                </c:pt>
                <c:pt idx="1218">
                  <c:v>3.9051265471666395E-2</c:v>
                </c:pt>
                <c:pt idx="1219">
                  <c:v>3.9423751929767777E-2</c:v>
                </c:pt>
                <c:pt idx="1220">
                  <c:v>3.9797716004989554E-2</c:v>
                </c:pt>
                <c:pt idx="1221">
                  <c:v>4.0173132528970916E-2</c:v>
                </c:pt>
                <c:pt idx="1222">
                  <c:v>4.0549975866995783E-2</c:v>
                </c:pt>
                <c:pt idx="1223">
                  <c:v>4.0928219918965537E-2</c:v>
                </c:pt>
                <c:pt idx="1224">
                  <c:v>4.1307838120502982E-2</c:v>
                </c:pt>
                <c:pt idx="1225">
                  <c:v>4.1688803444187773E-2</c:v>
                </c:pt>
                <c:pt idx="1226">
                  <c:v>4.2071088400925244E-2</c:v>
                </c:pt>
                <c:pt idx="1227">
                  <c:v>4.2454665041448222E-2</c:v>
                </c:pt>
                <c:pt idx="1228">
                  <c:v>4.2839504957953717E-2</c:v>
                </c:pt>
                <c:pt idx="1229">
                  <c:v>4.3225579285874227E-2</c:v>
                </c:pt>
                <c:pt idx="1230">
                  <c:v>4.3612858705784928E-2</c:v>
                </c:pt>
                <c:pt idx="1231">
                  <c:v>4.4001313445447429E-2</c:v>
                </c:pt>
                <c:pt idx="1232">
                  <c:v>4.4390913281990088E-2</c:v>
                </c:pt>
                <c:pt idx="1233">
                  <c:v>4.4781627544226099E-2</c:v>
                </c:pt>
                <c:pt idx="1234">
                  <c:v>4.5173425115109495E-2</c:v>
                </c:pt>
                <c:pt idx="1235">
                  <c:v>4.5566274434329597E-2</c:v>
                </c:pt>
                <c:pt idx="1236">
                  <c:v>4.5960143501044153E-2</c:v>
                </c:pt>
                <c:pt idx="1237">
                  <c:v>4.6354999876751943E-2</c:v>
                </c:pt>
                <c:pt idx="1238">
                  <c:v>4.6750810688304577E-2</c:v>
                </c:pt>
                <c:pt idx="1239">
                  <c:v>4.7147542631058401E-2</c:v>
                </c:pt>
                <c:pt idx="1240">
                  <c:v>4.754516197216601E-2</c:v>
                </c:pt>
                <c:pt idx="1241">
                  <c:v>4.7943634554008165E-2</c:v>
                </c:pt>
                <c:pt idx="1242">
                  <c:v>4.8342925797765786E-2</c:v>
                </c:pt>
                <c:pt idx="1243">
                  <c:v>4.8743000707132444E-2</c:v>
                </c:pt>
                <c:pt idx="1244">
                  <c:v>4.9143823872166863E-2</c:v>
                </c:pt>
                <c:pt idx="1245">
                  <c:v>4.9545359473285991E-2</c:v>
                </c:pt>
                <c:pt idx="1246">
                  <c:v>4.9947571285398153E-2</c:v>
                </c:pt>
                <c:pt idx="1247">
                  <c:v>5.0350422682176064E-2</c:v>
                </c:pt>
                <c:pt idx="1248">
                  <c:v>5.0753876640470007E-2</c:v>
                </c:pt>
                <c:pt idx="1249">
                  <c:v>5.115789574486021E-2</c:v>
                </c:pt>
                <c:pt idx="1250">
                  <c:v>5.1562442192348935E-2</c:v>
                </c:pt>
                <c:pt idx="1251">
                  <c:v>5.196747779719104E-2</c:v>
                </c:pt>
                <c:pt idx="1252">
                  <c:v>5.2372963995863372E-2</c:v>
                </c:pt>
                <c:pt idx="1253">
                  <c:v>5.2778861852172052E-2</c:v>
                </c:pt>
                <c:pt idx="1254">
                  <c:v>5.3185132062497413E-2</c:v>
                </c:pt>
                <c:pt idx="1255">
                  <c:v>5.3591734961175683E-2</c:v>
                </c:pt>
                <c:pt idx="1256">
                  <c:v>5.399863052601718E-2</c:v>
                </c:pt>
                <c:pt idx="1257">
                  <c:v>5.4405778383960109E-2</c:v>
                </c:pt>
                <c:pt idx="1258">
                  <c:v>5.4813137816859071E-2</c:v>
                </c:pt>
                <c:pt idx="1259">
                  <c:v>5.522066776740802E-2</c:v>
                </c:pt>
                <c:pt idx="1260">
                  <c:v>5.562832684519612E-2</c:v>
                </c:pt>
                <c:pt idx="1261">
                  <c:v>5.6036073332896272E-2</c:v>
                </c:pt>
                <c:pt idx="1262">
                  <c:v>5.6443865192584708E-2</c:v>
                </c:pt>
                <c:pt idx="1263">
                  <c:v>5.6851660072191286E-2</c:v>
                </c:pt>
                <c:pt idx="1264">
                  <c:v>5.7259415312078808E-2</c:v>
                </c:pt>
                <c:pt idx="1265">
                  <c:v>5.7667087951750851E-2</c:v>
                </c:pt>
                <c:pt idx="1266">
                  <c:v>5.8074634736686163E-2</c:v>
                </c:pt>
                <c:pt idx="1267">
                  <c:v>5.8482012125299243E-2</c:v>
                </c:pt>
                <c:pt idx="1268">
                  <c:v>5.8889176296025157E-2</c:v>
                </c:pt>
                <c:pt idx="1269">
                  <c:v>5.9296083154527661E-2</c:v>
                </c:pt>
                <c:pt idx="1270">
                  <c:v>5.9702688341028799E-2</c:v>
                </c:pt>
                <c:pt idx="1271">
                  <c:v>6.0108947237758989E-2</c:v>
                </c:pt>
                <c:pt idx="1272">
                  <c:v>6.0514814976526006E-2</c:v>
                </c:pt>
                <c:pt idx="1273">
                  <c:v>6.0920246446400782E-2</c:v>
                </c:pt>
                <c:pt idx="1274">
                  <c:v>6.1325196301519093E-2</c:v>
                </c:pt>
                <c:pt idx="1275">
                  <c:v>6.1729618968997139E-2</c:v>
                </c:pt>
                <c:pt idx="1276">
                  <c:v>6.2133468656959408E-2</c:v>
                </c:pt>
                <c:pt idx="1277">
                  <c:v>6.2536699362676612E-2</c:v>
                </c:pt>
                <c:pt idx="1278">
                  <c:v>6.2939264880812709E-2</c:v>
                </c:pt>
                <c:pt idx="1279">
                  <c:v>6.3341118811778271E-2</c:v>
                </c:pt>
                <c:pt idx="1280">
                  <c:v>6.3742214570188971E-2</c:v>
                </c:pt>
                <c:pt idx="1281">
                  <c:v>6.4142505393426627E-2</c:v>
                </c:pt>
                <c:pt idx="1282">
                  <c:v>6.4541944350301056E-2</c:v>
                </c:pt>
                <c:pt idx="1283">
                  <c:v>6.4940484349810992E-2</c:v>
                </c:pt>
                <c:pt idx="1284">
                  <c:v>6.5338078150000936E-2</c:v>
                </c:pt>
                <c:pt idx="1285">
                  <c:v>6.5734678366913116E-2</c:v>
                </c:pt>
                <c:pt idx="1286">
                  <c:v>6.613023748363106E-2</c:v>
                </c:pt>
                <c:pt idx="1287">
                  <c:v>6.6524707859413459E-2</c:v>
                </c:pt>
                <c:pt idx="1288">
                  <c:v>6.6918041738915288E-2</c:v>
                </c:pt>
                <c:pt idx="1289">
                  <c:v>6.7310191261494456E-2</c:v>
                </c:pt>
                <c:pt idx="1290">
                  <c:v>6.7701108470600929E-2</c:v>
                </c:pt>
                <c:pt idx="1291">
                  <c:v>6.8090745323246618E-2</c:v>
                </c:pt>
                <c:pt idx="1292">
                  <c:v>6.8479053699552608E-2</c:v>
                </c:pt>
                <c:pt idx="1293">
                  <c:v>6.8865985412372058E-2</c:v>
                </c:pt>
                <c:pt idx="1294">
                  <c:v>6.9251492216985816E-2</c:v>
                </c:pt>
                <c:pt idx="1295">
                  <c:v>6.9635525820867794E-2</c:v>
                </c:pt>
                <c:pt idx="1296">
                  <c:v>7.0018037893518154E-2</c:v>
                </c:pt>
                <c:pt idx="1297">
                  <c:v>7.0398980076360917E-2</c:v>
                </c:pt>
                <c:pt idx="1298">
                  <c:v>7.0778303992703809E-2</c:v>
                </c:pt>
                <c:pt idx="1299">
                  <c:v>7.1155961257757E-2</c:v>
                </c:pt>
                <c:pt idx="1300">
                  <c:v>7.1531903488708373E-2</c:v>
                </c:pt>
                <c:pt idx="1301">
                  <c:v>7.1906082314852279E-2</c:v>
                </c:pt>
                <c:pt idx="1302">
                  <c:v>7.227844938776895E-2</c:v>
                </c:pt>
                <c:pt idx="1303">
                  <c:v>7.26489563915515E-2</c:v>
                </c:pt>
                <c:pt idx="1304">
                  <c:v>7.3017555053077651E-2</c:v>
                </c:pt>
                <c:pt idx="1305">
                  <c:v>7.3384197152323305E-2</c:v>
                </c:pt>
                <c:pt idx="1306">
                  <c:v>7.374883453271483E-2</c:v>
                </c:pt>
                <c:pt idx="1307">
                  <c:v>7.4111419111516835E-2</c:v>
                </c:pt>
                <c:pt idx="1308">
                  <c:v>7.4471902890252684E-2</c:v>
                </c:pt>
                <c:pt idx="1309">
                  <c:v>7.4830237965154658E-2</c:v>
                </c:pt>
                <c:pt idx="1310">
                  <c:v>7.518637653763996E-2</c:v>
                </c:pt>
                <c:pt idx="1311">
                  <c:v>7.5540270924810485E-2</c:v>
                </c:pt>
                <c:pt idx="1312">
                  <c:v>7.5891873569972193E-2</c:v>
                </c:pt>
                <c:pt idx="1313">
                  <c:v>7.6241137053171593E-2</c:v>
                </c:pt>
                <c:pt idx="1314">
                  <c:v>7.6588014101745455E-2</c:v>
                </c:pt>
                <c:pt idx="1315">
                  <c:v>7.6932457600881299E-2</c:v>
                </c:pt>
                <c:pt idx="1316">
                  <c:v>7.7274420604184491E-2</c:v>
                </c:pt>
                <c:pt idx="1317">
                  <c:v>7.7613856344249568E-2</c:v>
                </c:pt>
                <c:pt idx="1318">
                  <c:v>7.7950718243231729E-2</c:v>
                </c:pt>
                <c:pt idx="1319">
                  <c:v>7.8284959923415651E-2</c:v>
                </c:pt>
                <c:pt idx="1320">
                  <c:v>7.8616535217778227E-2</c:v>
                </c:pt>
                <c:pt idx="1321">
                  <c:v>7.8945398180541637E-2</c:v>
                </c:pt>
                <c:pt idx="1322">
                  <c:v>7.9271503097713719E-2</c:v>
                </c:pt>
                <c:pt idx="1323">
                  <c:v>7.9594804497612151E-2</c:v>
                </c:pt>
                <c:pt idx="1324">
                  <c:v>7.9915257161369088E-2</c:v>
                </c:pt>
                <c:pt idx="1325">
                  <c:v>8.0232816133412696E-2</c:v>
                </c:pt>
                <c:pt idx="1326">
                  <c:v>8.0547436731922648E-2</c:v>
                </c:pt>
                <c:pt idx="1327">
                  <c:v>8.0859074559255645E-2</c:v>
                </c:pt>
                <c:pt idx="1328">
                  <c:v>8.1167685512338203E-2</c:v>
                </c:pt>
                <c:pt idx="1329">
                  <c:v>8.1473225793022533E-2</c:v>
                </c:pt>
                <c:pt idx="1330">
                  <c:v>8.1775651918402914E-2</c:v>
                </c:pt>
                <c:pt idx="1331">
                  <c:v>8.2074920731088741E-2</c:v>
                </c:pt>
                <c:pt idx="1332">
                  <c:v>8.2370989409430898E-2</c:v>
                </c:pt>
                <c:pt idx="1333">
                  <c:v>8.2663815477698091E-2</c:v>
                </c:pt>
                <c:pt idx="1334">
                  <c:v>8.2953356816199919E-2</c:v>
                </c:pt>
                <c:pt idx="1335">
                  <c:v>8.3239571671353207E-2</c:v>
                </c:pt>
                <c:pt idx="1336">
                  <c:v>8.3522418665688061E-2</c:v>
                </c:pt>
                <c:pt idx="1337">
                  <c:v>8.3801856807790703E-2</c:v>
                </c:pt>
                <c:pt idx="1338">
                  <c:v>8.4077845502179435E-2</c:v>
                </c:pt>
                <c:pt idx="1339">
                  <c:v>8.4350344559110474E-2</c:v>
                </c:pt>
                <c:pt idx="1340">
                  <c:v>8.4619314204310417E-2</c:v>
                </c:pt>
                <c:pt idx="1341">
                  <c:v>8.488471508863199E-2</c:v>
                </c:pt>
                <c:pt idx="1342">
                  <c:v>8.5146508297629847E-2</c:v>
                </c:pt>
                <c:pt idx="1343">
                  <c:v>8.5404655361053211E-2</c:v>
                </c:pt>
                <c:pt idx="1344">
                  <c:v>8.565911826225181E-2</c:v>
                </c:pt>
                <c:pt idx="1345">
                  <c:v>8.5909859447492382E-2</c:v>
                </c:pt>
                <c:pt idx="1346">
                  <c:v>8.6156841835182324E-2</c:v>
                </c:pt>
                <c:pt idx="1347">
                  <c:v>8.6400028824996977E-2</c:v>
                </c:pt>
                <c:pt idx="1348">
                  <c:v>8.6639384306908221E-2</c:v>
                </c:pt>
                <c:pt idx="1349">
                  <c:v>8.687487267011032E-2</c:v>
                </c:pt>
                <c:pt idx="1350">
                  <c:v>8.7106458811840745E-2</c:v>
                </c:pt>
                <c:pt idx="1351">
                  <c:v>8.7334108146092326E-2</c:v>
                </c:pt>
                <c:pt idx="1352">
                  <c:v>8.7557786612214097E-2</c:v>
                </c:pt>
                <c:pt idx="1353">
                  <c:v>8.777746068339759E-2</c:v>
                </c:pt>
                <c:pt idx="1354">
                  <c:v>8.7993097375045876E-2</c:v>
                </c:pt>
                <c:pt idx="1355">
                  <c:v>8.8204664253022091E-2</c:v>
                </c:pt>
                <c:pt idx="1356">
                  <c:v>8.8412129441774845E-2</c:v>
                </c:pt>
                <c:pt idx="1357">
                  <c:v>8.8615461632337661E-2</c:v>
                </c:pt>
                <c:pt idx="1358">
                  <c:v>8.8814630090199381E-2</c:v>
                </c:pt>
                <c:pt idx="1359">
                  <c:v>8.9009604663042974E-2</c:v>
                </c:pt>
                <c:pt idx="1360">
                  <c:v>8.920035578835013E-2</c:v>
                </c:pt>
                <c:pt idx="1361">
                  <c:v>8.9386854500868654E-2</c:v>
                </c:pt>
                <c:pt idx="1362">
                  <c:v>8.9569072439940139E-2</c:v>
                </c:pt>
                <c:pt idx="1363">
                  <c:v>8.9746981856685559E-2</c:v>
                </c:pt>
                <c:pt idx="1364">
                  <c:v>8.9920555621045825E-2</c:v>
                </c:pt>
                <c:pt idx="1365">
                  <c:v>9.0089767228675122E-2</c:v>
                </c:pt>
                <c:pt idx="1366">
                  <c:v>9.0254590807684484E-2</c:v>
                </c:pt>
                <c:pt idx="1367">
                  <c:v>9.0415001125233083E-2</c:v>
                </c:pt>
                <c:pt idx="1368">
                  <c:v>9.0570973593965071E-2</c:v>
                </c:pt>
                <c:pt idx="1369">
                  <c:v>9.0722484278289689E-2</c:v>
                </c:pt>
                <c:pt idx="1370">
                  <c:v>9.0869509900501938E-2</c:v>
                </c:pt>
                <c:pt idx="1371">
                  <c:v>9.1012027846742477E-2</c:v>
                </c:pt>
                <c:pt idx="1372">
                  <c:v>9.1150016172793738E-2</c:v>
                </c:pt>
                <c:pt idx="1373">
                  <c:v>9.1283453609710755E-2</c:v>
                </c:pt>
                <c:pt idx="1374">
                  <c:v>9.1412319569284375E-2</c:v>
                </c:pt>
                <c:pt idx="1375">
                  <c:v>9.1536594149335099E-2</c:v>
                </c:pt>
                <c:pt idx="1376">
                  <c:v>9.1656258138835531E-2</c:v>
                </c:pt>
                <c:pt idx="1377">
                  <c:v>9.177129302285951E-2</c:v>
                </c:pt>
                <c:pt idx="1378">
                  <c:v>9.1881680987356371E-2</c:v>
                </c:pt>
                <c:pt idx="1379">
                  <c:v>9.1987404923748323E-2</c:v>
                </c:pt>
                <c:pt idx="1380">
                  <c:v>9.2088448433349707E-2</c:v>
                </c:pt>
                <c:pt idx="1381">
                  <c:v>9.2184795831605937E-2</c:v>
                </c:pt>
                <c:pt idx="1382">
                  <c:v>9.227643215215113E-2</c:v>
                </c:pt>
                <c:pt idx="1383">
                  <c:v>9.2363343150682703E-2</c:v>
                </c:pt>
                <c:pt idx="1384">
                  <c:v>9.2445515308651527E-2</c:v>
                </c:pt>
                <c:pt idx="1385">
                  <c:v>9.2522935836766462E-2</c:v>
                </c:pt>
                <c:pt idx="1386">
                  <c:v>9.2595592678311731E-2</c:v>
                </c:pt>
                <c:pt idx="1387">
                  <c:v>9.2663474512276203E-2</c:v>
                </c:pt>
                <c:pt idx="1388">
                  <c:v>9.2726570756293314E-2</c:v>
                </c:pt>
                <c:pt idx="1389">
                  <c:v>9.2784871569390484E-2</c:v>
                </c:pt>
                <c:pt idx="1390">
                  <c:v>9.283836785454723E-2</c:v>
                </c:pt>
                <c:pt idx="1391">
                  <c:v>9.2887051261060907E-2</c:v>
                </c:pt>
                <c:pt idx="1392">
                  <c:v>9.2930914186719199E-2</c:v>
                </c:pt>
                <c:pt idx="1393">
                  <c:v>9.2969949779778654E-2</c:v>
                </c:pt>
                <c:pt idx="1394">
                  <c:v>9.3004151940748417E-2</c:v>
                </c:pt>
                <c:pt idx="1395">
                  <c:v>9.303351532397873E-2</c:v>
                </c:pt>
                <c:pt idx="1396">
                  <c:v>9.3058035339053394E-2</c:v>
                </c:pt>
                <c:pt idx="1397">
                  <c:v>9.3077708151985808E-2</c:v>
                </c:pt>
                <c:pt idx="1398">
                  <c:v>9.3092530686218006E-2</c:v>
                </c:pt>
                <c:pt idx="1399">
                  <c:v>9.3102500623422638E-2</c:v>
                </c:pt>
                <c:pt idx="1400">
                  <c:v>9.3107616404107266E-2</c:v>
                </c:pt>
                <c:pt idx="1401">
                  <c:v>9.3107877228020858E-2</c:v>
                </c:pt>
                <c:pt idx="1402">
                  <c:v>9.3103283054362496E-2</c:v>
                </c:pt>
                <c:pt idx="1403">
                  <c:v>9.3093834601791964E-2</c:v>
                </c:pt>
                <c:pt idx="1404">
                  <c:v>9.3079533348242371E-2</c:v>
                </c:pt>
                <c:pt idx="1405">
                  <c:v>9.3060381530534975E-2</c:v>
                </c:pt>
                <c:pt idx="1406">
                  <c:v>9.3036382143795934E-2</c:v>
                </c:pt>
                <c:pt idx="1407">
                  <c:v>9.3007538940675746E-2</c:v>
                </c:pt>
                <c:pt idx="1408">
                  <c:v>9.2973856430371288E-2</c:v>
                </c:pt>
                <c:pt idx="1409">
                  <c:v>9.2935339877450951E-2</c:v>
                </c:pt>
                <c:pt idx="1410">
                  <c:v>9.2891995300483185E-2</c:v>
                </c:pt>
                <c:pt idx="1411">
                  <c:v>9.2843829470469097E-2</c:v>
                </c:pt>
                <c:pt idx="1412">
                  <c:v>9.2790849909079695E-2</c:v>
                </c:pt>
                <c:pt idx="1413">
                  <c:v>9.2733064886698219E-2</c:v>
                </c:pt>
                <c:pt idx="1414">
                  <c:v>9.2670483420268387E-2</c:v>
                </c:pt>
                <c:pt idx="1415">
                  <c:v>9.2603115270949471E-2</c:v>
                </c:pt>
                <c:pt idx="1416">
                  <c:v>9.2530970941578763E-2</c:v>
                </c:pt>
                <c:pt idx="1417">
                  <c:v>9.2454061673942697E-2</c:v>
                </c:pt>
                <c:pt idx="1418">
                  <c:v>9.2372399445857303E-2</c:v>
                </c:pt>
                <c:pt idx="1419">
                  <c:v>9.2285996968059253E-2</c:v>
                </c:pt>
                <c:pt idx="1420">
                  <c:v>9.2194867680908649E-2</c:v>
                </c:pt>
                <c:pt idx="1421">
                  <c:v>9.2099025750904451E-2</c:v>
                </c:pt>
                <c:pt idx="1422">
                  <c:v>9.1998486067014301E-2</c:v>
                </c:pt>
                <c:pt idx="1423">
                  <c:v>9.1893264236819663E-2</c:v>
                </c:pt>
                <c:pt idx="1424">
                  <c:v>9.1783376582477774E-2</c:v>
                </c:pt>
                <c:pt idx="1425">
                  <c:v>9.1668840136502019E-2</c:v>
                </c:pt>
                <c:pt idx="1426">
                  <c:v>9.1549672637362162E-2</c:v>
                </c:pt>
                <c:pt idx="1427">
                  <c:v>9.1425892524905877E-2</c:v>
                </c:pt>
                <c:pt idx="1428">
                  <c:v>9.1297518935603464E-2</c:v>
                </c:pt>
                <c:pt idx="1429">
                  <c:v>9.116457169761745E-2</c:v>
                </c:pt>
                <c:pt idx="1430">
                  <c:v>9.1027071325698553E-2</c:v>
                </c:pt>
                <c:pt idx="1431">
                  <c:v>9.0885039015910316E-2</c:v>
                </c:pt>
                <c:pt idx="1432">
                  <c:v>9.0738496640183935E-2</c:v>
                </c:pt>
                <c:pt idx="1433">
                  <c:v>9.058746674070535E-2</c:v>
                </c:pt>
                <c:pt idx="1434">
                  <c:v>9.0431972524136664E-2</c:v>
                </c:pt>
                <c:pt idx="1435">
                  <c:v>9.0272037855674087E-2</c:v>
                </c:pt>
                <c:pt idx="1436">
                  <c:v>9.0107687252944033E-2</c:v>
                </c:pt>
                <c:pt idx="1437">
                  <c:v>8.9938945879740231E-2</c:v>
                </c:pt>
                <c:pt idx="1438">
                  <c:v>8.9765839539603681E-2</c:v>
                </c:pt>
                <c:pt idx="1439">
                  <c:v>8.9588394669247659E-2</c:v>
                </c:pt>
                <c:pt idx="1440">
                  <c:v>8.940663833183056E-2</c:v>
                </c:pt>
                <c:pt idx="1441">
                  <c:v>8.9220598210078439E-2</c:v>
                </c:pt>
                <c:pt idx="1442">
                  <c:v>8.9030302599260161E-2</c:v>
                </c:pt>
                <c:pt idx="1443">
                  <c:v>8.8835780400017342E-2</c:v>
                </c:pt>
                <c:pt idx="1444">
                  <c:v>8.8637061111051768E-2</c:v>
                </c:pt>
                <c:pt idx="1445">
                  <c:v>8.8434174821672748E-2</c:v>
                </c:pt>
                <c:pt idx="1446">
                  <c:v>8.822715220420746E-2</c:v>
                </c:pt>
                <c:pt idx="1447">
                  <c:v>8.8016024506276144E-2</c:v>
                </c:pt>
                <c:pt idx="1448">
                  <c:v>8.7800823542935794E-2</c:v>
                </c:pt>
                <c:pt idx="1449">
                  <c:v>8.7581581688694496E-2</c:v>
                </c:pt>
                <c:pt idx="1450">
                  <c:v>8.7358331869399355E-2</c:v>
                </c:pt>
                <c:pt idx="1451">
                  <c:v>8.7131107554001122E-2</c:v>
                </c:pt>
                <c:pt idx="1452">
                  <c:v>8.6899942746197889E-2</c:v>
                </c:pt>
                <c:pt idx="1453">
                  <c:v>8.6664871975961233E-2</c:v>
                </c:pt>
                <c:pt idx="1454">
                  <c:v>8.6425930290947722E-2</c:v>
                </c:pt>
                <c:pt idx="1455">
                  <c:v>8.6183153247798322E-2</c:v>
                </c:pt>
                <c:pt idx="1456">
                  <c:v>8.5936576903329329E-2</c:v>
                </c:pt>
                <c:pt idx="1457">
                  <c:v>8.5686237805617446E-2</c:v>
                </c:pt>
                <c:pt idx="1458">
                  <c:v>8.5432172984982291E-2</c:v>
                </c:pt>
                <c:pt idx="1459">
                  <c:v>8.5174419944869448E-2</c:v>
                </c:pt>
                <c:pt idx="1460">
                  <c:v>8.4913016652636952E-2</c:v>
                </c:pt>
                <c:pt idx="1461">
                  <c:v>8.4648001530248818E-2</c:v>
                </c:pt>
                <c:pt idx="1462">
                  <c:v>8.4379413444878371E-2</c:v>
                </c:pt>
                <c:pt idx="1463">
                  <c:v>8.4107291699424838E-2</c:v>
                </c:pt>
                <c:pt idx="1464">
                  <c:v>8.3831676022946264E-2</c:v>
                </c:pt>
                <c:pt idx="1465">
                  <c:v>8.3552606561012419E-2</c:v>
                </c:pt>
                <c:pt idx="1466">
                  <c:v>8.3270123865980067E-2</c:v>
                </c:pt>
                <c:pt idx="1467">
                  <c:v>8.2984268887195137E-2</c:v>
                </c:pt>
                <c:pt idx="1468">
                  <c:v>8.2695082961124058E-2</c:v>
                </c:pt>
                <c:pt idx="1469">
                  <c:v>8.2402607801417851E-2</c:v>
                </c:pt>
                <c:pt idx="1470">
                  <c:v>8.2106885488912887E-2</c:v>
                </c:pt>
                <c:pt idx="1471">
                  <c:v>8.1807958461570685E-2</c:v>
                </c:pt>
                <c:pt idx="1472">
                  <c:v>8.1505869504360853E-2</c:v>
                </c:pt>
                <c:pt idx="1473">
                  <c:v>8.1200661739090463E-2</c:v>
                </c:pt>
                <c:pt idx="1474">
                  <c:v>8.0892378614182581E-2</c:v>
                </c:pt>
                <c:pt idx="1475">
                  <c:v>8.058106389440825E-2</c:v>
                </c:pt>
                <c:pt idx="1476">
                  <c:v>8.0266761650574781E-2</c:v>
                </c:pt>
                <c:pt idx="1477">
                  <c:v>7.9949516249173611E-2</c:v>
                </c:pt>
                <c:pt idx="1478">
                  <c:v>7.9629372341991508E-2</c:v>
                </c:pt>
                <c:pt idx="1479">
                  <c:v>7.930637485568845E-2</c:v>
                </c:pt>
                <c:pt idx="1480">
                  <c:v>7.8980568981345034E-2</c:v>
                </c:pt>
                <c:pt idx="1481">
                  <c:v>7.8652000163983771E-2</c:v>
                </c:pt>
                <c:pt idx="1482">
                  <c:v>7.8320714092066562E-2</c:v>
                </c:pt>
                <c:pt idx="1483">
                  <c:v>7.7986756686972525E-2</c:v>
                </c:pt>
                <c:pt idx="1484">
                  <c:v>7.7650174092459404E-2</c:v>
                </c:pt>
                <c:pt idx="1485">
                  <c:v>7.7311012664111348E-2</c:v>
                </c:pt>
                <c:pt idx="1486">
                  <c:v>7.6969318958777289E-2</c:v>
                </c:pt>
                <c:pt idx="1487">
                  <c:v>7.6625139724002658E-2</c:v>
                </c:pt>
                <c:pt idx="1488">
                  <c:v>7.6278521887457748E-2</c:v>
                </c:pt>
                <c:pt idx="1489">
                  <c:v>7.5929512546366512E-2</c:v>
                </c:pt>
                <c:pt idx="1490">
                  <c:v>7.5578158956938729E-2</c:v>
                </c:pt>
                <c:pt idx="1491">
                  <c:v>7.5224508523808603E-2</c:v>
                </c:pt>
                <c:pt idx="1492">
                  <c:v>7.4868608789483856E-2</c:v>
                </c:pt>
                <c:pt idx="1493">
                  <c:v>7.4510507423807548E-2</c:v>
                </c:pt>
                <c:pt idx="1494">
                  <c:v>7.4150252213436685E-2</c:v>
                </c:pt>
                <c:pt idx="1495">
                  <c:v>7.378789105134051E-2</c:v>
                </c:pt>
                <c:pt idx="1496">
                  <c:v>7.3423471926321301E-2</c:v>
                </c:pt>
                <c:pt idx="1497">
                  <c:v>7.3057042912561584E-2</c:v>
                </c:pt>
                <c:pt idx="1498">
                  <c:v>7.2688652159200409E-2</c:v>
                </c:pt>
                <c:pt idx="1499">
                  <c:v>7.2318347879941527E-2</c:v>
                </c:pt>
                <c:pt idx="1500">
                  <c:v>7.1946178342697328E-2</c:v>
                </c:pt>
                <c:pt idx="1501">
                  <c:v>7.1572191859271231E-2</c:v>
                </c:pt>
                <c:pt idx="1502">
                  <c:v>7.1196436775080807E-2</c:v>
                </c:pt>
                <c:pt idx="1503">
                  <c:v>7.0818961458926299E-2</c:v>
                </c:pt>
                <c:pt idx="1504">
                  <c:v>7.0439814292805575E-2</c:v>
                </c:pt>
                <c:pt idx="1505">
                  <c:v>7.0059043661780007E-2</c:v>
                </c:pt>
                <c:pt idx="1506">
                  <c:v>6.9676697943893473E-2</c:v>
                </c:pt>
                <c:pt idx="1507">
                  <c:v>6.929282550014694E-2</c:v>
                </c:pt>
                <c:pt idx="1508">
                  <c:v>6.890747466453255E-2</c:v>
                </c:pt>
                <c:pt idx="1509">
                  <c:v>6.8520693734129126E-2</c:v>
                </c:pt>
                <c:pt idx="1510">
                  <c:v>6.813253095926175E-2</c:v>
                </c:pt>
                <c:pt idx="1511">
                  <c:v>6.7743034533729263E-2</c:v>
                </c:pt>
                <c:pt idx="1512">
                  <c:v>6.7352252585100691E-2</c:v>
                </c:pt>
                <c:pt idx="1513">
                  <c:v>6.696023316508469E-2</c:v>
                </c:pt>
                <c:pt idx="1514">
                  <c:v>6.6567024239974001E-2</c:v>
                </c:pt>
                <c:pt idx="1515">
                  <c:v>6.6172673681166971E-2</c:v>
                </c:pt>
                <c:pt idx="1516">
                  <c:v>6.5777229255769745E-2</c:v>
                </c:pt>
                <c:pt idx="1517">
                  <c:v>6.5380738617280831E-2</c:v>
                </c:pt>
                <c:pt idx="1518">
                  <c:v>6.498324929636029E-2</c:v>
                </c:pt>
                <c:pt idx="1519">
                  <c:v>6.4584808691686646E-2</c:v>
                </c:pt>
                <c:pt idx="1520">
                  <c:v>6.4185464060903447E-2</c:v>
                </c:pt>
                <c:pt idx="1521">
                  <c:v>6.3785262511657365E-2</c:v>
                </c:pt>
                <c:pt idx="1522">
                  <c:v>6.3384250992731025E-2</c:v>
                </c:pt>
                <c:pt idx="1523">
                  <c:v>6.2982476285271566E-2</c:v>
                </c:pt>
                <c:pt idx="1524">
                  <c:v>6.257998499411821E-2</c:v>
                </c:pt>
                <c:pt idx="1525">
                  <c:v>6.2176823539230215E-2</c:v>
                </c:pt>
                <c:pt idx="1526">
                  <c:v>6.1773038147217213E-2</c:v>
                </c:pt>
                <c:pt idx="1527">
                  <c:v>6.1368674842974473E-2</c:v>
                </c:pt>
                <c:pt idx="1528">
                  <c:v>6.0963779441424601E-2</c:v>
                </c:pt>
                <c:pt idx="1529">
                  <c:v>6.0558397539367426E-2</c:v>
                </c:pt>
                <c:pt idx="1530">
                  <c:v>6.0152574507440298E-2</c:v>
                </c:pt>
                <c:pt idx="1531">
                  <c:v>5.9746355482190698E-2</c:v>
                </c:pt>
                <c:pt idx="1532">
                  <c:v>5.9339785358261843E-2</c:v>
                </c:pt>
                <c:pt idx="1533">
                  <c:v>5.8932908780694557E-2</c:v>
                </c:pt>
                <c:pt idx="1534">
                  <c:v>5.8525770137345508E-2</c:v>
                </c:pt>
                <c:pt idx="1535">
                  <c:v>5.8118413551424455E-2</c:v>
                </c:pt>
                <c:pt idx="1536">
                  <c:v>5.771088287415161E-2</c:v>
                </c:pt>
                <c:pt idx="1537">
                  <c:v>5.7303221677536216E-2</c:v>
                </c:pt>
                <c:pt idx="1538">
                  <c:v>5.6895473247278491E-2</c:v>
                </c:pt>
                <c:pt idx="1539">
                  <c:v>5.648768057579593E-2</c:v>
                </c:pt>
                <c:pt idx="1540">
                  <c:v>5.6079886355374801E-2</c:v>
                </c:pt>
                <c:pt idx="1541">
                  <c:v>5.5672132971448962E-2</c:v>
                </c:pt>
                <c:pt idx="1542">
                  <c:v>5.5264462496006708E-2</c:v>
                </c:pt>
                <c:pt idx="1543">
                  <c:v>5.4856916681126321E-2</c:v>
                </c:pt>
                <c:pt idx="1544">
                  <c:v>5.4449536952642742E-2</c:v>
                </c:pt>
                <c:pt idx="1545">
                  <c:v>5.4042364403944547E-2</c:v>
                </c:pt>
                <c:pt idx="1546">
                  <c:v>5.3635439789903858E-2</c:v>
                </c:pt>
                <c:pt idx="1547">
                  <c:v>5.3228803520939484E-2</c:v>
                </c:pt>
                <c:pt idx="1548">
                  <c:v>5.2822495657213316E-2</c:v>
                </c:pt>
                <c:pt idx="1549">
                  <c:v>5.2416555902962354E-2</c:v>
                </c:pt>
                <c:pt idx="1550">
                  <c:v>5.2011023600966023E-2</c:v>
                </c:pt>
                <c:pt idx="1551">
                  <c:v>5.1605937727149449E-2</c:v>
                </c:pt>
                <c:pt idx="1552">
                  <c:v>5.1201336885323995E-2</c:v>
                </c:pt>
                <c:pt idx="1553">
                  <c:v>5.0797259302065266E-2</c:v>
                </c:pt>
                <c:pt idx="1554">
                  <c:v>5.0393742821728621E-2</c:v>
                </c:pt>
                <c:pt idx="1555">
                  <c:v>4.9990824901603975E-2</c:v>
                </c:pt>
                <c:pt idx="1556">
                  <c:v>4.958854260720847E-2</c:v>
                </c:pt>
                <c:pt idx="1557">
                  <c:v>4.9186932607719266E-2</c:v>
                </c:pt>
                <c:pt idx="1558">
                  <c:v>4.8786031171545584E-2</c:v>
                </c:pt>
                <c:pt idx="1559">
                  <c:v>4.8385874162040203E-2</c:v>
                </c:pt>
                <c:pt idx="1560">
                  <c:v>4.7986497033351477E-2</c:v>
                </c:pt>
                <c:pt idx="1561">
                  <c:v>4.7587934826415428E-2</c:v>
                </c:pt>
                <c:pt idx="1562">
                  <c:v>4.7190222165087725E-2</c:v>
                </c:pt>
                <c:pt idx="1563">
                  <c:v>4.6793393252416361E-2</c:v>
                </c:pt>
                <c:pt idx="1564">
                  <c:v>4.6397481867054696E-2</c:v>
                </c:pt>
                <c:pt idx="1565">
                  <c:v>4.6002521359814218E-2</c:v>
                </c:pt>
                <c:pt idx="1566">
                  <c:v>4.5608544650358199E-2</c:v>
                </c:pt>
                <c:pt idx="1567">
                  <c:v>4.5215584224034572E-2</c:v>
                </c:pt>
                <c:pt idx="1568">
                  <c:v>4.4823672128849204E-2</c:v>
                </c:pt>
                <c:pt idx="1569">
                  <c:v>4.4432839972578533E-2</c:v>
                </c:pt>
                <c:pt idx="1570">
                  <c:v>4.4043118920021072E-2</c:v>
                </c:pt>
                <c:pt idx="1571">
                  <c:v>4.3654539690388315E-2</c:v>
                </c:pt>
                <c:pt idx="1572">
                  <c:v>4.3267132554833991E-2</c:v>
                </c:pt>
                <c:pt idx="1573">
                  <c:v>4.2880927334120862E-2</c:v>
                </c:pt>
                <c:pt idx="1574">
                  <c:v>4.2495953396425964E-2</c:v>
                </c:pt>
                <c:pt idx="1575">
                  <c:v>4.2112239655281901E-2</c:v>
                </c:pt>
                <c:pt idx="1576">
                  <c:v>4.1729814567655246E-2</c:v>
                </c:pt>
                <c:pt idx="1577">
                  <c:v>4.1348706132160594E-2</c:v>
                </c:pt>
                <c:pt idx="1578">
                  <c:v>4.0968941887409405E-2</c:v>
                </c:pt>
                <c:pt idx="1579">
                  <c:v>4.0590548910493636E-2</c:v>
                </c:pt>
                <c:pt idx="1580">
                  <c:v>4.0213553815603084E-2</c:v>
                </c:pt>
                <c:pt idx="1581">
                  <c:v>3.9837982752775107E-2</c:v>
                </c:pt>
                <c:pt idx="1582">
                  <c:v>3.9463861406776858E-2</c:v>
                </c:pt>
                <c:pt idx="1583">
                  <c:v>3.909121499611861E-2</c:v>
                </c:pt>
                <c:pt idx="1584">
                  <c:v>3.87200682721969E-2</c:v>
                </c:pt>
                <c:pt idx="1585">
                  <c:v>3.8350445518567609E-2</c:v>
                </c:pt>
                <c:pt idx="1586">
                  <c:v>3.7982370550346575E-2</c:v>
                </c:pt>
                <c:pt idx="1587">
                  <c:v>3.761586671373808E-2</c:v>
                </c:pt>
                <c:pt idx="1588">
                  <c:v>3.7250956885689343E-2</c:v>
                </c:pt>
                <c:pt idx="1589">
                  <c:v>3.688766347366973E-2</c:v>
                </c:pt>
                <c:pt idx="1590">
                  <c:v>3.6526008415574407E-2</c:v>
                </c:pt>
                <c:pt idx="1591">
                  <c:v>3.61660131797506E-2</c:v>
                </c:pt>
                <c:pt idx="1592">
                  <c:v>3.5807698765145141E-2</c:v>
                </c:pt>
                <c:pt idx="1593">
                  <c:v>3.5451085701572703E-2</c:v>
                </c:pt>
                <c:pt idx="1594">
                  <c:v>3.5096194050103023E-2</c:v>
                </c:pt>
                <c:pt idx="1595">
                  <c:v>3.4743043403565578E-2</c:v>
                </c:pt>
                <c:pt idx="1596">
                  <c:v>3.4391652887171185E-2</c:v>
                </c:pt>
                <c:pt idx="1597">
                  <c:v>3.4042041159248096E-2</c:v>
                </c:pt>
                <c:pt idx="1598">
                  <c:v>3.3694226412092278E-2</c:v>
                </c:pt>
                <c:pt idx="1599">
                  <c:v>3.3348226372929717E-2</c:v>
                </c:pt>
                <c:pt idx="1600">
                  <c:v>3.3004058304989516E-2</c:v>
                </c:pt>
                <c:pt idx="1601">
                  <c:v>3.2661739008686373E-2</c:v>
                </c:pt>
                <c:pt idx="1602">
                  <c:v>3.2321284822911155E-2</c:v>
                </c:pt>
                <c:pt idx="1603">
                  <c:v>3.1982711626427379E-2</c:v>
                </c:pt>
                <c:pt idx="1604">
                  <c:v>3.164603483937288E-2</c:v>
                </c:pt>
                <c:pt idx="1605">
                  <c:v>3.1311269424864688E-2</c:v>
                </c:pt>
                <c:pt idx="1606">
                  <c:v>3.0978429890705282E-2</c:v>
                </c:pt>
                <c:pt idx="1607">
                  <c:v>3.0647530291189443E-2</c:v>
                </c:pt>
                <c:pt idx="1608">
                  <c:v>3.0318584229008891E-2</c:v>
                </c:pt>
                <c:pt idx="1609">
                  <c:v>2.9991604857254304E-2</c:v>
                </c:pt>
                <c:pt idx="1610">
                  <c:v>2.9666604881512338E-2</c:v>
                </c:pt>
                <c:pt idx="1611">
                  <c:v>2.9343596562055853E-2</c:v>
                </c:pt>
                <c:pt idx="1612">
                  <c:v>2.9022591716126277E-2</c:v>
                </c:pt>
                <c:pt idx="1613">
                  <c:v>2.8703601720305973E-2</c:v>
                </c:pt>
                <c:pt idx="1614">
                  <c:v>2.8386637512978753E-2</c:v>
                </c:pt>
                <c:pt idx="1615">
                  <c:v>2.8071709596877322E-2</c:v>
                </c:pt>
                <c:pt idx="1616">
                  <c:v>2.7758828041715519E-2</c:v>
                </c:pt>
                <c:pt idx="1617">
                  <c:v>2.7448002486903489E-2</c:v>
                </c:pt>
                <c:pt idx="1618">
                  <c:v>2.7139242144344607E-2</c:v>
                </c:pt>
                <c:pt idx="1619">
                  <c:v>2.6832555801311581E-2</c:v>
                </c:pt>
                <c:pt idx="1620">
                  <c:v>2.6527951823400654E-2</c:v>
                </c:pt>
                <c:pt idx="1621">
                  <c:v>2.6225438157561766E-2</c:v>
                </c:pt>
                <c:pt idx="1622">
                  <c:v>2.5925022335202753E-2</c:v>
                </c:pt>
                <c:pt idx="1623">
                  <c:v>2.5626711475366076E-2</c:v>
                </c:pt>
                <c:pt idx="1624">
                  <c:v>2.5330512287976316E-2</c:v>
                </c:pt>
                <c:pt idx="1625">
                  <c:v>2.5036431077155929E-2</c:v>
                </c:pt>
                <c:pt idx="1626">
                  <c:v>2.47444737446086E-2</c:v>
                </c:pt>
                <c:pt idx="1627">
                  <c:v>2.4454645793067113E-2</c:v>
                </c:pt>
                <c:pt idx="1628">
                  <c:v>2.4166952329804887E-2</c:v>
                </c:pt>
                <c:pt idx="1629">
                  <c:v>2.3881398070208948E-2</c:v>
                </c:pt>
                <c:pt idx="1630">
                  <c:v>2.3597987341412278E-2</c:v>
                </c:pt>
                <c:pt idx="1631">
                  <c:v>2.3316724085984189E-2</c:v>
                </c:pt>
                <c:pt idx="1632">
                  <c:v>2.3037611865676728E-2</c:v>
                </c:pt>
                <c:pt idx="1633">
                  <c:v>2.2760653865224918E-2</c:v>
                </c:pt>
                <c:pt idx="1634">
                  <c:v>2.2485852896199542E-2</c:v>
                </c:pt>
                <c:pt idx="1635">
                  <c:v>2.2213211400910478E-2</c:v>
                </c:pt>
                <c:pt idx="1636">
                  <c:v>2.1942731456358375E-2</c:v>
                </c:pt>
                <c:pt idx="1637">
                  <c:v>2.1674414778233616E-2</c:v>
                </c:pt>
                <c:pt idx="1638">
                  <c:v>2.1408262724959871E-2</c:v>
                </c:pt>
                <c:pt idx="1639">
                  <c:v>2.1144276301781222E-2</c:v>
                </c:pt>
                <c:pt idx="1640">
                  <c:v>2.088245616489063E-2</c:v>
                </c:pt>
                <c:pt idx="1641">
                  <c:v>2.0622802625597916E-2</c:v>
                </c:pt>
                <c:pt idx="1642">
                  <c:v>2.0365315654535695E-2</c:v>
                </c:pt>
                <c:pt idx="1643">
                  <c:v>2.0109994885901532E-2</c:v>
                </c:pt>
                <c:pt idx="1644">
                  <c:v>1.9856839621734068E-2</c:v>
                </c:pt>
                <c:pt idx="1645">
                  <c:v>1.9605848836222014E-2</c:v>
                </c:pt>
                <c:pt idx="1646">
                  <c:v>1.9357021180043857E-2</c:v>
                </c:pt>
                <c:pt idx="1647">
                  <c:v>1.9110354984736483E-2</c:v>
                </c:pt>
                <c:pt idx="1648">
                  <c:v>1.8865848267091451E-2</c:v>
                </c:pt>
                <c:pt idx="1649">
                  <c:v>1.8623498733576556E-2</c:v>
                </c:pt>
                <c:pt idx="1650">
                  <c:v>1.8383303784781545E-2</c:v>
                </c:pt>
                <c:pt idx="1651">
                  <c:v>1.8145260519886106E-2</c:v>
                </c:pt>
                <c:pt idx="1652">
                  <c:v>1.7909365741148178E-2</c:v>
                </c:pt>
                <c:pt idx="1653">
                  <c:v>1.7675615958411377E-2</c:v>
                </c:pt>
                <c:pt idx="1654">
                  <c:v>1.7444007393629727E-2</c:v>
                </c:pt>
                <c:pt idx="1655">
                  <c:v>1.7214535985407745E-2</c:v>
                </c:pt>
                <c:pt idx="1656">
                  <c:v>1.698719739355483E-2</c:v>
                </c:pt>
                <c:pt idx="1657">
                  <c:v>1.676198700365196E-2</c:v>
                </c:pt>
                <c:pt idx="1658">
                  <c:v>1.653889993162911E-2</c:v>
                </c:pt>
                <c:pt idx="1659">
                  <c:v>1.6317931028352193E-2</c:v>
                </c:pt>
                <c:pt idx="1660">
                  <c:v>1.6099074884217426E-2</c:v>
                </c:pt>
                <c:pt idx="1661">
                  <c:v>1.588232583375207E-2</c:v>
                </c:pt>
                <c:pt idx="1662">
                  <c:v>1.5667677960219902E-2</c:v>
                </c:pt>
                <c:pt idx="1663">
                  <c:v>1.5455125100229606E-2</c:v>
                </c:pt>
                <c:pt idx="1664">
                  <c:v>1.524466084834512E-2</c:v>
                </c:pt>
                <c:pt idx="1665">
                  <c:v>1.5036278561696209E-2</c:v>
                </c:pt>
                <c:pt idx="1666">
                  <c:v>1.4829971364587654E-2</c:v>
                </c:pt>
                <c:pt idx="1667">
                  <c:v>1.4625732153106061E-2</c:v>
                </c:pt>
                <c:pt idx="1668">
                  <c:v>1.4423553599722654E-2</c:v>
                </c:pt>
                <c:pt idx="1669">
                  <c:v>1.4223428157890466E-2</c:v>
                </c:pt>
                <c:pt idx="1670">
                  <c:v>1.4025348066635163E-2</c:v>
                </c:pt>
                <c:pt idx="1671">
                  <c:v>1.3829305355137465E-2</c:v>
                </c:pt>
                <c:pt idx="1672">
                  <c:v>1.3635291847306425E-2</c:v>
                </c:pt>
                <c:pt idx="1673">
                  <c:v>1.3443299166341998E-2</c:v>
                </c:pt>
                <c:pt idx="1674">
                  <c:v>1.325331873928557E-2</c:v>
                </c:pt>
                <c:pt idx="1675">
                  <c:v>1.3065341801557431E-2</c:v>
                </c:pt>
                <c:pt idx="1676">
                  <c:v>1.2879359401479881E-2</c:v>
                </c:pt>
                <c:pt idx="1677">
                  <c:v>1.2695362404784537E-2</c:v>
                </c:pt>
                <c:pt idx="1678">
                  <c:v>1.2513341499103062E-2</c:v>
                </c:pt>
                <c:pt idx="1679">
                  <c:v>1.2333287198439921E-2</c:v>
                </c:pt>
                <c:pt idx="1680">
                  <c:v>1.2155189847625911E-2</c:v>
                </c:pt>
                <c:pt idx="1681">
                  <c:v>1.1979039626751771E-2</c:v>
                </c:pt>
                <c:pt idx="1682">
                  <c:v>1.1804826555580253E-2</c:v>
                </c:pt>
                <c:pt idx="1683">
                  <c:v>1.1632540497936045E-2</c:v>
                </c:pt>
                <c:pt idx="1684">
                  <c:v>1.1462171166072368E-2</c:v>
                </c:pt>
                <c:pt idx="1685">
                  <c:v>1.1293708125012934E-2</c:v>
                </c:pt>
                <c:pt idx="1686">
                  <c:v>1.1127140796868766E-2</c:v>
                </c:pt>
                <c:pt idx="1687">
                  <c:v>1.0962458465128633E-2</c:v>
                </c:pt>
                <c:pt idx="1688">
                  <c:v>1.0799650278922039E-2</c:v>
                </c:pt>
                <c:pt idx="1689">
                  <c:v>1.0638705257254249E-2</c:v>
                </c:pt>
                <c:pt idx="1690">
                  <c:v>1.0479612293211944E-2</c:v>
                </c:pt>
                <c:pt idx="1691">
                  <c:v>1.0322360158139046E-2</c:v>
                </c:pt>
                <c:pt idx="1692">
                  <c:v>1.0166937505781763E-2</c:v>
                </c:pt>
                <c:pt idx="1693">
                  <c:v>1.001333287640173E-2</c:v>
                </c:pt>
                <c:pt idx="1694">
                  <c:v>9.8615347008569401E-3</c:v>
                </c:pt>
                <c:pt idx="1695">
                  <c:v>9.7115313046493811E-3</c:v>
                </c:pt>
                <c:pt idx="1696">
                  <c:v>9.563310911938518E-3</c:v>
                </c:pt>
                <c:pt idx="1697">
                  <c:v>9.4168616495202175E-3</c:v>
                </c:pt>
                <c:pt idx="1698">
                  <c:v>9.2721715507702307E-3</c:v>
                </c:pt>
                <c:pt idx="1699">
                  <c:v>9.1292285595514205E-3</c:v>
                </c:pt>
                <c:pt idx="1700">
                  <c:v>8.9880205340844167E-3</c:v>
                </c:pt>
                <c:pt idx="1701">
                  <c:v>8.8485352507806543E-3</c:v>
                </c:pt>
                <c:pt idx="1702">
                  <c:v>8.7107604080374976E-3</c:v>
                </c:pt>
                <c:pt idx="1703">
                  <c:v>8.5746836299948059E-3</c:v>
                </c:pt>
                <c:pt idx="1704">
                  <c:v>8.4402924702521084E-3</c:v>
                </c:pt>
                <c:pt idx="1705">
                  <c:v>8.3075744155462795E-3</c:v>
                </c:pt>
                <c:pt idx="1706">
                  <c:v>8.176516889388875E-3</c:v>
                </c:pt>
                <c:pt idx="1707">
                  <c:v>8.0471072556626451E-3</c:v>
                </c:pt>
                <c:pt idx="1708">
                  <c:v>7.9193328221769388E-3</c:v>
                </c:pt>
                <c:pt idx="1709">
                  <c:v>7.793180844181416E-3</c:v>
                </c:pt>
                <c:pt idx="1710">
                  <c:v>7.6686385278375542E-3</c:v>
                </c:pt>
                <c:pt idx="1711">
                  <c:v>7.5456930336478337E-3</c:v>
                </c:pt>
                <c:pt idx="1712">
                  <c:v>7.4243314798417724E-3</c:v>
                </c:pt>
                <c:pt idx="1713">
                  <c:v>7.3045409457189008E-3</c:v>
                </c:pt>
                <c:pt idx="1714">
                  <c:v>7.1863084749480451E-3</c:v>
                </c:pt>
                <c:pt idx="1715">
                  <c:v>7.0696210788226523E-3</c:v>
                </c:pt>
                <c:pt idx="1716">
                  <c:v>6.9544657394719194E-3</c:v>
                </c:pt>
                <c:pt idx="1717">
                  <c:v>6.840829413027434E-3</c:v>
                </c:pt>
                <c:pt idx="1718">
                  <c:v>6.7286990327449399E-3</c:v>
                </c:pt>
                <c:pt idx="1719">
                  <c:v>6.6180615120811827E-3</c:v>
                </c:pt>
                <c:pt idx="1720">
                  <c:v>6.5089037477255099E-3</c:v>
                </c:pt>
                <c:pt idx="1721">
                  <c:v>6.4012126225859662E-3</c:v>
                </c:pt>
                <c:pt idx="1722">
                  <c:v>6.2949750087299017E-3</c:v>
                </c:pt>
                <c:pt idx="1723">
                  <c:v>6.1901777702786662E-3</c:v>
                </c:pt>
                <c:pt idx="1724">
                  <c:v>6.0868077662564754E-3</c:v>
                </c:pt>
                <c:pt idx="1725">
                  <c:v>5.9848518533932712E-3</c:v>
                </c:pt>
                <c:pt idx="1726">
                  <c:v>5.8842968888813347E-3</c:v>
                </c:pt>
                <c:pt idx="1727">
                  <c:v>5.7851297330857613E-3</c:v>
                </c:pt>
                <c:pt idx="1728">
                  <c:v>5.6873372522086747E-3</c:v>
                </c:pt>
                <c:pt idx="1729">
                  <c:v>5.5909063209069586E-3</c:v>
                </c:pt>
                <c:pt idx="1730">
                  <c:v>5.4958238248637801E-3</c:v>
                </c:pt>
                <c:pt idx="1731">
                  <c:v>5.402076663313651E-3</c:v>
                </c:pt>
                <c:pt idx="1732">
                  <c:v>5.3096517515210861E-3</c:v>
                </c:pt>
                <c:pt idx="1733">
                  <c:v>5.2185360232130037E-3</c:v>
                </c:pt>
                <c:pt idx="1734">
                  <c:v>5.1287164329646478E-3</c:v>
                </c:pt>
                <c:pt idx="1735">
                  <c:v>5.0401799585393803E-3</c:v>
                </c:pt>
                <c:pt idx="1736">
                  <c:v>4.9529136031822036E-3</c:v>
                </c:pt>
                <c:pt idx="1737">
                  <c:v>4.8669043978671628E-3</c:v>
                </c:pt>
                <c:pt idx="1738">
                  <c:v>4.7821394034987365E-3</c:v>
                </c:pt>
                <c:pt idx="1739">
                  <c:v>4.6986057130673662E-3</c:v>
                </c:pt>
                <c:pt idx="1740">
                  <c:v>4.6162904537590897E-3</c:v>
                </c:pt>
                <c:pt idx="1741">
                  <c:v>4.5351807890196905E-3</c:v>
                </c:pt>
                <c:pt idx="1742">
                  <c:v>4.4552639205732453E-3</c:v>
                </c:pt>
                <c:pt idx="1743">
                  <c:v>4.3765270903954254E-3</c:v>
                </c:pt>
                <c:pt idx="1744">
                  <c:v>4.2989575826417005E-3</c:v>
                </c:pt>
                <c:pt idx="1745">
                  <c:v>4.2225427255305308E-3</c:v>
                </c:pt>
                <c:pt idx="1746">
                  <c:v>4.1472698931819107E-3</c:v>
                </c:pt>
                <c:pt idx="1747">
                  <c:v>4.0731265074114295E-3</c:v>
                </c:pt>
                <c:pt idx="1748">
                  <c:v>4.0001000394800038E-3</c:v>
                </c:pt>
                <c:pt idx="1749">
                  <c:v>3.9281780117996689E-3</c:v>
                </c:pt>
                <c:pt idx="1750">
                  <c:v>3.8573479995956E-3</c:v>
                </c:pt>
                <c:pt idx="1751">
                  <c:v>3.7875976325245958E-3</c:v>
                </c:pt>
                <c:pt idx="1752">
                  <c:v>3.7189145962504399E-3</c:v>
                </c:pt>
                <c:pt idx="1753">
                  <c:v>3.6512866339762744E-3</c:v>
                </c:pt>
                <c:pt idx="1754">
                  <c:v>3.5847015479344079E-3</c:v>
                </c:pt>
                <c:pt idx="1755">
                  <c:v>3.5191472008338264E-3</c:v>
                </c:pt>
                <c:pt idx="1756">
                  <c:v>3.4546115172656546E-3</c:v>
                </c:pt>
                <c:pt idx="1757">
                  <c:v>3.3910824850670392E-3</c:v>
                </c:pt>
                <c:pt idx="1758">
                  <c:v>3.3285481566437064E-3</c:v>
                </c:pt>
                <c:pt idx="1759">
                  <c:v>3.2669966502515031E-3</c:v>
                </c:pt>
                <c:pt idx="1760">
                  <c:v>3.206416151237383E-3</c:v>
                </c:pt>
                <c:pt idx="1761">
                  <c:v>3.1467949132401554E-3</c:v>
                </c:pt>
                <c:pt idx="1762">
                  <c:v>3.0881212593512775E-3</c:v>
                </c:pt>
                <c:pt idx="1763">
                  <c:v>3.0303835832362659E-3</c:v>
                </c:pt>
                <c:pt idx="1764">
                  <c:v>2.9735703502169072E-3</c:v>
                </c:pt>
                <c:pt idx="1765">
                  <c:v>2.9176700983148079E-3</c:v>
                </c:pt>
                <c:pt idx="1766">
                  <c:v>2.8626714392566339E-3</c:v>
                </c:pt>
                <c:pt idx="1767">
                  <c:v>2.8085630594413963E-3</c:v>
                </c:pt>
                <c:pt idx="1768">
                  <c:v>2.7553337208702944E-3</c:v>
                </c:pt>
                <c:pt idx="1769">
                  <c:v>2.7029722620394679E-3</c:v>
                </c:pt>
                <c:pt idx="1770">
                  <c:v>2.6514675987960828E-3</c:v>
                </c:pt>
                <c:pt idx="1771">
                  <c:v>2.6008087251582126E-3</c:v>
                </c:pt>
                <c:pt idx="1772">
                  <c:v>2.5509847140989502E-3</c:v>
                </c:pt>
                <c:pt idx="1773">
                  <c:v>2.5019847182951123E-3</c:v>
                </c:pt>
                <c:pt idx="1774">
                  <c:v>2.4537979708411117E-3</c:v>
                </c:pt>
                <c:pt idx="1775">
                  <c:v>2.406413785928316E-3</c:v>
                </c:pt>
                <c:pt idx="1776">
                  <c:v>2.3598215594904299E-3</c:v>
                </c:pt>
                <c:pt idx="1777">
                  <c:v>2.3140107698153365E-3</c:v>
                </c:pt>
                <c:pt idx="1778">
                  <c:v>2.2689709781237946E-3</c:v>
                </c:pt>
                <c:pt idx="1779">
                  <c:v>2.2246918291155653E-3</c:v>
                </c:pt>
                <c:pt idx="1780">
                  <c:v>2.18116305148334E-3</c:v>
                </c:pt>
                <c:pt idx="1781">
                  <c:v>2.1383744583949684E-3</c:v>
                </c:pt>
                <c:pt idx="1782">
                  <c:v>2.0963159479444608E-3</c:v>
                </c:pt>
                <c:pt idx="1783">
                  <c:v>2.0549775035722507E-3</c:v>
                </c:pt>
                <c:pt idx="1784">
                  <c:v>2.0143491944551164E-3</c:v>
                </c:pt>
                <c:pt idx="1785">
                  <c:v>1.9744211758663715E-3</c:v>
                </c:pt>
                <c:pt idx="1786">
                  <c:v>1.9351836895066155E-3</c:v>
                </c:pt>
                <c:pt idx="1787">
                  <c:v>1.8966270638057518E-3</c:v>
                </c:pt>
                <c:pt idx="1788">
                  <c:v>1.858741714196533E-3</c:v>
                </c:pt>
                <c:pt idx="1789">
                  <c:v>1.8215181433602059E-3</c:v>
                </c:pt>
                <c:pt idx="1790">
                  <c:v>1.784946941444815E-3</c:v>
                </c:pt>
                <c:pt idx="1791">
                  <c:v>1.7490187862565015E-3</c:v>
                </c:pt>
                <c:pt idx="1792">
                  <c:v>1.7137244434243203E-3</c:v>
                </c:pt>
                <c:pt idx="1793">
                  <c:v>1.6790547665391728E-3</c:v>
                </c:pt>
                <c:pt idx="1794">
                  <c:v>1.6450006972671513E-3</c:v>
                </c:pt>
                <c:pt idx="1795">
                  <c:v>1.611553265437873E-3</c:v>
                </c:pt>
                <c:pt idx="1796">
                  <c:v>1.5787035891083364E-3</c:v>
                </c:pt>
                <c:pt idx="1797">
                  <c:v>1.5464428746026538E-3</c:v>
                </c:pt>
                <c:pt idx="1798">
                  <c:v>1.5147624165281861E-3</c:v>
                </c:pt>
                <c:pt idx="1799">
                  <c:v>1.4836535977686448E-3</c:v>
                </c:pt>
                <c:pt idx="1800">
                  <c:v>1.4531078894544803E-3</c:v>
                </c:pt>
                <c:pt idx="1801">
                  <c:v>1.4231168509111197E-3</c:v>
                </c:pt>
                <c:pt idx="1802">
                  <c:v>1.3936721295855585E-3</c:v>
                </c:pt>
                <c:pt idx="1803">
                  <c:v>1.364765460951685E-3</c:v>
                </c:pt>
                <c:pt idx="1804">
                  <c:v>1.3363886683948635E-3</c:v>
                </c:pt>
                <c:pt idx="1805">
                  <c:v>1.3085336630762063E-3</c:v>
                </c:pt>
                <c:pt idx="1806">
                  <c:v>1.2811924437770678E-3</c:v>
                </c:pt>
                <c:pt idx="1807">
                  <c:v>1.2543570967241317E-3</c:v>
                </c:pt>
                <c:pt idx="1808">
                  <c:v>1.2280197953955737E-3</c:v>
                </c:pt>
                <c:pt idx="1809">
                  <c:v>1.2021728003088327E-3</c:v>
                </c:pt>
                <c:pt idx="1810">
                  <c:v>1.1768084587903218E-3</c:v>
                </c:pt>
                <c:pt idx="1811">
                  <c:v>1.151919204727589E-3</c:v>
                </c:pt>
                <c:pt idx="1812">
                  <c:v>1.1274975583044214E-3</c:v>
                </c:pt>
                <c:pt idx="1813">
                  <c:v>1.1035361257192415E-3</c:v>
                </c:pt>
                <c:pt idx="1814">
                  <c:v>1.0800275988872667E-3</c:v>
                </c:pt>
                <c:pt idx="1815">
                  <c:v>1.0569647551269415E-3</c:v>
                </c:pt>
                <c:pt idx="1816">
                  <c:v>1.0343404568309625E-3</c:v>
                </c:pt>
                <c:pt idx="1817">
                  <c:v>#N/A</c:v>
                </c:pt>
                <c:pt idx="1818">
                  <c:v>7.8958653652619854E-109</c:v>
                </c:pt>
                <c:pt idx="1819">
                  <c:v>3.0099715831720964E-108</c:v>
                </c:pt>
                <c:pt idx="1820">
                  <c:v>1.1432917185994642E-107</c:v>
                </c:pt>
                <c:pt idx="1821">
                  <c:v>4.3269683756551719E-107</c:v>
                </c:pt>
                <c:pt idx="1822">
                  <c:v>1.6317077852988018E-106</c:v>
                </c:pt>
                <c:pt idx="1823">
                  <c:v>6.1310244974141717E-106</c:v>
                </c:pt>
                <c:pt idx="1824">
                  <c:v>2.2953859464841246E-105</c:v>
                </c:pt>
                <c:pt idx="1825">
                  <c:v>8.5626932561326168E-105</c:v>
                </c:pt>
                <c:pt idx="1826">
                  <c:v>3.1827099050436568E-104</c:v>
                </c:pt>
                <c:pt idx="1827">
                  <c:v>1.178733770514617E-103</c:v>
                </c:pt>
                <c:pt idx="1828">
                  <c:v>4.3497710431098152E-103</c:v>
                </c:pt>
                <c:pt idx="1829">
                  <c:v>1.5993704606073632E-102</c:v>
                </c:pt>
                <c:pt idx="1830">
                  <c:v>5.8595429855072373E-102</c:v>
                </c:pt>
                <c:pt idx="1831">
                  <c:v>2.1389982031161021E-101</c:v>
                </c:pt>
                <c:pt idx="1832">
                  <c:v>7.7801701694733114E-101</c:v>
                </c:pt>
                <c:pt idx="1833">
                  <c:v>2.8196796734254682E-100</c:v>
                </c:pt>
                <c:pt idx="1834">
                  <c:v>1.0182219436585973E-99</c:v>
                </c:pt>
                <c:pt idx="1835">
                  <c:v>3.6636766124232273E-99</c:v>
                </c:pt>
                <c:pt idx="1836">
                  <c:v>1.3134810551302044E-98</c:v>
                </c:pt>
                <c:pt idx="1837">
                  <c:v>4.6920485298598326E-98</c:v>
                </c:pt>
                <c:pt idx="1838">
                  <c:v>1.6700642473176901E-97</c:v>
                </c:pt>
                <c:pt idx="1839">
                  <c:v>5.9229199536182569E-97</c:v>
                </c:pt>
                <c:pt idx="1840">
                  <c:v>2.093006365022992E-96</c:v>
                </c:pt>
                <c:pt idx="1841">
                  <c:v>7.3694866420330707E-96</c:v>
                </c:pt>
                <c:pt idx="1842">
                  <c:v>2.5854486945126084E-95</c:v>
                </c:pt>
                <c:pt idx="1843">
                  <c:v>9.0378808873458173E-95</c:v>
                </c:pt>
                <c:pt idx="1844">
                  <c:v>3.1479607139525274E-94</c:v>
                </c:pt>
                <c:pt idx="1845">
                  <c:v>1.0925064141647055E-93</c:v>
                </c:pt>
                <c:pt idx="1846">
                  <c:v>3.7779020019269401E-93</c:v>
                </c:pt>
                <c:pt idx="1847">
                  <c:v>1.3016954361739666E-92</c:v>
                </c:pt>
                <c:pt idx="1848">
                  <c:v>4.4688942450020825E-92</c:v>
                </c:pt>
                <c:pt idx="1849">
                  <c:v>1.5287017884453798E-91</c:v>
                </c:pt>
                <c:pt idx="1850">
                  <c:v>5.2104768558349349E-91</c:v>
                </c:pt>
                <c:pt idx="1851">
                  <c:v>1.7695554247316797E-90</c:v>
                </c:pt>
                <c:pt idx="1852">
                  <c:v>5.9880148637177865E-90</c:v>
                </c:pt>
                <c:pt idx="1853">
                  <c:v>2.0189872238062232E-89</c:v>
                </c:pt>
                <c:pt idx="1854">
                  <c:v>6.7829134099034451E-89</c:v>
                </c:pt>
                <c:pt idx="1855">
                  <c:v>2.2705495102986558E-88</c:v>
                </c:pt>
                <c:pt idx="1856">
                  <c:v>7.5731695647981975E-88</c:v>
                </c:pt>
                <c:pt idx="1857">
                  <c:v>2.516844514824131E-87</c:v>
                </c:pt>
                <c:pt idx="1858">
                  <c:v>8.3342609346852336E-87</c:v>
                </c:pt>
                <c:pt idx="1859">
                  <c:v>2.7498550477644454E-86</c:v>
                </c:pt>
                <c:pt idx="1860">
                  <c:v>9.0403347255353612E-86</c:v>
                </c:pt>
                <c:pt idx="1861">
                  <c:v>2.9613601047892777E-85</c:v>
                </c:pt>
                <c:pt idx="1862">
                  <c:v>9.6656248050350436E-85</c:v>
                </c:pt>
                <c:pt idx="1863">
                  <c:v>3.1434072153904632E-84</c:v>
                </c:pt>
                <c:pt idx="1864">
                  <c:v>1.018599267858762E-83</c:v>
                </c:pt>
                <c:pt idx="1865">
                  <c:v>3.2888046273435866E-83</c:v>
                </c:pt>
                <c:pt idx="1866">
                  <c:v>1.0580465883189055E-82</c:v>
                </c:pt>
                <c:pt idx="1867">
                  <c:v>3.3915912694102346E-82</c:v>
                </c:pt>
                <c:pt idx="1868">
                  <c:v>1.0832637924429206E-81</c:v>
                </c:pt>
                <c:pt idx="1869">
                  <c:v>3.4474418321010928E-81</c:v>
                </c:pt>
                <c:pt idx="1870">
                  <c:v>1.0931799763740036E-80</c:v>
                </c:pt>
                <c:pt idx="1871">
                  <c:v>3.4539686421476313E-80</c:v>
                </c:pt>
                <c:pt idx="1872">
                  <c:v>1.0873694163631187E-79</c:v>
                </c:pt>
                <c:pt idx="1873">
                  <c:v>3.4108909779612618E-79</c:v>
                </c:pt>
                <c:pt idx="1874">
                  <c:v>1.0660818855191144E-78</c:v>
                </c:pt>
                <c:pt idx="1875">
                  <c:v>3.3200550967748686E-78</c:v>
                </c:pt>
                <c:pt idx="1876">
                  <c:v>1.0302248446759421E-77</c:v>
                </c:pt>
                <c:pt idx="1877">
                  <c:v>3.1853029827196188E-77</c:v>
                </c:pt>
                <c:pt idx="1878">
                  <c:v>9.8129927664660541E-77</c:v>
                </c:pt>
                <c:pt idx="1879">
                  <c:v>3.0122028168685722E-76</c:v>
                </c:pt>
                <c:pt idx="1880">
                  <c:v>9.2129548560427093E-76</c:v>
                </c:pt>
                <c:pt idx="1881">
                  <c:v>2.8076675141564772E-75</c:v>
                </c:pt>
                <c:pt idx="1882">
                  <c:v>8.5255893881224977E-75</c:v>
                </c:pt>
                <c:pt idx="1883">
                  <c:v>2.5794977210252634E-74</c:v>
                </c:pt>
                <c:pt idx="1884">
                  <c:v>7.7763873657747568E-74</c:v>
                </c:pt>
                <c:pt idx="1885">
                  <c:v>2.3358912758965909E-73</c:v>
                </c:pt>
                <c:pt idx="1886">
                  <c:v>6.9913229590273467E-73</c:v>
                </c:pt>
                <c:pt idx="1887">
                  <c:v>2.0849618150994228E-72</c:v>
                </c:pt>
                <c:pt idx="1888">
                  <c:v>6.1953928144643241E-72</c:v>
                </c:pt>
                <c:pt idx="1889">
                  <c:v>1.8343051740622444E-71</c:v>
                </c:pt>
                <c:pt idx="1890">
                  <c:v>5.411358860560027E-71</c:v>
                </c:pt>
                <c:pt idx="1891">
                  <c:v>1.5906443286214837E-70</c:v>
                </c:pt>
                <c:pt idx="1892">
                  <c:v>4.6587759865141098E-70</c:v>
                </c:pt>
                <c:pt idx="1893">
                  <c:v>1.3595731410554596E-69</c:v>
                </c:pt>
                <c:pt idx="1894">
                  <c:v>3.9533505493407267E-69</c:v>
                </c:pt>
                <c:pt idx="1895">
                  <c:v>1.1454076411034291E-68</c:v>
                </c:pt>
                <c:pt idx="1896">
                  <c:v>3.3066393342134144E-68</c:v>
                </c:pt>
                <c:pt idx="1897">
                  <c:v>9.5114248389189186E-68</c:v>
                </c:pt>
                <c:pt idx="1898">
                  <c:v>2.7260657999402907E-67</c:v>
                </c:pt>
                <c:pt idx="1899">
                  <c:v>7.7850084709157253E-67</c:v>
                </c:pt>
                <c:pt idx="1900">
                  <c:v>2.2152046060855445E-66</c:v>
                </c:pt>
                <c:pt idx="1901">
                  <c:v>6.2805923121045047E-66</c:v>
                </c:pt>
                <c:pt idx="1902">
                  <c:v>1.7742685803570002E-65</c:v>
                </c:pt>
                <c:pt idx="1903">
                  <c:v>4.9942481998360121E-65</c:v>
                </c:pt>
                <c:pt idx="1904">
                  <c:v>1.4007250089991455E-64</c:v>
                </c:pt>
                <c:pt idx="1905">
                  <c:v>3.9144220120955479E-64</c:v>
                </c:pt>
                <c:pt idx="1906">
                  <c:v>1.0899696576365807E-63</c:v>
                </c:pt>
                <c:pt idx="1907">
                  <c:v>3.024079282045792E-63</c:v>
                </c:pt>
                <c:pt idx="1908">
                  <c:v>8.3599549775530124E-63</c:v>
                </c:pt>
                <c:pt idx="1909">
                  <c:v>2.3027495465067531E-62</c:v>
                </c:pt>
                <c:pt idx="1910">
                  <c:v>6.3200639612319229E-62</c:v>
                </c:pt>
                <c:pt idx="1911">
                  <c:v>1.7283362653418599E-61</c:v>
                </c:pt>
                <c:pt idx="1912">
                  <c:v>4.7094155468836893E-61</c:v>
                </c:pt>
                <c:pt idx="1913">
                  <c:v>1.2786090815769618E-60</c:v>
                </c:pt>
                <c:pt idx="1914">
                  <c:v>3.4589203188913352E-60</c:v>
                </c:pt>
                <c:pt idx="1915">
                  <c:v>9.3234217775051494E-60</c:v>
                </c:pt>
                <c:pt idx="1916">
                  <c:v>2.5040448693083858E-59</c:v>
                </c:pt>
                <c:pt idx="1917">
                  <c:v>6.7010195181630528E-59</c:v>
                </c:pt>
                <c:pt idx="1918">
                  <c:v>1.7867823770278942E-58</c:v>
                </c:pt>
                <c:pt idx="1919">
                  <c:v>4.7471662245993643E-58</c:v>
                </c:pt>
                <c:pt idx="1920">
                  <c:v>1.2566930662002624E-57</c:v>
                </c:pt>
                <c:pt idx="1921">
                  <c:v>3.3147898463662011E-57</c:v>
                </c:pt>
                <c:pt idx="1922">
                  <c:v>8.7119381208696113E-57</c:v>
                </c:pt>
                <c:pt idx="1923">
                  <c:v>2.2814216860118924E-56</c:v>
                </c:pt>
                <c:pt idx="1924">
                  <c:v>5.952896749225243E-56</c:v>
                </c:pt>
                <c:pt idx="1925">
                  <c:v>1.5476870034019303E-55</c:v>
                </c:pt>
                <c:pt idx="1926">
                  <c:v>4.0093126340050309E-55</c:v>
                </c:pt>
                <c:pt idx="1927">
                  <c:v>1.0348769420389884E-54</c:v>
                </c:pt>
                <c:pt idx="1928">
                  <c:v>2.6615798491844735E-54</c:v>
                </c:pt>
                <c:pt idx="1929">
                  <c:v>6.8205954383486623E-54</c:v>
                </c:pt>
                <c:pt idx="1930">
                  <c:v>1.7415545483810685E-53</c:v>
                </c:pt>
                <c:pt idx="1931">
                  <c:v>4.4308176250764073E-53</c:v>
                </c:pt>
                <c:pt idx="1932">
                  <c:v>1.1232144152831884E-52</c:v>
                </c:pt>
                <c:pt idx="1933">
                  <c:v>2.8370922908020588E-52</c:v>
                </c:pt>
                <c:pt idx="1934">
                  <c:v>7.1402967263552053E-52</c:v>
                </c:pt>
                <c:pt idx="1935">
                  <c:v>1.7905689839421796E-51</c:v>
                </c:pt>
                <c:pt idx="1936">
                  <c:v>4.4740193292526419E-51</c:v>
                </c:pt>
                <c:pt idx="1937">
                  <c:v>1.1138755109236945E-50</c:v>
                </c:pt>
                <c:pt idx="1938">
                  <c:v>2.7631690571353121E-50</c:v>
                </c:pt>
                <c:pt idx="1939">
                  <c:v>6.8298357428981811E-50</c:v>
                </c:pt>
                <c:pt idx="1940">
                  <c:v>1.6820738623865436E-49</c:v>
                </c:pt>
                <c:pt idx="1941">
                  <c:v>4.1277355613165093E-49</c:v>
                </c:pt>
                <c:pt idx="1942">
                  <c:v>1.0092776884065007E-48</c:v>
                </c:pt>
                <c:pt idx="1943">
                  <c:v>2.4589034681814454E-48</c:v>
                </c:pt>
                <c:pt idx="1944">
                  <c:v>5.9690372284279862E-48</c:v>
                </c:pt>
                <c:pt idx="1945">
                  <c:v>1.443773601650614E-47</c:v>
                </c:pt>
                <c:pt idx="1946">
                  <c:v>3.4795726390788419E-47</c:v>
                </c:pt>
                <c:pt idx="1947">
                  <c:v>8.3557361696117891E-47</c:v>
                </c:pt>
                <c:pt idx="1948">
                  <c:v>1.9992887928943999E-46</c:v>
                </c:pt>
                <c:pt idx="1949">
                  <c:v>4.7664862602271251E-46</c:v>
                </c:pt>
                <c:pt idx="1950">
                  <c:v>1.1322782384658742E-45</c:v>
                </c:pt>
                <c:pt idx="1951">
                  <c:v>2.6800319831221933E-45</c:v>
                </c:pt>
                <c:pt idx="1952">
                  <c:v>6.3206070951882761E-45</c:v>
                </c:pt>
                <c:pt idx="1953">
                  <c:v>1.4852843771079541E-44</c:v>
                </c:pt>
                <c:pt idx="1954">
                  <c:v>3.4777025419806003E-44</c:v>
                </c:pt>
                <c:pt idx="1955">
                  <c:v>8.1134815660428212E-44</c:v>
                </c:pt>
                <c:pt idx="1956">
                  <c:v>1.8860537958357762E-43</c:v>
                </c:pt>
                <c:pt idx="1957">
                  <c:v>4.3685056252802812E-43</c:v>
                </c:pt>
                <c:pt idx="1958">
                  <c:v>1.0081931068974035E-42</c:v>
                </c:pt>
                <c:pt idx="1959">
                  <c:v>2.3183902916126293E-42</c:v>
                </c:pt>
                <c:pt idx="1960">
                  <c:v>5.3120404859853061E-42</c:v>
                </c:pt>
                <c:pt idx="1961">
                  <c:v>1.2127414023784201E-41</c:v>
                </c:pt>
                <c:pt idx="1962">
                  <c:v>2.758716253657488E-41</c:v>
                </c:pt>
                <c:pt idx="1963">
                  <c:v>6.2528478914700354E-41</c:v>
                </c:pt>
                <c:pt idx="1964">
                  <c:v>1.4121495618496795E-40</c:v>
                </c:pt>
                <c:pt idx="1965">
                  <c:v>3.177719275710278E-40</c:v>
                </c:pt>
                <c:pt idx="1966">
                  <c:v>7.1249588805546711E-40</c:v>
                </c:pt>
                <c:pt idx="1967">
                  <c:v>1.5917732329868587E-39</c:v>
                </c:pt>
                <c:pt idx="1968">
                  <c:v>3.5433335281216505E-39</c:v>
                </c:pt>
                <c:pt idx="1969">
                  <c:v>7.8591372117207993E-39</c:v>
                </c:pt>
                <c:pt idx="1970">
                  <c:v>1.7368795817854983E-38</c:v>
                </c:pt>
                <c:pt idx="1971">
                  <c:v>3.8246927233208055E-38</c:v>
                </c:pt>
                <c:pt idx="1972">
                  <c:v>8.3918051340454907E-38</c:v>
                </c:pt>
                <c:pt idx="1973">
                  <c:v>1.8346204608191061E-37</c:v>
                </c:pt>
                <c:pt idx="1974">
                  <c:v>3.9964011572088057E-37</c:v>
                </c:pt>
                <c:pt idx="1975">
                  <c:v>8.6740899322856906E-37</c:v>
                </c:pt>
                <c:pt idx="1976">
                  <c:v>1.8759046773126885E-36</c:v>
                </c:pt>
                <c:pt idx="1977">
                  <c:v>4.0423099732947065E-36</c:v>
                </c:pt>
                <c:pt idx="1978">
                  <c:v>8.6792152876385942E-36</c:v>
                </c:pt>
                <c:pt idx="1979">
                  <c:v>1.8567922312420973E-35</c:v>
                </c:pt>
                <c:pt idx="1980">
                  <c:v>3.9580216075707137E-35</c:v>
                </c:pt>
                <c:pt idx="1981">
                  <c:v>8.406689601377079E-35</c:v>
                </c:pt>
                <c:pt idx="1982">
                  <c:v>1.7791143600538415E-34</c:v>
                </c:pt>
                <c:pt idx="1983">
                  <c:v>3.7515843802736396E-34</c:v>
                </c:pt>
                <c:pt idx="1984">
                  <c:v>7.882383743537154E-34</c:v>
                </c:pt>
                <c:pt idx="1985">
                  <c:v>1.6501842220816512E-33</c:v>
                </c:pt>
                <c:pt idx="1986">
                  <c:v>3.442225264554766E-33</c:v>
                </c:pt>
                <c:pt idx="1987">
                  <c:v>7.1544811940734797E-33</c:v>
                </c:pt>
                <c:pt idx="1988">
                  <c:v>1.4816615343929662E-32</c:v>
                </c:pt>
                <c:pt idx="1989">
                  <c:v>3.0573972261918527E-32</c:v>
                </c:pt>
                <c:pt idx="1990">
                  <c:v>6.2861787961669839E-32</c:v>
                </c:pt>
                <c:pt idx="1991">
                  <c:v>1.2878153363359778E-31</c:v>
                </c:pt>
                <c:pt idx="1992">
                  <c:v>2.628769197057267E-31</c:v>
                </c:pt>
                <c:pt idx="1993">
                  <c:v>5.3466692972230112E-31</c:v>
                </c:pt>
                <c:pt idx="1994">
                  <c:v>1.0835430971697764E-30</c:v>
                </c:pt>
                <c:pt idx="1995">
                  <c:v>2.1879684626591805E-30</c:v>
                </c:pt>
                <c:pt idx="1996">
                  <c:v>4.402181324103353E-30</c:v>
                </c:pt>
                <c:pt idx="1997">
                  <c:v>8.8252455404621644E-30</c:v>
                </c:pt>
                <c:pt idx="1998">
                  <c:v>1.7628593724116251E-29</c:v>
                </c:pt>
                <c:pt idx="1999">
                  <c:v>3.5086539885410302E-29</c:v>
                </c:pt>
                <c:pt idx="2000">
                  <c:v>6.9581760963893275E-29</c:v>
                </c:pt>
                <c:pt idx="2001">
                  <c:v>1.3749353903528582E-28</c:v>
                </c:pt>
                <c:pt idx="2002">
                  <c:v>2.7070804779164636E-28</c:v>
                </c:pt>
                <c:pt idx="2003">
                  <c:v>5.3107033685419797E-28</c:v>
                </c:pt>
                <c:pt idx="2004">
                  <c:v>1.0380897981463519E-27</c:v>
                </c:pt>
                <c:pt idx="2005">
                  <c:v>2.0218540523690235E-27</c:v>
                </c:pt>
                <c:pt idx="2006">
                  <c:v>3.9237080344619988E-27</c:v>
                </c:pt>
                <c:pt idx="2007">
                  <c:v>7.5870957673460612E-27</c:v>
                </c:pt>
                <c:pt idx="2008">
                  <c:v>1.4617949232333858E-26</c:v>
                </c:pt>
                <c:pt idx="2009">
                  <c:v>2.8062692260736657E-26</c:v>
                </c:pt>
                <c:pt idx="2010">
                  <c:v>5.3678975623840615E-26</c:v>
                </c:pt>
                <c:pt idx="2011">
                  <c:v>1.0230835606402061E-25</c:v>
                </c:pt>
                <c:pt idx="2012">
                  <c:v>1.942897969113472E-25</c:v>
                </c:pt>
                <c:pt idx="2013">
                  <c:v>3.6763841369266722E-25</c:v>
                </c:pt>
                <c:pt idx="2014">
                  <c:v>6.9314448782495761E-25</c:v>
                </c:pt>
                <c:pt idx="2015">
                  <c:v>1.3021429545145297E-24</c:v>
                </c:pt>
                <c:pt idx="2016">
                  <c:v>2.4373929924027111E-24</c:v>
                </c:pt>
                <c:pt idx="2017">
                  <c:v>4.5459478792519041E-24</c:v>
                </c:pt>
                <c:pt idx="2018">
                  <c:v>8.4480280499117357E-24</c:v>
                </c:pt>
                <c:pt idx="2019">
                  <c:v>1.5642935098072859E-23</c:v>
                </c:pt>
                <c:pt idx="2020">
                  <c:v>2.8861117363385686E-23</c:v>
                </c:pt>
                <c:pt idx="2021">
                  <c:v>5.3056676186832068E-23</c:v>
                </c:pt>
                <c:pt idx="2022">
                  <c:v>9.7184932927889367E-23</c:v>
                </c:pt>
                <c:pt idx="2023">
                  <c:v>1.7737395108477165E-22</c:v>
                </c:pt>
                <c:pt idx="2024">
                  <c:v>3.2256165772126957E-22</c:v>
                </c:pt>
                <c:pt idx="2025">
                  <c:v>5.8447729603095451E-22</c:v>
                </c:pt>
                <c:pt idx="2026">
                  <c:v>1.0552480303085364E-21</c:v>
                </c:pt>
                <c:pt idx="2027">
                  <c:v>1.8983376264350328E-21</c:v>
                </c:pt>
                <c:pt idx="2028">
                  <c:v>3.4027054971400135E-21</c:v>
                </c:pt>
                <c:pt idx="2029">
                  <c:v>6.0772523568092968E-21</c:v>
                </c:pt>
                <c:pt idx="2030">
                  <c:v>1.0814891827845049E-20</c:v>
                </c:pt>
                <c:pt idx="2031">
                  <c:v>1.9176488762732384E-20</c:v>
                </c:pt>
                <c:pt idx="2032">
                  <c:v>3.3880358869420538E-20</c:v>
                </c:pt>
                <c:pt idx="2033">
                  <c:v>5.9642922343140842E-20</c:v>
                </c:pt>
                <c:pt idx="2034">
                  <c:v>1.0461689555961217E-19</c:v>
                </c:pt>
                <c:pt idx="2035">
                  <c:v>1.828423285612615E-19</c:v>
                </c:pt>
                <c:pt idx="2036">
                  <c:v>3.1840777194913472E-19</c:v>
                </c:pt>
                <c:pt idx="2037">
                  <c:v>5.5248765348407913E-19</c:v>
                </c:pt>
                <c:pt idx="2038">
                  <c:v>9.5519820097579032E-19</c:v>
                </c:pt>
                <c:pt idx="2039">
                  <c:v>1.6454944264768442E-18</c:v>
                </c:pt>
                <c:pt idx="2040">
                  <c:v>2.8244333871427717E-18</c:v>
                </c:pt>
                <c:pt idx="2041">
                  <c:v>4.8305686523202149E-18</c:v>
                </c:pt>
                <c:pt idx="2042">
                  <c:v>8.2318449555280905E-18</c:v>
                </c:pt>
                <c:pt idx="2043">
                  <c:v>1.3977455121301018E-17</c:v>
                </c:pt>
                <c:pt idx="2044">
                  <c:v>2.3647815706850847E-17</c:v>
                </c:pt>
                <c:pt idx="2045">
                  <c:v>3.9864466741591183E-17</c:v>
                </c:pt>
                <c:pt idx="2046">
                  <c:v>6.6959605611060019E-17</c:v>
                </c:pt>
                <c:pt idx="2047">
                  <c:v>1.1206546982436194E-16</c:v>
                </c:pt>
                <c:pt idx="2048">
                  <c:v>1.8687996606738388E-16</c:v>
                </c:pt>
                <c:pt idx="2049">
                  <c:v>3.1051721196564798E-16</c:v>
                </c:pt>
                <c:pt idx="2050">
                  <c:v>5.1409172200426662E-16</c:v>
                </c:pt>
                <c:pt idx="2051">
                  <c:v>8.4806188473601359E-16</c:v>
                </c:pt>
                <c:pt idx="2052">
                  <c:v>1.3939477005709536E-15</c:v>
                </c:pt>
                <c:pt idx="2053">
                  <c:v>2.2829553415886459E-15</c:v>
                </c:pt>
                <c:pt idx="2054">
                  <c:v>3.7254638490602368E-15</c:v>
                </c:pt>
                <c:pt idx="2055">
                  <c:v>6.0575260723534241E-15</c:v>
                </c:pt>
                <c:pt idx="2056">
                  <c:v>9.8139136370293789E-15</c:v>
                </c:pt>
                <c:pt idx="2057">
                  <c:v>1.584240723495532E-14</c:v>
                </c:pt>
                <c:pt idx="2058">
                  <c:v>2.5481918064228765E-14</c:v>
                </c:pt>
                <c:pt idx="2059">
                  <c:v>4.0838996143732347E-14</c:v>
                </c:pt>
                <c:pt idx="2060">
                  <c:v>6.5215376023461302E-14</c:v>
                </c:pt>
                <c:pt idx="2061">
                  <c:v>1.0376644742356254E-13</c:v>
                </c:pt>
                <c:pt idx="2062">
                  <c:v>1.6451136096411448E-13</c:v>
                </c:pt>
                <c:pt idx="2063">
                  <c:v>2.5987640074003775E-13</c:v>
                </c:pt>
                <c:pt idx="2064">
                  <c:v>4.0904377934728224E-13</c:v>
                </c:pt>
                <c:pt idx="2065">
                  <c:v>6.415119381544108E-13</c:v>
                </c:pt>
                <c:pt idx="2066">
                  <c:v>1.0024707144780094E-12</c:v>
                </c:pt>
                <c:pt idx="2067">
                  <c:v>1.5608840651844556E-12</c:v>
                </c:pt>
                <c:pt idx="2068">
                  <c:v>2.4215954998590763E-12</c:v>
                </c:pt>
                <c:pt idx="2069">
                  <c:v>3.7433855187038486E-12</c:v>
                </c:pt>
                <c:pt idx="2070">
                  <c:v>5.7657991818552244E-12</c:v>
                </c:pt>
                <c:pt idx="2071">
                  <c:v>8.8488425899420504E-12</c:v>
                </c:pt>
                <c:pt idx="2072">
                  <c:v>1.3531483995106699E-11</c:v>
                </c:pt>
                <c:pt idx="2073">
                  <c:v>2.0617518264543899E-11</c:v>
                </c:pt>
                <c:pt idx="2074">
                  <c:v>3.1301081901428378E-11</c:v>
                </c:pt>
                <c:pt idx="2075">
                  <c:v>4.7349381567039077E-11</c:v>
                </c:pt>
                <c:pt idx="2076">
                  <c:v>7.1367629922365865E-11</c:v>
                </c:pt>
                <c:pt idx="2077">
                  <c:v>1.071816007219558E-10</c:v>
                </c:pt>
                <c:pt idx="2078">
                  <c:v>1.6038775351604465E-10</c:v>
                </c:pt>
                <c:pt idx="2079">
                  <c:v>2.3914107175028608E-10</c:v>
                </c:pt>
                <c:pt idx="2080">
                  <c:v>3.5527867401410222E-10</c:v>
                </c:pt>
                <c:pt idx="2081">
                  <c:v>5.2591566680388684E-10</c:v>
                </c:pt>
                <c:pt idx="2082">
                  <c:v>7.757022993823483E-10</c:v>
                </c:pt>
                <c:pt idx="2083">
                  <c:v>1.1400031473166232E-9</c:v>
                </c:pt>
                <c:pt idx="2084">
                  <c:v>1.6693562330510783E-9</c:v>
                </c:pt>
                <c:pt idx="2085">
                  <c:v>2.4357011261619589E-9</c:v>
                </c:pt>
                <c:pt idx="2086">
                  <c:v>3.5410411362361472E-9</c:v>
                </c:pt>
                <c:pt idx="2087">
                  <c:v>5.1294399297945134E-9</c:v>
                </c:pt>
                <c:pt idx="2088">
                  <c:v>7.4035655450836414E-9</c:v>
                </c:pt>
                <c:pt idx="2089">
                  <c:v>1.0647408196486974E-8</c:v>
                </c:pt>
                <c:pt idx="2090">
                  <c:v>1.5257342095971611E-8</c:v>
                </c:pt>
                <c:pt idx="2091">
                  <c:v>2.1784413146742626E-8</c:v>
                </c:pt>
                <c:pt idx="2092">
                  <c:v>3.0991660580601038E-8</c:v>
                </c:pt>
                <c:pt idx="2093">
                  <c:v>4.3931479588581578E-8</c:v>
                </c:pt>
                <c:pt idx="2094">
                  <c:v>6.2049575511139077E-8</c:v>
                </c:pt>
                <c:pt idx="2095">
                  <c:v>8.7324036083342913E-8</c:v>
                </c:pt>
                <c:pt idx="2096">
                  <c:v>1.2245056327919658E-7</c:v>
                </c:pt>
                <c:pt idx="2097">
                  <c:v>1.7108808893639832E-7</c:v>
                </c:pt>
                <c:pt idx="2098">
                  <c:v>2.381830018406993E-7</c:v>
                </c:pt>
                <c:pt idx="2099">
                  <c:v>3.3039521941158407E-7</c:v>
                </c:pt>
                <c:pt idx="2100">
                  <c:v>4.5665555633988906E-7</c:v>
                </c:pt>
                <c:pt idx="2101">
                  <c:v>6.2889152036869118E-7</c:v>
                </c:pt>
                <c:pt idx="2102">
                  <c:v>8.6296808157871343E-7</c:v>
                </c:pt>
                <c:pt idx="2103">
                  <c:v>1.1799014311514867E-6</c:v>
                </c:pt>
                <c:pt idx="2104">
                  <c:v>1.607417618205062E-6</c:v>
                </c:pt>
                <c:pt idx="2105">
                  <c:v>2.181944609865257E-6</c:v>
                </c:pt>
                <c:pt idx="2106">
                  <c:v>2.9511461667028861E-6</c:v>
                </c:pt>
                <c:pt idx="2107">
                  <c:v>3.977129385667748E-6</c:v>
                </c:pt>
                <c:pt idx="2108">
                  <c:v>5.3404852608676254E-6</c:v>
                </c:pt>
                <c:pt idx="2109">
                  <c:v>7.145353557992456E-6</c:v>
                </c:pt>
                <c:pt idx="2110">
                  <c:v>9.5257400590258488E-6</c:v>
                </c:pt>
                <c:pt idx="2111">
                  <c:v>1.2653356106032177E-5</c:v>
                </c:pt>
                <c:pt idx="2112">
                  <c:v>1.67472975410972E-5</c:v>
                </c:pt>
                <c:pt idx="2113">
                  <c:v>2.2085932631057966E-5</c:v>
                </c:pt>
                <c:pt idx="2114">
                  <c:v>2.9021426195115978E-5</c:v>
                </c:pt>
                <c:pt idx="2115">
                  <c:v>3.7997389460433022E-5</c:v>
                </c:pt>
                <c:pt idx="2116">
                  <c:v>4.9570211350393561E-5</c:v>
                </c:pt>
                <c:pt idx="2117">
                  <c:v>6.4434695737534885E-5</c:v>
                </c:pt>
                <c:pt idx="2118">
                  <c:v>8.3454698944902963E-5</c:v>
                </c:pt>
                <c:pt idx="2119">
                  <c:v>1.0769953015501566E-4</c:v>
                </c:pt>
                <c:pt idx="2120">
                  <c:v>1.3848694143149215E-4</c:v>
                </c:pt>
                <c:pt idx="2121">
                  <c:v>1.7743359010288272E-4</c:v>
                </c:pt>
                <c:pt idx="2122">
                  <c:v>2.265138998604361E-4</c:v>
                </c:pt>
                <c:pt idx="2123">
                  <c:v>2.8812827284314046E-4</c:v>
                </c:pt>
                <c:pt idx="2124">
                  <c:v>3.651816071921458E-4</c:v>
                </c:pt>
                <c:pt idx="2125">
                  <c:v>4.6117304626804945E-4</c:v>
                </c:pt>
                <c:pt idx="2126">
                  <c:v>5.8029781949447067E-4</c:v>
                </c:pt>
                <c:pt idx="2127">
                  <c:v>7.275619226638925E-4</c:v>
                </c:pt>
                <c:pt idx="2128">
                  <c:v>9.0891021926645642E-4</c:v>
                </c:pt>
                <c:pt idx="2129">
                  <c:v>1.1313683157196451E-3</c:v>
                </c:pt>
                <c:pt idx="2130">
                  <c:v>1.403198264385417E-3</c:v>
                </c:pt>
                <c:pt idx="2131">
                  <c:v>1.7340677718609423E-3</c:v>
                </c:pt>
                <c:pt idx="2132">
                  <c:v>2.135232130436847E-3</c:v>
                </c:pt>
                <c:pt idx="2133">
                  <c:v>2.6197275439582587E-3</c:v>
                </c:pt>
                <c:pt idx="2134">
                  <c:v>3.2025738842666267E-3</c:v>
                </c:pt>
                <c:pt idx="2135">
                  <c:v>3.9009841928347756E-3</c:v>
                </c:pt>
                <c:pt idx="2136">
                  <c:v>4.7345774399189166E-3</c:v>
                </c:pt>
                <c:pt idx="2137">
                  <c:v>5.7255901808832129E-3</c:v>
                </c:pt>
                <c:pt idx="2138">
                  <c:v>6.899081821781913E-3</c:v>
                </c:pt>
                <c:pt idx="2139">
                  <c:v>8.2831272449088722E-3</c:v>
                </c:pt>
                <c:pt idx="2140">
                  <c:v>9.9089895768592982E-3</c:v>
                </c:pt>
                <c:pt idx="2141">
                  <c:v>1.1811264939737422E-2</c:v>
                </c:pt>
                <c:pt idx="2142">
                  <c:v>1.402799014938981E-2</c:v>
                </c:pt>
                <c:pt idx="2143">
                  <c:v>1.6600703557212434E-2</c:v>
                </c:pt>
                <c:pt idx="2144">
                  <c:v>1.9574448623006349E-2</c:v>
                </c:pt>
                <c:pt idx="2145">
                  <c:v>2.2997709407684447E-2</c:v>
                </c:pt>
                <c:pt idx="2146">
                  <c:v>2.6922267040266512E-2</c:v>
                </c:pt>
                <c:pt idx="2147">
                  <c:v>3.1402966397143552E-2</c:v>
                </c:pt>
                <c:pt idx="2148">
                  <c:v>3.6497382784075279E-2</c:v>
                </c:pt>
                <c:pt idx="2149">
                  <c:v>4.2265379378512283E-2</c:v>
                </c:pt>
                <c:pt idx="2150">
                  <c:v>4.8768547609197729E-2</c:v>
                </c:pt>
                <c:pt idx="2151">
                  <c:v>5.6069524547946357E-2</c:v>
                </c:pt>
                <c:pt idx="2152">
                  <c:v>6.4231183777262779E-2</c:v>
                </c:pt>
                <c:pt idx="2153">
                  <c:v>7.3315699072179399E-2</c:v>
                </c:pt>
                <c:pt idx="2154">
                  <c:v>8.3383483571057349E-2</c:v>
                </c:pt>
                <c:pt idx="2155">
                  <c:v>9.4492010862148951E-2</c:v>
                </c:pt>
                <c:pt idx="2156">
                  <c:v>0.10669452851175554</c:v>
                </c:pt>
                <c:pt idx="2157">
                  <c:v>0.12003867891378539</c:v>
                </c:pt>
                <c:pt idx="2158">
                  <c:v>0.13456504683455942</c:v>
                </c:pt>
                <c:pt idx="2159">
                  <c:v>0.15030565752501152</c:v>
                </c:pt>
                <c:pt idx="2160">
                  <c:v>0.16728245362081898</c:v>
                </c:pt>
                <c:pt idx="2161">
                  <c:v>0.18550578308134735</c:v>
                </c:pt>
                <c:pt idx="2162">
                  <c:v>0.204972933953424</c:v>
                </c:pt>
                <c:pt idx="2163">
                  <c:v>0.22566675460635288</c:v>
                </c:pt>
                <c:pt idx="2164">
                  <c:v>0.2475544000951776</c:v>
                </c:pt>
                <c:pt idx="2165">
                  <c:v>0.2705862463076148</c:v>
                </c:pt>
                <c:pt idx="2166">
                  <c:v>0.29469501339429049</c:v>
                </c:pt>
                <c:pt idx="2167">
                  <c:v>0.31979513855882385</c:v>
                </c:pt>
                <c:pt idx="2168">
                  <c:v>0.34578243551706378</c:v>
                </c:pt>
                <c:pt idx="2169">
                  <c:v>0.37253407378950065</c:v>
                </c:pt>
                <c:pt idx="2170">
                  <c:v>0.39990890548249641</c:v>
                </c:pt>
                <c:pt idx="2171">
                  <c:v>0.42774816040950359</c:v>
                </c:pt>
                <c:pt idx="2172">
                  <c:v>0.45587652242434146</c:v>
                </c:pt>
                <c:pt idx="2173">
                  <c:v>0.48410359085961963</c:v>
                </c:pt>
                <c:pt idx="2174">
                  <c:v>0.51222572121044585</c:v>
                </c:pt>
                <c:pt idx="2175">
                  <c:v>0.54002822894742275</c:v>
                </c:pt>
                <c:pt idx="2176">
                  <c:v>0.56728792989230148</c:v>
                </c:pt>
                <c:pt idx="2177">
                  <c:v>0.59377598028018774</c:v>
                </c:pt>
                <c:pt idx="2178">
                  <c:v>0.61926096981553003</c:v>
                </c:pt>
                <c:pt idx="2179">
                  <c:v>0.64351221205863973</c:v>
                </c:pt>
                <c:pt idx="2180">
                  <c:v>0.66630316869691841</c:v>
                </c:pt>
                <c:pt idx="2181">
                  <c:v>0.68741493797514608</c:v>
                </c:pt>
                <c:pt idx="2182">
                  <c:v>0.7066397330568116</c:v>
                </c:pt>
                <c:pt idx="2183">
                  <c:v>0.72378427358467334</c:v>
                </c:pt>
                <c:pt idx="2184">
                  <c:v>0.73867301336014191</c:v>
                </c:pt>
                <c:pt idx="2185">
                  <c:v>0.7511511289513777</c:v>
                </c:pt>
                <c:pt idx="2186">
                  <c:v>0.76108719817367387</c:v>
                </c:pt>
                <c:pt idx="2187">
                  <c:v>0.76837550368599972</c:v>
                </c:pt>
                <c:pt idx="2188">
                  <c:v>0.77293790525700246</c:v>
                </c:pt>
                <c:pt idx="2189">
                  <c:v>0.77472523433896479</c:v>
                </c:pt>
                <c:pt idx="2190">
                  <c:v>0.77371817614751548</c:v>
                </c:pt>
                <c:pt idx="2191">
                  <c:v>0.76992761711948443</c:v>
                </c:pt>
                <c:pt idx="2192">
                  <c:v>0.76339444900870657</c:v>
                </c:pt>
                <c:pt idx="2193">
                  <c:v>0.75418883454933738</c:v>
                </c:pt>
                <c:pt idx="2194">
                  <c:v>0.74240895312669952</c:v>
                </c:pt>
                <c:pt idx="2195">
                  <c:v>0.7281792578115025</c:v>
                </c:pt>
                <c:pt idx="2196">
                  <c:v>0.71164828702253247</c:v>
                </c:pt>
                <c:pt idx="2197">
                  <c:v>0.6929860846131124</c:v>
                </c:pt>
                <c:pt idx="2198">
                  <c:v>0.67238129100890964</c:v>
                </c:pt>
                <c:pt idx="2199">
                  <c:v>0.65003797490567938</c:v>
                </c:pt>
                <c:pt idx="2200">
                  <c:v>0.62617227978592804</c:v>
                </c:pt>
                <c:pt idx="2201">
                  <c:v>0.60100896203374532</c:v>
                </c:pt>
                <c:pt idx="2202">
                  <c:v>0.57477789769901844</c:v>
                </c:pt>
                <c:pt idx="2203">
                  <c:v>0.54771063304798817</c:v>
                </c:pt>
                <c:pt idx="2204">
                  <c:v>0.52003705007356404</c:v>
                </c:pt>
                <c:pt idx="2205">
                  <c:v>0.49198221233012829</c:v>
                </c:pt>
                <c:pt idx="2206">
                  <c:v>0.46376344906474687</c:v>
                </c:pt>
                <c:pt idx="2207">
                  <c:v>0.43558772694465164</c:v>
                </c:pt>
                <c:pt idx="2208">
                  <c:v>0.40764934906534384</c:v>
                </c:pt>
                <c:pt idx="2209">
                  <c:v>0.38012801071616109</c:v>
                </c:pt>
                <c:pt idx="2210">
                  <c:v>0.35318723093427495</c:v>
                </c:pt>
                <c:pt idx="2211">
                  <c:v>0.32697316853513053</c:v>
                </c:pt>
                <c:pt idx="2212">
                  <c:v>0.30161382138473608</c:v>
                </c:pt>
                <c:pt idx="2213">
                  <c:v>0.27721859845911995</c:v>
                </c:pt>
                <c:pt idx="2214">
                  <c:v>0.25387824595790709</c:v>
                </c:pt>
                <c:pt idx="2215">
                  <c:v>0.23166510159165946</c:v>
                </c:pt>
                <c:pt idx="2216">
                  <c:v>0.21063364528299022</c:v>
                </c:pt>
                <c:pt idx="2217">
                  <c:v>0.19082130999153865</c:v>
                </c:pt>
                <c:pt idx="2218">
                  <c:v>0.17224951322197454</c:v>
                </c:pt>
                <c:pt idx="2219">
                  <c:v>0.15492486798146643</c:v>
                </c:pt>
                <c:pt idx="2220">
                  <c:v>0.13884053145306263</c:v>
                </c:pt>
                <c:pt idx="2221">
                  <c:v>0.12397765034051637</c:v>
                </c:pt>
                <c:pt idx="2222">
                  <c:v>0.11030686358342211</c:v>
                </c:pt>
                <c:pt idx="2223">
                  <c:v>9.7789825781687656E-2</c:v>
                </c:pt>
                <c:pt idx="2224">
                  <c:v>8.6380718032942949E-2</c:v>
                </c:pt>
                <c:pt idx="2225">
                  <c:v>7.6027716796521316E-2</c:v>
                </c:pt>
                <c:pt idx="2226">
                  <c:v>6.6674395674565956E-2</c:v>
                </c:pt>
                <c:pt idx="2227">
                  <c:v>5.826103947343781E-2</c:v>
                </c:pt>
                <c:pt idx="2228">
                  <c:v>5.0725854418347767E-2</c:v>
                </c:pt>
                <c:pt idx="2229">
                  <c:v>4.4006062799768146E-2</c:v>
                </c:pt>
                <c:pt idx="2230">
                  <c:v>3.8038874510717011E-2</c:v>
                </c:pt>
                <c:pt idx="2231">
                  <c:v>3.2762331790949908E-2</c:v>
                </c:pt>
                <c:pt idx="2232">
                  <c:v>2.8116026952219215E-2</c:v>
                </c:pt>
                <c:pt idx="2233">
                  <c:v>2.4041695865828518E-2</c:v>
                </c:pt>
                <c:pt idx="2234">
                  <c:v>2.0483692519565971E-2</c:v>
                </c:pt>
                <c:pt idx="2235">
                  <c:v>1.7389351985655936E-2</c:v>
                </c:pt>
                <c:pt idx="2236">
                  <c:v>1.4709250692379034E-2</c:v>
                </c:pt>
                <c:pt idx="2237">
                  <c:v>1.239737398215782E-2</c:v>
                </c:pt>
                <c:pt idx="2238">
                  <c:v>1.041120160296023E-2</c:v>
                </c:pt>
                <c:pt idx="2239">
                  <c:v>8.7117220615574968E-3</c:v>
                </c:pt>
                <c:pt idx="2240">
                  <c:v>7.2633867163206193E-3</c:v>
                </c:pt>
                <c:pt idx="2241">
                  <c:v>6.034014156974573E-3</c:v>
                </c:pt>
                <c:pt idx="2242">
                  <c:v>4.9946548630973517E-3</c:v>
                </c:pt>
                <c:pt idx="2243">
                  <c:v>4.1194254049607588E-3</c:v>
                </c:pt>
                <c:pt idx="2244">
                  <c:v>3.3853205994651306E-3</c:v>
                </c:pt>
                <c:pt idx="2245">
                  <c:v>2.7720111060579632E-3</c:v>
                </c:pt>
                <c:pt idx="2246">
                  <c:v>2.261632983114506E-3</c:v>
                </c:pt>
                <c:pt idx="2247">
                  <c:v>1.8385747590073959E-3</c:v>
                </c:pt>
                <c:pt idx="2248">
                  <c:v>1.4892666326998363E-3</c:v>
                </c:pt>
                <c:pt idx="2249">
                  <c:v>1.2019755288943687E-3</c:v>
                </c:pt>
                <c:pt idx="2250">
                  <c:v>9.6660890955983466E-4</c:v>
                </c:pt>
                <c:pt idx="2251">
                  <c:v>7.7452949876881502E-4</c:v>
                </c:pt>
                <c:pt idx="2252">
                  <c:v>6.183824181993096E-4</c:v>
                </c:pt>
                <c:pt idx="2253">
                  <c:v>4.9193565930053559E-4</c:v>
                </c:pt>
                <c:pt idx="2254">
                  <c:v>3.8993433449179915E-4</c:v>
                </c:pt>
                <c:pt idx="2255">
                  <c:v>3.0796875062598936E-4</c:v>
                </c:pt>
                <c:pt idx="2256">
                  <c:v>2.4235602799341731E-4</c:v>
                </c:pt>
                <c:pt idx="2257">
                  <c:v>1.9003474058053448E-4</c:v>
                </c:pt>
                <c:pt idx="2258">
                  <c:v>1.4847187040598241E-4</c:v>
                </c:pt>
                <c:pt idx="2259">
                  <c:v>1.1558124233375188E-4</c:v>
                </c:pt>
                <c:pt idx="2260">
                  <c:v>8.9652527524949424E-5</c:v>
                </c:pt>
                <c:pt idx="2261">
                  <c:v>6.9289865572613672E-5</c:v>
                </c:pt>
                <c:pt idx="2262">
                  <c:v>5.3359149763562854E-5</c:v>
                </c:pt>
                <c:pt idx="2263">
                  <c:v>4.0943039846814993E-5</c:v>
                </c:pt>
                <c:pt idx="2264">
                  <c:v>3.13028059111742E-5</c:v>
                </c:pt>
                <c:pt idx="2265">
                  <c:v>2.3846160022962974E-5</c:v>
                </c:pt>
                <c:pt idx="2266">
                  <c:v>1.8100294486645728E-5</c:v>
                </c:pt>
                <c:pt idx="2267">
                  <c:v>1.3689413083627024E-5</c:v>
                </c:pt>
                <c:pt idx="2268">
                  <c:v>1.0316111269975473E-5</c:v>
                </c:pt>
                <c:pt idx="2269">
                  <c:v>7.7460305963330081E-6</c:v>
                </c:pt>
                <c:pt idx="2270">
                  <c:v>5.7952796760521414E-6</c:v>
                </c:pt>
                <c:pt idx="2271">
                  <c:v>4.3201775144808878E-6</c:v>
                </c:pt>
                <c:pt idx="2272">
                  <c:v>3.2089340087716945E-6</c:v>
                </c:pt>
                <c:pt idx="2273">
                  <c:v>2.3749363842410293E-6</c:v>
                </c:pt>
                <c:pt idx="2274">
                  <c:v>1.7513589945518743E-6</c:v>
                </c:pt>
                <c:pt idx="2275">
                  <c:v>1.2868572524334154E-6</c:v>
                </c:pt>
                <c:pt idx="2276">
                  <c:v>9.4214462109528128E-7</c:v>
                </c:pt>
                <c:pt idx="2277">
                  <c:v>6.8728485305291391E-7</c:v>
                </c:pt>
                <c:pt idx="2278">
                  <c:v>4.9956036418786297E-7</c:v>
                </c:pt>
                <c:pt idx="2279">
                  <c:v>3.6180217688271143E-7</c:v>
                </c:pt>
                <c:pt idx="2280">
                  <c:v>2.6108767978486768E-7</c:v>
                </c:pt>
                <c:pt idx="2281">
                  <c:v>1.8772995808984524E-7</c:v>
                </c:pt>
                <c:pt idx="2282">
                  <c:v>1.3449705927540624E-7</c:v>
                </c:pt>
                <c:pt idx="2283">
                  <c:v>9.6011663756575183E-8</c:v>
                </c:pt>
                <c:pt idx="2284">
                  <c:v>6.8291586718392592E-8</c:v>
                </c:pt>
                <c:pt idx="2285">
                  <c:v>4.8399671337088263E-8</c:v>
                </c:pt>
                <c:pt idx="2286">
                  <c:v>3.4178234312794734E-8</c:v>
                </c:pt>
                <c:pt idx="2287">
                  <c:v>2.4048546589675952E-8</c:v>
                </c:pt>
                <c:pt idx="2288">
                  <c:v>1.6860096145667857E-8</c:v>
                </c:pt>
                <c:pt idx="2289">
                  <c:v>1.177777519770725E-8</c:v>
                </c:pt>
                <c:pt idx="2290">
                  <c:v>8.1978218387292691E-9</c:v>
                </c:pt>
                <c:pt idx="2291">
                  <c:v>5.6854610920322074E-9</c:v>
                </c:pt>
                <c:pt idx="2292">
                  <c:v>3.9288451239451452E-9</c:v>
                </c:pt>
                <c:pt idx="2293">
                  <c:v>2.705179749164492E-9</c:v>
                </c:pt>
                <c:pt idx="2294">
                  <c:v>1.8559204079100069E-9</c:v>
                </c:pt>
                <c:pt idx="2295">
                  <c:v>1.2686872291651108E-9</c:v>
                </c:pt>
                <c:pt idx="2296">
                  <c:v>8.641353870975771E-10</c:v>
                </c:pt>
                <c:pt idx="2297">
                  <c:v>5.8646353449194628E-10</c:v>
                </c:pt>
                <c:pt idx="2298">
                  <c:v>3.9658130527239229E-10</c:v>
                </c:pt>
                <c:pt idx="2299">
                  <c:v>2.6721169592394953E-10</c:v>
                </c:pt>
                <c:pt idx="2300">
                  <c:v>1.7939514692257165E-10</c:v>
                </c:pt>
                <c:pt idx="2301">
                  <c:v>1.2000460673427901E-10</c:v>
                </c:pt>
                <c:pt idx="2302">
                  <c:v>7.9986583529794459E-11</c:v>
                </c:pt>
                <c:pt idx="2303">
                  <c:v>5.3121261194301777E-11</c:v>
                </c:pt>
                <c:pt idx="2304">
                  <c:v>3.5152127018667194E-11</c:v>
                </c:pt>
                <c:pt idx="2305">
                  <c:v>2.3177513434383268E-11</c:v>
                </c:pt>
                <c:pt idx="2306">
                  <c:v>1.5226990447102637E-11</c:v>
                </c:pt>
                <c:pt idx="2307">
                  <c:v>9.9676621711988442E-12</c:v>
                </c:pt>
                <c:pt idx="2308">
                  <c:v>6.5013649623675947E-12</c:v>
                </c:pt>
                <c:pt idx="2309">
                  <c:v>4.2252049870468337E-12</c:v>
                </c:pt>
                <c:pt idx="2310">
                  <c:v>2.7360436532514323E-12</c:v>
                </c:pt>
                <c:pt idx="2311">
                  <c:v>1.7653477236421209E-12</c:v>
                </c:pt>
                <c:pt idx="2312">
                  <c:v>1.1349311151571997E-12</c:v>
                </c:pt>
                <c:pt idx="2313">
                  <c:v>7.2701060292719094E-13</c:v>
                </c:pt>
                <c:pt idx="2314">
                  <c:v>4.6402778715472634E-13</c:v>
                </c:pt>
                <c:pt idx="2315">
                  <c:v>2.9510681054305735E-13</c:v>
                </c:pt>
                <c:pt idx="2316">
                  <c:v>1.8700209754905712E-13</c:v>
                </c:pt>
                <c:pt idx="2317">
                  <c:v>1.1807167509227242E-13</c:v>
                </c:pt>
                <c:pt idx="2318">
                  <c:v>7.4280868439670876E-14</c:v>
                </c:pt>
                <c:pt idx="2319">
                  <c:v>4.656292152021027E-14</c:v>
                </c:pt>
                <c:pt idx="2320">
                  <c:v>2.9082750124755592E-14</c:v>
                </c:pt>
                <c:pt idx="2321">
                  <c:v>1.80993393714928E-14</c:v>
                </c:pt>
                <c:pt idx="2322">
                  <c:v>1.1223336286947096E-14</c:v>
                </c:pt>
                <c:pt idx="2323">
                  <c:v>6.934469299088017E-15</c:v>
                </c:pt>
                <c:pt idx="2324">
                  <c:v>4.2691015415106667E-15</c:v>
                </c:pt>
                <c:pt idx="2325">
                  <c:v>2.6187361345776994E-15</c:v>
                </c:pt>
                <c:pt idx="2326">
                  <c:v>1.6005859420868905E-15</c:v>
                </c:pt>
                <c:pt idx="2327">
                  <c:v>9.7476125103844018E-16</c:v>
                </c:pt>
                <c:pt idx="2328">
                  <c:v>5.9149287331741131E-16</c:v>
                </c:pt>
                <c:pt idx="2329">
                  <c:v>3.5762904023361655E-16</c:v>
                </c:pt>
                <c:pt idx="2330">
                  <c:v>2.1545076437140993E-16</c:v>
                </c:pt>
                <c:pt idx="2331">
                  <c:v>1.2932881622692014E-16</c:v>
                </c:pt>
                <c:pt idx="2332">
                  <c:v>7.7352537813667861E-17</c:v>
                </c:pt>
                <c:pt idx="2333">
                  <c:v>4.6098397912079322E-17</c:v>
                </c:pt>
                <c:pt idx="2334">
                  <c:v>2.7373422398974551E-17</c:v>
                </c:pt>
                <c:pt idx="2335">
                  <c:v>1.6195873163024101E-17</c:v>
                </c:pt>
                <c:pt idx="2336">
                  <c:v>9.5479829770395664E-18</c:v>
                </c:pt>
                <c:pt idx="2337">
                  <c:v>5.6085540078812933E-18</c:v>
                </c:pt>
                <c:pt idx="2338">
                  <c:v>3.2826318406642527E-18</c:v>
                </c:pt>
                <c:pt idx="2339">
                  <c:v>1.9143681066756655E-18</c:v>
                </c:pt>
                <c:pt idx="2340">
                  <c:v>1.1123993440815791E-18</c:v>
                </c:pt>
                <c:pt idx="2341">
                  <c:v>6.4406247866439652E-19</c:v>
                </c:pt>
                <c:pt idx="2342">
                  <c:v>3.715585635377788E-19</c:v>
                </c:pt>
                <c:pt idx="2343">
                  <c:v>2.135790018455232E-19</c:v>
                </c:pt>
                <c:pt idx="2344">
                  <c:v>1.2232686084647615E-19</c:v>
                </c:pt>
                <c:pt idx="2345">
                  <c:v>6.9809915234133974E-20</c:v>
                </c:pt>
                <c:pt idx="2346">
                  <c:v>3.969578470724648E-20</c:v>
                </c:pt>
                <c:pt idx="2347">
                  <c:v>2.2490736297774047E-20</c:v>
                </c:pt>
                <c:pt idx="2348">
                  <c:v>1.2696819823997189E-20</c:v>
                </c:pt>
                <c:pt idx="2349">
                  <c:v>7.1419736094637019E-21</c:v>
                </c:pt>
                <c:pt idx="2350">
                  <c:v>4.0028888094831858E-21</c:v>
                </c:pt>
                <c:pt idx="2351">
                  <c:v>2.2354286533662892E-21</c:v>
                </c:pt>
                <c:pt idx="2352">
                  <c:v>1.2438846292264787E-21</c:v>
                </c:pt>
                <c:pt idx="2353">
                  <c:v>6.8965420779176062E-22</c:v>
                </c:pt>
                <c:pt idx="2354">
                  <c:v>3.8099096836105872E-22</c:v>
                </c:pt>
                <c:pt idx="2355">
                  <c:v>2.0971523044355351E-22</c:v>
                </c:pt>
                <c:pt idx="2356">
                  <c:v>1.1502103324513309E-22</c:v>
                </c:pt>
                <c:pt idx="2357">
                  <c:v>6.2857421020906523E-23</c:v>
                </c:pt>
                <c:pt idx="2358">
                  <c:v>3.4226922644888053E-23</c:v>
                </c:pt>
                <c:pt idx="2359">
                  <c:v>1.8569967747188585E-23</c:v>
                </c:pt>
                <c:pt idx="2360">
                  <c:v>1.0038907364887964E-23</c:v>
                </c:pt>
                <c:pt idx="2361">
                  <c:v>5.4074653498426089E-24</c:v>
                </c:pt>
                <c:pt idx="2362">
                  <c:v>2.9022381384127135E-24</c:v>
                </c:pt>
                <c:pt idx="2363">
                  <c:v>1.5520451310857259E-24</c:v>
                </c:pt>
                <c:pt idx="2364">
                  <c:v>8.270040716094479E-25</c:v>
                </c:pt>
                <c:pt idx="2365">
                  <c:v>4.3907928761766245E-25</c:v>
                </c:pt>
                <c:pt idx="2366">
                  <c:v>2.3227916452922929E-25</c:v>
                </c:pt>
                <c:pt idx="2367">
                  <c:v>1.2243612069365149E-25</c:v>
                </c:pt>
                <c:pt idx="2368">
                  <c:v>6.4304426234315917E-26</c:v>
                </c:pt>
                <c:pt idx="2369">
                  <c:v>3.3651480469819851E-26</c:v>
                </c:pt>
                <c:pt idx="2370">
                  <c:v>1.7546862968128068E-26</c:v>
                </c:pt>
                <c:pt idx="2371">
                  <c:v>9.116471838174486E-27</c:v>
                </c:pt>
                <c:pt idx="2372">
                  <c:v>4.7193925882077414E-27</c:v>
                </c:pt>
                <c:pt idx="2373">
                  <c:v>2.4343186073152664E-27</c:v>
                </c:pt>
                <c:pt idx="2374">
                  <c:v>1.2511250871366653E-27</c:v>
                </c:pt>
                <c:pt idx="2375">
                  <c:v>6.4070195245767933E-28</c:v>
                </c:pt>
                <c:pt idx="2376">
                  <c:v>3.2692141017022802E-28</c:v>
                </c:pt>
                <c:pt idx="2377">
                  <c:v>1.6621211694034338E-28</c:v>
                </c:pt>
                <c:pt idx="2378">
                  <c:v>8.4200369889472912E-29</c:v>
                </c:pt>
                <c:pt idx="2379">
                  <c:v>4.2500820948991285E-29</c:v>
                </c:pt>
                <c:pt idx="2380">
                  <c:v>2.1375320726062824E-29</c:v>
                </c:pt>
                <c:pt idx="2381">
                  <c:v>1.0711738497340964E-29</c:v>
                </c:pt>
                <c:pt idx="2382">
                  <c:v>5.3485897165779927E-30</c:v>
                </c:pt>
                <c:pt idx="2383">
                  <c:v>2.661035138414957E-30</c:v>
                </c:pt>
                <c:pt idx="2384">
                  <c:v>1.3191492500168263E-30</c:v>
                </c:pt>
                <c:pt idx="2385">
                  <c:v>6.5158227487313327E-31</c:v>
                </c:pt>
                <c:pt idx="2386">
                  <c:v>3.2068348121133344E-31</c:v>
                </c:pt>
                <c:pt idx="2387">
                  <c:v>1.5725914804508973E-31</c:v>
                </c:pt>
                <c:pt idx="2388">
                  <c:v>7.6839980994473269E-32</c:v>
                </c:pt>
                <c:pt idx="2389">
                  <c:v>3.7410247392730281E-32</c:v>
                </c:pt>
                <c:pt idx="2390">
                  <c:v>1.8147880579602614E-32</c:v>
                </c:pt>
                <c:pt idx="2391">
                  <c:v>8.7718914051994466E-33</c:v>
                </c:pt>
                <c:pt idx="2392">
                  <c:v>4.2246679643652326E-33</c:v>
                </c:pt>
                <c:pt idx="2393">
                  <c:v>2.0273275285478882E-33</c:v>
                </c:pt>
                <c:pt idx="2394">
                  <c:v>9.69364821200609E-34</c:v>
                </c:pt>
                <c:pt idx="2395">
                  <c:v>4.6183048122031026E-34</c:v>
                </c:pt>
                <c:pt idx="2396">
                  <c:v>2.1923502233693178E-34</c:v>
                </c:pt>
                <c:pt idx="2397">
                  <c:v>1.0369773579289972E-34</c:v>
                </c:pt>
                <c:pt idx="2398">
                  <c:v>4.8872056680398143E-35</c:v>
                </c:pt>
                <c:pt idx="2399">
                  <c:v>2.295006706510356E-35</c:v>
                </c:pt>
                <c:pt idx="2400">
                  <c:v>1.0738393228685852E-35</c:v>
                </c:pt>
                <c:pt idx="2401">
                  <c:v>5.0064127155849212E-36</c:v>
                </c:pt>
                <c:pt idx="2402">
                  <c:v>2.3256587802575928E-36</c:v>
                </c:pt>
                <c:pt idx="2403">
                  <c:v>1.0764586289278132E-36</c:v>
                </c:pt>
                <c:pt idx="2404">
                  <c:v>4.9645591847075971E-37</c:v>
                </c:pt>
                <c:pt idx="2405">
                  <c:v>2.2813716622145709E-37</c:v>
                </c:pt>
                <c:pt idx="2406">
                  <c:v>1.0445840593935145E-37</c:v>
                </c:pt>
                <c:pt idx="2407">
                  <c:v>4.7656566176794019E-38</c:v>
                </c:pt>
                <c:pt idx="2408">
                  <c:v>2.1663773204434962E-38</c:v>
                </c:pt>
                <c:pt idx="2409">
                  <c:v>9.812449968372086E-39</c:v>
                </c:pt>
                <c:pt idx="2410">
                  <c:v>4.4284608689619828E-39</c:v>
                </c:pt>
                <c:pt idx="2411">
                  <c:v>1.9914076391636714E-39</c:v>
                </c:pt>
                <c:pt idx="2412">
                  <c:v>8.9227664827571755E-40</c:v>
                </c:pt>
                <c:pt idx="2413">
                  <c:v>3.9835556340957914E-40</c:v>
                </c:pt>
                <c:pt idx="2414">
                  <c:v>1.7720429653811304E-40</c:v>
                </c:pt>
                <c:pt idx="2415">
                  <c:v>7.8543384179416021E-41</c:v>
                </c:pt>
                <c:pt idx="2416">
                  <c:v>3.4687817278726302E-41</c:v>
                </c:pt>
                <c:pt idx="2417">
                  <c:v>1.526428046671093E-41</c:v>
                </c:pt>
                <c:pt idx="2418">
                  <c:v>6.6927977726011554E-42</c:v>
                </c:pt>
                <c:pt idx="2419">
                  <c:v>2.923957591392496E-42</c:v>
                </c:pt>
                <c:pt idx="2420">
                  <c:v>1.2728183776458223E-42</c:v>
                </c:pt>
                <c:pt idx="2421">
                  <c:v>5.5206956588565158E-43</c:v>
                </c:pt>
                <c:pt idx="2422">
                  <c:v>2.3859051606007149E-43</c:v>
                </c:pt>
                <c:pt idx="2423">
                  <c:v>1.0274117966092057E-43</c:v>
                </c:pt>
                <c:pt idx="2424">
                  <c:v>4.408267299509543E-44</c:v>
                </c:pt>
                <c:pt idx="2425">
                  <c:v>1.8846178242610478E-44</c:v>
                </c:pt>
                <c:pt idx="2426">
                  <c:v>8.0280611004078177E-45</c:v>
                </c:pt>
                <c:pt idx="2427">
                  <c:v>3.4074543423318668E-45</c:v>
                </c:pt>
                <c:pt idx="2428">
                  <c:v>1.4410578733165705E-45</c:v>
                </c:pt>
                <c:pt idx="2429">
                  <c:v>6.0724619334392203E-46</c:v>
                </c:pt>
                <c:pt idx="2430">
                  <c:v>2.549647730059612E-46</c:v>
                </c:pt>
                <c:pt idx="2431">
                  <c:v>1.0666638123302316E-46</c:v>
                </c:pt>
                <c:pt idx="2432">
                  <c:v>4.4463837622416363E-47</c:v>
                </c:pt>
                <c:pt idx="2433">
                  <c:v>1.8467934543338763E-47</c:v>
                </c:pt>
                <c:pt idx="2434">
                  <c:v>7.6429621866301938E-48</c:v>
                </c:pt>
                <c:pt idx="2435">
                  <c:v>3.1516435748824414E-48</c:v>
                </c:pt>
                <c:pt idx="2436">
                  <c:v>1.2949246053098806E-48</c:v>
                </c:pt>
                <c:pt idx="2437">
                  <c:v>5.3013181805581386E-49</c:v>
                </c:pt>
                <c:pt idx="2438">
                  <c:v>2.1624957371529792E-49</c:v>
                </c:pt>
                <c:pt idx="2439">
                  <c:v>8.7893882791150474E-50</c:v>
                </c:pt>
                <c:pt idx="2440">
                  <c:v>3.5595413440984282E-50</c:v>
                </c:pt>
                <c:pt idx="2441">
                  <c:v>1.4363538215302673E-50</c:v>
                </c:pt>
                <c:pt idx="2442">
                  <c:v>5.7751175422587584E-51</c:v>
                </c:pt>
                <c:pt idx="2443">
                  <c:v>2.3136210281369639E-51</c:v>
                </c:pt>
                <c:pt idx="2444">
                  <c:v>9.2353980603361014E-52</c:v>
                </c:pt>
                <c:pt idx="2445">
                  <c:v>3.6732544739754949E-52</c:v>
                </c:pt>
                <c:pt idx="2446">
                  <c:v>1.4557218968726013E-52</c:v>
                </c:pt>
                <c:pt idx="2447">
                  <c:v>5.748278673065677E-53</c:v>
                </c:pt>
                <c:pt idx="2448">
                  <c:v>2.2616698841284619E-53</c:v>
                </c:pt>
                <c:pt idx="2449">
                  <c:v>8.8665081393501823E-54</c:v>
                </c:pt>
                <c:pt idx="2450">
                  <c:v>3.463442805831168E-54</c:v>
                </c:pt>
                <c:pt idx="2451">
                  <c:v>1.3480171719267876E-54</c:v>
                </c:pt>
                <c:pt idx="2452">
                  <c:v>5.2277502331764642E-55</c:v>
                </c:pt>
                <c:pt idx="2453">
                  <c:v>2.0200691522979062E-55</c:v>
                </c:pt>
                <c:pt idx="2454">
                  <c:v>7.7776723666642863E-56</c:v>
                </c:pt>
                <c:pt idx="2455">
                  <c:v>2.9837680114818228E-56</c:v>
                </c:pt>
                <c:pt idx="2456">
                  <c:v>1.1405451021145678E-56</c:v>
                </c:pt>
                <c:pt idx="2457">
                  <c:v>4.3440205915423857E-57</c:v>
                </c:pt>
                <c:pt idx="2458">
                  <c:v>1.6485544188352089E-57</c:v>
                </c:pt>
                <c:pt idx="2459">
                  <c:v>6.2337115364220668E-58</c:v>
                </c:pt>
                <c:pt idx="2460">
                  <c:v>2.3486706270348152E-58</c:v>
                </c:pt>
                <c:pt idx="2461">
                  <c:v>8.8171764604924203E-59</c:v>
                </c:pt>
                <c:pt idx="2462">
                  <c:v>3.2981389602747238E-59</c:v>
                </c:pt>
                <c:pt idx="2463">
                  <c:v>1.2292504281747708E-59</c:v>
                </c:pt>
                <c:pt idx="2464">
                  <c:v>4.5650315969072821E-60</c:v>
                </c:pt>
                <c:pt idx="2465">
                  <c:v>1.6891927495272951E-60</c:v>
                </c:pt>
                <c:pt idx="2466">
                  <c:v>6.2279717022538326E-61</c:v>
                </c:pt>
                <c:pt idx="2467">
                  <c:v>2.2879474946897311E-61</c:v>
                </c:pt>
                <c:pt idx="2468">
                  <c:v>8.3748585013405211E-62</c:v>
                </c:pt>
                <c:pt idx="2469">
                  <c:v>3.0545054445391325E-62</c:v>
                </c:pt>
                <c:pt idx="2470">
                  <c:v>1.1100341251370227E-62</c:v>
                </c:pt>
                <c:pt idx="2471">
                  <c:v>4.019423414607873E-63</c:v>
                </c:pt>
                <c:pt idx="2472">
                  <c:v>1.4501842601921577E-63</c:v>
                </c:pt>
                <c:pt idx="2473">
                  <c:v>5.2133228096704019E-64</c:v>
                </c:pt>
                <c:pt idx="2474">
                  <c:v>1.8674029851346229E-64</c:v>
                </c:pt>
                <c:pt idx="2475">
                  <c:v>6.6648975999897333E-65</c:v>
                </c:pt>
                <c:pt idx="2476">
                  <c:v>2.3701777397516089E-65</c:v>
                </c:pt>
                <c:pt idx="2477">
                  <c:v>8.3984733780788036E-66</c:v>
                </c:pt>
                <c:pt idx="2478">
                  <c:v>2.9651849419585266E-66</c:v>
                </c:pt>
                <c:pt idx="2479">
                  <c:v>1.0431222840043352E-66</c:v>
                </c:pt>
                <c:pt idx="2480">
                  <c:v>3.6563744176694468E-67</c:v>
                </c:pt>
                <c:pt idx="2481">
                  <c:v>1.2770211829043691E-67</c:v>
                </c:pt>
                <c:pt idx="2482">
                  <c:v>4.4440357307281685E-68</c:v>
                </c:pt>
                <c:pt idx="2483">
                  <c:v>1.5409515500899072E-68</c:v>
                </c:pt>
                <c:pt idx="2484">
                  <c:v>5.3239311096887951E-69</c:v>
                </c:pt>
                <c:pt idx="2485">
                  <c:v>1.8327695951903631E-69</c:v>
                </c:pt>
                <c:pt idx="2486">
                  <c:v>6.2865925999326437E-70</c:v>
                </c:pt>
                <c:pt idx="2487">
                  <c:v>2.1485960038303178E-70</c:v>
                </c:pt>
                <c:pt idx="2488">
                  <c:v>7.3168847008895727E-71</c:v>
                </c:pt>
                <c:pt idx="2489">
                  <c:v>2.4827309630490573E-71</c:v>
                </c:pt>
                <c:pt idx="2490">
                  <c:v>8.3939255074323321E-72</c:v>
                </c:pt>
                <c:pt idx="2491">
                  <c:v>2.8276949881143204E-72</c:v>
                </c:pt>
                <c:pt idx="2492">
                  <c:v>9.4914379879218832E-73</c:v>
                </c:pt>
                <c:pt idx="2493">
                  <c:v>3.1744132875075456E-73</c:v>
                </c:pt>
                <c:pt idx="2494">
                  <c:v>1.0578569002784088E-73</c:v>
                </c:pt>
                <c:pt idx="2495">
                  <c:v>3.5125489027352336E-74</c:v>
                </c:pt>
                <c:pt idx="2496">
                  <c:v>1.1621169525921255E-74</c:v>
                </c:pt>
                <c:pt idx="2497">
                  <c:v>3.8309747981460575E-75</c:v>
                </c:pt>
                <c:pt idx="2498">
                  <c:v>1.2583479751492706E-75</c:v>
                </c:pt>
                <c:pt idx="2499">
                  <c:v>4.1183591302362269E-76</c:v>
                </c:pt>
                <c:pt idx="2500">
                  <c:v>1.3430113326091124E-76</c:v>
                </c:pt>
                <c:pt idx="2501">
                  <c:v>4.3638231359189574E-77</c:v>
                </c:pt>
                <c:pt idx="2502">
                  <c:v>1.412819253749288E-77</c:v>
                </c:pt>
                <c:pt idx="2503">
                  <c:v>4.5576195595462584E-78</c:v>
                </c:pt>
                <c:pt idx="2504">
                  <c:v>1.464945732396822E-78</c:v>
                </c:pt>
                <c:pt idx="2505">
                  <c:v>4.6917731415515387E-79</c:v>
                </c:pt>
                <c:pt idx="2506">
                  <c:v>1.4972160490645258E-79</c:v>
                </c:pt>
                <c:pt idx="2507">
                  <c:v>4.7606246825377121E-80</c:v>
                </c:pt>
                <c:pt idx="2508">
                  <c:v>1.5082572282944796E-80</c:v>
                </c:pt>
                <c:pt idx="2509">
                  <c:v>4.7612270016406949E-81</c:v>
                </c:pt>
                <c:pt idx="2510">
                  <c:v>1.4975949316421365E-81</c:v>
                </c:pt>
                <c:pt idx="2511">
                  <c:v>4.6935541906788522E-82</c:v>
                </c:pt>
                <c:pt idx="2512">
                  <c:v>1.4656872588381436E-82</c:v>
                </c:pt>
                <c:pt idx="2513">
                  <c:v>4.5605034626370134E-83</c:v>
                </c:pt>
                <c:pt idx="2514">
                  <c:v>1.4138921010633473E-83</c:v>
                </c:pt>
                <c:pt idx="2515">
                  <c:v>4.3676894107230887E-84</c:v>
                </c:pt>
                <c:pt idx="2516">
                  <c:v>1.3443712880516474E-84</c:v>
                </c:pt>
                <c:pt idx="2517">
                  <c:v>4.1230510353087535E-85</c:v>
                </c:pt>
                <c:pt idx="2518">
                  <c:v>1.259940956619264E-85</c:v>
                </c:pt>
                <c:pt idx="2519">
                  <c:v>3.8363098596153364E-86</c:v>
                </c:pt>
                <c:pt idx="2520">
                  <c:v>1.163882567587774E-86</c:v>
                </c:pt>
                <c:pt idx="2521">
                  <c:v>3.5183306371297239E-87</c:v>
                </c:pt>
                <c:pt idx="2522">
                  <c:v>1.0597322179407459E-87</c:v>
                </c:pt>
                <c:pt idx="2523">
                  <c:v>3.1804430761972825E-88</c:v>
                </c:pt>
                <c:pt idx="2524">
                  <c:v>9.510670093903296E-89</c:v>
                </c:pt>
                <c:pt idx="2525">
                  <c:v>2.8337831166272766E-89</c:v>
                </c:pt>
                <c:pt idx="2526">
                  <c:v>8.4130622240475566E-90</c:v>
                </c:pt>
                <c:pt idx="2527">
                  <c:v>2.4887059994310749E-90</c:v>
                </c:pt>
                <c:pt idx="2528">
                  <c:v>7.3354217663251468E-91</c:v>
                </c:pt>
                <c:pt idx="2529">
                  <c:v>2.1543119261498898E-91</c:v>
                </c:pt>
                <c:pt idx="2530">
                  <c:v>6.3041143605167483E-92</c:v>
                </c:pt>
                <c:pt idx="2531">
                  <c:v>1.8381103536439572E-92</c:v>
                </c:pt>
                <c:pt idx="2532">
                  <c:v>5.3401207941164514E-93</c:v>
                </c:pt>
                <c:pt idx="2533">
                  <c:v>1.545833026483879E-93</c:v>
                </c:pt>
                <c:pt idx="2534">
                  <c:v>4.4586777366286724E-94</c:v>
                </c:pt>
                <c:pt idx="2535">
                  <c:v>1.2813907563166752E-94</c:v>
                </c:pt>
                <c:pt idx="2536">
                  <c:v>3.6693495966034491E-95</c:v>
                </c:pt>
                <c:pt idx="2537">
                  <c:v>1.0469564010996799E-95</c:v>
                </c:pt>
                <c:pt idx="2538">
                  <c:v>2.9764603607361986E-96</c:v>
                </c:pt>
                <c:pt idx="2539">
                  <c:v>8.4314760554286555E-97</c:v>
                </c:pt>
                <c:pt idx="2540">
                  <c:v>2.3797926561697454E-97</c:v>
                </c:pt>
                <c:pt idx="2541">
                  <c:v>6.6927812441567853E-98</c:v>
                </c:pt>
                <c:pt idx="2542">
                  <c:v>1.8754528125222723E-98</c:v>
                </c:pt>
                <c:pt idx="2543">
                  <c:v>5.2364583557994608E-99</c:v>
                </c:pt>
                <c:pt idx="2544">
                  <c:v>1.456804142593237E-99</c:v>
                </c:pt>
                <c:pt idx="2545">
                  <c:v>4.038282366898704E-100</c:v>
                </c:pt>
                <c:pt idx="2546">
                  <c:v>1.1153834564905924E-100</c:v>
                </c:pt>
                <c:pt idx="2547">
                  <c:v>3.069613639422215E-101</c:v>
                </c:pt>
                <c:pt idx="2548">
                  <c:v>8.417347063237047E-102</c:v>
                </c:pt>
                <c:pt idx="2549">
                  <c:v>2.2998459879335329E-102</c:v>
                </c:pt>
                <c:pt idx="2550">
                  <c:v>6.2611523969784323E-103</c:v>
                </c:pt>
                <c:pt idx="2551">
                  <c:v>1.6984070997410036E-103</c:v>
                </c:pt>
                <c:pt idx="2552">
                  <c:v>4.5905140370010156E-104</c:v>
                </c:pt>
                <c:pt idx="2553">
                  <c:v>1.2362686150372066E-104</c:v>
                </c:pt>
                <c:pt idx="2554">
                  <c:v>3.3173887648585674E-105</c:v>
                </c:pt>
                <c:pt idx="2555">
                  <c:v>8.8697605590147003E-106</c:v>
                </c:pt>
                <c:pt idx="2556">
                  <c:v>2.3629766163312201E-106</c:v>
                </c:pt>
                <c:pt idx="2557">
                  <c:v>6.2724752006970733E-107</c:v>
                </c:pt>
                <c:pt idx="2558">
                  <c:v>1.6590156508634283E-107</c:v>
                </c:pt>
                <c:pt idx="2559">
                  <c:v>4.3721395412620998E-108</c:v>
                </c:pt>
                <c:pt idx="2560">
                  <c:v>1.148073114988245E-108</c:v>
                </c:pt>
                <c:pt idx="2561">
                  <c:v>3.0038419676367336E-109</c:v>
                </c:pt>
                <c:pt idx="2562">
                  <c:v>7.8309890291155643E-110</c:v>
                </c:pt>
                <c:pt idx="2563">
                  <c:v>2.0341742461665928E-110</c:v>
                </c:pt>
                <c:pt idx="2564">
                  <c:v>5.2649189369439917E-111</c:v>
                </c:pt>
                <c:pt idx="2565">
                  <c:v>1.3577731843232297E-111</c:v>
                </c:pt>
                <c:pt idx="2566">
                  <c:v>3.4889501699807684E-112</c:v>
                </c:pt>
                <c:pt idx="2567">
                  <c:v>8.9329377493969182E-113</c:v>
                </c:pt>
                <c:pt idx="2568">
                  <c:v>2.2789030491300794E-113</c:v>
                </c:pt>
                <c:pt idx="2569">
                  <c:v>5.7928114458744599E-114</c:v>
                </c:pt>
                <c:pt idx="2570">
                  <c:v>1.4671851979618062E-114</c:v>
                </c:pt>
                <c:pt idx="2571">
                  <c:v>3.7026484725776707E-115</c:v>
                </c:pt>
                <c:pt idx="2572">
                  <c:v>9.3104790874521018E-116</c:v>
                </c:pt>
                <c:pt idx="2573">
                  <c:v>2.3327251773293893E-116</c:v>
                </c:pt>
                <c:pt idx="2574">
                  <c:v>5.8235408436056129E-117</c:v>
                </c:pt>
                <c:pt idx="2575">
                  <c:v>1.4485806375927591E-117</c:v>
                </c:pt>
                <c:pt idx="2576">
                  <c:v>3.5902957687909539E-118</c:v>
                </c:pt>
                <c:pt idx="2577">
                  <c:v>8.8664502133661478E-119</c:v>
                </c:pt>
                <c:pt idx="2578">
                  <c:v>2.1817316578009318E-119</c:v>
                </c:pt>
                <c:pt idx="2579">
                  <c:v>5.3491513776441203E-120</c:v>
                </c:pt>
                <c:pt idx="2580">
                  <c:v>1.3067738776841837E-120</c:v>
                </c:pt>
                <c:pt idx="2581">
                  <c:v>3.1808852450040588E-121</c:v>
                </c:pt>
                <c:pt idx="2582">
                  <c:v>7.7148513057531336E-122</c:v>
                </c:pt>
                <c:pt idx="2583">
                  <c:v>1.8644001086111996E-122</c:v>
                </c:pt>
                <c:pt idx="2584">
                  <c:v>4.4893418853201534E-123</c:v>
                </c:pt>
                <c:pt idx="2585">
                  <c:v>1.0771054967932859E-123</c:v>
                </c:pt>
                <c:pt idx="2586">
                  <c:v>2.5749322422162718E-124</c:v>
                </c:pt>
                <c:pt idx="2587">
                  <c:v>6.1334576313831053E-125</c:v>
                </c:pt>
                <c:pt idx="2588">
                  <c:v>1.4557169372967357E-125</c:v>
                </c:pt>
                <c:pt idx="2589">
                  <c:v>3.4425519418006746E-126</c:v>
                </c:pt>
                <c:pt idx="2590">
                  <c:v>8.1117782417251663E-127</c:v>
                </c:pt>
                <c:pt idx="2591">
                  <c:v>1.9045116713238986E-127</c:v>
                </c:pt>
                <c:pt idx="2592">
                  <c:v>4.4553641770736028E-128</c:v>
                </c:pt>
                <c:pt idx="2593">
                  <c:v>1.0385197974293531E-128</c:v>
                </c:pt>
                <c:pt idx="2594">
                  <c:v>2.4120058259736284E-129</c:v>
                </c:pt>
                <c:pt idx="2595">
                  <c:v>5.5817955634310196E-130</c:v>
                </c:pt>
                <c:pt idx="2596">
                  <c:v>1.2870680246193853E-130</c:v>
                </c:pt>
                <c:pt idx="2597">
                  <c:v>2.9570664031729222E-131</c:v>
                </c:pt>
                <c:pt idx="2598">
                  <c:v>6.7694386123849039E-132</c:v>
                </c:pt>
                <c:pt idx="2599">
                  <c:v>1.5441028787554168E-132</c:v>
                </c:pt>
                <c:pt idx="2600">
                  <c:v>3.5093914382528263E-133</c:v>
                </c:pt>
                <c:pt idx="2601">
                  <c:v>7.9472960764409987E-134</c:v>
                </c:pt>
                <c:pt idx="2602">
                  <c:v>1.7932423007307575E-134</c:v>
                </c:pt>
                <c:pt idx="2603">
                  <c:v>4.0317218094597958E-135</c:v>
                </c:pt>
                <c:pt idx="2604">
                  <c:v>9.031796469157139E-136</c:v>
                </c:pt>
                <c:pt idx="2605">
                  <c:v>2.0159962859578039E-136</c:v>
                </c:pt>
                <c:pt idx="2606">
                  <c:v>4.4837079250602637E-137</c:v>
                </c:pt>
                <c:pt idx="2607">
                  <c:v>9.9361216974854128E-138</c:v>
                </c:pt>
                <c:pt idx="2608">
                  <c:v>2.1939589177192636E-138</c:v>
                </c:pt>
                <c:pt idx="2609">
                  <c:v>4.826942008951059E-139</c:v>
                </c:pt>
                <c:pt idx="2610">
                  <c:v>1.0581510629645057E-139</c:v>
                </c:pt>
                <c:pt idx="2611">
                  <c:v>2.3112943893425724E-140</c:v>
                </c:pt>
                <c:pt idx="2612">
                  <c:v>5.03031126055966E-141</c:v>
                </c:pt>
                <c:pt idx="2613">
                  <c:v>1.0908535607286552E-141</c:v>
                </c:pt>
                <c:pt idx="2614">
                  <c:v>2.357056807579093E-142</c:v>
                </c:pt>
                <c:pt idx="2615">
                  <c:v>5.0746447723009102E-143</c:v>
                </c:pt>
                <c:pt idx="2616">
                  <c:v>1.0886123205240197E-143</c:v>
                </c:pt>
                <c:pt idx="2617">
                  <c:v>2.3268738812528587E-144</c:v>
                </c:pt>
                <c:pt idx="2618">
                  <c:v>4.9556935824397522E-145</c:v>
                </c:pt>
                <c:pt idx="2619">
                  <c:v>1.0516423026014325E-145</c:v>
                </c:pt>
                <c:pt idx="2620">
                  <c:v>2.2236357643036516E-146</c:v>
                </c:pt>
                <c:pt idx="2621">
                  <c:v>4.6848021542776287E-147</c:v>
                </c:pt>
                <c:pt idx="2622">
                  <c:v>9.8344677430834172E-148</c:v>
                </c:pt>
                <c:pt idx="2623">
                  <c:v>2.0570387210918972E-148</c:v>
                </c:pt>
                <c:pt idx="2624">
                  <c:v>4.2871242906818452E-149</c:v>
                </c:pt>
                <c:pt idx="2625">
                  <c:v>8.9026988651282571E-150</c:v>
                </c:pt>
                <c:pt idx="2626">
                  <c:v>1.8420834203260929E-150</c:v>
                </c:pt>
                <c:pt idx="2627">
                  <c:v>3.7977721468691778E-151</c:v>
                </c:pt>
                <c:pt idx="2628">
                  <c:v>7.801543197006621E-152</c:v>
                </c:pt>
                <c:pt idx="2629">
                  <c:v>1.5968500314687114E-152</c:v>
                </c:pt>
                <c:pt idx="2630">
                  <c:v>3.2567149367723546E-153</c:v>
                </c:pt>
                <c:pt idx="2631">
                  <c:v>6.6180091314698121E-154</c:v>
                </c:pt>
                <c:pt idx="2632">
                  <c:v>1.3400067290886909E-154</c:v>
                </c:pt>
                <c:pt idx="2633">
                  <c:v>2.7034515928089306E-155</c:v>
                </c:pt>
                <c:pt idx="2634">
                  <c:v>5.4345328364630287E-156</c:v>
                </c:pt>
                <c:pt idx="2635">
                  <c:v>1.0885235714474272E-156</c:v>
                </c:pt>
                <c:pt idx="2636">
                  <c:v>2.1724283407731131E-157</c:v>
                </c:pt>
                <c:pt idx="2637">
                  <c:v>4.320013290262293E-158</c:v>
                </c:pt>
                <c:pt idx="2638">
                  <c:v>8.5596638006297505E-159</c:v>
                </c:pt>
                <c:pt idx="2639">
                  <c:v>1.6898973798295451E-159</c:v>
                </c:pt>
                <c:pt idx="2640">
                  <c:v>3.3242674655251018E-160</c:v>
                </c:pt>
                <c:pt idx="2641">
                  <c:v>6.5157376116728999E-161</c:v>
                </c:pt>
                <c:pt idx="2642">
                  <c:v>1.2725158953579609E-161</c:v>
                </c:pt>
                <c:pt idx="2643">
                  <c:v>2.4762520385475624E-162</c:v>
                </c:pt>
                <c:pt idx="2644">
                  <c:v>4.8012959594140574E-163</c:v>
                </c:pt>
                <c:pt idx="2645">
                  <c:v>9.2758583904517669E-164</c:v>
                </c:pt>
                <c:pt idx="2646">
                  <c:v>1.7855899938110429E-164</c:v>
                </c:pt>
                <c:pt idx="2647">
                  <c:v>3.4248486054828901E-165</c:v>
                </c:pt>
                <c:pt idx="2648">
                  <c:v>6.5453521073861822E-166</c:v>
                </c:pt>
                <c:pt idx="2649">
                  <c:v>1.2463977363709812E-166</c:v>
                </c:pt>
                <c:pt idx="2650">
                  <c:v>2.3648973245614904E-167</c:v>
                </c:pt>
                <c:pt idx="2651">
                  <c:v>4.4709511989023517E-168</c:v>
                </c:pt>
                <c:pt idx="2652">
                  <c:v>8.4220840303163617E-169</c:v>
                </c:pt>
                <c:pt idx="2653">
                  <c:v>1.5807791975193205E-169</c:v>
                </c:pt>
                <c:pt idx="2654">
                  <c:v>2.9563432379660153E-170</c:v>
                </c:pt>
                <c:pt idx="2655">
                  <c:v>5.5089711681255281E-171</c:v>
                </c:pt>
                <c:pt idx="2656">
                  <c:v>1.022864591437076E-171</c:v>
                </c:pt>
                <c:pt idx="2657">
                  <c:v>1.8923339954944639E-172</c:v>
                </c:pt>
                <c:pt idx="2658">
                  <c:v>3.4882647495601062E-173</c:v>
                </c:pt>
                <c:pt idx="2659">
                  <c:v>6.4069758678247579E-174</c:v>
                </c:pt>
                <c:pt idx="2660">
                  <c:v>1.1725428920626276E-174</c:v>
                </c:pt>
                <c:pt idx="2661">
                  <c:v>2.1381412373701824E-175</c:v>
                </c:pt>
                <c:pt idx="2662">
                  <c:v>3.8848659889977101E-176</c:v>
                </c:pt>
                <c:pt idx="2663">
                  <c:v>7.0331146285770167E-177</c:v>
                </c:pt>
                <c:pt idx="2664">
                  <c:v>1.2686778297890157E-177</c:v>
                </c:pt>
                <c:pt idx="2665">
                  <c:v>2.2802738489426559E-178</c:v>
                </c:pt>
                <c:pt idx="2666">
                  <c:v>4.0837078394276602E-179</c:v>
                </c:pt>
                <c:pt idx="2667">
                  <c:v>7.2870931681362533E-180</c:v>
                </c:pt>
                <c:pt idx="2668">
                  <c:v>1.2956448756258965E-180</c:v>
                </c:pt>
                <c:pt idx="2669">
                  <c:v>2.295353833539463E-181</c:v>
                </c:pt>
                <c:pt idx="2670">
                  <c:v>4.051774849425318E-182</c:v>
                </c:pt>
                <c:pt idx="2671">
                  <c:v>7.1264454867731983E-183</c:v>
                </c:pt>
                <c:pt idx="2672">
                  <c:v>1.2489142808578014E-183</c:v>
                </c:pt>
                <c:pt idx="2673">
                  <c:v>2.180842474856344E-184</c:v>
                </c:pt>
                <c:pt idx="2674">
                  <c:v>3.7944423917844128E-185</c:v>
                </c:pt>
                <c:pt idx="2675">
                  <c:v>6.5781478648738111E-186</c:v>
                </c:pt>
                <c:pt idx="2676">
                  <c:v>1.1362955355479557E-186</c:v>
                </c:pt>
                <c:pt idx="2677">
                  <c:v>1.9557393342949553E-187</c:v>
                </c:pt>
                <c:pt idx="2678">
                  <c:v>3.3539967835102807E-188</c:v>
                </c:pt>
                <c:pt idx="2679">
                  <c:v>5.7312098985949038E-189</c:v>
                </c:pt>
                <c:pt idx="2680">
                  <c:v>9.7580263811587744E-190</c:v>
                </c:pt>
                <c:pt idx="2681">
                  <c:v>1.6554255838383513E-190</c:v>
                </c:pt>
                <c:pt idx="2682">
                  <c:v>2.7982682105418185E-191</c:v>
                </c:pt>
                <c:pt idx="2683">
                  <c:v>4.7130388089375927E-192</c:v>
                </c:pt>
                <c:pt idx="2684">
                  <c:v>7.9094210298265948E-193</c:v>
                </c:pt>
                <c:pt idx="2685">
                  <c:v>1.3225751967928692E-193</c:v>
                </c:pt>
                <c:pt idx="2686">
                  <c:v>2.2035761058263267E-194</c:v>
                </c:pt>
                <c:pt idx="2687">
                  <c:v>3.6582024511272319E-195</c:v>
                </c:pt>
                <c:pt idx="2688">
                  <c:v>6.0511709112174302E-196</c:v>
                </c:pt>
                <c:pt idx="2689">
                  <c:v>9.9733969271975107E-197</c:v>
                </c:pt>
                <c:pt idx="2690">
                  <c:v>1.6378675896161772E-197</c:v>
                </c:pt>
                <c:pt idx="2691">
                  <c:v>2.6800720876951807E-198</c:v>
                </c:pt>
                <c:pt idx="2692">
                  <c:v>4.3696450818821618E-199</c:v>
                </c:pt>
                <c:pt idx="2693">
                  <c:v>7.0986841396285386E-200</c:v>
                </c:pt>
                <c:pt idx="2694">
                  <c:v>1.1490569199079549E-200</c:v>
                </c:pt>
                <c:pt idx="2695">
                  <c:v>1.853263762052968E-201</c:v>
                </c:pt>
                <c:pt idx="2696">
                  <c:v>2.978275893477905E-202</c:v>
                </c:pt>
                <c:pt idx="2697">
                  <c:v>4.7689703237539674E-203</c:v>
                </c:pt>
                <c:pt idx="2698">
                  <c:v>7.6088025592795292E-204</c:v>
                </c:pt>
                <c:pt idx="2699">
                  <c:v>1.209595077392612E-204</c:v>
                </c:pt>
                <c:pt idx="2700">
                  <c:v>1.9160008963474698E-205</c:v>
                </c:pt>
                <c:pt idx="2701">
                  <c:v>3.0240112761759315E-206</c:v>
                </c:pt>
                <c:pt idx="2702">
                  <c:v>4.7555757717918659E-207</c:v>
                </c:pt>
                <c:pt idx="2703">
                  <c:v>7.4516904650994597E-208</c:v>
                </c:pt>
                <c:pt idx="2704">
                  <c:v>1.1634253122649997E-208</c:v>
                </c:pt>
                <c:pt idx="2705">
                  <c:v>1.809898463820556E-209</c:v>
                </c:pt>
                <c:pt idx="2706">
                  <c:v>2.8054460126100902E-210</c:v>
                </c:pt>
                <c:pt idx="2707">
                  <c:v>4.3329294826535569E-211</c:v>
                </c:pt>
                <c:pt idx="2708">
                  <c:v>6.6679652468766388E-212</c:v>
                </c:pt>
                <c:pt idx="2709">
                  <c:v>1.0224381253990054E-212</c:v>
                </c:pt>
                <c:pt idx="2710">
                  <c:v>1.5621140707811163E-213</c:v>
                </c:pt>
                <c:pt idx="2711">
                  <c:v>2.3780471129446454E-214</c:v>
                </c:pt>
                <c:pt idx="2712">
                  <c:v>3.6071164722444645E-215</c:v>
                </c:pt>
                <c:pt idx="2713">
                  <c:v>5.4516991091542084E-216</c:v>
                </c:pt>
                <c:pt idx="2714">
                  <c:v>8.2098569852849291E-217</c:v>
                </c:pt>
                <c:pt idx="2715">
                  <c:v>1.2318882323831392E-217</c:v>
                </c:pt>
                <c:pt idx="2716">
                  <c:v>1.8417853859090289E-218</c:v>
                </c:pt>
                <c:pt idx="2717">
                  <c:v>2.7437133714642615E-219</c:v>
                </c:pt>
                <c:pt idx="2718">
                  <c:v>4.0725878206684511E-220</c:v>
                </c:pt>
                <c:pt idx="2719">
                  <c:v>6.0232956066251804E-221</c:v>
                </c:pt>
                <c:pt idx="2720">
                  <c:v>8.8762576173447078E-222</c:v>
                </c:pt>
                <c:pt idx="2721">
                  <c:v>1.3033396881937085E-222</c:v>
                </c:pt>
                <c:pt idx="2722">
                  <c:v>1.9068535657796271E-223</c:v>
                </c:pt>
                <c:pt idx="2723">
                  <c:v>2.7797713051173593E-224</c:v>
                </c:pt>
                <c:pt idx="2724">
                  <c:v>4.037688332563166E-225</c:v>
                </c:pt>
                <c:pt idx="2725">
                  <c:v>5.8437081697068204E-226</c:v>
                </c:pt>
                <c:pt idx="2726">
                  <c:v>#N/A</c:v>
                </c:pt>
              </c:numCache>
            </c:numRef>
          </c:yVal>
          <c:smooth val="1"/>
          <c:extLst>
            <c:ext xmlns:c16="http://schemas.microsoft.com/office/drawing/2014/chart" uri="{C3380CC4-5D6E-409C-BE32-E72D297353CC}">
              <c16:uniqueId val="{00000000-DF08-4DCA-9446-02652E17AC07}"/>
            </c:ext>
          </c:extLst>
        </c:ser>
        <c:ser>
          <c:idx val="1"/>
          <c:order val="1"/>
          <c:tx>
            <c:strRef>
              <c:f>ANOVA!$AQ$13</c:f>
              <c:strCache>
                <c:ptCount val="1"/>
                <c:pt idx="0">
                  <c:v>Estimeret normalfordeling</c:v>
                </c:pt>
              </c:strCache>
            </c:strRef>
          </c:tx>
          <c:spPr>
            <a:ln w="19050" cap="rnd">
              <a:noFill/>
              <a:round/>
            </a:ln>
            <a:effectLst/>
          </c:spPr>
          <c:marker>
            <c:symbol val="none"/>
          </c:marker>
          <c:dLbls>
            <c:dLbl>
              <c:idx val="0"/>
              <c:tx>
                <c:rich>
                  <a:bodyPr/>
                  <a:lstStyle/>
                  <a:p>
                    <a:fld id="{E82C84EB-BD18-4893-A2AE-8C9903939AA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DF08-4DCA-9446-02652E17AC07}"/>
                </c:ext>
              </c:extLst>
            </c:dLbl>
            <c:dLbl>
              <c:idx val="1"/>
              <c:tx>
                <c:rich>
                  <a:bodyPr/>
                  <a:lstStyle/>
                  <a:p>
                    <a:fld id="{D01105FB-213A-4CA7-A8E1-E87CA51CADF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F08-4DCA-9446-02652E17AC07}"/>
                </c:ext>
              </c:extLst>
            </c:dLbl>
            <c:dLbl>
              <c:idx val="2"/>
              <c:tx>
                <c:rich>
                  <a:bodyPr/>
                  <a:lstStyle/>
                  <a:p>
                    <a:fld id="{069FE2D0-492B-46B7-A421-43EB54BF7935}"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F08-4DCA-9446-02652E17AC0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[0]!AlxNorm</c:f>
              <c:numCache>
                <c:formatCode>General</c:formatCode>
                <c:ptCount val="3"/>
                <c:pt idx="0">
                  <c:v>1.8540044183209705</c:v>
                </c:pt>
                <c:pt idx="1">
                  <c:v>4.14233953833077</c:v>
                </c:pt>
                <c:pt idx="2">
                  <c:v>0.41666666666666669</c:v>
                </c:pt>
              </c:numCache>
            </c:numRef>
          </c:xVal>
          <c:yVal>
            <c:numRef>
              <c:f>[0]!AlyNorm</c:f>
              <c:numCache>
                <c:formatCode>General</c:formatCode>
                <c:ptCount val="3"/>
                <c:pt idx="0">
                  <c:v>9.2628974814029333E-2</c:v>
                </c:pt>
                <c:pt idx="1">
                  <c:v>9.3107877228020858E-2</c:v>
                </c:pt>
                <c:pt idx="2">
                  <c:v>0.77472523433896479</c:v>
                </c:pt>
              </c:numCache>
            </c:numRef>
          </c:yVal>
          <c:smooth val="0"/>
          <c:extLst>
            <c:ext xmlns:c15="http://schemas.microsoft.com/office/drawing/2012/chart" uri="{02D57815-91ED-43cb-92C2-25804820EDAC}">
              <c15:datalabelsRange>
                <c15:f>[0]!AlNorm</c15:f>
                <c15:dlblRangeCache>
                  <c:ptCount val="3"/>
                  <c:pt idx="0">
                    <c:v>Eksempel 1 (interval)
N(μ=1.854;σ=4.307)</c:v>
                  </c:pt>
                  <c:pt idx="1">
                    <c:v>Eksempel 2 (interval)
N(μ=4.142;σ=4.285)</c:v>
                  </c:pt>
                  <c:pt idx="2">
                    <c:v>Eksempel 4 (nominal)
N(μ=0.417;σ=0.515)</c:v>
                  </c:pt>
                </c15:dlblRangeCache>
              </c15:datalabelsRange>
            </c:ext>
            <c:ext xmlns:c16="http://schemas.microsoft.com/office/drawing/2014/chart" uri="{C3380CC4-5D6E-409C-BE32-E72D297353CC}">
              <c16:uniqueId val="{00000006-DF08-4DCA-9446-02652E17AC07}"/>
            </c:ext>
          </c:extLst>
        </c:ser>
        <c:dLbls>
          <c:showLegendKey val="0"/>
          <c:showVal val="0"/>
          <c:showCatName val="0"/>
          <c:showSerName val="0"/>
          <c:showPercent val="0"/>
          <c:showBubbleSize val="0"/>
        </c:dLbls>
        <c:axId val="1030118416"/>
        <c:axId val="1030109264"/>
      </c:scatterChart>
      <c:valAx>
        <c:axId val="1030118416"/>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030109264"/>
        <c:crosses val="autoZero"/>
        <c:crossBetween val="midCat"/>
      </c:valAx>
      <c:valAx>
        <c:axId val="1030109264"/>
        <c:scaling>
          <c:orientation val="minMax"/>
        </c:scaling>
        <c:delete val="1"/>
        <c:axPos val="l"/>
        <c:numFmt formatCode="General" sourceLinked="1"/>
        <c:majorTickMark val="none"/>
        <c:minorTickMark val="none"/>
        <c:tickLblPos val="nextTo"/>
        <c:crossAx val="1030118416"/>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ANOVA!$BA$9</c:f>
          <c:strCache>
            <c:ptCount val="1"/>
            <c:pt idx="0">
              <c:v>Multiple sammenligninger med bonferroni justering
Der er 0 par variable med signifikant forskellige gennemsnit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ubbleChart>
        <c:varyColors val="0"/>
        <c:ser>
          <c:idx val="0"/>
          <c:order val="0"/>
          <c:tx>
            <c:strRef>
              <c:f>ANOVA!$BA$11</c:f>
              <c:strCache>
                <c:ptCount val="1"/>
                <c:pt idx="0">
                  <c:v>Forskel mellem gennemsnit</c:v>
                </c:pt>
              </c:strCache>
            </c:strRef>
          </c:tx>
          <c:spPr>
            <a:solidFill>
              <a:schemeClr val="accent1"/>
            </a:solidFill>
            <a:ln w="28575">
              <a:solidFill>
                <a:schemeClr val="accent1"/>
              </a:solidFill>
            </a:ln>
            <a:effectLst/>
          </c:spPr>
          <c:invertIfNegative val="0"/>
          <c:dLbls>
            <c:dLbl>
              <c:idx val="0"/>
              <c:tx>
                <c:rich>
                  <a:bodyPr/>
                  <a:lstStyle/>
                  <a:p>
                    <a:fld id="{26340FD2-35F1-4860-BD7A-2A58EC94ADD8}" type="CELLRANGE">
                      <a:rPr lang="en-US"/>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A587-428E-9F44-21199AEF2571}"/>
                </c:ext>
              </c:extLst>
            </c:dLbl>
            <c:dLbl>
              <c:idx val="1"/>
              <c:tx>
                <c:rich>
                  <a:bodyPr/>
                  <a:lstStyle/>
                  <a:p>
                    <a:fld id="{3CD456C8-121F-4EEB-A967-6A0A308FB224}"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587-428E-9F44-21199AEF2571}"/>
                </c:ext>
              </c:extLst>
            </c:dLbl>
            <c:dLbl>
              <c:idx val="2"/>
              <c:tx>
                <c:rich>
                  <a:bodyPr/>
                  <a:lstStyle/>
                  <a:p>
                    <a:fld id="{210C0AB5-B277-4880-9B90-9850AD877D08}"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587-428E-9F44-21199AEF25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[0]!AxMs</c:f>
              <c:numCache>
                <c:formatCode>General</c:formatCode>
                <c:ptCount val="3"/>
                <c:pt idx="0">
                  <c:v>1</c:v>
                </c:pt>
                <c:pt idx="1">
                  <c:v>2</c:v>
                </c:pt>
                <c:pt idx="2">
                  <c:v>2</c:v>
                </c:pt>
              </c:numCache>
            </c:numRef>
          </c:xVal>
          <c:yVal>
            <c:numRef>
              <c:f>[0]!AyMs</c:f>
              <c:numCache>
                <c:formatCode>General</c:formatCode>
                <c:ptCount val="3"/>
                <c:pt idx="0">
                  <c:v>1</c:v>
                </c:pt>
                <c:pt idx="1">
                  <c:v>1</c:v>
                </c:pt>
                <c:pt idx="2">
                  <c:v>2</c:v>
                </c:pt>
              </c:numCache>
            </c:numRef>
          </c:yVal>
          <c:bubbleSize>
            <c:numRef>
              <c:f>[0]!AsMs</c:f>
              <c:numCache>
                <c:formatCode>General</c:formatCode>
                <c:ptCount val="3"/>
                <c:pt idx="0">
                  <c:v>-0.4054651081081645</c:v>
                </c:pt>
                <c:pt idx="1">
                  <c:v>-0.4054651081081645</c:v>
                </c:pt>
                <c:pt idx="2">
                  <c:v>-0.4054651081081645</c:v>
                </c:pt>
              </c:numCache>
            </c:numRef>
          </c:bubbleSize>
          <c:bubble3D val="0"/>
          <c:extLst>
            <c:ext xmlns:c15="http://schemas.microsoft.com/office/drawing/2012/chart" uri="{02D57815-91ED-43cb-92C2-25804820EDAC}">
              <c15:datalabelsRange>
                <c15:f>[0]!AlMs</c15:f>
                <c15:dlblRangeCache>
                  <c:ptCount val="3"/>
                  <c:pt idx="0">
                    <c:v>2.288</c:v>
                  </c:pt>
                  <c:pt idx="1">
                    <c:v>-1.437</c:v>
                  </c:pt>
                  <c:pt idx="2">
                    <c:v>-3.726</c:v>
                  </c:pt>
                </c15:dlblRangeCache>
              </c15:datalabelsRange>
            </c:ext>
            <c:ext xmlns:c16="http://schemas.microsoft.com/office/drawing/2014/chart" uri="{C3380CC4-5D6E-409C-BE32-E72D297353CC}">
              <c16:uniqueId val="{0000000A-A587-428E-9F44-21199AEF2571}"/>
            </c:ext>
          </c:extLst>
        </c:ser>
        <c:ser>
          <c:idx val="1"/>
          <c:order val="1"/>
          <c:tx>
            <c:strRef>
              <c:f>ANOVA!$BA$13</c:f>
              <c:strCache>
                <c:ptCount val="1"/>
                <c:pt idx="0">
                  <c:v>Variabel</c:v>
                </c:pt>
              </c:strCache>
            </c:strRef>
          </c:tx>
          <c:spPr>
            <a:noFill/>
            <a:ln w="25400">
              <a:noFill/>
            </a:ln>
            <a:effectLst/>
          </c:spPr>
          <c:invertIfNegative val="0"/>
          <c:dLbls>
            <c:dLbl>
              <c:idx val="0"/>
              <c:tx>
                <c:rich>
                  <a:bodyPr/>
                  <a:lstStyle/>
                  <a:p>
                    <a:fld id="{ED9A5493-57FD-4B3B-8091-F3F43F2E8988}" type="CELLRANGE">
                      <a:rPr lang="en-US"/>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A587-428E-9F44-21199AEF2571}"/>
                </c:ext>
              </c:extLst>
            </c:dLbl>
            <c:dLbl>
              <c:idx val="1"/>
              <c:tx>
                <c:rich>
                  <a:bodyPr/>
                  <a:lstStyle/>
                  <a:p>
                    <a:fld id="{E0DD61C4-03D5-4D67-B604-2CDDB5B8EAC2}"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587-428E-9F44-21199AEF2571}"/>
                </c:ext>
              </c:extLst>
            </c:dLbl>
            <c:dLbl>
              <c:idx val="2"/>
              <c:tx>
                <c:rich>
                  <a:bodyPr/>
                  <a:lstStyle/>
                  <a:p>
                    <a:fld id="{462C39EC-3209-4643-BFD7-31E6025D8A77}"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A587-428E-9F44-21199AEF2571}"/>
                </c:ext>
              </c:extLst>
            </c:dLbl>
            <c:dLbl>
              <c:idx val="3"/>
              <c:tx>
                <c:rich>
                  <a:bodyPr/>
                  <a:lstStyle/>
                  <a:p>
                    <a:fld id="{746D6816-9890-47AF-B81E-3A961187F262}"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A587-428E-9F44-21199AEF25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[0]!AkxMs</c:f>
              <c:numCache>
                <c:formatCode>General</c:formatCode>
                <c:ptCount val="4"/>
                <c:pt idx="0">
                  <c:v>0</c:v>
                </c:pt>
                <c:pt idx="1">
                  <c:v>0</c:v>
                </c:pt>
                <c:pt idx="2">
                  <c:v>1</c:v>
                </c:pt>
                <c:pt idx="3">
                  <c:v>2</c:v>
                </c:pt>
              </c:numCache>
            </c:numRef>
          </c:xVal>
          <c:yVal>
            <c:numRef>
              <c:f>[0]!AkyMs</c:f>
              <c:numCache>
                <c:formatCode>General</c:formatCode>
                <c:ptCount val="4"/>
                <c:pt idx="0">
                  <c:v>1</c:v>
                </c:pt>
                <c:pt idx="1">
                  <c:v>2</c:v>
                </c:pt>
                <c:pt idx="2">
                  <c:v>0</c:v>
                </c:pt>
                <c:pt idx="3">
                  <c:v>0</c:v>
                </c:pt>
              </c:numCache>
            </c:numRef>
          </c:yVal>
          <c:bubbleSize>
            <c:numRef>
              <c:f>[0]!AksMs</c:f>
              <c:numCache>
                <c:formatCode>General</c:formatCode>
                <c:ptCount val="4"/>
                <c:pt idx="0">
                  <c:v>1</c:v>
                </c:pt>
                <c:pt idx="1">
                  <c:v>1</c:v>
                </c:pt>
                <c:pt idx="2">
                  <c:v>1</c:v>
                </c:pt>
                <c:pt idx="3">
                  <c:v>1</c:v>
                </c:pt>
              </c:numCache>
            </c:numRef>
          </c:bubbleSize>
          <c:bubble3D val="0"/>
          <c:extLst>
            <c:ext xmlns:c15="http://schemas.microsoft.com/office/drawing/2012/chart" uri="{02D57815-91ED-43cb-92C2-25804820EDAC}">
              <c15:datalabelsRange>
                <c15:f>[0]!AklMs</c15:f>
                <c15:dlblRangeCache>
                  <c:ptCount val="4"/>
                  <c:pt idx="0">
                    <c:v>Eksempel 1 (interval)</c:v>
                  </c:pt>
                  <c:pt idx="1">
                    <c:v>Eksempel 2 (interval)</c:v>
                  </c:pt>
                  <c:pt idx="2">
                    <c:v>Eksempel 2 (interval)</c:v>
                  </c:pt>
                  <c:pt idx="3">
                    <c:v>Eksempel 4 (nominal)</c:v>
                  </c:pt>
                </c15:dlblRangeCache>
              </c15:datalabelsRange>
            </c:ext>
            <c:ext xmlns:c16="http://schemas.microsoft.com/office/drawing/2014/chart" uri="{C3380CC4-5D6E-409C-BE32-E72D297353CC}">
              <c16:uniqueId val="{00000013-A587-428E-9F44-21199AEF2571}"/>
            </c:ext>
          </c:extLst>
        </c:ser>
        <c:dLbls>
          <c:showLegendKey val="0"/>
          <c:showVal val="0"/>
          <c:showCatName val="0"/>
          <c:showSerName val="0"/>
          <c:showPercent val="0"/>
          <c:showBubbleSize val="0"/>
        </c:dLbls>
        <c:bubbleScale val="100"/>
        <c:showNegBubbles val="1"/>
        <c:axId val="1947327712"/>
        <c:axId val="1947324384"/>
      </c:bubbleChart>
      <c:valAx>
        <c:axId val="1947327712"/>
        <c:scaling>
          <c:orientation val="minMax"/>
          <c:min val="-0.5"/>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47324384"/>
        <c:crosses val="autoZero"/>
        <c:crossBetween val="midCat"/>
        <c:majorUnit val="1"/>
      </c:valAx>
      <c:valAx>
        <c:axId val="1947324384"/>
        <c:scaling>
          <c:orientation val="maxMin"/>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47327712"/>
        <c:crosses val="autoZero"/>
        <c:crossBetween val="midCat"/>
        <c:maj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B$6" max="20" min="2" page="10" val="15"/>
</file>

<file path=xl/ctrlProps/ctrlProp2.xml><?xml version="1.0" encoding="utf-8"?>
<formControlPr xmlns="http://schemas.microsoft.com/office/spreadsheetml/2009/9/main" objectType="Spin" dx="22" fmlaLink="$B$7" max="20" min="2" page="10" val="6"/>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hyperlink" Target="http://creativecommons.org/licenses/by-sa/4.0/" TargetMode="External"/><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4.png"/><Relationship Id="rId8" Type="http://schemas.openxmlformats.org/officeDocument/2006/relationships/image" Target="../media/image8.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5.emf"/><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7" Type="http://schemas.openxmlformats.org/officeDocument/2006/relationships/chart" Target="../charts/chart16.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5" Type="http://schemas.openxmlformats.org/officeDocument/2006/relationships/chart" Target="../charts/chart14.xml"/><Relationship Id="rId4"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4.xml"/><Relationship Id="rId3" Type="http://schemas.openxmlformats.org/officeDocument/2006/relationships/chart" Target="../charts/chart19.xml"/><Relationship Id="rId7" Type="http://schemas.openxmlformats.org/officeDocument/2006/relationships/chart" Target="../charts/chart23.xml"/><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chart" Target="../charts/chart22.xml"/><Relationship Id="rId5" Type="http://schemas.openxmlformats.org/officeDocument/2006/relationships/chart" Target="../charts/chart21.xml"/><Relationship Id="rId10" Type="http://schemas.openxmlformats.org/officeDocument/2006/relationships/image" Target="../media/image37.emf"/><Relationship Id="rId4" Type="http://schemas.openxmlformats.org/officeDocument/2006/relationships/chart" Target="../charts/chart20.xml"/><Relationship Id="rId9"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 Id="rId5" Type="http://schemas.openxmlformats.org/officeDocument/2006/relationships/image" Target="../media/image39.emf"/><Relationship Id="rId4" Type="http://schemas.openxmlformats.org/officeDocument/2006/relationships/chart" Target="../charts/chart2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4</xdr:col>
      <xdr:colOff>1035632</xdr:colOff>
      <xdr:row>73</xdr:row>
      <xdr:rowOff>171897</xdr:rowOff>
    </xdr:from>
    <xdr:to>
      <xdr:col>6</xdr:col>
      <xdr:colOff>534169</xdr:colOff>
      <xdr:row>83</xdr:row>
      <xdr:rowOff>97041</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12427532" y="13668822"/>
          <a:ext cx="2632262" cy="1734894"/>
          <a:chOff x="10424300" y="8001000"/>
          <a:chExt cx="2613949" cy="1664172"/>
        </a:xfrm>
      </xdr:grpSpPr>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stretch>
            <a:fillRect/>
          </a:stretch>
        </xdr:blipFill>
        <xdr:spPr>
          <a:xfrm>
            <a:off x="10424300" y="8001000"/>
            <a:ext cx="2613949" cy="1141066"/>
          </a:xfrm>
          <a:prstGeom prst="rect">
            <a:avLst/>
          </a:prstGeom>
        </xdr:spPr>
      </xdr:pic>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0443707" y="9136960"/>
            <a:ext cx="2562556" cy="5282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3: Valg af observationssæt til analyse fra drop-down menu</a:t>
            </a:r>
            <a:endParaRPr lang="da-DK" sz="1100"/>
          </a:p>
        </xdr:txBody>
      </xdr:sp>
    </xdr:grpSp>
    <xdr:clientData/>
  </xdr:twoCellAnchor>
  <xdr:twoCellAnchor editAs="oneCell">
    <xdr:from>
      <xdr:col>0</xdr:col>
      <xdr:colOff>0</xdr:colOff>
      <xdr:row>78</xdr:row>
      <xdr:rowOff>17556</xdr:rowOff>
    </xdr:from>
    <xdr:to>
      <xdr:col>1</xdr:col>
      <xdr:colOff>115644</xdr:colOff>
      <xdr:row>96</xdr:row>
      <xdr:rowOff>15921</xdr:rowOff>
    </xdr:to>
    <xdr:grpSp>
      <xdr:nvGrpSpPr>
        <xdr:cNvPr id="27" name="Group 26">
          <a:extLst>
            <a:ext uri="{FF2B5EF4-FFF2-40B4-BE49-F238E27FC236}">
              <a16:creationId xmlns:a16="http://schemas.microsoft.com/office/drawing/2014/main" id="{00000000-0008-0000-0000-00001B000000}"/>
            </a:ext>
          </a:extLst>
        </xdr:cNvPr>
        <xdr:cNvGrpSpPr/>
      </xdr:nvGrpSpPr>
      <xdr:grpSpPr>
        <a:xfrm>
          <a:off x="0" y="14419356"/>
          <a:ext cx="5030544" cy="3255915"/>
          <a:chOff x="0" y="8763972"/>
          <a:chExt cx="5027231" cy="3108151"/>
        </a:xfrm>
      </xdr:grpSpPr>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1" y="11565448"/>
            <a:ext cx="4990029" cy="306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4: Normalfraktildiagram til visuel test af om observationssættet er normalfordelt</a:t>
            </a:r>
            <a:endParaRPr lang="da-DK" sz="1100"/>
          </a:p>
        </xdr:txBody>
      </xdr:sp>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2"/>
          <a:srcRect l="-408" t="6441" r="50210" b="46636"/>
          <a:stretch/>
        </xdr:blipFill>
        <xdr:spPr>
          <a:xfrm>
            <a:off x="0" y="8763972"/>
            <a:ext cx="5027231" cy="2820386"/>
          </a:xfrm>
          <a:prstGeom prst="rect">
            <a:avLst/>
          </a:prstGeom>
        </xdr:spPr>
      </xdr:pic>
    </xdr:grpSp>
    <xdr:clientData/>
  </xdr:twoCellAnchor>
  <xdr:twoCellAnchor editAs="oneCell">
    <xdr:from>
      <xdr:col>0</xdr:col>
      <xdr:colOff>0</xdr:colOff>
      <xdr:row>97</xdr:row>
      <xdr:rowOff>60942</xdr:rowOff>
    </xdr:from>
    <xdr:to>
      <xdr:col>1</xdr:col>
      <xdr:colOff>73735</xdr:colOff>
      <xdr:row>114</xdr:row>
      <xdr:rowOff>154696</xdr:rowOff>
    </xdr:to>
    <xdr:grpSp>
      <xdr:nvGrpSpPr>
        <xdr:cNvPr id="30" name="Group 29">
          <a:extLst>
            <a:ext uri="{FF2B5EF4-FFF2-40B4-BE49-F238E27FC236}">
              <a16:creationId xmlns:a16="http://schemas.microsoft.com/office/drawing/2014/main" id="{00000000-0008-0000-0000-00001E000000}"/>
            </a:ext>
          </a:extLst>
        </xdr:cNvPr>
        <xdr:cNvGrpSpPr/>
      </xdr:nvGrpSpPr>
      <xdr:grpSpPr>
        <a:xfrm>
          <a:off x="0" y="17901267"/>
          <a:ext cx="4988635" cy="3170329"/>
          <a:chOff x="0" y="12087205"/>
          <a:chExt cx="4989126" cy="3041496"/>
        </a:xfrm>
      </xdr:grpSpPr>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rotWithShape="1">
          <a:blip xmlns:r="http://schemas.openxmlformats.org/officeDocument/2006/relationships" r:embed="rId2"/>
          <a:srcRect l="49835" t="6630" r="479" b="46171"/>
          <a:stretch/>
        </xdr:blipFill>
        <xdr:spPr>
          <a:xfrm>
            <a:off x="0" y="12087205"/>
            <a:ext cx="4989126" cy="2808731"/>
          </a:xfrm>
          <a:prstGeom prst="rect">
            <a:avLst/>
          </a:prstGeom>
        </xdr:spPr>
      </xdr:pic>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1" y="14818708"/>
            <a:ext cx="4934436" cy="3099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5: Histogram til visuel test af om observationssættet er normalfordelt</a:t>
            </a:r>
            <a:endParaRPr lang="da-DK" sz="1100"/>
          </a:p>
        </xdr:txBody>
      </xdr:sp>
    </xdr:grpSp>
    <xdr:clientData/>
  </xdr:twoCellAnchor>
  <xdr:twoCellAnchor editAs="oneCell">
    <xdr:from>
      <xdr:col>0</xdr:col>
      <xdr:colOff>0</xdr:colOff>
      <xdr:row>114</xdr:row>
      <xdr:rowOff>163082</xdr:rowOff>
    </xdr:from>
    <xdr:to>
      <xdr:col>1</xdr:col>
      <xdr:colOff>56030</xdr:colOff>
      <xdr:row>132</xdr:row>
      <xdr:rowOff>39509</xdr:rowOff>
    </xdr:to>
    <xdr:grpSp>
      <xdr:nvGrpSpPr>
        <xdr:cNvPr id="34" name="Group 33">
          <a:extLst>
            <a:ext uri="{FF2B5EF4-FFF2-40B4-BE49-F238E27FC236}">
              <a16:creationId xmlns:a16="http://schemas.microsoft.com/office/drawing/2014/main" id="{00000000-0008-0000-0000-000022000000}"/>
            </a:ext>
          </a:extLst>
        </xdr:cNvPr>
        <xdr:cNvGrpSpPr/>
      </xdr:nvGrpSpPr>
      <xdr:grpSpPr>
        <a:xfrm>
          <a:off x="0" y="21079982"/>
          <a:ext cx="4970930" cy="3133977"/>
          <a:chOff x="0" y="14903974"/>
          <a:chExt cx="4974740" cy="2968206"/>
        </a:xfrm>
      </xdr:grpSpPr>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3"/>
          <a:stretch>
            <a:fillRect/>
          </a:stretch>
        </xdr:blipFill>
        <xdr:spPr>
          <a:xfrm>
            <a:off x="0" y="14903974"/>
            <a:ext cx="4974740" cy="2716432"/>
          </a:xfrm>
          <a:prstGeom prst="rect">
            <a:avLst/>
          </a:prstGeom>
        </xdr:spPr>
      </xdr:pic>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 y="17572678"/>
            <a:ext cx="4930140" cy="2995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6: Andelsdiagram til visualisering af andele</a:t>
            </a:r>
            <a:endParaRPr lang="da-DK" sz="1100"/>
          </a:p>
        </xdr:txBody>
      </xdr:sp>
    </xdr:grpSp>
    <xdr:clientData/>
  </xdr:twoCellAnchor>
  <xdr:twoCellAnchor editAs="oneCell">
    <xdr:from>
      <xdr:col>0</xdr:col>
      <xdr:colOff>0</xdr:colOff>
      <xdr:row>132</xdr:row>
      <xdr:rowOff>72390</xdr:rowOff>
    </xdr:from>
    <xdr:to>
      <xdr:col>1</xdr:col>
      <xdr:colOff>53340</xdr:colOff>
      <xdr:row>150</xdr:row>
      <xdr:rowOff>2547</xdr:rowOff>
    </xdr:to>
    <xdr:grpSp>
      <xdr:nvGrpSpPr>
        <xdr:cNvPr id="42" name="Group 41">
          <a:extLst>
            <a:ext uri="{FF2B5EF4-FFF2-40B4-BE49-F238E27FC236}">
              <a16:creationId xmlns:a16="http://schemas.microsoft.com/office/drawing/2014/main" id="{00000000-0008-0000-0000-00002A000000}"/>
            </a:ext>
          </a:extLst>
        </xdr:cNvPr>
        <xdr:cNvGrpSpPr/>
      </xdr:nvGrpSpPr>
      <xdr:grpSpPr>
        <a:xfrm>
          <a:off x="0" y="24246840"/>
          <a:ext cx="4968240" cy="3187707"/>
          <a:chOff x="0" y="17903190"/>
          <a:chExt cx="4972050" cy="3002975"/>
        </a:xfrm>
      </xdr:grpSpPr>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rotWithShape="1">
          <a:blip xmlns:r="http://schemas.openxmlformats.org/officeDocument/2006/relationships" r:embed="rId4"/>
          <a:srcRect l="378" r="557"/>
          <a:stretch/>
        </xdr:blipFill>
        <xdr:spPr>
          <a:xfrm>
            <a:off x="0" y="17903190"/>
            <a:ext cx="4972050" cy="2750476"/>
          </a:xfrm>
          <a:prstGeom prst="rect">
            <a:avLst/>
          </a:prstGeom>
        </xdr:spPr>
      </xdr:pic>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0" y="20615740"/>
            <a:ext cx="4970522" cy="290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7: Kvartilsæt diagram visualisering af kvartiler</a:t>
            </a:r>
            <a:endParaRPr lang="da-DK" sz="1100"/>
          </a:p>
        </xdr:txBody>
      </xdr:sp>
    </xdr:grpSp>
    <xdr:clientData/>
  </xdr:twoCellAnchor>
  <xdr:twoCellAnchor editAs="oneCell">
    <xdr:from>
      <xdr:col>0</xdr:col>
      <xdr:colOff>0</xdr:colOff>
      <xdr:row>155</xdr:row>
      <xdr:rowOff>36193</xdr:rowOff>
    </xdr:from>
    <xdr:to>
      <xdr:col>1</xdr:col>
      <xdr:colOff>93345</xdr:colOff>
      <xdr:row>163</xdr:row>
      <xdr:rowOff>55243</xdr:rowOff>
    </xdr:to>
    <xdr:grpSp>
      <xdr:nvGrpSpPr>
        <xdr:cNvPr id="44" name="Group 43">
          <a:extLst>
            <a:ext uri="{FF2B5EF4-FFF2-40B4-BE49-F238E27FC236}">
              <a16:creationId xmlns:a16="http://schemas.microsoft.com/office/drawing/2014/main" id="{00000000-0008-0000-0000-00002C000000}"/>
            </a:ext>
          </a:extLst>
        </xdr:cNvPr>
        <xdr:cNvGrpSpPr/>
      </xdr:nvGrpSpPr>
      <xdr:grpSpPr>
        <a:xfrm>
          <a:off x="0" y="28373068"/>
          <a:ext cx="5008245" cy="1466850"/>
          <a:chOff x="0" y="21259800"/>
          <a:chExt cx="9077325" cy="2500977"/>
        </a:xfrm>
      </xdr:grpSpPr>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rotWithShape="1">
          <a:blip xmlns:r="http://schemas.openxmlformats.org/officeDocument/2006/relationships" r:embed="rId5"/>
          <a:srcRect r="31133"/>
          <a:stretch/>
        </xdr:blipFill>
        <xdr:spPr>
          <a:xfrm>
            <a:off x="0" y="21259800"/>
            <a:ext cx="9077325" cy="2112382"/>
          </a:xfrm>
          <a:prstGeom prst="rect">
            <a:avLst/>
          </a:prstGeom>
        </xdr:spPr>
      </xdr:pic>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0" y="23336251"/>
            <a:ext cx="9076012" cy="4245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9: Resultattabellen findes under diagrammerne</a:t>
            </a:r>
            <a:endParaRPr lang="da-DK" sz="1100"/>
          </a:p>
        </xdr:txBody>
      </xdr:sp>
    </xdr:grpSp>
    <xdr:clientData/>
  </xdr:twoCellAnchor>
  <xdr:twoCellAnchor editAs="oneCell">
    <xdr:from>
      <xdr:col>4</xdr:col>
      <xdr:colOff>940031</xdr:colOff>
      <xdr:row>152</xdr:row>
      <xdr:rowOff>7624</xdr:rowOff>
    </xdr:from>
    <xdr:to>
      <xdr:col>4</xdr:col>
      <xdr:colOff>2380211</xdr:colOff>
      <xdr:row>160</xdr:row>
      <xdr:rowOff>99057</xdr:rowOff>
    </xdr:to>
    <xdr:grpSp>
      <xdr:nvGrpSpPr>
        <xdr:cNvPr id="43" name="Group 42">
          <a:extLst>
            <a:ext uri="{FF2B5EF4-FFF2-40B4-BE49-F238E27FC236}">
              <a16:creationId xmlns:a16="http://schemas.microsoft.com/office/drawing/2014/main" id="{00000000-0008-0000-0000-00002B000000}"/>
            </a:ext>
          </a:extLst>
        </xdr:cNvPr>
        <xdr:cNvGrpSpPr/>
      </xdr:nvGrpSpPr>
      <xdr:grpSpPr>
        <a:xfrm>
          <a:off x="12331931" y="27801574"/>
          <a:ext cx="1440180" cy="1539233"/>
          <a:chOff x="0" y="23831550"/>
          <a:chExt cx="1447800" cy="1468988"/>
        </a:xfrm>
      </xdr:grpSpPr>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6"/>
          <a:stretch>
            <a:fillRect/>
          </a:stretch>
        </xdr:blipFill>
        <xdr:spPr>
          <a:xfrm>
            <a:off x="0" y="23831550"/>
            <a:ext cx="1445714" cy="908572"/>
          </a:xfrm>
          <a:prstGeom prst="rect">
            <a:avLst/>
          </a:prstGeom>
        </xdr:spPr>
      </xdr:pic>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0" y="24747852"/>
            <a:ext cx="1447800" cy="5526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8: Hjem fanen indeholder formattering af celler</a:t>
            </a:r>
            <a:endParaRPr lang="da-DK" sz="1100"/>
          </a:p>
        </xdr:txBody>
      </xdr:sp>
    </xdr:grpSp>
    <xdr:clientData/>
  </xdr:twoCellAnchor>
  <xdr:twoCellAnchor editAs="oneCell">
    <xdr:from>
      <xdr:col>4</xdr:col>
      <xdr:colOff>929640</xdr:colOff>
      <xdr:row>285</xdr:row>
      <xdr:rowOff>114300</xdr:rowOff>
    </xdr:from>
    <xdr:to>
      <xdr:col>16</xdr:col>
      <xdr:colOff>248419</xdr:colOff>
      <xdr:row>295</xdr:row>
      <xdr:rowOff>39332</xdr:rowOff>
    </xdr:to>
    <xdr:grpSp>
      <xdr:nvGrpSpPr>
        <xdr:cNvPr id="122" name="Group 121">
          <a:extLst>
            <a:ext uri="{FF2B5EF4-FFF2-40B4-BE49-F238E27FC236}">
              <a16:creationId xmlns:a16="http://schemas.microsoft.com/office/drawing/2014/main" id="{00000000-0008-0000-0000-00007A000000}"/>
            </a:ext>
          </a:extLst>
        </xdr:cNvPr>
        <xdr:cNvGrpSpPr/>
      </xdr:nvGrpSpPr>
      <xdr:grpSpPr>
        <a:xfrm>
          <a:off x="12321540" y="52206525"/>
          <a:ext cx="9310504" cy="1734782"/>
          <a:chOff x="12321540" y="47548800"/>
          <a:chExt cx="9089524" cy="1639532"/>
        </a:xfrm>
      </xdr:grpSpPr>
      <xdr:pic>
        <xdr:nvPicPr>
          <xdr:cNvPr id="118" name="Picture 117">
            <a:extLst>
              <a:ext uri="{FF2B5EF4-FFF2-40B4-BE49-F238E27FC236}">
                <a16:creationId xmlns:a16="http://schemas.microsoft.com/office/drawing/2014/main" id="{00000000-0008-0000-0000-000076000000}"/>
              </a:ext>
            </a:extLst>
          </xdr:cNvPr>
          <xdr:cNvPicPr>
            <a:picLocks noChangeAspect="1"/>
          </xdr:cNvPicPr>
        </xdr:nvPicPr>
        <xdr:blipFill>
          <a:blip xmlns:r="http://schemas.openxmlformats.org/officeDocument/2006/relationships" r:embed="rId7"/>
          <a:stretch>
            <a:fillRect/>
          </a:stretch>
        </xdr:blipFill>
        <xdr:spPr>
          <a:xfrm>
            <a:off x="12321540" y="47548800"/>
            <a:ext cx="9089524" cy="1409524"/>
          </a:xfrm>
          <a:prstGeom prst="rect">
            <a:avLst/>
          </a:prstGeom>
        </xdr:spPr>
      </xdr:pic>
      <xdr:sp macro="" textlink="">
        <xdr:nvSpPr>
          <xdr:cNvPr id="56" name="TextBox 55">
            <a:extLst>
              <a:ext uri="{FF2B5EF4-FFF2-40B4-BE49-F238E27FC236}">
                <a16:creationId xmlns:a16="http://schemas.microsoft.com/office/drawing/2014/main" id="{00000000-0008-0000-0000-000038000000}"/>
              </a:ext>
            </a:extLst>
          </xdr:cNvPr>
          <xdr:cNvSpPr txBox="1"/>
        </xdr:nvSpPr>
        <xdr:spPr>
          <a:xfrm>
            <a:off x="12325713" y="48941247"/>
            <a:ext cx="9059593" cy="247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18: Valg omkring afhængige og uafhængige variable kontrolleres automatisk og problemer markeres med rødt</a:t>
            </a:r>
          </a:p>
        </xdr:txBody>
      </xdr:sp>
    </xdr:grpSp>
    <xdr:clientData/>
  </xdr:twoCellAnchor>
  <xdr:twoCellAnchor editAs="oneCell">
    <xdr:from>
      <xdr:col>0</xdr:col>
      <xdr:colOff>0</xdr:colOff>
      <xdr:row>399</xdr:row>
      <xdr:rowOff>91440</xdr:rowOff>
    </xdr:from>
    <xdr:to>
      <xdr:col>0</xdr:col>
      <xdr:colOff>4514084</xdr:colOff>
      <xdr:row>416</xdr:row>
      <xdr:rowOff>152386</xdr:rowOff>
    </xdr:to>
    <xdr:grpSp>
      <xdr:nvGrpSpPr>
        <xdr:cNvPr id="145" name="Group 144">
          <a:extLst>
            <a:ext uri="{FF2B5EF4-FFF2-40B4-BE49-F238E27FC236}">
              <a16:creationId xmlns:a16="http://schemas.microsoft.com/office/drawing/2014/main" id="{00000000-0008-0000-0000-000091000000}"/>
            </a:ext>
          </a:extLst>
        </xdr:cNvPr>
        <xdr:cNvGrpSpPr/>
      </xdr:nvGrpSpPr>
      <xdr:grpSpPr>
        <a:xfrm>
          <a:off x="0" y="72814815"/>
          <a:ext cx="4514084" cy="3137521"/>
          <a:chOff x="0" y="69923297"/>
          <a:chExt cx="4514084" cy="3068125"/>
        </a:xfrm>
      </xdr:grpSpPr>
      <xdr:pic>
        <xdr:nvPicPr>
          <xdr:cNvPr id="135" name="Picture 134">
            <a:extLst>
              <a:ext uri="{FF2B5EF4-FFF2-40B4-BE49-F238E27FC236}">
                <a16:creationId xmlns:a16="http://schemas.microsoft.com/office/drawing/2014/main" id="{00000000-0008-0000-0000-000087000000}"/>
              </a:ext>
            </a:extLst>
          </xdr:cNvPr>
          <xdr:cNvPicPr>
            <a:picLocks noChangeAspect="1"/>
          </xdr:cNvPicPr>
        </xdr:nvPicPr>
        <xdr:blipFill>
          <a:blip xmlns:r="http://schemas.openxmlformats.org/officeDocument/2006/relationships" r:embed="rId8"/>
          <a:stretch>
            <a:fillRect/>
          </a:stretch>
        </xdr:blipFill>
        <xdr:spPr>
          <a:xfrm>
            <a:off x="0" y="69923297"/>
            <a:ext cx="4514084" cy="2830286"/>
          </a:xfrm>
          <a:prstGeom prst="rect">
            <a:avLst/>
          </a:prstGeom>
        </xdr:spPr>
      </xdr:pic>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1" y="72721850"/>
            <a:ext cx="4512944" cy="269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26: Eksempel 4 forklarer Eksempel 1</a:t>
            </a:r>
          </a:p>
        </xdr:txBody>
      </xdr:sp>
    </xdr:grpSp>
    <xdr:clientData/>
  </xdr:twoCellAnchor>
  <xdr:twoCellAnchor editAs="oneCell">
    <xdr:from>
      <xdr:col>0</xdr:col>
      <xdr:colOff>0</xdr:colOff>
      <xdr:row>455</xdr:row>
      <xdr:rowOff>173355</xdr:rowOff>
    </xdr:from>
    <xdr:to>
      <xdr:col>0</xdr:col>
      <xdr:colOff>4587240</xdr:colOff>
      <xdr:row>484</xdr:row>
      <xdr:rowOff>1192</xdr:rowOff>
    </xdr:to>
    <xdr:grpSp>
      <xdr:nvGrpSpPr>
        <xdr:cNvPr id="142" name="Group 141">
          <a:extLst>
            <a:ext uri="{FF2B5EF4-FFF2-40B4-BE49-F238E27FC236}">
              <a16:creationId xmlns:a16="http://schemas.microsoft.com/office/drawing/2014/main" id="{00000000-0008-0000-0000-00008E000000}"/>
            </a:ext>
          </a:extLst>
        </xdr:cNvPr>
        <xdr:cNvGrpSpPr/>
      </xdr:nvGrpSpPr>
      <xdr:grpSpPr>
        <a:xfrm>
          <a:off x="0" y="83031330"/>
          <a:ext cx="4587240" cy="5076112"/>
          <a:chOff x="0" y="79911212"/>
          <a:chExt cx="4587240" cy="4957730"/>
        </a:xfrm>
      </xdr:grpSpPr>
      <xdr:pic>
        <xdr:nvPicPr>
          <xdr:cNvPr id="138" name="Picture 137">
            <a:extLst>
              <a:ext uri="{FF2B5EF4-FFF2-40B4-BE49-F238E27FC236}">
                <a16:creationId xmlns:a16="http://schemas.microsoft.com/office/drawing/2014/main" id="{00000000-0008-0000-0000-00008A000000}"/>
              </a:ext>
            </a:extLst>
          </xdr:cNvPr>
          <xdr:cNvPicPr>
            <a:picLocks noChangeAspect="1"/>
          </xdr:cNvPicPr>
        </xdr:nvPicPr>
        <xdr:blipFill>
          <a:blip xmlns:r="http://schemas.openxmlformats.org/officeDocument/2006/relationships" r:embed="rId9"/>
          <a:stretch>
            <a:fillRect/>
          </a:stretch>
        </xdr:blipFill>
        <xdr:spPr>
          <a:xfrm>
            <a:off x="0" y="79911212"/>
            <a:ext cx="4587240" cy="4420870"/>
          </a:xfrm>
          <a:prstGeom prst="rect">
            <a:avLst/>
          </a:prstGeom>
        </xdr:spPr>
      </xdr:pic>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0" y="84296387"/>
            <a:ext cx="4552124" cy="5725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29: I multipel lineær regression vises hver variabels effekt isoleret.</a:t>
            </a:r>
          </a:p>
          <a:p>
            <a:r>
              <a:rPr lang="da-DK" sz="1100" baseline="0"/>
              <a:t>Eksempel 5 (grøn) og Eksempel 6 (orange) har næsten ingen effekt i modellen.</a:t>
            </a:r>
          </a:p>
        </xdr:txBody>
      </xdr:sp>
    </xdr:grpSp>
    <xdr:clientData/>
  </xdr:twoCellAnchor>
  <xdr:twoCellAnchor editAs="oneCell">
    <xdr:from>
      <xdr:col>0</xdr:col>
      <xdr:colOff>0</xdr:colOff>
      <xdr:row>418</xdr:row>
      <xdr:rowOff>0</xdr:rowOff>
    </xdr:from>
    <xdr:to>
      <xdr:col>0</xdr:col>
      <xdr:colOff>4511040</xdr:colOff>
      <xdr:row>435</xdr:row>
      <xdr:rowOff>22175</xdr:rowOff>
    </xdr:to>
    <xdr:grpSp>
      <xdr:nvGrpSpPr>
        <xdr:cNvPr id="144" name="Group 143">
          <a:extLst>
            <a:ext uri="{FF2B5EF4-FFF2-40B4-BE49-F238E27FC236}">
              <a16:creationId xmlns:a16="http://schemas.microsoft.com/office/drawing/2014/main" id="{00000000-0008-0000-0000-000090000000}"/>
            </a:ext>
          </a:extLst>
        </xdr:cNvPr>
        <xdr:cNvGrpSpPr/>
      </xdr:nvGrpSpPr>
      <xdr:grpSpPr>
        <a:xfrm>
          <a:off x="0" y="76161900"/>
          <a:ext cx="4511040" cy="3098750"/>
          <a:chOff x="0" y="73192821"/>
          <a:chExt cx="4511040" cy="3029354"/>
        </a:xfrm>
      </xdr:grpSpPr>
      <xdr:pic>
        <xdr:nvPicPr>
          <xdr:cNvPr id="136" name="Picture 135">
            <a:extLst>
              <a:ext uri="{FF2B5EF4-FFF2-40B4-BE49-F238E27FC236}">
                <a16:creationId xmlns:a16="http://schemas.microsoft.com/office/drawing/2014/main" id="{00000000-0008-0000-0000-000088000000}"/>
              </a:ext>
            </a:extLst>
          </xdr:cNvPr>
          <xdr:cNvPicPr>
            <a:picLocks noChangeAspect="1"/>
          </xdr:cNvPicPr>
        </xdr:nvPicPr>
        <xdr:blipFill>
          <a:blip xmlns:r="http://schemas.openxmlformats.org/officeDocument/2006/relationships" r:embed="rId10"/>
          <a:stretch>
            <a:fillRect/>
          </a:stretch>
        </xdr:blipFill>
        <xdr:spPr>
          <a:xfrm>
            <a:off x="0" y="73192821"/>
            <a:ext cx="4511040" cy="2763891"/>
          </a:xfrm>
          <a:prstGeom prst="rect">
            <a:avLst/>
          </a:prstGeom>
        </xdr:spPr>
      </xdr:pic>
      <xdr:sp macro="" textlink="">
        <xdr:nvSpPr>
          <xdr:cNvPr id="81" name="TextBox 80">
            <a:extLst>
              <a:ext uri="{FF2B5EF4-FFF2-40B4-BE49-F238E27FC236}">
                <a16:creationId xmlns:a16="http://schemas.microsoft.com/office/drawing/2014/main" id="{00000000-0008-0000-0000-000051000000}"/>
              </a:ext>
            </a:extLst>
          </xdr:cNvPr>
          <xdr:cNvSpPr txBox="1"/>
        </xdr:nvSpPr>
        <xdr:spPr>
          <a:xfrm>
            <a:off x="0" y="75952876"/>
            <a:ext cx="4478734" cy="269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27: Konfidensintervallet for gennemsnit ligger omkring regressionslinjen</a:t>
            </a:r>
          </a:p>
        </xdr:txBody>
      </xdr:sp>
    </xdr:grpSp>
    <xdr:clientData/>
  </xdr:twoCellAnchor>
  <xdr:twoCellAnchor editAs="oneCell">
    <xdr:from>
      <xdr:col>0</xdr:col>
      <xdr:colOff>0</xdr:colOff>
      <xdr:row>436</xdr:row>
      <xdr:rowOff>43543</xdr:rowOff>
    </xdr:from>
    <xdr:to>
      <xdr:col>0</xdr:col>
      <xdr:colOff>4511040</xdr:colOff>
      <xdr:row>454</xdr:row>
      <xdr:rowOff>77833</xdr:rowOff>
    </xdr:to>
    <xdr:grpSp>
      <xdr:nvGrpSpPr>
        <xdr:cNvPr id="143" name="Group 142">
          <a:extLst>
            <a:ext uri="{FF2B5EF4-FFF2-40B4-BE49-F238E27FC236}">
              <a16:creationId xmlns:a16="http://schemas.microsoft.com/office/drawing/2014/main" id="{00000000-0008-0000-0000-00008F000000}"/>
            </a:ext>
          </a:extLst>
        </xdr:cNvPr>
        <xdr:cNvGrpSpPr/>
      </xdr:nvGrpSpPr>
      <xdr:grpSpPr>
        <a:xfrm>
          <a:off x="0" y="79462993"/>
          <a:ext cx="4511040" cy="3291840"/>
          <a:chOff x="0" y="76253340"/>
          <a:chExt cx="4514850" cy="3225981"/>
        </a:xfrm>
      </xdr:grpSpPr>
      <xdr:pic>
        <xdr:nvPicPr>
          <xdr:cNvPr id="137" name="Picture 136">
            <a:extLst>
              <a:ext uri="{FF2B5EF4-FFF2-40B4-BE49-F238E27FC236}">
                <a16:creationId xmlns:a16="http://schemas.microsoft.com/office/drawing/2014/main" id="{00000000-0008-0000-0000-000089000000}"/>
              </a:ext>
            </a:extLst>
          </xdr:cNvPr>
          <xdr:cNvPicPr>
            <a:picLocks noChangeAspect="1"/>
          </xdr:cNvPicPr>
        </xdr:nvPicPr>
        <xdr:blipFill>
          <a:blip xmlns:r="http://schemas.openxmlformats.org/officeDocument/2006/relationships" r:embed="rId11"/>
          <a:stretch>
            <a:fillRect/>
          </a:stretch>
        </xdr:blipFill>
        <xdr:spPr>
          <a:xfrm>
            <a:off x="0" y="76253340"/>
            <a:ext cx="4511040" cy="2815397"/>
          </a:xfrm>
          <a:prstGeom prst="rect">
            <a:avLst/>
          </a:prstGeom>
        </xdr:spPr>
      </xdr:pic>
      <xdr:sp macro="" textlink="">
        <xdr:nvSpPr>
          <xdr:cNvPr id="83" name="TextBox 82">
            <a:extLst>
              <a:ext uri="{FF2B5EF4-FFF2-40B4-BE49-F238E27FC236}">
                <a16:creationId xmlns:a16="http://schemas.microsoft.com/office/drawing/2014/main" id="{00000000-0008-0000-0000-000053000000}"/>
              </a:ext>
            </a:extLst>
          </xdr:cNvPr>
          <xdr:cNvSpPr txBox="1"/>
        </xdr:nvSpPr>
        <xdr:spPr>
          <a:xfrm>
            <a:off x="0" y="79052853"/>
            <a:ext cx="4514850" cy="426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28: Forudsigelsesintervallet for observationer viser spredningen af observationer omkring regressionslinjen</a:t>
            </a:r>
          </a:p>
        </xdr:txBody>
      </xdr:sp>
    </xdr:grpSp>
    <xdr:clientData/>
  </xdr:twoCellAnchor>
  <xdr:twoCellAnchor editAs="oneCell">
    <xdr:from>
      <xdr:col>5</xdr:col>
      <xdr:colOff>102178</xdr:colOff>
      <xdr:row>152</xdr:row>
      <xdr:rowOff>2</xdr:rowOff>
    </xdr:from>
    <xdr:to>
      <xdr:col>8</xdr:col>
      <xdr:colOff>531321</xdr:colOff>
      <xdr:row>164</xdr:row>
      <xdr:rowOff>38101</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13942003" y="27793952"/>
          <a:ext cx="2486543" cy="2209799"/>
          <a:chOff x="13274040" y="24688802"/>
          <a:chExt cx="2451735" cy="2095498"/>
        </a:xfrm>
      </xdr:grpSpPr>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12"/>
          <a:srcRect b="13053"/>
          <a:stretch/>
        </xdr:blipFill>
        <xdr:spPr>
          <a:xfrm>
            <a:off x="13274040" y="24688802"/>
            <a:ext cx="2451735" cy="1676399"/>
          </a:xfrm>
          <a:prstGeom prst="rect">
            <a:avLst/>
          </a:prstGeom>
        </xdr:spPr>
      </xdr:pic>
      <xdr:sp macro="" textlink="">
        <xdr:nvSpPr>
          <xdr:cNvPr id="77" name="TextBox 76">
            <a:extLst>
              <a:ext uri="{FF2B5EF4-FFF2-40B4-BE49-F238E27FC236}">
                <a16:creationId xmlns:a16="http://schemas.microsoft.com/office/drawing/2014/main" id="{00000000-0008-0000-0000-00004D000000}"/>
              </a:ext>
            </a:extLst>
          </xdr:cNvPr>
          <xdr:cNvSpPr txBox="1"/>
        </xdr:nvSpPr>
        <xdr:spPr>
          <a:xfrm>
            <a:off x="13277850" y="26325195"/>
            <a:ext cx="2444115" cy="4591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10: Kendte populationsværdier indtastes i felterne over data tabellen</a:t>
            </a:r>
            <a:endParaRPr lang="da-DK" sz="1100"/>
          </a:p>
        </xdr:txBody>
      </xdr:sp>
    </xdr:grpSp>
    <xdr:clientData/>
  </xdr:twoCellAnchor>
  <xdr:twoCellAnchor editAs="oneCell">
    <xdr:from>
      <xdr:col>4</xdr:col>
      <xdr:colOff>1000991</xdr:colOff>
      <xdr:row>182</xdr:row>
      <xdr:rowOff>26223</xdr:rowOff>
    </xdr:from>
    <xdr:to>
      <xdr:col>12</xdr:col>
      <xdr:colOff>306532</xdr:colOff>
      <xdr:row>186</xdr:row>
      <xdr:rowOff>137159</xdr:rowOff>
    </xdr:to>
    <xdr:grpSp>
      <xdr:nvGrpSpPr>
        <xdr:cNvPr id="45" name="Group 44">
          <a:extLst>
            <a:ext uri="{FF2B5EF4-FFF2-40B4-BE49-F238E27FC236}">
              <a16:creationId xmlns:a16="http://schemas.microsoft.com/office/drawing/2014/main" id="{00000000-0008-0000-0000-00002D000000}"/>
            </a:ext>
          </a:extLst>
        </xdr:cNvPr>
        <xdr:cNvGrpSpPr/>
      </xdr:nvGrpSpPr>
      <xdr:grpSpPr>
        <a:xfrm>
          <a:off x="12392891" y="33363723"/>
          <a:ext cx="6554066" cy="834836"/>
          <a:chOff x="8258175" y="29718000"/>
          <a:chExt cx="8705850" cy="1072142"/>
        </a:xfrm>
      </xdr:grpSpPr>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3"/>
          <a:stretch>
            <a:fillRect/>
          </a:stretch>
        </xdr:blipFill>
        <xdr:spPr>
          <a:xfrm>
            <a:off x="8258175" y="29718000"/>
            <a:ext cx="8704762" cy="708571"/>
          </a:xfrm>
          <a:prstGeom prst="rect">
            <a:avLst/>
          </a:prstGeom>
        </xdr:spPr>
      </xdr:pic>
      <xdr:sp macro="" textlink="">
        <xdr:nvSpPr>
          <xdr:cNvPr id="78" name="TextBox 77">
            <a:extLst>
              <a:ext uri="{FF2B5EF4-FFF2-40B4-BE49-F238E27FC236}">
                <a16:creationId xmlns:a16="http://schemas.microsoft.com/office/drawing/2014/main" id="{00000000-0008-0000-0000-00004E000000}"/>
              </a:ext>
            </a:extLst>
          </xdr:cNvPr>
          <xdr:cNvSpPr txBox="1"/>
        </xdr:nvSpPr>
        <xdr:spPr>
          <a:xfrm>
            <a:off x="8258175" y="30422848"/>
            <a:ext cx="8705850" cy="3672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11: Valg til analyse af konfidens og hypoteser</a:t>
            </a:r>
            <a:endParaRPr lang="da-DK" sz="1100"/>
          </a:p>
        </xdr:txBody>
      </xdr:sp>
    </xdr:grpSp>
    <xdr:clientData/>
  </xdr:twoCellAnchor>
  <xdr:twoCellAnchor editAs="oneCell">
    <xdr:from>
      <xdr:col>0</xdr:col>
      <xdr:colOff>0</xdr:colOff>
      <xdr:row>193</xdr:row>
      <xdr:rowOff>0</xdr:rowOff>
    </xdr:from>
    <xdr:to>
      <xdr:col>0</xdr:col>
      <xdr:colOff>4328159</xdr:colOff>
      <xdr:row>207</xdr:row>
      <xdr:rowOff>39230</xdr:rowOff>
    </xdr:to>
    <xdr:grpSp>
      <xdr:nvGrpSpPr>
        <xdr:cNvPr id="57" name="Group 56">
          <a:extLst>
            <a:ext uri="{FF2B5EF4-FFF2-40B4-BE49-F238E27FC236}">
              <a16:creationId xmlns:a16="http://schemas.microsoft.com/office/drawing/2014/main" id="{00000000-0008-0000-0000-000039000000}"/>
            </a:ext>
          </a:extLst>
        </xdr:cNvPr>
        <xdr:cNvGrpSpPr/>
      </xdr:nvGrpSpPr>
      <xdr:grpSpPr>
        <a:xfrm>
          <a:off x="0" y="35328225"/>
          <a:ext cx="4328159" cy="2572880"/>
          <a:chOff x="0" y="31775400"/>
          <a:chExt cx="4331969" cy="2439530"/>
        </a:xfrm>
      </xdr:grpSpPr>
      <xdr:sp macro="" textlink="">
        <xdr:nvSpPr>
          <xdr:cNvPr id="86" name="TextBox 85">
            <a:extLst>
              <a:ext uri="{FF2B5EF4-FFF2-40B4-BE49-F238E27FC236}">
                <a16:creationId xmlns:a16="http://schemas.microsoft.com/office/drawing/2014/main" id="{00000000-0008-0000-0000-000056000000}"/>
              </a:ext>
            </a:extLst>
          </xdr:cNvPr>
          <xdr:cNvSpPr txBox="1"/>
        </xdr:nvSpPr>
        <xdr:spPr>
          <a:xfrm>
            <a:off x="0" y="33945195"/>
            <a:ext cx="4331969" cy="269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12: Parameteren gennemsnit er valgt til analyse</a:t>
            </a:r>
            <a:endParaRPr lang="da-DK" sz="1100"/>
          </a:p>
        </xdr:txBody>
      </xdr:sp>
      <xdr:pic>
        <xdr:nvPicPr>
          <xdr:cNvPr id="93" name="Picture 92">
            <a:extLst>
              <a:ext uri="{FF2B5EF4-FFF2-40B4-BE49-F238E27FC236}">
                <a16:creationId xmlns:a16="http://schemas.microsoft.com/office/drawing/2014/main" id="{00000000-0008-0000-0000-00005D000000}"/>
              </a:ext>
            </a:extLst>
          </xdr:cNvPr>
          <xdr:cNvPicPr>
            <a:picLocks noChangeAspect="1"/>
          </xdr:cNvPicPr>
        </xdr:nvPicPr>
        <xdr:blipFill rotWithShape="1">
          <a:blip xmlns:r="http://schemas.openxmlformats.org/officeDocument/2006/relationships" r:embed="rId14"/>
          <a:srcRect l="175" r="66881"/>
          <a:stretch/>
        </xdr:blipFill>
        <xdr:spPr>
          <a:xfrm>
            <a:off x="0" y="31775400"/>
            <a:ext cx="4288155" cy="2190475"/>
          </a:xfrm>
          <a:prstGeom prst="rect">
            <a:avLst/>
          </a:prstGeom>
        </xdr:spPr>
      </xdr:pic>
    </xdr:grpSp>
    <xdr:clientData/>
  </xdr:twoCellAnchor>
  <xdr:twoCellAnchor editAs="oneCell">
    <xdr:from>
      <xdr:col>0</xdr:col>
      <xdr:colOff>0</xdr:colOff>
      <xdr:row>211</xdr:row>
      <xdr:rowOff>49530</xdr:rowOff>
    </xdr:from>
    <xdr:to>
      <xdr:col>0</xdr:col>
      <xdr:colOff>4341496</xdr:colOff>
      <xdr:row>225</xdr:row>
      <xdr:rowOff>92570</xdr:rowOff>
    </xdr:to>
    <xdr:grpSp>
      <xdr:nvGrpSpPr>
        <xdr:cNvPr id="58" name="Group 57">
          <a:extLst>
            <a:ext uri="{FF2B5EF4-FFF2-40B4-BE49-F238E27FC236}">
              <a16:creationId xmlns:a16="http://schemas.microsoft.com/office/drawing/2014/main" id="{00000000-0008-0000-0000-00003A000000}"/>
            </a:ext>
          </a:extLst>
        </xdr:cNvPr>
        <xdr:cNvGrpSpPr/>
      </xdr:nvGrpSpPr>
      <xdr:grpSpPr>
        <a:xfrm>
          <a:off x="0" y="38635305"/>
          <a:ext cx="4341496" cy="2576690"/>
          <a:chOff x="0" y="34568130"/>
          <a:chExt cx="4341496" cy="2439530"/>
        </a:xfrm>
      </xdr:grpSpPr>
      <xdr:sp macro="" textlink="">
        <xdr:nvSpPr>
          <xdr:cNvPr id="89" name="TextBox 88">
            <a:extLst>
              <a:ext uri="{FF2B5EF4-FFF2-40B4-BE49-F238E27FC236}">
                <a16:creationId xmlns:a16="http://schemas.microsoft.com/office/drawing/2014/main" id="{00000000-0008-0000-0000-000059000000}"/>
              </a:ext>
            </a:extLst>
          </xdr:cNvPr>
          <xdr:cNvSpPr txBox="1"/>
        </xdr:nvSpPr>
        <xdr:spPr>
          <a:xfrm>
            <a:off x="0" y="36737925"/>
            <a:ext cx="4324349" cy="269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13: En højresidet hypotese om værdi bliver testet</a:t>
            </a:r>
            <a:endParaRPr lang="da-DK" sz="1100"/>
          </a:p>
        </xdr:txBody>
      </xdr:sp>
      <xdr:pic>
        <xdr:nvPicPr>
          <xdr:cNvPr id="94" name="Picture 93">
            <a:extLst>
              <a:ext uri="{FF2B5EF4-FFF2-40B4-BE49-F238E27FC236}">
                <a16:creationId xmlns:a16="http://schemas.microsoft.com/office/drawing/2014/main" id="{00000000-0008-0000-0000-00005E000000}"/>
              </a:ext>
            </a:extLst>
          </xdr:cNvPr>
          <xdr:cNvPicPr>
            <a:picLocks noChangeAspect="1"/>
          </xdr:cNvPicPr>
        </xdr:nvPicPr>
        <xdr:blipFill rotWithShape="1">
          <a:blip xmlns:r="http://schemas.openxmlformats.org/officeDocument/2006/relationships" r:embed="rId14"/>
          <a:srcRect l="33216" r="33538"/>
          <a:stretch/>
        </xdr:blipFill>
        <xdr:spPr>
          <a:xfrm>
            <a:off x="0" y="34568130"/>
            <a:ext cx="4341496" cy="2196190"/>
          </a:xfrm>
          <a:prstGeom prst="rect">
            <a:avLst/>
          </a:prstGeom>
        </xdr:spPr>
      </xdr:pic>
    </xdr:grpSp>
    <xdr:clientData/>
  </xdr:twoCellAnchor>
  <xdr:twoCellAnchor editAs="oneCell">
    <xdr:from>
      <xdr:col>0</xdr:col>
      <xdr:colOff>0</xdr:colOff>
      <xdr:row>229</xdr:row>
      <xdr:rowOff>0</xdr:rowOff>
    </xdr:from>
    <xdr:to>
      <xdr:col>0</xdr:col>
      <xdr:colOff>4382857</xdr:colOff>
      <xdr:row>243</xdr:row>
      <xdr:rowOff>98285</xdr:rowOff>
    </xdr:to>
    <xdr:grpSp>
      <xdr:nvGrpSpPr>
        <xdr:cNvPr id="59" name="Group 58">
          <a:extLst>
            <a:ext uri="{FF2B5EF4-FFF2-40B4-BE49-F238E27FC236}">
              <a16:creationId xmlns:a16="http://schemas.microsoft.com/office/drawing/2014/main" id="{00000000-0008-0000-0000-00003B000000}"/>
            </a:ext>
          </a:extLst>
        </xdr:cNvPr>
        <xdr:cNvGrpSpPr/>
      </xdr:nvGrpSpPr>
      <xdr:grpSpPr>
        <a:xfrm>
          <a:off x="0" y="41843325"/>
          <a:ext cx="4382857" cy="2631935"/>
          <a:chOff x="0" y="37261800"/>
          <a:chExt cx="4382857" cy="2494775"/>
        </a:xfrm>
      </xdr:grpSpPr>
      <xdr:sp macro="" textlink="">
        <xdr:nvSpPr>
          <xdr:cNvPr id="96" name="TextBox 95">
            <a:extLst>
              <a:ext uri="{FF2B5EF4-FFF2-40B4-BE49-F238E27FC236}">
                <a16:creationId xmlns:a16="http://schemas.microsoft.com/office/drawing/2014/main" id="{00000000-0008-0000-0000-000060000000}"/>
              </a:ext>
            </a:extLst>
          </xdr:cNvPr>
          <xdr:cNvSpPr txBox="1"/>
        </xdr:nvSpPr>
        <xdr:spPr>
          <a:xfrm>
            <a:off x="0" y="39490650"/>
            <a:ext cx="4328159" cy="265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14: En beregning baseret på en t-fordeling bliver anvendt</a:t>
            </a:r>
            <a:endParaRPr lang="da-DK" sz="1100"/>
          </a:p>
        </xdr:txBody>
      </xdr:sp>
      <xdr:pic>
        <xdr:nvPicPr>
          <xdr:cNvPr id="55" name="Picture 54">
            <a:extLst>
              <a:ext uri="{FF2B5EF4-FFF2-40B4-BE49-F238E27FC236}">
                <a16:creationId xmlns:a16="http://schemas.microsoft.com/office/drawing/2014/main" id="{00000000-0008-0000-0000-000037000000}"/>
              </a:ext>
            </a:extLst>
          </xdr:cNvPr>
          <xdr:cNvPicPr>
            <a:picLocks noChangeAspect="1"/>
          </xdr:cNvPicPr>
        </xdr:nvPicPr>
        <xdr:blipFill>
          <a:blip xmlns:r="http://schemas.openxmlformats.org/officeDocument/2006/relationships" r:embed="rId15"/>
          <a:stretch>
            <a:fillRect/>
          </a:stretch>
        </xdr:blipFill>
        <xdr:spPr>
          <a:xfrm>
            <a:off x="0" y="37261800"/>
            <a:ext cx="4382857" cy="2209524"/>
          </a:xfrm>
          <a:prstGeom prst="rect">
            <a:avLst/>
          </a:prstGeom>
        </xdr:spPr>
      </xdr:pic>
    </xdr:grpSp>
    <xdr:clientData/>
  </xdr:twoCellAnchor>
  <xdr:twoCellAnchor editAs="oneCell">
    <xdr:from>
      <xdr:col>4</xdr:col>
      <xdr:colOff>1007248</xdr:colOff>
      <xdr:row>192</xdr:row>
      <xdr:rowOff>140679</xdr:rowOff>
    </xdr:from>
    <xdr:to>
      <xdr:col>9</xdr:col>
      <xdr:colOff>245687</xdr:colOff>
      <xdr:row>207</xdr:row>
      <xdr:rowOff>58347</xdr:rowOff>
    </xdr:to>
    <xdr:grpSp>
      <xdr:nvGrpSpPr>
        <xdr:cNvPr id="105" name="Group 104">
          <a:extLst>
            <a:ext uri="{FF2B5EF4-FFF2-40B4-BE49-F238E27FC236}">
              <a16:creationId xmlns:a16="http://schemas.microsoft.com/office/drawing/2014/main" id="{00000000-0008-0000-0000-000069000000}"/>
            </a:ext>
          </a:extLst>
        </xdr:cNvPr>
        <xdr:cNvGrpSpPr/>
      </xdr:nvGrpSpPr>
      <xdr:grpSpPr>
        <a:xfrm>
          <a:off x="12399148" y="35287929"/>
          <a:ext cx="4429564" cy="2632293"/>
          <a:chOff x="11391900" y="31744730"/>
          <a:chExt cx="4375237" cy="2479789"/>
        </a:xfrm>
      </xdr:grpSpPr>
      <xdr:pic>
        <xdr:nvPicPr>
          <xdr:cNvPr id="104" name="Picture 103">
            <a:extLst>
              <a:ext uri="{FF2B5EF4-FFF2-40B4-BE49-F238E27FC236}">
                <a16:creationId xmlns:a16="http://schemas.microsoft.com/office/drawing/2014/main" id="{00000000-0008-0000-0000-000068000000}"/>
              </a:ext>
            </a:extLst>
          </xdr:cNvPr>
          <xdr:cNvPicPr>
            <a:picLocks noChangeAspect="1"/>
          </xdr:cNvPicPr>
        </xdr:nvPicPr>
        <xdr:blipFill>
          <a:blip xmlns:r="http://schemas.openxmlformats.org/officeDocument/2006/relationships" r:embed="rId15"/>
          <a:stretch>
            <a:fillRect/>
          </a:stretch>
        </xdr:blipFill>
        <xdr:spPr>
          <a:xfrm>
            <a:off x="11391900" y="31775400"/>
            <a:ext cx="4375237" cy="2209524"/>
          </a:xfrm>
          <a:prstGeom prst="rect">
            <a:avLst/>
          </a:prstGeom>
        </xdr:spPr>
      </xdr:pic>
      <xdr:sp macro="" textlink="">
        <xdr:nvSpPr>
          <xdr:cNvPr id="98" name="TextBox 97">
            <a:extLst>
              <a:ext uri="{FF2B5EF4-FFF2-40B4-BE49-F238E27FC236}">
                <a16:creationId xmlns:a16="http://schemas.microsoft.com/office/drawing/2014/main" id="{00000000-0008-0000-0000-000062000000}"/>
              </a:ext>
            </a:extLst>
          </xdr:cNvPr>
          <xdr:cNvSpPr txBox="1"/>
        </xdr:nvSpPr>
        <xdr:spPr>
          <a:xfrm>
            <a:off x="11391900" y="33953941"/>
            <a:ext cx="4320562" cy="2705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15: Ryd filtre knappen sidder øverst til højre</a:t>
            </a:r>
            <a:endParaRPr lang="da-DK" sz="1100"/>
          </a:p>
        </xdr:txBody>
      </xdr:sp>
      <xdr:sp macro="" textlink="">
        <xdr:nvSpPr>
          <xdr:cNvPr id="100" name="Oval 99">
            <a:extLst>
              <a:ext uri="{FF2B5EF4-FFF2-40B4-BE49-F238E27FC236}">
                <a16:creationId xmlns:a16="http://schemas.microsoft.com/office/drawing/2014/main" id="{00000000-0008-0000-0000-000064000000}"/>
              </a:ext>
            </a:extLst>
          </xdr:cNvPr>
          <xdr:cNvSpPr/>
        </xdr:nvSpPr>
        <xdr:spPr>
          <a:xfrm>
            <a:off x="15387289" y="31744730"/>
            <a:ext cx="377190" cy="361950"/>
          </a:xfrm>
          <a:prstGeom prst="ellipse">
            <a:avLst/>
          </a:prstGeom>
          <a:noFill/>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da-DK" sz="1100"/>
          </a:p>
        </xdr:txBody>
      </xdr:sp>
    </xdr:grpSp>
    <xdr:clientData/>
  </xdr:twoCellAnchor>
  <xdr:twoCellAnchor editAs="oneCell">
    <xdr:from>
      <xdr:col>0</xdr:col>
      <xdr:colOff>0</xdr:colOff>
      <xdr:row>247</xdr:row>
      <xdr:rowOff>97165</xdr:rowOff>
    </xdr:from>
    <xdr:to>
      <xdr:col>2</xdr:col>
      <xdr:colOff>2954655</xdr:colOff>
      <xdr:row>252</xdr:row>
      <xdr:rowOff>151213</xdr:rowOff>
    </xdr:to>
    <xdr:grpSp>
      <xdr:nvGrpSpPr>
        <xdr:cNvPr id="108" name="Group 107">
          <a:extLst>
            <a:ext uri="{FF2B5EF4-FFF2-40B4-BE49-F238E27FC236}">
              <a16:creationId xmlns:a16="http://schemas.microsoft.com/office/drawing/2014/main" id="{00000000-0008-0000-0000-00006C000000}"/>
            </a:ext>
          </a:extLst>
        </xdr:cNvPr>
        <xdr:cNvGrpSpPr/>
      </xdr:nvGrpSpPr>
      <xdr:grpSpPr>
        <a:xfrm>
          <a:off x="0" y="45198040"/>
          <a:ext cx="8079105" cy="958923"/>
          <a:chOff x="0" y="40016430"/>
          <a:chExt cx="8963285" cy="1015276"/>
        </a:xfrm>
      </xdr:grpSpPr>
      <xdr:pic>
        <xdr:nvPicPr>
          <xdr:cNvPr id="106" name="Picture 105">
            <a:extLst>
              <a:ext uri="{FF2B5EF4-FFF2-40B4-BE49-F238E27FC236}">
                <a16:creationId xmlns:a16="http://schemas.microsoft.com/office/drawing/2014/main" id="{00000000-0008-0000-0000-00006A000000}"/>
              </a:ext>
            </a:extLst>
          </xdr:cNvPr>
          <xdr:cNvPicPr>
            <a:picLocks noChangeAspect="1"/>
          </xdr:cNvPicPr>
        </xdr:nvPicPr>
        <xdr:blipFill>
          <a:blip xmlns:r="http://schemas.openxmlformats.org/officeDocument/2006/relationships" r:embed="rId16"/>
          <a:stretch>
            <a:fillRect/>
          </a:stretch>
        </xdr:blipFill>
        <xdr:spPr>
          <a:xfrm>
            <a:off x="0" y="40016430"/>
            <a:ext cx="8963285" cy="596265"/>
          </a:xfrm>
          <a:prstGeom prst="rect">
            <a:avLst/>
          </a:prstGeom>
        </xdr:spPr>
      </xdr:pic>
      <xdr:sp macro="" textlink="">
        <xdr:nvSpPr>
          <xdr:cNvPr id="107" name="TextBox 106">
            <a:extLst>
              <a:ext uri="{FF2B5EF4-FFF2-40B4-BE49-F238E27FC236}">
                <a16:creationId xmlns:a16="http://schemas.microsoft.com/office/drawing/2014/main" id="{00000000-0008-0000-0000-00006B000000}"/>
              </a:ext>
            </a:extLst>
          </xdr:cNvPr>
          <xdr:cNvSpPr txBox="1"/>
        </xdr:nvSpPr>
        <xdr:spPr>
          <a:xfrm>
            <a:off x="0" y="40604986"/>
            <a:ext cx="8943975" cy="4267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16: Forudsætningerne for at bruge den valgte beregningsmetode er her opfyldt, hvis standardafvigelsen i populationen ikker er kendt</a:t>
            </a:r>
            <a:endParaRPr lang="da-DK" sz="1100"/>
          </a:p>
        </xdr:txBody>
      </xdr:sp>
    </xdr:grpSp>
    <xdr:clientData/>
  </xdr:twoCellAnchor>
  <xdr:twoCellAnchor editAs="oneCell">
    <xdr:from>
      <xdr:col>0</xdr:col>
      <xdr:colOff>1</xdr:colOff>
      <xdr:row>255</xdr:row>
      <xdr:rowOff>1</xdr:rowOff>
    </xdr:from>
    <xdr:to>
      <xdr:col>2</xdr:col>
      <xdr:colOff>2971801</xdr:colOff>
      <xdr:row>265</xdr:row>
      <xdr:rowOff>135256</xdr:rowOff>
    </xdr:to>
    <xdr:grpSp>
      <xdr:nvGrpSpPr>
        <xdr:cNvPr id="114" name="Group 113">
          <a:extLst>
            <a:ext uri="{FF2B5EF4-FFF2-40B4-BE49-F238E27FC236}">
              <a16:creationId xmlns:a16="http://schemas.microsoft.com/office/drawing/2014/main" id="{00000000-0008-0000-0000-000072000000}"/>
            </a:ext>
          </a:extLst>
        </xdr:cNvPr>
        <xdr:cNvGrpSpPr/>
      </xdr:nvGrpSpPr>
      <xdr:grpSpPr>
        <a:xfrm>
          <a:off x="1" y="46548676"/>
          <a:ext cx="8096250" cy="1945005"/>
          <a:chOff x="1" y="41376601"/>
          <a:chExt cx="8096250" cy="1849754"/>
        </a:xfrm>
      </xdr:grpSpPr>
      <xdr:pic>
        <xdr:nvPicPr>
          <xdr:cNvPr id="113" name="Picture 112">
            <a:extLst>
              <a:ext uri="{FF2B5EF4-FFF2-40B4-BE49-F238E27FC236}">
                <a16:creationId xmlns:a16="http://schemas.microsoft.com/office/drawing/2014/main" id="{00000000-0008-0000-0000-000071000000}"/>
              </a:ext>
            </a:extLst>
          </xdr:cNvPr>
          <xdr:cNvPicPr>
            <a:picLocks noChangeAspect="1"/>
          </xdr:cNvPicPr>
        </xdr:nvPicPr>
        <xdr:blipFill>
          <a:blip xmlns:r="http://schemas.openxmlformats.org/officeDocument/2006/relationships" r:embed="rId17"/>
          <a:stretch>
            <a:fillRect/>
          </a:stretch>
        </xdr:blipFill>
        <xdr:spPr>
          <a:xfrm>
            <a:off x="1" y="41376601"/>
            <a:ext cx="8096250" cy="1573121"/>
          </a:xfrm>
          <a:prstGeom prst="rect">
            <a:avLst/>
          </a:prstGeom>
        </xdr:spPr>
      </xdr:pic>
      <xdr:sp macro="" textlink="">
        <xdr:nvSpPr>
          <xdr:cNvPr id="112" name="TextBox 111">
            <a:extLst>
              <a:ext uri="{FF2B5EF4-FFF2-40B4-BE49-F238E27FC236}">
                <a16:creationId xmlns:a16="http://schemas.microsoft.com/office/drawing/2014/main" id="{00000000-0008-0000-0000-000070000000}"/>
              </a:ext>
            </a:extLst>
          </xdr:cNvPr>
          <xdr:cNvSpPr txBox="1"/>
        </xdr:nvSpPr>
        <xdr:spPr>
          <a:xfrm>
            <a:off x="1" y="42940607"/>
            <a:ext cx="8073389" cy="2857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17: Resultater af hypotesetest om gennemsnit, her kan nulhypotesen ikke afvises</a:t>
            </a:r>
            <a:endParaRPr lang="da-DK" sz="1100"/>
          </a:p>
        </xdr:txBody>
      </xdr:sp>
    </xdr:grpSp>
    <xdr:clientData/>
  </xdr:twoCellAnchor>
  <xdr:twoCellAnchor editAs="oneCell">
    <xdr:from>
      <xdr:col>4</xdr:col>
      <xdr:colOff>925830</xdr:colOff>
      <xdr:row>295</xdr:row>
      <xdr:rowOff>161925</xdr:rowOff>
    </xdr:from>
    <xdr:to>
      <xdr:col>16</xdr:col>
      <xdr:colOff>207421</xdr:colOff>
      <xdr:row>305</xdr:row>
      <xdr:rowOff>77430</xdr:rowOff>
    </xdr:to>
    <xdr:grpSp>
      <xdr:nvGrpSpPr>
        <xdr:cNvPr id="121" name="Group 120">
          <a:extLst>
            <a:ext uri="{FF2B5EF4-FFF2-40B4-BE49-F238E27FC236}">
              <a16:creationId xmlns:a16="http://schemas.microsoft.com/office/drawing/2014/main" id="{00000000-0008-0000-0000-000079000000}"/>
            </a:ext>
          </a:extLst>
        </xdr:cNvPr>
        <xdr:cNvGrpSpPr/>
      </xdr:nvGrpSpPr>
      <xdr:grpSpPr>
        <a:xfrm>
          <a:off x="12317730" y="54063900"/>
          <a:ext cx="9273316" cy="1725255"/>
          <a:chOff x="12317730" y="49310925"/>
          <a:chExt cx="9063766" cy="1630007"/>
        </a:xfrm>
      </xdr:grpSpPr>
      <xdr:pic>
        <xdr:nvPicPr>
          <xdr:cNvPr id="119" name="Picture 118">
            <a:extLst>
              <a:ext uri="{FF2B5EF4-FFF2-40B4-BE49-F238E27FC236}">
                <a16:creationId xmlns:a16="http://schemas.microsoft.com/office/drawing/2014/main" id="{00000000-0008-0000-0000-000077000000}"/>
              </a:ext>
            </a:extLst>
          </xdr:cNvPr>
          <xdr:cNvPicPr>
            <a:picLocks noChangeAspect="1"/>
          </xdr:cNvPicPr>
        </xdr:nvPicPr>
        <xdr:blipFill>
          <a:blip xmlns:r="http://schemas.openxmlformats.org/officeDocument/2006/relationships" r:embed="rId18"/>
          <a:stretch>
            <a:fillRect/>
          </a:stretch>
        </xdr:blipFill>
        <xdr:spPr>
          <a:xfrm>
            <a:off x="12317730" y="49310925"/>
            <a:ext cx="9062857" cy="1403809"/>
          </a:xfrm>
          <a:prstGeom prst="rect">
            <a:avLst/>
          </a:prstGeom>
        </xdr:spPr>
      </xdr:pic>
      <xdr:sp macro="" textlink="">
        <xdr:nvSpPr>
          <xdr:cNvPr id="120" name="TextBox 119">
            <a:extLst>
              <a:ext uri="{FF2B5EF4-FFF2-40B4-BE49-F238E27FC236}">
                <a16:creationId xmlns:a16="http://schemas.microsoft.com/office/drawing/2014/main" id="{00000000-0008-0000-0000-000078000000}"/>
              </a:ext>
            </a:extLst>
          </xdr:cNvPr>
          <xdr:cNvSpPr txBox="1"/>
        </xdr:nvSpPr>
        <xdr:spPr>
          <a:xfrm>
            <a:off x="12321903" y="50693847"/>
            <a:ext cx="9059593" cy="247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19: x5test3 er udeladt fra modellen og derfor er det ikke længere et problem, at variablen ikke kan inkluderes</a:t>
            </a:r>
          </a:p>
        </xdr:txBody>
      </xdr:sp>
    </xdr:grpSp>
    <xdr:clientData/>
  </xdr:twoCellAnchor>
  <xdr:twoCellAnchor editAs="oneCell">
    <xdr:from>
      <xdr:col>4</xdr:col>
      <xdr:colOff>893445</xdr:colOff>
      <xdr:row>308</xdr:row>
      <xdr:rowOff>9525</xdr:rowOff>
    </xdr:from>
    <xdr:to>
      <xdr:col>10</xdr:col>
      <xdr:colOff>591772</xdr:colOff>
      <xdr:row>310</xdr:row>
      <xdr:rowOff>92081</xdr:rowOff>
    </xdr:to>
    <xdr:grpSp>
      <xdr:nvGrpSpPr>
        <xdr:cNvPr id="124" name="Group 123">
          <a:extLst>
            <a:ext uri="{FF2B5EF4-FFF2-40B4-BE49-F238E27FC236}">
              <a16:creationId xmlns:a16="http://schemas.microsoft.com/office/drawing/2014/main" id="{00000000-0008-0000-0000-00007C000000}"/>
            </a:ext>
          </a:extLst>
        </xdr:cNvPr>
        <xdr:cNvGrpSpPr/>
      </xdr:nvGrpSpPr>
      <xdr:grpSpPr>
        <a:xfrm>
          <a:off x="12285345" y="56264175"/>
          <a:ext cx="5575252" cy="444506"/>
          <a:chOff x="12289155" y="51328320"/>
          <a:chExt cx="5472382" cy="427362"/>
        </a:xfrm>
      </xdr:grpSpPr>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12289904" y="51521095"/>
            <a:ext cx="5466600" cy="2345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20: Vælg et konfidensniveau</a:t>
            </a:r>
          </a:p>
        </xdr:txBody>
      </xdr:sp>
      <xdr:pic>
        <xdr:nvPicPr>
          <xdr:cNvPr id="123" name="Picture 122">
            <a:extLst>
              <a:ext uri="{FF2B5EF4-FFF2-40B4-BE49-F238E27FC236}">
                <a16:creationId xmlns:a16="http://schemas.microsoft.com/office/drawing/2014/main" id="{00000000-0008-0000-0000-00007B000000}"/>
              </a:ext>
            </a:extLst>
          </xdr:cNvPr>
          <xdr:cNvPicPr>
            <a:picLocks noChangeAspect="1"/>
          </xdr:cNvPicPr>
        </xdr:nvPicPr>
        <xdr:blipFill>
          <a:blip xmlns:r="http://schemas.openxmlformats.org/officeDocument/2006/relationships" r:embed="rId19"/>
          <a:stretch>
            <a:fillRect/>
          </a:stretch>
        </xdr:blipFill>
        <xdr:spPr>
          <a:xfrm>
            <a:off x="12289155" y="51328320"/>
            <a:ext cx="5472382" cy="203809"/>
          </a:xfrm>
          <a:prstGeom prst="rect">
            <a:avLst/>
          </a:prstGeom>
        </xdr:spPr>
      </xdr:pic>
    </xdr:grpSp>
    <xdr:clientData/>
  </xdr:twoCellAnchor>
  <xdr:twoCellAnchor editAs="oneCell">
    <xdr:from>
      <xdr:col>4</xdr:col>
      <xdr:colOff>897255</xdr:colOff>
      <xdr:row>314</xdr:row>
      <xdr:rowOff>20955</xdr:rowOff>
    </xdr:from>
    <xdr:to>
      <xdr:col>16</xdr:col>
      <xdr:colOff>210319</xdr:colOff>
      <xdr:row>323</xdr:row>
      <xdr:rowOff>94397</xdr:rowOff>
    </xdr:to>
    <xdr:grpSp>
      <xdr:nvGrpSpPr>
        <xdr:cNvPr id="128" name="Group 127">
          <a:extLst>
            <a:ext uri="{FF2B5EF4-FFF2-40B4-BE49-F238E27FC236}">
              <a16:creationId xmlns:a16="http://schemas.microsoft.com/office/drawing/2014/main" id="{00000000-0008-0000-0000-000080000000}"/>
            </a:ext>
          </a:extLst>
        </xdr:cNvPr>
        <xdr:cNvGrpSpPr/>
      </xdr:nvGrpSpPr>
      <xdr:grpSpPr>
        <a:xfrm>
          <a:off x="12289155" y="57361455"/>
          <a:ext cx="9304789" cy="1702217"/>
          <a:chOff x="12289155" y="52427505"/>
          <a:chExt cx="9095239" cy="1624111"/>
        </a:xfrm>
      </xdr:grpSpPr>
      <xdr:pic>
        <xdr:nvPicPr>
          <xdr:cNvPr id="125" name="Picture 124">
            <a:extLst>
              <a:ext uri="{FF2B5EF4-FFF2-40B4-BE49-F238E27FC236}">
                <a16:creationId xmlns:a16="http://schemas.microsoft.com/office/drawing/2014/main" id="{00000000-0008-0000-0000-00007D000000}"/>
              </a:ext>
            </a:extLst>
          </xdr:cNvPr>
          <xdr:cNvPicPr>
            <a:picLocks noChangeAspect="1"/>
          </xdr:cNvPicPr>
        </xdr:nvPicPr>
        <xdr:blipFill>
          <a:blip xmlns:r="http://schemas.openxmlformats.org/officeDocument/2006/relationships" r:embed="rId20"/>
          <a:stretch>
            <a:fillRect/>
          </a:stretch>
        </xdr:blipFill>
        <xdr:spPr>
          <a:xfrm>
            <a:off x="12289155" y="52427505"/>
            <a:ext cx="9095239" cy="1401905"/>
          </a:xfrm>
          <a:prstGeom prst="rect">
            <a:avLst/>
          </a:prstGeom>
        </xdr:spPr>
      </xdr:pic>
      <xdr:sp macro="" textlink="">
        <xdr:nvSpPr>
          <xdr:cNvPr id="126" name="TextBox 125">
            <a:extLst>
              <a:ext uri="{FF2B5EF4-FFF2-40B4-BE49-F238E27FC236}">
                <a16:creationId xmlns:a16="http://schemas.microsoft.com/office/drawing/2014/main" id="{00000000-0008-0000-0000-00007E000000}"/>
              </a:ext>
            </a:extLst>
          </xdr:cNvPr>
          <xdr:cNvSpPr txBox="1"/>
        </xdr:nvSpPr>
        <xdr:spPr>
          <a:xfrm>
            <a:off x="12294870" y="53804820"/>
            <a:ext cx="9059593" cy="24679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21: Eksempel 4 og konstanten er inkluderet i modellen, resten er udeladt, fordi koefficienterne ikke var signifikante</a:t>
            </a:r>
          </a:p>
        </xdr:txBody>
      </xdr:sp>
    </xdr:grpSp>
    <xdr:clientData/>
  </xdr:twoCellAnchor>
  <xdr:twoCellAnchor editAs="oneCell">
    <xdr:from>
      <xdr:col>4</xdr:col>
      <xdr:colOff>876300</xdr:colOff>
      <xdr:row>324</xdr:row>
      <xdr:rowOff>121920</xdr:rowOff>
    </xdr:from>
    <xdr:to>
      <xdr:col>9</xdr:col>
      <xdr:colOff>285750</xdr:colOff>
      <xdr:row>343</xdr:row>
      <xdr:rowOff>38100</xdr:rowOff>
    </xdr:to>
    <xdr:grpSp>
      <xdr:nvGrpSpPr>
        <xdr:cNvPr id="129" name="Group 128">
          <a:extLst>
            <a:ext uri="{FF2B5EF4-FFF2-40B4-BE49-F238E27FC236}">
              <a16:creationId xmlns:a16="http://schemas.microsoft.com/office/drawing/2014/main" id="{00000000-0008-0000-0000-000081000000}"/>
            </a:ext>
          </a:extLst>
        </xdr:cNvPr>
        <xdr:cNvGrpSpPr/>
      </xdr:nvGrpSpPr>
      <xdr:grpSpPr>
        <a:xfrm>
          <a:off x="12268200" y="59272170"/>
          <a:ext cx="4600575" cy="3354705"/>
          <a:chOff x="12268200" y="54242970"/>
          <a:chExt cx="4524375" cy="3173731"/>
        </a:xfrm>
      </xdr:grpSpPr>
      <xdr:sp macro="" textlink="">
        <xdr:nvSpPr>
          <xdr:cNvPr id="75" name="TextBox 74">
            <a:extLst>
              <a:ext uri="{FF2B5EF4-FFF2-40B4-BE49-F238E27FC236}">
                <a16:creationId xmlns:a16="http://schemas.microsoft.com/office/drawing/2014/main" id="{00000000-0008-0000-0000-00004B000000}"/>
              </a:ext>
            </a:extLst>
          </xdr:cNvPr>
          <xdr:cNvSpPr txBox="1"/>
        </xdr:nvSpPr>
        <xdr:spPr>
          <a:xfrm>
            <a:off x="12283721" y="56962035"/>
            <a:ext cx="4472788" cy="4546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22: Eksempel 4 og konstantens koefficienter er signifikante og modellen har en justeret forklaringsgrad på 0,37</a:t>
            </a:r>
          </a:p>
        </xdr:txBody>
      </xdr:sp>
      <xdr:pic>
        <xdr:nvPicPr>
          <xdr:cNvPr id="127" name="Picture 126">
            <a:extLst>
              <a:ext uri="{FF2B5EF4-FFF2-40B4-BE49-F238E27FC236}">
                <a16:creationId xmlns:a16="http://schemas.microsoft.com/office/drawing/2014/main" id="{00000000-0008-0000-0000-00007F000000}"/>
              </a:ext>
            </a:extLst>
          </xdr:cNvPr>
          <xdr:cNvPicPr>
            <a:picLocks noChangeAspect="1"/>
          </xdr:cNvPicPr>
        </xdr:nvPicPr>
        <xdr:blipFill>
          <a:blip xmlns:r="http://schemas.openxmlformats.org/officeDocument/2006/relationships" r:embed="rId21"/>
          <a:stretch>
            <a:fillRect/>
          </a:stretch>
        </xdr:blipFill>
        <xdr:spPr>
          <a:xfrm>
            <a:off x="12268200" y="54242970"/>
            <a:ext cx="4524375" cy="2738471"/>
          </a:xfrm>
          <a:prstGeom prst="rect">
            <a:avLst/>
          </a:prstGeom>
        </xdr:spPr>
      </xdr:pic>
    </xdr:grpSp>
    <xdr:clientData/>
  </xdr:twoCellAnchor>
  <xdr:twoCellAnchor editAs="oneCell">
    <xdr:from>
      <xdr:col>0</xdr:col>
      <xdr:colOff>1638300</xdr:colOff>
      <xdr:row>314</xdr:row>
      <xdr:rowOff>5715</xdr:rowOff>
    </xdr:from>
    <xdr:to>
      <xdr:col>0</xdr:col>
      <xdr:colOff>2072925</xdr:colOff>
      <xdr:row>315</xdr:row>
      <xdr:rowOff>19050</xdr:rowOff>
    </xdr:to>
    <xdr:pic>
      <xdr:nvPicPr>
        <xdr:cNvPr id="130" name="Picture 129">
          <a:extLst>
            <a:ext uri="{FF2B5EF4-FFF2-40B4-BE49-F238E27FC236}">
              <a16:creationId xmlns:a16="http://schemas.microsoft.com/office/drawing/2014/main" id="{00000000-0008-0000-0000-000082000000}"/>
            </a:ext>
          </a:extLst>
        </xdr:cNvPr>
        <xdr:cNvPicPr>
          <a:picLocks noChangeAspect="1"/>
        </xdr:cNvPicPr>
      </xdr:nvPicPr>
      <xdr:blipFill rotWithShape="1">
        <a:blip xmlns:r="http://schemas.openxmlformats.org/officeDocument/2006/relationships" r:embed="rId22"/>
        <a:srcRect t="18296" b="33582"/>
        <a:stretch/>
      </xdr:blipFill>
      <xdr:spPr>
        <a:xfrm>
          <a:off x="1638300" y="53225972"/>
          <a:ext cx="434625" cy="172267"/>
        </a:xfrm>
        <a:prstGeom prst="rect">
          <a:avLst/>
        </a:prstGeom>
      </xdr:spPr>
    </xdr:pic>
    <xdr:clientData/>
  </xdr:twoCellAnchor>
  <xdr:twoCellAnchor editAs="oneCell">
    <xdr:from>
      <xdr:col>4</xdr:col>
      <xdr:colOff>857578</xdr:colOff>
      <xdr:row>346</xdr:row>
      <xdr:rowOff>29807</xdr:rowOff>
    </xdr:from>
    <xdr:to>
      <xdr:col>13</xdr:col>
      <xdr:colOff>153750</xdr:colOff>
      <xdr:row>348</xdr:row>
      <xdr:rowOff>112059</xdr:rowOff>
    </xdr:to>
    <xdr:grpSp>
      <xdr:nvGrpSpPr>
        <xdr:cNvPr id="147" name="Group 146">
          <a:extLst>
            <a:ext uri="{FF2B5EF4-FFF2-40B4-BE49-F238E27FC236}">
              <a16:creationId xmlns:a16="http://schemas.microsoft.com/office/drawing/2014/main" id="{00000000-0008-0000-0000-000093000000}"/>
            </a:ext>
          </a:extLst>
        </xdr:cNvPr>
        <xdr:cNvGrpSpPr/>
      </xdr:nvGrpSpPr>
      <xdr:grpSpPr>
        <a:xfrm>
          <a:off x="12249478" y="63161507"/>
          <a:ext cx="7230497" cy="444202"/>
          <a:chOff x="12233149" y="60486343"/>
          <a:chExt cx="7079458" cy="436037"/>
        </a:xfrm>
      </xdr:grpSpPr>
      <xdr:sp macro="" textlink="">
        <xdr:nvSpPr>
          <xdr:cNvPr id="76" name="TextBox 75">
            <a:extLst>
              <a:ext uri="{FF2B5EF4-FFF2-40B4-BE49-F238E27FC236}">
                <a16:creationId xmlns:a16="http://schemas.microsoft.com/office/drawing/2014/main" id="{00000000-0008-0000-0000-00004C000000}"/>
              </a:ext>
            </a:extLst>
          </xdr:cNvPr>
          <xdr:cNvSpPr txBox="1"/>
        </xdr:nvSpPr>
        <xdr:spPr>
          <a:xfrm>
            <a:off x="12233149" y="60691072"/>
            <a:ext cx="7056368" cy="2313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23: Analyse med angivne værdier for uafhængige variable er inkluderet</a:t>
            </a:r>
          </a:p>
        </xdr:txBody>
      </xdr:sp>
      <xdr:pic>
        <xdr:nvPicPr>
          <xdr:cNvPr id="131" name="Picture 130">
            <a:extLst>
              <a:ext uri="{FF2B5EF4-FFF2-40B4-BE49-F238E27FC236}">
                <a16:creationId xmlns:a16="http://schemas.microsoft.com/office/drawing/2014/main" id="{00000000-0008-0000-0000-000083000000}"/>
              </a:ext>
            </a:extLst>
          </xdr:cNvPr>
          <xdr:cNvPicPr>
            <a:picLocks noChangeAspect="1"/>
          </xdr:cNvPicPr>
        </xdr:nvPicPr>
        <xdr:blipFill>
          <a:blip xmlns:r="http://schemas.openxmlformats.org/officeDocument/2006/relationships" r:embed="rId23"/>
          <a:stretch>
            <a:fillRect/>
          </a:stretch>
        </xdr:blipFill>
        <xdr:spPr>
          <a:xfrm>
            <a:off x="12234838" y="60486343"/>
            <a:ext cx="7077769" cy="220233"/>
          </a:xfrm>
          <a:prstGeom prst="rect">
            <a:avLst/>
          </a:prstGeom>
        </xdr:spPr>
      </xdr:pic>
    </xdr:grpSp>
    <xdr:clientData/>
  </xdr:twoCellAnchor>
  <xdr:twoCellAnchor editAs="oneCell">
    <xdr:from>
      <xdr:col>4</xdr:col>
      <xdr:colOff>855457</xdr:colOff>
      <xdr:row>352</xdr:row>
      <xdr:rowOff>74630</xdr:rowOff>
    </xdr:from>
    <xdr:to>
      <xdr:col>18</xdr:col>
      <xdr:colOff>363415</xdr:colOff>
      <xdr:row>363</xdr:row>
      <xdr:rowOff>22413</xdr:rowOff>
    </xdr:to>
    <xdr:grpSp>
      <xdr:nvGrpSpPr>
        <xdr:cNvPr id="146" name="Group 145">
          <a:extLst>
            <a:ext uri="{FF2B5EF4-FFF2-40B4-BE49-F238E27FC236}">
              <a16:creationId xmlns:a16="http://schemas.microsoft.com/office/drawing/2014/main" id="{00000000-0008-0000-0000-000092000000}"/>
            </a:ext>
          </a:extLst>
        </xdr:cNvPr>
        <xdr:cNvGrpSpPr/>
      </xdr:nvGrpSpPr>
      <xdr:grpSpPr>
        <a:xfrm>
          <a:off x="12247357" y="64292180"/>
          <a:ext cx="10871283" cy="1938508"/>
          <a:chOff x="12231028" y="61592523"/>
          <a:chExt cx="10624994" cy="1893604"/>
        </a:xfrm>
      </xdr:grpSpPr>
      <xdr:sp macro="" textlink="">
        <xdr:nvSpPr>
          <xdr:cNvPr id="79" name="TextBox 78">
            <a:extLst>
              <a:ext uri="{FF2B5EF4-FFF2-40B4-BE49-F238E27FC236}">
                <a16:creationId xmlns:a16="http://schemas.microsoft.com/office/drawing/2014/main" id="{00000000-0008-0000-0000-00004F000000}"/>
              </a:ext>
            </a:extLst>
          </xdr:cNvPr>
          <xdr:cNvSpPr txBox="1"/>
        </xdr:nvSpPr>
        <xdr:spPr>
          <a:xfrm>
            <a:off x="12235419" y="63170310"/>
            <a:ext cx="10580029" cy="3158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24: Når der er angivet værdier for alle inkluderede uafhængige variable kan der beregnes en y værdi. Her forventes Eksempel 1 at blive -0,032, når Eksempel 4 er 60.</a:t>
            </a:r>
          </a:p>
        </xdr:txBody>
      </xdr:sp>
      <xdr:pic>
        <xdr:nvPicPr>
          <xdr:cNvPr id="132" name="Picture 131">
            <a:extLst>
              <a:ext uri="{FF2B5EF4-FFF2-40B4-BE49-F238E27FC236}">
                <a16:creationId xmlns:a16="http://schemas.microsoft.com/office/drawing/2014/main" id="{00000000-0008-0000-0000-000084000000}"/>
              </a:ext>
            </a:extLst>
          </xdr:cNvPr>
          <xdr:cNvPicPr>
            <a:picLocks noChangeAspect="1"/>
          </xdr:cNvPicPr>
        </xdr:nvPicPr>
        <xdr:blipFill>
          <a:blip xmlns:r="http://schemas.openxmlformats.org/officeDocument/2006/relationships" r:embed="rId24"/>
          <a:stretch>
            <a:fillRect/>
          </a:stretch>
        </xdr:blipFill>
        <xdr:spPr>
          <a:xfrm>
            <a:off x="12231028" y="61592523"/>
            <a:ext cx="10624994" cy="1555433"/>
          </a:xfrm>
          <a:prstGeom prst="rect">
            <a:avLst/>
          </a:prstGeom>
        </xdr:spPr>
      </xdr:pic>
    </xdr:grpSp>
    <xdr:clientData/>
  </xdr:twoCellAnchor>
  <xdr:twoCellAnchor editAs="oneCell">
    <xdr:from>
      <xdr:col>0</xdr:col>
      <xdr:colOff>0</xdr:colOff>
      <xdr:row>366</xdr:row>
      <xdr:rowOff>78441</xdr:rowOff>
    </xdr:from>
    <xdr:to>
      <xdr:col>0</xdr:col>
      <xdr:colOff>3906604</xdr:colOff>
      <xdr:row>397</xdr:row>
      <xdr:rowOff>77687</xdr:rowOff>
    </xdr:to>
    <xdr:grpSp>
      <xdr:nvGrpSpPr>
        <xdr:cNvPr id="134" name="Group 133">
          <a:extLst>
            <a:ext uri="{FF2B5EF4-FFF2-40B4-BE49-F238E27FC236}">
              <a16:creationId xmlns:a16="http://schemas.microsoft.com/office/drawing/2014/main" id="{00000000-0008-0000-0000-000086000000}"/>
            </a:ext>
          </a:extLst>
        </xdr:cNvPr>
        <xdr:cNvGrpSpPr/>
      </xdr:nvGrpSpPr>
      <xdr:grpSpPr>
        <a:xfrm>
          <a:off x="0" y="66829641"/>
          <a:ext cx="3906604" cy="5609471"/>
          <a:chOff x="0" y="60198000"/>
          <a:chExt cx="3897079" cy="5209981"/>
        </a:xfrm>
      </xdr:grpSpPr>
      <xdr:sp macro="" textlink="">
        <xdr:nvSpPr>
          <xdr:cNvPr id="80" name="TextBox 79">
            <a:extLst>
              <a:ext uri="{FF2B5EF4-FFF2-40B4-BE49-F238E27FC236}">
                <a16:creationId xmlns:a16="http://schemas.microsoft.com/office/drawing/2014/main" id="{00000000-0008-0000-0000-000050000000}"/>
              </a:ext>
            </a:extLst>
          </xdr:cNvPr>
          <xdr:cNvSpPr txBox="1"/>
        </xdr:nvSpPr>
        <xdr:spPr>
          <a:xfrm>
            <a:off x="0" y="64844937"/>
            <a:ext cx="3875330" cy="5630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25: Konstanten og Eksempel 4 trækker i hver sin retning, så den samlede beregnede værdi af Eksempel 1 bliver tæt på 0, når eksempel 4 er 60.</a:t>
            </a:r>
          </a:p>
        </xdr:txBody>
      </xdr:sp>
      <xdr:pic>
        <xdr:nvPicPr>
          <xdr:cNvPr id="133" name="Picture 132">
            <a:extLst>
              <a:ext uri="{FF2B5EF4-FFF2-40B4-BE49-F238E27FC236}">
                <a16:creationId xmlns:a16="http://schemas.microsoft.com/office/drawing/2014/main" id="{00000000-0008-0000-0000-000085000000}"/>
              </a:ext>
            </a:extLst>
          </xdr:cNvPr>
          <xdr:cNvPicPr>
            <a:picLocks noChangeAspect="1"/>
          </xdr:cNvPicPr>
        </xdr:nvPicPr>
        <xdr:blipFill>
          <a:blip xmlns:r="http://schemas.openxmlformats.org/officeDocument/2006/relationships" r:embed="rId25"/>
          <a:stretch>
            <a:fillRect/>
          </a:stretch>
        </xdr:blipFill>
        <xdr:spPr>
          <a:xfrm>
            <a:off x="20506" y="60198000"/>
            <a:ext cx="3876573" cy="4646631"/>
          </a:xfrm>
          <a:prstGeom prst="rect">
            <a:avLst/>
          </a:prstGeom>
        </xdr:spPr>
      </xdr:pic>
    </xdr:grpSp>
    <xdr:clientData/>
  </xdr:twoCellAnchor>
  <xdr:twoCellAnchor editAs="oneCell">
    <xdr:from>
      <xdr:col>0</xdr:col>
      <xdr:colOff>0</xdr:colOff>
      <xdr:row>485</xdr:row>
      <xdr:rowOff>1</xdr:rowOff>
    </xdr:from>
    <xdr:to>
      <xdr:col>0</xdr:col>
      <xdr:colOff>4552124</xdr:colOff>
      <xdr:row>491</xdr:row>
      <xdr:rowOff>167641</xdr:rowOff>
    </xdr:to>
    <xdr:grpSp>
      <xdr:nvGrpSpPr>
        <xdr:cNvPr id="141" name="Group 140">
          <a:extLst>
            <a:ext uri="{FF2B5EF4-FFF2-40B4-BE49-F238E27FC236}">
              <a16:creationId xmlns:a16="http://schemas.microsoft.com/office/drawing/2014/main" id="{00000000-0008-0000-0000-00008D000000}"/>
            </a:ext>
          </a:extLst>
        </xdr:cNvPr>
        <xdr:cNvGrpSpPr/>
      </xdr:nvGrpSpPr>
      <xdr:grpSpPr>
        <a:xfrm>
          <a:off x="0" y="88287226"/>
          <a:ext cx="4552124" cy="1253490"/>
          <a:chOff x="0" y="85044644"/>
          <a:chExt cx="4552124" cy="1228997"/>
        </a:xfrm>
      </xdr:grpSpPr>
      <xdr:pic>
        <xdr:nvPicPr>
          <xdr:cNvPr id="139" name="Picture 138">
            <a:extLst>
              <a:ext uri="{FF2B5EF4-FFF2-40B4-BE49-F238E27FC236}">
                <a16:creationId xmlns:a16="http://schemas.microsoft.com/office/drawing/2014/main" id="{00000000-0008-0000-0000-00008B000000}"/>
              </a:ext>
            </a:extLst>
          </xdr:cNvPr>
          <xdr:cNvPicPr>
            <a:picLocks noChangeAspect="1"/>
          </xdr:cNvPicPr>
        </xdr:nvPicPr>
        <xdr:blipFill>
          <a:blip xmlns:r="http://schemas.openxmlformats.org/officeDocument/2006/relationships" r:embed="rId26"/>
          <a:stretch>
            <a:fillRect/>
          </a:stretch>
        </xdr:blipFill>
        <xdr:spPr>
          <a:xfrm>
            <a:off x="0" y="85044644"/>
            <a:ext cx="4551045" cy="942214"/>
          </a:xfrm>
          <a:prstGeom prst="rect">
            <a:avLst/>
          </a:prstGeom>
        </xdr:spPr>
      </xdr:pic>
      <xdr:sp macro="" textlink="">
        <xdr:nvSpPr>
          <xdr:cNvPr id="140" name="TextBox 139">
            <a:extLst>
              <a:ext uri="{FF2B5EF4-FFF2-40B4-BE49-F238E27FC236}">
                <a16:creationId xmlns:a16="http://schemas.microsoft.com/office/drawing/2014/main" id="{00000000-0008-0000-0000-00008C000000}"/>
              </a:ext>
            </a:extLst>
          </xdr:cNvPr>
          <xdr:cNvSpPr txBox="1"/>
        </xdr:nvSpPr>
        <xdr:spPr>
          <a:xfrm>
            <a:off x="0" y="85988163"/>
            <a:ext cx="4552124" cy="2854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30: Den matematiske formel modellen vises under diagrammerne</a:t>
            </a:r>
          </a:p>
        </xdr:txBody>
      </xdr:sp>
    </xdr:grpSp>
    <xdr:clientData/>
  </xdr:twoCellAnchor>
  <xdr:twoCellAnchor editAs="oneCell">
    <xdr:from>
      <xdr:col>0</xdr:col>
      <xdr:colOff>0</xdr:colOff>
      <xdr:row>511</xdr:row>
      <xdr:rowOff>0</xdr:rowOff>
    </xdr:from>
    <xdr:to>
      <xdr:col>2</xdr:col>
      <xdr:colOff>599359</xdr:colOff>
      <xdr:row>528</xdr:row>
      <xdr:rowOff>28187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7"/>
        <a:stretch>
          <a:fillRect/>
        </a:stretch>
      </xdr:blipFill>
      <xdr:spPr>
        <a:xfrm>
          <a:off x="0" y="92021025"/>
          <a:ext cx="5723809" cy="3104762"/>
        </a:xfrm>
        <a:prstGeom prst="rect">
          <a:avLst/>
        </a:prstGeom>
      </xdr:spPr>
    </xdr:pic>
    <xdr:clientData/>
  </xdr:twoCellAnchor>
  <xdr:twoCellAnchor editAs="oneCell">
    <xdr:from>
      <xdr:col>0</xdr:col>
      <xdr:colOff>0</xdr:colOff>
      <xdr:row>530</xdr:row>
      <xdr:rowOff>123825</xdr:rowOff>
    </xdr:from>
    <xdr:to>
      <xdr:col>2</xdr:col>
      <xdr:colOff>580312</xdr:colOff>
      <xdr:row>548</xdr:row>
      <xdr:rowOff>18656</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8"/>
        <a:stretch>
          <a:fillRect/>
        </a:stretch>
      </xdr:blipFill>
      <xdr:spPr>
        <a:xfrm>
          <a:off x="0" y="95583375"/>
          <a:ext cx="5704762" cy="3152381"/>
        </a:xfrm>
        <a:prstGeom prst="rect">
          <a:avLst/>
        </a:prstGeom>
      </xdr:spPr>
    </xdr:pic>
    <xdr:clientData/>
  </xdr:twoCellAnchor>
  <xdr:twoCellAnchor editAs="oneCell">
    <xdr:from>
      <xdr:col>0</xdr:col>
      <xdr:colOff>0</xdr:colOff>
      <xdr:row>566</xdr:row>
      <xdr:rowOff>38101</xdr:rowOff>
    </xdr:from>
    <xdr:to>
      <xdr:col>1</xdr:col>
      <xdr:colOff>66675</xdr:colOff>
      <xdr:row>583</xdr:row>
      <xdr:rowOff>147892</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9"/>
        <a:stretch>
          <a:fillRect/>
        </a:stretch>
      </xdr:blipFill>
      <xdr:spPr>
        <a:xfrm>
          <a:off x="0" y="102489001"/>
          <a:ext cx="4981575" cy="3186366"/>
        </a:xfrm>
        <a:prstGeom prst="rect">
          <a:avLst/>
        </a:prstGeom>
      </xdr:spPr>
    </xdr:pic>
    <xdr:clientData/>
  </xdr:twoCellAnchor>
  <xdr:twoCellAnchor editAs="oneCell">
    <xdr:from>
      <xdr:col>0</xdr:col>
      <xdr:colOff>0</xdr:colOff>
      <xdr:row>586</xdr:row>
      <xdr:rowOff>0</xdr:rowOff>
    </xdr:from>
    <xdr:to>
      <xdr:col>0</xdr:col>
      <xdr:colOff>3780952</xdr:colOff>
      <xdr:row>611</xdr:row>
      <xdr:rowOff>8958</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0"/>
        <a:stretch>
          <a:fillRect/>
        </a:stretch>
      </xdr:blipFill>
      <xdr:spPr>
        <a:xfrm>
          <a:off x="0" y="106070400"/>
          <a:ext cx="3780952" cy="4533333"/>
        </a:xfrm>
        <a:prstGeom prst="rect">
          <a:avLst/>
        </a:prstGeom>
      </xdr:spPr>
    </xdr:pic>
    <xdr:clientData/>
  </xdr:twoCellAnchor>
  <xdr:twoCellAnchor editAs="oneCell">
    <xdr:from>
      <xdr:col>0</xdr:col>
      <xdr:colOff>0</xdr:colOff>
      <xdr:row>614</xdr:row>
      <xdr:rowOff>0</xdr:rowOff>
    </xdr:from>
    <xdr:to>
      <xdr:col>0</xdr:col>
      <xdr:colOff>3114286</xdr:colOff>
      <xdr:row>637</xdr:row>
      <xdr:rowOff>18527</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1"/>
        <a:stretch>
          <a:fillRect/>
        </a:stretch>
      </xdr:blipFill>
      <xdr:spPr>
        <a:xfrm>
          <a:off x="0" y="111137700"/>
          <a:ext cx="3114286" cy="4180952"/>
        </a:xfrm>
        <a:prstGeom prst="rect">
          <a:avLst/>
        </a:prstGeom>
      </xdr:spPr>
    </xdr:pic>
    <xdr:clientData/>
  </xdr:twoCellAnchor>
  <xdr:twoCellAnchor editAs="oneCell">
    <xdr:from>
      <xdr:col>0</xdr:col>
      <xdr:colOff>0</xdr:colOff>
      <xdr:row>22</xdr:row>
      <xdr:rowOff>9525</xdr:rowOff>
    </xdr:from>
    <xdr:to>
      <xdr:col>0</xdr:col>
      <xdr:colOff>1000430</xdr:colOff>
      <xdr:row>24</xdr:row>
      <xdr:rowOff>0</xdr:rowOff>
    </xdr:to>
    <xdr:pic>
      <xdr:nvPicPr>
        <xdr:cNvPr id="11" name="Picture 10">
          <a:hlinkClick xmlns:r="http://schemas.openxmlformats.org/officeDocument/2006/relationships" r:id="rId32"/>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0" y="4048125"/>
          <a:ext cx="1000430" cy="352425"/>
        </a:xfrm>
        <a:prstGeom prst="rect">
          <a:avLst/>
        </a:prstGeom>
      </xdr:spPr>
    </xdr:pic>
    <xdr:clientData/>
  </xdr:twoCellAnchor>
  <xdr:twoCellAnchor editAs="oneCell">
    <xdr:from>
      <xdr:col>0</xdr:col>
      <xdr:colOff>0</xdr:colOff>
      <xdr:row>37</xdr:row>
      <xdr:rowOff>0</xdr:rowOff>
    </xdr:from>
    <xdr:to>
      <xdr:col>0</xdr:col>
      <xdr:colOff>3014171</xdr:colOff>
      <xdr:row>54</xdr:row>
      <xdr:rowOff>154984</xdr:rowOff>
    </xdr:to>
    <xdr:grpSp>
      <xdr:nvGrpSpPr>
        <xdr:cNvPr id="101" name="Group 100">
          <a:extLst>
            <a:ext uri="{FF2B5EF4-FFF2-40B4-BE49-F238E27FC236}">
              <a16:creationId xmlns:a16="http://schemas.microsoft.com/office/drawing/2014/main" id="{41D525A9-5FED-4677-A089-4E566F110531}"/>
            </a:ext>
          </a:extLst>
        </xdr:cNvPr>
        <xdr:cNvGrpSpPr/>
      </xdr:nvGrpSpPr>
      <xdr:grpSpPr>
        <a:xfrm>
          <a:off x="0" y="6867525"/>
          <a:ext cx="3014171" cy="3231559"/>
          <a:chOff x="704022" y="4116457"/>
          <a:chExt cx="3563811" cy="3402910"/>
        </a:xfrm>
      </xdr:grpSpPr>
      <xdr:pic>
        <xdr:nvPicPr>
          <xdr:cNvPr id="102" name="Picture 101" descr="Den sikreste måde at indsætte data på i tabellen.">
            <a:extLst>
              <a:ext uri="{FF2B5EF4-FFF2-40B4-BE49-F238E27FC236}">
                <a16:creationId xmlns:a16="http://schemas.microsoft.com/office/drawing/2014/main" id="{A811009D-1EC4-4862-BE3C-E015EBBF5C6D}"/>
              </a:ext>
            </a:extLst>
          </xdr:cNvPr>
          <xdr:cNvPicPr>
            <a:picLocks noChangeAspect="1"/>
          </xdr:cNvPicPr>
        </xdr:nvPicPr>
        <xdr:blipFill>
          <a:blip xmlns:r="http://schemas.openxmlformats.org/officeDocument/2006/relationships" r:embed="rId34"/>
          <a:stretch>
            <a:fillRect/>
          </a:stretch>
        </xdr:blipFill>
        <xdr:spPr>
          <a:xfrm>
            <a:off x="704022" y="4116457"/>
            <a:ext cx="3563811" cy="3184323"/>
          </a:xfrm>
          <a:prstGeom prst="rect">
            <a:avLst/>
          </a:prstGeom>
          <a:ln w="9525">
            <a:solidFill>
              <a:schemeClr val="tx1">
                <a:lumMod val="75000"/>
                <a:lumOff val="25000"/>
              </a:schemeClr>
            </a:solidFill>
          </a:ln>
        </xdr:spPr>
      </xdr:pic>
      <xdr:sp macro="" textlink="">
        <xdr:nvSpPr>
          <xdr:cNvPr id="103" name="TextBox 102">
            <a:extLst>
              <a:ext uri="{FF2B5EF4-FFF2-40B4-BE49-F238E27FC236}">
                <a16:creationId xmlns:a16="http://schemas.microsoft.com/office/drawing/2014/main" id="{2D739FF8-3CFD-4600-A131-25E06282D165}"/>
              </a:ext>
            </a:extLst>
          </xdr:cNvPr>
          <xdr:cNvSpPr txBox="1"/>
        </xdr:nvSpPr>
        <xdr:spPr>
          <a:xfrm>
            <a:off x="704600" y="7303356"/>
            <a:ext cx="3554296" cy="2160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 Den sikreste måde at indsætte data på</a:t>
            </a:r>
            <a:endParaRPr lang="da-DK" sz="1100"/>
          </a:p>
        </xdr:txBody>
      </xdr:sp>
    </xdr:grpSp>
    <xdr:clientData/>
  </xdr:twoCellAnchor>
  <xdr:twoCellAnchor>
    <xdr:from>
      <xdr:col>0</xdr:col>
      <xdr:colOff>0</xdr:colOff>
      <xdr:row>58</xdr:row>
      <xdr:rowOff>47625</xdr:rowOff>
    </xdr:from>
    <xdr:to>
      <xdr:col>0</xdr:col>
      <xdr:colOff>4852394</xdr:colOff>
      <xdr:row>60</xdr:row>
      <xdr:rowOff>19613</xdr:rowOff>
    </xdr:to>
    <xdr:grpSp>
      <xdr:nvGrpSpPr>
        <xdr:cNvPr id="23" name="Group 22">
          <a:extLst>
            <a:ext uri="{FF2B5EF4-FFF2-40B4-BE49-F238E27FC236}">
              <a16:creationId xmlns:a16="http://schemas.microsoft.com/office/drawing/2014/main" id="{5922CE74-8C62-40D3-8E2F-AD032BE80E68}"/>
            </a:ext>
          </a:extLst>
        </xdr:cNvPr>
        <xdr:cNvGrpSpPr/>
      </xdr:nvGrpSpPr>
      <xdr:grpSpPr>
        <a:xfrm>
          <a:off x="0" y="10715625"/>
          <a:ext cx="4852394" cy="333938"/>
          <a:chOff x="5734049" y="9201150"/>
          <a:chExt cx="7897328" cy="543488"/>
        </a:xfrm>
      </xdr:grpSpPr>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734049" y="9458326"/>
            <a:ext cx="7896225" cy="286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 Navigation findes i menuen under arket</a:t>
            </a:r>
            <a:endParaRPr lang="da-DK" sz="1100"/>
          </a:p>
        </xdr:txBody>
      </xdr:sp>
      <xdr:pic>
        <xdr:nvPicPr>
          <xdr:cNvPr id="4" name="Picture 3">
            <a:extLst>
              <a:ext uri="{FF2B5EF4-FFF2-40B4-BE49-F238E27FC236}">
                <a16:creationId xmlns:a16="http://schemas.microsoft.com/office/drawing/2014/main" id="{6907B599-4077-4E61-9CFB-578B940A4BCF}"/>
              </a:ext>
            </a:extLst>
          </xdr:cNvPr>
          <xdr:cNvPicPr>
            <a:picLocks noChangeAspect="1"/>
          </xdr:cNvPicPr>
        </xdr:nvPicPr>
        <xdr:blipFill>
          <a:blip xmlns:r="http://schemas.openxmlformats.org/officeDocument/2006/relationships" r:embed="rId35"/>
          <a:stretch>
            <a:fillRect/>
          </a:stretch>
        </xdr:blipFill>
        <xdr:spPr>
          <a:xfrm>
            <a:off x="5734050" y="9201150"/>
            <a:ext cx="7897327" cy="28579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8</xdr:col>
      <xdr:colOff>39221</xdr:colOff>
      <xdr:row>24</xdr:row>
      <xdr:rowOff>77067</xdr:rowOff>
    </xdr:from>
    <xdr:to>
      <xdr:col>11</xdr:col>
      <xdr:colOff>1102783</xdr:colOff>
      <xdr:row>39</xdr:row>
      <xdr:rowOff>154801</xdr:rowOff>
    </xdr:to>
    <xdr:graphicFrame macro="">
      <xdr:nvGraphicFramePr>
        <xdr:cNvPr id="10" name="Kvartilsæt">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0</xdr:colOff>
      <xdr:row>8</xdr:row>
      <xdr:rowOff>22616</xdr:rowOff>
    </xdr:from>
    <xdr:to>
      <xdr:col>5</xdr:col>
      <xdr:colOff>1807073</xdr:colOff>
      <xdr:row>24</xdr:row>
      <xdr:rowOff>23110</xdr:rowOff>
    </xdr:to>
    <xdr:graphicFrame macro="">
      <xdr:nvGraphicFramePr>
        <xdr:cNvPr id="12" name="Boksplot">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3</xdr:col>
      <xdr:colOff>13607</xdr:colOff>
      <xdr:row>24</xdr:row>
      <xdr:rowOff>68982</xdr:rowOff>
    </xdr:from>
    <xdr:to>
      <xdr:col>5</xdr:col>
      <xdr:colOff>1764090</xdr:colOff>
      <xdr:row>39</xdr:row>
      <xdr:rowOff>146716</xdr:rowOff>
    </xdr:to>
    <xdr:graphicFrame macro="">
      <xdr:nvGraphicFramePr>
        <xdr:cNvPr id="14" name="Kvartilsæt">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30814</xdr:colOff>
      <xdr:row>8</xdr:row>
      <xdr:rowOff>0</xdr:rowOff>
    </xdr:from>
    <xdr:to>
      <xdr:col>11</xdr:col>
      <xdr:colOff>1111985</xdr:colOff>
      <xdr:row>24</xdr:row>
      <xdr:rowOff>494</xdr:rowOff>
    </xdr:to>
    <xdr:graphicFrame macro="">
      <xdr:nvGraphicFramePr>
        <xdr:cNvPr id="18" name="Søjlediagram">
          <a:extLst>
            <a:ext uri="{FF2B5EF4-FFF2-40B4-BE49-F238E27FC236}">
              <a16:creationId xmlns:a16="http://schemas.microsoft.com/office/drawing/2014/main" id="{00000000-0008-0000-04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5</xdr:col>
      <xdr:colOff>1847291</xdr:colOff>
      <xdr:row>8</xdr:row>
      <xdr:rowOff>9831</xdr:rowOff>
    </xdr:from>
    <xdr:to>
      <xdr:col>7</xdr:col>
      <xdr:colOff>1507877</xdr:colOff>
      <xdr:row>24</xdr:row>
      <xdr:rowOff>3601</xdr:rowOff>
    </xdr:to>
    <xdr:graphicFrame macro="">
      <xdr:nvGraphicFramePr>
        <xdr:cNvPr id="19" name="Histogram med normalfordeling">
          <a:extLst>
            <a:ext uri="{FF2B5EF4-FFF2-40B4-BE49-F238E27FC236}">
              <a16:creationId xmlns:a16="http://schemas.microsoft.com/office/drawing/2014/main" id="{00000000-0008-0000-04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5</xdr:col>
      <xdr:colOff>1846730</xdr:colOff>
      <xdr:row>24</xdr:row>
      <xdr:rowOff>77068</xdr:rowOff>
    </xdr:from>
    <xdr:to>
      <xdr:col>7</xdr:col>
      <xdr:colOff>1494316</xdr:colOff>
      <xdr:row>39</xdr:row>
      <xdr:rowOff>148158</xdr:rowOff>
    </xdr:to>
    <xdr:graphicFrame macro="">
      <xdr:nvGraphicFramePr>
        <xdr:cNvPr id="20" name="Normalfraktildiagram">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7</xdr:col>
          <xdr:colOff>828675</xdr:colOff>
          <xdr:row>8</xdr:row>
          <xdr:rowOff>152400</xdr:rowOff>
        </xdr:from>
        <xdr:to>
          <xdr:col>7</xdr:col>
          <xdr:colOff>1133475</xdr:colOff>
          <xdr:row>11</xdr:row>
          <xdr:rowOff>114300</xdr:rowOff>
        </xdr:to>
        <xdr:sp macro="" textlink="">
          <xdr:nvSpPr>
            <xdr:cNvPr id="2081" name="Histogram intervalspinner" hidden="1">
              <a:extLst>
                <a:ext uri="{63B3BB69-23CF-44E3-9099-C40C66FF867C}">
                  <a14:compatExt spid="_x0000_s2081"/>
                </a:ext>
                <a:ext uri="{FF2B5EF4-FFF2-40B4-BE49-F238E27FC236}">
                  <a16:creationId xmlns:a16="http://schemas.microsoft.com/office/drawing/2014/main" id="{00000000-0008-0000-0400-000021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504825</xdr:colOff>
          <xdr:row>25</xdr:row>
          <xdr:rowOff>66675</xdr:rowOff>
        </xdr:from>
        <xdr:to>
          <xdr:col>11</xdr:col>
          <xdr:colOff>819150</xdr:colOff>
          <xdr:row>28</xdr:row>
          <xdr:rowOff>28575</xdr:rowOff>
        </xdr:to>
        <xdr:sp macro="" textlink="">
          <xdr:nvSpPr>
            <xdr:cNvPr id="2082" name="Spinner 34" hidden="1">
              <a:extLst>
                <a:ext uri="{63B3BB69-23CF-44E3-9099-C40C66FF867C}">
                  <a14:compatExt spid="_x0000_s2082"/>
                </a:ext>
                <a:ext uri="{FF2B5EF4-FFF2-40B4-BE49-F238E27FC236}">
                  <a16:creationId xmlns:a16="http://schemas.microsoft.com/office/drawing/2014/main" id="{00000000-0008-0000-0400-000022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0</xdr:rowOff>
        </xdr:from>
        <xdr:to>
          <xdr:col>2</xdr:col>
          <xdr:colOff>64187</xdr:colOff>
          <xdr:row>26</xdr:row>
          <xdr:rowOff>47625</xdr:rowOff>
        </xdr:to>
        <xdr:pic>
          <xdr:nvPicPr>
            <xdr:cNvPr id="24" name="Picture 23">
              <a:extLst>
                <a:ext uri="{FF2B5EF4-FFF2-40B4-BE49-F238E27FC236}">
                  <a16:creationId xmlns:a16="http://schemas.microsoft.com/office/drawing/2014/main" id="{00000000-0008-0000-0400-000018000000}"/>
                </a:ext>
              </a:extLst>
            </xdr:cNvPr>
            <xdr:cNvPicPr>
              <a:picLocks noChangeAspect="1" noChangeArrowheads="1"/>
              <a:extLst>
                <a:ext uri="{84589F7E-364E-4C9E-8A38-B11213B215E9}">
                  <a14:cameraTool cellRange="$D$9:$L$40" spid="_x0000_s2128"/>
                </a:ext>
              </a:extLst>
            </xdr:cNvPicPr>
          </xdr:nvPicPr>
          <xdr:blipFill>
            <a:blip xmlns:r="http://schemas.openxmlformats.org/officeDocument/2006/relationships" r:embed="rId7"/>
            <a:srcRect/>
            <a:stretch>
              <a:fillRect/>
            </a:stretch>
          </xdr:blipFill>
          <xdr:spPr bwMode="auto">
            <a:xfrm>
              <a:off x="0" y="1685925"/>
              <a:ext cx="8141387" cy="31242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2</xdr:col>
      <xdr:colOff>19050</xdr:colOff>
      <xdr:row>26</xdr:row>
      <xdr:rowOff>28575</xdr:rowOff>
    </xdr:from>
    <xdr:to>
      <xdr:col>3</xdr:col>
      <xdr:colOff>19050</xdr:colOff>
      <xdr:row>39</xdr:row>
      <xdr:rowOff>161925</xdr:rowOff>
    </xdr:to>
    <xdr:cxnSp macro="">
      <xdr:nvCxnSpPr>
        <xdr:cNvPr id="25" name="Straight Connector 24">
          <a:extLst>
            <a:ext uri="{FF2B5EF4-FFF2-40B4-BE49-F238E27FC236}">
              <a16:creationId xmlns:a16="http://schemas.microsoft.com/office/drawing/2014/main" id="{00000000-0008-0000-0400-000019000000}"/>
            </a:ext>
          </a:extLst>
        </xdr:cNvPr>
        <xdr:cNvCxnSpPr/>
      </xdr:nvCxnSpPr>
      <xdr:spPr>
        <a:xfrm>
          <a:off x="8096250" y="4791075"/>
          <a:ext cx="1295400" cy="2486025"/>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19050</xdr:colOff>
      <xdr:row>8</xdr:row>
      <xdr:rowOff>28575</xdr:rowOff>
    </xdr:from>
    <xdr:to>
      <xdr:col>3</xdr:col>
      <xdr:colOff>0</xdr:colOff>
      <xdr:row>9</xdr:row>
      <xdr:rowOff>0</xdr:rowOff>
    </xdr:to>
    <xdr:cxnSp macro="">
      <xdr:nvCxnSpPr>
        <xdr:cNvPr id="26" name="Straight Connector 25">
          <a:extLst>
            <a:ext uri="{FF2B5EF4-FFF2-40B4-BE49-F238E27FC236}">
              <a16:creationId xmlns:a16="http://schemas.microsoft.com/office/drawing/2014/main" id="{00000000-0008-0000-0400-00001A000000}"/>
            </a:ext>
          </a:extLst>
        </xdr:cNvPr>
        <xdr:cNvCxnSpPr/>
      </xdr:nvCxnSpPr>
      <xdr:spPr>
        <a:xfrm flipV="1">
          <a:off x="8096250" y="1533525"/>
          <a:ext cx="1276350" cy="1524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0</xdr:colOff>
      <xdr:row>10</xdr:row>
      <xdr:rowOff>0</xdr:rowOff>
    </xdr:from>
    <xdr:to>
      <xdr:col>5</xdr:col>
      <xdr:colOff>62753</xdr:colOff>
      <xdr:row>27</xdr:row>
      <xdr:rowOff>22910</xdr:rowOff>
    </xdr:to>
    <xdr:graphicFrame macro="">
      <xdr:nvGraphicFramePr>
        <xdr:cNvPr id="4" name="Binomialfordeling">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10</xdr:row>
      <xdr:rowOff>8965</xdr:rowOff>
    </xdr:from>
    <xdr:to>
      <xdr:col>2</xdr:col>
      <xdr:colOff>62753</xdr:colOff>
      <xdr:row>27</xdr:row>
      <xdr:rowOff>31875</xdr:rowOff>
    </xdr:to>
    <xdr:graphicFrame macro="">
      <xdr:nvGraphicFramePr>
        <xdr:cNvPr id="2" name="Normalfordeling">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6</xdr:col>
      <xdr:colOff>0</xdr:colOff>
      <xdr:row>10</xdr:row>
      <xdr:rowOff>0</xdr:rowOff>
    </xdr:from>
    <xdr:ext cx="5663453" cy="3099485"/>
    <xdr:graphicFrame macro="">
      <xdr:nvGraphicFramePr>
        <xdr:cNvPr id="5" name="Binomialfordeling">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16</xdr:row>
      <xdr:rowOff>167640</xdr:rowOff>
    </xdr:from>
    <xdr:to>
      <xdr:col>6</xdr:col>
      <xdr:colOff>1793</xdr:colOff>
      <xdr:row>31</xdr:row>
      <xdr:rowOff>92162</xdr:rowOff>
    </xdr:to>
    <xdr:graphicFrame macro="">
      <xdr:nvGraphicFramePr>
        <xdr:cNvPr id="8" name="Sandsynlighedsfordeling_g">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0</xdr:colOff>
      <xdr:row>17</xdr:row>
      <xdr:rowOff>0</xdr:rowOff>
    </xdr:from>
    <xdr:to>
      <xdr:col>12</xdr:col>
      <xdr:colOff>3065706</xdr:colOff>
      <xdr:row>31</xdr:row>
      <xdr:rowOff>96195</xdr:rowOff>
    </xdr:to>
    <xdr:graphicFrame macro="">
      <xdr:nvGraphicFramePr>
        <xdr:cNvPr id="16" name="Sandsynlighedsfordeling_s">
          <a:extLst>
            <a:ext uri="{FF2B5EF4-FFF2-40B4-BE49-F238E27FC236}">
              <a16:creationId xmlns:a16="http://schemas.microsoft.com/office/drawing/2014/main" id="{00000000-0008-0000-06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14</xdr:col>
      <xdr:colOff>0</xdr:colOff>
      <xdr:row>17</xdr:row>
      <xdr:rowOff>0</xdr:rowOff>
    </xdr:from>
    <xdr:ext cx="13762553" cy="2530786"/>
    <xdr:graphicFrame macro="">
      <xdr:nvGraphicFramePr>
        <xdr:cNvPr id="19" name="Sandsynlighedsfordeling_a">
          <a:extLst>
            <a:ext uri="{FF2B5EF4-FFF2-40B4-BE49-F238E27FC236}">
              <a16:creationId xmlns:a16="http://schemas.microsoft.com/office/drawing/2014/main"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21</xdr:col>
      <xdr:colOff>0</xdr:colOff>
      <xdr:row>17</xdr:row>
      <xdr:rowOff>0</xdr:rowOff>
    </xdr:from>
    <xdr:ext cx="13762553" cy="2530786"/>
    <xdr:graphicFrame macro="">
      <xdr:nvGraphicFramePr>
        <xdr:cNvPr id="25" name="Sandsynlighedsfordeling_i">
          <a:extLst>
            <a:ext uri="{FF2B5EF4-FFF2-40B4-BE49-F238E27FC236}">
              <a16:creationId xmlns:a16="http://schemas.microsoft.com/office/drawing/2014/main" id="{00000000-0008-0000-06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twoCellAnchor editAs="oneCell">
    <xdr:from>
      <xdr:col>4</xdr:col>
      <xdr:colOff>0</xdr:colOff>
      <xdr:row>4</xdr:row>
      <xdr:rowOff>0</xdr:rowOff>
    </xdr:from>
    <xdr:to>
      <xdr:col>4</xdr:col>
      <xdr:colOff>2494205</xdr:colOff>
      <xdr:row>16</xdr:row>
      <xdr:rowOff>92503</xdr:rowOff>
    </xdr:to>
    <mc:AlternateContent xmlns:mc="http://schemas.openxmlformats.org/markup-compatibility/2006" xmlns:sle15="http://schemas.microsoft.com/office/drawing/2012/slicer">
      <mc:Choice Requires="sle15">
        <xdr:graphicFrame macro="">
          <xdr:nvGraphicFramePr>
            <xdr:cNvPr id="31" name="Hypotesetype_g">
              <a:extLst>
                <a:ext uri="{FF2B5EF4-FFF2-40B4-BE49-F238E27FC236}">
                  <a16:creationId xmlns:a16="http://schemas.microsoft.com/office/drawing/2014/main" id="{00000000-0008-0000-0600-00001F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g"/>
            </a:graphicData>
          </a:graphic>
        </xdr:graphicFrame>
      </mc:Choice>
      <mc:Fallback xmlns="">
        <xdr:sp macro="" textlink="">
          <xdr:nvSpPr>
            <xdr:cNvPr id="0" name=""/>
            <xdr:cNvSpPr>
              <a:spLocks noTextEdit="1"/>
            </xdr:cNvSpPr>
          </xdr:nvSpPr>
          <xdr:spPr>
            <a:xfrm>
              <a:off x="8018318" y="762000"/>
              <a:ext cx="2494205"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5</xdr:col>
      <xdr:colOff>0</xdr:colOff>
      <xdr:row>4</xdr:row>
      <xdr:rowOff>0</xdr:rowOff>
    </xdr:from>
    <xdr:to>
      <xdr:col>6</xdr:col>
      <xdr:colOff>641</xdr:colOff>
      <xdr:row>16</xdr:row>
      <xdr:rowOff>77611</xdr:rowOff>
    </xdr:to>
    <mc:AlternateContent xmlns:mc="http://schemas.openxmlformats.org/markup-compatibility/2006" xmlns:sle15="http://schemas.microsoft.com/office/drawing/2012/slicer">
      <mc:Choice Requires="sle15">
        <xdr:graphicFrame macro="">
          <xdr:nvGraphicFramePr>
            <xdr:cNvPr id="32" name="Beregningsmetode_g">
              <a:extLst>
                <a:ext uri="{FF2B5EF4-FFF2-40B4-BE49-F238E27FC236}">
                  <a16:creationId xmlns:a16="http://schemas.microsoft.com/office/drawing/2014/main" id="{00000000-0008-0000-0600-000020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g"/>
            </a:graphicData>
          </a:graphic>
        </xdr:graphicFrame>
      </mc:Choice>
      <mc:Fallback xmlns="">
        <xdr:sp macro="" textlink="">
          <xdr:nvSpPr>
            <xdr:cNvPr id="0" name=""/>
            <xdr:cNvSpPr>
              <a:spLocks noTextEdit="1"/>
            </xdr:cNvSpPr>
          </xdr:nvSpPr>
          <xdr:spPr>
            <a:xfrm>
              <a:off x="10650682" y="762000"/>
              <a:ext cx="3152550" cy="2155793"/>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11</xdr:col>
      <xdr:colOff>0</xdr:colOff>
      <xdr:row>4</xdr:row>
      <xdr:rowOff>0</xdr:rowOff>
    </xdr:from>
    <xdr:to>
      <xdr:col>11</xdr:col>
      <xdr:colOff>2498820</xdr:colOff>
      <xdr:row>16</xdr:row>
      <xdr:rowOff>92503</xdr:rowOff>
    </xdr:to>
    <mc:AlternateContent xmlns:mc="http://schemas.openxmlformats.org/markup-compatibility/2006" xmlns:sle15="http://schemas.microsoft.com/office/drawing/2012/slicer">
      <mc:Choice Requires="sle15">
        <xdr:graphicFrame macro="">
          <xdr:nvGraphicFramePr>
            <xdr:cNvPr id="17" name="Hypotesetype_s">
              <a:extLst>
                <a:ext uri="{FF2B5EF4-FFF2-40B4-BE49-F238E27FC236}">
                  <a16:creationId xmlns:a16="http://schemas.microsoft.com/office/drawing/2014/main" id="{00000000-0008-0000-0600-000011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s"/>
            </a:graphicData>
          </a:graphic>
        </xdr:graphicFrame>
      </mc:Choice>
      <mc:Fallback xmlns="">
        <xdr:sp macro="" textlink="">
          <xdr:nvSpPr>
            <xdr:cNvPr id="0" name=""/>
            <xdr:cNvSpPr>
              <a:spLocks noTextEdit="1"/>
            </xdr:cNvSpPr>
          </xdr:nvSpPr>
          <xdr:spPr>
            <a:xfrm>
              <a:off x="22253864" y="762000"/>
              <a:ext cx="249882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12</xdr:col>
      <xdr:colOff>0</xdr:colOff>
      <xdr:row>4</xdr:row>
      <xdr:rowOff>0</xdr:rowOff>
    </xdr:from>
    <xdr:to>
      <xdr:col>12</xdr:col>
      <xdr:colOff>3065369</xdr:colOff>
      <xdr:row>16</xdr:row>
      <xdr:rowOff>92503</xdr:rowOff>
    </xdr:to>
    <mc:AlternateContent xmlns:mc="http://schemas.openxmlformats.org/markup-compatibility/2006" xmlns:sle15="http://schemas.microsoft.com/office/drawing/2012/slicer">
      <mc:Choice Requires="sle15">
        <xdr:graphicFrame macro="">
          <xdr:nvGraphicFramePr>
            <xdr:cNvPr id="18" name="Beregningsmetode_s">
              <a:extLst>
                <a:ext uri="{FF2B5EF4-FFF2-40B4-BE49-F238E27FC236}">
                  <a16:creationId xmlns:a16="http://schemas.microsoft.com/office/drawing/2014/main" id="{00000000-0008-0000-0600-00001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s"/>
            </a:graphicData>
          </a:graphic>
        </xdr:graphicFrame>
      </mc:Choice>
      <mc:Fallback xmlns="">
        <xdr:sp macro="" textlink="">
          <xdr:nvSpPr>
            <xdr:cNvPr id="0" name=""/>
            <xdr:cNvSpPr>
              <a:spLocks noTextEdit="1"/>
            </xdr:cNvSpPr>
          </xdr:nvSpPr>
          <xdr:spPr>
            <a:xfrm>
              <a:off x="24886227" y="762000"/>
              <a:ext cx="3065369"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18</xdr:col>
      <xdr:colOff>0</xdr:colOff>
      <xdr:row>4</xdr:row>
      <xdr:rowOff>0</xdr:rowOff>
    </xdr:from>
    <xdr:to>
      <xdr:col>18</xdr:col>
      <xdr:colOff>2495010</xdr:colOff>
      <xdr:row>16</xdr:row>
      <xdr:rowOff>92503</xdr:rowOff>
    </xdr:to>
    <mc:AlternateContent xmlns:mc="http://schemas.openxmlformats.org/markup-compatibility/2006" xmlns:sle15="http://schemas.microsoft.com/office/drawing/2012/slicer">
      <mc:Choice Requires="sle15">
        <xdr:graphicFrame macro="">
          <xdr:nvGraphicFramePr>
            <xdr:cNvPr id="20" name="Hypotesetype_a">
              <a:extLst>
                <a:ext uri="{FF2B5EF4-FFF2-40B4-BE49-F238E27FC236}">
                  <a16:creationId xmlns:a16="http://schemas.microsoft.com/office/drawing/2014/main" id="{00000000-0008-0000-0600-00001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a"/>
            </a:graphicData>
          </a:graphic>
        </xdr:graphicFrame>
      </mc:Choice>
      <mc:Fallback xmlns="">
        <xdr:sp macro="" textlink="">
          <xdr:nvSpPr>
            <xdr:cNvPr id="0" name=""/>
            <xdr:cNvSpPr>
              <a:spLocks noTextEdit="1"/>
            </xdr:cNvSpPr>
          </xdr:nvSpPr>
          <xdr:spPr>
            <a:xfrm>
              <a:off x="36039136" y="762000"/>
              <a:ext cx="249501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19</xdr:col>
      <xdr:colOff>0</xdr:colOff>
      <xdr:row>4</xdr:row>
      <xdr:rowOff>0</xdr:rowOff>
    </xdr:from>
    <xdr:to>
      <xdr:col>20</xdr:col>
      <xdr:colOff>19335</xdr:colOff>
      <xdr:row>16</xdr:row>
      <xdr:rowOff>92503</xdr:rowOff>
    </xdr:to>
    <mc:AlternateContent xmlns:mc="http://schemas.openxmlformats.org/markup-compatibility/2006" xmlns:sle15="http://schemas.microsoft.com/office/drawing/2012/slicer">
      <mc:Choice Requires="sle15">
        <xdr:graphicFrame macro="">
          <xdr:nvGraphicFramePr>
            <xdr:cNvPr id="21" name="Beregningsmetode_a">
              <a:extLst>
                <a:ext uri="{FF2B5EF4-FFF2-40B4-BE49-F238E27FC236}">
                  <a16:creationId xmlns:a16="http://schemas.microsoft.com/office/drawing/2014/main" id="{00000000-0008-0000-0600-00001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a"/>
            </a:graphicData>
          </a:graphic>
        </xdr:graphicFrame>
      </mc:Choice>
      <mc:Fallback xmlns="">
        <xdr:sp macro="" textlink="">
          <xdr:nvSpPr>
            <xdr:cNvPr id="0" name=""/>
            <xdr:cNvSpPr>
              <a:spLocks noTextEdit="1"/>
            </xdr:cNvSpPr>
          </xdr:nvSpPr>
          <xdr:spPr>
            <a:xfrm>
              <a:off x="38671500" y="762000"/>
              <a:ext cx="3379062"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25</xdr:col>
      <xdr:colOff>0</xdr:colOff>
      <xdr:row>4</xdr:row>
      <xdr:rowOff>0</xdr:rowOff>
    </xdr:from>
    <xdr:to>
      <xdr:col>25</xdr:col>
      <xdr:colOff>2495010</xdr:colOff>
      <xdr:row>16</xdr:row>
      <xdr:rowOff>92503</xdr:rowOff>
    </xdr:to>
    <mc:AlternateContent xmlns:mc="http://schemas.openxmlformats.org/markup-compatibility/2006" xmlns:sle15="http://schemas.microsoft.com/office/drawing/2012/slicer">
      <mc:Choice Requires="sle15">
        <xdr:graphicFrame macro="">
          <xdr:nvGraphicFramePr>
            <xdr:cNvPr id="22" name="Hypotesetype_i">
              <a:extLst>
                <a:ext uri="{FF2B5EF4-FFF2-40B4-BE49-F238E27FC236}">
                  <a16:creationId xmlns:a16="http://schemas.microsoft.com/office/drawing/2014/main" id="{00000000-0008-0000-0600-00001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i"/>
            </a:graphicData>
          </a:graphic>
        </xdr:graphicFrame>
      </mc:Choice>
      <mc:Fallback xmlns="">
        <xdr:sp macro="" textlink="">
          <xdr:nvSpPr>
            <xdr:cNvPr id="0" name=""/>
            <xdr:cNvSpPr>
              <a:spLocks noTextEdit="1"/>
            </xdr:cNvSpPr>
          </xdr:nvSpPr>
          <xdr:spPr>
            <a:xfrm>
              <a:off x="50153455" y="762000"/>
              <a:ext cx="249501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26</xdr:col>
      <xdr:colOff>0</xdr:colOff>
      <xdr:row>4</xdr:row>
      <xdr:rowOff>0</xdr:rowOff>
    </xdr:from>
    <xdr:to>
      <xdr:col>27</xdr:col>
      <xdr:colOff>19335</xdr:colOff>
      <xdr:row>16</xdr:row>
      <xdr:rowOff>92503</xdr:rowOff>
    </xdr:to>
    <mc:AlternateContent xmlns:mc="http://schemas.openxmlformats.org/markup-compatibility/2006" xmlns:sle15="http://schemas.microsoft.com/office/drawing/2012/slicer">
      <mc:Choice Requires="sle15">
        <xdr:graphicFrame macro="">
          <xdr:nvGraphicFramePr>
            <xdr:cNvPr id="26" name="Beregningsmetode_i">
              <a:extLst>
                <a:ext uri="{FF2B5EF4-FFF2-40B4-BE49-F238E27FC236}">
                  <a16:creationId xmlns:a16="http://schemas.microsoft.com/office/drawing/2014/main" id="{00000000-0008-0000-0600-00001A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i"/>
            </a:graphicData>
          </a:graphic>
        </xdr:graphicFrame>
      </mc:Choice>
      <mc:Fallback xmlns="">
        <xdr:sp macro="" textlink="">
          <xdr:nvSpPr>
            <xdr:cNvPr id="0" name=""/>
            <xdr:cNvSpPr>
              <a:spLocks noTextEdit="1"/>
            </xdr:cNvSpPr>
          </xdr:nvSpPr>
          <xdr:spPr>
            <a:xfrm>
              <a:off x="52785818" y="762000"/>
              <a:ext cx="3379062"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oneCellAnchor>
    <xdr:from>
      <xdr:col>28</xdr:col>
      <xdr:colOff>0</xdr:colOff>
      <xdr:row>17</xdr:row>
      <xdr:rowOff>0</xdr:rowOff>
    </xdr:from>
    <xdr:ext cx="13762553" cy="2530786"/>
    <xdr:graphicFrame macro="">
      <xdr:nvGraphicFramePr>
        <xdr:cNvPr id="27" name="Sandsynlighedsfordeling_k">
          <a:extLst>
            <a:ext uri="{FF2B5EF4-FFF2-40B4-BE49-F238E27FC236}">
              <a16:creationId xmlns:a16="http://schemas.microsoft.com/office/drawing/2014/main" id="{00000000-0008-0000-06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twoCellAnchor editAs="oneCell">
    <xdr:from>
      <xdr:col>30</xdr:col>
      <xdr:colOff>307040</xdr:colOff>
      <xdr:row>4</xdr:row>
      <xdr:rowOff>0</xdr:rowOff>
    </xdr:from>
    <xdr:to>
      <xdr:col>32</xdr:col>
      <xdr:colOff>1619585</xdr:colOff>
      <xdr:row>16</xdr:row>
      <xdr:rowOff>92503</xdr:rowOff>
    </xdr:to>
    <mc:AlternateContent xmlns:mc="http://schemas.openxmlformats.org/markup-compatibility/2006" xmlns:sle15="http://schemas.microsoft.com/office/drawing/2012/slicer">
      <mc:Choice Requires="sle15">
        <xdr:graphicFrame macro="">
          <xdr:nvGraphicFramePr>
            <xdr:cNvPr id="34" name="Hypotesetype_k">
              <a:extLst>
                <a:ext uri="{FF2B5EF4-FFF2-40B4-BE49-F238E27FC236}">
                  <a16:creationId xmlns:a16="http://schemas.microsoft.com/office/drawing/2014/main" id="{00000000-0008-0000-0600-00002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k"/>
            </a:graphicData>
          </a:graphic>
        </xdr:graphicFrame>
      </mc:Choice>
      <mc:Fallback xmlns="">
        <xdr:sp macro="" textlink="">
          <xdr:nvSpPr>
            <xdr:cNvPr id="0" name=""/>
            <xdr:cNvSpPr>
              <a:spLocks noTextEdit="1"/>
            </xdr:cNvSpPr>
          </xdr:nvSpPr>
          <xdr:spPr>
            <a:xfrm>
              <a:off x="61803904" y="762000"/>
              <a:ext cx="4083454"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32</xdr:col>
      <xdr:colOff>1866900</xdr:colOff>
      <xdr:row>4</xdr:row>
      <xdr:rowOff>0</xdr:rowOff>
    </xdr:from>
    <xdr:to>
      <xdr:col>34</xdr:col>
      <xdr:colOff>17430</xdr:colOff>
      <xdr:row>16</xdr:row>
      <xdr:rowOff>92503</xdr:rowOff>
    </xdr:to>
    <mc:AlternateContent xmlns:mc="http://schemas.openxmlformats.org/markup-compatibility/2006" xmlns:sle15="http://schemas.microsoft.com/office/drawing/2012/slicer">
      <mc:Choice Requires="sle15">
        <xdr:graphicFrame macro="">
          <xdr:nvGraphicFramePr>
            <xdr:cNvPr id="36" name="Beregningsmetode_k">
              <a:extLst>
                <a:ext uri="{FF2B5EF4-FFF2-40B4-BE49-F238E27FC236}">
                  <a16:creationId xmlns:a16="http://schemas.microsoft.com/office/drawing/2014/main" id="{00000000-0008-0000-0600-00002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k"/>
            </a:graphicData>
          </a:graphic>
        </xdr:graphicFrame>
      </mc:Choice>
      <mc:Fallback xmlns="">
        <xdr:sp macro="" textlink="">
          <xdr:nvSpPr>
            <xdr:cNvPr id="0" name=""/>
            <xdr:cNvSpPr>
              <a:spLocks noTextEdit="1"/>
            </xdr:cNvSpPr>
          </xdr:nvSpPr>
          <xdr:spPr>
            <a:xfrm>
              <a:off x="66134673" y="762000"/>
              <a:ext cx="4142621"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0</xdr:colOff>
      <xdr:row>48</xdr:row>
      <xdr:rowOff>0</xdr:rowOff>
    </xdr:from>
    <xdr:to>
      <xdr:col>6</xdr:col>
      <xdr:colOff>1793</xdr:colOff>
      <xdr:row>62</xdr:row>
      <xdr:rowOff>92163</xdr:rowOff>
    </xdr:to>
    <xdr:graphicFrame macro="">
      <xdr:nvGraphicFramePr>
        <xdr:cNvPr id="23" name="Styrke_g">
          <a:extLst>
            <a:ext uri="{FF2B5EF4-FFF2-40B4-BE49-F238E27FC236}">
              <a16:creationId xmlns:a16="http://schemas.microsoft.com/office/drawing/2014/main" id="{00000000-0008-0000-06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14</xdr:col>
      <xdr:colOff>0</xdr:colOff>
      <xdr:row>48</xdr:row>
      <xdr:rowOff>0</xdr:rowOff>
    </xdr:from>
    <xdr:to>
      <xdr:col>20</xdr:col>
      <xdr:colOff>55133</xdr:colOff>
      <xdr:row>62</xdr:row>
      <xdr:rowOff>95973</xdr:rowOff>
    </xdr:to>
    <xdr:graphicFrame macro="">
      <xdr:nvGraphicFramePr>
        <xdr:cNvPr id="24" name="Styrke_a">
          <a:extLst>
            <a:ext uri="{FF2B5EF4-FFF2-40B4-BE49-F238E27FC236}">
              <a16:creationId xmlns:a16="http://schemas.microsoft.com/office/drawing/2014/main" id="{00000000-0008-0000-06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18011775" y="5038725"/>
    <xdr:ext cx="6141354" cy="4032000"/>
    <xdr:graphicFrame macro="">
      <xdr:nvGraphicFramePr>
        <xdr:cNvPr id="55" name="Simpel lineær regression" descr="Simpel lineær regression&#10;Linjetilpasning">
          <a:extLst>
            <a:ext uri="{FF2B5EF4-FFF2-40B4-BE49-F238E27FC236}">
              <a16:creationId xmlns:a16="http://schemas.microsoft.com/office/drawing/2014/main" id="{00000000-0008-0000-08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4</xdr:col>
      <xdr:colOff>57150</xdr:colOff>
      <xdr:row>4</xdr:row>
      <xdr:rowOff>28575</xdr:rowOff>
    </xdr:from>
    <xdr:to>
      <xdr:col>5</xdr:col>
      <xdr:colOff>57150</xdr:colOff>
      <xdr:row>8</xdr:row>
      <xdr:rowOff>0</xdr:rowOff>
    </xdr:to>
    <xdr:cxnSp macro="">
      <xdr:nvCxnSpPr>
        <xdr:cNvPr id="59" name="Straight Connector 58">
          <a:extLst>
            <a:ext uri="{FF2B5EF4-FFF2-40B4-BE49-F238E27FC236}">
              <a16:creationId xmlns:a16="http://schemas.microsoft.com/office/drawing/2014/main" id="{00000000-0008-0000-0800-00003B000000}"/>
            </a:ext>
          </a:extLst>
        </xdr:cNvPr>
        <xdr:cNvCxnSpPr/>
      </xdr:nvCxnSpPr>
      <xdr:spPr>
        <a:xfrm flipV="1">
          <a:off x="11287125" y="819150"/>
          <a:ext cx="314325" cy="695325"/>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11616418" y="789214"/>
    <xdr:ext cx="6142441" cy="4032000"/>
    <xdr:graphicFrame macro="">
      <xdr:nvGraphicFramePr>
        <xdr:cNvPr id="36" name="Simpel lineær regression" descr="Simpel lineær regression&#10;Linjetilpasning">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twoCellAnchor editAs="absolute">
    <xdr:from>
      <xdr:col>10</xdr:col>
      <xdr:colOff>81643</xdr:colOff>
      <xdr:row>4</xdr:row>
      <xdr:rowOff>0</xdr:rowOff>
    </xdr:from>
    <xdr:to>
      <xdr:col>14</xdr:col>
      <xdr:colOff>1115121</xdr:colOff>
      <xdr:row>26</xdr:row>
      <xdr:rowOff>50550</xdr:rowOff>
    </xdr:to>
    <xdr:graphicFrame macro="">
      <xdr:nvGraphicFramePr>
        <xdr:cNvPr id="39" name="Chart 38">
          <a:extLst>
            <a:ext uri="{FF2B5EF4-FFF2-40B4-BE49-F238E27FC236}">
              <a16:creationId xmlns:a16="http://schemas.microsoft.com/office/drawing/2014/main" id="{00000000-0008-0000-08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absoluteAnchor>
    <xdr:pos x="24407132" y="789214"/>
    <xdr:ext cx="6141600" cy="4032000"/>
    <xdr:graphicFrame macro="">
      <xdr:nvGraphicFramePr>
        <xdr:cNvPr id="43" name="Observeret og beregnet værdi" descr="Simpel lineær regression&#10;Linjetilpasning">
          <a:extLst>
            <a:ext uri="{FF2B5EF4-FFF2-40B4-BE49-F238E27FC236}">
              <a16:creationId xmlns:a16="http://schemas.microsoft.com/office/drawing/2014/main" id="{00000000-0008-0000-08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11616418" y="5034643"/>
    <xdr:ext cx="6142441" cy="4032000"/>
    <xdr:graphicFrame macro="">
      <xdr:nvGraphicFramePr>
        <xdr:cNvPr id="44" name="Konfidensinterval" descr="Simpel lineær regression&#10;Konfidensinterval">
          <a:extLst>
            <a:ext uri="{FF2B5EF4-FFF2-40B4-BE49-F238E27FC236}">
              <a16:creationId xmlns:a16="http://schemas.microsoft.com/office/drawing/2014/main" id="{00000000-0008-0000-08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24407132" y="5034643"/>
    <xdr:ext cx="6141600" cy="4032000"/>
    <xdr:graphicFrame macro="">
      <xdr:nvGraphicFramePr>
        <xdr:cNvPr id="46" name="Normalfraktildiagram" descr="Simpel lineær regression&#10;Linjetilpasning">
          <a:extLst>
            <a:ext uri="{FF2B5EF4-FFF2-40B4-BE49-F238E27FC236}">
              <a16:creationId xmlns:a16="http://schemas.microsoft.com/office/drawing/2014/main" id="{00000000-0008-0000-08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24407132" y="9280071"/>
    <xdr:ext cx="6141600" cy="4032000"/>
    <xdr:graphicFrame macro="">
      <xdr:nvGraphicFramePr>
        <xdr:cNvPr id="47" name="Normalfraktildiagram" descr="Simpel lineær regression&#10;Linjetilpasning">
          <a:extLst>
            <a:ext uri="{FF2B5EF4-FFF2-40B4-BE49-F238E27FC236}">
              <a16:creationId xmlns:a16="http://schemas.microsoft.com/office/drawing/2014/main" id="{00000000-0008-0000-08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11616418" y="9280071"/>
    <xdr:ext cx="6142441" cy="4032000"/>
    <xdr:graphicFrame macro="">
      <xdr:nvGraphicFramePr>
        <xdr:cNvPr id="49" name="Forudsigelsesinterval" descr="Simpel lineær regression&#10;Forudsigelsesinterval">
          <a:extLst>
            <a:ext uri="{FF2B5EF4-FFF2-40B4-BE49-F238E27FC236}">
              <a16:creationId xmlns:a16="http://schemas.microsoft.com/office/drawing/2014/main" id="{00000000-0008-0000-08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twoCellAnchor editAs="absolute">
    <xdr:from>
      <xdr:col>10</xdr:col>
      <xdr:colOff>81643</xdr:colOff>
      <xdr:row>51</xdr:row>
      <xdr:rowOff>0</xdr:rowOff>
    </xdr:from>
    <xdr:to>
      <xdr:col>14</xdr:col>
      <xdr:colOff>1115121</xdr:colOff>
      <xdr:row>73</xdr:row>
      <xdr:rowOff>50550</xdr:rowOff>
    </xdr:to>
    <xdr:graphicFrame macro="">
      <xdr:nvGraphicFramePr>
        <xdr:cNvPr id="51" name="Chart 50">
          <a:extLst>
            <a:ext uri="{FF2B5EF4-FFF2-40B4-BE49-F238E27FC236}">
              <a16:creationId xmlns:a16="http://schemas.microsoft.com/office/drawing/2014/main" id="{00000000-0008-0000-08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38100</xdr:colOff>
      <xdr:row>27</xdr:row>
      <xdr:rowOff>38100</xdr:rowOff>
    </xdr:from>
    <xdr:to>
      <xdr:col>5</xdr:col>
      <xdr:colOff>76200</xdr:colOff>
      <xdr:row>73</xdr:row>
      <xdr:rowOff>57150</xdr:rowOff>
    </xdr:to>
    <xdr:cxnSp macro="">
      <xdr:nvCxnSpPr>
        <xdr:cNvPr id="29" name="Straight Connector 28">
          <a:extLst>
            <a:ext uri="{FF2B5EF4-FFF2-40B4-BE49-F238E27FC236}">
              <a16:creationId xmlns:a16="http://schemas.microsoft.com/office/drawing/2014/main" id="{00000000-0008-0000-0800-00001D000000}"/>
            </a:ext>
          </a:extLst>
        </xdr:cNvPr>
        <xdr:cNvCxnSpPr/>
      </xdr:nvCxnSpPr>
      <xdr:spPr>
        <a:xfrm>
          <a:off x="11268075" y="4991100"/>
          <a:ext cx="352425" cy="83439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2</xdr:col>
          <xdr:colOff>171450</xdr:colOff>
          <xdr:row>8</xdr:row>
          <xdr:rowOff>0</xdr:rowOff>
        </xdr:from>
        <xdr:to>
          <xdr:col>4</xdr:col>
          <xdr:colOff>56119</xdr:colOff>
          <xdr:row>27</xdr:row>
          <xdr:rowOff>86060</xdr:rowOff>
        </xdr:to>
        <xdr:pic>
          <xdr:nvPicPr>
            <xdr:cNvPr id="53" name="Picture 52">
              <a:extLst>
                <a:ext uri="{FF2B5EF4-FFF2-40B4-BE49-F238E27FC236}">
                  <a16:creationId xmlns:a16="http://schemas.microsoft.com/office/drawing/2014/main" id="{00000000-0008-0000-0800-000035000000}"/>
                </a:ext>
              </a:extLst>
            </xdr:cNvPr>
            <xdr:cNvPicPr>
              <a:picLocks noChangeAspect="1" noChangeArrowheads="1"/>
              <a:extLst>
                <a:ext uri="{84589F7E-364E-4C9E-8A38-B11213B215E9}">
                  <a14:cameraTool cellRange="$F$5:$T$74" spid="_x0000_s21600"/>
                </a:ext>
              </a:extLst>
            </xdr:cNvPicPr>
          </xdr:nvPicPr>
          <xdr:blipFill>
            <a:blip xmlns:r="http://schemas.openxmlformats.org/officeDocument/2006/relationships" r:embed="rId10"/>
            <a:srcRect/>
            <a:stretch>
              <a:fillRect/>
            </a:stretch>
          </xdr:blipFill>
          <xdr:spPr bwMode="auto">
            <a:xfrm>
              <a:off x="5991225" y="1514475"/>
              <a:ext cx="5294869" cy="352458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absolute">
    <xdr:from>
      <xdr:col>0</xdr:col>
      <xdr:colOff>0</xdr:colOff>
      <xdr:row>7</xdr:row>
      <xdr:rowOff>180974</xdr:rowOff>
    </xdr:from>
    <xdr:to>
      <xdr:col>0</xdr:col>
      <xdr:colOff>2725200</xdr:colOff>
      <xdr:row>27</xdr:row>
      <xdr:rowOff>9525</xdr:rowOff>
    </xdr:to>
    <mc:AlternateContent xmlns:mc="http://schemas.openxmlformats.org/markup-compatibility/2006" xmlns:sle15="http://schemas.microsoft.com/office/drawing/2012/slicer">
      <mc:Choice Requires="sle15">
        <xdr:graphicFrame macro="">
          <xdr:nvGraphicFramePr>
            <xdr:cNvPr id="16" name="Afhængig variabel 1">
              <a:extLst>
                <a:ext uri="{FF2B5EF4-FFF2-40B4-BE49-F238E27FC236}">
                  <a16:creationId xmlns:a16="http://schemas.microsoft.com/office/drawing/2014/main" id="{00000000-0008-0000-0800-000010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Afhængig variabel 1"/>
            </a:graphicData>
          </a:graphic>
        </xdr:graphicFrame>
      </mc:Choice>
      <mc:Fallback xmlns="">
        <xdr:sp macro="" textlink="">
          <xdr:nvSpPr>
            <xdr:cNvPr id="0" name=""/>
            <xdr:cNvSpPr>
              <a:spLocks noTextEdit="1"/>
            </xdr:cNvSpPr>
          </xdr:nvSpPr>
          <xdr:spPr>
            <a:xfrm>
              <a:off x="0" y="1514474"/>
              <a:ext cx="2725200" cy="3448051"/>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3105150</xdr:colOff>
      <xdr:row>7</xdr:row>
      <xdr:rowOff>180974</xdr:rowOff>
    </xdr:from>
    <xdr:to>
      <xdr:col>2</xdr:col>
      <xdr:colOff>7854</xdr:colOff>
      <xdr:row>27</xdr:row>
      <xdr:rowOff>9525</xdr:rowOff>
    </xdr:to>
    <mc:AlternateContent xmlns:mc="http://schemas.openxmlformats.org/markup-compatibility/2006" xmlns:sle15="http://schemas.microsoft.com/office/drawing/2012/slicer">
      <mc:Choice Requires="sle15">
        <xdr:graphicFrame macro="">
          <xdr:nvGraphicFramePr>
            <xdr:cNvPr id="17" name="Uafhængige variable 1">
              <a:extLst>
                <a:ext uri="{FF2B5EF4-FFF2-40B4-BE49-F238E27FC236}">
                  <a16:creationId xmlns:a16="http://schemas.microsoft.com/office/drawing/2014/main" id="{00000000-0008-0000-0800-000011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Uafhængige variable 1"/>
            </a:graphicData>
          </a:graphic>
        </xdr:graphicFrame>
      </mc:Choice>
      <mc:Fallback xmlns="">
        <xdr:sp macro="" textlink="">
          <xdr:nvSpPr>
            <xdr:cNvPr id="0" name=""/>
            <xdr:cNvSpPr>
              <a:spLocks noTextEdit="1"/>
            </xdr:cNvSpPr>
          </xdr:nvSpPr>
          <xdr:spPr>
            <a:xfrm>
              <a:off x="3105150" y="1514474"/>
              <a:ext cx="2722479" cy="3448051"/>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7</xdr:row>
      <xdr:rowOff>0</xdr:rowOff>
    </xdr:from>
    <xdr:to>
      <xdr:col>2</xdr:col>
      <xdr:colOff>2844</xdr:colOff>
      <xdr:row>25</xdr:row>
      <xdr:rowOff>88306</xdr:rowOff>
    </xdr:to>
    <mc:AlternateContent xmlns:mc="http://schemas.openxmlformats.org/markup-compatibility/2006" xmlns:sle15="http://schemas.microsoft.com/office/drawing/2012/slicer">
      <mc:Choice Requires="sle15">
        <xdr:graphicFrame macro="">
          <xdr:nvGraphicFramePr>
            <xdr:cNvPr id="26" name="Variabel">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Variabel"/>
            </a:graphicData>
          </a:graphic>
        </xdr:graphicFrame>
      </mc:Choice>
      <mc:Fallback xmlns="">
        <xdr:sp macro="" textlink="">
          <xdr:nvSpPr>
            <xdr:cNvPr id="0" name=""/>
            <xdr:cNvSpPr>
              <a:spLocks noTextEdit="1"/>
            </xdr:cNvSpPr>
          </xdr:nvSpPr>
          <xdr:spPr>
            <a:xfrm>
              <a:off x="0" y="1306286"/>
              <a:ext cx="6112451" cy="3272377"/>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27</xdr:row>
      <xdr:rowOff>0</xdr:rowOff>
    </xdr:from>
    <xdr:to>
      <xdr:col>5</xdr:col>
      <xdr:colOff>18682</xdr:colOff>
      <xdr:row>50</xdr:row>
      <xdr:rowOff>48818</xdr:rowOff>
    </xdr:to>
    <xdr:graphicFrame macro="">
      <xdr:nvGraphicFramePr>
        <xdr:cNvPr id="28" name="Sandsynlighedsfordeling_g">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27</xdr:row>
      <xdr:rowOff>0</xdr:rowOff>
    </xdr:from>
    <xdr:to>
      <xdr:col>11</xdr:col>
      <xdr:colOff>18681</xdr:colOff>
      <xdr:row>50</xdr:row>
      <xdr:rowOff>48636</xdr:rowOff>
    </xdr:to>
    <xdr:graphicFrame macro="">
      <xdr:nvGraphicFramePr>
        <xdr:cNvPr id="29" name="Sandsynlighedsfordeling_g">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40822</xdr:colOff>
      <xdr:row>63</xdr:row>
      <xdr:rowOff>0</xdr:rowOff>
    </xdr:from>
    <xdr:to>
      <xdr:col>11</xdr:col>
      <xdr:colOff>59503</xdr:colOff>
      <xdr:row>86</xdr:row>
      <xdr:rowOff>48818</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0</xdr:colOff>
      <xdr:row>63</xdr:row>
      <xdr:rowOff>0</xdr:rowOff>
    </xdr:from>
    <xdr:to>
      <xdr:col>5</xdr:col>
      <xdr:colOff>18682</xdr:colOff>
      <xdr:row>86</xdr:row>
      <xdr:rowOff>48818</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25</xdr:row>
      <xdr:rowOff>142875</xdr:rowOff>
    </xdr:from>
    <xdr:to>
      <xdr:col>2</xdr:col>
      <xdr:colOff>428625</xdr:colOff>
      <xdr:row>26</xdr:row>
      <xdr:rowOff>171450</xdr:rowOff>
    </xdr:to>
    <xdr:cxnSp macro="">
      <xdr:nvCxnSpPr>
        <xdr:cNvPr id="37" name="Straight Connector 36">
          <a:extLst>
            <a:ext uri="{FF2B5EF4-FFF2-40B4-BE49-F238E27FC236}">
              <a16:creationId xmlns:a16="http://schemas.microsoft.com/office/drawing/2014/main" id="{00000000-0008-0000-0B00-000025000000}"/>
            </a:ext>
          </a:extLst>
        </xdr:cNvPr>
        <xdr:cNvCxnSpPr/>
      </xdr:nvCxnSpPr>
      <xdr:spPr>
        <a:xfrm flipV="1">
          <a:off x="0" y="4724400"/>
          <a:ext cx="6534150" cy="20955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2752725</xdr:colOff>
      <xdr:row>25</xdr:row>
      <xdr:rowOff>133350</xdr:rowOff>
    </xdr:from>
    <xdr:to>
      <xdr:col>11</xdr:col>
      <xdr:colOff>17318</xdr:colOff>
      <xdr:row>27</xdr:row>
      <xdr:rowOff>0</xdr:rowOff>
    </xdr:to>
    <xdr:cxnSp macro="">
      <xdr:nvCxnSpPr>
        <xdr:cNvPr id="38" name="Straight Connector 37">
          <a:extLst>
            <a:ext uri="{FF2B5EF4-FFF2-40B4-BE49-F238E27FC236}">
              <a16:creationId xmlns:a16="http://schemas.microsoft.com/office/drawing/2014/main" id="{00000000-0008-0000-0B00-000026000000}"/>
            </a:ext>
          </a:extLst>
        </xdr:cNvPr>
        <xdr:cNvCxnSpPr/>
      </xdr:nvCxnSpPr>
      <xdr:spPr>
        <a:xfrm>
          <a:off x="16830675" y="4714875"/>
          <a:ext cx="11018693" cy="2286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409690</xdr:colOff>
          <xdr:row>3</xdr:row>
          <xdr:rowOff>175490</xdr:rowOff>
        </xdr:from>
        <xdr:to>
          <xdr:col>6</xdr:col>
          <xdr:colOff>2724150</xdr:colOff>
          <xdr:row>26</xdr:row>
          <xdr:rowOff>28575</xdr:rowOff>
        </xdr:to>
        <xdr:pic>
          <xdr:nvPicPr>
            <xdr:cNvPr id="41" name="Picture 40">
              <a:extLst>
                <a:ext uri="{FF2B5EF4-FFF2-40B4-BE49-F238E27FC236}">
                  <a16:creationId xmlns:a16="http://schemas.microsoft.com/office/drawing/2014/main" id="{00000000-0008-0000-0B00-000029000000}"/>
                </a:ext>
              </a:extLst>
            </xdr:cNvPr>
            <xdr:cNvPicPr>
              <a:picLocks noChangeAspect="1" noChangeArrowheads="1"/>
              <a:extLst>
                <a:ext uri="{84589F7E-364E-4C9E-8A38-B11213B215E9}">
                  <a14:cameraTool cellRange="$A$28:$K$87" spid="_x0000_s12848"/>
                </a:ext>
              </a:extLst>
            </xdr:cNvPicPr>
          </xdr:nvPicPr>
          <xdr:blipFill>
            <a:blip xmlns:r="http://schemas.openxmlformats.org/officeDocument/2006/relationships" r:embed="rId5"/>
            <a:srcRect/>
            <a:stretch>
              <a:fillRect/>
            </a:stretch>
          </xdr:blipFill>
          <xdr:spPr bwMode="auto">
            <a:xfrm>
              <a:off x="6515215" y="775565"/>
              <a:ext cx="10286885" cy="401551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Flags>
  </global>
</rvTypesInfo>
</file>

<file path=xl/richData/rdrichvalue.xml><?xml version="1.0" encoding="utf-8"?>
<rvData xmlns="http://schemas.microsoft.com/office/spreadsheetml/2017/richdata" count="3">
  <rv s="0">
    <v>0</v>
    <v>8</v>
    <v>262</v>
    <v>1</v>
  </rv>
  <rv s="0">
    <v>0</v>
    <v>8</v>
    <v>258</v>
    <v>1</v>
  </rv>
  <rv s="1">
    <v>8</v>
    <v>1</v>
  </rv>
</rvData>
</file>

<file path=xl/richData/rdrichvaluestructure.xml><?xml version="1.0" encoding="utf-8"?>
<rvStructures xmlns="http://schemas.microsoft.com/office/spreadsheetml/2017/richdata" count="2">
  <s t="_error">
    <k n="colOffset" t="i"/>
    <k n="errorType" t="i"/>
    <k n="rwOffset" t="i"/>
    <k n="subType" t="i"/>
  </s>
  <s t="_error">
    <k n="errorType" t="i"/>
    <k n="propagated" t="b"/>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 xr10:uid="{D7B1BC9E-8BBF-4D6A-A8D0-A236E411A06D}" sourceName="Hypotesetype">
  <extLst>
    <x:ext xmlns:x15="http://schemas.microsoft.com/office/spreadsheetml/2010/11/main" uri="{2F2917AC-EB37-4324-AD4E-5DD8C200BD13}">
      <x15:tableSlicerCache tableId="16"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 xr10:uid="{60C55371-4C75-4555-9FAE-ADAE4696E6C5}" sourceName="Beregningsmetode">
  <extLst>
    <x:ext xmlns:x15="http://schemas.microsoft.com/office/spreadsheetml/2010/11/main" uri="{2F2917AC-EB37-4324-AD4E-5DD8C200BD13}">
      <x15:tableSlicerCache tableId="16"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1" xr10:uid="{EE853B18-51A4-40AB-A3A4-739E6DDE2AFC}" sourceName="Hypotesetype">
  <extLst>
    <x:ext xmlns:x15="http://schemas.microsoft.com/office/spreadsheetml/2010/11/main" uri="{2F2917AC-EB37-4324-AD4E-5DD8C200BD13}">
      <x15:tableSlicerCache tableId="17"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1" xr10:uid="{FBE06DAC-776A-43E1-B09F-E8F495C1458D}" sourceName="Beregningsmetode">
  <extLst>
    <x:ext xmlns:x15="http://schemas.microsoft.com/office/spreadsheetml/2010/11/main" uri="{2F2917AC-EB37-4324-AD4E-5DD8C200BD13}">
      <x15:tableSlicerCache tableId="17" column="3"/>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2" xr10:uid="{99E8C996-17B5-4D15-B1A0-E2A9AF7C892A}" sourceName="Hypotesetype">
  <extLst>
    <x:ext xmlns:x15="http://schemas.microsoft.com/office/spreadsheetml/2010/11/main" uri="{2F2917AC-EB37-4324-AD4E-5DD8C200BD13}">
      <x15:tableSlicerCache tableId="18"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2" xr10:uid="{79D407E3-8E77-439C-936E-595A1C033418}" sourceName="Beregningsmetode">
  <extLst>
    <x:ext xmlns:x15="http://schemas.microsoft.com/office/spreadsheetml/2010/11/main" uri="{2F2917AC-EB37-4324-AD4E-5DD8C200BD13}">
      <x15:tableSlicerCache tableId="18" column="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3" xr10:uid="{7ADA6813-7486-47B5-8CE3-29324E73E31D}" sourceName="Hypotesetype">
  <extLst>
    <x:ext xmlns:x15="http://schemas.microsoft.com/office/spreadsheetml/2010/11/main" uri="{2F2917AC-EB37-4324-AD4E-5DD8C200BD13}">
      <x15:tableSlicerCache tableId="20" column="2"/>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3" xr10:uid="{91BCE92C-6EED-46C4-A64C-617A2C863564}" sourceName="Beregningsmetode">
  <extLst>
    <x:ext xmlns:x15="http://schemas.microsoft.com/office/spreadsheetml/2010/11/main" uri="{2F2917AC-EB37-4324-AD4E-5DD8C200BD13}">
      <x15:tableSlicerCache tableId="20" column="3"/>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4" xr10:uid="{97DB0F64-3E65-4FF2-89D0-77D83405AEC7}" sourceName="Hypotesetype">
  <extLst>
    <x:ext xmlns:x15="http://schemas.microsoft.com/office/spreadsheetml/2010/11/main" uri="{2F2917AC-EB37-4324-AD4E-5DD8C200BD13}">
      <x15:tableSlicerCache tableId="24" column="2"/>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4" xr10:uid="{03B697C6-BF71-48BC-B66B-3516E60AAF1F}" sourceName="Beregningsmetode">
  <extLst>
    <x:ext xmlns:x15="http://schemas.microsoft.com/office/spreadsheetml/2010/11/main" uri="{2F2917AC-EB37-4324-AD4E-5DD8C200BD13}">
      <x15:tableSlicerCache tableId="24" column="3"/>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fhængig_variabel1" xr10:uid="{E4E72B5F-4DCE-4C64-AA16-E63AAE3FBF54}" sourceName="Afhængig variabel">
  <extLst>
    <x:ext xmlns:x15="http://schemas.microsoft.com/office/spreadsheetml/2010/11/main" uri="{2F2917AC-EB37-4324-AD4E-5DD8C200BD13}">
      <x15:tableSlicerCache tableId="8" column="6"/>
    </x:ex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afhængige_variable1" xr10:uid="{F7C2A680-E859-4825-9BFD-9F1F9DABBCA5}" sourceName="Uafhængige variable">
  <extLst>
    <x:ext xmlns:x15="http://schemas.microsoft.com/office/spreadsheetml/2010/11/main" uri="{2F2917AC-EB37-4324-AD4E-5DD8C200BD13}">
      <x15:tableSlicerCache tableId="8" column="7" crossFilter="show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riabel" xr10:uid="{423A4C5B-28D8-482B-8B1C-42753F4262AA}" sourceName="Variable i ANOVA">
  <extLst>
    <x:ext xmlns:x15="http://schemas.microsoft.com/office/spreadsheetml/2010/11/main" uri="{2F2917AC-EB37-4324-AD4E-5DD8C200BD13}">
      <x15:tableSlicerCache tableId="3"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ypotesetype_g" xr10:uid="{88ECDD00-5662-4E69-B050-3FABAEB6CAD0}" cache="Slicer_Hypotesetype" caption="Hypotesetype" lockedPosition="1" rowHeight="222250"/>
  <slicer name="Beregningsmetode_g" xr10:uid="{F5EA248F-4419-45E4-AF25-EDB154B27FCD}" cache="Slicer_Beregningsmetode" caption="Beregningsmetode" style="SlicerStyleLight2" lockedPosition="1" rowHeight="222250"/>
  <slicer name="Hypotesetype_s" xr10:uid="{B4D3295C-F8AA-436B-80F4-D508A2D2F56C}" cache="Slicer_Hypotesetype1" caption="Hypotesetype" lockedPosition="1" rowHeight="222250"/>
  <slicer name="Beregningsmetode_s" xr10:uid="{3413A21A-2108-432C-9C81-D0C12B62F981}" cache="Slicer_Beregningsmetode1" caption="Beregningsmetode" style="SlicerStyleLight2" lockedPosition="1" rowHeight="222250"/>
  <slicer name="Hypotesetype_a" xr10:uid="{8863C37D-2C5B-4781-B998-A7F9B19BEBBF}" cache="Slicer_Hypotesetype2" caption="Hypotesetype" lockedPosition="1" rowHeight="222250"/>
  <slicer name="Beregningsmetode_a" xr10:uid="{F30EE6FD-8FFB-4695-88F9-504B17F5B48A}" cache="Slicer_Beregningsmetode2" caption="Beregningsmetode" style="SlicerStyleLight2" lockedPosition="1" rowHeight="222250"/>
  <slicer name="Hypotesetype_i" xr10:uid="{56829CEF-4CFD-4F66-AC43-9A90497EFF59}" cache="Slicer_Hypotesetype3" caption="Hypotesetype" lockedPosition="1" rowHeight="222250"/>
  <slicer name="Beregningsmetode_i" xr10:uid="{407625AF-5618-4D29-9A8B-80EFAE534058}" cache="Slicer_Beregningsmetode3" caption="Beregningsmetode" style="SlicerStyleLight2" lockedPosition="1" rowHeight="222250"/>
  <slicer name="Hypotesetype_k" xr10:uid="{D05C1A90-5C83-4AEA-8AC9-627337EEC20D}" cache="Slicer_Hypotesetype4" caption="Hypotesetype" lockedPosition="1" rowHeight="222250"/>
  <slicer name="Beregningsmetode_k" xr10:uid="{FA50024A-773C-4E70-8AF3-0A126098ED37}" cache="Slicer_Beregningsmetode4" caption="Beregningsmetode" style="SlicerStyleLight2" lockedPosition="1" rowHeight="2222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fhængig variabel 1" xr10:uid="{5D9D9218-9B79-4F31-8E53-12D5E2E1A98A}" cache="Slicer_Afhængig_variabel1" caption="Afhængig variabel" lockedPosition="1" rowHeight="241300"/>
  <slicer name="Uafhængige variable 1" xr10:uid="{419A9B15-54A6-4EF7-B3C9-7BB0970E2D33}" cache="Slicer_Uafhængige_variable1" caption="Uafhængige variable" style="SlicerStyleLight3" lockedPosition="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ariabel" xr10:uid="{5211B3DC-A42E-4599-8962-9865EB88AAE5}" cache="Slicer_Variabel" caption="Variable i ANOVA"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5CDEBF0-4EB0-48C9-BE36-80555E53817B}" name="S_normal" displayName="S_normal" ref="T12:AC271" totalsRowShown="0" headerRowDxfId="241" dataDxfId="240">
  <autoFilter ref="T12:AC271" xr:uid="{A7CAB8AD-874A-40A4-82E5-C3274736606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D78050E4-42AF-42B4-8A7D-EB60C37B2BC1}" name="Indeks (base 0)" dataDxfId="239">
      <calculatedColumnFormula>ROW(T13)-ROW(T$13)</calculatedColumnFormula>
    </tableColumn>
    <tableColumn id="10" xr3:uid="{D1F93366-5198-4411-8A83-BA46B574ABEB}" name="Indeks (base 1)" dataDxfId="238">
      <calculatedColumnFormula>S_normal[[#This Row],[Indeks (base 0)]]+1</calculatedColumnFormula>
    </tableColumn>
    <tableColumn id="2" xr3:uid="{9C329214-AF4C-469E-95D8-9873B7E65A3C}" name="X base" dataDxfId="237">
      <calculatedColumnFormula>U$8+(U$9-U$8)/U$4*T13</calculatedColumnFormula>
    </tableColumn>
    <tableColumn id="3" xr3:uid="{A7BB72C5-8112-4902-898E-ED04303BB436}" name="Normalfordeling" dataDxfId="236">
      <calculatedColumnFormula>_xlfn.NORM.DIST(V13,0,1,FALSE)</calculatedColumnFormula>
    </tableColumn>
    <tableColumn id="4" xr3:uid="{E512BEA1-3103-49C0-9CAC-F95E83CB8A31}" name="Mindre end" dataDxfId="235">
      <calculatedColumnFormula>S_normal[[#This Row],[X base]]&lt;U$7</calculatedColumnFormula>
    </tableColumn>
    <tableColumn id="5" xr3:uid="{E8153409-3F31-43C7-ABD4-51538A6695D2}" name="Større end" dataDxfId="234">
      <calculatedColumnFormula>S_normal[[#This Row],[X base]]&gt;U$7</calculatedColumnFormula>
    </tableColumn>
    <tableColumn id="7" xr3:uid="{C893A987-61D2-4FFC-87DE-BA48981A72CA}" name="Venstre" dataDxfId="233">
      <calculatedColumnFormula>IF(S_normal[[#This Row],[Mindre end]],S_normal[[#This Row],[Normalfordeling]],NA())</calculatedColumnFormula>
    </tableColumn>
    <tableColumn id="8" xr3:uid="{C4294C5C-9712-494A-B30A-B29B8A3C742E}" name="Højre" dataDxfId="232">
      <calculatedColumnFormula>IF(S_normal[[#This Row],[Større end]],S_normal[[#This Row],[Normalfordeling]],NA())</calculatedColumnFormula>
    </tableColumn>
    <tableColumn id="6" xr3:uid="{C020F57E-0DB1-4003-B2D2-A656A5AAB77A}" name="x akse label" dataDxfId="231" dataCellStyle="Note">
      <calculatedColumnFormula>_xlfn.IFNA(IF(S_normal[[#This Row],[Indeks (base 0)]]=ROUND((ROUND(S_normal[[#This Row],[X base]],0)-U$8)/(U$9-U$8)*U$4,0),S_normal[[#This Row],[X base]]*B$6+B$5,""),"")</calculatedColumnFormula>
    </tableColumn>
    <tableColumn id="9" xr3:uid="{72830966-1BD7-478A-8E7A-168618E1F3B1}" name="Forklaring" dataDxfId="230">
      <calculatedColumnFormula>_xlfn.SWITCH(U13,AC$6,AC$4,AC$7,AC$5," ")</calculatedColumnFormula>
    </tableColumn>
  </tableColumns>
  <tableStyleInfo name="Tab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A2F6053-1EEF-4151-A714-DA845AB0A909}" name="S_binomial" displayName="S_binomial" ref="AE12:AP663" totalsRowShown="0" headerRowDxfId="229" dataDxfId="228">
  <autoFilter ref="AE12:AP663" xr:uid="{B064CDD8-A892-455E-BB93-1E71C25B1D6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C878740-F982-4277-A5FD-86F6729ADE03}" name="Indeks (base 0)" dataDxfId="227">
      <calculatedColumnFormula>ROW(AE13)-ROW(AE$13)</calculatedColumnFormula>
    </tableColumn>
    <tableColumn id="10" xr3:uid="{C68398A1-2EF9-48DC-B00B-FF8FF6879BA8}" name="Indeks (base 1)" dataDxfId="226">
      <calculatedColumnFormula>S_binomial[[#This Row],[Indeks (base 0)]]+1</calculatedColumnFormula>
    </tableColumn>
    <tableColumn id="2" xr3:uid="{5CFD1C75-7EEF-4A80-9C0B-DF376ED39B2C}" name="X base" dataDxfId="225">
      <calculatedColumnFormula>IF(AE13&lt;AF$8,ROUNDDOWN(AE13/AF$7,0),NA())</calculatedColumnFormula>
    </tableColumn>
    <tableColumn id="3" xr3:uid="{FE71B234-50CF-4822-897C-952672F29BD3}" name="Binomialfordeling" dataDxfId="224">
      <calculatedColumnFormula>IF(MOD(S_binomial[[#This Row],[Indeks (base 0)]],AF$7)=0,NA(),_xlfn.BINOM.DIST(S_binomial[[#This Row],[X base]],E$5,E$6,FALSE))</calculatedColumnFormula>
    </tableColumn>
    <tableColumn id="4" xr3:uid="{409DD03B-F11C-4314-8535-A64836071E19}" name="Mindre end" dataDxfId="223">
      <calculatedColumnFormula>S_binomial[[#This Row],[X base]]&lt;AF$5</calculatedColumnFormula>
    </tableColumn>
    <tableColumn id="11" xr3:uid="{43B85FB3-D2EF-4189-8AD7-5D5EDA326A81}" name="Lig med" dataDxfId="222">
      <calculatedColumnFormula>S_binomial[[#This Row],[X base]]=AF$5</calculatedColumnFormula>
    </tableColumn>
    <tableColumn id="5" xr3:uid="{9CD6397B-9116-4E86-BF09-1E0A44F708B5}" name="Større end" dataDxfId="221">
      <calculatedColumnFormula>S_binomial[[#This Row],[X base]]&gt;AF$5</calculatedColumnFormula>
    </tableColumn>
    <tableColumn id="7" xr3:uid="{9CFEA31A-41B9-45D1-9D4B-170FBAAC0214}" name="Venstre" dataDxfId="220">
      <calculatedColumnFormula>IF(S_binomial[[#This Row],[Mindre end]],S_binomial[[#This Row],[Binomialfordeling]],NA())</calculatedColumnFormula>
    </tableColumn>
    <tableColumn id="13" xr3:uid="{ED019AFC-480E-4421-9B4B-6E0C4506DDD0}" name="Midt" dataDxfId="219">
      <calculatedColumnFormula>IF(S_binomial[[#This Row],[Lig med]],S_binomial[[#This Row],[Binomialfordeling]],NA())</calculatedColumnFormula>
    </tableColumn>
    <tableColumn id="8" xr3:uid="{BBF7D6EC-EFA8-47E6-9741-E15A7DDF99DD}" name="Højre" dataDxfId="218">
      <calculatedColumnFormula>IF(S_binomial[[#This Row],[Større end]],S_binomial[[#This Row],[Binomialfordeling]],NA())</calculatedColumnFormula>
    </tableColumn>
    <tableColumn id="6" xr3:uid="{257F51BA-1515-4A52-AA05-CE74FB3856BA}" name="x akse label" dataDxfId="217" dataCellStyle="Note">
      <calculatedColumnFormula>_xlfn.IFNA(IF(MOD(S_binomial[[#This Row],[Indeks (base 0)]],AF$7)=ROUNDDOWN(AF$7/2,0),S_binomial[[#This Row],[X base]],""),"")</calculatedColumnFormula>
    </tableColumn>
    <tableColumn id="9" xr3:uid="{87A4B2D6-BE43-41D7-A4FD-E853BC1B9329}" name="Forklaring" dataDxfId="216">
      <calculatedColumnFormula>_xlfn.IFNA(_xlfn.SWITCH(AF13,AN$7,AN$4,AN$8,AN$5,AN$9,AN$6," ")," ")</calculatedColumnFormula>
    </tableColumn>
  </tableColumns>
  <tableStyleInfo name="Tab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1CDC1857-7A89-4D85-A306-82EF69239ED6}" name="S_normal27" displayName="S_normal27" ref="AR12:BC663" totalsRowShown="0" headerRowDxfId="215" dataDxfId="214">
  <autoFilter ref="AR12:BC663" xr:uid="{47D902EE-A56D-4967-9892-706532D562E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71FB4902-8B98-44D3-8762-489E594B72A3}" name="Indeks (base 0)" dataDxfId="213">
      <calculatedColumnFormula>ROW(AR13)-ROW(AR$13)</calculatedColumnFormula>
    </tableColumn>
    <tableColumn id="10" xr3:uid="{409FCF3F-0CDC-4D58-8F0D-225B9801DD93}" name="Indeks (base 1)" dataDxfId="212">
      <calculatedColumnFormula>S_normal27[[#This Row],[Indeks (base 0)]]+1</calculatedColumnFormula>
    </tableColumn>
    <tableColumn id="2" xr3:uid="{5C2EDCFA-CC2D-4464-9962-D40C8D82314D}" name="X base" dataDxfId="211">
      <calculatedColumnFormula>IF(AR13&lt;AS$9,ROUNDDOWN(AR13/AS$8,0),NA())</calculatedColumnFormula>
    </tableColumn>
    <tableColumn id="3" xr3:uid="{B7979A18-5843-4F7C-A023-C22BD01CBC28}" name="Poissonfordeling" dataDxfId="210">
      <calculatedColumnFormula>IF(MOD(S_normal27[[#This Row],[Indeks (base 0)]],AS$8)=0,NA(),_xlfn.POISSON.DIST(S_normal27[[#This Row],[X base]],$H$5,FALSE))</calculatedColumnFormula>
    </tableColumn>
    <tableColumn id="4" xr3:uid="{756187C6-494E-4278-A943-0A7F2FD14767}" name="Mindre end" dataDxfId="209">
      <calculatedColumnFormula>S_normal27[[#This Row],[X base]]&lt;AS$5</calculatedColumnFormula>
    </tableColumn>
    <tableColumn id="11" xr3:uid="{97A74A4F-3D17-428C-A6F5-DE080B567BF2}" name="Lig med" dataDxfId="208">
      <calculatedColumnFormula>S_normal27[[#This Row],[X base]]=AS$5</calculatedColumnFormula>
    </tableColumn>
    <tableColumn id="5" xr3:uid="{04DACB27-D114-4286-B06E-E4FAD2F2C9B3}" name="Større end" dataDxfId="207">
      <calculatedColumnFormula>S_normal27[[#This Row],[X base]]&gt;AS$5</calculatedColumnFormula>
    </tableColumn>
    <tableColumn id="7" xr3:uid="{F165B60E-4662-41F6-A7B9-459F14043729}" name="Venstre" dataDxfId="206">
      <calculatedColumnFormula>IF(S_normal27[[#This Row],[Mindre end]],S_normal27[[#This Row],[Poissonfordeling]],NA())</calculatedColumnFormula>
    </tableColumn>
    <tableColumn id="12" xr3:uid="{5A20A88C-732D-498F-AF76-A0CAB2FCCECD}" name="Midt" dataDxfId="205">
      <calculatedColumnFormula>IF(S_normal27[[#This Row],[Lig med]],S_normal27[[#This Row],[Poissonfordeling]],NA())</calculatedColumnFormula>
    </tableColumn>
    <tableColumn id="8" xr3:uid="{18ED937D-CBED-47FD-BFFA-13E62B964D4C}" name="Højre" dataDxfId="204">
      <calculatedColumnFormula>IF(S_normal27[[#This Row],[Større end]],S_normal27[[#This Row],[Poissonfordeling]],NA())</calculatedColumnFormula>
    </tableColumn>
    <tableColumn id="6" xr3:uid="{94914BB5-704F-4E46-B3C0-05116443F011}" name="x akse label" dataDxfId="203" dataCellStyle="Comma [0]">
      <calculatedColumnFormula>_xlfn.IFNA(IF(MOD(S_normal27[[#This Row],[Indeks (base 0)]],AS$8)=ROUNDDOWN(AS$8/2,0),S_normal27[[#This Row],[X base]],""),"")</calculatedColumnFormula>
    </tableColumn>
    <tableColumn id="9" xr3:uid="{1BE0B83E-9CF1-4C12-B15A-B04EB5DCBEFB}" name="Forklaring" dataDxfId="202">
      <calculatedColumnFormula>_xlfn.IFNA(_xlfn.SWITCH(AS13,BA$7,BA$4,BA$8,BA$5,BA$9,BA$6," ")," ")</calculatedColumnFormula>
    </tableColumn>
  </tableColumns>
  <tableStyleInfo name="Tab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6911D3B-3D56-4206-A412-1EFCD1EE5184}" name="Eu_tabel_g" displayName="Eu_tabel_g" ref="BS9:CP268" totalsRowShown="0" dataDxfId="201">
  <autoFilter ref="BS9:CP268" xr:uid="{47B0E68D-560D-4846-9381-68A48946A49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tableColumns count="24">
    <tableColumn id="1" xr3:uid="{F5A9AFB0-A8E0-478F-BC34-C8557C1B9CA3}" name="Indeks" dataDxfId="200">
      <calculatedColumnFormula>ROW(BS10)-ROW(BS$10)</calculatedColumnFormula>
    </tableColumn>
    <tableColumn id="2" xr3:uid="{4CB78BCE-C2DB-4BE3-909A-F49BA83A7513}" name="Indeks (1 base)" dataDxfId="199">
      <calculatedColumnFormula>Eu_tabel_g[[#This Row],[Indeks]]+1</calculatedColumnFormula>
    </tableColumn>
    <tableColumn id="3" xr3:uid="{B67ACC8F-ED1F-407D-BAD5-D9F18D360884}" name="x base" dataDxfId="198">
      <calculatedColumnFormula>BU$5+(BU$7-BU$5)/BU$3*BS10</calculatedColumnFormula>
    </tableColumn>
    <tableColumn id="4" xr3:uid="{0A3D46C0-40C8-4B33-9EFD-905BF96B3D5E}" name="Normalfordeling" dataDxfId="197">
      <calculatedColumnFormula>IF(BV$3,_xlfn.NORM.DIST(BU10,BV$5,BV$7,FALSE),NA())</calculatedColumnFormula>
    </tableColumn>
    <tableColumn id="5" xr3:uid="{B4A01262-A796-4C45-8CE6-1D80372099E6}" name="t-fordeling" dataDxfId="196">
      <calculatedColumnFormula>IF(BW$3,_xlfn.T.DIST(BU10,BW$5,FALSE),NA())</calculatedColumnFormula>
    </tableColumn>
    <tableColumn id="6" xr3:uid="{E554D212-0C92-4875-B253-2E569806BAE9}" name="Chi-i-anden-fordeling" dataDxfId="195">
      <calculatedColumnFormula>IF(BX$3,_xlfn.CHISQ.DIST(BU10,BX$5,FALSE),NA())</calculatedColumnFormula>
    </tableColumn>
    <tableColumn id="7" xr3:uid="{CA1F6272-3F4A-4206-9D21-9E8D0A89E354}" name="F-fordeling" dataDxfId="194">
      <calculatedColumnFormula>IF(BY$3,_xlfn.F.DIST(BU10,BY$5,BY$7,FALSE),NA())</calculatedColumnFormula>
    </tableColumn>
    <tableColumn id="8" xr3:uid="{552F0111-FCDD-49C7-A7C8-1742D0A7EE58}" name="Mindre end teststørrelse" dataDxfId="193">
      <calculatedColumnFormula>BU10&lt;BZ$3</calculatedColumnFormula>
    </tableColumn>
    <tableColumn id="9" xr3:uid="{FC0C923B-0BA5-46A8-8957-C57FBCC1A57D}" name="Større end teststørrelse" dataDxfId="192">
      <calculatedColumnFormula>BU10&gt;BZ$3</calculatedColumnFormula>
    </tableColumn>
    <tableColumn id="10" xr3:uid="{3A5ED543-574B-4F93-B8A9-6AE26314E002}" name="Forskellig fra teststørrelse" dataDxfId="191">
      <calculatedColumnFormula>OR(BU10&lt;CB$3,BU10&gt;CB$5)</calculatedColumnFormula>
    </tableColumn>
    <tableColumn id="11" xr3:uid="{D80DB855-8C47-4C30-BEA6-A756CD4C3558}" name="Lig med teststørrelse" dataDxfId="190">
      <calculatedColumnFormula>AND(BU10&gt;CB$3,BU10&lt;CB$5)</calculatedColumnFormula>
    </tableColumn>
    <tableColumn id="12" xr3:uid="{6FB3C166-50C3-431A-8080-CB59F544D2E5}" name="Valgt fordeling" dataDxfId="189">
      <calculatedColumnFormula>_xlfn.AGGREGATE(9,6,BV10:BY10)</calculatedColumnFormula>
    </tableColumn>
    <tableColumn id="13" xr3:uid="{9D2DE2D1-6EBC-4C86-98D3-DC86001D26EE}" name="Alternativ hypotese" dataDxfId="188">
      <calculatedColumnFormula>IF(INDEX(BZ10:CC10,CD$7),CD10,NA())</calculatedColumnFormula>
    </tableColumn>
    <tableColumn id="14" xr3:uid="{2D271E37-6776-45F4-B1E6-892BC648A5CE}" name="Nulhypotese" dataDxfId="187">
      <calculatedColumnFormula>IF(INDEX(BZ10:CC10,CE$7),CD10,NA())</calculatedColumnFormula>
    </tableColumn>
    <tableColumn id="15" xr3:uid="{107246DD-5D5E-4664-8D88-AED4668487C2}" name="x akse label" dataDxfId="186" dataCellStyle="Note">
      <calculatedColumnFormula>_xlfn.SWITCH(BS10,CG$2,CG$5,CG$3,CG$6,CG$4,CG$7,"")</calculatedColumnFormula>
    </tableColumn>
    <tableColumn id="16" xr3:uid="{D8CC3A5C-23BA-4012-BBD1-DA8E8C4E7C4E}" name="Styrke venstre" dataDxfId="185">
      <calculatedColumnFormula>_xlfn.NORM.DIST(_xlfn.NORM.INV(1-Eu_g_konfidensniveau,0,1)-Eu_tabel_g[[#This Row],[x base]],0,1,TRUE)</calculatedColumnFormula>
    </tableColumn>
    <tableColumn id="17" xr3:uid="{EC0072AA-8386-489F-9A83-5819B2211A55}" name="Styrke højre" dataDxfId="184">
      <calculatedColumnFormula>1-_xlfn.NORM.DIST(_xlfn.NORM.INV(Eu_g_konfidensniveau,0,1)-Eu_tabel_g[[#This Row],[x base]],0,1,TRUE)</calculatedColumnFormula>
    </tableColumn>
    <tableColumn id="18" xr3:uid="{915EC348-07DD-4660-83F1-B08EA8ACC349}" name="Styrke tosidet" dataDxfId="183">
      <calculatedColumnFormula>_xlfn.NORM.DIST(_xlfn.NORM.INV((1-Eu_g_konfidensniveau)/2,0,1)-Eu_tabel_g[[#This Row],[x base]],0,1,TRUE)+1-_xlfn.NORM.DIST(_xlfn.NORM.INV(1-(1-Eu_g_konfidensniveau)/2,0,1)-Eu_tabel_g[[#This Row],[x base]],0,1,TRUE)</calculatedColumnFormula>
    </tableColumn>
    <tableColumn id="19" xr3:uid="{4A3361CB-7557-40F8-BA27-CEC52174B7FD}" name="Styrke, aktiv" dataDxfId="182">
      <calculatedColumnFormula array="1">IF($CK$3,INDEX(Eu_tabel_g[[#This Row],[Styrke venstre]:[Styrke tosidet]],CK$7),NA())</calculatedColumnFormula>
    </tableColumn>
    <tableColumn id="20" xr3:uid="{8A7EBA54-E153-49DB-813D-DD2A7E93F28A}" name="Sand positiv_x000a_Nulhypotese accepteres_x000a_Korrekt" dataDxfId="181">
      <calculatedColumnFormula>Eu_tabel_g[[#This Row],[Falsk positiv
Nulhypotese accepteres
Fejltype 1]]</calculatedColumnFormula>
    </tableColumn>
    <tableColumn id="21" xr3:uid="{EC721823-8F83-4356-99C0-953F5003F1DC}" name="Falsk negativ_x000a_Nulhypotese afvises_x000a_Fejltype 2" dataDxfId="180">
      <calculatedColumnFormula>IF(CHOOSE(CK$7,Eu_tabel_g[[#This Row],[x base]]&gt;0,Eu_tabel_g[[#This Row],[x base]]&lt;0,Eu_tabel_g[[#This Row],[x base]]=0),Eu_tabel_g[[#This Row],[Styrke, aktiv]],NA())</calculatedColumnFormula>
    </tableColumn>
    <tableColumn id="22" xr3:uid="{68E166B2-2605-4242-940D-06BE3435A7B5}" name="Sand negativ_x000a_Nulhypotese afvises_x000a_Korrekt" dataDxfId="179">
      <calculatedColumnFormula>IFERROR(IF($CK$3,Eu_tabel_g[[#This Row],[Styrke, aktiv]],NA()),NA())</calculatedColumnFormula>
    </tableColumn>
    <tableColumn id="23" xr3:uid="{ACC3E1DD-B845-4E16-8D04-1C7F41221CAA}" name="Falsk positiv_x000a_Nulhypotese accepteres_x000a_Fejltype 1" dataDxfId="178">
      <calculatedColumnFormula>IF(ISNA(Eu_tabel_g[[#This Row],[Sand negativ
Nulhypotese afvises
Korrekt]]),NA(),IF($CK$3,1,NA()))</calculatedColumnFormula>
    </tableColumn>
    <tableColumn id="24" xr3:uid="{E3D90310-856A-4C01-B62A-F8D26D6AC47B}" name="Styrkefunktion, x akse" dataDxfId="177" dataCellStyle="Comma">
      <calculatedColumnFormula array="1">_xlfn.SWITCH(BS10,_xlfn.IFNA(CN$2,-99),CN$5,_xlfn.IFNA(CN$3,-99),CN$6,_xlfn.IFNA(CN$4,-99),CN$7,"")</calculatedColumnFormula>
    </tableColumn>
  </tableColumns>
  <tableStyleInfo name="Tab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E069496-C3A1-4D93-A9D0-866738001C5A}" name="Eu_tabel_s" displayName="Eu_tabel_s" ref="DG9:DU268" totalsRowShown="0" dataDxfId="176">
  <autoFilter ref="DG9:DU268" xr:uid="{971A20C0-5F92-417F-8F6F-39890D9EC21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97778DE9-1FE8-4403-975A-FE87C2B2CC3A}" name="Indeks" dataDxfId="175">
      <calculatedColumnFormula>ROW(DG10)-ROW(DG$10)</calculatedColumnFormula>
    </tableColumn>
    <tableColumn id="2" xr3:uid="{A6F0F190-E297-4170-8177-E7217214EB82}" name="Indeks (1 base)" dataDxfId="174">
      <calculatedColumnFormula>DG10+1</calculatedColumnFormula>
    </tableColumn>
    <tableColumn id="3" xr3:uid="{B5855230-CCF0-4845-B788-BA2F01B3FAF8}" name="x base" dataDxfId="173">
      <calculatedColumnFormula>DI$5+(DI$7-DI$5)/DI$3*DG10</calculatedColumnFormula>
    </tableColumn>
    <tableColumn id="4" xr3:uid="{AEA57CCF-1E76-4E8C-8D78-7D8DD9686F18}" name="Normalfordeling" dataDxfId="172">
      <calculatedColumnFormula>IF(DJ$3,_xlfn.NORM.DIST(DI10,DJ$5,DJ$7,FALSE),NA())</calculatedColumnFormula>
    </tableColumn>
    <tableColumn id="5" xr3:uid="{D3A322D8-1BEF-4423-888A-F0EA353B2782}" name="t-fordeling" dataDxfId="171">
      <calculatedColumnFormula>IF(DK$3,_xlfn.T.DIST(DI10,DK$5,FALSE),NA())</calculatedColumnFormula>
    </tableColumn>
    <tableColumn id="6" xr3:uid="{A9FE156B-26A0-4F18-B47C-F0F1708CA93D}" name="Chi-i-anden-fordeling" dataDxfId="170">
      <calculatedColumnFormula>IF(DL$3,_xlfn.CHISQ.DIST(DI10,DL$5,FALSE),NA())</calculatedColumnFormula>
    </tableColumn>
    <tableColumn id="7" xr3:uid="{B9AB77ED-ADBD-404B-96D0-4C8CD292336D}" name="F-fordeling" dataDxfId="169">
      <calculatedColumnFormula>IF(DM$3,_xlfn.F.DIST(DI10,DM$5,DM$7,FALSE),NA())</calculatedColumnFormula>
    </tableColumn>
    <tableColumn id="8" xr3:uid="{9FF80ECD-0AF9-4987-8FE8-663C5C79EE1F}" name="Mindre end teststørrelse" dataDxfId="168">
      <calculatedColumnFormula>DI10&lt;DN$3</calculatedColumnFormula>
    </tableColumn>
    <tableColumn id="9" xr3:uid="{FE7E41B4-23C8-46FA-B60A-CF5518FF0863}" name="Større end teststørrelse" dataDxfId="167">
      <calculatedColumnFormula>DI10&gt;DN$3</calculatedColumnFormula>
    </tableColumn>
    <tableColumn id="10" xr3:uid="{1D421A77-8F6B-4097-A8CA-D620E5022E42}" name="Forskellig fra teststørrelse" dataDxfId="166">
      <calculatedColumnFormula>OR(DI10&lt;DP$3,DI10&gt;DP$5)</calculatedColumnFormula>
    </tableColumn>
    <tableColumn id="11" xr3:uid="{E0365AB4-8EA2-4AF2-BF00-37D6949F705C}" name="Lig med teststørrelse" dataDxfId="165">
      <calculatedColumnFormula>AND(DI10&gt;DP$3,DI10&lt;DP$5)</calculatedColumnFormula>
    </tableColumn>
    <tableColumn id="12" xr3:uid="{1D356D5B-8FBE-4378-8F48-D7A2C35731D3}" name="Valgt fordeling" dataDxfId="164">
      <calculatedColumnFormula>_xlfn.AGGREGATE(9,6,DJ10:DM10)</calculatedColumnFormula>
    </tableColumn>
    <tableColumn id="13" xr3:uid="{A1AB737B-E61E-4FC7-826C-5588CADC749B}" name="Alternativ hypotese" dataDxfId="163">
      <calculatedColumnFormula>IF(INDEX(DN10:DQ10,DR$7),DR10,NA())</calculatedColumnFormula>
    </tableColumn>
    <tableColumn id="14" xr3:uid="{04BB390A-33D5-4D50-8B04-F8BB1A2F592C}" name="Nulhypotese" dataDxfId="162">
      <calculatedColumnFormula>IF(INDEX(DN10:DQ10,DS$7),DR10,NA())</calculatedColumnFormula>
    </tableColumn>
    <tableColumn id="15" xr3:uid="{DE002016-2D0F-40EC-82F3-9A7E4E62656C}" name="x akse label" dataDxfId="161" dataCellStyle="Note">
      <calculatedColumnFormula>_xlfn.SWITCH(DG10,DU$2,DU$5,DU$3,DU$6,DU$4,DU$7,"")</calculatedColumnFormula>
    </tableColumn>
  </tableColumns>
  <tableStyleInfo name="Tab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CC7024E-ECD9-499C-83A4-479A7ADFBE13}" name="Eu_tabel_a" displayName="Eu_tabel_a" ref="DZ9:EX268" totalsRowShown="0" dataDxfId="160">
  <autoFilter ref="DZ9:EX268" xr:uid="{9A50C2A5-9B7F-43FD-A8F6-D30EF926974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autoFilter>
  <tableColumns count="25">
    <tableColumn id="1" xr3:uid="{FF45FCA6-3192-4830-A091-6989DD291D03}" name="Indeks" dataDxfId="159">
      <calculatedColumnFormula>ROW(DZ10)-ROW(DZ$10)</calculatedColumnFormula>
    </tableColumn>
    <tableColumn id="2" xr3:uid="{C7E566D5-E9DA-4ACF-97F3-ECDFE88466E5}" name="Indeks (1 base)" dataDxfId="158">
      <calculatedColumnFormula>DZ10+1</calculatedColumnFormula>
    </tableColumn>
    <tableColumn id="3" xr3:uid="{45B9890A-475E-46F9-87FC-5CC50D4491F3}" name="x base" dataDxfId="157">
      <calculatedColumnFormula>EB$5+(EB$7-EB$5)/EB$3*DZ10</calculatedColumnFormula>
    </tableColumn>
    <tableColumn id="4" xr3:uid="{64C88137-E023-472A-999B-78C9BE1EA69A}" name="Normalfordeling" dataDxfId="156">
      <calculatedColumnFormula>IF(EC$3,_xlfn.NORM.DIST(EB10,EC$5,EC$7,FALSE),NA())</calculatedColumnFormula>
    </tableColumn>
    <tableColumn id="5" xr3:uid="{874D946D-A35B-4F75-8B2C-6C530511C762}" name="t-fordeling" dataDxfId="155">
      <calculatedColumnFormula>IF(ED$3,_xlfn.T.DIST(EB10,ED$5,FALSE),NA())</calculatedColumnFormula>
    </tableColumn>
    <tableColumn id="6" xr3:uid="{FBD61756-64D7-4B48-8F8C-8BEA43E96AAC}" name="Chi-i-anden-fordeling" dataDxfId="154">
      <calculatedColumnFormula>IF(EE$3,_xlfn.CHISQ.DIST(EB10,EE$5,FALSE),NA())</calculatedColumnFormula>
    </tableColumn>
    <tableColumn id="7" xr3:uid="{429540FA-5C76-419F-A633-10E9CFEA4E46}" name="F-fordeling" dataDxfId="153">
      <calculatedColumnFormula>IF(EF$3,_xlfn.F.DIST(EB10,EF$5,EF$7,FALSE),NA())</calculatedColumnFormula>
    </tableColumn>
    <tableColumn id="8" xr3:uid="{26B3681C-D389-4687-82DD-39FC433C5DBA}" name="Mindre end teststørrelse" dataDxfId="152">
      <calculatedColumnFormula>EB10&lt;EG$3</calculatedColumnFormula>
    </tableColumn>
    <tableColumn id="9" xr3:uid="{E04065F8-B982-42F0-8F65-91860AFDC327}" name="Større end teststørrelse" dataDxfId="151">
      <calculatedColumnFormula>EB10&gt;EG$3</calculatedColumnFormula>
    </tableColumn>
    <tableColumn id="10" xr3:uid="{6F595B56-D869-4D3F-8FC6-AC81CCAFB79B}" name="Forskellig fra teststørrelse" dataDxfId="150">
      <calculatedColumnFormula>OR(EB10&lt;EI$3,EB10&gt;EI$5)</calculatedColumnFormula>
    </tableColumn>
    <tableColumn id="11" xr3:uid="{C4625EC6-4800-4868-B3BF-3D9ACC0C28DA}" name="Lig med teststørrelse" dataDxfId="149">
      <calculatedColumnFormula>AND(EB10&gt;EI$3,EB10&lt;EI$5)</calculatedColumnFormula>
    </tableColumn>
    <tableColumn id="12" xr3:uid="{15FE9138-38B2-4665-BC9A-E71175AF135A}" name="Valgt fordeling" dataDxfId="148">
      <calculatedColumnFormula>_xlfn.AGGREGATE(9,6,EC10:EF10)</calculatedColumnFormula>
    </tableColumn>
    <tableColumn id="13" xr3:uid="{151FC6AE-E51A-4A1E-ADBA-1DFA7770135F}" name="Alternativ hypotese" dataDxfId="147">
      <calculatedColumnFormula>IF(INDEX(EG10:EJ10,EK$7),EK10,NA())</calculatedColumnFormula>
    </tableColumn>
    <tableColumn id="14" xr3:uid="{C1830440-7530-4F70-9DEE-92FD58226A31}" name="Nulhypotese" dataDxfId="146">
      <calculatedColumnFormula>IF(INDEX(EG10:EJ10,EL$7),EK10,NA())</calculatedColumnFormula>
    </tableColumn>
    <tableColumn id="15" xr3:uid="{93445498-7900-457B-A486-B1917CB1229B}" name="x akse label" dataDxfId="145" dataCellStyle="Note">
      <calculatedColumnFormula>_xlfn.SWITCH(DZ10,EN$2,EN$5,EN$3,EN$6,EN$4,EN$7,"")</calculatedColumnFormula>
    </tableColumn>
    <tableColumn id="16" xr3:uid="{56148C3A-4FF5-4398-8B18-9494DC4D298E}" name="Styrke venstre" dataDxfId="144">
      <calculatedColumnFormula>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calculatedColumnFormula>
    </tableColumn>
    <tableColumn id="17" xr3:uid="{FAB0A27C-EE1D-4FA2-BEEB-05CDF938E5DE}" name="Styrke højre" dataDxfId="143">
      <calculatedColumnFormula>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calculatedColumnFormula>
    </tableColumn>
    <tableColumn id="18" xr3:uid="{4473571C-7EB9-4A17-9DB3-8F173862FF3E}" name="Styrke tosidet" dataDxfId="142">
      <calculatedColumnFormula>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calculatedColumnFormula>
    </tableColumn>
    <tableColumn id="19" xr3:uid="{79D672F6-3294-4520-8B2C-3BA2CE63A96B}" name="Styrke, aktiv" dataDxfId="141">
      <calculatedColumnFormula array="1">IF($CK$3,INDEX(Eu_tabel_a[[#This Row],[Styrke venstre]:[Styrke tosidet]],ER$7),NA())</calculatedColumnFormula>
    </tableColumn>
    <tableColumn id="20" xr3:uid="{1B868863-2992-406B-9D52-812CFAE9730F}" name="Sand positiv_x000a_Nulhypotese accepteres_x000a_Korrekt" dataDxfId="140">
      <calculatedColumnFormula>IF(ER$3,IF(CHOOSE(ER$7,Eu_tabel_a[[#This Row],[x base]]&gt;0,Eu_tabel_a[[#This Row],[x base]]&lt;0,Eu_tabel_a[[#This Row],[x base]]=0),1,NA()),NA())</calculatedColumnFormula>
    </tableColumn>
    <tableColumn id="21" xr3:uid="{EF9C1DB2-3351-463C-AD7E-C87A70ED2405}" name="Falsk negativ_x000a_Nulhypotese afvises_x000a_Fejltype 2" dataDxfId="139">
      <calculatedColumnFormula>IF(CHOOSE(ER$7,Eu_tabel_a[[#This Row],[x base]]&gt;0,Eu_tabel_a[[#This Row],[x base]]&lt;0,Eu_tabel_a[[#This Row],[x base]]=0),Eu_tabel_a[[#This Row],[Styrke, aktiv]],NA())</calculatedColumnFormula>
    </tableColumn>
    <tableColumn id="22" xr3:uid="{4CE5BFA2-0447-423E-9DFE-778A8BD4215B}" name="Sand negativ_x000a_Nulhypotese afvises_x000a_Korrekt" dataDxfId="138">
      <calculatedColumnFormula>IFERROR(IF($ER$3,Eu_tabel_a[[#This Row],[Styrke, aktiv]],NA()),NA())</calculatedColumnFormula>
    </tableColumn>
    <tableColumn id="23" xr3:uid="{10EED5DC-4971-4072-8058-45D0BB1EF07C}" name="Falsk positiv_x000a_Nulhypotese accepteres_x000a_Fejltype 1" dataDxfId="137">
      <calculatedColumnFormula>IF(ISNA(Eu_tabel_a[[#This Row],[Sand negativ
Nulhypotese afvises
Korrekt]]),NA(),IF(ER$3,1,NA()))</calculatedColumnFormula>
    </tableColumn>
    <tableColumn id="24" xr3:uid="{513808F9-CD04-40C8-973F-650D024A70FD}" name="Styrkefunktion, x akse" dataDxfId="136" dataCellStyle="Percent">
      <calculatedColumnFormula array="1">IFERROR(_xlfn.SWITCH(Eu_tabel_a[[#This Row],[Indeks]],_xlfn.IFNA(EU$2,-99),EU$5,_xlfn.IFNA(EU$3,-99),EU$6,_xlfn.IFNA(EU$4,-99),EU$7,""),"")</calculatedColumnFormula>
    </tableColumn>
    <tableColumn id="25" xr3:uid="{56B8EC52-C1AF-4C5C-9E9B-0655F778EE44}" name="X base som procent" dataDxfId="135">
      <calculatedColumnFormula>Eu_tabel_a[[#This Row],[x base]]*SQRT(Eu_a_h0_x*(1-Eu_a_h0_x)/Eu_a_n_x)+Eu_a_h0_x</calculatedColumnFormula>
    </tableColumn>
  </tableColumns>
  <tableStyleInfo name="Tab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D5EF636-E39D-442A-B09C-4D8DC44A0CD2}" name="Eu_tabel_i" displayName="Eu_tabel_i" ref="GI9:GW268" totalsRowShown="0" dataDxfId="134">
  <autoFilter ref="GI9:GW268" xr:uid="{983D8902-148B-479C-9792-C01B6704DF2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7955AEFE-BD6E-4CA4-BE16-2C816F7F6FCA}" name="Indeks" dataDxfId="133">
      <calculatedColumnFormula>ROW(GI10)-ROW(GI$10)</calculatedColumnFormula>
    </tableColumn>
    <tableColumn id="2" xr3:uid="{3BFC3FA8-6500-4111-8481-E89C6615ED80}" name="Indeks (1 base)" dataDxfId="132">
      <calculatedColumnFormula>GI10+1</calculatedColumnFormula>
    </tableColumn>
    <tableColumn id="3" xr3:uid="{DB9ADD36-6F52-45EE-A5B5-6C2BE95E226C}" name="x base" dataDxfId="131">
      <calculatedColumnFormula>GK$5+(GK$7-GK$5)/GK$3*GI10</calculatedColumnFormula>
    </tableColumn>
    <tableColumn id="4" xr3:uid="{AD9838F5-EC4E-4B70-A56A-AB3F8DD2BA58}" name="Normalfordeling" dataDxfId="130">
      <calculatedColumnFormula>IF(GL$3,_xlfn.NORM.DIST(GK10,GL$5,GL$7,FALSE),NA())</calculatedColumnFormula>
    </tableColumn>
    <tableColumn id="5" xr3:uid="{E8FB1C91-39AA-4676-931D-1503393BEF99}" name="t-fordeling" dataDxfId="129">
      <calculatedColumnFormula>IF(GM$3,_xlfn.T.DIST(GK10,GM$5,FALSE),NA())</calculatedColumnFormula>
    </tableColumn>
    <tableColumn id="6" xr3:uid="{0C833CC3-7808-448F-A2BF-D50F639C4F4E}" name="Chi-i-anden-fordeling" dataDxfId="128">
      <calculatedColumnFormula>IF(GN$3,_xlfn.CHISQ.DIST(GK10,GN$5,FALSE),NA())</calculatedColumnFormula>
    </tableColumn>
    <tableColumn id="7" xr3:uid="{FB80F99B-4027-4C7F-ACBD-760C2071A70C}" name="F-fordeling" dataDxfId="127">
      <calculatedColumnFormula>IF(GO$3,_xlfn.F.DIST(GK10,GO$5,GO$7,FALSE),NA())</calculatedColumnFormula>
    </tableColumn>
    <tableColumn id="8" xr3:uid="{2FEA6396-AC40-4023-8940-1FAD7FF67740}" name="Mindre end teststørrelse" dataDxfId="126">
      <calculatedColumnFormula>GK10&lt;GP$3</calculatedColumnFormula>
    </tableColumn>
    <tableColumn id="9" xr3:uid="{2E46ACF3-5A14-496F-821C-2DA8D03CAB8E}" name="Større end teststørrelse" dataDxfId="125">
      <calculatedColumnFormula>GK10&gt;GP$3</calculatedColumnFormula>
    </tableColumn>
    <tableColumn id="10" xr3:uid="{C058AD47-0ED7-4D7A-9053-6A0BC9C1BF6A}" name="Forskellig fra teststørrelse" dataDxfId="124">
      <calculatedColumnFormula>OR(GK10&lt;GR$3,GK10&gt;GR$5)</calculatedColumnFormula>
    </tableColumn>
    <tableColumn id="11" xr3:uid="{61656F48-09BD-41D5-83ED-FACB82A5F713}" name="Lig med teststørrelse" dataDxfId="123">
      <calculatedColumnFormula>AND(GK10&gt;GR$3,GK10&lt;GR$5)</calculatedColumnFormula>
    </tableColumn>
    <tableColumn id="12" xr3:uid="{75B39E9A-633B-4D7E-9FC8-44162CD3B6B5}" name="Valgt fordeling" dataDxfId="122">
      <calculatedColumnFormula>_xlfn.AGGREGATE(9,6,GL10:GO10)</calculatedColumnFormula>
    </tableColumn>
    <tableColumn id="13" xr3:uid="{1E0FB3EC-77CC-4D10-9C85-179F20F27BCA}" name="Alternativ hypotese" dataDxfId="121">
      <calculatedColumnFormula>IF(INDEX(GP10:GS10,GT$7),GT10,NA())</calculatedColumnFormula>
    </tableColumn>
    <tableColumn id="14" xr3:uid="{6DEDEF03-8A96-43D3-A35F-BCF02B6E8B50}" name="Nulhypotese" dataDxfId="120">
      <calculatedColumnFormula>IF(INDEX(GP10:GS10,GU$7),GT10,NA())</calculatedColumnFormula>
    </tableColumn>
    <tableColumn id="15" xr3:uid="{AC1CC8CF-C584-4C78-B85E-D541B25416E9}" name="x akse label" dataDxfId="119" dataCellStyle="Note">
      <calculatedColumnFormula>_xlfn.SWITCH(GI10,GW$2,GW$5,GW$3,GW$6,GW$4,GW$7,"")</calculatedColumnFormula>
    </tableColumn>
  </tableColumns>
  <tableStyleInfo name="Tab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1D36AEE-8754-44BD-947A-62CA0FB2DDF8}" name="Eu_tabel_k" displayName="Eu_tabel_k" ref="HC9:HQ268" totalsRowShown="0" dataDxfId="118">
  <autoFilter ref="HC9:HQ268" xr:uid="{4F9423AB-FC42-47F1-8060-1BC737D83DE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1ACD0772-F76F-4EDF-9844-B2AE291F173B}" name="Indeks" dataDxfId="117">
      <calculatedColumnFormula>ROW(HC10)-ROW(HC$10)</calculatedColumnFormula>
    </tableColumn>
    <tableColumn id="2" xr3:uid="{8071E5EC-3F64-4EBA-B3DE-340611D73417}" name="Indeks (1 base)" dataDxfId="116">
      <calculatedColumnFormula>HC10+1</calculatedColumnFormula>
    </tableColumn>
    <tableColumn id="3" xr3:uid="{0ADE1142-02D0-42B5-A6CE-972F8684B063}" name="x base" dataDxfId="115">
      <calculatedColumnFormula>HE$5+(HE$7-HE$5)/HE$3*HC10</calculatedColumnFormula>
    </tableColumn>
    <tableColumn id="4" xr3:uid="{3DEC9560-9DD0-42E4-B1EB-ECD443DF1C2C}" name="Normalfordeling" dataDxfId="114">
      <calculatedColumnFormula>IF(HF$3,_xlfn.NORM.DIST(HE10,HF$5,HF$7,FALSE),NA())</calculatedColumnFormula>
    </tableColumn>
    <tableColumn id="5" xr3:uid="{8E643917-38BB-47CE-AE66-56750BB0A792}" name="t-fordeling" dataDxfId="113">
      <calculatedColumnFormula>IF(HG$3,_xlfn.T.DIST(HE10,HG$5,FALSE),NA())</calculatedColumnFormula>
    </tableColumn>
    <tableColumn id="6" xr3:uid="{1192E536-D976-4A7A-AE85-A1E8CE70EA7A}" name="Chi-i-anden-fordeling" dataDxfId="112">
      <calculatedColumnFormula>IF(HH$3,_xlfn.CHISQ.DIST(HE10,HH$5,FALSE),NA())</calculatedColumnFormula>
    </tableColumn>
    <tableColumn id="7" xr3:uid="{0009C0B0-04D3-49B3-8EDB-ADB4CB32BE09}" name="F-fordeling" dataDxfId="111">
      <calculatedColumnFormula>IF(HI$3,_xlfn.F.DIST(HE10,HI$5,HI$7,FALSE),NA())</calculatedColumnFormula>
    </tableColumn>
    <tableColumn id="8" xr3:uid="{7EE4D5E0-12D0-421E-897A-A9ABABF928BC}" name="Mindre end teststørrelse" dataDxfId="110">
      <calculatedColumnFormula>HE10&lt;HJ$3</calculatedColumnFormula>
    </tableColumn>
    <tableColumn id="9" xr3:uid="{5EA54593-E0CF-46CF-B415-F10487FDA7DD}" name="Større end teststørrelse" dataDxfId="109">
      <calculatedColumnFormula>HE10&gt;HJ$3</calculatedColumnFormula>
    </tableColumn>
    <tableColumn id="10" xr3:uid="{A0735F21-3BC8-4A57-9F60-B0FF78DC0F5C}" name="Forskellig fra teststørrelse" dataDxfId="108">
      <calculatedColumnFormula>OR(HE10&lt;HL$3,HE10&gt;HL$5)</calculatedColumnFormula>
    </tableColumn>
    <tableColumn id="11" xr3:uid="{3D3961D8-0550-4FC0-9834-EBD42204F996}" name="Lig med teststørrelse" dataDxfId="107">
      <calculatedColumnFormula>AND(HE10&gt;HL$3,HE10&lt;HL$5)</calculatedColumnFormula>
    </tableColumn>
    <tableColumn id="12" xr3:uid="{107107F3-05DA-43F1-AFE6-BC4510A037E0}" name="Valgt fordeling" dataDxfId="106">
      <calculatedColumnFormula>_xlfn.AGGREGATE(9,6,HF10:HI10)</calculatedColumnFormula>
    </tableColumn>
    <tableColumn id="13" xr3:uid="{9408DF12-0091-4E20-B53E-4192D455FA43}" name="Alternativ hypotese" dataDxfId="105">
      <calculatedColumnFormula>IF(INDEX(HJ10:HM10,HN$7),HN10,NA())</calculatedColumnFormula>
    </tableColumn>
    <tableColumn id="14" xr3:uid="{3B6CEE31-FCE6-460D-A15D-549765031A1C}" name="Nulhypotese" dataDxfId="104">
      <calculatedColumnFormula>IF(INDEX(HJ10:HM10,HO$7),HN10,NA())</calculatedColumnFormula>
    </tableColumn>
    <tableColumn id="15" xr3:uid="{EA58CBFE-DDD1-425C-A6DC-B1FE3C68E5B3}" name="x akse label" dataDxfId="103" dataCellStyle="Note">
      <calculatedColumnFormula>_xlfn.SWITCH(HC10,HQ$2,HQ$5,HQ$3,HQ$6,HQ$4,HQ$7,"")</calculatedColumnFormula>
    </tableColumn>
  </tableColumns>
  <tableStyleInfo name="Tab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3E9D6567-89C1-4611-893A-4DA410BC6740}" name="Styrkeberegning_G" displayName="Styrkeberegning_G" ref="CT9:CV268" totalsRowShown="0">
  <autoFilter ref="CT9:CV268" xr:uid="{E2DCFD28-A9EC-4F62-BEAD-DDF315EC7159}">
    <filterColumn colId="0" hiddenButton="1"/>
    <filterColumn colId="1" hiddenButton="1"/>
    <filterColumn colId="2" hiddenButton="1"/>
  </autoFilter>
  <tableColumns count="3">
    <tableColumn id="1" xr3:uid="{0BC27401-50C8-4247-BDC3-C6B50219F793}" name="Approximeret power" dataCellStyle="Percent">
      <calculatedColumnFormula>_xlfn.NORM.DIST(_xlfn.NORM.INV((1-Eu_g_konfidensniveau)/2,0,1)-CU10,0,1,TRUE)+1-_xlfn.NORM.DIST(_xlfn.NORM.INV(1-(1-Eu_g_konfidensniveau)/2,0,1)-CU10,0,1,TRUE)</calculatedColumnFormula>
    </tableColumn>
    <tableColumn id="2" xr3:uid="{3D9C3680-2731-4720-B8A4-394D14A06941}" name="X base venstre">
      <calculatedColumnFormula>IF(ROW(Styrkeberegning_G[[#This Row],[X base venstre]])=ROW(Styrkeberegning_G[[#Headers],[X base venstre]])+1,CU$7/(CT$7/$B$67),CU9/(CT9/$B$67))</calculatedColumnFormula>
    </tableColumn>
    <tableColumn id="3" xr3:uid="{B9B48F5E-643A-4C91-A0EC-4CCBF38C97EA}" name="X base højre">
      <calculatedColumnFormula>Styrkeberegning_G[[#This Row],[X base venstre]]*-1</calculatedColumnFormula>
    </tableColumn>
  </tableColumns>
  <tableStyleInfo name="Tab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5E7CAF8-8B05-4192-82E0-27A0116019EC}" name="E_g_valg" displayName="E_g_valg" ref="A1:AX25" totalsRowShown="0" headerRowCellStyle="Normal">
  <autoFilter ref="A1:AX25" xr:uid="{3B39CEF9-4DF1-4125-9463-211A91B6E6A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2FB223E4-D301-4C34-8275-B33AA2F4FC20}" name="Parameter"/>
    <tableColumn id="2" xr3:uid="{6DEB2687-554C-4835-ABD0-F13D03E7C8A3}" name="Hypotesetype"/>
    <tableColumn id="3" xr3:uid="{AD3473B8-71E3-4758-A002-D7C185540B94}" name="Beregningsmetode"/>
    <tableColumn id="4" xr3:uid="{3F27E188-3941-4B02-B47A-208C2874AB76}" name="Fordeling"/>
    <tableColumn id="5" xr3:uid="{619021F5-B11E-465B-9B4D-E45EB3311A63}" name="Parameter 1" dataDxfId="102" dataCellStyle="Comma"/>
    <tableColumn id="6" xr3:uid="{A8E94ABF-D01D-47F1-8AC9-E62FC8B7641F}" name="Parameter 2"/>
    <tableColumn id="7" xr3:uid="{6C714228-221D-4463-825A-EE3F88DE4C46}" name="Teststørrelse"/>
    <tableColumn id="8" xr3:uid="{CFCCE973-6615-4892-9AF5-BBFA96E9EB46}" name="Teststørrelse omvendt" dataDxfId="101">
      <calculatedColumnFormula>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calculatedColumnFormula>
    </tableColumn>
    <tableColumn id="9" xr3:uid="{11DA95D4-CFE5-4F89-AF66-33250CF8D4B6}" name="Venstre label base" dataCellStyle="Normal"/>
    <tableColumn id="10" xr3:uid="{271C3981-2170-46B9-A4BB-07282D83294A}" name="Midtpunkt label base" dataDxfId="100"/>
    <tableColumn id="11" xr3:uid="{B88444EA-3328-460B-839B-05D6324535D5}" name="Højre label base"/>
    <tableColumn id="12" xr3:uid="{3FD53457-12A9-41C7-837D-7C1FBAD38752}" name="Venstre label">
      <calculatedColumnFormula>IF(AND(NOT(#REF!),#REF!),IF(#REF!="andel",ROUND(#REF!,5)*100&amp;"%",ROUND(#REF!,3)),IF(#REF!="andel",ROUND(#REF!,5)*100&amp;"%",ROUND(#REF!,3)))</calculatedColumnFormula>
    </tableColumn>
    <tableColumn id="13" xr3:uid="{46322C2B-EE19-4799-8FE5-DE759C28F535}" name="Midtpunkt label">
      <calculatedColumnFormula>IF(#REF!="andel",ROUND(#REF!,5)*100&amp;"%",ROUND(#REF!,3))</calculatedColumnFormula>
    </tableColumn>
    <tableColumn id="14" xr3:uid="{1BBA8145-A577-4D9A-9983-305D92303CA2}" name="Højre label">
      <calculatedColumnFormula>IF(AND(#REF!,#REF!),IF(#REF!="andel",ROUND(#REF!,5)*100&amp;"%",ROUND(#REF!,3)),IF(#REF!="andel",ROUND(#REF!,5)*100&amp;"%",ROUND(#REF!,3)))</calculatedColumnFormula>
    </tableColumn>
    <tableColumn id="15" xr3:uid="{723F2A2D-378B-483A-BF0C-C3E8BCB822A7}" name="Orientering">
      <calculatedColumnFormula>#REF!=#REF!</calculatedColumnFormula>
    </tableColumn>
    <tableColumn id="16" xr3:uid="{E58C1CFC-3ED5-480A-9D53-A83FA1C842ED}" name="Ensidet">
      <calculatedColumnFormula>OR(MATCH(#REF!,HypoteseRetning_liste,0)=2,MATCH(#REF!,HypoteseRetning_liste,0)=3)</calculatedColumnFormula>
    </tableColumn>
    <tableColumn id="17" xr3:uid="{EED3E31E-CC81-4871-8A79-5BBDFEB73D73}" name="p-værdi">
      <calculatedColumnFormula>CHOOSE(MATCH(#REF!,HypoteseRetning_liste,0),NA(),IF(#REF!,#REF!,#REF!),IF(#REF!,#REF!,#REF!),1-#REF!)</calculatedColumnFormula>
    </tableColumn>
    <tableColumn id="18" xr3:uid="{F1029ACB-3F3C-47AE-9827-921563FFD350}" name="Nulhypotese kan ikke afvises">
      <calculatedColumnFormula>#REF!&gt;1-K_Konfidensniveau</calculatedColumnFormula>
    </tableColumn>
    <tableColumn id="19" xr3:uid="{9DE03FEC-102D-4F79-BAD6-D91DC38C31C4}" name="Konfidensniveaubaseret x akse">
      <calculatedColumnFormula>IF(Eu_g_konfidensniveau&lt;=0.998,0.999,0.99999)</calculatedColumnFormula>
    </tableColumn>
    <tableColumn id="20" xr3:uid="{EC27676B-BD40-463F-9C41-A37B9D4DC51D}" name="X min">
      <calculatedColumnFormula>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calculatedColumnFormula>
    </tableColumn>
    <tableColumn id="21" xr3:uid="{C23880CC-DCB4-4C25-8B9A-0D11573C6F1B}" name="X max">
      <calculatedColumnFormula>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calculatedColumnFormula>
    </tableColumn>
    <tableColumn id="22" xr3:uid="{AC1D39BF-995D-4526-B209-463EA0AFA3D2}" name="Venstre teststørrelse">
      <calculatedColumnFormula>MIN(#REF!,#REF!)</calculatedColumnFormula>
    </tableColumn>
    <tableColumn id="23" xr3:uid="{0773B7E4-3CBE-4ABD-B06A-23A97A260EB3}" name="Midtpunkt teststørrelse">
      <calculatedColumnFormula>CHOOSE(MATCH(#REF!,Fordeling_liste,0),_xlfn.NORM.INV(0.5,#REF!,#REF!),_xlfn.T.INV(0.5,#REF!),_xlfn.CHISQ.INV(0.5,#REF!),_xlfn.F.INV(0.5,#REF!,#REF!))</calculatedColumnFormula>
    </tableColumn>
    <tableColumn id="24" xr3:uid="{2E14179C-3095-43B4-B3F7-E64B161E0857}" name="Højre teststørrelse">
      <calculatedColumnFormula>MAX(#REF!,#REF!)</calculatedColumnFormula>
    </tableColumn>
    <tableColumn id="25" xr3:uid="{64E21DDC-519A-4106-A12E-81F4B2FEAA29}" name="Mindre end venstre %">
      <calculatedColumnFormula>CHOOSE(MATCH(#REF!,Fordeling_liste,0),_xlfn.NORM.DIST(#REF!,#REF!,#REF!,TRUE),_xlfn.T.DIST(#REF!,#REF!,TRUE),_xlfn.CHISQ.DIST(#REF!,#REF!,TRUE),_xlfn.F.DIST(#REF!,#REF!,#REF!,TRUE))</calculatedColumnFormula>
    </tableColumn>
    <tableColumn id="26" xr3:uid="{EE571DEF-891E-4CFC-8E37-5F8ADFD181F1}" name="Mindre end højre %">
      <calculatedColumnFormula>CHOOSE(MATCH(#REF!,Fordeling_liste,0),_xlfn.NORM.DIST(#REF!,#REF!,#REF!,TRUE),_xlfn.T.DIST(#REF!,#REF!,TRUE),_xlfn.CHISQ.DIST(#REF!,#REF!,TRUE),_xlfn.F.DIST(#REF!,#REF!,#REF!,TRUE))</calculatedColumnFormula>
    </tableColumn>
    <tableColumn id="27" xr3:uid="{EAA53F0A-698D-478B-B822-726813113993}" name="Midt %">
      <calculatedColumnFormula>#REF!-#REF!</calculatedColumnFormula>
    </tableColumn>
    <tableColumn id="28" xr3:uid="{FDD124BC-6B27-4E7F-9A14-C49D097D5C7C}" name="Større end venstre %">
      <calculatedColumnFormula>1-#REF!</calculatedColumnFormula>
    </tableColumn>
    <tableColumn id="29" xr3:uid="{4F724AC2-01EB-4F77-84A8-37B2FAF465B2}" name="Større end højre %">
      <calculatedColumnFormula>1-#REF!</calculatedColumnFormula>
    </tableColumn>
    <tableColumn id="30" xr3:uid="{E3E25AA7-77AA-4651-841D-DDF45221388B}" name="Venstre forklaring">
      <calculatedColumnFormula>IF(OR(MATCH(#REF!,HypoteseRetning_liste,0)=2,MATCH(#REF!,HypoteseRetning_liste,0)=3),IF(#REF!=#REF!,ROUND(#REF!,5)*100&amp;"% mindre end "&amp;#REF!,ROUND(#REF!,5)*100&amp;"% mindre end "&amp;#REF!),ROUND(#REF!,5)*100&amp;"% mindre end "&amp;#REF!)</calculatedColumnFormula>
    </tableColumn>
    <tableColumn id="31" xr3:uid="{1B2CEC9D-A9D2-4678-8F03-D2ABB7DA37FB}" name="Midtpunkt forklaring">
      <calculatedColumnFormula>IF(OR(MATCH(#REF!,HypoteseRetning_liste,0)=1,MATCH(#REF!,HypoteseRetning_liste,0)=4),ROUND(#REF!,5)*100&amp;"% mellem "&amp;#REF!&amp;" og "&amp;#REF!," ")</calculatedColumnFormula>
    </tableColumn>
    <tableColumn id="32" xr3:uid="{D4493720-4666-4BA9-9A7E-80336F4D5BB0}" name="Højre forklaring">
      <calculatedColumnFormula>IF(OR(MATCH(#REF!,HypoteseRetning_liste,0)=2,MATCH(#REF!,HypoteseRetning_liste,0)=3),IF(#REF!=#REF!,ROUND(#REF!,5)*100&amp;"% større end "&amp;#REF!,ROUND(#REF!,5)*100&amp;"% større end "&amp;#REF!),ROUND(#REF!,5)*100&amp;"% større end "&amp;#REF!)</calculatedColumnFormula>
    </tableColumn>
    <tableColumn id="33" xr3:uid="{E95F9D84-F32B-4E3E-B088-C647487BB66E}" name="Venstre position">
      <calculatedColumnFormula>IF(AND(NOT(#REF!),#REF!),(#REF!-#REF!)/(#REF!-#REF!),(#REF!-#REF!)/(#REF!-#REF!))</calculatedColumnFormula>
    </tableColumn>
    <tableColumn id="34" xr3:uid="{43212B83-1B57-4315-AFD4-CA02834C5D8E}" name="Midtpunkt position">
      <calculatedColumnFormula>(#REF!-#REF!)/(#REF!-#REF!)</calculatedColumnFormula>
    </tableColumn>
    <tableColumn id="35" xr3:uid="{98E5D47B-5E55-4C20-9FE1-7F7ACF744C7A}" name="Højre position">
      <calculatedColumnFormula>IF(AND(#REF!,#REF!),(#REF!-#REF!)/(#REF!-#REF!),(#REF!-#REF!)/(#REF!-#REF!))</calculatedColumnFormula>
    </tableColumn>
    <tableColumn id="36" xr3:uid="{996D8FC2-4E77-4EEA-99AF-BD651E7C2916}" name="Hypotese"/>
    <tableColumn id="37" xr3:uid="{7E5B08DA-73E9-4BB5-A510-28B2CBA3A5C9}" name="Synlig">
      <calculatedColumnFormula>_xlfn.AGGREGATE(3,5,#REF!)</calculatedColumnFormula>
    </tableColumn>
    <tableColumn id="38" xr3:uid="{CD4D1A4B-2400-4963-BDA4-57DEA685BE63}" name="Antal variable"/>
    <tableColumn id="39" xr3:uid="{95419288-B7BA-425F-988C-21ED7A556F5A}" name="Indeks"/>
    <tableColumn id="40" xr3:uid="{27396A6A-C3FD-4128-AFC1-F9B72D54B8BA}" name="Diagram titel"/>
    <tableColumn id="41" xr3:uid="{D0BB176D-4257-4F55-82D8-E862DCAF1F2B}" name="X akse titel"/>
    <tableColumn id="42" xr3:uid="{DFF77562-BAC4-4505-9906-766B1B458C89}" name="Forudsætning 1"/>
    <tableColumn id="43" xr3:uid="{D7E0F6D4-098E-4758-B4A9-276D12F53FF4}" name="Kontrol af forudsætning 1"/>
    <tableColumn id="44" xr3:uid="{B9EA8EC0-658A-4B04-B324-DBDAFABEDE7C}" name="Forudsætning 2"/>
    <tableColumn id="45" xr3:uid="{ED446F71-BD14-48D9-887B-35EBA6BFC762}" name="Kontrol af forudsætning 2"/>
    <tableColumn id="46" xr3:uid="{33B224B4-813D-445E-AE0C-24BB2C0213DE}" name="Forudsætning 3"/>
    <tableColumn id="47" xr3:uid="{91D900AB-A360-4E6E-AAB0-5F489661555F}" name="Kontrol af forudsætning 3"/>
    <tableColumn id="48" xr3:uid="{303C3987-FD17-4E51-8A47-BE14CAED6A87}" name="Forudsætning 4"/>
    <tableColumn id="49" xr3:uid="{CEF21761-0E69-480B-B19E-55226B0BD2D9}" name="Kontrol af forudsætning 4"/>
    <tableColumn id="50" xr3:uid="{9159BD67-2697-47FE-A28D-BB4F4EB72AF7}" name="Stikprøvestørrelse for ønsket fejlmargin"/>
  </tableColumns>
  <tableStyleInfo name="Tab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01C1854-5CA3-4D00-80EC-B0EA2AA7D733}" name="E_s_valg" displayName="E_s_valg" ref="A27:AX34" totalsRowShown="0" headerRowCellStyle="Normal" dataCellStyle="Normal">
  <autoFilter ref="A27:AX34" xr:uid="{00B42157-89B7-42A4-B11C-DE374733B7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E2CB71D1-5A89-4642-A69D-7D3B82B7139E}" name="Parameter" dataCellStyle="Normal"/>
    <tableColumn id="2" xr3:uid="{B0ED52DB-5B39-4659-AB6A-D031BB616917}" name="Hypotesetype" dataCellStyle="Normal"/>
    <tableColumn id="3" xr3:uid="{F848D74C-426B-4C4C-B678-745B08552A06}" name="Beregningsmetode" dataCellStyle="Normal"/>
    <tableColumn id="4" xr3:uid="{A698998F-C52B-42DD-B52F-67A1DF4EE504}" name="Fordeling" dataCellStyle="Normal"/>
    <tableColumn id="5" xr3:uid="{E7CB09AB-81A3-4A84-BB35-A9F1EED43FCD}" name="Parameter 1" dataCellStyle="Normal">
      <calculatedColumnFormula>K_n-1</calculatedColumnFormula>
    </tableColumn>
    <tableColumn id="6" xr3:uid="{7E48A10D-542D-4ED6-86C5-326E19D82CE6}" name="Parameter 2" dataCellStyle="Normal"/>
    <tableColumn id="7" xr3:uid="{B9C78FFA-AE27-48EE-A5C9-CCA77AF92D43}" name="Teststørrelse" dataCellStyle="Normal"/>
    <tableColumn id="8" xr3:uid="{8696CF72-A8CC-43AB-B436-D4B24A87F90A}" name="Teststørrelse omvendt" dataCellStyle="Normal">
      <calculatedColumnFormula>IFERROR(CHOOSE(MATCH(#REF!,Fordeling_liste,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4F4C8626-F135-4E4D-9901-05ECB61BF34F}" name="Venstre label base" dataCellStyle="Normal"/>
    <tableColumn id="10" xr3:uid="{D7A3BE1F-CBE5-409D-9157-CCA7D9D38F03}" name="Midtpunkt label base" dataCellStyle="Normal"/>
    <tableColumn id="11" xr3:uid="{E0D0CA58-76AF-4316-BC9D-B023B27FF72B}" name="Højre label base" dataCellStyle="Normal"/>
    <tableColumn id="12" xr3:uid="{5236DA1F-5B8A-4747-B95C-16069C4D6447}" name="Venstre label" dataCellStyle="Normal">
      <calculatedColumnFormula>IF(AND(NOT(#REF!),#REF!),IF(#REF!="andel",ROUND(#REF!,5)*100&amp;"%",ROUND(#REF!,3)),IF(#REF!="andel",ROUND(#REF!,5)*100&amp;"%",ROUND(#REF!,3)))</calculatedColumnFormula>
    </tableColumn>
    <tableColumn id="13" xr3:uid="{EA549436-EEE3-4325-9516-EA1C0A8AC589}" name="Midtpunkt label" dataCellStyle="Normal">
      <calculatedColumnFormula>IF(#REF!="andel",ROUND(#REF!,5)*100&amp;"%",ROUND(#REF!,3))</calculatedColumnFormula>
    </tableColumn>
    <tableColumn id="14" xr3:uid="{882D50FA-A698-4FE2-BDA0-87FFF53AD48A}" name="Højre label" dataCellStyle="Normal">
      <calculatedColumnFormula>IF(AND(#REF!,#REF!),IF(#REF!="andel",ROUND(#REF!,5)*100&amp;"%",ROUND(#REF!,3)),IF(#REF!="andel",ROUND(#REF!,5)*100&amp;"%",ROUND(#REF!,3)))</calculatedColumnFormula>
    </tableColumn>
    <tableColumn id="15" xr3:uid="{F1BFDC21-AA47-43AB-A3D5-215B9561C59D}" name="Orientering" dataCellStyle="Normal">
      <calculatedColumnFormula>#REF!=#REF!</calculatedColumnFormula>
    </tableColumn>
    <tableColumn id="16" xr3:uid="{149A9876-B573-4122-8857-21C50088F195}" name="Ensidet" dataCellStyle="Normal">
      <calculatedColumnFormula>OR(MATCH(#REF!,HypoteseRetning_liste,0)=2,MATCH(#REF!,HypoteseRetning_liste,0)=3)</calculatedColumnFormula>
    </tableColumn>
    <tableColumn id="17" xr3:uid="{FB495F39-19FD-4BAB-AA41-E64F8354C8BE}" name="p-værdi" dataCellStyle="Normal">
      <calculatedColumnFormula>CHOOSE(MATCH(#REF!,HypoteseRetning_liste,0),NA(),IF(#REF!,#REF!,#REF!),IF(#REF!,#REF!,#REF!),1-#REF!)</calculatedColumnFormula>
    </tableColumn>
    <tableColumn id="18" xr3:uid="{F2CFE037-36C8-4874-ADF4-0834402B0240}" name="Nulhypotese kan ikke afvises" dataCellStyle="Normal">
      <calculatedColumnFormula>#REF!&gt;1-K_Konfidensniveau</calculatedColumnFormula>
    </tableColumn>
    <tableColumn id="19" xr3:uid="{8CEAE86A-817B-4328-8C33-A2C849AD7D10}" name="Konfidensniveaubaseret x akse" dataCellStyle="Normal">
      <calculatedColumnFormula>IF(Eu_s_konfidensniveau&lt;=0.998,0.999,0.99999)</calculatedColumnFormula>
    </tableColumn>
    <tableColumn id="20" xr3:uid="{ED659439-FC69-4E1B-802F-59F458E79844}" name="X min" dataCellStyle="Normal">
      <calculatedColumnFormula>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calculatedColumnFormula>
    </tableColumn>
    <tableColumn id="21" xr3:uid="{F63F94DE-39AC-4345-8DEF-93AE9C2BC299}" name="X max" dataCellStyle="Normal">
      <calculatedColumnFormula>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calculatedColumnFormula>
    </tableColumn>
    <tableColumn id="22" xr3:uid="{2DA10A66-A19C-43A2-B20D-48F1BCD9DC8D}" name="Venstre teststørrelse" dataCellStyle="Normal">
      <calculatedColumnFormula>MIN(#REF!,#REF!)</calculatedColumnFormula>
    </tableColumn>
    <tableColumn id="23" xr3:uid="{B4060E53-AAFF-4BDF-BBD7-4E01B10CCA1F}" name="Midtpunkt teststørrelse" dataCellStyle="Normal">
      <calculatedColumnFormula>CHOOSE(MATCH(#REF!,Fordeling_liste,0),_xlfn.NORM.INV(0.5,#REF!,#REF!),_xlfn.T.INV(0.5,#REF!),_xlfn.CHISQ.INV(0.5,#REF!),_xlfn.F.INV(0.5,#REF!,#REF!))</calculatedColumnFormula>
    </tableColumn>
    <tableColumn id="24" xr3:uid="{294F9AFD-606D-4331-9F08-B3B079BE3EFA}" name="Højre teststørrelse" dataCellStyle="Normal">
      <calculatedColumnFormula>MAX(#REF!,#REF!)</calculatedColumnFormula>
    </tableColumn>
    <tableColumn id="25" xr3:uid="{B376CF2F-10AF-4B84-854F-4DE575920118}" name="Mindre end venstre %" dataCellStyle="Normal">
      <calculatedColumnFormula>CHOOSE(MATCH(#REF!,Fordeling_liste,0),_xlfn.NORM.DIST(#REF!,#REF!,#REF!,TRUE),_xlfn.T.DIST(#REF!,#REF!,TRUE),_xlfn.CHISQ.DIST(#REF!,#REF!,TRUE),_xlfn.F.DIST(#REF!,#REF!,#REF!,TRUE))</calculatedColumnFormula>
    </tableColumn>
    <tableColumn id="26" xr3:uid="{9E865BB9-EEC0-4508-9B1C-2BBEAEE8D012}" name="Mindre end højre %" dataCellStyle="Normal">
      <calculatedColumnFormula>CHOOSE(MATCH(#REF!,Fordeling_liste,0),_xlfn.NORM.DIST(#REF!,#REF!,#REF!,TRUE),_xlfn.T.DIST(#REF!,#REF!,TRUE),_xlfn.CHISQ.DIST(#REF!,#REF!,TRUE),_xlfn.F.DIST(#REF!,#REF!,#REF!,TRUE))</calculatedColumnFormula>
    </tableColumn>
    <tableColumn id="27" xr3:uid="{613D3FC7-F8AD-4C83-9387-945DF3EEF330}" name="Midt %" dataCellStyle="Normal">
      <calculatedColumnFormula>#REF!-#REF!</calculatedColumnFormula>
    </tableColumn>
    <tableColumn id="28" xr3:uid="{51141D5B-B1E9-4C7B-A7CB-98C8E205261C}" name="Større end venstre %" dataCellStyle="Normal">
      <calculatedColumnFormula>1-#REF!</calculatedColumnFormula>
    </tableColumn>
    <tableColumn id="29" xr3:uid="{448F00A5-33B9-4A64-83B6-AF5E5310D6C6}" name="Større end højre %" dataCellStyle="Normal">
      <calculatedColumnFormula>1-#REF!</calculatedColumnFormula>
    </tableColumn>
    <tableColumn id="30" xr3:uid="{5CBA8208-5711-4430-AD88-D212BE937A64}" name="Venstre forklaring" dataCellStyle="Normal">
      <calculatedColumnFormula>IF(OR(MATCH(#REF!,HypoteseRetning_liste,0)=2,MATCH(#REF!,HypoteseRetning_liste,0)=3),IF(#REF!=#REF!,ROUND(#REF!,5)*100&amp;"% mindre end "&amp;#REF!,ROUND(#REF!,5)*100&amp;"% mindre end "&amp;#REF!),ROUND(#REF!,5)*100&amp;"% mindre end "&amp;#REF!)</calculatedColumnFormula>
    </tableColumn>
    <tableColumn id="31" xr3:uid="{E8A65EDD-646F-4A90-9451-4F022D6B1D2E}" name="Midtpunkt forklaring" dataCellStyle="Normal">
      <calculatedColumnFormula>IF(OR(MATCH(#REF!,HypoteseRetning_liste,0)=1,MATCH(#REF!,HypoteseRetning_liste,0)=4),ROUND(#REF!,5)*100&amp;"% mellem "&amp;#REF!&amp;" og "&amp;#REF!," ")</calculatedColumnFormula>
    </tableColumn>
    <tableColumn id="32" xr3:uid="{F5F75F28-0A96-4788-A012-DCD308D3EC34}" name="Højre forklaring" dataCellStyle="Normal">
      <calculatedColumnFormula>IF(OR(MATCH(#REF!,HypoteseRetning_liste,0)=2,MATCH(#REF!,HypoteseRetning_liste,0)=3),IF(#REF!=#REF!,ROUND(#REF!,5)*100&amp;"% større end "&amp;#REF!,ROUND(#REF!,5)*100&amp;"% større end "&amp;#REF!),ROUND(#REF!,5)*100&amp;"% større end "&amp;#REF!)</calculatedColumnFormula>
    </tableColumn>
    <tableColumn id="33" xr3:uid="{4FD18677-5E6A-4A55-AA64-B3C960277850}" name="Venstre position" dataCellStyle="Normal">
      <calculatedColumnFormula>IF(AND(NOT(#REF!),#REF!),(#REF!-#REF!)/(#REF!-#REF!),(#REF!-#REF!)/(#REF!-#REF!))</calculatedColumnFormula>
    </tableColumn>
    <tableColumn id="34" xr3:uid="{588606C5-9C75-4A2A-B1FF-D0B719E841F5}" name="Midtpunkt position" dataCellStyle="Normal">
      <calculatedColumnFormula>(#REF!-#REF!)/(#REF!-#REF!)</calculatedColumnFormula>
    </tableColumn>
    <tableColumn id="35" xr3:uid="{3673FA6B-D916-424D-B4ED-C2153E653917}" name="Højre position" dataCellStyle="Normal">
      <calculatedColumnFormula>IF(AND(#REF!,#REF!),(#REF!-#REF!)/(#REF!-#REF!),(#REF!-#REF!)/(#REF!-#REF!))</calculatedColumnFormula>
    </tableColumn>
    <tableColumn id="36" xr3:uid="{E0104492-80AB-40FC-806C-62F3B56D0AD2}" name="Hypotese" dataCellStyle="Normal"/>
    <tableColumn id="37" xr3:uid="{60B7A106-89A1-42A1-A622-EE9C75E65AD4}" name="Synlig" dataCellStyle="Normal">
      <calculatedColumnFormula>_xlfn.AGGREGATE(3,5,#REF!)</calculatedColumnFormula>
    </tableColumn>
    <tableColumn id="38" xr3:uid="{9A3DDE23-5A7A-4416-8D07-2B8D39C339AE}" name="Antal variable" dataCellStyle="Normal"/>
    <tableColumn id="39" xr3:uid="{AA2678B8-8BFD-44E5-884D-BC67EF110D4D}" name="Indeks" dataCellStyle="Normal"/>
    <tableColumn id="40" xr3:uid="{B684044B-8099-45EC-88CE-1EA0D6C29BBA}" name="Diagram titel" dataCellStyle="Normal"/>
    <tableColumn id="41" xr3:uid="{CA0983D1-D76F-407C-924C-DEC9B0936A46}" name="X akse titel" dataCellStyle="Normal"/>
    <tableColumn id="42" xr3:uid="{C7951DCD-EBD0-4704-AB6E-C50D6CEF2463}" name="Forudsætning 1" dataCellStyle="Normal"/>
    <tableColumn id="43" xr3:uid="{49469B90-D128-4B01-97F9-7DC63B1D4831}" name="Kontrol af forudsætning 1" dataCellStyle="Normal"/>
    <tableColumn id="44" xr3:uid="{965A1C20-2304-4BBA-A2FA-4918D6BEFA2C}" name="Forudsætning 2" dataCellStyle="Normal"/>
    <tableColumn id="45" xr3:uid="{16E98F14-F97D-4EE2-A499-B1E03239387F}" name="Kontrol af forudsætning 2" dataCellStyle="Normal"/>
    <tableColumn id="46" xr3:uid="{84737032-CF89-4C75-A6FE-429020801679}" name="Forudsætning 3" dataCellStyle="Normal"/>
    <tableColumn id="47" xr3:uid="{475367CD-23ED-4065-A7D0-71EDFE7E4067}" name="Kontrol af forudsætning 3" dataCellStyle="Normal"/>
    <tableColumn id="48" xr3:uid="{84815F1B-2EEA-4174-BC44-A451F165E2FB}" name="Forudsætning 4" dataCellStyle="Normal"/>
    <tableColumn id="49" xr3:uid="{F25DF645-4CEC-43B6-8242-95D69670B3C7}" name="Kontrol af forudsætning 4" dataCellStyle="Normal"/>
    <tableColumn id="50" xr3:uid="{B0653141-EBF3-451A-9C82-753EFE8C2270}" name="Stikprøvestørrelse for ønsket fejlmargin" dataCellStyle="Normal"/>
  </tableColumns>
  <tableStyleInfo name="Tab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C25459F-F4CA-4333-B132-4971B04A5CA4}" name="E_a_valg" displayName="E_a_valg" ref="A36:AX46" totalsRowShown="0">
  <autoFilter ref="A36:AX46" xr:uid="{D6E6652C-4E37-4B78-A3D2-AE33BF4F381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096BE380-9664-4EA3-9235-75C2589E5DE8}" name="Parameter"/>
    <tableColumn id="2" xr3:uid="{0EF865AD-F8C0-468A-91D9-7AFE4938B37D}" name="Hypotesetype"/>
    <tableColumn id="3" xr3:uid="{0B950FEB-E333-4D96-906A-6078AB23A4BC}" name="Beregningsmetode"/>
    <tableColumn id="4" xr3:uid="{AF32EB70-6256-4083-92F1-6240F58F2727}" name="Fordeling"/>
    <tableColumn id="5" xr3:uid="{841271D9-1744-4060-91F1-8117FDA7E75E}" name="Parameter 1"/>
    <tableColumn id="6" xr3:uid="{5E727107-A230-465B-9FB4-2AB07F63611F}" name="Parameter 2"/>
    <tableColumn id="7" xr3:uid="{560A4562-5E39-41BE-84BC-E5A2D8802325}" name="Teststørrelse" dataDxfId="99" dataCellStyle="Normal Fill"/>
    <tableColumn id="8" xr3:uid="{8B7B8B66-6785-4BD8-A0EC-2E7F860D2B64}" name="Teststørrelse omvendt">
      <calculatedColumnFormula>IFERROR(CHOOSE(MATCH(#REF!,Fordeling_liste,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50252962-031D-4A4E-8441-7640583C73C0}" name="Venstre label base" dataDxfId="98" dataCellStyle="Percent"/>
    <tableColumn id="10" xr3:uid="{275E0CEF-84DD-4826-8D61-13D25D0FDE5D}" name="Midtpunkt label base"/>
    <tableColumn id="11" xr3:uid="{CF245EE8-CCEF-4875-9AFB-F0CA2CFF61F5}" name="Højre label base" dataDxfId="97" dataCellStyle="Percent"/>
    <tableColumn id="12" xr3:uid="{66D9EDC2-612F-4368-B931-FBE6A193616A}" name="Venstre label">
      <calculatedColumnFormula>IF(AND(NOT(#REF!),#REF!),IF(#REF!="andel",ROUND(#REF!,5)*100&amp;"%",ROUND(#REF!,3)),IF(#REF!="andel",ROUND(#REF!,5)*100&amp;"%",ROUND(#REF!,3)))</calculatedColumnFormula>
    </tableColumn>
    <tableColumn id="13" xr3:uid="{806B0908-1E1C-4A02-8085-A36C8F83B5EA}" name="Midtpunkt label">
      <calculatedColumnFormula>IF(#REF!="andel",ROUND(#REF!,5)*100&amp;"%",ROUND(#REF!,3))</calculatedColumnFormula>
    </tableColumn>
    <tableColumn id="14" xr3:uid="{7BD62E6F-449D-446C-8BC0-AC3544F453DD}" name="Højre label">
      <calculatedColumnFormula>IF(AND(#REF!,#REF!),IF(#REF!="andel",ROUND(#REF!,5)*100&amp;"%",ROUND(#REF!,3)),IF(#REF!="andel",ROUND(#REF!,5)*100&amp;"%",ROUND(#REF!,3)))</calculatedColumnFormula>
    </tableColumn>
    <tableColumn id="15" xr3:uid="{F9882816-1380-401C-9E03-A4F75752DDA6}" name="Orientering">
      <calculatedColumnFormula>#REF!=#REF!</calculatedColumnFormula>
    </tableColumn>
    <tableColumn id="16" xr3:uid="{1E5584A1-D8CD-41CA-8DFA-C85C7BC047E1}" name="Ensidet">
      <calculatedColumnFormula>OR(MATCH(#REF!,HypoteseRetning_liste,0)=2,MATCH(#REF!,HypoteseRetning_liste,0)=3)</calculatedColumnFormula>
    </tableColumn>
    <tableColumn id="17" xr3:uid="{24878F9B-9DE3-4B01-B7C3-2236276B62D1}" name="p-værdi" dataDxfId="96" dataCellStyle="Percent">
      <calculatedColumnFormula>CHOOSE(MATCH(#REF!,HypoteseRetning_liste,0),NA(),IF(#REF!,#REF!,#REF!),IF(#REF!,#REF!,#REF!),1-#REF!)</calculatedColumnFormula>
    </tableColumn>
    <tableColumn id="18" xr3:uid="{F32215C7-F790-4D67-897F-088B1ACA015B}" name="Nulhypotese kan ikke afvises">
      <calculatedColumnFormula>#REF!&gt;1-K_Konfidensniveau</calculatedColumnFormula>
    </tableColumn>
    <tableColumn id="19" xr3:uid="{8C3F35DF-9E6C-417D-9C66-60B07884FDAB}" name="Konfidensniveaubaseret x akse">
      <calculatedColumnFormula>IF(Eu_a_konfidensniveau&lt;=0.998,0.999,0.99999)</calculatedColumnFormula>
    </tableColumn>
    <tableColumn id="20" xr3:uid="{7ED3EF0D-556B-42AB-94CB-9D32569ADC87}" name="X min">
      <calculatedColumnFormula>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calculatedColumnFormula>
    </tableColumn>
    <tableColumn id="21" xr3:uid="{3CCAF017-8543-4DC8-A8F5-72AB7466072F}" name="X max">
      <calculatedColumnFormula>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calculatedColumnFormula>
    </tableColumn>
    <tableColumn id="22" xr3:uid="{D3732B6A-E3B6-488D-9703-C03005BB969F}" name="Venstre teststørrelse">
      <calculatedColumnFormula>MIN(#REF!,#REF!)</calculatedColumnFormula>
    </tableColumn>
    <tableColumn id="23" xr3:uid="{3D59EFAA-2873-4501-AD48-8CFC983A29FA}" name="Midtpunkt teststørrelse">
      <calculatedColumnFormula>CHOOSE(MATCH(#REF!,Fordeling_liste,0),_xlfn.NORM.INV(0.5,#REF!,#REF!),_xlfn.T.INV(0.5,#REF!),_xlfn.CHISQ.INV(0.5,#REF!),_xlfn.F.INV(0.5,#REF!,#REF!))</calculatedColumnFormula>
    </tableColumn>
    <tableColumn id="24" xr3:uid="{72CF8860-45F2-43E9-BD4A-B2EC71C4DF19}" name="Højre teststørrelse">
      <calculatedColumnFormula>MAX(#REF!,#REF!)</calculatedColumnFormula>
    </tableColumn>
    <tableColumn id="25" xr3:uid="{F4D2551A-37E2-4230-9ADC-822DFEA8EAC3}" name="Mindre end venstre %" dataDxfId="95" dataCellStyle="Percent">
      <calculatedColumnFormula>CHOOSE(MATCH(#REF!,Fordeling_liste,0),_xlfn.NORM.DIST(#REF!,#REF!,#REF!,TRUE),_xlfn.T.DIST(#REF!,#REF!,TRUE),_xlfn.CHISQ.DIST(#REF!,#REF!,TRUE),_xlfn.F.DIST(#REF!,#REF!,#REF!,TRUE))</calculatedColumnFormula>
    </tableColumn>
    <tableColumn id="26" xr3:uid="{D3BFB010-6560-472D-BA31-BC0628BFFCBE}" name="Mindre end højre %" dataDxfId="94" dataCellStyle="Percent">
      <calculatedColumnFormula>CHOOSE(MATCH(#REF!,Fordeling_liste,0),_xlfn.NORM.DIST(#REF!,#REF!,#REF!,TRUE),_xlfn.T.DIST(#REF!,#REF!,TRUE),_xlfn.CHISQ.DIST(#REF!,#REF!,TRUE),_xlfn.F.DIST(#REF!,#REF!,#REF!,TRUE))</calculatedColumnFormula>
    </tableColumn>
    <tableColumn id="27" xr3:uid="{481983A9-06D9-4CBE-8CCC-5A6838A36EAC}" name="Midt %" dataDxfId="93" dataCellStyle="Percent">
      <calculatedColumnFormula>#REF!-#REF!</calculatedColumnFormula>
    </tableColumn>
    <tableColumn id="28" xr3:uid="{E5B356DC-BC1B-46D6-A9F9-94C1CC647AFD}" name="Større end venstre %" dataDxfId="92" dataCellStyle="Percent">
      <calculatedColumnFormula>1-#REF!</calculatedColumnFormula>
    </tableColumn>
    <tableColumn id="29" xr3:uid="{D09F6B33-0E2E-41E4-AFC4-01A2D60EB350}" name="Større end højre %" dataDxfId="91" dataCellStyle="Percent">
      <calculatedColumnFormula>1-#REF!</calculatedColumnFormula>
    </tableColumn>
    <tableColumn id="30" xr3:uid="{5B13D91C-C766-49EF-B60F-5B9BCB77B8C5}" name="Venstre forklaring">
      <calculatedColumnFormula>IF(OR(MATCH(#REF!,HypoteseRetning_liste,0)=2,MATCH(#REF!,HypoteseRetning_liste,0)=3),IF(#REF!=#REF!,ROUND(#REF!,5)*100&amp;"% mindre end "&amp;#REF!,ROUND(#REF!,5)*100&amp;"% mindre end "&amp;#REF!),ROUND(#REF!,5)*100&amp;"% mindre end "&amp;#REF!)</calculatedColumnFormula>
    </tableColumn>
    <tableColumn id="31" xr3:uid="{067F9A13-593A-4BA9-A6A4-A276EF8330D3}" name="Midtpunkt forklaring">
      <calculatedColumnFormula>IF(OR(MATCH(#REF!,HypoteseRetning_liste,0)=1,MATCH(#REF!,HypoteseRetning_liste,0)=4),ROUND(#REF!,5)*100&amp;"% mellem "&amp;#REF!&amp;" og "&amp;#REF!," ")</calculatedColumnFormula>
    </tableColumn>
    <tableColumn id="32" xr3:uid="{A5BAF18C-D7B1-4214-B92C-8CD9D49F79D9}" name="Højre forklaring">
      <calculatedColumnFormula>IF(OR(MATCH(#REF!,HypoteseRetning_liste,0)=2,MATCH(#REF!,HypoteseRetning_liste,0)=3),IF(#REF!=#REF!,ROUND(#REF!,5)*100&amp;"% større end "&amp;#REF!,ROUND(#REF!,5)*100&amp;"% større end "&amp;#REF!),ROUND(#REF!,5)*100&amp;"% større end "&amp;#REF!)</calculatedColumnFormula>
    </tableColumn>
    <tableColumn id="33" xr3:uid="{CDCCFF0C-A8FE-4148-BCB0-9022C208A817}" name="Venstre position">
      <calculatedColumnFormula>IF(AND(NOT(#REF!),#REF!),(#REF!-#REF!)/(#REF!-#REF!),(#REF!-#REF!)/(#REF!-#REF!))</calculatedColumnFormula>
    </tableColumn>
    <tableColumn id="34" xr3:uid="{5D2455EB-B145-4980-83DC-C462715E6F53}" name="Midtpunkt position">
      <calculatedColumnFormula>(#REF!-#REF!)/(#REF!-#REF!)</calculatedColumnFormula>
    </tableColumn>
    <tableColumn id="35" xr3:uid="{54233B3B-1A75-47EC-ABAE-4D4B7F7A0D89}" name="Højre position">
      <calculatedColumnFormula>IF(AND(#REF!,#REF!),(#REF!-#REF!)/(#REF!-#REF!),(#REF!-#REF!)/(#REF!-#REF!))</calculatedColumnFormula>
    </tableColumn>
    <tableColumn id="36" xr3:uid="{A811E5CF-78B1-481E-A620-3D6F7E06131D}" name="Hypotese"/>
    <tableColumn id="37" xr3:uid="{DEE1672A-AD42-40D0-B0BF-2E071C7CECB5}" name="Synlig">
      <calculatedColumnFormula>_xlfn.AGGREGATE(3,5,#REF!)</calculatedColumnFormula>
    </tableColumn>
    <tableColumn id="38" xr3:uid="{EEC0B949-3DD4-412A-A951-19200B7DC1E7}" name="Antal variable"/>
    <tableColumn id="39" xr3:uid="{2CC331B0-FE8A-4499-855E-81BF7D945FE7}" name="Indeks"/>
    <tableColumn id="40" xr3:uid="{13BE44A9-9236-4E22-A2E3-9A103EFFD3C2}" name="Diagram titel"/>
    <tableColumn id="41" xr3:uid="{66A3AB10-9AAA-4D07-B56A-22B63FE092A8}" name="X akse titel"/>
    <tableColumn id="42" xr3:uid="{25BDD3EB-7C58-49B9-90C2-923FED1737DB}" name="Forudsætning 1" dataDxfId="90">
      <calculatedColumnFormula>"Datatypen er nominal, hvor succes er "&amp;TRUE&amp;" og øvrige værdier er "&amp;FALSE</calculatedColumnFormula>
    </tableColumn>
    <tableColumn id="43" xr3:uid="{E38F355E-467F-4CD3-9B2A-6BC63809D68F}" name="Kontrol af forudsætning 1" dataDxfId="89"/>
    <tableColumn id="44" xr3:uid="{E060AACD-2C83-4776-8B0A-3BFA5AD042A1}" name="Forudsætning 2" dataDxfId="88"/>
    <tableColumn id="45" xr3:uid="{FB840B8D-7131-4A35-A30A-0158F8C09E0B}" name="Kontrol af forudsætning 2" dataDxfId="87"/>
    <tableColumn id="46" xr3:uid="{04AC5123-42DB-4EE2-B906-AB0144CD90E1}" name="Forudsætning 3" dataDxfId="86"/>
    <tableColumn id="47" xr3:uid="{548B7C41-69AF-4F61-87A8-ABFD05C18480}" name="Kontrol af forudsætning 3" dataDxfId="85"/>
    <tableColumn id="48" xr3:uid="{03439727-C15E-46BF-A104-B258172A3D3F}" name="Forudsætning 4" dataDxfId="84"/>
    <tableColumn id="49" xr3:uid="{AC8D25F9-92E3-4360-8440-3F115071D567}" name="Kontrol af forudsætning 4" dataDxfId="83"/>
    <tableColumn id="50" xr3:uid="{623DAC51-38D9-48E0-A24C-F8FE3B5D3CB5}" name="Stikprøvestørrelse for ønsket fejlmargin" dataDxfId="82"/>
  </tableColumns>
  <tableStyleInfo name="Tab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35A4E25-1C44-4950-B779-E609839581E6}" name="E_i_valg" displayName="E_i_valg" ref="A48:AX55" totalsRowShown="0">
  <autoFilter ref="A48:AX55" xr:uid="{B42BE099-0ADA-4810-B2AB-2C64B7A0C3D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28F93FAA-94AE-4345-9CE3-B2AEF9E9E0D0}" name="Parameter"/>
    <tableColumn id="2" xr3:uid="{96413098-B6D6-4E53-9EB1-50CA335B8CBB}" name="Hypotesetype"/>
    <tableColumn id="3" xr3:uid="{98112F8B-7391-4316-A98C-0E660162FAC8}" name="Beregningsmetode"/>
    <tableColumn id="4" xr3:uid="{74972AB0-2620-4D91-8B44-79021B593937}" name="Fordeling"/>
    <tableColumn id="5" xr3:uid="{4B4E29D4-F8CF-4469-9FEE-8E28E8234553}" name="Parameter 1"/>
    <tableColumn id="6" xr3:uid="{30859FBD-A6EA-4EAE-B94D-1C29E96762CB}" name="Parameter 2"/>
    <tableColumn id="7" xr3:uid="{85410E3E-C9D0-4087-8027-A40F5BD2AD2F}" name="Teststørrelse"/>
    <tableColumn id="8" xr3:uid="{E0EDB07D-2718-4B7D-A8E1-7C7EC428F88D}" name="Teststørrelse omvendt">
      <calculatedColumnFormula>IFERROR(CHOOSE(MATCH(#REF!,Fordeling_liste,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A9A1A7AA-B28C-46A8-B63D-1D786462AF49}" name="Venstre label base" dataDxfId="81" dataCellStyle="Comma"/>
    <tableColumn id="10" xr3:uid="{5DB766AB-7405-408D-AC2C-AF0BA9265091}" name="Midtpunkt label base"/>
    <tableColumn id="11" xr3:uid="{2123234F-8C6F-46CE-AA00-4FB106537B66}" name="Højre label base" dataDxfId="80" dataCellStyle="Comma"/>
    <tableColumn id="12" xr3:uid="{A621B31D-27D7-4F0D-B71E-8E63576D290D}" name="Venstre label">
      <calculatedColumnFormula>IF(AND(NOT(#REF!),#REF!),IF(#REF!="andel",ROUND(#REF!,5)*100&amp;"%",ROUND(#REF!,3)),IF(#REF!="andel",ROUND(#REF!,5)*100&amp;"%",ROUND(#REF!,3)))</calculatedColumnFormula>
    </tableColumn>
    <tableColumn id="13" xr3:uid="{72A93149-A4C2-4A5D-8FA1-787DC9AF146A}" name="Midtpunkt label">
      <calculatedColumnFormula>IF(#REF!="andel",ROUND(#REF!,5)*100&amp;"%",ROUND(#REF!,3))</calculatedColumnFormula>
    </tableColumn>
    <tableColumn id="14" xr3:uid="{0CDE246D-52F4-47E3-896A-14E0FFA49877}" name="Højre label">
      <calculatedColumnFormula>IF(AND(#REF!,#REF!),IF(#REF!="andel",ROUND(#REF!,5)*100&amp;"%",ROUND(#REF!,3)),IF(#REF!="andel",ROUND(#REF!,5)*100&amp;"%",ROUND(#REF!,3)))</calculatedColumnFormula>
    </tableColumn>
    <tableColumn id="15" xr3:uid="{ECA300B9-54DA-42EB-A819-B1A2C29312A1}" name="Orientering">
      <calculatedColumnFormula>#REF!=#REF!</calculatedColumnFormula>
    </tableColumn>
    <tableColumn id="16" xr3:uid="{0DEA595F-3B39-4C06-B986-2A83C288487A}" name="Ensidet">
      <calculatedColumnFormula>OR(MATCH(#REF!,HypoteseRetning_liste,0)=2,MATCH(#REF!,HypoteseRetning_liste,0)=3)</calculatedColumnFormula>
    </tableColumn>
    <tableColumn id="17" xr3:uid="{B8990F1C-C350-4010-B32F-4049EA2582F7}" name="p-værdi" dataDxfId="79" dataCellStyle="Percent">
      <calculatedColumnFormula>CHOOSE(MATCH(#REF!,HypoteseRetning_liste,0),NA(),IF(#REF!,#REF!,#REF!),IF(#REF!,#REF!,#REF!),1-#REF!)</calculatedColumnFormula>
    </tableColumn>
    <tableColumn id="18" xr3:uid="{58864843-2A61-4B17-9675-88C560D291A0}" name="Nulhypotese kan ikke afvises">
      <calculatedColumnFormula>#REF!&gt;1-K_Konfidensniveau</calculatedColumnFormula>
    </tableColumn>
    <tableColumn id="19" xr3:uid="{A6C896B7-ACF7-4A0D-AC02-0CDC82DF3686}" name="Konfidensniveaubaseret x akse">
      <calculatedColumnFormula>IF(Eu_i_konfidensniveau&lt;=0.998,0.999,0.99999)</calculatedColumnFormula>
    </tableColumn>
    <tableColumn id="20" xr3:uid="{2B7FBDC6-C150-4366-AB0F-F92A50BEE98F}" name="X min">
      <calculatedColumnFormula>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calculatedColumnFormula>
    </tableColumn>
    <tableColumn id="21" xr3:uid="{01DA34BA-5762-4C52-A1CC-970A01D789AD}" name="X max">
      <calculatedColumnFormula>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calculatedColumnFormula>
    </tableColumn>
    <tableColumn id="22" xr3:uid="{23E3D3DE-3A95-4DA2-9AE6-1F51D50D82F4}" name="Venstre teststørrelse">
      <calculatedColumnFormula>MIN(#REF!,#REF!)</calculatedColumnFormula>
    </tableColumn>
    <tableColumn id="23" xr3:uid="{4469CCE6-BB13-4422-9BE0-534CB0D3A313}" name="Midtpunkt teststørrelse">
      <calculatedColumnFormula>CHOOSE(MATCH(#REF!,Fordeling_liste,0),_xlfn.NORM.INV(0.5,#REF!,#REF!),_xlfn.T.INV(0.5,#REF!),_xlfn.CHISQ.INV(0.5,#REF!),_xlfn.F.INV(0.5,#REF!,#REF!))</calculatedColumnFormula>
    </tableColumn>
    <tableColumn id="24" xr3:uid="{80E90738-EA69-4FB5-AA04-67748C287C78}" name="Højre teststørrelse">
      <calculatedColumnFormula>MAX(#REF!,#REF!)</calculatedColumnFormula>
    </tableColumn>
    <tableColumn id="25" xr3:uid="{FF014ABA-A83E-4582-8EA6-A1566B1B6249}" name="Mindre end venstre %" dataDxfId="78" dataCellStyle="Percent">
      <calculatedColumnFormula>CHOOSE(MATCH(#REF!,Fordeling_liste,0),_xlfn.NORM.DIST(#REF!,#REF!,#REF!,TRUE),_xlfn.T.DIST(#REF!,#REF!,TRUE),_xlfn.CHISQ.DIST(#REF!,#REF!,TRUE),_xlfn.F.DIST(#REF!,#REF!,#REF!,TRUE))</calculatedColumnFormula>
    </tableColumn>
    <tableColumn id="26" xr3:uid="{5A32BE1A-754A-4DFF-B966-52A7FD662E8A}" name="Mindre end højre %" dataDxfId="77" dataCellStyle="Percent">
      <calculatedColumnFormula>CHOOSE(MATCH(#REF!,Fordeling_liste,0),_xlfn.NORM.DIST(#REF!,#REF!,#REF!,TRUE),_xlfn.T.DIST(#REF!,#REF!,TRUE),_xlfn.CHISQ.DIST(#REF!,#REF!,TRUE),_xlfn.F.DIST(#REF!,#REF!,#REF!,TRUE))</calculatedColumnFormula>
    </tableColumn>
    <tableColumn id="27" xr3:uid="{9B46090C-DACF-4DDD-A1C0-D64B15B93DAF}" name="Midt %" dataDxfId="76" dataCellStyle="Percent">
      <calculatedColumnFormula>#REF!-#REF!</calculatedColumnFormula>
    </tableColumn>
    <tableColumn id="28" xr3:uid="{D39064F1-12A9-4A98-9386-7ACC29D7BD48}" name="Større end venstre %" dataDxfId="75" dataCellStyle="Percent">
      <calculatedColumnFormula>1-#REF!</calculatedColumnFormula>
    </tableColumn>
    <tableColumn id="29" xr3:uid="{F8DA1A7A-0309-456D-B887-FC0842F99A93}" name="Større end højre %" dataDxfId="74" dataCellStyle="Percent">
      <calculatedColumnFormula>1-#REF!</calculatedColumnFormula>
    </tableColumn>
    <tableColumn id="30" xr3:uid="{A304FC68-12CC-4B58-8056-F8B273D924AC}" name="Venstre forklaring">
      <calculatedColumnFormula>IF(OR(MATCH(#REF!,HypoteseRetning_liste,0)=2,MATCH(#REF!,HypoteseRetning_liste,0)=3),IF(#REF!=#REF!,ROUND(#REF!,5)*100&amp;"% mindre end "&amp;#REF!,ROUND(#REF!,5)*100&amp;"% mindre end "&amp;#REF!),ROUND(#REF!,5)*100&amp;"% mindre end "&amp;#REF!)</calculatedColumnFormula>
    </tableColumn>
    <tableColumn id="31" xr3:uid="{017912E8-2BEC-491D-96AF-C4E099BB125C}" name="Midtpunkt forklaring">
      <calculatedColumnFormula>IF(OR(MATCH(#REF!,HypoteseRetning_liste,0)=1,MATCH(#REF!,HypoteseRetning_liste,0)=4),ROUND(#REF!,5)*100&amp;"% mellem "&amp;#REF!&amp;" og "&amp;#REF!," ")</calculatedColumnFormula>
    </tableColumn>
    <tableColumn id="32" xr3:uid="{7F9AF521-DD57-4D37-9597-66085D5DA203}" name="Højre forklaring">
      <calculatedColumnFormula>IF(OR(MATCH(#REF!,HypoteseRetning_liste,0)=2,MATCH(#REF!,HypoteseRetning_liste,0)=3),IF(#REF!=#REF!,ROUND(#REF!,5)*100&amp;"% større end "&amp;#REF!,ROUND(#REF!,5)*100&amp;"% større end "&amp;#REF!),ROUND(#REF!,5)*100&amp;"% større end "&amp;#REF!)</calculatedColumnFormula>
    </tableColumn>
    <tableColumn id="33" xr3:uid="{87B62F0C-7460-407A-898D-4AD2922266A4}" name="Venstre position">
      <calculatedColumnFormula>IF(AND(NOT(#REF!),#REF!),(#REF!-#REF!)/(#REF!-#REF!),(#REF!-#REF!)/(#REF!-#REF!))</calculatedColumnFormula>
    </tableColumn>
    <tableColumn id="34" xr3:uid="{7674E3BC-C6FF-4C5A-9FA8-E3FC8CB69F4D}" name="Midtpunkt position">
      <calculatedColumnFormula>(#REF!-#REF!)/(#REF!-#REF!)</calculatedColumnFormula>
    </tableColumn>
    <tableColumn id="35" xr3:uid="{6F8F11FA-EC58-4579-9B5E-9B72E9A70515}" name="Højre position">
      <calculatedColumnFormula>IF(AND(#REF!,#REF!),(#REF!-#REF!)/(#REF!-#REF!),(#REF!-#REF!)/(#REF!-#REF!))</calculatedColumnFormula>
    </tableColumn>
    <tableColumn id="36" xr3:uid="{614E2DDF-D430-4522-B37E-3BDE8118855F}" name="Hypotese"/>
    <tableColumn id="37" xr3:uid="{AD4D6CC3-4549-4207-B3B2-CA197224B389}" name="Synlig">
      <calculatedColumnFormula>_xlfn.AGGREGATE(3,5,#REF!)</calculatedColumnFormula>
    </tableColumn>
    <tableColumn id="38" xr3:uid="{1F2C259C-FEEC-48CD-86C0-E4B4EF992CED}" name="Antal variable"/>
    <tableColumn id="39" xr3:uid="{E3E42811-EA0B-403B-8993-F6A6361D48E0}" name="Indeks"/>
    <tableColumn id="40" xr3:uid="{47EC6E06-4690-4FA5-9FA0-DC5C8998E701}" name="Diagram titel"/>
    <tableColumn id="41" xr3:uid="{F551629B-9F67-4BA5-9ABE-6B13F9FA6214}" name="X akse titel"/>
    <tableColumn id="42" xr3:uid="{06A30DA4-663E-447D-A62A-8F16D930DDB5}" name="Forudsætning 1" dataDxfId="73"/>
    <tableColumn id="43" xr3:uid="{0B7EE534-61E1-4BEF-AA08-6572B69664A5}" name="Kontrol af forudsætning 1" dataDxfId="72"/>
    <tableColumn id="44" xr3:uid="{89557286-E63D-4615-900A-22E3CBC2BD57}" name="Forudsætning 2" dataDxfId="71"/>
    <tableColumn id="45" xr3:uid="{09E4C8CB-09CB-4971-A1A8-F264E93F4588}" name="Kontrol af forudsætning 2" dataDxfId="70"/>
    <tableColumn id="46" xr3:uid="{290F1F69-7704-465A-A5E6-B21EA2725B00}" name="Forudsætning 3" dataDxfId="69"/>
    <tableColumn id="47" xr3:uid="{9EB2F98F-D56A-447C-8F50-4FEA6420561D}" name="Kontrol af forudsætning 3" dataDxfId="68"/>
    <tableColumn id="48" xr3:uid="{FC4460B9-D9FB-4F1B-ABB3-958B6FD7C176}" name="Forudsætning 4" dataDxfId="67"/>
    <tableColumn id="49" xr3:uid="{81A33DAE-627C-41C5-948B-3E2FCC59B290}" name="Kontrol af forudsætning 4" dataDxfId="66"/>
    <tableColumn id="50" xr3:uid="{F0B3FD9E-062F-4A51-B5BF-45744B1BAC4E}" name="Stikprøvestørrelse for ønsket fejlmargin" dataDxfId="65"/>
  </tableColumns>
  <tableStyleInfo name="Tab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FE84A46-97F6-45B3-A01E-5D1668FF6761}" name="E_k_valg" displayName="E_k_valg" ref="A57:AX60" totalsRowShown="0" headerRowDxfId="64" headerRowBorderDxfId="63" tableBorderDxfId="62">
  <autoFilter ref="A57:AX60" xr:uid="{E6DECEF7-33F4-4C42-97FA-B3C18ADFF3B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F78EF79E-3CC4-4499-878E-A885E240D066}" name="Parameter"/>
    <tableColumn id="2" xr3:uid="{0C3E20F8-BC0C-47BB-ACF7-BC01BE7048A2}" name="Hypotesetype"/>
    <tableColumn id="3" xr3:uid="{7B19207D-4A18-4CB4-9EFB-51689FE7CD7B}" name="Beregningsmetode"/>
    <tableColumn id="4" xr3:uid="{7FEE718F-72F8-4B3C-B7A6-4E64ADA75023}" name="Fordeling"/>
    <tableColumn id="5" xr3:uid="{C58B80DA-E5AA-4DEB-915A-124611A58A70}" name="Parameter 1" dataDxfId="61">
      <calculatedColumnFormula>Eu_k_n-Eu_k_antal_koefficienter</calculatedColumnFormula>
    </tableColumn>
    <tableColumn id="6" xr3:uid="{4B1A6027-6637-46CB-AD68-0F75F7D9E067}" name="Parameter 2"/>
    <tableColumn id="7" xr3:uid="{96EA9441-C288-4440-8939-DAF8CA1CC3D4}" name="Teststørrelse" dataDxfId="60">
      <calculatedColumnFormula>(Eu_k_k-Eu_k_h0)/Eu_k_s</calculatedColumnFormula>
    </tableColumn>
    <tableColumn id="8" xr3:uid="{206CEDCA-4EE3-43FC-8A06-24B978A101A7}" name="Teststørrelse omvendt">
      <calculatedColumnFormula>IFERROR(CHOOSE(MATCH(#REF!,Fordeling_liste,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34DC51A0-E62B-4DC0-A311-52FC598D32FE}" name="Venstre label base">
      <calculatedColumnFormula>E_k_valg[[#This Row],[Venstre teststørrelse]]*Eu_k_s+Eu_k_h0</calculatedColumnFormula>
    </tableColumn>
    <tableColumn id="10" xr3:uid="{7BE61C76-F190-450E-B533-85BCC5794691}" name="Midtpunkt label base">
      <calculatedColumnFormula>E_k_valg[[#This Row],[Midtpunkt teststørrelse]]*Eu_k_s+Eu_k_h0</calculatedColumnFormula>
    </tableColumn>
    <tableColumn id="11" xr3:uid="{1744114D-FFA9-4C87-8A55-EF07911A3325}" name="Højre label base">
      <calculatedColumnFormula>E_k_valg[[#This Row],[Højre teststørrelse]]*Eu_k_s+Eu_k_h0</calculatedColumnFormula>
    </tableColumn>
    <tableColumn id="12" xr3:uid="{F6984E51-469B-45CB-A0D4-338F50D33FC9}" name="Venstre label">
      <calculatedColumnFormula>IF(AND(NOT(#REF!),#REF!),IF(#REF!="andel",ROUND(#REF!,5)*100&amp;"%",ROUND(#REF!,3)),IF(#REF!="andel",ROUND(#REF!,5)*100&amp;"%",ROUND(#REF!,3)))</calculatedColumnFormula>
    </tableColumn>
    <tableColumn id="13" xr3:uid="{0C52D3BF-207E-4D07-89D7-4DF9038A01ED}" name="Midtpunkt label">
      <calculatedColumnFormula>IF(#REF!="andel",ROUND(#REF!,5)*100&amp;"%",ROUND(#REF!,3))</calculatedColumnFormula>
    </tableColumn>
    <tableColumn id="14" xr3:uid="{CFB771F7-4574-4467-A4AE-611C0C82AE05}" name="Højre label">
      <calculatedColumnFormula>IF(AND(#REF!,#REF!),IF(#REF!="andel",ROUND(#REF!,5)*100&amp;"%",ROUND(#REF!,3)),IF(#REF!="andel",ROUND(#REF!,5)*100&amp;"%",ROUND(#REF!,3)))</calculatedColumnFormula>
    </tableColumn>
    <tableColumn id="15" xr3:uid="{EA154616-C33D-4CB0-A58B-2AC0EA4278C3}" name="Orientering">
      <calculatedColumnFormula>#REF!=#REF!</calculatedColumnFormula>
    </tableColumn>
    <tableColumn id="16" xr3:uid="{D94630C1-6801-4EEA-B817-19DC4F3478F2}" name="Ensidet">
      <calculatedColumnFormula>OR(MATCH(#REF!,HypoteseRetning_liste,0)=2,MATCH(#REF!,HypoteseRetning_liste,0)=3)</calculatedColumnFormula>
    </tableColumn>
    <tableColumn id="17" xr3:uid="{569616CB-8B81-47D2-B40E-B772DFB3E360}" name="p-værdi" dataDxfId="59" dataCellStyle="Percent">
      <calculatedColumnFormula>CHOOSE(MATCH(#REF!,HypoteseRetning_liste,0),NA(),IF(#REF!,#REF!,#REF!),IF(#REF!,#REF!,#REF!),1-#REF!)</calculatedColumnFormula>
    </tableColumn>
    <tableColumn id="18" xr3:uid="{7062375D-3817-4A7C-BB81-D5AD6FB61008}" name="Nulhypotese kan ikke afvises">
      <calculatedColumnFormula>#REF!&gt;1-K_Konfidensniveau</calculatedColumnFormula>
    </tableColumn>
    <tableColumn id="19" xr3:uid="{757449D5-994D-40BC-87AF-3F56525FB267}" name="Konfidensniveaubaseret x akse">
      <calculatedColumnFormula>IF(Eu_k_konfidensniveau&lt;=0.998,0.999,0.99999)</calculatedColumnFormula>
    </tableColumn>
    <tableColumn id="20" xr3:uid="{79E69958-AB58-4BBB-A508-57BFAC74C06E}" name="X min">
      <calculatedColumnFormula>CHOOSE(MATCH(E_k_valg[[#This Row],[Fordeling]],Fordeling_liste,0),_xlfn.NORM.INV(1-E_k_valg[[#This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calculatedColumnFormula>
    </tableColumn>
    <tableColumn id="21" xr3:uid="{C742EB82-B067-4F0D-8021-3E97FF2F9960}" name="X max">
      <calculatedColumnFormula>CHOOSE(MATCH(E_k_valg[[#This Row],[Fordeling]],Fordeling_liste,0),_xlfn.NORM.INV(E_k_valg[[#This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calculatedColumnFormula>
    </tableColumn>
    <tableColumn id="22" xr3:uid="{0E5FE6CD-85E7-4A77-B449-3A4EAA1EDEA2}" name="Venstre teststørrelse">
      <calculatedColumnFormula>MIN(#REF!,#REF!)</calculatedColumnFormula>
    </tableColumn>
    <tableColumn id="23" xr3:uid="{FD1B021A-E113-45DB-A489-3AA6A9C32795}" name="Midtpunkt teststørrelse">
      <calculatedColumnFormula>CHOOSE(MATCH(#REF!,Fordeling_liste,0),_xlfn.NORM.INV(0.5,#REF!,#REF!),_xlfn.T.INV(0.5,#REF!),_xlfn.CHISQ.INV(0.5,#REF!),_xlfn.F.INV(0.5,#REF!,#REF!))</calculatedColumnFormula>
    </tableColumn>
    <tableColumn id="24" xr3:uid="{DEBC20F0-B401-4E04-BC82-49AACF07DDA2}" name="Højre teststørrelse">
      <calculatedColumnFormula>MAX(#REF!,#REF!)</calculatedColumnFormula>
    </tableColumn>
    <tableColumn id="25" xr3:uid="{EBEF38F3-F58B-427F-974D-5FCFF55664E1}" name="Mindre end venstre %" dataDxfId="58" dataCellStyle="Percent">
      <calculatedColumnFormula>CHOOSE(MATCH(#REF!,Fordeling_liste,0),_xlfn.NORM.DIST(#REF!,#REF!,#REF!,TRUE),_xlfn.T.DIST(#REF!,#REF!,TRUE),_xlfn.CHISQ.DIST(#REF!,#REF!,TRUE),_xlfn.F.DIST(#REF!,#REF!,#REF!,TRUE))</calculatedColumnFormula>
    </tableColumn>
    <tableColumn id="26" xr3:uid="{ADF82714-06A0-4965-8819-1DB972250636}" name="Mindre end højre %" dataDxfId="57" dataCellStyle="Percent">
      <calculatedColumnFormula>CHOOSE(MATCH(#REF!,Fordeling_liste,0),_xlfn.NORM.DIST(#REF!,#REF!,#REF!,TRUE),_xlfn.T.DIST(#REF!,#REF!,TRUE),_xlfn.CHISQ.DIST(#REF!,#REF!,TRUE),_xlfn.F.DIST(#REF!,#REF!,#REF!,TRUE))</calculatedColumnFormula>
    </tableColumn>
    <tableColumn id="27" xr3:uid="{D515268A-EE91-4D5D-B6AB-1664AABB19B5}" name="Midt %" dataDxfId="56" dataCellStyle="Percent">
      <calculatedColumnFormula>#REF!-#REF!</calculatedColumnFormula>
    </tableColumn>
    <tableColumn id="28" xr3:uid="{920517E3-6D50-4502-A479-DC83F27BDE1B}" name="Større end venstre %" dataDxfId="55" dataCellStyle="Percent">
      <calculatedColumnFormula>1-#REF!</calculatedColumnFormula>
    </tableColumn>
    <tableColumn id="29" xr3:uid="{6238BCBD-14AD-4B2B-8500-6DC22BDF7C9B}" name="Større end højre %" dataDxfId="54" dataCellStyle="Percent">
      <calculatedColumnFormula>1-#REF!</calculatedColumnFormula>
    </tableColumn>
    <tableColumn id="30" xr3:uid="{18DF4910-F810-49C4-B932-55AF3CA6A2DF}" name="Venstre forklaring">
      <calculatedColumnFormula>IF(OR(MATCH(#REF!,HypoteseRetning_liste,0)=2,MATCH(#REF!,HypoteseRetning_liste,0)=3),IF(#REF!=#REF!,ROUND(#REF!,5)*100&amp;"% mindre end "&amp;#REF!,ROUND(#REF!,5)*100&amp;"% mindre end "&amp;#REF!),ROUND(#REF!,5)*100&amp;"% mindre end "&amp;#REF!)</calculatedColumnFormula>
    </tableColumn>
    <tableColumn id="31" xr3:uid="{91C31E9B-90E7-4214-83C4-14951F5E0D7C}" name="Midtpunkt forklaring">
      <calculatedColumnFormula>IF(OR(MATCH(#REF!,HypoteseRetning_liste,0)=1,MATCH(#REF!,HypoteseRetning_liste,0)=4),ROUND(#REF!,5)*100&amp;"% mellem "&amp;#REF!&amp;" og "&amp;#REF!," ")</calculatedColumnFormula>
    </tableColumn>
    <tableColumn id="32" xr3:uid="{877E35CA-0D36-491A-BBFD-A2AA77E0AF87}" name="Højre forklaring">
      <calculatedColumnFormula>IF(OR(MATCH(#REF!,HypoteseRetning_liste,0)=2,MATCH(#REF!,HypoteseRetning_liste,0)=3),IF(#REF!=#REF!,ROUND(#REF!,5)*100&amp;"% større end "&amp;#REF!,ROUND(#REF!,5)*100&amp;"% større end "&amp;#REF!),ROUND(#REF!,5)*100&amp;"% større end "&amp;#REF!)</calculatedColumnFormula>
    </tableColumn>
    <tableColumn id="33" xr3:uid="{65B2B476-0473-4E22-AB88-EE9A8E58A6FE}" name="Venstre position">
      <calculatedColumnFormula>IF(AND(NOT(#REF!),#REF!),(#REF!-#REF!)/(#REF!-#REF!),(#REF!-#REF!)/(#REF!-#REF!))</calculatedColumnFormula>
    </tableColumn>
    <tableColumn id="34" xr3:uid="{AFD64756-A12B-4440-B44E-443CE4918F93}" name="Midtpunkt position">
      <calculatedColumnFormula>(#REF!-#REF!)/(#REF!-#REF!)</calculatedColumnFormula>
    </tableColumn>
    <tableColumn id="35" xr3:uid="{D41C1D17-AD29-41E0-B402-E2C804B03786}" name="Højre position">
      <calculatedColumnFormula>IF(AND(#REF!,#REF!),(#REF!-#REF!)/(#REF!-#REF!),(#REF!-#REF!)/(#REF!-#REF!))</calculatedColumnFormula>
    </tableColumn>
    <tableColumn id="36" xr3:uid="{BDCB1ECB-DB84-4D47-B107-158243E172A2}" name="Hypotese"/>
    <tableColumn id="37" xr3:uid="{19659A6E-E090-4C9E-A85B-4886E5B642BE}" name="Synlig" dataDxfId="53">
      <calculatedColumnFormula>_xlfn.AGGREGATE(3,5,#REF!)</calculatedColumnFormula>
    </tableColumn>
    <tableColumn id="38" xr3:uid="{4F4176E5-71C8-440D-82C7-86916B211E42}" name="Antal variable"/>
    <tableColumn id="39" xr3:uid="{364CC891-D1FD-45DA-8542-8790E004EF4C}" name="Indeks"/>
    <tableColumn id="40" xr3:uid="{539871B4-EBEC-4927-955C-DAEB7E2209F1}" name="Diagram titel"/>
    <tableColumn id="41" xr3:uid="{4C0FD3BC-1806-498D-90AD-6D6F34E0B170}" name="X akse titel">
      <calculatedColumnFormula>"Koefficient i stikprøver af størrelsen n = "&amp;K_n&amp;"
fra en population med koefficient = "&amp;IFERROR(ROUND(K_Coefficient_h0,3),"Hypotese ikke angivet")</calculatedColumnFormula>
    </tableColumn>
    <tableColumn id="42" xr3:uid="{CA81FCA2-8EEC-4396-BCA2-A53FB7BCC983}" name="Forudsætning 1" dataDxfId="52"/>
    <tableColumn id="43" xr3:uid="{06E8D855-928A-48DC-A4C2-34AA43F63F95}" name="Kontrol af forudsætning 1" dataDxfId="51">
      <calculatedColumnFormula>NOT(ISNA(K_average))</calculatedColumnFormula>
    </tableColumn>
    <tableColumn id="44" xr3:uid="{4F143FE8-DEAD-4D76-AF8C-5EECD53EA624}" name="Forudsætning 2" dataDxfId="50"/>
    <tableColumn id="45" xr3:uid="{EE021FC8-1C84-492A-9DF6-DD1B9AD8AA28}" name="Kontrol af forudsætning 2" dataDxfId="49"/>
    <tableColumn id="46" xr3:uid="{CF7BF2CF-34A5-4426-B490-79C78B94478A}" name="Forudsætning 3" dataDxfId="48"/>
    <tableColumn id="47" xr3:uid="{48240B19-A03D-4E5C-839C-E3E5B9140974}" name="Kontrol af forudsætning 3" dataDxfId="47"/>
    <tableColumn id="48" xr3:uid="{42FB01B5-F304-4C50-A9F7-2EA42019A380}" name="Forudsætning 4" dataDxfId="46"/>
    <tableColumn id="49" xr3:uid="{7E5E3D81-E354-44DF-A3F3-35A86FD4A30C}" name="Kontrol af forudsætning 4" dataDxfId="45"/>
    <tableColumn id="50" xr3:uid="{6BDBF149-F00A-4F27-8F90-5E7BECE7C246}" name="Stikprøvestørrelse for ønsket fejlmargin" dataDxfId="44"/>
  </tableColumns>
  <tableStyleInfo name="Table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B3E3183-11F2-41D6-9435-716C8B0F30AC}" name="LineærRegression_Valg" displayName="LineærRegression_Valg" ref="A10:H2510" totalsRowShown="0">
  <autoFilter ref="A10:H2510" xr:uid="{6110E3A0-52BE-4649-9539-49133ABDB0F1}">
    <filterColumn colId="5">
      <filters>
        <filter val="Eksempel 1 (interval)"/>
      </filters>
    </filterColumn>
    <filterColumn colId="6">
      <filters>
        <filter val="Eksempel 2 (interval)"/>
        <filter val="Eksempel 3 (nominal)"/>
      </filters>
    </filterColumn>
  </autoFilter>
  <tableColumns count="8">
    <tableColumn id="1" xr3:uid="{65105B97-5315-4442-B573-9FC1617FB748}" name="Tabel ID">
      <calculatedColumnFormula>ROW(LineærRegression_Valg[[#This Row],[Tabel ID]])-ROW(LineærRegression_Valg[[#Headers],[Tabel ID]])</calculatedColumnFormula>
    </tableColumn>
    <tableColumn id="2" xr3:uid="{F1E00A39-6A5C-49FE-96E2-7EF3759A5EE9}" name="Afhængig variabel ID" dataDxfId="43">
      <calculatedColumnFormula>ROUNDDOWN((LineærRegression_Valg[[#This Row],[Tabel ID]]-1)/$B$5,0)+1</calculatedColumnFormula>
    </tableColumn>
    <tableColumn id="3" xr3:uid="{5334416F-3FA7-4648-B661-02913084F45A}" name="Uafhængig variabel ID" dataDxfId="42">
      <calculatedColumnFormula>MOD(A11-1,$B$5)+1</calculatedColumnFormula>
    </tableColumn>
    <tableColumn id="4" xr3:uid="{5DEFBCE8-C512-4D2A-8D94-386D1E6995E1}" name="Intet overlap" dataDxfId="41">
      <calculatedColumnFormula>LineærRegression_Valg[[#This Row],[Afhængig variabel ID]]&lt;&gt;LineærRegression_Valg[[#This Row],[Uafhængig variabel ID]]</calculatedColumnFormula>
    </tableColumn>
    <tableColumn id="5" xr3:uid="{F78E5E6D-6CF8-4BB7-894C-9A2C4C777579}" name="Indenfor range" dataDxfId="40">
      <calculatedColumnFormula>LineærRegression_Valg[[#This Row],[Afhængig variabel ID]]&lt;=$B$5</calculatedColumnFormula>
    </tableColumn>
    <tableColumn id="6" xr3:uid="{ADD3E8B2-E62E-49AE-808F-A8B6A0EDEBFF}" name="Afhængig variabel" dataDxfId="39">
      <calculatedColumnFormula array="1">IF(LineærRegression_Valg[[#This Row],[Indenfor range]],INDEX(DataTitel_liste,LineærRegression_Valg[[#This Row],[Afhængig variabel ID]]),INDEX(DataTitel_liste,1))</calculatedColumnFormula>
    </tableColumn>
    <tableColumn id="7" xr3:uid="{71728D19-557A-4A50-A20E-E60415C548F3}" name="Uafhængige variable" dataDxfId="38">
      <calculatedColumnFormula array="1">IF(LineærRegression_Valg[[#This Row],[Indenfor range]],IF(LineærRegression_Valg[[#This Row],[Intet overlap]],INDEX(DataTitel_liste,LineærRegression_Valg[[#This Row],[Uafhængig variabel ID]]),INDEX(DataTitel_liste,IF(LineærRegression_Valg[[#This Row],[Afhængig variabel ID]]=1,2,1))),$B$7)</calculatedColumnFormula>
    </tableColumn>
    <tableColumn id="8" xr3:uid="{7782036C-3D4E-49D4-A430-125A7444BDDF}" name="Synlig" dataDxfId="37">
      <calculatedColumnFormula>_xlfn.AGGREGATE(2,5,LineærRegression_Valg[[#This Row],[Tabel ID]])</calculatedColumnFormula>
    </tableColumn>
  </tableColumns>
  <tableStyleInfo name="Table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1CDA60-1AD3-44A6-B51F-789F290348A7}" name="ANOVA_valg" displayName="ANOVA_valg" ref="A10:D60" totalsRowShown="0">
  <autoFilter ref="A10:D60" xr:uid="{DC338BB4-7CF1-4850-B79D-4F2247A2D2B1}">
    <filterColumn colId="2">
      <filters>
        <filter val="Eksempel 1 (interval)"/>
        <filter val="Eksempel 2 (interval)"/>
        <filter val="Eksempel 4 (nominal)"/>
      </filters>
    </filterColumn>
  </autoFilter>
  <tableColumns count="4">
    <tableColumn id="1" xr3:uid="{2A1745A0-4675-4ED0-B288-4CB4ADA547F9}" name="Tabel ID" dataDxfId="36"/>
    <tableColumn id="3" xr3:uid="{B014482C-B28B-4DFB-8CCB-E858C32E9F28}" name="Variabel ID" dataDxfId="35">
      <calculatedColumnFormula>MOD(A11-1,$B$5)+1</calculatedColumnFormula>
    </tableColumn>
    <tableColumn id="4" xr3:uid="{62A1D094-B6D9-4B4C-8287-738D08379C7F}" name="Variable i ANOVA" dataDxfId="34">
      <calculatedColumnFormula array="1">INDEX(DataTitelTest_liste,ANOVA_valg[[#This Row],[Variabel ID]])</calculatedColumnFormula>
    </tableColumn>
    <tableColumn id="2" xr3:uid="{19287098-1E9A-427B-8AA3-3BBE77EDCB6A}" name="Synlig" dataDxfId="33">
      <calculatedColumnFormula>_xlfn.AGGREGATE(2,5,ANOVA_valg[[#This Row],[Tabel ID]])</calculatedColumnFormula>
    </tableColumn>
  </tableColumns>
  <tableStyleInfo name="Table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4C64D7C-2E89-4F68-8156-05AA90EEDEB5}" name="Gen_input_ordinal" displayName="Gen_input_ordinal" ref="P13:Q43" totalsRowShown="0" headerRowDxfId="32" headerRowCellStyle="Normal" dataCellStyle="Normal">
  <autoFilter ref="P13:Q43" xr:uid="{761C1646-5ACB-488E-B9DC-605EBB24367D}">
    <filterColumn colId="0" hiddenButton="1"/>
    <filterColumn colId="1" hiddenButton="1"/>
  </autoFilter>
  <tableColumns count="2">
    <tableColumn id="1" xr3:uid="{89CB3D8B-0E77-4979-9B76-60D9937C91B8}" name="Observationsværdi" dataCellStyle="Normal"/>
    <tableColumn id="2" xr3:uid="{44D02B5F-6676-45DC-968F-D3A73BE48DB9}" name="Ønsket frekvens" dataCellStyle="Normal"/>
  </tableColumns>
  <tableStyleInfo name="Table 7" showFirstColumn="0" showLastColumn="0" showRowStripes="1" showColumnStripes="0"/>
</table>
</file>

<file path=xl/theme/theme1.xml><?xml version="1.0" encoding="utf-8"?>
<a:theme xmlns:a="http://schemas.openxmlformats.org/drawingml/2006/main" name="Business Academy Aarhus, 2017, Danish">
  <a:themeElements>
    <a:clrScheme name="Custom 1">
      <a:dk1>
        <a:sysClr val="windowText" lastClr="000000"/>
      </a:dk1>
      <a:lt1>
        <a:sysClr val="window" lastClr="FFFFFF"/>
      </a:lt1>
      <a:dk2>
        <a:srgbClr val="1F497D"/>
      </a:dk2>
      <a:lt2>
        <a:srgbClr val="EEECE1"/>
      </a:lt2>
      <a:accent1>
        <a:srgbClr val="62B2C4"/>
      </a:accent1>
      <a:accent2>
        <a:srgbClr val="FF7000"/>
      </a:accent2>
      <a:accent3>
        <a:srgbClr val="79B57F"/>
      </a:accent3>
      <a:accent4>
        <a:srgbClr val="B52933"/>
      </a:accent4>
      <a:accent5>
        <a:srgbClr val="613C8D"/>
      </a:accent5>
      <a:accent6>
        <a:srgbClr val="FDD100"/>
      </a:accent6>
      <a:hlink>
        <a:srgbClr val="1F497D"/>
      </a:hlink>
      <a:folHlink>
        <a:srgbClr val="7030A0"/>
      </a:folHlink>
    </a:clrScheme>
    <a:fontScheme name="Tw Cen MT">
      <a:majorFont>
        <a:latin typeface="Tw Cen MT"/>
        <a:ea typeface=""/>
        <a:cs typeface=""/>
      </a:majorFont>
      <a:minorFont>
        <a:latin typeface="Tw Cen MT"/>
        <a:ea typeface=""/>
        <a:cs typeface=""/>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Business Academy Aarhus, 2017, Danish" id="{554348F3-738D-4A8D-BE87-7A68E9448968}" vid="{932C7983-0D3C-4E06-B35C-E8232403A98B}"/>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creativecommons.org/licenses/by-sa/4.0/"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3.xml"/><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 Id="rId9"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5.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microsoft.com/office/2007/relationships/slicer" Target="../slicers/slicer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microsoft.com/office/2007/relationships/slicer" Target="../slicers/slicer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4993A-409D-44F9-8542-1665387421B3}">
  <sheetPr codeName="Sheet2">
    <tabColor theme="0"/>
  </sheetPr>
  <dimension ref="A1:E616"/>
  <sheetViews>
    <sheetView showGridLines="0" tabSelected="1" zoomScaleNormal="100" workbookViewId="0"/>
  </sheetViews>
  <sheetFormatPr defaultRowHeight="14.25" x14ac:dyDescent="0.2"/>
  <cols>
    <col min="1" max="1" width="64.5" customWidth="1"/>
    <col min="2" max="2" width="2.75" customWidth="1"/>
    <col min="3" max="4" width="41.125" customWidth="1"/>
    <col min="5" max="5" width="32.125" customWidth="1"/>
  </cols>
  <sheetData>
    <row r="1" spans="1:4" s="1" customFormat="1" ht="18.75" x14ac:dyDescent="0.2">
      <c r="A1" s="1" t="s">
        <v>68</v>
      </c>
      <c r="C1" s="1" t="s">
        <v>1111</v>
      </c>
    </row>
    <row r="2" spans="1:4" x14ac:dyDescent="0.2">
      <c r="A2" s="4" t="s">
        <v>69</v>
      </c>
      <c r="B2" s="4"/>
    </row>
    <row r="3" spans="1:4" x14ac:dyDescent="0.2">
      <c r="A3" s="4" t="s">
        <v>5</v>
      </c>
      <c r="B3" s="4"/>
    </row>
    <row r="4" spans="1:4" x14ac:dyDescent="0.2">
      <c r="A4" s="4"/>
      <c r="B4" s="4"/>
    </row>
    <row r="5" spans="1:4" x14ac:dyDescent="0.2">
      <c r="B5" s="4"/>
    </row>
    <row r="6" spans="1:4" x14ac:dyDescent="0.2">
      <c r="B6" s="4"/>
    </row>
    <row r="7" spans="1:4" x14ac:dyDescent="0.2">
      <c r="B7" s="4"/>
    </row>
    <row r="8" spans="1:4" x14ac:dyDescent="0.2">
      <c r="B8" s="4"/>
    </row>
    <row r="9" spans="1:4" x14ac:dyDescent="0.2">
      <c r="A9" s="3" t="s">
        <v>19</v>
      </c>
      <c r="B9" s="4"/>
    </row>
    <row r="10" spans="1:4" x14ac:dyDescent="0.2">
      <c r="A10" t="s">
        <v>57</v>
      </c>
      <c r="B10" s="4"/>
      <c r="C10" s="15" t="s">
        <v>61</v>
      </c>
      <c r="D10" s="9" t="s">
        <v>60</v>
      </c>
    </row>
    <row r="11" spans="1:4" x14ac:dyDescent="0.2">
      <c r="A11" t="s">
        <v>55</v>
      </c>
      <c r="B11" s="4"/>
      <c r="C11" s="13"/>
      <c r="D11" s="13"/>
    </row>
    <row r="12" spans="1:4" x14ac:dyDescent="0.2">
      <c r="A12" s="14" t="s">
        <v>56</v>
      </c>
      <c r="B12" s="4"/>
      <c r="C12" s="16" t="s">
        <v>67</v>
      </c>
      <c r="D12" s="10" t="s">
        <v>62</v>
      </c>
    </row>
    <row r="13" spans="1:4" x14ac:dyDescent="0.2">
      <c r="A13" s="14" t="s">
        <v>58</v>
      </c>
      <c r="B13" s="4"/>
      <c r="C13" s="17" t="s">
        <v>66</v>
      </c>
      <c r="D13" s="11" t="s">
        <v>63</v>
      </c>
    </row>
    <row r="14" spans="1:4" x14ac:dyDescent="0.2">
      <c r="A14" s="14" t="s">
        <v>59</v>
      </c>
      <c r="B14" s="4"/>
      <c r="C14" s="18" t="s">
        <v>65</v>
      </c>
      <c r="D14" s="12" t="s">
        <v>64</v>
      </c>
    </row>
    <row r="15" spans="1:4" x14ac:dyDescent="0.2">
      <c r="A15" t="s">
        <v>366</v>
      </c>
      <c r="B15" s="4"/>
    </row>
    <row r="16" spans="1:4" x14ac:dyDescent="0.2">
      <c r="A16" t="s">
        <v>367</v>
      </c>
      <c r="B16" s="4"/>
      <c r="C16" s="86" t="s">
        <v>368</v>
      </c>
      <c r="D16" s="116" t="s">
        <v>369</v>
      </c>
    </row>
    <row r="17" spans="1:4" x14ac:dyDescent="0.2">
      <c r="A17" t="s">
        <v>366</v>
      </c>
      <c r="B17" s="4"/>
    </row>
    <row r="18" spans="1:4" x14ac:dyDescent="0.2">
      <c r="A18" t="s">
        <v>417</v>
      </c>
      <c r="B18" s="4"/>
      <c r="C18" s="118" t="s">
        <v>399</v>
      </c>
      <c r="D18" s="117" t="s">
        <v>398</v>
      </c>
    </row>
    <row r="21" spans="1:4" x14ac:dyDescent="0.2">
      <c r="B21" s="4"/>
    </row>
    <row r="22" spans="1:4" x14ac:dyDescent="0.2">
      <c r="B22" s="4"/>
    </row>
    <row r="23" spans="1:4" x14ac:dyDescent="0.2">
      <c r="B23" s="4"/>
    </row>
    <row r="24" spans="1:4" x14ac:dyDescent="0.2">
      <c r="B24" s="4"/>
    </row>
    <row r="25" spans="1:4" x14ac:dyDescent="0.2">
      <c r="A25" s="38" t="s">
        <v>409</v>
      </c>
      <c r="B25" s="4"/>
    </row>
    <row r="26" spans="1:4" x14ac:dyDescent="0.2">
      <c r="B26" s="4"/>
    </row>
    <row r="27" spans="1:4" s="37" customFormat="1" ht="18.75" x14ac:dyDescent="0.2">
      <c r="A27" s="19" t="s">
        <v>20</v>
      </c>
    </row>
    <row r="28" spans="1:4" x14ac:dyDescent="0.2">
      <c r="A28" s="4" t="s">
        <v>215</v>
      </c>
      <c r="B28" s="4"/>
    </row>
    <row r="29" spans="1:4" x14ac:dyDescent="0.2">
      <c r="B29" s="4"/>
    </row>
    <row r="30" spans="1:4" ht="18.75" x14ac:dyDescent="0.2">
      <c r="A30" s="25" t="s">
        <v>61</v>
      </c>
      <c r="B30" s="4"/>
    </row>
    <row r="31" spans="1:4" x14ac:dyDescent="0.2">
      <c r="A31" s="4"/>
      <c r="B31" s="4"/>
    </row>
    <row r="32" spans="1:4" x14ac:dyDescent="0.2">
      <c r="A32" s="3" t="s">
        <v>1126</v>
      </c>
      <c r="B32" s="4"/>
    </row>
    <row r="33" spans="1:3" x14ac:dyDescent="0.2">
      <c r="A33" s="2" t="s">
        <v>7</v>
      </c>
      <c r="B33" s="4"/>
      <c r="C33" s="6" t="s">
        <v>1125</v>
      </c>
    </row>
    <row r="34" spans="1:3" x14ac:dyDescent="0.2">
      <c r="B34" s="4"/>
      <c r="C34" s="4" t="s">
        <v>214</v>
      </c>
    </row>
    <row r="35" spans="1:3" x14ac:dyDescent="0.2">
      <c r="B35" s="4"/>
      <c r="C35" s="4" t="s">
        <v>213</v>
      </c>
    </row>
    <row r="36" spans="1:3" x14ac:dyDescent="0.2">
      <c r="B36" s="4"/>
    </row>
    <row r="37" spans="1:3" x14ac:dyDescent="0.2">
      <c r="A37" s="3" t="s">
        <v>1127</v>
      </c>
      <c r="B37" s="4"/>
    </row>
    <row r="38" spans="1:3" x14ac:dyDescent="0.2">
      <c r="B38" s="4"/>
      <c r="C38" s="4" t="s">
        <v>1128</v>
      </c>
    </row>
    <row r="39" spans="1:3" x14ac:dyDescent="0.2">
      <c r="B39" s="4"/>
      <c r="C39" s="4" t="s">
        <v>1129</v>
      </c>
    </row>
    <row r="40" spans="1:3" x14ac:dyDescent="0.2">
      <c r="B40" s="4"/>
    </row>
    <row r="41" spans="1:3" x14ac:dyDescent="0.2">
      <c r="B41" s="4"/>
    </row>
    <row r="42" spans="1:3" x14ac:dyDescent="0.2">
      <c r="B42" s="4"/>
    </row>
    <row r="43" spans="1:3" x14ac:dyDescent="0.2">
      <c r="B43" s="4"/>
    </row>
    <row r="44" spans="1:3" x14ac:dyDescent="0.2">
      <c r="B44" s="4"/>
    </row>
    <row r="45" spans="1:3" x14ac:dyDescent="0.2">
      <c r="B45" s="4"/>
    </row>
    <row r="46" spans="1:3" x14ac:dyDescent="0.2">
      <c r="B46" s="4"/>
    </row>
    <row r="47" spans="1:3" x14ac:dyDescent="0.2">
      <c r="B47" s="4"/>
    </row>
    <row r="48" spans="1:3" x14ac:dyDescent="0.2">
      <c r="B48" s="4"/>
    </row>
    <row r="49" spans="1:3" x14ac:dyDescent="0.2">
      <c r="B49" s="4"/>
    </row>
    <row r="50" spans="1:3" x14ac:dyDescent="0.2">
      <c r="B50" s="4"/>
    </row>
    <row r="51" spans="1:3" x14ac:dyDescent="0.2">
      <c r="B51" s="4"/>
    </row>
    <row r="52" spans="1:3" x14ac:dyDescent="0.2">
      <c r="B52" s="4"/>
    </row>
    <row r="53" spans="1:3" x14ac:dyDescent="0.2">
      <c r="B53" s="4"/>
    </row>
    <row r="54" spans="1:3" x14ac:dyDescent="0.2">
      <c r="B54" s="4"/>
    </row>
    <row r="55" spans="1:3" x14ac:dyDescent="0.2">
      <c r="B55" s="4"/>
    </row>
    <row r="56" spans="1:3" x14ac:dyDescent="0.2">
      <c r="B56" s="4"/>
    </row>
    <row r="57" spans="1:3" x14ac:dyDescent="0.2">
      <c r="A57" s="3" t="s">
        <v>1132</v>
      </c>
      <c r="B57" s="4"/>
    </row>
    <row r="58" spans="1:3" x14ac:dyDescent="0.2">
      <c r="B58" s="4"/>
      <c r="C58" s="4" t="s">
        <v>197</v>
      </c>
    </row>
    <row r="59" spans="1:3" x14ac:dyDescent="0.2">
      <c r="B59" s="4"/>
      <c r="C59" s="20" t="s">
        <v>196</v>
      </c>
    </row>
    <row r="64" spans="1:3" s="89" customFormat="1" x14ac:dyDescent="0.2"/>
    <row r="69" spans="1:3" s="21" customFormat="1" ht="18.75" x14ac:dyDescent="0.2">
      <c r="A69" s="21" t="s">
        <v>21</v>
      </c>
    </row>
    <row r="70" spans="1:3" x14ac:dyDescent="0.2">
      <c r="A70" s="4" t="s">
        <v>216</v>
      </c>
      <c r="B70" s="4"/>
    </row>
    <row r="71" spans="1:3" x14ac:dyDescent="0.2">
      <c r="B71" s="4"/>
    </row>
    <row r="72" spans="1:3" ht="18.75" x14ac:dyDescent="0.2">
      <c r="A72" s="26" t="s">
        <v>67</v>
      </c>
      <c r="B72" s="4"/>
    </row>
    <row r="73" spans="1:3" x14ac:dyDescent="0.2">
      <c r="B73" s="4"/>
    </row>
    <row r="74" spans="1:3" x14ac:dyDescent="0.2">
      <c r="A74" s="3" t="s">
        <v>70</v>
      </c>
      <c r="B74" s="4"/>
    </row>
    <row r="75" spans="1:3" x14ac:dyDescent="0.2">
      <c r="A75" s="2" t="s">
        <v>18</v>
      </c>
      <c r="B75" s="4"/>
      <c r="C75" s="4" t="s">
        <v>212</v>
      </c>
    </row>
    <row r="76" spans="1:3" x14ac:dyDescent="0.2">
      <c r="B76" s="4"/>
      <c r="C76" s="4" t="s">
        <v>211</v>
      </c>
    </row>
    <row r="78" spans="1:3" x14ac:dyDescent="0.2">
      <c r="A78" s="3" t="s">
        <v>89</v>
      </c>
    </row>
    <row r="79" spans="1:3" x14ac:dyDescent="0.2">
      <c r="C79" t="s">
        <v>72</v>
      </c>
    </row>
    <row r="80" spans="1:3" x14ac:dyDescent="0.2">
      <c r="C80" s="4" t="s">
        <v>207</v>
      </c>
    </row>
    <row r="81" spans="3:3" x14ac:dyDescent="0.2">
      <c r="C81" s="4" t="s">
        <v>208</v>
      </c>
    </row>
    <row r="82" spans="3:3" x14ac:dyDescent="0.2">
      <c r="C82" s="4" t="s">
        <v>209</v>
      </c>
    </row>
    <row r="83" spans="3:3" x14ac:dyDescent="0.2">
      <c r="C83" s="20" t="s">
        <v>210</v>
      </c>
    </row>
    <row r="84" spans="3:3" x14ac:dyDescent="0.2">
      <c r="C84" s="4" t="s">
        <v>71</v>
      </c>
    </row>
    <row r="85" spans="3:3" x14ac:dyDescent="0.2">
      <c r="C85" s="4" t="s">
        <v>73</v>
      </c>
    </row>
    <row r="86" spans="3:3" x14ac:dyDescent="0.2">
      <c r="C86" s="4" t="s">
        <v>75</v>
      </c>
    </row>
    <row r="87" spans="3:3" x14ac:dyDescent="0.2">
      <c r="C87" s="4" t="s">
        <v>76</v>
      </c>
    </row>
    <row r="99" spans="3:3" x14ac:dyDescent="0.2">
      <c r="C99" t="s">
        <v>74</v>
      </c>
    </row>
    <row r="100" spans="3:3" x14ac:dyDescent="0.2">
      <c r="C100" s="4" t="s">
        <v>206</v>
      </c>
    </row>
    <row r="101" spans="3:3" x14ac:dyDescent="0.2">
      <c r="C101" s="4" t="s">
        <v>80</v>
      </c>
    </row>
    <row r="102" spans="3:3" x14ac:dyDescent="0.2">
      <c r="C102" s="4" t="s">
        <v>77</v>
      </c>
    </row>
    <row r="103" spans="3:3" x14ac:dyDescent="0.2">
      <c r="C103" s="4" t="s">
        <v>78</v>
      </c>
    </row>
    <row r="116" spans="3:3" x14ac:dyDescent="0.2">
      <c r="C116" t="s">
        <v>79</v>
      </c>
    </row>
    <row r="117" spans="3:3" x14ac:dyDescent="0.2">
      <c r="C117" s="4" t="s">
        <v>205</v>
      </c>
    </row>
    <row r="118" spans="3:3" x14ac:dyDescent="0.2">
      <c r="C118" s="4" t="s">
        <v>81</v>
      </c>
    </row>
    <row r="134" spans="2:3" x14ac:dyDescent="0.2">
      <c r="C134" t="s">
        <v>82</v>
      </c>
    </row>
    <row r="135" spans="2:3" x14ac:dyDescent="0.2">
      <c r="C135" s="4" t="s">
        <v>204</v>
      </c>
    </row>
    <row r="136" spans="2:3" x14ac:dyDescent="0.2">
      <c r="C136" s="4" t="s">
        <v>87</v>
      </c>
    </row>
    <row r="137" spans="2:3" x14ac:dyDescent="0.2">
      <c r="C137" s="4" t="s">
        <v>88</v>
      </c>
    </row>
    <row r="138" spans="2:3" x14ac:dyDescent="0.2">
      <c r="C138" s="4" t="s">
        <v>83</v>
      </c>
    </row>
    <row r="139" spans="2:3" x14ac:dyDescent="0.2">
      <c r="C139" s="4" t="s">
        <v>85</v>
      </c>
    </row>
    <row r="140" spans="2:3" x14ac:dyDescent="0.2">
      <c r="B140" s="4"/>
      <c r="C140" s="4" t="s">
        <v>86</v>
      </c>
    </row>
    <row r="141" spans="2:3" x14ac:dyDescent="0.2">
      <c r="B141" s="4"/>
      <c r="C141" s="4" t="s">
        <v>84</v>
      </c>
    </row>
    <row r="142" spans="2:3" x14ac:dyDescent="0.2">
      <c r="B142" s="4"/>
    </row>
    <row r="143" spans="2:3" x14ac:dyDescent="0.2">
      <c r="B143" s="4"/>
    </row>
    <row r="144" spans="2:3" x14ac:dyDescent="0.2">
      <c r="B144" s="4"/>
    </row>
    <row r="145" spans="1:3" x14ac:dyDescent="0.2">
      <c r="B145" s="4"/>
    </row>
    <row r="146" spans="1:3" x14ac:dyDescent="0.2">
      <c r="B146" s="4"/>
    </row>
    <row r="147" spans="1:3" x14ac:dyDescent="0.2">
      <c r="B147" s="4"/>
    </row>
    <row r="148" spans="1:3" x14ac:dyDescent="0.2">
      <c r="B148" s="4"/>
    </row>
    <row r="149" spans="1:3" x14ac:dyDescent="0.2">
      <c r="B149" s="4"/>
    </row>
    <row r="150" spans="1:3" x14ac:dyDescent="0.2">
      <c r="B150" s="4"/>
    </row>
    <row r="151" spans="1:3" x14ac:dyDescent="0.2">
      <c r="B151" s="4"/>
    </row>
    <row r="152" spans="1:3" x14ac:dyDescent="0.2">
      <c r="A152" s="3" t="s">
        <v>253</v>
      </c>
      <c r="B152" s="4"/>
    </row>
    <row r="153" spans="1:3" x14ac:dyDescent="0.2">
      <c r="A153" s="24" t="s">
        <v>95</v>
      </c>
      <c r="B153" s="4"/>
      <c r="C153" s="4" t="s">
        <v>96</v>
      </c>
    </row>
    <row r="154" spans="1:3" x14ac:dyDescent="0.2">
      <c r="B154" s="4"/>
    </row>
    <row r="155" spans="1:3" x14ac:dyDescent="0.2">
      <c r="B155" s="4"/>
    </row>
    <row r="156" spans="1:3" x14ac:dyDescent="0.2">
      <c r="B156" s="4"/>
      <c r="C156" t="s">
        <v>190</v>
      </c>
    </row>
    <row r="157" spans="1:3" x14ac:dyDescent="0.2">
      <c r="B157" s="4"/>
      <c r="C157" s="4" t="s">
        <v>195</v>
      </c>
    </row>
    <row r="158" spans="1:3" x14ac:dyDescent="0.2">
      <c r="B158" s="4"/>
      <c r="C158" s="4" t="s">
        <v>191</v>
      </c>
    </row>
    <row r="159" spans="1:3" x14ac:dyDescent="0.2">
      <c r="B159" s="4"/>
      <c r="C159" s="4" t="s">
        <v>194</v>
      </c>
    </row>
    <row r="160" spans="1:3" x14ac:dyDescent="0.2">
      <c r="B160" s="4"/>
      <c r="C160" s="20" t="s">
        <v>192</v>
      </c>
    </row>
    <row r="161" spans="1:3" x14ac:dyDescent="0.2">
      <c r="B161" s="4"/>
      <c r="C161" s="20" t="s">
        <v>193</v>
      </c>
    </row>
    <row r="162" spans="1:3" x14ac:dyDescent="0.2">
      <c r="B162" s="4"/>
    </row>
    <row r="163" spans="1:3" x14ac:dyDescent="0.2">
      <c r="B163" s="4"/>
    </row>
    <row r="164" spans="1:3" x14ac:dyDescent="0.2">
      <c r="B164" s="4"/>
    </row>
    <row r="165" spans="1:3" x14ac:dyDescent="0.2">
      <c r="B165" s="4"/>
    </row>
    <row r="167" spans="1:3" s="88" customFormat="1" x14ac:dyDescent="0.2"/>
    <row r="168" spans="1:3" x14ac:dyDescent="0.2">
      <c r="B168" s="4"/>
    </row>
    <row r="169" spans="1:3" x14ac:dyDescent="0.2">
      <c r="B169" s="4"/>
    </row>
    <row r="170" spans="1:3" x14ac:dyDescent="0.2">
      <c r="B170" s="4"/>
    </row>
    <row r="171" spans="1:3" x14ac:dyDescent="0.2">
      <c r="B171" s="4"/>
    </row>
    <row r="172" spans="1:3" x14ac:dyDescent="0.2">
      <c r="B172" s="4"/>
    </row>
    <row r="173" spans="1:3" x14ac:dyDescent="0.2">
      <c r="B173" s="4"/>
    </row>
    <row r="174" spans="1:3" x14ac:dyDescent="0.2">
      <c r="B174" s="4"/>
    </row>
    <row r="175" spans="1:3" x14ac:dyDescent="0.2">
      <c r="B175" s="4"/>
    </row>
    <row r="176" spans="1:3" s="36" customFormat="1" ht="18.75" x14ac:dyDescent="0.2">
      <c r="A176" s="22" t="s">
        <v>22</v>
      </c>
    </row>
    <row r="177" spans="1:3" x14ac:dyDescent="0.2">
      <c r="A177" s="4" t="s">
        <v>217</v>
      </c>
      <c r="B177" s="4"/>
    </row>
    <row r="178" spans="1:3" x14ac:dyDescent="0.2">
      <c r="B178" s="4"/>
    </row>
    <row r="179" spans="1:3" ht="18.75" x14ac:dyDescent="0.2">
      <c r="A179" s="27" t="s">
        <v>66</v>
      </c>
      <c r="B179" s="4"/>
    </row>
    <row r="180" spans="1:3" x14ac:dyDescent="0.2">
      <c r="B180" s="4"/>
    </row>
    <row r="181" spans="1:3" x14ac:dyDescent="0.2">
      <c r="B181" s="4"/>
    </row>
    <row r="182" spans="1:3" x14ac:dyDescent="0.2">
      <c r="A182" s="3" t="s">
        <v>200</v>
      </c>
      <c r="B182" s="4"/>
    </row>
    <row r="183" spans="1:3" x14ac:dyDescent="0.2">
      <c r="A183" s="2" t="s">
        <v>18</v>
      </c>
      <c r="B183" s="4"/>
      <c r="C183" s="4" t="s">
        <v>203</v>
      </c>
    </row>
    <row r="184" spans="1:3" x14ac:dyDescent="0.2">
      <c r="B184" s="4"/>
      <c r="C184" s="4" t="s">
        <v>198</v>
      </c>
    </row>
    <row r="186" spans="1:3" x14ac:dyDescent="0.2">
      <c r="A186" s="3" t="s">
        <v>202</v>
      </c>
      <c r="B186" s="4"/>
    </row>
    <row r="187" spans="1:3" x14ac:dyDescent="0.2">
      <c r="A187" s="2" t="s">
        <v>18</v>
      </c>
      <c r="B187" s="4"/>
      <c r="C187" s="4" t="s">
        <v>199</v>
      </c>
    </row>
    <row r="188" spans="1:3" x14ac:dyDescent="0.2">
      <c r="B188" s="4"/>
      <c r="C188" s="4"/>
    </row>
    <row r="189" spans="1:3" x14ac:dyDescent="0.2">
      <c r="A189" s="3" t="s">
        <v>201</v>
      </c>
      <c r="B189" s="4"/>
    </row>
    <row r="190" spans="1:3" x14ac:dyDescent="0.2">
      <c r="A190" s="2" t="s">
        <v>18</v>
      </c>
      <c r="C190" s="4" t="s">
        <v>255</v>
      </c>
    </row>
    <row r="191" spans="1:3" x14ac:dyDescent="0.2">
      <c r="C191" s="4" t="s">
        <v>94</v>
      </c>
    </row>
    <row r="192" spans="1:3" x14ac:dyDescent="0.2">
      <c r="C192" s="4"/>
    </row>
    <row r="193" spans="1:3" x14ac:dyDescent="0.2">
      <c r="A193" s="3" t="s">
        <v>219</v>
      </c>
      <c r="C193" s="4"/>
    </row>
    <row r="194" spans="1:3" x14ac:dyDescent="0.2">
      <c r="C194" s="4" t="s">
        <v>226</v>
      </c>
    </row>
    <row r="195" spans="1:3" x14ac:dyDescent="0.2">
      <c r="C195" s="4" t="s">
        <v>229</v>
      </c>
    </row>
    <row r="196" spans="1:3" x14ac:dyDescent="0.2">
      <c r="C196" s="4"/>
    </row>
    <row r="197" spans="1:3" x14ac:dyDescent="0.2">
      <c r="C197" s="4"/>
    </row>
    <row r="198" spans="1:3" x14ac:dyDescent="0.2">
      <c r="C198" s="4"/>
    </row>
    <row r="199" spans="1:3" x14ac:dyDescent="0.2">
      <c r="C199" s="4"/>
    </row>
    <row r="200" spans="1:3" x14ac:dyDescent="0.2">
      <c r="C200" s="4"/>
    </row>
    <row r="201" spans="1:3" x14ac:dyDescent="0.2">
      <c r="C201" s="4"/>
    </row>
    <row r="202" spans="1:3" x14ac:dyDescent="0.2">
      <c r="C202" s="4"/>
    </row>
    <row r="203" spans="1:3" x14ac:dyDescent="0.2">
      <c r="C203" s="4"/>
    </row>
    <row r="204" spans="1:3" x14ac:dyDescent="0.2">
      <c r="C204" s="4"/>
    </row>
    <row r="205" spans="1:3" x14ac:dyDescent="0.2">
      <c r="C205" s="4"/>
    </row>
    <row r="206" spans="1:3" x14ac:dyDescent="0.2">
      <c r="C206" s="4"/>
    </row>
    <row r="207" spans="1:3" x14ac:dyDescent="0.2">
      <c r="C207" s="4"/>
    </row>
    <row r="208" spans="1:3" x14ac:dyDescent="0.2">
      <c r="C208" s="4"/>
    </row>
    <row r="209" spans="1:3" x14ac:dyDescent="0.2">
      <c r="C209" s="4"/>
    </row>
    <row r="211" spans="1:3" x14ac:dyDescent="0.2">
      <c r="A211" s="3" t="s">
        <v>220</v>
      </c>
      <c r="C211" s="4"/>
    </row>
    <row r="212" spans="1:3" x14ac:dyDescent="0.2">
      <c r="C212" s="4" t="s">
        <v>225</v>
      </c>
    </row>
    <row r="213" spans="1:3" x14ac:dyDescent="0.2">
      <c r="C213" s="4" t="s">
        <v>228</v>
      </c>
    </row>
    <row r="214" spans="1:3" x14ac:dyDescent="0.2">
      <c r="C214" s="4"/>
    </row>
    <row r="215" spans="1:3" x14ac:dyDescent="0.2">
      <c r="C215" s="4"/>
    </row>
    <row r="216" spans="1:3" x14ac:dyDescent="0.2">
      <c r="C216" s="4"/>
    </row>
    <row r="217" spans="1:3" x14ac:dyDescent="0.2">
      <c r="C217" s="4"/>
    </row>
    <row r="218" spans="1:3" x14ac:dyDescent="0.2">
      <c r="C218" s="4"/>
    </row>
    <row r="219" spans="1:3" x14ac:dyDescent="0.2">
      <c r="C219" s="4"/>
    </row>
    <row r="220" spans="1:3" x14ac:dyDescent="0.2">
      <c r="C220" s="4"/>
    </row>
    <row r="221" spans="1:3" x14ac:dyDescent="0.2">
      <c r="C221" s="4"/>
    </row>
    <row r="222" spans="1:3" x14ac:dyDescent="0.2">
      <c r="C222" s="4"/>
    </row>
    <row r="223" spans="1:3" x14ac:dyDescent="0.2">
      <c r="C223" s="4"/>
    </row>
    <row r="224" spans="1:3" x14ac:dyDescent="0.2">
      <c r="C224" s="4"/>
    </row>
    <row r="225" spans="1:3" x14ac:dyDescent="0.2">
      <c r="C225" s="4"/>
    </row>
    <row r="226" spans="1:3" x14ac:dyDescent="0.2">
      <c r="C226" s="4"/>
    </row>
    <row r="227" spans="1:3" x14ac:dyDescent="0.2">
      <c r="C227" s="4"/>
    </row>
    <row r="228" spans="1:3" x14ac:dyDescent="0.2">
      <c r="C228" s="4"/>
    </row>
    <row r="229" spans="1:3" x14ac:dyDescent="0.2">
      <c r="A229" s="3" t="s">
        <v>221</v>
      </c>
      <c r="C229" s="4"/>
    </row>
    <row r="230" spans="1:3" x14ac:dyDescent="0.2">
      <c r="C230" s="4" t="s">
        <v>227</v>
      </c>
    </row>
    <row r="231" spans="1:3" x14ac:dyDescent="0.2">
      <c r="C231" s="4" t="s">
        <v>223</v>
      </c>
    </row>
    <row r="232" spans="1:3" x14ac:dyDescent="0.2">
      <c r="C232" s="4" t="s">
        <v>224</v>
      </c>
    </row>
    <row r="233" spans="1:3" x14ac:dyDescent="0.2">
      <c r="C233" s="4" t="s">
        <v>230</v>
      </c>
    </row>
    <row r="234" spans="1:3" x14ac:dyDescent="0.2">
      <c r="C234" s="4" t="s">
        <v>231</v>
      </c>
    </row>
    <row r="235" spans="1:3" x14ac:dyDescent="0.2">
      <c r="C235" s="4"/>
    </row>
    <row r="236" spans="1:3" x14ac:dyDescent="0.2">
      <c r="C236" s="4"/>
    </row>
    <row r="237" spans="1:3" x14ac:dyDescent="0.2">
      <c r="C237" s="4"/>
    </row>
    <row r="238" spans="1:3" x14ac:dyDescent="0.2">
      <c r="C238" s="4"/>
    </row>
    <row r="239" spans="1:3" x14ac:dyDescent="0.2">
      <c r="C239" s="4"/>
    </row>
    <row r="240" spans="1:3" x14ac:dyDescent="0.2">
      <c r="C240" s="4"/>
    </row>
    <row r="241" spans="1:4" x14ac:dyDescent="0.2">
      <c r="C241" s="4"/>
    </row>
    <row r="242" spans="1:4" x14ac:dyDescent="0.2">
      <c r="C242" s="4"/>
    </row>
    <row r="243" spans="1:4" x14ac:dyDescent="0.2">
      <c r="C243" s="4"/>
    </row>
    <row r="244" spans="1:4" x14ac:dyDescent="0.2">
      <c r="C244" s="4"/>
    </row>
    <row r="245" spans="1:4" x14ac:dyDescent="0.2">
      <c r="C245" s="4"/>
    </row>
    <row r="246" spans="1:4" x14ac:dyDescent="0.2">
      <c r="C246" s="4"/>
    </row>
    <row r="247" spans="1:4" x14ac:dyDescent="0.2">
      <c r="A247" s="3" t="s">
        <v>232</v>
      </c>
    </row>
    <row r="248" spans="1:4" x14ac:dyDescent="0.2">
      <c r="D248" s="4" t="s">
        <v>234</v>
      </c>
    </row>
    <row r="249" spans="1:4" x14ac:dyDescent="0.2">
      <c r="D249" s="4" t="s">
        <v>235</v>
      </c>
    </row>
    <row r="250" spans="1:4" x14ac:dyDescent="0.2">
      <c r="D250" s="4" t="s">
        <v>236</v>
      </c>
    </row>
    <row r="251" spans="1:4" x14ac:dyDescent="0.2">
      <c r="D251" s="20" t="s">
        <v>237</v>
      </c>
    </row>
    <row r="255" spans="1:4" x14ac:dyDescent="0.2">
      <c r="A255" s="3" t="s">
        <v>233</v>
      </c>
    </row>
    <row r="256" spans="1:4" x14ac:dyDescent="0.2">
      <c r="D256" s="4" t="s">
        <v>238</v>
      </c>
    </row>
    <row r="257" spans="4:4" x14ac:dyDescent="0.2">
      <c r="D257" s="4" t="s">
        <v>239</v>
      </c>
    </row>
    <row r="258" spans="4:4" x14ac:dyDescent="0.2">
      <c r="D258" s="4" t="s">
        <v>243</v>
      </c>
    </row>
    <row r="259" spans="4:4" x14ac:dyDescent="0.2">
      <c r="D259" s="33" t="s">
        <v>242</v>
      </c>
    </row>
    <row r="260" spans="4:4" x14ac:dyDescent="0.2">
      <c r="D260" s="32" t="s">
        <v>244</v>
      </c>
    </row>
    <row r="261" spans="4:4" x14ac:dyDescent="0.2">
      <c r="D261" s="32" t="s">
        <v>240</v>
      </c>
    </row>
    <row r="262" spans="4:4" x14ac:dyDescent="0.2">
      <c r="D262" s="32" t="s">
        <v>241</v>
      </c>
    </row>
    <row r="263" spans="4:4" x14ac:dyDescent="0.2">
      <c r="D263" s="34" t="s">
        <v>246</v>
      </c>
    </row>
    <row r="264" spans="4:4" x14ac:dyDescent="0.2">
      <c r="D264" s="33" t="s">
        <v>247</v>
      </c>
    </row>
    <row r="265" spans="4:4" x14ac:dyDescent="0.2">
      <c r="D265" s="34" t="s">
        <v>245</v>
      </c>
    </row>
    <row r="266" spans="4:4" x14ac:dyDescent="0.2">
      <c r="D266" s="33" t="s">
        <v>248</v>
      </c>
    </row>
    <row r="267" spans="4:4" x14ac:dyDescent="0.2">
      <c r="D267" s="33" t="s">
        <v>249</v>
      </c>
    </row>
    <row r="268" spans="4:4" x14ac:dyDescent="0.2">
      <c r="D268" s="33" t="s">
        <v>250</v>
      </c>
    </row>
    <row r="269" spans="4:4" x14ac:dyDescent="0.2">
      <c r="D269" s="33" t="s">
        <v>251</v>
      </c>
    </row>
    <row r="270" spans="4:4" x14ac:dyDescent="0.2">
      <c r="D270" s="33" t="s">
        <v>252</v>
      </c>
    </row>
    <row r="272" spans="4:4" s="90" customFormat="1" x14ac:dyDescent="0.2">
      <c r="D272" s="91"/>
    </row>
    <row r="273" spans="1:4" x14ac:dyDescent="0.2">
      <c r="D273" s="33"/>
    </row>
    <row r="274" spans="1:4" x14ac:dyDescent="0.2">
      <c r="D274" s="33"/>
    </row>
    <row r="278" spans="1:4" x14ac:dyDescent="0.2">
      <c r="B278" s="4"/>
    </row>
    <row r="279" spans="1:4" x14ac:dyDescent="0.2">
      <c r="B279" s="4"/>
    </row>
    <row r="280" spans="1:4" x14ac:dyDescent="0.2">
      <c r="B280" s="4"/>
    </row>
    <row r="281" spans="1:4" s="35" customFormat="1" ht="18.75" x14ac:dyDescent="0.2">
      <c r="A281" s="23" t="s">
        <v>23</v>
      </c>
    </row>
    <row r="282" spans="1:4" x14ac:dyDescent="0.2">
      <c r="A282" s="4" t="s">
        <v>218</v>
      </c>
      <c r="B282" s="4"/>
    </row>
    <row r="284" spans="1:4" ht="18.75" x14ac:dyDescent="0.2">
      <c r="A284" s="28" t="s">
        <v>65</v>
      </c>
    </row>
    <row r="286" spans="1:4" x14ac:dyDescent="0.2">
      <c r="A286" s="3" t="s">
        <v>90</v>
      </c>
    </row>
    <row r="287" spans="1:4" x14ac:dyDescent="0.2">
      <c r="A287" s="2" t="s">
        <v>18</v>
      </c>
      <c r="C287" s="4" t="s">
        <v>91</v>
      </c>
    </row>
    <row r="288" spans="1:4" x14ac:dyDescent="0.2">
      <c r="C288" s="4" t="s">
        <v>254</v>
      </c>
    </row>
    <row r="292" spans="1:3" x14ac:dyDescent="0.2">
      <c r="A292" s="3" t="s">
        <v>92</v>
      </c>
    </row>
    <row r="293" spans="1:3" x14ac:dyDescent="0.2">
      <c r="A293" s="2" t="s">
        <v>18</v>
      </c>
      <c r="C293" s="4" t="s">
        <v>91</v>
      </c>
    </row>
    <row r="294" spans="1:3" x14ac:dyDescent="0.2">
      <c r="C294" s="4" t="s">
        <v>259</v>
      </c>
    </row>
    <row r="295" spans="1:3" x14ac:dyDescent="0.2">
      <c r="C295" s="4" t="s">
        <v>256</v>
      </c>
    </row>
    <row r="296" spans="1:3" x14ac:dyDescent="0.2">
      <c r="C296" s="20" t="s">
        <v>257</v>
      </c>
    </row>
    <row r="308" spans="1:3" x14ac:dyDescent="0.2">
      <c r="A308" s="3" t="s">
        <v>93</v>
      </c>
    </row>
    <row r="309" spans="1:3" x14ac:dyDescent="0.2">
      <c r="A309" s="2" t="s">
        <v>18</v>
      </c>
      <c r="C309" s="4" t="s">
        <v>258</v>
      </c>
    </row>
    <row r="310" spans="1:3" x14ac:dyDescent="0.2">
      <c r="C310" s="4" t="s">
        <v>94</v>
      </c>
    </row>
    <row r="311" spans="1:3" x14ac:dyDescent="0.2">
      <c r="B311" s="4"/>
    </row>
    <row r="312" spans="1:3" x14ac:dyDescent="0.2">
      <c r="B312" s="4"/>
    </row>
    <row r="314" spans="1:3" x14ac:dyDescent="0.2">
      <c r="A314" s="3" t="s">
        <v>260</v>
      </c>
    </row>
    <row r="315" spans="1:3" x14ac:dyDescent="0.2">
      <c r="A315" s="2" t="s">
        <v>263</v>
      </c>
      <c r="C315" s="4" t="s">
        <v>261</v>
      </c>
    </row>
    <row r="316" spans="1:3" x14ac:dyDescent="0.2">
      <c r="C316" s="4" t="s">
        <v>98</v>
      </c>
    </row>
    <row r="317" spans="1:3" x14ac:dyDescent="0.2">
      <c r="C317" s="20" t="s">
        <v>97</v>
      </c>
    </row>
    <row r="318" spans="1:3" x14ac:dyDescent="0.2">
      <c r="C318" s="20" t="s">
        <v>262</v>
      </c>
    </row>
    <row r="319" spans="1:3" x14ac:dyDescent="0.2">
      <c r="C319" s="4" t="s">
        <v>99</v>
      </c>
    </row>
    <row r="320" spans="1:3" x14ac:dyDescent="0.2">
      <c r="C320" s="4" t="s">
        <v>100</v>
      </c>
    </row>
    <row r="321" spans="2:3" x14ac:dyDescent="0.2">
      <c r="C321" s="4" t="s">
        <v>101</v>
      </c>
    </row>
    <row r="323" spans="2:3" x14ac:dyDescent="0.2">
      <c r="B323" s="4"/>
    </row>
    <row r="324" spans="2:3" x14ac:dyDescent="0.2">
      <c r="B324" s="4"/>
    </row>
    <row r="325" spans="2:3" x14ac:dyDescent="0.2">
      <c r="B325" s="4"/>
    </row>
    <row r="346" spans="1:3" x14ac:dyDescent="0.2">
      <c r="A346" s="3" t="s">
        <v>264</v>
      </c>
    </row>
    <row r="347" spans="1:3" x14ac:dyDescent="0.2">
      <c r="A347" s="2" t="s">
        <v>18</v>
      </c>
      <c r="C347" s="4" t="s">
        <v>265</v>
      </c>
    </row>
    <row r="353" spans="1:3" x14ac:dyDescent="0.2">
      <c r="C353" s="4" t="s">
        <v>115</v>
      </c>
    </row>
    <row r="354" spans="1:3" x14ac:dyDescent="0.2">
      <c r="C354" s="4" t="s">
        <v>266</v>
      </c>
    </row>
    <row r="355" spans="1:3" x14ac:dyDescent="0.2">
      <c r="C355" s="4" t="s">
        <v>279</v>
      </c>
    </row>
    <row r="366" spans="1:3" x14ac:dyDescent="0.2">
      <c r="A366" s="3" t="s">
        <v>267</v>
      </c>
      <c r="C366" s="4"/>
    </row>
    <row r="367" spans="1:3" x14ac:dyDescent="0.2">
      <c r="C367" s="4" t="s">
        <v>268</v>
      </c>
    </row>
    <row r="368" spans="1:3" x14ac:dyDescent="0.2">
      <c r="C368" s="4" t="s">
        <v>112</v>
      </c>
    </row>
    <row r="369" spans="3:3" x14ac:dyDescent="0.2">
      <c r="C369" s="4" t="s">
        <v>269</v>
      </c>
    </row>
    <row r="370" spans="3:3" x14ac:dyDescent="0.2">
      <c r="C370" s="4" t="s">
        <v>270</v>
      </c>
    </row>
    <row r="371" spans="3:3" x14ac:dyDescent="0.2">
      <c r="C371" s="4" t="s">
        <v>271</v>
      </c>
    </row>
    <row r="372" spans="3:3" x14ac:dyDescent="0.2">
      <c r="C372" s="4" t="s">
        <v>272</v>
      </c>
    </row>
    <row r="373" spans="3:3" x14ac:dyDescent="0.2">
      <c r="C373" s="4" t="s">
        <v>273</v>
      </c>
    </row>
    <row r="374" spans="3:3" x14ac:dyDescent="0.2">
      <c r="C374" s="4" t="s">
        <v>113</v>
      </c>
    </row>
    <row r="399" spans="1:3" x14ac:dyDescent="0.2">
      <c r="A399" s="3"/>
    </row>
    <row r="400" spans="1:3" x14ac:dyDescent="0.2">
      <c r="C400" s="4" t="s">
        <v>274</v>
      </c>
    </row>
    <row r="401" spans="3:3" x14ac:dyDescent="0.2">
      <c r="C401" s="4" t="s">
        <v>102</v>
      </c>
    </row>
    <row r="402" spans="3:3" x14ac:dyDescent="0.2">
      <c r="C402" s="4" t="s">
        <v>106</v>
      </c>
    </row>
    <row r="403" spans="3:3" x14ac:dyDescent="0.2">
      <c r="C403" s="4" t="s">
        <v>105</v>
      </c>
    </row>
    <row r="404" spans="3:3" x14ac:dyDescent="0.2">
      <c r="C404" s="4" t="s">
        <v>104</v>
      </c>
    </row>
    <row r="405" spans="3:3" x14ac:dyDescent="0.2">
      <c r="C405" s="4" t="s">
        <v>103</v>
      </c>
    </row>
    <row r="419" spans="3:3" x14ac:dyDescent="0.2">
      <c r="C419" s="4" t="s">
        <v>275</v>
      </c>
    </row>
    <row r="420" spans="3:3" x14ac:dyDescent="0.2">
      <c r="C420" s="4" t="s">
        <v>116</v>
      </c>
    </row>
    <row r="421" spans="3:3" x14ac:dyDescent="0.2">
      <c r="C421" s="4" t="s">
        <v>119</v>
      </c>
    </row>
    <row r="437" spans="3:3" x14ac:dyDescent="0.2">
      <c r="C437" s="4" t="s">
        <v>276</v>
      </c>
    </row>
    <row r="438" spans="3:3" x14ac:dyDescent="0.2">
      <c r="C438" s="4" t="s">
        <v>117</v>
      </c>
    </row>
    <row r="439" spans="3:3" x14ac:dyDescent="0.2">
      <c r="C439" s="4" t="s">
        <v>118</v>
      </c>
    </row>
    <row r="457" spans="3:3" x14ac:dyDescent="0.2">
      <c r="C457" s="4" t="s">
        <v>107</v>
      </c>
    </row>
    <row r="458" spans="3:3" x14ac:dyDescent="0.2">
      <c r="C458" s="4" t="s">
        <v>108</v>
      </c>
    </row>
    <row r="459" spans="3:3" x14ac:dyDescent="0.2">
      <c r="C459" s="4" t="s">
        <v>111</v>
      </c>
    </row>
    <row r="460" spans="3:3" x14ac:dyDescent="0.2">
      <c r="C460" s="4" t="s">
        <v>277</v>
      </c>
    </row>
    <row r="461" spans="3:3" x14ac:dyDescent="0.2">
      <c r="C461" s="4" t="s">
        <v>109</v>
      </c>
    </row>
    <row r="462" spans="3:3" x14ac:dyDescent="0.2">
      <c r="C462" s="4" t="s">
        <v>110</v>
      </c>
    </row>
    <row r="463" spans="3:3" x14ac:dyDescent="0.2">
      <c r="C463" s="4" t="s">
        <v>120</v>
      </c>
    </row>
    <row r="464" spans="3:3" x14ac:dyDescent="0.2">
      <c r="C464" s="4" t="s">
        <v>122</v>
      </c>
    </row>
    <row r="465" spans="3:3" x14ac:dyDescent="0.2">
      <c r="C465" s="4" t="s">
        <v>121</v>
      </c>
    </row>
    <row r="486" spans="3:3" x14ac:dyDescent="0.2">
      <c r="C486" s="4" t="s">
        <v>278</v>
      </c>
    </row>
    <row r="494" spans="3:3" s="92" customFormat="1" x14ac:dyDescent="0.2"/>
    <row r="503" spans="1:2" s="93" customFormat="1" ht="18.75" x14ac:dyDescent="0.2">
      <c r="A503" s="93" t="s">
        <v>370</v>
      </c>
    </row>
    <row r="504" spans="1:2" x14ac:dyDescent="0.2">
      <c r="A504" s="4" t="s">
        <v>371</v>
      </c>
      <c r="B504" s="4"/>
    </row>
    <row r="505" spans="1:2" x14ac:dyDescent="0.2">
      <c r="B505" s="4"/>
    </row>
    <row r="506" spans="1:2" ht="18.75" x14ac:dyDescent="0.2">
      <c r="A506" s="87" t="s">
        <v>372</v>
      </c>
      <c r="B506" s="4"/>
    </row>
    <row r="507" spans="1:2" x14ac:dyDescent="0.2">
      <c r="A507" s="3" t="s">
        <v>374</v>
      </c>
      <c r="B507" s="4"/>
    </row>
    <row r="508" spans="1:2" x14ac:dyDescent="0.2">
      <c r="A508" s="2" t="s">
        <v>18</v>
      </c>
      <c r="B508" s="4"/>
    </row>
    <row r="509" spans="1:2" x14ac:dyDescent="0.2">
      <c r="B509" s="4"/>
    </row>
    <row r="510" spans="1:2" x14ac:dyDescent="0.2">
      <c r="B510" s="4"/>
    </row>
    <row r="511" spans="1:2" x14ac:dyDescent="0.2">
      <c r="A511" s="3" t="s">
        <v>375</v>
      </c>
      <c r="B511" s="4"/>
    </row>
    <row r="512" spans="1:2" x14ac:dyDescent="0.2">
      <c r="B512" s="4"/>
    </row>
    <row r="513" spans="2:2" x14ac:dyDescent="0.2">
      <c r="B513" s="4"/>
    </row>
    <row r="514" spans="2:2" x14ac:dyDescent="0.2">
      <c r="B514" s="4"/>
    </row>
    <row r="515" spans="2:2" x14ac:dyDescent="0.2">
      <c r="B515" s="4"/>
    </row>
    <row r="516" spans="2:2" x14ac:dyDescent="0.2">
      <c r="B516" s="4"/>
    </row>
    <row r="517" spans="2:2" x14ac:dyDescent="0.2">
      <c r="B517" s="4"/>
    </row>
    <row r="518" spans="2:2" x14ac:dyDescent="0.2">
      <c r="B518" s="4"/>
    </row>
    <row r="519" spans="2:2" x14ac:dyDescent="0.2">
      <c r="B519" s="4"/>
    </row>
    <row r="520" spans="2:2" x14ac:dyDescent="0.2">
      <c r="B520" s="4"/>
    </row>
    <row r="521" spans="2:2" x14ac:dyDescent="0.2">
      <c r="B521" s="4"/>
    </row>
    <row r="522" spans="2:2" x14ac:dyDescent="0.2">
      <c r="B522" s="4"/>
    </row>
    <row r="550" spans="1:1" s="110" customFormat="1" x14ac:dyDescent="0.2"/>
    <row r="559" spans="1:1" s="113" customFormat="1" ht="18.75" x14ac:dyDescent="0.2">
      <c r="A559" s="112" t="s">
        <v>394</v>
      </c>
    </row>
    <row r="561" spans="1:3" ht="18.75" x14ac:dyDescent="0.2">
      <c r="A561" s="114" t="s">
        <v>393</v>
      </c>
      <c r="B561" s="4"/>
    </row>
    <row r="562" spans="1:3" x14ac:dyDescent="0.2">
      <c r="A562" s="3" t="s">
        <v>374</v>
      </c>
    </row>
    <row r="563" spans="1:3" x14ac:dyDescent="0.2">
      <c r="A563" s="2" t="s">
        <v>18</v>
      </c>
    </row>
    <row r="566" spans="1:3" x14ac:dyDescent="0.2">
      <c r="A566" s="3" t="s">
        <v>400</v>
      </c>
    </row>
    <row r="567" spans="1:3" x14ac:dyDescent="0.2">
      <c r="C567" s="4" t="s">
        <v>401</v>
      </c>
    </row>
    <row r="568" spans="1:3" x14ac:dyDescent="0.2">
      <c r="C568" s="4" t="s">
        <v>402</v>
      </c>
    </row>
    <row r="586" spans="1:3" x14ac:dyDescent="0.2">
      <c r="A586" s="3" t="s">
        <v>403</v>
      </c>
    </row>
    <row r="587" spans="1:3" x14ac:dyDescent="0.2">
      <c r="C587" s="4" t="s">
        <v>404</v>
      </c>
    </row>
    <row r="588" spans="1:3" x14ac:dyDescent="0.2">
      <c r="C588" s="4" t="s">
        <v>405</v>
      </c>
    </row>
    <row r="614" spans="1:5" x14ac:dyDescent="0.2">
      <c r="A614" s="3" t="s">
        <v>406</v>
      </c>
    </row>
    <row r="615" spans="1:5" x14ac:dyDescent="0.2">
      <c r="C615" s="4" t="s">
        <v>407</v>
      </c>
    </row>
    <row r="616" spans="1:5" x14ac:dyDescent="0.2">
      <c r="C616" s="107" t="s">
        <v>408</v>
      </c>
      <c r="D616" s="107"/>
      <c r="E616" s="107"/>
    </row>
  </sheetData>
  <phoneticPr fontId="15" type="noConversion"/>
  <hyperlinks>
    <hyperlink ref="C10" location="Data!A1" display="Gå til Data                                                                                             " xr:uid="{9B8CED4D-F14C-41F1-803E-2B7A27A06F63}"/>
    <hyperlink ref="C12" location="'Beskrivende Statistik'!A1" display="Gå til Beskrivende Statistik                                                                      " xr:uid="{0CCFED1C-A94F-445C-8DCF-8384137842AC}"/>
    <hyperlink ref="C13:C14" location="Data!A1" display="Gå til data ark" xr:uid="{E0B972A5-199D-47C4-AEC3-9E26695A7482}"/>
    <hyperlink ref="C13" location="'Konfidens og Hypoteser'!A1" display="Gå til Konfidens og Hypoteser                                                  " xr:uid="{6E4152CA-7C82-4EA1-AF99-13274CCF7F4C}"/>
    <hyperlink ref="C14" location="'Lineær Regression'!A1" display="Gå til Lineær Regression                                                                     " xr:uid="{7BF6397E-5C54-45D2-8862-EA5196F4B560}"/>
    <hyperlink ref="D10" location="V_Manual_Data" display="Gå til Manual i brug af Data arket                                          " xr:uid="{A7144529-0FD3-42E4-A567-5FBAD4D70DA0}"/>
    <hyperlink ref="D12" location="V_Manual_Beskrivende_Statistik" display="Gå til Manual i brug af Beskrivende Statistik arket                                     " xr:uid="{2908E2D1-899F-4BF6-B064-D3BBDD27E7AC}"/>
    <hyperlink ref="D13" location="V_Manual_Konfidens_og_Hypoteser" display="Gå til Manual i brug af Konfidens og Hypoteser arket                              " xr:uid="{1C331A2E-AB41-4AE8-A18D-1C4B711580B8}"/>
    <hyperlink ref="D14" location="V_Manual_Lineær_Regression" display="Gå til Manual i brug af Lineær Regression arket                                      " xr:uid="{885DC549-1ACB-46CA-B071-7D2BD6657BCE}"/>
    <hyperlink ref="A30" location="Data!A1" display="Gå til Data                                                                                             " xr:uid="{C05C224F-FFE7-4D48-BA4F-5EDD23C44E5C}"/>
    <hyperlink ref="A72" location="'Beskrivende Statistik'!A1" display="Gå til Beskrivende Statistik                                                                      " xr:uid="{BEBC285A-5868-40EC-8213-81E12CB25F4E}"/>
    <hyperlink ref="A179" location="'Konfidens og Hypoteser'!A1" display="Gå til Konfidens og Hypoteser                                                  " xr:uid="{48B7209E-FF96-459A-AC2B-835A37551B25}"/>
    <hyperlink ref="A284" location="'Lineær Regression'!A1" display="Gå til Lineær Regression                                                                     " xr:uid="{85022601-DA64-4F6A-A8C3-A075F9C38BF1}"/>
    <hyperlink ref="A25" r:id="rId1" xr:uid="{CE916863-CD22-4D14-AD70-B2D06A131314}"/>
    <hyperlink ref="C16" location="Sandsynlighed!A1" display="Gå til Sandsynlighed                                                                     " xr:uid="{6E2ADE61-E0D0-470B-AD45-9A743423AD1E}"/>
    <hyperlink ref="D16" location="V_Manual_Sandsynlighed" display="Gå til Manual i brug af Sandsynlighed arket                                      " xr:uid="{C21451CB-2EB3-48FD-B13F-310C0947B0A4}"/>
    <hyperlink ref="A506" location="Sandsynlighed!A1" display="Gå til Sandsynlighed                                                                      " xr:uid="{E0AE7AFC-F5A8-4227-9D62-9B191C35B86C}"/>
    <hyperlink ref="A561" location="'Data Generator'!A1" display="Gå til Data Generator                                                                      " xr:uid="{34A02631-2039-477B-8442-A1C79A163CC3}"/>
    <hyperlink ref="C18" location="'Data Generator'!A1" display="Gå til Data Generator                                                                     " xr:uid="{BF04C43E-6E81-402D-A7E1-DF21498B5307}"/>
    <hyperlink ref="D18" location="V_Manual_DataGenerator" display="Gå til Manual i brug af Data Generator arket                                      " xr:uid="{2556FCE2-E4FB-4638-AA53-A441980037AF}"/>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25ABF-FC12-4AD0-97F4-64A873F0B28D}">
  <sheetPr codeName="Sheet4">
    <tabColor theme="4"/>
  </sheetPr>
  <dimension ref="A1:CV13"/>
  <sheetViews>
    <sheetView showGridLines="0" workbookViewId="0"/>
  </sheetViews>
  <sheetFormatPr defaultRowHeight="14.25" x14ac:dyDescent="0.2"/>
  <cols>
    <col min="1" max="100" width="19.125" customWidth="1"/>
  </cols>
  <sheetData>
    <row r="1" spans="1:100" s="3" customFormat="1" x14ac:dyDescent="0.2">
      <c r="A1" s="208" t="s">
        <v>24</v>
      </c>
      <c r="B1" s="208" t="s">
        <v>281</v>
      </c>
      <c r="C1" s="208" t="s">
        <v>280</v>
      </c>
      <c r="D1" s="208" t="s">
        <v>285</v>
      </c>
      <c r="E1" s="208"/>
      <c r="F1" s="208"/>
      <c r="G1" s="208"/>
      <c r="H1" s="208"/>
      <c r="I1" s="208"/>
      <c r="J1" s="208"/>
      <c r="K1" s="208"/>
      <c r="L1" s="208"/>
      <c r="M1" s="208"/>
      <c r="N1" s="208"/>
      <c r="O1" s="208"/>
      <c r="P1" s="208"/>
      <c r="Q1" s="208"/>
      <c r="R1" s="208"/>
      <c r="S1" s="208"/>
      <c r="T1" s="208"/>
      <c r="U1" s="208"/>
      <c r="V1" s="208"/>
      <c r="W1" s="208"/>
      <c r="X1" s="208"/>
      <c r="Y1" s="208"/>
      <c r="Z1" s="208"/>
      <c r="AA1" s="208"/>
      <c r="AB1" s="208"/>
      <c r="AC1" s="208"/>
      <c r="AD1" s="208"/>
      <c r="AE1" s="208"/>
      <c r="AF1" s="208"/>
      <c r="AG1" s="208"/>
      <c r="AH1" s="208"/>
      <c r="AI1" s="208"/>
      <c r="AJ1" s="208"/>
      <c r="AK1" s="208"/>
      <c r="AL1" s="208"/>
      <c r="AM1" s="208"/>
      <c r="AN1" s="208"/>
      <c r="AO1" s="208"/>
      <c r="AP1" s="208"/>
      <c r="AQ1" s="208"/>
      <c r="AR1" s="208"/>
      <c r="AS1" s="208"/>
      <c r="AT1" s="208"/>
      <c r="AU1" s="208"/>
      <c r="AV1" s="208"/>
      <c r="AW1" s="208"/>
      <c r="AX1" s="208"/>
      <c r="AY1" s="208"/>
      <c r="AZ1" s="208"/>
      <c r="BA1" s="208"/>
      <c r="BB1" s="208"/>
      <c r="BC1" s="208"/>
      <c r="BD1" s="208"/>
      <c r="BE1" s="208"/>
      <c r="BF1" s="208"/>
      <c r="BG1" s="208"/>
      <c r="BH1" s="208"/>
      <c r="BI1" s="208"/>
      <c r="BJ1" s="208"/>
      <c r="BK1" s="208"/>
      <c r="BL1" s="208"/>
      <c r="BM1" s="208"/>
      <c r="BN1" s="208"/>
      <c r="BO1" s="208"/>
      <c r="BP1" s="208"/>
      <c r="BQ1" s="208"/>
      <c r="BR1" s="208"/>
      <c r="BS1" s="208"/>
      <c r="BT1" s="208"/>
      <c r="BU1" s="208"/>
      <c r="BV1" s="208"/>
      <c r="BW1" s="208"/>
      <c r="BX1" s="208"/>
      <c r="BY1" s="208"/>
      <c r="BZ1" s="208"/>
      <c r="CA1" s="208"/>
      <c r="CB1" s="208"/>
      <c r="CC1" s="208"/>
      <c r="CD1" s="208"/>
      <c r="CE1" s="208"/>
      <c r="CF1" s="208"/>
      <c r="CG1" s="208"/>
      <c r="CH1" s="208"/>
      <c r="CI1" s="208"/>
      <c r="CJ1" s="208"/>
      <c r="CK1" s="208"/>
      <c r="CL1" s="208"/>
      <c r="CM1" s="208"/>
      <c r="CN1" s="208"/>
      <c r="CO1" s="208"/>
      <c r="CP1" s="208"/>
      <c r="CQ1" s="208"/>
      <c r="CR1" s="208"/>
      <c r="CS1" s="208"/>
      <c r="CT1" s="208"/>
      <c r="CU1" s="208"/>
      <c r="CV1" s="208"/>
    </row>
    <row r="2" spans="1:100" x14ac:dyDescent="0.2">
      <c r="A2">
        <v>1.2989587493526971</v>
      </c>
      <c r="B2">
        <v>2</v>
      </c>
      <c r="C2" t="b">
        <v>0</v>
      </c>
      <c r="D2" t="b">
        <v>0</v>
      </c>
    </row>
    <row r="3" spans="1:100" x14ac:dyDescent="0.2">
      <c r="A3">
        <v>-1.1469596428732241</v>
      </c>
      <c r="B3">
        <v>-3.2725647568992748</v>
      </c>
      <c r="C3" t="b">
        <v>0</v>
      </c>
      <c r="D3" t="b">
        <v>1</v>
      </c>
    </row>
    <row r="4" spans="1:100" x14ac:dyDescent="0.2">
      <c r="A4">
        <v>-0.40935481016144565</v>
      </c>
      <c r="B4">
        <v>2.0315172703350726</v>
      </c>
      <c r="C4" t="b">
        <v>0</v>
      </c>
      <c r="D4" t="b">
        <v>0</v>
      </c>
    </row>
    <row r="5" spans="1:100" x14ac:dyDescent="0.2">
      <c r="A5">
        <v>-1.479592604535932</v>
      </c>
      <c r="B5">
        <v>-2.2379718387660041</v>
      </c>
      <c r="C5" t="b">
        <v>0</v>
      </c>
      <c r="D5" t="b">
        <v>0</v>
      </c>
    </row>
    <row r="6" spans="1:100" x14ac:dyDescent="0.2">
      <c r="A6">
        <v>1.8110756828005981</v>
      </c>
      <c r="B6">
        <v>4</v>
      </c>
      <c r="C6" t="b">
        <v>0</v>
      </c>
      <c r="D6" t="b">
        <v>0</v>
      </c>
    </row>
    <row r="7" spans="1:100" x14ac:dyDescent="0.2">
      <c r="A7">
        <v>8</v>
      </c>
      <c r="B7">
        <v>5</v>
      </c>
      <c r="C7" t="b">
        <v>1</v>
      </c>
      <c r="D7" t="b">
        <v>1</v>
      </c>
    </row>
    <row r="8" spans="1:100" x14ac:dyDescent="0.2">
      <c r="A8">
        <v>-0.30723615599325882</v>
      </c>
      <c r="B8">
        <v>2.0228895016109072</v>
      </c>
      <c r="C8" t="b">
        <v>0</v>
      </c>
      <c r="D8" t="b">
        <v>0</v>
      </c>
    </row>
    <row r="9" spans="1:100" x14ac:dyDescent="0.2">
      <c r="A9">
        <v>13</v>
      </c>
      <c r="B9">
        <v>9</v>
      </c>
      <c r="C9" t="b">
        <v>0</v>
      </c>
      <c r="D9" t="b">
        <v>1</v>
      </c>
    </row>
    <row r="10" spans="1:100" x14ac:dyDescent="0.2">
      <c r="A10">
        <v>1.3803796539630533</v>
      </c>
      <c r="B10">
        <v>6.3251059591845431</v>
      </c>
      <c r="C10" t="b">
        <v>1</v>
      </c>
      <c r="D10" t="b">
        <v>1</v>
      </c>
    </row>
    <row r="11" spans="1:100" x14ac:dyDescent="0.2">
      <c r="A11">
        <v>8.4427372017371785E-2</v>
      </c>
      <c r="B11">
        <v>5.4220501567463426</v>
      </c>
      <c r="C11" t="b">
        <v>1</v>
      </c>
      <c r="D11" t="b">
        <v>1</v>
      </c>
    </row>
    <row r="12" spans="1:100" x14ac:dyDescent="0.2">
      <c r="A12">
        <v>0.91409189597286977</v>
      </c>
      <c r="B12">
        <v>9.7085240838788316</v>
      </c>
      <c r="C12" t="b">
        <v>0</v>
      </c>
      <c r="D12" t="b">
        <v>0</v>
      </c>
    </row>
    <row r="13" spans="1:100" x14ac:dyDescent="0.2">
      <c r="A13">
        <v>-0.89773712069108735</v>
      </c>
      <c r="B13">
        <v>9.7085240838788316</v>
      </c>
      <c r="C13" t="b">
        <v>0</v>
      </c>
      <c r="D13" t="b">
        <v>0</v>
      </c>
    </row>
  </sheetData>
  <phoneticPr fontId="15" type="noConversion"/>
  <dataValidations count="2">
    <dataValidation allowBlank="1" showInputMessage="1" showErrorMessage="1" promptTitle="Eksempel overskrift" prompt="Overskriften til hvert observationssæt skal være unik." sqref="A1" xr:uid="{08870AA2-D5D3-4885-A05F-5AF496214B3F}"/>
    <dataValidation allowBlank="1" showInputMessage="1" showErrorMessage="1" promptTitle="Eksempel data" prompt="Data må ikke indeholde blanke celler._x000a_Data skal enten være tal eller Sand/Falsk." sqref="A2:A13" xr:uid="{C3CBEA53-4036-4D82-B754-5A683357DBA4}"/>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61A48-E0ED-449C-85DB-8AD2A6266EE9}">
  <sheetPr codeName="Sheet5"/>
  <dimension ref="A1:CW5"/>
  <sheetViews>
    <sheetView showGridLines="0" topLeftCell="BY1" workbookViewId="0"/>
  </sheetViews>
  <sheetFormatPr defaultRowHeight="14.25" x14ac:dyDescent="0.2"/>
  <cols>
    <col min="1" max="1" width="19.125" customWidth="1"/>
  </cols>
  <sheetData>
    <row r="1" spans="1:101" x14ac:dyDescent="0.2">
      <c r="A1" t="s">
        <v>283</v>
      </c>
      <c r="B1" cm="1">
        <f t="array" ref="B1">SUM(--_xlfn.ANCHORARRAY(B4))</f>
        <v>4</v>
      </c>
    </row>
    <row r="2" spans="1:101" x14ac:dyDescent="0.2">
      <c r="A2" t="s">
        <v>1114</v>
      </c>
      <c r="B2">
        <f>MAX(B5:CW5)</f>
        <v>12</v>
      </c>
    </row>
    <row r="3" spans="1:101" x14ac:dyDescent="0.2">
      <c r="A3" t="s">
        <v>1116</v>
      </c>
      <c r="B3">
        <f>_xlfn.XMATCH(TRUE,_xlfn.ANCHORARRAY(B4),0,-1)</f>
        <v>4</v>
      </c>
    </row>
    <row r="4" spans="1:101" x14ac:dyDescent="0.2">
      <c r="A4" t="s">
        <v>1115</v>
      </c>
      <c r="B4" t="b" cm="1">
        <f t="array" ref="B4:CW4">NOT(ISBLANK(Data!A1:CV1))</f>
        <v>1</v>
      </c>
      <c r="C4" t="b">
        <v>1</v>
      </c>
      <c r="D4" t="b">
        <v>1</v>
      </c>
      <c r="E4" t="b">
        <v>1</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b">
        <v>0</v>
      </c>
      <c r="CD4" t="b">
        <v>0</v>
      </c>
      <c r="CE4" t="b">
        <v>0</v>
      </c>
      <c r="CF4" t="b">
        <v>0</v>
      </c>
      <c r="CG4" t="b">
        <v>0</v>
      </c>
      <c r="CH4" t="b">
        <v>0</v>
      </c>
      <c r="CI4" t="b">
        <v>0</v>
      </c>
      <c r="CJ4" t="b">
        <v>0</v>
      </c>
      <c r="CK4" t="b">
        <v>0</v>
      </c>
      <c r="CL4" t="b">
        <v>0</v>
      </c>
      <c r="CM4" t="b">
        <v>0</v>
      </c>
      <c r="CN4" t="b">
        <v>0</v>
      </c>
      <c r="CO4" t="b">
        <v>0</v>
      </c>
      <c r="CP4" t="b">
        <v>0</v>
      </c>
      <c r="CQ4" t="b">
        <v>0</v>
      </c>
      <c r="CR4" t="b">
        <v>0</v>
      </c>
      <c r="CS4" t="b">
        <v>0</v>
      </c>
      <c r="CT4" t="b">
        <v>0</v>
      </c>
      <c r="CU4" t="b">
        <v>0</v>
      </c>
      <c r="CV4" t="b">
        <v>0</v>
      </c>
      <c r="CW4" t="b">
        <v>0</v>
      </c>
    </row>
    <row r="5" spans="1:101" x14ac:dyDescent="0.2">
      <c r="A5" t="s">
        <v>29</v>
      </c>
      <c r="B5">
        <f>IF(B4,COUNTA(Data!A:A)-1,0)</f>
        <v>12</v>
      </c>
      <c r="C5">
        <f>IF(C4,COUNTA(Data!B:B)-1,0)</f>
        <v>12</v>
      </c>
      <c r="D5">
        <f>IF(D4,COUNTA(Data!C:C)-1,0)</f>
        <v>12</v>
      </c>
      <c r="E5">
        <f>IF(E4,COUNTA(Data!D:D)-1,0)</f>
        <v>12</v>
      </c>
      <c r="F5">
        <f>IF(F4,COUNTA(Data!E:E)-1,0)</f>
        <v>0</v>
      </c>
      <c r="G5">
        <f>IF(G4,COUNTA(Data!F:F)-1,0)</f>
        <v>0</v>
      </c>
      <c r="H5">
        <f>IF(H4,COUNTA(Data!G:G)-1,0)</f>
        <v>0</v>
      </c>
      <c r="I5">
        <f>IF(I4,COUNTA(Data!H:H)-1,0)</f>
        <v>0</v>
      </c>
      <c r="J5">
        <f>IF(J4,COUNTA(Data!I:I)-1,0)</f>
        <v>0</v>
      </c>
      <c r="K5">
        <f>IF(K4,COUNTA(Data!J:J)-1,0)</f>
        <v>0</v>
      </c>
      <c r="L5">
        <f>IF(L4,COUNTA(Data!K:K)-1,0)</f>
        <v>0</v>
      </c>
      <c r="M5">
        <f>IF(M4,COUNTA(Data!L:L)-1,0)</f>
        <v>0</v>
      </c>
      <c r="N5">
        <f>IF(N4,COUNTA(Data!M:M)-1,0)</f>
        <v>0</v>
      </c>
      <c r="O5">
        <f>IF(O4,COUNTA(Data!N:N)-1,0)</f>
        <v>0</v>
      </c>
      <c r="P5">
        <f>IF(P4,COUNTA(Data!O:O)-1,0)</f>
        <v>0</v>
      </c>
      <c r="Q5">
        <f>IF(Q4,COUNTA(Data!P:P)-1,0)</f>
        <v>0</v>
      </c>
      <c r="R5">
        <f>IF(R4,COUNTA(Data!Q:Q)-1,0)</f>
        <v>0</v>
      </c>
      <c r="S5">
        <f>IF(S4,COUNTA(Data!R:R)-1,0)</f>
        <v>0</v>
      </c>
      <c r="T5">
        <f>IF(T4,COUNTA(Data!S:S)-1,0)</f>
        <v>0</v>
      </c>
      <c r="U5">
        <f>IF(U4,COUNTA(Data!T:T)-1,0)</f>
        <v>0</v>
      </c>
      <c r="V5">
        <f>IF(V4,COUNTA(Data!U:U)-1,0)</f>
        <v>0</v>
      </c>
      <c r="W5">
        <f>IF(W4,COUNTA(Data!V:V)-1,0)</f>
        <v>0</v>
      </c>
      <c r="X5">
        <f>IF(X4,COUNTA(Data!W:W)-1,0)</f>
        <v>0</v>
      </c>
      <c r="Y5">
        <f>IF(Y4,COUNTA(Data!X:X)-1,0)</f>
        <v>0</v>
      </c>
      <c r="Z5">
        <f>IF(Z4,COUNTA(Data!Y:Y)-1,0)</f>
        <v>0</v>
      </c>
      <c r="AA5">
        <f>IF(AA4,COUNTA(Data!Z:Z)-1,0)</f>
        <v>0</v>
      </c>
      <c r="AB5">
        <f>IF(AB4,COUNTA(Data!AA:AA)-1,0)</f>
        <v>0</v>
      </c>
      <c r="AC5">
        <f>IF(AC4,COUNTA(Data!AB:AB)-1,0)</f>
        <v>0</v>
      </c>
      <c r="AD5">
        <f>IF(AD4,COUNTA(Data!AC:AC)-1,0)</f>
        <v>0</v>
      </c>
      <c r="AE5">
        <f>IF(AE4,COUNTA(Data!AD:AD)-1,0)</f>
        <v>0</v>
      </c>
      <c r="AF5">
        <f>IF(AF4,COUNTA(Data!AE:AE)-1,0)</f>
        <v>0</v>
      </c>
      <c r="AG5">
        <f>IF(AG4,COUNTA(Data!AF:AF)-1,0)</f>
        <v>0</v>
      </c>
      <c r="AH5">
        <f>IF(AH4,COUNTA(Data!AG:AG)-1,0)</f>
        <v>0</v>
      </c>
      <c r="AI5">
        <f>IF(AI4,COUNTA(Data!AH:AH)-1,0)</f>
        <v>0</v>
      </c>
      <c r="AJ5">
        <f>IF(AJ4,COUNTA(Data!AI:AI)-1,0)</f>
        <v>0</v>
      </c>
      <c r="AK5">
        <f>IF(AK4,COUNTA(Data!AJ:AJ)-1,0)</f>
        <v>0</v>
      </c>
      <c r="AL5">
        <f>IF(AL4,COUNTA(Data!AK:AK)-1,0)</f>
        <v>0</v>
      </c>
      <c r="AM5">
        <f>IF(AM4,COUNTA(Data!AL:AL)-1,0)</f>
        <v>0</v>
      </c>
      <c r="AN5">
        <f>IF(AN4,COUNTA(Data!AM:AM)-1,0)</f>
        <v>0</v>
      </c>
      <c r="AO5">
        <f>IF(AO4,COUNTA(Data!AN:AN)-1,0)</f>
        <v>0</v>
      </c>
      <c r="AP5">
        <f>IF(AP4,COUNTA(Data!AO:AO)-1,0)</f>
        <v>0</v>
      </c>
      <c r="AQ5">
        <f>IF(AQ4,COUNTA(Data!AP:AP)-1,0)</f>
        <v>0</v>
      </c>
      <c r="AR5">
        <f>IF(AR4,COUNTA(Data!AQ:AQ)-1,0)</f>
        <v>0</v>
      </c>
      <c r="AS5">
        <f>IF(AS4,COUNTA(Data!AR:AR)-1,0)</f>
        <v>0</v>
      </c>
      <c r="AT5">
        <f>IF(AT4,COUNTA(Data!AS:AS)-1,0)</f>
        <v>0</v>
      </c>
      <c r="AU5">
        <f>IF(AU4,COUNTA(Data!AT:AT)-1,0)</f>
        <v>0</v>
      </c>
      <c r="AV5">
        <f>IF(AV4,COUNTA(Data!AU:AU)-1,0)</f>
        <v>0</v>
      </c>
      <c r="AW5">
        <f>IF(AW4,COUNTA(Data!AV:AV)-1,0)</f>
        <v>0</v>
      </c>
      <c r="AX5">
        <f>IF(AX4,COUNTA(Data!AW:AW)-1,0)</f>
        <v>0</v>
      </c>
      <c r="AY5">
        <f>IF(AY4,COUNTA(Data!AX:AX)-1,0)</f>
        <v>0</v>
      </c>
      <c r="AZ5">
        <f>IF(AZ4,COUNTA(Data!AY:AY)-1,0)</f>
        <v>0</v>
      </c>
      <c r="BA5">
        <f>IF(BA4,COUNTA(Data!AZ:AZ)-1,0)</f>
        <v>0</v>
      </c>
      <c r="BB5">
        <f>IF(BB4,COUNTA(Data!BA:BA)-1,0)</f>
        <v>0</v>
      </c>
      <c r="BC5">
        <f>IF(BC4,COUNTA(Data!BB:BB)-1,0)</f>
        <v>0</v>
      </c>
      <c r="BD5">
        <f>IF(BD4,COUNTA(Data!BC:BC)-1,0)</f>
        <v>0</v>
      </c>
      <c r="BE5">
        <f>IF(BE4,COUNTA(Data!BD:BD)-1,0)</f>
        <v>0</v>
      </c>
      <c r="BF5">
        <f>IF(BF4,COUNTA(Data!BE:BE)-1,0)</f>
        <v>0</v>
      </c>
      <c r="BG5">
        <f>IF(BG4,COUNTA(Data!BF:BF)-1,0)</f>
        <v>0</v>
      </c>
      <c r="BH5">
        <f>IF(BH4,COUNTA(Data!BG:BG)-1,0)</f>
        <v>0</v>
      </c>
      <c r="BI5">
        <f>IF(BI4,COUNTA(Data!BH:BH)-1,0)</f>
        <v>0</v>
      </c>
      <c r="BJ5">
        <f>IF(BJ4,COUNTA(Data!BI:BI)-1,0)</f>
        <v>0</v>
      </c>
      <c r="BK5">
        <f>IF(BK4,COUNTA(Data!BJ:BJ)-1,0)</f>
        <v>0</v>
      </c>
      <c r="BL5">
        <f>IF(BL4,COUNTA(Data!BK:BK)-1,0)</f>
        <v>0</v>
      </c>
      <c r="BM5">
        <f>IF(BM4,COUNTA(Data!BL:BL)-1,0)</f>
        <v>0</v>
      </c>
      <c r="BN5">
        <f>IF(BN4,COUNTA(Data!BM:BM)-1,0)</f>
        <v>0</v>
      </c>
      <c r="BO5">
        <f>IF(BO4,COUNTA(Data!BN:BN)-1,0)</f>
        <v>0</v>
      </c>
      <c r="BP5">
        <f>IF(BP4,COUNTA(Data!BO:BO)-1,0)</f>
        <v>0</v>
      </c>
      <c r="BQ5">
        <f>IF(BQ4,COUNTA(Data!BP:BP)-1,0)</f>
        <v>0</v>
      </c>
      <c r="BR5">
        <f>IF(BR4,COUNTA(Data!BQ:BQ)-1,0)</f>
        <v>0</v>
      </c>
      <c r="BS5">
        <f>IF(BS4,COUNTA(Data!BR:BR)-1,0)</f>
        <v>0</v>
      </c>
      <c r="BT5">
        <f>IF(BT4,COUNTA(Data!BS:BS)-1,0)</f>
        <v>0</v>
      </c>
      <c r="BU5">
        <f>IF(BU4,COUNTA(Data!BT:BT)-1,0)</f>
        <v>0</v>
      </c>
      <c r="BV5">
        <f>IF(BV4,COUNTA(Data!BU:BU)-1,0)</f>
        <v>0</v>
      </c>
      <c r="BW5">
        <f>IF(BW4,COUNTA(Data!BV:BV)-1,0)</f>
        <v>0</v>
      </c>
      <c r="BX5">
        <f>IF(BX4,COUNTA(Data!BW:BW)-1,0)</f>
        <v>0</v>
      </c>
      <c r="BY5">
        <f>IF(BY4,COUNTA(Data!BX:BX)-1,0)</f>
        <v>0</v>
      </c>
      <c r="BZ5">
        <f>IF(BZ4,COUNTA(Data!BY:BY)-1,0)</f>
        <v>0</v>
      </c>
      <c r="CA5">
        <f>IF(CA4,COUNTA(Data!BZ:BZ)-1,0)</f>
        <v>0</v>
      </c>
      <c r="CB5">
        <f>IF(CB4,COUNTA(Data!CA:CA)-1,0)</f>
        <v>0</v>
      </c>
      <c r="CC5">
        <f>IF(CC4,COUNTA(Data!CB:CB)-1,0)</f>
        <v>0</v>
      </c>
      <c r="CD5">
        <f>IF(CD4,COUNTA(Data!CC:CC)-1,0)</f>
        <v>0</v>
      </c>
      <c r="CE5">
        <f>IF(CE4,COUNTA(Data!CD:CD)-1,0)</f>
        <v>0</v>
      </c>
      <c r="CF5">
        <f>IF(CF4,COUNTA(Data!CE:CE)-1,0)</f>
        <v>0</v>
      </c>
      <c r="CG5">
        <f>IF(CG4,COUNTA(Data!CF:CF)-1,0)</f>
        <v>0</v>
      </c>
      <c r="CH5">
        <f>IF(CH4,COUNTA(Data!CG:CG)-1,0)</f>
        <v>0</v>
      </c>
      <c r="CI5">
        <f>IF(CI4,COUNTA(Data!CH:CH)-1,0)</f>
        <v>0</v>
      </c>
      <c r="CJ5">
        <f>IF(CJ4,COUNTA(Data!CI:CI)-1,0)</f>
        <v>0</v>
      </c>
      <c r="CK5">
        <f>IF(CK4,COUNTA(Data!CJ:CJ)-1,0)</f>
        <v>0</v>
      </c>
      <c r="CL5">
        <f>IF(CL4,COUNTA(Data!CK:CK)-1,0)</f>
        <v>0</v>
      </c>
      <c r="CM5">
        <f>IF(CM4,COUNTA(Data!CL:CL)-1,0)</f>
        <v>0</v>
      </c>
      <c r="CN5">
        <f>IF(CN4,COUNTA(Data!CM:CM)-1,0)</f>
        <v>0</v>
      </c>
      <c r="CO5">
        <f>IF(CO4,COUNTA(Data!CN:CN)-1,0)</f>
        <v>0</v>
      </c>
      <c r="CP5">
        <f>IF(CP4,COUNTA(Data!CO:CO)-1,0)</f>
        <v>0</v>
      </c>
      <c r="CQ5">
        <f>IF(CQ4,COUNTA(Data!CP:CP)-1,0)</f>
        <v>0</v>
      </c>
      <c r="CR5">
        <f>IF(CR4,COUNTA(Data!CQ:CQ)-1,0)</f>
        <v>0</v>
      </c>
      <c r="CS5">
        <f>IF(CS4,COUNTA(Data!CR:CR)-1,0)</f>
        <v>0</v>
      </c>
      <c r="CT5">
        <f>IF(CT4,COUNTA(Data!CS:CS)-1,0)</f>
        <v>0</v>
      </c>
      <c r="CU5">
        <f>IF(CU4,COUNTA(Data!CT:CT)-1,0)</f>
        <v>0</v>
      </c>
      <c r="CV5">
        <f>IF(CV4,COUNTA(Data!CU:CU)-1,0)</f>
        <v>0</v>
      </c>
      <c r="CW5">
        <f>IF(CW4,COUNTA(Data!CV:CV)-1,0)</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3E4A4-CE0E-4196-B177-1BC5375F3726}">
  <sheetPr codeName="Sheet16"/>
  <dimension ref="A1:G10"/>
  <sheetViews>
    <sheetView showGridLines="0" workbookViewId="0">
      <selection activeCell="C1" sqref="C1"/>
    </sheetView>
  </sheetViews>
  <sheetFormatPr defaultRowHeight="14.25" x14ac:dyDescent="0.2"/>
  <cols>
    <col min="1" max="3" width="33" customWidth="1"/>
    <col min="4" max="4" width="20" bestFit="1" customWidth="1"/>
    <col min="5" max="5" width="17.375" bestFit="1" customWidth="1"/>
    <col min="6" max="6" width="26.5" bestFit="1" customWidth="1"/>
    <col min="7" max="7" width="38.25" bestFit="1" customWidth="1"/>
    <col min="8" max="8" width="21.25" customWidth="1"/>
  </cols>
  <sheetData>
    <row r="1" spans="1:7" ht="18.75" x14ac:dyDescent="0.2">
      <c r="A1" s="1" t="s">
        <v>917</v>
      </c>
      <c r="B1" s="1" t="s">
        <v>930</v>
      </c>
      <c r="C1" s="1" t="s">
        <v>1124</v>
      </c>
      <c r="D1" s="1" t="s">
        <v>1109</v>
      </c>
      <c r="E1" s="1" t="s">
        <v>1110</v>
      </c>
      <c r="F1" s="1" t="s">
        <v>1112</v>
      </c>
      <c r="G1" s="1" t="s">
        <v>1113</v>
      </c>
    </row>
    <row r="2" spans="1:7" x14ac:dyDescent="0.2">
      <c r="A2" t="s">
        <v>918</v>
      </c>
      <c r="B2" t="b">
        <f>TRUE()</f>
        <v>1</v>
      </c>
      <c r="C2" t="str" cm="1">
        <f t="array" ref="C2:C5">TRANSPOSE(_xlfn._xlws.FILTER(Data!A1:CV1,NOT(ISBLANK(Data!A1:CV1))))</f>
        <v>Eksempel 1 (interval)</v>
      </c>
      <c r="D2" s="54" t="s">
        <v>44</v>
      </c>
      <c r="E2" s="54" t="s">
        <v>128</v>
      </c>
      <c r="F2" t="s">
        <v>44</v>
      </c>
      <c r="G2" t="s">
        <v>128</v>
      </c>
    </row>
    <row r="3" spans="1:7" x14ac:dyDescent="0.2">
      <c r="A3" t="s">
        <v>919</v>
      </c>
      <c r="B3" t="b">
        <f>FALSE()</f>
        <v>0</v>
      </c>
      <c r="C3" t="str">
        <v>Eksempel 2 (interval)</v>
      </c>
      <c r="D3" s="54" t="s">
        <v>302</v>
      </c>
      <c r="E3" s="54" t="s">
        <v>130</v>
      </c>
      <c r="F3" t="s">
        <v>132</v>
      </c>
      <c r="G3" t="s">
        <v>130</v>
      </c>
    </row>
    <row r="4" spans="1:7" x14ac:dyDescent="0.2">
      <c r="C4" t="str">
        <v>Eksempel 3 (nominal)</v>
      </c>
      <c r="D4" s="54" t="s">
        <v>303</v>
      </c>
      <c r="E4" s="54" t="s">
        <v>142</v>
      </c>
      <c r="F4" t="s">
        <v>133</v>
      </c>
      <c r="G4" t="s">
        <v>139</v>
      </c>
    </row>
    <row r="5" spans="1:7" x14ac:dyDescent="0.2">
      <c r="C5" t="str">
        <v>Eksempel 4 (nominal)</v>
      </c>
      <c r="D5" s="54" t="s">
        <v>127</v>
      </c>
      <c r="E5" s="54" t="s">
        <v>143</v>
      </c>
      <c r="F5" t="s">
        <v>134</v>
      </c>
      <c r="G5" t="s">
        <v>141</v>
      </c>
    </row>
    <row r="6" spans="1:7" x14ac:dyDescent="0.2">
      <c r="F6" t="s">
        <v>135</v>
      </c>
      <c r="G6" t="s">
        <v>142</v>
      </c>
    </row>
    <row r="7" spans="1:7" x14ac:dyDescent="0.2">
      <c r="F7" t="s">
        <v>136</v>
      </c>
      <c r="G7" t="s">
        <v>143</v>
      </c>
    </row>
    <row r="8" spans="1:7" x14ac:dyDescent="0.2">
      <c r="F8" t="s">
        <v>137</v>
      </c>
      <c r="G8" t="s">
        <v>144</v>
      </c>
    </row>
    <row r="9" spans="1:7" x14ac:dyDescent="0.2">
      <c r="G9" t="s">
        <v>131</v>
      </c>
    </row>
    <row r="10" spans="1:7" x14ac:dyDescent="0.2">
      <c r="G10" t="s">
        <v>140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E7A68-7054-4B5A-9363-EB775D8E635D}">
  <sheetPr codeName="Sheet1">
    <tabColor theme="6"/>
  </sheetPr>
  <dimension ref="A1:DS9718"/>
  <sheetViews>
    <sheetView showGridLines="0" zoomScaleNormal="100" workbookViewId="0"/>
  </sheetViews>
  <sheetFormatPr defaultColWidth="8.75" defaultRowHeight="14.25" x14ac:dyDescent="0.2"/>
  <cols>
    <col min="1" max="1" width="65" style="42" customWidth="1"/>
    <col min="2" max="2" width="41" style="42" customWidth="1"/>
    <col min="3" max="3" width="17" style="42" customWidth="1"/>
    <col min="4" max="4" width="9.625" style="42" customWidth="1"/>
    <col min="5" max="5" width="32.375" style="42" customWidth="1"/>
    <col min="6" max="6" width="34.125" style="42" customWidth="1"/>
    <col min="7" max="7" width="35.5" style="42" customWidth="1"/>
    <col min="8" max="9" width="20.25" style="42" customWidth="1"/>
    <col min="10" max="12" width="15.375" style="42" customWidth="1"/>
    <col min="13" max="13" width="14.375" style="42" bestFit="1" customWidth="1"/>
    <col min="14" max="14" width="9.5" style="42" customWidth="1"/>
    <col min="15" max="20" width="20.25" style="42" customWidth="1"/>
    <col min="21" max="21" width="15" style="42" customWidth="1"/>
    <col min="25" max="25" width="40.5" customWidth="1"/>
    <col min="35" max="35" width="9.875" customWidth="1"/>
    <col min="36" max="36" width="8.75" style="42"/>
    <col min="37" max="37" width="18.125" style="42" bestFit="1" customWidth="1"/>
    <col min="38" max="38" width="9.375" style="42" bestFit="1" customWidth="1"/>
    <col min="39" max="39" width="10.25" style="42" bestFit="1" customWidth="1"/>
    <col min="40" max="42" width="10.125" style="42" customWidth="1"/>
    <col min="43" max="43" width="21.25" style="42" customWidth="1"/>
    <col min="44" max="47" width="10.125" style="42" customWidth="1"/>
    <col min="48" max="49" width="8.75" style="42"/>
    <col min="50" max="50" width="14.5" style="42" customWidth="1"/>
    <col min="51" max="51" width="10.375" style="42" customWidth="1"/>
    <col min="52" max="53" width="14.25" style="42" customWidth="1"/>
    <col min="54" max="54" width="9" style="42" customWidth="1"/>
    <col min="55" max="55" width="14.875" style="42" customWidth="1"/>
    <col min="56" max="56" width="20.5" style="42" customWidth="1"/>
    <col min="57" max="57" width="7.625" style="42" customWidth="1"/>
    <col min="58" max="58" width="7.75" style="42" customWidth="1"/>
    <col min="59" max="59" width="7.625" style="42" customWidth="1"/>
    <col min="60" max="60" width="8.125" style="42" customWidth="1"/>
    <col min="61" max="62" width="8.75" style="42" customWidth="1"/>
    <col min="63" max="63" width="21.5" style="42" customWidth="1"/>
    <col min="64" max="64" width="14.875" style="42" customWidth="1"/>
    <col min="65" max="66" width="20.5" style="42" customWidth="1"/>
    <col min="67" max="67" width="14.375" style="42" customWidth="1"/>
    <col min="68" max="68" width="7.5" style="42" bestFit="1" customWidth="1"/>
    <col min="69" max="69" width="13.875" bestFit="1" customWidth="1"/>
    <col min="70" max="71" width="14.5" customWidth="1"/>
    <col min="72" max="72" width="27.375" bestFit="1" customWidth="1"/>
    <col min="73" max="73" width="13.875" bestFit="1" customWidth="1"/>
    <col min="74" max="74" width="17.75" bestFit="1" customWidth="1"/>
    <col min="75" max="75" width="7.75" customWidth="1"/>
    <col min="76" max="76" width="9.625" customWidth="1"/>
    <col min="77" max="79" width="8.75" customWidth="1"/>
    <col min="80" max="81" width="17.625" customWidth="1"/>
    <col min="82" max="82" width="10.25" customWidth="1"/>
    <col min="83" max="83" width="11.5" customWidth="1"/>
    <col min="84" max="84" width="8.75" customWidth="1"/>
    <col min="85" max="85" width="20" customWidth="1"/>
    <col min="86" max="90" width="11.875" customWidth="1"/>
    <col min="91" max="91" width="15.5" bestFit="1" customWidth="1"/>
    <col min="92" max="92" width="15.5" customWidth="1"/>
    <col min="93" max="93" width="10.75" customWidth="1"/>
    <col min="94" max="94" width="9.375" customWidth="1"/>
    <col min="95" max="95" width="11.875" customWidth="1"/>
    <col min="96" max="96" width="6.875" customWidth="1"/>
    <col min="97" max="97" width="8.75" customWidth="1"/>
    <col min="98" max="98" width="17" customWidth="1"/>
    <col min="99" max="102" width="10.125" customWidth="1"/>
    <col min="103" max="104" width="8.75" customWidth="1"/>
    <col min="105" max="105" width="14.75" customWidth="1"/>
    <col min="106" max="106" width="9.125" customWidth="1"/>
    <col min="107" max="107" width="9.625" customWidth="1"/>
    <col min="108" max="110" width="23.75" customWidth="1"/>
    <col min="115" max="115" width="15.375" customWidth="1"/>
    <col min="116" max="116" width="17.25" bestFit="1" customWidth="1"/>
    <col min="117" max="117" width="15.375" customWidth="1"/>
    <col min="118" max="118" width="19.75" bestFit="1" customWidth="1"/>
    <col min="119" max="119" width="12.125" customWidth="1"/>
    <col min="120" max="120" width="12.75" bestFit="1" customWidth="1"/>
    <col min="121" max="121" width="13.375" customWidth="1"/>
    <col min="122" max="122" width="13.375" style="42" bestFit="1" customWidth="1"/>
    <col min="123" max="123" width="13.375" style="42" customWidth="1"/>
    <col min="124" max="125" width="8.75" style="42"/>
    <col min="126" max="126" width="20.625" style="42" bestFit="1" customWidth="1"/>
    <col min="127" max="16384" width="8.75" style="42"/>
  </cols>
  <sheetData>
    <row r="1" spans="1:123" s="44" customFormat="1" ht="18.75" x14ac:dyDescent="0.2">
      <c r="A1" s="74" t="s">
        <v>8</v>
      </c>
      <c r="B1" s="94" t="s">
        <v>123</v>
      </c>
      <c r="C1" s="42"/>
      <c r="D1" s="42"/>
      <c r="R1" s="179" t="s">
        <v>548</v>
      </c>
      <c r="S1" s="179" t="s">
        <v>595</v>
      </c>
      <c r="T1" s="179" t="s">
        <v>6</v>
      </c>
      <c r="U1" s="179" t="s">
        <v>573</v>
      </c>
      <c r="V1" s="179" t="s">
        <v>574</v>
      </c>
      <c r="W1" s="179" t="s">
        <v>575</v>
      </c>
      <c r="X1" s="62"/>
      <c r="Y1" s="179" t="s">
        <v>582</v>
      </c>
      <c r="Z1" s="179" t="s">
        <v>579</v>
      </c>
      <c r="AA1" s="179" t="s">
        <v>587</v>
      </c>
      <c r="AB1" s="179" t="s">
        <v>588</v>
      </c>
      <c r="AC1" s="179" t="s">
        <v>590</v>
      </c>
      <c r="AD1" s="179" t="s">
        <v>687</v>
      </c>
      <c r="AE1" s="179" t="s">
        <v>690</v>
      </c>
      <c r="AF1" s="179" t="s">
        <v>691</v>
      </c>
      <c r="AG1" s="179" t="s">
        <v>589</v>
      </c>
      <c r="AH1" s="179" t="s">
        <v>596</v>
      </c>
      <c r="AI1" s="179" t="s">
        <v>599</v>
      </c>
      <c r="AJ1" s="179" t="s">
        <v>601</v>
      </c>
      <c r="AK1" s="179" t="s">
        <v>597</v>
      </c>
      <c r="AL1" s="179" t="s">
        <v>598</v>
      </c>
      <c r="AM1" s="179" t="s">
        <v>602</v>
      </c>
      <c r="AN1" s="179" t="s">
        <v>604</v>
      </c>
      <c r="AO1" s="179" t="s">
        <v>683</v>
      </c>
      <c r="AP1" s="62"/>
      <c r="AQ1" s="179" t="s">
        <v>608</v>
      </c>
      <c r="AR1" s="182" t="s">
        <v>614</v>
      </c>
      <c r="AS1" s="182" t="s">
        <v>620</v>
      </c>
      <c r="AT1" s="182" t="s">
        <v>615</v>
      </c>
      <c r="AU1" s="182" t="s">
        <v>618</v>
      </c>
      <c r="AV1" s="182" t="s">
        <v>610</v>
      </c>
      <c r="AW1" s="182" t="s">
        <v>611</v>
      </c>
      <c r="AX1" s="182" t="s">
        <v>613</v>
      </c>
      <c r="AY1" s="182" t="s">
        <v>619</v>
      </c>
      <c r="AZ1" s="182" t="s">
        <v>616</v>
      </c>
      <c r="BA1" s="159"/>
      <c r="BB1" s="179" t="s">
        <v>621</v>
      </c>
      <c r="BC1" s="182" t="s">
        <v>632</v>
      </c>
      <c r="BD1" s="183" t="s">
        <v>624</v>
      </c>
      <c r="BE1" s="179" t="s">
        <v>641</v>
      </c>
      <c r="BF1" s="179" t="s">
        <v>629</v>
      </c>
      <c r="BG1" s="179" t="s">
        <v>625</v>
      </c>
      <c r="BH1" s="179" t="s">
        <v>633</v>
      </c>
      <c r="BI1" s="179" t="s">
        <v>634</v>
      </c>
      <c r="BJ1" s="179" t="s">
        <v>631</v>
      </c>
      <c r="BK1" s="182" t="s">
        <v>628</v>
      </c>
      <c r="BL1" s="180" t="s">
        <v>630</v>
      </c>
      <c r="BM1" s="180" t="s">
        <v>635</v>
      </c>
      <c r="BN1" s="178" t="s">
        <v>636</v>
      </c>
      <c r="BO1" s="179" t="s">
        <v>637</v>
      </c>
      <c r="BP1" s="179" t="s">
        <v>638</v>
      </c>
      <c r="BQ1" s="180" t="s">
        <v>639</v>
      </c>
      <c r="BR1" s="182" t="s">
        <v>640</v>
      </c>
      <c r="BS1" s="185"/>
      <c r="BT1" s="179" t="s">
        <v>642</v>
      </c>
      <c r="BU1" s="180" t="s">
        <v>660</v>
      </c>
      <c r="BV1" s="180" t="s">
        <v>661</v>
      </c>
      <c r="BW1" s="182" t="s">
        <v>654</v>
      </c>
      <c r="BX1" s="183" t="s">
        <v>656</v>
      </c>
      <c r="BY1" s="183" t="s">
        <v>655</v>
      </c>
      <c r="BZ1" s="183" t="s">
        <v>664</v>
      </c>
      <c r="CA1" s="183" t="s">
        <v>665</v>
      </c>
      <c r="CB1" s="179" t="s">
        <v>657</v>
      </c>
      <c r="CC1" s="62"/>
      <c r="CD1" s="179" t="s">
        <v>666</v>
      </c>
      <c r="CE1" s="184" t="s">
        <v>675</v>
      </c>
      <c r="CF1" s="184" t="s">
        <v>671</v>
      </c>
      <c r="CG1" s="184" t="s">
        <v>670</v>
      </c>
      <c r="CH1" s="184" t="s">
        <v>682</v>
      </c>
      <c r="CI1" s="179" t="s">
        <v>674</v>
      </c>
      <c r="CJ1" s="179" t="s">
        <v>669</v>
      </c>
      <c r="CK1" s="184" t="s">
        <v>676</v>
      </c>
      <c r="CL1" s="184" t="s">
        <v>677</v>
      </c>
      <c r="CM1" s="184" t="s">
        <v>678</v>
      </c>
      <c r="CN1" s="184" t="s">
        <v>672</v>
      </c>
      <c r="CO1" s="184" t="s">
        <v>673</v>
      </c>
      <c r="CP1" s="183" t="s">
        <v>680</v>
      </c>
      <c r="CQ1" s="183" t="s">
        <v>679</v>
      </c>
      <c r="CR1" s="159"/>
      <c r="CS1" s="159"/>
      <c r="CU1"/>
      <c r="CV1"/>
      <c r="CW1"/>
      <c r="CX1"/>
      <c r="CY1"/>
      <c r="CZ1"/>
      <c r="DA1"/>
      <c r="DB1"/>
      <c r="DC1"/>
      <c r="DD1"/>
      <c r="DE1"/>
      <c r="DF1"/>
      <c r="DG1"/>
      <c r="DH1"/>
      <c r="DI1"/>
      <c r="DJ1"/>
      <c r="DK1"/>
      <c r="DL1"/>
      <c r="DM1"/>
      <c r="DN1"/>
      <c r="DO1"/>
      <c r="DP1"/>
      <c r="DQ1"/>
    </row>
    <row r="2" spans="1:123" x14ac:dyDescent="0.2">
      <c r="A2" s="68" t="s">
        <v>9</v>
      </c>
      <c r="R2" s="106">
        <f>_xlfn.XMATCH(B5,DataHeaders,0)</f>
        <v>1</v>
      </c>
      <c r="S2" s="62" cm="1">
        <f t="array" ref="S2:S13">_xlfn.SEQUENCE(R4)</f>
        <v>1</v>
      </c>
      <c r="T2" s="159" cm="1">
        <f t="array" ref="T2:T13">INDEX(Data,_xlfn.SEQUENCE(R4),R2)</f>
        <v>1.2989587493526971</v>
      </c>
      <c r="U2" s="62" cm="1">
        <f t="array" ref="U2:U13">_xlfn._xlws.SORT(_xlfn.ANCHORARRAY(T2))</f>
        <v>-1.479592604535932</v>
      </c>
      <c r="V2" s="62" cm="1">
        <f t="array" ref="V2:V13">IFERROR((_xlfn.ANCHORARRAY(U2)-R6)/R8,NA())</f>
        <v>-0.77401919912526185</v>
      </c>
      <c r="W2" s="62" cm="1">
        <f t="array" ref="W2:W13">IF(ISNA(_xlfn.ANCHORARRAY(V2)),NA(),_xlfn.NORM.INV((_xlfn.ANCHORARRAY(S2)-0.5)/R4,0,1))</f>
        <v>-1.7316643961222451</v>
      </c>
      <c r="X2" s="62"/>
      <c r="Y2" s="106" t="str">
        <f>"Histogram med "&amp;B6&amp;" intervaller
og normalfordeling for
"&amp;B5</f>
        <v>Histogram med 15 intervaller
og normalfordeling for
Eksempel 1 (interval)</v>
      </c>
      <c r="Z2" s="62" cm="1">
        <f t="array" ref="Z2:Z16">_xlfn.SEQUENCE(B6)</f>
        <v>1</v>
      </c>
      <c r="AA2" s="62" cm="1">
        <f t="array" ref="AA2:AA16">Y14+(_xlfn.ANCHORARRAY(Z2)-1)*Y18</f>
        <v>-11.06659377856206</v>
      </c>
      <c r="AB2" s="62" cm="1">
        <f t="array" ref="AB2:AB16">Y14+_xlfn.ANCHORARRAY(Z2)*Y18</f>
        <v>-9.3438473523109895</v>
      </c>
      <c r="AC2" s="62" cm="1">
        <f t="array" ref="AC2:AC16">MMULT(--((TRANSPOSE(_xlfn.ANCHORARRAY(T2))&gt;=_xlfn.ANCHORARRAY(AA2))*(TRANSPOSE(_xlfn.ANCHORARRAY(T2))&lt;_xlfn.ANCHORARRAY(AB2))),_xlfn.ANCHORARRAY(AG2))+IF(_xlfn.ANCHORARRAY(Z2)=B6,COUNTIF(_xlfn.ANCHORARRAY(T2),"="&amp;Y16),0)</f>
        <v>0</v>
      </c>
      <c r="AD2" s="62" cm="1">
        <f t="array" ref="AD2:AD8">_xlfn.SEQUENCE(Y40)</f>
        <v>1</v>
      </c>
      <c r="AE2" s="62" cm="1">
        <f t="array" ref="AE2:AE8">(_xlfn.ANCHORARRAY(AD2)-Y42)*IF(Y38,2,1)</f>
        <v>-3</v>
      </c>
      <c r="AF2" s="62" cm="1">
        <f t="array" ref="AF2:AF8">_xlfn.XMATCH(_xlfn.ANCHORARRAY(AE2),_xlfn.ANCHORARRAY(AI2),1)</f>
        <v>1</v>
      </c>
      <c r="AG2" s="62" cm="1">
        <f t="array" ref="AG2:AG13">_xlfn.SEQUENCE(R4,,1,0)</f>
        <v>1</v>
      </c>
      <c r="AH2" s="62" cm="1">
        <f t="array" ref="AH2:AH256">_xlfn.SEQUENCE(Y24)</f>
        <v>1</v>
      </c>
      <c r="AI2" s="62" cm="1">
        <f t="array" ref="AI2:AI256">Y10+(_xlfn.ANCHORARRAY(AH2)-1)*Y26</f>
        <v>-3</v>
      </c>
      <c r="AJ2" s="62" cm="1">
        <f t="array" ref="AJ2:AJ256">IFERROR(_xlfn.NORM.DIST(_xlfn.ANCHORARRAY(AI2),0,1,FALSE),NA())</f>
        <v>4.4318484119380075E-3</v>
      </c>
      <c r="AK2" s="62" cm="1">
        <f t="array" ref="AK2:AK256">ROUNDUP(_xlfn.ANCHORARRAY(AH2)/Y22,0)</f>
        <v>1</v>
      </c>
      <c r="AL2" s="62" cm="1">
        <f t="array" ref="AL2:AL256">INDEX(_xlfn.ANCHORARRAY(AC2),_xlfn.ANCHORARRAY(AK2))</f>
        <v>0</v>
      </c>
      <c r="AM2" s="62" cm="1">
        <f t="array" ref="AM2:AM256">IFERROR(_xlfn.ANCHORARRAY(AL2)/SUM(_xlfn.ANCHORARRAY(AL2))*SUM(_xlfn.ANCHORARRAY(AJ2)),NA())</f>
        <v>0</v>
      </c>
      <c r="AN2" s="62" cm="1">
        <f t="array" ref="AN2:AN256">IFERROR(IF(MOD(_xlfn.ANCHORARRAY(AH2),Y22)=1,ROUND(INDEX(_xlfn.ANCHORARRAY(AA2),_xlfn.ANCHORARRAY(AK2)),Y32),IF(_xlfn.ANCHORARRAY(AH2)=Y24,ROUND(Y16,Y32),"")),"")</f>
        <v>-11.07</v>
      </c>
      <c r="AO2" s="62" t="str" cm="1">
        <f t="array" ref="AO2:AO256">_xlfn.XLOOKUP(_xlfn.ANCHORARRAY(AH2),_xlfn.ANCHORARRAY(AF2),_xlfn.ANCHORARRAY(AE2)&amp;"σ","")</f>
        <v>-3σ</v>
      </c>
      <c r="AP2" s="62"/>
      <c r="AQ2" s="106" t="str">
        <f>IF(ISNA(AQ8),"Søjlediagram kan ikke vise over 1000 unikke værdier","Søjlediagram af
"&amp;B5)</f>
        <v>Søjlediagram af
Eksempel 1 (interval)</v>
      </c>
      <c r="AR2" s="159" cm="1">
        <f t="array" ref="AR2:AR13">_xlfn.UNIQUE(BsData)</f>
        <v>-1.479592604535932</v>
      </c>
      <c r="AS2" s="159" cm="1">
        <f t="array" ref="AS2:AS13">IF(ISLOGICAL(_xlfn.ANCHORARRAY(AR2)),_xlfn.ANCHORARRAY(AR2),ROUND(_xlfn.ANCHORARRAY(AR2),AQ20))</f>
        <v>-1.48</v>
      </c>
      <c r="AT2" s="159" cm="1">
        <f t="array" ref="AT2:AT13">MMULT(--(TRANSPOSE(_xlfn.ANCHORARRAY(T2))=_xlfn.ANCHORARRAY(AR2)),_xlfn.ANCHORARRAY(AG2))</f>
        <v>1</v>
      </c>
      <c r="AU2" s="159" t="str" cm="1">
        <f t="array" ref="AU2:AU13">ROUND(_xlfn.ANCHORARRAY(AT2)/SUM(_xlfn.ANCHORARRAY(AT2))*100,0)&amp;"%"</f>
        <v>8%</v>
      </c>
      <c r="AV2" s="159" cm="1">
        <f t="array" ref="AV2:AV73">_xlfn.SEQUENCE(AQ10)</f>
        <v>1</v>
      </c>
      <c r="AW2" s="159" cm="1">
        <f t="array" ref="AW2:AW73">ROUNDUP(_xlfn.ANCHORARRAY(AV2)/AQ8,0)</f>
        <v>1</v>
      </c>
      <c r="AX2" s="159" cm="1">
        <f t="array" ref="AX2:AX73">(MOD(_xlfn.ANCHORARRAY(AV2),AQ8)=1)+(MOD(_xlfn.ANCHORARRAY(AV2),AQ8)=0)</f>
        <v>1</v>
      </c>
      <c r="AY2" s="159" t="e" cm="1">
        <f t="array" ref="AY2:AY73">IF(_xlfn.ANCHORARRAY(AX2)=0,INDEX(_xlfn.ANCHORARRAY(AT2),_xlfn.ANCHORARRAY(AW2)),NA())</f>
        <v>#N/A</v>
      </c>
      <c r="AZ2" s="159" t="str" cm="1">
        <f t="array" ref="AZ2:AZ73">IF(MOD(_xlfn.ANCHORARRAY(AV2),AQ8)=AQ12,INDEX(_xlfn.ANCHORARRAY(AS2),_xlfn.ANCHORARRAY(AW2))&amp;IF(AQ14," ("&amp;INDEX(_xlfn.ANCHORARRAY(AU2),_xlfn.ANCHORARRAY(AW2))&amp;")",""),"")</f>
        <v/>
      </c>
      <c r="BA2" s="159"/>
      <c r="BB2" s="106" t="str">
        <f>"Kvartilsæt for
"&amp;B5</f>
        <v>Kvartilsæt for
Eksempel 1 (interval)</v>
      </c>
      <c r="BC2" s="159" cm="1">
        <f t="array" ref="BC2:BC6">_xlfn.SEQUENCE(BB9,,0)</f>
        <v>0</v>
      </c>
      <c r="BD2" s="159" cm="1">
        <f t="array" ref="BD2:BD6">IF(_xlfn.ANCHORARRAY(BC2)=0,BB13,IF(_xlfn.ANCHORARRAY(BC2)=BB9-1,BB15,_xlfn.QUARTILE.EXC(_xlfn.ANCHORARRAY(T2),_xlfn.ANCHORARRAY(BC2))))</f>
        <v>-1.479592604535932</v>
      </c>
      <c r="BE2" s="62" cm="1">
        <f t="array" ref="BE2:BE6">ROUND(_xlfn.ANCHORARRAY(BD2),BB27)</f>
        <v>-1.48</v>
      </c>
      <c r="BF2" s="62" cm="1">
        <f t="array" ref="BF2:BF6">ROUND((_xlfn.ANCHORARRAY(BD2)-BB13)/BB17*(BB21),0)</f>
        <v>0</v>
      </c>
      <c r="BG2" s="62" cm="1">
        <f t="array" ref="BG2:BG5">_xlfn.SEQUENCE(BB11)</f>
        <v>1</v>
      </c>
      <c r="BH2" s="62" cm="1">
        <f t="array" ref="BH2:BH5">INDEX(_xlfn.ANCHORARRAY(BF2),_xlfn.ANCHORARRAY(BG2)+1)-INDEX(_xlfn.ANCHORARRAY(BF2),_xlfn.ANCHORARRAY(BG2))</f>
        <v>243</v>
      </c>
      <c r="BI2" s="159" cm="1">
        <f t="array" ref="BI2:BI5">BB21/IF(_xlfn.ANCHORARRAY(BH2)=0,1,_xlfn.ANCHORARRAY(BH2))/SUM(BB21/IF(_xlfn.ANCHORARRAY(BH2)=0,1,_xlfn.ANCHORARRAY(BH2)))*BB11</f>
        <v>1.8192576091040986</v>
      </c>
      <c r="BJ2" s="62" cm="1">
        <f t="array" ref="BJ2:BJ6">_xlfn.SEQUENCE(BB9,,1,0)</f>
        <v>1</v>
      </c>
      <c r="BK2" s="62" cm="1">
        <f t="array" ref="BK2:BK5001">_xlfn.SEQUENCE(BB21)</f>
        <v>1</v>
      </c>
      <c r="BL2" s="185" cm="1">
        <f t="array" ref="BL2:BL5001">MMULT(--(_xlfn.ANCHORARRAY(BK2)&gt;TRANSPOSE(_xlfn.ANCHORARRAY(BF2))),_xlfn.ANCHORARRAY(BJ2))</f>
        <v>1</v>
      </c>
      <c r="BM2" s="159" cm="1">
        <f t="array" ref="BM2:BM5001">INDEX(_xlfn.ANCHORARRAY(BI2),_xlfn.ANCHORARRAY(BL2))</f>
        <v>1.8192576091040986</v>
      </c>
      <c r="BN2" s="159" cm="1">
        <f t="array" ref="BN2:BN5001">IF(_xlfn.ANCHORARRAY(BL2)=1,_xlfn.ANCHORARRAY(BM2),NA())</f>
        <v>1.8192576091040986</v>
      </c>
      <c r="BO2" s="159" t="e" cm="1">
        <f t="array" ref="BO2:BO5001">IF(_xlfn.ANCHORARRAY(BL2)=2,_xlfn.ANCHORARRAY(BM2),NA())</f>
        <v>#N/A</v>
      </c>
      <c r="BP2" s="159" t="e" cm="1">
        <f t="array" ref="BP2:BP5001">IF(_xlfn.ANCHORARRAY(BL2)=3,_xlfn.ANCHORARRAY(BM2),NA())</f>
        <v>#N/A</v>
      </c>
      <c r="BQ2" s="159" t="e" cm="1">
        <f t="array" ref="BQ2:BQ5001">IF(_xlfn.ANCHORARRAY(BL2)=4,_xlfn.ANCHORARRAY(BM2),NA())</f>
        <v>#N/A</v>
      </c>
      <c r="BR2" s="185" cm="1">
        <f t="array" ref="BR2:BR5001">IF(MMULT(--(_xlfn.ANCHORARRAY(BK2)=TRANSPOSE(_xlfn.ANCHORARRAY(BF2)+1)),_xlfn.ANCHORARRAY(BJ2))=1,INDEX(_xlfn.ANCHORARRAY(BE2),_xlfn.ANCHORARRAY(BL2)),IF(_xlfn.ANCHORARRAY(BK2)=BB21,BB15,""))</f>
        <v>-1.48</v>
      </c>
      <c r="BS2" s="185"/>
      <c r="BT2" s="106" t="str">
        <f>"Boksplot af
"&amp;B5</f>
        <v>Boksplot af
Eksempel 1 (interval)</v>
      </c>
      <c r="BU2" s="177">
        <f>$BT$28</f>
        <v>-1.479592604535932</v>
      </c>
      <c r="BV2" s="177">
        <v>-1</v>
      </c>
      <c r="BW2" s="159" cm="1">
        <f t="array" ref="BW2:BW13">_xlfn.SEQUENCE(R4)</f>
        <v>1</v>
      </c>
      <c r="BX2" s="159" cm="1">
        <f t="array" ref="BX2:BX13">BsData</f>
        <v>-1.479592604535932</v>
      </c>
      <c r="BY2" s="185" cm="1">
        <f t="array" ref="BY2:BY13">(_xlfn.ANCHORARRAY(BX2)&lt;=BT24)+(_xlfn.ANCHORARRAY(BX2)&gt;=BT26)</f>
        <v>0</v>
      </c>
      <c r="BZ2" s="62" cm="1">
        <f t="array" ref="BZ2:BZ3">IFERROR(_xlfn._xlws.FILTER(_xlfn.ANCHORARRAY(BX2),_xlfn.ANCHORARRAY(BY2)=1),NA())</f>
        <v>8</v>
      </c>
      <c r="CA2" s="62" cm="1">
        <f t="array" ref="CA2:CA3">IFERROR(_xlfn.SEQUENCE(SUM(_xlfn.ANCHORARRAY(BY2)),,0,0),NA())</f>
        <v>0</v>
      </c>
      <c r="CB2" s="62" cm="1">
        <f t="array" ref="CB2:CB11">_xlfn._xlws.FILTER(_xlfn.ANCHORARRAY(BX2),_xlfn.ANCHORARRAY(BY2)=0)</f>
        <v>-1.479592604535932</v>
      </c>
      <c r="CC2" s="62"/>
      <c r="CD2" s="106" t="str">
        <f>"Fraktildiagram med "&amp;B7&amp;" intervaller
for "&amp;B5</f>
        <v>Fraktildiagram med 6 intervaller
for Eksempel 1 (interval)</v>
      </c>
      <c r="CE2" s="159" cm="1">
        <f t="array" ref="CE2:CE8">_xlfn.SEQUENCE(B7+1,,0)</f>
        <v>0</v>
      </c>
      <c r="CF2" s="186" cm="1">
        <f t="array" ref="CF2:CF8">_xlfn.ANCHORARRAY(CE2)/B7</f>
        <v>0</v>
      </c>
      <c r="CG2" s="73" cm="1">
        <f t="array" ref="CG2:CG8">_xlfn.PERCENTILE.INC(_xlfn.ANCHORARRAY(T2),_xlfn.ANCHORARRAY(CF2))</f>
        <v>-1.479592604535932</v>
      </c>
      <c r="CH2" s="62" t="str" cm="1">
        <f t="array" ref="CH2:CH8">ROUND(_xlfn.ANCHORARRAY(CG2),CD20)&amp;" ("&amp;ROUND(_xlfn.ANCHORARRAY(CF2)*100,0)&amp;"%)"</f>
        <v>-1.5 (0%)</v>
      </c>
      <c r="CI2" s="62" cm="1">
        <f t="array" ref="CI2:CI8">ROUND((_xlfn.ANCHORARRAY(CG2)-CD10)/CD14*(CD8),0)</f>
        <v>0</v>
      </c>
      <c r="CJ2" s="62" cm="1">
        <f t="array" ref="CJ2:CJ7">_xlfn.SEQUENCE(B7)</f>
        <v>1</v>
      </c>
      <c r="CK2" s="159" cm="1">
        <f t="array" ref="CK2:CK7">INDEX(_xlfn.ANCHORARRAY(CI2),_xlfn.ANCHORARRAY(CJ2)+1)-INDEX(_xlfn.ANCHORARRAY(CI2),_xlfn.ANCHORARRAY(CJ2))</f>
        <v>9</v>
      </c>
      <c r="CL2" s="159" cm="1">
        <f t="array" ref="CL2:CL7">CD8/IF(_xlfn.ANCHORARRAY(CK2)=0,1,_xlfn.ANCHORARRAY(CK2))/SUM(CD8/IF(_xlfn.ANCHORARRAY(CK2)=0,1,_xlfn.ANCHORARRAY(CK2)))*B7</f>
        <v>1.7350867949805218</v>
      </c>
      <c r="CM2" s="159" cm="1">
        <f t="array" ref="CM2:CM8">_xlfn.SEQUENCE(B7+1,,1,0)</f>
        <v>1</v>
      </c>
      <c r="CN2" s="73" cm="1">
        <f t="array" ref="CN2:CN253">_xlfn.SEQUENCE(CD8)</f>
        <v>1</v>
      </c>
      <c r="CO2" s="185" cm="1">
        <f t="array" ref="CO2:CO253">MMULT(--(_xlfn.ANCHORARRAY(CN2)&gt;TRANSPOSE(_xlfn.ANCHORARRAY(CI2))),_xlfn.ANCHORARRAY(CM2))</f>
        <v>1</v>
      </c>
      <c r="CP2" s="159" cm="1">
        <f t="array" ref="CP2:CP253">INDEX(_xlfn.ANCHORARRAY(CL2),_xlfn.ANCHORARRAY(CO2))</f>
        <v>1.7350867949805218</v>
      </c>
      <c r="CQ2" s="185" t="str" cm="1">
        <f t="array" ref="CQ2:CQ253">IF(MMULT(--(_xlfn.ANCHORARRAY(CN2)=TRANSPOSE(_xlfn.ANCHORARRAY(CI2)+1)),_xlfn.ANCHORARRAY(CM2))=1,INDEX(_xlfn.ANCHORARRAY(CH2),_xlfn.ANCHORARRAY(CO2)),IF(_xlfn.ANCHORARRAY(CN2)=CD8,INDEX(_xlfn.ANCHORARRAY(CH2),B7+1),""))</f>
        <v>-1.5 (0%)</v>
      </c>
      <c r="CR2" s="159"/>
      <c r="CS2" s="159"/>
    </row>
    <row r="3" spans="1:123" x14ac:dyDescent="0.2">
      <c r="A3" s="45"/>
      <c r="R3" s="179" t="s">
        <v>29</v>
      </c>
      <c r="S3" s="62">
        <v>2</v>
      </c>
      <c r="T3" s="62">
        <v>-1.1469596428732241</v>
      </c>
      <c r="U3" s="62">
        <v>-1.1469596428732241</v>
      </c>
      <c r="V3" s="62">
        <v>-0.69678601922273553</v>
      </c>
      <c r="W3" s="62">
        <v>-1.1503493803760083</v>
      </c>
      <c r="X3" s="62"/>
      <c r="Y3" s="179" t="s">
        <v>591</v>
      </c>
      <c r="Z3" s="62">
        <v>2</v>
      </c>
      <c r="AA3" s="62">
        <v>-9.3438473523109895</v>
      </c>
      <c r="AB3" s="62">
        <v>-7.6211009260599187</v>
      </c>
      <c r="AC3" s="62">
        <v>0</v>
      </c>
      <c r="AD3" s="62">
        <v>2</v>
      </c>
      <c r="AE3" s="62">
        <v>-2</v>
      </c>
      <c r="AF3" s="62">
        <v>44</v>
      </c>
      <c r="AG3" s="62">
        <v>1</v>
      </c>
      <c r="AH3" s="62">
        <v>2</v>
      </c>
      <c r="AI3" s="62">
        <v>-2.9763779527559056</v>
      </c>
      <c r="AJ3" s="62">
        <v>4.7559852950567272E-3</v>
      </c>
      <c r="AK3" s="62">
        <v>1</v>
      </c>
      <c r="AL3" s="62">
        <v>0</v>
      </c>
      <c r="AM3" s="62">
        <v>0</v>
      </c>
      <c r="AN3" s="62" t="str">
        <v/>
      </c>
      <c r="AO3" s="62" t="str">
        <v/>
      </c>
      <c r="AP3" s="62"/>
      <c r="AQ3" s="179" t="s">
        <v>609</v>
      </c>
      <c r="AR3" s="159">
        <v>-1.1469596428732241</v>
      </c>
      <c r="AS3" s="159">
        <v>-1.147</v>
      </c>
      <c r="AT3" s="159">
        <v>1</v>
      </c>
      <c r="AU3" s="159" t="str">
        <v>8%</v>
      </c>
      <c r="AV3" s="159">
        <v>2</v>
      </c>
      <c r="AW3" s="159">
        <v>1</v>
      </c>
      <c r="AX3" s="159">
        <v>0</v>
      </c>
      <c r="AY3" s="159">
        <v>1</v>
      </c>
      <c r="AZ3" s="159" t="str">
        <v/>
      </c>
      <c r="BA3" s="159"/>
      <c r="BB3" s="179" t="s">
        <v>622</v>
      </c>
      <c r="BC3" s="159">
        <v>1</v>
      </c>
      <c r="BD3" s="159">
        <v>-0.77564154305867694</v>
      </c>
      <c r="BE3" s="185">
        <v>-0.77600000000000002</v>
      </c>
      <c r="BF3" s="62">
        <v>243</v>
      </c>
      <c r="BG3" s="185">
        <v>2</v>
      </c>
      <c r="BH3" s="159">
        <v>440</v>
      </c>
      <c r="BI3" s="185">
        <v>1.0047263613915816</v>
      </c>
      <c r="BJ3" s="185">
        <v>1</v>
      </c>
      <c r="BK3" s="185">
        <v>2</v>
      </c>
      <c r="BL3" s="185">
        <v>1</v>
      </c>
      <c r="BM3" s="159">
        <v>1.8192576091040986</v>
      </c>
      <c r="BN3" s="159">
        <v>1.8192576091040986</v>
      </c>
      <c r="BO3" s="159" t="e">
        <v>#N/A</v>
      </c>
      <c r="BP3" s="159" t="e">
        <v>#N/A</v>
      </c>
      <c r="BQ3" s="159" t="e">
        <v>#N/A</v>
      </c>
      <c r="BR3" s="185" t="str">
        <v/>
      </c>
      <c r="BS3" s="185"/>
      <c r="BT3" s="179" t="s">
        <v>643</v>
      </c>
      <c r="BU3" s="177">
        <f>$BT$28</f>
        <v>-1.479592604535932</v>
      </c>
      <c r="BV3" s="177">
        <v>1</v>
      </c>
      <c r="BW3" s="185">
        <v>2</v>
      </c>
      <c r="BX3" s="62">
        <v>-1.1469596428732241</v>
      </c>
      <c r="BY3" s="62">
        <v>0</v>
      </c>
      <c r="BZ3" s="62">
        <v>13</v>
      </c>
      <c r="CA3" s="62">
        <v>0</v>
      </c>
      <c r="CB3" s="62">
        <v>-1.1469596428732241</v>
      </c>
      <c r="CC3" s="62"/>
      <c r="CD3" s="179" t="s">
        <v>593</v>
      </c>
      <c r="CE3" s="159">
        <v>1</v>
      </c>
      <c r="CF3" s="186">
        <v>0.16666666666666666</v>
      </c>
      <c r="CG3" s="73">
        <v>-0.93927420772144354</v>
      </c>
      <c r="CH3" s="73" t="str">
        <v>-0.9 (17%)</v>
      </c>
      <c r="CI3" s="159">
        <v>9</v>
      </c>
      <c r="CJ3" s="159">
        <v>2</v>
      </c>
      <c r="CK3" s="159">
        <v>11</v>
      </c>
      <c r="CL3" s="159">
        <v>1.4196164686204271</v>
      </c>
      <c r="CM3" s="159">
        <v>1</v>
      </c>
      <c r="CN3" s="159">
        <v>2</v>
      </c>
      <c r="CO3" s="159">
        <v>1</v>
      </c>
      <c r="CP3" s="159">
        <v>1.7350867949805218</v>
      </c>
      <c r="CQ3" s="159" t="str">
        <v/>
      </c>
      <c r="CR3" s="159"/>
      <c r="CS3" s="159"/>
    </row>
    <row r="4" spans="1:123" x14ac:dyDescent="0.2">
      <c r="A4" s="3" t="s">
        <v>12</v>
      </c>
      <c r="R4" s="106" cm="1">
        <f t="array" ref="R4">INDEX(DataBeregning!B5:CW5,BeskrivendeStatistik!R2)</f>
        <v>12</v>
      </c>
      <c r="S4" s="62">
        <v>3</v>
      </c>
      <c r="T4" s="62">
        <v>-0.40935481016144565</v>
      </c>
      <c r="U4" s="62">
        <v>-0.89773712069108735</v>
      </c>
      <c r="V4" s="62">
        <v>-0.63891969173901442</v>
      </c>
      <c r="W4" s="62">
        <v>-0.81221780149991241</v>
      </c>
      <c r="X4" s="62"/>
      <c r="Y4" s="106" t="str">
        <f>"Observationer (n = "&amp;R4&amp;")"</f>
        <v>Observationer (n = 12)</v>
      </c>
      <c r="Z4" s="62">
        <v>3</v>
      </c>
      <c r="AA4" s="62">
        <v>-7.6211009260599187</v>
      </c>
      <c r="AB4" s="62">
        <v>-5.898354499808848</v>
      </c>
      <c r="AC4" s="62">
        <v>0</v>
      </c>
      <c r="AD4" s="62">
        <v>3</v>
      </c>
      <c r="AE4" s="62">
        <v>-1</v>
      </c>
      <c r="AF4" s="62">
        <v>86</v>
      </c>
      <c r="AG4" s="62">
        <v>1</v>
      </c>
      <c r="AH4" s="62">
        <v>3</v>
      </c>
      <c r="AI4" s="62">
        <v>-2.9527559055118111</v>
      </c>
      <c r="AJ4" s="62">
        <v>5.1009817796137192E-3</v>
      </c>
      <c r="AK4" s="62">
        <v>1</v>
      </c>
      <c r="AL4" s="62">
        <v>0</v>
      </c>
      <c r="AM4" s="62">
        <v>0</v>
      </c>
      <c r="AN4" s="62" t="str">
        <v/>
      </c>
      <c r="AO4" s="62" t="str">
        <v/>
      </c>
      <c r="AP4" s="62"/>
      <c r="AQ4" s="106" t="str">
        <f>"Observationer (n = "&amp;R4&amp;")"</f>
        <v>Observationer (n = 12)</v>
      </c>
      <c r="AR4" s="159">
        <v>-0.89773712069108735</v>
      </c>
      <c r="AS4" s="159">
        <v>-0.89800000000000002</v>
      </c>
      <c r="AT4" s="159">
        <v>1</v>
      </c>
      <c r="AU4" s="159" t="str">
        <v>8%</v>
      </c>
      <c r="AV4" s="159">
        <v>3</v>
      </c>
      <c r="AW4" s="159">
        <v>1</v>
      </c>
      <c r="AX4" s="159">
        <v>0</v>
      </c>
      <c r="AY4" s="159">
        <v>1</v>
      </c>
      <c r="AZ4" s="159" t="str">
        <v/>
      </c>
      <c r="BA4" s="159"/>
      <c r="BB4" s="106" t="s">
        <v>32</v>
      </c>
      <c r="BC4" s="159">
        <v>2</v>
      </c>
      <c r="BD4" s="159">
        <v>0.49925963399512074</v>
      </c>
      <c r="BE4" s="185">
        <v>0.499</v>
      </c>
      <c r="BF4" s="62">
        <v>683</v>
      </c>
      <c r="BG4" s="185">
        <v>3</v>
      </c>
      <c r="BH4" s="159">
        <v>416</v>
      </c>
      <c r="BI4" s="185">
        <v>1.0626913437795575</v>
      </c>
      <c r="BJ4" s="185">
        <v>1</v>
      </c>
      <c r="BK4" s="185">
        <v>3</v>
      </c>
      <c r="BL4" s="185">
        <v>1</v>
      </c>
      <c r="BM4" s="159">
        <v>1.8192576091040986</v>
      </c>
      <c r="BN4" s="159">
        <v>1.8192576091040986</v>
      </c>
      <c r="BO4" s="159" t="e">
        <v>#N/A</v>
      </c>
      <c r="BP4" s="159" t="e">
        <v>#N/A</v>
      </c>
      <c r="BQ4" s="159" t="e">
        <v>#N/A</v>
      </c>
      <c r="BR4" s="185" t="str">
        <v/>
      </c>
      <c r="BS4" s="185"/>
      <c r="BT4" s="106" t="s">
        <v>284</v>
      </c>
      <c r="BU4" s="177">
        <f>$BT$28</f>
        <v>-1.479592604535932</v>
      </c>
      <c r="BV4" s="177">
        <v>0</v>
      </c>
      <c r="BW4" s="185">
        <v>3</v>
      </c>
      <c r="BX4" s="62">
        <v>-0.89773712069108735</v>
      </c>
      <c r="BY4" s="62">
        <v>0</v>
      </c>
      <c r="BZ4" s="62"/>
      <c r="CA4" s="62"/>
      <c r="CB4" s="62">
        <v>-0.89773712069108735</v>
      </c>
      <c r="CC4" s="62"/>
      <c r="CD4" s="108">
        <v>250</v>
      </c>
      <c r="CE4" s="159">
        <v>2</v>
      </c>
      <c r="CF4" s="186">
        <v>0.33333333333333331</v>
      </c>
      <c r="CG4" s="73">
        <v>-0.3412757073826545</v>
      </c>
      <c r="CH4" s="73" t="str">
        <v>-0.3 (33%)</v>
      </c>
      <c r="CI4" s="187">
        <v>20</v>
      </c>
      <c r="CJ4" s="187">
        <v>3</v>
      </c>
      <c r="CK4" s="159">
        <v>14</v>
      </c>
      <c r="CL4" s="159">
        <v>1.1154129396303354</v>
      </c>
      <c r="CM4" s="159">
        <v>1</v>
      </c>
      <c r="CN4" s="159">
        <v>3</v>
      </c>
      <c r="CO4" s="159">
        <v>1</v>
      </c>
      <c r="CP4" s="159">
        <v>1.7350867949805218</v>
      </c>
      <c r="CQ4" s="159" t="str">
        <v/>
      </c>
      <c r="CR4" s="159"/>
      <c r="CS4" s="159"/>
    </row>
    <row r="5" spans="1:123" x14ac:dyDescent="0.2">
      <c r="A5" s="58" t="s">
        <v>13</v>
      </c>
      <c r="B5" s="41" t="s">
        <v>24</v>
      </c>
      <c r="R5" s="179" t="s">
        <v>460</v>
      </c>
      <c r="S5" s="62">
        <v>4</v>
      </c>
      <c r="T5" s="62">
        <v>-1.479592604535932</v>
      </c>
      <c r="U5" s="62">
        <v>-0.40935481016144565</v>
      </c>
      <c r="V5" s="62">
        <v>-0.52552347669826049</v>
      </c>
      <c r="W5" s="62">
        <v>-0.54852228269809788</v>
      </c>
      <c r="X5" s="62"/>
      <c r="Y5" s="179" t="s">
        <v>592</v>
      </c>
      <c r="Z5" s="62">
        <v>4</v>
      </c>
      <c r="AA5" s="62">
        <v>-5.898354499808848</v>
      </c>
      <c r="AB5" s="62">
        <v>-4.1756080735577772</v>
      </c>
      <c r="AC5" s="62">
        <v>0</v>
      </c>
      <c r="AD5" s="62">
        <v>4</v>
      </c>
      <c r="AE5" s="62">
        <v>0</v>
      </c>
      <c r="AF5" s="62">
        <v>128</v>
      </c>
      <c r="AG5" s="62">
        <v>1</v>
      </c>
      <c r="AH5" s="62">
        <v>4</v>
      </c>
      <c r="AI5" s="62">
        <v>-2.9291338582677167</v>
      </c>
      <c r="AJ5" s="62">
        <v>5.4679521393008702E-3</v>
      </c>
      <c r="AK5" s="62">
        <v>1</v>
      </c>
      <c r="AL5" s="62">
        <v>0</v>
      </c>
      <c r="AM5" s="62">
        <v>0</v>
      </c>
      <c r="AN5" s="62" t="str">
        <v/>
      </c>
      <c r="AO5" s="62" t="str">
        <v/>
      </c>
      <c r="AP5" s="62"/>
      <c r="AQ5" s="179" t="s">
        <v>416</v>
      </c>
      <c r="AR5" s="159">
        <v>-0.40935481016144565</v>
      </c>
      <c r="AS5" s="159">
        <v>-0.40899999999999997</v>
      </c>
      <c r="AT5" s="159">
        <v>1</v>
      </c>
      <c r="AU5" s="159" t="str">
        <v>8%</v>
      </c>
      <c r="AV5" s="159">
        <v>4</v>
      </c>
      <c r="AW5" s="159">
        <v>1</v>
      </c>
      <c r="AX5" s="159">
        <v>0</v>
      </c>
      <c r="AY5" s="159">
        <v>1</v>
      </c>
      <c r="AZ5" s="159" t="str">
        <v>-1.48</v>
      </c>
      <c r="BA5" s="159"/>
      <c r="BB5" s="106" t="s">
        <v>33</v>
      </c>
      <c r="BC5" s="159">
        <v>3</v>
      </c>
      <c r="BD5" s="159">
        <v>1.7034016755912118</v>
      </c>
      <c r="BE5" s="185">
        <v>1.7030000000000001</v>
      </c>
      <c r="BF5" s="62">
        <v>1099</v>
      </c>
      <c r="BG5" s="185">
        <v>4</v>
      </c>
      <c r="BH5" s="159">
        <v>3901</v>
      </c>
      <c r="BI5" s="185">
        <v>0.11332468572476186</v>
      </c>
      <c r="BJ5" s="185">
        <v>1</v>
      </c>
      <c r="BK5" s="185">
        <v>4</v>
      </c>
      <c r="BL5" s="185">
        <v>1</v>
      </c>
      <c r="BM5" s="159">
        <v>1.8192576091040986</v>
      </c>
      <c r="BN5" s="159">
        <v>1.8192576091040986</v>
      </c>
      <c r="BO5" s="159" t="e">
        <v>#N/A</v>
      </c>
      <c r="BP5" s="159" t="e">
        <v>#N/A</v>
      </c>
      <c r="BQ5" s="159" t="e">
        <v>#N/A</v>
      </c>
      <c r="BR5" s="185" t="str">
        <v/>
      </c>
      <c r="BS5" s="185"/>
      <c r="BT5" s="179" t="s">
        <v>644</v>
      </c>
      <c r="BU5" s="177">
        <f>$BT$10</f>
        <v>-0.77564154305867694</v>
      </c>
      <c r="BV5" s="177">
        <v>0</v>
      </c>
      <c r="BW5" s="185">
        <v>4</v>
      </c>
      <c r="BX5" s="62">
        <v>-0.40935481016144565</v>
      </c>
      <c r="BY5" s="62">
        <v>0</v>
      </c>
      <c r="BZ5" s="62"/>
      <c r="CA5" s="62"/>
      <c r="CB5" s="62">
        <v>-0.40935481016144565</v>
      </c>
      <c r="CC5" s="62"/>
      <c r="CD5" s="179" t="s">
        <v>603</v>
      </c>
      <c r="CE5" s="159">
        <v>3</v>
      </c>
      <c r="CF5" s="186">
        <v>0.5</v>
      </c>
      <c r="CG5" s="73">
        <v>0.49925963399512074</v>
      </c>
      <c r="CH5" s="73" t="str">
        <v>0.5 (50%)</v>
      </c>
      <c r="CI5" s="187">
        <v>34</v>
      </c>
      <c r="CJ5" s="187">
        <v>4</v>
      </c>
      <c r="CK5" s="159">
        <v>15</v>
      </c>
      <c r="CL5" s="159">
        <v>1.0410520769883131</v>
      </c>
      <c r="CM5" s="159">
        <v>1</v>
      </c>
      <c r="CN5" s="159">
        <v>4</v>
      </c>
      <c r="CO5" s="159">
        <v>1</v>
      </c>
      <c r="CP5" s="159">
        <v>1.7350867949805218</v>
      </c>
      <c r="CQ5" s="159" t="str">
        <v/>
      </c>
      <c r="CR5" s="159"/>
      <c r="CS5" s="159"/>
    </row>
    <row r="6" spans="1:123" x14ac:dyDescent="0.2">
      <c r="A6" s="179" t="s">
        <v>578</v>
      </c>
      <c r="B6" s="41">
        <v>15</v>
      </c>
      <c r="R6" s="106">
        <f>AVERAGE(BsData)</f>
        <v>1.8540044183209698</v>
      </c>
      <c r="S6" s="62">
        <v>5</v>
      </c>
      <c r="T6" s="62">
        <v>1.8110756828005981</v>
      </c>
      <c r="U6" s="62">
        <v>-0.30723615599325882</v>
      </c>
      <c r="V6" s="62">
        <v>-0.50181281269986555</v>
      </c>
      <c r="W6" s="62">
        <v>-0.3186393639643752</v>
      </c>
      <c r="X6" s="62"/>
      <c r="Y6" s="106" t="str">
        <f>IFERROR("Normalfordeling ("&amp;R10&amp;" ; "&amp;R12&amp;")","")</f>
        <v>Normalfordeling (1.854 ; 4.307)</v>
      </c>
      <c r="Z6" s="62">
        <v>5</v>
      </c>
      <c r="AA6" s="62">
        <v>-4.1756080735577772</v>
      </c>
      <c r="AB6" s="62">
        <v>-2.4528616473067064</v>
      </c>
      <c r="AC6" s="62">
        <v>0</v>
      </c>
      <c r="AD6" s="62">
        <v>5</v>
      </c>
      <c r="AE6" s="62">
        <v>1</v>
      </c>
      <c r="AF6" s="62">
        <v>171</v>
      </c>
      <c r="AG6" s="62">
        <v>1</v>
      </c>
      <c r="AH6" s="62">
        <v>5</v>
      </c>
      <c r="AI6" s="62">
        <v>-2.9055118110236222</v>
      </c>
      <c r="AJ6" s="62">
        <v>5.8580530466154357E-3</v>
      </c>
      <c r="AK6" s="62">
        <v>1</v>
      </c>
      <c r="AL6" s="62">
        <v>0</v>
      </c>
      <c r="AM6" s="62">
        <v>0</v>
      </c>
      <c r="AN6" s="62" t="str">
        <v/>
      </c>
      <c r="AO6" s="62" t="str">
        <v/>
      </c>
      <c r="AP6" s="62"/>
      <c r="AQ6" s="106">
        <f>COUNTA(_xlfn.UNIQUE(_xlfn.ANCHORARRAY(T2)))</f>
        <v>12</v>
      </c>
      <c r="AR6" s="159">
        <v>-0.30723615599325882</v>
      </c>
      <c r="AS6" s="159">
        <v>-0.307</v>
      </c>
      <c r="AT6" s="159">
        <v>1</v>
      </c>
      <c r="AU6" s="159" t="str">
        <v>8%</v>
      </c>
      <c r="AV6" s="159">
        <v>5</v>
      </c>
      <c r="AW6" s="159">
        <v>1</v>
      </c>
      <c r="AX6" s="159">
        <v>0</v>
      </c>
      <c r="AY6" s="159">
        <v>1</v>
      </c>
      <c r="AZ6" s="159" t="str">
        <v/>
      </c>
      <c r="BA6" s="159"/>
      <c r="BB6" s="106" t="s">
        <v>34</v>
      </c>
      <c r="BC6" s="159">
        <v>4</v>
      </c>
      <c r="BD6" s="159">
        <v>13</v>
      </c>
      <c r="BE6" s="185">
        <v>13</v>
      </c>
      <c r="BF6" s="62">
        <v>5000</v>
      </c>
      <c r="BG6" s="185"/>
      <c r="BH6" s="185"/>
      <c r="BI6" s="185"/>
      <c r="BJ6" s="185">
        <v>1</v>
      </c>
      <c r="BK6" s="185">
        <v>5</v>
      </c>
      <c r="BL6" s="185">
        <v>1</v>
      </c>
      <c r="BM6" s="159">
        <v>1.8192576091040986</v>
      </c>
      <c r="BN6" s="159">
        <v>1.8192576091040986</v>
      </c>
      <c r="BO6" s="159" t="e">
        <v>#N/A</v>
      </c>
      <c r="BP6" s="159" t="e">
        <v>#N/A</v>
      </c>
      <c r="BQ6" s="159" t="e">
        <v>#N/A</v>
      </c>
      <c r="BR6" s="185" t="str">
        <v/>
      </c>
      <c r="BS6" s="185"/>
      <c r="BT6" s="106" t="s">
        <v>647</v>
      </c>
      <c r="BU6" s="177">
        <f>$BT$10</f>
        <v>-0.77564154305867694</v>
      </c>
      <c r="BV6" s="177">
        <v>-1</v>
      </c>
      <c r="BW6" s="185">
        <v>5</v>
      </c>
      <c r="BX6" s="62">
        <v>-0.30723615599325882</v>
      </c>
      <c r="BY6" s="62">
        <v>0</v>
      </c>
      <c r="BZ6" s="62"/>
      <c r="CA6" s="62"/>
      <c r="CB6" s="62">
        <v>-0.30723615599325882</v>
      </c>
      <c r="CC6" s="62"/>
      <c r="CD6" s="106">
        <f>ROUNDUP(CD4/B7,0)</f>
        <v>42</v>
      </c>
      <c r="CE6" s="159">
        <v>4</v>
      </c>
      <c r="CF6" s="186">
        <v>0.66666666666666663</v>
      </c>
      <c r="CG6" s="73">
        <v>1.3260990508894823</v>
      </c>
      <c r="CH6" s="73" t="str">
        <v>1.3 (67%)</v>
      </c>
      <c r="CI6" s="187">
        <v>49</v>
      </c>
      <c r="CJ6" s="187">
        <v>5</v>
      </c>
      <c r="CK6" s="159">
        <v>26</v>
      </c>
      <c r="CL6" s="159">
        <v>0.60060696749325759</v>
      </c>
      <c r="CM6" s="159">
        <v>1</v>
      </c>
      <c r="CN6" s="159">
        <v>5</v>
      </c>
      <c r="CO6" s="159">
        <v>1</v>
      </c>
      <c r="CP6" s="159">
        <v>1.7350867949805218</v>
      </c>
      <c r="CQ6" s="159" t="str">
        <v/>
      </c>
      <c r="CR6" s="159"/>
      <c r="CS6" s="159"/>
    </row>
    <row r="7" spans="1:123" x14ac:dyDescent="0.2">
      <c r="A7" s="179" t="s">
        <v>667</v>
      </c>
      <c r="B7" s="2">
        <v>6</v>
      </c>
      <c r="R7" s="179" t="s">
        <v>497</v>
      </c>
      <c r="S7" s="62">
        <v>6</v>
      </c>
      <c r="T7" s="62">
        <v>8</v>
      </c>
      <c r="U7" s="62">
        <v>8.4427372017371785E-2</v>
      </c>
      <c r="V7" s="62">
        <v>-0.41087347954148701</v>
      </c>
      <c r="W7" s="62">
        <v>-0.10463345561407539</v>
      </c>
      <c r="X7" s="62"/>
      <c r="Y7" s="179" t="s">
        <v>583</v>
      </c>
      <c r="Z7" s="62">
        <v>6</v>
      </c>
      <c r="AA7" s="62">
        <v>-2.4528616473067064</v>
      </c>
      <c r="AB7" s="62">
        <v>-0.73011522105563564</v>
      </c>
      <c r="AC7" s="62">
        <v>3</v>
      </c>
      <c r="AD7" s="62">
        <v>6</v>
      </c>
      <c r="AE7" s="62">
        <v>2</v>
      </c>
      <c r="AF7" s="62">
        <v>213</v>
      </c>
      <c r="AG7" s="62">
        <v>1</v>
      </c>
      <c r="AH7" s="62">
        <v>6</v>
      </c>
      <c r="AI7" s="62">
        <v>-2.8818897637795278</v>
      </c>
      <c r="AJ7" s="62">
        <v>6.2724839501383011E-3</v>
      </c>
      <c r="AK7" s="62">
        <v>1</v>
      </c>
      <c r="AL7" s="62">
        <v>0</v>
      </c>
      <c r="AM7" s="62">
        <v>0</v>
      </c>
      <c r="AN7" s="62" t="str">
        <v/>
      </c>
      <c r="AO7" s="62" t="str">
        <v/>
      </c>
      <c r="AP7" s="62"/>
      <c r="AQ7" s="159" t="s">
        <v>612</v>
      </c>
      <c r="AR7" s="159">
        <v>8.4427372017371785E-2</v>
      </c>
      <c r="AS7" s="159">
        <v>8.4000000000000005E-2</v>
      </c>
      <c r="AT7" s="159">
        <v>1</v>
      </c>
      <c r="AU7" s="159" t="str">
        <v>8%</v>
      </c>
      <c r="AV7" s="159">
        <v>6</v>
      </c>
      <c r="AW7" s="159">
        <v>1</v>
      </c>
      <c r="AX7" s="159">
        <v>1</v>
      </c>
      <c r="AY7" s="159" t="e">
        <v>#N/A</v>
      </c>
      <c r="AZ7" s="159" t="str">
        <v/>
      </c>
      <c r="BA7" s="159"/>
      <c r="BB7" s="106" t="s">
        <v>35</v>
      </c>
      <c r="BC7" s="159"/>
      <c r="BD7" s="159"/>
      <c r="BE7" s="185"/>
      <c r="BF7" s="185"/>
      <c r="BG7" s="185"/>
      <c r="BH7" s="185"/>
      <c r="BI7" s="185"/>
      <c r="BJ7" s="185"/>
      <c r="BK7" s="185">
        <v>6</v>
      </c>
      <c r="BL7" s="185">
        <v>1</v>
      </c>
      <c r="BM7" s="159">
        <v>1.8192576091040986</v>
      </c>
      <c r="BN7" s="159">
        <v>1.8192576091040986</v>
      </c>
      <c r="BO7" s="159" t="e">
        <v>#N/A</v>
      </c>
      <c r="BP7" s="159" t="e">
        <v>#N/A</v>
      </c>
      <c r="BQ7" s="159" t="e">
        <v>#N/A</v>
      </c>
      <c r="BR7" s="185" t="str">
        <v/>
      </c>
      <c r="BS7" s="185"/>
      <c r="BT7" s="180" t="s">
        <v>645</v>
      </c>
      <c r="BU7" s="177">
        <f>$BT$14</f>
        <v>1.7034016755912118</v>
      </c>
      <c r="BV7" s="177">
        <v>-1</v>
      </c>
      <c r="BW7" s="185">
        <v>6</v>
      </c>
      <c r="BX7" s="62">
        <v>8.4427372017371785E-2</v>
      </c>
      <c r="BY7" s="62">
        <v>0</v>
      </c>
      <c r="BZ7" s="62"/>
      <c r="CA7" s="62"/>
      <c r="CB7" s="62">
        <v>8.4427372017371785E-2</v>
      </c>
      <c r="CC7" s="62"/>
      <c r="CD7" s="179" t="s">
        <v>594</v>
      </c>
      <c r="CE7" s="159">
        <v>5</v>
      </c>
      <c r="CF7" s="186">
        <v>0.83333333333333337</v>
      </c>
      <c r="CG7" s="73">
        <v>2.8425630690005059</v>
      </c>
      <c r="CH7" s="73" t="str">
        <v>2.8 (83%)</v>
      </c>
      <c r="CI7" s="187">
        <v>75</v>
      </c>
      <c r="CJ7" s="159">
        <v>6</v>
      </c>
      <c r="CK7" s="159">
        <v>177</v>
      </c>
      <c r="CL7" s="159">
        <v>8.8224752287145186E-2</v>
      </c>
      <c r="CM7" s="159">
        <v>1</v>
      </c>
      <c r="CN7" s="159">
        <v>6</v>
      </c>
      <c r="CO7" s="159">
        <v>1</v>
      </c>
      <c r="CP7" s="159">
        <v>1.7350867949805218</v>
      </c>
      <c r="CQ7" s="159" t="str">
        <v/>
      </c>
      <c r="CR7" s="159"/>
      <c r="CS7" s="159"/>
    </row>
    <row r="8" spans="1:123" x14ac:dyDescent="0.2">
      <c r="R8" s="106">
        <f>_xlfn.STDEV.S(BsData)</f>
        <v>4.3068660656276769</v>
      </c>
      <c r="S8" s="62">
        <v>7</v>
      </c>
      <c r="T8" s="62">
        <v>-0.30723615599325882</v>
      </c>
      <c r="U8" s="62">
        <v>0.91409189597286977</v>
      </c>
      <c r="V8" s="62">
        <v>-0.21823583738750846</v>
      </c>
      <c r="W8" s="62">
        <v>0.10463345561407525</v>
      </c>
      <c r="X8" s="62"/>
      <c r="Y8" s="106" cm="1">
        <f t="array" ref="Y8">MAX(ABS(BzData))</f>
        <v>2.5879596467215951</v>
      </c>
      <c r="Z8" s="62">
        <v>7</v>
      </c>
      <c r="AA8" s="62">
        <v>-0.73011522105563564</v>
      </c>
      <c r="AB8" s="62">
        <v>0.99263120519543513</v>
      </c>
      <c r="AC8" s="62">
        <v>4</v>
      </c>
      <c r="AD8" s="62">
        <v>7</v>
      </c>
      <c r="AE8" s="62">
        <v>3</v>
      </c>
      <c r="AF8" s="62">
        <v>255</v>
      </c>
      <c r="AG8" s="62">
        <v>1</v>
      </c>
      <c r="AH8" s="62">
        <v>7</v>
      </c>
      <c r="AI8" s="62">
        <v>-2.8582677165354329</v>
      </c>
      <c r="AJ8" s="62">
        <v>6.7124873553275682E-3</v>
      </c>
      <c r="AK8" s="62">
        <v>1</v>
      </c>
      <c r="AL8" s="62">
        <v>0</v>
      </c>
      <c r="AM8" s="62">
        <v>0</v>
      </c>
      <c r="AN8" s="62" t="str">
        <v/>
      </c>
      <c r="AO8" s="62" t="str">
        <v/>
      </c>
      <c r="AP8" s="62"/>
      <c r="AQ8" s="106">
        <f>IF(AQ6&gt;1000,NA(),6)</f>
        <v>6</v>
      </c>
      <c r="AR8" s="159">
        <v>0.91409189597286977</v>
      </c>
      <c r="AS8" s="159">
        <v>0.91400000000000003</v>
      </c>
      <c r="AT8" s="159">
        <v>1</v>
      </c>
      <c r="AU8" s="159" t="str">
        <v>8%</v>
      </c>
      <c r="AV8" s="159">
        <v>7</v>
      </c>
      <c r="AW8" s="159">
        <v>2</v>
      </c>
      <c r="AX8" s="159">
        <v>1</v>
      </c>
      <c r="AY8" s="159" t="e">
        <v>#N/A</v>
      </c>
      <c r="AZ8" s="159" t="str">
        <v/>
      </c>
      <c r="BA8" s="159"/>
      <c r="BB8" s="183" t="s">
        <v>626</v>
      </c>
      <c r="BC8" s="159"/>
      <c r="BD8" s="159"/>
      <c r="BE8" s="185"/>
      <c r="BF8" s="185"/>
      <c r="BG8" s="185"/>
      <c r="BH8" s="185"/>
      <c r="BI8" s="185"/>
      <c r="BJ8" s="185"/>
      <c r="BK8" s="185">
        <v>7</v>
      </c>
      <c r="BL8" s="185">
        <v>1</v>
      </c>
      <c r="BM8" s="159">
        <v>1.8192576091040986</v>
      </c>
      <c r="BN8" s="159">
        <v>1.8192576091040986</v>
      </c>
      <c r="BO8" s="159" t="e">
        <v>#N/A</v>
      </c>
      <c r="BP8" s="159" t="e">
        <v>#N/A</v>
      </c>
      <c r="BQ8" s="159" t="e">
        <v>#N/A</v>
      </c>
      <c r="BR8" s="185" t="str">
        <v/>
      </c>
      <c r="BS8" s="185"/>
      <c r="BT8" s="177" t="s">
        <v>646</v>
      </c>
      <c r="BU8" s="177">
        <f>$BT$14</f>
        <v>1.7034016755912118</v>
      </c>
      <c r="BV8" s="177">
        <v>1</v>
      </c>
      <c r="BW8" s="185">
        <v>7</v>
      </c>
      <c r="BX8" s="62">
        <v>0.91409189597286977</v>
      </c>
      <c r="BY8" s="62">
        <v>0</v>
      </c>
      <c r="BZ8" s="62"/>
      <c r="CA8" s="62"/>
      <c r="CB8" s="62">
        <v>0.91409189597286977</v>
      </c>
      <c r="CC8" s="62"/>
      <c r="CD8" s="106">
        <f>CD6*B7</f>
        <v>252</v>
      </c>
      <c r="CE8" s="159">
        <v>6</v>
      </c>
      <c r="CF8" s="186">
        <v>1</v>
      </c>
      <c r="CG8" s="73">
        <v>13</v>
      </c>
      <c r="CH8" s="73" t="str">
        <v>13 (100%)</v>
      </c>
      <c r="CI8" s="159">
        <v>252</v>
      </c>
      <c r="CJ8" s="159"/>
      <c r="CK8" s="159"/>
      <c r="CL8" s="159"/>
      <c r="CM8" s="159">
        <v>1</v>
      </c>
      <c r="CN8" s="159">
        <v>7</v>
      </c>
      <c r="CO8" s="159">
        <v>1</v>
      </c>
      <c r="CP8" s="159">
        <v>1.7350867949805218</v>
      </c>
      <c r="CQ8" s="159" t="str">
        <v/>
      </c>
      <c r="CR8" s="159"/>
      <c r="CS8" s="159"/>
      <c r="DR8" s="48"/>
      <c r="DS8" s="48"/>
    </row>
    <row r="9" spans="1:123" x14ac:dyDescent="0.2">
      <c r="A9" s="47" t="s">
        <v>1117</v>
      </c>
      <c r="R9" s="179" t="s">
        <v>576</v>
      </c>
      <c r="S9" s="62">
        <v>8</v>
      </c>
      <c r="T9" s="62">
        <v>13</v>
      </c>
      <c r="U9" s="62">
        <v>1.2989587493526971</v>
      </c>
      <c r="V9" s="62">
        <v>-0.12887460638676285</v>
      </c>
      <c r="W9" s="62">
        <v>0.3186393639643752</v>
      </c>
      <c r="X9" s="62"/>
      <c r="Y9" s="179" t="s">
        <v>584</v>
      </c>
      <c r="Z9" s="62">
        <v>8</v>
      </c>
      <c r="AA9" s="62">
        <v>0.99263120519543513</v>
      </c>
      <c r="AB9" s="62">
        <v>2.7153776314465059</v>
      </c>
      <c r="AC9" s="62">
        <v>3</v>
      </c>
      <c r="AD9" s="62"/>
      <c r="AE9" s="62"/>
      <c r="AF9" s="62"/>
      <c r="AG9" s="62">
        <v>1</v>
      </c>
      <c r="AH9" s="62">
        <v>8</v>
      </c>
      <c r="AI9" s="62">
        <v>-2.8346456692913384</v>
      </c>
      <c r="AJ9" s="62">
        <v>7.1793490009733575E-3</v>
      </c>
      <c r="AK9" s="62">
        <v>1</v>
      </c>
      <c r="AL9" s="62">
        <v>0</v>
      </c>
      <c r="AM9" s="62">
        <v>0</v>
      </c>
      <c r="AN9" s="62" t="str">
        <v/>
      </c>
      <c r="AO9" s="62" t="str">
        <v/>
      </c>
      <c r="AP9" s="62"/>
      <c r="AQ9" s="179" t="s">
        <v>594</v>
      </c>
      <c r="AR9" s="159">
        <v>1.2989587493526971</v>
      </c>
      <c r="AS9" s="159">
        <v>1.2989999999999999</v>
      </c>
      <c r="AT9" s="159">
        <v>1</v>
      </c>
      <c r="AU9" s="159" t="str">
        <v>8%</v>
      </c>
      <c r="AV9" s="159">
        <v>8</v>
      </c>
      <c r="AW9" s="159">
        <v>2</v>
      </c>
      <c r="AX9" s="159">
        <v>0</v>
      </c>
      <c r="AY9" s="159">
        <v>1</v>
      </c>
      <c r="AZ9" s="159" t="str">
        <v/>
      </c>
      <c r="BA9" s="159"/>
      <c r="BB9" s="108">
        <v>5</v>
      </c>
      <c r="BC9" s="159"/>
      <c r="BD9" s="159"/>
      <c r="BE9" s="185"/>
      <c r="BF9" s="185"/>
      <c r="BG9" s="185"/>
      <c r="BH9" s="185"/>
      <c r="BI9" s="185"/>
      <c r="BJ9" s="185"/>
      <c r="BK9" s="185">
        <v>8</v>
      </c>
      <c r="BL9" s="185">
        <v>1</v>
      </c>
      <c r="BM9" s="159">
        <v>1.8192576091040986</v>
      </c>
      <c r="BN9" s="159">
        <v>1.8192576091040986</v>
      </c>
      <c r="BO9" s="159" t="e">
        <v>#N/A</v>
      </c>
      <c r="BP9" s="159" t="e">
        <v>#N/A</v>
      </c>
      <c r="BQ9" s="159" t="e">
        <v>#N/A</v>
      </c>
      <c r="BR9" s="185" t="str">
        <v/>
      </c>
      <c r="BS9" s="185"/>
      <c r="BT9" s="183" t="s">
        <v>32</v>
      </c>
      <c r="BU9" s="177">
        <f>$BT$10</f>
        <v>-0.77564154305867694</v>
      </c>
      <c r="BV9" s="177">
        <v>1</v>
      </c>
      <c r="BW9" s="185">
        <v>8</v>
      </c>
      <c r="BX9" s="62">
        <v>1.2989587493526971</v>
      </c>
      <c r="BY9" s="62">
        <v>0</v>
      </c>
      <c r="BZ9" s="62"/>
      <c r="CA9" s="62"/>
      <c r="CB9" s="62">
        <v>1.2989587493526971</v>
      </c>
      <c r="CC9" s="62"/>
      <c r="CD9" s="179" t="s">
        <v>45</v>
      </c>
      <c r="CE9" s="159"/>
      <c r="CF9" s="186"/>
      <c r="CG9" s="73"/>
      <c r="CH9" s="73"/>
      <c r="CI9" s="159"/>
      <c r="CJ9" s="159"/>
      <c r="CK9" s="159"/>
      <c r="CL9" s="159"/>
      <c r="CM9" s="159"/>
      <c r="CN9" s="159">
        <v>8</v>
      </c>
      <c r="CO9" s="159">
        <v>1</v>
      </c>
      <c r="CP9" s="159">
        <v>1.7350867949805218</v>
      </c>
      <c r="CQ9" s="159" t="str">
        <v/>
      </c>
      <c r="CR9" s="159"/>
      <c r="CS9" s="159"/>
      <c r="DR9" s="48"/>
      <c r="DS9" s="48"/>
    </row>
    <row r="10" spans="1:123" x14ac:dyDescent="0.2">
      <c r="R10" s="106">
        <f>ROUND(R6,3)</f>
        <v>1.8540000000000001</v>
      </c>
      <c r="S10" s="62">
        <v>9</v>
      </c>
      <c r="T10" s="62">
        <v>1.3803796539630533</v>
      </c>
      <c r="U10" s="62">
        <v>1.3803796539630533</v>
      </c>
      <c r="V10" s="62">
        <v>-0.10996969888101016</v>
      </c>
      <c r="W10" s="62">
        <v>0.54852228269809822</v>
      </c>
      <c r="X10" s="62"/>
      <c r="Y10" s="106">
        <f>MIN(-3,-Y8)</f>
        <v>-3</v>
      </c>
      <c r="Z10" s="62">
        <v>9</v>
      </c>
      <c r="AA10" s="62">
        <v>2.7153776314465059</v>
      </c>
      <c r="AB10" s="62">
        <v>4.4381240576975767</v>
      </c>
      <c r="AC10" s="62">
        <v>0</v>
      </c>
      <c r="AD10" s="62"/>
      <c r="AE10" s="62"/>
      <c r="AF10" s="62"/>
      <c r="AG10" s="62">
        <v>1</v>
      </c>
      <c r="AH10" s="62">
        <v>9</v>
      </c>
      <c r="AI10" s="62">
        <v>-2.811023622047244</v>
      </c>
      <c r="AJ10" s="62">
        <v>7.674397923323451E-3</v>
      </c>
      <c r="AK10" s="62">
        <v>1</v>
      </c>
      <c r="AL10" s="62">
        <v>0</v>
      </c>
      <c r="AM10" s="62">
        <v>0</v>
      </c>
      <c r="AN10" s="62" t="str">
        <v/>
      </c>
      <c r="AO10" s="62" t="str">
        <v/>
      </c>
      <c r="AP10" s="62"/>
      <c r="AQ10" s="106">
        <f>AQ6*AQ8</f>
        <v>72</v>
      </c>
      <c r="AR10" s="159">
        <v>1.3803796539630533</v>
      </c>
      <c r="AS10" s="159">
        <v>1.38</v>
      </c>
      <c r="AT10" s="159">
        <v>1</v>
      </c>
      <c r="AU10" s="159" t="str">
        <v>8%</v>
      </c>
      <c r="AV10" s="159">
        <v>9</v>
      </c>
      <c r="AW10" s="159">
        <v>2</v>
      </c>
      <c r="AX10" s="159">
        <v>0</v>
      </c>
      <c r="AY10" s="159">
        <v>1</v>
      </c>
      <c r="AZ10" s="159" t="str">
        <v/>
      </c>
      <c r="BA10" s="159"/>
      <c r="BB10" s="183" t="s">
        <v>623</v>
      </c>
      <c r="BC10" s="159"/>
      <c r="BD10" s="159"/>
      <c r="BE10" s="185"/>
      <c r="BF10" s="185"/>
      <c r="BG10" s="185"/>
      <c r="BH10" s="185"/>
      <c r="BI10" s="185"/>
      <c r="BJ10" s="185"/>
      <c r="BK10" s="185">
        <v>9</v>
      </c>
      <c r="BL10" s="185">
        <v>1</v>
      </c>
      <c r="BM10" s="159">
        <v>1.8192576091040986</v>
      </c>
      <c r="BN10" s="159">
        <v>1.8192576091040986</v>
      </c>
      <c r="BO10" s="159" t="e">
        <v>#N/A</v>
      </c>
      <c r="BP10" s="159" t="e">
        <v>#N/A</v>
      </c>
      <c r="BQ10" s="159" t="e">
        <v>#N/A</v>
      </c>
      <c r="BR10" s="185" t="str">
        <v/>
      </c>
      <c r="BS10" s="185"/>
      <c r="BT10" s="108">
        <f>_xlfn.QUARTILE.EXC(_xlfn.ANCHORARRAY(T2),1)</f>
        <v>-0.77564154305867694</v>
      </c>
      <c r="BU10" s="177">
        <f>$BT$10</f>
        <v>-0.77564154305867694</v>
      </c>
      <c r="BV10" s="177">
        <v>-1</v>
      </c>
      <c r="BW10" s="185">
        <v>9</v>
      </c>
      <c r="BX10" s="62">
        <v>1.3803796539630533</v>
      </c>
      <c r="BY10" s="62">
        <v>0</v>
      </c>
      <c r="BZ10" s="62"/>
      <c r="CA10" s="62"/>
      <c r="CB10" s="62">
        <v>1.3803796539630533</v>
      </c>
      <c r="CC10" s="62"/>
      <c r="CD10" s="106">
        <f>MIN(_xlfn.ANCHORARRAY(T2))</f>
        <v>-1.479592604535932</v>
      </c>
      <c r="CE10" s="159"/>
      <c r="CF10" s="186"/>
      <c r="CG10" s="73"/>
      <c r="CH10" s="73"/>
      <c r="CI10" s="159"/>
      <c r="CJ10" s="159"/>
      <c r="CK10" s="159"/>
      <c r="CL10" s="159"/>
      <c r="CM10" s="159"/>
      <c r="CN10" s="159">
        <v>9</v>
      </c>
      <c r="CO10" s="159">
        <v>1</v>
      </c>
      <c r="CP10" s="159">
        <v>1.7350867949805218</v>
      </c>
      <c r="CQ10" s="159" t="str">
        <v/>
      </c>
      <c r="CR10" s="159"/>
      <c r="CS10" s="159"/>
      <c r="DR10" s="48"/>
      <c r="DS10" s="48"/>
    </row>
    <row r="11" spans="1:123" x14ac:dyDescent="0.2">
      <c r="R11" s="179" t="s">
        <v>577</v>
      </c>
      <c r="S11" s="62">
        <v>10</v>
      </c>
      <c r="T11" s="62">
        <v>8.4427372017371785E-2</v>
      </c>
      <c r="U11" s="62">
        <v>1.8110756828005981</v>
      </c>
      <c r="V11" s="62">
        <v>-9.9675111476018041E-3</v>
      </c>
      <c r="W11" s="62">
        <v>0.81221780149991241</v>
      </c>
      <c r="X11" s="62"/>
      <c r="Y11" s="179" t="s">
        <v>585</v>
      </c>
      <c r="Z11" s="62">
        <v>10</v>
      </c>
      <c r="AA11" s="62">
        <v>4.4381240576975767</v>
      </c>
      <c r="AB11" s="62">
        <v>6.1608704839486474</v>
      </c>
      <c r="AC11" s="62">
        <v>0</v>
      </c>
      <c r="AD11" s="62"/>
      <c r="AE11" s="62"/>
      <c r="AF11" s="62"/>
      <c r="AG11" s="62">
        <v>1</v>
      </c>
      <c r="AH11" s="62">
        <v>10</v>
      </c>
      <c r="AI11" s="62">
        <v>-2.7874015748031495</v>
      </c>
      <c r="AJ11" s="62">
        <v>8.1990063997801985E-3</v>
      </c>
      <c r="AK11" s="62">
        <v>1</v>
      </c>
      <c r="AL11" s="62">
        <v>0</v>
      </c>
      <c r="AM11" s="62">
        <v>0</v>
      </c>
      <c r="AN11" s="62" t="str">
        <v/>
      </c>
      <c r="AO11" s="62" t="str">
        <v/>
      </c>
      <c r="AP11" s="62"/>
      <c r="AQ11" s="179" t="s">
        <v>617</v>
      </c>
      <c r="AR11" s="159">
        <v>1.8110756828005981</v>
      </c>
      <c r="AS11" s="159">
        <v>1.8109999999999999</v>
      </c>
      <c r="AT11" s="159">
        <v>1</v>
      </c>
      <c r="AU11" s="159" t="str">
        <v>8%</v>
      </c>
      <c r="AV11" s="159">
        <v>10</v>
      </c>
      <c r="AW11" s="159">
        <v>2</v>
      </c>
      <c r="AX11" s="159">
        <v>0</v>
      </c>
      <c r="AY11" s="159">
        <v>1</v>
      </c>
      <c r="AZ11" s="159" t="str">
        <v>-1.147</v>
      </c>
      <c r="BA11" s="159"/>
      <c r="BB11" s="108">
        <v>4</v>
      </c>
      <c r="BC11" s="159"/>
      <c r="BD11" s="159"/>
      <c r="BE11" s="185"/>
      <c r="BF11" s="185"/>
      <c r="BG11" s="185"/>
      <c r="BH11" s="185"/>
      <c r="BI11" s="185"/>
      <c r="BJ11" s="185"/>
      <c r="BK11" s="185">
        <v>10</v>
      </c>
      <c r="BL11" s="185">
        <v>1</v>
      </c>
      <c r="BM11" s="159">
        <v>1.8192576091040986</v>
      </c>
      <c r="BN11" s="159">
        <v>1.8192576091040986</v>
      </c>
      <c r="BO11" s="159" t="e">
        <v>#N/A</v>
      </c>
      <c r="BP11" s="159" t="e">
        <v>#N/A</v>
      </c>
      <c r="BQ11" s="159" t="e">
        <v>#N/A</v>
      </c>
      <c r="BR11" s="185" t="str">
        <v/>
      </c>
      <c r="BS11" s="185"/>
      <c r="BT11" s="183" t="s">
        <v>646</v>
      </c>
      <c r="BU11" s="177">
        <f>$BT$14</f>
        <v>1.7034016755912118</v>
      </c>
      <c r="BV11" s="177">
        <v>-1</v>
      </c>
      <c r="BW11" s="185">
        <v>10</v>
      </c>
      <c r="BX11" s="62">
        <v>1.8110756828005981</v>
      </c>
      <c r="BY11" s="62">
        <v>0</v>
      </c>
      <c r="BZ11" s="62"/>
      <c r="CA11" s="62"/>
      <c r="CB11" s="62">
        <v>1.8110756828005981</v>
      </c>
      <c r="CC11" s="62"/>
      <c r="CD11" s="179" t="s">
        <v>414</v>
      </c>
      <c r="CE11" s="159"/>
      <c r="CF11" s="62"/>
      <c r="CG11" s="62"/>
      <c r="CH11" s="62"/>
      <c r="CI11" s="159"/>
      <c r="CJ11" s="159"/>
      <c r="CK11" s="159"/>
      <c r="CL11" s="159"/>
      <c r="CM11" s="159"/>
      <c r="CN11" s="159">
        <v>10</v>
      </c>
      <c r="CO11" s="159">
        <v>2</v>
      </c>
      <c r="CP11" s="159">
        <v>1.4196164686204271</v>
      </c>
      <c r="CQ11" s="159" t="str">
        <v>-0.9 (17%)</v>
      </c>
      <c r="CR11" s="159"/>
      <c r="CS11" s="159"/>
      <c r="DR11" s="48"/>
      <c r="DS11" s="48"/>
    </row>
    <row r="12" spans="1:123" x14ac:dyDescent="0.2">
      <c r="R12" s="106">
        <f>ROUND(R8,3)</f>
        <v>4.3070000000000004</v>
      </c>
      <c r="S12" s="62">
        <v>11</v>
      </c>
      <c r="T12" s="62">
        <v>0.91409189597286977</v>
      </c>
      <c r="U12" s="62">
        <v>8</v>
      </c>
      <c r="V12" s="62">
        <v>1.4270226861079138</v>
      </c>
      <c r="W12" s="62">
        <v>1.1503493803760083</v>
      </c>
      <c r="X12" s="62"/>
      <c r="Y12" s="106">
        <f>MAX(3,Y8)</f>
        <v>3</v>
      </c>
      <c r="Z12" s="62">
        <v>11</v>
      </c>
      <c r="AA12" s="62">
        <v>6.1608704839486474</v>
      </c>
      <c r="AB12" s="62">
        <v>7.8836169101997182</v>
      </c>
      <c r="AC12" s="62">
        <v>0</v>
      </c>
      <c r="AD12" s="62"/>
      <c r="AE12" s="62"/>
      <c r="AF12" s="62"/>
      <c r="AG12" s="62">
        <v>1</v>
      </c>
      <c r="AH12" s="62">
        <v>11</v>
      </c>
      <c r="AI12" s="62">
        <v>-2.7637795275590551</v>
      </c>
      <c r="AJ12" s="62">
        <v>8.754589763990156E-3</v>
      </c>
      <c r="AK12" s="62">
        <v>1</v>
      </c>
      <c r="AL12" s="62">
        <v>0</v>
      </c>
      <c r="AM12" s="62">
        <v>0</v>
      </c>
      <c r="AN12" s="62" t="str">
        <v/>
      </c>
      <c r="AO12" s="62" t="str">
        <v/>
      </c>
      <c r="AP12" s="62"/>
      <c r="AQ12" s="106">
        <v>4</v>
      </c>
      <c r="AR12" s="159">
        <v>8</v>
      </c>
      <c r="AS12" s="159">
        <v>8</v>
      </c>
      <c r="AT12" s="159">
        <v>1</v>
      </c>
      <c r="AU12" s="159" t="str">
        <v>8%</v>
      </c>
      <c r="AV12" s="159">
        <v>11</v>
      </c>
      <c r="AW12" s="159">
        <v>2</v>
      </c>
      <c r="AX12" s="159">
        <v>0</v>
      </c>
      <c r="AY12" s="159">
        <v>1</v>
      </c>
      <c r="AZ12" s="159" t="str">
        <v/>
      </c>
      <c r="BA12" s="159"/>
      <c r="BB12" s="183" t="s">
        <v>45</v>
      </c>
      <c r="BC12" s="159"/>
      <c r="BD12" s="159"/>
      <c r="BE12" s="62"/>
      <c r="BF12" s="185"/>
      <c r="BG12" s="185"/>
      <c r="BH12" s="185"/>
      <c r="BI12" s="185"/>
      <c r="BJ12" s="185"/>
      <c r="BK12" s="185">
        <v>11</v>
      </c>
      <c r="BL12" s="185">
        <v>1</v>
      </c>
      <c r="BM12" s="159">
        <v>1.8192576091040986</v>
      </c>
      <c r="BN12" s="159">
        <v>1.8192576091040986</v>
      </c>
      <c r="BO12" s="159" t="e">
        <v>#N/A</v>
      </c>
      <c r="BP12" s="159" t="e">
        <v>#N/A</v>
      </c>
      <c r="BQ12" s="159" t="e">
        <v>#N/A</v>
      </c>
      <c r="BR12" s="185" t="str">
        <v/>
      </c>
      <c r="BS12" s="185"/>
      <c r="BT12" s="108">
        <f>_xlfn.QUARTILE.EXC(_xlfn.ANCHORARRAY(T2),2)</f>
        <v>0.49925963399512074</v>
      </c>
      <c r="BU12" s="177">
        <f>$BT$14</f>
        <v>1.7034016755912118</v>
      </c>
      <c r="BV12" s="177">
        <v>0</v>
      </c>
      <c r="BW12" s="185">
        <v>11</v>
      </c>
      <c r="BX12" s="62">
        <v>8</v>
      </c>
      <c r="BY12" s="62">
        <v>1</v>
      </c>
      <c r="BZ12" s="62"/>
      <c r="CA12" s="62"/>
      <c r="CB12" s="62"/>
      <c r="CC12" s="62"/>
      <c r="CD12" s="106">
        <f>MAX(_xlfn.ANCHORARRAY(T2))</f>
        <v>13</v>
      </c>
      <c r="CE12" s="159"/>
      <c r="CF12" s="62"/>
      <c r="CG12" s="62"/>
      <c r="CH12" s="62"/>
      <c r="CI12" s="159"/>
      <c r="CJ12" s="159"/>
      <c r="CK12" s="159"/>
      <c r="CL12" s="159"/>
      <c r="CM12" s="159"/>
      <c r="CN12" s="159">
        <v>11</v>
      </c>
      <c r="CO12" s="159">
        <v>2</v>
      </c>
      <c r="CP12" s="159">
        <v>1.4196164686204271</v>
      </c>
      <c r="CQ12" s="159" t="str">
        <v/>
      </c>
      <c r="CR12" s="159"/>
      <c r="CS12" s="159"/>
      <c r="DR12" s="48"/>
      <c r="DS12" s="48"/>
    </row>
    <row r="13" spans="1:123" x14ac:dyDescent="0.2">
      <c r="R13" s="179" t="s">
        <v>570</v>
      </c>
      <c r="S13" s="62">
        <v>12</v>
      </c>
      <c r="T13" s="62">
        <v>-0.89773712069108735</v>
      </c>
      <c r="U13" s="62">
        <v>13</v>
      </c>
      <c r="V13" s="62">
        <v>2.5879596467215951</v>
      </c>
      <c r="W13" s="62">
        <v>1.7316643961222455</v>
      </c>
      <c r="X13" s="62"/>
      <c r="Y13" s="179" t="s">
        <v>580</v>
      </c>
      <c r="Z13" s="62">
        <v>12</v>
      </c>
      <c r="AA13" s="62">
        <v>7.8836169101997182</v>
      </c>
      <c r="AB13" s="62">
        <v>9.606363336450789</v>
      </c>
      <c r="AC13" s="62">
        <v>1</v>
      </c>
      <c r="AD13" s="62"/>
      <c r="AE13" s="62"/>
      <c r="AF13" s="62"/>
      <c r="AG13" s="62">
        <v>1</v>
      </c>
      <c r="AH13" s="62">
        <v>12</v>
      </c>
      <c r="AI13" s="62">
        <v>-2.7401574803149606</v>
      </c>
      <c r="AJ13" s="62">
        <v>9.3426060841007019E-3</v>
      </c>
      <c r="AK13" s="62">
        <v>1</v>
      </c>
      <c r="AL13" s="62">
        <v>0</v>
      </c>
      <c r="AM13" s="62">
        <v>0</v>
      </c>
      <c r="AN13" s="62" t="str">
        <v/>
      </c>
      <c r="AO13" s="62" t="str">
        <v/>
      </c>
      <c r="AP13" s="62"/>
      <c r="AQ13" s="179" t="s">
        <v>421</v>
      </c>
      <c r="AR13" s="159">
        <v>13</v>
      </c>
      <c r="AS13" s="159">
        <v>13</v>
      </c>
      <c r="AT13" s="159">
        <v>1</v>
      </c>
      <c r="AU13" s="159" t="str">
        <v>8%</v>
      </c>
      <c r="AV13" s="159">
        <v>12</v>
      </c>
      <c r="AW13" s="159">
        <v>2</v>
      </c>
      <c r="AX13" s="159">
        <v>1</v>
      </c>
      <c r="AY13" s="159" t="e">
        <v>#N/A</v>
      </c>
      <c r="AZ13" s="159" t="str">
        <v/>
      </c>
      <c r="BA13" s="159"/>
      <c r="BB13" s="108">
        <f>MIN(_xlfn.ANCHORARRAY(T2))</f>
        <v>-1.479592604535932</v>
      </c>
      <c r="BC13" s="159"/>
      <c r="BD13" s="62"/>
      <c r="BE13" s="62"/>
      <c r="BF13" s="185"/>
      <c r="BG13" s="185"/>
      <c r="BH13" s="185"/>
      <c r="BI13" s="185"/>
      <c r="BJ13" s="185"/>
      <c r="BK13" s="185">
        <v>12</v>
      </c>
      <c r="BL13" s="185">
        <v>1</v>
      </c>
      <c r="BM13" s="159">
        <v>1.8192576091040986</v>
      </c>
      <c r="BN13" s="159">
        <v>1.8192576091040986</v>
      </c>
      <c r="BO13" s="159" t="e">
        <v>#N/A</v>
      </c>
      <c r="BP13" s="159" t="e">
        <v>#N/A</v>
      </c>
      <c r="BQ13" s="159" t="e">
        <v>#N/A</v>
      </c>
      <c r="BR13" s="185" t="str">
        <v/>
      </c>
      <c r="BS13" s="185"/>
      <c r="BT13" s="183" t="s">
        <v>34</v>
      </c>
      <c r="BU13" s="177">
        <f>$BT$30</f>
        <v>1.8110756828005981</v>
      </c>
      <c r="BV13" s="177">
        <v>0</v>
      </c>
      <c r="BW13" s="185">
        <v>12</v>
      </c>
      <c r="BX13" s="62">
        <v>13</v>
      </c>
      <c r="BY13" s="62">
        <v>1</v>
      </c>
      <c r="BZ13" s="62"/>
      <c r="CA13" s="62"/>
      <c r="CB13" s="62"/>
      <c r="CC13" s="62"/>
      <c r="CD13" s="179" t="s">
        <v>287</v>
      </c>
      <c r="CE13" s="62"/>
      <c r="CF13" s="62"/>
      <c r="CG13" s="62"/>
      <c r="CH13" s="62"/>
      <c r="CI13" s="159"/>
      <c r="CJ13" s="159"/>
      <c r="CK13" s="159"/>
      <c r="CL13" s="159"/>
      <c r="CM13" s="159"/>
      <c r="CN13" s="159">
        <v>12</v>
      </c>
      <c r="CO13" s="159">
        <v>2</v>
      </c>
      <c r="CP13" s="159">
        <v>1.4196164686204271</v>
      </c>
      <c r="CQ13" s="159" t="str">
        <v/>
      </c>
      <c r="CR13" s="159"/>
      <c r="CS13" s="159"/>
      <c r="DR13" s="48"/>
      <c r="DS13" s="48"/>
    </row>
    <row r="14" spans="1:123" x14ac:dyDescent="0.2">
      <c r="R14" s="106" t="str">
        <f>"Normalfraktildiagram af
"&amp;B5</f>
        <v>Normalfraktildiagram af
Eksempel 1 (interval)</v>
      </c>
      <c r="S14" s="62"/>
      <c r="T14" s="62"/>
      <c r="U14" s="62"/>
      <c r="V14" s="62"/>
      <c r="W14" s="62"/>
      <c r="X14" s="62"/>
      <c r="Y14" s="106">
        <f>Y10*R8+R6</f>
        <v>-11.06659377856206</v>
      </c>
      <c r="Z14" s="62">
        <v>13</v>
      </c>
      <c r="AA14" s="62">
        <v>9.606363336450789</v>
      </c>
      <c r="AB14" s="62">
        <v>11.32910976270186</v>
      </c>
      <c r="AC14" s="62">
        <v>0</v>
      </c>
      <c r="AD14" s="62"/>
      <c r="AE14" s="62"/>
      <c r="AF14" s="62"/>
      <c r="AG14" s="62"/>
      <c r="AH14" s="62">
        <v>13</v>
      </c>
      <c r="AI14" s="62">
        <v>-2.7165354330708662</v>
      </c>
      <c r="AJ14" s="62">
        <v>9.9645556959455598E-3</v>
      </c>
      <c r="AK14" s="62">
        <v>1</v>
      </c>
      <c r="AL14" s="62">
        <v>0</v>
      </c>
      <c r="AM14" s="62">
        <v>0</v>
      </c>
      <c r="AN14" s="62" t="str">
        <v/>
      </c>
      <c r="AO14" s="62" t="str">
        <v/>
      </c>
      <c r="AP14" s="62"/>
      <c r="AQ14" s="106" t="b">
        <f>AQ6&lt;=10</f>
        <v>0</v>
      </c>
      <c r="AR14" s="159"/>
      <c r="AS14" s="159"/>
      <c r="AT14" s="159"/>
      <c r="AU14" s="159"/>
      <c r="AV14" s="159">
        <v>13</v>
      </c>
      <c r="AW14" s="159">
        <v>3</v>
      </c>
      <c r="AX14" s="159">
        <v>1</v>
      </c>
      <c r="AY14" s="159" t="e">
        <v>#N/A</v>
      </c>
      <c r="AZ14" s="159" t="str">
        <v/>
      </c>
      <c r="BA14" s="159"/>
      <c r="BB14" s="183" t="s">
        <v>46</v>
      </c>
      <c r="BC14" s="159"/>
      <c r="BD14" s="62"/>
      <c r="BE14" s="62"/>
      <c r="BF14" s="185"/>
      <c r="BG14" s="185"/>
      <c r="BH14" s="185"/>
      <c r="BI14" s="185"/>
      <c r="BJ14" s="185"/>
      <c r="BK14" s="185">
        <v>13</v>
      </c>
      <c r="BL14" s="185">
        <v>1</v>
      </c>
      <c r="BM14" s="159">
        <v>1.8192576091040986</v>
      </c>
      <c r="BN14" s="159">
        <v>1.8192576091040986</v>
      </c>
      <c r="BO14" s="159" t="e">
        <v>#N/A</v>
      </c>
      <c r="BP14" s="159" t="e">
        <v>#N/A</v>
      </c>
      <c r="BQ14" s="159" t="e">
        <v>#N/A</v>
      </c>
      <c r="BR14" s="185" t="str">
        <v/>
      </c>
      <c r="BS14" s="185"/>
      <c r="BT14" s="108">
        <f>_xlfn.QUARTILE.EXC(_xlfn.ANCHORARRAY(T2),3)</f>
        <v>1.7034016755912118</v>
      </c>
      <c r="BU14" s="177">
        <f>$BT$30</f>
        <v>1.8110756828005981</v>
      </c>
      <c r="BV14" s="177">
        <v>-1</v>
      </c>
      <c r="BW14" s="185"/>
      <c r="BX14" s="62"/>
      <c r="BY14" s="62"/>
      <c r="BZ14" s="62"/>
      <c r="CA14" s="62"/>
      <c r="CB14" s="62"/>
      <c r="CC14" s="62"/>
      <c r="CD14" s="106">
        <f>CD12-CD10</f>
        <v>14.479592604535933</v>
      </c>
      <c r="CE14" s="62"/>
      <c r="CF14" s="62"/>
      <c r="CG14" s="62"/>
      <c r="CH14" s="185"/>
      <c r="CI14" s="159"/>
      <c r="CJ14" s="159"/>
      <c r="CK14" s="159"/>
      <c r="CL14" s="159"/>
      <c r="CM14" s="159"/>
      <c r="CN14" s="159">
        <v>13</v>
      </c>
      <c r="CO14" s="159">
        <v>2</v>
      </c>
      <c r="CP14" s="159">
        <v>1.4196164686204271</v>
      </c>
      <c r="CQ14" s="159" t="str">
        <v/>
      </c>
      <c r="CR14" s="159"/>
      <c r="CS14" s="159"/>
      <c r="DR14" s="48"/>
      <c r="DS14" s="48"/>
    </row>
    <row r="15" spans="1:123" x14ac:dyDescent="0.2">
      <c r="R15" s="179" t="s">
        <v>571</v>
      </c>
      <c r="S15" s="62"/>
      <c r="T15" s="62"/>
      <c r="U15" s="62"/>
      <c r="V15" s="62"/>
      <c r="W15" s="62"/>
      <c r="X15" s="62"/>
      <c r="Y15" s="179" t="s">
        <v>581</v>
      </c>
      <c r="Z15" s="62">
        <v>14</v>
      </c>
      <c r="AA15" s="62">
        <v>11.32910976270186</v>
      </c>
      <c r="AB15" s="62">
        <v>13.051856188952931</v>
      </c>
      <c r="AC15" s="62">
        <v>1</v>
      </c>
      <c r="AD15" s="62"/>
      <c r="AE15" s="62"/>
      <c r="AF15" s="62"/>
      <c r="AG15" s="62"/>
      <c r="AH15" s="62">
        <v>14</v>
      </c>
      <c r="AI15" s="62">
        <v>-2.6929133858267718</v>
      </c>
      <c r="AJ15" s="62">
        <v>1.0621980582946014E-2</v>
      </c>
      <c r="AK15" s="62">
        <v>1</v>
      </c>
      <c r="AL15" s="62">
        <v>0</v>
      </c>
      <c r="AM15" s="62">
        <v>0</v>
      </c>
      <c r="AN15" s="62" t="str">
        <v/>
      </c>
      <c r="AO15" s="62" t="str">
        <v/>
      </c>
      <c r="AP15" s="62"/>
      <c r="AQ15" s="179" t="s">
        <v>606</v>
      </c>
      <c r="AR15" s="159"/>
      <c r="AS15" s="159"/>
      <c r="AT15" s="159"/>
      <c r="AU15" s="159"/>
      <c r="AV15" s="159">
        <v>14</v>
      </c>
      <c r="AW15" s="159">
        <v>3</v>
      </c>
      <c r="AX15" s="159">
        <v>0</v>
      </c>
      <c r="AY15" s="159">
        <v>1</v>
      </c>
      <c r="AZ15" s="159" t="str">
        <v/>
      </c>
      <c r="BA15" s="159"/>
      <c r="BB15" s="108">
        <f>MAX(_xlfn.ANCHORARRAY(T2))</f>
        <v>13</v>
      </c>
      <c r="BC15" s="159"/>
      <c r="BD15" s="62"/>
      <c r="BE15" s="62"/>
      <c r="BF15" s="185"/>
      <c r="BG15" s="185"/>
      <c r="BH15" s="185"/>
      <c r="BI15" s="185"/>
      <c r="BJ15" s="185"/>
      <c r="BK15" s="185">
        <v>14</v>
      </c>
      <c r="BL15" s="185">
        <v>1</v>
      </c>
      <c r="BM15" s="159">
        <v>1.8192576091040986</v>
      </c>
      <c r="BN15" s="159">
        <v>1.8192576091040986</v>
      </c>
      <c r="BO15" s="159" t="e">
        <v>#N/A</v>
      </c>
      <c r="BP15" s="159" t="e">
        <v>#N/A</v>
      </c>
      <c r="BQ15" s="159" t="e">
        <v>#N/A</v>
      </c>
      <c r="BR15" s="185" t="str">
        <v/>
      </c>
      <c r="BS15" s="185"/>
      <c r="BT15" s="180" t="s">
        <v>648</v>
      </c>
      <c r="BU15" s="177">
        <f>$BT$30</f>
        <v>1.8110756828005981</v>
      </c>
      <c r="BV15" s="177">
        <v>1</v>
      </c>
      <c r="BW15" s="185"/>
      <c r="BX15" s="62"/>
      <c r="BY15" s="62"/>
      <c r="BZ15" s="62"/>
      <c r="CA15" s="62"/>
      <c r="CB15" s="62"/>
      <c r="CC15" s="62"/>
      <c r="CD15" s="179" t="s">
        <v>606</v>
      </c>
      <c r="CE15" s="62"/>
      <c r="CF15" s="62"/>
      <c r="CG15" s="62"/>
      <c r="CH15" s="185"/>
      <c r="CI15" s="159"/>
      <c r="CJ15" s="159"/>
      <c r="CK15" s="159"/>
      <c r="CL15" s="159"/>
      <c r="CM15" s="159"/>
      <c r="CN15" s="159">
        <v>14</v>
      </c>
      <c r="CO15" s="159">
        <v>2</v>
      </c>
      <c r="CP15" s="159">
        <v>1.4196164686204271</v>
      </c>
      <c r="CQ15" s="159" t="str">
        <v/>
      </c>
      <c r="CR15" s="159"/>
      <c r="CS15" s="159"/>
      <c r="DR15" s="48"/>
      <c r="DS15" s="48"/>
    </row>
    <row r="16" spans="1:123" x14ac:dyDescent="0.2">
      <c r="R16" s="106" t="str">
        <f>"Observationer (n = "&amp;R4&amp;")"</f>
        <v>Observationer (n = 12)</v>
      </c>
      <c r="S16" s="62"/>
      <c r="T16" s="62"/>
      <c r="U16" s="62"/>
      <c r="V16" s="62"/>
      <c r="W16" s="62"/>
      <c r="X16" s="62"/>
      <c r="Y16" s="106">
        <f>Y12*R8+R6</f>
        <v>14.774602615204001</v>
      </c>
      <c r="Z16" s="62">
        <v>15</v>
      </c>
      <c r="AA16" s="62">
        <v>13.051856188952931</v>
      </c>
      <c r="AB16" s="62">
        <v>14.774602615204001</v>
      </c>
      <c r="AC16" s="62">
        <v>0</v>
      </c>
      <c r="AD16" s="62"/>
      <c r="AE16" s="62"/>
      <c r="AF16" s="62"/>
      <c r="AG16" s="62"/>
      <c r="AH16" s="62">
        <v>15</v>
      </c>
      <c r="AI16" s="62">
        <v>-2.6692913385826773</v>
      </c>
      <c r="AJ16" s="62">
        <v>1.1316463594578965E-2</v>
      </c>
      <c r="AK16" s="62">
        <v>1</v>
      </c>
      <c r="AL16" s="62">
        <v>0</v>
      </c>
      <c r="AM16" s="62">
        <v>0</v>
      </c>
      <c r="AN16" s="62" t="str">
        <v/>
      </c>
      <c r="AO16" s="62" t="str">
        <v/>
      </c>
      <c r="AP16" s="62"/>
      <c r="AQ16" s="106">
        <f>MAX(LEN(ROUND(ABS(MAX(_xlfn.ANCHORARRAY(AR2))),0)),LEN(ROUND(ABS(MIN(_xlfn.ANCHORARRAY(AR2))),0)))</f>
        <v>2</v>
      </c>
      <c r="AR16" s="159"/>
      <c r="AS16" s="159"/>
      <c r="AT16" s="159"/>
      <c r="AU16" s="159"/>
      <c r="AV16" s="159">
        <v>15</v>
      </c>
      <c r="AW16" s="159">
        <v>3</v>
      </c>
      <c r="AX16" s="159">
        <v>0</v>
      </c>
      <c r="AY16" s="159">
        <v>1</v>
      </c>
      <c r="AZ16" s="159" t="str">
        <v/>
      </c>
      <c r="BA16" s="159"/>
      <c r="BB16" s="183" t="s">
        <v>287</v>
      </c>
      <c r="BC16" s="159"/>
      <c r="BD16" s="62"/>
      <c r="BE16" s="62"/>
      <c r="BF16" s="185"/>
      <c r="BG16" s="185"/>
      <c r="BH16" s="185"/>
      <c r="BI16" s="185"/>
      <c r="BJ16" s="185"/>
      <c r="BK16" s="185">
        <v>15</v>
      </c>
      <c r="BL16" s="185">
        <v>1</v>
      </c>
      <c r="BM16" s="159">
        <v>1.8192576091040986</v>
      </c>
      <c r="BN16" s="159">
        <v>1.8192576091040986</v>
      </c>
      <c r="BO16" s="159" t="e">
        <v>#N/A</v>
      </c>
      <c r="BP16" s="159" t="e">
        <v>#N/A</v>
      </c>
      <c r="BQ16" s="159" t="e">
        <v>#N/A</v>
      </c>
      <c r="BR16" s="185" t="str">
        <v/>
      </c>
      <c r="BS16" s="185"/>
      <c r="BT16" s="177">
        <v>-1</v>
      </c>
      <c r="BU16" s="180" t="s">
        <v>662</v>
      </c>
      <c r="BV16" s="180" t="s">
        <v>663</v>
      </c>
      <c r="BW16" s="185"/>
      <c r="BX16" s="62"/>
      <c r="BY16" s="62"/>
      <c r="BZ16" s="62"/>
      <c r="CA16" s="62"/>
      <c r="CB16" s="62"/>
      <c r="CC16" s="62"/>
      <c r="CD16" s="106">
        <f>MAX(LEN(ROUND(ABS(MAX(_xlfn.ANCHORARRAY(CG2))),0)),LEN(ROUND(ABS(MIN(_xlfn.ANCHORARRAY(CG2))),0)))</f>
        <v>2</v>
      </c>
      <c r="CE16" s="62"/>
      <c r="CF16" s="62"/>
      <c r="CG16" s="62"/>
      <c r="CH16" s="185"/>
      <c r="CI16" s="159"/>
      <c r="CJ16" s="159"/>
      <c r="CK16" s="159"/>
      <c r="CL16" s="159"/>
      <c r="CM16" s="159"/>
      <c r="CN16" s="159">
        <v>15</v>
      </c>
      <c r="CO16" s="159">
        <v>2</v>
      </c>
      <c r="CP16" s="159">
        <v>1.4196164686204271</v>
      </c>
      <c r="CQ16" s="159" t="str">
        <v/>
      </c>
      <c r="CR16" s="159"/>
      <c r="CS16" s="159"/>
      <c r="DR16" s="48"/>
      <c r="DS16" s="48"/>
    </row>
    <row r="17" spans="1:123" x14ac:dyDescent="0.2">
      <c r="R17" s="179" t="s">
        <v>572</v>
      </c>
      <c r="S17" s="62"/>
      <c r="T17" s="62"/>
      <c r="U17" s="62"/>
      <c r="V17" s="62"/>
      <c r="W17" s="62"/>
      <c r="X17" s="62"/>
      <c r="Y17" s="179" t="s">
        <v>586</v>
      </c>
      <c r="Z17" s="62"/>
      <c r="AA17" s="62"/>
      <c r="AB17" s="62"/>
      <c r="AC17" s="62"/>
      <c r="AD17" s="62"/>
      <c r="AE17" s="62"/>
      <c r="AF17" s="62"/>
      <c r="AG17" s="62"/>
      <c r="AH17" s="62">
        <v>16</v>
      </c>
      <c r="AI17" s="62">
        <v>-2.6456692913385829</v>
      </c>
      <c r="AJ17" s="62">
        <v>1.2049627495369133E-2</v>
      </c>
      <c r="AK17" s="62">
        <v>1</v>
      </c>
      <c r="AL17" s="62">
        <v>0</v>
      </c>
      <c r="AM17" s="62">
        <v>0</v>
      </c>
      <c r="AN17" s="62" t="str">
        <v/>
      </c>
      <c r="AO17" s="62" t="str">
        <v/>
      </c>
      <c r="AP17" s="62"/>
      <c r="AQ17" s="179" t="s">
        <v>607</v>
      </c>
      <c r="AR17" s="159"/>
      <c r="AS17" s="159"/>
      <c r="AT17" s="159"/>
      <c r="AU17" s="159"/>
      <c r="AV17" s="159">
        <v>16</v>
      </c>
      <c r="AW17" s="159">
        <v>3</v>
      </c>
      <c r="AX17" s="159">
        <v>0</v>
      </c>
      <c r="AY17" s="159">
        <v>1</v>
      </c>
      <c r="AZ17" s="159" t="str">
        <v>-0.898</v>
      </c>
      <c r="BA17" s="159"/>
      <c r="BB17" s="108">
        <f>BB15-BB13</f>
        <v>14.479592604535933</v>
      </c>
      <c r="BC17" s="159"/>
      <c r="BD17" s="62"/>
      <c r="BE17" s="62"/>
      <c r="BF17" s="185"/>
      <c r="BG17" s="185"/>
      <c r="BH17" s="185"/>
      <c r="BI17" s="185"/>
      <c r="BJ17" s="185"/>
      <c r="BK17" s="185">
        <v>16</v>
      </c>
      <c r="BL17" s="185">
        <v>1</v>
      </c>
      <c r="BM17" s="159">
        <v>1.8192576091040986</v>
      </c>
      <c r="BN17" s="159">
        <v>1.8192576091040986</v>
      </c>
      <c r="BO17" s="159" t="e">
        <v>#N/A</v>
      </c>
      <c r="BP17" s="159" t="e">
        <v>#N/A</v>
      </c>
      <c r="BQ17" s="159" t="e">
        <v>#N/A</v>
      </c>
      <c r="BR17" s="185" t="str">
        <v/>
      </c>
      <c r="BS17" s="185"/>
      <c r="BT17" s="180" t="s">
        <v>649</v>
      </c>
      <c r="BU17" s="177">
        <f>$BT$12</f>
        <v>0.49925963399512074</v>
      </c>
      <c r="BV17" s="177">
        <v>-1</v>
      </c>
      <c r="BW17" s="185"/>
      <c r="BX17" s="62"/>
      <c r="BY17" s="62"/>
      <c r="BZ17" s="62"/>
      <c r="CA17" s="62"/>
      <c r="CB17" s="62"/>
      <c r="CC17" s="62"/>
      <c r="CD17" s="179" t="s">
        <v>607</v>
      </c>
      <c r="CE17" s="62"/>
      <c r="CF17" s="62"/>
      <c r="CG17" s="62"/>
      <c r="CH17" s="185"/>
      <c r="CI17" s="159"/>
      <c r="CJ17" s="159"/>
      <c r="CK17" s="159"/>
      <c r="CL17" s="159"/>
      <c r="CM17" s="159"/>
      <c r="CN17" s="159">
        <v>16</v>
      </c>
      <c r="CO17" s="159">
        <v>2</v>
      </c>
      <c r="CP17" s="159">
        <v>1.4196164686204271</v>
      </c>
      <c r="CQ17" s="159" t="str">
        <v/>
      </c>
      <c r="CR17" s="159"/>
      <c r="CS17" s="159"/>
      <c r="DR17" s="48"/>
      <c r="DS17" s="48"/>
    </row>
    <row r="18" spans="1:123" x14ac:dyDescent="0.2">
      <c r="R18" s="106" t="str">
        <f>IFERROR("Normalfordeling ("&amp;R10&amp;" ; "&amp;R12&amp;")","")</f>
        <v>Normalfordeling (1.854 ; 4.307)</v>
      </c>
      <c r="S18" s="62"/>
      <c r="T18" s="62"/>
      <c r="U18" s="62"/>
      <c r="V18" s="62"/>
      <c r="W18" s="62"/>
      <c r="X18" s="62"/>
      <c r="Y18" s="106">
        <f>(Y16-Y14)/B6</f>
        <v>1.7227464262510708</v>
      </c>
      <c r="Z18" s="62"/>
      <c r="AA18" s="62"/>
      <c r="AB18" s="62"/>
      <c r="AC18" s="62"/>
      <c r="AD18" s="62"/>
      <c r="AE18" s="62"/>
      <c r="AF18" s="62"/>
      <c r="AG18" s="62"/>
      <c r="AH18" s="62">
        <v>17</v>
      </c>
      <c r="AI18" s="62">
        <v>-2.622047244094488</v>
      </c>
      <c r="AJ18" s="62">
        <v>1.2823133836513139E-2</v>
      </c>
      <c r="AK18" s="62">
        <v>1</v>
      </c>
      <c r="AL18" s="62">
        <v>0</v>
      </c>
      <c r="AM18" s="62">
        <v>0</v>
      </c>
      <c r="AN18" s="62" t="str">
        <v/>
      </c>
      <c r="AO18" s="62" t="str">
        <v/>
      </c>
      <c r="AP18" s="62"/>
      <c r="AQ18" s="106">
        <f>7-ROUNDDOWN(AQ6/5,0)</f>
        <v>5</v>
      </c>
      <c r="AR18" s="62"/>
      <c r="AS18" s="159"/>
      <c r="AT18" s="159"/>
      <c r="AU18" s="159"/>
      <c r="AV18" s="159">
        <v>17</v>
      </c>
      <c r="AW18" s="159">
        <v>3</v>
      </c>
      <c r="AX18" s="159">
        <v>0</v>
      </c>
      <c r="AY18" s="159">
        <v>1</v>
      </c>
      <c r="AZ18" s="159" t="str">
        <v/>
      </c>
      <c r="BA18" s="159"/>
      <c r="BB18" s="183" t="s">
        <v>627</v>
      </c>
      <c r="BC18" s="159"/>
      <c r="BD18" s="62"/>
      <c r="BE18" s="62"/>
      <c r="BF18" s="185"/>
      <c r="BG18" s="185"/>
      <c r="BH18" s="185"/>
      <c r="BI18" s="185"/>
      <c r="BJ18" s="185"/>
      <c r="BK18" s="185">
        <v>17</v>
      </c>
      <c r="BL18" s="185">
        <v>1</v>
      </c>
      <c r="BM18" s="159">
        <v>1.8192576091040986</v>
      </c>
      <c r="BN18" s="159">
        <v>1.8192576091040986</v>
      </c>
      <c r="BO18" s="159" t="e">
        <v>#N/A</v>
      </c>
      <c r="BP18" s="159" t="e">
        <v>#N/A</v>
      </c>
      <c r="BQ18" s="159" t="e">
        <v>#N/A</v>
      </c>
      <c r="BR18" s="185" t="str">
        <v/>
      </c>
      <c r="BS18" s="185"/>
      <c r="BT18" s="177">
        <v>1</v>
      </c>
      <c r="BU18" s="177">
        <f>$BT$12</f>
        <v>0.49925963399512074</v>
      </c>
      <c r="BV18" s="177">
        <v>1</v>
      </c>
      <c r="BW18" s="185"/>
      <c r="BX18" s="62"/>
      <c r="BY18" s="62"/>
      <c r="BZ18" s="62"/>
      <c r="CA18" s="62"/>
      <c r="CB18" s="62"/>
      <c r="CC18" s="62"/>
      <c r="CD18" s="106">
        <f>4-ROUNDDOWN(B7/5,0)</f>
        <v>3</v>
      </c>
      <c r="CE18" s="62"/>
      <c r="CF18" s="62"/>
      <c r="CG18" s="62"/>
      <c r="CH18" s="185"/>
      <c r="CI18" s="159"/>
      <c r="CJ18" s="159"/>
      <c r="CK18" s="159"/>
      <c r="CL18" s="159"/>
      <c r="CM18" s="159"/>
      <c r="CN18" s="159">
        <v>17</v>
      </c>
      <c r="CO18" s="159">
        <v>2</v>
      </c>
      <c r="CP18" s="159">
        <v>1.4196164686204271</v>
      </c>
      <c r="CQ18" s="159" t="str">
        <v/>
      </c>
      <c r="CR18" s="159"/>
      <c r="CS18" s="159"/>
      <c r="DR18" s="48"/>
      <c r="DS18" s="48"/>
    </row>
    <row r="19" spans="1:123" x14ac:dyDescent="0.2">
      <c r="R19" s="62"/>
      <c r="S19" s="62"/>
      <c r="T19" s="62"/>
      <c r="U19" s="62"/>
      <c r="V19" s="62"/>
      <c r="W19" s="62"/>
      <c r="X19" s="62"/>
      <c r="Y19" s="179" t="s">
        <v>593</v>
      </c>
      <c r="Z19" s="62"/>
      <c r="AA19" s="39"/>
      <c r="AB19" s="39"/>
      <c r="AC19" s="39"/>
      <c r="AD19" s="39"/>
      <c r="AE19" s="39"/>
      <c r="AF19" s="39"/>
      <c r="AG19" s="39"/>
      <c r="AH19" s="39">
        <v>18</v>
      </c>
      <c r="AI19" s="62">
        <v>-2.5984251968503935</v>
      </c>
      <c r="AJ19" s="62">
        <v>1.3638681642439747E-2</v>
      </c>
      <c r="AK19" s="62">
        <v>2</v>
      </c>
      <c r="AL19" s="62">
        <v>0</v>
      </c>
      <c r="AM19" s="62">
        <v>0</v>
      </c>
      <c r="AN19" s="62">
        <v>-9.34</v>
      </c>
      <c r="AO19" s="62" t="str">
        <v/>
      </c>
      <c r="AP19" s="62"/>
      <c r="AQ19" s="179" t="s">
        <v>605</v>
      </c>
      <c r="AR19" s="159"/>
      <c r="AS19" s="159"/>
      <c r="AT19" s="159"/>
      <c r="AU19" s="159"/>
      <c r="AV19" s="159">
        <v>18</v>
      </c>
      <c r="AW19" s="159">
        <v>3</v>
      </c>
      <c r="AX19" s="159">
        <v>1</v>
      </c>
      <c r="AY19" s="159" t="e">
        <v>#N/A</v>
      </c>
      <c r="AZ19" s="159" t="str">
        <v/>
      </c>
      <c r="BA19" s="159"/>
      <c r="BB19" s="108">
        <v>250</v>
      </c>
      <c r="BC19" s="159"/>
      <c r="BD19" s="62"/>
      <c r="BE19" s="62"/>
      <c r="BF19" s="185"/>
      <c r="BG19" s="185"/>
      <c r="BH19" s="185"/>
      <c r="BI19" s="185"/>
      <c r="BJ19" s="185"/>
      <c r="BK19" s="185">
        <v>18</v>
      </c>
      <c r="BL19" s="185">
        <v>1</v>
      </c>
      <c r="BM19" s="159">
        <v>1.8192576091040986</v>
      </c>
      <c r="BN19" s="159">
        <v>1.8192576091040986</v>
      </c>
      <c r="BO19" s="159" t="e">
        <v>#N/A</v>
      </c>
      <c r="BP19" s="159" t="e">
        <v>#N/A</v>
      </c>
      <c r="BQ19" s="159" t="e">
        <v>#N/A</v>
      </c>
      <c r="BR19" s="185" t="str">
        <v/>
      </c>
      <c r="BS19" s="185"/>
      <c r="BT19" s="183" t="s">
        <v>650</v>
      </c>
      <c r="BU19" s="185"/>
      <c r="BV19" s="185"/>
      <c r="BW19" s="185"/>
      <c r="BX19" s="62"/>
      <c r="BY19" s="62"/>
      <c r="BZ19" s="62"/>
      <c r="CA19" s="62"/>
      <c r="CB19" s="62"/>
      <c r="CC19" s="62"/>
      <c r="CD19" s="179" t="s">
        <v>605</v>
      </c>
      <c r="CE19" s="62"/>
      <c r="CF19" s="62"/>
      <c r="CG19" s="62"/>
      <c r="CH19" s="185"/>
      <c r="CI19" s="159"/>
      <c r="CJ19" s="159"/>
      <c r="CK19" s="159"/>
      <c r="CL19" s="159"/>
      <c r="CM19" s="159"/>
      <c r="CN19" s="159">
        <v>18</v>
      </c>
      <c r="CO19" s="159">
        <v>2</v>
      </c>
      <c r="CP19" s="159">
        <v>1.4196164686204271</v>
      </c>
      <c r="CQ19" s="159" t="str">
        <v/>
      </c>
      <c r="CR19" s="159"/>
      <c r="CS19" s="159"/>
      <c r="DR19" s="48"/>
      <c r="DS19" s="48"/>
    </row>
    <row r="20" spans="1:123" x14ac:dyDescent="0.2">
      <c r="R20" s="62"/>
      <c r="S20" s="62"/>
      <c r="T20" s="62"/>
      <c r="U20" s="62"/>
      <c r="V20" s="62"/>
      <c r="W20" s="62"/>
      <c r="X20" s="62"/>
      <c r="Y20" s="108">
        <v>250</v>
      </c>
      <c r="Z20" s="62"/>
      <c r="AA20" s="39"/>
      <c r="AB20" s="39"/>
      <c r="AC20" s="39"/>
      <c r="AD20" s="39"/>
      <c r="AE20" s="39"/>
      <c r="AF20" s="39"/>
      <c r="AG20" s="39"/>
      <c r="AH20" s="39">
        <v>19</v>
      </c>
      <c r="AI20" s="62">
        <v>-2.5748031496062991</v>
      </c>
      <c r="AJ20" s="62">
        <v>1.449800590485566E-2</v>
      </c>
      <c r="AK20" s="62">
        <v>2</v>
      </c>
      <c r="AL20" s="62">
        <v>0</v>
      </c>
      <c r="AM20" s="62">
        <v>0</v>
      </c>
      <c r="AN20" s="62" t="str">
        <v/>
      </c>
      <c r="AO20" s="62" t="str">
        <v/>
      </c>
      <c r="AP20" s="62"/>
      <c r="AQ20" s="106">
        <f>MIN(3,MAX(0,AQ18-AQ16))</f>
        <v>3</v>
      </c>
      <c r="AR20" s="159"/>
      <c r="AS20" s="159"/>
      <c r="AT20" s="159"/>
      <c r="AU20" s="159"/>
      <c r="AV20" s="159">
        <v>19</v>
      </c>
      <c r="AW20" s="159">
        <v>4</v>
      </c>
      <c r="AX20" s="159">
        <v>1</v>
      </c>
      <c r="AY20" s="159" t="e">
        <v>#N/A</v>
      </c>
      <c r="AZ20" s="159" t="str">
        <v/>
      </c>
      <c r="BA20" s="159"/>
      <c r="BB20" s="179" t="s">
        <v>594</v>
      </c>
      <c r="BC20" s="159"/>
      <c r="BD20" s="62"/>
      <c r="BE20" s="62"/>
      <c r="BF20" s="185"/>
      <c r="BG20" s="185"/>
      <c r="BH20" s="185"/>
      <c r="BI20" s="185"/>
      <c r="BJ20" s="185"/>
      <c r="BK20" s="185">
        <v>19</v>
      </c>
      <c r="BL20" s="185">
        <v>1</v>
      </c>
      <c r="BM20" s="159">
        <v>1.8192576091040986</v>
      </c>
      <c r="BN20" s="159">
        <v>1.8192576091040986</v>
      </c>
      <c r="BO20" s="159" t="e">
        <v>#N/A</v>
      </c>
      <c r="BP20" s="159" t="e">
        <v>#N/A</v>
      </c>
      <c r="BQ20" s="159" t="e">
        <v>#N/A</v>
      </c>
      <c r="BR20" s="185" t="str">
        <v/>
      </c>
      <c r="BS20" s="185"/>
      <c r="BT20" s="108">
        <f>BT14-BT10</f>
        <v>2.4790432186498887</v>
      </c>
      <c r="BU20" s="185"/>
      <c r="BV20" s="185"/>
      <c r="BW20" s="185"/>
      <c r="BX20" s="185"/>
      <c r="BY20" s="185"/>
      <c r="BZ20" s="48"/>
      <c r="CA20" s="62"/>
      <c r="CB20" s="62"/>
      <c r="CC20" s="62"/>
      <c r="CD20" s="106">
        <f>MIN(1,MAX(0,CD18-CD16))</f>
        <v>1</v>
      </c>
      <c r="CE20" s="185"/>
      <c r="CF20" s="185"/>
      <c r="CG20" s="185"/>
      <c r="CH20" s="185"/>
      <c r="CI20" s="159"/>
      <c r="CJ20" s="159"/>
      <c r="CK20" s="159"/>
      <c r="CL20" s="159"/>
      <c r="CM20" s="159"/>
      <c r="CN20" s="159">
        <v>19</v>
      </c>
      <c r="CO20" s="159">
        <v>2</v>
      </c>
      <c r="CP20" s="159">
        <v>1.4196164686204271</v>
      </c>
      <c r="CQ20" s="159" t="str">
        <v/>
      </c>
      <c r="CR20" s="159"/>
      <c r="CS20" s="159"/>
      <c r="CT20" s="159"/>
      <c r="DR20" s="48"/>
      <c r="DS20" s="48"/>
    </row>
    <row r="21" spans="1:123" x14ac:dyDescent="0.2">
      <c r="R21" s="62"/>
      <c r="S21" s="62"/>
      <c r="T21" s="62"/>
      <c r="U21" s="62"/>
      <c r="V21" s="62"/>
      <c r="W21" s="62"/>
      <c r="X21" s="62"/>
      <c r="Y21" s="179" t="s">
        <v>603</v>
      </c>
      <c r="Z21" s="62"/>
      <c r="AA21" s="39"/>
      <c r="AB21" s="39"/>
      <c r="AC21" s="39"/>
      <c r="AD21" s="39"/>
      <c r="AE21" s="39"/>
      <c r="AF21" s="39"/>
      <c r="AG21" s="39"/>
      <c r="AH21" s="39">
        <v>20</v>
      </c>
      <c r="AI21" s="62">
        <v>-2.5511811023622046</v>
      </c>
      <c r="AJ21" s="62">
        <v>1.54028758771209E-2</v>
      </c>
      <c r="AK21" s="62">
        <v>2</v>
      </c>
      <c r="AL21" s="62">
        <v>0</v>
      </c>
      <c r="AM21" s="62">
        <v>0</v>
      </c>
      <c r="AN21" s="62" t="str">
        <v/>
      </c>
      <c r="AO21" s="62" t="str">
        <v/>
      </c>
      <c r="AP21" s="62"/>
      <c r="AQ21" s="62"/>
      <c r="AR21" s="159"/>
      <c r="AS21" s="159"/>
      <c r="AT21" s="159"/>
      <c r="AU21" s="159"/>
      <c r="AV21" s="159">
        <v>20</v>
      </c>
      <c r="AW21" s="159">
        <v>4</v>
      </c>
      <c r="AX21" s="159">
        <v>0</v>
      </c>
      <c r="AY21" s="159">
        <v>1</v>
      </c>
      <c r="AZ21" s="159" t="str">
        <v/>
      </c>
      <c r="BA21" s="159"/>
      <c r="BB21" s="177">
        <v>5000</v>
      </c>
      <c r="BC21" s="159"/>
      <c r="BD21" s="62"/>
      <c r="BE21" s="62"/>
      <c r="BF21" s="185"/>
      <c r="BG21" s="185"/>
      <c r="BH21" s="185"/>
      <c r="BI21" s="185"/>
      <c r="BJ21" s="185"/>
      <c r="BK21" s="185">
        <v>20</v>
      </c>
      <c r="BL21" s="185">
        <v>1</v>
      </c>
      <c r="BM21" s="159">
        <v>1.8192576091040986</v>
      </c>
      <c r="BN21" s="159">
        <v>1.8192576091040986</v>
      </c>
      <c r="BO21" s="159" t="e">
        <v>#N/A</v>
      </c>
      <c r="BP21" s="159" t="e">
        <v>#N/A</v>
      </c>
      <c r="BQ21" s="159" t="e">
        <v>#N/A</v>
      </c>
      <c r="BR21" s="185" t="str">
        <v/>
      </c>
      <c r="BS21" s="185"/>
      <c r="BT21" s="180" t="s">
        <v>651</v>
      </c>
      <c r="BU21" s="185"/>
      <c r="BV21" s="185"/>
      <c r="BW21" s="185"/>
      <c r="BX21" s="185"/>
      <c r="BY21" s="185"/>
      <c r="BZ21" s="48"/>
      <c r="CA21" s="62"/>
      <c r="CB21" s="62"/>
      <c r="CC21" s="62"/>
      <c r="CD21" s="179" t="s">
        <v>681</v>
      </c>
      <c r="CE21" s="185"/>
      <c r="CF21" s="185"/>
      <c r="CG21" s="185"/>
      <c r="CH21" s="185"/>
      <c r="CI21" s="159"/>
      <c r="CJ21" s="159"/>
      <c r="CK21" s="159"/>
      <c r="CL21" s="159"/>
      <c r="CM21" s="159"/>
      <c r="CN21" s="159">
        <v>20</v>
      </c>
      <c r="CO21" s="159">
        <v>2</v>
      </c>
      <c r="CP21" s="159">
        <v>1.4196164686204271</v>
      </c>
      <c r="CQ21" s="159" t="str">
        <v/>
      </c>
      <c r="CR21" s="159"/>
      <c r="CS21" s="159"/>
      <c r="CT21" s="159"/>
      <c r="DR21" s="48"/>
      <c r="DS21" s="48"/>
    </row>
    <row r="22" spans="1:123" x14ac:dyDescent="0.2">
      <c r="R22" s="62"/>
      <c r="S22" s="62"/>
      <c r="T22" s="62"/>
      <c r="U22" s="62"/>
      <c r="V22" s="62"/>
      <c r="W22" s="62"/>
      <c r="X22" s="62"/>
      <c r="Y22" s="106">
        <f>ROUNDUP(Y20/B6,0)</f>
        <v>17</v>
      </c>
      <c r="Z22" s="62"/>
      <c r="AA22" s="39"/>
      <c r="AB22" s="39"/>
      <c r="AC22" s="39"/>
      <c r="AD22" s="39"/>
      <c r="AE22" s="39"/>
      <c r="AF22" s="39"/>
      <c r="AG22" s="39"/>
      <c r="AH22" s="39">
        <v>21</v>
      </c>
      <c r="AI22" s="62">
        <v>-2.5275590551181102</v>
      </c>
      <c r="AJ22" s="62">
        <v>1.6355093162145264E-2</v>
      </c>
      <c r="AK22" s="62">
        <v>2</v>
      </c>
      <c r="AL22" s="62">
        <v>0</v>
      </c>
      <c r="AM22" s="62">
        <v>0</v>
      </c>
      <c r="AN22" s="62" t="str">
        <v/>
      </c>
      <c r="AO22" s="62" t="str">
        <v/>
      </c>
      <c r="AP22" s="62"/>
      <c r="AQ22" s="62"/>
      <c r="AR22" s="159"/>
      <c r="AS22" s="159"/>
      <c r="AT22" s="159"/>
      <c r="AU22" s="159"/>
      <c r="AV22" s="159">
        <v>21</v>
      </c>
      <c r="AW22" s="159">
        <v>4</v>
      </c>
      <c r="AX22" s="159">
        <v>0</v>
      </c>
      <c r="AY22" s="159">
        <v>1</v>
      </c>
      <c r="AZ22" s="159" t="str">
        <v/>
      </c>
      <c r="BA22" s="159"/>
      <c r="BB22" s="179" t="s">
        <v>606</v>
      </c>
      <c r="BC22" s="159"/>
      <c r="BD22" s="62"/>
      <c r="BE22" s="62"/>
      <c r="BF22" s="185"/>
      <c r="BG22" s="185"/>
      <c r="BH22" s="185"/>
      <c r="BI22" s="185"/>
      <c r="BJ22" s="185"/>
      <c r="BK22" s="185">
        <v>21</v>
      </c>
      <c r="BL22" s="185">
        <v>1</v>
      </c>
      <c r="BM22" s="159">
        <v>1.8192576091040986</v>
      </c>
      <c r="BN22" s="159">
        <v>1.8192576091040986</v>
      </c>
      <c r="BO22" s="159" t="e">
        <v>#N/A</v>
      </c>
      <c r="BP22" s="159" t="e">
        <v>#N/A</v>
      </c>
      <c r="BQ22" s="159" t="e">
        <v>#N/A</v>
      </c>
      <c r="BR22" s="185" t="str">
        <v/>
      </c>
      <c r="BS22" s="185"/>
      <c r="BT22" s="177">
        <v>1.5</v>
      </c>
      <c r="BU22" s="185"/>
      <c r="BV22" s="185"/>
      <c r="BW22" s="185"/>
      <c r="BX22" s="185"/>
      <c r="BY22" s="185"/>
      <c r="BZ22" s="48"/>
      <c r="CA22" s="62"/>
      <c r="CB22" s="62"/>
      <c r="CC22" s="62"/>
      <c r="CD22" s="106" t="s">
        <v>668</v>
      </c>
      <c r="CE22" s="185"/>
      <c r="CF22" s="185"/>
      <c r="CG22" s="185"/>
      <c r="CH22" s="185"/>
      <c r="CI22" s="159"/>
      <c r="CJ22" s="159"/>
      <c r="CK22" s="159"/>
      <c r="CL22" s="159"/>
      <c r="CM22" s="159"/>
      <c r="CN22" s="159">
        <v>21</v>
      </c>
      <c r="CO22" s="159">
        <v>3</v>
      </c>
      <c r="CP22" s="159">
        <v>1.1154129396303354</v>
      </c>
      <c r="CQ22" s="159" t="str">
        <v>-0.3 (33%)</v>
      </c>
      <c r="CR22" s="159"/>
      <c r="CS22" s="159"/>
      <c r="CT22" s="159"/>
      <c r="DR22" s="48"/>
      <c r="DS22" s="48"/>
    </row>
    <row r="23" spans="1:123" x14ac:dyDescent="0.2">
      <c r="C23" s="45"/>
      <c r="D23" s="45"/>
      <c r="R23" s="62"/>
      <c r="S23" s="62"/>
      <c r="T23" s="62"/>
      <c r="U23" s="62"/>
      <c r="V23" s="62"/>
      <c r="W23" s="62"/>
      <c r="X23" s="62"/>
      <c r="Y23" s="179" t="s">
        <v>594</v>
      </c>
      <c r="Z23" s="62"/>
      <c r="AA23" s="39"/>
      <c r="AB23" s="39"/>
      <c r="AC23" s="39"/>
      <c r="AD23" s="39"/>
      <c r="AE23" s="39"/>
      <c r="AF23" s="39"/>
      <c r="AG23" s="39"/>
      <c r="AH23" s="39">
        <v>22</v>
      </c>
      <c r="AI23" s="62">
        <v>-2.5039370078740157</v>
      </c>
      <c r="AJ23" s="62">
        <v>1.7356489587397227E-2</v>
      </c>
      <c r="AK23" s="62">
        <v>2</v>
      </c>
      <c r="AL23" s="62">
        <v>0</v>
      </c>
      <c r="AM23" s="62">
        <v>0</v>
      </c>
      <c r="AN23" s="62" t="str">
        <v/>
      </c>
      <c r="AO23" s="62" t="str">
        <v/>
      </c>
      <c r="AP23" s="62"/>
      <c r="AQ23" s="62"/>
      <c r="AR23" s="159"/>
      <c r="AS23" s="159"/>
      <c r="AT23" s="159"/>
      <c r="AU23" s="159"/>
      <c r="AV23" s="159">
        <v>22</v>
      </c>
      <c r="AW23" s="159">
        <v>4</v>
      </c>
      <c r="AX23" s="159">
        <v>0</v>
      </c>
      <c r="AY23" s="159">
        <v>1</v>
      </c>
      <c r="AZ23" s="159" t="str">
        <v>-0.409</v>
      </c>
      <c r="BA23" s="159"/>
      <c r="BB23" s="106">
        <f>MAX(LEN(ROUND(ABS(MAX(_xlfn.ANCHORARRAY(BD2))),0)),LEN(ROUND(ABS(MIN(_xlfn.ANCHORARRAY(BD2))),0)))</f>
        <v>2</v>
      </c>
      <c r="BC23" s="159"/>
      <c r="BD23" s="62"/>
      <c r="BE23" s="62"/>
      <c r="BF23" s="185"/>
      <c r="BG23" s="185"/>
      <c r="BH23" s="185"/>
      <c r="BI23" s="185"/>
      <c r="BJ23" s="185"/>
      <c r="BK23" s="185">
        <v>22</v>
      </c>
      <c r="BL23" s="185">
        <v>1</v>
      </c>
      <c r="BM23" s="159">
        <v>1.8192576091040986</v>
      </c>
      <c r="BN23" s="159">
        <v>1.8192576091040986</v>
      </c>
      <c r="BO23" s="159" t="e">
        <v>#N/A</v>
      </c>
      <c r="BP23" s="159" t="e">
        <v>#N/A</v>
      </c>
      <c r="BQ23" s="159" t="e">
        <v>#N/A</v>
      </c>
      <c r="BR23" s="185" t="str">
        <v/>
      </c>
      <c r="BS23" s="185"/>
      <c r="BT23" s="180" t="s">
        <v>652</v>
      </c>
      <c r="BU23" s="185"/>
      <c r="BV23" s="185"/>
      <c r="BW23" s="185"/>
      <c r="BX23" s="185"/>
      <c r="BY23" s="185"/>
      <c r="BZ23" s="48"/>
      <c r="CA23" s="62"/>
      <c r="CB23" s="62"/>
      <c r="CC23" s="62"/>
      <c r="CD23" s="62"/>
      <c r="CE23" s="185"/>
      <c r="CF23" s="185"/>
      <c r="CG23" s="185"/>
      <c r="CH23" s="185"/>
      <c r="CI23" s="159"/>
      <c r="CJ23" s="159"/>
      <c r="CK23" s="159"/>
      <c r="CL23" s="159"/>
      <c r="CM23" s="159"/>
      <c r="CN23" s="159">
        <v>22</v>
      </c>
      <c r="CO23" s="159">
        <v>3</v>
      </c>
      <c r="CP23" s="159">
        <v>1.1154129396303354</v>
      </c>
      <c r="CQ23" s="159" t="str">
        <v/>
      </c>
      <c r="CR23" s="159"/>
      <c r="CS23" s="159"/>
      <c r="CT23" s="159"/>
      <c r="DR23" s="48"/>
      <c r="DS23" s="48"/>
    </row>
    <row r="24" spans="1:123" x14ac:dyDescent="0.2">
      <c r="C24" s="45"/>
      <c r="D24" s="45"/>
      <c r="R24" s="62"/>
      <c r="S24" s="62"/>
      <c r="T24" s="62"/>
      <c r="U24" s="62"/>
      <c r="V24" s="62"/>
      <c r="W24" s="62"/>
      <c r="X24" s="62"/>
      <c r="Y24" s="106">
        <f>Y22*B6</f>
        <v>255</v>
      </c>
      <c r="Z24" s="62"/>
      <c r="AA24" s="39"/>
      <c r="AB24" s="39"/>
      <c r="AC24" s="39"/>
      <c r="AD24" s="39"/>
      <c r="AE24" s="39"/>
      <c r="AF24" s="39"/>
      <c r="AG24" s="39"/>
      <c r="AH24" s="39">
        <v>23</v>
      </c>
      <c r="AI24" s="62">
        <v>-2.4803149606299213</v>
      </c>
      <c r="AJ24" s="62">
        <v>1.840892486107203E-2</v>
      </c>
      <c r="AK24" s="62">
        <v>2</v>
      </c>
      <c r="AL24" s="62">
        <v>0</v>
      </c>
      <c r="AM24" s="62">
        <v>0</v>
      </c>
      <c r="AN24" s="62" t="str">
        <v/>
      </c>
      <c r="AO24" s="62" t="str">
        <v/>
      </c>
      <c r="AP24" s="62"/>
      <c r="AQ24" s="62"/>
      <c r="AR24" s="159"/>
      <c r="AS24" s="159"/>
      <c r="AT24" s="159"/>
      <c r="AU24" s="159"/>
      <c r="AV24" s="159">
        <v>23</v>
      </c>
      <c r="AW24" s="159">
        <v>4</v>
      </c>
      <c r="AX24" s="159">
        <v>0</v>
      </c>
      <c r="AY24" s="159">
        <v>1</v>
      </c>
      <c r="AZ24" s="159" t="str">
        <v/>
      </c>
      <c r="BA24" s="159"/>
      <c r="BB24" s="179" t="s">
        <v>607</v>
      </c>
      <c r="BC24" s="159"/>
      <c r="BD24" s="62"/>
      <c r="BE24" s="62"/>
      <c r="BF24" s="185"/>
      <c r="BG24" s="185"/>
      <c r="BH24" s="185"/>
      <c r="BI24" s="185"/>
      <c r="BJ24" s="185"/>
      <c r="BK24" s="185">
        <v>23</v>
      </c>
      <c r="BL24" s="185">
        <v>1</v>
      </c>
      <c r="BM24" s="159">
        <v>1.8192576091040986</v>
      </c>
      <c r="BN24" s="159">
        <v>1.8192576091040986</v>
      </c>
      <c r="BO24" s="159" t="e">
        <v>#N/A</v>
      </c>
      <c r="BP24" s="159" t="e">
        <v>#N/A</v>
      </c>
      <c r="BQ24" s="159" t="e">
        <v>#N/A</v>
      </c>
      <c r="BR24" s="185" t="str">
        <v/>
      </c>
      <c r="BS24" s="185"/>
      <c r="BT24" s="177">
        <f>BT10-BT20*BT22</f>
        <v>-4.4942063710335098</v>
      </c>
      <c r="BU24" s="185"/>
      <c r="BV24" s="185"/>
      <c r="BW24" s="185"/>
      <c r="BX24" s="185"/>
      <c r="BY24" s="185"/>
      <c r="BZ24" s="48"/>
      <c r="CA24" s="62"/>
      <c r="CB24" s="62"/>
      <c r="CC24" s="62"/>
      <c r="CE24" s="185"/>
      <c r="CF24" s="185"/>
      <c r="CG24" s="185"/>
      <c r="CH24" s="185"/>
      <c r="CI24" s="159"/>
      <c r="CJ24" s="159"/>
      <c r="CK24" s="159"/>
      <c r="CL24" s="159"/>
      <c r="CM24" s="159"/>
      <c r="CN24" s="159">
        <v>23</v>
      </c>
      <c r="CO24" s="159">
        <v>3</v>
      </c>
      <c r="CP24" s="159">
        <v>1.1154129396303354</v>
      </c>
      <c r="CQ24" s="159" t="str">
        <v/>
      </c>
      <c r="CR24" s="159"/>
      <c r="CS24" s="159"/>
      <c r="CT24" s="159"/>
      <c r="DR24" s="48"/>
      <c r="DS24" s="48"/>
    </row>
    <row r="25" spans="1:123" x14ac:dyDescent="0.2">
      <c r="C25" s="45"/>
      <c r="D25" s="45"/>
      <c r="R25" s="62"/>
      <c r="S25" s="62"/>
      <c r="T25" s="62"/>
      <c r="U25" s="62"/>
      <c r="V25" s="62"/>
      <c r="W25" s="62"/>
      <c r="X25" s="62"/>
      <c r="Y25" s="179" t="s">
        <v>600</v>
      </c>
      <c r="Z25" s="62"/>
      <c r="AA25" s="39"/>
      <c r="AB25" s="39"/>
      <c r="AC25" s="39"/>
      <c r="AD25" s="39"/>
      <c r="AE25" s="39"/>
      <c r="AF25" s="39"/>
      <c r="AG25" s="39"/>
      <c r="AH25" s="39">
        <v>24</v>
      </c>
      <c r="AI25" s="62">
        <v>-2.4566929133858268</v>
      </c>
      <c r="AJ25" s="62">
        <v>1.9514284003976069E-2</v>
      </c>
      <c r="AK25" s="62">
        <v>2</v>
      </c>
      <c r="AL25" s="62">
        <v>0</v>
      </c>
      <c r="AM25" s="62">
        <v>0</v>
      </c>
      <c r="AN25" s="62" t="str">
        <v/>
      </c>
      <c r="AO25" s="62" t="str">
        <v/>
      </c>
      <c r="AP25" s="62"/>
      <c r="AQ25" s="62"/>
      <c r="AR25" s="159"/>
      <c r="AS25" s="159"/>
      <c r="AT25" s="159"/>
      <c r="AU25" s="159"/>
      <c r="AV25" s="159">
        <v>24</v>
      </c>
      <c r="AW25" s="159">
        <v>4</v>
      </c>
      <c r="AX25" s="159">
        <v>1</v>
      </c>
      <c r="AY25" s="159" t="e">
        <v>#N/A</v>
      </c>
      <c r="AZ25" s="159" t="str">
        <v/>
      </c>
      <c r="BA25" s="159"/>
      <c r="BB25" s="106">
        <f>7-ROUNDDOWN(BB9/5,0)</f>
        <v>6</v>
      </c>
      <c r="BC25" s="159"/>
      <c r="BD25" s="62"/>
      <c r="BE25" s="62"/>
      <c r="BF25" s="185"/>
      <c r="BG25" s="185"/>
      <c r="BH25" s="185"/>
      <c r="BI25" s="185"/>
      <c r="BJ25" s="185"/>
      <c r="BK25" s="185">
        <v>24</v>
      </c>
      <c r="BL25" s="185">
        <v>1</v>
      </c>
      <c r="BM25" s="159">
        <v>1.8192576091040986</v>
      </c>
      <c r="BN25" s="159">
        <v>1.8192576091040986</v>
      </c>
      <c r="BO25" s="159" t="e">
        <v>#N/A</v>
      </c>
      <c r="BP25" s="159" t="e">
        <v>#N/A</v>
      </c>
      <c r="BQ25" s="159" t="e">
        <v>#N/A</v>
      </c>
      <c r="BR25" s="185" t="str">
        <v/>
      </c>
      <c r="BS25" s="185"/>
      <c r="BT25" s="180" t="s">
        <v>653</v>
      </c>
      <c r="BU25" s="185"/>
      <c r="BV25" s="185"/>
      <c r="BW25" s="185"/>
      <c r="BX25" s="185"/>
      <c r="BY25" s="185"/>
      <c r="BZ25" s="48"/>
      <c r="CA25" s="62"/>
      <c r="CB25" s="62"/>
      <c r="CC25" s="62"/>
      <c r="CE25" s="185"/>
      <c r="CF25" s="185"/>
      <c r="CG25" s="185"/>
      <c r="CH25" s="185"/>
      <c r="CI25" s="159"/>
      <c r="CJ25" s="159"/>
      <c r="CK25" s="159"/>
      <c r="CL25" s="159"/>
      <c r="CM25" s="159"/>
      <c r="CN25" s="159">
        <v>24</v>
      </c>
      <c r="CO25" s="159">
        <v>3</v>
      </c>
      <c r="CP25" s="159">
        <v>1.1154129396303354</v>
      </c>
      <c r="CQ25" s="159" t="str">
        <v/>
      </c>
      <c r="CR25" s="159"/>
      <c r="CS25" s="159"/>
      <c r="CT25" s="159"/>
      <c r="DR25" s="48"/>
      <c r="DS25" s="48"/>
    </row>
    <row r="26" spans="1:123" x14ac:dyDescent="0.2">
      <c r="C26" s="45"/>
      <c r="D26" s="45"/>
      <c r="R26" s="62"/>
      <c r="S26" s="62"/>
      <c r="T26" s="62"/>
      <c r="U26" s="62"/>
      <c r="V26" s="62"/>
      <c r="W26" s="62"/>
      <c r="X26" s="62"/>
      <c r="Y26" s="106">
        <f>(Y12-Y10)/(Y24-1)</f>
        <v>2.3622047244094488E-2</v>
      </c>
      <c r="Z26" s="62"/>
      <c r="AA26" s="39"/>
      <c r="AB26" s="39"/>
      <c r="AC26" s="39"/>
      <c r="AD26" s="39"/>
      <c r="AE26" s="39"/>
      <c r="AF26" s="39"/>
      <c r="AG26" s="39"/>
      <c r="AH26" s="39">
        <v>25</v>
      </c>
      <c r="AI26" s="62">
        <v>-2.4330708661417324</v>
      </c>
      <c r="AJ26" s="62">
        <v>2.0674474552252395E-2</v>
      </c>
      <c r="AK26" s="62">
        <v>2</v>
      </c>
      <c r="AL26" s="62">
        <v>0</v>
      </c>
      <c r="AM26" s="62">
        <v>0</v>
      </c>
      <c r="AN26" s="62" t="str">
        <v/>
      </c>
      <c r="AO26" s="62" t="str">
        <v/>
      </c>
      <c r="AP26" s="62"/>
      <c r="AQ26" s="62"/>
      <c r="AR26" s="159"/>
      <c r="AS26" s="159"/>
      <c r="AT26" s="159"/>
      <c r="AU26" s="159"/>
      <c r="AV26" s="159">
        <v>25</v>
      </c>
      <c r="AW26" s="159">
        <v>5</v>
      </c>
      <c r="AX26" s="159">
        <v>1</v>
      </c>
      <c r="AY26" s="159" t="e">
        <v>#N/A</v>
      </c>
      <c r="AZ26" s="159" t="str">
        <v/>
      </c>
      <c r="BA26" s="159"/>
      <c r="BB26" s="179" t="s">
        <v>605</v>
      </c>
      <c r="BC26" s="159"/>
      <c r="BD26" s="62"/>
      <c r="BE26" s="62"/>
      <c r="BF26" s="185"/>
      <c r="BG26" s="185"/>
      <c r="BH26" s="185"/>
      <c r="BI26" s="185"/>
      <c r="BJ26" s="185"/>
      <c r="BK26" s="185">
        <v>25</v>
      </c>
      <c r="BL26" s="185">
        <v>1</v>
      </c>
      <c r="BM26" s="159">
        <v>1.8192576091040986</v>
      </c>
      <c r="BN26" s="159">
        <v>1.8192576091040986</v>
      </c>
      <c r="BO26" s="159" t="e">
        <v>#N/A</v>
      </c>
      <c r="BP26" s="159" t="e">
        <v>#N/A</v>
      </c>
      <c r="BQ26" s="159" t="e">
        <v>#N/A</v>
      </c>
      <c r="BR26" s="185" t="str">
        <v/>
      </c>
      <c r="BS26" s="185"/>
      <c r="BT26" s="177">
        <f>BT14+BT20*BT22</f>
        <v>5.4219665035660451</v>
      </c>
      <c r="BU26" s="185"/>
      <c r="BV26" s="185"/>
      <c r="BW26" s="185"/>
      <c r="BX26" s="185"/>
      <c r="BY26" s="185"/>
      <c r="BZ26" s="48"/>
      <c r="CA26" s="62"/>
      <c r="CB26" s="62"/>
      <c r="CC26" s="62"/>
      <c r="CD26" s="62"/>
      <c r="CE26" s="185"/>
      <c r="CF26" s="185"/>
      <c r="CG26" s="185"/>
      <c r="CH26" s="185"/>
      <c r="CI26" s="159"/>
      <c r="CJ26" s="159"/>
      <c r="CK26" s="159"/>
      <c r="CL26" s="159"/>
      <c r="CM26" s="159"/>
      <c r="CN26" s="159">
        <v>25</v>
      </c>
      <c r="CO26" s="159">
        <v>3</v>
      </c>
      <c r="CP26" s="159">
        <v>1.1154129396303354</v>
      </c>
      <c r="CQ26" s="159" t="str">
        <v/>
      </c>
      <c r="CR26" s="159"/>
      <c r="CS26" s="159"/>
      <c r="CT26" s="159"/>
      <c r="DR26" s="48"/>
      <c r="DS26" s="48"/>
    </row>
    <row r="27" spans="1:123" x14ac:dyDescent="0.2">
      <c r="C27" s="45"/>
      <c r="D27" s="45"/>
      <c r="R27" s="62"/>
      <c r="S27" s="62"/>
      <c r="T27" s="62"/>
      <c r="U27" s="62"/>
      <c r="V27" s="62"/>
      <c r="W27" s="62"/>
      <c r="X27" s="62"/>
      <c r="Y27" s="179" t="s">
        <v>606</v>
      </c>
      <c r="Z27" s="62"/>
      <c r="AA27" s="39"/>
      <c r="AB27" s="39"/>
      <c r="AC27" s="39"/>
      <c r="AD27" s="39"/>
      <c r="AE27" s="39"/>
      <c r="AF27" s="39"/>
      <c r="AG27" s="39"/>
      <c r="AH27" s="39">
        <v>26</v>
      </c>
      <c r="AI27" s="62">
        <v>-2.409448818897638</v>
      </c>
      <c r="AJ27" s="62">
        <v>2.1891423526696506E-2</v>
      </c>
      <c r="AK27" s="62">
        <v>2</v>
      </c>
      <c r="AL27" s="62">
        <v>0</v>
      </c>
      <c r="AM27" s="62">
        <v>0</v>
      </c>
      <c r="AN27" s="62" t="str">
        <v/>
      </c>
      <c r="AO27" s="62" t="str">
        <v/>
      </c>
      <c r="AP27" s="62"/>
      <c r="AQ27" s="62"/>
      <c r="AR27" s="159"/>
      <c r="AS27" s="159"/>
      <c r="AT27" s="159"/>
      <c r="AU27" s="159"/>
      <c r="AV27" s="159">
        <v>26</v>
      </c>
      <c r="AW27" s="159">
        <v>5</v>
      </c>
      <c r="AX27" s="159">
        <v>0</v>
      </c>
      <c r="AY27" s="159">
        <v>1</v>
      </c>
      <c r="AZ27" s="159" t="str">
        <v/>
      </c>
      <c r="BA27" s="159"/>
      <c r="BB27" s="106">
        <f>MIN(3,MAX(0,BB25-BB23))</f>
        <v>3</v>
      </c>
      <c r="BC27" s="159"/>
      <c r="BD27" s="62"/>
      <c r="BE27" s="62"/>
      <c r="BF27" s="185"/>
      <c r="BG27" s="185"/>
      <c r="BH27" s="185"/>
      <c r="BI27" s="185"/>
      <c r="BJ27" s="185"/>
      <c r="BK27" s="185">
        <v>26</v>
      </c>
      <c r="BL27" s="185">
        <v>1</v>
      </c>
      <c r="BM27" s="159">
        <v>1.8192576091040986</v>
      </c>
      <c r="BN27" s="159">
        <v>1.8192576091040986</v>
      </c>
      <c r="BO27" s="159" t="e">
        <v>#N/A</v>
      </c>
      <c r="BP27" s="159" t="e">
        <v>#N/A</v>
      </c>
      <c r="BQ27" s="159" t="e">
        <v>#N/A</v>
      </c>
      <c r="BR27" s="185" t="str">
        <v/>
      </c>
      <c r="BS27" s="185"/>
      <c r="BT27" s="180" t="s">
        <v>659</v>
      </c>
      <c r="BU27" s="185"/>
      <c r="BV27" s="185"/>
      <c r="BW27" s="185"/>
      <c r="BX27" s="185"/>
      <c r="BY27" s="185"/>
      <c r="BZ27" s="48"/>
      <c r="CA27" s="62"/>
      <c r="CB27" s="62"/>
      <c r="CC27" s="62"/>
      <c r="CD27" s="62"/>
      <c r="CE27" s="185"/>
      <c r="CF27" s="185"/>
      <c r="CG27" s="185"/>
      <c r="CH27" s="185"/>
      <c r="CI27" s="159"/>
      <c r="CJ27" s="159"/>
      <c r="CK27" s="159"/>
      <c r="CL27" s="159"/>
      <c r="CM27" s="159"/>
      <c r="CN27" s="159">
        <v>26</v>
      </c>
      <c r="CO27" s="159">
        <v>3</v>
      </c>
      <c r="CP27" s="159">
        <v>1.1154129396303354</v>
      </c>
      <c r="CQ27" s="159" t="str">
        <v/>
      </c>
      <c r="CR27" s="159"/>
      <c r="CS27" s="159"/>
      <c r="CT27" s="159"/>
      <c r="DR27" s="48"/>
      <c r="DS27" s="48"/>
    </row>
    <row r="28" spans="1:123" x14ac:dyDescent="0.2">
      <c r="C28" s="45"/>
      <c r="D28" s="45"/>
      <c r="G28" s="49"/>
      <c r="R28" s="159"/>
      <c r="S28" s="62"/>
      <c r="T28" s="62"/>
      <c r="U28" s="62"/>
      <c r="V28" s="62"/>
      <c r="W28" s="62"/>
      <c r="X28" s="62"/>
      <c r="Y28" s="106">
        <f>MAX(LEN(ROUND(ABS(Y14),0)),LEN(ROUND(ABS(Y16),0)))</f>
        <v>2</v>
      </c>
      <c r="Z28" s="62"/>
      <c r="AA28" s="39"/>
      <c r="AB28" s="39"/>
      <c r="AC28" s="39"/>
      <c r="AD28" s="39"/>
      <c r="AE28" s="39"/>
      <c r="AF28" s="39"/>
      <c r="AG28" s="39"/>
      <c r="AH28" s="39">
        <v>27</v>
      </c>
      <c r="AI28" s="62">
        <v>-2.3858267716535435</v>
      </c>
      <c r="AJ28" s="62">
        <v>2.3167074165093303E-2</v>
      </c>
      <c r="AK28" s="62">
        <v>2</v>
      </c>
      <c r="AL28" s="62">
        <v>0</v>
      </c>
      <c r="AM28" s="62">
        <v>0</v>
      </c>
      <c r="AN28" s="62" t="str">
        <v/>
      </c>
      <c r="AO28" s="62" t="str">
        <v/>
      </c>
      <c r="AP28" s="62"/>
      <c r="AQ28" s="62"/>
      <c r="AR28" s="159"/>
      <c r="AS28" s="159"/>
      <c r="AT28" s="159"/>
      <c r="AU28" s="159"/>
      <c r="AV28" s="159">
        <v>27</v>
      </c>
      <c r="AW28" s="159">
        <v>5</v>
      </c>
      <c r="AX28" s="159">
        <v>0</v>
      </c>
      <c r="AY28" s="159">
        <v>1</v>
      </c>
      <c r="AZ28" s="159" t="str">
        <v/>
      </c>
      <c r="BA28" s="159"/>
      <c r="BB28" s="159"/>
      <c r="BC28" s="159"/>
      <c r="BD28" s="62"/>
      <c r="BE28" s="62"/>
      <c r="BF28" s="185"/>
      <c r="BG28" s="185"/>
      <c r="BH28" s="185"/>
      <c r="BI28" s="185"/>
      <c r="BJ28" s="185"/>
      <c r="BK28" s="185">
        <v>27</v>
      </c>
      <c r="BL28" s="185">
        <v>1</v>
      </c>
      <c r="BM28" s="159">
        <v>1.8192576091040986</v>
      </c>
      <c r="BN28" s="159">
        <v>1.8192576091040986</v>
      </c>
      <c r="BO28" s="159" t="e">
        <v>#N/A</v>
      </c>
      <c r="BP28" s="159" t="e">
        <v>#N/A</v>
      </c>
      <c r="BQ28" s="159" t="e">
        <v>#N/A</v>
      </c>
      <c r="BR28" s="185" t="str">
        <v/>
      </c>
      <c r="BS28" s="185"/>
      <c r="BT28" s="177">
        <f>MIN(_xlfn.ANCHORARRAY(CB2))</f>
        <v>-1.479592604535932</v>
      </c>
      <c r="BU28" s="185"/>
      <c r="BV28" s="185"/>
      <c r="BW28" s="185"/>
      <c r="BX28" s="185"/>
      <c r="BY28" s="185"/>
      <c r="BZ28" s="48"/>
      <c r="CA28" s="62"/>
      <c r="CB28" s="62"/>
      <c r="CC28" s="62"/>
      <c r="CD28" s="62"/>
      <c r="CE28" s="185"/>
      <c r="CF28" s="185"/>
      <c r="CG28" s="185"/>
      <c r="CH28" s="185"/>
      <c r="CI28" s="159"/>
      <c r="CJ28" s="159"/>
      <c r="CK28" s="159"/>
      <c r="CL28" s="159"/>
      <c r="CM28" s="159"/>
      <c r="CN28" s="159">
        <v>27</v>
      </c>
      <c r="CO28" s="159">
        <v>3</v>
      </c>
      <c r="CP28" s="159">
        <v>1.1154129396303354</v>
      </c>
      <c r="CQ28" s="159" t="str">
        <v/>
      </c>
      <c r="CR28" s="159"/>
      <c r="CS28" s="159"/>
      <c r="CT28" s="159"/>
    </row>
    <row r="29" spans="1:123" x14ac:dyDescent="0.2">
      <c r="A29" s="3" t="s">
        <v>1118</v>
      </c>
      <c r="B29"/>
      <c r="C29" s="45"/>
      <c r="D29" s="45"/>
      <c r="R29" s="159"/>
      <c r="S29" s="62"/>
      <c r="T29" s="62"/>
      <c r="U29" s="62"/>
      <c r="V29" s="62"/>
      <c r="W29" s="62"/>
      <c r="X29" s="62"/>
      <c r="Y29" s="179" t="s">
        <v>607</v>
      </c>
      <c r="Z29" s="62"/>
      <c r="AA29" s="39"/>
      <c r="AB29" s="39"/>
      <c r="AC29" s="39"/>
      <c r="AD29" s="39"/>
      <c r="AE29" s="39"/>
      <c r="AF29" s="39"/>
      <c r="AG29" s="39"/>
      <c r="AH29" s="39">
        <v>28</v>
      </c>
      <c r="AI29" s="62">
        <v>-2.3622047244094491</v>
      </c>
      <c r="AJ29" s="62">
        <v>2.4503382414745537E-2</v>
      </c>
      <c r="AK29" s="62">
        <v>2</v>
      </c>
      <c r="AL29" s="62">
        <v>0</v>
      </c>
      <c r="AM29" s="62">
        <v>0</v>
      </c>
      <c r="AN29" s="62" t="str">
        <v/>
      </c>
      <c r="AO29" s="62" t="str">
        <v/>
      </c>
      <c r="AP29" s="62"/>
      <c r="AQ29" s="62"/>
      <c r="AR29" s="159"/>
      <c r="AS29" s="159"/>
      <c r="AT29" s="159"/>
      <c r="AU29" s="159"/>
      <c r="AV29" s="159">
        <v>28</v>
      </c>
      <c r="AW29" s="159">
        <v>5</v>
      </c>
      <c r="AX29" s="159">
        <v>0</v>
      </c>
      <c r="AY29" s="159">
        <v>1</v>
      </c>
      <c r="AZ29" s="159" t="str">
        <v>-0.307</v>
      </c>
      <c r="BA29" s="159"/>
      <c r="BB29" s="159"/>
      <c r="BC29" s="159"/>
      <c r="BD29" s="62"/>
      <c r="BE29" s="62"/>
      <c r="BF29" s="185"/>
      <c r="BG29" s="185"/>
      <c r="BH29" s="185"/>
      <c r="BI29" s="185"/>
      <c r="BJ29" s="185"/>
      <c r="BK29" s="185">
        <v>28</v>
      </c>
      <c r="BL29" s="185">
        <v>1</v>
      </c>
      <c r="BM29" s="159">
        <v>1.8192576091040986</v>
      </c>
      <c r="BN29" s="159">
        <v>1.8192576091040986</v>
      </c>
      <c r="BO29" s="159" t="e">
        <v>#N/A</v>
      </c>
      <c r="BP29" s="159" t="e">
        <v>#N/A</v>
      </c>
      <c r="BQ29" s="159" t="e">
        <v>#N/A</v>
      </c>
      <c r="BR29" s="185" t="str">
        <v/>
      </c>
      <c r="BS29" s="185"/>
      <c r="BT29" s="180" t="s">
        <v>658</v>
      </c>
      <c r="BU29" s="185"/>
      <c r="BV29" s="185"/>
      <c r="BW29" s="185"/>
      <c r="BX29" s="185"/>
      <c r="BY29" s="185"/>
      <c r="BZ29" s="48"/>
      <c r="CA29" s="62"/>
      <c r="CB29" s="62"/>
      <c r="CC29" s="62"/>
      <c r="CD29" s="62"/>
      <c r="CE29" s="185"/>
      <c r="CF29" s="185"/>
      <c r="CG29" s="185"/>
      <c r="CH29" s="185"/>
      <c r="CI29" s="159"/>
      <c r="CJ29" s="159"/>
      <c r="CK29" s="159"/>
      <c r="CL29" s="159"/>
      <c r="CM29" s="159"/>
      <c r="CN29" s="159">
        <v>28</v>
      </c>
      <c r="CO29" s="159">
        <v>3</v>
      </c>
      <c r="CP29" s="159">
        <v>1.1154129396303354</v>
      </c>
      <c r="CQ29" s="159" t="str">
        <v/>
      </c>
      <c r="CR29" s="159"/>
      <c r="CS29" s="159"/>
      <c r="CT29" s="159"/>
    </row>
    <row r="30" spans="1:123" x14ac:dyDescent="0.2">
      <c r="A30" s="75" t="s">
        <v>29</v>
      </c>
      <c r="B30" s="132">
        <f>COUNTA(_xlfn.ANCHORARRAY(T2))</f>
        <v>12</v>
      </c>
      <c r="C30" s="45"/>
      <c r="D30" s="45"/>
      <c r="R30" s="159"/>
      <c r="S30" s="62"/>
      <c r="T30" s="62"/>
      <c r="U30" s="62"/>
      <c r="V30" s="62"/>
      <c r="W30" s="62"/>
      <c r="X30" s="62"/>
      <c r="Y30" s="106">
        <f>7-ROUNDDOWN(B6/5,0)</f>
        <v>4</v>
      </c>
      <c r="Z30" s="62"/>
      <c r="AA30" s="39"/>
      <c r="AB30" s="39"/>
      <c r="AC30" s="39"/>
      <c r="AD30" s="39"/>
      <c r="AE30" s="39"/>
      <c r="AF30" s="39"/>
      <c r="AG30" s="39"/>
      <c r="AH30" s="39">
        <v>29</v>
      </c>
      <c r="AI30" s="62">
        <v>-2.3385826771653546</v>
      </c>
      <c r="AJ30" s="62">
        <v>2.5902313183160039E-2</v>
      </c>
      <c r="AK30" s="62">
        <v>2</v>
      </c>
      <c r="AL30" s="62">
        <v>0</v>
      </c>
      <c r="AM30" s="62">
        <v>0</v>
      </c>
      <c r="AN30" s="62" t="str">
        <v/>
      </c>
      <c r="AO30" s="62" t="str">
        <v/>
      </c>
      <c r="AP30" s="62"/>
      <c r="AQ30" s="62"/>
      <c r="AR30" s="159"/>
      <c r="AS30" s="159"/>
      <c r="AT30" s="159"/>
      <c r="AU30" s="159"/>
      <c r="AV30" s="159">
        <v>29</v>
      </c>
      <c r="AW30" s="159">
        <v>5</v>
      </c>
      <c r="AX30" s="159">
        <v>0</v>
      </c>
      <c r="AY30" s="159">
        <v>1</v>
      </c>
      <c r="AZ30" s="159" t="str">
        <v/>
      </c>
      <c r="BA30" s="159"/>
      <c r="BB30" s="159"/>
      <c r="BC30" s="159"/>
      <c r="BD30" s="62"/>
      <c r="BE30" s="62"/>
      <c r="BF30" s="185"/>
      <c r="BG30" s="185"/>
      <c r="BH30" s="185"/>
      <c r="BI30" s="185"/>
      <c r="BJ30" s="185"/>
      <c r="BK30" s="185">
        <v>29</v>
      </c>
      <c r="BL30" s="185">
        <v>1</v>
      </c>
      <c r="BM30" s="159">
        <v>1.8192576091040986</v>
      </c>
      <c r="BN30" s="159">
        <v>1.8192576091040986</v>
      </c>
      <c r="BO30" s="159" t="e">
        <v>#N/A</v>
      </c>
      <c r="BP30" s="159" t="e">
        <v>#N/A</v>
      </c>
      <c r="BQ30" s="159" t="e">
        <v>#N/A</v>
      </c>
      <c r="BR30" s="185" t="str">
        <v/>
      </c>
      <c r="BS30" s="185"/>
      <c r="BT30" s="177">
        <f>MAX(_xlfn.ANCHORARRAY(CB2))</f>
        <v>1.8110756828005981</v>
      </c>
      <c r="BU30" s="185"/>
      <c r="BV30" s="185"/>
      <c r="BW30" s="185"/>
      <c r="BX30" s="185"/>
      <c r="BY30" s="185"/>
      <c r="BZ30" s="48"/>
      <c r="CA30" s="62"/>
      <c r="CB30" s="62"/>
      <c r="CC30" s="62"/>
      <c r="CD30" s="62"/>
      <c r="CE30" s="185"/>
      <c r="CF30" s="185"/>
      <c r="CG30" s="185"/>
      <c r="CH30" s="185"/>
      <c r="CI30" s="159"/>
      <c r="CJ30" s="159"/>
      <c r="CK30" s="159"/>
      <c r="CL30" s="159"/>
      <c r="CM30" s="159"/>
      <c r="CN30" s="159">
        <v>29</v>
      </c>
      <c r="CO30" s="159">
        <v>3</v>
      </c>
      <c r="CP30" s="159">
        <v>1.1154129396303354</v>
      </c>
      <c r="CQ30" s="159" t="str">
        <v/>
      </c>
      <c r="CR30" s="159"/>
      <c r="CS30" s="159"/>
      <c r="CT30" s="159"/>
    </row>
    <row r="31" spans="1:123" x14ac:dyDescent="0.2">
      <c r="A31" s="75" t="s">
        <v>0</v>
      </c>
      <c r="B31" s="95">
        <f>IFERROR(AVERAGE(_xlfn.ANCHORARRAY(T2)),NA())</f>
        <v>1.8540044183209705</v>
      </c>
      <c r="C31" s="45"/>
      <c r="D31" s="45"/>
      <c r="R31" s="159"/>
      <c r="S31" s="62"/>
      <c r="T31" s="62"/>
      <c r="U31" s="62"/>
      <c r="V31" s="62"/>
      <c r="W31" s="62"/>
      <c r="X31" s="62"/>
      <c r="Y31" s="179" t="s">
        <v>605</v>
      </c>
      <c r="Z31" s="62"/>
      <c r="AA31" s="39"/>
      <c r="AB31" s="39"/>
      <c r="AC31" s="39"/>
      <c r="AD31" s="39"/>
      <c r="AE31" s="39"/>
      <c r="AF31" s="39"/>
      <c r="AG31" s="39"/>
      <c r="AH31" s="39">
        <v>30</v>
      </c>
      <c r="AI31" s="62">
        <v>-2.3149606299212597</v>
      </c>
      <c r="AJ31" s="62">
        <v>2.7365836345710239E-2</v>
      </c>
      <c r="AK31" s="62">
        <v>2</v>
      </c>
      <c r="AL31" s="62">
        <v>0</v>
      </c>
      <c r="AM31" s="62">
        <v>0</v>
      </c>
      <c r="AN31" s="62" t="str">
        <v/>
      </c>
      <c r="AO31" s="62" t="str">
        <v/>
      </c>
      <c r="AP31" s="62"/>
      <c r="AQ31" s="62"/>
      <c r="AR31" s="159"/>
      <c r="AS31" s="159"/>
      <c r="AT31" s="159"/>
      <c r="AU31" s="159"/>
      <c r="AV31" s="159">
        <v>30</v>
      </c>
      <c r="AW31" s="159">
        <v>5</v>
      </c>
      <c r="AX31" s="159">
        <v>1</v>
      </c>
      <c r="AY31" s="159" t="e">
        <v>#N/A</v>
      </c>
      <c r="AZ31" s="159" t="str">
        <v/>
      </c>
      <c r="BA31" s="159"/>
      <c r="BB31" s="159"/>
      <c r="BC31" s="159"/>
      <c r="BD31" s="62"/>
      <c r="BE31" s="62"/>
      <c r="BF31" s="185"/>
      <c r="BG31" s="185"/>
      <c r="BH31" s="185"/>
      <c r="BI31" s="185"/>
      <c r="BJ31" s="185"/>
      <c r="BK31" s="185">
        <v>30</v>
      </c>
      <c r="BL31" s="185">
        <v>1</v>
      </c>
      <c r="BM31" s="159">
        <v>1.8192576091040986</v>
      </c>
      <c r="BN31" s="159">
        <v>1.8192576091040986</v>
      </c>
      <c r="BO31" s="159" t="e">
        <v>#N/A</v>
      </c>
      <c r="BP31" s="159" t="e">
        <v>#N/A</v>
      </c>
      <c r="BQ31" s="159" t="e">
        <v>#N/A</v>
      </c>
      <c r="BR31" s="185" t="str">
        <v/>
      </c>
      <c r="BS31" s="185"/>
      <c r="BT31" s="62"/>
      <c r="BU31" s="185"/>
      <c r="BV31" s="185"/>
      <c r="BW31" s="185"/>
      <c r="BX31" s="185"/>
      <c r="BY31" s="185"/>
      <c r="BZ31" s="48"/>
      <c r="CA31" s="62"/>
      <c r="CB31" s="62"/>
      <c r="CC31" s="62"/>
      <c r="CD31" s="62"/>
      <c r="CE31" s="185"/>
      <c r="CF31" s="185"/>
      <c r="CG31" s="185"/>
      <c r="CH31" s="185"/>
      <c r="CI31" s="159"/>
      <c r="CJ31" s="159"/>
      <c r="CK31" s="159"/>
      <c r="CL31" s="159"/>
      <c r="CM31" s="159"/>
      <c r="CN31" s="159">
        <v>30</v>
      </c>
      <c r="CO31" s="159">
        <v>3</v>
      </c>
      <c r="CP31" s="159">
        <v>1.1154129396303354</v>
      </c>
      <c r="CQ31" s="159" t="str">
        <v/>
      </c>
      <c r="CR31" s="159"/>
      <c r="CS31" s="159"/>
      <c r="CT31" s="159"/>
    </row>
    <row r="32" spans="1:123" x14ac:dyDescent="0.2">
      <c r="A32" s="75" t="s">
        <v>497</v>
      </c>
      <c r="B32" s="95">
        <f>IFERROR(_xlfn.STDEV.S(_xlfn.ANCHORARRAY(T2)),NA())</f>
        <v>4.3068660656276769</v>
      </c>
      <c r="C32" s="45"/>
      <c r="D32" s="45"/>
      <c r="R32" s="159"/>
      <c r="S32" s="62"/>
      <c r="T32" s="62"/>
      <c r="U32" s="62"/>
      <c r="V32" s="62"/>
      <c r="W32" s="62"/>
      <c r="X32" s="62"/>
      <c r="Y32" s="106">
        <f>MIN(3,MAX(0,Y30-Y28))</f>
        <v>2</v>
      </c>
      <c r="Z32" s="62"/>
      <c r="AA32" s="62"/>
      <c r="AB32" s="62"/>
      <c r="AC32" s="159"/>
      <c r="AD32" s="62"/>
      <c r="AE32" s="62"/>
      <c r="AF32" s="62"/>
      <c r="AG32" s="62"/>
      <c r="AH32" s="159">
        <v>31</v>
      </c>
      <c r="AI32" s="62">
        <v>-2.2913385826771653</v>
      </c>
      <c r="AJ32" s="62">
        <v>2.8895922510000907E-2</v>
      </c>
      <c r="AK32" s="62">
        <v>2</v>
      </c>
      <c r="AL32" s="62">
        <v>0</v>
      </c>
      <c r="AM32" s="62">
        <v>0</v>
      </c>
      <c r="AN32" s="62" t="str">
        <v/>
      </c>
      <c r="AO32" s="62" t="str">
        <v/>
      </c>
      <c r="AP32" s="62"/>
      <c r="AQ32" s="62"/>
      <c r="AR32" s="159"/>
      <c r="AS32" s="159"/>
      <c r="AT32" s="159"/>
      <c r="AU32" s="159"/>
      <c r="AV32" s="159">
        <v>31</v>
      </c>
      <c r="AW32" s="159">
        <v>6</v>
      </c>
      <c r="AX32" s="159">
        <v>1</v>
      </c>
      <c r="AY32" s="159" t="e">
        <v>#N/A</v>
      </c>
      <c r="AZ32" s="159" t="str">
        <v/>
      </c>
      <c r="BA32" s="159"/>
      <c r="BB32" s="159"/>
      <c r="BC32" s="159"/>
      <c r="BD32" s="62"/>
      <c r="BE32" s="62"/>
      <c r="BF32" s="185"/>
      <c r="BG32" s="185"/>
      <c r="BH32" s="185"/>
      <c r="BI32" s="185"/>
      <c r="BJ32" s="185"/>
      <c r="BK32" s="185">
        <v>31</v>
      </c>
      <c r="BL32" s="185">
        <v>1</v>
      </c>
      <c r="BM32" s="159">
        <v>1.8192576091040986</v>
      </c>
      <c r="BN32" s="159">
        <v>1.8192576091040986</v>
      </c>
      <c r="BO32" s="159" t="e">
        <v>#N/A</v>
      </c>
      <c r="BP32" s="159" t="e">
        <v>#N/A</v>
      </c>
      <c r="BQ32" s="159" t="e">
        <v>#N/A</v>
      </c>
      <c r="BR32" s="185" t="str">
        <v/>
      </c>
      <c r="BS32" s="185"/>
      <c r="BT32" s="62"/>
      <c r="BU32" s="185"/>
      <c r="BV32" s="185"/>
      <c r="BW32" s="185"/>
      <c r="BX32" s="185"/>
      <c r="BY32" s="185"/>
      <c r="BZ32" s="48"/>
      <c r="CA32" s="62"/>
      <c r="CB32" s="62"/>
      <c r="CC32" s="62"/>
      <c r="CD32" s="62"/>
      <c r="CE32" s="185"/>
      <c r="CF32" s="185"/>
      <c r="CG32" s="185"/>
      <c r="CH32" s="185"/>
      <c r="CI32" s="159"/>
      <c r="CJ32" s="159"/>
      <c r="CK32" s="159"/>
      <c r="CL32" s="159"/>
      <c r="CM32" s="159"/>
      <c r="CN32" s="159">
        <v>31</v>
      </c>
      <c r="CO32" s="159">
        <v>3</v>
      </c>
      <c r="CP32" s="159">
        <v>1.1154129396303354</v>
      </c>
      <c r="CQ32" s="159" t="str">
        <v/>
      </c>
      <c r="CR32" s="159"/>
      <c r="CS32" s="159"/>
      <c r="CT32" s="159"/>
    </row>
    <row r="33" spans="1:98" x14ac:dyDescent="0.2">
      <c r="A33" s="75" t="s">
        <v>498</v>
      </c>
      <c r="B33" s="95">
        <f>IFERROR(_xlfn.STDEV.S(_xlfn.ANCHORARRAY(T2))^2,NA())</f>
        <v>18.549095307255225</v>
      </c>
      <c r="C33" s="45"/>
      <c r="D33" s="45"/>
      <c r="R33" s="159"/>
      <c r="S33" s="62"/>
      <c r="T33" s="62"/>
      <c r="U33" s="62"/>
      <c r="V33" s="62"/>
      <c r="W33" s="62"/>
      <c r="X33" s="62"/>
      <c r="Y33" s="179" t="s">
        <v>685</v>
      </c>
      <c r="Z33" s="62"/>
      <c r="AA33" s="62"/>
      <c r="AB33" s="62"/>
      <c r="AC33" s="159"/>
      <c r="AD33" s="62"/>
      <c r="AE33" s="62"/>
      <c r="AF33" s="62"/>
      <c r="AG33" s="62"/>
      <c r="AH33" s="159">
        <v>32</v>
      </c>
      <c r="AI33" s="159">
        <v>-2.2677165354330708</v>
      </c>
      <c r="AJ33" s="62">
        <v>3.0494538537622264E-2</v>
      </c>
      <c r="AK33" s="62">
        <v>2</v>
      </c>
      <c r="AL33" s="62">
        <v>0</v>
      </c>
      <c r="AM33" s="62">
        <v>0</v>
      </c>
      <c r="AN33" s="62" t="str">
        <v/>
      </c>
      <c r="AO33" s="62" t="str">
        <v/>
      </c>
      <c r="AP33" s="62"/>
      <c r="AQ33" s="62"/>
      <c r="AR33" s="62"/>
      <c r="AS33" s="159"/>
      <c r="AT33" s="159"/>
      <c r="AU33" s="159"/>
      <c r="AV33" s="159">
        <v>32</v>
      </c>
      <c r="AW33" s="159">
        <v>6</v>
      </c>
      <c r="AX33" s="159">
        <v>0</v>
      </c>
      <c r="AY33" s="159">
        <v>1</v>
      </c>
      <c r="AZ33" s="159" t="str">
        <v/>
      </c>
      <c r="BA33" s="159"/>
      <c r="BB33" s="159"/>
      <c r="BC33" s="159"/>
      <c r="BD33" s="62"/>
      <c r="BE33" s="62"/>
      <c r="BF33" s="185"/>
      <c r="BG33" s="185"/>
      <c r="BH33" s="185"/>
      <c r="BI33" s="185"/>
      <c r="BJ33" s="185"/>
      <c r="BK33" s="185">
        <v>32</v>
      </c>
      <c r="BL33" s="185">
        <v>1</v>
      </c>
      <c r="BM33" s="159">
        <v>1.8192576091040986</v>
      </c>
      <c r="BN33" s="159">
        <v>1.8192576091040986</v>
      </c>
      <c r="BO33" s="159" t="e">
        <v>#N/A</v>
      </c>
      <c r="BP33" s="159" t="e">
        <v>#N/A</v>
      </c>
      <c r="BQ33" s="159" t="e">
        <v>#N/A</v>
      </c>
      <c r="BR33" s="185" t="str">
        <v/>
      </c>
      <c r="BS33" s="185"/>
      <c r="BT33" s="185"/>
      <c r="BU33" s="185"/>
      <c r="BV33" s="185"/>
      <c r="BW33" s="185"/>
      <c r="BX33" s="185"/>
      <c r="BY33" s="185"/>
      <c r="BZ33" s="48"/>
      <c r="CA33" s="62"/>
      <c r="CB33" s="62"/>
      <c r="CC33" s="62"/>
      <c r="CD33" s="62"/>
      <c r="CE33" s="185"/>
      <c r="CF33" s="185"/>
      <c r="CG33" s="185"/>
      <c r="CH33" s="185"/>
      <c r="CI33" s="159"/>
      <c r="CJ33" s="159"/>
      <c r="CK33" s="159"/>
      <c r="CL33" s="159"/>
      <c r="CM33" s="159"/>
      <c r="CN33" s="159">
        <v>32</v>
      </c>
      <c r="CO33" s="159">
        <v>3</v>
      </c>
      <c r="CP33" s="159">
        <v>1.1154129396303354</v>
      </c>
      <c r="CQ33" s="159" t="str">
        <v/>
      </c>
      <c r="CR33" s="159"/>
      <c r="CS33" s="159"/>
      <c r="CT33" s="159"/>
    </row>
    <row r="34" spans="1:98" x14ac:dyDescent="0.2">
      <c r="A34" s="75" t="s">
        <v>2</v>
      </c>
      <c r="B34" s="129" t="e">
        <f>_xlfn.SINGLE(IF(OR(COUNTIF(_xlfn.ANCHORARRAY(T2),TRUE)&gt;0,COUNTIF(_xlfn.ANCHORARRAY(T2),FALSE)&gt;0),COUNTIF(_xlfn.ANCHORARRAY(T2),TRUE)/COUNTA(_xlfn.ANCHORARRAY(T2)),NA()))</f>
        <v>#N/A</v>
      </c>
      <c r="C34" s="45"/>
      <c r="D34" s="45"/>
      <c r="R34" s="159"/>
      <c r="S34" s="62"/>
      <c r="T34" s="62"/>
      <c r="U34" s="62"/>
      <c r="V34" s="62"/>
      <c r="W34" s="62"/>
      <c r="X34" s="62"/>
      <c r="Y34" s="106">
        <f>MAX(6,ROUND(Y8,0)*2)+1</f>
        <v>7</v>
      </c>
      <c r="Z34" s="62"/>
      <c r="AA34" s="62"/>
      <c r="AB34" s="62"/>
      <c r="AC34" s="159"/>
      <c r="AD34" s="62"/>
      <c r="AE34" s="62"/>
      <c r="AF34" s="62"/>
      <c r="AG34" s="62"/>
      <c r="AH34" s="159">
        <v>33</v>
      </c>
      <c r="AI34" s="159">
        <v>-2.2440944881889764</v>
      </c>
      <c r="AJ34" s="62">
        <v>3.2163642824992435E-2</v>
      </c>
      <c r="AK34" s="62">
        <v>2</v>
      </c>
      <c r="AL34" s="62">
        <v>0</v>
      </c>
      <c r="AM34" s="62">
        <v>0</v>
      </c>
      <c r="AN34" s="62" t="str">
        <v/>
      </c>
      <c r="AO34" s="62" t="str">
        <v/>
      </c>
      <c r="AP34" s="62"/>
      <c r="AQ34" s="62"/>
      <c r="AR34" s="62"/>
      <c r="AS34" s="159"/>
      <c r="AT34" s="159"/>
      <c r="AU34" s="159"/>
      <c r="AV34" s="159">
        <v>33</v>
      </c>
      <c r="AW34" s="159">
        <v>6</v>
      </c>
      <c r="AX34" s="159">
        <v>0</v>
      </c>
      <c r="AY34" s="159">
        <v>1</v>
      </c>
      <c r="AZ34" s="159" t="str">
        <v/>
      </c>
      <c r="BA34" s="159"/>
      <c r="BB34" s="159"/>
      <c r="BC34" s="159"/>
      <c r="BD34" s="62"/>
      <c r="BE34" s="62"/>
      <c r="BF34" s="185"/>
      <c r="BG34" s="185"/>
      <c r="BH34" s="185"/>
      <c r="BI34" s="185"/>
      <c r="BJ34" s="185"/>
      <c r="BK34" s="185">
        <v>33</v>
      </c>
      <c r="BL34" s="185">
        <v>1</v>
      </c>
      <c r="BM34" s="159">
        <v>1.8192576091040986</v>
      </c>
      <c r="BN34" s="159">
        <v>1.8192576091040986</v>
      </c>
      <c r="BO34" s="159" t="e">
        <v>#N/A</v>
      </c>
      <c r="BP34" s="159" t="e">
        <v>#N/A</v>
      </c>
      <c r="BQ34" s="159" t="e">
        <v>#N/A</v>
      </c>
      <c r="BR34" s="185" t="str">
        <v/>
      </c>
      <c r="BS34" s="185"/>
      <c r="BT34" s="185"/>
      <c r="BU34" s="185"/>
      <c r="BV34" s="185"/>
      <c r="BW34" s="185"/>
      <c r="BX34" s="185"/>
      <c r="BY34" s="185"/>
      <c r="BZ34" s="48"/>
      <c r="CA34" s="62"/>
      <c r="CB34" s="62"/>
      <c r="CC34" s="62"/>
      <c r="CD34" s="62"/>
      <c r="CE34" s="185"/>
      <c r="CF34" s="185"/>
      <c r="CG34" s="185"/>
      <c r="CH34" s="185"/>
      <c r="CI34" s="159"/>
      <c r="CJ34" s="159"/>
      <c r="CK34" s="159"/>
      <c r="CL34" s="159"/>
      <c r="CM34" s="159"/>
      <c r="CN34" s="159">
        <v>33</v>
      </c>
      <c r="CO34" s="159">
        <v>3</v>
      </c>
      <c r="CP34" s="159">
        <v>1.1154129396303354</v>
      </c>
      <c r="CQ34" s="159" t="str">
        <v/>
      </c>
      <c r="CR34" s="159"/>
      <c r="CS34" s="159"/>
      <c r="CT34" s="159"/>
    </row>
    <row r="35" spans="1:98" x14ac:dyDescent="0.2">
      <c r="A35" s="75" t="s">
        <v>3</v>
      </c>
      <c r="B35" s="95">
        <f>IFERROR(AVERAGE(_xlfn.ANCHORARRAY(T2)),NA())</f>
        <v>1.8540044183209705</v>
      </c>
      <c r="C35" s="45"/>
      <c r="D35" s="45"/>
      <c r="R35" s="159"/>
      <c r="S35" s="62"/>
      <c r="T35" s="62"/>
      <c r="U35" s="62"/>
      <c r="V35" s="62"/>
      <c r="W35" s="62"/>
      <c r="X35" s="62"/>
      <c r="Y35" s="179" t="s">
        <v>686</v>
      </c>
      <c r="Z35" s="62"/>
      <c r="AA35" s="62"/>
      <c r="AB35" s="62"/>
      <c r="AC35" s="62"/>
      <c r="AD35" s="62"/>
      <c r="AE35" s="62"/>
      <c r="AF35" s="62"/>
      <c r="AG35" s="62"/>
      <c r="AH35" s="62">
        <v>34</v>
      </c>
      <c r="AI35" s="62">
        <v>-2.2204724409448819</v>
      </c>
      <c r="AJ35" s="62">
        <v>3.3905180346050105E-2</v>
      </c>
      <c r="AK35" s="62">
        <v>2</v>
      </c>
      <c r="AL35" s="62">
        <v>0</v>
      </c>
      <c r="AM35" s="62">
        <v>0</v>
      </c>
      <c r="AN35" s="62" t="str">
        <v/>
      </c>
      <c r="AO35" s="62" t="str">
        <v/>
      </c>
      <c r="AP35" s="62"/>
      <c r="AQ35" s="62"/>
      <c r="AR35" s="62"/>
      <c r="AS35" s="159"/>
      <c r="AT35" s="159"/>
      <c r="AU35" s="159"/>
      <c r="AV35" s="159">
        <v>34</v>
      </c>
      <c r="AW35" s="159">
        <v>6</v>
      </c>
      <c r="AX35" s="159">
        <v>0</v>
      </c>
      <c r="AY35" s="159">
        <v>1</v>
      </c>
      <c r="AZ35" s="159" t="str">
        <v>0.084</v>
      </c>
      <c r="BA35" s="159"/>
      <c r="BB35" s="159"/>
      <c r="BC35" s="159"/>
      <c r="BD35" s="62"/>
      <c r="BE35" s="62"/>
      <c r="BF35" s="185"/>
      <c r="BG35" s="185"/>
      <c r="BH35" s="185"/>
      <c r="BI35" s="185"/>
      <c r="BJ35" s="185"/>
      <c r="BK35" s="185">
        <v>34</v>
      </c>
      <c r="BL35" s="185">
        <v>1</v>
      </c>
      <c r="BM35" s="159">
        <v>1.8192576091040986</v>
      </c>
      <c r="BN35" s="159">
        <v>1.8192576091040986</v>
      </c>
      <c r="BO35" s="159" t="e">
        <v>#N/A</v>
      </c>
      <c r="BP35" s="159" t="e">
        <v>#N/A</v>
      </c>
      <c r="BQ35" s="159" t="e">
        <v>#N/A</v>
      </c>
      <c r="BR35" s="185" t="str">
        <v/>
      </c>
      <c r="BS35" s="185"/>
      <c r="BT35" s="185"/>
      <c r="BU35" s="185"/>
      <c r="BV35" s="185"/>
      <c r="BW35" s="185"/>
      <c r="BX35" s="185"/>
      <c r="BY35" s="185"/>
      <c r="BZ35" s="48"/>
      <c r="CA35" s="62"/>
      <c r="CB35" s="62"/>
      <c r="CC35" s="62"/>
      <c r="CD35" s="62"/>
      <c r="CE35" s="185"/>
      <c r="CF35" s="185"/>
      <c r="CG35" s="185"/>
      <c r="CH35" s="185"/>
      <c r="CI35" s="159"/>
      <c r="CJ35" s="159"/>
      <c r="CK35" s="159"/>
      <c r="CL35" s="159"/>
      <c r="CM35" s="159"/>
      <c r="CN35" s="159">
        <v>34</v>
      </c>
      <c r="CO35" s="159">
        <v>3</v>
      </c>
      <c r="CP35" s="159">
        <v>1.1154129396303354</v>
      </c>
      <c r="CQ35" s="159" t="str">
        <v/>
      </c>
      <c r="CR35" s="159"/>
      <c r="CS35" s="159"/>
      <c r="CT35" s="159"/>
    </row>
    <row r="36" spans="1:98" x14ac:dyDescent="0.2">
      <c r="A36" s="131" t="s">
        <v>45</v>
      </c>
      <c r="B36" s="130">
        <f>IF(ISNA($B$31),NA(),MIN(_xlfn.ANCHORARRAY(T2)))</f>
        <v>-1.479592604535932</v>
      </c>
      <c r="R36" s="159"/>
      <c r="S36" s="62"/>
      <c r="T36" s="62"/>
      <c r="U36" s="62"/>
      <c r="V36" s="62"/>
      <c r="W36" s="62"/>
      <c r="X36" s="62"/>
      <c r="Y36" s="106">
        <v>11</v>
      </c>
      <c r="Z36" s="62"/>
      <c r="AA36" s="62"/>
      <c r="AB36" s="62"/>
      <c r="AC36" s="62"/>
      <c r="AD36" s="62"/>
      <c r="AE36" s="62"/>
      <c r="AF36" s="62"/>
      <c r="AG36" s="62"/>
      <c r="AH36" s="62">
        <v>35</v>
      </c>
      <c r="AI36" s="62">
        <v>-2.1968503937007875</v>
      </c>
      <c r="AJ36" s="62">
        <v>3.5721077460667557E-2</v>
      </c>
      <c r="AK36" s="62">
        <v>3</v>
      </c>
      <c r="AL36" s="62">
        <v>0</v>
      </c>
      <c r="AM36" s="62">
        <v>0</v>
      </c>
      <c r="AN36" s="62">
        <v>-7.62</v>
      </c>
      <c r="AO36" s="62" t="str">
        <v/>
      </c>
      <c r="AP36" s="62"/>
      <c r="AQ36" s="62"/>
      <c r="AR36" s="62"/>
      <c r="AS36" s="159"/>
      <c r="AT36" s="159"/>
      <c r="AU36" s="159"/>
      <c r="AV36" s="159">
        <v>35</v>
      </c>
      <c r="AW36" s="159">
        <v>6</v>
      </c>
      <c r="AX36" s="159">
        <v>0</v>
      </c>
      <c r="AY36" s="159">
        <v>1</v>
      </c>
      <c r="AZ36" s="159" t="str">
        <v/>
      </c>
      <c r="BA36" s="159"/>
      <c r="BB36" s="159"/>
      <c r="BC36" s="159"/>
      <c r="BD36" s="62"/>
      <c r="BE36" s="62"/>
      <c r="BF36" s="185"/>
      <c r="BG36" s="185"/>
      <c r="BH36" s="185"/>
      <c r="BI36" s="185"/>
      <c r="BJ36" s="185"/>
      <c r="BK36" s="185">
        <v>35</v>
      </c>
      <c r="BL36" s="185">
        <v>1</v>
      </c>
      <c r="BM36" s="159">
        <v>1.8192576091040986</v>
      </c>
      <c r="BN36" s="159">
        <v>1.8192576091040986</v>
      </c>
      <c r="BO36" s="159" t="e">
        <v>#N/A</v>
      </c>
      <c r="BP36" s="159" t="e">
        <v>#N/A</v>
      </c>
      <c r="BQ36" s="159" t="e">
        <v>#N/A</v>
      </c>
      <c r="BR36" s="185" t="str">
        <v/>
      </c>
      <c r="BS36" s="185"/>
      <c r="BT36" s="185"/>
      <c r="BU36" s="185"/>
      <c r="BV36" s="185"/>
      <c r="BW36" s="185"/>
      <c r="BX36" s="185"/>
      <c r="BY36" s="185"/>
      <c r="BZ36" s="48"/>
      <c r="CA36" s="62"/>
      <c r="CB36" s="62"/>
      <c r="CC36" s="62"/>
      <c r="CD36" s="62"/>
      <c r="CE36" s="185"/>
      <c r="CF36" s="185"/>
      <c r="CG36" s="185"/>
      <c r="CH36" s="185"/>
      <c r="CI36" s="159"/>
      <c r="CJ36" s="159"/>
      <c r="CK36" s="159"/>
      <c r="CL36" s="159"/>
      <c r="CM36" s="159"/>
      <c r="CN36" s="159">
        <v>35</v>
      </c>
      <c r="CO36" s="159">
        <v>4</v>
      </c>
      <c r="CP36" s="159">
        <v>1.0410520769883131</v>
      </c>
      <c r="CQ36" s="159" t="str">
        <v>0.5 (50%)</v>
      </c>
      <c r="CR36" s="159"/>
      <c r="CS36" s="159"/>
      <c r="CT36" s="159"/>
    </row>
    <row r="37" spans="1:98" x14ac:dyDescent="0.2">
      <c r="A37" s="75" t="s">
        <v>419</v>
      </c>
      <c r="B37" s="95">
        <f>IFERROR(_xlfn.QUARTILE.EXC(_xlfn.ANCHORARRAY(T2),1),NA())</f>
        <v>-0.77564154305867694</v>
      </c>
      <c r="R37" s="159"/>
      <c r="S37" s="62"/>
      <c r="T37" s="62"/>
      <c r="U37" s="62"/>
      <c r="V37" s="62"/>
      <c r="W37" s="62"/>
      <c r="X37" s="62"/>
      <c r="Y37" s="179" t="s">
        <v>689</v>
      </c>
      <c r="Z37" s="62"/>
      <c r="AA37" s="62"/>
      <c r="AB37" s="62"/>
      <c r="AC37" s="62"/>
      <c r="AD37" s="62"/>
      <c r="AE37" s="62"/>
      <c r="AF37" s="62"/>
      <c r="AG37" s="62"/>
      <c r="AH37" s="62">
        <v>36</v>
      </c>
      <c r="AI37" s="62">
        <v>-2.173228346456693</v>
      </c>
      <c r="AJ37" s="62">
        <v>3.7613236493806372E-2</v>
      </c>
      <c r="AK37" s="62">
        <v>3</v>
      </c>
      <c r="AL37" s="62">
        <v>0</v>
      </c>
      <c r="AM37" s="62">
        <v>0</v>
      </c>
      <c r="AN37" s="62" t="str">
        <v/>
      </c>
      <c r="AO37" s="62" t="str">
        <v/>
      </c>
      <c r="AP37" s="62"/>
      <c r="AQ37" s="62"/>
      <c r="AR37" s="62"/>
      <c r="AS37" s="159"/>
      <c r="AT37" s="159"/>
      <c r="AU37" s="159"/>
      <c r="AV37" s="159">
        <v>36</v>
      </c>
      <c r="AW37" s="159">
        <v>6</v>
      </c>
      <c r="AX37" s="159">
        <v>1</v>
      </c>
      <c r="AY37" s="159" t="e">
        <v>#N/A</v>
      </c>
      <c r="AZ37" s="159" t="str">
        <v/>
      </c>
      <c r="BA37" s="159"/>
      <c r="BB37" s="159"/>
      <c r="BC37" s="159"/>
      <c r="BD37" s="62"/>
      <c r="BE37" s="62"/>
      <c r="BF37" s="185"/>
      <c r="BG37" s="185"/>
      <c r="BH37" s="185"/>
      <c r="BI37" s="185"/>
      <c r="BJ37" s="185"/>
      <c r="BK37" s="185">
        <v>36</v>
      </c>
      <c r="BL37" s="185">
        <v>1</v>
      </c>
      <c r="BM37" s="159">
        <v>1.8192576091040986</v>
      </c>
      <c r="BN37" s="159">
        <v>1.8192576091040986</v>
      </c>
      <c r="BO37" s="159" t="e">
        <v>#N/A</v>
      </c>
      <c r="BP37" s="159" t="e">
        <v>#N/A</v>
      </c>
      <c r="BQ37" s="159" t="e">
        <v>#N/A</v>
      </c>
      <c r="BR37" s="185" t="str">
        <v/>
      </c>
      <c r="BS37" s="185"/>
      <c r="BT37" s="185"/>
      <c r="BU37" s="185"/>
      <c r="BV37" s="185"/>
      <c r="BW37" s="185"/>
      <c r="BX37" s="185"/>
      <c r="BY37" s="185"/>
      <c r="BZ37" s="48"/>
      <c r="CA37" s="62"/>
      <c r="CB37" s="62"/>
      <c r="CC37" s="62"/>
      <c r="CD37" s="62"/>
      <c r="CE37" s="185"/>
      <c r="CF37" s="185"/>
      <c r="CG37" s="185"/>
      <c r="CH37" s="185"/>
      <c r="CI37" s="159"/>
      <c r="CJ37" s="159"/>
      <c r="CK37" s="159"/>
      <c r="CL37" s="159"/>
      <c r="CM37" s="159"/>
      <c r="CN37" s="159">
        <v>36</v>
      </c>
      <c r="CO37" s="159">
        <v>4</v>
      </c>
      <c r="CP37" s="159">
        <v>1.0410520769883131</v>
      </c>
      <c r="CQ37" s="159" t="str">
        <v/>
      </c>
      <c r="CR37" s="159"/>
      <c r="CS37" s="159"/>
      <c r="CT37" s="159"/>
    </row>
    <row r="38" spans="1:98" x14ac:dyDescent="0.2">
      <c r="A38" s="58" t="s">
        <v>25</v>
      </c>
      <c r="B38" s="95">
        <f>IFERROR(MEDIAN(_xlfn.ANCHORARRAY(T2)),NA())</f>
        <v>0.49925963399512074</v>
      </c>
      <c r="R38" s="159"/>
      <c r="S38" s="62"/>
      <c r="T38" s="62"/>
      <c r="U38" s="62"/>
      <c r="V38" s="62"/>
      <c r="W38" s="62"/>
      <c r="X38" s="62"/>
      <c r="Y38" s="106" t="b">
        <f>Y34&gt;Y36</f>
        <v>0</v>
      </c>
      <c r="Z38" s="62"/>
      <c r="AA38" s="62"/>
      <c r="AB38" s="62"/>
      <c r="AC38" s="62"/>
      <c r="AD38" s="62"/>
      <c r="AE38" s="62"/>
      <c r="AF38" s="62"/>
      <c r="AG38" s="62"/>
      <c r="AH38" s="62">
        <v>37</v>
      </c>
      <c r="AI38" s="62">
        <v>-2.1496062992125982</v>
      </c>
      <c r="AJ38" s="62">
        <v>3.9583530091630813E-2</v>
      </c>
      <c r="AK38" s="62">
        <v>3</v>
      </c>
      <c r="AL38" s="62">
        <v>0</v>
      </c>
      <c r="AM38" s="62">
        <v>0</v>
      </c>
      <c r="AN38" s="62" t="str">
        <v/>
      </c>
      <c r="AO38" s="62" t="str">
        <v/>
      </c>
      <c r="AP38" s="62"/>
      <c r="AQ38" s="62"/>
      <c r="AR38" s="62"/>
      <c r="AS38" s="159"/>
      <c r="AT38" s="159"/>
      <c r="AU38" s="159"/>
      <c r="AV38" s="159">
        <v>37</v>
      </c>
      <c r="AW38" s="159">
        <v>7</v>
      </c>
      <c r="AX38" s="159">
        <v>1</v>
      </c>
      <c r="AY38" s="159" t="e">
        <v>#N/A</v>
      </c>
      <c r="AZ38" s="159" t="str">
        <v/>
      </c>
      <c r="BA38" s="159"/>
      <c r="BB38" s="159"/>
      <c r="BC38" s="159"/>
      <c r="BD38" s="62"/>
      <c r="BE38" s="62"/>
      <c r="BF38" s="185"/>
      <c r="BG38" s="185"/>
      <c r="BH38" s="185"/>
      <c r="BI38" s="185"/>
      <c r="BJ38" s="185"/>
      <c r="BK38" s="185">
        <v>37</v>
      </c>
      <c r="BL38" s="185">
        <v>1</v>
      </c>
      <c r="BM38" s="159">
        <v>1.8192576091040986</v>
      </c>
      <c r="BN38" s="159">
        <v>1.8192576091040986</v>
      </c>
      <c r="BO38" s="159" t="e">
        <v>#N/A</v>
      </c>
      <c r="BP38" s="159" t="e">
        <v>#N/A</v>
      </c>
      <c r="BQ38" s="159" t="e">
        <v>#N/A</v>
      </c>
      <c r="BR38" s="185" t="str">
        <v/>
      </c>
      <c r="BS38" s="185"/>
      <c r="BT38" s="185"/>
      <c r="BU38" s="185"/>
      <c r="BV38" s="185"/>
      <c r="BW38" s="185"/>
      <c r="BX38" s="185"/>
      <c r="BY38" s="185"/>
      <c r="BZ38" s="48"/>
      <c r="CA38" s="62"/>
      <c r="CB38" s="62"/>
      <c r="CC38" s="62"/>
      <c r="CD38" s="62"/>
      <c r="CE38" s="185"/>
      <c r="CF38" s="185"/>
      <c r="CG38" s="185"/>
      <c r="CH38" s="185"/>
      <c r="CI38" s="159"/>
      <c r="CJ38" s="159"/>
      <c r="CK38" s="159"/>
      <c r="CL38" s="159"/>
      <c r="CM38" s="159"/>
      <c r="CN38" s="159">
        <v>37</v>
      </c>
      <c r="CO38" s="159">
        <v>4</v>
      </c>
      <c r="CP38" s="159">
        <v>1.0410520769883131</v>
      </c>
      <c r="CQ38" s="159" t="str">
        <v/>
      </c>
      <c r="CR38" s="159"/>
      <c r="CS38" s="159"/>
      <c r="CT38" s="159"/>
    </row>
    <row r="39" spans="1:98" x14ac:dyDescent="0.2">
      <c r="A39" s="131" t="s">
        <v>420</v>
      </c>
      <c r="B39" s="95">
        <f>IFERROR(_xlfn.QUARTILE.EXC(_xlfn.ANCHORARRAY(T2),3),NA())</f>
        <v>1.7034016755912118</v>
      </c>
      <c r="R39" s="62"/>
      <c r="S39" s="62"/>
      <c r="T39" s="62"/>
      <c r="U39" s="62"/>
      <c r="V39" s="62"/>
      <c r="W39" s="62"/>
      <c r="X39" s="62"/>
      <c r="Y39" s="179" t="s">
        <v>684</v>
      </c>
      <c r="Z39" s="62"/>
      <c r="AA39" s="62"/>
      <c r="AB39" s="62"/>
      <c r="AC39" s="62"/>
      <c r="AD39" s="62"/>
      <c r="AE39" s="62"/>
      <c r="AF39" s="62"/>
      <c r="AG39" s="62"/>
      <c r="AH39" s="62">
        <v>38</v>
      </c>
      <c r="AI39" s="62">
        <v>-2.1259842519685037</v>
      </c>
      <c r="AJ39" s="62">
        <v>4.1633795362021969E-2</v>
      </c>
      <c r="AK39" s="62">
        <v>3</v>
      </c>
      <c r="AL39" s="62">
        <v>0</v>
      </c>
      <c r="AM39" s="62">
        <v>0</v>
      </c>
      <c r="AN39" s="62" t="str">
        <v/>
      </c>
      <c r="AO39" s="62" t="str">
        <v/>
      </c>
      <c r="AP39" s="62"/>
      <c r="AQ39" s="62"/>
      <c r="AR39" s="62"/>
      <c r="AS39" s="159"/>
      <c r="AT39" s="159"/>
      <c r="AU39" s="159"/>
      <c r="AV39" s="159">
        <v>38</v>
      </c>
      <c r="AW39" s="159">
        <v>7</v>
      </c>
      <c r="AX39" s="159">
        <v>0</v>
      </c>
      <c r="AY39" s="159">
        <v>1</v>
      </c>
      <c r="AZ39" s="159" t="str">
        <v/>
      </c>
      <c r="BA39" s="159"/>
      <c r="BB39" s="159"/>
      <c r="BC39" s="159"/>
      <c r="BD39" s="62"/>
      <c r="BE39" s="62"/>
      <c r="BF39" s="185"/>
      <c r="BG39" s="185"/>
      <c r="BH39" s="185"/>
      <c r="BI39" s="185"/>
      <c r="BJ39" s="185"/>
      <c r="BK39" s="185">
        <v>38</v>
      </c>
      <c r="BL39" s="185">
        <v>1</v>
      </c>
      <c r="BM39" s="159">
        <v>1.8192576091040986</v>
      </c>
      <c r="BN39" s="159">
        <v>1.8192576091040986</v>
      </c>
      <c r="BO39" s="159" t="e">
        <v>#N/A</v>
      </c>
      <c r="BP39" s="159" t="e">
        <v>#N/A</v>
      </c>
      <c r="BQ39" s="159" t="e">
        <v>#N/A</v>
      </c>
      <c r="BR39" s="185" t="str">
        <v/>
      </c>
      <c r="BS39" s="185"/>
      <c r="BT39" s="185"/>
      <c r="BU39" s="185"/>
      <c r="BV39" s="185"/>
      <c r="BW39" s="185"/>
      <c r="BX39" s="185"/>
      <c r="BY39" s="185"/>
      <c r="BZ39" s="48"/>
      <c r="CA39" s="62"/>
      <c r="CB39" s="62"/>
      <c r="CC39" s="62"/>
      <c r="CD39" s="62"/>
      <c r="CE39" s="185"/>
      <c r="CF39" s="185"/>
      <c r="CG39" s="185"/>
      <c r="CH39" s="185"/>
      <c r="CI39" s="159"/>
      <c r="CJ39" s="159"/>
      <c r="CK39" s="159"/>
      <c r="CL39" s="159"/>
      <c r="CM39" s="159"/>
      <c r="CN39" s="159">
        <v>38</v>
      </c>
      <c r="CO39" s="159">
        <v>4</v>
      </c>
      <c r="CP39" s="159">
        <v>1.0410520769883131</v>
      </c>
      <c r="CQ39" s="159" t="str">
        <v/>
      </c>
      <c r="CR39" s="159"/>
      <c r="CS39" s="159"/>
      <c r="CT39" s="159"/>
    </row>
    <row r="40" spans="1:98" x14ac:dyDescent="0.2">
      <c r="A40" s="131" t="s">
        <v>414</v>
      </c>
      <c r="B40" s="130">
        <f>IF(ISNA($B$31),NA(),MAX(_xlfn.ANCHORARRAY(T2)))</f>
        <v>13</v>
      </c>
      <c r="R40" s="62"/>
      <c r="S40" s="62"/>
      <c r="T40" s="62"/>
      <c r="U40" s="62"/>
      <c r="V40" s="62"/>
      <c r="W40" s="62"/>
      <c r="X40" s="62"/>
      <c r="Y40" s="106">
        <f>IF(Y38,(Y34-1)/2+1,Y34)</f>
        <v>7</v>
      </c>
      <c r="Z40" s="62"/>
      <c r="AA40" s="62"/>
      <c r="AB40" s="62"/>
      <c r="AC40" s="62"/>
      <c r="AD40" s="62"/>
      <c r="AE40" s="62"/>
      <c r="AF40" s="62"/>
      <c r="AG40" s="62"/>
      <c r="AH40" s="62">
        <v>39</v>
      </c>
      <c r="AI40" s="62">
        <v>-2.1023622047244093</v>
      </c>
      <c r="AJ40" s="62">
        <v>4.3765827808196101E-2</v>
      </c>
      <c r="AK40" s="62">
        <v>3</v>
      </c>
      <c r="AL40" s="62">
        <v>0</v>
      </c>
      <c r="AM40" s="62">
        <v>0</v>
      </c>
      <c r="AN40" s="62" t="str">
        <v/>
      </c>
      <c r="AO40" s="62" t="str">
        <v/>
      </c>
      <c r="AP40" s="62"/>
      <c r="AQ40" s="62"/>
      <c r="AR40" s="62"/>
      <c r="AS40" s="159"/>
      <c r="AT40" s="159"/>
      <c r="AU40" s="159"/>
      <c r="AV40" s="159">
        <v>39</v>
      </c>
      <c r="AW40" s="159">
        <v>7</v>
      </c>
      <c r="AX40" s="159">
        <v>0</v>
      </c>
      <c r="AY40" s="159">
        <v>1</v>
      </c>
      <c r="AZ40" s="159" t="str">
        <v/>
      </c>
      <c r="BA40" s="159"/>
      <c r="BB40" s="159"/>
      <c r="BC40" s="159"/>
      <c r="BD40" s="62"/>
      <c r="BE40" s="62"/>
      <c r="BF40" s="185"/>
      <c r="BG40" s="185"/>
      <c r="BH40" s="185"/>
      <c r="BI40" s="185"/>
      <c r="BJ40" s="185"/>
      <c r="BK40" s="185">
        <v>39</v>
      </c>
      <c r="BL40" s="185">
        <v>1</v>
      </c>
      <c r="BM40" s="159">
        <v>1.8192576091040986</v>
      </c>
      <c r="BN40" s="159">
        <v>1.8192576091040986</v>
      </c>
      <c r="BO40" s="159" t="e">
        <v>#N/A</v>
      </c>
      <c r="BP40" s="159" t="e">
        <v>#N/A</v>
      </c>
      <c r="BQ40" s="159" t="e">
        <v>#N/A</v>
      </c>
      <c r="BR40" s="185" t="str">
        <v/>
      </c>
      <c r="BS40" s="185"/>
      <c r="BT40" s="185"/>
      <c r="BU40" s="185"/>
      <c r="BV40" s="185"/>
      <c r="BW40" s="185"/>
      <c r="BX40" s="185"/>
      <c r="BY40" s="185"/>
      <c r="BZ40" s="48"/>
      <c r="CA40" s="62"/>
      <c r="CB40" s="62"/>
      <c r="CC40" s="62"/>
      <c r="CD40" s="62"/>
      <c r="CE40" s="185"/>
      <c r="CF40" s="185"/>
      <c r="CG40" s="185"/>
      <c r="CH40" s="185"/>
      <c r="CI40" s="159"/>
      <c r="CJ40" s="159"/>
      <c r="CK40" s="159"/>
      <c r="CL40" s="159"/>
      <c r="CM40" s="159"/>
      <c r="CN40" s="159">
        <v>39</v>
      </c>
      <c r="CO40" s="159">
        <v>4</v>
      </c>
      <c r="CP40" s="159">
        <v>1.0410520769883131</v>
      </c>
      <c r="CQ40" s="159" t="str">
        <v/>
      </c>
      <c r="CR40" s="159"/>
      <c r="CS40" s="159"/>
      <c r="CT40" s="159"/>
    </row>
    <row r="41" spans="1:98" x14ac:dyDescent="0.2">
      <c r="A41" s="58" t="s">
        <v>26</v>
      </c>
      <c r="B41" s="95" t="e">
        <f>_xlfn.MODE.SNGL(_xlfn.ANCHORARRAY(T2))</f>
        <v>#N/A</v>
      </c>
      <c r="R41" s="62"/>
      <c r="S41" s="62"/>
      <c r="T41" s="62"/>
      <c r="U41" s="62"/>
      <c r="V41" s="62"/>
      <c r="W41" s="62"/>
      <c r="X41" s="62"/>
      <c r="Y41" s="179" t="s">
        <v>688</v>
      </c>
      <c r="Z41" s="62"/>
      <c r="AA41" s="62"/>
      <c r="AB41" s="62"/>
      <c r="AC41" s="62"/>
      <c r="AD41" s="62"/>
      <c r="AE41" s="62"/>
      <c r="AF41" s="62"/>
      <c r="AG41" s="62"/>
      <c r="AH41" s="62">
        <v>40</v>
      </c>
      <c r="AI41" s="62">
        <v>-2.0787401574803148</v>
      </c>
      <c r="AJ41" s="62">
        <v>4.5981375065417315E-2</v>
      </c>
      <c r="AK41" s="62">
        <v>3</v>
      </c>
      <c r="AL41" s="62">
        <v>0</v>
      </c>
      <c r="AM41" s="62">
        <v>0</v>
      </c>
      <c r="AN41" s="62" t="str">
        <v/>
      </c>
      <c r="AO41" s="62" t="str">
        <v/>
      </c>
      <c r="AP41" s="62"/>
      <c r="AQ41" s="62"/>
      <c r="AR41" s="62"/>
      <c r="AS41" s="159"/>
      <c r="AT41" s="159"/>
      <c r="AU41" s="159"/>
      <c r="AV41" s="159">
        <v>40</v>
      </c>
      <c r="AW41" s="159">
        <v>7</v>
      </c>
      <c r="AX41" s="159">
        <v>0</v>
      </c>
      <c r="AY41" s="159">
        <v>1</v>
      </c>
      <c r="AZ41" s="159" t="str">
        <v>0.914</v>
      </c>
      <c r="BA41" s="159"/>
      <c r="BB41" s="159"/>
      <c r="BC41" s="159"/>
      <c r="BD41" s="62"/>
      <c r="BE41" s="62"/>
      <c r="BF41" s="185"/>
      <c r="BG41" s="185"/>
      <c r="BH41" s="185"/>
      <c r="BI41" s="185"/>
      <c r="BJ41" s="185"/>
      <c r="BK41" s="185">
        <v>40</v>
      </c>
      <c r="BL41" s="185">
        <v>1</v>
      </c>
      <c r="BM41" s="159">
        <v>1.8192576091040986</v>
      </c>
      <c r="BN41" s="159">
        <v>1.8192576091040986</v>
      </c>
      <c r="BO41" s="159" t="e">
        <v>#N/A</v>
      </c>
      <c r="BP41" s="159" t="e">
        <v>#N/A</v>
      </c>
      <c r="BQ41" s="159" t="e">
        <v>#N/A</v>
      </c>
      <c r="BR41" s="185" t="str">
        <v/>
      </c>
      <c r="BS41" s="185"/>
      <c r="BT41" s="185"/>
      <c r="BU41" s="185"/>
      <c r="BV41" s="185"/>
      <c r="BW41" s="185"/>
      <c r="BX41" s="185"/>
      <c r="BY41" s="185"/>
      <c r="BZ41" s="48"/>
      <c r="CA41" s="62"/>
      <c r="CB41" s="62"/>
      <c r="CC41" s="62"/>
      <c r="CD41" s="62"/>
      <c r="CE41" s="185"/>
      <c r="CF41" s="185"/>
      <c r="CG41" s="185"/>
      <c r="CH41" s="185"/>
      <c r="CI41" s="159"/>
      <c r="CJ41" s="159"/>
      <c r="CK41" s="159"/>
      <c r="CL41" s="159"/>
      <c r="CM41" s="159"/>
      <c r="CN41" s="159">
        <v>40</v>
      </c>
      <c r="CO41" s="159">
        <v>4</v>
      </c>
      <c r="CP41" s="159">
        <v>1.0410520769883131</v>
      </c>
      <c r="CQ41" s="159" t="str">
        <v/>
      </c>
      <c r="CR41" s="159"/>
      <c r="CS41" s="159"/>
      <c r="CT41" s="159"/>
    </row>
    <row r="42" spans="1:98" x14ac:dyDescent="0.2">
      <c r="A42" s="58" t="s">
        <v>27</v>
      </c>
      <c r="B42" s="95">
        <f>IF(COUNT(_xlfn.ANCHORARRAY(T2))&lt;&gt;0,MAX(_xlfn.ANCHORARRAY(T2))-MIN(_xlfn.ANCHORARRAY(T2)),NA())</f>
        <v>14.479592604535933</v>
      </c>
      <c r="R42" s="62"/>
      <c r="S42" s="62"/>
      <c r="T42" s="62"/>
      <c r="U42" s="62"/>
      <c r="V42" s="62"/>
      <c r="W42" s="62"/>
      <c r="X42" s="62"/>
      <c r="Y42" s="106">
        <f>ROUNDUP(Y40/2,0)</f>
        <v>4</v>
      </c>
      <c r="Z42" s="62"/>
      <c r="AA42" s="62"/>
      <c r="AB42" s="62"/>
      <c r="AC42" s="62"/>
      <c r="AD42" s="62"/>
      <c r="AE42" s="62"/>
      <c r="AF42" s="62"/>
      <c r="AG42" s="62"/>
      <c r="AH42" s="62">
        <v>41</v>
      </c>
      <c r="AI42" s="62">
        <v>-2.0551181102362204</v>
      </c>
      <c r="AJ42" s="62">
        <v>4.8282130452103389E-2</v>
      </c>
      <c r="AK42" s="62">
        <v>3</v>
      </c>
      <c r="AL42" s="62">
        <v>0</v>
      </c>
      <c r="AM42" s="62">
        <v>0</v>
      </c>
      <c r="AN42" s="62" t="str">
        <v/>
      </c>
      <c r="AO42" s="62" t="str">
        <v/>
      </c>
      <c r="AP42" s="62"/>
      <c r="AQ42" s="62"/>
      <c r="AR42" s="62"/>
      <c r="AS42" s="159"/>
      <c r="AT42" s="159"/>
      <c r="AU42" s="159"/>
      <c r="AV42" s="159">
        <v>41</v>
      </c>
      <c r="AW42" s="159">
        <v>7</v>
      </c>
      <c r="AX42" s="159">
        <v>0</v>
      </c>
      <c r="AY42" s="159">
        <v>1</v>
      </c>
      <c r="AZ42" s="159" t="str">
        <v/>
      </c>
      <c r="BA42" s="159"/>
      <c r="BB42" s="159"/>
      <c r="BC42" s="159"/>
      <c r="BD42" s="62"/>
      <c r="BE42" s="62"/>
      <c r="BF42" s="185"/>
      <c r="BG42" s="185"/>
      <c r="BH42" s="185"/>
      <c r="BI42" s="185"/>
      <c r="BJ42" s="185"/>
      <c r="BK42" s="185">
        <v>41</v>
      </c>
      <c r="BL42" s="185">
        <v>1</v>
      </c>
      <c r="BM42" s="159">
        <v>1.8192576091040986</v>
      </c>
      <c r="BN42" s="159">
        <v>1.8192576091040986</v>
      </c>
      <c r="BO42" s="159" t="e">
        <v>#N/A</v>
      </c>
      <c r="BP42" s="159" t="e">
        <v>#N/A</v>
      </c>
      <c r="BQ42" s="159" t="e">
        <v>#N/A</v>
      </c>
      <c r="BR42" s="185" t="str">
        <v/>
      </c>
      <c r="BS42" s="185"/>
      <c r="BT42" s="185"/>
      <c r="BU42" s="185"/>
      <c r="BV42" s="185"/>
      <c r="BW42" s="185"/>
      <c r="BX42" s="185"/>
      <c r="BY42" s="185"/>
      <c r="BZ42" s="48"/>
      <c r="CA42" s="62"/>
      <c r="CB42" s="62"/>
      <c r="CC42" s="62"/>
      <c r="CD42" s="62"/>
      <c r="CE42" s="185"/>
      <c r="CF42" s="185"/>
      <c r="CG42" s="185"/>
      <c r="CH42" s="185"/>
      <c r="CI42" s="159"/>
      <c r="CJ42" s="159"/>
      <c r="CK42" s="159"/>
      <c r="CL42" s="159"/>
      <c r="CM42" s="159"/>
      <c r="CN42" s="159">
        <v>41</v>
      </c>
      <c r="CO42" s="159">
        <v>4</v>
      </c>
      <c r="CP42" s="159">
        <v>1.0410520769883131</v>
      </c>
      <c r="CQ42" s="159" t="str">
        <v/>
      </c>
      <c r="CR42" s="159"/>
      <c r="CS42" s="159"/>
      <c r="CT42" s="159"/>
    </row>
    <row r="43" spans="1:98" x14ac:dyDescent="0.2">
      <c r="A43" s="58" t="s">
        <v>28</v>
      </c>
      <c r="B43" s="95">
        <f>IFERROR(_xlfn.QUARTILE.EXC(_xlfn.ANCHORARRAY(T2),3)-_xlfn.QUARTILE.EXC(_xlfn.ANCHORARRAY(T2),1),NA())</f>
        <v>2.4790432186498887</v>
      </c>
      <c r="R43" s="62"/>
      <c r="S43" s="62"/>
      <c r="T43" s="62"/>
      <c r="U43" s="62"/>
      <c r="V43" s="62"/>
      <c r="W43" s="62"/>
      <c r="X43" s="62"/>
      <c r="Z43" s="62"/>
      <c r="AA43" s="62"/>
      <c r="AB43" s="62"/>
      <c r="AC43" s="62"/>
      <c r="AD43" s="62"/>
      <c r="AE43" s="62"/>
      <c r="AF43" s="62"/>
      <c r="AG43" s="62"/>
      <c r="AH43" s="62">
        <v>42</v>
      </c>
      <c r="AI43" s="62">
        <v>-2.0314960629921259</v>
      </c>
      <c r="AJ43" s="62">
        <v>5.0669726347948529E-2</v>
      </c>
      <c r="AK43" s="62">
        <v>3</v>
      </c>
      <c r="AL43" s="62">
        <v>0</v>
      </c>
      <c r="AM43" s="62">
        <v>0</v>
      </c>
      <c r="AN43" s="62" t="str">
        <v/>
      </c>
      <c r="AO43" s="62" t="str">
        <v/>
      </c>
      <c r="AP43" s="62"/>
      <c r="AQ43" s="62"/>
      <c r="AR43" s="62"/>
      <c r="AS43" s="159"/>
      <c r="AT43" s="159"/>
      <c r="AU43" s="159"/>
      <c r="AV43" s="159">
        <v>42</v>
      </c>
      <c r="AW43" s="159">
        <v>7</v>
      </c>
      <c r="AX43" s="159">
        <v>1</v>
      </c>
      <c r="AY43" s="159" t="e">
        <v>#N/A</v>
      </c>
      <c r="AZ43" s="159" t="str">
        <v/>
      </c>
      <c r="BA43" s="159"/>
      <c r="BB43" s="159"/>
      <c r="BC43" s="159"/>
      <c r="BD43" s="62"/>
      <c r="BE43" s="62"/>
      <c r="BF43" s="185"/>
      <c r="BG43" s="185"/>
      <c r="BH43" s="185"/>
      <c r="BI43" s="185"/>
      <c r="BJ43" s="185"/>
      <c r="BK43" s="185">
        <v>42</v>
      </c>
      <c r="BL43" s="185">
        <v>1</v>
      </c>
      <c r="BM43" s="159">
        <v>1.8192576091040986</v>
      </c>
      <c r="BN43" s="159">
        <v>1.8192576091040986</v>
      </c>
      <c r="BO43" s="159" t="e">
        <v>#N/A</v>
      </c>
      <c r="BP43" s="159" t="e">
        <v>#N/A</v>
      </c>
      <c r="BQ43" s="159" t="e">
        <v>#N/A</v>
      </c>
      <c r="BR43" s="185" t="str">
        <v/>
      </c>
      <c r="BS43" s="185"/>
      <c r="BT43" s="185"/>
      <c r="BU43" s="185"/>
      <c r="BV43" s="185"/>
      <c r="BW43" s="185"/>
      <c r="BX43" s="185"/>
      <c r="BY43" s="185"/>
      <c r="BZ43" s="48"/>
      <c r="CA43" s="62"/>
      <c r="CB43" s="62"/>
      <c r="CC43" s="62"/>
      <c r="CD43" s="62"/>
      <c r="CE43" s="185"/>
      <c r="CF43" s="185"/>
      <c r="CG43" s="185"/>
      <c r="CH43" s="185"/>
      <c r="CI43" s="159"/>
      <c r="CJ43" s="159"/>
      <c r="CK43" s="159"/>
      <c r="CL43" s="159"/>
      <c r="CM43" s="159"/>
      <c r="CN43" s="159">
        <v>42</v>
      </c>
      <c r="CO43" s="159">
        <v>4</v>
      </c>
      <c r="CP43" s="159">
        <v>1.0410520769883131</v>
      </c>
      <c r="CQ43" s="159" t="str">
        <v/>
      </c>
      <c r="CR43" s="159"/>
      <c r="CS43" s="159"/>
      <c r="CT43" s="159"/>
    </row>
    <row r="44" spans="1:98" x14ac:dyDescent="0.2">
      <c r="A44" s="58" t="s">
        <v>10</v>
      </c>
      <c r="B44" s="128" t="e">
        <f>IF(OR(COUNTIF(_xlfn.ANCHORARRAY(T2),TRUE)&gt;0,COUNTIF(_xlfn.ANCHORARRAY(T2),FALSE)&gt;0),TEXT(COUNTIF(_xlfn.ANCHORARRAY(T2),TRUE)/COUNTA(_xlfn.ANCHORARRAY(T2)),"?????????????/?????????????"),NA())</f>
        <v>#N/A</v>
      </c>
      <c r="R44" s="62"/>
      <c r="S44" s="62"/>
      <c r="T44" s="62"/>
      <c r="U44" s="62"/>
      <c r="V44" s="62"/>
      <c r="W44" s="62"/>
      <c r="X44" s="62"/>
      <c r="Z44" s="62"/>
      <c r="AA44" s="62"/>
      <c r="AB44" s="62"/>
      <c r="AC44" s="62"/>
      <c r="AD44" s="62"/>
      <c r="AE44" s="62"/>
      <c r="AF44" s="62"/>
      <c r="AG44" s="62"/>
      <c r="AH44" s="62">
        <v>43</v>
      </c>
      <c r="AI44" s="62">
        <v>-2.0078740157480315</v>
      </c>
      <c r="AJ44" s="62">
        <v>5.3145727413021412E-2</v>
      </c>
      <c r="AK44" s="62">
        <v>3</v>
      </c>
      <c r="AL44" s="62">
        <v>0</v>
      </c>
      <c r="AM44" s="62">
        <v>0</v>
      </c>
      <c r="AN44" s="62" t="str">
        <v/>
      </c>
      <c r="AO44" s="62" t="str">
        <v/>
      </c>
      <c r="AP44" s="62"/>
      <c r="AQ44" s="62"/>
      <c r="AR44" s="62"/>
      <c r="AS44" s="159"/>
      <c r="AT44" s="159"/>
      <c r="AU44" s="159"/>
      <c r="AV44" s="159">
        <v>43</v>
      </c>
      <c r="AW44" s="159">
        <v>8</v>
      </c>
      <c r="AX44" s="159">
        <v>1</v>
      </c>
      <c r="AY44" s="159" t="e">
        <v>#N/A</v>
      </c>
      <c r="AZ44" s="159" t="str">
        <v/>
      </c>
      <c r="BA44" s="159"/>
      <c r="BB44" s="159"/>
      <c r="BC44" s="159"/>
      <c r="BD44" s="62"/>
      <c r="BE44" s="62"/>
      <c r="BF44" s="185"/>
      <c r="BG44" s="185"/>
      <c r="BH44" s="185"/>
      <c r="BI44" s="185"/>
      <c r="BJ44" s="185"/>
      <c r="BK44" s="185">
        <v>43</v>
      </c>
      <c r="BL44" s="185">
        <v>1</v>
      </c>
      <c r="BM44" s="159">
        <v>1.8192576091040986</v>
      </c>
      <c r="BN44" s="159">
        <v>1.8192576091040986</v>
      </c>
      <c r="BO44" s="159" t="e">
        <v>#N/A</v>
      </c>
      <c r="BP44" s="159" t="e">
        <v>#N/A</v>
      </c>
      <c r="BQ44" s="159" t="e">
        <v>#N/A</v>
      </c>
      <c r="BR44" s="185" t="str">
        <v/>
      </c>
      <c r="BS44" s="185"/>
      <c r="BT44" s="185"/>
      <c r="BU44" s="185"/>
      <c r="BV44" s="185"/>
      <c r="BW44" s="185"/>
      <c r="BX44" s="185"/>
      <c r="BY44" s="185"/>
      <c r="BZ44" s="48"/>
      <c r="CA44" s="62"/>
      <c r="CB44" s="62"/>
      <c r="CC44" s="62"/>
      <c r="CD44" s="62"/>
      <c r="CE44" s="185"/>
      <c r="CF44" s="185"/>
      <c r="CG44" s="185"/>
      <c r="CH44" s="185"/>
      <c r="CI44" s="159"/>
      <c r="CJ44" s="159"/>
      <c r="CK44" s="159"/>
      <c r="CL44" s="159"/>
      <c r="CM44" s="159"/>
      <c r="CN44" s="159">
        <v>43</v>
      </c>
      <c r="CO44" s="159">
        <v>4</v>
      </c>
      <c r="CP44" s="159">
        <v>1.0410520769883131</v>
      </c>
      <c r="CQ44" s="159" t="str">
        <v/>
      </c>
      <c r="CR44" s="159"/>
      <c r="CS44" s="159"/>
      <c r="CT44" s="159"/>
    </row>
    <row r="45" spans="1:98" x14ac:dyDescent="0.2">
      <c r="A45" s="58" t="s">
        <v>11</v>
      </c>
      <c r="B45" s="95" t="e">
        <f>_xlfn.SINGLE(IF(OR(COUNTIF(_xlfn.ANCHORARRAY(T2),TRUE)&gt;0,COUNTIF(_xlfn.ANCHORARRAY(T2),FALSE)&gt;0),COUNTIF(_xlfn.ANCHORARRAY(T2),TRUE)&amp;"/"&amp;COUNTA(_xlfn.ANCHORARRAY(T2)),NA()))</f>
        <v>#N/A</v>
      </c>
      <c r="R45" s="62"/>
      <c r="S45" s="62"/>
      <c r="T45" s="62"/>
      <c r="U45" s="62"/>
      <c r="V45" s="62"/>
      <c r="W45" s="62"/>
      <c r="X45" s="62"/>
      <c r="Z45" s="62"/>
      <c r="AA45" s="62"/>
      <c r="AB45" s="62"/>
      <c r="AC45" s="62"/>
      <c r="AD45" s="62"/>
      <c r="AE45" s="62"/>
      <c r="AF45" s="62"/>
      <c r="AG45" s="62"/>
      <c r="AH45" s="62">
        <v>44</v>
      </c>
      <c r="AI45" s="62">
        <v>-1.984251968503937</v>
      </c>
      <c r="AJ45" s="62">
        <v>5.5711623663135007E-2</v>
      </c>
      <c r="AK45" s="62">
        <v>3</v>
      </c>
      <c r="AL45" s="62">
        <v>0</v>
      </c>
      <c r="AM45" s="62">
        <v>0</v>
      </c>
      <c r="AN45" s="62" t="str">
        <v/>
      </c>
      <c r="AO45" s="62" t="str">
        <v>-2σ</v>
      </c>
      <c r="AP45" s="62"/>
      <c r="AQ45" s="62"/>
      <c r="AR45" s="62"/>
      <c r="AS45" s="159"/>
      <c r="AT45" s="159"/>
      <c r="AU45" s="159"/>
      <c r="AV45" s="159">
        <v>44</v>
      </c>
      <c r="AW45" s="159">
        <v>8</v>
      </c>
      <c r="AX45" s="159">
        <v>0</v>
      </c>
      <c r="AY45" s="159">
        <v>1</v>
      </c>
      <c r="AZ45" s="159" t="str">
        <v/>
      </c>
      <c r="BA45" s="159"/>
      <c r="BB45" s="159"/>
      <c r="BC45" s="159"/>
      <c r="BD45" s="62"/>
      <c r="BE45" s="62"/>
      <c r="BF45" s="185"/>
      <c r="BG45" s="185"/>
      <c r="BH45" s="185"/>
      <c r="BI45" s="185"/>
      <c r="BJ45" s="185"/>
      <c r="BK45" s="185">
        <v>44</v>
      </c>
      <c r="BL45" s="185">
        <v>1</v>
      </c>
      <c r="BM45" s="159">
        <v>1.8192576091040986</v>
      </c>
      <c r="BN45" s="159">
        <v>1.8192576091040986</v>
      </c>
      <c r="BO45" s="159" t="e">
        <v>#N/A</v>
      </c>
      <c r="BP45" s="159" t="e">
        <v>#N/A</v>
      </c>
      <c r="BQ45" s="159" t="e">
        <v>#N/A</v>
      </c>
      <c r="BR45" s="185" t="str">
        <v/>
      </c>
      <c r="BS45" s="185"/>
      <c r="BT45" s="185"/>
      <c r="BU45" s="185"/>
      <c r="BV45" s="185"/>
      <c r="BW45" s="185"/>
      <c r="BX45" s="185"/>
      <c r="BY45" s="185"/>
      <c r="BZ45" s="48"/>
      <c r="CA45" s="62"/>
      <c r="CB45" s="62"/>
      <c r="CC45" s="62"/>
      <c r="CD45" s="62"/>
      <c r="CE45" s="185"/>
      <c r="CF45" s="185"/>
      <c r="CG45" s="185"/>
      <c r="CH45" s="185"/>
      <c r="CI45" s="159"/>
      <c r="CJ45" s="159"/>
      <c r="CK45" s="159"/>
      <c r="CL45" s="159"/>
      <c r="CM45" s="159"/>
      <c r="CN45" s="159">
        <v>44</v>
      </c>
      <c r="CO45" s="159">
        <v>4</v>
      </c>
      <c r="CP45" s="159">
        <v>1.0410520769883131</v>
      </c>
      <c r="CQ45" s="159" t="str">
        <v/>
      </c>
      <c r="CR45" s="159"/>
      <c r="CS45" s="159"/>
      <c r="CT45" s="159"/>
    </row>
    <row r="46" spans="1:98" x14ac:dyDescent="0.2">
      <c r="A46" s="58" t="s">
        <v>418</v>
      </c>
      <c r="B46" s="130">
        <f>IFERROR(SKEW(_xlfn.ANCHORARRAY(T2)),NA())</f>
        <v>2.0532400290375925</v>
      </c>
      <c r="R46" s="62"/>
      <c r="S46" s="62"/>
      <c r="T46" s="62"/>
      <c r="U46" s="62"/>
      <c r="V46" s="62"/>
      <c r="W46" s="62"/>
      <c r="X46" s="62"/>
      <c r="Y46" s="62"/>
      <c r="Z46" s="62"/>
      <c r="AA46" s="62"/>
      <c r="AB46" s="62"/>
      <c r="AC46" s="62"/>
      <c r="AD46" s="62"/>
      <c r="AE46" s="62"/>
      <c r="AF46" s="62"/>
      <c r="AG46" s="62"/>
      <c r="AH46" s="62">
        <v>45</v>
      </c>
      <c r="AI46" s="62">
        <v>-1.9606299212598426</v>
      </c>
      <c r="AJ46" s="62">
        <v>5.836882341812101E-2</v>
      </c>
      <c r="AK46" s="62">
        <v>3</v>
      </c>
      <c r="AL46" s="62">
        <v>0</v>
      </c>
      <c r="AM46" s="62">
        <v>0</v>
      </c>
      <c r="AN46" s="62" t="str">
        <v/>
      </c>
      <c r="AO46" s="62" t="str">
        <v/>
      </c>
      <c r="AP46" s="62"/>
      <c r="AQ46" s="62"/>
      <c r="AR46" s="62"/>
      <c r="AS46" s="159"/>
      <c r="AT46" s="159"/>
      <c r="AU46" s="159"/>
      <c r="AV46" s="159">
        <v>45</v>
      </c>
      <c r="AW46" s="159">
        <v>8</v>
      </c>
      <c r="AX46" s="159">
        <v>0</v>
      </c>
      <c r="AY46" s="159">
        <v>1</v>
      </c>
      <c r="AZ46" s="159" t="str">
        <v/>
      </c>
      <c r="BA46" s="159"/>
      <c r="BB46" s="159"/>
      <c r="BC46" s="159"/>
      <c r="BD46" s="62"/>
      <c r="BE46" s="62"/>
      <c r="BF46" s="185"/>
      <c r="BG46" s="185"/>
      <c r="BH46" s="185"/>
      <c r="BI46" s="185"/>
      <c r="BJ46" s="185"/>
      <c r="BK46" s="185">
        <v>45</v>
      </c>
      <c r="BL46" s="185">
        <v>1</v>
      </c>
      <c r="BM46" s="159">
        <v>1.8192576091040986</v>
      </c>
      <c r="BN46" s="159">
        <v>1.8192576091040986</v>
      </c>
      <c r="BO46" s="159" t="e">
        <v>#N/A</v>
      </c>
      <c r="BP46" s="159" t="e">
        <v>#N/A</v>
      </c>
      <c r="BQ46" s="159" t="e">
        <v>#N/A</v>
      </c>
      <c r="BR46" s="185" t="str">
        <v/>
      </c>
      <c r="BS46" s="185"/>
      <c r="BT46" s="185"/>
      <c r="BU46" s="185"/>
      <c r="BV46" s="185"/>
      <c r="BW46" s="185"/>
      <c r="BX46" s="185"/>
      <c r="BY46" s="185"/>
      <c r="BZ46" s="48"/>
      <c r="CA46" s="62"/>
      <c r="CB46" s="62"/>
      <c r="CC46" s="62"/>
      <c r="CD46" s="62"/>
      <c r="CE46" s="185"/>
      <c r="CF46" s="185"/>
      <c r="CG46" s="185"/>
      <c r="CH46" s="185"/>
      <c r="CI46" s="159"/>
      <c r="CJ46" s="159"/>
      <c r="CK46" s="159"/>
      <c r="CL46" s="159"/>
      <c r="CM46" s="159"/>
      <c r="CN46" s="159">
        <v>45</v>
      </c>
      <c r="CO46" s="159">
        <v>4</v>
      </c>
      <c r="CP46" s="159">
        <v>1.0410520769883131</v>
      </c>
      <c r="CQ46" s="159" t="str">
        <v/>
      </c>
      <c r="CR46" s="159"/>
      <c r="CS46" s="159"/>
      <c r="CT46" s="159"/>
    </row>
    <row r="47" spans="1:98" x14ac:dyDescent="0.2">
      <c r="A47" s="58" t="s">
        <v>451</v>
      </c>
      <c r="B47" s="130">
        <f>IFERROR(KURT(_xlfn.ANCHORARRAY(T2)),NA())</f>
        <v>3.8353760782566271</v>
      </c>
      <c r="R47" s="62"/>
      <c r="S47" s="62"/>
      <c r="T47" s="62"/>
      <c r="U47" s="62"/>
      <c r="V47" s="62"/>
      <c r="W47" s="62"/>
      <c r="X47" s="62"/>
      <c r="Y47" s="62"/>
      <c r="Z47" s="62"/>
      <c r="AA47" s="62"/>
      <c r="AB47" s="62"/>
      <c r="AC47" s="62"/>
      <c r="AD47" s="62"/>
      <c r="AE47" s="62"/>
      <c r="AF47" s="62"/>
      <c r="AG47" s="62"/>
      <c r="AH47" s="62">
        <v>46</v>
      </c>
      <c r="AI47" s="62">
        <v>-1.9370078740157481</v>
      </c>
      <c r="AJ47" s="62">
        <v>6.1118646140966536E-2</v>
      </c>
      <c r="AK47" s="62">
        <v>3</v>
      </c>
      <c r="AL47" s="62">
        <v>0</v>
      </c>
      <c r="AM47" s="62">
        <v>0</v>
      </c>
      <c r="AN47" s="62" t="str">
        <v/>
      </c>
      <c r="AO47" s="62" t="str">
        <v/>
      </c>
      <c r="AP47" s="62"/>
      <c r="AQ47" s="62"/>
      <c r="AR47" s="62"/>
      <c r="AS47" s="159"/>
      <c r="AT47" s="159"/>
      <c r="AU47" s="159"/>
      <c r="AV47" s="159">
        <v>46</v>
      </c>
      <c r="AW47" s="159">
        <v>8</v>
      </c>
      <c r="AX47" s="159">
        <v>0</v>
      </c>
      <c r="AY47" s="159">
        <v>1</v>
      </c>
      <c r="AZ47" s="159" t="str">
        <v>1.299</v>
      </c>
      <c r="BA47" s="159"/>
      <c r="BB47" s="159"/>
      <c r="BC47" s="159"/>
      <c r="BD47" s="62"/>
      <c r="BE47" s="62"/>
      <c r="BF47" s="185"/>
      <c r="BG47" s="185"/>
      <c r="BH47" s="185"/>
      <c r="BI47" s="185"/>
      <c r="BJ47" s="185"/>
      <c r="BK47" s="185">
        <v>46</v>
      </c>
      <c r="BL47" s="185">
        <v>1</v>
      </c>
      <c r="BM47" s="159">
        <v>1.8192576091040986</v>
      </c>
      <c r="BN47" s="159">
        <v>1.8192576091040986</v>
      </c>
      <c r="BO47" s="159" t="e">
        <v>#N/A</v>
      </c>
      <c r="BP47" s="159" t="e">
        <v>#N/A</v>
      </c>
      <c r="BQ47" s="159" t="e">
        <v>#N/A</v>
      </c>
      <c r="BR47" s="185" t="str">
        <v/>
      </c>
      <c r="BS47" s="185"/>
      <c r="BT47" s="185"/>
      <c r="BU47" s="185"/>
      <c r="BV47" s="185"/>
      <c r="BW47" s="185"/>
      <c r="BX47" s="185"/>
      <c r="BY47" s="185"/>
      <c r="BZ47" s="48"/>
      <c r="CA47" s="62"/>
      <c r="CB47" s="62"/>
      <c r="CC47" s="62"/>
      <c r="CD47" s="62"/>
      <c r="CE47" s="185"/>
      <c r="CF47" s="185"/>
      <c r="CG47" s="185"/>
      <c r="CH47" s="185"/>
      <c r="CI47" s="159"/>
      <c r="CJ47" s="159"/>
      <c r="CK47" s="159"/>
      <c r="CL47" s="159"/>
      <c r="CM47" s="159"/>
      <c r="CN47" s="159">
        <v>46</v>
      </c>
      <c r="CO47" s="159">
        <v>4</v>
      </c>
      <c r="CP47" s="159">
        <v>1.0410520769883131</v>
      </c>
      <c r="CQ47" s="159" t="str">
        <v/>
      </c>
      <c r="CR47" s="159"/>
      <c r="CS47" s="159"/>
      <c r="CT47" s="159"/>
    </row>
    <row r="48" spans="1:98" x14ac:dyDescent="0.2">
      <c r="R48" s="62"/>
      <c r="S48" s="62"/>
      <c r="T48" s="62"/>
      <c r="U48" s="62"/>
      <c r="V48" s="62"/>
      <c r="W48" s="62"/>
      <c r="X48" s="62"/>
      <c r="Y48" s="62"/>
      <c r="Z48" s="62"/>
      <c r="AA48" s="62"/>
      <c r="AB48" s="62"/>
      <c r="AC48" s="62"/>
      <c r="AD48" s="62"/>
      <c r="AE48" s="62"/>
      <c r="AF48" s="62"/>
      <c r="AG48" s="62"/>
      <c r="AH48" s="62">
        <v>47</v>
      </c>
      <c r="AI48" s="62">
        <v>-1.9133858267716535</v>
      </c>
      <c r="AJ48" s="62">
        <v>6.3962315187079122E-2</v>
      </c>
      <c r="AK48" s="62">
        <v>3</v>
      </c>
      <c r="AL48" s="62">
        <v>0</v>
      </c>
      <c r="AM48" s="62">
        <v>0</v>
      </c>
      <c r="AN48" s="62" t="str">
        <v/>
      </c>
      <c r="AO48" s="62" t="str">
        <v/>
      </c>
      <c r="AP48" s="62"/>
      <c r="AQ48" s="62"/>
      <c r="AR48" s="62"/>
      <c r="AS48" s="159"/>
      <c r="AT48" s="159"/>
      <c r="AU48" s="159"/>
      <c r="AV48" s="159">
        <v>47</v>
      </c>
      <c r="AW48" s="159">
        <v>8</v>
      </c>
      <c r="AX48" s="159">
        <v>0</v>
      </c>
      <c r="AY48" s="159">
        <v>1</v>
      </c>
      <c r="AZ48" s="159" t="str">
        <v/>
      </c>
      <c r="BA48" s="159"/>
      <c r="BB48" s="159"/>
      <c r="BC48" s="159"/>
      <c r="BD48" s="62"/>
      <c r="BE48" s="62"/>
      <c r="BF48" s="185"/>
      <c r="BG48" s="185"/>
      <c r="BH48" s="185"/>
      <c r="BI48" s="185"/>
      <c r="BJ48" s="185"/>
      <c r="BK48" s="185">
        <v>47</v>
      </c>
      <c r="BL48" s="185">
        <v>1</v>
      </c>
      <c r="BM48" s="159">
        <v>1.8192576091040986</v>
      </c>
      <c r="BN48" s="159">
        <v>1.8192576091040986</v>
      </c>
      <c r="BO48" s="159" t="e">
        <v>#N/A</v>
      </c>
      <c r="BP48" s="159" t="e">
        <v>#N/A</v>
      </c>
      <c r="BQ48" s="159" t="e">
        <v>#N/A</v>
      </c>
      <c r="BR48" s="185" t="str">
        <v/>
      </c>
      <c r="BS48" s="185"/>
      <c r="BT48" s="185"/>
      <c r="BU48" s="185"/>
      <c r="BV48" s="185"/>
      <c r="BW48" s="185"/>
      <c r="BX48" s="185"/>
      <c r="BY48" s="185"/>
      <c r="BZ48" s="48"/>
      <c r="CA48" s="62"/>
      <c r="CB48" s="62"/>
      <c r="CC48" s="62"/>
      <c r="CD48" s="62"/>
      <c r="CE48" s="185"/>
      <c r="CF48" s="185"/>
      <c r="CG48" s="185"/>
      <c r="CH48" s="185"/>
      <c r="CI48" s="159"/>
      <c r="CJ48" s="159"/>
      <c r="CK48" s="159"/>
      <c r="CL48" s="159"/>
      <c r="CM48" s="159"/>
      <c r="CN48" s="159">
        <v>47</v>
      </c>
      <c r="CO48" s="159">
        <v>4</v>
      </c>
      <c r="CP48" s="159">
        <v>1.0410520769883131</v>
      </c>
      <c r="CQ48" s="159" t="str">
        <v/>
      </c>
      <c r="CR48" s="159"/>
      <c r="CS48" s="159"/>
      <c r="CT48" s="159"/>
    </row>
    <row r="49" spans="8:98" x14ac:dyDescent="0.2">
      <c r="R49" s="62"/>
      <c r="S49" s="62"/>
      <c r="T49" s="62"/>
      <c r="U49" s="62"/>
      <c r="V49" s="62"/>
      <c r="W49" s="62"/>
      <c r="X49" s="62"/>
      <c r="Y49" s="62"/>
      <c r="Z49" s="62"/>
      <c r="AA49" s="62"/>
      <c r="AB49" s="62"/>
      <c r="AC49" s="62"/>
      <c r="AD49" s="62"/>
      <c r="AE49" s="62"/>
      <c r="AF49" s="62"/>
      <c r="AG49" s="62"/>
      <c r="AH49" s="62">
        <v>48</v>
      </c>
      <c r="AI49" s="62">
        <v>-1.889763779527559</v>
      </c>
      <c r="AJ49" s="62">
        <v>6.6900950484229685E-2</v>
      </c>
      <c r="AK49" s="62">
        <v>3</v>
      </c>
      <c r="AL49" s="62">
        <v>0</v>
      </c>
      <c r="AM49" s="62">
        <v>0</v>
      </c>
      <c r="AN49" s="62" t="str">
        <v/>
      </c>
      <c r="AO49" s="62" t="str">
        <v/>
      </c>
      <c r="AP49" s="62"/>
      <c r="AQ49" s="62"/>
      <c r="AR49" s="62"/>
      <c r="AS49" s="159"/>
      <c r="AT49" s="159"/>
      <c r="AU49" s="159"/>
      <c r="AV49" s="159">
        <v>48</v>
      </c>
      <c r="AW49" s="159">
        <v>8</v>
      </c>
      <c r="AX49" s="159">
        <v>1</v>
      </c>
      <c r="AY49" s="159" t="e">
        <v>#N/A</v>
      </c>
      <c r="AZ49" s="159" t="str">
        <v/>
      </c>
      <c r="BA49" s="159"/>
      <c r="BB49" s="159"/>
      <c r="BC49" s="159"/>
      <c r="BD49" s="62"/>
      <c r="BE49" s="62"/>
      <c r="BF49" s="185"/>
      <c r="BG49" s="185"/>
      <c r="BH49" s="185"/>
      <c r="BI49" s="185"/>
      <c r="BJ49" s="185"/>
      <c r="BK49" s="185">
        <v>48</v>
      </c>
      <c r="BL49" s="185">
        <v>1</v>
      </c>
      <c r="BM49" s="159">
        <v>1.8192576091040986</v>
      </c>
      <c r="BN49" s="159">
        <v>1.8192576091040986</v>
      </c>
      <c r="BO49" s="159" t="e">
        <v>#N/A</v>
      </c>
      <c r="BP49" s="159" t="e">
        <v>#N/A</v>
      </c>
      <c r="BQ49" s="159" t="e">
        <v>#N/A</v>
      </c>
      <c r="BR49" s="185" t="str">
        <v/>
      </c>
      <c r="BS49" s="185"/>
      <c r="BT49" s="185"/>
      <c r="BU49" s="185"/>
      <c r="BV49" s="185"/>
      <c r="BW49" s="185"/>
      <c r="BX49" s="185"/>
      <c r="BY49" s="185"/>
      <c r="BZ49" s="48"/>
      <c r="CA49" s="62"/>
      <c r="CB49" s="62"/>
      <c r="CC49" s="62"/>
      <c r="CD49" s="62"/>
      <c r="CE49" s="185"/>
      <c r="CF49" s="185"/>
      <c r="CG49" s="185"/>
      <c r="CH49" s="185"/>
      <c r="CI49" s="159"/>
      <c r="CJ49" s="159"/>
      <c r="CK49" s="159"/>
      <c r="CL49" s="159"/>
      <c r="CM49" s="159"/>
      <c r="CN49" s="159">
        <v>48</v>
      </c>
      <c r="CO49" s="159">
        <v>4</v>
      </c>
      <c r="CP49" s="159">
        <v>1.0410520769883131</v>
      </c>
      <c r="CQ49" s="159" t="str">
        <v/>
      </c>
      <c r="CR49" s="159"/>
      <c r="CS49" s="159"/>
      <c r="CT49" s="159"/>
    </row>
    <row r="50" spans="8:98" x14ac:dyDescent="0.2">
      <c r="R50" s="62"/>
      <c r="S50" s="62"/>
      <c r="T50" s="62"/>
      <c r="U50" s="62"/>
      <c r="V50" s="62"/>
      <c r="W50" s="62"/>
      <c r="X50" s="62"/>
      <c r="Y50" s="62"/>
      <c r="Z50" s="62"/>
      <c r="AA50" s="62"/>
      <c r="AB50" s="62"/>
      <c r="AC50" s="62"/>
      <c r="AD50" s="62"/>
      <c r="AE50" s="62"/>
      <c r="AF50" s="62"/>
      <c r="AG50" s="62"/>
      <c r="AH50" s="62">
        <v>49</v>
      </c>
      <c r="AI50" s="62">
        <v>-1.8661417322834646</v>
      </c>
      <c r="AJ50" s="62">
        <v>6.9935561164973667E-2</v>
      </c>
      <c r="AK50" s="62">
        <v>3</v>
      </c>
      <c r="AL50" s="62">
        <v>0</v>
      </c>
      <c r="AM50" s="62">
        <v>0</v>
      </c>
      <c r="AN50" s="62" t="str">
        <v/>
      </c>
      <c r="AO50" s="62" t="str">
        <v/>
      </c>
      <c r="AP50" s="62"/>
      <c r="AQ50" s="62"/>
      <c r="AR50" s="62"/>
      <c r="AS50" s="159"/>
      <c r="AT50" s="159"/>
      <c r="AU50" s="159"/>
      <c r="AV50" s="159">
        <v>49</v>
      </c>
      <c r="AW50" s="159">
        <v>9</v>
      </c>
      <c r="AX50" s="159">
        <v>1</v>
      </c>
      <c r="AY50" s="159" t="e">
        <v>#N/A</v>
      </c>
      <c r="AZ50" s="159" t="str">
        <v/>
      </c>
      <c r="BA50" s="159"/>
      <c r="BB50" s="159"/>
      <c r="BC50" s="159"/>
      <c r="BD50" s="62"/>
      <c r="BE50" s="62"/>
      <c r="BF50" s="185"/>
      <c r="BG50" s="185"/>
      <c r="BH50" s="185"/>
      <c r="BI50" s="185"/>
      <c r="BJ50" s="185"/>
      <c r="BK50" s="185">
        <v>49</v>
      </c>
      <c r="BL50" s="185">
        <v>1</v>
      </c>
      <c r="BM50" s="159">
        <v>1.8192576091040986</v>
      </c>
      <c r="BN50" s="159">
        <v>1.8192576091040986</v>
      </c>
      <c r="BO50" s="159" t="e">
        <v>#N/A</v>
      </c>
      <c r="BP50" s="159" t="e">
        <v>#N/A</v>
      </c>
      <c r="BQ50" s="159" t="e">
        <v>#N/A</v>
      </c>
      <c r="BR50" s="185" t="str">
        <v/>
      </c>
      <c r="BS50" s="185"/>
      <c r="BT50" s="185"/>
      <c r="BU50" s="185"/>
      <c r="BV50" s="185"/>
      <c r="BW50" s="185"/>
      <c r="BX50" s="185"/>
      <c r="BY50" s="185"/>
      <c r="BZ50" s="48"/>
      <c r="CA50" s="62"/>
      <c r="CB50" s="62"/>
      <c r="CC50" s="62"/>
      <c r="CD50" s="62"/>
      <c r="CE50" s="185"/>
      <c r="CF50" s="185"/>
      <c r="CG50" s="185"/>
      <c r="CH50" s="185"/>
      <c r="CI50" s="159"/>
      <c r="CJ50" s="159"/>
      <c r="CK50" s="159"/>
      <c r="CL50" s="159"/>
      <c r="CM50" s="159"/>
      <c r="CN50" s="159">
        <v>49</v>
      </c>
      <c r="CO50" s="159">
        <v>4</v>
      </c>
      <c r="CP50" s="159">
        <v>1.0410520769883131</v>
      </c>
      <c r="CQ50" s="159" t="str">
        <v/>
      </c>
      <c r="CR50" s="159"/>
      <c r="CS50" s="159"/>
      <c r="CT50" s="159"/>
    </row>
    <row r="51" spans="8:98" x14ac:dyDescent="0.2">
      <c r="R51" s="62"/>
      <c r="S51" s="62"/>
      <c r="T51" s="62"/>
      <c r="U51" s="62"/>
      <c r="V51" s="62"/>
      <c r="W51" s="62"/>
      <c r="X51" s="62"/>
      <c r="Y51" s="62"/>
      <c r="Z51" s="62"/>
      <c r="AA51" s="62"/>
      <c r="AB51" s="62"/>
      <c r="AC51" s="62"/>
      <c r="AD51" s="62"/>
      <c r="AE51" s="62"/>
      <c r="AF51" s="62"/>
      <c r="AG51" s="62"/>
      <c r="AH51" s="62">
        <v>50</v>
      </c>
      <c r="AI51" s="62">
        <v>-1.8425196850393701</v>
      </c>
      <c r="AJ51" s="62">
        <v>7.3067038174560756E-2</v>
      </c>
      <c r="AK51" s="62">
        <v>3</v>
      </c>
      <c r="AL51" s="62">
        <v>0</v>
      </c>
      <c r="AM51" s="62">
        <v>0</v>
      </c>
      <c r="AN51" s="62" t="str">
        <v/>
      </c>
      <c r="AO51" s="62" t="str">
        <v/>
      </c>
      <c r="AP51" s="62"/>
      <c r="AQ51" s="62"/>
      <c r="AR51" s="62"/>
      <c r="AS51" s="159"/>
      <c r="AT51" s="159"/>
      <c r="AU51" s="159"/>
      <c r="AV51" s="159">
        <v>50</v>
      </c>
      <c r="AW51" s="159">
        <v>9</v>
      </c>
      <c r="AX51" s="159">
        <v>0</v>
      </c>
      <c r="AY51" s="159">
        <v>1</v>
      </c>
      <c r="AZ51" s="159" t="str">
        <v/>
      </c>
      <c r="BA51" s="159"/>
      <c r="BB51" s="159"/>
      <c r="BC51" s="159"/>
      <c r="BD51" s="62"/>
      <c r="BE51" s="62"/>
      <c r="BF51" s="185"/>
      <c r="BG51" s="185"/>
      <c r="BH51" s="185"/>
      <c r="BI51" s="185"/>
      <c r="BJ51" s="185"/>
      <c r="BK51" s="185">
        <v>50</v>
      </c>
      <c r="BL51" s="185">
        <v>1</v>
      </c>
      <c r="BM51" s="159">
        <v>1.8192576091040986</v>
      </c>
      <c r="BN51" s="159">
        <v>1.8192576091040986</v>
      </c>
      <c r="BO51" s="159" t="e">
        <v>#N/A</v>
      </c>
      <c r="BP51" s="159" t="e">
        <v>#N/A</v>
      </c>
      <c r="BQ51" s="159" t="e">
        <v>#N/A</v>
      </c>
      <c r="BR51" s="185" t="str">
        <v/>
      </c>
      <c r="BS51" s="185"/>
      <c r="BT51" s="185"/>
      <c r="BU51" s="185"/>
      <c r="BV51" s="185"/>
      <c r="BW51" s="185"/>
      <c r="BX51" s="185"/>
      <c r="BY51" s="185"/>
      <c r="BZ51" s="48"/>
      <c r="CA51" s="62"/>
      <c r="CB51" s="62"/>
      <c r="CC51" s="62"/>
      <c r="CD51" s="62"/>
      <c r="CE51" s="185"/>
      <c r="CF51" s="185"/>
      <c r="CG51" s="185"/>
      <c r="CH51" s="185"/>
      <c r="CI51" s="159"/>
      <c r="CJ51" s="159"/>
      <c r="CK51" s="159"/>
      <c r="CL51" s="159"/>
      <c r="CM51" s="159"/>
      <c r="CN51" s="159">
        <v>50</v>
      </c>
      <c r="CO51" s="159">
        <v>5</v>
      </c>
      <c r="CP51" s="159">
        <v>0.60060696749325759</v>
      </c>
      <c r="CQ51" s="159" t="str">
        <v>1.3 (67%)</v>
      </c>
      <c r="CR51" s="159"/>
      <c r="CS51" s="159"/>
      <c r="CT51" s="159"/>
    </row>
    <row r="52" spans="8:98" x14ac:dyDescent="0.2">
      <c r="R52" s="62"/>
      <c r="S52" s="62"/>
      <c r="T52" s="62"/>
      <c r="U52" s="62"/>
      <c r="V52" s="62"/>
      <c r="W52" s="62"/>
      <c r="X52" s="62"/>
      <c r="Y52" s="62"/>
      <c r="Z52" s="62"/>
      <c r="AA52" s="62"/>
      <c r="AB52" s="62"/>
      <c r="AC52" s="62"/>
      <c r="AD52" s="62"/>
      <c r="AE52" s="62"/>
      <c r="AF52" s="62"/>
      <c r="AG52" s="62"/>
      <c r="AH52" s="62">
        <v>51</v>
      </c>
      <c r="AI52" s="62">
        <v>-1.8188976377952757</v>
      </c>
      <c r="AJ52" s="62">
        <v>7.6296146878504542E-2</v>
      </c>
      <c r="AK52" s="62">
        <v>3</v>
      </c>
      <c r="AL52" s="62">
        <v>0</v>
      </c>
      <c r="AM52" s="62">
        <v>0</v>
      </c>
      <c r="AN52" s="62" t="str">
        <v/>
      </c>
      <c r="AO52" s="62" t="str">
        <v/>
      </c>
      <c r="AP52" s="62"/>
      <c r="AQ52" s="62"/>
      <c r="AR52" s="62"/>
      <c r="AS52" s="159"/>
      <c r="AT52" s="159"/>
      <c r="AU52" s="159"/>
      <c r="AV52" s="159">
        <v>51</v>
      </c>
      <c r="AW52" s="159">
        <v>9</v>
      </c>
      <c r="AX52" s="159">
        <v>0</v>
      </c>
      <c r="AY52" s="159">
        <v>1</v>
      </c>
      <c r="AZ52" s="159" t="str">
        <v/>
      </c>
      <c r="BA52" s="159"/>
      <c r="BB52" s="159"/>
      <c r="BC52" s="159"/>
      <c r="BD52" s="62"/>
      <c r="BE52" s="62"/>
      <c r="BF52" s="185"/>
      <c r="BG52" s="185"/>
      <c r="BH52" s="185"/>
      <c r="BI52" s="185"/>
      <c r="BJ52" s="185"/>
      <c r="BK52" s="185">
        <v>51</v>
      </c>
      <c r="BL52" s="185">
        <v>1</v>
      </c>
      <c r="BM52" s="159">
        <v>1.8192576091040986</v>
      </c>
      <c r="BN52" s="159">
        <v>1.8192576091040986</v>
      </c>
      <c r="BO52" s="159" t="e">
        <v>#N/A</v>
      </c>
      <c r="BP52" s="159" t="e">
        <v>#N/A</v>
      </c>
      <c r="BQ52" s="159" t="e">
        <v>#N/A</v>
      </c>
      <c r="BR52" s="185" t="str">
        <v/>
      </c>
      <c r="BS52" s="185"/>
      <c r="BT52" s="185"/>
      <c r="BU52" s="185"/>
      <c r="BV52" s="185"/>
      <c r="BW52" s="185"/>
      <c r="BX52" s="185"/>
      <c r="BY52" s="185"/>
      <c r="BZ52" s="48"/>
      <c r="CA52" s="62"/>
      <c r="CB52" s="62"/>
      <c r="CC52" s="62"/>
      <c r="CD52" s="62"/>
      <c r="CE52" s="185"/>
      <c r="CF52" s="185"/>
      <c r="CG52" s="185"/>
      <c r="CH52" s="185"/>
      <c r="CI52" s="159"/>
      <c r="CJ52" s="159"/>
      <c r="CK52" s="159"/>
      <c r="CL52" s="159"/>
      <c r="CM52" s="159"/>
      <c r="CN52" s="159">
        <v>51</v>
      </c>
      <c r="CO52" s="159">
        <v>5</v>
      </c>
      <c r="CP52" s="159">
        <v>0.60060696749325759</v>
      </c>
      <c r="CQ52" s="159" t="str">
        <v/>
      </c>
      <c r="CR52" s="159"/>
      <c r="CS52" s="159"/>
      <c r="CT52" s="159"/>
    </row>
    <row r="53" spans="8:98" x14ac:dyDescent="0.2">
      <c r="R53" s="62"/>
      <c r="S53" s="62"/>
      <c r="T53" s="62"/>
      <c r="U53" s="62"/>
      <c r="V53" s="62"/>
      <c r="W53" s="62"/>
      <c r="X53" s="62"/>
      <c r="Y53" s="62"/>
      <c r="Z53" s="62"/>
      <c r="AA53" s="62"/>
      <c r="AB53" s="62"/>
      <c r="AC53" s="62"/>
      <c r="AD53" s="62"/>
      <c r="AE53" s="62"/>
      <c r="AF53" s="62"/>
      <c r="AG53" s="62"/>
      <c r="AH53" s="62">
        <v>52</v>
      </c>
      <c r="AI53" s="62">
        <v>-1.795275590551181</v>
      </c>
      <c r="AJ53" s="62">
        <v>7.9623519695089101E-2</v>
      </c>
      <c r="AK53" s="62">
        <v>4</v>
      </c>
      <c r="AL53" s="62">
        <v>0</v>
      </c>
      <c r="AM53" s="62">
        <v>0</v>
      </c>
      <c r="AN53" s="62">
        <v>-5.9</v>
      </c>
      <c r="AO53" s="62" t="str">
        <v/>
      </c>
      <c r="AP53" s="62"/>
      <c r="AQ53" s="62"/>
      <c r="AR53" s="62"/>
      <c r="AS53" s="159"/>
      <c r="AT53" s="159"/>
      <c r="AU53" s="159"/>
      <c r="AV53" s="159">
        <v>52</v>
      </c>
      <c r="AW53" s="159">
        <v>9</v>
      </c>
      <c r="AX53" s="159">
        <v>0</v>
      </c>
      <c r="AY53" s="159">
        <v>1</v>
      </c>
      <c r="AZ53" s="159" t="str">
        <v>1.38</v>
      </c>
      <c r="BA53" s="159"/>
      <c r="BB53" s="159"/>
      <c r="BC53" s="159"/>
      <c r="BD53" s="62"/>
      <c r="BE53" s="62"/>
      <c r="BF53" s="185"/>
      <c r="BG53" s="185"/>
      <c r="BH53" s="185"/>
      <c r="BI53" s="185"/>
      <c r="BJ53" s="185"/>
      <c r="BK53" s="185">
        <v>52</v>
      </c>
      <c r="BL53" s="185">
        <v>1</v>
      </c>
      <c r="BM53" s="159">
        <v>1.8192576091040986</v>
      </c>
      <c r="BN53" s="159">
        <v>1.8192576091040986</v>
      </c>
      <c r="BO53" s="159" t="e">
        <v>#N/A</v>
      </c>
      <c r="BP53" s="159" t="e">
        <v>#N/A</v>
      </c>
      <c r="BQ53" s="159" t="e">
        <v>#N/A</v>
      </c>
      <c r="BR53" s="185" t="str">
        <v/>
      </c>
      <c r="BS53" s="185"/>
      <c r="BT53" s="185"/>
      <c r="BU53" s="185"/>
      <c r="BV53" s="185"/>
      <c r="BW53" s="185"/>
      <c r="BX53" s="185"/>
      <c r="BY53" s="185"/>
      <c r="BZ53" s="48"/>
      <c r="CA53" s="62"/>
      <c r="CB53" s="62"/>
      <c r="CC53" s="62"/>
      <c r="CD53" s="62"/>
      <c r="CE53" s="185"/>
      <c r="CF53" s="185"/>
      <c r="CG53" s="185"/>
      <c r="CH53" s="185"/>
      <c r="CI53" s="159"/>
      <c r="CJ53" s="159"/>
      <c r="CK53" s="159"/>
      <c r="CL53" s="159"/>
      <c r="CM53" s="159"/>
      <c r="CN53" s="159">
        <v>52</v>
      </c>
      <c r="CO53" s="159">
        <v>5</v>
      </c>
      <c r="CP53" s="159">
        <v>0.60060696749325759</v>
      </c>
      <c r="CQ53" s="159" t="str">
        <v/>
      </c>
      <c r="CR53" s="159"/>
      <c r="CS53" s="159"/>
      <c r="CT53" s="159"/>
    </row>
    <row r="54" spans="8:98" x14ac:dyDescent="0.2">
      <c r="R54" s="62"/>
      <c r="S54" s="62"/>
      <c r="T54" s="62"/>
      <c r="U54" s="62"/>
      <c r="V54" s="62"/>
      <c r="W54" s="62"/>
      <c r="X54" s="62"/>
      <c r="Y54" s="62"/>
      <c r="Z54" s="62"/>
      <c r="AA54" s="62"/>
      <c r="AB54" s="62"/>
      <c r="AC54" s="62"/>
      <c r="AD54" s="62"/>
      <c r="AE54" s="62"/>
      <c r="AF54" s="62"/>
      <c r="AG54" s="62"/>
      <c r="AH54" s="62">
        <v>53</v>
      </c>
      <c r="AI54" s="62">
        <v>-1.7716535433070866</v>
      </c>
      <c r="AJ54" s="62">
        <v>8.3049648779127044E-2</v>
      </c>
      <c r="AK54" s="62">
        <v>4</v>
      </c>
      <c r="AL54" s="62">
        <v>0</v>
      </c>
      <c r="AM54" s="62">
        <v>0</v>
      </c>
      <c r="AN54" s="62" t="str">
        <v/>
      </c>
      <c r="AO54" s="62" t="str">
        <v/>
      </c>
      <c r="AP54" s="62"/>
      <c r="AQ54" s="62"/>
      <c r="AR54" s="62"/>
      <c r="AS54" s="159"/>
      <c r="AT54" s="159"/>
      <c r="AU54" s="159"/>
      <c r="AV54" s="159">
        <v>53</v>
      </c>
      <c r="AW54" s="159">
        <v>9</v>
      </c>
      <c r="AX54" s="159">
        <v>0</v>
      </c>
      <c r="AY54" s="159">
        <v>1</v>
      </c>
      <c r="AZ54" s="159" t="str">
        <v/>
      </c>
      <c r="BA54" s="159"/>
      <c r="BB54" s="159"/>
      <c r="BC54" s="159"/>
      <c r="BD54" s="62"/>
      <c r="BE54" s="62"/>
      <c r="BF54" s="185"/>
      <c r="BG54" s="185"/>
      <c r="BH54" s="185"/>
      <c r="BI54" s="185"/>
      <c r="BJ54" s="185"/>
      <c r="BK54" s="185">
        <v>53</v>
      </c>
      <c r="BL54" s="185">
        <v>1</v>
      </c>
      <c r="BM54" s="159">
        <v>1.8192576091040986</v>
      </c>
      <c r="BN54" s="159">
        <v>1.8192576091040986</v>
      </c>
      <c r="BO54" s="159" t="e">
        <v>#N/A</v>
      </c>
      <c r="BP54" s="159" t="e">
        <v>#N/A</v>
      </c>
      <c r="BQ54" s="159" t="e">
        <v>#N/A</v>
      </c>
      <c r="BR54" s="185" t="str">
        <v/>
      </c>
      <c r="BS54" s="185"/>
      <c r="BT54" s="185"/>
      <c r="BU54" s="185"/>
      <c r="BV54" s="185"/>
      <c r="BW54" s="185"/>
      <c r="BX54" s="185"/>
      <c r="BY54" s="185"/>
      <c r="BZ54" s="48"/>
      <c r="CA54" s="62"/>
      <c r="CB54" s="62"/>
      <c r="CC54" s="62"/>
      <c r="CD54" s="62"/>
      <c r="CE54" s="185"/>
      <c r="CF54" s="185"/>
      <c r="CG54" s="185"/>
      <c r="CH54" s="185"/>
      <c r="CI54" s="159"/>
      <c r="CJ54" s="159"/>
      <c r="CK54" s="159"/>
      <c r="CL54" s="159"/>
      <c r="CM54" s="159"/>
      <c r="CN54" s="159">
        <v>53</v>
      </c>
      <c r="CO54" s="159">
        <v>5</v>
      </c>
      <c r="CP54" s="159">
        <v>0.60060696749325759</v>
      </c>
      <c r="CQ54" s="159" t="str">
        <v/>
      </c>
      <c r="CR54" s="159"/>
      <c r="CS54" s="159"/>
      <c r="CT54" s="159"/>
    </row>
    <row r="55" spans="8:98" x14ac:dyDescent="0.2">
      <c r="R55" s="62"/>
      <c r="S55" s="62"/>
      <c r="T55" s="62"/>
      <c r="U55" s="62"/>
      <c r="V55" s="62"/>
      <c r="W55" s="62"/>
      <c r="X55" s="62"/>
      <c r="Y55" s="62"/>
      <c r="Z55" s="62"/>
      <c r="AA55" s="62"/>
      <c r="AB55" s="62"/>
      <c r="AC55" s="62"/>
      <c r="AD55" s="62"/>
      <c r="AE55" s="62"/>
      <c r="AF55" s="62"/>
      <c r="AG55" s="62"/>
      <c r="AH55" s="62">
        <v>54</v>
      </c>
      <c r="AI55" s="62">
        <v>-1.7480314960629921</v>
      </c>
      <c r="AJ55" s="62">
        <v>8.6574878784251505E-2</v>
      </c>
      <c r="AK55" s="62">
        <v>4</v>
      </c>
      <c r="AL55" s="62">
        <v>0</v>
      </c>
      <c r="AM55" s="62">
        <v>0</v>
      </c>
      <c r="AN55" s="62" t="str">
        <v/>
      </c>
      <c r="AO55" s="62" t="str">
        <v/>
      </c>
      <c r="AP55" s="62"/>
      <c r="AQ55" s="62"/>
      <c r="AR55" s="62"/>
      <c r="AS55" s="159"/>
      <c r="AT55" s="159"/>
      <c r="AU55" s="159"/>
      <c r="AV55" s="159">
        <v>54</v>
      </c>
      <c r="AW55" s="159">
        <v>9</v>
      </c>
      <c r="AX55" s="159">
        <v>1</v>
      </c>
      <c r="AY55" s="159" t="e">
        <v>#N/A</v>
      </c>
      <c r="AZ55" s="159" t="str">
        <v/>
      </c>
      <c r="BA55" s="159"/>
      <c r="BB55" s="159"/>
      <c r="BC55" s="159"/>
      <c r="BD55" s="62"/>
      <c r="BE55" s="62"/>
      <c r="BF55" s="185"/>
      <c r="BG55" s="185"/>
      <c r="BH55" s="185"/>
      <c r="BI55" s="185"/>
      <c r="BJ55" s="185"/>
      <c r="BK55" s="185">
        <v>54</v>
      </c>
      <c r="BL55" s="185">
        <v>1</v>
      </c>
      <c r="BM55" s="159">
        <v>1.8192576091040986</v>
      </c>
      <c r="BN55" s="159">
        <v>1.8192576091040986</v>
      </c>
      <c r="BO55" s="159" t="e">
        <v>#N/A</v>
      </c>
      <c r="BP55" s="159" t="e">
        <v>#N/A</v>
      </c>
      <c r="BQ55" s="159" t="e">
        <v>#N/A</v>
      </c>
      <c r="BR55" s="185" t="str">
        <v/>
      </c>
      <c r="BS55" s="185"/>
      <c r="BT55" s="185"/>
      <c r="BU55" s="185"/>
      <c r="BV55" s="185"/>
      <c r="BW55" s="185"/>
      <c r="BX55" s="185"/>
      <c r="BY55" s="185"/>
      <c r="BZ55" s="48"/>
      <c r="CA55" s="62"/>
      <c r="CB55" s="62"/>
      <c r="CC55" s="62"/>
      <c r="CD55" s="62"/>
      <c r="CE55" s="185"/>
      <c r="CF55" s="185"/>
      <c r="CG55" s="185"/>
      <c r="CH55" s="185"/>
      <c r="CI55" s="159"/>
      <c r="CJ55" s="159"/>
      <c r="CK55" s="159"/>
      <c r="CL55" s="159"/>
      <c r="CM55" s="159"/>
      <c r="CN55" s="159">
        <v>54</v>
      </c>
      <c r="CO55" s="159">
        <v>5</v>
      </c>
      <c r="CP55" s="159">
        <v>0.60060696749325759</v>
      </c>
      <c r="CQ55" s="159" t="str">
        <v/>
      </c>
      <c r="CR55" s="159"/>
      <c r="CS55" s="159"/>
      <c r="CT55" s="159"/>
    </row>
    <row r="56" spans="8:98" x14ac:dyDescent="0.2">
      <c r="H56" s="49"/>
      <c r="R56" s="62"/>
      <c r="S56" s="62"/>
      <c r="T56" s="62"/>
      <c r="U56" s="62"/>
      <c r="V56" s="62"/>
      <c r="W56" s="62"/>
      <c r="X56" s="62"/>
      <c r="Y56" s="62"/>
      <c r="Z56" s="62"/>
      <c r="AA56" s="62"/>
      <c r="AB56" s="62"/>
      <c r="AC56" s="62"/>
      <c r="AD56" s="62"/>
      <c r="AE56" s="62"/>
      <c r="AF56" s="62"/>
      <c r="AG56" s="62"/>
      <c r="AH56" s="62">
        <v>55</v>
      </c>
      <c r="AI56" s="62">
        <v>-1.7244094488188977</v>
      </c>
      <c r="AJ56" s="62">
        <v>9.0199399731906077E-2</v>
      </c>
      <c r="AK56" s="62">
        <v>4</v>
      </c>
      <c r="AL56" s="62">
        <v>0</v>
      </c>
      <c r="AM56" s="62">
        <v>0</v>
      </c>
      <c r="AN56" s="62" t="str">
        <v/>
      </c>
      <c r="AO56" s="62" t="str">
        <v/>
      </c>
      <c r="AP56" s="62"/>
      <c r="AQ56" s="62"/>
      <c r="AR56" s="62"/>
      <c r="AS56" s="159"/>
      <c r="AT56" s="159"/>
      <c r="AU56" s="159"/>
      <c r="AV56" s="159">
        <v>55</v>
      </c>
      <c r="AW56" s="159">
        <v>10</v>
      </c>
      <c r="AX56" s="159">
        <v>1</v>
      </c>
      <c r="AY56" s="159" t="e">
        <v>#N/A</v>
      </c>
      <c r="AZ56" s="159" t="str">
        <v/>
      </c>
      <c r="BA56" s="159"/>
      <c r="BB56" s="159"/>
      <c r="BC56" s="159"/>
      <c r="BD56" s="62"/>
      <c r="BE56" s="62"/>
      <c r="BF56" s="185"/>
      <c r="BG56" s="185"/>
      <c r="BH56" s="185"/>
      <c r="BI56" s="185"/>
      <c r="BJ56" s="185"/>
      <c r="BK56" s="185">
        <v>55</v>
      </c>
      <c r="BL56" s="185">
        <v>1</v>
      </c>
      <c r="BM56" s="159">
        <v>1.8192576091040986</v>
      </c>
      <c r="BN56" s="159">
        <v>1.8192576091040986</v>
      </c>
      <c r="BO56" s="159" t="e">
        <v>#N/A</v>
      </c>
      <c r="BP56" s="159" t="e">
        <v>#N/A</v>
      </c>
      <c r="BQ56" s="159" t="e">
        <v>#N/A</v>
      </c>
      <c r="BR56" s="185" t="str">
        <v/>
      </c>
      <c r="BS56" s="185"/>
      <c r="BT56" s="185"/>
      <c r="BU56" s="185"/>
      <c r="BV56" s="185"/>
      <c r="BW56" s="185"/>
      <c r="BX56" s="185"/>
      <c r="BY56" s="185"/>
      <c r="BZ56" s="48"/>
      <c r="CA56" s="62"/>
      <c r="CB56" s="62"/>
      <c r="CC56" s="62"/>
      <c r="CD56" s="62"/>
      <c r="CE56" s="185"/>
      <c r="CF56" s="185"/>
      <c r="CG56" s="185"/>
      <c r="CH56" s="185"/>
      <c r="CI56" s="159"/>
      <c r="CJ56" s="159"/>
      <c r="CK56" s="159"/>
      <c r="CL56" s="159"/>
      <c r="CM56" s="159"/>
      <c r="CN56" s="159">
        <v>55</v>
      </c>
      <c r="CO56" s="159">
        <v>5</v>
      </c>
      <c r="CP56" s="159">
        <v>0.60060696749325759</v>
      </c>
      <c r="CQ56" s="159" t="str">
        <v/>
      </c>
      <c r="CR56" s="159"/>
      <c r="CS56" s="159"/>
      <c r="CT56" s="159"/>
    </row>
    <row r="57" spans="8:98" x14ac:dyDescent="0.2">
      <c r="H57" s="49"/>
      <c r="R57" s="62"/>
      <c r="S57" s="62"/>
      <c r="T57" s="62"/>
      <c r="U57" s="62"/>
      <c r="V57" s="62"/>
      <c r="W57" s="62"/>
      <c r="X57" s="62"/>
      <c r="Y57" s="62"/>
      <c r="Z57" s="62"/>
      <c r="AA57" s="62"/>
      <c r="AB57" s="62"/>
      <c r="AC57" s="62"/>
      <c r="AD57" s="62"/>
      <c r="AE57" s="62"/>
      <c r="AF57" s="62"/>
      <c r="AG57" s="62"/>
      <c r="AH57" s="62">
        <v>56</v>
      </c>
      <c r="AI57" s="62">
        <v>-1.7007874015748032</v>
      </c>
      <c r="AJ57" s="62">
        <v>9.392324001599342E-2</v>
      </c>
      <c r="AK57" s="62">
        <v>4</v>
      </c>
      <c r="AL57" s="62">
        <v>0</v>
      </c>
      <c r="AM57" s="62">
        <v>0</v>
      </c>
      <c r="AN57" s="62" t="str">
        <v/>
      </c>
      <c r="AO57" s="62" t="str">
        <v/>
      </c>
      <c r="AP57" s="62"/>
      <c r="AQ57" s="62"/>
      <c r="AR57" s="62"/>
      <c r="AS57" s="159"/>
      <c r="AT57" s="159"/>
      <c r="AU57" s="159"/>
      <c r="AV57" s="159">
        <v>56</v>
      </c>
      <c r="AW57" s="159">
        <v>10</v>
      </c>
      <c r="AX57" s="159">
        <v>0</v>
      </c>
      <c r="AY57" s="159">
        <v>1</v>
      </c>
      <c r="AZ57" s="159" t="str">
        <v/>
      </c>
      <c r="BA57" s="159"/>
      <c r="BB57" s="159"/>
      <c r="BC57" s="159"/>
      <c r="BD57" s="62"/>
      <c r="BE57" s="62"/>
      <c r="BF57" s="185"/>
      <c r="BG57" s="185"/>
      <c r="BH57" s="185"/>
      <c r="BI57" s="185"/>
      <c r="BJ57" s="185"/>
      <c r="BK57" s="185">
        <v>56</v>
      </c>
      <c r="BL57" s="185">
        <v>1</v>
      </c>
      <c r="BM57" s="159">
        <v>1.8192576091040986</v>
      </c>
      <c r="BN57" s="159">
        <v>1.8192576091040986</v>
      </c>
      <c r="BO57" s="159" t="e">
        <v>#N/A</v>
      </c>
      <c r="BP57" s="159" t="e">
        <v>#N/A</v>
      </c>
      <c r="BQ57" s="159" t="e">
        <v>#N/A</v>
      </c>
      <c r="BR57" s="185" t="str">
        <v/>
      </c>
      <c r="BS57" s="185"/>
      <c r="BT57" s="185"/>
      <c r="BU57" s="185"/>
      <c r="BV57" s="185"/>
      <c r="BW57" s="185"/>
      <c r="BX57" s="185"/>
      <c r="BY57" s="185"/>
      <c r="BZ57" s="48"/>
      <c r="CA57" s="62"/>
      <c r="CB57" s="62"/>
      <c r="CC57" s="62"/>
      <c r="CD57" s="62"/>
      <c r="CE57" s="185"/>
      <c r="CF57" s="185"/>
      <c r="CG57" s="185"/>
      <c r="CH57" s="185"/>
      <c r="CI57" s="159"/>
      <c r="CJ57" s="159"/>
      <c r="CK57" s="159"/>
      <c r="CL57" s="159"/>
      <c r="CM57" s="159"/>
      <c r="CN57" s="159">
        <v>56</v>
      </c>
      <c r="CO57" s="159">
        <v>5</v>
      </c>
      <c r="CP57" s="159">
        <v>0.60060696749325759</v>
      </c>
      <c r="CQ57" s="159" t="str">
        <v/>
      </c>
      <c r="CR57" s="159"/>
      <c r="CS57" s="159"/>
      <c r="CT57" s="159"/>
    </row>
    <row r="58" spans="8:98" x14ac:dyDescent="0.2">
      <c r="H58" s="49"/>
      <c r="R58" s="62"/>
      <c r="S58" s="62"/>
      <c r="T58" s="62"/>
      <c r="U58" s="62"/>
      <c r="V58" s="62"/>
      <c r="W58" s="62"/>
      <c r="X58" s="62"/>
      <c r="Y58" s="62"/>
      <c r="Z58" s="62"/>
      <c r="AA58" s="62"/>
      <c r="AB58" s="62"/>
      <c r="AC58" s="62"/>
      <c r="AD58" s="62"/>
      <c r="AE58" s="62"/>
      <c r="AF58" s="62"/>
      <c r="AG58" s="62"/>
      <c r="AH58" s="62">
        <v>57</v>
      </c>
      <c r="AI58" s="62">
        <v>-1.6771653543307088</v>
      </c>
      <c r="AJ58" s="62">
        <v>9.7746259572838501E-2</v>
      </c>
      <c r="AK58" s="62">
        <v>4</v>
      </c>
      <c r="AL58" s="62">
        <v>0</v>
      </c>
      <c r="AM58" s="62">
        <v>0</v>
      </c>
      <c r="AN58" s="62" t="str">
        <v/>
      </c>
      <c r="AO58" s="62" t="str">
        <v/>
      </c>
      <c r="AP58" s="62"/>
      <c r="AQ58" s="62"/>
      <c r="AR58" s="62"/>
      <c r="AS58" s="159"/>
      <c r="AT58" s="159"/>
      <c r="AU58" s="159"/>
      <c r="AV58" s="159">
        <v>57</v>
      </c>
      <c r="AW58" s="159">
        <v>10</v>
      </c>
      <c r="AX58" s="159">
        <v>0</v>
      </c>
      <c r="AY58" s="159">
        <v>1</v>
      </c>
      <c r="AZ58" s="159" t="str">
        <v/>
      </c>
      <c r="BA58" s="159"/>
      <c r="BB58" s="159"/>
      <c r="BC58" s="159"/>
      <c r="BD58" s="62"/>
      <c r="BE58" s="62"/>
      <c r="BF58" s="185"/>
      <c r="BG58" s="185"/>
      <c r="BH58" s="185"/>
      <c r="BI58" s="185"/>
      <c r="BJ58" s="185"/>
      <c r="BK58" s="185">
        <v>57</v>
      </c>
      <c r="BL58" s="185">
        <v>1</v>
      </c>
      <c r="BM58" s="159">
        <v>1.8192576091040986</v>
      </c>
      <c r="BN58" s="159">
        <v>1.8192576091040986</v>
      </c>
      <c r="BO58" s="159" t="e">
        <v>#N/A</v>
      </c>
      <c r="BP58" s="159" t="e">
        <v>#N/A</v>
      </c>
      <c r="BQ58" s="159" t="e">
        <v>#N/A</v>
      </c>
      <c r="BR58" s="185" t="str">
        <v/>
      </c>
      <c r="BS58" s="185"/>
      <c r="BT58" s="185"/>
      <c r="BU58" s="185"/>
      <c r="BV58" s="185"/>
      <c r="BW58" s="185"/>
      <c r="BX58" s="185"/>
      <c r="BY58" s="185"/>
      <c r="BZ58" s="48"/>
      <c r="CA58" s="62"/>
      <c r="CB58" s="62"/>
      <c r="CC58" s="62"/>
      <c r="CD58" s="62"/>
      <c r="CE58" s="185"/>
      <c r="CF58" s="185"/>
      <c r="CG58" s="185"/>
      <c r="CH58" s="185"/>
      <c r="CI58" s="159"/>
      <c r="CJ58" s="159"/>
      <c r="CK58" s="159"/>
      <c r="CL58" s="159"/>
      <c r="CM58" s="159"/>
      <c r="CN58" s="159">
        <v>57</v>
      </c>
      <c r="CO58" s="159">
        <v>5</v>
      </c>
      <c r="CP58" s="159">
        <v>0.60060696749325759</v>
      </c>
      <c r="CQ58" s="159" t="str">
        <v/>
      </c>
      <c r="CR58" s="159"/>
      <c r="CS58" s="159"/>
      <c r="CT58" s="159"/>
    </row>
    <row r="59" spans="8:98" x14ac:dyDescent="0.2">
      <c r="H59" s="49"/>
      <c r="R59" s="62"/>
      <c r="S59" s="62"/>
      <c r="T59" s="62"/>
      <c r="U59" s="62"/>
      <c r="V59" s="62"/>
      <c r="W59" s="62"/>
      <c r="X59" s="62"/>
      <c r="Y59" s="62"/>
      <c r="Z59" s="62"/>
      <c r="AA59" s="62"/>
      <c r="AB59" s="62"/>
      <c r="AC59" s="62"/>
      <c r="AD59" s="62"/>
      <c r="AE59" s="62"/>
      <c r="AF59" s="62"/>
      <c r="AG59" s="62"/>
      <c r="AH59" s="62">
        <v>58</v>
      </c>
      <c r="AI59" s="62">
        <v>-1.6535433070866141</v>
      </c>
      <c r="AJ59" s="62">
        <v>0.10166814324671321</v>
      </c>
      <c r="AK59" s="62">
        <v>4</v>
      </c>
      <c r="AL59" s="62">
        <v>0</v>
      </c>
      <c r="AM59" s="62">
        <v>0</v>
      </c>
      <c r="AN59" s="62" t="str">
        <v/>
      </c>
      <c r="AO59" s="62" t="str">
        <v/>
      </c>
      <c r="AP59" s="62"/>
      <c r="AQ59" s="62"/>
      <c r="AR59" s="62"/>
      <c r="AS59" s="159"/>
      <c r="AT59" s="159"/>
      <c r="AU59" s="159"/>
      <c r="AV59" s="159">
        <v>58</v>
      </c>
      <c r="AW59" s="159">
        <v>10</v>
      </c>
      <c r="AX59" s="159">
        <v>0</v>
      </c>
      <c r="AY59" s="159">
        <v>1</v>
      </c>
      <c r="AZ59" s="159" t="str">
        <v>1.811</v>
      </c>
      <c r="BA59" s="159"/>
      <c r="BB59" s="159"/>
      <c r="BC59" s="159"/>
      <c r="BD59" s="62"/>
      <c r="BE59" s="62"/>
      <c r="BF59" s="185"/>
      <c r="BG59" s="185"/>
      <c r="BH59" s="185"/>
      <c r="BI59" s="185"/>
      <c r="BJ59" s="185"/>
      <c r="BK59" s="185">
        <v>58</v>
      </c>
      <c r="BL59" s="185">
        <v>1</v>
      </c>
      <c r="BM59" s="159">
        <v>1.8192576091040986</v>
      </c>
      <c r="BN59" s="159">
        <v>1.8192576091040986</v>
      </c>
      <c r="BO59" s="159" t="e">
        <v>#N/A</v>
      </c>
      <c r="BP59" s="159" t="e">
        <v>#N/A</v>
      </c>
      <c r="BQ59" s="159" t="e">
        <v>#N/A</v>
      </c>
      <c r="BR59" s="185" t="str">
        <v/>
      </c>
      <c r="BS59" s="185"/>
      <c r="BT59" s="185"/>
      <c r="BU59" s="185"/>
      <c r="BV59" s="185"/>
      <c r="BW59" s="185"/>
      <c r="BX59" s="185"/>
      <c r="BY59" s="185"/>
      <c r="BZ59" s="48"/>
      <c r="CA59" s="62"/>
      <c r="CB59" s="62"/>
      <c r="CC59" s="62"/>
      <c r="CD59" s="62"/>
      <c r="CE59" s="185"/>
      <c r="CF59" s="185"/>
      <c r="CG59" s="185"/>
      <c r="CH59" s="185"/>
      <c r="CI59" s="159"/>
      <c r="CJ59" s="159"/>
      <c r="CK59" s="159"/>
      <c r="CL59" s="159"/>
      <c r="CM59" s="159"/>
      <c r="CN59" s="159">
        <v>58</v>
      </c>
      <c r="CO59" s="159">
        <v>5</v>
      </c>
      <c r="CP59" s="159">
        <v>0.60060696749325759</v>
      </c>
      <c r="CQ59" s="159" t="str">
        <v/>
      </c>
      <c r="CR59" s="159"/>
      <c r="CS59" s="159"/>
      <c r="CT59" s="159"/>
    </row>
    <row r="60" spans="8:98" x14ac:dyDescent="0.2">
      <c r="H60" s="49"/>
      <c r="R60" s="62"/>
      <c r="S60" s="62"/>
      <c r="T60" s="62"/>
      <c r="U60" s="62"/>
      <c r="V60" s="62"/>
      <c r="W60" s="62"/>
      <c r="X60" s="62"/>
      <c r="Y60" s="62"/>
      <c r="Z60" s="62"/>
      <c r="AA60" s="62"/>
      <c r="AB60" s="62"/>
      <c r="AC60" s="62"/>
      <c r="AD60" s="62"/>
      <c r="AE60" s="62"/>
      <c r="AF60" s="62"/>
      <c r="AG60" s="62"/>
      <c r="AH60" s="62">
        <v>59</v>
      </c>
      <c r="AI60" s="62">
        <v>-1.6299212598425197</v>
      </c>
      <c r="AJ60" s="62">
        <v>0.10568839438164808</v>
      </c>
      <c r="AK60" s="62">
        <v>4</v>
      </c>
      <c r="AL60" s="62">
        <v>0</v>
      </c>
      <c r="AM60" s="62">
        <v>0</v>
      </c>
      <c r="AN60" s="62" t="str">
        <v/>
      </c>
      <c r="AO60" s="62" t="str">
        <v/>
      </c>
      <c r="AP60" s="62"/>
      <c r="AQ60" s="62"/>
      <c r="AR60" s="62"/>
      <c r="AS60" s="159"/>
      <c r="AT60" s="159"/>
      <c r="AU60" s="159"/>
      <c r="AV60" s="159">
        <v>59</v>
      </c>
      <c r="AW60" s="159">
        <v>10</v>
      </c>
      <c r="AX60" s="159">
        <v>0</v>
      </c>
      <c r="AY60" s="159">
        <v>1</v>
      </c>
      <c r="AZ60" s="159" t="str">
        <v/>
      </c>
      <c r="BA60" s="159"/>
      <c r="BB60" s="159"/>
      <c r="BC60" s="159"/>
      <c r="BD60" s="62"/>
      <c r="BE60" s="62"/>
      <c r="BF60" s="185"/>
      <c r="BG60" s="185"/>
      <c r="BH60" s="185"/>
      <c r="BI60" s="185"/>
      <c r="BJ60" s="185"/>
      <c r="BK60" s="185">
        <v>59</v>
      </c>
      <c r="BL60" s="185">
        <v>1</v>
      </c>
      <c r="BM60" s="159">
        <v>1.8192576091040986</v>
      </c>
      <c r="BN60" s="159">
        <v>1.8192576091040986</v>
      </c>
      <c r="BO60" s="159" t="e">
        <v>#N/A</v>
      </c>
      <c r="BP60" s="159" t="e">
        <v>#N/A</v>
      </c>
      <c r="BQ60" s="159" t="e">
        <v>#N/A</v>
      </c>
      <c r="BR60" s="185" t="str">
        <v/>
      </c>
      <c r="BS60" s="185"/>
      <c r="BT60" s="185"/>
      <c r="BU60" s="185"/>
      <c r="BV60" s="185"/>
      <c r="BW60" s="185"/>
      <c r="BX60" s="185"/>
      <c r="BY60" s="185"/>
      <c r="BZ60" s="48"/>
      <c r="CA60" s="62"/>
      <c r="CB60" s="62"/>
      <c r="CC60" s="62"/>
      <c r="CD60" s="62"/>
      <c r="CE60" s="185"/>
      <c r="CF60" s="185"/>
      <c r="CG60" s="185"/>
      <c r="CH60" s="185"/>
      <c r="CI60" s="159"/>
      <c r="CJ60" s="159"/>
      <c r="CK60" s="159"/>
      <c r="CL60" s="159"/>
      <c r="CM60" s="159"/>
      <c r="CN60" s="159">
        <v>59</v>
      </c>
      <c r="CO60" s="159">
        <v>5</v>
      </c>
      <c r="CP60" s="159">
        <v>0.60060696749325759</v>
      </c>
      <c r="CQ60" s="159" t="str">
        <v/>
      </c>
      <c r="CR60" s="159"/>
      <c r="CS60" s="159"/>
      <c r="CT60" s="159"/>
    </row>
    <row r="61" spans="8:98" x14ac:dyDescent="0.2">
      <c r="H61" s="49"/>
      <c r="R61" s="62"/>
      <c r="S61" s="62"/>
      <c r="T61" s="62"/>
      <c r="U61" s="62"/>
      <c r="V61" s="62"/>
      <c r="W61" s="62"/>
      <c r="X61" s="62"/>
      <c r="Y61" s="62"/>
      <c r="Z61" s="62"/>
      <c r="AA61" s="62"/>
      <c r="AB61" s="62"/>
      <c r="AC61" s="62"/>
      <c r="AD61" s="62"/>
      <c r="AE61" s="62"/>
      <c r="AF61" s="62"/>
      <c r="AG61" s="62"/>
      <c r="AH61" s="62">
        <v>60</v>
      </c>
      <c r="AI61" s="62">
        <v>-1.6062992125984252</v>
      </c>
      <c r="AJ61" s="62">
        <v>0.1098063286706146</v>
      </c>
      <c r="AK61" s="62">
        <v>4</v>
      </c>
      <c r="AL61" s="62">
        <v>0</v>
      </c>
      <c r="AM61" s="62">
        <v>0</v>
      </c>
      <c r="AN61" s="62" t="str">
        <v/>
      </c>
      <c r="AO61" s="62" t="str">
        <v/>
      </c>
      <c r="AP61" s="62"/>
      <c r="AQ61" s="62"/>
      <c r="AR61" s="62"/>
      <c r="AS61" s="159"/>
      <c r="AT61" s="159"/>
      <c r="AU61" s="159"/>
      <c r="AV61" s="159">
        <v>60</v>
      </c>
      <c r="AW61" s="159">
        <v>10</v>
      </c>
      <c r="AX61" s="159">
        <v>1</v>
      </c>
      <c r="AY61" s="159" t="e">
        <v>#N/A</v>
      </c>
      <c r="AZ61" s="159" t="str">
        <v/>
      </c>
      <c r="BA61" s="159"/>
      <c r="BB61" s="159"/>
      <c r="BC61" s="159"/>
      <c r="BD61" s="62"/>
      <c r="BE61" s="62"/>
      <c r="BF61" s="185"/>
      <c r="BG61" s="185"/>
      <c r="BH61" s="185"/>
      <c r="BI61" s="185"/>
      <c r="BJ61" s="185"/>
      <c r="BK61" s="185">
        <v>60</v>
      </c>
      <c r="BL61" s="185">
        <v>1</v>
      </c>
      <c r="BM61" s="159">
        <v>1.8192576091040986</v>
      </c>
      <c r="BN61" s="159">
        <v>1.8192576091040986</v>
      </c>
      <c r="BO61" s="159" t="e">
        <v>#N/A</v>
      </c>
      <c r="BP61" s="159" t="e">
        <v>#N/A</v>
      </c>
      <c r="BQ61" s="159" t="e">
        <v>#N/A</v>
      </c>
      <c r="BR61" s="185" t="str">
        <v/>
      </c>
      <c r="BS61" s="185"/>
      <c r="BT61" s="185"/>
      <c r="BU61" s="185"/>
      <c r="BV61" s="185"/>
      <c r="BW61" s="185"/>
      <c r="BX61" s="185"/>
      <c r="BY61" s="185"/>
      <c r="BZ61" s="48"/>
      <c r="CA61" s="62"/>
      <c r="CB61" s="62"/>
      <c r="CC61" s="62"/>
      <c r="CD61" s="62"/>
      <c r="CE61" s="185"/>
      <c r="CF61" s="185"/>
      <c r="CG61" s="185"/>
      <c r="CH61" s="185"/>
      <c r="CI61" s="159"/>
      <c r="CJ61" s="159"/>
      <c r="CK61" s="159"/>
      <c r="CL61" s="159"/>
      <c r="CM61" s="159"/>
      <c r="CN61" s="159">
        <v>60</v>
      </c>
      <c r="CO61" s="159">
        <v>5</v>
      </c>
      <c r="CP61" s="159">
        <v>0.60060696749325759</v>
      </c>
      <c r="CQ61" s="159" t="str">
        <v/>
      </c>
      <c r="CR61" s="159"/>
      <c r="CS61" s="159"/>
      <c r="CT61" s="159"/>
    </row>
    <row r="62" spans="8:98" x14ac:dyDescent="0.2">
      <c r="H62" s="49"/>
      <c r="R62" s="62"/>
      <c r="S62" s="62"/>
      <c r="T62" s="62"/>
      <c r="U62" s="62"/>
      <c r="V62" s="62"/>
      <c r="W62" s="62"/>
      <c r="X62" s="62"/>
      <c r="Y62" s="62"/>
      <c r="Z62" s="62"/>
      <c r="AA62" s="62"/>
      <c r="AB62" s="62"/>
      <c r="AC62" s="62"/>
      <c r="AD62" s="62"/>
      <c r="AE62" s="62"/>
      <c r="AF62" s="62"/>
      <c r="AG62" s="62"/>
      <c r="AH62" s="62">
        <v>61</v>
      </c>
      <c r="AI62" s="62">
        <v>-1.5826771653543308</v>
      </c>
      <c r="AJ62" s="62">
        <v>0.11402106829339084</v>
      </c>
      <c r="AK62" s="62">
        <v>4</v>
      </c>
      <c r="AL62" s="62">
        <v>0</v>
      </c>
      <c r="AM62" s="62">
        <v>0</v>
      </c>
      <c r="AN62" s="62" t="str">
        <v/>
      </c>
      <c r="AO62" s="62" t="str">
        <v/>
      </c>
      <c r="AP62" s="62"/>
      <c r="AQ62" s="62"/>
      <c r="AR62" s="62"/>
      <c r="AS62" s="159"/>
      <c r="AT62" s="159"/>
      <c r="AU62" s="159"/>
      <c r="AV62" s="159">
        <v>61</v>
      </c>
      <c r="AW62" s="159">
        <v>11</v>
      </c>
      <c r="AX62" s="159">
        <v>1</v>
      </c>
      <c r="AY62" s="159" t="e">
        <v>#N/A</v>
      </c>
      <c r="AZ62" s="159" t="str">
        <v/>
      </c>
      <c r="BA62" s="159"/>
      <c r="BB62" s="159"/>
      <c r="BC62" s="159"/>
      <c r="BD62" s="62"/>
      <c r="BE62" s="62"/>
      <c r="BF62" s="185"/>
      <c r="BG62" s="185"/>
      <c r="BH62" s="185"/>
      <c r="BI62" s="185"/>
      <c r="BJ62" s="185"/>
      <c r="BK62" s="185">
        <v>61</v>
      </c>
      <c r="BL62" s="185">
        <v>1</v>
      </c>
      <c r="BM62" s="159">
        <v>1.8192576091040986</v>
      </c>
      <c r="BN62" s="159">
        <v>1.8192576091040986</v>
      </c>
      <c r="BO62" s="159" t="e">
        <v>#N/A</v>
      </c>
      <c r="BP62" s="159" t="e">
        <v>#N/A</v>
      </c>
      <c r="BQ62" s="159" t="e">
        <v>#N/A</v>
      </c>
      <c r="BR62" s="185" t="str">
        <v/>
      </c>
      <c r="BS62" s="185"/>
      <c r="BT62" s="185"/>
      <c r="BU62" s="185"/>
      <c r="BV62" s="185"/>
      <c r="BW62" s="185"/>
      <c r="BX62" s="185"/>
      <c r="BY62" s="185"/>
      <c r="BZ62" s="48"/>
      <c r="CA62" s="62"/>
      <c r="CB62" s="62"/>
      <c r="CC62" s="62"/>
      <c r="CD62" s="62"/>
      <c r="CE62" s="185"/>
      <c r="CF62" s="185"/>
      <c r="CG62" s="185"/>
      <c r="CH62" s="185"/>
      <c r="CI62" s="159"/>
      <c r="CJ62" s="159"/>
      <c r="CK62" s="159"/>
      <c r="CL62" s="159"/>
      <c r="CM62" s="159"/>
      <c r="CN62" s="159">
        <v>61</v>
      </c>
      <c r="CO62" s="159">
        <v>5</v>
      </c>
      <c r="CP62" s="159">
        <v>0.60060696749325759</v>
      </c>
      <c r="CQ62" s="159" t="str">
        <v/>
      </c>
      <c r="CR62" s="159"/>
      <c r="CS62" s="159"/>
      <c r="CT62" s="159"/>
    </row>
    <row r="63" spans="8:98" x14ac:dyDescent="0.2">
      <c r="H63" s="49"/>
      <c r="R63" s="62"/>
      <c r="S63" s="62"/>
      <c r="T63" s="62"/>
      <c r="U63" s="62"/>
      <c r="V63" s="62"/>
      <c r="W63" s="62"/>
      <c r="X63" s="62"/>
      <c r="Y63" s="62"/>
      <c r="Z63" s="62"/>
      <c r="AA63" s="62"/>
      <c r="AB63" s="62"/>
      <c r="AC63" s="62"/>
      <c r="AD63" s="62"/>
      <c r="AE63" s="62"/>
      <c r="AF63" s="62"/>
      <c r="AG63" s="62"/>
      <c r="AH63" s="62">
        <v>62</v>
      </c>
      <c r="AI63" s="62">
        <v>-1.5590551181102363</v>
      </c>
      <c r="AJ63" s="62">
        <v>0.11833153637452416</v>
      </c>
      <c r="AK63" s="62">
        <v>4</v>
      </c>
      <c r="AL63" s="62">
        <v>0</v>
      </c>
      <c r="AM63" s="62">
        <v>0</v>
      </c>
      <c r="AN63" s="62" t="str">
        <v/>
      </c>
      <c r="AO63" s="62" t="str">
        <v/>
      </c>
      <c r="AP63" s="62"/>
      <c r="AQ63" s="62"/>
      <c r="AR63" s="62"/>
      <c r="AS63" s="159"/>
      <c r="AT63" s="159"/>
      <c r="AU63" s="159"/>
      <c r="AV63" s="159">
        <v>62</v>
      </c>
      <c r="AW63" s="159">
        <v>11</v>
      </c>
      <c r="AX63" s="159">
        <v>0</v>
      </c>
      <c r="AY63" s="159">
        <v>1</v>
      </c>
      <c r="AZ63" s="159" t="str">
        <v/>
      </c>
      <c r="BA63" s="159"/>
      <c r="BB63" s="159"/>
      <c r="BC63" s="159"/>
      <c r="BD63" s="62"/>
      <c r="BE63" s="62"/>
      <c r="BF63" s="185"/>
      <c r="BG63" s="185"/>
      <c r="BH63" s="185"/>
      <c r="BI63" s="185"/>
      <c r="BJ63" s="185"/>
      <c r="BK63" s="185">
        <v>62</v>
      </c>
      <c r="BL63" s="185">
        <v>1</v>
      </c>
      <c r="BM63" s="159">
        <v>1.8192576091040986</v>
      </c>
      <c r="BN63" s="159">
        <v>1.8192576091040986</v>
      </c>
      <c r="BO63" s="159" t="e">
        <v>#N/A</v>
      </c>
      <c r="BP63" s="159" t="e">
        <v>#N/A</v>
      </c>
      <c r="BQ63" s="159" t="e">
        <v>#N/A</v>
      </c>
      <c r="BR63" s="185" t="str">
        <v/>
      </c>
      <c r="BS63" s="185"/>
      <c r="BT63" s="185"/>
      <c r="BU63" s="185"/>
      <c r="BV63" s="185"/>
      <c r="BW63" s="185"/>
      <c r="BX63" s="185"/>
      <c r="BY63" s="185"/>
      <c r="BZ63" s="48"/>
      <c r="CA63" s="62"/>
      <c r="CB63" s="62"/>
      <c r="CC63" s="62"/>
      <c r="CD63" s="62"/>
      <c r="CE63" s="185"/>
      <c r="CF63" s="185"/>
      <c r="CG63" s="185"/>
      <c r="CH63" s="185"/>
      <c r="CI63" s="159"/>
      <c r="CJ63" s="159"/>
      <c r="CK63" s="159"/>
      <c r="CL63" s="159"/>
      <c r="CM63" s="159"/>
      <c r="CN63" s="159">
        <v>62</v>
      </c>
      <c r="CO63" s="159">
        <v>5</v>
      </c>
      <c r="CP63" s="159">
        <v>0.60060696749325759</v>
      </c>
      <c r="CQ63" s="159" t="str">
        <v/>
      </c>
      <c r="CR63" s="159"/>
      <c r="CS63" s="159"/>
      <c r="CT63" s="159"/>
    </row>
    <row r="64" spans="8:98" x14ac:dyDescent="0.2">
      <c r="R64" s="62"/>
      <c r="S64" s="62"/>
      <c r="T64" s="62"/>
      <c r="U64" s="62"/>
      <c r="V64" s="62"/>
      <c r="W64" s="62"/>
      <c r="X64" s="62"/>
      <c r="Y64" s="62"/>
      <c r="Z64" s="62"/>
      <c r="AA64" s="62"/>
      <c r="AB64" s="62"/>
      <c r="AC64" s="62"/>
      <c r="AD64" s="62"/>
      <c r="AE64" s="62"/>
      <c r="AF64" s="62"/>
      <c r="AG64" s="62"/>
      <c r="AH64" s="62">
        <v>63</v>
      </c>
      <c r="AI64" s="62">
        <v>-1.5354330708661417</v>
      </c>
      <c r="AJ64" s="62">
        <v>0.12273645179276051</v>
      </c>
      <c r="AK64" s="62">
        <v>4</v>
      </c>
      <c r="AL64" s="62">
        <v>0</v>
      </c>
      <c r="AM64" s="62">
        <v>0</v>
      </c>
      <c r="AN64" s="62" t="str">
        <v/>
      </c>
      <c r="AO64" s="62" t="str">
        <v/>
      </c>
      <c r="AP64" s="62"/>
      <c r="AQ64" s="62"/>
      <c r="AR64" s="62"/>
      <c r="AS64" s="159"/>
      <c r="AT64" s="159"/>
      <c r="AU64" s="159"/>
      <c r="AV64" s="159">
        <v>63</v>
      </c>
      <c r="AW64" s="159">
        <v>11</v>
      </c>
      <c r="AX64" s="159">
        <v>0</v>
      </c>
      <c r="AY64" s="159">
        <v>1</v>
      </c>
      <c r="AZ64" s="159" t="str">
        <v/>
      </c>
      <c r="BA64" s="159"/>
      <c r="BB64" s="159"/>
      <c r="BC64" s="159"/>
      <c r="BD64" s="62"/>
      <c r="BE64" s="62"/>
      <c r="BF64" s="185"/>
      <c r="BG64" s="185"/>
      <c r="BH64" s="185"/>
      <c r="BI64" s="185"/>
      <c r="BJ64" s="185"/>
      <c r="BK64" s="185">
        <v>63</v>
      </c>
      <c r="BL64" s="185">
        <v>1</v>
      </c>
      <c r="BM64" s="159">
        <v>1.8192576091040986</v>
      </c>
      <c r="BN64" s="159">
        <v>1.8192576091040986</v>
      </c>
      <c r="BO64" s="159" t="e">
        <v>#N/A</v>
      </c>
      <c r="BP64" s="159" t="e">
        <v>#N/A</v>
      </c>
      <c r="BQ64" s="159" t="e">
        <v>#N/A</v>
      </c>
      <c r="BR64" s="185" t="str">
        <v/>
      </c>
      <c r="BS64" s="185"/>
      <c r="BT64" s="185"/>
      <c r="BU64" s="185"/>
      <c r="BV64" s="185"/>
      <c r="BW64" s="185"/>
      <c r="BX64" s="185"/>
      <c r="BY64" s="185"/>
      <c r="BZ64" s="48"/>
      <c r="CA64" s="62"/>
      <c r="CB64" s="62"/>
      <c r="CC64" s="62"/>
      <c r="CD64" s="62"/>
      <c r="CE64" s="185"/>
      <c r="CF64" s="185"/>
      <c r="CG64" s="185"/>
      <c r="CH64" s="185"/>
      <c r="CI64" s="159"/>
      <c r="CJ64" s="159"/>
      <c r="CK64" s="159"/>
      <c r="CL64" s="159"/>
      <c r="CM64" s="159"/>
      <c r="CN64" s="159">
        <v>63</v>
      </c>
      <c r="CO64" s="159">
        <v>5</v>
      </c>
      <c r="CP64" s="159">
        <v>0.60060696749325759</v>
      </c>
      <c r="CQ64" s="159" t="str">
        <v/>
      </c>
      <c r="CR64" s="159"/>
      <c r="CS64" s="159"/>
      <c r="CT64" s="159"/>
    </row>
    <row r="65" spans="18:121" x14ac:dyDescent="0.2">
      <c r="R65" s="62"/>
      <c r="S65" s="62"/>
      <c r="T65" s="62"/>
      <c r="U65" s="62"/>
      <c r="V65" s="62"/>
      <c r="W65" s="62"/>
      <c r="X65" s="62"/>
      <c r="Y65" s="62"/>
      <c r="Z65" s="62"/>
      <c r="AA65" s="62"/>
      <c r="AB65" s="62"/>
      <c r="AC65" s="62"/>
      <c r="AD65" s="62"/>
      <c r="AE65" s="62"/>
      <c r="AF65" s="62"/>
      <c r="AG65" s="62"/>
      <c r="AH65" s="62">
        <v>64</v>
      </c>
      <c r="AI65" s="62">
        <v>-1.5118110236220472</v>
      </c>
      <c r="AJ65" s="62">
        <v>0.12723432437312576</v>
      </c>
      <c r="AK65" s="62">
        <v>4</v>
      </c>
      <c r="AL65" s="62">
        <v>0</v>
      </c>
      <c r="AM65" s="62">
        <v>0</v>
      </c>
      <c r="AN65" s="62" t="str">
        <v/>
      </c>
      <c r="AO65" s="62" t="str">
        <v/>
      </c>
      <c r="AP65" s="62"/>
      <c r="AQ65" s="62"/>
      <c r="AR65" s="62"/>
      <c r="AS65" s="159"/>
      <c r="AT65" s="159"/>
      <c r="AU65" s="159"/>
      <c r="AV65" s="159">
        <v>64</v>
      </c>
      <c r="AW65" s="159">
        <v>11</v>
      </c>
      <c r="AX65" s="159">
        <v>0</v>
      </c>
      <c r="AY65" s="159">
        <v>1</v>
      </c>
      <c r="AZ65" s="159" t="str">
        <v>8</v>
      </c>
      <c r="BA65" s="159"/>
      <c r="BB65" s="159"/>
      <c r="BC65" s="159"/>
      <c r="BD65" s="62"/>
      <c r="BE65" s="62"/>
      <c r="BF65" s="185"/>
      <c r="BG65" s="185"/>
      <c r="BH65" s="185"/>
      <c r="BI65" s="185"/>
      <c r="BJ65" s="185"/>
      <c r="BK65" s="185">
        <v>64</v>
      </c>
      <c r="BL65" s="185">
        <v>1</v>
      </c>
      <c r="BM65" s="159">
        <v>1.8192576091040986</v>
      </c>
      <c r="BN65" s="159">
        <v>1.8192576091040986</v>
      </c>
      <c r="BO65" s="159" t="e">
        <v>#N/A</v>
      </c>
      <c r="BP65" s="159" t="e">
        <v>#N/A</v>
      </c>
      <c r="BQ65" s="159" t="e">
        <v>#N/A</v>
      </c>
      <c r="BR65" s="185" t="str">
        <v/>
      </c>
      <c r="BS65" s="185"/>
      <c r="BT65" s="185"/>
      <c r="BU65" s="185"/>
      <c r="BV65" s="185"/>
      <c r="BW65" s="185"/>
      <c r="BX65" s="185"/>
      <c r="BY65" s="185"/>
      <c r="BZ65" s="48"/>
      <c r="CA65" s="62"/>
      <c r="CB65" s="62"/>
      <c r="CC65" s="62"/>
      <c r="CD65" s="62"/>
      <c r="CE65" s="185"/>
      <c r="CF65" s="185"/>
      <c r="CG65" s="185"/>
      <c r="CH65" s="185"/>
      <c r="CI65" s="159"/>
      <c r="CJ65" s="159"/>
      <c r="CK65" s="159"/>
      <c r="CL65" s="159"/>
      <c r="CM65" s="159"/>
      <c r="CN65" s="159">
        <v>64</v>
      </c>
      <c r="CO65" s="159">
        <v>5</v>
      </c>
      <c r="CP65" s="159">
        <v>0.60060696749325759</v>
      </c>
      <c r="CQ65" s="159" t="str">
        <v/>
      </c>
      <c r="CR65" s="159"/>
      <c r="CS65" s="159"/>
      <c r="CT65" s="159"/>
    </row>
    <row r="66" spans="18:121" x14ac:dyDescent="0.2">
      <c r="R66" s="62"/>
      <c r="S66" s="62"/>
      <c r="T66" s="62"/>
      <c r="U66" s="62"/>
      <c r="V66" s="62"/>
      <c r="W66" s="62"/>
      <c r="X66" s="62"/>
      <c r="Y66" s="62"/>
      <c r="Z66" s="62"/>
      <c r="AA66" s="62"/>
      <c r="AB66" s="62"/>
      <c r="AC66" s="62"/>
      <c r="AD66" s="62"/>
      <c r="AE66" s="62"/>
      <c r="AF66" s="62"/>
      <c r="AG66" s="62"/>
      <c r="AH66" s="62">
        <v>65</v>
      </c>
      <c r="AI66" s="62">
        <v>-1.4881889763779528</v>
      </c>
      <c r="AJ66" s="62">
        <v>0.1318234504925114</v>
      </c>
      <c r="AK66" s="62">
        <v>4</v>
      </c>
      <c r="AL66" s="62">
        <v>0</v>
      </c>
      <c r="AM66" s="62">
        <v>0</v>
      </c>
      <c r="AN66" s="62" t="str">
        <v/>
      </c>
      <c r="AO66" s="62" t="str">
        <v/>
      </c>
      <c r="AP66" s="62"/>
      <c r="AQ66" s="62"/>
      <c r="AR66" s="62"/>
      <c r="AS66" s="159"/>
      <c r="AT66" s="159"/>
      <c r="AU66" s="159"/>
      <c r="AV66" s="159">
        <v>65</v>
      </c>
      <c r="AW66" s="159">
        <v>11</v>
      </c>
      <c r="AX66" s="159">
        <v>0</v>
      </c>
      <c r="AY66" s="159">
        <v>1</v>
      </c>
      <c r="AZ66" s="159" t="str">
        <v/>
      </c>
      <c r="BA66" s="159"/>
      <c r="BB66" s="159"/>
      <c r="BC66" s="159"/>
      <c r="BD66" s="62"/>
      <c r="BE66" s="62"/>
      <c r="BF66" s="185"/>
      <c r="BG66" s="185"/>
      <c r="BH66" s="185"/>
      <c r="BI66" s="185"/>
      <c r="BJ66" s="185"/>
      <c r="BK66" s="185">
        <v>65</v>
      </c>
      <c r="BL66" s="185">
        <v>1</v>
      </c>
      <c r="BM66" s="159">
        <v>1.8192576091040986</v>
      </c>
      <c r="BN66" s="159">
        <v>1.8192576091040986</v>
      </c>
      <c r="BO66" s="159" t="e">
        <v>#N/A</v>
      </c>
      <c r="BP66" s="159" t="e">
        <v>#N/A</v>
      </c>
      <c r="BQ66" s="159" t="e">
        <v>#N/A</v>
      </c>
      <c r="BR66" s="185" t="str">
        <v/>
      </c>
      <c r="BS66" s="185"/>
      <c r="BT66" s="185"/>
      <c r="BU66" s="185"/>
      <c r="BV66" s="185"/>
      <c r="BW66" s="185"/>
      <c r="BX66" s="185"/>
      <c r="BY66" s="185"/>
      <c r="BZ66" s="48"/>
      <c r="CA66" s="62"/>
      <c r="CB66" s="62"/>
      <c r="CC66" s="62"/>
      <c r="CD66" s="62"/>
      <c r="CE66" s="185"/>
      <c r="CF66" s="185"/>
      <c r="CG66" s="185"/>
      <c r="CH66" s="185"/>
      <c r="CI66" s="159"/>
      <c r="CJ66" s="159"/>
      <c r="CK66" s="159"/>
      <c r="CL66" s="159"/>
      <c r="CM66" s="159"/>
      <c r="CN66" s="159">
        <v>65</v>
      </c>
      <c r="CO66" s="159">
        <v>5</v>
      </c>
      <c r="CP66" s="159">
        <v>0.60060696749325759</v>
      </c>
      <c r="CQ66" s="159" t="str">
        <v/>
      </c>
      <c r="CR66" s="159"/>
      <c r="CS66" s="159"/>
      <c r="CT66" s="159"/>
    </row>
    <row r="67" spans="18:121" x14ac:dyDescent="0.2">
      <c r="R67" s="62"/>
      <c r="S67" s="62"/>
      <c r="T67" s="62"/>
      <c r="U67" s="62"/>
      <c r="V67" s="62"/>
      <c r="W67" s="62"/>
      <c r="X67" s="62"/>
      <c r="Y67" s="62"/>
      <c r="Z67" s="62"/>
      <c r="AA67" s="62"/>
      <c r="AB67" s="62"/>
      <c r="AC67" s="62"/>
      <c r="AD67" s="62"/>
      <c r="AE67" s="62"/>
      <c r="AF67" s="62"/>
      <c r="AG67" s="62"/>
      <c r="AH67" s="62">
        <v>66</v>
      </c>
      <c r="AI67" s="62">
        <v>-1.4645669291338583</v>
      </c>
      <c r="AJ67" s="62">
        <v>0.13650190912912655</v>
      </c>
      <c r="AK67" s="62">
        <v>4</v>
      </c>
      <c r="AL67" s="62">
        <v>0</v>
      </c>
      <c r="AM67" s="62">
        <v>0</v>
      </c>
      <c r="AN67" s="62" t="str">
        <v/>
      </c>
      <c r="AO67" s="62" t="str">
        <v/>
      </c>
      <c r="AP67" s="62"/>
      <c r="AQ67" s="62"/>
      <c r="AR67" s="62"/>
      <c r="AS67" s="159"/>
      <c r="AT67" s="159"/>
      <c r="AU67" s="159"/>
      <c r="AV67" s="159">
        <v>66</v>
      </c>
      <c r="AW67" s="159">
        <v>11</v>
      </c>
      <c r="AX67" s="159">
        <v>1</v>
      </c>
      <c r="AY67" s="159" t="e">
        <v>#N/A</v>
      </c>
      <c r="AZ67" s="159" t="str">
        <v/>
      </c>
      <c r="BA67" s="159"/>
      <c r="BB67" s="159"/>
      <c r="BC67" s="159"/>
      <c r="BD67" s="62"/>
      <c r="BE67" s="62"/>
      <c r="BF67" s="185"/>
      <c r="BG67" s="185"/>
      <c r="BH67" s="185"/>
      <c r="BI67" s="185"/>
      <c r="BJ67" s="185"/>
      <c r="BK67" s="185">
        <v>66</v>
      </c>
      <c r="BL67" s="185">
        <v>1</v>
      </c>
      <c r="BM67" s="159">
        <v>1.8192576091040986</v>
      </c>
      <c r="BN67" s="159">
        <v>1.8192576091040986</v>
      </c>
      <c r="BO67" s="159" t="e">
        <v>#N/A</v>
      </c>
      <c r="BP67" s="159" t="e">
        <v>#N/A</v>
      </c>
      <c r="BQ67" s="159" t="e">
        <v>#N/A</v>
      </c>
      <c r="BR67" s="185" t="str">
        <v/>
      </c>
      <c r="BS67" s="185"/>
      <c r="BT67" s="185"/>
      <c r="BU67" s="185"/>
      <c r="BV67" s="185"/>
      <c r="BW67" s="185"/>
      <c r="BX67" s="185"/>
      <c r="BY67" s="185"/>
      <c r="BZ67" s="48"/>
      <c r="CA67" s="62"/>
      <c r="CB67" s="62"/>
      <c r="CC67" s="62"/>
      <c r="CD67" s="62"/>
      <c r="CE67" s="185"/>
      <c r="CF67" s="185"/>
      <c r="CG67" s="185"/>
      <c r="CH67" s="185"/>
      <c r="CI67" s="159"/>
      <c r="CJ67" s="159"/>
      <c r="CK67" s="159"/>
      <c r="CL67" s="159"/>
      <c r="CM67" s="159"/>
      <c r="CN67" s="159">
        <v>66</v>
      </c>
      <c r="CO67" s="159">
        <v>5</v>
      </c>
      <c r="CP67" s="159">
        <v>0.60060696749325759</v>
      </c>
      <c r="CQ67" s="159" t="str">
        <v/>
      </c>
      <c r="CR67" s="159"/>
      <c r="CS67" s="159"/>
      <c r="CT67" s="159"/>
    </row>
    <row r="68" spans="18:121" x14ac:dyDescent="0.2">
      <c r="R68" s="62"/>
      <c r="S68" s="62"/>
      <c r="T68" s="62"/>
      <c r="U68" s="62"/>
      <c r="V68" s="62"/>
      <c r="W68" s="62"/>
      <c r="X68" s="62"/>
      <c r="Y68" s="62"/>
      <c r="Z68" s="62"/>
      <c r="AA68" s="62"/>
      <c r="AB68" s="62"/>
      <c r="AC68" s="62"/>
      <c r="AD68" s="62"/>
      <c r="AE68" s="62"/>
      <c r="AF68" s="62"/>
      <c r="AG68" s="62"/>
      <c r="AH68" s="62">
        <v>67</v>
      </c>
      <c r="AI68" s="62">
        <v>-1.4409448818897639</v>
      </c>
      <c r="AJ68" s="62">
        <v>0.14126755838553859</v>
      </c>
      <c r="AK68" s="62">
        <v>4</v>
      </c>
      <c r="AL68" s="62">
        <v>0</v>
      </c>
      <c r="AM68" s="62">
        <v>0</v>
      </c>
      <c r="AN68" s="62" t="str">
        <v/>
      </c>
      <c r="AO68" s="62" t="str">
        <v/>
      </c>
      <c r="AP68" s="62"/>
      <c r="AQ68" s="62"/>
      <c r="AR68" s="62"/>
      <c r="AS68" s="159"/>
      <c r="AT68" s="159"/>
      <c r="AU68" s="159"/>
      <c r="AV68" s="159">
        <v>67</v>
      </c>
      <c r="AW68" s="159">
        <v>12</v>
      </c>
      <c r="AX68" s="159">
        <v>1</v>
      </c>
      <c r="AY68" s="159" t="e">
        <v>#N/A</v>
      </c>
      <c r="AZ68" s="159" t="str">
        <v/>
      </c>
      <c r="BA68" s="159"/>
      <c r="BB68" s="159"/>
      <c r="BC68" s="159"/>
      <c r="BD68" s="62"/>
      <c r="BE68" s="62"/>
      <c r="BF68" s="185"/>
      <c r="BG68" s="185"/>
      <c r="BH68" s="185"/>
      <c r="BI68" s="185"/>
      <c r="BJ68" s="185"/>
      <c r="BK68" s="185">
        <v>67</v>
      </c>
      <c r="BL68" s="185">
        <v>1</v>
      </c>
      <c r="BM68" s="159">
        <v>1.8192576091040986</v>
      </c>
      <c r="BN68" s="159">
        <v>1.8192576091040986</v>
      </c>
      <c r="BO68" s="159" t="e">
        <v>#N/A</v>
      </c>
      <c r="BP68" s="159" t="e">
        <v>#N/A</v>
      </c>
      <c r="BQ68" s="159" t="e">
        <v>#N/A</v>
      </c>
      <c r="BR68" s="185" t="str">
        <v/>
      </c>
      <c r="BS68" s="185"/>
      <c r="BT68" s="185"/>
      <c r="BU68" s="185"/>
      <c r="BV68" s="185"/>
      <c r="BW68" s="185"/>
      <c r="BX68" s="185"/>
      <c r="BY68" s="185"/>
      <c r="BZ68" s="48"/>
      <c r="CA68" s="62"/>
      <c r="CB68" s="62"/>
      <c r="CC68" s="62"/>
      <c r="CD68" s="62"/>
      <c r="CE68" s="185"/>
      <c r="CF68" s="185"/>
      <c r="CG68" s="185"/>
      <c r="CH68" s="185"/>
      <c r="CI68" s="159"/>
      <c r="CJ68" s="159"/>
      <c r="CK68" s="159"/>
      <c r="CL68" s="159"/>
      <c r="CM68" s="159"/>
      <c r="CN68" s="159">
        <v>67</v>
      </c>
      <c r="CO68" s="159">
        <v>5</v>
      </c>
      <c r="CP68" s="159">
        <v>0.60060696749325759</v>
      </c>
      <c r="CQ68" s="159" t="str">
        <v/>
      </c>
      <c r="CR68" s="159"/>
      <c r="CS68" s="159"/>
      <c r="CT68" s="159"/>
    </row>
    <row r="69" spans="18:121" s="76" customFormat="1" x14ac:dyDescent="0.2">
      <c r="R69" s="62"/>
      <c r="S69" s="62"/>
      <c r="T69" s="62"/>
      <c r="U69" s="62"/>
      <c r="V69" s="62"/>
      <c r="W69" s="62"/>
      <c r="X69" s="62"/>
      <c r="Y69" s="62"/>
      <c r="Z69" s="62"/>
      <c r="AA69" s="62"/>
      <c r="AB69" s="62"/>
      <c r="AC69" s="62"/>
      <c r="AD69" s="62"/>
      <c r="AE69" s="62"/>
      <c r="AF69" s="62"/>
      <c r="AG69" s="62"/>
      <c r="AH69" s="62">
        <v>68</v>
      </c>
      <c r="AI69" s="62">
        <v>-1.4173228346456692</v>
      </c>
      <c r="AJ69" s="62">
        <v>0.14611803251422095</v>
      </c>
      <c r="AK69" s="62">
        <v>4</v>
      </c>
      <c r="AL69" s="62">
        <v>0</v>
      </c>
      <c r="AM69" s="62">
        <v>0</v>
      </c>
      <c r="AN69" s="62" t="str">
        <v/>
      </c>
      <c r="AO69" s="62" t="str">
        <v/>
      </c>
      <c r="AP69" s="62"/>
      <c r="AQ69" s="62"/>
      <c r="AR69" s="62"/>
      <c r="AS69" s="159"/>
      <c r="AT69" s="159"/>
      <c r="AU69" s="159"/>
      <c r="AV69" s="159">
        <v>68</v>
      </c>
      <c r="AW69" s="159">
        <v>12</v>
      </c>
      <c r="AX69" s="159">
        <v>0</v>
      </c>
      <c r="AY69" s="159">
        <v>1</v>
      </c>
      <c r="AZ69" s="159" t="str">
        <v/>
      </c>
      <c r="BA69" s="159"/>
      <c r="BB69" s="159"/>
      <c r="BC69" s="159"/>
      <c r="BD69" s="62"/>
      <c r="BE69" s="62"/>
      <c r="BF69" s="185"/>
      <c r="BG69" s="185"/>
      <c r="BH69" s="185"/>
      <c r="BI69" s="185"/>
      <c r="BJ69" s="185"/>
      <c r="BK69" s="185">
        <v>68</v>
      </c>
      <c r="BL69" s="185">
        <v>1</v>
      </c>
      <c r="BM69" s="159">
        <v>1.8192576091040986</v>
      </c>
      <c r="BN69" s="159">
        <v>1.8192576091040986</v>
      </c>
      <c r="BO69" s="159" t="e">
        <v>#N/A</v>
      </c>
      <c r="BP69" s="159" t="e">
        <v>#N/A</v>
      </c>
      <c r="BQ69" s="159" t="e">
        <v>#N/A</v>
      </c>
      <c r="BR69" s="185" t="str">
        <v/>
      </c>
      <c r="BS69" s="185"/>
      <c r="BT69" s="185"/>
      <c r="BU69" s="185"/>
      <c r="BV69" s="185"/>
      <c r="BW69" s="185"/>
      <c r="BX69" s="185"/>
      <c r="BY69" s="185"/>
      <c r="BZ69" s="48"/>
      <c r="CA69" s="62"/>
      <c r="CB69" s="62"/>
      <c r="CC69" s="62"/>
      <c r="CD69" s="62"/>
      <c r="CE69" s="185"/>
      <c r="CF69" s="185"/>
      <c r="CG69" s="185"/>
      <c r="CH69" s="185"/>
      <c r="CI69" s="159"/>
      <c r="CJ69" s="159"/>
      <c r="CK69" s="159"/>
      <c r="CL69" s="159"/>
      <c r="CM69" s="159"/>
      <c r="CN69" s="159">
        <v>68</v>
      </c>
      <c r="CO69" s="159">
        <v>5</v>
      </c>
      <c r="CP69" s="159">
        <v>0.60060696749325759</v>
      </c>
      <c r="CQ69" s="159" t="str">
        <v/>
      </c>
      <c r="CR69" s="159"/>
      <c r="CS69" s="159"/>
      <c r="CT69" s="159"/>
      <c r="CU69" s="181"/>
      <c r="CV69" s="181"/>
      <c r="CW69" s="181"/>
      <c r="CX69" s="181"/>
      <c r="CY69" s="181"/>
      <c r="CZ69" s="181"/>
      <c r="DA69" s="181"/>
      <c r="DB69" s="181"/>
      <c r="DC69" s="181"/>
      <c r="DD69" s="181"/>
      <c r="DE69" s="181"/>
      <c r="DF69" s="181"/>
      <c r="DG69" s="181"/>
      <c r="DH69" s="181"/>
      <c r="DI69" s="181"/>
      <c r="DJ69" s="181"/>
      <c r="DK69" s="181"/>
      <c r="DL69" s="181"/>
      <c r="DM69" s="181"/>
      <c r="DN69" s="181"/>
      <c r="DO69" s="181"/>
      <c r="DP69" s="181"/>
      <c r="DQ69" s="181"/>
    </row>
    <row r="70" spans="18:121" x14ac:dyDescent="0.2">
      <c r="R70" s="62"/>
      <c r="S70" s="62"/>
      <c r="T70" s="62"/>
      <c r="U70" s="62"/>
      <c r="V70" s="62"/>
      <c r="W70" s="62"/>
      <c r="X70" s="62"/>
      <c r="Y70" s="62"/>
      <c r="Z70" s="62"/>
      <c r="AA70" s="62"/>
      <c r="AB70" s="62"/>
      <c r="AC70" s="62"/>
      <c r="AD70" s="62"/>
      <c r="AE70" s="62"/>
      <c r="AF70" s="62"/>
      <c r="AG70" s="62"/>
      <c r="AH70" s="62">
        <v>69</v>
      </c>
      <c r="AI70" s="62">
        <v>-1.3937007874015748</v>
      </c>
      <c r="AJ70" s="62">
        <v>0.1510507394735649</v>
      </c>
      <c r="AK70" s="62">
        <v>5</v>
      </c>
      <c r="AL70" s="62">
        <v>0</v>
      </c>
      <c r="AM70" s="62">
        <v>0</v>
      </c>
      <c r="AN70" s="62">
        <v>-4.18</v>
      </c>
      <c r="AO70" s="62" t="str">
        <v/>
      </c>
      <c r="AP70" s="62"/>
      <c r="AQ70" s="62"/>
      <c r="AR70" s="62"/>
      <c r="AS70" s="159"/>
      <c r="AT70" s="159"/>
      <c r="AU70" s="159"/>
      <c r="AV70" s="159">
        <v>69</v>
      </c>
      <c r="AW70" s="159">
        <v>12</v>
      </c>
      <c r="AX70" s="159">
        <v>0</v>
      </c>
      <c r="AY70" s="159">
        <v>1</v>
      </c>
      <c r="AZ70" s="159" t="str">
        <v/>
      </c>
      <c r="BA70" s="159"/>
      <c r="BB70" s="159"/>
      <c r="BC70" s="159"/>
      <c r="BD70" s="62"/>
      <c r="BE70" s="62"/>
      <c r="BF70" s="185"/>
      <c r="BG70" s="185"/>
      <c r="BH70" s="185"/>
      <c r="BI70" s="185"/>
      <c r="BJ70" s="185"/>
      <c r="BK70" s="185">
        <v>69</v>
      </c>
      <c r="BL70" s="185">
        <v>1</v>
      </c>
      <c r="BM70" s="159">
        <v>1.8192576091040986</v>
      </c>
      <c r="BN70" s="159">
        <v>1.8192576091040986</v>
      </c>
      <c r="BO70" s="159" t="e">
        <v>#N/A</v>
      </c>
      <c r="BP70" s="159" t="e">
        <v>#N/A</v>
      </c>
      <c r="BQ70" s="159" t="e">
        <v>#N/A</v>
      </c>
      <c r="BR70" s="185" t="str">
        <v/>
      </c>
      <c r="BS70" s="185"/>
      <c r="BT70" s="185"/>
      <c r="BU70" s="185"/>
      <c r="BV70" s="185"/>
      <c r="BW70" s="185"/>
      <c r="BX70" s="185"/>
      <c r="BY70" s="185"/>
      <c r="BZ70" s="48"/>
      <c r="CA70" s="62"/>
      <c r="CB70" s="62"/>
      <c r="CC70" s="62"/>
      <c r="CD70" s="62"/>
      <c r="CE70" s="185"/>
      <c r="CF70" s="185"/>
      <c r="CG70" s="185"/>
      <c r="CH70" s="185"/>
      <c r="CI70" s="159"/>
      <c r="CJ70" s="159"/>
      <c r="CK70" s="159"/>
      <c r="CL70" s="159"/>
      <c r="CM70" s="159"/>
      <c r="CN70" s="159">
        <v>69</v>
      </c>
      <c r="CO70" s="159">
        <v>5</v>
      </c>
      <c r="CP70" s="159">
        <v>0.60060696749325759</v>
      </c>
      <c r="CQ70" s="159" t="str">
        <v/>
      </c>
      <c r="CR70" s="159"/>
      <c r="CS70" s="159"/>
      <c r="CT70" s="159"/>
    </row>
    <row r="71" spans="18:121" x14ac:dyDescent="0.2">
      <c r="R71" s="62"/>
      <c r="S71" s="62"/>
      <c r="T71" s="62"/>
      <c r="U71" s="62"/>
      <c r="V71" s="62"/>
      <c r="W71" s="62"/>
      <c r="X71" s="62"/>
      <c r="Y71" s="62"/>
      <c r="Z71" s="62"/>
      <c r="AA71" s="62"/>
      <c r="AB71" s="62"/>
      <c r="AC71" s="62"/>
      <c r="AD71" s="62"/>
      <c r="AE71" s="62"/>
      <c r="AF71" s="62"/>
      <c r="AG71" s="62"/>
      <c r="AH71" s="62">
        <v>70</v>
      </c>
      <c r="AI71" s="62">
        <v>-1.3700787401574803</v>
      </c>
      <c r="AJ71" s="62">
        <v>0.15606285904118991</v>
      </c>
      <c r="AK71" s="62">
        <v>5</v>
      </c>
      <c r="AL71" s="62">
        <v>0</v>
      </c>
      <c r="AM71" s="62">
        <v>0</v>
      </c>
      <c r="AN71" s="62" t="str">
        <v/>
      </c>
      <c r="AO71" s="62" t="str">
        <v/>
      </c>
      <c r="AP71" s="62"/>
      <c r="AQ71" s="62"/>
      <c r="AR71" s="62"/>
      <c r="AS71" s="159"/>
      <c r="AT71" s="159"/>
      <c r="AU71" s="159"/>
      <c r="AV71" s="159">
        <v>70</v>
      </c>
      <c r="AW71" s="159">
        <v>12</v>
      </c>
      <c r="AX71" s="159">
        <v>0</v>
      </c>
      <c r="AY71" s="159">
        <v>1</v>
      </c>
      <c r="AZ71" s="159" t="str">
        <v>13</v>
      </c>
      <c r="BA71" s="159"/>
      <c r="BB71" s="159"/>
      <c r="BC71" s="159"/>
      <c r="BD71" s="62"/>
      <c r="BE71" s="62"/>
      <c r="BF71" s="185"/>
      <c r="BG71" s="185"/>
      <c r="BH71" s="185"/>
      <c r="BI71" s="185"/>
      <c r="BJ71" s="185"/>
      <c r="BK71" s="185">
        <v>70</v>
      </c>
      <c r="BL71" s="185">
        <v>1</v>
      </c>
      <c r="BM71" s="159">
        <v>1.8192576091040986</v>
      </c>
      <c r="BN71" s="159">
        <v>1.8192576091040986</v>
      </c>
      <c r="BO71" s="159" t="e">
        <v>#N/A</v>
      </c>
      <c r="BP71" s="159" t="e">
        <v>#N/A</v>
      </c>
      <c r="BQ71" s="159" t="e">
        <v>#N/A</v>
      </c>
      <c r="BR71" s="185" t="str">
        <v/>
      </c>
      <c r="BS71" s="185"/>
      <c r="BT71" s="185"/>
      <c r="BU71" s="185"/>
      <c r="BV71" s="185"/>
      <c r="BW71" s="185"/>
      <c r="BX71" s="185"/>
      <c r="BY71" s="185"/>
      <c r="BZ71" s="48"/>
      <c r="CA71" s="62"/>
      <c r="CB71" s="62"/>
      <c r="CC71" s="62"/>
      <c r="CD71" s="62"/>
      <c r="CE71" s="185"/>
      <c r="CF71" s="185"/>
      <c r="CG71" s="185"/>
      <c r="CH71" s="185"/>
      <c r="CI71" s="159"/>
      <c r="CJ71" s="159"/>
      <c r="CK71" s="159"/>
      <c r="CL71" s="159"/>
      <c r="CM71" s="159"/>
      <c r="CN71" s="159">
        <v>70</v>
      </c>
      <c r="CO71" s="159">
        <v>5</v>
      </c>
      <c r="CP71" s="159">
        <v>0.60060696749325759</v>
      </c>
      <c r="CQ71" s="159" t="str">
        <v/>
      </c>
      <c r="CR71" s="159"/>
      <c r="CS71" s="159"/>
      <c r="CT71" s="159"/>
    </row>
    <row r="72" spans="18:121" x14ac:dyDescent="0.2">
      <c r="R72" s="62"/>
      <c r="S72" s="62"/>
      <c r="T72" s="62"/>
      <c r="U72" s="62"/>
      <c r="V72" s="62"/>
      <c r="W72" s="62"/>
      <c r="X72" s="62"/>
      <c r="Y72" s="62"/>
      <c r="Z72" s="62"/>
      <c r="AA72" s="62"/>
      <c r="AB72" s="62"/>
      <c r="AC72" s="62"/>
      <c r="AD72" s="62"/>
      <c r="AE72" s="62"/>
      <c r="AF72" s="62"/>
      <c r="AG72" s="62"/>
      <c r="AH72" s="62">
        <v>71</v>
      </c>
      <c r="AI72" s="62">
        <v>-1.3464566929133859</v>
      </c>
      <c r="AJ72" s="62">
        <v>0.16115134151010232</v>
      </c>
      <c r="AK72" s="62">
        <v>5</v>
      </c>
      <c r="AL72" s="62">
        <v>0</v>
      </c>
      <c r="AM72" s="62">
        <v>0</v>
      </c>
      <c r="AN72" s="62" t="str">
        <v/>
      </c>
      <c r="AO72" s="62" t="str">
        <v/>
      </c>
      <c r="AP72" s="62"/>
      <c r="AQ72" s="62"/>
      <c r="AR72" s="62"/>
      <c r="AS72" s="159"/>
      <c r="AT72" s="159"/>
      <c r="AU72" s="159"/>
      <c r="AV72" s="159">
        <v>71</v>
      </c>
      <c r="AW72" s="159">
        <v>12</v>
      </c>
      <c r="AX72" s="159">
        <v>0</v>
      </c>
      <c r="AY72" s="159">
        <v>1</v>
      </c>
      <c r="AZ72" s="159" t="str">
        <v/>
      </c>
      <c r="BA72" s="159"/>
      <c r="BB72" s="159"/>
      <c r="BC72" s="159"/>
      <c r="BD72" s="62"/>
      <c r="BE72" s="62"/>
      <c r="BF72" s="185"/>
      <c r="BG72" s="185"/>
      <c r="BH72" s="185"/>
      <c r="BI72" s="185"/>
      <c r="BJ72" s="185"/>
      <c r="BK72" s="185">
        <v>71</v>
      </c>
      <c r="BL72" s="185">
        <v>1</v>
      </c>
      <c r="BM72" s="159">
        <v>1.8192576091040986</v>
      </c>
      <c r="BN72" s="159">
        <v>1.8192576091040986</v>
      </c>
      <c r="BO72" s="159" t="e">
        <v>#N/A</v>
      </c>
      <c r="BP72" s="159" t="e">
        <v>#N/A</v>
      </c>
      <c r="BQ72" s="159" t="e">
        <v>#N/A</v>
      </c>
      <c r="BR72" s="185" t="str">
        <v/>
      </c>
      <c r="BS72" s="185"/>
      <c r="BT72" s="185"/>
      <c r="BU72" s="185"/>
      <c r="BV72" s="185"/>
      <c r="BW72" s="185"/>
      <c r="BX72" s="185"/>
      <c r="BY72" s="185"/>
      <c r="BZ72" s="48"/>
      <c r="CA72" s="62"/>
      <c r="CB72" s="62"/>
      <c r="CC72" s="62"/>
      <c r="CD72" s="62"/>
      <c r="CE72" s="185"/>
      <c r="CF72" s="185"/>
      <c r="CG72" s="185"/>
      <c r="CH72" s="185"/>
      <c r="CI72" s="159"/>
      <c r="CJ72" s="159"/>
      <c r="CK72" s="159"/>
      <c r="CL72" s="159"/>
      <c r="CM72" s="159"/>
      <c r="CN72" s="159">
        <v>71</v>
      </c>
      <c r="CO72" s="159">
        <v>5</v>
      </c>
      <c r="CP72" s="159">
        <v>0.60060696749325759</v>
      </c>
      <c r="CQ72" s="159" t="str">
        <v/>
      </c>
      <c r="CR72" s="159"/>
      <c r="CS72" s="159"/>
      <c r="CT72" s="159"/>
    </row>
    <row r="73" spans="18:121" x14ac:dyDescent="0.2">
      <c r="R73" s="62"/>
      <c r="S73" s="62"/>
      <c r="T73" s="62"/>
      <c r="U73" s="62"/>
      <c r="V73" s="62"/>
      <c r="W73" s="62"/>
      <c r="X73" s="62"/>
      <c r="Y73" s="62"/>
      <c r="Z73" s="62"/>
      <c r="AA73" s="62"/>
      <c r="AB73" s="62"/>
      <c r="AC73" s="62"/>
      <c r="AD73" s="62"/>
      <c r="AE73" s="62"/>
      <c r="AF73" s="62"/>
      <c r="AG73" s="62"/>
      <c r="AH73" s="62">
        <v>72</v>
      </c>
      <c r="AI73" s="62">
        <v>-1.3228346456692914</v>
      </c>
      <c r="AJ73" s="62">
        <v>0.16631290699180915</v>
      </c>
      <c r="AK73" s="62">
        <v>5</v>
      </c>
      <c r="AL73" s="62">
        <v>0</v>
      </c>
      <c r="AM73" s="62">
        <v>0</v>
      </c>
      <c r="AN73" s="62" t="str">
        <v/>
      </c>
      <c r="AO73" s="62" t="str">
        <v/>
      </c>
      <c r="AP73" s="62"/>
      <c r="AQ73" s="62"/>
      <c r="AR73" s="62"/>
      <c r="AS73" s="159"/>
      <c r="AT73" s="159"/>
      <c r="AU73" s="159"/>
      <c r="AV73" s="159">
        <v>72</v>
      </c>
      <c r="AW73" s="159">
        <v>12</v>
      </c>
      <c r="AX73" s="159">
        <v>1</v>
      </c>
      <c r="AY73" s="159" t="e">
        <v>#N/A</v>
      </c>
      <c r="AZ73" s="159" t="str">
        <v/>
      </c>
      <c r="BA73" s="159"/>
      <c r="BB73" s="159"/>
      <c r="BC73" s="159"/>
      <c r="BD73" s="62"/>
      <c r="BE73" s="62"/>
      <c r="BF73" s="185"/>
      <c r="BG73" s="185"/>
      <c r="BH73" s="185"/>
      <c r="BI73" s="185"/>
      <c r="BJ73" s="185"/>
      <c r="BK73" s="185">
        <v>72</v>
      </c>
      <c r="BL73" s="185">
        <v>1</v>
      </c>
      <c r="BM73" s="159">
        <v>1.8192576091040986</v>
      </c>
      <c r="BN73" s="159">
        <v>1.8192576091040986</v>
      </c>
      <c r="BO73" s="159" t="e">
        <v>#N/A</v>
      </c>
      <c r="BP73" s="159" t="e">
        <v>#N/A</v>
      </c>
      <c r="BQ73" s="159" t="e">
        <v>#N/A</v>
      </c>
      <c r="BR73" s="185" t="str">
        <v/>
      </c>
      <c r="BS73" s="185"/>
      <c r="BT73" s="185"/>
      <c r="BU73" s="185"/>
      <c r="BV73" s="185"/>
      <c r="BW73" s="185"/>
      <c r="BX73" s="185"/>
      <c r="BY73" s="185"/>
      <c r="BZ73" s="48"/>
      <c r="CA73" s="62"/>
      <c r="CB73" s="62"/>
      <c r="CC73" s="62"/>
      <c r="CD73" s="62"/>
      <c r="CE73" s="185"/>
      <c r="CF73" s="185"/>
      <c r="CG73" s="185"/>
      <c r="CH73" s="185"/>
      <c r="CI73" s="159"/>
      <c r="CJ73" s="159"/>
      <c r="CK73" s="159"/>
      <c r="CL73" s="159"/>
      <c r="CM73" s="159"/>
      <c r="CN73" s="159">
        <v>72</v>
      </c>
      <c r="CO73" s="159">
        <v>5</v>
      </c>
      <c r="CP73" s="159">
        <v>0.60060696749325759</v>
      </c>
      <c r="CQ73" s="159" t="str">
        <v/>
      </c>
      <c r="CR73" s="159"/>
      <c r="CS73" s="159"/>
      <c r="CT73" s="159"/>
    </row>
    <row r="74" spans="18:121" x14ac:dyDescent="0.2">
      <c r="R74" s="62"/>
      <c r="S74" s="62"/>
      <c r="T74" s="62"/>
      <c r="U74" s="62"/>
      <c r="V74" s="62"/>
      <c r="W74" s="62"/>
      <c r="X74" s="62"/>
      <c r="Y74" s="62"/>
      <c r="Z74" s="62"/>
      <c r="AA74" s="62"/>
      <c r="AB74" s="62"/>
      <c r="AC74" s="62"/>
      <c r="AD74" s="62"/>
      <c r="AE74" s="62"/>
      <c r="AF74" s="62"/>
      <c r="AG74" s="62"/>
      <c r="AH74" s="62">
        <v>73</v>
      </c>
      <c r="AI74" s="62">
        <v>-1.2992125984251968</v>
      </c>
      <c r="AJ74" s="62">
        <v>0.17154404534889048</v>
      </c>
      <c r="AK74" s="62">
        <v>5</v>
      </c>
      <c r="AL74" s="62">
        <v>0</v>
      </c>
      <c r="AM74" s="62">
        <v>0</v>
      </c>
      <c r="AN74" s="62" t="str">
        <v/>
      </c>
      <c r="AO74" s="62" t="str">
        <v/>
      </c>
      <c r="AP74" s="62"/>
      <c r="AQ74" s="62"/>
      <c r="AR74" s="62"/>
      <c r="AS74" s="159"/>
      <c r="AT74" s="159"/>
      <c r="AU74" s="159"/>
      <c r="AV74" s="159"/>
      <c r="AW74" s="159"/>
      <c r="AX74" s="159"/>
      <c r="AY74" s="159"/>
      <c r="AZ74" s="159"/>
      <c r="BA74" s="159"/>
      <c r="BB74" s="159"/>
      <c r="BC74" s="159"/>
      <c r="BD74" s="62"/>
      <c r="BE74" s="62"/>
      <c r="BF74" s="185"/>
      <c r="BG74" s="185"/>
      <c r="BH74" s="185"/>
      <c r="BI74" s="185"/>
      <c r="BJ74" s="185"/>
      <c r="BK74" s="185">
        <v>73</v>
      </c>
      <c r="BL74" s="185">
        <v>1</v>
      </c>
      <c r="BM74" s="159">
        <v>1.8192576091040986</v>
      </c>
      <c r="BN74" s="159">
        <v>1.8192576091040986</v>
      </c>
      <c r="BO74" s="159" t="e">
        <v>#N/A</v>
      </c>
      <c r="BP74" s="159" t="e">
        <v>#N/A</v>
      </c>
      <c r="BQ74" s="159" t="e">
        <v>#N/A</v>
      </c>
      <c r="BR74" s="185" t="str">
        <v/>
      </c>
      <c r="BS74" s="185"/>
      <c r="BT74" s="185"/>
      <c r="BU74" s="185"/>
      <c r="BV74" s="185"/>
      <c r="BW74" s="185"/>
      <c r="BX74" s="185"/>
      <c r="BY74" s="185"/>
      <c r="BZ74" s="48"/>
      <c r="CA74" s="62"/>
      <c r="CB74" s="62"/>
      <c r="CC74" s="62"/>
      <c r="CD74" s="62"/>
      <c r="CE74" s="185"/>
      <c r="CF74" s="185"/>
      <c r="CG74" s="185"/>
      <c r="CH74" s="185"/>
      <c r="CI74" s="159"/>
      <c r="CJ74" s="159"/>
      <c r="CK74" s="159"/>
      <c r="CL74" s="159"/>
      <c r="CM74" s="159"/>
      <c r="CN74" s="159">
        <v>73</v>
      </c>
      <c r="CO74" s="159">
        <v>5</v>
      </c>
      <c r="CP74" s="159">
        <v>0.60060696749325759</v>
      </c>
      <c r="CQ74" s="159" t="str">
        <v/>
      </c>
      <c r="CR74" s="159"/>
      <c r="CS74" s="159"/>
      <c r="CT74" s="159"/>
    </row>
    <row r="75" spans="18:121" x14ac:dyDescent="0.2">
      <c r="R75" s="62"/>
      <c r="S75" s="62"/>
      <c r="T75" s="62"/>
      <c r="U75" s="62"/>
      <c r="V75" s="62"/>
      <c r="W75" s="62"/>
      <c r="X75" s="62"/>
      <c r="Y75" s="62"/>
      <c r="Z75" s="62"/>
      <c r="AA75" s="62"/>
      <c r="AB75" s="62"/>
      <c r="AC75" s="62"/>
      <c r="AD75" s="62"/>
      <c r="AE75" s="62"/>
      <c r="AF75" s="62"/>
      <c r="AG75" s="62"/>
      <c r="AH75" s="62">
        <v>74</v>
      </c>
      <c r="AI75" s="62">
        <v>-1.2755905511811023</v>
      </c>
      <c r="AJ75" s="62">
        <v>0.17684101677777864</v>
      </c>
      <c r="AK75" s="62">
        <v>5</v>
      </c>
      <c r="AL75" s="62">
        <v>0</v>
      </c>
      <c r="AM75" s="62">
        <v>0</v>
      </c>
      <c r="AN75" s="62" t="str">
        <v/>
      </c>
      <c r="AO75" s="62" t="str">
        <v/>
      </c>
      <c r="AP75" s="62"/>
      <c r="AQ75" s="62"/>
      <c r="AR75" s="62"/>
      <c r="AS75" s="159"/>
      <c r="AT75" s="159"/>
      <c r="AU75" s="159"/>
      <c r="AV75" s="159"/>
      <c r="AW75" s="159"/>
      <c r="AX75" s="159"/>
      <c r="AY75" s="159"/>
      <c r="AZ75" s="159"/>
      <c r="BA75" s="159"/>
      <c r="BB75" s="159"/>
      <c r="BC75" s="159"/>
      <c r="BD75" s="62"/>
      <c r="BE75" s="62"/>
      <c r="BF75" s="185"/>
      <c r="BG75" s="185"/>
      <c r="BH75" s="185"/>
      <c r="BI75" s="185"/>
      <c r="BJ75" s="185"/>
      <c r="BK75" s="185">
        <v>74</v>
      </c>
      <c r="BL75" s="185">
        <v>1</v>
      </c>
      <c r="BM75" s="159">
        <v>1.8192576091040986</v>
      </c>
      <c r="BN75" s="159">
        <v>1.8192576091040986</v>
      </c>
      <c r="BO75" s="159" t="e">
        <v>#N/A</v>
      </c>
      <c r="BP75" s="159" t="e">
        <v>#N/A</v>
      </c>
      <c r="BQ75" s="159" t="e">
        <v>#N/A</v>
      </c>
      <c r="BR75" s="185" t="str">
        <v/>
      </c>
      <c r="BS75" s="185"/>
      <c r="BT75" s="185"/>
      <c r="BU75" s="185"/>
      <c r="BV75" s="185"/>
      <c r="BW75" s="185"/>
      <c r="BX75" s="185"/>
      <c r="BY75" s="185"/>
      <c r="BZ75" s="48"/>
      <c r="CA75" s="62"/>
      <c r="CB75" s="62"/>
      <c r="CC75" s="62"/>
      <c r="CD75" s="62"/>
      <c r="CE75" s="185"/>
      <c r="CF75" s="185"/>
      <c r="CG75" s="185"/>
      <c r="CH75" s="185"/>
      <c r="CI75" s="159"/>
      <c r="CJ75" s="159"/>
      <c r="CK75" s="159"/>
      <c r="CL75" s="159"/>
      <c r="CM75" s="159"/>
      <c r="CN75" s="159">
        <v>74</v>
      </c>
      <c r="CO75" s="159">
        <v>5</v>
      </c>
      <c r="CP75" s="159">
        <v>0.60060696749325759</v>
      </c>
      <c r="CQ75" s="159" t="str">
        <v/>
      </c>
      <c r="CR75" s="159"/>
      <c r="CS75" s="159"/>
      <c r="CT75" s="159"/>
    </row>
    <row r="76" spans="18:121" x14ac:dyDescent="0.2">
      <c r="R76" s="62"/>
      <c r="S76" s="62"/>
      <c r="T76" s="62"/>
      <c r="U76" s="62"/>
      <c r="V76" s="62"/>
      <c r="W76" s="62"/>
      <c r="X76" s="62"/>
      <c r="Y76" s="62"/>
      <c r="Z76" s="62"/>
      <c r="AA76" s="62"/>
      <c r="AB76" s="62"/>
      <c r="AC76" s="62"/>
      <c r="AD76" s="62"/>
      <c r="AE76" s="62"/>
      <c r="AF76" s="62"/>
      <c r="AG76" s="62"/>
      <c r="AH76" s="62">
        <v>75</v>
      </c>
      <c r="AI76" s="62">
        <v>-1.2519685039370079</v>
      </c>
      <c r="AJ76" s="62">
        <v>0.18219985306058237</v>
      </c>
      <c r="AK76" s="62">
        <v>5</v>
      </c>
      <c r="AL76" s="62">
        <v>0</v>
      </c>
      <c r="AM76" s="62">
        <v>0</v>
      </c>
      <c r="AN76" s="62" t="str">
        <v/>
      </c>
      <c r="AO76" s="62" t="str">
        <v/>
      </c>
      <c r="AP76" s="62"/>
      <c r="AQ76" s="62"/>
      <c r="AR76" s="62"/>
      <c r="AS76" s="159"/>
      <c r="AT76" s="159"/>
      <c r="AU76" s="159"/>
      <c r="AV76" s="159"/>
      <c r="AW76" s="159"/>
      <c r="AX76" s="159"/>
      <c r="AY76" s="159"/>
      <c r="AZ76" s="159"/>
      <c r="BA76" s="159"/>
      <c r="BB76" s="159"/>
      <c r="BC76" s="159"/>
      <c r="BD76" s="62"/>
      <c r="BE76" s="62"/>
      <c r="BF76" s="185"/>
      <c r="BG76" s="185"/>
      <c r="BH76" s="185"/>
      <c r="BI76" s="185"/>
      <c r="BJ76" s="185"/>
      <c r="BK76" s="185">
        <v>75</v>
      </c>
      <c r="BL76" s="185">
        <v>1</v>
      </c>
      <c r="BM76" s="159">
        <v>1.8192576091040986</v>
      </c>
      <c r="BN76" s="159">
        <v>1.8192576091040986</v>
      </c>
      <c r="BO76" s="159" t="e">
        <v>#N/A</v>
      </c>
      <c r="BP76" s="159" t="e">
        <v>#N/A</v>
      </c>
      <c r="BQ76" s="159" t="e">
        <v>#N/A</v>
      </c>
      <c r="BR76" s="185" t="str">
        <v/>
      </c>
      <c r="BS76" s="185"/>
      <c r="BT76" s="185"/>
      <c r="BU76" s="185"/>
      <c r="BV76" s="185"/>
      <c r="BW76" s="185"/>
      <c r="BX76" s="185"/>
      <c r="BY76" s="185"/>
      <c r="BZ76" s="48"/>
      <c r="CA76" s="62"/>
      <c r="CB76" s="62"/>
      <c r="CC76" s="62"/>
      <c r="CD76" s="62"/>
      <c r="CE76" s="185"/>
      <c r="CF76" s="185"/>
      <c r="CG76" s="185"/>
      <c r="CH76" s="185"/>
      <c r="CI76" s="159"/>
      <c r="CJ76" s="159"/>
      <c r="CK76" s="159"/>
      <c r="CL76" s="159"/>
      <c r="CM76" s="159"/>
      <c r="CN76" s="159">
        <v>75</v>
      </c>
      <c r="CO76" s="159">
        <v>5</v>
      </c>
      <c r="CP76" s="159">
        <v>0.60060696749325759</v>
      </c>
      <c r="CQ76" s="159" t="str">
        <v/>
      </c>
      <c r="CR76" s="159"/>
      <c r="CS76" s="159"/>
      <c r="CT76" s="159"/>
    </row>
    <row r="77" spans="18:121" x14ac:dyDescent="0.2">
      <c r="R77" s="62"/>
      <c r="S77" s="62"/>
      <c r="T77" s="62"/>
      <c r="U77" s="62"/>
      <c r="V77" s="62"/>
      <c r="W77" s="62"/>
      <c r="X77" s="62"/>
      <c r="Y77" s="62"/>
      <c r="Z77" s="62"/>
      <c r="AA77" s="62"/>
      <c r="AB77" s="62"/>
      <c r="AC77" s="62"/>
      <c r="AD77" s="62"/>
      <c r="AE77" s="62"/>
      <c r="AF77" s="62"/>
      <c r="AG77" s="62"/>
      <c r="AH77" s="62">
        <v>76</v>
      </c>
      <c r="AI77" s="62">
        <v>-1.2283464566929134</v>
      </c>
      <c r="AJ77" s="62">
        <v>0.18761635950273947</v>
      </c>
      <c r="AK77" s="62">
        <v>5</v>
      </c>
      <c r="AL77" s="62">
        <v>0</v>
      </c>
      <c r="AM77" s="62">
        <v>0</v>
      </c>
      <c r="AN77" s="62" t="str">
        <v/>
      </c>
      <c r="AO77" s="62" t="str">
        <v/>
      </c>
      <c r="AP77" s="62"/>
      <c r="AQ77" s="62"/>
      <c r="AR77" s="62"/>
      <c r="AS77" s="159"/>
      <c r="AT77" s="159"/>
      <c r="AU77" s="159"/>
      <c r="AV77" s="159"/>
      <c r="AW77" s="159"/>
      <c r="AX77" s="159"/>
      <c r="AY77" s="159"/>
      <c r="AZ77" s="159"/>
      <c r="BA77" s="159"/>
      <c r="BB77" s="159"/>
      <c r="BC77" s="159"/>
      <c r="BD77" s="62"/>
      <c r="BE77" s="62"/>
      <c r="BF77" s="185"/>
      <c r="BG77" s="185"/>
      <c r="BH77" s="185"/>
      <c r="BI77" s="185"/>
      <c r="BJ77" s="185"/>
      <c r="BK77" s="185">
        <v>76</v>
      </c>
      <c r="BL77" s="185">
        <v>1</v>
      </c>
      <c r="BM77" s="159">
        <v>1.8192576091040986</v>
      </c>
      <c r="BN77" s="159">
        <v>1.8192576091040986</v>
      </c>
      <c r="BO77" s="159" t="e">
        <v>#N/A</v>
      </c>
      <c r="BP77" s="159" t="e">
        <v>#N/A</v>
      </c>
      <c r="BQ77" s="159" t="e">
        <v>#N/A</v>
      </c>
      <c r="BR77" s="185" t="str">
        <v/>
      </c>
      <c r="BS77" s="185"/>
      <c r="BT77" s="185"/>
      <c r="BU77" s="185"/>
      <c r="BV77" s="185"/>
      <c r="BW77" s="185"/>
      <c r="BX77" s="185"/>
      <c r="BY77" s="185"/>
      <c r="BZ77" s="48"/>
      <c r="CA77" s="62"/>
      <c r="CB77" s="62"/>
      <c r="CC77" s="62"/>
      <c r="CD77" s="62"/>
      <c r="CE77" s="185"/>
      <c r="CF77" s="185"/>
      <c r="CG77" s="185"/>
      <c r="CH77" s="185"/>
      <c r="CI77" s="159"/>
      <c r="CJ77" s="159"/>
      <c r="CK77" s="159"/>
      <c r="CL77" s="159"/>
      <c r="CM77" s="159"/>
      <c r="CN77" s="159">
        <v>76</v>
      </c>
      <c r="CO77" s="159">
        <v>6</v>
      </c>
      <c r="CP77" s="159">
        <v>8.8224752287145186E-2</v>
      </c>
      <c r="CQ77" s="159" t="str">
        <v>2.8 (83%)</v>
      </c>
      <c r="CR77" s="159"/>
      <c r="CS77" s="159"/>
      <c r="CT77" s="159"/>
    </row>
    <row r="78" spans="18:121" x14ac:dyDescent="0.2">
      <c r="R78" s="62"/>
      <c r="S78" s="62"/>
      <c r="T78" s="62"/>
      <c r="U78" s="62"/>
      <c r="V78" s="62"/>
      <c r="W78" s="62"/>
      <c r="X78" s="62"/>
      <c r="Y78" s="62"/>
      <c r="Z78" s="62"/>
      <c r="AA78" s="62"/>
      <c r="AB78" s="62"/>
      <c r="AC78" s="62"/>
      <c r="AD78" s="62"/>
      <c r="AE78" s="62"/>
      <c r="AF78" s="62"/>
      <c r="AG78" s="62"/>
      <c r="AH78" s="62">
        <v>77</v>
      </c>
      <c r="AI78" s="62">
        <v>-1.204724409448819</v>
      </c>
      <c r="AJ78" s="62">
        <v>0.19308611757108682</v>
      </c>
      <c r="AK78" s="62">
        <v>5</v>
      </c>
      <c r="AL78" s="62">
        <v>0</v>
      </c>
      <c r="AM78" s="62">
        <v>0</v>
      </c>
      <c r="AN78" s="62" t="str">
        <v/>
      </c>
      <c r="AO78" s="62" t="str">
        <v/>
      </c>
      <c r="AP78" s="62"/>
      <c r="AQ78" s="62"/>
      <c r="AR78" s="62"/>
      <c r="AS78" s="159"/>
      <c r="AT78" s="159"/>
      <c r="AU78" s="159"/>
      <c r="AV78" s="159"/>
      <c r="AW78" s="159"/>
      <c r="AX78" s="159"/>
      <c r="AY78" s="159"/>
      <c r="AZ78" s="159"/>
      <c r="BA78" s="159"/>
      <c r="BB78" s="159"/>
      <c r="BC78" s="159"/>
      <c r="BD78" s="62"/>
      <c r="BE78" s="62"/>
      <c r="BF78" s="185"/>
      <c r="BG78" s="185"/>
      <c r="BH78" s="185"/>
      <c r="BI78" s="185"/>
      <c r="BJ78" s="185"/>
      <c r="BK78" s="185">
        <v>77</v>
      </c>
      <c r="BL78" s="185">
        <v>1</v>
      </c>
      <c r="BM78" s="159">
        <v>1.8192576091040986</v>
      </c>
      <c r="BN78" s="159">
        <v>1.8192576091040986</v>
      </c>
      <c r="BO78" s="159" t="e">
        <v>#N/A</v>
      </c>
      <c r="BP78" s="159" t="e">
        <v>#N/A</v>
      </c>
      <c r="BQ78" s="159" t="e">
        <v>#N/A</v>
      </c>
      <c r="BR78" s="185" t="str">
        <v/>
      </c>
      <c r="BS78" s="185"/>
      <c r="BT78" s="185"/>
      <c r="BU78" s="185"/>
      <c r="BV78" s="185"/>
      <c r="BW78" s="185"/>
      <c r="BX78" s="185"/>
      <c r="BY78" s="185"/>
      <c r="BZ78" s="48"/>
      <c r="CA78" s="62"/>
      <c r="CB78" s="62"/>
      <c r="CC78" s="62"/>
      <c r="CD78" s="62"/>
      <c r="CE78" s="185"/>
      <c r="CF78" s="185"/>
      <c r="CG78" s="185"/>
      <c r="CH78" s="185"/>
      <c r="CI78" s="159"/>
      <c r="CJ78" s="159"/>
      <c r="CK78" s="159"/>
      <c r="CL78" s="159"/>
      <c r="CM78" s="159"/>
      <c r="CN78" s="159">
        <v>77</v>
      </c>
      <c r="CO78" s="159">
        <v>6</v>
      </c>
      <c r="CP78" s="159">
        <v>8.8224752287145186E-2</v>
      </c>
      <c r="CQ78" s="159" t="str">
        <v/>
      </c>
      <c r="CR78" s="159"/>
      <c r="CS78" s="159"/>
      <c r="CT78" s="159"/>
    </row>
    <row r="79" spans="18:121" x14ac:dyDescent="0.2">
      <c r="R79" s="62"/>
      <c r="S79" s="62"/>
      <c r="T79" s="62"/>
      <c r="U79" s="62"/>
      <c r="V79" s="62"/>
      <c r="W79" s="62"/>
      <c r="X79" s="62"/>
      <c r="Y79" s="62"/>
      <c r="Z79" s="62"/>
      <c r="AA79" s="62"/>
      <c r="AB79" s="62"/>
      <c r="AC79" s="62"/>
      <c r="AD79" s="62"/>
      <c r="AE79" s="62"/>
      <c r="AF79" s="62"/>
      <c r="AG79" s="62"/>
      <c r="AH79" s="62">
        <v>78</v>
      </c>
      <c r="AI79" s="62">
        <v>-1.1811023622047245</v>
      </c>
      <c r="AJ79" s="62">
        <v>0.19860448824460644</v>
      </c>
      <c r="AK79" s="62">
        <v>5</v>
      </c>
      <c r="AL79" s="62">
        <v>0</v>
      </c>
      <c r="AM79" s="62">
        <v>0</v>
      </c>
      <c r="AN79" s="62" t="str">
        <v/>
      </c>
      <c r="AO79" s="62" t="str">
        <v/>
      </c>
      <c r="AP79" s="62"/>
      <c r="AQ79" s="62"/>
      <c r="AR79" s="62"/>
      <c r="AS79" s="159"/>
      <c r="AT79" s="159"/>
      <c r="AU79" s="159"/>
      <c r="AV79" s="159"/>
      <c r="AW79" s="159"/>
      <c r="AX79" s="159"/>
      <c r="AY79" s="159"/>
      <c r="AZ79" s="159"/>
      <c r="BA79" s="159"/>
      <c r="BB79" s="159"/>
      <c r="BC79" s="159"/>
      <c r="BD79" s="62"/>
      <c r="BE79" s="62"/>
      <c r="BF79" s="185"/>
      <c r="BG79" s="185"/>
      <c r="BH79" s="185"/>
      <c r="BI79" s="185"/>
      <c r="BJ79" s="185"/>
      <c r="BK79" s="185">
        <v>78</v>
      </c>
      <c r="BL79" s="185">
        <v>1</v>
      </c>
      <c r="BM79" s="159">
        <v>1.8192576091040986</v>
      </c>
      <c r="BN79" s="159">
        <v>1.8192576091040986</v>
      </c>
      <c r="BO79" s="159" t="e">
        <v>#N/A</v>
      </c>
      <c r="BP79" s="159" t="e">
        <v>#N/A</v>
      </c>
      <c r="BQ79" s="159" t="e">
        <v>#N/A</v>
      </c>
      <c r="BR79" s="185" t="str">
        <v/>
      </c>
      <c r="BS79" s="185"/>
      <c r="BT79" s="185"/>
      <c r="BU79" s="185"/>
      <c r="BV79" s="185"/>
      <c r="BW79" s="185"/>
      <c r="BX79" s="185"/>
      <c r="BY79" s="185"/>
      <c r="BZ79" s="48"/>
      <c r="CA79" s="62"/>
      <c r="CB79" s="62"/>
      <c r="CC79" s="62"/>
      <c r="CD79" s="62"/>
      <c r="CE79" s="185"/>
      <c r="CF79" s="185"/>
      <c r="CG79" s="185"/>
      <c r="CH79" s="185"/>
      <c r="CI79" s="159"/>
      <c r="CJ79" s="159"/>
      <c r="CK79" s="159"/>
      <c r="CL79" s="159"/>
      <c r="CM79" s="159"/>
      <c r="CN79" s="159">
        <v>78</v>
      </c>
      <c r="CO79" s="159">
        <v>6</v>
      </c>
      <c r="CP79" s="159">
        <v>8.8224752287145186E-2</v>
      </c>
      <c r="CQ79" s="159" t="str">
        <v/>
      </c>
      <c r="CR79" s="159"/>
      <c r="CS79" s="159"/>
      <c r="CT79" s="159"/>
    </row>
    <row r="80" spans="18:121" x14ac:dyDescent="0.2">
      <c r="R80" s="62"/>
      <c r="S80" s="62"/>
      <c r="T80" s="62"/>
      <c r="U80" s="62"/>
      <c r="V80" s="62"/>
      <c r="W80" s="62"/>
      <c r="X80" s="62"/>
      <c r="Y80" s="62"/>
      <c r="Z80" s="62"/>
      <c r="AA80" s="62"/>
      <c r="AB80" s="62"/>
      <c r="AC80" s="62"/>
      <c r="AD80" s="62"/>
      <c r="AE80" s="62"/>
      <c r="AF80" s="62"/>
      <c r="AG80" s="62"/>
      <c r="AH80" s="62">
        <v>79</v>
      </c>
      <c r="AI80" s="62">
        <v>-1.1574803149606299</v>
      </c>
      <c r="AJ80" s="62">
        <v>0.20416661608765052</v>
      </c>
      <c r="AK80" s="62">
        <v>5</v>
      </c>
      <c r="AL80" s="62">
        <v>0</v>
      </c>
      <c r="AM80" s="62">
        <v>0</v>
      </c>
      <c r="AN80" s="62" t="str">
        <v/>
      </c>
      <c r="AO80" s="62" t="str">
        <v/>
      </c>
      <c r="AP80" s="62"/>
      <c r="AQ80" s="62"/>
      <c r="AR80" s="62"/>
      <c r="AS80" s="159"/>
      <c r="AT80" s="159"/>
      <c r="AU80" s="159"/>
      <c r="AV80" s="159"/>
      <c r="AW80" s="159"/>
      <c r="AX80" s="159"/>
      <c r="AY80" s="159"/>
      <c r="AZ80" s="159"/>
      <c r="BA80" s="159"/>
      <c r="BB80" s="159"/>
      <c r="BC80" s="159"/>
      <c r="BD80" s="62"/>
      <c r="BE80" s="62"/>
      <c r="BF80" s="185"/>
      <c r="BG80" s="185"/>
      <c r="BH80" s="185"/>
      <c r="BI80" s="185"/>
      <c r="BJ80" s="185"/>
      <c r="BK80" s="185">
        <v>79</v>
      </c>
      <c r="BL80" s="185">
        <v>1</v>
      </c>
      <c r="BM80" s="159">
        <v>1.8192576091040986</v>
      </c>
      <c r="BN80" s="159">
        <v>1.8192576091040986</v>
      </c>
      <c r="BO80" s="159" t="e">
        <v>#N/A</v>
      </c>
      <c r="BP80" s="159" t="e">
        <v>#N/A</v>
      </c>
      <c r="BQ80" s="159" t="e">
        <v>#N/A</v>
      </c>
      <c r="BR80" s="185" t="str">
        <v/>
      </c>
      <c r="BS80" s="185"/>
      <c r="BT80" s="185"/>
      <c r="BU80" s="185"/>
      <c r="BV80" s="185"/>
      <c r="BW80" s="185"/>
      <c r="BX80" s="185"/>
      <c r="BY80" s="185"/>
      <c r="BZ80" s="48"/>
      <c r="CA80" s="62"/>
      <c r="CB80" s="62"/>
      <c r="CC80" s="62"/>
      <c r="CD80" s="62"/>
      <c r="CE80" s="185"/>
      <c r="CF80" s="185"/>
      <c r="CG80" s="185"/>
      <c r="CH80" s="185"/>
      <c r="CI80" s="159"/>
      <c r="CJ80" s="159"/>
      <c r="CK80" s="159"/>
      <c r="CL80" s="159"/>
      <c r="CM80" s="159"/>
      <c r="CN80" s="159">
        <v>79</v>
      </c>
      <c r="CO80" s="159">
        <v>6</v>
      </c>
      <c r="CP80" s="159">
        <v>8.8224752287145186E-2</v>
      </c>
      <c r="CQ80" s="159" t="str">
        <v/>
      </c>
      <c r="CR80" s="159"/>
      <c r="CS80" s="159"/>
      <c r="CT80" s="159"/>
    </row>
    <row r="81" spans="18:98" x14ac:dyDescent="0.2">
      <c r="R81" s="62"/>
      <c r="S81" s="62"/>
      <c r="T81" s="62"/>
      <c r="U81" s="62"/>
      <c r="V81" s="62"/>
      <c r="W81" s="62"/>
      <c r="X81" s="62"/>
      <c r="Y81" s="62"/>
      <c r="Z81" s="62"/>
      <c r="AA81" s="62"/>
      <c r="AB81" s="62"/>
      <c r="AC81" s="62"/>
      <c r="AD81" s="62"/>
      <c r="AE81" s="62"/>
      <c r="AF81" s="62"/>
      <c r="AG81" s="62"/>
      <c r="AH81" s="62">
        <v>80</v>
      </c>
      <c r="AI81" s="62">
        <v>-1.1338582677165354</v>
      </c>
      <c r="AJ81" s="62">
        <v>0.20976743405287621</v>
      </c>
      <c r="AK81" s="62">
        <v>5</v>
      </c>
      <c r="AL81" s="62">
        <v>0</v>
      </c>
      <c r="AM81" s="62">
        <v>0</v>
      </c>
      <c r="AN81" s="62" t="str">
        <v/>
      </c>
      <c r="AO81" s="62" t="str">
        <v/>
      </c>
      <c r="AP81" s="62"/>
      <c r="AQ81" s="62"/>
      <c r="AR81" s="62"/>
      <c r="AS81" s="159"/>
      <c r="AT81" s="159"/>
      <c r="AU81" s="159"/>
      <c r="AV81" s="159"/>
      <c r="AW81" s="159"/>
      <c r="AX81" s="159"/>
      <c r="AY81" s="159"/>
      <c r="AZ81" s="159"/>
      <c r="BA81" s="159"/>
      <c r="BB81" s="159"/>
      <c r="BC81" s="159"/>
      <c r="BD81" s="62"/>
      <c r="BE81" s="62"/>
      <c r="BF81" s="185"/>
      <c r="BG81" s="185"/>
      <c r="BH81" s="185"/>
      <c r="BI81" s="185"/>
      <c r="BJ81" s="185"/>
      <c r="BK81" s="185">
        <v>80</v>
      </c>
      <c r="BL81" s="185">
        <v>1</v>
      </c>
      <c r="BM81" s="159">
        <v>1.8192576091040986</v>
      </c>
      <c r="BN81" s="159">
        <v>1.8192576091040986</v>
      </c>
      <c r="BO81" s="159" t="e">
        <v>#N/A</v>
      </c>
      <c r="BP81" s="159" t="e">
        <v>#N/A</v>
      </c>
      <c r="BQ81" s="159" t="e">
        <v>#N/A</v>
      </c>
      <c r="BR81" s="185" t="str">
        <v/>
      </c>
      <c r="BS81" s="185"/>
      <c r="BT81" s="185"/>
      <c r="BU81" s="185"/>
      <c r="BV81" s="185"/>
      <c r="BW81" s="185"/>
      <c r="BX81" s="185"/>
      <c r="BY81" s="185"/>
      <c r="BZ81" s="48"/>
      <c r="CA81" s="62"/>
      <c r="CB81" s="62"/>
      <c r="CC81" s="62"/>
      <c r="CD81" s="62"/>
      <c r="CE81" s="185"/>
      <c r="CF81" s="185"/>
      <c r="CG81" s="185"/>
      <c r="CH81" s="185"/>
      <c r="CI81" s="159"/>
      <c r="CJ81" s="159"/>
      <c r="CK81" s="159"/>
      <c r="CL81" s="159"/>
      <c r="CM81" s="159"/>
      <c r="CN81" s="159">
        <v>80</v>
      </c>
      <c r="CO81" s="159">
        <v>6</v>
      </c>
      <c r="CP81" s="159">
        <v>8.8224752287145186E-2</v>
      </c>
      <c r="CQ81" s="159" t="str">
        <v/>
      </c>
      <c r="CR81" s="159"/>
      <c r="CS81" s="159"/>
      <c r="CT81" s="159"/>
    </row>
    <row r="82" spans="18:98" x14ac:dyDescent="0.2">
      <c r="R82" s="62"/>
      <c r="S82" s="62"/>
      <c r="T82" s="62"/>
      <c r="U82" s="62"/>
      <c r="V82" s="62"/>
      <c r="W82" s="62"/>
      <c r="X82" s="62"/>
      <c r="Y82" s="62"/>
      <c r="Z82" s="62"/>
      <c r="AA82" s="62"/>
      <c r="AB82" s="62"/>
      <c r="AC82" s="62"/>
      <c r="AD82" s="62"/>
      <c r="AE82" s="62"/>
      <c r="AF82" s="62"/>
      <c r="AG82" s="62"/>
      <c r="AH82" s="62">
        <v>81</v>
      </c>
      <c r="AI82" s="62">
        <v>-1.110236220472441</v>
      </c>
      <c r="AJ82" s="62">
        <v>0.21540166901844124</v>
      </c>
      <c r="AK82" s="62">
        <v>5</v>
      </c>
      <c r="AL82" s="62">
        <v>0</v>
      </c>
      <c r="AM82" s="62">
        <v>0</v>
      </c>
      <c r="AN82" s="62" t="str">
        <v/>
      </c>
      <c r="AO82" s="62" t="str">
        <v/>
      </c>
      <c r="AP82" s="62"/>
      <c r="AQ82" s="62"/>
      <c r="AR82" s="62"/>
      <c r="AS82" s="159"/>
      <c r="AT82" s="159"/>
      <c r="AU82" s="159"/>
      <c r="AV82" s="159"/>
      <c r="AW82" s="159"/>
      <c r="AX82" s="159"/>
      <c r="AY82" s="159"/>
      <c r="AZ82" s="159"/>
      <c r="BA82" s="159"/>
      <c r="BB82" s="159"/>
      <c r="BC82" s="159"/>
      <c r="BD82" s="62"/>
      <c r="BE82" s="62"/>
      <c r="BF82" s="185"/>
      <c r="BG82" s="185"/>
      <c r="BH82" s="185"/>
      <c r="BI82" s="185"/>
      <c r="BJ82" s="185"/>
      <c r="BK82" s="185">
        <v>81</v>
      </c>
      <c r="BL82" s="185">
        <v>1</v>
      </c>
      <c r="BM82" s="159">
        <v>1.8192576091040986</v>
      </c>
      <c r="BN82" s="159">
        <v>1.8192576091040986</v>
      </c>
      <c r="BO82" s="159" t="e">
        <v>#N/A</v>
      </c>
      <c r="BP82" s="159" t="e">
        <v>#N/A</v>
      </c>
      <c r="BQ82" s="159" t="e">
        <v>#N/A</v>
      </c>
      <c r="BR82" s="185" t="str">
        <v/>
      </c>
      <c r="BS82" s="185"/>
      <c r="BT82" s="185"/>
      <c r="BU82" s="185"/>
      <c r="BV82" s="185"/>
      <c r="BW82" s="185"/>
      <c r="BX82" s="185"/>
      <c r="BY82" s="185"/>
      <c r="BZ82" s="48"/>
      <c r="CA82" s="62"/>
      <c r="CB82" s="62"/>
      <c r="CC82" s="62"/>
      <c r="CD82" s="62"/>
      <c r="CE82" s="185"/>
      <c r="CF82" s="185"/>
      <c r="CG82" s="185"/>
      <c r="CH82" s="185"/>
      <c r="CI82" s="159"/>
      <c r="CJ82" s="159"/>
      <c r="CK82" s="159"/>
      <c r="CL82" s="159"/>
      <c r="CM82" s="159"/>
      <c r="CN82" s="159">
        <v>81</v>
      </c>
      <c r="CO82" s="159">
        <v>6</v>
      </c>
      <c r="CP82" s="159">
        <v>8.8224752287145186E-2</v>
      </c>
      <c r="CQ82" s="159" t="str">
        <v/>
      </c>
      <c r="CR82" s="159"/>
      <c r="CS82" s="159"/>
      <c r="CT82" s="159"/>
    </row>
    <row r="83" spans="18:98" x14ac:dyDescent="0.2">
      <c r="R83" s="62"/>
      <c r="S83" s="62"/>
      <c r="T83" s="62"/>
      <c r="U83" s="62"/>
      <c r="V83" s="62"/>
      <c r="W83" s="62"/>
      <c r="X83" s="62"/>
      <c r="Y83" s="62"/>
      <c r="Z83" s="62"/>
      <c r="AA83" s="62"/>
      <c r="AB83" s="62"/>
      <c r="AC83" s="62"/>
      <c r="AD83" s="62"/>
      <c r="AE83" s="62"/>
      <c r="AF83" s="62"/>
      <c r="AG83" s="62"/>
      <c r="AH83" s="62">
        <v>82</v>
      </c>
      <c r="AI83" s="62">
        <v>-1.0866141732283465</v>
      </c>
      <c r="AJ83" s="62">
        <v>0.22106384806123056</v>
      </c>
      <c r="AK83" s="62">
        <v>5</v>
      </c>
      <c r="AL83" s="62">
        <v>0</v>
      </c>
      <c r="AM83" s="62">
        <v>0</v>
      </c>
      <c r="AN83" s="62" t="str">
        <v/>
      </c>
      <c r="AO83" s="62" t="str">
        <v/>
      </c>
      <c r="AP83" s="62"/>
      <c r="AQ83" s="62"/>
      <c r="AR83" s="62"/>
      <c r="AS83" s="159"/>
      <c r="AT83" s="159"/>
      <c r="AU83" s="159"/>
      <c r="AV83" s="159"/>
      <c r="AW83" s="159"/>
      <c r="AX83" s="159"/>
      <c r="AY83" s="159"/>
      <c r="AZ83" s="159"/>
      <c r="BA83" s="159"/>
      <c r="BB83" s="159"/>
      <c r="BC83" s="159"/>
      <c r="BD83" s="62"/>
      <c r="BE83" s="62"/>
      <c r="BF83" s="185"/>
      <c r="BG83" s="185"/>
      <c r="BH83" s="185"/>
      <c r="BI83" s="185"/>
      <c r="BJ83" s="185"/>
      <c r="BK83" s="185">
        <v>82</v>
      </c>
      <c r="BL83" s="185">
        <v>1</v>
      </c>
      <c r="BM83" s="159">
        <v>1.8192576091040986</v>
      </c>
      <c r="BN83" s="159">
        <v>1.8192576091040986</v>
      </c>
      <c r="BO83" s="159" t="e">
        <v>#N/A</v>
      </c>
      <c r="BP83" s="159" t="e">
        <v>#N/A</v>
      </c>
      <c r="BQ83" s="159" t="e">
        <v>#N/A</v>
      </c>
      <c r="BR83" s="185" t="str">
        <v/>
      </c>
      <c r="BS83" s="185"/>
      <c r="BT83" s="185"/>
      <c r="BU83" s="185"/>
      <c r="BV83" s="185"/>
      <c r="BW83" s="185"/>
      <c r="BX83" s="185"/>
      <c r="BY83" s="185"/>
      <c r="BZ83" s="48"/>
      <c r="CA83" s="62"/>
      <c r="CB83" s="62"/>
      <c r="CC83" s="62"/>
      <c r="CD83" s="62"/>
      <c r="CE83" s="185"/>
      <c r="CF83" s="185"/>
      <c r="CG83" s="185"/>
      <c r="CH83" s="185"/>
      <c r="CI83" s="159"/>
      <c r="CJ83" s="159"/>
      <c r="CK83" s="159"/>
      <c r="CL83" s="159"/>
      <c r="CM83" s="159"/>
      <c r="CN83" s="159">
        <v>82</v>
      </c>
      <c r="CO83" s="159">
        <v>6</v>
      </c>
      <c r="CP83" s="159">
        <v>8.8224752287145186E-2</v>
      </c>
      <c r="CQ83" s="159" t="str">
        <v/>
      </c>
      <c r="CR83" s="159"/>
      <c r="CS83" s="159"/>
      <c r="CT83" s="159"/>
    </row>
    <row r="84" spans="18:98" x14ac:dyDescent="0.2">
      <c r="AH84">
        <v>83</v>
      </c>
      <c r="AI84">
        <v>-1.0629921259842521</v>
      </c>
      <c r="AJ84" s="42">
        <v>0.22674830546502484</v>
      </c>
      <c r="AK84" s="42">
        <v>5</v>
      </c>
      <c r="AL84" s="42">
        <v>0</v>
      </c>
      <c r="AM84" s="42">
        <v>0</v>
      </c>
      <c r="AN84" s="42" t="str">
        <v/>
      </c>
      <c r="AO84" s="42" t="str">
        <v/>
      </c>
      <c r="BK84" s="42">
        <v>83</v>
      </c>
      <c r="BL84" s="42">
        <v>1</v>
      </c>
      <c r="BM84" s="42">
        <v>1.8192576091040986</v>
      </c>
      <c r="BN84" s="42">
        <v>1.8192576091040986</v>
      </c>
      <c r="BO84" s="42" t="e">
        <v>#N/A</v>
      </c>
      <c r="BP84" s="42" t="e">
        <v>#N/A</v>
      </c>
      <c r="BQ84" t="e">
        <v>#N/A</v>
      </c>
      <c r="BR84" t="str">
        <v/>
      </c>
      <c r="CN84">
        <v>83</v>
      </c>
      <c r="CO84">
        <v>6</v>
      </c>
      <c r="CP84">
        <v>8.8224752287145186E-2</v>
      </c>
      <c r="CQ84" t="str">
        <v/>
      </c>
    </row>
    <row r="85" spans="18:98" x14ac:dyDescent="0.2">
      <c r="AH85">
        <v>84</v>
      </c>
      <c r="AI85">
        <v>-1.0393700787401574</v>
      </c>
      <c r="AJ85" s="42">
        <v>0.23244919045958226</v>
      </c>
      <c r="AK85" s="42">
        <v>5</v>
      </c>
      <c r="AL85" s="42">
        <v>0</v>
      </c>
      <c r="AM85" s="42">
        <v>0</v>
      </c>
      <c r="AN85" s="42" t="str">
        <v/>
      </c>
      <c r="AO85" s="42" t="str">
        <v/>
      </c>
      <c r="BK85" s="42">
        <v>84</v>
      </c>
      <c r="BL85" s="42">
        <v>1</v>
      </c>
      <c r="BM85" s="42">
        <v>1.8192576091040986</v>
      </c>
      <c r="BN85" s="42">
        <v>1.8192576091040986</v>
      </c>
      <c r="BO85" s="42" t="e">
        <v>#N/A</v>
      </c>
      <c r="BP85" s="42" t="e">
        <v>#N/A</v>
      </c>
      <c r="BQ85" t="e">
        <v>#N/A</v>
      </c>
      <c r="BR85" t="str">
        <v/>
      </c>
      <c r="CN85">
        <v>84</v>
      </c>
      <c r="CO85">
        <v>6</v>
      </c>
      <c r="CP85">
        <v>8.8224752287145186E-2</v>
      </c>
      <c r="CQ85" t="str">
        <v/>
      </c>
    </row>
    <row r="86" spans="18:98" x14ac:dyDescent="0.2">
      <c r="AH86">
        <v>85</v>
      </c>
      <c r="AI86">
        <v>-1.015748031496063</v>
      </c>
      <c r="AJ86" s="42">
        <v>0.2381604756836066</v>
      </c>
      <c r="AK86" s="42">
        <v>5</v>
      </c>
      <c r="AL86" s="42">
        <v>0</v>
      </c>
      <c r="AM86" s="42">
        <v>0</v>
      </c>
      <c r="AN86" s="42" t="str">
        <v/>
      </c>
      <c r="AO86" s="42" t="str">
        <v/>
      </c>
      <c r="BK86" s="42">
        <v>85</v>
      </c>
      <c r="BL86" s="42">
        <v>1</v>
      </c>
      <c r="BM86" s="42">
        <v>1.8192576091040986</v>
      </c>
      <c r="BN86" s="42">
        <v>1.8192576091040986</v>
      </c>
      <c r="BO86" s="42" t="e">
        <v>#N/A</v>
      </c>
      <c r="BP86" s="42" t="e">
        <v>#N/A</v>
      </c>
      <c r="BQ86" t="e">
        <v>#N/A</v>
      </c>
      <c r="BR86" t="str">
        <v/>
      </c>
      <c r="CN86">
        <v>85</v>
      </c>
      <c r="CO86">
        <v>6</v>
      </c>
      <c r="CP86">
        <v>8.8224752287145186E-2</v>
      </c>
      <c r="CQ86" t="str">
        <v/>
      </c>
    </row>
    <row r="87" spans="18:98" x14ac:dyDescent="0.2">
      <c r="AH87">
        <v>86</v>
      </c>
      <c r="AI87">
        <v>-0.99212598425196852</v>
      </c>
      <c r="AJ87" s="42">
        <v>0.24387596636153336</v>
      </c>
      <c r="AK87" s="42">
        <v>6</v>
      </c>
      <c r="AL87" s="42">
        <v>3</v>
      </c>
      <c r="AM87" s="42">
        <v>0.6209326687253206</v>
      </c>
      <c r="AN87" s="42">
        <v>-2.4500000000000002</v>
      </c>
      <c r="AO87" s="42" t="str">
        <v>-1σ</v>
      </c>
      <c r="BK87" s="42">
        <v>86</v>
      </c>
      <c r="BL87" s="42">
        <v>1</v>
      </c>
      <c r="BM87" s="42">
        <v>1.8192576091040986</v>
      </c>
      <c r="BN87" s="42">
        <v>1.8192576091040986</v>
      </c>
      <c r="BO87" s="42" t="e">
        <v>#N/A</v>
      </c>
      <c r="BP87" s="42" t="e">
        <v>#N/A</v>
      </c>
      <c r="BQ87" t="e">
        <v>#N/A</v>
      </c>
      <c r="BR87" t="str">
        <v/>
      </c>
      <c r="CN87">
        <v>86</v>
      </c>
      <c r="CO87">
        <v>6</v>
      </c>
      <c r="CP87">
        <v>8.8224752287145186E-2</v>
      </c>
      <c r="CQ87" t="str">
        <v/>
      </c>
    </row>
    <row r="88" spans="18:98" x14ac:dyDescent="0.2">
      <c r="AH88">
        <v>87</v>
      </c>
      <c r="AI88">
        <v>-0.96850393700787407</v>
      </c>
      <c r="AJ88" s="42">
        <v>0.24958931018098326</v>
      </c>
      <c r="AK88" s="42">
        <v>6</v>
      </c>
      <c r="AL88" s="42">
        <v>3</v>
      </c>
      <c r="AM88" s="42">
        <v>0.6209326687253206</v>
      </c>
      <c r="AN88" s="42" t="str">
        <v/>
      </c>
      <c r="AO88" s="42" t="str">
        <v/>
      </c>
      <c r="BK88" s="42">
        <v>87</v>
      </c>
      <c r="BL88" s="42">
        <v>1</v>
      </c>
      <c r="BM88" s="42">
        <v>1.8192576091040986</v>
      </c>
      <c r="BN88" s="42">
        <v>1.8192576091040986</v>
      </c>
      <c r="BO88" s="42" t="e">
        <v>#N/A</v>
      </c>
      <c r="BP88" s="42" t="e">
        <v>#N/A</v>
      </c>
      <c r="BQ88" t="e">
        <v>#N/A</v>
      </c>
      <c r="BR88" t="str">
        <v/>
      </c>
      <c r="CN88">
        <v>87</v>
      </c>
      <c r="CO88">
        <v>6</v>
      </c>
      <c r="CP88">
        <v>8.8224752287145186E-2</v>
      </c>
      <c r="CQ88" t="str">
        <v/>
      </c>
    </row>
    <row r="89" spans="18:98" x14ac:dyDescent="0.2">
      <c r="AH89">
        <v>88</v>
      </c>
      <c r="AI89">
        <v>-0.94488188976377963</v>
      </c>
      <c r="AJ89" s="42">
        <v>0.25529400785464174</v>
      </c>
      <c r="AK89" s="42">
        <v>6</v>
      </c>
      <c r="AL89" s="42">
        <v>3</v>
      </c>
      <c r="AM89" s="42">
        <v>0.6209326687253206</v>
      </c>
      <c r="AN89" s="42" t="str">
        <v/>
      </c>
      <c r="AO89" s="42" t="str">
        <v/>
      </c>
      <c r="BK89" s="42">
        <v>88</v>
      </c>
      <c r="BL89" s="42">
        <v>1</v>
      </c>
      <c r="BM89" s="42">
        <v>1.8192576091040986</v>
      </c>
      <c r="BN89" s="42">
        <v>1.8192576091040986</v>
      </c>
      <c r="BO89" s="42" t="e">
        <v>#N/A</v>
      </c>
      <c r="BP89" s="42" t="e">
        <v>#N/A</v>
      </c>
      <c r="BQ89" t="e">
        <v>#N/A</v>
      </c>
      <c r="BR89" t="str">
        <v/>
      </c>
      <c r="CN89">
        <v>88</v>
      </c>
      <c r="CO89">
        <v>6</v>
      </c>
      <c r="CP89">
        <v>8.8224752287145186E-2</v>
      </c>
      <c r="CQ89" t="str">
        <v/>
      </c>
    </row>
    <row r="90" spans="18:98" x14ac:dyDescent="0.2">
      <c r="AH90">
        <v>89</v>
      </c>
      <c r="AI90">
        <v>-0.92125984251968518</v>
      </c>
      <c r="AJ90" s="42">
        <v>0.26098342434722177</v>
      </c>
      <c r="AK90" s="42">
        <v>6</v>
      </c>
      <c r="AL90" s="42">
        <v>3</v>
      </c>
      <c r="AM90" s="42">
        <v>0.6209326687253206</v>
      </c>
      <c r="AN90" s="42" t="str">
        <v/>
      </c>
      <c r="AO90" s="42" t="str">
        <v/>
      </c>
      <c r="BK90" s="42">
        <v>89</v>
      </c>
      <c r="BL90" s="42">
        <v>1</v>
      </c>
      <c r="BM90" s="42">
        <v>1.8192576091040986</v>
      </c>
      <c r="BN90" s="42">
        <v>1.8192576091040986</v>
      </c>
      <c r="BO90" s="42" t="e">
        <v>#N/A</v>
      </c>
      <c r="BP90" s="42" t="e">
        <v>#N/A</v>
      </c>
      <c r="BQ90" t="e">
        <v>#N/A</v>
      </c>
      <c r="BR90" t="str">
        <v/>
      </c>
      <c r="CN90">
        <v>89</v>
      </c>
      <c r="CO90">
        <v>6</v>
      </c>
      <c r="CP90">
        <v>8.8224752287145186E-2</v>
      </c>
      <c r="CQ90" t="str">
        <v/>
      </c>
    </row>
    <row r="91" spans="18:98" x14ac:dyDescent="0.2">
      <c r="AH91">
        <v>90</v>
      </c>
      <c r="AI91">
        <v>-0.89763779527559073</v>
      </c>
      <c r="AJ91" s="42">
        <v>0.26665080074508374</v>
      </c>
      <c r="AK91" s="42">
        <v>6</v>
      </c>
      <c r="AL91" s="42">
        <v>3</v>
      </c>
      <c r="AM91" s="42">
        <v>0.6209326687253206</v>
      </c>
      <c r="AN91" s="42" t="str">
        <v/>
      </c>
      <c r="AO91" s="42" t="str">
        <v/>
      </c>
      <c r="BK91" s="42">
        <v>90</v>
      </c>
      <c r="BL91" s="42">
        <v>1</v>
      </c>
      <c r="BM91" s="42">
        <v>1.8192576091040986</v>
      </c>
      <c r="BN91" s="42">
        <v>1.8192576091040986</v>
      </c>
      <c r="BO91" s="42" t="e">
        <v>#N/A</v>
      </c>
      <c r="BP91" s="42" t="e">
        <v>#N/A</v>
      </c>
      <c r="BQ91" t="e">
        <v>#N/A</v>
      </c>
      <c r="BR91" t="str">
        <v/>
      </c>
      <c r="CN91">
        <v>90</v>
      </c>
      <c r="CO91">
        <v>6</v>
      </c>
      <c r="CP91">
        <v>8.8224752287145186E-2</v>
      </c>
      <c r="CQ91" t="str">
        <v/>
      </c>
    </row>
    <row r="92" spans="18:98" x14ac:dyDescent="0.2">
      <c r="AH92">
        <v>91</v>
      </c>
      <c r="AI92">
        <v>-0.87401574803149629</v>
      </c>
      <c r="AJ92" s="42">
        <v>0.27228926674302883</v>
      </c>
      <c r="AK92" s="42">
        <v>6</v>
      </c>
      <c r="AL92" s="42">
        <v>3</v>
      </c>
      <c r="AM92" s="42">
        <v>0.6209326687253206</v>
      </c>
      <c r="AN92" s="42" t="str">
        <v/>
      </c>
      <c r="AO92" s="42" t="str">
        <v/>
      </c>
      <c r="BK92" s="42">
        <v>91</v>
      </c>
      <c r="BL92" s="42">
        <v>1</v>
      </c>
      <c r="BM92" s="42">
        <v>1.8192576091040986</v>
      </c>
      <c r="BN92" s="42">
        <v>1.8192576091040986</v>
      </c>
      <c r="BO92" s="42" t="e">
        <v>#N/A</v>
      </c>
      <c r="BP92" s="42" t="e">
        <v>#N/A</v>
      </c>
      <c r="BQ92" t="e">
        <v>#N/A</v>
      </c>
      <c r="BR92" t="str">
        <v/>
      </c>
      <c r="CN92">
        <v>91</v>
      </c>
      <c r="CO92">
        <v>6</v>
      </c>
      <c r="CP92">
        <v>8.8224752287145186E-2</v>
      </c>
      <c r="CQ92" t="str">
        <v/>
      </c>
    </row>
    <row r="93" spans="18:98" x14ac:dyDescent="0.2">
      <c r="AH93">
        <v>92</v>
      </c>
      <c r="AI93">
        <v>-0.8503937007874014</v>
      </c>
      <c r="AJ93" s="42">
        <v>0.27789185371977293</v>
      </c>
      <c r="AK93" s="42">
        <v>6</v>
      </c>
      <c r="AL93" s="42">
        <v>3</v>
      </c>
      <c r="AM93" s="42">
        <v>0.6209326687253206</v>
      </c>
      <c r="AN93" s="42" t="str">
        <v/>
      </c>
      <c r="AO93" s="42" t="str">
        <v/>
      </c>
      <c r="BK93" s="42">
        <v>92</v>
      </c>
      <c r="BL93" s="42">
        <v>1</v>
      </c>
      <c r="BM93" s="42">
        <v>1.8192576091040986</v>
      </c>
      <c r="BN93" s="42">
        <v>1.8192576091040986</v>
      </c>
      <c r="BO93" s="42" t="e">
        <v>#N/A</v>
      </c>
      <c r="BP93" s="42" t="e">
        <v>#N/A</v>
      </c>
      <c r="BQ93" t="e">
        <v>#N/A</v>
      </c>
      <c r="BR93" t="str">
        <v/>
      </c>
      <c r="CN93">
        <v>92</v>
      </c>
      <c r="CO93">
        <v>6</v>
      </c>
      <c r="CP93">
        <v>8.8224752287145186E-2</v>
      </c>
      <c r="CQ93" t="str">
        <v/>
      </c>
    </row>
    <row r="94" spans="18:98" x14ac:dyDescent="0.2">
      <c r="AH94">
        <v>93</v>
      </c>
      <c r="AI94">
        <v>-0.82677165354330695</v>
      </c>
      <c r="AJ94" s="42">
        <v>0.28345150837065552</v>
      </c>
      <c r="AK94" s="42">
        <v>6</v>
      </c>
      <c r="AL94" s="42">
        <v>3</v>
      </c>
      <c r="AM94" s="42">
        <v>0.6209326687253206</v>
      </c>
      <c r="AN94" s="42" t="str">
        <v/>
      </c>
      <c r="AO94" s="42" t="str">
        <v/>
      </c>
      <c r="BK94" s="42">
        <v>93</v>
      </c>
      <c r="BL94" s="42">
        <v>1</v>
      </c>
      <c r="BM94" s="42">
        <v>1.8192576091040986</v>
      </c>
      <c r="BN94" s="42">
        <v>1.8192576091040986</v>
      </c>
      <c r="BO94" s="42" t="e">
        <v>#N/A</v>
      </c>
      <c r="BP94" s="42" t="e">
        <v>#N/A</v>
      </c>
      <c r="BQ94" t="e">
        <v>#N/A</v>
      </c>
      <c r="BR94" t="str">
        <v/>
      </c>
      <c r="CN94">
        <v>93</v>
      </c>
      <c r="CO94">
        <v>6</v>
      </c>
      <c r="CP94">
        <v>8.8224752287145186E-2</v>
      </c>
      <c r="CQ94" t="str">
        <v/>
      </c>
    </row>
    <row r="95" spans="18:98" x14ac:dyDescent="0.2">
      <c r="AH95">
        <v>94</v>
      </c>
      <c r="AI95">
        <v>-0.8031496062992125</v>
      </c>
      <c r="AJ95" s="42">
        <v>0.28896110686327098</v>
      </c>
      <c r="AK95" s="42">
        <v>6</v>
      </c>
      <c r="AL95" s="42">
        <v>3</v>
      </c>
      <c r="AM95" s="42">
        <v>0.6209326687253206</v>
      </c>
      <c r="AN95" s="42" t="str">
        <v/>
      </c>
      <c r="AO95" s="42" t="str">
        <v/>
      </c>
      <c r="BK95" s="42">
        <v>94</v>
      </c>
      <c r="BL95" s="42">
        <v>1</v>
      </c>
      <c r="BM95" s="42">
        <v>1.8192576091040986</v>
      </c>
      <c r="BN95" s="42">
        <v>1.8192576091040986</v>
      </c>
      <c r="BO95" s="42" t="e">
        <v>#N/A</v>
      </c>
      <c r="BP95" s="42" t="e">
        <v>#N/A</v>
      </c>
      <c r="BQ95" t="e">
        <v>#N/A</v>
      </c>
      <c r="BR95" t="str">
        <v/>
      </c>
      <c r="CN95">
        <v>94</v>
      </c>
      <c r="CO95">
        <v>6</v>
      </c>
      <c r="CP95">
        <v>8.8224752287145186E-2</v>
      </c>
      <c r="CQ95" t="str">
        <v/>
      </c>
    </row>
    <row r="96" spans="18:98" x14ac:dyDescent="0.2">
      <c r="AH96">
        <v>95</v>
      </c>
      <c r="AI96">
        <v>-0.77952755905511806</v>
      </c>
      <c r="AJ96" s="42">
        <v>0.29441346947892549</v>
      </c>
      <c r="AK96" s="42">
        <v>6</v>
      </c>
      <c r="AL96" s="42">
        <v>3</v>
      </c>
      <c r="AM96" s="42">
        <v>0.6209326687253206</v>
      </c>
      <c r="AN96" s="42" t="str">
        <v/>
      </c>
      <c r="AO96" s="42" t="str">
        <v/>
      </c>
      <c r="BK96" s="42">
        <v>95</v>
      </c>
      <c r="BL96" s="42">
        <v>1</v>
      </c>
      <c r="BM96" s="42">
        <v>1.8192576091040986</v>
      </c>
      <c r="BN96" s="42">
        <v>1.8192576091040986</v>
      </c>
      <c r="BO96" s="42" t="e">
        <v>#N/A</v>
      </c>
      <c r="BP96" s="42" t="e">
        <v>#N/A</v>
      </c>
      <c r="BQ96" t="e">
        <v>#N/A</v>
      </c>
      <c r="BR96" t="str">
        <v/>
      </c>
      <c r="CN96">
        <v>95</v>
      </c>
      <c r="CO96">
        <v>6</v>
      </c>
      <c r="CP96">
        <v>8.8224752287145186E-2</v>
      </c>
      <c r="CQ96" t="str">
        <v/>
      </c>
    </row>
    <row r="97" spans="34:95" x14ac:dyDescent="0.2">
      <c r="AH97">
        <v>96</v>
      </c>
      <c r="AI97">
        <v>-0.75590551181102361</v>
      </c>
      <c r="AJ97" s="42">
        <v>0.29980137570016047</v>
      </c>
      <c r="AK97" s="42">
        <v>6</v>
      </c>
      <c r="AL97" s="42">
        <v>3</v>
      </c>
      <c r="AM97" s="42">
        <v>0.6209326687253206</v>
      </c>
      <c r="AN97" s="42" t="str">
        <v/>
      </c>
      <c r="AO97" s="42" t="str">
        <v/>
      </c>
      <c r="BK97" s="42">
        <v>96</v>
      </c>
      <c r="BL97" s="42">
        <v>1</v>
      </c>
      <c r="BM97" s="42">
        <v>1.8192576091040986</v>
      </c>
      <c r="BN97" s="42">
        <v>1.8192576091040986</v>
      </c>
      <c r="BO97" s="42" t="e">
        <v>#N/A</v>
      </c>
      <c r="BP97" s="42" t="e">
        <v>#N/A</v>
      </c>
      <c r="BQ97" t="e">
        <v>#N/A</v>
      </c>
      <c r="BR97" t="str">
        <v/>
      </c>
      <c r="CN97">
        <v>96</v>
      </c>
      <c r="CO97">
        <v>6</v>
      </c>
      <c r="CP97">
        <v>8.8224752287145186E-2</v>
      </c>
      <c r="CQ97" t="str">
        <v/>
      </c>
    </row>
    <row r="98" spans="34:95" x14ac:dyDescent="0.2">
      <c r="AH98">
        <v>97</v>
      </c>
      <c r="AI98">
        <v>-0.73228346456692917</v>
      </c>
      <c r="AJ98" s="42">
        <v>0.30511757970203796</v>
      </c>
      <c r="AK98" s="42">
        <v>6</v>
      </c>
      <c r="AL98" s="42">
        <v>3</v>
      </c>
      <c r="AM98" s="42">
        <v>0.6209326687253206</v>
      </c>
      <c r="AN98" s="42" t="str">
        <v/>
      </c>
      <c r="AO98" s="42" t="str">
        <v/>
      </c>
      <c r="BK98" s="42">
        <v>97</v>
      </c>
      <c r="BL98" s="42">
        <v>1</v>
      </c>
      <c r="BM98" s="42">
        <v>1.8192576091040986</v>
      </c>
      <c r="BN98" s="42">
        <v>1.8192576091040986</v>
      </c>
      <c r="BO98" s="42" t="e">
        <v>#N/A</v>
      </c>
      <c r="BP98" s="42" t="e">
        <v>#N/A</v>
      </c>
      <c r="BQ98" t="e">
        <v>#N/A</v>
      </c>
      <c r="BR98" t="str">
        <v/>
      </c>
      <c r="CN98">
        <v>97</v>
      </c>
      <c r="CO98">
        <v>6</v>
      </c>
      <c r="CP98">
        <v>8.8224752287145186E-2</v>
      </c>
      <c r="CQ98" t="str">
        <v/>
      </c>
    </row>
    <row r="99" spans="34:95" x14ac:dyDescent="0.2">
      <c r="AH99">
        <v>98</v>
      </c>
      <c r="AI99">
        <v>-0.70866141732283472</v>
      </c>
      <c r="AJ99" s="42">
        <v>0.31035482620248367</v>
      </c>
      <c r="AK99" s="42">
        <v>6</v>
      </c>
      <c r="AL99" s="42">
        <v>3</v>
      </c>
      <c r="AM99" s="42">
        <v>0.6209326687253206</v>
      </c>
      <c r="AN99" s="42" t="str">
        <v/>
      </c>
      <c r="AO99" s="42" t="str">
        <v/>
      </c>
      <c r="BK99" s="42">
        <v>98</v>
      </c>
      <c r="BL99" s="42">
        <v>1</v>
      </c>
      <c r="BM99" s="42">
        <v>1.8192576091040986</v>
      </c>
      <c r="BN99" s="42">
        <v>1.8192576091040986</v>
      </c>
      <c r="BO99" s="42" t="e">
        <v>#N/A</v>
      </c>
      <c r="BP99" s="42" t="e">
        <v>#N/A</v>
      </c>
      <c r="BQ99" t="e">
        <v>#N/A</v>
      </c>
      <c r="BR99" t="str">
        <v/>
      </c>
      <c r="CN99">
        <v>98</v>
      </c>
      <c r="CO99">
        <v>6</v>
      </c>
      <c r="CP99">
        <v>8.8224752287145186E-2</v>
      </c>
      <c r="CQ99" t="str">
        <v/>
      </c>
    </row>
    <row r="100" spans="34:95" x14ac:dyDescent="0.2">
      <c r="AH100">
        <v>99</v>
      </c>
      <c r="AI100">
        <v>-0.68503937007874027</v>
      </c>
      <c r="AJ100" s="42">
        <v>0.31550586662473823</v>
      </c>
      <c r="AK100" s="42">
        <v>6</v>
      </c>
      <c r="AL100" s="42">
        <v>3</v>
      </c>
      <c r="AM100" s="42">
        <v>0.6209326687253206</v>
      </c>
      <c r="AN100" s="42" t="str">
        <v/>
      </c>
      <c r="AO100" s="42" t="str">
        <v/>
      </c>
      <c r="BK100" s="42">
        <v>99</v>
      </c>
      <c r="BL100" s="42">
        <v>1</v>
      </c>
      <c r="BM100" s="42">
        <v>1.8192576091040986</v>
      </c>
      <c r="BN100" s="42">
        <v>1.8192576091040986</v>
      </c>
      <c r="BO100" s="42" t="e">
        <v>#N/A</v>
      </c>
      <c r="BP100" s="42" t="e">
        <v>#N/A</v>
      </c>
      <c r="BQ100" t="e">
        <v>#N/A</v>
      </c>
      <c r="BR100" t="str">
        <v/>
      </c>
      <c r="CN100">
        <v>99</v>
      </c>
      <c r="CO100">
        <v>6</v>
      </c>
      <c r="CP100">
        <v>8.8224752287145186E-2</v>
      </c>
      <c r="CQ100" t="str">
        <v/>
      </c>
    </row>
    <row r="101" spans="34:95" x14ac:dyDescent="0.2">
      <c r="AH101">
        <v>100</v>
      </c>
      <c r="AI101">
        <v>-0.66141732283464583</v>
      </c>
      <c r="AJ101" s="42">
        <v>0.32056347552289172</v>
      </c>
      <c r="AK101" s="42">
        <v>6</v>
      </c>
      <c r="AL101" s="42">
        <v>3</v>
      </c>
      <c r="AM101" s="42">
        <v>0.6209326687253206</v>
      </c>
      <c r="AN101" s="42" t="str">
        <v/>
      </c>
      <c r="AO101" s="42" t="str">
        <v/>
      </c>
      <c r="BK101" s="42">
        <v>100</v>
      </c>
      <c r="BL101" s="42">
        <v>1</v>
      </c>
      <c r="BM101" s="42">
        <v>1.8192576091040986</v>
      </c>
      <c r="BN101" s="42">
        <v>1.8192576091040986</v>
      </c>
      <c r="BO101" s="42" t="e">
        <v>#N/A</v>
      </c>
      <c r="BP101" s="42" t="e">
        <v>#N/A</v>
      </c>
      <c r="BQ101" t="e">
        <v>#N/A</v>
      </c>
      <c r="BR101" t="str">
        <v/>
      </c>
      <c r="CN101">
        <v>100</v>
      </c>
      <c r="CO101">
        <v>6</v>
      </c>
      <c r="CP101">
        <v>8.8224752287145186E-2</v>
      </c>
      <c r="CQ101" t="str">
        <v/>
      </c>
    </row>
    <row r="102" spans="34:95" x14ac:dyDescent="0.2">
      <c r="AH102">
        <v>101</v>
      </c>
      <c r="AI102">
        <v>-0.63779527559055138</v>
      </c>
      <c r="AJ102" s="42">
        <v>0.32552046721958716</v>
      </c>
      <c r="AK102" s="42">
        <v>6</v>
      </c>
      <c r="AL102" s="42">
        <v>3</v>
      </c>
      <c r="AM102" s="42">
        <v>0.6209326687253206</v>
      </c>
      <c r="AN102" s="42" t="str">
        <v/>
      </c>
      <c r="AO102" s="42" t="str">
        <v/>
      </c>
      <c r="BK102" s="42">
        <v>101</v>
      </c>
      <c r="BL102" s="42">
        <v>1</v>
      </c>
      <c r="BM102" s="42">
        <v>1.8192576091040986</v>
      </c>
      <c r="BN102" s="42">
        <v>1.8192576091040986</v>
      </c>
      <c r="BO102" s="42" t="e">
        <v>#N/A</v>
      </c>
      <c r="BP102" s="42" t="e">
        <v>#N/A</v>
      </c>
      <c r="BQ102" t="e">
        <v>#N/A</v>
      </c>
      <c r="BR102" t="str">
        <v/>
      </c>
      <c r="CN102">
        <v>101</v>
      </c>
      <c r="CO102">
        <v>6</v>
      </c>
      <c r="CP102">
        <v>8.8224752287145186E-2</v>
      </c>
      <c r="CQ102" t="str">
        <v/>
      </c>
    </row>
    <row r="103" spans="34:95" x14ac:dyDescent="0.2">
      <c r="AH103">
        <v>102</v>
      </c>
      <c r="AI103">
        <v>-0.61417322834645693</v>
      </c>
      <c r="AJ103" s="42">
        <v>0.33036971260328207</v>
      </c>
      <c r="AK103" s="42">
        <v>6</v>
      </c>
      <c r="AL103" s="42">
        <v>3</v>
      </c>
      <c r="AM103" s="42">
        <v>0.6209326687253206</v>
      </c>
      <c r="AN103" s="42" t="str">
        <v/>
      </c>
      <c r="AO103" s="42" t="str">
        <v/>
      </c>
      <c r="BK103" s="42">
        <v>102</v>
      </c>
      <c r="BL103" s="42">
        <v>1</v>
      </c>
      <c r="BM103" s="42">
        <v>1.8192576091040986</v>
      </c>
      <c r="BN103" s="42">
        <v>1.8192576091040986</v>
      </c>
      <c r="BO103" s="42" t="e">
        <v>#N/A</v>
      </c>
      <c r="BP103" s="42" t="e">
        <v>#N/A</v>
      </c>
      <c r="BQ103" t="e">
        <v>#N/A</v>
      </c>
      <c r="BR103" t="str">
        <v/>
      </c>
      <c r="CN103">
        <v>102</v>
      </c>
      <c r="CO103">
        <v>6</v>
      </c>
      <c r="CP103">
        <v>8.8224752287145186E-2</v>
      </c>
      <c r="CQ103" t="str">
        <v/>
      </c>
    </row>
    <row r="104" spans="34:95" x14ac:dyDescent="0.2">
      <c r="AH104">
        <v>103</v>
      </c>
      <c r="AI104">
        <v>-0.59055118110236204</v>
      </c>
      <c r="AJ104" s="42">
        <v>0.33510415603097365</v>
      </c>
      <c r="AK104" s="42">
        <v>7</v>
      </c>
      <c r="AL104" s="42">
        <v>4</v>
      </c>
      <c r="AM104" s="42">
        <v>0.8279102249670941</v>
      </c>
      <c r="AN104" s="42">
        <v>-0.73</v>
      </c>
      <c r="AO104" s="42" t="str">
        <v/>
      </c>
      <c r="BK104" s="42">
        <v>103</v>
      </c>
      <c r="BL104" s="42">
        <v>1</v>
      </c>
      <c r="BM104" s="42">
        <v>1.8192576091040986</v>
      </c>
      <c r="BN104" s="42">
        <v>1.8192576091040986</v>
      </c>
      <c r="BO104" s="42" t="e">
        <v>#N/A</v>
      </c>
      <c r="BP104" s="42" t="e">
        <v>#N/A</v>
      </c>
      <c r="BQ104" t="e">
        <v>#N/A</v>
      </c>
      <c r="BR104" t="str">
        <v/>
      </c>
      <c r="CN104">
        <v>103</v>
      </c>
      <c r="CO104">
        <v>6</v>
      </c>
      <c r="CP104">
        <v>8.8224752287145186E-2</v>
      </c>
      <c r="CQ104" t="str">
        <v/>
      </c>
    </row>
    <row r="105" spans="34:95" x14ac:dyDescent="0.2">
      <c r="AH105">
        <v>104</v>
      </c>
      <c r="AI105">
        <v>-0.5669291338582676</v>
      </c>
      <c r="AJ105" s="42">
        <v>0.33971683228102528</v>
      </c>
      <c r="AK105" s="42">
        <v>7</v>
      </c>
      <c r="AL105" s="42">
        <v>4</v>
      </c>
      <c r="AM105" s="42">
        <v>0.8279102249670941</v>
      </c>
      <c r="AN105" s="42" t="str">
        <v/>
      </c>
      <c r="AO105" s="42" t="str">
        <v/>
      </c>
      <c r="BK105" s="42">
        <v>104</v>
      </c>
      <c r="BL105" s="42">
        <v>1</v>
      </c>
      <c r="BM105" s="42">
        <v>1.8192576091040986</v>
      </c>
      <c r="BN105" s="42">
        <v>1.8192576091040986</v>
      </c>
      <c r="BO105" s="42" t="e">
        <v>#N/A</v>
      </c>
      <c r="BP105" s="42" t="e">
        <v>#N/A</v>
      </c>
      <c r="BQ105" t="e">
        <v>#N/A</v>
      </c>
      <c r="BR105" t="str">
        <v/>
      </c>
      <c r="CN105">
        <v>104</v>
      </c>
      <c r="CO105">
        <v>6</v>
      </c>
      <c r="CP105">
        <v>8.8224752287145186E-2</v>
      </c>
      <c r="CQ105" t="str">
        <v/>
      </c>
    </row>
    <row r="106" spans="34:95" x14ac:dyDescent="0.2">
      <c r="AH106">
        <v>105</v>
      </c>
      <c r="AI106">
        <v>-0.54330708661417315</v>
      </c>
      <c r="AJ106" s="42">
        <v>0.34420088349969502</v>
      </c>
      <c r="AK106" s="42">
        <v>7</v>
      </c>
      <c r="AL106" s="42">
        <v>4</v>
      </c>
      <c r="AM106" s="42">
        <v>0.8279102249670941</v>
      </c>
      <c r="AN106" s="42" t="str">
        <v/>
      </c>
      <c r="AO106" s="42" t="str">
        <v/>
      </c>
      <c r="BK106" s="42">
        <v>105</v>
      </c>
      <c r="BL106" s="42">
        <v>1</v>
      </c>
      <c r="BM106" s="42">
        <v>1.8192576091040986</v>
      </c>
      <c r="BN106" s="42">
        <v>1.8192576091040986</v>
      </c>
      <c r="BO106" s="42" t="e">
        <v>#N/A</v>
      </c>
      <c r="BP106" s="42" t="e">
        <v>#N/A</v>
      </c>
      <c r="BQ106" t="e">
        <v>#N/A</v>
      </c>
      <c r="BR106" t="str">
        <v/>
      </c>
      <c r="CN106">
        <v>105</v>
      </c>
      <c r="CO106">
        <v>6</v>
      </c>
      <c r="CP106">
        <v>8.8224752287145186E-2</v>
      </c>
      <c r="CQ106" t="str">
        <v/>
      </c>
    </row>
    <row r="107" spans="34:95" x14ac:dyDescent="0.2">
      <c r="AH107">
        <v>106</v>
      </c>
      <c r="AI107">
        <v>-0.51968503937007871</v>
      </c>
      <c r="AJ107" s="42">
        <v>0.34854957608416842</v>
      </c>
      <c r="AK107" s="42">
        <v>7</v>
      </c>
      <c r="AL107" s="42">
        <v>4</v>
      </c>
      <c r="AM107" s="42">
        <v>0.8279102249670941</v>
      </c>
      <c r="AN107" s="42" t="str">
        <v/>
      </c>
      <c r="AO107" s="42" t="str">
        <v/>
      </c>
      <c r="BK107" s="42">
        <v>106</v>
      </c>
      <c r="BL107" s="42">
        <v>1</v>
      </c>
      <c r="BM107" s="42">
        <v>1.8192576091040986</v>
      </c>
      <c r="BN107" s="42">
        <v>1.8192576091040986</v>
      </c>
      <c r="BO107" s="42" t="e">
        <v>#N/A</v>
      </c>
      <c r="BP107" s="42" t="e">
        <v>#N/A</v>
      </c>
      <c r="BQ107" t="e">
        <v>#N/A</v>
      </c>
      <c r="BR107" t="str">
        <v/>
      </c>
      <c r="CN107">
        <v>106</v>
      </c>
      <c r="CO107">
        <v>6</v>
      </c>
      <c r="CP107">
        <v>8.8224752287145186E-2</v>
      </c>
      <c r="CQ107" t="str">
        <v/>
      </c>
    </row>
    <row r="108" spans="34:95" x14ac:dyDescent="0.2">
      <c r="AH108">
        <v>107</v>
      </c>
      <c r="AI108">
        <v>-0.49606299212598426</v>
      </c>
      <c r="AJ108" s="42">
        <v>0.35275631744434299</v>
      </c>
      <c r="AK108" s="42">
        <v>7</v>
      </c>
      <c r="AL108" s="42">
        <v>4</v>
      </c>
      <c r="AM108" s="42">
        <v>0.8279102249670941</v>
      </c>
      <c r="AN108" s="42" t="str">
        <v/>
      </c>
      <c r="AO108" s="42" t="str">
        <v/>
      </c>
      <c r="BK108" s="42">
        <v>107</v>
      </c>
      <c r="BL108" s="42">
        <v>1</v>
      </c>
      <c r="BM108" s="42">
        <v>1.8192576091040986</v>
      </c>
      <c r="BN108" s="42">
        <v>1.8192576091040986</v>
      </c>
      <c r="BO108" s="42" t="e">
        <v>#N/A</v>
      </c>
      <c r="BP108" s="42" t="e">
        <v>#N/A</v>
      </c>
      <c r="BQ108" t="e">
        <v>#N/A</v>
      </c>
      <c r="BR108" t="str">
        <v/>
      </c>
      <c r="CN108">
        <v>107</v>
      </c>
      <c r="CO108">
        <v>6</v>
      </c>
      <c r="CP108">
        <v>8.8224752287145186E-2</v>
      </c>
      <c r="CQ108" t="str">
        <v/>
      </c>
    </row>
    <row r="109" spans="34:95" x14ac:dyDescent="0.2">
      <c r="AH109">
        <v>108</v>
      </c>
      <c r="AI109">
        <v>-0.47244094488188981</v>
      </c>
      <c r="AJ109" s="42">
        <v>0.35681467258531119</v>
      </c>
      <c r="AK109" s="42">
        <v>7</v>
      </c>
      <c r="AL109" s="42">
        <v>4</v>
      </c>
      <c r="AM109" s="42">
        <v>0.8279102249670941</v>
      </c>
      <c r="AN109" s="42" t="str">
        <v/>
      </c>
      <c r="AO109" s="42" t="str">
        <v/>
      </c>
      <c r="BK109" s="42">
        <v>108</v>
      </c>
      <c r="BL109" s="42">
        <v>1</v>
      </c>
      <c r="BM109" s="42">
        <v>1.8192576091040986</v>
      </c>
      <c r="BN109" s="42">
        <v>1.8192576091040986</v>
      </c>
      <c r="BO109" s="42" t="e">
        <v>#N/A</v>
      </c>
      <c r="BP109" s="42" t="e">
        <v>#N/A</v>
      </c>
      <c r="BQ109" t="e">
        <v>#N/A</v>
      </c>
      <c r="BR109" t="str">
        <v/>
      </c>
      <c r="CN109">
        <v>108</v>
      </c>
      <c r="CO109">
        <v>6</v>
      </c>
      <c r="CP109">
        <v>8.8224752287145186E-2</v>
      </c>
      <c r="CQ109" t="str">
        <v/>
      </c>
    </row>
    <row r="110" spans="34:95" x14ac:dyDescent="0.2">
      <c r="AH110">
        <v>109</v>
      </c>
      <c r="AI110">
        <v>-0.44881889763779537</v>
      </c>
      <c r="AJ110" s="42">
        <v>0.36071838045244237</v>
      </c>
      <c r="AK110" s="42">
        <v>7</v>
      </c>
      <c r="AL110" s="42">
        <v>4</v>
      </c>
      <c r="AM110" s="42">
        <v>0.8279102249670941</v>
      </c>
      <c r="AN110" s="42" t="str">
        <v/>
      </c>
      <c r="AO110" s="42" t="str">
        <v/>
      </c>
      <c r="BK110" s="42">
        <v>109</v>
      </c>
      <c r="BL110" s="42">
        <v>1</v>
      </c>
      <c r="BM110" s="42">
        <v>1.8192576091040986</v>
      </c>
      <c r="BN110" s="42">
        <v>1.8192576091040986</v>
      </c>
      <c r="BO110" s="42" t="e">
        <v>#N/A</v>
      </c>
      <c r="BP110" s="42" t="e">
        <v>#N/A</v>
      </c>
      <c r="BQ110" t="e">
        <v>#N/A</v>
      </c>
      <c r="BR110" t="str">
        <v/>
      </c>
      <c r="CN110">
        <v>109</v>
      </c>
      <c r="CO110">
        <v>6</v>
      </c>
      <c r="CP110">
        <v>8.8224752287145186E-2</v>
      </c>
      <c r="CQ110" t="str">
        <v/>
      </c>
    </row>
    <row r="111" spans="34:95" x14ac:dyDescent="0.2">
      <c r="AH111">
        <v>110</v>
      </c>
      <c r="AI111">
        <v>-0.42519685039370092</v>
      </c>
      <c r="AJ111" s="42">
        <v>0.36446136998117984</v>
      </c>
      <c r="AK111" s="42">
        <v>7</v>
      </c>
      <c r="AL111" s="42">
        <v>4</v>
      </c>
      <c r="AM111" s="42">
        <v>0.8279102249670941</v>
      </c>
      <c r="AN111" s="42" t="str">
        <v/>
      </c>
      <c r="AO111" s="42" t="str">
        <v/>
      </c>
      <c r="BK111" s="42">
        <v>110</v>
      </c>
      <c r="BL111" s="42">
        <v>1</v>
      </c>
      <c r="BM111" s="42">
        <v>1.8192576091040986</v>
      </c>
      <c r="BN111" s="42">
        <v>1.8192576091040986</v>
      </c>
      <c r="BO111" s="42" t="e">
        <v>#N/A</v>
      </c>
      <c r="BP111" s="42" t="e">
        <v>#N/A</v>
      </c>
      <c r="BQ111" t="e">
        <v>#N/A</v>
      </c>
      <c r="BR111" t="str">
        <v/>
      </c>
      <c r="CN111">
        <v>110</v>
      </c>
      <c r="CO111">
        <v>6</v>
      </c>
      <c r="CP111">
        <v>8.8224752287145186E-2</v>
      </c>
      <c r="CQ111" t="str">
        <v/>
      </c>
    </row>
    <row r="112" spans="34:95" x14ac:dyDescent="0.2">
      <c r="AH112">
        <v>111</v>
      </c>
      <c r="AI112">
        <v>-0.40157480314960647</v>
      </c>
      <c r="AJ112" s="42">
        <v>0.36803777579414604</v>
      </c>
      <c r="AK112" s="42">
        <v>7</v>
      </c>
      <c r="AL112" s="42">
        <v>4</v>
      </c>
      <c r="AM112" s="42">
        <v>0.8279102249670941</v>
      </c>
      <c r="AN112" s="42" t="str">
        <v/>
      </c>
      <c r="AO112" s="42" t="str">
        <v/>
      </c>
      <c r="BK112" s="42">
        <v>111</v>
      </c>
      <c r="BL112" s="42">
        <v>1</v>
      </c>
      <c r="BM112" s="42">
        <v>1.8192576091040986</v>
      </c>
      <c r="BN112" s="42">
        <v>1.8192576091040986</v>
      </c>
      <c r="BO112" s="42" t="e">
        <v>#N/A</v>
      </c>
      <c r="BP112" s="42" t="e">
        <v>#N/A</v>
      </c>
      <c r="BQ112" t="e">
        <v>#N/A</v>
      </c>
      <c r="BR112" t="str">
        <v/>
      </c>
      <c r="CN112">
        <v>111</v>
      </c>
      <c r="CO112">
        <v>6</v>
      </c>
      <c r="CP112">
        <v>8.8224752287145186E-2</v>
      </c>
      <c r="CQ112" t="str">
        <v/>
      </c>
    </row>
    <row r="113" spans="34:95" x14ac:dyDescent="0.2">
      <c r="AH113">
        <v>112</v>
      </c>
      <c r="AI113">
        <v>-0.37795275590551203</v>
      </c>
      <c r="AJ113" s="42">
        <v>0.3714419534888897</v>
      </c>
      <c r="AK113" s="42">
        <v>7</v>
      </c>
      <c r="AL113" s="42">
        <v>4</v>
      </c>
      <c r="AM113" s="42">
        <v>0.8279102249670941</v>
      </c>
      <c r="AN113" s="42" t="str">
        <v/>
      </c>
      <c r="AO113" s="42" t="str">
        <v/>
      </c>
      <c r="BK113" s="42">
        <v>112</v>
      </c>
      <c r="BL113" s="42">
        <v>1</v>
      </c>
      <c r="BM113" s="42">
        <v>1.8192576091040986</v>
      </c>
      <c r="BN113" s="42">
        <v>1.8192576091040986</v>
      </c>
      <c r="BO113" s="42" t="e">
        <v>#N/A</v>
      </c>
      <c r="BP113" s="42" t="e">
        <v>#N/A</v>
      </c>
      <c r="BQ113" t="e">
        <v>#N/A</v>
      </c>
      <c r="BR113" t="str">
        <v/>
      </c>
      <c r="CN113">
        <v>112</v>
      </c>
      <c r="CO113">
        <v>6</v>
      </c>
      <c r="CP113">
        <v>8.8224752287145186E-2</v>
      </c>
      <c r="CQ113" t="str">
        <v/>
      </c>
    </row>
    <row r="114" spans="34:95" x14ac:dyDescent="0.2">
      <c r="AH114">
        <v>113</v>
      </c>
      <c r="AI114">
        <v>-0.35433070866141758</v>
      </c>
      <c r="AJ114" s="42">
        <v>0.37466849446061029</v>
      </c>
      <c r="AK114" s="42">
        <v>7</v>
      </c>
      <c r="AL114" s="42">
        <v>4</v>
      </c>
      <c r="AM114" s="42">
        <v>0.8279102249670941</v>
      </c>
      <c r="AN114" s="42" t="str">
        <v/>
      </c>
      <c r="AO114" s="42" t="str">
        <v/>
      </c>
      <c r="BK114" s="42">
        <v>113</v>
      </c>
      <c r="BL114" s="42">
        <v>1</v>
      </c>
      <c r="BM114" s="42">
        <v>1.8192576091040986</v>
      </c>
      <c r="BN114" s="42">
        <v>1.8192576091040986</v>
      </c>
      <c r="BO114" s="42" t="e">
        <v>#N/A</v>
      </c>
      <c r="BP114" s="42" t="e">
        <v>#N/A</v>
      </c>
      <c r="BQ114" t="e">
        <v>#N/A</v>
      </c>
      <c r="BR114" t="str">
        <v/>
      </c>
      <c r="CN114">
        <v>113</v>
      </c>
      <c r="CO114">
        <v>6</v>
      </c>
      <c r="CP114">
        <v>8.8224752287145186E-2</v>
      </c>
      <c r="CQ114" t="str">
        <v/>
      </c>
    </row>
    <row r="115" spans="34:95" x14ac:dyDescent="0.2">
      <c r="AH115">
        <v>114</v>
      </c>
      <c r="AI115">
        <v>-0.33070866141732269</v>
      </c>
      <c r="AJ115" s="42">
        <v>0.3777122402054594</v>
      </c>
      <c r="AK115" s="42">
        <v>7</v>
      </c>
      <c r="AL115" s="42">
        <v>4</v>
      </c>
      <c r="AM115" s="42">
        <v>0.8279102249670941</v>
      </c>
      <c r="AN115" s="42" t="str">
        <v/>
      </c>
      <c r="AO115" s="42" t="str">
        <v/>
      </c>
      <c r="BK115" s="42">
        <v>114</v>
      </c>
      <c r="BL115" s="42">
        <v>1</v>
      </c>
      <c r="BM115" s="42">
        <v>1.8192576091040986</v>
      </c>
      <c r="BN115" s="42">
        <v>1.8192576091040986</v>
      </c>
      <c r="BO115" s="42" t="e">
        <v>#N/A</v>
      </c>
      <c r="BP115" s="42" t="e">
        <v>#N/A</v>
      </c>
      <c r="BQ115" t="e">
        <v>#N/A</v>
      </c>
      <c r="BR115" t="str">
        <v/>
      </c>
      <c r="CN115">
        <v>114</v>
      </c>
      <c r="CO115">
        <v>6</v>
      </c>
      <c r="CP115">
        <v>8.8224752287145186E-2</v>
      </c>
      <c r="CQ115" t="str">
        <v/>
      </c>
    </row>
    <row r="116" spans="34:95" x14ac:dyDescent="0.2">
      <c r="AH116">
        <v>115</v>
      </c>
      <c r="AI116">
        <v>-0.30708661417322825</v>
      </c>
      <c r="AJ116" s="42">
        <v>0.38056829605153553</v>
      </c>
      <c r="AK116" s="42">
        <v>7</v>
      </c>
      <c r="AL116" s="42">
        <v>4</v>
      </c>
      <c r="AM116" s="42">
        <v>0.8279102249670941</v>
      </c>
      <c r="AN116" s="42" t="str">
        <v/>
      </c>
      <c r="AO116" s="42" t="str">
        <v/>
      </c>
      <c r="BK116" s="42">
        <v>115</v>
      </c>
      <c r="BL116" s="42">
        <v>1</v>
      </c>
      <c r="BM116" s="42">
        <v>1.8192576091040986</v>
      </c>
      <c r="BN116" s="42">
        <v>1.8192576091040986</v>
      </c>
      <c r="BO116" s="42" t="e">
        <v>#N/A</v>
      </c>
      <c r="BP116" s="42" t="e">
        <v>#N/A</v>
      </c>
      <c r="BQ116" t="e">
        <v>#N/A</v>
      </c>
      <c r="BR116" t="str">
        <v/>
      </c>
      <c r="CN116">
        <v>115</v>
      </c>
      <c r="CO116">
        <v>6</v>
      </c>
      <c r="CP116">
        <v>8.8224752287145186E-2</v>
      </c>
      <c r="CQ116" t="str">
        <v/>
      </c>
    </row>
    <row r="117" spans="34:95" x14ac:dyDescent="0.2">
      <c r="AH117">
        <v>116</v>
      </c>
      <c r="AI117">
        <v>-0.2834645669291338</v>
      </c>
      <c r="AJ117" s="42">
        <v>0.38323204426646018</v>
      </c>
      <c r="AK117" s="42">
        <v>7</v>
      </c>
      <c r="AL117" s="42">
        <v>4</v>
      </c>
      <c r="AM117" s="42">
        <v>0.8279102249670941</v>
      </c>
      <c r="AN117" s="42" t="str">
        <v/>
      </c>
      <c r="AO117" s="42" t="str">
        <v/>
      </c>
      <c r="BK117" s="42">
        <v>116</v>
      </c>
      <c r="BL117" s="42">
        <v>1</v>
      </c>
      <c r="BM117" s="42">
        <v>1.8192576091040986</v>
      </c>
      <c r="BN117" s="42">
        <v>1.8192576091040986</v>
      </c>
      <c r="BO117" s="42" t="e">
        <v>#N/A</v>
      </c>
      <c r="BP117" s="42" t="e">
        <v>#N/A</v>
      </c>
      <c r="BQ117" t="e">
        <v>#N/A</v>
      </c>
      <c r="BR117" t="str">
        <v/>
      </c>
      <c r="CN117">
        <v>116</v>
      </c>
      <c r="CO117">
        <v>6</v>
      </c>
      <c r="CP117">
        <v>8.8224752287145186E-2</v>
      </c>
      <c r="CQ117" t="str">
        <v/>
      </c>
    </row>
    <row r="118" spans="34:95" x14ac:dyDescent="0.2">
      <c r="AH118">
        <v>117</v>
      </c>
      <c r="AI118">
        <v>-0.25984251968503935</v>
      </c>
      <c r="AJ118" s="42">
        <v>0.38569915649243564</v>
      </c>
      <c r="AK118" s="42">
        <v>7</v>
      </c>
      <c r="AL118" s="42">
        <v>4</v>
      </c>
      <c r="AM118" s="42">
        <v>0.8279102249670941</v>
      </c>
      <c r="AN118" s="42" t="str">
        <v/>
      </c>
      <c r="AO118" s="42" t="str">
        <v/>
      </c>
      <c r="BK118" s="42">
        <v>117</v>
      </c>
      <c r="BL118" s="42">
        <v>1</v>
      </c>
      <c r="BM118" s="42">
        <v>1.8192576091040986</v>
      </c>
      <c r="BN118" s="42">
        <v>1.8192576091040986</v>
      </c>
      <c r="BO118" s="42" t="e">
        <v>#N/A</v>
      </c>
      <c r="BP118" s="42" t="e">
        <v>#N/A</v>
      </c>
      <c r="BQ118" t="e">
        <v>#N/A</v>
      </c>
      <c r="BR118" t="str">
        <v/>
      </c>
      <c r="CN118">
        <v>117</v>
      </c>
      <c r="CO118">
        <v>6</v>
      </c>
      <c r="CP118">
        <v>8.8224752287145186E-2</v>
      </c>
      <c r="CQ118" t="str">
        <v/>
      </c>
    </row>
    <row r="119" spans="34:95" x14ac:dyDescent="0.2">
      <c r="AH119">
        <v>118</v>
      </c>
      <c r="AI119">
        <v>-0.23622047244094491</v>
      </c>
      <c r="AJ119" s="42">
        <v>0.38796560546193709</v>
      </c>
      <c r="AK119" s="42">
        <v>7</v>
      </c>
      <c r="AL119" s="42">
        <v>4</v>
      </c>
      <c r="AM119" s="42">
        <v>0.8279102249670941</v>
      </c>
      <c r="AN119" s="42" t="str">
        <v/>
      </c>
      <c r="AO119" s="42" t="str">
        <v/>
      </c>
      <c r="BK119" s="42">
        <v>118</v>
      </c>
      <c r="BL119" s="42">
        <v>1</v>
      </c>
      <c r="BM119" s="42">
        <v>1.8192576091040986</v>
      </c>
      <c r="BN119" s="42">
        <v>1.8192576091040986</v>
      </c>
      <c r="BO119" s="42" t="e">
        <v>#N/A</v>
      </c>
      <c r="BP119" s="42" t="e">
        <v>#N/A</v>
      </c>
      <c r="BQ119" t="e">
        <v>#N/A</v>
      </c>
      <c r="BR119" t="str">
        <v/>
      </c>
      <c r="CN119">
        <v>118</v>
      </c>
      <c r="CO119">
        <v>6</v>
      </c>
      <c r="CP119">
        <v>8.8224752287145186E-2</v>
      </c>
      <c r="CQ119" t="str">
        <v/>
      </c>
    </row>
    <row r="120" spans="34:95" x14ac:dyDescent="0.2">
      <c r="AH120">
        <v>119</v>
      </c>
      <c r="AI120">
        <v>-0.21259842519685046</v>
      </c>
      <c r="AJ120" s="42">
        <v>0.39002767594966714</v>
      </c>
      <c r="AK120" s="42">
        <v>7</v>
      </c>
      <c r="AL120" s="42">
        <v>4</v>
      </c>
      <c r="AM120" s="42">
        <v>0.8279102249670941</v>
      </c>
      <c r="AN120" s="42" t="str">
        <v/>
      </c>
      <c r="AO120" s="42" t="str">
        <v/>
      </c>
      <c r="BK120" s="42">
        <v>119</v>
      </c>
      <c r="BL120" s="42">
        <v>1</v>
      </c>
      <c r="BM120" s="42">
        <v>1.8192576091040986</v>
      </c>
      <c r="BN120" s="42">
        <v>1.8192576091040986</v>
      </c>
      <c r="BO120" s="42" t="e">
        <v>#N/A</v>
      </c>
      <c r="BP120" s="42" t="e">
        <v>#N/A</v>
      </c>
      <c r="BQ120" t="e">
        <v>#N/A</v>
      </c>
      <c r="BR120" t="str">
        <v/>
      </c>
      <c r="CN120">
        <v>119</v>
      </c>
      <c r="CO120">
        <v>6</v>
      </c>
      <c r="CP120">
        <v>8.8224752287145186E-2</v>
      </c>
      <c r="CQ120" t="str">
        <v/>
      </c>
    </row>
    <row r="121" spans="34:95" x14ac:dyDescent="0.2">
      <c r="AH121">
        <v>120</v>
      </c>
      <c r="AI121">
        <v>-0.18897637795275601</v>
      </c>
      <c r="AJ121" s="42">
        <v>0.39188197491909466</v>
      </c>
      <c r="AK121" s="42">
        <v>8</v>
      </c>
      <c r="AL121" s="42">
        <v>3</v>
      </c>
      <c r="AM121" s="42">
        <v>0.6209326687253206</v>
      </c>
      <c r="AN121" s="42">
        <v>0.99</v>
      </c>
      <c r="AO121" s="42" t="str">
        <v/>
      </c>
      <c r="BK121" s="42">
        <v>120</v>
      </c>
      <c r="BL121" s="42">
        <v>1</v>
      </c>
      <c r="BM121" s="42">
        <v>1.8192576091040986</v>
      </c>
      <c r="BN121" s="42">
        <v>1.8192576091040986</v>
      </c>
      <c r="BO121" s="42" t="e">
        <v>#N/A</v>
      </c>
      <c r="BP121" s="42" t="e">
        <v>#N/A</v>
      </c>
      <c r="BQ121" t="e">
        <v>#N/A</v>
      </c>
      <c r="BR121" t="str">
        <v/>
      </c>
      <c r="CN121">
        <v>120</v>
      </c>
      <c r="CO121">
        <v>6</v>
      </c>
      <c r="CP121">
        <v>8.8224752287145186E-2</v>
      </c>
      <c r="CQ121" t="str">
        <v/>
      </c>
    </row>
    <row r="122" spans="34:95" x14ac:dyDescent="0.2">
      <c r="AH122">
        <v>121</v>
      </c>
      <c r="AI122">
        <v>-0.16535433070866157</v>
      </c>
      <c r="AJ122" s="42">
        <v>0.39352544082479718</v>
      </c>
      <c r="AK122" s="42">
        <v>8</v>
      </c>
      <c r="AL122" s="42">
        <v>3</v>
      </c>
      <c r="AM122" s="42">
        <v>0.6209326687253206</v>
      </c>
      <c r="AN122" s="42" t="str">
        <v/>
      </c>
      <c r="AO122" s="42" t="str">
        <v/>
      </c>
      <c r="BK122" s="42">
        <v>121</v>
      </c>
      <c r="BL122" s="42">
        <v>1</v>
      </c>
      <c r="BM122" s="42">
        <v>1.8192576091040986</v>
      </c>
      <c r="BN122" s="42">
        <v>1.8192576091040986</v>
      </c>
      <c r="BO122" s="42" t="e">
        <v>#N/A</v>
      </c>
      <c r="BP122" s="42" t="e">
        <v>#N/A</v>
      </c>
      <c r="BQ122" t="e">
        <v>#N/A</v>
      </c>
      <c r="BR122" t="str">
        <v/>
      </c>
      <c r="CN122">
        <v>121</v>
      </c>
      <c r="CO122">
        <v>6</v>
      </c>
      <c r="CP122">
        <v>8.8224752287145186E-2</v>
      </c>
      <c r="CQ122" t="str">
        <v/>
      </c>
    </row>
    <row r="123" spans="34:95" x14ac:dyDescent="0.2">
      <c r="AH123">
        <v>122</v>
      </c>
      <c r="AI123">
        <v>-0.14173228346456712</v>
      </c>
      <c r="AJ123" s="42">
        <v>0.39495535203491233</v>
      </c>
      <c r="AK123" s="42">
        <v>8</v>
      </c>
      <c r="AL123" s="42">
        <v>3</v>
      </c>
      <c r="AM123" s="42">
        <v>0.6209326687253206</v>
      </c>
      <c r="AN123" s="42" t="str">
        <v/>
      </c>
      <c r="AO123" s="42" t="str">
        <v/>
      </c>
      <c r="BK123" s="42">
        <v>122</v>
      </c>
      <c r="BL123" s="42">
        <v>1</v>
      </c>
      <c r="BM123" s="42">
        <v>1.8192576091040986</v>
      </c>
      <c r="BN123" s="42">
        <v>1.8192576091040986</v>
      </c>
      <c r="BO123" s="42" t="e">
        <v>#N/A</v>
      </c>
      <c r="BP123" s="42" t="e">
        <v>#N/A</v>
      </c>
      <c r="BQ123" t="e">
        <v>#N/A</v>
      </c>
      <c r="BR123" t="str">
        <v/>
      </c>
      <c r="CN123">
        <v>122</v>
      </c>
      <c r="CO123">
        <v>6</v>
      </c>
      <c r="CP123">
        <v>8.8224752287145186E-2</v>
      </c>
      <c r="CQ123" t="str">
        <v/>
      </c>
    </row>
    <row r="124" spans="34:95" x14ac:dyDescent="0.2">
      <c r="AH124">
        <v>123</v>
      </c>
      <c r="AI124">
        <v>-0.11811023622047268</v>
      </c>
      <c r="AJ124" s="42">
        <v>0.39616933434126872</v>
      </c>
      <c r="AK124" s="42">
        <v>8</v>
      </c>
      <c r="AL124" s="42">
        <v>3</v>
      </c>
      <c r="AM124" s="42">
        <v>0.6209326687253206</v>
      </c>
      <c r="AN124" s="42" t="str">
        <v/>
      </c>
      <c r="AO124" s="42" t="str">
        <v/>
      </c>
      <c r="BK124" s="42">
        <v>123</v>
      </c>
      <c r="BL124" s="42">
        <v>1</v>
      </c>
      <c r="BM124" s="42">
        <v>1.8192576091040986</v>
      </c>
      <c r="BN124" s="42">
        <v>1.8192576091040986</v>
      </c>
      <c r="BO124" s="42" t="e">
        <v>#N/A</v>
      </c>
      <c r="BP124" s="42" t="e">
        <v>#N/A</v>
      </c>
      <c r="BQ124" t="e">
        <v>#N/A</v>
      </c>
      <c r="BR124" t="str">
        <v/>
      </c>
      <c r="CN124">
        <v>123</v>
      </c>
      <c r="CO124">
        <v>6</v>
      </c>
      <c r="CP124">
        <v>8.8224752287145186E-2</v>
      </c>
      <c r="CQ124" t="str">
        <v/>
      </c>
    </row>
    <row r="125" spans="34:95" x14ac:dyDescent="0.2">
      <c r="AH125">
        <v>124</v>
      </c>
      <c r="AI125">
        <v>-9.4488188976377785E-2</v>
      </c>
      <c r="AJ125" s="42">
        <v>0.39716536752818871</v>
      </c>
      <c r="AK125" s="42">
        <v>8</v>
      </c>
      <c r="AL125" s="42">
        <v>3</v>
      </c>
      <c r="AM125" s="42">
        <v>0.6209326687253206</v>
      </c>
      <c r="AN125" s="42" t="str">
        <v/>
      </c>
      <c r="AO125" s="42" t="str">
        <v/>
      </c>
      <c r="BK125" s="42">
        <v>124</v>
      </c>
      <c r="BL125" s="42">
        <v>1</v>
      </c>
      <c r="BM125" s="42">
        <v>1.8192576091040986</v>
      </c>
      <c r="BN125" s="42">
        <v>1.8192576091040986</v>
      </c>
      <c r="BO125" s="42" t="e">
        <v>#N/A</v>
      </c>
      <c r="BP125" s="42" t="e">
        <v>#N/A</v>
      </c>
      <c r="BQ125" t="e">
        <v>#N/A</v>
      </c>
      <c r="BR125" t="str">
        <v/>
      </c>
      <c r="CN125">
        <v>124</v>
      </c>
      <c r="CO125">
        <v>6</v>
      </c>
      <c r="CP125">
        <v>8.8224752287145186E-2</v>
      </c>
      <c r="CQ125" t="str">
        <v/>
      </c>
    </row>
    <row r="126" spans="34:95" x14ac:dyDescent="0.2">
      <c r="AH126">
        <v>125</v>
      </c>
      <c r="AI126">
        <v>-7.0866141732283339E-2</v>
      </c>
      <c r="AJ126" s="42">
        <v>0.39794179097452625</v>
      </c>
      <c r="AK126" s="42">
        <v>8</v>
      </c>
      <c r="AL126" s="42">
        <v>3</v>
      </c>
      <c r="AM126" s="42">
        <v>0.6209326687253206</v>
      </c>
      <c r="AN126" s="42" t="str">
        <v/>
      </c>
      <c r="AO126" s="42" t="str">
        <v/>
      </c>
      <c r="BK126" s="42">
        <v>125</v>
      </c>
      <c r="BL126" s="42">
        <v>1</v>
      </c>
      <c r="BM126" s="42">
        <v>1.8192576091040986</v>
      </c>
      <c r="BN126" s="42">
        <v>1.8192576091040986</v>
      </c>
      <c r="BO126" s="42" t="e">
        <v>#N/A</v>
      </c>
      <c r="BP126" s="42" t="e">
        <v>#N/A</v>
      </c>
      <c r="BQ126" t="e">
        <v>#N/A</v>
      </c>
      <c r="BR126" t="str">
        <v/>
      </c>
      <c r="CN126">
        <v>125</v>
      </c>
      <c r="CO126">
        <v>6</v>
      </c>
      <c r="CP126">
        <v>8.8224752287145186E-2</v>
      </c>
      <c r="CQ126" t="str">
        <v/>
      </c>
    </row>
    <row r="127" spans="34:95" x14ac:dyDescent="0.2">
      <c r="AH127">
        <v>126</v>
      </c>
      <c r="AI127">
        <v>-4.7244094488188892E-2</v>
      </c>
      <c r="AJ127" s="42">
        <v>0.39849730826719421</v>
      </c>
      <c r="AK127" s="42">
        <v>8</v>
      </c>
      <c r="AL127" s="42">
        <v>3</v>
      </c>
      <c r="AM127" s="42">
        <v>0.6209326687253206</v>
      </c>
      <c r="AN127" s="42" t="str">
        <v/>
      </c>
      <c r="AO127" s="42" t="str">
        <v/>
      </c>
      <c r="BK127" s="42">
        <v>126</v>
      </c>
      <c r="BL127" s="42">
        <v>1</v>
      </c>
      <c r="BM127" s="42">
        <v>1.8192576091040986</v>
      </c>
      <c r="BN127" s="42">
        <v>1.8192576091040986</v>
      </c>
      <c r="BO127" s="42" t="e">
        <v>#N/A</v>
      </c>
      <c r="BP127" s="42" t="e">
        <v>#N/A</v>
      </c>
      <c r="BQ127" t="e">
        <v>#N/A</v>
      </c>
      <c r="BR127" t="str">
        <v/>
      </c>
      <c r="CN127">
        <v>126</v>
      </c>
      <c r="CO127">
        <v>6</v>
      </c>
      <c r="CP127">
        <v>8.8224752287145186E-2</v>
      </c>
      <c r="CQ127" t="str">
        <v/>
      </c>
    </row>
    <row r="128" spans="34:95" x14ac:dyDescent="0.2">
      <c r="AH128">
        <v>127</v>
      </c>
      <c r="AI128">
        <v>-2.3622047244094446E-2</v>
      </c>
      <c r="AJ128" s="42">
        <v>0.39883099080824164</v>
      </c>
      <c r="AK128" s="42">
        <v>8</v>
      </c>
      <c r="AL128" s="42">
        <v>3</v>
      </c>
      <c r="AM128" s="42">
        <v>0.6209326687253206</v>
      </c>
      <c r="AN128" s="42" t="str">
        <v/>
      </c>
      <c r="AO128" s="42" t="str">
        <v/>
      </c>
      <c r="BK128" s="42">
        <v>127</v>
      </c>
      <c r="BL128" s="42">
        <v>1</v>
      </c>
      <c r="BM128" s="42">
        <v>1.8192576091040986</v>
      </c>
      <c r="BN128" s="42">
        <v>1.8192576091040986</v>
      </c>
      <c r="BO128" s="42" t="e">
        <v>#N/A</v>
      </c>
      <c r="BP128" s="42" t="e">
        <v>#N/A</v>
      </c>
      <c r="BQ128" t="e">
        <v>#N/A</v>
      </c>
      <c r="BR128" t="str">
        <v/>
      </c>
      <c r="CN128">
        <v>127</v>
      </c>
      <c r="CO128">
        <v>6</v>
      </c>
      <c r="CP128">
        <v>8.8224752287145186E-2</v>
      </c>
      <c r="CQ128" t="str">
        <v/>
      </c>
    </row>
    <row r="129" spans="34:95" x14ac:dyDescent="0.2">
      <c r="AH129">
        <v>128</v>
      </c>
      <c r="AI129">
        <v>0</v>
      </c>
      <c r="AJ129" s="42">
        <v>0.3989422804014327</v>
      </c>
      <c r="AK129" s="42">
        <v>8</v>
      </c>
      <c r="AL129" s="42">
        <v>3</v>
      </c>
      <c r="AM129" s="42">
        <v>0.6209326687253206</v>
      </c>
      <c r="AN129" s="42" t="str">
        <v/>
      </c>
      <c r="AO129" s="42" t="str">
        <v>0σ</v>
      </c>
      <c r="BK129" s="42">
        <v>128</v>
      </c>
      <c r="BL129" s="42">
        <v>1</v>
      </c>
      <c r="BM129" s="42">
        <v>1.8192576091040986</v>
      </c>
      <c r="BN129" s="42">
        <v>1.8192576091040986</v>
      </c>
      <c r="BO129" s="42" t="e">
        <v>#N/A</v>
      </c>
      <c r="BP129" s="42" t="e">
        <v>#N/A</v>
      </c>
      <c r="BQ129" t="e">
        <v>#N/A</v>
      </c>
      <c r="BR129" t="str">
        <v/>
      </c>
      <c r="CN129">
        <v>128</v>
      </c>
      <c r="CO129">
        <v>6</v>
      </c>
      <c r="CP129">
        <v>8.8224752287145186E-2</v>
      </c>
      <c r="CQ129" t="str">
        <v/>
      </c>
    </row>
    <row r="130" spans="34:95" x14ac:dyDescent="0.2">
      <c r="AH130">
        <v>129</v>
      </c>
      <c r="AI130">
        <v>2.3622047244094446E-2</v>
      </c>
      <c r="AJ130" s="42">
        <v>0.39883099080824164</v>
      </c>
      <c r="AK130" s="42">
        <v>8</v>
      </c>
      <c r="AL130" s="42">
        <v>3</v>
      </c>
      <c r="AM130" s="42">
        <v>0.6209326687253206</v>
      </c>
      <c r="AN130" s="42" t="str">
        <v/>
      </c>
      <c r="AO130" s="42" t="str">
        <v/>
      </c>
      <c r="BK130" s="42">
        <v>129</v>
      </c>
      <c r="BL130" s="42">
        <v>1</v>
      </c>
      <c r="BM130" s="42">
        <v>1.8192576091040986</v>
      </c>
      <c r="BN130" s="42">
        <v>1.8192576091040986</v>
      </c>
      <c r="BO130" s="42" t="e">
        <v>#N/A</v>
      </c>
      <c r="BP130" s="42" t="e">
        <v>#N/A</v>
      </c>
      <c r="BQ130" t="e">
        <v>#N/A</v>
      </c>
      <c r="BR130" t="str">
        <v/>
      </c>
      <c r="CN130">
        <v>129</v>
      </c>
      <c r="CO130">
        <v>6</v>
      </c>
      <c r="CP130">
        <v>8.8224752287145186E-2</v>
      </c>
      <c r="CQ130" t="str">
        <v/>
      </c>
    </row>
    <row r="131" spans="34:95" x14ac:dyDescent="0.2">
      <c r="AH131">
        <v>130</v>
      </c>
      <c r="AI131">
        <v>4.7244094488188892E-2</v>
      </c>
      <c r="AJ131" s="42">
        <v>0.39849730826719421</v>
      </c>
      <c r="AK131" s="42">
        <v>8</v>
      </c>
      <c r="AL131" s="42">
        <v>3</v>
      </c>
      <c r="AM131" s="42">
        <v>0.6209326687253206</v>
      </c>
      <c r="AN131" s="42" t="str">
        <v/>
      </c>
      <c r="AO131" s="42" t="str">
        <v/>
      </c>
      <c r="BK131" s="42">
        <v>130</v>
      </c>
      <c r="BL131" s="42">
        <v>1</v>
      </c>
      <c r="BM131" s="42">
        <v>1.8192576091040986</v>
      </c>
      <c r="BN131" s="42">
        <v>1.8192576091040986</v>
      </c>
      <c r="BO131" s="42" t="e">
        <v>#N/A</v>
      </c>
      <c r="BP131" s="42" t="e">
        <v>#N/A</v>
      </c>
      <c r="BQ131" t="e">
        <v>#N/A</v>
      </c>
      <c r="BR131" t="str">
        <v/>
      </c>
      <c r="CN131">
        <v>130</v>
      </c>
      <c r="CO131">
        <v>6</v>
      </c>
      <c r="CP131">
        <v>8.8224752287145186E-2</v>
      </c>
      <c r="CQ131" t="str">
        <v/>
      </c>
    </row>
    <row r="132" spans="34:95" x14ac:dyDescent="0.2">
      <c r="AH132">
        <v>131</v>
      </c>
      <c r="AI132">
        <v>7.0866141732283339E-2</v>
      </c>
      <c r="AJ132" s="42">
        <v>0.39794179097452625</v>
      </c>
      <c r="AK132" s="42">
        <v>8</v>
      </c>
      <c r="AL132" s="42">
        <v>3</v>
      </c>
      <c r="AM132" s="42">
        <v>0.6209326687253206</v>
      </c>
      <c r="AN132" s="42" t="str">
        <v/>
      </c>
      <c r="AO132" s="42" t="str">
        <v/>
      </c>
      <c r="BK132" s="42">
        <v>131</v>
      </c>
      <c r="BL132" s="42">
        <v>1</v>
      </c>
      <c r="BM132" s="42">
        <v>1.8192576091040986</v>
      </c>
      <c r="BN132" s="42">
        <v>1.8192576091040986</v>
      </c>
      <c r="BO132" s="42" t="e">
        <v>#N/A</v>
      </c>
      <c r="BP132" s="42" t="e">
        <v>#N/A</v>
      </c>
      <c r="BQ132" t="e">
        <v>#N/A</v>
      </c>
      <c r="BR132" t="str">
        <v/>
      </c>
      <c r="CN132">
        <v>131</v>
      </c>
      <c r="CO132">
        <v>6</v>
      </c>
      <c r="CP132">
        <v>8.8224752287145186E-2</v>
      </c>
      <c r="CQ132" t="str">
        <v/>
      </c>
    </row>
    <row r="133" spans="34:95" x14ac:dyDescent="0.2">
      <c r="AH133">
        <v>132</v>
      </c>
      <c r="AI133">
        <v>9.4488188976377785E-2</v>
      </c>
      <c r="AJ133" s="42">
        <v>0.39716536752818871</v>
      </c>
      <c r="AK133" s="42">
        <v>8</v>
      </c>
      <c r="AL133" s="42">
        <v>3</v>
      </c>
      <c r="AM133" s="42">
        <v>0.6209326687253206</v>
      </c>
      <c r="AN133" s="42" t="str">
        <v/>
      </c>
      <c r="AO133" s="42" t="str">
        <v/>
      </c>
      <c r="BK133" s="42">
        <v>132</v>
      </c>
      <c r="BL133" s="42">
        <v>1</v>
      </c>
      <c r="BM133" s="42">
        <v>1.8192576091040986</v>
      </c>
      <c r="BN133" s="42">
        <v>1.8192576091040986</v>
      </c>
      <c r="BO133" s="42" t="e">
        <v>#N/A</v>
      </c>
      <c r="BP133" s="42" t="e">
        <v>#N/A</v>
      </c>
      <c r="BQ133" t="e">
        <v>#N/A</v>
      </c>
      <c r="BR133" t="str">
        <v/>
      </c>
      <c r="CN133">
        <v>132</v>
      </c>
      <c r="CO133">
        <v>6</v>
      </c>
      <c r="CP133">
        <v>8.8224752287145186E-2</v>
      </c>
      <c r="CQ133" t="str">
        <v/>
      </c>
    </row>
    <row r="134" spans="34:95" x14ac:dyDescent="0.2">
      <c r="AH134">
        <v>133</v>
      </c>
      <c r="AI134">
        <v>0.11811023622047223</v>
      </c>
      <c r="AJ134" s="42">
        <v>0.39616933434126872</v>
      </c>
      <c r="AK134" s="42">
        <v>8</v>
      </c>
      <c r="AL134" s="42">
        <v>3</v>
      </c>
      <c r="AM134" s="42">
        <v>0.6209326687253206</v>
      </c>
      <c r="AN134" s="42" t="str">
        <v/>
      </c>
      <c r="AO134" s="42" t="str">
        <v/>
      </c>
      <c r="BK134" s="42">
        <v>133</v>
      </c>
      <c r="BL134" s="42">
        <v>1</v>
      </c>
      <c r="BM134" s="42">
        <v>1.8192576091040986</v>
      </c>
      <c r="BN134" s="42">
        <v>1.8192576091040986</v>
      </c>
      <c r="BO134" s="42" t="e">
        <v>#N/A</v>
      </c>
      <c r="BP134" s="42" t="e">
        <v>#N/A</v>
      </c>
      <c r="BQ134" t="e">
        <v>#N/A</v>
      </c>
      <c r="BR134" t="str">
        <v/>
      </c>
      <c r="CN134">
        <v>133</v>
      </c>
      <c r="CO134">
        <v>6</v>
      </c>
      <c r="CP134">
        <v>8.8224752287145186E-2</v>
      </c>
      <c r="CQ134" t="str">
        <v/>
      </c>
    </row>
    <row r="135" spans="34:95" x14ac:dyDescent="0.2">
      <c r="AH135">
        <v>134</v>
      </c>
      <c r="AI135">
        <v>0.14173228346456668</v>
      </c>
      <c r="AJ135" s="42">
        <v>0.39495535203491233</v>
      </c>
      <c r="AK135" s="42">
        <v>8</v>
      </c>
      <c r="AL135" s="42">
        <v>3</v>
      </c>
      <c r="AM135" s="42">
        <v>0.6209326687253206</v>
      </c>
      <c r="AN135" s="42" t="str">
        <v/>
      </c>
      <c r="AO135" s="42" t="str">
        <v/>
      </c>
      <c r="BK135" s="42">
        <v>134</v>
      </c>
      <c r="BL135" s="42">
        <v>1</v>
      </c>
      <c r="BM135" s="42">
        <v>1.8192576091040986</v>
      </c>
      <c r="BN135" s="42">
        <v>1.8192576091040986</v>
      </c>
      <c r="BO135" s="42" t="e">
        <v>#N/A</v>
      </c>
      <c r="BP135" s="42" t="e">
        <v>#N/A</v>
      </c>
      <c r="BQ135" t="e">
        <v>#N/A</v>
      </c>
      <c r="BR135" t="str">
        <v/>
      </c>
      <c r="CN135">
        <v>134</v>
      </c>
      <c r="CO135">
        <v>6</v>
      </c>
      <c r="CP135">
        <v>8.8224752287145186E-2</v>
      </c>
      <c r="CQ135" t="str">
        <v/>
      </c>
    </row>
    <row r="136" spans="34:95" x14ac:dyDescent="0.2">
      <c r="AH136">
        <v>135</v>
      </c>
      <c r="AI136">
        <v>0.16535433070866157</v>
      </c>
      <c r="AJ136" s="42">
        <v>0.39352544082479718</v>
      </c>
      <c r="AK136" s="42">
        <v>8</v>
      </c>
      <c r="AL136" s="42">
        <v>3</v>
      </c>
      <c r="AM136" s="42">
        <v>0.6209326687253206</v>
      </c>
      <c r="AN136" s="42" t="str">
        <v/>
      </c>
      <c r="AO136" s="42" t="str">
        <v/>
      </c>
      <c r="BK136" s="42">
        <v>135</v>
      </c>
      <c r="BL136" s="42">
        <v>1</v>
      </c>
      <c r="BM136" s="42">
        <v>1.8192576091040986</v>
      </c>
      <c r="BN136" s="42">
        <v>1.8192576091040986</v>
      </c>
      <c r="BO136" s="42" t="e">
        <v>#N/A</v>
      </c>
      <c r="BP136" s="42" t="e">
        <v>#N/A</v>
      </c>
      <c r="BQ136" t="e">
        <v>#N/A</v>
      </c>
      <c r="BR136" t="str">
        <v/>
      </c>
      <c r="CN136">
        <v>135</v>
      </c>
      <c r="CO136">
        <v>6</v>
      </c>
      <c r="CP136">
        <v>8.8224752287145186E-2</v>
      </c>
      <c r="CQ136" t="str">
        <v/>
      </c>
    </row>
    <row r="137" spans="34:95" x14ac:dyDescent="0.2">
      <c r="AH137">
        <v>136</v>
      </c>
      <c r="AI137">
        <v>0.18897637795275601</v>
      </c>
      <c r="AJ137" s="42">
        <v>0.39188197491909466</v>
      </c>
      <c r="AK137" s="42">
        <v>8</v>
      </c>
      <c r="AL137" s="42">
        <v>3</v>
      </c>
      <c r="AM137" s="42">
        <v>0.6209326687253206</v>
      </c>
      <c r="AN137" s="42" t="str">
        <v/>
      </c>
      <c r="AO137" s="42" t="str">
        <v/>
      </c>
      <c r="BK137" s="42">
        <v>136</v>
      </c>
      <c r="BL137" s="42">
        <v>1</v>
      </c>
      <c r="BM137" s="42">
        <v>1.8192576091040986</v>
      </c>
      <c r="BN137" s="42">
        <v>1.8192576091040986</v>
      </c>
      <c r="BO137" s="42" t="e">
        <v>#N/A</v>
      </c>
      <c r="BP137" s="42" t="e">
        <v>#N/A</v>
      </c>
      <c r="BQ137" t="e">
        <v>#N/A</v>
      </c>
      <c r="BR137" t="str">
        <v/>
      </c>
      <c r="CN137">
        <v>136</v>
      </c>
      <c r="CO137">
        <v>6</v>
      </c>
      <c r="CP137">
        <v>8.8224752287145186E-2</v>
      </c>
      <c r="CQ137" t="str">
        <v/>
      </c>
    </row>
    <row r="138" spans="34:95" x14ac:dyDescent="0.2">
      <c r="AH138">
        <v>137</v>
      </c>
      <c r="AI138">
        <v>0.21259842519685046</v>
      </c>
      <c r="AJ138" s="42">
        <v>0.39002767594966714</v>
      </c>
      <c r="AK138" s="42">
        <v>9</v>
      </c>
      <c r="AL138" s="42">
        <v>0</v>
      </c>
      <c r="AM138" s="42">
        <v>0</v>
      </c>
      <c r="AN138" s="42">
        <v>2.72</v>
      </c>
      <c r="AO138" s="42" t="str">
        <v/>
      </c>
      <c r="BK138" s="42">
        <v>137</v>
      </c>
      <c r="BL138" s="42">
        <v>1</v>
      </c>
      <c r="BM138" s="42">
        <v>1.8192576091040986</v>
      </c>
      <c r="BN138" s="42">
        <v>1.8192576091040986</v>
      </c>
      <c r="BO138" s="42" t="e">
        <v>#N/A</v>
      </c>
      <c r="BP138" s="42" t="e">
        <v>#N/A</v>
      </c>
      <c r="BQ138" t="e">
        <v>#N/A</v>
      </c>
      <c r="BR138" t="str">
        <v/>
      </c>
      <c r="CN138">
        <v>137</v>
      </c>
      <c r="CO138">
        <v>6</v>
      </c>
      <c r="CP138">
        <v>8.8224752287145186E-2</v>
      </c>
      <c r="CQ138" t="str">
        <v/>
      </c>
    </row>
    <row r="139" spans="34:95" x14ac:dyDescent="0.2">
      <c r="AH139">
        <v>138</v>
      </c>
      <c r="AI139">
        <v>0.23622047244094491</v>
      </c>
      <c r="AJ139" s="42">
        <v>0.38796560546193709</v>
      </c>
      <c r="AK139" s="42">
        <v>9</v>
      </c>
      <c r="AL139" s="42">
        <v>0</v>
      </c>
      <c r="AM139" s="42">
        <v>0</v>
      </c>
      <c r="AN139" s="42" t="str">
        <v/>
      </c>
      <c r="AO139" s="42" t="str">
        <v/>
      </c>
      <c r="BK139" s="42">
        <v>138</v>
      </c>
      <c r="BL139" s="42">
        <v>1</v>
      </c>
      <c r="BM139" s="42">
        <v>1.8192576091040986</v>
      </c>
      <c r="BN139" s="42">
        <v>1.8192576091040986</v>
      </c>
      <c r="BO139" s="42" t="e">
        <v>#N/A</v>
      </c>
      <c r="BP139" s="42" t="e">
        <v>#N/A</v>
      </c>
      <c r="BQ139" t="e">
        <v>#N/A</v>
      </c>
      <c r="BR139" t="str">
        <v/>
      </c>
      <c r="CN139">
        <v>138</v>
      </c>
      <c r="CO139">
        <v>6</v>
      </c>
      <c r="CP139">
        <v>8.8224752287145186E-2</v>
      </c>
      <c r="CQ139" t="str">
        <v/>
      </c>
    </row>
    <row r="140" spans="34:95" x14ac:dyDescent="0.2">
      <c r="AH140">
        <v>139</v>
      </c>
      <c r="AI140">
        <v>0.25984251968503935</v>
      </c>
      <c r="AJ140" s="42">
        <v>0.38569915649243564</v>
      </c>
      <c r="AK140" s="42">
        <v>9</v>
      </c>
      <c r="AL140" s="42">
        <v>0</v>
      </c>
      <c r="AM140" s="42">
        <v>0</v>
      </c>
      <c r="AN140" s="42" t="str">
        <v/>
      </c>
      <c r="AO140" s="42" t="str">
        <v/>
      </c>
      <c r="BK140" s="42">
        <v>139</v>
      </c>
      <c r="BL140" s="42">
        <v>1</v>
      </c>
      <c r="BM140" s="42">
        <v>1.8192576091040986</v>
      </c>
      <c r="BN140" s="42">
        <v>1.8192576091040986</v>
      </c>
      <c r="BO140" s="42" t="e">
        <v>#N/A</v>
      </c>
      <c r="BP140" s="42" t="e">
        <v>#N/A</v>
      </c>
      <c r="BQ140" t="e">
        <v>#N/A</v>
      </c>
      <c r="BR140" t="str">
        <v/>
      </c>
      <c r="CN140">
        <v>139</v>
      </c>
      <c r="CO140">
        <v>6</v>
      </c>
      <c r="CP140">
        <v>8.8224752287145186E-2</v>
      </c>
      <c r="CQ140" t="str">
        <v/>
      </c>
    </row>
    <row r="141" spans="34:95" x14ac:dyDescent="0.2">
      <c r="AH141">
        <v>140</v>
      </c>
      <c r="AI141">
        <v>0.2834645669291338</v>
      </c>
      <c r="AJ141" s="42">
        <v>0.38323204426646018</v>
      </c>
      <c r="AK141" s="42">
        <v>9</v>
      </c>
      <c r="AL141" s="42">
        <v>0</v>
      </c>
      <c r="AM141" s="42">
        <v>0</v>
      </c>
      <c r="AN141" s="42" t="str">
        <v/>
      </c>
      <c r="AO141" s="42" t="str">
        <v/>
      </c>
      <c r="BK141" s="42">
        <v>140</v>
      </c>
      <c r="BL141" s="42">
        <v>1</v>
      </c>
      <c r="BM141" s="42">
        <v>1.8192576091040986</v>
      </c>
      <c r="BN141" s="42">
        <v>1.8192576091040986</v>
      </c>
      <c r="BO141" s="42" t="e">
        <v>#N/A</v>
      </c>
      <c r="BP141" s="42" t="e">
        <v>#N/A</v>
      </c>
      <c r="BQ141" t="e">
        <v>#N/A</v>
      </c>
      <c r="BR141" t="str">
        <v/>
      </c>
      <c r="CN141">
        <v>140</v>
      </c>
      <c r="CO141">
        <v>6</v>
      </c>
      <c r="CP141">
        <v>8.8224752287145186E-2</v>
      </c>
      <c r="CQ141" t="str">
        <v/>
      </c>
    </row>
    <row r="142" spans="34:95" x14ac:dyDescent="0.2">
      <c r="AH142">
        <v>141</v>
      </c>
      <c r="AI142">
        <v>0.30708661417322825</v>
      </c>
      <c r="AJ142" s="42">
        <v>0.38056829605153553</v>
      </c>
      <c r="AK142" s="42">
        <v>9</v>
      </c>
      <c r="AL142" s="42">
        <v>0</v>
      </c>
      <c r="AM142" s="42">
        <v>0</v>
      </c>
      <c r="AN142" s="42" t="str">
        <v/>
      </c>
      <c r="AO142" s="42" t="str">
        <v/>
      </c>
      <c r="BK142" s="42">
        <v>141</v>
      </c>
      <c r="BL142" s="42">
        <v>1</v>
      </c>
      <c r="BM142" s="42">
        <v>1.8192576091040986</v>
      </c>
      <c r="BN142" s="42">
        <v>1.8192576091040986</v>
      </c>
      <c r="BO142" s="42" t="e">
        <v>#N/A</v>
      </c>
      <c r="BP142" s="42" t="e">
        <v>#N/A</v>
      </c>
      <c r="BQ142" t="e">
        <v>#N/A</v>
      </c>
      <c r="BR142" t="str">
        <v/>
      </c>
      <c r="CN142">
        <v>141</v>
      </c>
      <c r="CO142">
        <v>6</v>
      </c>
      <c r="CP142">
        <v>8.8224752287145186E-2</v>
      </c>
      <c r="CQ142" t="str">
        <v/>
      </c>
    </row>
    <row r="143" spans="34:95" x14ac:dyDescent="0.2">
      <c r="AH143">
        <v>142</v>
      </c>
      <c r="AI143">
        <v>0.33070866141732269</v>
      </c>
      <c r="AJ143" s="42">
        <v>0.3777122402054594</v>
      </c>
      <c r="AK143" s="42">
        <v>9</v>
      </c>
      <c r="AL143" s="42">
        <v>0</v>
      </c>
      <c r="AM143" s="42">
        <v>0</v>
      </c>
      <c r="AN143" s="42" t="str">
        <v/>
      </c>
      <c r="AO143" s="42" t="str">
        <v/>
      </c>
      <c r="BK143" s="42">
        <v>142</v>
      </c>
      <c r="BL143" s="42">
        <v>1</v>
      </c>
      <c r="BM143" s="42">
        <v>1.8192576091040986</v>
      </c>
      <c r="BN143" s="42">
        <v>1.8192576091040986</v>
      </c>
      <c r="BO143" s="42" t="e">
        <v>#N/A</v>
      </c>
      <c r="BP143" s="42" t="e">
        <v>#N/A</v>
      </c>
      <c r="BQ143" t="e">
        <v>#N/A</v>
      </c>
      <c r="BR143" t="str">
        <v/>
      </c>
      <c r="CN143">
        <v>142</v>
      </c>
      <c r="CO143">
        <v>6</v>
      </c>
      <c r="CP143">
        <v>8.8224752287145186E-2</v>
      </c>
      <c r="CQ143" t="str">
        <v/>
      </c>
    </row>
    <row r="144" spans="34:95" x14ac:dyDescent="0.2">
      <c r="AH144">
        <v>143</v>
      </c>
      <c r="AI144">
        <v>0.35433070866141714</v>
      </c>
      <c r="AJ144" s="42">
        <v>0.37466849446061029</v>
      </c>
      <c r="AK144" s="42">
        <v>9</v>
      </c>
      <c r="AL144" s="42">
        <v>0</v>
      </c>
      <c r="AM144" s="42">
        <v>0</v>
      </c>
      <c r="AN144" s="42" t="str">
        <v/>
      </c>
      <c r="AO144" s="42" t="str">
        <v/>
      </c>
      <c r="BK144" s="42">
        <v>143</v>
      </c>
      <c r="BL144" s="42">
        <v>1</v>
      </c>
      <c r="BM144" s="42">
        <v>1.8192576091040986</v>
      </c>
      <c r="BN144" s="42">
        <v>1.8192576091040986</v>
      </c>
      <c r="BO144" s="42" t="e">
        <v>#N/A</v>
      </c>
      <c r="BP144" s="42" t="e">
        <v>#N/A</v>
      </c>
      <c r="BQ144" t="e">
        <v>#N/A</v>
      </c>
      <c r="BR144" t="str">
        <v/>
      </c>
      <c r="CN144">
        <v>143</v>
      </c>
      <c r="CO144">
        <v>6</v>
      </c>
      <c r="CP144">
        <v>8.8224752287145186E-2</v>
      </c>
      <c r="CQ144" t="str">
        <v/>
      </c>
    </row>
    <row r="145" spans="34:95" x14ac:dyDescent="0.2">
      <c r="AH145">
        <v>144</v>
      </c>
      <c r="AI145">
        <v>0.37795275590551158</v>
      </c>
      <c r="AJ145" s="42">
        <v>0.37144195348888975</v>
      </c>
      <c r="AK145" s="42">
        <v>9</v>
      </c>
      <c r="AL145" s="42">
        <v>0</v>
      </c>
      <c r="AM145" s="42">
        <v>0</v>
      </c>
      <c r="AN145" s="42" t="str">
        <v/>
      </c>
      <c r="AO145" s="42" t="str">
        <v/>
      </c>
      <c r="BK145" s="42">
        <v>144</v>
      </c>
      <c r="BL145" s="42">
        <v>1</v>
      </c>
      <c r="BM145" s="42">
        <v>1.8192576091040986</v>
      </c>
      <c r="BN145" s="42">
        <v>1.8192576091040986</v>
      </c>
      <c r="BO145" s="42" t="e">
        <v>#N/A</v>
      </c>
      <c r="BP145" s="42" t="e">
        <v>#N/A</v>
      </c>
      <c r="BQ145" t="e">
        <v>#N/A</v>
      </c>
      <c r="BR145" t="str">
        <v/>
      </c>
      <c r="CN145">
        <v>144</v>
      </c>
      <c r="CO145">
        <v>6</v>
      </c>
      <c r="CP145">
        <v>8.8224752287145186E-2</v>
      </c>
      <c r="CQ145" t="str">
        <v/>
      </c>
    </row>
    <row r="146" spans="34:95" x14ac:dyDescent="0.2">
      <c r="AH146">
        <v>145</v>
      </c>
      <c r="AI146">
        <v>0.40157480314960647</v>
      </c>
      <c r="AJ146" s="42">
        <v>0.36803777579414604</v>
      </c>
      <c r="AK146" s="42">
        <v>9</v>
      </c>
      <c r="AL146" s="42">
        <v>0</v>
      </c>
      <c r="AM146" s="42">
        <v>0</v>
      </c>
      <c r="AN146" s="42" t="str">
        <v/>
      </c>
      <c r="AO146" s="42" t="str">
        <v/>
      </c>
      <c r="BK146" s="42">
        <v>145</v>
      </c>
      <c r="BL146" s="42">
        <v>1</v>
      </c>
      <c r="BM146" s="42">
        <v>1.8192576091040986</v>
      </c>
      <c r="BN146" s="42">
        <v>1.8192576091040986</v>
      </c>
      <c r="BO146" s="42" t="e">
        <v>#N/A</v>
      </c>
      <c r="BP146" s="42" t="e">
        <v>#N/A</v>
      </c>
      <c r="BQ146" t="e">
        <v>#N/A</v>
      </c>
      <c r="BR146" t="str">
        <v/>
      </c>
      <c r="CN146">
        <v>145</v>
      </c>
      <c r="CO146">
        <v>6</v>
      </c>
      <c r="CP146">
        <v>8.8224752287145186E-2</v>
      </c>
      <c r="CQ146" t="str">
        <v/>
      </c>
    </row>
    <row r="147" spans="34:95" x14ac:dyDescent="0.2">
      <c r="AH147">
        <v>146</v>
      </c>
      <c r="AI147">
        <v>0.42519685039370092</v>
      </c>
      <c r="AJ147" s="42">
        <v>0.36446136998117984</v>
      </c>
      <c r="AK147" s="42">
        <v>9</v>
      </c>
      <c r="AL147" s="42">
        <v>0</v>
      </c>
      <c r="AM147" s="42">
        <v>0</v>
      </c>
      <c r="AN147" s="42" t="str">
        <v/>
      </c>
      <c r="AO147" s="42" t="str">
        <v/>
      </c>
      <c r="BK147" s="42">
        <v>146</v>
      </c>
      <c r="BL147" s="42">
        <v>1</v>
      </c>
      <c r="BM147" s="42">
        <v>1.8192576091040986</v>
      </c>
      <c r="BN147" s="42">
        <v>1.8192576091040986</v>
      </c>
      <c r="BO147" s="42" t="e">
        <v>#N/A</v>
      </c>
      <c r="BP147" s="42" t="e">
        <v>#N/A</v>
      </c>
      <c r="BQ147" t="e">
        <v>#N/A</v>
      </c>
      <c r="BR147" t="str">
        <v/>
      </c>
      <c r="CN147">
        <v>146</v>
      </c>
      <c r="CO147">
        <v>6</v>
      </c>
      <c r="CP147">
        <v>8.8224752287145186E-2</v>
      </c>
      <c r="CQ147" t="str">
        <v/>
      </c>
    </row>
    <row r="148" spans="34:95" x14ac:dyDescent="0.2">
      <c r="AH148">
        <v>147</v>
      </c>
      <c r="AI148">
        <v>0.44881889763779537</v>
      </c>
      <c r="AJ148" s="42">
        <v>0.36071838045244237</v>
      </c>
      <c r="AK148" s="42">
        <v>9</v>
      </c>
      <c r="AL148" s="42">
        <v>0</v>
      </c>
      <c r="AM148" s="42">
        <v>0</v>
      </c>
      <c r="AN148" s="42" t="str">
        <v/>
      </c>
      <c r="AO148" s="42" t="str">
        <v/>
      </c>
      <c r="BK148" s="42">
        <v>147</v>
      </c>
      <c r="BL148" s="42">
        <v>1</v>
      </c>
      <c r="BM148" s="42">
        <v>1.8192576091040986</v>
      </c>
      <c r="BN148" s="42">
        <v>1.8192576091040986</v>
      </c>
      <c r="BO148" s="42" t="e">
        <v>#N/A</v>
      </c>
      <c r="BP148" s="42" t="e">
        <v>#N/A</v>
      </c>
      <c r="BQ148" t="e">
        <v>#N/A</v>
      </c>
      <c r="BR148" t="str">
        <v/>
      </c>
      <c r="CN148">
        <v>147</v>
      </c>
      <c r="CO148">
        <v>6</v>
      </c>
      <c r="CP148">
        <v>8.8224752287145186E-2</v>
      </c>
      <c r="CQ148" t="str">
        <v/>
      </c>
    </row>
    <row r="149" spans="34:95" x14ac:dyDescent="0.2">
      <c r="AH149">
        <v>148</v>
      </c>
      <c r="AI149">
        <v>0.47244094488188981</v>
      </c>
      <c r="AJ149" s="42">
        <v>0.35681467258531119</v>
      </c>
      <c r="AK149" s="42">
        <v>9</v>
      </c>
      <c r="AL149" s="42">
        <v>0</v>
      </c>
      <c r="AM149" s="42">
        <v>0</v>
      </c>
      <c r="AN149" s="42" t="str">
        <v/>
      </c>
      <c r="AO149" s="42" t="str">
        <v/>
      </c>
      <c r="BK149" s="42">
        <v>148</v>
      </c>
      <c r="BL149" s="42">
        <v>1</v>
      </c>
      <c r="BM149" s="42">
        <v>1.8192576091040986</v>
      </c>
      <c r="BN149" s="42">
        <v>1.8192576091040986</v>
      </c>
      <c r="BO149" s="42" t="e">
        <v>#N/A</v>
      </c>
      <c r="BP149" s="42" t="e">
        <v>#N/A</v>
      </c>
      <c r="BQ149" t="e">
        <v>#N/A</v>
      </c>
      <c r="BR149" t="str">
        <v/>
      </c>
      <c r="CN149">
        <v>148</v>
      </c>
      <c r="CO149">
        <v>6</v>
      </c>
      <c r="CP149">
        <v>8.8224752287145186E-2</v>
      </c>
      <c r="CQ149" t="str">
        <v/>
      </c>
    </row>
    <row r="150" spans="34:95" x14ac:dyDescent="0.2">
      <c r="AH150">
        <v>149</v>
      </c>
      <c r="AI150">
        <v>0.49606299212598426</v>
      </c>
      <c r="AJ150" s="42">
        <v>0.35275631744434299</v>
      </c>
      <c r="AK150" s="42">
        <v>9</v>
      </c>
      <c r="AL150" s="42">
        <v>0</v>
      </c>
      <c r="AM150" s="42">
        <v>0</v>
      </c>
      <c r="AN150" s="42" t="str">
        <v/>
      </c>
      <c r="AO150" s="42" t="str">
        <v/>
      </c>
      <c r="BK150" s="42">
        <v>149</v>
      </c>
      <c r="BL150" s="42">
        <v>1</v>
      </c>
      <c r="BM150" s="42">
        <v>1.8192576091040986</v>
      </c>
      <c r="BN150" s="42">
        <v>1.8192576091040986</v>
      </c>
      <c r="BO150" s="42" t="e">
        <v>#N/A</v>
      </c>
      <c r="BP150" s="42" t="e">
        <v>#N/A</v>
      </c>
      <c r="BQ150" t="e">
        <v>#N/A</v>
      </c>
      <c r="BR150" t="str">
        <v/>
      </c>
      <c r="CN150">
        <v>149</v>
      </c>
      <c r="CO150">
        <v>6</v>
      </c>
      <c r="CP150">
        <v>8.8224752287145186E-2</v>
      </c>
      <c r="CQ150" t="str">
        <v/>
      </c>
    </row>
    <row r="151" spans="34:95" x14ac:dyDescent="0.2">
      <c r="AH151">
        <v>150</v>
      </c>
      <c r="AI151">
        <v>0.51968503937007871</v>
      </c>
      <c r="AJ151" s="42">
        <v>0.34854957608416842</v>
      </c>
      <c r="AK151" s="42">
        <v>9</v>
      </c>
      <c r="AL151" s="42">
        <v>0</v>
      </c>
      <c r="AM151" s="42">
        <v>0</v>
      </c>
      <c r="AN151" s="42" t="str">
        <v/>
      </c>
      <c r="AO151" s="42" t="str">
        <v/>
      </c>
      <c r="BK151" s="42">
        <v>150</v>
      </c>
      <c r="BL151" s="42">
        <v>1</v>
      </c>
      <c r="BM151" s="42">
        <v>1.8192576091040986</v>
      </c>
      <c r="BN151" s="42">
        <v>1.8192576091040986</v>
      </c>
      <c r="BO151" s="42" t="e">
        <v>#N/A</v>
      </c>
      <c r="BP151" s="42" t="e">
        <v>#N/A</v>
      </c>
      <c r="BQ151" t="e">
        <v>#N/A</v>
      </c>
      <c r="BR151" t="str">
        <v/>
      </c>
      <c r="CN151">
        <v>150</v>
      </c>
      <c r="CO151">
        <v>6</v>
      </c>
      <c r="CP151">
        <v>8.8224752287145186E-2</v>
      </c>
      <c r="CQ151" t="str">
        <v/>
      </c>
    </row>
    <row r="152" spans="34:95" x14ac:dyDescent="0.2">
      <c r="AH152">
        <v>151</v>
      </c>
      <c r="AI152">
        <v>0.54330708661417315</v>
      </c>
      <c r="AJ152" s="42">
        <v>0.34420088349969502</v>
      </c>
      <c r="AK152" s="42">
        <v>9</v>
      </c>
      <c r="AL152" s="127">
        <v>0</v>
      </c>
      <c r="AM152" s="127">
        <v>0</v>
      </c>
      <c r="AN152" s="127" t="str">
        <v/>
      </c>
      <c r="AO152" s="127" t="str">
        <v/>
      </c>
      <c r="AP152" s="127"/>
      <c r="AQ152" s="127"/>
      <c r="AR152" s="127"/>
      <c r="AS152" s="127"/>
      <c r="AT152" s="127"/>
      <c r="AU152"/>
      <c r="AV152"/>
      <c r="AW152"/>
      <c r="AX152"/>
      <c r="AY152"/>
      <c r="AZ152" s="127"/>
      <c r="BA152" s="127"/>
      <c r="BB152" s="127"/>
      <c r="BC152" s="127"/>
      <c r="BD152" s="127"/>
      <c r="BE152" s="127"/>
      <c r="BF152" s="127"/>
      <c r="BG152" s="127"/>
      <c r="BH152" s="48"/>
      <c r="BK152" s="42">
        <v>151</v>
      </c>
      <c r="BL152" s="127">
        <v>1</v>
      </c>
      <c r="BM152" s="127">
        <v>1.8192576091040986</v>
      </c>
      <c r="BN152" s="127">
        <v>1.8192576091040986</v>
      </c>
      <c r="BO152" s="127" t="e">
        <v>#N/A</v>
      </c>
      <c r="BP152" t="e">
        <v>#N/A</v>
      </c>
      <c r="BQ152" t="e">
        <v>#N/A</v>
      </c>
      <c r="BR152" t="str">
        <v/>
      </c>
      <c r="CN152">
        <v>151</v>
      </c>
      <c r="CO152">
        <v>6</v>
      </c>
      <c r="CP152">
        <v>8.8224752287145186E-2</v>
      </c>
      <c r="CQ152" t="str">
        <v/>
      </c>
    </row>
    <row r="153" spans="34:95" x14ac:dyDescent="0.2">
      <c r="AH153">
        <v>152</v>
      </c>
      <c r="AI153">
        <v>0.5669291338582676</v>
      </c>
      <c r="AJ153" s="42">
        <v>0.33971683228102528</v>
      </c>
      <c r="AK153" s="42">
        <v>9</v>
      </c>
      <c r="AL153" s="127">
        <v>0</v>
      </c>
      <c r="AM153" s="127">
        <v>0</v>
      </c>
      <c r="AN153" s="127" t="str">
        <v/>
      </c>
      <c r="AO153" s="127" t="str">
        <v/>
      </c>
      <c r="AP153" s="127"/>
      <c r="AQ153" s="127"/>
      <c r="AR153" s="127"/>
      <c r="AS153" s="127"/>
      <c r="AT153" s="127"/>
      <c r="AU153"/>
      <c r="AV153"/>
      <c r="AW153"/>
      <c r="AX153"/>
      <c r="AY153"/>
      <c r="AZ153" s="127"/>
      <c r="BA153" s="127"/>
      <c r="BB153" s="127"/>
      <c r="BC153" s="127"/>
      <c r="BD153" s="127"/>
      <c r="BE153" s="127"/>
      <c r="BF153" s="127"/>
      <c r="BG153" s="127"/>
      <c r="BH153" s="48"/>
      <c r="BK153" s="42">
        <v>152</v>
      </c>
      <c r="BL153" s="127">
        <v>1</v>
      </c>
      <c r="BM153" s="127">
        <v>1.8192576091040986</v>
      </c>
      <c r="BN153" s="127">
        <v>1.8192576091040986</v>
      </c>
      <c r="BO153" s="127" t="e">
        <v>#N/A</v>
      </c>
      <c r="BP153" t="e">
        <v>#N/A</v>
      </c>
      <c r="BQ153" t="e">
        <v>#N/A</v>
      </c>
      <c r="BR153" t="str">
        <v/>
      </c>
      <c r="CN153">
        <v>152</v>
      </c>
      <c r="CO153">
        <v>6</v>
      </c>
      <c r="CP153">
        <v>8.8224752287145186E-2</v>
      </c>
      <c r="CQ153" t="str">
        <v/>
      </c>
    </row>
    <row r="154" spans="34:95" x14ac:dyDescent="0.2">
      <c r="AH154">
        <v>153</v>
      </c>
      <c r="AI154">
        <v>0.59055118110236204</v>
      </c>
      <c r="AJ154" s="42">
        <v>0.33510415603097365</v>
      </c>
      <c r="AK154" s="42">
        <v>9</v>
      </c>
      <c r="AL154" s="127">
        <v>0</v>
      </c>
      <c r="AM154" s="127">
        <v>0</v>
      </c>
      <c r="AN154" s="127" t="str">
        <v/>
      </c>
      <c r="AO154" s="127" t="str">
        <v/>
      </c>
      <c r="AP154" s="127"/>
      <c r="AQ154" s="127"/>
      <c r="AR154" s="127"/>
      <c r="AS154" s="127"/>
      <c r="AT154" s="127"/>
      <c r="AU154"/>
      <c r="AV154"/>
      <c r="AW154"/>
      <c r="AX154"/>
      <c r="AY154"/>
      <c r="AZ154" s="127"/>
      <c r="BA154" s="127"/>
      <c r="BB154" s="127"/>
      <c r="BC154" s="127"/>
      <c r="BD154" s="127"/>
      <c r="BE154" s="127"/>
      <c r="BF154" s="127"/>
      <c r="BG154" s="127"/>
      <c r="BH154" s="48"/>
      <c r="BK154" s="42">
        <v>153</v>
      </c>
      <c r="BL154" s="127">
        <v>1</v>
      </c>
      <c r="BM154" s="127">
        <v>1.8192576091040986</v>
      </c>
      <c r="BN154" s="127">
        <v>1.8192576091040986</v>
      </c>
      <c r="BO154" s="127" t="e">
        <v>#N/A</v>
      </c>
      <c r="BP154" t="e">
        <v>#N/A</v>
      </c>
      <c r="BQ154" t="e">
        <v>#N/A</v>
      </c>
      <c r="BR154" t="str">
        <v/>
      </c>
      <c r="CN154">
        <v>153</v>
      </c>
      <c r="CO154">
        <v>6</v>
      </c>
      <c r="CP154">
        <v>8.8224752287145186E-2</v>
      </c>
      <c r="CQ154" t="str">
        <v/>
      </c>
    </row>
    <row r="155" spans="34:95" x14ac:dyDescent="0.2">
      <c r="AH155">
        <v>154</v>
      </c>
      <c r="AI155">
        <v>0.61417322834645649</v>
      </c>
      <c r="AJ155" s="42">
        <v>0.33036971260328218</v>
      </c>
      <c r="AK155" s="42">
        <v>10</v>
      </c>
      <c r="AL155" s="127">
        <v>0</v>
      </c>
      <c r="AM155" s="127">
        <v>0</v>
      </c>
      <c r="AN155" s="127">
        <v>4.4400000000000004</v>
      </c>
      <c r="AO155" s="127" t="str">
        <v/>
      </c>
      <c r="AP155" s="127"/>
      <c r="AQ155" s="127"/>
      <c r="AR155" s="127"/>
      <c r="AS155" s="127"/>
      <c r="AT155" s="127"/>
      <c r="AU155"/>
      <c r="AV155"/>
      <c r="AW155"/>
      <c r="AX155"/>
      <c r="AY155"/>
      <c r="AZ155" s="127"/>
      <c r="BA155" s="127"/>
      <c r="BB155" s="127"/>
      <c r="BC155" s="127"/>
      <c r="BD155" s="127"/>
      <c r="BE155" s="127"/>
      <c r="BF155" s="127"/>
      <c r="BG155" s="127"/>
      <c r="BH155" s="48"/>
      <c r="BK155" s="42">
        <v>154</v>
      </c>
      <c r="BL155" s="127">
        <v>1</v>
      </c>
      <c r="BM155" s="127">
        <v>1.8192576091040986</v>
      </c>
      <c r="BN155" s="127">
        <v>1.8192576091040986</v>
      </c>
      <c r="BO155" s="127" t="e">
        <v>#N/A</v>
      </c>
      <c r="BP155" t="e">
        <v>#N/A</v>
      </c>
      <c r="BQ155" t="e">
        <v>#N/A</v>
      </c>
      <c r="BR155" t="str">
        <v/>
      </c>
      <c r="CN155">
        <v>154</v>
      </c>
      <c r="CO155">
        <v>6</v>
      </c>
      <c r="CP155">
        <v>8.8224752287145186E-2</v>
      </c>
      <c r="CQ155" t="str">
        <v/>
      </c>
    </row>
    <row r="156" spans="34:95" x14ac:dyDescent="0.2">
      <c r="AH156">
        <v>155</v>
      </c>
      <c r="AI156">
        <v>0.63779527559055094</v>
      </c>
      <c r="AJ156" s="42">
        <v>0.32552046721958727</v>
      </c>
      <c r="AK156" s="42">
        <v>10</v>
      </c>
      <c r="AL156" s="127">
        <v>0</v>
      </c>
      <c r="AM156" s="127">
        <v>0</v>
      </c>
      <c r="AN156" s="127" t="str">
        <v/>
      </c>
      <c r="AO156" s="127" t="str">
        <v/>
      </c>
      <c r="AP156" s="127"/>
      <c r="AQ156" s="127"/>
      <c r="AR156" s="127"/>
      <c r="AS156" s="127"/>
      <c r="AT156" s="127"/>
      <c r="AU156"/>
      <c r="AV156"/>
      <c r="AW156"/>
      <c r="AX156"/>
      <c r="AY156"/>
      <c r="AZ156" s="127"/>
      <c r="BA156" s="127"/>
      <c r="BB156" s="127"/>
      <c r="BC156" s="127"/>
      <c r="BD156" s="127"/>
      <c r="BE156" s="127"/>
      <c r="BF156" s="127"/>
      <c r="BG156" s="127"/>
      <c r="BH156" s="48"/>
      <c r="BK156" s="42">
        <v>155</v>
      </c>
      <c r="BL156" s="127">
        <v>1</v>
      </c>
      <c r="BM156" s="127">
        <v>1.8192576091040986</v>
      </c>
      <c r="BN156" s="127">
        <v>1.8192576091040986</v>
      </c>
      <c r="BO156" s="127" t="e">
        <v>#N/A</v>
      </c>
      <c r="BP156" t="e">
        <v>#N/A</v>
      </c>
      <c r="BQ156" t="e">
        <v>#N/A</v>
      </c>
      <c r="BR156" t="str">
        <v/>
      </c>
      <c r="CN156">
        <v>155</v>
      </c>
      <c r="CO156">
        <v>6</v>
      </c>
      <c r="CP156">
        <v>8.8224752287145186E-2</v>
      </c>
      <c r="CQ156" t="str">
        <v/>
      </c>
    </row>
    <row r="157" spans="34:95" x14ac:dyDescent="0.2">
      <c r="AH157">
        <v>156</v>
      </c>
      <c r="AI157">
        <v>0.66141732283464583</v>
      </c>
      <c r="AJ157" s="42">
        <v>0.32056347552289172</v>
      </c>
      <c r="AK157" s="42">
        <v>10</v>
      </c>
      <c r="AL157" s="127">
        <v>0</v>
      </c>
      <c r="AM157" s="127">
        <v>0</v>
      </c>
      <c r="AN157" s="127" t="str">
        <v/>
      </c>
      <c r="AO157" s="127" t="str">
        <v/>
      </c>
      <c r="AP157" s="127"/>
      <c r="AQ157" s="127"/>
      <c r="AR157" s="127"/>
      <c r="AS157" s="127"/>
      <c r="AT157" s="127"/>
      <c r="AU157"/>
      <c r="AV157"/>
      <c r="AW157"/>
      <c r="AX157"/>
      <c r="AY157"/>
      <c r="AZ157" s="127"/>
      <c r="BA157" s="127"/>
      <c r="BB157" s="127"/>
      <c r="BC157" s="127"/>
      <c r="BD157" s="127"/>
      <c r="BE157" s="127"/>
      <c r="BF157" s="127"/>
      <c r="BG157" s="127"/>
      <c r="BH157" s="48"/>
      <c r="BK157" s="42">
        <v>156</v>
      </c>
      <c r="BL157" s="127">
        <v>1</v>
      </c>
      <c r="BM157" s="127">
        <v>1.8192576091040986</v>
      </c>
      <c r="BN157" s="127">
        <v>1.8192576091040986</v>
      </c>
      <c r="BO157" s="127" t="e">
        <v>#N/A</v>
      </c>
      <c r="BP157" t="e">
        <v>#N/A</v>
      </c>
      <c r="BQ157" t="e">
        <v>#N/A</v>
      </c>
      <c r="BR157" t="str">
        <v/>
      </c>
      <c r="CN157">
        <v>156</v>
      </c>
      <c r="CO157">
        <v>6</v>
      </c>
      <c r="CP157">
        <v>8.8224752287145186E-2</v>
      </c>
      <c r="CQ157" t="str">
        <v/>
      </c>
    </row>
    <row r="158" spans="34:95" x14ac:dyDescent="0.2">
      <c r="AH158">
        <v>157</v>
      </c>
      <c r="AI158">
        <v>0.68503937007874027</v>
      </c>
      <c r="AJ158" s="42">
        <v>0.31550586662473823</v>
      </c>
      <c r="AK158" s="42">
        <v>10</v>
      </c>
      <c r="AL158" s="127">
        <v>0</v>
      </c>
      <c r="AM158" s="127">
        <v>0</v>
      </c>
      <c r="AN158" s="127" t="str">
        <v/>
      </c>
      <c r="AO158" s="127" t="str">
        <v/>
      </c>
      <c r="AP158" s="127"/>
      <c r="AQ158" s="127"/>
      <c r="AR158" s="127"/>
      <c r="AS158" s="127"/>
      <c r="AT158" s="127"/>
      <c r="AU158"/>
      <c r="AV158"/>
      <c r="AW158"/>
      <c r="AX158"/>
      <c r="AY158"/>
      <c r="AZ158" s="127"/>
      <c r="BA158" s="127"/>
      <c r="BB158" s="127"/>
      <c r="BC158" s="127"/>
      <c r="BD158" s="127"/>
      <c r="BE158" s="127"/>
      <c r="BF158" s="127"/>
      <c r="BG158" s="127"/>
      <c r="BH158" s="48"/>
      <c r="BK158" s="42">
        <v>157</v>
      </c>
      <c r="BL158" s="127">
        <v>1</v>
      </c>
      <c r="BM158" s="127">
        <v>1.8192576091040986</v>
      </c>
      <c r="BN158" s="127">
        <v>1.8192576091040986</v>
      </c>
      <c r="BO158" s="127" t="e">
        <v>#N/A</v>
      </c>
      <c r="BP158" t="e">
        <v>#N/A</v>
      </c>
      <c r="BQ158" t="e">
        <v>#N/A</v>
      </c>
      <c r="BR158" t="str">
        <v/>
      </c>
      <c r="CN158">
        <v>157</v>
      </c>
      <c r="CO158">
        <v>6</v>
      </c>
      <c r="CP158">
        <v>8.8224752287145186E-2</v>
      </c>
      <c r="CQ158" t="str">
        <v/>
      </c>
    </row>
    <row r="159" spans="34:95" x14ac:dyDescent="0.2">
      <c r="AH159">
        <v>158</v>
      </c>
      <c r="AI159">
        <v>0.70866141732283472</v>
      </c>
      <c r="AJ159" s="42">
        <v>0.31035482620248367</v>
      </c>
      <c r="AK159" s="42">
        <v>10</v>
      </c>
      <c r="AL159" s="127">
        <v>0</v>
      </c>
      <c r="AM159" s="127">
        <v>0</v>
      </c>
      <c r="AN159" s="127" t="str">
        <v/>
      </c>
      <c r="AO159" s="127" t="str">
        <v/>
      </c>
      <c r="AP159" s="127"/>
      <c r="AQ159" s="127"/>
      <c r="AR159" s="127"/>
      <c r="AS159" s="127"/>
      <c r="AT159" s="127"/>
      <c r="AU159"/>
      <c r="AV159"/>
      <c r="AW159"/>
      <c r="AX159"/>
      <c r="AY159"/>
      <c r="AZ159" s="127"/>
      <c r="BA159" s="127"/>
      <c r="BB159" s="127"/>
      <c r="BC159" s="127"/>
      <c r="BD159" s="127"/>
      <c r="BE159" s="127"/>
      <c r="BF159" s="127"/>
      <c r="BG159" s="127"/>
      <c r="BH159" s="48"/>
      <c r="BK159" s="42">
        <v>158</v>
      </c>
      <c r="BL159" s="127">
        <v>1</v>
      </c>
      <c r="BM159" s="127">
        <v>1.8192576091040986</v>
      </c>
      <c r="BN159" s="127">
        <v>1.8192576091040986</v>
      </c>
      <c r="BO159" s="127" t="e">
        <v>#N/A</v>
      </c>
      <c r="BP159" t="e">
        <v>#N/A</v>
      </c>
      <c r="BQ159" t="e">
        <v>#N/A</v>
      </c>
      <c r="BR159" t="str">
        <v/>
      </c>
      <c r="CN159">
        <v>158</v>
      </c>
      <c r="CO159">
        <v>6</v>
      </c>
      <c r="CP159">
        <v>8.8224752287145186E-2</v>
      </c>
      <c r="CQ159" t="str">
        <v/>
      </c>
    </row>
    <row r="160" spans="34:95" x14ac:dyDescent="0.2">
      <c r="AH160">
        <v>159</v>
      </c>
      <c r="AI160">
        <v>0.73228346456692917</v>
      </c>
      <c r="AJ160" s="42">
        <v>0.30511757970203796</v>
      </c>
      <c r="AK160" s="42">
        <v>10</v>
      </c>
      <c r="AL160" s="127">
        <v>0</v>
      </c>
      <c r="AM160" s="127">
        <v>0</v>
      </c>
      <c r="AN160" s="127" t="str">
        <v/>
      </c>
      <c r="AO160" s="127" t="str">
        <v/>
      </c>
      <c r="AP160" s="127"/>
      <c r="AQ160" s="127"/>
      <c r="AR160" s="127"/>
      <c r="AS160" s="127"/>
      <c r="AT160" s="127"/>
      <c r="AU160"/>
      <c r="AV160"/>
      <c r="AW160"/>
      <c r="AX160"/>
      <c r="AY160"/>
      <c r="AZ160" s="127"/>
      <c r="BA160" s="127"/>
      <c r="BB160" s="127"/>
      <c r="BC160" s="127"/>
      <c r="BD160" s="127"/>
      <c r="BE160" s="127"/>
      <c r="BF160" s="127"/>
      <c r="BG160" s="127"/>
      <c r="BH160" s="48"/>
      <c r="BK160" s="42">
        <v>159</v>
      </c>
      <c r="BL160" s="127">
        <v>1</v>
      </c>
      <c r="BM160" s="127">
        <v>1.8192576091040986</v>
      </c>
      <c r="BN160" s="127">
        <v>1.8192576091040986</v>
      </c>
      <c r="BO160" s="127" t="e">
        <v>#N/A</v>
      </c>
      <c r="BP160" t="e">
        <v>#N/A</v>
      </c>
      <c r="BQ160" t="e">
        <v>#N/A</v>
      </c>
      <c r="BR160" t="str">
        <v/>
      </c>
      <c r="CN160">
        <v>159</v>
      </c>
      <c r="CO160">
        <v>6</v>
      </c>
      <c r="CP160">
        <v>8.8224752287145186E-2</v>
      </c>
      <c r="CQ160" t="str">
        <v/>
      </c>
    </row>
    <row r="161" spans="34:95" x14ac:dyDescent="0.2">
      <c r="AH161">
        <v>160</v>
      </c>
      <c r="AI161">
        <v>0.75590551181102361</v>
      </c>
      <c r="AJ161" s="42">
        <v>0.29980137570016047</v>
      </c>
      <c r="AK161" s="42">
        <v>10</v>
      </c>
      <c r="AL161" s="127">
        <v>0</v>
      </c>
      <c r="AM161" s="127">
        <v>0</v>
      </c>
      <c r="AN161" s="127" t="str">
        <v/>
      </c>
      <c r="AO161" s="127" t="str">
        <v/>
      </c>
      <c r="AP161" s="127"/>
      <c r="AQ161" s="127"/>
      <c r="AR161" s="127"/>
      <c r="AS161" s="127"/>
      <c r="AT161" s="127"/>
      <c r="AU161"/>
      <c r="AV161"/>
      <c r="AW161"/>
      <c r="AX161"/>
      <c r="AY161"/>
      <c r="AZ161" s="127"/>
      <c r="BA161" s="127"/>
      <c r="BB161" s="127"/>
      <c r="BC161" s="127"/>
      <c r="BD161" s="127"/>
      <c r="BE161" s="127"/>
      <c r="BF161" s="127"/>
      <c r="BG161" s="127"/>
      <c r="BH161" s="48"/>
      <c r="BK161" s="42">
        <v>160</v>
      </c>
      <c r="BL161" s="127">
        <v>1</v>
      </c>
      <c r="BM161" s="127">
        <v>1.8192576091040986</v>
      </c>
      <c r="BN161" s="127">
        <v>1.8192576091040986</v>
      </c>
      <c r="BO161" s="127" t="e">
        <v>#N/A</v>
      </c>
      <c r="BP161" t="e">
        <v>#N/A</v>
      </c>
      <c r="BQ161" t="e">
        <v>#N/A</v>
      </c>
      <c r="BR161" t="str">
        <v/>
      </c>
      <c r="CN161">
        <v>160</v>
      </c>
      <c r="CO161">
        <v>6</v>
      </c>
      <c r="CP161">
        <v>8.8224752287145186E-2</v>
      </c>
      <c r="CQ161" t="str">
        <v/>
      </c>
    </row>
    <row r="162" spans="34:95" x14ac:dyDescent="0.2">
      <c r="AH162">
        <v>161</v>
      </c>
      <c r="AI162">
        <v>0.77952755905511806</v>
      </c>
      <c r="AJ162" s="42">
        <v>0.29441346947892549</v>
      </c>
      <c r="AK162" s="42">
        <v>10</v>
      </c>
      <c r="AL162" s="127">
        <v>0</v>
      </c>
      <c r="AM162" s="127">
        <v>0</v>
      </c>
      <c r="AN162" s="127" t="str">
        <v/>
      </c>
      <c r="AO162" s="127" t="str">
        <v/>
      </c>
      <c r="AP162" s="127"/>
      <c r="AQ162" s="127"/>
      <c r="AR162" s="127"/>
      <c r="AS162" s="127"/>
      <c r="AT162" s="127"/>
      <c r="AU162"/>
      <c r="AV162"/>
      <c r="AW162"/>
      <c r="AX162"/>
      <c r="AY162"/>
      <c r="AZ162" s="127"/>
      <c r="BA162" s="127"/>
      <c r="BB162" s="127"/>
      <c r="BC162" s="127"/>
      <c r="BD162" s="127"/>
      <c r="BE162" s="127"/>
      <c r="BF162" s="127"/>
      <c r="BG162" s="127"/>
      <c r="BH162" s="48"/>
      <c r="BK162" s="42">
        <v>161</v>
      </c>
      <c r="BL162" s="127">
        <v>1</v>
      </c>
      <c r="BM162" s="127">
        <v>1.8192576091040986</v>
      </c>
      <c r="BN162" s="127">
        <v>1.8192576091040986</v>
      </c>
      <c r="BO162" s="127" t="e">
        <v>#N/A</v>
      </c>
      <c r="BP162" t="e">
        <v>#N/A</v>
      </c>
      <c r="BQ162" t="e">
        <v>#N/A</v>
      </c>
      <c r="BR162" t="str">
        <v/>
      </c>
      <c r="CN162">
        <v>161</v>
      </c>
      <c r="CO162">
        <v>6</v>
      </c>
      <c r="CP162">
        <v>8.8224752287145186E-2</v>
      </c>
      <c r="CQ162" t="str">
        <v/>
      </c>
    </row>
    <row r="163" spans="34:95" x14ac:dyDescent="0.2">
      <c r="AH163">
        <v>162</v>
      </c>
      <c r="AI163">
        <v>0.8031496062992125</v>
      </c>
      <c r="AJ163" s="42">
        <v>0.28896110686327098</v>
      </c>
      <c r="AK163" s="42">
        <v>10</v>
      </c>
      <c r="AL163" s="127">
        <v>0</v>
      </c>
      <c r="AM163" s="127">
        <v>0</v>
      </c>
      <c r="AN163" s="127" t="str">
        <v/>
      </c>
      <c r="AO163" s="127" t="str">
        <v/>
      </c>
      <c r="AP163" s="127"/>
      <c r="AQ163" s="127"/>
      <c r="AR163" s="127"/>
      <c r="AS163" s="127"/>
      <c r="AT163" s="127"/>
      <c r="AU163"/>
      <c r="AV163"/>
      <c r="AW163"/>
      <c r="AX163"/>
      <c r="AY163"/>
      <c r="AZ163" s="127"/>
      <c r="BA163" s="127"/>
      <c r="BB163" s="127"/>
      <c r="BC163" s="127"/>
      <c r="BD163" s="127"/>
      <c r="BE163" s="127"/>
      <c r="BF163" s="127"/>
      <c r="BG163" s="127"/>
      <c r="BH163" s="48"/>
      <c r="BK163" s="42">
        <v>162</v>
      </c>
      <c r="BL163" s="127">
        <v>1</v>
      </c>
      <c r="BM163" s="127">
        <v>1.8192576091040986</v>
      </c>
      <c r="BN163" s="127">
        <v>1.8192576091040986</v>
      </c>
      <c r="BO163" s="127" t="e">
        <v>#N/A</v>
      </c>
      <c r="BP163" t="e">
        <v>#N/A</v>
      </c>
      <c r="BQ163" t="e">
        <v>#N/A</v>
      </c>
      <c r="BR163" t="str">
        <v/>
      </c>
      <c r="CN163">
        <v>162</v>
      </c>
      <c r="CO163">
        <v>6</v>
      </c>
      <c r="CP163">
        <v>8.8224752287145186E-2</v>
      </c>
      <c r="CQ163" t="str">
        <v/>
      </c>
    </row>
    <row r="164" spans="34:95" x14ac:dyDescent="0.2">
      <c r="AH164">
        <v>163</v>
      </c>
      <c r="AI164">
        <v>0.82677165354330695</v>
      </c>
      <c r="AJ164" s="42">
        <v>0.28345150837065552</v>
      </c>
      <c r="AK164" s="42">
        <v>10</v>
      </c>
      <c r="AL164" s="127">
        <v>0</v>
      </c>
      <c r="AM164" s="127">
        <v>0</v>
      </c>
      <c r="AN164" s="127" t="str">
        <v/>
      </c>
      <c r="AO164" s="127" t="str">
        <v/>
      </c>
      <c r="AP164" s="127"/>
      <c r="AQ164" s="127"/>
      <c r="AR164" s="127"/>
      <c r="AS164" s="127"/>
      <c r="AT164" s="127"/>
      <c r="AU164"/>
      <c r="AV164"/>
      <c r="AW164"/>
      <c r="AX164"/>
      <c r="AY164"/>
      <c r="AZ164" s="127"/>
      <c r="BA164" s="127"/>
      <c r="BB164" s="127"/>
      <c r="BC164" s="127"/>
      <c r="BD164" s="127"/>
      <c r="BE164" s="127"/>
      <c r="BF164" s="127"/>
      <c r="BG164" s="127"/>
      <c r="BH164" s="48"/>
      <c r="BK164" s="42">
        <v>163</v>
      </c>
      <c r="BL164" s="127">
        <v>1</v>
      </c>
      <c r="BM164" s="127">
        <v>1.8192576091040986</v>
      </c>
      <c r="BN164" s="127">
        <v>1.8192576091040986</v>
      </c>
      <c r="BO164" s="127" t="e">
        <v>#N/A</v>
      </c>
      <c r="BP164" t="e">
        <v>#N/A</v>
      </c>
      <c r="BQ164" t="e">
        <v>#N/A</v>
      </c>
      <c r="BR164" t="str">
        <v/>
      </c>
      <c r="CN164">
        <v>163</v>
      </c>
      <c r="CO164">
        <v>6</v>
      </c>
      <c r="CP164">
        <v>8.8224752287145186E-2</v>
      </c>
      <c r="CQ164" t="str">
        <v/>
      </c>
    </row>
    <row r="165" spans="34:95" x14ac:dyDescent="0.2">
      <c r="AH165">
        <v>164</v>
      </c>
      <c r="AI165">
        <v>0.8503937007874014</v>
      </c>
      <c r="AJ165" s="42">
        <v>0.27789185371977293</v>
      </c>
      <c r="AK165" s="42">
        <v>10</v>
      </c>
      <c r="AL165" s="127">
        <v>0</v>
      </c>
      <c r="AM165" s="127">
        <v>0</v>
      </c>
      <c r="AN165" s="127" t="str">
        <v/>
      </c>
      <c r="AO165" s="127" t="str">
        <v/>
      </c>
      <c r="AP165" s="127"/>
      <c r="AQ165" s="127"/>
      <c r="AR165" s="127"/>
      <c r="AS165" s="127"/>
      <c r="AT165" s="127"/>
      <c r="AU165"/>
      <c r="AV165"/>
      <c r="AW165"/>
      <c r="AX165"/>
      <c r="AY165"/>
      <c r="AZ165" s="127"/>
      <c r="BA165" s="127"/>
      <c r="BB165" s="127"/>
      <c r="BC165" s="127"/>
      <c r="BD165" s="127"/>
      <c r="BE165" s="127"/>
      <c r="BF165" s="127"/>
      <c r="BG165" s="127"/>
      <c r="BH165" s="48"/>
      <c r="BK165" s="42">
        <v>164</v>
      </c>
      <c r="BL165" s="127">
        <v>1</v>
      </c>
      <c r="BM165" s="127">
        <v>1.8192576091040986</v>
      </c>
      <c r="BN165" s="127">
        <v>1.8192576091040986</v>
      </c>
      <c r="BO165" s="127" t="e">
        <v>#N/A</v>
      </c>
      <c r="BP165" t="e">
        <v>#N/A</v>
      </c>
      <c r="BQ165" t="e">
        <v>#N/A</v>
      </c>
      <c r="BR165" t="str">
        <v/>
      </c>
      <c r="CN165">
        <v>164</v>
      </c>
      <c r="CO165">
        <v>6</v>
      </c>
      <c r="CP165">
        <v>8.8224752287145186E-2</v>
      </c>
      <c r="CQ165" t="str">
        <v/>
      </c>
    </row>
    <row r="166" spans="34:95" x14ac:dyDescent="0.2">
      <c r="AH166">
        <v>165</v>
      </c>
      <c r="AI166">
        <v>0.87401574803149584</v>
      </c>
      <c r="AJ166" s="42">
        <v>0.272289266743029</v>
      </c>
      <c r="AK166" s="42">
        <v>10</v>
      </c>
      <c r="AL166" s="127">
        <v>0</v>
      </c>
      <c r="AM166" s="127">
        <v>0</v>
      </c>
      <c r="AN166" s="127" t="str">
        <v/>
      </c>
      <c r="AO166" s="127" t="str">
        <v/>
      </c>
      <c r="AP166" s="127"/>
      <c r="AQ166" s="127"/>
      <c r="AR166" s="127"/>
      <c r="AS166" s="127"/>
      <c r="AT166" s="127"/>
      <c r="AU166"/>
      <c r="AV166"/>
      <c r="AW166"/>
      <c r="AX166"/>
      <c r="AY166"/>
      <c r="AZ166" s="127"/>
      <c r="BA166" s="127"/>
      <c r="BB166" s="127"/>
      <c r="BC166" s="127"/>
      <c r="BD166" s="127"/>
      <c r="BE166" s="127"/>
      <c r="BF166" s="127"/>
      <c r="BG166" s="127"/>
      <c r="BH166" s="48"/>
      <c r="BK166" s="42">
        <v>165</v>
      </c>
      <c r="BL166" s="127">
        <v>1</v>
      </c>
      <c r="BM166" s="127">
        <v>1.8192576091040986</v>
      </c>
      <c r="BN166" s="127">
        <v>1.8192576091040986</v>
      </c>
      <c r="BO166" s="127" t="e">
        <v>#N/A</v>
      </c>
      <c r="BP166" t="e">
        <v>#N/A</v>
      </c>
      <c r="BQ166" t="e">
        <v>#N/A</v>
      </c>
      <c r="BR166" t="str">
        <v/>
      </c>
      <c r="CN166">
        <v>165</v>
      </c>
      <c r="CO166">
        <v>6</v>
      </c>
      <c r="CP166">
        <v>8.8224752287145186E-2</v>
      </c>
      <c r="CQ166" t="str">
        <v/>
      </c>
    </row>
    <row r="167" spans="34:95" x14ac:dyDescent="0.2">
      <c r="AH167">
        <v>166</v>
      </c>
      <c r="AI167">
        <v>0.89763779527559029</v>
      </c>
      <c r="AJ167" s="42">
        <v>0.26665080074508385</v>
      </c>
      <c r="AK167" s="42">
        <v>10</v>
      </c>
      <c r="AL167" s="127">
        <v>0</v>
      </c>
      <c r="AM167" s="127">
        <v>0</v>
      </c>
      <c r="AN167" s="127" t="str">
        <v/>
      </c>
      <c r="AO167" s="127" t="str">
        <v/>
      </c>
      <c r="AP167" s="127"/>
      <c r="AQ167" s="127"/>
      <c r="AR167" s="127"/>
      <c r="AS167" s="127"/>
      <c r="AT167" s="127"/>
      <c r="AU167"/>
      <c r="AV167"/>
      <c r="AW167"/>
      <c r="AX167"/>
      <c r="AY167"/>
      <c r="AZ167" s="127"/>
      <c r="BA167" s="127"/>
      <c r="BB167" s="127"/>
      <c r="BC167" s="127"/>
      <c r="BD167" s="127"/>
      <c r="BE167" s="127"/>
      <c r="BF167" s="127"/>
      <c r="BG167" s="127"/>
      <c r="BH167" s="48"/>
      <c r="BK167" s="42">
        <v>166</v>
      </c>
      <c r="BL167" s="127">
        <v>1</v>
      </c>
      <c r="BM167" s="127">
        <v>1.8192576091040986</v>
      </c>
      <c r="BN167" s="127">
        <v>1.8192576091040986</v>
      </c>
      <c r="BO167" s="127" t="e">
        <v>#N/A</v>
      </c>
      <c r="BP167" t="e">
        <v>#N/A</v>
      </c>
      <c r="BQ167" t="e">
        <v>#N/A</v>
      </c>
      <c r="BR167" t="str">
        <v/>
      </c>
      <c r="CN167">
        <v>166</v>
      </c>
      <c r="CO167">
        <v>6</v>
      </c>
      <c r="CP167">
        <v>8.8224752287145186E-2</v>
      </c>
      <c r="CQ167" t="str">
        <v/>
      </c>
    </row>
    <row r="168" spans="34:95" x14ac:dyDescent="0.2">
      <c r="AH168">
        <v>167</v>
      </c>
      <c r="AI168">
        <v>0.92125984251968518</v>
      </c>
      <c r="AJ168" s="42">
        <v>0.26098342434722177</v>
      </c>
      <c r="AK168" s="42">
        <v>10</v>
      </c>
      <c r="AL168" s="127">
        <v>0</v>
      </c>
      <c r="AM168" s="127">
        <v>0</v>
      </c>
      <c r="AN168" s="127" t="str">
        <v/>
      </c>
      <c r="AO168" s="127" t="str">
        <v/>
      </c>
      <c r="AP168" s="127"/>
      <c r="AQ168" s="127"/>
      <c r="AR168" s="127"/>
      <c r="AS168" s="127"/>
      <c r="AT168" s="127"/>
      <c r="AU168"/>
      <c r="AV168"/>
      <c r="AW168"/>
      <c r="AX168"/>
      <c r="AY168"/>
      <c r="AZ168" s="127"/>
      <c r="BA168" s="127"/>
      <c r="BB168" s="127"/>
      <c r="BC168" s="127"/>
      <c r="BD168" s="127"/>
      <c r="BE168" s="127"/>
      <c r="BF168" s="127"/>
      <c r="BG168" s="127"/>
      <c r="BH168" s="48"/>
      <c r="BK168" s="42">
        <v>167</v>
      </c>
      <c r="BL168" s="127">
        <v>1</v>
      </c>
      <c r="BM168" s="127">
        <v>1.8192576091040986</v>
      </c>
      <c r="BN168" s="127">
        <v>1.8192576091040986</v>
      </c>
      <c r="BO168" s="127" t="e">
        <v>#N/A</v>
      </c>
      <c r="BP168" t="e">
        <v>#N/A</v>
      </c>
      <c r="BQ168" t="e">
        <v>#N/A</v>
      </c>
      <c r="BR168" t="str">
        <v/>
      </c>
      <c r="CN168">
        <v>167</v>
      </c>
      <c r="CO168">
        <v>6</v>
      </c>
      <c r="CP168">
        <v>8.8224752287145186E-2</v>
      </c>
      <c r="CQ168" t="str">
        <v/>
      </c>
    </row>
    <row r="169" spans="34:95" x14ac:dyDescent="0.2">
      <c r="AH169">
        <v>168</v>
      </c>
      <c r="AI169">
        <v>0.94488188976377963</v>
      </c>
      <c r="AJ169" s="42">
        <v>0.25529400785464174</v>
      </c>
      <c r="AK169" s="42">
        <v>10</v>
      </c>
      <c r="AL169" s="127">
        <v>0</v>
      </c>
      <c r="AM169" s="127">
        <v>0</v>
      </c>
      <c r="AN169" s="127" t="str">
        <v/>
      </c>
      <c r="AO169" s="127" t="str">
        <v/>
      </c>
      <c r="AP169" s="127"/>
      <c r="AQ169" s="127"/>
      <c r="AR169" s="127"/>
      <c r="AS169" s="127"/>
      <c r="AT169" s="127"/>
      <c r="AU169"/>
      <c r="AV169"/>
      <c r="AW169"/>
      <c r="AX169"/>
      <c r="AY169"/>
      <c r="AZ169" s="127"/>
      <c r="BA169" s="127"/>
      <c r="BB169" s="127"/>
      <c r="BC169" s="127"/>
      <c r="BD169" s="127"/>
      <c r="BE169" s="127"/>
      <c r="BF169" s="127"/>
      <c r="BG169" s="127"/>
      <c r="BH169" s="48"/>
      <c r="BK169" s="42">
        <v>168</v>
      </c>
      <c r="BL169" s="127">
        <v>1</v>
      </c>
      <c r="BM169" s="127">
        <v>1.8192576091040986</v>
      </c>
      <c r="BN169" s="127">
        <v>1.8192576091040986</v>
      </c>
      <c r="BO169" s="127" t="e">
        <v>#N/A</v>
      </c>
      <c r="BP169" t="e">
        <v>#N/A</v>
      </c>
      <c r="BQ169" t="e">
        <v>#N/A</v>
      </c>
      <c r="BR169" t="str">
        <v/>
      </c>
      <c r="CN169">
        <v>168</v>
      </c>
      <c r="CO169">
        <v>6</v>
      </c>
      <c r="CP169">
        <v>8.8224752287145186E-2</v>
      </c>
      <c r="CQ169" t="str">
        <v/>
      </c>
    </row>
    <row r="170" spans="34:95" x14ac:dyDescent="0.2">
      <c r="AH170">
        <v>169</v>
      </c>
      <c r="AI170">
        <v>0.96850393700787407</v>
      </c>
      <c r="AJ170" s="42">
        <v>0.24958931018098326</v>
      </c>
      <c r="AK170" s="42">
        <v>10</v>
      </c>
      <c r="AL170" s="127">
        <v>0</v>
      </c>
      <c r="AM170" s="127">
        <v>0</v>
      </c>
      <c r="AN170" s="127" t="str">
        <v/>
      </c>
      <c r="AO170" s="127" t="str">
        <v/>
      </c>
      <c r="AP170" s="127"/>
      <c r="AQ170" s="127"/>
      <c r="AR170" s="127"/>
      <c r="AS170" s="127"/>
      <c r="AT170" s="127"/>
      <c r="AU170"/>
      <c r="AV170"/>
      <c r="AW170"/>
      <c r="AX170"/>
      <c r="AY170"/>
      <c r="AZ170" s="127"/>
      <c r="BA170" s="127"/>
      <c r="BB170" s="127"/>
      <c r="BC170" s="127"/>
      <c r="BD170" s="127"/>
      <c r="BE170" s="127"/>
      <c r="BF170" s="127"/>
      <c r="BG170" s="127"/>
      <c r="BH170" s="48"/>
      <c r="BK170" s="42">
        <v>169</v>
      </c>
      <c r="BL170" s="127">
        <v>1</v>
      </c>
      <c r="BM170" s="127">
        <v>1.8192576091040986</v>
      </c>
      <c r="BN170" s="127">
        <v>1.8192576091040986</v>
      </c>
      <c r="BO170" s="127" t="e">
        <v>#N/A</v>
      </c>
      <c r="BP170" t="e">
        <v>#N/A</v>
      </c>
      <c r="BQ170" t="e">
        <v>#N/A</v>
      </c>
      <c r="BR170" t="str">
        <v/>
      </c>
      <c r="CN170">
        <v>169</v>
      </c>
      <c r="CO170">
        <v>6</v>
      </c>
      <c r="CP170">
        <v>8.8224752287145186E-2</v>
      </c>
      <c r="CQ170" t="str">
        <v/>
      </c>
    </row>
    <row r="171" spans="34:95" x14ac:dyDescent="0.2">
      <c r="AH171">
        <v>170</v>
      </c>
      <c r="AI171">
        <v>0.99212598425196852</v>
      </c>
      <c r="AJ171" s="42">
        <v>0.24387596636153336</v>
      </c>
      <c r="AK171" s="42">
        <v>10</v>
      </c>
      <c r="AL171" s="127">
        <v>0</v>
      </c>
      <c r="AM171" s="127">
        <v>0</v>
      </c>
      <c r="AN171" s="127" t="str">
        <v/>
      </c>
      <c r="AO171" s="127" t="str">
        <v/>
      </c>
      <c r="AP171" s="127"/>
      <c r="AQ171" s="127"/>
      <c r="AR171" s="127"/>
      <c r="AS171" s="127"/>
      <c r="AT171" s="127"/>
      <c r="AU171"/>
      <c r="AV171"/>
      <c r="AW171"/>
      <c r="AX171"/>
      <c r="AY171"/>
      <c r="AZ171" s="127"/>
      <c r="BA171" s="127"/>
      <c r="BB171" s="127"/>
      <c r="BC171" s="127"/>
      <c r="BD171" s="127"/>
      <c r="BE171" s="127"/>
      <c r="BF171" s="127"/>
      <c r="BG171" s="127"/>
      <c r="BH171" s="48"/>
      <c r="BK171" s="42">
        <v>170</v>
      </c>
      <c r="BL171" s="127">
        <v>1</v>
      </c>
      <c r="BM171" s="127">
        <v>1.8192576091040986</v>
      </c>
      <c r="BN171" s="127">
        <v>1.8192576091040986</v>
      </c>
      <c r="BO171" s="127" t="e">
        <v>#N/A</v>
      </c>
      <c r="BP171" t="e">
        <v>#N/A</v>
      </c>
      <c r="BQ171" t="e">
        <v>#N/A</v>
      </c>
      <c r="BR171" t="str">
        <v/>
      </c>
      <c r="CN171">
        <v>170</v>
      </c>
      <c r="CO171">
        <v>6</v>
      </c>
      <c r="CP171">
        <v>8.8224752287145186E-2</v>
      </c>
      <c r="CQ171" t="str">
        <v/>
      </c>
    </row>
    <row r="172" spans="34:95" x14ac:dyDescent="0.2">
      <c r="AH172">
        <v>171</v>
      </c>
      <c r="AI172">
        <v>1.015748031496063</v>
      </c>
      <c r="AJ172" s="42">
        <v>0.2381604756836066</v>
      </c>
      <c r="AK172" s="42">
        <v>11</v>
      </c>
      <c r="AL172" s="127">
        <v>0</v>
      </c>
      <c r="AM172" s="127">
        <v>0</v>
      </c>
      <c r="AN172" s="127">
        <v>6.16</v>
      </c>
      <c r="AO172" s="127" t="str">
        <v>1σ</v>
      </c>
      <c r="AP172" s="127"/>
      <c r="AQ172" s="127"/>
      <c r="AR172" s="127"/>
      <c r="AS172" s="127"/>
      <c r="AT172" s="127"/>
      <c r="AU172"/>
      <c r="AV172"/>
      <c r="AW172"/>
      <c r="AX172"/>
      <c r="AY172"/>
      <c r="AZ172" s="127"/>
      <c r="BA172" s="127"/>
      <c r="BB172" s="127"/>
      <c r="BC172" s="127"/>
      <c r="BD172" s="127"/>
      <c r="BE172" s="127"/>
      <c r="BF172" s="127"/>
      <c r="BG172" s="127"/>
      <c r="BH172" s="48"/>
      <c r="BK172" s="42">
        <v>171</v>
      </c>
      <c r="BL172" s="127">
        <v>1</v>
      </c>
      <c r="BM172" s="127">
        <v>1.8192576091040986</v>
      </c>
      <c r="BN172" s="127">
        <v>1.8192576091040986</v>
      </c>
      <c r="BO172" s="127" t="e">
        <v>#N/A</v>
      </c>
      <c r="BP172" t="e">
        <v>#N/A</v>
      </c>
      <c r="BQ172" t="e">
        <v>#N/A</v>
      </c>
      <c r="BR172" t="str">
        <v/>
      </c>
      <c r="CN172">
        <v>171</v>
      </c>
      <c r="CO172">
        <v>6</v>
      </c>
      <c r="CP172">
        <v>8.8224752287145186E-2</v>
      </c>
      <c r="CQ172" t="str">
        <v/>
      </c>
    </row>
    <row r="173" spans="34:95" x14ac:dyDescent="0.2">
      <c r="AH173">
        <v>172</v>
      </c>
      <c r="AI173">
        <v>1.0393700787401574</v>
      </c>
      <c r="AJ173" s="42">
        <v>0.23244919045958226</v>
      </c>
      <c r="AK173" s="42">
        <v>11</v>
      </c>
      <c r="AL173" s="127">
        <v>0</v>
      </c>
      <c r="AM173" s="127">
        <v>0</v>
      </c>
      <c r="AN173" s="127" t="str">
        <v/>
      </c>
      <c r="AO173" s="127" t="str">
        <v/>
      </c>
      <c r="AP173" s="127"/>
      <c r="AQ173" s="127"/>
      <c r="AR173" s="127"/>
      <c r="AS173" s="127"/>
      <c r="AT173" s="127"/>
      <c r="AU173"/>
      <c r="AV173"/>
      <c r="AW173"/>
      <c r="AX173"/>
      <c r="AY173"/>
      <c r="AZ173" s="127"/>
      <c r="BA173" s="127"/>
      <c r="BB173" s="127"/>
      <c r="BC173" s="127"/>
      <c r="BD173" s="127"/>
      <c r="BE173" s="127"/>
      <c r="BF173" s="127"/>
      <c r="BG173" s="127"/>
      <c r="BH173" s="48"/>
      <c r="BK173" s="42">
        <v>172</v>
      </c>
      <c r="BL173" s="127">
        <v>1</v>
      </c>
      <c r="BM173" s="127">
        <v>1.8192576091040986</v>
      </c>
      <c r="BN173" s="127">
        <v>1.8192576091040986</v>
      </c>
      <c r="BO173" s="127" t="e">
        <v>#N/A</v>
      </c>
      <c r="BP173" t="e">
        <v>#N/A</v>
      </c>
      <c r="BQ173" t="e">
        <v>#N/A</v>
      </c>
      <c r="BR173" t="str">
        <v/>
      </c>
      <c r="CN173">
        <v>172</v>
      </c>
      <c r="CO173">
        <v>6</v>
      </c>
      <c r="CP173">
        <v>8.8224752287145186E-2</v>
      </c>
      <c r="CQ173" t="str">
        <v/>
      </c>
    </row>
    <row r="174" spans="34:95" x14ac:dyDescent="0.2">
      <c r="AH174">
        <v>173</v>
      </c>
      <c r="AI174">
        <v>1.0629921259842519</v>
      </c>
      <c r="AJ174" s="42">
        <v>0.22674830546502489</v>
      </c>
      <c r="AK174" s="42">
        <v>11</v>
      </c>
      <c r="AL174" s="127">
        <v>0</v>
      </c>
      <c r="AM174" s="127">
        <v>0</v>
      </c>
      <c r="AN174" s="127" t="str">
        <v/>
      </c>
      <c r="AO174" s="127" t="str">
        <v/>
      </c>
      <c r="AP174" s="127"/>
      <c r="AQ174" s="127"/>
      <c r="AR174" s="127"/>
      <c r="AS174" s="127"/>
      <c r="AT174" s="127"/>
      <c r="AU174"/>
      <c r="AV174"/>
      <c r="AW174"/>
      <c r="AX174"/>
      <c r="AY174"/>
      <c r="AZ174" s="127"/>
      <c r="BA174" s="127"/>
      <c r="BB174" s="127"/>
      <c r="BC174" s="127"/>
      <c r="BD174" s="127"/>
      <c r="BE174" s="127"/>
      <c r="BF174" s="127"/>
      <c r="BG174" s="127"/>
      <c r="BH174" s="48"/>
      <c r="BK174" s="42">
        <v>173</v>
      </c>
      <c r="BL174" s="127">
        <v>1</v>
      </c>
      <c r="BM174" s="127">
        <v>1.8192576091040986</v>
      </c>
      <c r="BN174" s="127">
        <v>1.8192576091040986</v>
      </c>
      <c r="BO174" s="127" t="e">
        <v>#N/A</v>
      </c>
      <c r="BP174" t="e">
        <v>#N/A</v>
      </c>
      <c r="BQ174" t="e">
        <v>#N/A</v>
      </c>
      <c r="BR174" t="str">
        <v/>
      </c>
      <c r="CN174">
        <v>173</v>
      </c>
      <c r="CO174">
        <v>6</v>
      </c>
      <c r="CP174">
        <v>8.8224752287145186E-2</v>
      </c>
      <c r="CQ174" t="str">
        <v/>
      </c>
    </row>
    <row r="175" spans="34:95" x14ac:dyDescent="0.2">
      <c r="AH175">
        <v>174</v>
      </c>
      <c r="AI175">
        <v>1.0866141732283463</v>
      </c>
      <c r="AJ175" s="42">
        <v>0.22106384806123058</v>
      </c>
      <c r="AK175" s="42">
        <v>11</v>
      </c>
      <c r="AL175" s="127">
        <v>0</v>
      </c>
      <c r="AM175" s="127">
        <v>0</v>
      </c>
      <c r="AN175" s="127" t="str">
        <v/>
      </c>
      <c r="AO175" s="127" t="str">
        <v/>
      </c>
      <c r="AP175" s="127"/>
      <c r="AQ175" s="127"/>
      <c r="AR175" s="127"/>
      <c r="AS175" s="127"/>
      <c r="AT175" s="127"/>
      <c r="AU175"/>
      <c r="AV175"/>
      <c r="AW175"/>
      <c r="AX175"/>
      <c r="AY175"/>
      <c r="AZ175" s="127"/>
      <c r="BA175" s="127"/>
      <c r="BB175" s="127"/>
      <c r="BC175" s="127"/>
      <c r="BD175" s="127"/>
      <c r="BE175" s="127"/>
      <c r="BF175" s="127"/>
      <c r="BG175" s="127"/>
      <c r="BH175" s="48"/>
      <c r="BK175" s="42">
        <v>174</v>
      </c>
      <c r="BL175" s="127">
        <v>1</v>
      </c>
      <c r="BM175" s="127">
        <v>1.8192576091040986</v>
      </c>
      <c r="BN175" s="127">
        <v>1.8192576091040986</v>
      </c>
      <c r="BO175" s="127" t="e">
        <v>#N/A</v>
      </c>
      <c r="BP175" t="e">
        <v>#N/A</v>
      </c>
      <c r="BQ175" t="e">
        <v>#N/A</v>
      </c>
      <c r="BR175" t="str">
        <v/>
      </c>
      <c r="CN175">
        <v>174</v>
      </c>
      <c r="CO175">
        <v>6</v>
      </c>
      <c r="CP175">
        <v>8.8224752287145186E-2</v>
      </c>
      <c r="CQ175" t="str">
        <v/>
      </c>
    </row>
    <row r="176" spans="34:95" x14ac:dyDescent="0.2">
      <c r="AH176">
        <v>175</v>
      </c>
      <c r="AI176">
        <v>1.1102362204724407</v>
      </c>
      <c r="AJ176" s="42">
        <v>0.21540166901844132</v>
      </c>
      <c r="AK176" s="42">
        <v>11</v>
      </c>
      <c r="AL176" s="127">
        <v>0</v>
      </c>
      <c r="AM176" s="127">
        <v>0</v>
      </c>
      <c r="AN176" s="127" t="str">
        <v/>
      </c>
      <c r="AO176" s="127" t="str">
        <v/>
      </c>
      <c r="AP176" s="127"/>
      <c r="AQ176" s="127"/>
      <c r="AR176" s="127"/>
      <c r="AS176" s="127"/>
      <c r="AT176" s="127"/>
      <c r="AU176"/>
      <c r="AV176"/>
      <c r="AW176"/>
      <c r="AX176"/>
      <c r="AY176"/>
      <c r="AZ176" s="127"/>
      <c r="BA176" s="127"/>
      <c r="BB176" s="127"/>
      <c r="BC176" s="127"/>
      <c r="BD176" s="127"/>
      <c r="BE176" s="127"/>
      <c r="BF176" s="127"/>
      <c r="BG176" s="127"/>
      <c r="BH176" s="48"/>
      <c r="BK176" s="42">
        <v>175</v>
      </c>
      <c r="BL176" s="127">
        <v>1</v>
      </c>
      <c r="BM176" s="127">
        <v>1.8192576091040986</v>
      </c>
      <c r="BN176" s="127">
        <v>1.8192576091040986</v>
      </c>
      <c r="BO176" s="127" t="e">
        <v>#N/A</v>
      </c>
      <c r="BP176" t="e">
        <v>#N/A</v>
      </c>
      <c r="BQ176" t="e">
        <v>#N/A</v>
      </c>
      <c r="BR176" t="str">
        <v/>
      </c>
      <c r="CN176">
        <v>175</v>
      </c>
      <c r="CO176">
        <v>6</v>
      </c>
      <c r="CP176">
        <v>8.8224752287145186E-2</v>
      </c>
      <c r="CQ176" t="str">
        <v/>
      </c>
    </row>
    <row r="177" spans="34:95" x14ac:dyDescent="0.2">
      <c r="AH177">
        <v>176</v>
      </c>
      <c r="AI177">
        <v>1.1338582677165352</v>
      </c>
      <c r="AJ177" s="42">
        <v>0.20976743405287629</v>
      </c>
      <c r="AK177" s="42">
        <v>11</v>
      </c>
      <c r="AL177" s="127">
        <v>0</v>
      </c>
      <c r="AM177" s="127">
        <v>0</v>
      </c>
      <c r="AN177" s="127" t="str">
        <v/>
      </c>
      <c r="AO177" s="127" t="str">
        <v/>
      </c>
      <c r="AP177" s="127"/>
      <c r="AQ177" s="127"/>
      <c r="AR177" s="127"/>
      <c r="AS177" s="127"/>
      <c r="AT177" s="127"/>
      <c r="AU177"/>
      <c r="AV177"/>
      <c r="AW177"/>
      <c r="AX177"/>
      <c r="AY177"/>
      <c r="AZ177" s="127"/>
      <c r="BA177" s="127"/>
      <c r="BB177" s="127"/>
      <c r="BC177" s="127"/>
      <c r="BD177" s="127"/>
      <c r="BE177" s="127"/>
      <c r="BF177" s="127"/>
      <c r="BG177" s="127"/>
      <c r="BH177" s="48"/>
      <c r="BK177" s="42">
        <v>176</v>
      </c>
      <c r="BL177" s="127">
        <v>1</v>
      </c>
      <c r="BM177" s="127">
        <v>1.8192576091040986</v>
      </c>
      <c r="BN177" s="127">
        <v>1.8192576091040986</v>
      </c>
      <c r="BO177" s="127" t="e">
        <v>#N/A</v>
      </c>
      <c r="BP177" t="e">
        <v>#N/A</v>
      </c>
      <c r="BQ177" t="e">
        <v>#N/A</v>
      </c>
      <c r="BR177" t="str">
        <v/>
      </c>
      <c r="CN177">
        <v>176</v>
      </c>
      <c r="CO177">
        <v>6</v>
      </c>
      <c r="CP177">
        <v>8.8224752287145186E-2</v>
      </c>
      <c r="CQ177" t="str">
        <v/>
      </c>
    </row>
    <row r="178" spans="34:95" x14ac:dyDescent="0.2">
      <c r="AH178">
        <v>177</v>
      </c>
      <c r="AI178">
        <v>1.1574803149606296</v>
      </c>
      <c r="AJ178" s="42">
        <v>0.20416661608765058</v>
      </c>
      <c r="AK178" s="42">
        <v>11</v>
      </c>
      <c r="AL178" s="127">
        <v>0</v>
      </c>
      <c r="AM178" s="127">
        <v>0</v>
      </c>
      <c r="AN178" s="127" t="str">
        <v/>
      </c>
      <c r="AO178" s="127" t="str">
        <v/>
      </c>
      <c r="AP178" s="127"/>
      <c r="AQ178" s="127"/>
      <c r="AR178" s="127"/>
      <c r="AS178" s="127"/>
      <c r="AT178" s="127"/>
      <c r="AU178"/>
      <c r="AV178"/>
      <c r="AW178"/>
      <c r="AX178"/>
      <c r="AY178"/>
      <c r="AZ178" s="127"/>
      <c r="BA178" s="127"/>
      <c r="BB178" s="127"/>
      <c r="BC178" s="127"/>
      <c r="BD178" s="127"/>
      <c r="BE178" s="127"/>
      <c r="BF178" s="127"/>
      <c r="BG178" s="127"/>
      <c r="BH178" s="48"/>
      <c r="BK178" s="42">
        <v>177</v>
      </c>
      <c r="BL178" s="127">
        <v>1</v>
      </c>
      <c r="BM178" s="127">
        <v>1.8192576091040986</v>
      </c>
      <c r="BN178" s="127">
        <v>1.8192576091040986</v>
      </c>
      <c r="BO178" s="127" t="e">
        <v>#N/A</v>
      </c>
      <c r="BP178" t="e">
        <v>#N/A</v>
      </c>
      <c r="BQ178" t="e">
        <v>#N/A</v>
      </c>
      <c r="BR178" t="str">
        <v/>
      </c>
      <c r="CN178">
        <v>177</v>
      </c>
      <c r="CO178">
        <v>6</v>
      </c>
      <c r="CP178">
        <v>8.8224752287145186E-2</v>
      </c>
      <c r="CQ178" t="str">
        <v/>
      </c>
    </row>
    <row r="179" spans="34:95" x14ac:dyDescent="0.2">
      <c r="AH179">
        <v>178</v>
      </c>
      <c r="AI179">
        <v>1.1811023622047241</v>
      </c>
      <c r="AJ179" s="42">
        <v>0.19860448824460655</v>
      </c>
      <c r="AK179" s="42">
        <v>11</v>
      </c>
      <c r="AL179" s="127">
        <v>0</v>
      </c>
      <c r="AM179" s="127">
        <v>0</v>
      </c>
      <c r="AN179" s="127" t="str">
        <v/>
      </c>
      <c r="AO179" s="127" t="str">
        <v/>
      </c>
      <c r="AP179" s="127"/>
      <c r="AQ179" s="127"/>
      <c r="AR179" s="127"/>
      <c r="AS179" s="127"/>
      <c r="AT179" s="127"/>
      <c r="AU179"/>
      <c r="AV179"/>
      <c r="AW179"/>
      <c r="AX179"/>
      <c r="AY179"/>
      <c r="AZ179" s="127"/>
      <c r="BA179" s="127"/>
      <c r="BB179" s="127"/>
      <c r="BC179" s="127"/>
      <c r="BD179" s="127"/>
      <c r="BE179" s="127"/>
      <c r="BF179" s="127"/>
      <c r="BG179" s="127"/>
      <c r="BH179" s="48"/>
      <c r="BK179" s="42">
        <v>178</v>
      </c>
      <c r="BL179" s="127">
        <v>1</v>
      </c>
      <c r="BM179" s="127">
        <v>1.8192576091040986</v>
      </c>
      <c r="BN179" s="127">
        <v>1.8192576091040986</v>
      </c>
      <c r="BO179" s="127" t="e">
        <v>#N/A</v>
      </c>
      <c r="BP179" t="e">
        <v>#N/A</v>
      </c>
      <c r="BQ179" t="e">
        <v>#N/A</v>
      </c>
      <c r="BR179" t="str">
        <v/>
      </c>
      <c r="CN179">
        <v>178</v>
      </c>
      <c r="CO179">
        <v>6</v>
      </c>
      <c r="CP179">
        <v>8.8224752287145186E-2</v>
      </c>
      <c r="CQ179" t="str">
        <v/>
      </c>
    </row>
    <row r="180" spans="34:95" x14ac:dyDescent="0.2">
      <c r="AH180">
        <v>179</v>
      </c>
      <c r="AI180">
        <v>1.2047244094488185</v>
      </c>
      <c r="AJ180" s="42">
        <v>0.19308611757108693</v>
      </c>
      <c r="AK180" s="42">
        <v>11</v>
      </c>
      <c r="AL180" s="127">
        <v>0</v>
      </c>
      <c r="AM180" s="127">
        <v>0</v>
      </c>
      <c r="AN180" s="127" t="str">
        <v/>
      </c>
      <c r="AO180" s="127" t="str">
        <v/>
      </c>
      <c r="AP180" s="127"/>
      <c r="AQ180" s="127"/>
      <c r="AR180" s="127"/>
      <c r="AS180" s="127"/>
      <c r="AT180" s="127"/>
      <c r="AU180"/>
      <c r="AV180"/>
      <c r="AW180"/>
      <c r="AX180"/>
      <c r="AY180"/>
      <c r="AZ180" s="127"/>
      <c r="BA180" s="127"/>
      <c r="BB180" s="127"/>
      <c r="BC180" s="127"/>
      <c r="BD180" s="127"/>
      <c r="BE180" s="127"/>
      <c r="BF180" s="127"/>
      <c r="BG180" s="127"/>
      <c r="BH180" s="48"/>
      <c r="BK180" s="42">
        <v>179</v>
      </c>
      <c r="BL180" s="127">
        <v>1</v>
      </c>
      <c r="BM180" s="127">
        <v>1.8192576091040986</v>
      </c>
      <c r="BN180" s="127">
        <v>1.8192576091040986</v>
      </c>
      <c r="BO180" s="127" t="e">
        <v>#N/A</v>
      </c>
      <c r="BP180" t="e">
        <v>#N/A</v>
      </c>
      <c r="BQ180" t="e">
        <v>#N/A</v>
      </c>
      <c r="BR180" t="str">
        <v/>
      </c>
      <c r="CN180">
        <v>179</v>
      </c>
      <c r="CO180">
        <v>6</v>
      </c>
      <c r="CP180">
        <v>8.8224752287145186E-2</v>
      </c>
      <c r="CQ180" t="str">
        <v/>
      </c>
    </row>
    <row r="181" spans="34:95" x14ac:dyDescent="0.2">
      <c r="AH181">
        <v>180</v>
      </c>
      <c r="AI181">
        <v>1.228346456692913</v>
      </c>
      <c r="AJ181" s="42">
        <v>0.18761635950273958</v>
      </c>
      <c r="AK181" s="42">
        <v>11</v>
      </c>
      <c r="AL181" s="127">
        <v>0</v>
      </c>
      <c r="AM181" s="127">
        <v>0</v>
      </c>
      <c r="AN181" s="127" t="str">
        <v/>
      </c>
      <c r="AO181" s="127" t="str">
        <v/>
      </c>
      <c r="AP181" s="127"/>
      <c r="AQ181" s="127"/>
      <c r="AR181" s="127"/>
      <c r="AS181" s="127"/>
      <c r="AT181" s="127"/>
      <c r="AU181"/>
      <c r="AV181"/>
      <c r="AW181"/>
      <c r="AX181"/>
      <c r="AY181"/>
      <c r="AZ181" s="127"/>
      <c r="BA181" s="127"/>
      <c r="BB181" s="127"/>
      <c r="BC181" s="127"/>
      <c r="BD181" s="127"/>
      <c r="BE181" s="127"/>
      <c r="BF181" s="127"/>
      <c r="BG181" s="127"/>
      <c r="BH181" s="48"/>
      <c r="BK181" s="42">
        <v>180</v>
      </c>
      <c r="BL181" s="127">
        <v>1</v>
      </c>
      <c r="BM181" s="127">
        <v>1.8192576091040986</v>
      </c>
      <c r="BN181" s="127">
        <v>1.8192576091040986</v>
      </c>
      <c r="BO181" s="127" t="e">
        <v>#N/A</v>
      </c>
      <c r="BP181" t="e">
        <v>#N/A</v>
      </c>
      <c r="BQ181" t="e">
        <v>#N/A</v>
      </c>
      <c r="BR181" t="str">
        <v/>
      </c>
      <c r="CN181">
        <v>180</v>
      </c>
      <c r="CO181">
        <v>6</v>
      </c>
      <c r="CP181">
        <v>8.8224752287145186E-2</v>
      </c>
      <c r="CQ181" t="str">
        <v/>
      </c>
    </row>
    <row r="182" spans="34:95" x14ac:dyDescent="0.2">
      <c r="AH182">
        <v>181</v>
      </c>
      <c r="AI182">
        <v>1.2519685039370074</v>
      </c>
      <c r="AJ182" s="42">
        <v>0.18219985306058248</v>
      </c>
      <c r="AK182" s="42">
        <v>11</v>
      </c>
      <c r="AL182" s="127">
        <v>0</v>
      </c>
      <c r="AM182" s="127">
        <v>0</v>
      </c>
      <c r="AN182" s="127" t="str">
        <v/>
      </c>
      <c r="AO182" s="127" t="str">
        <v/>
      </c>
      <c r="AP182" s="127"/>
      <c r="AQ182" s="127"/>
      <c r="AR182" s="127"/>
      <c r="AS182" s="127"/>
      <c r="AT182" s="127"/>
      <c r="AU182"/>
      <c r="AV182"/>
      <c r="AW182"/>
      <c r="AX182"/>
      <c r="AY182"/>
      <c r="AZ182" s="127"/>
      <c r="BA182" s="127"/>
      <c r="BB182" s="127"/>
      <c r="BC182" s="127"/>
      <c r="BD182" s="127"/>
      <c r="BE182" s="127"/>
      <c r="BF182" s="127"/>
      <c r="BG182" s="127"/>
      <c r="BH182" s="48"/>
      <c r="BK182" s="42">
        <v>181</v>
      </c>
      <c r="BL182" s="127">
        <v>1</v>
      </c>
      <c r="BM182" s="127">
        <v>1.8192576091040986</v>
      </c>
      <c r="BN182" s="127">
        <v>1.8192576091040986</v>
      </c>
      <c r="BO182" s="127" t="e">
        <v>#N/A</v>
      </c>
      <c r="BP182" t="e">
        <v>#N/A</v>
      </c>
      <c r="BQ182" t="e">
        <v>#N/A</v>
      </c>
      <c r="BR182" t="str">
        <v/>
      </c>
      <c r="CN182">
        <v>181</v>
      </c>
      <c r="CO182">
        <v>6</v>
      </c>
      <c r="CP182">
        <v>8.8224752287145186E-2</v>
      </c>
      <c r="CQ182" t="str">
        <v/>
      </c>
    </row>
    <row r="183" spans="34:95" x14ac:dyDescent="0.2">
      <c r="AH183">
        <v>182</v>
      </c>
      <c r="AI183">
        <v>1.2755905511811019</v>
      </c>
      <c r="AJ183" s="42">
        <v>0.17684101677777875</v>
      </c>
      <c r="AK183" s="42">
        <v>11</v>
      </c>
      <c r="AL183" s="127">
        <v>0</v>
      </c>
      <c r="AM183" s="127">
        <v>0</v>
      </c>
      <c r="AN183" s="127" t="str">
        <v/>
      </c>
      <c r="AO183" s="127" t="str">
        <v/>
      </c>
      <c r="AP183" s="127"/>
      <c r="AQ183" s="127"/>
      <c r="AR183" s="127"/>
      <c r="AS183" s="127"/>
      <c r="AT183" s="127"/>
      <c r="AU183"/>
      <c r="AV183"/>
      <c r="AW183"/>
      <c r="AX183"/>
      <c r="AY183"/>
      <c r="AZ183" s="127"/>
      <c r="BA183" s="127"/>
      <c r="BB183" s="127"/>
      <c r="BC183" s="127"/>
      <c r="BD183" s="127"/>
      <c r="BE183" s="127"/>
      <c r="BF183" s="127"/>
      <c r="BG183" s="127"/>
      <c r="BH183" s="48"/>
      <c r="BK183" s="42">
        <v>182</v>
      </c>
      <c r="BL183" s="127">
        <v>1</v>
      </c>
      <c r="BM183" s="127">
        <v>1.8192576091040986</v>
      </c>
      <c r="BN183" s="127">
        <v>1.8192576091040986</v>
      </c>
      <c r="BO183" s="127" t="e">
        <v>#N/A</v>
      </c>
      <c r="BP183" t="e">
        <v>#N/A</v>
      </c>
      <c r="BQ183" t="e">
        <v>#N/A</v>
      </c>
      <c r="BR183" t="str">
        <v/>
      </c>
      <c r="CN183">
        <v>182</v>
      </c>
      <c r="CO183">
        <v>6</v>
      </c>
      <c r="CP183">
        <v>8.8224752287145186E-2</v>
      </c>
      <c r="CQ183" t="str">
        <v/>
      </c>
    </row>
    <row r="184" spans="34:95" x14ac:dyDescent="0.2">
      <c r="AH184">
        <v>183</v>
      </c>
      <c r="AI184">
        <v>1.2992125984251972</v>
      </c>
      <c r="AJ184" s="42">
        <v>0.17154404534889039</v>
      </c>
      <c r="AK184" s="42">
        <v>11</v>
      </c>
      <c r="AL184" s="127">
        <v>0</v>
      </c>
      <c r="AM184" s="127">
        <v>0</v>
      </c>
      <c r="AN184" s="127" t="str">
        <v/>
      </c>
      <c r="AO184" s="127" t="str">
        <v/>
      </c>
      <c r="AP184" s="127"/>
      <c r="AQ184" s="127"/>
      <c r="AR184" s="127"/>
      <c r="AS184" s="127"/>
      <c r="AT184" s="127"/>
      <c r="AU184"/>
      <c r="AV184"/>
      <c r="AW184"/>
      <c r="AX184"/>
      <c r="AY184"/>
      <c r="AZ184" s="127"/>
      <c r="BA184" s="127"/>
      <c r="BB184" s="127"/>
      <c r="BC184" s="127"/>
      <c r="BD184" s="127"/>
      <c r="BE184" s="127"/>
      <c r="BF184" s="127"/>
      <c r="BG184" s="127"/>
      <c r="BH184" s="48"/>
      <c r="BK184" s="42">
        <v>183</v>
      </c>
      <c r="BL184" s="127">
        <v>1</v>
      </c>
      <c r="BM184" s="127">
        <v>1.8192576091040986</v>
      </c>
      <c r="BN184" s="127">
        <v>1.8192576091040986</v>
      </c>
      <c r="BO184" s="127" t="e">
        <v>#N/A</v>
      </c>
      <c r="BP184" t="e">
        <v>#N/A</v>
      </c>
      <c r="BQ184" t="e">
        <v>#N/A</v>
      </c>
      <c r="BR184" t="str">
        <v/>
      </c>
      <c r="CN184">
        <v>183</v>
      </c>
      <c r="CO184">
        <v>6</v>
      </c>
      <c r="CP184">
        <v>8.8224752287145186E-2</v>
      </c>
      <c r="CQ184" t="str">
        <v/>
      </c>
    </row>
    <row r="185" spans="34:95" x14ac:dyDescent="0.2">
      <c r="AH185">
        <v>184</v>
      </c>
      <c r="AI185">
        <v>1.3228346456692917</v>
      </c>
      <c r="AJ185" s="42">
        <v>0.16631290699180909</v>
      </c>
      <c r="AK185" s="42">
        <v>11</v>
      </c>
      <c r="AL185" s="127">
        <v>0</v>
      </c>
      <c r="AM185" s="127">
        <v>0</v>
      </c>
      <c r="AN185" s="127" t="str">
        <v/>
      </c>
      <c r="AO185" s="127" t="str">
        <v/>
      </c>
      <c r="AP185" s="127"/>
      <c r="AQ185" s="127"/>
      <c r="AR185" s="127"/>
      <c r="AS185" s="127"/>
      <c r="AT185" s="127"/>
      <c r="AU185"/>
      <c r="AV185"/>
      <c r="AW185"/>
      <c r="AX185"/>
      <c r="AY185"/>
      <c r="AZ185" s="127"/>
      <c r="BA185" s="127"/>
      <c r="BB185" s="127"/>
      <c r="BC185" s="127"/>
      <c r="BD185" s="127"/>
      <c r="BE185" s="127"/>
      <c r="BF185" s="127"/>
      <c r="BG185" s="127"/>
      <c r="BH185" s="48"/>
      <c r="BK185" s="42">
        <v>184</v>
      </c>
      <c r="BL185" s="127">
        <v>1</v>
      </c>
      <c r="BM185" s="127">
        <v>1.8192576091040986</v>
      </c>
      <c r="BN185" s="127">
        <v>1.8192576091040986</v>
      </c>
      <c r="BO185" s="127" t="e">
        <v>#N/A</v>
      </c>
      <c r="BP185" t="e">
        <v>#N/A</v>
      </c>
      <c r="BQ185" t="e">
        <v>#N/A</v>
      </c>
      <c r="BR185" t="str">
        <v/>
      </c>
      <c r="CN185">
        <v>184</v>
      </c>
      <c r="CO185">
        <v>6</v>
      </c>
      <c r="CP185">
        <v>8.8224752287145186E-2</v>
      </c>
      <c r="CQ185" t="str">
        <v/>
      </c>
    </row>
    <row r="186" spans="34:95" x14ac:dyDescent="0.2">
      <c r="AH186">
        <v>185</v>
      </c>
      <c r="AI186">
        <v>1.3464566929133861</v>
      </c>
      <c r="AJ186" s="42">
        <v>0.1611513415101023</v>
      </c>
      <c r="AK186" s="42">
        <v>11</v>
      </c>
      <c r="AL186" s="127">
        <v>0</v>
      </c>
      <c r="AM186" s="127">
        <v>0</v>
      </c>
      <c r="AN186" s="127" t="str">
        <v/>
      </c>
      <c r="AO186" s="127" t="str">
        <v/>
      </c>
      <c r="AP186" s="127"/>
      <c r="AQ186" s="127"/>
      <c r="AR186" s="127"/>
      <c r="AS186" s="127"/>
      <c r="AT186" s="127"/>
      <c r="AU186"/>
      <c r="AV186"/>
      <c r="AW186"/>
      <c r="AX186"/>
      <c r="AY186"/>
      <c r="AZ186" s="127"/>
      <c r="BA186" s="127"/>
      <c r="BB186" s="127"/>
      <c r="BC186" s="127"/>
      <c r="BD186" s="127"/>
      <c r="BE186" s="127"/>
      <c r="BF186" s="127"/>
      <c r="BG186" s="127"/>
      <c r="BH186" s="48"/>
      <c r="BK186" s="42">
        <v>185</v>
      </c>
      <c r="BL186" s="127">
        <v>1</v>
      </c>
      <c r="BM186" s="127">
        <v>1.8192576091040986</v>
      </c>
      <c r="BN186" s="127">
        <v>1.8192576091040986</v>
      </c>
      <c r="BO186" s="127" t="e">
        <v>#N/A</v>
      </c>
      <c r="BP186" t="e">
        <v>#N/A</v>
      </c>
      <c r="BQ186" t="e">
        <v>#N/A</v>
      </c>
      <c r="BR186" t="str">
        <v/>
      </c>
      <c r="CN186">
        <v>185</v>
      </c>
      <c r="CO186">
        <v>6</v>
      </c>
      <c r="CP186">
        <v>8.8224752287145186E-2</v>
      </c>
      <c r="CQ186" t="str">
        <v/>
      </c>
    </row>
    <row r="187" spans="34:95" x14ac:dyDescent="0.2">
      <c r="AH187">
        <v>186</v>
      </c>
      <c r="AI187">
        <v>1.3700787401574805</v>
      </c>
      <c r="AJ187" s="42">
        <v>0.15606285904118986</v>
      </c>
      <c r="AK187" s="42">
        <v>11</v>
      </c>
      <c r="AL187" s="127">
        <v>0</v>
      </c>
      <c r="AM187" s="127">
        <v>0</v>
      </c>
      <c r="AN187" s="127" t="str">
        <v/>
      </c>
      <c r="AO187" s="127" t="str">
        <v/>
      </c>
      <c r="AP187" s="127"/>
      <c r="AQ187" s="127"/>
      <c r="AR187" s="127"/>
      <c r="AS187" s="127"/>
      <c r="AT187" s="127"/>
      <c r="AU187"/>
      <c r="AV187"/>
      <c r="AW187"/>
      <c r="AX187"/>
      <c r="AY187"/>
      <c r="AZ187" s="127"/>
      <c r="BA187" s="127"/>
      <c r="BB187" s="127"/>
      <c r="BC187" s="127"/>
      <c r="BD187" s="127"/>
      <c r="BE187" s="127"/>
      <c r="BF187" s="127"/>
      <c r="BG187" s="127"/>
      <c r="BH187" s="48"/>
      <c r="BK187" s="42">
        <v>186</v>
      </c>
      <c r="BL187" s="127">
        <v>1</v>
      </c>
      <c r="BM187" s="127">
        <v>1.8192576091040986</v>
      </c>
      <c r="BN187" s="127">
        <v>1.8192576091040986</v>
      </c>
      <c r="BO187" s="127" t="e">
        <v>#N/A</v>
      </c>
      <c r="BP187" t="e">
        <v>#N/A</v>
      </c>
      <c r="BQ187" t="e">
        <v>#N/A</v>
      </c>
      <c r="BR187" t="str">
        <v/>
      </c>
      <c r="CN187">
        <v>186</v>
      </c>
      <c r="CO187">
        <v>6</v>
      </c>
      <c r="CP187">
        <v>8.8224752287145186E-2</v>
      </c>
      <c r="CQ187" t="str">
        <v/>
      </c>
    </row>
    <row r="188" spans="34:95" x14ac:dyDescent="0.2">
      <c r="AH188">
        <v>187</v>
      </c>
      <c r="AI188">
        <v>1.393700787401575</v>
      </c>
      <c r="AJ188" s="42">
        <v>0.15105073947356487</v>
      </c>
      <c r="AK188" s="42">
        <v>11</v>
      </c>
      <c r="AL188" s="127">
        <v>0</v>
      </c>
      <c r="AM188" s="127">
        <v>0</v>
      </c>
      <c r="AN188" s="127" t="str">
        <v/>
      </c>
      <c r="AO188" s="127" t="str">
        <v/>
      </c>
      <c r="AP188" s="127"/>
      <c r="AQ188" s="127"/>
      <c r="AR188" s="127"/>
      <c r="AS188" s="127"/>
      <c r="AT188" s="127"/>
      <c r="AU188"/>
      <c r="AV188"/>
      <c r="AW188"/>
      <c r="AX188"/>
      <c r="AY188"/>
      <c r="AZ188" s="127"/>
      <c r="BA188" s="127"/>
      <c r="BB188" s="127"/>
      <c r="BC188" s="127"/>
      <c r="BD188" s="127"/>
      <c r="BE188" s="127"/>
      <c r="BF188" s="127"/>
      <c r="BG188" s="127"/>
      <c r="BH188" s="48"/>
      <c r="BK188" s="42">
        <v>187</v>
      </c>
      <c r="BL188" s="127">
        <v>1</v>
      </c>
      <c r="BM188" s="127">
        <v>1.8192576091040986</v>
      </c>
      <c r="BN188" s="127">
        <v>1.8192576091040986</v>
      </c>
      <c r="BO188" s="127" t="e">
        <v>#N/A</v>
      </c>
      <c r="BP188" t="e">
        <v>#N/A</v>
      </c>
      <c r="BQ188" t="e">
        <v>#N/A</v>
      </c>
      <c r="BR188" t="str">
        <v/>
      </c>
      <c r="CN188">
        <v>187</v>
      </c>
      <c r="CO188">
        <v>6</v>
      </c>
      <c r="CP188">
        <v>8.8224752287145186E-2</v>
      </c>
      <c r="CQ188" t="str">
        <v/>
      </c>
    </row>
    <row r="189" spans="34:95" x14ac:dyDescent="0.2">
      <c r="AH189">
        <v>188</v>
      </c>
      <c r="AI189">
        <v>1.4173228346456694</v>
      </c>
      <c r="AJ189" s="42">
        <v>0.1461180325142209</v>
      </c>
      <c r="AK189" s="42">
        <v>12</v>
      </c>
      <c r="AL189" s="127">
        <v>1</v>
      </c>
      <c r="AM189" s="127">
        <v>0.20697755624177352</v>
      </c>
      <c r="AN189" s="127">
        <v>7.88</v>
      </c>
      <c r="AO189" s="127" t="str">
        <v/>
      </c>
      <c r="AP189" s="127"/>
      <c r="AQ189" s="127"/>
      <c r="AR189" s="127"/>
      <c r="AS189" s="127"/>
      <c r="AT189" s="127"/>
      <c r="AU189"/>
      <c r="AV189"/>
      <c r="AW189"/>
      <c r="AX189"/>
      <c r="AY189"/>
      <c r="AZ189" s="127"/>
      <c r="BA189" s="127"/>
      <c r="BB189" s="127"/>
      <c r="BC189" s="127"/>
      <c r="BD189" s="127"/>
      <c r="BE189" s="127"/>
      <c r="BF189" s="127"/>
      <c r="BG189" s="127"/>
      <c r="BH189" s="48"/>
      <c r="BK189" s="42">
        <v>188</v>
      </c>
      <c r="BL189" s="127">
        <v>1</v>
      </c>
      <c r="BM189" s="127">
        <v>1.8192576091040986</v>
      </c>
      <c r="BN189" s="127">
        <v>1.8192576091040986</v>
      </c>
      <c r="BO189" s="127" t="e">
        <v>#N/A</v>
      </c>
      <c r="BP189" t="e">
        <v>#N/A</v>
      </c>
      <c r="BQ189" t="e">
        <v>#N/A</v>
      </c>
      <c r="BR189" t="str">
        <v/>
      </c>
      <c r="CN189">
        <v>188</v>
      </c>
      <c r="CO189">
        <v>6</v>
      </c>
      <c r="CP189">
        <v>8.8224752287145186E-2</v>
      </c>
      <c r="CQ189" t="str">
        <v/>
      </c>
    </row>
    <row r="190" spans="34:95" x14ac:dyDescent="0.2">
      <c r="AH190">
        <v>189</v>
      </c>
      <c r="AI190">
        <v>1.4409448818897639</v>
      </c>
      <c r="AJ190" s="42">
        <v>0.14126755838553859</v>
      </c>
      <c r="AK190" s="42">
        <v>12</v>
      </c>
      <c r="AL190" s="127">
        <v>1</v>
      </c>
      <c r="AM190" s="127">
        <v>0.20697755624177352</v>
      </c>
      <c r="AN190" s="127" t="str">
        <v/>
      </c>
      <c r="AO190" s="127" t="str">
        <v/>
      </c>
      <c r="AP190" s="127"/>
      <c r="AQ190" s="127"/>
      <c r="AR190" s="127"/>
      <c r="AS190" s="127"/>
      <c r="AT190" s="127"/>
      <c r="AU190"/>
      <c r="AV190"/>
      <c r="AW190"/>
      <c r="AX190"/>
      <c r="AY190"/>
      <c r="AZ190" s="127"/>
      <c r="BA190" s="127"/>
      <c r="BB190" s="127"/>
      <c r="BC190" s="127"/>
      <c r="BD190" s="127"/>
      <c r="BE190" s="127"/>
      <c r="BF190" s="127"/>
      <c r="BG190" s="127"/>
      <c r="BH190" s="48"/>
      <c r="BK190" s="42">
        <v>189</v>
      </c>
      <c r="BL190" s="127">
        <v>1</v>
      </c>
      <c r="BM190" s="127">
        <v>1.8192576091040986</v>
      </c>
      <c r="BN190" s="127">
        <v>1.8192576091040986</v>
      </c>
      <c r="BO190" s="127" t="e">
        <v>#N/A</v>
      </c>
      <c r="BP190" t="e">
        <v>#N/A</v>
      </c>
      <c r="BQ190" t="e">
        <v>#N/A</v>
      </c>
      <c r="BR190" t="str">
        <v/>
      </c>
      <c r="CN190">
        <v>189</v>
      </c>
      <c r="CO190">
        <v>6</v>
      </c>
      <c r="CP190">
        <v>8.8224752287145186E-2</v>
      </c>
      <c r="CQ190" t="str">
        <v/>
      </c>
    </row>
    <row r="191" spans="34:95" x14ac:dyDescent="0.2">
      <c r="AH191">
        <v>190</v>
      </c>
      <c r="AI191">
        <v>1.4645669291338583</v>
      </c>
      <c r="AJ191" s="42">
        <v>0.13650190912912655</v>
      </c>
      <c r="AK191" s="42">
        <v>12</v>
      </c>
      <c r="AL191" s="127">
        <v>1</v>
      </c>
      <c r="AM191" s="127">
        <v>0.20697755624177352</v>
      </c>
      <c r="AN191" s="127" t="str">
        <v/>
      </c>
      <c r="AO191" s="127" t="str">
        <v/>
      </c>
      <c r="AP191" s="127"/>
      <c r="AQ191" s="127"/>
      <c r="AR191" s="127"/>
      <c r="AS191" s="127"/>
      <c r="AT191" s="127"/>
      <c r="AU191"/>
      <c r="AV191"/>
      <c r="AW191"/>
      <c r="AX191"/>
      <c r="AY191"/>
      <c r="AZ191" s="127"/>
      <c r="BA191" s="127"/>
      <c r="BB191" s="127"/>
      <c r="BC191" s="127"/>
      <c r="BD191" s="127"/>
      <c r="BE191" s="127"/>
      <c r="BF191" s="127"/>
      <c r="BG191" s="127"/>
      <c r="BH191" s="48"/>
      <c r="BK191" s="42">
        <v>190</v>
      </c>
      <c r="BL191" s="127">
        <v>1</v>
      </c>
      <c r="BM191" s="127">
        <v>1.8192576091040986</v>
      </c>
      <c r="BN191" s="127">
        <v>1.8192576091040986</v>
      </c>
      <c r="BO191" s="127" t="e">
        <v>#N/A</v>
      </c>
      <c r="BP191" t="e">
        <v>#N/A</v>
      </c>
      <c r="BQ191" t="e">
        <v>#N/A</v>
      </c>
      <c r="BR191" t="str">
        <v/>
      </c>
      <c r="CN191">
        <v>190</v>
      </c>
      <c r="CO191">
        <v>6</v>
      </c>
      <c r="CP191">
        <v>8.8224752287145186E-2</v>
      </c>
      <c r="CQ191" t="str">
        <v/>
      </c>
    </row>
    <row r="192" spans="34:95" x14ac:dyDescent="0.2">
      <c r="AH192">
        <v>191</v>
      </c>
      <c r="AI192">
        <v>1.4881889763779528</v>
      </c>
      <c r="AJ192" s="42">
        <v>0.1318234504925114</v>
      </c>
      <c r="AK192" s="42">
        <v>12</v>
      </c>
      <c r="AL192" s="127">
        <v>1</v>
      </c>
      <c r="AM192" s="127">
        <v>0.20697755624177352</v>
      </c>
      <c r="AN192" s="127" t="str">
        <v/>
      </c>
      <c r="AO192" s="127" t="str">
        <v/>
      </c>
      <c r="AP192" s="127"/>
      <c r="AQ192" s="127"/>
      <c r="AR192" s="127"/>
      <c r="AS192" s="127"/>
      <c r="AT192" s="127"/>
      <c r="AU192"/>
      <c r="AV192"/>
      <c r="AW192"/>
      <c r="AX192"/>
      <c r="AY192"/>
      <c r="AZ192" s="127"/>
      <c r="BA192" s="127"/>
      <c r="BB192" s="127"/>
      <c r="BC192" s="127"/>
      <c r="BD192" s="127"/>
      <c r="BE192" s="127"/>
      <c r="BF192" s="127"/>
      <c r="BG192" s="127"/>
      <c r="BH192" s="48"/>
      <c r="BK192" s="42">
        <v>191</v>
      </c>
      <c r="BL192" s="127">
        <v>1</v>
      </c>
      <c r="BM192" s="127">
        <v>1.8192576091040986</v>
      </c>
      <c r="BN192" s="127">
        <v>1.8192576091040986</v>
      </c>
      <c r="BO192" s="127" t="e">
        <v>#N/A</v>
      </c>
      <c r="BP192" t="e">
        <v>#N/A</v>
      </c>
      <c r="BQ192" t="e">
        <v>#N/A</v>
      </c>
      <c r="BR192" t="str">
        <v/>
      </c>
      <c r="CN192">
        <v>191</v>
      </c>
      <c r="CO192">
        <v>6</v>
      </c>
      <c r="CP192">
        <v>8.8224752287145186E-2</v>
      </c>
      <c r="CQ192" t="str">
        <v/>
      </c>
    </row>
    <row r="193" spans="34:95" x14ac:dyDescent="0.2">
      <c r="AH193">
        <v>192</v>
      </c>
      <c r="AI193">
        <v>1.5118110236220472</v>
      </c>
      <c r="AJ193" s="42">
        <v>0.12723432437312576</v>
      </c>
      <c r="AK193" s="42">
        <v>12</v>
      </c>
      <c r="AL193" s="127">
        <v>1</v>
      </c>
      <c r="AM193" s="127">
        <v>0.20697755624177352</v>
      </c>
      <c r="AN193" s="127" t="str">
        <v/>
      </c>
      <c r="AO193" s="127" t="str">
        <v/>
      </c>
      <c r="AP193" s="127"/>
      <c r="AQ193" s="127"/>
      <c r="AR193" s="127"/>
      <c r="AS193" s="127"/>
      <c r="AT193" s="127"/>
      <c r="AU193"/>
      <c r="AV193"/>
      <c r="AW193"/>
      <c r="AX193"/>
      <c r="AY193"/>
      <c r="AZ193" s="127"/>
      <c r="BA193" s="127"/>
      <c r="BB193" s="127"/>
      <c r="BC193" s="127"/>
      <c r="BD193" s="127"/>
      <c r="BE193" s="127"/>
      <c r="BF193" s="127"/>
      <c r="BG193" s="127"/>
      <c r="BH193" s="48"/>
      <c r="BK193" s="42">
        <v>192</v>
      </c>
      <c r="BL193" s="127">
        <v>1</v>
      </c>
      <c r="BM193" s="127">
        <v>1.8192576091040986</v>
      </c>
      <c r="BN193" s="127">
        <v>1.8192576091040986</v>
      </c>
      <c r="BO193" s="127" t="e">
        <v>#N/A</v>
      </c>
      <c r="BP193" t="e">
        <v>#N/A</v>
      </c>
      <c r="BQ193" t="e">
        <v>#N/A</v>
      </c>
      <c r="BR193" t="str">
        <v/>
      </c>
      <c r="CN193">
        <v>192</v>
      </c>
      <c r="CO193">
        <v>6</v>
      </c>
      <c r="CP193">
        <v>8.8224752287145186E-2</v>
      </c>
      <c r="CQ193" t="str">
        <v/>
      </c>
    </row>
    <row r="194" spans="34:95" x14ac:dyDescent="0.2">
      <c r="AH194">
        <v>193</v>
      </c>
      <c r="AI194">
        <v>1.5354330708661417</v>
      </c>
      <c r="AJ194" s="42">
        <v>0.12273645179276051</v>
      </c>
      <c r="AK194" s="42">
        <v>12</v>
      </c>
      <c r="AL194" s="127">
        <v>1</v>
      </c>
      <c r="AM194" s="127">
        <v>0.20697755624177352</v>
      </c>
      <c r="AN194" s="127" t="str">
        <v/>
      </c>
      <c r="AO194" s="127" t="str">
        <v/>
      </c>
      <c r="AP194" s="127"/>
      <c r="AQ194" s="127"/>
      <c r="AR194" s="127"/>
      <c r="AS194" s="127"/>
      <c r="AT194" s="127"/>
      <c r="AU194"/>
      <c r="AV194"/>
      <c r="AW194"/>
      <c r="AX194"/>
      <c r="AY194"/>
      <c r="AZ194" s="127"/>
      <c r="BA194" s="127"/>
      <c r="BB194" s="127"/>
      <c r="BC194" s="127"/>
      <c r="BD194" s="127"/>
      <c r="BE194" s="127"/>
      <c r="BF194" s="127"/>
      <c r="BG194" s="127"/>
      <c r="BH194" s="48"/>
      <c r="BK194" s="42">
        <v>193</v>
      </c>
      <c r="BL194" s="127">
        <v>1</v>
      </c>
      <c r="BM194" s="127">
        <v>1.8192576091040986</v>
      </c>
      <c r="BN194" s="127">
        <v>1.8192576091040986</v>
      </c>
      <c r="BO194" s="127" t="e">
        <v>#N/A</v>
      </c>
      <c r="BP194" t="e">
        <v>#N/A</v>
      </c>
      <c r="BQ194" t="e">
        <v>#N/A</v>
      </c>
      <c r="BR194" t="str">
        <v/>
      </c>
      <c r="CN194">
        <v>193</v>
      </c>
      <c r="CO194">
        <v>6</v>
      </c>
      <c r="CP194">
        <v>8.8224752287145186E-2</v>
      </c>
      <c r="CQ194" t="str">
        <v/>
      </c>
    </row>
    <row r="195" spans="34:95" x14ac:dyDescent="0.2">
      <c r="AH195">
        <v>194</v>
      </c>
      <c r="AI195">
        <v>1.5590551181102361</v>
      </c>
      <c r="AJ195" s="42">
        <v>0.11833153637452423</v>
      </c>
      <c r="AK195" s="42">
        <v>12</v>
      </c>
      <c r="AL195" s="127">
        <v>1</v>
      </c>
      <c r="AM195" s="127">
        <v>0.20697755624177352</v>
      </c>
      <c r="AN195" s="127" t="str">
        <v/>
      </c>
      <c r="AO195" s="127" t="str">
        <v/>
      </c>
      <c r="AP195" s="127"/>
      <c r="AQ195" s="127"/>
      <c r="AR195" s="127"/>
      <c r="AS195" s="127"/>
      <c r="AT195" s="127"/>
      <c r="AU195"/>
      <c r="AV195"/>
      <c r="AW195"/>
      <c r="AX195"/>
      <c r="AY195"/>
      <c r="AZ195" s="127"/>
      <c r="BA195" s="127"/>
      <c r="BB195" s="127"/>
      <c r="BC195" s="127"/>
      <c r="BD195" s="127"/>
      <c r="BE195" s="127"/>
      <c r="BF195" s="127"/>
      <c r="BG195" s="127"/>
      <c r="BH195" s="48"/>
      <c r="BK195" s="42">
        <v>194</v>
      </c>
      <c r="BL195" s="127">
        <v>1</v>
      </c>
      <c r="BM195" s="127">
        <v>1.8192576091040986</v>
      </c>
      <c r="BN195" s="127">
        <v>1.8192576091040986</v>
      </c>
      <c r="BO195" s="127" t="e">
        <v>#N/A</v>
      </c>
      <c r="BP195" t="e">
        <v>#N/A</v>
      </c>
      <c r="BQ195" t="e">
        <v>#N/A</v>
      </c>
      <c r="BR195" t="str">
        <v/>
      </c>
      <c r="CN195">
        <v>194</v>
      </c>
      <c r="CO195">
        <v>6</v>
      </c>
      <c r="CP195">
        <v>8.8224752287145186E-2</v>
      </c>
      <c r="CQ195" t="str">
        <v/>
      </c>
    </row>
    <row r="196" spans="34:95" x14ac:dyDescent="0.2">
      <c r="AH196">
        <v>195</v>
      </c>
      <c r="AI196">
        <v>1.5826771653543306</v>
      </c>
      <c r="AJ196" s="42">
        <v>0.11402106829339088</v>
      </c>
      <c r="AK196" s="42">
        <v>12</v>
      </c>
      <c r="AL196" s="127">
        <v>1</v>
      </c>
      <c r="AM196" s="127">
        <v>0.20697755624177352</v>
      </c>
      <c r="AN196" s="127" t="str">
        <v/>
      </c>
      <c r="AO196" s="127" t="str">
        <v/>
      </c>
      <c r="AP196" s="127"/>
      <c r="AQ196" s="127"/>
      <c r="AR196" s="127"/>
      <c r="AS196" s="127"/>
      <c r="AT196" s="127"/>
      <c r="AU196"/>
      <c r="AV196"/>
      <c r="AW196"/>
      <c r="AX196"/>
      <c r="AY196"/>
      <c r="AZ196" s="127"/>
      <c r="BA196" s="127"/>
      <c r="BB196" s="127"/>
      <c r="BC196" s="127"/>
      <c r="BD196" s="127"/>
      <c r="BE196" s="127"/>
      <c r="BF196" s="127"/>
      <c r="BG196" s="127"/>
      <c r="BH196" s="48"/>
      <c r="BK196" s="42">
        <v>195</v>
      </c>
      <c r="BL196" s="127">
        <v>1</v>
      </c>
      <c r="BM196" s="127">
        <v>1.8192576091040986</v>
      </c>
      <c r="BN196" s="127">
        <v>1.8192576091040986</v>
      </c>
      <c r="BO196" s="127" t="e">
        <v>#N/A</v>
      </c>
      <c r="BP196" t="e">
        <v>#N/A</v>
      </c>
      <c r="BQ196" t="e">
        <v>#N/A</v>
      </c>
      <c r="BR196" t="str">
        <v/>
      </c>
      <c r="CN196">
        <v>195</v>
      </c>
      <c r="CO196">
        <v>6</v>
      </c>
      <c r="CP196">
        <v>8.8224752287145186E-2</v>
      </c>
      <c r="CQ196" t="str">
        <v/>
      </c>
    </row>
    <row r="197" spans="34:95" x14ac:dyDescent="0.2">
      <c r="AH197">
        <v>196</v>
      </c>
      <c r="AI197">
        <v>1.606299212598425</v>
      </c>
      <c r="AJ197" s="42">
        <v>0.10980632867061464</v>
      </c>
      <c r="AK197" s="42">
        <v>12</v>
      </c>
      <c r="AL197" s="127">
        <v>1</v>
      </c>
      <c r="AM197" s="127">
        <v>0.20697755624177352</v>
      </c>
      <c r="AN197" s="127" t="str">
        <v/>
      </c>
      <c r="AO197" s="127" t="str">
        <v/>
      </c>
      <c r="AP197" s="127"/>
      <c r="AQ197" s="127"/>
      <c r="AR197" s="127"/>
      <c r="AS197" s="127"/>
      <c r="AT197" s="127"/>
      <c r="AU197"/>
      <c r="AV197"/>
      <c r="AW197"/>
      <c r="AX197"/>
      <c r="AY197"/>
      <c r="AZ197" s="127"/>
      <c r="BA197" s="127"/>
      <c r="BB197" s="127"/>
      <c r="BC197" s="127"/>
      <c r="BD197" s="127"/>
      <c r="BE197" s="127"/>
      <c r="BF197" s="127"/>
      <c r="BG197" s="127"/>
      <c r="BH197" s="48"/>
      <c r="BK197" s="42">
        <v>196</v>
      </c>
      <c r="BL197" s="127">
        <v>1</v>
      </c>
      <c r="BM197" s="127">
        <v>1.8192576091040986</v>
      </c>
      <c r="BN197" s="127">
        <v>1.8192576091040986</v>
      </c>
      <c r="BO197" s="127" t="e">
        <v>#N/A</v>
      </c>
      <c r="BP197" t="e">
        <v>#N/A</v>
      </c>
      <c r="BQ197" t="e">
        <v>#N/A</v>
      </c>
      <c r="BR197" t="str">
        <v/>
      </c>
      <c r="CN197">
        <v>196</v>
      </c>
      <c r="CO197">
        <v>6</v>
      </c>
      <c r="CP197">
        <v>8.8224752287145186E-2</v>
      </c>
      <c r="CQ197" t="str">
        <v/>
      </c>
    </row>
    <row r="198" spans="34:95" x14ac:dyDescent="0.2">
      <c r="AH198">
        <v>197</v>
      </c>
      <c r="AI198">
        <v>1.6299212598425195</v>
      </c>
      <c r="AJ198" s="42">
        <v>0.10568839438164815</v>
      </c>
      <c r="AK198" s="42">
        <v>12</v>
      </c>
      <c r="AL198" s="127">
        <v>1</v>
      </c>
      <c r="AM198" s="127">
        <v>0.20697755624177352</v>
      </c>
      <c r="AN198" s="127" t="str">
        <v/>
      </c>
      <c r="AO198" s="127" t="str">
        <v/>
      </c>
      <c r="AP198" s="127"/>
      <c r="AQ198" s="127"/>
      <c r="AR198" s="127"/>
      <c r="AS198" s="127"/>
      <c r="AT198" s="127"/>
      <c r="AU198"/>
      <c r="AV198"/>
      <c r="AW198"/>
      <c r="AX198"/>
      <c r="AY198"/>
      <c r="AZ198" s="127"/>
      <c r="BA198" s="127"/>
      <c r="BB198" s="127"/>
      <c r="BC198" s="127"/>
      <c r="BD198" s="127"/>
      <c r="BE198" s="127"/>
      <c r="BF198" s="127"/>
      <c r="BG198" s="127"/>
      <c r="BH198" s="48"/>
      <c r="BK198" s="42">
        <v>197</v>
      </c>
      <c r="BL198" s="127">
        <v>1</v>
      </c>
      <c r="BM198" s="127">
        <v>1.8192576091040986</v>
      </c>
      <c r="BN198" s="127">
        <v>1.8192576091040986</v>
      </c>
      <c r="BO198" s="127" t="e">
        <v>#N/A</v>
      </c>
      <c r="BP198" t="e">
        <v>#N/A</v>
      </c>
      <c r="BQ198" t="e">
        <v>#N/A</v>
      </c>
      <c r="BR198" t="str">
        <v/>
      </c>
      <c r="CN198">
        <v>197</v>
      </c>
      <c r="CO198">
        <v>6</v>
      </c>
      <c r="CP198">
        <v>8.8224752287145186E-2</v>
      </c>
      <c r="CQ198" t="str">
        <v/>
      </c>
    </row>
    <row r="199" spans="34:95" x14ac:dyDescent="0.2">
      <c r="AH199">
        <v>198</v>
      </c>
      <c r="AI199">
        <v>1.6535433070866139</v>
      </c>
      <c r="AJ199" s="42">
        <v>0.10166814324671322</v>
      </c>
      <c r="AK199" s="42">
        <v>12</v>
      </c>
      <c r="AL199" s="127">
        <v>1</v>
      </c>
      <c r="AM199" s="127">
        <v>0.20697755624177352</v>
      </c>
      <c r="AN199" s="127" t="str">
        <v/>
      </c>
      <c r="AO199" s="127" t="str">
        <v/>
      </c>
      <c r="AP199" s="127"/>
      <c r="AQ199" s="127"/>
      <c r="AR199" s="127"/>
      <c r="AS199" s="127"/>
      <c r="AT199" s="127"/>
      <c r="AU199"/>
      <c r="AV199"/>
      <c r="AW199"/>
      <c r="AX199"/>
      <c r="AY199"/>
      <c r="AZ199" s="127"/>
      <c r="BA199" s="127"/>
      <c r="BB199" s="127"/>
      <c r="BC199" s="127"/>
      <c r="BD199" s="127"/>
      <c r="BE199" s="127"/>
      <c r="BF199" s="127"/>
      <c r="BG199" s="127"/>
      <c r="BH199" s="48"/>
      <c r="BK199" s="42">
        <v>198</v>
      </c>
      <c r="BL199" s="127">
        <v>1</v>
      </c>
      <c r="BM199" s="127">
        <v>1.8192576091040986</v>
      </c>
      <c r="BN199" s="127">
        <v>1.8192576091040986</v>
      </c>
      <c r="BO199" s="127" t="e">
        <v>#N/A</v>
      </c>
      <c r="BP199" t="e">
        <v>#N/A</v>
      </c>
      <c r="BQ199" t="e">
        <v>#N/A</v>
      </c>
      <c r="BR199" t="str">
        <v/>
      </c>
      <c r="CN199">
        <v>198</v>
      </c>
      <c r="CO199">
        <v>6</v>
      </c>
      <c r="CP199">
        <v>8.8224752287145186E-2</v>
      </c>
      <c r="CQ199" t="str">
        <v/>
      </c>
    </row>
    <row r="200" spans="34:95" x14ac:dyDescent="0.2">
      <c r="AH200">
        <v>199</v>
      </c>
      <c r="AI200">
        <v>1.6771653543307083</v>
      </c>
      <c r="AJ200" s="42">
        <v>9.7746259572838598E-2</v>
      </c>
      <c r="AK200" s="42">
        <v>12</v>
      </c>
      <c r="AL200" s="127">
        <v>1</v>
      </c>
      <c r="AM200" s="127">
        <v>0.20697755624177352</v>
      </c>
      <c r="AN200" s="127" t="str">
        <v/>
      </c>
      <c r="AO200" s="127" t="str">
        <v/>
      </c>
      <c r="AP200" s="127"/>
      <c r="AQ200" s="127"/>
      <c r="AR200" s="127"/>
      <c r="AS200" s="127"/>
      <c r="AT200" s="127"/>
      <c r="AU200"/>
      <c r="AV200"/>
      <c r="AW200"/>
      <c r="AX200"/>
      <c r="AY200"/>
      <c r="AZ200" s="127"/>
      <c r="BA200" s="127"/>
      <c r="BB200" s="127"/>
      <c r="BC200" s="127"/>
      <c r="BD200" s="127"/>
      <c r="BE200" s="127"/>
      <c r="BF200" s="127"/>
      <c r="BG200" s="127"/>
      <c r="BH200" s="48"/>
      <c r="BK200" s="42">
        <v>199</v>
      </c>
      <c r="BL200" s="127">
        <v>1</v>
      </c>
      <c r="BM200" s="127">
        <v>1.8192576091040986</v>
      </c>
      <c r="BN200" s="127">
        <v>1.8192576091040986</v>
      </c>
      <c r="BO200" s="127" t="e">
        <v>#N/A</v>
      </c>
      <c r="BP200" t="e">
        <v>#N/A</v>
      </c>
      <c r="BQ200" t="e">
        <v>#N/A</v>
      </c>
      <c r="BR200" t="str">
        <v/>
      </c>
      <c r="CN200">
        <v>199</v>
      </c>
      <c r="CO200">
        <v>6</v>
      </c>
      <c r="CP200">
        <v>8.8224752287145186E-2</v>
      </c>
      <c r="CQ200" t="str">
        <v/>
      </c>
    </row>
    <row r="201" spans="34:95" x14ac:dyDescent="0.2">
      <c r="AH201">
        <v>200</v>
      </c>
      <c r="AI201">
        <v>1.7007874015748028</v>
      </c>
      <c r="AJ201" s="42">
        <v>9.3923240015993517E-2</v>
      </c>
      <c r="AK201" s="42">
        <v>12</v>
      </c>
      <c r="AL201" s="127">
        <v>1</v>
      </c>
      <c r="AM201" s="127">
        <v>0.20697755624177352</v>
      </c>
      <c r="AN201" s="127" t="str">
        <v/>
      </c>
      <c r="AO201" s="127" t="str">
        <v/>
      </c>
      <c r="AP201" s="127"/>
      <c r="AQ201" s="127"/>
      <c r="AR201" s="127"/>
      <c r="AS201" s="127"/>
      <c r="AT201" s="127"/>
      <c r="AU201"/>
      <c r="AV201"/>
      <c r="AW201"/>
      <c r="AX201"/>
      <c r="AY201"/>
      <c r="AZ201" s="127"/>
      <c r="BA201" s="127"/>
      <c r="BB201" s="127"/>
      <c r="BC201" s="127"/>
      <c r="BD201" s="127"/>
      <c r="BE201" s="127"/>
      <c r="BF201" s="127"/>
      <c r="BG201" s="127"/>
      <c r="BH201" s="48"/>
      <c r="BK201" s="42">
        <v>200</v>
      </c>
      <c r="BL201" s="127">
        <v>1</v>
      </c>
      <c r="BM201" s="127">
        <v>1.8192576091040986</v>
      </c>
      <c r="BN201" s="127">
        <v>1.8192576091040986</v>
      </c>
      <c r="BO201" s="127" t="e">
        <v>#N/A</v>
      </c>
      <c r="BP201" t="e">
        <v>#N/A</v>
      </c>
      <c r="BQ201" t="e">
        <v>#N/A</v>
      </c>
      <c r="BR201" t="str">
        <v/>
      </c>
      <c r="CN201">
        <v>200</v>
      </c>
      <c r="CO201">
        <v>6</v>
      </c>
      <c r="CP201">
        <v>8.8224752287145186E-2</v>
      </c>
      <c r="CQ201" t="str">
        <v/>
      </c>
    </row>
    <row r="202" spans="34:95" x14ac:dyDescent="0.2">
      <c r="AH202">
        <v>201</v>
      </c>
      <c r="AI202">
        <v>1.7244094488188972</v>
      </c>
      <c r="AJ202" s="42">
        <v>9.0199399731906132E-2</v>
      </c>
      <c r="AK202" s="42">
        <v>12</v>
      </c>
      <c r="AL202" s="127">
        <v>1</v>
      </c>
      <c r="AM202" s="127">
        <v>0.20697755624177352</v>
      </c>
      <c r="AN202" s="127" t="str">
        <v/>
      </c>
      <c r="AO202" s="127" t="str">
        <v/>
      </c>
      <c r="AP202" s="127"/>
      <c r="AQ202" s="127"/>
      <c r="AR202" s="127"/>
      <c r="AS202" s="127"/>
      <c r="AT202" s="127"/>
      <c r="AU202"/>
      <c r="AV202"/>
      <c r="AW202"/>
      <c r="AX202"/>
      <c r="AY202"/>
      <c r="AZ202" s="127"/>
      <c r="BA202" s="127"/>
      <c r="BB202" s="127"/>
      <c r="BC202" s="127"/>
      <c r="BD202" s="127"/>
      <c r="BE202" s="127"/>
      <c r="BF202" s="127"/>
      <c r="BG202" s="127"/>
      <c r="BH202" s="48"/>
      <c r="BK202" s="42">
        <v>201</v>
      </c>
      <c r="BL202" s="127">
        <v>1</v>
      </c>
      <c r="BM202" s="127">
        <v>1.8192576091040986</v>
      </c>
      <c r="BN202" s="127">
        <v>1.8192576091040986</v>
      </c>
      <c r="BO202" s="127" t="e">
        <v>#N/A</v>
      </c>
      <c r="BP202" t="e">
        <v>#N/A</v>
      </c>
      <c r="BQ202" t="e">
        <v>#N/A</v>
      </c>
      <c r="BR202" t="str">
        <v/>
      </c>
      <c r="CN202">
        <v>201</v>
      </c>
      <c r="CO202">
        <v>6</v>
      </c>
      <c r="CP202">
        <v>8.8224752287145186E-2</v>
      </c>
      <c r="CQ202" t="str">
        <v/>
      </c>
    </row>
    <row r="203" spans="34:95" x14ac:dyDescent="0.2">
      <c r="AH203">
        <v>202</v>
      </c>
      <c r="AI203">
        <v>1.7480314960629917</v>
      </c>
      <c r="AJ203" s="42">
        <v>8.657487878425156E-2</v>
      </c>
      <c r="AK203" s="42">
        <v>12</v>
      </c>
      <c r="AL203" s="127">
        <v>1</v>
      </c>
      <c r="AM203" s="127">
        <v>0.20697755624177352</v>
      </c>
      <c r="AN203" s="127" t="str">
        <v/>
      </c>
      <c r="AO203" s="127" t="str">
        <v/>
      </c>
      <c r="AP203" s="127"/>
      <c r="AQ203" s="127"/>
      <c r="AR203" s="127"/>
      <c r="AS203" s="127"/>
      <c r="AT203" s="127"/>
      <c r="AU203"/>
      <c r="AV203"/>
      <c r="AW203"/>
      <c r="AX203"/>
      <c r="AY203"/>
      <c r="AZ203" s="127"/>
      <c r="BA203" s="127"/>
      <c r="BB203" s="127"/>
      <c r="BC203" s="127"/>
      <c r="BD203" s="127"/>
      <c r="BE203" s="127"/>
      <c r="BF203" s="127"/>
      <c r="BG203" s="127"/>
      <c r="BH203" s="48"/>
      <c r="BK203" s="42">
        <v>202</v>
      </c>
      <c r="BL203" s="127">
        <v>1</v>
      </c>
      <c r="BM203" s="127">
        <v>1.8192576091040986</v>
      </c>
      <c r="BN203" s="127">
        <v>1.8192576091040986</v>
      </c>
      <c r="BO203" s="127" t="e">
        <v>#N/A</v>
      </c>
      <c r="BP203" t="e">
        <v>#N/A</v>
      </c>
      <c r="BQ203" t="e">
        <v>#N/A</v>
      </c>
      <c r="BR203" t="str">
        <v/>
      </c>
      <c r="CN203">
        <v>202</v>
      </c>
      <c r="CO203">
        <v>6</v>
      </c>
      <c r="CP203">
        <v>8.8224752287145186E-2</v>
      </c>
      <c r="CQ203" t="str">
        <v/>
      </c>
    </row>
    <row r="204" spans="34:95" x14ac:dyDescent="0.2">
      <c r="AH204">
        <v>203</v>
      </c>
      <c r="AI204">
        <v>1.7716535433070861</v>
      </c>
      <c r="AJ204" s="42">
        <v>8.3049648779127114E-2</v>
      </c>
      <c r="AK204" s="42">
        <v>12</v>
      </c>
      <c r="AL204" s="127">
        <v>1</v>
      </c>
      <c r="AM204" s="127">
        <v>0.20697755624177352</v>
      </c>
      <c r="AN204" s="127" t="str">
        <v/>
      </c>
      <c r="AO204" s="127" t="str">
        <v/>
      </c>
      <c r="AP204" s="127"/>
      <c r="AQ204" s="127"/>
      <c r="AR204" s="127"/>
      <c r="AS204" s="127"/>
      <c r="AT204" s="127"/>
      <c r="AU204"/>
      <c r="AV204"/>
      <c r="AW204"/>
      <c r="AX204"/>
      <c r="AY204"/>
      <c r="AZ204" s="127"/>
      <c r="BA204" s="127"/>
      <c r="BB204" s="127"/>
      <c r="BC204" s="127"/>
      <c r="BD204" s="127"/>
      <c r="BE204" s="127"/>
      <c r="BF204" s="127"/>
      <c r="BG204" s="127"/>
      <c r="BH204" s="48"/>
      <c r="BK204" s="42">
        <v>203</v>
      </c>
      <c r="BL204" s="127">
        <v>1</v>
      </c>
      <c r="BM204" s="127">
        <v>1.8192576091040986</v>
      </c>
      <c r="BN204" s="127">
        <v>1.8192576091040986</v>
      </c>
      <c r="BO204" s="127" t="e">
        <v>#N/A</v>
      </c>
      <c r="BP204" t="e">
        <v>#N/A</v>
      </c>
      <c r="BQ204" t="e">
        <v>#N/A</v>
      </c>
      <c r="BR204" t="str">
        <v/>
      </c>
      <c r="CN204">
        <v>203</v>
      </c>
      <c r="CO204">
        <v>6</v>
      </c>
      <c r="CP204">
        <v>8.8224752287145186E-2</v>
      </c>
      <c r="CQ204" t="str">
        <v/>
      </c>
    </row>
    <row r="205" spans="34:95" x14ac:dyDescent="0.2">
      <c r="AH205">
        <v>204</v>
      </c>
      <c r="AI205">
        <v>1.7952755905511815</v>
      </c>
      <c r="AJ205" s="42">
        <v>7.9623519695089018E-2</v>
      </c>
      <c r="AK205" s="42">
        <v>12</v>
      </c>
      <c r="AL205" s="127">
        <v>1</v>
      </c>
      <c r="AM205" s="127">
        <v>0.20697755624177352</v>
      </c>
      <c r="AN205" s="127" t="str">
        <v/>
      </c>
      <c r="AO205" s="127" t="str">
        <v/>
      </c>
      <c r="AP205" s="127"/>
      <c r="AQ205" s="127"/>
      <c r="AR205" s="127"/>
      <c r="AS205" s="127"/>
      <c r="AT205" s="127"/>
      <c r="AU205"/>
      <c r="AV205"/>
      <c r="AW205"/>
      <c r="AX205"/>
      <c r="AY205"/>
      <c r="AZ205" s="127"/>
      <c r="BA205" s="127"/>
      <c r="BB205" s="127"/>
      <c r="BC205" s="127"/>
      <c r="BD205" s="127"/>
      <c r="BE205" s="127"/>
      <c r="BF205" s="127"/>
      <c r="BG205" s="127"/>
      <c r="BH205" s="48"/>
      <c r="BK205" s="42">
        <v>204</v>
      </c>
      <c r="BL205" s="127">
        <v>1</v>
      </c>
      <c r="BM205" s="127">
        <v>1.8192576091040986</v>
      </c>
      <c r="BN205" s="127">
        <v>1.8192576091040986</v>
      </c>
      <c r="BO205" s="127" t="e">
        <v>#N/A</v>
      </c>
      <c r="BP205" t="e">
        <v>#N/A</v>
      </c>
      <c r="BQ205" t="e">
        <v>#N/A</v>
      </c>
      <c r="BR205" t="str">
        <v/>
      </c>
      <c r="CN205">
        <v>204</v>
      </c>
      <c r="CO205">
        <v>6</v>
      </c>
      <c r="CP205">
        <v>8.8224752287145186E-2</v>
      </c>
      <c r="CQ205" t="str">
        <v/>
      </c>
    </row>
    <row r="206" spans="34:95" x14ac:dyDescent="0.2">
      <c r="AH206">
        <v>205</v>
      </c>
      <c r="AI206">
        <v>1.8188976377952759</v>
      </c>
      <c r="AJ206" s="42">
        <v>7.6296146878504514E-2</v>
      </c>
      <c r="AK206" s="42">
        <v>13</v>
      </c>
      <c r="AL206" s="127">
        <v>0</v>
      </c>
      <c r="AM206" s="127">
        <v>0</v>
      </c>
      <c r="AN206" s="127">
        <v>9.61</v>
      </c>
      <c r="AO206" s="127" t="str">
        <v/>
      </c>
      <c r="AP206" s="127"/>
      <c r="AQ206" s="127"/>
      <c r="AR206" s="127"/>
      <c r="AS206" s="127"/>
      <c r="AT206" s="127"/>
      <c r="AU206"/>
      <c r="AV206"/>
      <c r="AW206"/>
      <c r="AX206"/>
      <c r="AY206"/>
      <c r="AZ206" s="127"/>
      <c r="BA206" s="127"/>
      <c r="BB206" s="127"/>
      <c r="BC206" s="127"/>
      <c r="BD206" s="127"/>
      <c r="BE206" s="127"/>
      <c r="BF206" s="127"/>
      <c r="BG206" s="127"/>
      <c r="BH206" s="48"/>
      <c r="BK206" s="42">
        <v>205</v>
      </c>
      <c r="BL206" s="127">
        <v>1</v>
      </c>
      <c r="BM206" s="127">
        <v>1.8192576091040986</v>
      </c>
      <c r="BN206" s="127">
        <v>1.8192576091040986</v>
      </c>
      <c r="BO206" s="127" t="e">
        <v>#N/A</v>
      </c>
      <c r="BP206" t="e">
        <v>#N/A</v>
      </c>
      <c r="BQ206" t="e">
        <v>#N/A</v>
      </c>
      <c r="BR206" t="str">
        <v/>
      </c>
      <c r="CN206">
        <v>205</v>
      </c>
      <c r="CO206">
        <v>6</v>
      </c>
      <c r="CP206">
        <v>8.8224752287145186E-2</v>
      </c>
      <c r="CQ206" t="str">
        <v/>
      </c>
    </row>
    <row r="207" spans="34:95" x14ac:dyDescent="0.2">
      <c r="AH207">
        <v>206</v>
      </c>
      <c r="AI207">
        <v>1.8425196850393704</v>
      </c>
      <c r="AJ207" s="42">
        <v>7.3067038174560742E-2</v>
      </c>
      <c r="AK207" s="42">
        <v>13</v>
      </c>
      <c r="AL207" s="127">
        <v>0</v>
      </c>
      <c r="AM207" s="127">
        <v>0</v>
      </c>
      <c r="AN207" s="127" t="str">
        <v/>
      </c>
      <c r="AO207" s="127" t="str">
        <v/>
      </c>
      <c r="AP207" s="127"/>
      <c r="AQ207" s="127"/>
      <c r="AR207" s="127"/>
      <c r="AS207" s="127"/>
      <c r="AT207" s="127"/>
      <c r="AU207"/>
      <c r="AV207"/>
      <c r="AW207"/>
      <c r="AX207"/>
      <c r="AY207"/>
      <c r="AZ207" s="127"/>
      <c r="BA207" s="127"/>
      <c r="BB207" s="127"/>
      <c r="BC207" s="127"/>
      <c r="BD207" s="127"/>
      <c r="BE207" s="127"/>
      <c r="BF207" s="127"/>
      <c r="BG207" s="127"/>
      <c r="BH207" s="48"/>
      <c r="BK207" s="42">
        <v>206</v>
      </c>
      <c r="BL207" s="127">
        <v>1</v>
      </c>
      <c r="BM207" s="127">
        <v>1.8192576091040986</v>
      </c>
      <c r="BN207" s="127">
        <v>1.8192576091040986</v>
      </c>
      <c r="BO207" s="127" t="e">
        <v>#N/A</v>
      </c>
      <c r="BP207" t="e">
        <v>#N/A</v>
      </c>
      <c r="BQ207" t="e">
        <v>#N/A</v>
      </c>
      <c r="BR207" t="str">
        <v/>
      </c>
      <c r="CN207">
        <v>206</v>
      </c>
      <c r="CO207">
        <v>6</v>
      </c>
      <c r="CP207">
        <v>8.8224752287145186E-2</v>
      </c>
      <c r="CQ207" t="str">
        <v/>
      </c>
    </row>
    <row r="208" spans="34:95" x14ac:dyDescent="0.2">
      <c r="AH208">
        <v>207</v>
      </c>
      <c r="AI208">
        <v>1.8661417322834648</v>
      </c>
      <c r="AJ208" s="42">
        <v>6.9935561164973653E-2</v>
      </c>
      <c r="AK208" s="42">
        <v>13</v>
      </c>
      <c r="AL208" s="127">
        <v>0</v>
      </c>
      <c r="AM208" s="127">
        <v>0</v>
      </c>
      <c r="AN208" s="127" t="str">
        <v/>
      </c>
      <c r="AO208" s="127" t="str">
        <v/>
      </c>
      <c r="AP208" s="127"/>
      <c r="AQ208" s="127"/>
      <c r="AR208" s="127"/>
      <c r="AS208" s="127"/>
      <c r="AT208" s="127"/>
      <c r="AU208"/>
      <c r="AV208"/>
      <c r="AW208"/>
      <c r="AX208"/>
      <c r="AY208"/>
      <c r="AZ208" s="127"/>
      <c r="BA208" s="127"/>
      <c r="BB208" s="127"/>
      <c r="BC208" s="127"/>
      <c r="BD208" s="127"/>
      <c r="BE208" s="127"/>
      <c r="BF208" s="127"/>
      <c r="BG208" s="127"/>
      <c r="BH208" s="48"/>
      <c r="BK208" s="42">
        <v>207</v>
      </c>
      <c r="BL208" s="127">
        <v>1</v>
      </c>
      <c r="BM208" s="127">
        <v>1.8192576091040986</v>
      </c>
      <c r="BN208" s="127">
        <v>1.8192576091040986</v>
      </c>
      <c r="BO208" s="127" t="e">
        <v>#N/A</v>
      </c>
      <c r="BP208" t="e">
        <v>#N/A</v>
      </c>
      <c r="BQ208" t="e">
        <v>#N/A</v>
      </c>
      <c r="BR208" t="str">
        <v/>
      </c>
      <c r="CN208">
        <v>207</v>
      </c>
      <c r="CO208">
        <v>6</v>
      </c>
      <c r="CP208">
        <v>8.8224752287145186E-2</v>
      </c>
      <c r="CQ208" t="str">
        <v/>
      </c>
    </row>
    <row r="209" spans="34:95" x14ac:dyDescent="0.2">
      <c r="AH209">
        <v>208</v>
      </c>
      <c r="AI209">
        <v>1.8897637795275593</v>
      </c>
      <c r="AJ209" s="42">
        <v>6.6900950484229643E-2</v>
      </c>
      <c r="AK209" s="42">
        <v>13</v>
      </c>
      <c r="AL209" s="127">
        <v>0</v>
      </c>
      <c r="AM209" s="127">
        <v>0</v>
      </c>
      <c r="AN209" s="127" t="str">
        <v/>
      </c>
      <c r="AO209" s="127" t="str">
        <v/>
      </c>
      <c r="AP209" s="127"/>
      <c r="AQ209" s="127"/>
      <c r="AR209" s="127"/>
      <c r="AS209" s="127"/>
      <c r="AT209" s="127"/>
      <c r="AU209"/>
      <c r="AV209"/>
      <c r="AW209"/>
      <c r="AX209"/>
      <c r="AY209"/>
      <c r="AZ209" s="127"/>
      <c r="BA209" s="127"/>
      <c r="BB209" s="127"/>
      <c r="BC209" s="127"/>
      <c r="BD209" s="127"/>
      <c r="BE209" s="127"/>
      <c r="BF209" s="127"/>
      <c r="BG209" s="127"/>
      <c r="BH209" s="48"/>
      <c r="BK209" s="42">
        <v>208</v>
      </c>
      <c r="BL209" s="127">
        <v>1</v>
      </c>
      <c r="BM209" s="127">
        <v>1.8192576091040986</v>
      </c>
      <c r="BN209" s="127">
        <v>1.8192576091040986</v>
      </c>
      <c r="BO209" s="127" t="e">
        <v>#N/A</v>
      </c>
      <c r="BP209" t="e">
        <v>#N/A</v>
      </c>
      <c r="BQ209" t="e">
        <v>#N/A</v>
      </c>
      <c r="BR209" t="str">
        <v/>
      </c>
      <c r="CN209">
        <v>208</v>
      </c>
      <c r="CO209">
        <v>6</v>
      </c>
      <c r="CP209">
        <v>8.8224752287145186E-2</v>
      </c>
      <c r="CQ209" t="str">
        <v/>
      </c>
    </row>
    <row r="210" spans="34:95" x14ac:dyDescent="0.2">
      <c r="AH210">
        <v>209</v>
      </c>
      <c r="AI210">
        <v>1.9133858267716537</v>
      </c>
      <c r="AJ210" s="42">
        <v>6.3962315187079094E-2</v>
      </c>
      <c r="AK210" s="42">
        <v>13</v>
      </c>
      <c r="AL210" s="127">
        <v>0</v>
      </c>
      <c r="AM210" s="127">
        <v>0</v>
      </c>
      <c r="AN210" s="127" t="str">
        <v/>
      </c>
      <c r="AO210" s="127" t="str">
        <v/>
      </c>
      <c r="AP210" s="127"/>
      <c r="AQ210" s="127"/>
      <c r="AR210" s="127"/>
      <c r="AS210" s="127"/>
      <c r="AT210" s="127"/>
      <c r="AU210"/>
      <c r="AV210"/>
      <c r="AW210"/>
      <c r="AX210"/>
      <c r="AY210"/>
      <c r="AZ210" s="127"/>
      <c r="BA210" s="127"/>
      <c r="BB210" s="127"/>
      <c r="BC210" s="127"/>
      <c r="BD210" s="127"/>
      <c r="BE210" s="127"/>
      <c r="BF210" s="127"/>
      <c r="BG210" s="127"/>
      <c r="BH210" s="48"/>
      <c r="BK210" s="42">
        <v>209</v>
      </c>
      <c r="BL210" s="127">
        <v>1</v>
      </c>
      <c r="BM210" s="127">
        <v>1.8192576091040986</v>
      </c>
      <c r="BN210" s="127">
        <v>1.8192576091040986</v>
      </c>
      <c r="BO210" s="127" t="e">
        <v>#N/A</v>
      </c>
      <c r="BP210" t="e">
        <v>#N/A</v>
      </c>
      <c r="BQ210" t="e">
        <v>#N/A</v>
      </c>
      <c r="BR210" t="str">
        <v/>
      </c>
      <c r="CN210">
        <v>209</v>
      </c>
      <c r="CO210">
        <v>6</v>
      </c>
      <c r="CP210">
        <v>8.8224752287145186E-2</v>
      </c>
      <c r="CQ210" t="str">
        <v/>
      </c>
    </row>
    <row r="211" spans="34:95" x14ac:dyDescent="0.2">
      <c r="AH211">
        <v>210</v>
      </c>
      <c r="AI211">
        <v>1.9370078740157481</v>
      </c>
      <c r="AJ211" s="42">
        <v>6.1118646140966536E-2</v>
      </c>
      <c r="AK211" s="42">
        <v>13</v>
      </c>
      <c r="AL211" s="127">
        <v>0</v>
      </c>
      <c r="AM211" s="127">
        <v>0</v>
      </c>
      <c r="AN211" s="127" t="str">
        <v/>
      </c>
      <c r="AO211" s="127" t="str">
        <v/>
      </c>
      <c r="AP211" s="127"/>
      <c r="AQ211" s="127"/>
      <c r="AR211" s="127"/>
      <c r="AS211" s="127"/>
      <c r="AT211" s="127"/>
      <c r="AU211"/>
      <c r="AV211"/>
      <c r="AW211"/>
      <c r="AX211"/>
      <c r="AY211"/>
      <c r="AZ211" s="127"/>
      <c r="BA211" s="127"/>
      <c r="BB211" s="127"/>
      <c r="BC211" s="127"/>
      <c r="BD211" s="127"/>
      <c r="BE211" s="127"/>
      <c r="BF211" s="127"/>
      <c r="BG211" s="127"/>
      <c r="BH211" s="48"/>
      <c r="BK211" s="42">
        <v>210</v>
      </c>
      <c r="BL211" s="127">
        <v>1</v>
      </c>
      <c r="BM211" s="127">
        <v>1.8192576091040986</v>
      </c>
      <c r="BN211" s="127">
        <v>1.8192576091040986</v>
      </c>
      <c r="BO211" s="127" t="e">
        <v>#N/A</v>
      </c>
      <c r="BP211" t="e">
        <v>#N/A</v>
      </c>
      <c r="BQ211" t="e">
        <v>#N/A</v>
      </c>
      <c r="BR211" t="str">
        <v/>
      </c>
      <c r="CN211">
        <v>210</v>
      </c>
      <c r="CO211">
        <v>6</v>
      </c>
      <c r="CP211">
        <v>8.8224752287145186E-2</v>
      </c>
      <c r="CQ211" t="str">
        <v/>
      </c>
    </row>
    <row r="212" spans="34:95" x14ac:dyDescent="0.2">
      <c r="AH212">
        <v>211</v>
      </c>
      <c r="AI212">
        <v>1.9606299212598426</v>
      </c>
      <c r="AJ212" s="42">
        <v>5.836882341812101E-2</v>
      </c>
      <c r="AK212" s="42">
        <v>13</v>
      </c>
      <c r="AL212" s="127">
        <v>0</v>
      </c>
      <c r="AM212" s="127">
        <v>0</v>
      </c>
      <c r="AN212" s="127" t="str">
        <v/>
      </c>
      <c r="AO212" s="127" t="str">
        <v/>
      </c>
      <c r="AP212" s="127"/>
      <c r="AQ212" s="127"/>
      <c r="AR212" s="127"/>
      <c r="AS212" s="127"/>
      <c r="AT212" s="127"/>
      <c r="AU212"/>
      <c r="AV212"/>
      <c r="AW212"/>
      <c r="AX212"/>
      <c r="AY212"/>
      <c r="AZ212" s="127"/>
      <c r="BA212" s="127"/>
      <c r="BB212" s="127"/>
      <c r="BC212" s="127"/>
      <c r="BD212" s="127"/>
      <c r="BE212" s="127"/>
      <c r="BF212" s="127"/>
      <c r="BG212" s="127"/>
      <c r="BH212" s="48"/>
      <c r="BK212" s="42">
        <v>211</v>
      </c>
      <c r="BL212" s="127">
        <v>1</v>
      </c>
      <c r="BM212" s="127">
        <v>1.8192576091040986</v>
      </c>
      <c r="BN212" s="127">
        <v>1.8192576091040986</v>
      </c>
      <c r="BO212" s="127" t="e">
        <v>#N/A</v>
      </c>
      <c r="BP212" t="e">
        <v>#N/A</v>
      </c>
      <c r="BQ212" t="e">
        <v>#N/A</v>
      </c>
      <c r="BR212" t="str">
        <v/>
      </c>
      <c r="CN212">
        <v>211</v>
      </c>
      <c r="CO212">
        <v>6</v>
      </c>
      <c r="CP212">
        <v>8.8224752287145186E-2</v>
      </c>
      <c r="CQ212" t="str">
        <v/>
      </c>
    </row>
    <row r="213" spans="34:95" x14ac:dyDescent="0.2">
      <c r="AH213">
        <v>212</v>
      </c>
      <c r="AI213">
        <v>1.984251968503937</v>
      </c>
      <c r="AJ213" s="42">
        <v>5.5711623663135007E-2</v>
      </c>
      <c r="AK213" s="42">
        <v>13</v>
      </c>
      <c r="AL213" s="127">
        <v>0</v>
      </c>
      <c r="AM213" s="127">
        <v>0</v>
      </c>
      <c r="AN213" s="127" t="str">
        <v/>
      </c>
      <c r="AO213" s="127" t="str">
        <v/>
      </c>
      <c r="AP213" s="127"/>
      <c r="AQ213" s="127"/>
      <c r="AR213" s="127"/>
      <c r="AS213" s="127"/>
      <c r="AT213" s="127"/>
      <c r="AU213"/>
      <c r="AV213"/>
      <c r="AW213"/>
      <c r="AX213"/>
      <c r="AY213"/>
      <c r="AZ213" s="127"/>
      <c r="BA213" s="127"/>
      <c r="BB213" s="127"/>
      <c r="BC213" s="127"/>
      <c r="BD213" s="127"/>
      <c r="BE213" s="127"/>
      <c r="BF213" s="127"/>
      <c r="BG213" s="127"/>
      <c r="BH213" s="48"/>
      <c r="BK213" s="42">
        <v>212</v>
      </c>
      <c r="BL213" s="127">
        <v>1</v>
      </c>
      <c r="BM213" s="127">
        <v>1.8192576091040986</v>
      </c>
      <c r="BN213" s="127">
        <v>1.8192576091040986</v>
      </c>
      <c r="BO213" s="127" t="e">
        <v>#N/A</v>
      </c>
      <c r="BP213" t="e">
        <v>#N/A</v>
      </c>
      <c r="BQ213" t="e">
        <v>#N/A</v>
      </c>
      <c r="BR213" t="str">
        <v/>
      </c>
      <c r="CN213">
        <v>212</v>
      </c>
      <c r="CO213">
        <v>6</v>
      </c>
      <c r="CP213">
        <v>8.8224752287145186E-2</v>
      </c>
      <c r="CQ213" t="str">
        <v/>
      </c>
    </row>
    <row r="214" spans="34:95" x14ac:dyDescent="0.2">
      <c r="AH214">
        <v>213</v>
      </c>
      <c r="AI214">
        <v>2.0078740157480315</v>
      </c>
      <c r="AJ214" s="42">
        <v>5.3145727413021412E-2</v>
      </c>
      <c r="AK214" s="42">
        <v>13</v>
      </c>
      <c r="AL214" s="127">
        <v>0</v>
      </c>
      <c r="AM214" s="127">
        <v>0</v>
      </c>
      <c r="AN214" s="127" t="str">
        <v/>
      </c>
      <c r="AO214" s="127" t="str">
        <v>2σ</v>
      </c>
      <c r="AP214" s="127"/>
      <c r="AQ214" s="127"/>
      <c r="AR214" s="127"/>
      <c r="AS214" s="127"/>
      <c r="AT214" s="127"/>
      <c r="AU214"/>
      <c r="AV214"/>
      <c r="AW214"/>
      <c r="AX214"/>
      <c r="AY214"/>
      <c r="AZ214" s="127"/>
      <c r="BA214" s="127"/>
      <c r="BB214" s="127"/>
      <c r="BC214" s="127"/>
      <c r="BD214" s="127"/>
      <c r="BE214" s="127"/>
      <c r="BF214" s="127"/>
      <c r="BG214" s="127"/>
      <c r="BH214" s="48"/>
      <c r="BK214" s="42">
        <v>213</v>
      </c>
      <c r="BL214" s="127">
        <v>1</v>
      </c>
      <c r="BM214" s="127">
        <v>1.8192576091040986</v>
      </c>
      <c r="BN214" s="127">
        <v>1.8192576091040986</v>
      </c>
      <c r="BO214" s="127" t="e">
        <v>#N/A</v>
      </c>
      <c r="BP214" t="e">
        <v>#N/A</v>
      </c>
      <c r="BQ214" t="e">
        <v>#N/A</v>
      </c>
      <c r="BR214" t="str">
        <v/>
      </c>
      <c r="CN214">
        <v>213</v>
      </c>
      <c r="CO214">
        <v>6</v>
      </c>
      <c r="CP214">
        <v>8.8224752287145186E-2</v>
      </c>
      <c r="CQ214" t="str">
        <v/>
      </c>
    </row>
    <row r="215" spans="34:95" x14ac:dyDescent="0.2">
      <c r="AH215">
        <v>214</v>
      </c>
      <c r="AI215">
        <v>2.0314960629921259</v>
      </c>
      <c r="AJ215" s="42">
        <v>5.0669726347948529E-2</v>
      </c>
      <c r="AK215" s="42">
        <v>13</v>
      </c>
      <c r="AL215" s="127">
        <v>0</v>
      </c>
      <c r="AM215" s="127">
        <v>0</v>
      </c>
      <c r="AN215" s="127" t="str">
        <v/>
      </c>
      <c r="AO215" s="127" t="str">
        <v/>
      </c>
      <c r="AP215" s="127"/>
      <c r="AQ215" s="127"/>
      <c r="AR215" s="127"/>
      <c r="AS215" s="127"/>
      <c r="AT215" s="127"/>
      <c r="AU215"/>
      <c r="AV215"/>
      <c r="AW215"/>
      <c r="AX215"/>
      <c r="AY215"/>
      <c r="AZ215" s="127"/>
      <c r="BA215" s="127"/>
      <c r="BB215" s="127"/>
      <c r="BC215" s="127"/>
      <c r="BD215" s="127"/>
      <c r="BE215" s="127"/>
      <c r="BF215" s="127"/>
      <c r="BG215" s="127"/>
      <c r="BH215" s="48"/>
      <c r="BK215" s="42">
        <v>214</v>
      </c>
      <c r="BL215" s="127">
        <v>1</v>
      </c>
      <c r="BM215" s="127">
        <v>1.8192576091040986</v>
      </c>
      <c r="BN215" s="127">
        <v>1.8192576091040986</v>
      </c>
      <c r="BO215" s="127" t="e">
        <v>#N/A</v>
      </c>
      <c r="BP215" t="e">
        <v>#N/A</v>
      </c>
      <c r="BQ215" t="e">
        <v>#N/A</v>
      </c>
      <c r="BR215" t="str">
        <v/>
      </c>
      <c r="CN215">
        <v>214</v>
      </c>
      <c r="CO215">
        <v>6</v>
      </c>
      <c r="CP215">
        <v>8.8224752287145186E-2</v>
      </c>
      <c r="CQ215" t="str">
        <v/>
      </c>
    </row>
    <row r="216" spans="34:95" x14ac:dyDescent="0.2">
      <c r="AH216">
        <v>215</v>
      </c>
      <c r="AI216">
        <v>2.0551181102362204</v>
      </c>
      <c r="AJ216" s="42">
        <v>4.8282130452103389E-2</v>
      </c>
      <c r="AK216" s="42">
        <v>13</v>
      </c>
      <c r="AL216" s="127">
        <v>0</v>
      </c>
      <c r="AM216" s="127">
        <v>0</v>
      </c>
      <c r="AN216" s="127" t="str">
        <v/>
      </c>
      <c r="AO216" s="127" t="str">
        <v/>
      </c>
      <c r="AP216" s="127"/>
      <c r="AQ216" s="127"/>
      <c r="AR216" s="127"/>
      <c r="AS216" s="127"/>
      <c r="AT216" s="127"/>
      <c r="AU216"/>
      <c r="AV216"/>
      <c r="AW216"/>
      <c r="AX216"/>
      <c r="AY216"/>
      <c r="AZ216" s="127"/>
      <c r="BA216" s="127"/>
      <c r="BB216" s="127"/>
      <c r="BC216" s="127"/>
      <c r="BD216" s="127"/>
      <c r="BE216" s="127"/>
      <c r="BF216" s="127"/>
      <c r="BG216" s="127"/>
      <c r="BH216" s="48"/>
      <c r="BK216" s="42">
        <v>215</v>
      </c>
      <c r="BL216" s="127">
        <v>1</v>
      </c>
      <c r="BM216" s="127">
        <v>1.8192576091040986</v>
      </c>
      <c r="BN216" s="127">
        <v>1.8192576091040986</v>
      </c>
      <c r="BO216" s="127" t="e">
        <v>#N/A</v>
      </c>
      <c r="BP216" t="e">
        <v>#N/A</v>
      </c>
      <c r="BQ216" t="e">
        <v>#N/A</v>
      </c>
      <c r="BR216" t="str">
        <v/>
      </c>
      <c r="CN216">
        <v>215</v>
      </c>
      <c r="CO216">
        <v>6</v>
      </c>
      <c r="CP216">
        <v>8.8224752287145186E-2</v>
      </c>
      <c r="CQ216" t="str">
        <v/>
      </c>
    </row>
    <row r="217" spans="34:95" x14ac:dyDescent="0.2">
      <c r="AH217">
        <v>216</v>
      </c>
      <c r="AI217">
        <v>2.0787401574803148</v>
      </c>
      <c r="AJ217" s="42">
        <v>4.5981375065417315E-2</v>
      </c>
      <c r="AK217" s="42">
        <v>13</v>
      </c>
      <c r="AL217" s="127">
        <v>0</v>
      </c>
      <c r="AM217" s="127">
        <v>0</v>
      </c>
      <c r="AN217" s="127" t="str">
        <v/>
      </c>
      <c r="AO217" s="127" t="str">
        <v/>
      </c>
      <c r="AP217" s="127"/>
      <c r="AQ217" s="127"/>
      <c r="AR217" s="127"/>
      <c r="AS217" s="127"/>
      <c r="AT217" s="127"/>
      <c r="AU217"/>
      <c r="AV217"/>
      <c r="AW217"/>
      <c r="AX217"/>
      <c r="AY217"/>
      <c r="AZ217" s="127"/>
      <c r="BA217" s="127"/>
      <c r="BB217" s="127"/>
      <c r="BC217" s="127"/>
      <c r="BD217" s="127"/>
      <c r="BE217" s="127"/>
      <c r="BF217" s="127"/>
      <c r="BG217" s="127"/>
      <c r="BH217" s="48"/>
      <c r="BK217" s="42">
        <v>216</v>
      </c>
      <c r="BL217" s="127">
        <v>1</v>
      </c>
      <c r="BM217" s="127">
        <v>1.8192576091040986</v>
      </c>
      <c r="BN217" s="127">
        <v>1.8192576091040986</v>
      </c>
      <c r="BO217" s="127" t="e">
        <v>#N/A</v>
      </c>
      <c r="BP217" t="e">
        <v>#N/A</v>
      </c>
      <c r="BQ217" t="e">
        <v>#N/A</v>
      </c>
      <c r="BR217" t="str">
        <v/>
      </c>
      <c r="CN217">
        <v>216</v>
      </c>
      <c r="CO217">
        <v>6</v>
      </c>
      <c r="CP217">
        <v>8.8224752287145186E-2</v>
      </c>
      <c r="CQ217" t="str">
        <v/>
      </c>
    </row>
    <row r="218" spans="34:95" x14ac:dyDescent="0.2">
      <c r="AH218">
        <v>217</v>
      </c>
      <c r="AI218">
        <v>2.1023622047244093</v>
      </c>
      <c r="AJ218" s="42">
        <v>4.3765827808196101E-2</v>
      </c>
      <c r="AK218" s="42">
        <v>13</v>
      </c>
      <c r="AL218" s="127">
        <v>0</v>
      </c>
      <c r="AM218" s="127">
        <v>0</v>
      </c>
      <c r="AN218" s="127" t="str">
        <v/>
      </c>
      <c r="AO218" s="127" t="str">
        <v/>
      </c>
      <c r="AP218" s="127"/>
      <c r="AQ218" s="127"/>
      <c r="AR218" s="127"/>
      <c r="AS218" s="127"/>
      <c r="AT218" s="127"/>
      <c r="AU218"/>
      <c r="AV218"/>
      <c r="AW218"/>
      <c r="AX218"/>
      <c r="AY218"/>
      <c r="AZ218" s="127"/>
      <c r="BA218" s="127"/>
      <c r="BB218" s="127"/>
      <c r="BC218" s="127"/>
      <c r="BD218" s="127"/>
      <c r="BE218" s="127"/>
      <c r="BF218" s="127"/>
      <c r="BG218" s="127"/>
      <c r="BH218" s="48"/>
      <c r="BK218" s="42">
        <v>217</v>
      </c>
      <c r="BL218" s="127">
        <v>1</v>
      </c>
      <c r="BM218" s="127">
        <v>1.8192576091040986</v>
      </c>
      <c r="BN218" s="127">
        <v>1.8192576091040986</v>
      </c>
      <c r="BO218" s="127" t="e">
        <v>#N/A</v>
      </c>
      <c r="BP218" t="e">
        <v>#N/A</v>
      </c>
      <c r="BQ218" t="e">
        <v>#N/A</v>
      </c>
      <c r="BR218" t="str">
        <v/>
      </c>
      <c r="CN218">
        <v>217</v>
      </c>
      <c r="CO218">
        <v>6</v>
      </c>
      <c r="CP218">
        <v>8.8224752287145186E-2</v>
      </c>
      <c r="CQ218" t="str">
        <v/>
      </c>
    </row>
    <row r="219" spans="34:95" x14ac:dyDescent="0.2">
      <c r="AH219">
        <v>218</v>
      </c>
      <c r="AI219">
        <v>2.1259842519685037</v>
      </c>
      <c r="AJ219" s="42">
        <v>4.1633795362021969E-2</v>
      </c>
      <c r="AK219" s="42">
        <v>13</v>
      </c>
      <c r="AL219" s="127">
        <v>0</v>
      </c>
      <c r="AM219" s="127">
        <v>0</v>
      </c>
      <c r="AN219" s="127" t="str">
        <v/>
      </c>
      <c r="AO219" s="127" t="str">
        <v/>
      </c>
      <c r="AP219" s="127"/>
      <c r="AQ219" s="127"/>
      <c r="AR219" s="127"/>
      <c r="AS219" s="127"/>
      <c r="AT219" s="127"/>
      <c r="AU219"/>
      <c r="AV219"/>
      <c r="AW219"/>
      <c r="AX219"/>
      <c r="AY219"/>
      <c r="AZ219" s="127"/>
      <c r="BA219" s="127"/>
      <c r="BB219" s="127"/>
      <c r="BC219" s="127"/>
      <c r="BD219" s="127"/>
      <c r="BE219" s="127"/>
      <c r="BF219" s="127"/>
      <c r="BG219" s="127"/>
      <c r="BH219" s="48"/>
      <c r="BK219" s="42">
        <v>218</v>
      </c>
      <c r="BL219" s="127">
        <v>1</v>
      </c>
      <c r="BM219" s="127">
        <v>1.8192576091040986</v>
      </c>
      <c r="BN219" s="127">
        <v>1.8192576091040986</v>
      </c>
      <c r="BO219" s="127" t="e">
        <v>#N/A</v>
      </c>
      <c r="BP219" t="e">
        <v>#N/A</v>
      </c>
      <c r="BQ219" t="e">
        <v>#N/A</v>
      </c>
      <c r="BR219" t="str">
        <v/>
      </c>
      <c r="CN219">
        <v>218</v>
      </c>
      <c r="CO219">
        <v>6</v>
      </c>
      <c r="CP219">
        <v>8.8224752287145186E-2</v>
      </c>
      <c r="CQ219" t="str">
        <v/>
      </c>
    </row>
    <row r="220" spans="34:95" x14ac:dyDescent="0.2">
      <c r="AH220">
        <v>219</v>
      </c>
      <c r="AI220">
        <v>2.1496062992125982</v>
      </c>
      <c r="AJ220" s="42">
        <v>3.9583530091630813E-2</v>
      </c>
      <c r="AK220" s="42">
        <v>13</v>
      </c>
      <c r="AL220" s="127">
        <v>0</v>
      </c>
      <c r="AM220" s="127">
        <v>0</v>
      </c>
      <c r="AN220" s="127" t="str">
        <v/>
      </c>
      <c r="AO220" s="127" t="str">
        <v/>
      </c>
      <c r="AP220" s="127"/>
      <c r="AQ220" s="127"/>
      <c r="AR220" s="127"/>
      <c r="AS220" s="127"/>
      <c r="AT220" s="127"/>
      <c r="AU220"/>
      <c r="AV220"/>
      <c r="AW220"/>
      <c r="AX220"/>
      <c r="AY220"/>
      <c r="AZ220" s="127"/>
      <c r="BA220" s="127"/>
      <c r="BB220" s="127"/>
      <c r="BC220" s="127"/>
      <c r="BD220" s="127"/>
      <c r="BE220" s="127"/>
      <c r="BF220" s="127"/>
      <c r="BG220" s="127"/>
      <c r="BH220" s="48"/>
      <c r="BK220" s="42">
        <v>219</v>
      </c>
      <c r="BL220" s="127">
        <v>1</v>
      </c>
      <c r="BM220" s="127">
        <v>1.8192576091040986</v>
      </c>
      <c r="BN220" s="127">
        <v>1.8192576091040986</v>
      </c>
      <c r="BO220" s="127" t="e">
        <v>#N/A</v>
      </c>
      <c r="BP220" t="e">
        <v>#N/A</v>
      </c>
      <c r="BQ220" t="e">
        <v>#N/A</v>
      </c>
      <c r="BR220" t="str">
        <v/>
      </c>
      <c r="CN220">
        <v>219</v>
      </c>
      <c r="CO220">
        <v>6</v>
      </c>
      <c r="CP220">
        <v>8.8224752287145186E-2</v>
      </c>
      <c r="CQ220" t="str">
        <v/>
      </c>
    </row>
    <row r="221" spans="34:95" x14ac:dyDescent="0.2">
      <c r="AH221">
        <v>220</v>
      </c>
      <c r="AI221">
        <v>2.1732283464566926</v>
      </c>
      <c r="AJ221" s="42">
        <v>3.7613236493806407E-2</v>
      </c>
      <c r="AK221" s="42">
        <v>13</v>
      </c>
      <c r="AL221" s="127">
        <v>0</v>
      </c>
      <c r="AM221" s="127">
        <v>0</v>
      </c>
      <c r="AN221" s="127" t="str">
        <v/>
      </c>
      <c r="AO221" s="127" t="str">
        <v/>
      </c>
      <c r="AP221" s="127"/>
      <c r="AQ221" s="127"/>
      <c r="AR221" s="127"/>
      <c r="AS221" s="127"/>
      <c r="AT221" s="127"/>
      <c r="AU221"/>
      <c r="AV221"/>
      <c r="AW221"/>
      <c r="AX221"/>
      <c r="AY221"/>
      <c r="AZ221" s="127"/>
      <c r="BA221" s="127"/>
      <c r="BB221" s="127"/>
      <c r="BC221" s="127"/>
      <c r="BD221" s="127"/>
      <c r="BE221" s="127"/>
      <c r="BF221" s="127"/>
      <c r="BG221" s="127"/>
      <c r="BH221" s="48"/>
      <c r="BK221" s="42">
        <v>220</v>
      </c>
      <c r="BL221" s="127">
        <v>1</v>
      </c>
      <c r="BM221" s="127">
        <v>1.8192576091040986</v>
      </c>
      <c r="BN221" s="127">
        <v>1.8192576091040986</v>
      </c>
      <c r="BO221" s="127" t="e">
        <v>#N/A</v>
      </c>
      <c r="BP221" t="e">
        <v>#N/A</v>
      </c>
      <c r="BQ221" t="e">
        <v>#N/A</v>
      </c>
      <c r="BR221" t="str">
        <v/>
      </c>
      <c r="CN221">
        <v>220</v>
      </c>
      <c r="CO221">
        <v>6</v>
      </c>
      <c r="CP221">
        <v>8.8224752287145186E-2</v>
      </c>
      <c r="CQ221" t="str">
        <v/>
      </c>
    </row>
    <row r="222" spans="34:95" x14ac:dyDescent="0.2">
      <c r="AH222">
        <v>221</v>
      </c>
      <c r="AI222">
        <v>2.1968503937007871</v>
      </c>
      <c r="AJ222" s="42">
        <v>3.5721077460667591E-2</v>
      </c>
      <c r="AK222" s="42">
        <v>13</v>
      </c>
      <c r="AL222" s="127">
        <v>0</v>
      </c>
      <c r="AM222" s="127">
        <v>0</v>
      </c>
      <c r="AN222" s="127" t="str">
        <v/>
      </c>
      <c r="AO222" s="127" t="str">
        <v/>
      </c>
      <c r="AP222" s="127"/>
      <c r="AQ222" s="127"/>
      <c r="AR222" s="127"/>
      <c r="AS222" s="127"/>
      <c r="AT222" s="127"/>
      <c r="AU222"/>
      <c r="AV222"/>
      <c r="AW222"/>
      <c r="AX222"/>
      <c r="AY222"/>
      <c r="AZ222" s="127"/>
      <c r="BA222" s="127"/>
      <c r="BB222" s="127"/>
      <c r="BC222" s="127"/>
      <c r="BD222" s="127"/>
      <c r="BE222" s="127"/>
      <c r="BF222" s="127"/>
      <c r="BG222" s="127"/>
      <c r="BH222" s="48"/>
      <c r="BK222" s="42">
        <v>221</v>
      </c>
      <c r="BL222" s="127">
        <v>1</v>
      </c>
      <c r="BM222" s="127">
        <v>1.8192576091040986</v>
      </c>
      <c r="BN222" s="127">
        <v>1.8192576091040986</v>
      </c>
      <c r="BO222" s="127" t="e">
        <v>#N/A</v>
      </c>
      <c r="BP222" t="e">
        <v>#N/A</v>
      </c>
      <c r="BQ222" t="e">
        <v>#N/A</v>
      </c>
      <c r="BR222" t="str">
        <v/>
      </c>
      <c r="CN222">
        <v>221</v>
      </c>
      <c r="CO222">
        <v>6</v>
      </c>
      <c r="CP222">
        <v>8.8224752287145186E-2</v>
      </c>
      <c r="CQ222" t="str">
        <v/>
      </c>
    </row>
    <row r="223" spans="34:95" x14ac:dyDescent="0.2">
      <c r="AH223">
        <v>222</v>
      </c>
      <c r="AI223">
        <v>2.2204724409448815</v>
      </c>
      <c r="AJ223" s="42">
        <v>3.3905180346050147E-2</v>
      </c>
      <c r="AK223" s="42">
        <v>14</v>
      </c>
      <c r="AL223" s="127">
        <v>1</v>
      </c>
      <c r="AM223" s="127">
        <v>0.20697755624177352</v>
      </c>
      <c r="AN223" s="127">
        <v>11.33</v>
      </c>
      <c r="AO223" s="127" t="str">
        <v/>
      </c>
      <c r="AP223" s="127"/>
      <c r="AQ223" s="127"/>
      <c r="AR223" s="127"/>
      <c r="AS223" s="127"/>
      <c r="AT223" s="127"/>
      <c r="AU223"/>
      <c r="AV223"/>
      <c r="AW223"/>
      <c r="AX223"/>
      <c r="AY223"/>
      <c r="AZ223" s="127"/>
      <c r="BA223" s="127"/>
      <c r="BB223" s="127"/>
      <c r="BC223" s="127"/>
      <c r="BD223" s="127"/>
      <c r="BE223" s="127"/>
      <c r="BF223" s="127"/>
      <c r="BG223" s="127"/>
      <c r="BH223" s="48"/>
      <c r="BK223" s="42">
        <v>222</v>
      </c>
      <c r="BL223" s="127">
        <v>1</v>
      </c>
      <c r="BM223" s="127">
        <v>1.8192576091040986</v>
      </c>
      <c r="BN223" s="127">
        <v>1.8192576091040986</v>
      </c>
      <c r="BO223" s="127" t="e">
        <v>#N/A</v>
      </c>
      <c r="BP223" t="e">
        <v>#N/A</v>
      </c>
      <c r="BQ223" t="e">
        <v>#N/A</v>
      </c>
      <c r="BR223" t="str">
        <v/>
      </c>
      <c r="CN223">
        <v>222</v>
      </c>
      <c r="CO223">
        <v>6</v>
      </c>
      <c r="CP223">
        <v>8.8224752287145186E-2</v>
      </c>
      <c r="CQ223" t="str">
        <v/>
      </c>
    </row>
    <row r="224" spans="34:95" x14ac:dyDescent="0.2">
      <c r="AH224">
        <v>223</v>
      </c>
      <c r="AI224">
        <v>2.2440944881889759</v>
      </c>
      <c r="AJ224" s="42">
        <v>3.2163642824992462E-2</v>
      </c>
      <c r="AK224" s="42">
        <v>14</v>
      </c>
      <c r="AL224" s="127">
        <v>1</v>
      </c>
      <c r="AM224" s="127">
        <v>0.20697755624177352</v>
      </c>
      <c r="AN224" s="127" t="str">
        <v/>
      </c>
      <c r="AO224" s="127" t="str">
        <v/>
      </c>
      <c r="AP224" s="127"/>
      <c r="AQ224" s="127"/>
      <c r="AR224" s="127"/>
      <c r="AS224" s="127"/>
      <c r="AT224" s="127"/>
      <c r="AU224"/>
      <c r="AV224"/>
      <c r="AW224"/>
      <c r="AX224"/>
      <c r="AY224"/>
      <c r="AZ224" s="127"/>
      <c r="BA224" s="127"/>
      <c r="BB224" s="127"/>
      <c r="BC224" s="127"/>
      <c r="BD224" s="127"/>
      <c r="BE224" s="127"/>
      <c r="BF224" s="127"/>
      <c r="BG224" s="127"/>
      <c r="BH224" s="48"/>
      <c r="BK224" s="42">
        <v>223</v>
      </c>
      <c r="BL224" s="127">
        <v>1</v>
      </c>
      <c r="BM224" s="127">
        <v>1.8192576091040986</v>
      </c>
      <c r="BN224" s="127">
        <v>1.8192576091040986</v>
      </c>
      <c r="BO224" s="127" t="e">
        <v>#N/A</v>
      </c>
      <c r="BP224" t="e">
        <v>#N/A</v>
      </c>
      <c r="BQ224" t="e">
        <v>#N/A</v>
      </c>
      <c r="BR224" t="str">
        <v/>
      </c>
      <c r="CN224">
        <v>223</v>
      </c>
      <c r="CO224">
        <v>6</v>
      </c>
      <c r="CP224">
        <v>8.8224752287145186E-2</v>
      </c>
      <c r="CQ224" t="str">
        <v/>
      </c>
    </row>
    <row r="225" spans="34:95" x14ac:dyDescent="0.2">
      <c r="AH225">
        <v>224</v>
      </c>
      <c r="AI225">
        <v>2.2677165354330704</v>
      </c>
      <c r="AJ225" s="42">
        <v>3.0494538537622302E-2</v>
      </c>
      <c r="AK225" s="42">
        <v>14</v>
      </c>
      <c r="AL225" s="127">
        <v>1</v>
      </c>
      <c r="AM225" s="127">
        <v>0.20697755624177352</v>
      </c>
      <c r="AN225" s="127" t="str">
        <v/>
      </c>
      <c r="AO225" s="127" t="str">
        <v/>
      </c>
      <c r="AP225" s="127"/>
      <c r="AQ225" s="127"/>
      <c r="AR225" s="127"/>
      <c r="AS225" s="127"/>
      <c r="AT225" s="127"/>
      <c r="AU225"/>
      <c r="AV225"/>
      <c r="AW225"/>
      <c r="AX225"/>
      <c r="AY225"/>
      <c r="AZ225" s="127"/>
      <c r="BA225" s="127"/>
      <c r="BB225" s="127"/>
      <c r="BC225" s="127"/>
      <c r="BD225" s="127"/>
      <c r="BE225" s="127"/>
      <c r="BF225" s="127"/>
      <c r="BG225" s="127"/>
      <c r="BH225" s="48"/>
      <c r="BK225" s="42">
        <v>224</v>
      </c>
      <c r="BL225" s="127">
        <v>1</v>
      </c>
      <c r="BM225" s="127">
        <v>1.8192576091040986</v>
      </c>
      <c r="BN225" s="127">
        <v>1.8192576091040986</v>
      </c>
      <c r="BO225" s="127" t="e">
        <v>#N/A</v>
      </c>
      <c r="BP225" t="e">
        <v>#N/A</v>
      </c>
      <c r="BQ225" t="e">
        <v>#N/A</v>
      </c>
      <c r="BR225" t="str">
        <v/>
      </c>
      <c r="CN225">
        <v>224</v>
      </c>
      <c r="CO225">
        <v>6</v>
      </c>
      <c r="CP225">
        <v>8.8224752287145186E-2</v>
      </c>
      <c r="CQ225" t="str">
        <v/>
      </c>
    </row>
    <row r="226" spans="34:95" x14ac:dyDescent="0.2">
      <c r="AH226">
        <v>225</v>
      </c>
      <c r="AI226">
        <v>2.2913385826771648</v>
      </c>
      <c r="AJ226" s="42">
        <v>2.8895922510000935E-2</v>
      </c>
      <c r="AK226" s="42">
        <v>14</v>
      </c>
      <c r="AL226" s="127">
        <v>1</v>
      </c>
      <c r="AM226" s="127">
        <v>0.20697755624177352</v>
      </c>
      <c r="AN226" s="127" t="str">
        <v/>
      </c>
      <c r="AO226" s="127" t="str">
        <v/>
      </c>
      <c r="AP226" s="127"/>
      <c r="AQ226" s="127"/>
      <c r="AR226" s="127"/>
      <c r="AS226" s="127"/>
      <c r="AT226" s="127"/>
      <c r="AU226"/>
      <c r="AV226"/>
      <c r="AW226"/>
      <c r="AX226"/>
      <c r="AY226"/>
      <c r="AZ226" s="127"/>
      <c r="BA226" s="127"/>
      <c r="BB226" s="127"/>
      <c r="BC226" s="127"/>
      <c r="BD226" s="127"/>
      <c r="BE226" s="127"/>
      <c r="BF226" s="127"/>
      <c r="BG226" s="127"/>
      <c r="BH226" s="48"/>
      <c r="BK226" s="42">
        <v>225</v>
      </c>
      <c r="BL226" s="127">
        <v>1</v>
      </c>
      <c r="BM226" s="127">
        <v>1.8192576091040986</v>
      </c>
      <c r="BN226" s="127">
        <v>1.8192576091040986</v>
      </c>
      <c r="BO226" s="127" t="e">
        <v>#N/A</v>
      </c>
      <c r="BP226" t="e">
        <v>#N/A</v>
      </c>
      <c r="BQ226" t="e">
        <v>#N/A</v>
      </c>
      <c r="BR226" t="str">
        <v/>
      </c>
      <c r="CN226">
        <v>225</v>
      </c>
      <c r="CO226">
        <v>6</v>
      </c>
      <c r="CP226">
        <v>8.8224752287145186E-2</v>
      </c>
      <c r="CQ226" t="str">
        <v/>
      </c>
    </row>
    <row r="227" spans="34:95" x14ac:dyDescent="0.2">
      <c r="AH227">
        <v>226</v>
      </c>
      <c r="AI227">
        <v>2.3149606299212602</v>
      </c>
      <c r="AJ227" s="42">
        <v>2.7365836345710208E-2</v>
      </c>
      <c r="AK227" s="42">
        <v>14</v>
      </c>
      <c r="AL227" s="127">
        <v>1</v>
      </c>
      <c r="AM227" s="127">
        <v>0.20697755624177352</v>
      </c>
      <c r="AN227" s="127" t="str">
        <v/>
      </c>
      <c r="AO227" s="127" t="str">
        <v/>
      </c>
      <c r="AP227" s="127"/>
      <c r="AQ227" s="127"/>
      <c r="AR227" s="127"/>
      <c r="AS227" s="127"/>
      <c r="AT227" s="127"/>
      <c r="AU227"/>
      <c r="AV227"/>
      <c r="AW227"/>
      <c r="AX227"/>
      <c r="AY227"/>
      <c r="AZ227" s="127"/>
      <c r="BA227" s="127"/>
      <c r="BB227" s="127"/>
      <c r="BC227" s="127"/>
      <c r="BD227" s="127"/>
      <c r="BE227" s="127"/>
      <c r="BF227" s="127"/>
      <c r="BG227" s="127"/>
      <c r="BH227" s="48"/>
      <c r="BK227" s="42">
        <v>226</v>
      </c>
      <c r="BL227" s="127">
        <v>1</v>
      </c>
      <c r="BM227" s="127">
        <v>1.8192576091040986</v>
      </c>
      <c r="BN227" s="127">
        <v>1.8192576091040986</v>
      </c>
      <c r="BO227" s="127" t="e">
        <v>#N/A</v>
      </c>
      <c r="BP227" t="e">
        <v>#N/A</v>
      </c>
      <c r="BQ227" t="e">
        <v>#N/A</v>
      </c>
      <c r="BR227" t="str">
        <v/>
      </c>
      <c r="CN227">
        <v>226</v>
      </c>
      <c r="CO227">
        <v>6</v>
      </c>
      <c r="CP227">
        <v>8.8224752287145186E-2</v>
      </c>
      <c r="CQ227" t="str">
        <v/>
      </c>
    </row>
    <row r="228" spans="34:95" x14ac:dyDescent="0.2">
      <c r="AH228">
        <v>227</v>
      </c>
      <c r="AI228">
        <v>2.3385826771653546</v>
      </c>
      <c r="AJ228" s="42">
        <v>2.5902313183160039E-2</v>
      </c>
      <c r="AK228" s="42">
        <v>14</v>
      </c>
      <c r="AL228" s="127">
        <v>1</v>
      </c>
      <c r="AM228" s="127">
        <v>0.20697755624177352</v>
      </c>
      <c r="AN228" s="127" t="str">
        <v/>
      </c>
      <c r="AO228" s="127" t="str">
        <v/>
      </c>
      <c r="AP228" s="127"/>
      <c r="AQ228" s="127"/>
      <c r="AR228" s="127"/>
      <c r="AS228" s="127"/>
      <c r="AT228" s="127"/>
      <c r="AU228"/>
      <c r="AV228"/>
      <c r="AW228"/>
      <c r="AX228"/>
      <c r="AY228"/>
      <c r="AZ228" s="127"/>
      <c r="BA228" s="127"/>
      <c r="BB228" s="127"/>
      <c r="BC228" s="127"/>
      <c r="BD228" s="127"/>
      <c r="BE228" s="127"/>
      <c r="BF228" s="127"/>
      <c r="BG228" s="127"/>
      <c r="BH228" s="48"/>
      <c r="BK228" s="42">
        <v>227</v>
      </c>
      <c r="BL228" s="127">
        <v>1</v>
      </c>
      <c r="BM228" s="127">
        <v>1.8192576091040986</v>
      </c>
      <c r="BN228" s="127">
        <v>1.8192576091040986</v>
      </c>
      <c r="BO228" s="127" t="e">
        <v>#N/A</v>
      </c>
      <c r="BP228" t="e">
        <v>#N/A</v>
      </c>
      <c r="BQ228" t="e">
        <v>#N/A</v>
      </c>
      <c r="BR228" t="str">
        <v/>
      </c>
      <c r="CN228">
        <v>227</v>
      </c>
      <c r="CO228">
        <v>6</v>
      </c>
      <c r="CP228">
        <v>8.8224752287145186E-2</v>
      </c>
      <c r="CQ228" t="str">
        <v/>
      </c>
    </row>
    <row r="229" spans="34:95" x14ac:dyDescent="0.2">
      <c r="AH229">
        <v>228</v>
      </c>
      <c r="AI229">
        <v>2.3622047244094491</v>
      </c>
      <c r="AJ229" s="42">
        <v>2.4503382414745537E-2</v>
      </c>
      <c r="AK229" s="42">
        <v>14</v>
      </c>
      <c r="AL229" s="127">
        <v>1</v>
      </c>
      <c r="AM229" s="127">
        <v>0.20697755624177352</v>
      </c>
      <c r="AN229" s="127" t="str">
        <v/>
      </c>
      <c r="AO229" s="127" t="str">
        <v/>
      </c>
      <c r="AP229" s="127"/>
      <c r="AQ229" s="127"/>
      <c r="AR229" s="127"/>
      <c r="AS229" s="127"/>
      <c r="AT229" s="127"/>
      <c r="AU229"/>
      <c r="AV229"/>
      <c r="AW229"/>
      <c r="AX229"/>
      <c r="AY229"/>
      <c r="AZ229" s="127"/>
      <c r="BA229" s="127"/>
      <c r="BB229" s="127"/>
      <c r="BC229" s="127"/>
      <c r="BD229" s="127"/>
      <c r="BE229" s="127"/>
      <c r="BF229" s="127"/>
      <c r="BG229" s="127"/>
      <c r="BH229" s="48"/>
      <c r="BK229" s="42">
        <v>228</v>
      </c>
      <c r="BL229" s="127">
        <v>1</v>
      </c>
      <c r="BM229" s="127">
        <v>1.8192576091040986</v>
      </c>
      <c r="BN229" s="127">
        <v>1.8192576091040986</v>
      </c>
      <c r="BO229" s="127" t="e">
        <v>#N/A</v>
      </c>
      <c r="BP229" t="e">
        <v>#N/A</v>
      </c>
      <c r="BQ229" t="e">
        <v>#N/A</v>
      </c>
      <c r="BR229" t="str">
        <v/>
      </c>
      <c r="CN229">
        <v>228</v>
      </c>
      <c r="CO229">
        <v>6</v>
      </c>
      <c r="CP229">
        <v>8.8224752287145186E-2</v>
      </c>
      <c r="CQ229" t="str">
        <v/>
      </c>
    </row>
    <row r="230" spans="34:95" x14ac:dyDescent="0.2">
      <c r="AH230">
        <v>229</v>
      </c>
      <c r="AI230">
        <v>2.3858267716535435</v>
      </c>
      <c r="AJ230" s="42">
        <v>2.3167074165093303E-2</v>
      </c>
      <c r="AK230" s="42">
        <v>14</v>
      </c>
      <c r="AL230" s="127">
        <v>1</v>
      </c>
      <c r="AM230" s="127">
        <v>0.20697755624177352</v>
      </c>
      <c r="AN230" s="127" t="str">
        <v/>
      </c>
      <c r="AO230" s="127" t="str">
        <v/>
      </c>
      <c r="AP230" s="127"/>
      <c r="AQ230" s="127"/>
      <c r="AR230" s="127"/>
      <c r="AS230" s="127"/>
      <c r="AT230" s="127"/>
      <c r="AU230"/>
      <c r="AV230"/>
      <c r="AW230"/>
      <c r="AX230"/>
      <c r="AY230"/>
      <c r="AZ230" s="127"/>
      <c r="BA230" s="127"/>
      <c r="BB230" s="127"/>
      <c r="BC230" s="127"/>
      <c r="BD230" s="127"/>
      <c r="BE230" s="127"/>
      <c r="BF230" s="127"/>
      <c r="BG230" s="127"/>
      <c r="BH230" s="48"/>
      <c r="BK230" s="42">
        <v>229</v>
      </c>
      <c r="BL230" s="127">
        <v>1</v>
      </c>
      <c r="BM230" s="127">
        <v>1.8192576091040986</v>
      </c>
      <c r="BN230" s="127">
        <v>1.8192576091040986</v>
      </c>
      <c r="BO230" s="127" t="e">
        <v>#N/A</v>
      </c>
      <c r="BP230" t="e">
        <v>#N/A</v>
      </c>
      <c r="BQ230" t="e">
        <v>#N/A</v>
      </c>
      <c r="BR230" t="str">
        <v/>
      </c>
      <c r="CN230">
        <v>229</v>
      </c>
      <c r="CO230">
        <v>6</v>
      </c>
      <c r="CP230">
        <v>8.8224752287145186E-2</v>
      </c>
      <c r="CQ230" t="str">
        <v/>
      </c>
    </row>
    <row r="231" spans="34:95" x14ac:dyDescent="0.2">
      <c r="AH231">
        <v>230</v>
      </c>
      <c r="AI231">
        <v>2.409448818897638</v>
      </c>
      <c r="AJ231" s="42">
        <v>2.1891423526696506E-2</v>
      </c>
      <c r="AK231" s="42">
        <v>14</v>
      </c>
      <c r="AL231" s="127">
        <v>1</v>
      </c>
      <c r="AM231" s="127">
        <v>0.20697755624177352</v>
      </c>
      <c r="AN231" s="127" t="str">
        <v/>
      </c>
      <c r="AO231" s="127" t="str">
        <v/>
      </c>
      <c r="AP231" s="127"/>
      <c r="AQ231" s="127"/>
      <c r="AR231" s="127"/>
      <c r="AS231" s="127"/>
      <c r="AT231" s="127"/>
      <c r="AU231"/>
      <c r="AV231"/>
      <c r="AW231"/>
      <c r="AX231"/>
      <c r="AY231"/>
      <c r="AZ231" s="127"/>
      <c r="BA231" s="127"/>
      <c r="BB231" s="127"/>
      <c r="BC231" s="127"/>
      <c r="BD231" s="127"/>
      <c r="BE231" s="127"/>
      <c r="BF231" s="127"/>
      <c r="BG231" s="127"/>
      <c r="BH231" s="48"/>
      <c r="BK231" s="42">
        <v>230</v>
      </c>
      <c r="BL231" s="127">
        <v>1</v>
      </c>
      <c r="BM231" s="127">
        <v>1.8192576091040986</v>
      </c>
      <c r="BN231" s="127">
        <v>1.8192576091040986</v>
      </c>
      <c r="BO231" s="127" t="e">
        <v>#N/A</v>
      </c>
      <c r="BP231" t="e">
        <v>#N/A</v>
      </c>
      <c r="BQ231" t="e">
        <v>#N/A</v>
      </c>
      <c r="BR231" t="str">
        <v/>
      </c>
      <c r="CN231">
        <v>230</v>
      </c>
      <c r="CO231">
        <v>6</v>
      </c>
      <c r="CP231">
        <v>8.8224752287145186E-2</v>
      </c>
      <c r="CQ231" t="str">
        <v/>
      </c>
    </row>
    <row r="232" spans="34:95" x14ac:dyDescent="0.2">
      <c r="AH232">
        <v>231</v>
      </c>
      <c r="AI232">
        <v>2.4330708661417324</v>
      </c>
      <c r="AJ232" s="42">
        <v>2.0674474552252395E-2</v>
      </c>
      <c r="AK232" s="42">
        <v>14</v>
      </c>
      <c r="AL232" s="127">
        <v>1</v>
      </c>
      <c r="AM232" s="127">
        <v>0.20697755624177352</v>
      </c>
      <c r="AN232" s="127" t="str">
        <v/>
      </c>
      <c r="AO232" s="127" t="str">
        <v/>
      </c>
      <c r="AP232" s="127"/>
      <c r="AQ232" s="127"/>
      <c r="AR232" s="127"/>
      <c r="AS232" s="127"/>
      <c r="AT232" s="127"/>
      <c r="AU232"/>
      <c r="AV232"/>
      <c r="AW232"/>
      <c r="AX232"/>
      <c r="AY232"/>
      <c r="AZ232" s="127"/>
      <c r="BA232" s="127"/>
      <c r="BB232" s="127"/>
      <c r="BC232" s="127"/>
      <c r="BD232" s="127"/>
      <c r="BE232" s="127"/>
      <c r="BF232" s="127"/>
      <c r="BG232" s="127"/>
      <c r="BH232" s="48"/>
      <c r="BK232" s="42">
        <v>231</v>
      </c>
      <c r="BL232" s="127">
        <v>1</v>
      </c>
      <c r="BM232" s="127">
        <v>1.8192576091040986</v>
      </c>
      <c r="BN232" s="127">
        <v>1.8192576091040986</v>
      </c>
      <c r="BO232" s="127" t="e">
        <v>#N/A</v>
      </c>
      <c r="BP232" t="e">
        <v>#N/A</v>
      </c>
      <c r="BQ232" t="e">
        <v>#N/A</v>
      </c>
      <c r="BR232" t="str">
        <v/>
      </c>
      <c r="CN232">
        <v>231</v>
      </c>
      <c r="CO232">
        <v>6</v>
      </c>
      <c r="CP232">
        <v>8.8224752287145186E-2</v>
      </c>
      <c r="CQ232" t="str">
        <v/>
      </c>
    </row>
    <row r="233" spans="34:95" x14ac:dyDescent="0.2">
      <c r="AH233">
        <v>232</v>
      </c>
      <c r="AI233">
        <v>2.4566929133858268</v>
      </c>
      <c r="AJ233" s="42">
        <v>1.9514284003976069E-2</v>
      </c>
      <c r="AK233" s="42">
        <v>14</v>
      </c>
      <c r="AL233" s="127">
        <v>1</v>
      </c>
      <c r="AM233" s="127">
        <v>0.20697755624177352</v>
      </c>
      <c r="AN233" s="127" t="str">
        <v/>
      </c>
      <c r="AO233" s="127" t="str">
        <v/>
      </c>
      <c r="AP233" s="127"/>
      <c r="AQ233" s="127"/>
      <c r="AR233" s="127"/>
      <c r="AS233" s="127"/>
      <c r="AT233" s="127"/>
      <c r="AU233"/>
      <c r="AV233"/>
      <c r="AW233"/>
      <c r="AX233"/>
      <c r="AY233"/>
      <c r="AZ233" s="127"/>
      <c r="BA233" s="127"/>
      <c r="BB233" s="127"/>
      <c r="BC233" s="127"/>
      <c r="BD233" s="127"/>
      <c r="BE233" s="127"/>
      <c r="BF233" s="127"/>
      <c r="BG233" s="127"/>
      <c r="BH233" s="48"/>
      <c r="BK233" s="42">
        <v>232</v>
      </c>
      <c r="BL233" s="127">
        <v>1</v>
      </c>
      <c r="BM233" s="127">
        <v>1.8192576091040986</v>
      </c>
      <c r="BN233" s="127">
        <v>1.8192576091040986</v>
      </c>
      <c r="BO233" s="127" t="e">
        <v>#N/A</v>
      </c>
      <c r="BP233" t="e">
        <v>#N/A</v>
      </c>
      <c r="BQ233" t="e">
        <v>#N/A</v>
      </c>
      <c r="BR233" t="str">
        <v/>
      </c>
      <c r="CN233">
        <v>232</v>
      </c>
      <c r="CO233">
        <v>6</v>
      </c>
      <c r="CP233">
        <v>8.8224752287145186E-2</v>
      </c>
      <c r="CQ233" t="str">
        <v/>
      </c>
    </row>
    <row r="234" spans="34:95" x14ac:dyDescent="0.2">
      <c r="AH234">
        <v>233</v>
      </c>
      <c r="AI234">
        <v>2.4803149606299213</v>
      </c>
      <c r="AJ234" s="42">
        <v>1.840892486107203E-2</v>
      </c>
      <c r="AK234" s="42">
        <v>14</v>
      </c>
      <c r="AL234" s="127">
        <v>1</v>
      </c>
      <c r="AM234" s="127">
        <v>0.20697755624177352</v>
      </c>
      <c r="AN234" s="127" t="str">
        <v/>
      </c>
      <c r="AO234" s="127" t="str">
        <v/>
      </c>
      <c r="AP234" s="127"/>
      <c r="AQ234" s="127"/>
      <c r="AR234" s="127"/>
      <c r="AS234" s="127"/>
      <c r="AT234" s="127"/>
      <c r="AU234"/>
      <c r="AV234"/>
      <c r="AW234"/>
      <c r="AX234"/>
      <c r="AY234"/>
      <c r="AZ234" s="127"/>
      <c r="BA234" s="127"/>
      <c r="BB234" s="127"/>
      <c r="BC234" s="127"/>
      <c r="BD234" s="127"/>
      <c r="BE234" s="127"/>
      <c r="BF234" s="127"/>
      <c r="BG234" s="127"/>
      <c r="BH234" s="48"/>
      <c r="BK234" s="42">
        <v>233</v>
      </c>
      <c r="BL234" s="127">
        <v>1</v>
      </c>
      <c r="BM234" s="127">
        <v>1.8192576091040986</v>
      </c>
      <c r="BN234" s="127">
        <v>1.8192576091040986</v>
      </c>
      <c r="BO234" s="127" t="e">
        <v>#N/A</v>
      </c>
      <c r="BP234" t="e">
        <v>#N/A</v>
      </c>
      <c r="BQ234" t="e">
        <v>#N/A</v>
      </c>
      <c r="BR234" t="str">
        <v/>
      </c>
      <c r="CN234">
        <v>233</v>
      </c>
      <c r="CO234">
        <v>6</v>
      </c>
      <c r="CP234">
        <v>8.8224752287145186E-2</v>
      </c>
      <c r="CQ234" t="str">
        <v/>
      </c>
    </row>
    <row r="235" spans="34:95" x14ac:dyDescent="0.2">
      <c r="AH235">
        <v>234</v>
      </c>
      <c r="AI235">
        <v>2.5039370078740157</v>
      </c>
      <c r="AJ235" s="42">
        <v>1.7356489587397227E-2</v>
      </c>
      <c r="AK235" s="42">
        <v>14</v>
      </c>
      <c r="AL235" s="127">
        <v>1</v>
      </c>
      <c r="AM235" s="127">
        <v>0.20697755624177352</v>
      </c>
      <c r="AN235" s="127" t="str">
        <v/>
      </c>
      <c r="AO235" s="127" t="str">
        <v/>
      </c>
      <c r="AP235" s="127"/>
      <c r="AQ235" s="127"/>
      <c r="AR235" s="127"/>
      <c r="AS235" s="127"/>
      <c r="AT235" s="127"/>
      <c r="AU235"/>
      <c r="AV235"/>
      <c r="AW235"/>
      <c r="AX235"/>
      <c r="AY235"/>
      <c r="AZ235" s="127"/>
      <c r="BA235" s="127"/>
      <c r="BB235" s="127"/>
      <c r="BC235" s="127"/>
      <c r="BD235" s="127"/>
      <c r="BE235" s="127"/>
      <c r="BF235" s="127"/>
      <c r="BG235" s="127"/>
      <c r="BH235" s="48"/>
      <c r="BK235" s="42">
        <v>234</v>
      </c>
      <c r="BL235" s="127">
        <v>1</v>
      </c>
      <c r="BM235" s="127">
        <v>1.8192576091040986</v>
      </c>
      <c r="BN235" s="127">
        <v>1.8192576091040986</v>
      </c>
      <c r="BO235" s="127" t="e">
        <v>#N/A</v>
      </c>
      <c r="BP235" t="e">
        <v>#N/A</v>
      </c>
      <c r="BQ235" t="e">
        <v>#N/A</v>
      </c>
      <c r="BR235" t="str">
        <v/>
      </c>
      <c r="CN235">
        <v>234</v>
      </c>
      <c r="CO235">
        <v>6</v>
      </c>
      <c r="CP235">
        <v>8.8224752287145186E-2</v>
      </c>
      <c r="CQ235" t="str">
        <v/>
      </c>
    </row>
    <row r="236" spans="34:95" x14ac:dyDescent="0.2">
      <c r="AH236">
        <v>235</v>
      </c>
      <c r="AI236">
        <v>2.5275590551181102</v>
      </c>
      <c r="AJ236" s="42">
        <v>1.6355093162145264E-2</v>
      </c>
      <c r="AK236" s="42">
        <v>14</v>
      </c>
      <c r="AL236" s="127">
        <v>1</v>
      </c>
      <c r="AM236" s="127">
        <v>0.20697755624177352</v>
      </c>
      <c r="AN236" s="127" t="str">
        <v/>
      </c>
      <c r="AO236" s="127" t="str">
        <v/>
      </c>
      <c r="AP236" s="127"/>
      <c r="AQ236" s="127"/>
      <c r="AR236" s="127"/>
      <c r="AS236" s="127"/>
      <c r="AT236" s="127"/>
      <c r="AU236"/>
      <c r="AV236"/>
      <c r="AW236"/>
      <c r="AX236"/>
      <c r="AY236"/>
      <c r="AZ236" s="127"/>
      <c r="BA236" s="127"/>
      <c r="BB236" s="127"/>
      <c r="BC236" s="127"/>
      <c r="BD236" s="127"/>
      <c r="BE236" s="127"/>
      <c r="BF236" s="127"/>
      <c r="BG236" s="127"/>
      <c r="BH236" s="48"/>
      <c r="BK236" s="42">
        <v>235</v>
      </c>
      <c r="BL236" s="127">
        <v>1</v>
      </c>
      <c r="BM236" s="127">
        <v>1.8192576091040986</v>
      </c>
      <c r="BN236" s="127">
        <v>1.8192576091040986</v>
      </c>
      <c r="BO236" s="127" t="e">
        <v>#N/A</v>
      </c>
      <c r="BP236" t="e">
        <v>#N/A</v>
      </c>
      <c r="BQ236" t="e">
        <v>#N/A</v>
      </c>
      <c r="BR236" t="str">
        <v/>
      </c>
      <c r="CN236">
        <v>235</v>
      </c>
      <c r="CO236">
        <v>6</v>
      </c>
      <c r="CP236">
        <v>8.8224752287145186E-2</v>
      </c>
      <c r="CQ236" t="str">
        <v/>
      </c>
    </row>
    <row r="237" spans="34:95" x14ac:dyDescent="0.2">
      <c r="AH237">
        <v>236</v>
      </c>
      <c r="AI237">
        <v>2.5511811023622046</v>
      </c>
      <c r="AJ237" s="42">
        <v>1.54028758771209E-2</v>
      </c>
      <c r="AK237" s="42">
        <v>14</v>
      </c>
      <c r="AL237" s="127">
        <v>1</v>
      </c>
      <c r="AM237" s="127">
        <v>0.20697755624177352</v>
      </c>
      <c r="AN237" s="127" t="str">
        <v/>
      </c>
      <c r="AO237" s="127" t="str">
        <v/>
      </c>
      <c r="AP237" s="127"/>
      <c r="AQ237" s="127"/>
      <c r="AR237" s="127"/>
      <c r="AS237" s="127"/>
      <c r="AT237" s="127"/>
      <c r="AU237"/>
      <c r="AV237"/>
      <c r="AW237"/>
      <c r="AX237"/>
      <c r="AY237"/>
      <c r="AZ237" s="127"/>
      <c r="BA237" s="127"/>
      <c r="BB237" s="127"/>
      <c r="BC237" s="127"/>
      <c r="BD237" s="127"/>
      <c r="BE237" s="127"/>
      <c r="BF237" s="127"/>
      <c r="BG237" s="127"/>
      <c r="BH237" s="48"/>
      <c r="BK237" s="42">
        <v>236</v>
      </c>
      <c r="BL237" s="127">
        <v>1</v>
      </c>
      <c r="BM237" s="127">
        <v>1.8192576091040986</v>
      </c>
      <c r="BN237" s="127">
        <v>1.8192576091040986</v>
      </c>
      <c r="BO237" s="127" t="e">
        <v>#N/A</v>
      </c>
      <c r="BP237" t="e">
        <v>#N/A</v>
      </c>
      <c r="BQ237" t="e">
        <v>#N/A</v>
      </c>
      <c r="BR237" t="str">
        <v/>
      </c>
      <c r="CN237">
        <v>236</v>
      </c>
      <c r="CO237">
        <v>6</v>
      </c>
      <c r="CP237">
        <v>8.8224752287145186E-2</v>
      </c>
      <c r="CQ237" t="str">
        <v/>
      </c>
    </row>
    <row r="238" spans="34:95" x14ac:dyDescent="0.2">
      <c r="AH238">
        <v>237</v>
      </c>
      <c r="AI238">
        <v>2.5748031496062991</v>
      </c>
      <c r="AJ238" s="42">
        <v>1.449800590485566E-2</v>
      </c>
      <c r="AK238" s="42">
        <v>14</v>
      </c>
      <c r="AL238" s="127">
        <v>1</v>
      </c>
      <c r="AM238" s="127">
        <v>0.20697755624177352</v>
      </c>
      <c r="AN238" s="127" t="str">
        <v/>
      </c>
      <c r="AO238" s="127" t="str">
        <v/>
      </c>
      <c r="AP238" s="127"/>
      <c r="AQ238" s="127"/>
      <c r="AR238" s="127"/>
      <c r="AS238" s="127"/>
      <c r="AT238" s="127"/>
      <c r="AU238"/>
      <c r="AV238"/>
      <c r="AW238"/>
      <c r="AX238"/>
      <c r="AY238"/>
      <c r="AZ238" s="127"/>
      <c r="BA238" s="127"/>
      <c r="BB238" s="127"/>
      <c r="BC238" s="127"/>
      <c r="BD238" s="127"/>
      <c r="BE238" s="127"/>
      <c r="BF238" s="127"/>
      <c r="BG238" s="127"/>
      <c r="BH238" s="48"/>
      <c r="BK238" s="42">
        <v>237</v>
      </c>
      <c r="BL238" s="127">
        <v>1</v>
      </c>
      <c r="BM238" s="127">
        <v>1.8192576091040986</v>
      </c>
      <c r="BN238" s="127">
        <v>1.8192576091040986</v>
      </c>
      <c r="BO238" s="127" t="e">
        <v>#N/A</v>
      </c>
      <c r="BP238" t="e">
        <v>#N/A</v>
      </c>
      <c r="BQ238" t="e">
        <v>#N/A</v>
      </c>
      <c r="BR238" t="str">
        <v/>
      </c>
      <c r="CN238">
        <v>237</v>
      </c>
      <c r="CO238">
        <v>6</v>
      </c>
      <c r="CP238">
        <v>8.8224752287145186E-2</v>
      </c>
      <c r="CQ238" t="str">
        <v/>
      </c>
    </row>
    <row r="239" spans="34:95" x14ac:dyDescent="0.2">
      <c r="AH239">
        <v>238</v>
      </c>
      <c r="AI239">
        <v>2.5984251968503935</v>
      </c>
      <c r="AJ239" s="42">
        <v>1.3638681642439747E-2</v>
      </c>
      <c r="AK239" s="42">
        <v>14</v>
      </c>
      <c r="AL239" s="127">
        <v>1</v>
      </c>
      <c r="AM239" s="127">
        <v>0.20697755624177352</v>
      </c>
      <c r="AN239" s="127" t="str">
        <v/>
      </c>
      <c r="AO239" s="127" t="str">
        <v/>
      </c>
      <c r="AP239" s="127"/>
      <c r="AQ239" s="127"/>
      <c r="AR239" s="127"/>
      <c r="AS239" s="127"/>
      <c r="AT239" s="127"/>
      <c r="AU239"/>
      <c r="AV239"/>
      <c r="AW239"/>
      <c r="AX239"/>
      <c r="AY239"/>
      <c r="AZ239" s="127"/>
      <c r="BA239" s="127"/>
      <c r="BB239" s="127"/>
      <c r="BC239" s="127"/>
      <c r="BD239" s="127"/>
      <c r="BE239" s="127"/>
      <c r="BF239" s="127"/>
      <c r="BG239" s="127"/>
      <c r="BH239" s="48"/>
      <c r="BK239" s="42">
        <v>238</v>
      </c>
      <c r="BL239" s="127">
        <v>1</v>
      </c>
      <c r="BM239" s="127">
        <v>1.8192576091040986</v>
      </c>
      <c r="BN239" s="127">
        <v>1.8192576091040986</v>
      </c>
      <c r="BO239" s="127" t="e">
        <v>#N/A</v>
      </c>
      <c r="BP239" t="e">
        <v>#N/A</v>
      </c>
      <c r="BQ239" t="e">
        <v>#N/A</v>
      </c>
      <c r="BR239" t="str">
        <v/>
      </c>
      <c r="CN239">
        <v>238</v>
      </c>
      <c r="CO239">
        <v>6</v>
      </c>
      <c r="CP239">
        <v>8.8224752287145186E-2</v>
      </c>
      <c r="CQ239" t="str">
        <v/>
      </c>
    </row>
    <row r="240" spans="34:95" x14ac:dyDescent="0.2">
      <c r="AH240">
        <v>239</v>
      </c>
      <c r="AI240">
        <v>2.622047244094488</v>
      </c>
      <c r="AJ240" s="42">
        <v>1.2823133836513139E-2</v>
      </c>
      <c r="AK240" s="42">
        <v>15</v>
      </c>
      <c r="AL240" s="127">
        <v>0</v>
      </c>
      <c r="AM240" s="127">
        <v>0</v>
      </c>
      <c r="AN240" s="127">
        <v>13.05</v>
      </c>
      <c r="AO240" s="127" t="str">
        <v/>
      </c>
      <c r="AP240" s="127"/>
      <c r="AQ240" s="127"/>
      <c r="AR240" s="127"/>
      <c r="AS240" s="127"/>
      <c r="AT240" s="127"/>
      <c r="AU240"/>
      <c r="AV240"/>
      <c r="AW240"/>
      <c r="AX240"/>
      <c r="AY240"/>
      <c r="AZ240" s="127"/>
      <c r="BA240" s="127"/>
      <c r="BB240" s="127"/>
      <c r="BC240" s="127"/>
      <c r="BD240" s="127"/>
      <c r="BE240" s="127"/>
      <c r="BF240" s="127"/>
      <c r="BG240" s="127"/>
      <c r="BH240" s="48"/>
      <c r="BK240" s="42">
        <v>239</v>
      </c>
      <c r="BL240" s="127">
        <v>1</v>
      </c>
      <c r="BM240" s="127">
        <v>1.8192576091040986</v>
      </c>
      <c r="BN240" s="127">
        <v>1.8192576091040986</v>
      </c>
      <c r="BO240" s="127" t="e">
        <v>#N/A</v>
      </c>
      <c r="BP240" t="e">
        <v>#N/A</v>
      </c>
      <c r="BQ240" t="e">
        <v>#N/A</v>
      </c>
      <c r="BR240" t="str">
        <v/>
      </c>
      <c r="CN240">
        <v>239</v>
      </c>
      <c r="CO240">
        <v>6</v>
      </c>
      <c r="CP240">
        <v>8.8224752287145186E-2</v>
      </c>
      <c r="CQ240" t="str">
        <v/>
      </c>
    </row>
    <row r="241" spans="34:95" x14ac:dyDescent="0.2">
      <c r="AH241">
        <v>240</v>
      </c>
      <c r="AI241">
        <v>2.6456692913385824</v>
      </c>
      <c r="AJ241" s="42">
        <v>1.2049627495369144E-2</v>
      </c>
      <c r="AK241" s="42">
        <v>15</v>
      </c>
      <c r="AL241" s="127">
        <v>0</v>
      </c>
      <c r="AM241" s="127">
        <v>0</v>
      </c>
      <c r="AN241" s="127" t="str">
        <v/>
      </c>
      <c r="AO241" s="127" t="str">
        <v/>
      </c>
      <c r="AP241" s="127"/>
      <c r="AQ241" s="127"/>
      <c r="AR241" s="127"/>
      <c r="AS241" s="127"/>
      <c r="AT241" s="127"/>
      <c r="AU241"/>
      <c r="AV241"/>
      <c r="AW241"/>
      <c r="AX241"/>
      <c r="AY241"/>
      <c r="AZ241" s="127"/>
      <c r="BA241" s="127"/>
      <c r="BB241" s="127"/>
      <c r="BC241" s="127"/>
      <c r="BD241" s="127"/>
      <c r="BE241" s="127"/>
      <c r="BF241" s="127"/>
      <c r="BG241" s="127"/>
      <c r="BH241" s="48"/>
      <c r="BK241" s="42">
        <v>240</v>
      </c>
      <c r="BL241" s="127">
        <v>1</v>
      </c>
      <c r="BM241" s="127">
        <v>1.8192576091040986</v>
      </c>
      <c r="BN241" s="127">
        <v>1.8192576091040986</v>
      </c>
      <c r="BO241" s="127" t="e">
        <v>#N/A</v>
      </c>
      <c r="BP241" t="e">
        <v>#N/A</v>
      </c>
      <c r="BQ241" t="e">
        <v>#N/A</v>
      </c>
      <c r="BR241" t="str">
        <v/>
      </c>
      <c r="CN241">
        <v>240</v>
      </c>
      <c r="CO241">
        <v>6</v>
      </c>
      <c r="CP241">
        <v>8.8224752287145186E-2</v>
      </c>
      <c r="CQ241" t="str">
        <v/>
      </c>
    </row>
    <row r="242" spans="34:95" x14ac:dyDescent="0.2">
      <c r="AH242">
        <v>241</v>
      </c>
      <c r="AI242">
        <v>2.6692913385826769</v>
      </c>
      <c r="AJ242" s="42">
        <v>1.131646359457898E-2</v>
      </c>
      <c r="AK242" s="42">
        <v>15</v>
      </c>
      <c r="AL242" s="127">
        <v>0</v>
      </c>
      <c r="AM242" s="127">
        <v>0</v>
      </c>
      <c r="AN242" s="127" t="str">
        <v/>
      </c>
      <c r="AO242" s="127" t="str">
        <v/>
      </c>
      <c r="AP242" s="127"/>
      <c r="AQ242" s="127"/>
      <c r="AR242" s="127"/>
      <c r="AS242" s="127"/>
      <c r="AT242" s="127"/>
      <c r="AU242"/>
      <c r="AV242"/>
      <c r="AW242"/>
      <c r="AX242"/>
      <c r="AY242"/>
      <c r="AZ242" s="127"/>
      <c r="BA242" s="127"/>
      <c r="BB242" s="127"/>
      <c r="BC242" s="127"/>
      <c r="BD242" s="127"/>
      <c r="BE242" s="127"/>
      <c r="BF242" s="127"/>
      <c r="BG242" s="127"/>
      <c r="BH242" s="48"/>
      <c r="BK242" s="42">
        <v>241</v>
      </c>
      <c r="BL242" s="127">
        <v>1</v>
      </c>
      <c r="BM242" s="127">
        <v>1.8192576091040986</v>
      </c>
      <c r="BN242" s="127">
        <v>1.8192576091040986</v>
      </c>
      <c r="BO242" s="127" t="e">
        <v>#N/A</v>
      </c>
      <c r="BP242" t="e">
        <v>#N/A</v>
      </c>
      <c r="BQ242" t="e">
        <v>#N/A</v>
      </c>
      <c r="BR242" t="str">
        <v/>
      </c>
      <c r="CN242">
        <v>241</v>
      </c>
      <c r="CO242">
        <v>6</v>
      </c>
      <c r="CP242">
        <v>8.8224752287145186E-2</v>
      </c>
      <c r="CQ242" t="str">
        <v/>
      </c>
    </row>
    <row r="243" spans="34:95" x14ac:dyDescent="0.2">
      <c r="AH243">
        <v>242</v>
      </c>
      <c r="AI243">
        <v>2.6929133858267713</v>
      </c>
      <c r="AJ243" s="42">
        <v>1.0621980582946028E-2</v>
      </c>
      <c r="AK243" s="42">
        <v>15</v>
      </c>
      <c r="AL243" s="127">
        <v>0</v>
      </c>
      <c r="AM243" s="127">
        <v>0</v>
      </c>
      <c r="AN243" s="127" t="str">
        <v/>
      </c>
      <c r="AO243" s="127" t="str">
        <v/>
      </c>
      <c r="AP243" s="127"/>
      <c r="AQ243" s="127"/>
      <c r="AR243" s="127"/>
      <c r="AS243" s="127"/>
      <c r="AT243" s="127"/>
      <c r="AU243"/>
      <c r="AV243"/>
      <c r="AW243"/>
      <c r="AX243"/>
      <c r="AY243"/>
      <c r="AZ243" s="127"/>
      <c r="BA243" s="127"/>
      <c r="BB243" s="127"/>
      <c r="BC243" s="127"/>
      <c r="BD243" s="127"/>
      <c r="BE243" s="127"/>
      <c r="BF243" s="127"/>
      <c r="BG243" s="127"/>
      <c r="BH243" s="48"/>
      <c r="BK243" s="42">
        <v>242</v>
      </c>
      <c r="BL243" s="127">
        <v>1</v>
      </c>
      <c r="BM243" s="127">
        <v>1.8192576091040986</v>
      </c>
      <c r="BN243" s="127">
        <v>1.8192576091040986</v>
      </c>
      <c r="BO243" s="127" t="e">
        <v>#N/A</v>
      </c>
      <c r="BP243" t="e">
        <v>#N/A</v>
      </c>
      <c r="BQ243" t="e">
        <v>#N/A</v>
      </c>
      <c r="BR243" t="str">
        <v/>
      </c>
      <c r="CN243">
        <v>242</v>
      </c>
      <c r="CO243">
        <v>6</v>
      </c>
      <c r="CP243">
        <v>8.8224752287145186E-2</v>
      </c>
      <c r="CQ243" t="str">
        <v/>
      </c>
    </row>
    <row r="244" spans="34:95" x14ac:dyDescent="0.2">
      <c r="AH244">
        <v>243</v>
      </c>
      <c r="AI244">
        <v>2.7165354330708658</v>
      </c>
      <c r="AJ244" s="42">
        <v>9.9645556959455719E-3</v>
      </c>
      <c r="AK244" s="42">
        <v>15</v>
      </c>
      <c r="AL244" s="127">
        <v>0</v>
      </c>
      <c r="AM244" s="127">
        <v>0</v>
      </c>
      <c r="AN244" s="127" t="str">
        <v/>
      </c>
      <c r="AO244" s="127" t="str">
        <v/>
      </c>
      <c r="AP244" s="127"/>
      <c r="AQ244" s="127"/>
      <c r="AR244" s="127"/>
      <c r="AS244" s="127"/>
      <c r="AT244" s="127"/>
      <c r="AU244"/>
      <c r="AV244"/>
      <c r="AW244"/>
      <c r="AX244"/>
      <c r="AY244"/>
      <c r="AZ244" s="127"/>
      <c r="BA244" s="127"/>
      <c r="BB244" s="127"/>
      <c r="BC244" s="127"/>
      <c r="BD244" s="127"/>
      <c r="BE244" s="127"/>
      <c r="BF244" s="127"/>
      <c r="BG244" s="127"/>
      <c r="BH244" s="48"/>
      <c r="BK244" s="42">
        <v>243</v>
      </c>
      <c r="BL244" s="127">
        <v>1</v>
      </c>
      <c r="BM244" s="127">
        <v>1.8192576091040986</v>
      </c>
      <c r="BN244" s="127">
        <v>1.8192576091040986</v>
      </c>
      <c r="BO244" s="127" t="e">
        <v>#N/A</v>
      </c>
      <c r="BP244" t="e">
        <v>#N/A</v>
      </c>
      <c r="BQ244" t="e">
        <v>#N/A</v>
      </c>
      <c r="BR244" t="str">
        <v/>
      </c>
      <c r="CN244">
        <v>243</v>
      </c>
      <c r="CO244">
        <v>6</v>
      </c>
      <c r="CP244">
        <v>8.8224752287145186E-2</v>
      </c>
      <c r="CQ244" t="str">
        <v/>
      </c>
    </row>
    <row r="245" spans="34:95" x14ac:dyDescent="0.2">
      <c r="AH245">
        <v>244</v>
      </c>
      <c r="AI245">
        <v>2.7401574803149602</v>
      </c>
      <c r="AJ245" s="42">
        <v>9.3426060841007141E-3</v>
      </c>
      <c r="AK245" s="42">
        <v>15</v>
      </c>
      <c r="AL245" s="127">
        <v>0</v>
      </c>
      <c r="AM245" s="127">
        <v>0</v>
      </c>
      <c r="AN245" s="127" t="str">
        <v/>
      </c>
      <c r="AO245" s="127" t="str">
        <v/>
      </c>
      <c r="AP245" s="127"/>
      <c r="AQ245" s="127"/>
      <c r="AR245" s="127"/>
      <c r="AS245" s="127"/>
      <c r="AT245" s="127"/>
      <c r="AU245"/>
      <c r="AV245"/>
      <c r="AW245"/>
      <c r="AX245"/>
      <c r="AY245"/>
      <c r="AZ245" s="127"/>
      <c r="BA245" s="127"/>
      <c r="BB245" s="127"/>
      <c r="BC245" s="127"/>
      <c r="BD245" s="127"/>
      <c r="BE245" s="127"/>
      <c r="BF245" s="127"/>
      <c r="BG245" s="127"/>
      <c r="BH245" s="48"/>
      <c r="BK245" s="42">
        <v>244</v>
      </c>
      <c r="BL245" s="127">
        <v>2</v>
      </c>
      <c r="BM245" s="127">
        <v>1.0047263613915816</v>
      </c>
      <c r="BN245" s="127" t="e">
        <v>#N/A</v>
      </c>
      <c r="BO245" s="127">
        <v>1.0047263613915816</v>
      </c>
      <c r="BP245" t="e">
        <v>#N/A</v>
      </c>
      <c r="BQ245" t="e">
        <v>#N/A</v>
      </c>
      <c r="BR245">
        <v>-0.77600000000000002</v>
      </c>
      <c r="CN245">
        <v>244</v>
      </c>
      <c r="CO245">
        <v>6</v>
      </c>
      <c r="CP245">
        <v>8.8224752287145186E-2</v>
      </c>
      <c r="CQ245" t="str">
        <v/>
      </c>
    </row>
    <row r="246" spans="34:95" x14ac:dyDescent="0.2">
      <c r="AH246">
        <v>245</v>
      </c>
      <c r="AI246">
        <v>2.7637795275590546</v>
      </c>
      <c r="AJ246" s="42">
        <v>8.7545897639901629E-3</v>
      </c>
      <c r="AK246" s="42">
        <v>15</v>
      </c>
      <c r="AL246" s="127">
        <v>0</v>
      </c>
      <c r="AM246" s="127">
        <v>0</v>
      </c>
      <c r="AN246" s="127" t="str">
        <v/>
      </c>
      <c r="AO246" s="127" t="str">
        <v/>
      </c>
      <c r="AP246" s="127"/>
      <c r="AQ246" s="127"/>
      <c r="AR246" s="127"/>
      <c r="AS246" s="127"/>
      <c r="AT246" s="127"/>
      <c r="AU246"/>
      <c r="AV246"/>
      <c r="AW246"/>
      <c r="AX246"/>
      <c r="AY246"/>
      <c r="AZ246" s="127"/>
      <c r="BA246" s="127"/>
      <c r="BB246" s="127"/>
      <c r="BC246" s="127"/>
      <c r="BD246" s="127"/>
      <c r="BE246" s="127"/>
      <c r="BF246" s="127"/>
      <c r="BG246" s="127"/>
      <c r="BH246" s="48"/>
      <c r="BK246" s="42">
        <v>245</v>
      </c>
      <c r="BL246" s="127">
        <v>2</v>
      </c>
      <c r="BM246" s="127">
        <v>1.0047263613915816</v>
      </c>
      <c r="BN246" s="127" t="e">
        <v>#N/A</v>
      </c>
      <c r="BO246" s="127">
        <v>1.0047263613915816</v>
      </c>
      <c r="BP246" t="e">
        <v>#N/A</v>
      </c>
      <c r="BQ246" t="e">
        <v>#N/A</v>
      </c>
      <c r="BR246" t="str">
        <v/>
      </c>
      <c r="CN246">
        <v>245</v>
      </c>
      <c r="CO246">
        <v>6</v>
      </c>
      <c r="CP246">
        <v>8.8224752287145186E-2</v>
      </c>
      <c r="CQ246" t="str">
        <v/>
      </c>
    </row>
    <row r="247" spans="34:95" x14ac:dyDescent="0.2">
      <c r="AH247">
        <v>246</v>
      </c>
      <c r="AI247">
        <v>2.7874015748031491</v>
      </c>
      <c r="AJ247" s="42">
        <v>8.1990063997802055E-3</v>
      </c>
      <c r="AK247" s="42">
        <v>15</v>
      </c>
      <c r="AL247" s="127">
        <v>0</v>
      </c>
      <c r="AM247" s="127">
        <v>0</v>
      </c>
      <c r="AN247" s="127" t="str">
        <v/>
      </c>
      <c r="AO247" s="127" t="str">
        <v/>
      </c>
      <c r="AP247" s="127"/>
      <c r="AQ247" s="127"/>
      <c r="AR247" s="127"/>
      <c r="AS247" s="127"/>
      <c r="AT247" s="127"/>
      <c r="AU247"/>
      <c r="AV247"/>
      <c r="AW247"/>
      <c r="AX247"/>
      <c r="AY247"/>
      <c r="AZ247" s="127"/>
      <c r="BA247" s="127"/>
      <c r="BB247" s="127"/>
      <c r="BC247" s="127"/>
      <c r="BD247" s="127"/>
      <c r="BE247" s="127"/>
      <c r="BF247" s="127"/>
      <c r="BG247" s="127"/>
      <c r="BH247" s="48"/>
      <c r="BK247" s="42">
        <v>246</v>
      </c>
      <c r="BL247" s="127">
        <v>2</v>
      </c>
      <c r="BM247" s="127">
        <v>1.0047263613915816</v>
      </c>
      <c r="BN247" s="127" t="e">
        <v>#N/A</v>
      </c>
      <c r="BO247" s="127">
        <v>1.0047263613915816</v>
      </c>
      <c r="BP247" t="e">
        <v>#N/A</v>
      </c>
      <c r="BQ247" t="e">
        <v>#N/A</v>
      </c>
      <c r="BR247" t="str">
        <v/>
      </c>
      <c r="CN247">
        <v>246</v>
      </c>
      <c r="CO247">
        <v>6</v>
      </c>
      <c r="CP247">
        <v>8.8224752287145186E-2</v>
      </c>
      <c r="CQ247" t="str">
        <v/>
      </c>
    </row>
    <row r="248" spans="34:95" x14ac:dyDescent="0.2">
      <c r="AH248">
        <v>247</v>
      </c>
      <c r="AI248">
        <v>2.8110236220472444</v>
      </c>
      <c r="AJ248" s="42">
        <v>7.6743979233234441E-3</v>
      </c>
      <c r="AK248" s="42">
        <v>15</v>
      </c>
      <c r="AL248" s="127">
        <v>0</v>
      </c>
      <c r="AM248" s="127">
        <v>0</v>
      </c>
      <c r="AN248" s="127" t="str">
        <v/>
      </c>
      <c r="AO248" s="127" t="str">
        <v/>
      </c>
      <c r="AP248" s="127"/>
      <c r="AQ248" s="127"/>
      <c r="AR248" s="127"/>
      <c r="AS248" s="127"/>
      <c r="AT248" s="127"/>
      <c r="AU248"/>
      <c r="AV248"/>
      <c r="AW248"/>
      <c r="AX248"/>
      <c r="AY248"/>
      <c r="AZ248" s="127"/>
      <c r="BA248" s="127"/>
      <c r="BB248" s="127"/>
      <c r="BC248" s="127"/>
      <c r="BD248" s="127"/>
      <c r="BE248" s="127"/>
      <c r="BF248" s="127"/>
      <c r="BG248" s="127"/>
      <c r="BH248" s="48"/>
      <c r="BK248" s="42">
        <v>247</v>
      </c>
      <c r="BL248" s="127">
        <v>2</v>
      </c>
      <c r="BM248" s="127">
        <v>1.0047263613915816</v>
      </c>
      <c r="BN248" s="127" t="e">
        <v>#N/A</v>
      </c>
      <c r="BO248" s="127">
        <v>1.0047263613915816</v>
      </c>
      <c r="BP248" t="e">
        <v>#N/A</v>
      </c>
      <c r="BQ248" t="e">
        <v>#N/A</v>
      </c>
      <c r="BR248" t="str">
        <v/>
      </c>
      <c r="CN248">
        <v>247</v>
      </c>
      <c r="CO248">
        <v>6</v>
      </c>
      <c r="CP248">
        <v>8.8224752287145186E-2</v>
      </c>
      <c r="CQ248" t="str">
        <v/>
      </c>
    </row>
    <row r="249" spans="34:95" x14ac:dyDescent="0.2">
      <c r="AH249">
        <v>248</v>
      </c>
      <c r="AI249">
        <v>2.8346456692913389</v>
      </c>
      <c r="AJ249" s="42">
        <v>7.1793490009733505E-3</v>
      </c>
      <c r="AK249" s="42">
        <v>15</v>
      </c>
      <c r="AL249" s="127">
        <v>0</v>
      </c>
      <c r="AM249" s="127">
        <v>0</v>
      </c>
      <c r="AN249" s="127" t="str">
        <v/>
      </c>
      <c r="AO249" s="127" t="str">
        <v/>
      </c>
      <c r="AP249" s="127"/>
      <c r="AQ249" s="127"/>
      <c r="AR249" s="127"/>
      <c r="AS249" s="127"/>
      <c r="AT249" s="127"/>
      <c r="AU249"/>
      <c r="AV249"/>
      <c r="AW249"/>
      <c r="AX249"/>
      <c r="AY249"/>
      <c r="AZ249" s="127"/>
      <c r="BA249" s="127"/>
      <c r="BB249" s="127"/>
      <c r="BC249" s="127"/>
      <c r="BD249" s="127"/>
      <c r="BE249" s="127"/>
      <c r="BF249" s="127"/>
      <c r="BG249" s="127"/>
      <c r="BH249" s="48"/>
      <c r="BK249" s="42">
        <v>248</v>
      </c>
      <c r="BL249" s="127">
        <v>2</v>
      </c>
      <c r="BM249" s="127">
        <v>1.0047263613915816</v>
      </c>
      <c r="BN249" s="127" t="e">
        <v>#N/A</v>
      </c>
      <c r="BO249" s="127">
        <v>1.0047263613915816</v>
      </c>
      <c r="BP249" t="e">
        <v>#N/A</v>
      </c>
      <c r="BQ249" t="e">
        <v>#N/A</v>
      </c>
      <c r="BR249" t="str">
        <v/>
      </c>
      <c r="CN249">
        <v>248</v>
      </c>
      <c r="CO249">
        <v>6</v>
      </c>
      <c r="CP249">
        <v>8.8224752287145186E-2</v>
      </c>
      <c r="CQ249" t="str">
        <v/>
      </c>
    </row>
    <row r="250" spans="34:95" x14ac:dyDescent="0.2">
      <c r="AH250">
        <v>249</v>
      </c>
      <c r="AI250">
        <v>2.8582677165354333</v>
      </c>
      <c r="AJ250" s="42">
        <v>6.7124873553275569E-3</v>
      </c>
      <c r="AK250" s="42">
        <v>15</v>
      </c>
      <c r="AL250" s="127">
        <v>0</v>
      </c>
      <c r="AM250" s="127">
        <v>0</v>
      </c>
      <c r="AN250" s="127" t="str">
        <v/>
      </c>
      <c r="AO250" s="127" t="str">
        <v/>
      </c>
      <c r="AP250" s="127"/>
      <c r="AQ250" s="127"/>
      <c r="AR250" s="127"/>
      <c r="AS250" s="127"/>
      <c r="AT250" s="127"/>
      <c r="AU250"/>
      <c r="AV250"/>
      <c r="AW250"/>
      <c r="AX250"/>
      <c r="AY250"/>
      <c r="AZ250" s="127"/>
      <c r="BA250" s="127"/>
      <c r="BB250" s="127"/>
      <c r="BC250" s="127"/>
      <c r="BD250" s="127"/>
      <c r="BE250" s="127"/>
      <c r="BF250" s="127"/>
      <c r="BG250" s="127"/>
      <c r="BH250" s="48"/>
      <c r="BK250" s="42">
        <v>249</v>
      </c>
      <c r="BL250" s="127">
        <v>2</v>
      </c>
      <c r="BM250" s="127">
        <v>1.0047263613915816</v>
      </c>
      <c r="BN250" s="127" t="e">
        <v>#N/A</v>
      </c>
      <c r="BO250" s="127">
        <v>1.0047263613915816</v>
      </c>
      <c r="BP250" t="e">
        <v>#N/A</v>
      </c>
      <c r="BQ250" t="e">
        <v>#N/A</v>
      </c>
      <c r="BR250" t="str">
        <v/>
      </c>
      <c r="CN250">
        <v>249</v>
      </c>
      <c r="CO250">
        <v>6</v>
      </c>
      <c r="CP250">
        <v>8.8224752287145186E-2</v>
      </c>
      <c r="CQ250" t="str">
        <v/>
      </c>
    </row>
    <row r="251" spans="34:95" x14ac:dyDescent="0.2">
      <c r="AH251">
        <v>250</v>
      </c>
      <c r="AI251">
        <v>2.8818897637795278</v>
      </c>
      <c r="AJ251" s="42">
        <v>6.2724839501383011E-3</v>
      </c>
      <c r="AK251" s="42">
        <v>15</v>
      </c>
      <c r="AL251" s="127">
        <v>0</v>
      </c>
      <c r="AM251" s="127">
        <v>0</v>
      </c>
      <c r="AN251" s="127" t="str">
        <v/>
      </c>
      <c r="AO251" s="127" t="str">
        <v/>
      </c>
      <c r="AP251" s="127"/>
      <c r="AQ251" s="127"/>
      <c r="AR251" s="127"/>
      <c r="AS251" s="127"/>
      <c r="AT251" s="127"/>
      <c r="AU251"/>
      <c r="AV251"/>
      <c r="AW251"/>
      <c r="AX251"/>
      <c r="AY251"/>
      <c r="AZ251" s="127"/>
      <c r="BA251" s="127"/>
      <c r="BB251" s="127"/>
      <c r="BC251" s="127"/>
      <c r="BD251" s="127"/>
      <c r="BE251" s="127"/>
      <c r="BF251" s="127"/>
      <c r="BG251" s="127"/>
      <c r="BH251" s="48"/>
      <c r="BK251" s="42">
        <v>250</v>
      </c>
      <c r="BL251" s="127">
        <v>2</v>
      </c>
      <c r="BM251" s="127">
        <v>1.0047263613915816</v>
      </c>
      <c r="BN251" s="127" t="e">
        <v>#N/A</v>
      </c>
      <c r="BO251" s="127">
        <v>1.0047263613915816</v>
      </c>
      <c r="BP251" t="e">
        <v>#N/A</v>
      </c>
      <c r="BQ251" t="e">
        <v>#N/A</v>
      </c>
      <c r="BR251" t="str">
        <v/>
      </c>
      <c r="CN251">
        <v>250</v>
      </c>
      <c r="CO251">
        <v>6</v>
      </c>
      <c r="CP251">
        <v>8.8224752287145186E-2</v>
      </c>
      <c r="CQ251" t="str">
        <v/>
      </c>
    </row>
    <row r="252" spans="34:95" x14ac:dyDescent="0.2">
      <c r="AH252">
        <v>251</v>
      </c>
      <c r="AI252">
        <v>2.9055118110236222</v>
      </c>
      <c r="AJ252" s="42">
        <v>5.8580530466154357E-3</v>
      </c>
      <c r="AK252" s="42">
        <v>15</v>
      </c>
      <c r="AL252" s="127">
        <v>0</v>
      </c>
      <c r="AM252" s="127">
        <v>0</v>
      </c>
      <c r="AN252" s="127" t="str">
        <v/>
      </c>
      <c r="AO252" s="127" t="str">
        <v/>
      </c>
      <c r="AP252" s="127"/>
      <c r="AQ252" s="127"/>
      <c r="AR252" s="127"/>
      <c r="AS252" s="127"/>
      <c r="AT252" s="127"/>
      <c r="AU252"/>
      <c r="AV252"/>
      <c r="AW252"/>
      <c r="AX252"/>
      <c r="AY252"/>
      <c r="AZ252" s="127"/>
      <c r="BA252" s="127"/>
      <c r="BB252" s="127"/>
      <c r="BC252" s="127"/>
      <c r="BD252" s="127"/>
      <c r="BE252" s="127"/>
      <c r="BF252" s="127"/>
      <c r="BG252" s="127"/>
      <c r="BH252" s="48"/>
      <c r="BK252" s="42">
        <v>251</v>
      </c>
      <c r="BL252" s="127">
        <v>2</v>
      </c>
      <c r="BM252" s="127">
        <v>1.0047263613915816</v>
      </c>
      <c r="BN252" s="127" t="e">
        <v>#N/A</v>
      </c>
      <c r="BO252" s="127">
        <v>1.0047263613915816</v>
      </c>
      <c r="BP252" t="e">
        <v>#N/A</v>
      </c>
      <c r="BQ252" t="e">
        <v>#N/A</v>
      </c>
      <c r="BR252" t="str">
        <v/>
      </c>
      <c r="CN252">
        <v>251</v>
      </c>
      <c r="CO252">
        <v>6</v>
      </c>
      <c r="CP252">
        <v>8.8224752287145186E-2</v>
      </c>
      <c r="CQ252" t="str">
        <v/>
      </c>
    </row>
    <row r="253" spans="34:95" x14ac:dyDescent="0.2">
      <c r="AH253">
        <v>252</v>
      </c>
      <c r="AI253">
        <v>2.9291338582677167</v>
      </c>
      <c r="AJ253" s="42">
        <v>5.4679521393008702E-3</v>
      </c>
      <c r="AK253" s="42">
        <v>15</v>
      </c>
      <c r="AL253" s="127">
        <v>0</v>
      </c>
      <c r="AM253" s="127">
        <v>0</v>
      </c>
      <c r="AN253" s="127" t="str">
        <v/>
      </c>
      <c r="AO253" s="127" t="str">
        <v/>
      </c>
      <c r="AP253" s="127"/>
      <c r="AQ253" s="127"/>
      <c r="AR253" s="127"/>
      <c r="AS253" s="127"/>
      <c r="AT253" s="127"/>
      <c r="AU253"/>
      <c r="AV253"/>
      <c r="AW253"/>
      <c r="AX253"/>
      <c r="AY253"/>
      <c r="AZ253" s="127"/>
      <c r="BA253" s="127"/>
      <c r="BB253" s="127"/>
      <c r="BC253" s="127"/>
      <c r="BD253" s="127"/>
      <c r="BE253" s="127"/>
      <c r="BF253" s="127"/>
      <c r="BG253" s="127"/>
      <c r="BH253" s="48"/>
      <c r="BK253" s="42">
        <v>252</v>
      </c>
      <c r="BL253" s="127">
        <v>2</v>
      </c>
      <c r="BM253" s="127">
        <v>1.0047263613915816</v>
      </c>
      <c r="BN253" s="127" t="e">
        <v>#N/A</v>
      </c>
      <c r="BO253" s="127">
        <v>1.0047263613915816</v>
      </c>
      <c r="BP253" t="e">
        <v>#N/A</v>
      </c>
      <c r="BQ253" t="e">
        <v>#N/A</v>
      </c>
      <c r="BR253" t="str">
        <v/>
      </c>
      <c r="CN253">
        <v>252</v>
      </c>
      <c r="CO253">
        <v>6</v>
      </c>
      <c r="CP253">
        <v>8.8224752287145186E-2</v>
      </c>
      <c r="CQ253" t="str">
        <v>13 (100%)</v>
      </c>
    </row>
    <row r="254" spans="34:95" x14ac:dyDescent="0.2">
      <c r="AH254">
        <v>253</v>
      </c>
      <c r="AI254">
        <v>2.9527559055118111</v>
      </c>
      <c r="AJ254" s="42">
        <v>5.1009817796137192E-3</v>
      </c>
      <c r="AK254" s="42">
        <v>15</v>
      </c>
      <c r="AL254" s="127">
        <v>0</v>
      </c>
      <c r="AM254" s="127">
        <v>0</v>
      </c>
      <c r="AN254" s="127" t="str">
        <v/>
      </c>
      <c r="AO254" s="127" t="str">
        <v/>
      </c>
      <c r="AP254" s="127"/>
      <c r="AQ254" s="127"/>
      <c r="AR254" s="127"/>
      <c r="AS254" s="127"/>
      <c r="AT254" s="127"/>
      <c r="AU254"/>
      <c r="AV254"/>
      <c r="AW254"/>
      <c r="AX254"/>
      <c r="AY254"/>
      <c r="AZ254" s="127"/>
      <c r="BA254" s="127"/>
      <c r="BB254" s="127"/>
      <c r="BC254" s="127"/>
      <c r="BD254" s="127"/>
      <c r="BE254" s="127"/>
      <c r="BF254" s="127"/>
      <c r="BG254" s="127"/>
      <c r="BH254" s="48"/>
      <c r="BK254" s="42">
        <v>253</v>
      </c>
      <c r="BL254" s="127">
        <v>2</v>
      </c>
      <c r="BM254" s="127">
        <v>1.0047263613915816</v>
      </c>
      <c r="BN254" s="127" t="e">
        <v>#N/A</v>
      </c>
      <c r="BO254" s="127">
        <v>1.0047263613915816</v>
      </c>
      <c r="BP254" t="e">
        <v>#N/A</v>
      </c>
      <c r="BQ254" t="e">
        <v>#N/A</v>
      </c>
      <c r="BR254" t="str">
        <v/>
      </c>
    </row>
    <row r="255" spans="34:95" x14ac:dyDescent="0.2">
      <c r="AH255">
        <v>254</v>
      </c>
      <c r="AI255">
        <v>2.9763779527559056</v>
      </c>
      <c r="AJ255" s="42">
        <v>4.7559852950567272E-3</v>
      </c>
      <c r="AK255" s="42">
        <v>15</v>
      </c>
      <c r="AL255" s="127">
        <v>0</v>
      </c>
      <c r="AM255" s="127">
        <v>0</v>
      </c>
      <c r="AN255" s="127" t="str">
        <v/>
      </c>
      <c r="AO255" s="127" t="str">
        <v/>
      </c>
      <c r="AP255" s="127"/>
      <c r="AQ255" s="127"/>
      <c r="AR255" s="127"/>
      <c r="AS255" s="127"/>
      <c r="AT255" s="127"/>
      <c r="AU255"/>
      <c r="AV255"/>
      <c r="AW255"/>
      <c r="AX255"/>
      <c r="AY255"/>
      <c r="AZ255" s="127"/>
      <c r="BA255" s="127"/>
      <c r="BB255" s="127"/>
      <c r="BC255" s="127"/>
      <c r="BD255" s="127"/>
      <c r="BE255" s="127"/>
      <c r="BF255" s="127"/>
      <c r="BG255" s="127"/>
      <c r="BH255" s="48"/>
      <c r="BK255" s="42">
        <v>254</v>
      </c>
      <c r="BL255" s="127">
        <v>2</v>
      </c>
      <c r="BM255" s="127">
        <v>1.0047263613915816</v>
      </c>
      <c r="BN255" s="127" t="e">
        <v>#N/A</v>
      </c>
      <c r="BO255" s="127">
        <v>1.0047263613915816</v>
      </c>
      <c r="BP255" t="e">
        <v>#N/A</v>
      </c>
      <c r="BQ255" t="e">
        <v>#N/A</v>
      </c>
      <c r="BR255" t="str">
        <v/>
      </c>
    </row>
    <row r="256" spans="34:95" x14ac:dyDescent="0.2">
      <c r="AH256">
        <v>255</v>
      </c>
      <c r="AI256">
        <v>3</v>
      </c>
      <c r="AJ256" s="42">
        <v>4.4318484119380075E-3</v>
      </c>
      <c r="AK256" s="42">
        <v>15</v>
      </c>
      <c r="AL256" s="127">
        <v>0</v>
      </c>
      <c r="AM256" s="127">
        <v>0</v>
      </c>
      <c r="AN256" s="127">
        <v>14.77</v>
      </c>
      <c r="AO256" s="127" t="str">
        <v>3σ</v>
      </c>
      <c r="AP256" s="127"/>
      <c r="AQ256" s="127"/>
      <c r="AR256" s="127"/>
      <c r="AS256" s="127"/>
      <c r="AT256" s="127"/>
      <c r="AU256"/>
      <c r="AV256"/>
      <c r="AW256"/>
      <c r="AX256"/>
      <c r="AY256"/>
      <c r="AZ256" s="127"/>
      <c r="BA256" s="127"/>
      <c r="BB256" s="127"/>
      <c r="BC256" s="127"/>
      <c r="BD256" s="127"/>
      <c r="BE256" s="127"/>
      <c r="BF256" s="127"/>
      <c r="BG256" s="127"/>
      <c r="BH256" s="48"/>
      <c r="BK256" s="42">
        <v>255</v>
      </c>
      <c r="BL256" s="127">
        <v>2</v>
      </c>
      <c r="BM256" s="127">
        <v>1.0047263613915816</v>
      </c>
      <c r="BN256" s="127" t="e">
        <v>#N/A</v>
      </c>
      <c r="BO256" s="127">
        <v>1.0047263613915816</v>
      </c>
      <c r="BP256" t="e">
        <v>#N/A</v>
      </c>
      <c r="BQ256" t="e">
        <v>#N/A</v>
      </c>
      <c r="BR256" t="str">
        <v/>
      </c>
    </row>
    <row r="257" spans="38:70" x14ac:dyDescent="0.2">
      <c r="AL257" s="127"/>
      <c r="AM257" s="127"/>
      <c r="AN257" s="127"/>
      <c r="AO257" s="127"/>
      <c r="AP257" s="127"/>
      <c r="AQ257" s="127"/>
      <c r="AR257" s="127"/>
      <c r="AS257" s="127"/>
      <c r="AT257" s="127"/>
      <c r="AU257"/>
      <c r="AV257"/>
      <c r="AW257"/>
      <c r="AX257"/>
      <c r="AY257"/>
      <c r="AZ257" s="127"/>
      <c r="BA257" s="127"/>
      <c r="BB257" s="127"/>
      <c r="BC257" s="127"/>
      <c r="BD257" s="127"/>
      <c r="BE257" s="127"/>
      <c r="BF257" s="127"/>
      <c r="BG257" s="127"/>
      <c r="BH257" s="48"/>
      <c r="BK257" s="42">
        <v>256</v>
      </c>
      <c r="BL257" s="127">
        <v>2</v>
      </c>
      <c r="BM257" s="127">
        <v>1.0047263613915816</v>
      </c>
      <c r="BN257" s="127" t="e">
        <v>#N/A</v>
      </c>
      <c r="BO257" s="127">
        <v>1.0047263613915816</v>
      </c>
      <c r="BP257" t="e">
        <v>#N/A</v>
      </c>
      <c r="BQ257" t="e">
        <v>#N/A</v>
      </c>
      <c r="BR257" t="str">
        <v/>
      </c>
    </row>
    <row r="258" spans="38:70" x14ac:dyDescent="0.2">
      <c r="AL258" s="127"/>
      <c r="AM258" s="127"/>
      <c r="AN258" s="127"/>
      <c r="AO258" s="127"/>
      <c r="AP258" s="127"/>
      <c r="AQ258" s="127"/>
      <c r="AR258" s="127"/>
      <c r="AS258" s="127"/>
      <c r="AT258" s="127"/>
      <c r="AU258"/>
      <c r="AV258"/>
      <c r="AW258"/>
      <c r="AX258"/>
      <c r="AY258"/>
      <c r="AZ258" s="127"/>
      <c r="BA258" s="127"/>
      <c r="BB258" s="127"/>
      <c r="BC258" s="127"/>
      <c r="BD258" s="127"/>
      <c r="BE258" s="127"/>
      <c r="BF258" s="127"/>
      <c r="BG258" s="127"/>
      <c r="BH258" s="48"/>
      <c r="BK258" s="42">
        <v>257</v>
      </c>
      <c r="BL258" s="127">
        <v>2</v>
      </c>
      <c r="BM258" s="127">
        <v>1.0047263613915816</v>
      </c>
      <c r="BN258" s="127" t="e">
        <v>#N/A</v>
      </c>
      <c r="BO258" s="127">
        <v>1.0047263613915816</v>
      </c>
      <c r="BP258" t="e">
        <v>#N/A</v>
      </c>
      <c r="BQ258" t="e">
        <v>#N/A</v>
      </c>
      <c r="BR258" t="str">
        <v/>
      </c>
    </row>
    <row r="259" spans="38:70" x14ac:dyDescent="0.2">
      <c r="AL259" s="127"/>
      <c r="AM259" s="127"/>
      <c r="AN259" s="127"/>
      <c r="AO259" s="127"/>
      <c r="AP259" s="127"/>
      <c r="AQ259" s="127"/>
      <c r="AR259" s="127"/>
      <c r="AS259" s="127"/>
      <c r="AT259" s="127"/>
      <c r="AU259"/>
      <c r="AV259"/>
      <c r="AW259"/>
      <c r="AX259"/>
      <c r="AY259"/>
      <c r="AZ259" s="127"/>
      <c r="BA259" s="127"/>
      <c r="BB259" s="127"/>
      <c r="BC259" s="127"/>
      <c r="BD259" s="127"/>
      <c r="BE259" s="127"/>
      <c r="BF259" s="127"/>
      <c r="BG259" s="127"/>
      <c r="BH259" s="48"/>
      <c r="BK259" s="42">
        <v>258</v>
      </c>
      <c r="BL259" s="127">
        <v>2</v>
      </c>
      <c r="BM259" s="127">
        <v>1.0047263613915816</v>
      </c>
      <c r="BN259" s="127" t="e">
        <v>#N/A</v>
      </c>
      <c r="BO259" s="127">
        <v>1.0047263613915816</v>
      </c>
      <c r="BP259" t="e">
        <v>#N/A</v>
      </c>
      <c r="BQ259" t="e">
        <v>#N/A</v>
      </c>
      <c r="BR259" t="str">
        <v/>
      </c>
    </row>
    <row r="260" spans="38:70" x14ac:dyDescent="0.2">
      <c r="AL260" s="127"/>
      <c r="AM260" s="127"/>
      <c r="AN260" s="127"/>
      <c r="AO260" s="127"/>
      <c r="AP260" s="127"/>
      <c r="AQ260" s="127"/>
      <c r="AR260" s="127"/>
      <c r="AS260" s="127"/>
      <c r="AT260" s="127"/>
      <c r="AU260"/>
      <c r="AV260"/>
      <c r="AW260"/>
      <c r="AX260"/>
      <c r="AY260"/>
      <c r="AZ260" s="127"/>
      <c r="BA260" s="127"/>
      <c r="BB260" s="127"/>
      <c r="BC260" s="127"/>
      <c r="BD260" s="127"/>
      <c r="BE260" s="127"/>
      <c r="BF260" s="127"/>
      <c r="BG260" s="127"/>
      <c r="BH260" s="48"/>
      <c r="BK260" s="42">
        <v>259</v>
      </c>
      <c r="BL260" s="127">
        <v>2</v>
      </c>
      <c r="BM260" s="127">
        <v>1.0047263613915816</v>
      </c>
      <c r="BN260" s="127" t="e">
        <v>#N/A</v>
      </c>
      <c r="BO260" s="127">
        <v>1.0047263613915816</v>
      </c>
      <c r="BP260" t="e">
        <v>#N/A</v>
      </c>
      <c r="BQ260" t="e">
        <v>#N/A</v>
      </c>
      <c r="BR260" t="str">
        <v/>
      </c>
    </row>
    <row r="261" spans="38:70" x14ac:dyDescent="0.2">
      <c r="AL261" s="127"/>
      <c r="AM261" s="127"/>
      <c r="AN261" s="127"/>
      <c r="AO261" s="127"/>
      <c r="AP261" s="127"/>
      <c r="AQ261" s="127"/>
      <c r="AR261" s="127"/>
      <c r="AS261" s="127"/>
      <c r="AT261" s="127"/>
      <c r="AU261"/>
      <c r="AV261"/>
      <c r="AW261"/>
      <c r="AX261"/>
      <c r="AY261"/>
      <c r="AZ261" s="127"/>
      <c r="BA261" s="127"/>
      <c r="BB261" s="127"/>
      <c r="BC261" s="127"/>
      <c r="BD261" s="127"/>
      <c r="BE261" s="127"/>
      <c r="BF261" s="127"/>
      <c r="BG261" s="127"/>
      <c r="BH261" s="48"/>
      <c r="BK261" s="42">
        <v>260</v>
      </c>
      <c r="BL261" s="127">
        <v>2</v>
      </c>
      <c r="BM261" s="127">
        <v>1.0047263613915816</v>
      </c>
      <c r="BN261" s="127" t="e">
        <v>#N/A</v>
      </c>
      <c r="BO261" s="127">
        <v>1.0047263613915816</v>
      </c>
      <c r="BP261" t="e">
        <v>#N/A</v>
      </c>
      <c r="BQ261" t="e">
        <v>#N/A</v>
      </c>
      <c r="BR261" t="str">
        <v/>
      </c>
    </row>
    <row r="262" spans="38:70" x14ac:dyDescent="0.2">
      <c r="AL262" s="127"/>
      <c r="AM262" s="127"/>
      <c r="AN262" s="127"/>
      <c r="AO262" s="127"/>
      <c r="AP262" s="127"/>
      <c r="AQ262" s="127"/>
      <c r="AR262" s="127"/>
      <c r="AS262" s="127"/>
      <c r="AT262" s="127"/>
      <c r="AU262"/>
      <c r="AV262"/>
      <c r="AW262"/>
      <c r="AX262"/>
      <c r="AY262"/>
      <c r="AZ262" s="127"/>
      <c r="BA262" s="127"/>
      <c r="BB262" s="127"/>
      <c r="BC262" s="127"/>
      <c r="BD262" s="127"/>
      <c r="BE262" s="127"/>
      <c r="BF262" s="127"/>
      <c r="BG262" s="127"/>
      <c r="BH262" s="48"/>
      <c r="BK262" s="42">
        <v>261</v>
      </c>
      <c r="BL262" s="127">
        <v>2</v>
      </c>
      <c r="BM262" s="127">
        <v>1.0047263613915816</v>
      </c>
      <c r="BN262" s="127" t="e">
        <v>#N/A</v>
      </c>
      <c r="BO262" s="127">
        <v>1.0047263613915816</v>
      </c>
      <c r="BP262" t="e">
        <v>#N/A</v>
      </c>
      <c r="BQ262" t="e">
        <v>#N/A</v>
      </c>
      <c r="BR262" t="str">
        <v/>
      </c>
    </row>
    <row r="263" spans="38:70" x14ac:dyDescent="0.2">
      <c r="AL263" s="127"/>
      <c r="AM263" s="127"/>
      <c r="AN263" s="127"/>
      <c r="AO263" s="127"/>
      <c r="AP263" s="127"/>
      <c r="AQ263" s="127"/>
      <c r="AR263" s="127"/>
      <c r="AS263" s="127"/>
      <c r="AT263" s="127"/>
      <c r="AU263"/>
      <c r="AV263"/>
      <c r="AW263"/>
      <c r="AX263"/>
      <c r="AY263"/>
      <c r="AZ263" s="127"/>
      <c r="BA263" s="127"/>
      <c r="BB263" s="127"/>
      <c r="BC263" s="127"/>
      <c r="BD263" s="127"/>
      <c r="BE263" s="127"/>
      <c r="BF263" s="127"/>
      <c r="BG263" s="127"/>
      <c r="BH263" s="48"/>
      <c r="BK263" s="42">
        <v>262</v>
      </c>
      <c r="BL263" s="127">
        <v>2</v>
      </c>
      <c r="BM263" s="127">
        <v>1.0047263613915816</v>
      </c>
      <c r="BN263" s="127" t="e">
        <v>#N/A</v>
      </c>
      <c r="BO263" s="127">
        <v>1.0047263613915816</v>
      </c>
      <c r="BP263" t="e">
        <v>#N/A</v>
      </c>
      <c r="BQ263" t="e">
        <v>#N/A</v>
      </c>
      <c r="BR263" t="str">
        <v/>
      </c>
    </row>
    <row r="264" spans="38:70" x14ac:dyDescent="0.2">
      <c r="AL264" s="127"/>
      <c r="AM264" s="127"/>
      <c r="AN264" s="127"/>
      <c r="AO264" s="127"/>
      <c r="AP264" s="127"/>
      <c r="AQ264" s="127"/>
      <c r="AR264" s="127"/>
      <c r="AS264" s="127"/>
      <c r="AT264" s="127"/>
      <c r="AU264"/>
      <c r="AV264"/>
      <c r="AW264"/>
      <c r="AX264"/>
      <c r="AY264"/>
      <c r="AZ264" s="127"/>
      <c r="BA264" s="127"/>
      <c r="BB264" s="127"/>
      <c r="BC264" s="127"/>
      <c r="BD264" s="127"/>
      <c r="BE264" s="127"/>
      <c r="BF264" s="127"/>
      <c r="BG264" s="127"/>
      <c r="BH264" s="48"/>
      <c r="BK264" s="42">
        <v>263</v>
      </c>
      <c r="BL264" s="127">
        <v>2</v>
      </c>
      <c r="BM264" s="127">
        <v>1.0047263613915816</v>
      </c>
      <c r="BN264" s="127" t="e">
        <v>#N/A</v>
      </c>
      <c r="BO264" s="127">
        <v>1.0047263613915816</v>
      </c>
      <c r="BP264" t="e">
        <v>#N/A</v>
      </c>
      <c r="BQ264" t="e">
        <v>#N/A</v>
      </c>
      <c r="BR264" t="str">
        <v/>
      </c>
    </row>
    <row r="265" spans="38:70" x14ac:dyDescent="0.2">
      <c r="AL265" s="127"/>
      <c r="AM265" s="127"/>
      <c r="AN265" s="127"/>
      <c r="AO265" s="127"/>
      <c r="AP265" s="127"/>
      <c r="AQ265" s="127"/>
      <c r="AR265" s="127"/>
      <c r="AS265" s="127"/>
      <c r="AT265" s="127"/>
      <c r="AU265"/>
      <c r="AV265"/>
      <c r="AW265"/>
      <c r="AX265"/>
      <c r="AY265"/>
      <c r="AZ265" s="127"/>
      <c r="BA265" s="127"/>
      <c r="BB265" s="127"/>
      <c r="BC265" s="127"/>
      <c r="BD265" s="127"/>
      <c r="BE265" s="127"/>
      <c r="BF265" s="127"/>
      <c r="BG265" s="127"/>
      <c r="BH265" s="48"/>
      <c r="BK265" s="42">
        <v>264</v>
      </c>
      <c r="BL265" s="127">
        <v>2</v>
      </c>
      <c r="BM265" s="127">
        <v>1.0047263613915816</v>
      </c>
      <c r="BN265" s="127" t="e">
        <v>#N/A</v>
      </c>
      <c r="BO265" s="127">
        <v>1.0047263613915816</v>
      </c>
      <c r="BP265" t="e">
        <v>#N/A</v>
      </c>
      <c r="BQ265" t="e">
        <v>#N/A</v>
      </c>
      <c r="BR265" t="str">
        <v/>
      </c>
    </row>
    <row r="266" spans="38:70" x14ac:dyDescent="0.2">
      <c r="AL266" s="127"/>
      <c r="AM266" s="127"/>
      <c r="AN266" s="127"/>
      <c r="AO266" s="127"/>
      <c r="AP266" s="127"/>
      <c r="AQ266" s="127"/>
      <c r="AR266" s="127"/>
      <c r="AS266" s="127"/>
      <c r="AT266" s="127"/>
      <c r="AU266"/>
      <c r="AV266"/>
      <c r="AW266"/>
      <c r="AX266"/>
      <c r="AY266"/>
      <c r="AZ266" s="127"/>
      <c r="BA266" s="127"/>
      <c r="BB266" s="127"/>
      <c r="BC266" s="127"/>
      <c r="BD266" s="127"/>
      <c r="BE266" s="127"/>
      <c r="BF266" s="127"/>
      <c r="BG266" s="127"/>
      <c r="BH266" s="48"/>
      <c r="BK266" s="42">
        <v>265</v>
      </c>
      <c r="BL266" s="127">
        <v>2</v>
      </c>
      <c r="BM266" s="127">
        <v>1.0047263613915816</v>
      </c>
      <c r="BN266" s="127" t="e">
        <v>#N/A</v>
      </c>
      <c r="BO266" s="127">
        <v>1.0047263613915816</v>
      </c>
      <c r="BP266" t="e">
        <v>#N/A</v>
      </c>
      <c r="BQ266" t="e">
        <v>#N/A</v>
      </c>
      <c r="BR266" t="str">
        <v/>
      </c>
    </row>
    <row r="267" spans="38:70" x14ac:dyDescent="0.2">
      <c r="AU267"/>
      <c r="AV267"/>
      <c r="AW267"/>
      <c r="AX267"/>
      <c r="AY267"/>
      <c r="BK267" s="42">
        <v>266</v>
      </c>
      <c r="BL267" s="127">
        <v>2</v>
      </c>
      <c r="BM267" s="127">
        <v>1.0047263613915816</v>
      </c>
      <c r="BN267" s="127" t="e">
        <v>#N/A</v>
      </c>
      <c r="BO267" s="127">
        <v>1.0047263613915816</v>
      </c>
      <c r="BP267" t="e">
        <v>#N/A</v>
      </c>
      <c r="BQ267" t="e">
        <v>#N/A</v>
      </c>
      <c r="BR267" t="str">
        <v/>
      </c>
    </row>
    <row r="268" spans="38:70" x14ac:dyDescent="0.2">
      <c r="AU268"/>
      <c r="AV268"/>
      <c r="AW268"/>
      <c r="AX268"/>
      <c r="AY268"/>
      <c r="BK268" s="42">
        <v>267</v>
      </c>
      <c r="BL268" s="127">
        <v>2</v>
      </c>
      <c r="BM268" s="127">
        <v>1.0047263613915816</v>
      </c>
      <c r="BN268" s="127" t="e">
        <v>#N/A</v>
      </c>
      <c r="BO268" s="127">
        <v>1.0047263613915816</v>
      </c>
      <c r="BP268" t="e">
        <v>#N/A</v>
      </c>
      <c r="BQ268" t="e">
        <v>#N/A</v>
      </c>
      <c r="BR268" t="str">
        <v/>
      </c>
    </row>
    <row r="269" spans="38:70" x14ac:dyDescent="0.2">
      <c r="AU269"/>
      <c r="AV269"/>
      <c r="AW269"/>
      <c r="AX269"/>
      <c r="AY269"/>
      <c r="BK269" s="42">
        <v>268</v>
      </c>
      <c r="BL269" s="127">
        <v>2</v>
      </c>
      <c r="BM269" s="127">
        <v>1.0047263613915816</v>
      </c>
      <c r="BN269" s="127" t="e">
        <v>#N/A</v>
      </c>
      <c r="BO269" s="127">
        <v>1.0047263613915816</v>
      </c>
      <c r="BP269" t="e">
        <v>#N/A</v>
      </c>
      <c r="BQ269" t="e">
        <v>#N/A</v>
      </c>
      <c r="BR269" t="str">
        <v/>
      </c>
    </row>
    <row r="270" spans="38:70" x14ac:dyDescent="0.2">
      <c r="AU270"/>
      <c r="AV270"/>
      <c r="AW270"/>
      <c r="AX270"/>
      <c r="AY270"/>
      <c r="BK270" s="42">
        <v>269</v>
      </c>
      <c r="BL270" s="127">
        <v>2</v>
      </c>
      <c r="BM270" s="127">
        <v>1.0047263613915816</v>
      </c>
      <c r="BN270" s="127" t="e">
        <v>#N/A</v>
      </c>
      <c r="BO270" s="127">
        <v>1.0047263613915816</v>
      </c>
      <c r="BP270" t="e">
        <v>#N/A</v>
      </c>
      <c r="BQ270" t="e">
        <v>#N/A</v>
      </c>
      <c r="BR270" t="str">
        <v/>
      </c>
    </row>
    <row r="271" spans="38:70" x14ac:dyDescent="0.2">
      <c r="AU271"/>
      <c r="AV271"/>
      <c r="AW271"/>
      <c r="AX271"/>
      <c r="AY271"/>
      <c r="BK271" s="42">
        <v>270</v>
      </c>
      <c r="BL271" s="127">
        <v>2</v>
      </c>
      <c r="BM271" s="127">
        <v>1.0047263613915816</v>
      </c>
      <c r="BN271" s="127" t="e">
        <v>#N/A</v>
      </c>
      <c r="BO271" s="127">
        <v>1.0047263613915816</v>
      </c>
      <c r="BP271" t="e">
        <v>#N/A</v>
      </c>
      <c r="BQ271" t="e">
        <v>#N/A</v>
      </c>
      <c r="BR271" t="str">
        <v/>
      </c>
    </row>
    <row r="272" spans="38:70" x14ac:dyDescent="0.2">
      <c r="AU272"/>
      <c r="AV272"/>
      <c r="AW272"/>
      <c r="AX272"/>
      <c r="AY272"/>
      <c r="BK272" s="42">
        <v>271</v>
      </c>
      <c r="BL272" s="127">
        <v>2</v>
      </c>
      <c r="BM272" s="127">
        <v>1.0047263613915816</v>
      </c>
      <c r="BN272" s="127" t="e">
        <v>#N/A</v>
      </c>
      <c r="BO272" s="127">
        <v>1.0047263613915816</v>
      </c>
      <c r="BP272" t="e">
        <v>#N/A</v>
      </c>
      <c r="BQ272" t="e">
        <v>#N/A</v>
      </c>
      <c r="BR272" t="str">
        <v/>
      </c>
    </row>
    <row r="273" spans="47:70" x14ac:dyDescent="0.2">
      <c r="AU273"/>
      <c r="AV273"/>
      <c r="AW273"/>
      <c r="AX273"/>
      <c r="AY273"/>
      <c r="BK273" s="42">
        <v>272</v>
      </c>
      <c r="BL273" s="127">
        <v>2</v>
      </c>
      <c r="BM273" s="127">
        <v>1.0047263613915816</v>
      </c>
      <c r="BN273" s="127" t="e">
        <v>#N/A</v>
      </c>
      <c r="BO273" s="127">
        <v>1.0047263613915816</v>
      </c>
      <c r="BP273" t="e">
        <v>#N/A</v>
      </c>
      <c r="BQ273" t="e">
        <v>#N/A</v>
      </c>
      <c r="BR273" t="str">
        <v/>
      </c>
    </row>
    <row r="274" spans="47:70" x14ac:dyDescent="0.2">
      <c r="AU274"/>
      <c r="AV274"/>
      <c r="AW274"/>
      <c r="AX274"/>
      <c r="AY274"/>
      <c r="BK274" s="42">
        <v>273</v>
      </c>
      <c r="BL274" s="127">
        <v>2</v>
      </c>
      <c r="BM274" s="127">
        <v>1.0047263613915816</v>
      </c>
      <c r="BN274" s="127" t="e">
        <v>#N/A</v>
      </c>
      <c r="BO274" s="127">
        <v>1.0047263613915816</v>
      </c>
      <c r="BP274" t="e">
        <v>#N/A</v>
      </c>
      <c r="BQ274" t="e">
        <v>#N/A</v>
      </c>
      <c r="BR274" t="str">
        <v/>
      </c>
    </row>
    <row r="275" spans="47:70" x14ac:dyDescent="0.2">
      <c r="AU275"/>
      <c r="AV275"/>
      <c r="AW275"/>
      <c r="AX275"/>
      <c r="AY275"/>
      <c r="BK275" s="42">
        <v>274</v>
      </c>
      <c r="BL275" s="127">
        <v>2</v>
      </c>
      <c r="BM275" s="127">
        <v>1.0047263613915816</v>
      </c>
      <c r="BN275" s="127" t="e">
        <v>#N/A</v>
      </c>
      <c r="BO275" s="127">
        <v>1.0047263613915816</v>
      </c>
      <c r="BP275" t="e">
        <v>#N/A</v>
      </c>
      <c r="BQ275" t="e">
        <v>#N/A</v>
      </c>
      <c r="BR275" t="str">
        <v/>
      </c>
    </row>
    <row r="276" spans="47:70" x14ac:dyDescent="0.2">
      <c r="AU276"/>
      <c r="AV276"/>
      <c r="AW276"/>
      <c r="AX276"/>
      <c r="AY276"/>
      <c r="BK276" s="42">
        <v>275</v>
      </c>
      <c r="BL276" s="127">
        <v>2</v>
      </c>
      <c r="BM276" s="127">
        <v>1.0047263613915816</v>
      </c>
      <c r="BN276" s="127" t="e">
        <v>#N/A</v>
      </c>
      <c r="BO276" s="127">
        <v>1.0047263613915816</v>
      </c>
      <c r="BP276" t="e">
        <v>#N/A</v>
      </c>
      <c r="BQ276" t="e">
        <v>#N/A</v>
      </c>
      <c r="BR276" t="str">
        <v/>
      </c>
    </row>
    <row r="277" spans="47:70" x14ac:dyDescent="0.2">
      <c r="AU277"/>
      <c r="AV277"/>
      <c r="AW277"/>
      <c r="AX277"/>
      <c r="AY277"/>
      <c r="BK277" s="42">
        <v>276</v>
      </c>
      <c r="BL277" s="127">
        <v>2</v>
      </c>
      <c r="BM277" s="127">
        <v>1.0047263613915816</v>
      </c>
      <c r="BN277" s="127" t="e">
        <v>#N/A</v>
      </c>
      <c r="BO277" s="127">
        <v>1.0047263613915816</v>
      </c>
      <c r="BP277" t="e">
        <v>#N/A</v>
      </c>
      <c r="BQ277" t="e">
        <v>#N/A</v>
      </c>
      <c r="BR277" t="str">
        <v/>
      </c>
    </row>
    <row r="278" spans="47:70" x14ac:dyDescent="0.2">
      <c r="AU278"/>
      <c r="AV278"/>
      <c r="AW278"/>
      <c r="AX278"/>
      <c r="AY278"/>
      <c r="BK278" s="42">
        <v>277</v>
      </c>
      <c r="BL278" s="127">
        <v>2</v>
      </c>
      <c r="BM278" s="127">
        <v>1.0047263613915816</v>
      </c>
      <c r="BN278" s="127" t="e">
        <v>#N/A</v>
      </c>
      <c r="BO278" s="127">
        <v>1.0047263613915816</v>
      </c>
      <c r="BP278" t="e">
        <v>#N/A</v>
      </c>
      <c r="BQ278" t="e">
        <v>#N/A</v>
      </c>
      <c r="BR278" t="str">
        <v/>
      </c>
    </row>
    <row r="279" spans="47:70" x14ac:dyDescent="0.2">
      <c r="AU279"/>
      <c r="AV279"/>
      <c r="AW279"/>
      <c r="AX279"/>
      <c r="AY279"/>
      <c r="BK279" s="42">
        <v>278</v>
      </c>
      <c r="BL279" s="127">
        <v>2</v>
      </c>
      <c r="BM279" s="127">
        <v>1.0047263613915816</v>
      </c>
      <c r="BN279" s="127" t="e">
        <v>#N/A</v>
      </c>
      <c r="BO279" s="127">
        <v>1.0047263613915816</v>
      </c>
      <c r="BP279" t="e">
        <v>#N/A</v>
      </c>
      <c r="BQ279" t="e">
        <v>#N/A</v>
      </c>
      <c r="BR279" t="str">
        <v/>
      </c>
    </row>
    <row r="280" spans="47:70" x14ac:dyDescent="0.2">
      <c r="AU280"/>
      <c r="AV280"/>
      <c r="AW280"/>
      <c r="AX280"/>
      <c r="AY280"/>
      <c r="BK280" s="42">
        <v>279</v>
      </c>
      <c r="BL280" s="127">
        <v>2</v>
      </c>
      <c r="BM280" s="127">
        <v>1.0047263613915816</v>
      </c>
      <c r="BN280" s="127" t="e">
        <v>#N/A</v>
      </c>
      <c r="BO280" s="127">
        <v>1.0047263613915816</v>
      </c>
      <c r="BP280" t="e">
        <v>#N/A</v>
      </c>
      <c r="BQ280" t="e">
        <v>#N/A</v>
      </c>
      <c r="BR280" t="str">
        <v/>
      </c>
    </row>
    <row r="281" spans="47:70" x14ac:dyDescent="0.2">
      <c r="AU281"/>
      <c r="AV281"/>
      <c r="AW281"/>
      <c r="AX281"/>
      <c r="AY281"/>
      <c r="BK281" s="42">
        <v>280</v>
      </c>
      <c r="BL281" s="127">
        <v>2</v>
      </c>
      <c r="BM281" s="127">
        <v>1.0047263613915816</v>
      </c>
      <c r="BN281" s="127" t="e">
        <v>#N/A</v>
      </c>
      <c r="BO281" s="127">
        <v>1.0047263613915816</v>
      </c>
      <c r="BP281" t="e">
        <v>#N/A</v>
      </c>
      <c r="BQ281" t="e">
        <v>#N/A</v>
      </c>
      <c r="BR281" t="str">
        <v/>
      </c>
    </row>
    <row r="282" spans="47:70" x14ac:dyDescent="0.2">
      <c r="AU282"/>
      <c r="AV282"/>
      <c r="AW282"/>
      <c r="AX282"/>
      <c r="AY282"/>
      <c r="BK282" s="42">
        <v>281</v>
      </c>
      <c r="BL282" s="127">
        <v>2</v>
      </c>
      <c r="BM282" s="127">
        <v>1.0047263613915816</v>
      </c>
      <c r="BN282" s="127" t="e">
        <v>#N/A</v>
      </c>
      <c r="BO282" s="127">
        <v>1.0047263613915816</v>
      </c>
      <c r="BP282" t="e">
        <v>#N/A</v>
      </c>
      <c r="BQ282" t="e">
        <v>#N/A</v>
      </c>
      <c r="BR282" t="str">
        <v/>
      </c>
    </row>
    <row r="283" spans="47:70" x14ac:dyDescent="0.2">
      <c r="AU283"/>
      <c r="AV283"/>
      <c r="AW283"/>
      <c r="AX283"/>
      <c r="AY283"/>
      <c r="BK283" s="42">
        <v>282</v>
      </c>
      <c r="BL283" s="127">
        <v>2</v>
      </c>
      <c r="BM283" s="127">
        <v>1.0047263613915816</v>
      </c>
      <c r="BN283" s="127" t="e">
        <v>#N/A</v>
      </c>
      <c r="BO283" s="127">
        <v>1.0047263613915816</v>
      </c>
      <c r="BP283" t="e">
        <v>#N/A</v>
      </c>
      <c r="BQ283" t="e">
        <v>#N/A</v>
      </c>
      <c r="BR283" t="str">
        <v/>
      </c>
    </row>
    <row r="284" spans="47:70" x14ac:dyDescent="0.2">
      <c r="AU284"/>
      <c r="AV284"/>
      <c r="AW284"/>
      <c r="AX284"/>
      <c r="AY284"/>
      <c r="BK284" s="42">
        <v>283</v>
      </c>
      <c r="BL284" s="127">
        <v>2</v>
      </c>
      <c r="BM284" s="127">
        <v>1.0047263613915816</v>
      </c>
      <c r="BN284" s="127" t="e">
        <v>#N/A</v>
      </c>
      <c r="BO284" s="127">
        <v>1.0047263613915816</v>
      </c>
      <c r="BP284" t="e">
        <v>#N/A</v>
      </c>
      <c r="BQ284" t="e">
        <v>#N/A</v>
      </c>
      <c r="BR284" t="str">
        <v/>
      </c>
    </row>
    <row r="285" spans="47:70" x14ac:dyDescent="0.2">
      <c r="AU285"/>
      <c r="AV285"/>
      <c r="AW285"/>
      <c r="AX285"/>
      <c r="AY285"/>
      <c r="BK285" s="42">
        <v>284</v>
      </c>
      <c r="BL285" s="127">
        <v>2</v>
      </c>
      <c r="BM285" s="127">
        <v>1.0047263613915816</v>
      </c>
      <c r="BN285" s="127" t="e">
        <v>#N/A</v>
      </c>
      <c r="BO285" s="127">
        <v>1.0047263613915816</v>
      </c>
      <c r="BP285" t="e">
        <v>#N/A</v>
      </c>
      <c r="BQ285" t="e">
        <v>#N/A</v>
      </c>
      <c r="BR285" t="str">
        <v/>
      </c>
    </row>
    <row r="286" spans="47:70" x14ac:dyDescent="0.2">
      <c r="AU286"/>
      <c r="AV286"/>
      <c r="AW286"/>
      <c r="AX286"/>
      <c r="AY286"/>
      <c r="BK286" s="42">
        <v>285</v>
      </c>
      <c r="BL286" s="127">
        <v>2</v>
      </c>
      <c r="BM286" s="127">
        <v>1.0047263613915816</v>
      </c>
      <c r="BN286" s="127" t="e">
        <v>#N/A</v>
      </c>
      <c r="BO286" s="127">
        <v>1.0047263613915816</v>
      </c>
      <c r="BP286" t="e">
        <v>#N/A</v>
      </c>
      <c r="BQ286" t="e">
        <v>#N/A</v>
      </c>
      <c r="BR286" t="str">
        <v/>
      </c>
    </row>
    <row r="287" spans="47:70" x14ac:dyDescent="0.2">
      <c r="AU287"/>
      <c r="AV287"/>
      <c r="AW287"/>
      <c r="AX287"/>
      <c r="AY287"/>
      <c r="BK287" s="42">
        <v>286</v>
      </c>
      <c r="BL287" s="127">
        <v>2</v>
      </c>
      <c r="BM287" s="127">
        <v>1.0047263613915816</v>
      </c>
      <c r="BN287" s="127" t="e">
        <v>#N/A</v>
      </c>
      <c r="BO287" s="127">
        <v>1.0047263613915816</v>
      </c>
      <c r="BP287" t="e">
        <v>#N/A</v>
      </c>
      <c r="BQ287" t="e">
        <v>#N/A</v>
      </c>
      <c r="BR287" t="str">
        <v/>
      </c>
    </row>
    <row r="288" spans="47:70" x14ac:dyDescent="0.2">
      <c r="AU288"/>
      <c r="AV288"/>
      <c r="AW288"/>
      <c r="AX288"/>
      <c r="AY288"/>
      <c r="BK288" s="42">
        <v>287</v>
      </c>
      <c r="BL288" s="127">
        <v>2</v>
      </c>
      <c r="BM288" s="127">
        <v>1.0047263613915816</v>
      </c>
      <c r="BN288" s="127" t="e">
        <v>#N/A</v>
      </c>
      <c r="BO288" s="127">
        <v>1.0047263613915816</v>
      </c>
      <c r="BP288" t="e">
        <v>#N/A</v>
      </c>
      <c r="BQ288" t="e">
        <v>#N/A</v>
      </c>
      <c r="BR288" t="str">
        <v/>
      </c>
    </row>
    <row r="289" spans="47:70" x14ac:dyDescent="0.2">
      <c r="AU289"/>
      <c r="AV289"/>
      <c r="AW289"/>
      <c r="AX289"/>
      <c r="AY289"/>
      <c r="BK289" s="42">
        <v>288</v>
      </c>
      <c r="BL289" s="127">
        <v>2</v>
      </c>
      <c r="BM289" s="127">
        <v>1.0047263613915816</v>
      </c>
      <c r="BN289" s="127" t="e">
        <v>#N/A</v>
      </c>
      <c r="BO289" s="127">
        <v>1.0047263613915816</v>
      </c>
      <c r="BP289" t="e">
        <v>#N/A</v>
      </c>
      <c r="BQ289" t="e">
        <v>#N/A</v>
      </c>
      <c r="BR289" t="str">
        <v/>
      </c>
    </row>
    <row r="290" spans="47:70" x14ac:dyDescent="0.2">
      <c r="AU290"/>
      <c r="AV290"/>
      <c r="AW290"/>
      <c r="AX290"/>
      <c r="AY290"/>
      <c r="BK290" s="42">
        <v>289</v>
      </c>
      <c r="BL290" s="127">
        <v>2</v>
      </c>
      <c r="BM290" s="127">
        <v>1.0047263613915816</v>
      </c>
      <c r="BN290" s="127" t="e">
        <v>#N/A</v>
      </c>
      <c r="BO290" s="127">
        <v>1.0047263613915816</v>
      </c>
      <c r="BP290" t="e">
        <v>#N/A</v>
      </c>
      <c r="BQ290" t="e">
        <v>#N/A</v>
      </c>
      <c r="BR290" t="str">
        <v/>
      </c>
    </row>
    <row r="291" spans="47:70" x14ac:dyDescent="0.2">
      <c r="AU291"/>
      <c r="AV291"/>
      <c r="AW291"/>
      <c r="AX291"/>
      <c r="AY291"/>
      <c r="BK291" s="42">
        <v>290</v>
      </c>
      <c r="BL291" s="127">
        <v>2</v>
      </c>
      <c r="BM291" s="127">
        <v>1.0047263613915816</v>
      </c>
      <c r="BN291" s="127" t="e">
        <v>#N/A</v>
      </c>
      <c r="BO291" s="127">
        <v>1.0047263613915816</v>
      </c>
      <c r="BP291" t="e">
        <v>#N/A</v>
      </c>
      <c r="BQ291" t="e">
        <v>#N/A</v>
      </c>
      <c r="BR291" t="str">
        <v/>
      </c>
    </row>
    <row r="292" spans="47:70" x14ac:dyDescent="0.2">
      <c r="AU292"/>
      <c r="AV292"/>
      <c r="AW292"/>
      <c r="AX292"/>
      <c r="AY292"/>
      <c r="BK292" s="42">
        <v>291</v>
      </c>
      <c r="BL292" s="127">
        <v>2</v>
      </c>
      <c r="BM292" s="127">
        <v>1.0047263613915816</v>
      </c>
      <c r="BN292" s="127" t="e">
        <v>#N/A</v>
      </c>
      <c r="BO292" s="127">
        <v>1.0047263613915816</v>
      </c>
      <c r="BP292" t="e">
        <v>#N/A</v>
      </c>
      <c r="BQ292" t="e">
        <v>#N/A</v>
      </c>
      <c r="BR292" t="str">
        <v/>
      </c>
    </row>
    <row r="293" spans="47:70" x14ac:dyDescent="0.2">
      <c r="AU293"/>
      <c r="AV293"/>
      <c r="AW293"/>
      <c r="AX293"/>
      <c r="AY293"/>
      <c r="BK293" s="42">
        <v>292</v>
      </c>
      <c r="BL293" s="127">
        <v>2</v>
      </c>
      <c r="BM293" s="127">
        <v>1.0047263613915816</v>
      </c>
      <c r="BN293" s="127" t="e">
        <v>#N/A</v>
      </c>
      <c r="BO293" s="127">
        <v>1.0047263613915816</v>
      </c>
      <c r="BP293" t="e">
        <v>#N/A</v>
      </c>
      <c r="BQ293" t="e">
        <v>#N/A</v>
      </c>
      <c r="BR293" t="str">
        <v/>
      </c>
    </row>
    <row r="294" spans="47:70" x14ac:dyDescent="0.2">
      <c r="AU294"/>
      <c r="AV294"/>
      <c r="AW294"/>
      <c r="AX294"/>
      <c r="AY294"/>
      <c r="BK294" s="42">
        <v>293</v>
      </c>
      <c r="BL294" s="127">
        <v>2</v>
      </c>
      <c r="BM294" s="127">
        <v>1.0047263613915816</v>
      </c>
      <c r="BN294" s="127" t="e">
        <v>#N/A</v>
      </c>
      <c r="BO294" s="127">
        <v>1.0047263613915816</v>
      </c>
      <c r="BP294" t="e">
        <v>#N/A</v>
      </c>
      <c r="BQ294" t="e">
        <v>#N/A</v>
      </c>
      <c r="BR294" t="str">
        <v/>
      </c>
    </row>
    <row r="295" spans="47:70" x14ac:dyDescent="0.2">
      <c r="AU295"/>
      <c r="AV295"/>
      <c r="AW295"/>
      <c r="AX295"/>
      <c r="AY295"/>
      <c r="BK295" s="42">
        <v>294</v>
      </c>
      <c r="BL295" s="127">
        <v>2</v>
      </c>
      <c r="BM295" s="127">
        <v>1.0047263613915816</v>
      </c>
      <c r="BN295" s="127" t="e">
        <v>#N/A</v>
      </c>
      <c r="BO295" s="127">
        <v>1.0047263613915816</v>
      </c>
      <c r="BP295" t="e">
        <v>#N/A</v>
      </c>
      <c r="BQ295" t="e">
        <v>#N/A</v>
      </c>
      <c r="BR295" t="str">
        <v/>
      </c>
    </row>
    <row r="296" spans="47:70" x14ac:dyDescent="0.2">
      <c r="AU296"/>
      <c r="AV296"/>
      <c r="AW296"/>
      <c r="AX296"/>
      <c r="AY296"/>
      <c r="BK296" s="42">
        <v>295</v>
      </c>
      <c r="BL296" s="127">
        <v>2</v>
      </c>
      <c r="BM296" s="127">
        <v>1.0047263613915816</v>
      </c>
      <c r="BN296" s="127" t="e">
        <v>#N/A</v>
      </c>
      <c r="BO296" s="127">
        <v>1.0047263613915816</v>
      </c>
      <c r="BP296" t="e">
        <v>#N/A</v>
      </c>
      <c r="BQ296" t="e">
        <v>#N/A</v>
      </c>
      <c r="BR296" t="str">
        <v/>
      </c>
    </row>
    <row r="297" spans="47:70" x14ac:dyDescent="0.2">
      <c r="AU297"/>
      <c r="AV297"/>
      <c r="AW297"/>
      <c r="AX297"/>
      <c r="AY297"/>
      <c r="BK297" s="42">
        <v>296</v>
      </c>
      <c r="BL297" s="127">
        <v>2</v>
      </c>
      <c r="BM297" s="127">
        <v>1.0047263613915816</v>
      </c>
      <c r="BN297" s="127" t="e">
        <v>#N/A</v>
      </c>
      <c r="BO297" s="127">
        <v>1.0047263613915816</v>
      </c>
      <c r="BP297" t="e">
        <v>#N/A</v>
      </c>
      <c r="BQ297" t="e">
        <v>#N/A</v>
      </c>
      <c r="BR297" t="str">
        <v/>
      </c>
    </row>
    <row r="298" spans="47:70" x14ac:dyDescent="0.2">
      <c r="AU298"/>
      <c r="AV298"/>
      <c r="AW298"/>
      <c r="AX298"/>
      <c r="AY298"/>
      <c r="BK298" s="42">
        <v>297</v>
      </c>
      <c r="BL298" s="127">
        <v>2</v>
      </c>
      <c r="BM298" s="127">
        <v>1.0047263613915816</v>
      </c>
      <c r="BN298" s="127" t="e">
        <v>#N/A</v>
      </c>
      <c r="BO298" s="127">
        <v>1.0047263613915816</v>
      </c>
      <c r="BP298" t="e">
        <v>#N/A</v>
      </c>
      <c r="BQ298" t="e">
        <v>#N/A</v>
      </c>
      <c r="BR298" t="str">
        <v/>
      </c>
    </row>
    <row r="299" spans="47:70" x14ac:dyDescent="0.2">
      <c r="AU299"/>
      <c r="AV299"/>
      <c r="AW299"/>
      <c r="AX299"/>
      <c r="AY299"/>
      <c r="BK299" s="42">
        <v>298</v>
      </c>
      <c r="BL299" s="127">
        <v>2</v>
      </c>
      <c r="BM299" s="127">
        <v>1.0047263613915816</v>
      </c>
      <c r="BN299" s="127" t="e">
        <v>#N/A</v>
      </c>
      <c r="BO299" s="127">
        <v>1.0047263613915816</v>
      </c>
      <c r="BP299" t="e">
        <v>#N/A</v>
      </c>
      <c r="BQ299" t="e">
        <v>#N/A</v>
      </c>
      <c r="BR299" t="str">
        <v/>
      </c>
    </row>
    <row r="300" spans="47:70" x14ac:dyDescent="0.2">
      <c r="AU300"/>
      <c r="AV300"/>
      <c r="AW300"/>
      <c r="AX300"/>
      <c r="AY300"/>
      <c r="BK300" s="42">
        <v>299</v>
      </c>
      <c r="BL300" s="127">
        <v>2</v>
      </c>
      <c r="BM300" s="127">
        <v>1.0047263613915816</v>
      </c>
      <c r="BN300" s="127" t="e">
        <v>#N/A</v>
      </c>
      <c r="BO300" s="127">
        <v>1.0047263613915816</v>
      </c>
      <c r="BP300" t="e">
        <v>#N/A</v>
      </c>
      <c r="BQ300" t="e">
        <v>#N/A</v>
      </c>
      <c r="BR300" t="str">
        <v/>
      </c>
    </row>
    <row r="301" spans="47:70" x14ac:dyDescent="0.2">
      <c r="AU301"/>
      <c r="AV301"/>
      <c r="AW301"/>
      <c r="AX301"/>
      <c r="AY301"/>
      <c r="BK301" s="42">
        <v>300</v>
      </c>
      <c r="BL301" s="127">
        <v>2</v>
      </c>
      <c r="BM301" s="127">
        <v>1.0047263613915816</v>
      </c>
      <c r="BN301" s="127" t="e">
        <v>#N/A</v>
      </c>
      <c r="BO301" s="127">
        <v>1.0047263613915816</v>
      </c>
      <c r="BP301" t="e">
        <v>#N/A</v>
      </c>
      <c r="BQ301" t="e">
        <v>#N/A</v>
      </c>
      <c r="BR301" t="str">
        <v/>
      </c>
    </row>
    <row r="302" spans="47:70" x14ac:dyDescent="0.2">
      <c r="AU302"/>
      <c r="AV302"/>
      <c r="AW302"/>
      <c r="AX302"/>
      <c r="AY302"/>
      <c r="BK302" s="42">
        <v>301</v>
      </c>
      <c r="BL302" s="127">
        <v>2</v>
      </c>
      <c r="BM302" s="127">
        <v>1.0047263613915816</v>
      </c>
      <c r="BN302" s="127" t="e">
        <v>#N/A</v>
      </c>
      <c r="BO302" s="127">
        <v>1.0047263613915816</v>
      </c>
      <c r="BP302" t="e">
        <v>#N/A</v>
      </c>
      <c r="BQ302" t="e">
        <v>#N/A</v>
      </c>
      <c r="BR302" t="str">
        <v/>
      </c>
    </row>
    <row r="303" spans="47:70" x14ac:dyDescent="0.2">
      <c r="AU303"/>
      <c r="AV303"/>
      <c r="AW303"/>
      <c r="AX303"/>
      <c r="AY303"/>
      <c r="BK303" s="42">
        <v>302</v>
      </c>
      <c r="BL303" s="127">
        <v>2</v>
      </c>
      <c r="BM303" s="127">
        <v>1.0047263613915816</v>
      </c>
      <c r="BN303" s="127" t="e">
        <v>#N/A</v>
      </c>
      <c r="BO303" s="127">
        <v>1.0047263613915816</v>
      </c>
      <c r="BP303" t="e">
        <v>#N/A</v>
      </c>
      <c r="BQ303" t="e">
        <v>#N/A</v>
      </c>
      <c r="BR303" t="str">
        <v/>
      </c>
    </row>
    <row r="304" spans="47:70" x14ac:dyDescent="0.2">
      <c r="AU304"/>
      <c r="AV304"/>
      <c r="AW304"/>
      <c r="AX304"/>
      <c r="AY304"/>
      <c r="BK304" s="42">
        <v>303</v>
      </c>
      <c r="BL304" s="127">
        <v>2</v>
      </c>
      <c r="BM304" s="127">
        <v>1.0047263613915816</v>
      </c>
      <c r="BN304" s="127" t="e">
        <v>#N/A</v>
      </c>
      <c r="BO304" s="127">
        <v>1.0047263613915816</v>
      </c>
      <c r="BP304" t="e">
        <v>#N/A</v>
      </c>
      <c r="BQ304" t="e">
        <v>#N/A</v>
      </c>
      <c r="BR304" t="str">
        <v/>
      </c>
    </row>
    <row r="305" spans="47:70" x14ac:dyDescent="0.2">
      <c r="AU305"/>
      <c r="AV305"/>
      <c r="AW305"/>
      <c r="AX305"/>
      <c r="AY305"/>
      <c r="BK305" s="42">
        <v>304</v>
      </c>
      <c r="BL305" s="127">
        <v>2</v>
      </c>
      <c r="BM305" s="127">
        <v>1.0047263613915816</v>
      </c>
      <c r="BN305" s="127" t="e">
        <v>#N/A</v>
      </c>
      <c r="BO305" s="127">
        <v>1.0047263613915816</v>
      </c>
      <c r="BP305" t="e">
        <v>#N/A</v>
      </c>
      <c r="BQ305" t="e">
        <v>#N/A</v>
      </c>
      <c r="BR305" t="str">
        <v/>
      </c>
    </row>
    <row r="306" spans="47:70" x14ac:dyDescent="0.2">
      <c r="AU306"/>
      <c r="AV306"/>
      <c r="AW306"/>
      <c r="AX306"/>
      <c r="AY306"/>
      <c r="BK306" s="42">
        <v>305</v>
      </c>
      <c r="BL306" s="127">
        <v>2</v>
      </c>
      <c r="BM306" s="127">
        <v>1.0047263613915816</v>
      </c>
      <c r="BN306" s="127" t="e">
        <v>#N/A</v>
      </c>
      <c r="BO306" s="127">
        <v>1.0047263613915816</v>
      </c>
      <c r="BP306" t="e">
        <v>#N/A</v>
      </c>
      <c r="BQ306" t="e">
        <v>#N/A</v>
      </c>
      <c r="BR306" t="str">
        <v/>
      </c>
    </row>
    <row r="307" spans="47:70" x14ac:dyDescent="0.2">
      <c r="AU307"/>
      <c r="AV307"/>
      <c r="AW307"/>
      <c r="AX307"/>
      <c r="AY307"/>
      <c r="BK307" s="42">
        <v>306</v>
      </c>
      <c r="BL307" s="127">
        <v>2</v>
      </c>
      <c r="BM307" s="127">
        <v>1.0047263613915816</v>
      </c>
      <c r="BN307" s="127" t="e">
        <v>#N/A</v>
      </c>
      <c r="BO307" s="127">
        <v>1.0047263613915816</v>
      </c>
      <c r="BP307" t="e">
        <v>#N/A</v>
      </c>
      <c r="BQ307" t="e">
        <v>#N/A</v>
      </c>
      <c r="BR307" t="str">
        <v/>
      </c>
    </row>
    <row r="308" spans="47:70" x14ac:dyDescent="0.2">
      <c r="AU308"/>
      <c r="AV308"/>
      <c r="AW308"/>
      <c r="AX308"/>
      <c r="AY308"/>
      <c r="BK308" s="42">
        <v>307</v>
      </c>
      <c r="BL308" s="127">
        <v>2</v>
      </c>
      <c r="BM308" s="127">
        <v>1.0047263613915816</v>
      </c>
      <c r="BN308" s="127" t="e">
        <v>#N/A</v>
      </c>
      <c r="BO308" s="127">
        <v>1.0047263613915816</v>
      </c>
      <c r="BP308" t="e">
        <v>#N/A</v>
      </c>
      <c r="BQ308" t="e">
        <v>#N/A</v>
      </c>
      <c r="BR308" t="str">
        <v/>
      </c>
    </row>
    <row r="309" spans="47:70" x14ac:dyDescent="0.2">
      <c r="AU309"/>
      <c r="AV309"/>
      <c r="AW309"/>
      <c r="AX309"/>
      <c r="AY309"/>
      <c r="BK309" s="42">
        <v>308</v>
      </c>
      <c r="BL309" s="127">
        <v>2</v>
      </c>
      <c r="BM309" s="127">
        <v>1.0047263613915816</v>
      </c>
      <c r="BN309" s="127" t="e">
        <v>#N/A</v>
      </c>
      <c r="BO309" s="127">
        <v>1.0047263613915816</v>
      </c>
      <c r="BP309" t="e">
        <v>#N/A</v>
      </c>
      <c r="BQ309" t="e">
        <v>#N/A</v>
      </c>
      <c r="BR309" t="str">
        <v/>
      </c>
    </row>
    <row r="310" spans="47:70" x14ac:dyDescent="0.2">
      <c r="AU310"/>
      <c r="AV310"/>
      <c r="AW310"/>
      <c r="AX310"/>
      <c r="AY310"/>
      <c r="BK310" s="42">
        <v>309</v>
      </c>
      <c r="BL310" s="127">
        <v>2</v>
      </c>
      <c r="BM310" s="127">
        <v>1.0047263613915816</v>
      </c>
      <c r="BN310" s="127" t="e">
        <v>#N/A</v>
      </c>
      <c r="BO310" s="127">
        <v>1.0047263613915816</v>
      </c>
      <c r="BP310" t="e">
        <v>#N/A</v>
      </c>
      <c r="BQ310" t="e">
        <v>#N/A</v>
      </c>
      <c r="BR310" t="str">
        <v/>
      </c>
    </row>
    <row r="311" spans="47:70" x14ac:dyDescent="0.2">
      <c r="AU311"/>
      <c r="AV311"/>
      <c r="AW311"/>
      <c r="AX311"/>
      <c r="AY311"/>
      <c r="BK311" s="42">
        <v>310</v>
      </c>
      <c r="BL311" s="127">
        <v>2</v>
      </c>
      <c r="BM311" s="127">
        <v>1.0047263613915816</v>
      </c>
      <c r="BN311" s="127" t="e">
        <v>#N/A</v>
      </c>
      <c r="BO311" s="127">
        <v>1.0047263613915816</v>
      </c>
      <c r="BP311" t="e">
        <v>#N/A</v>
      </c>
      <c r="BQ311" t="e">
        <v>#N/A</v>
      </c>
      <c r="BR311" t="str">
        <v/>
      </c>
    </row>
    <row r="312" spans="47:70" x14ac:dyDescent="0.2">
      <c r="AU312"/>
      <c r="AV312"/>
      <c r="AW312"/>
      <c r="AX312"/>
      <c r="AY312"/>
      <c r="BK312" s="42">
        <v>311</v>
      </c>
      <c r="BL312" s="127">
        <v>2</v>
      </c>
      <c r="BM312" s="127">
        <v>1.0047263613915816</v>
      </c>
      <c r="BN312" s="127" t="e">
        <v>#N/A</v>
      </c>
      <c r="BO312" s="127">
        <v>1.0047263613915816</v>
      </c>
      <c r="BP312" t="e">
        <v>#N/A</v>
      </c>
      <c r="BQ312" t="e">
        <v>#N/A</v>
      </c>
      <c r="BR312" t="str">
        <v/>
      </c>
    </row>
    <row r="313" spans="47:70" x14ac:dyDescent="0.2">
      <c r="AU313"/>
      <c r="AV313"/>
      <c r="AW313"/>
      <c r="AX313"/>
      <c r="AY313"/>
      <c r="BK313" s="42">
        <v>312</v>
      </c>
      <c r="BL313" s="127">
        <v>2</v>
      </c>
      <c r="BM313" s="127">
        <v>1.0047263613915816</v>
      </c>
      <c r="BN313" s="127" t="e">
        <v>#N/A</v>
      </c>
      <c r="BO313" s="127">
        <v>1.0047263613915816</v>
      </c>
      <c r="BP313" t="e">
        <v>#N/A</v>
      </c>
      <c r="BQ313" t="e">
        <v>#N/A</v>
      </c>
      <c r="BR313" t="str">
        <v/>
      </c>
    </row>
    <row r="314" spans="47:70" x14ac:dyDescent="0.2">
      <c r="AU314"/>
      <c r="AV314"/>
      <c r="AW314"/>
      <c r="AX314"/>
      <c r="AY314"/>
      <c r="BK314" s="42">
        <v>313</v>
      </c>
      <c r="BL314" s="127">
        <v>2</v>
      </c>
      <c r="BM314" s="127">
        <v>1.0047263613915816</v>
      </c>
      <c r="BN314" s="127" t="e">
        <v>#N/A</v>
      </c>
      <c r="BO314" s="127">
        <v>1.0047263613915816</v>
      </c>
      <c r="BP314" t="e">
        <v>#N/A</v>
      </c>
      <c r="BQ314" t="e">
        <v>#N/A</v>
      </c>
      <c r="BR314" t="str">
        <v/>
      </c>
    </row>
    <row r="315" spans="47:70" x14ac:dyDescent="0.2">
      <c r="AU315"/>
      <c r="AV315"/>
      <c r="AW315"/>
      <c r="AX315"/>
      <c r="AY315"/>
      <c r="BK315" s="42">
        <v>314</v>
      </c>
      <c r="BL315" s="127">
        <v>2</v>
      </c>
      <c r="BM315" s="127">
        <v>1.0047263613915816</v>
      </c>
      <c r="BN315" s="127" t="e">
        <v>#N/A</v>
      </c>
      <c r="BO315" s="127">
        <v>1.0047263613915816</v>
      </c>
      <c r="BP315" t="e">
        <v>#N/A</v>
      </c>
      <c r="BQ315" t="e">
        <v>#N/A</v>
      </c>
      <c r="BR315" t="str">
        <v/>
      </c>
    </row>
    <row r="316" spans="47:70" x14ac:dyDescent="0.2">
      <c r="AU316"/>
      <c r="AV316"/>
      <c r="AW316"/>
      <c r="AX316"/>
      <c r="AY316"/>
      <c r="BK316" s="42">
        <v>315</v>
      </c>
      <c r="BL316" s="127">
        <v>2</v>
      </c>
      <c r="BM316" s="127">
        <v>1.0047263613915816</v>
      </c>
      <c r="BN316" s="127" t="e">
        <v>#N/A</v>
      </c>
      <c r="BO316" s="127">
        <v>1.0047263613915816</v>
      </c>
      <c r="BP316" t="e">
        <v>#N/A</v>
      </c>
      <c r="BQ316" t="e">
        <v>#N/A</v>
      </c>
      <c r="BR316" t="str">
        <v/>
      </c>
    </row>
    <row r="317" spans="47:70" x14ac:dyDescent="0.2">
      <c r="AU317"/>
      <c r="AV317"/>
      <c r="AW317"/>
      <c r="AX317"/>
      <c r="AY317"/>
      <c r="BK317" s="42">
        <v>316</v>
      </c>
      <c r="BL317" s="127">
        <v>2</v>
      </c>
      <c r="BM317" s="127">
        <v>1.0047263613915816</v>
      </c>
      <c r="BN317" s="127" t="e">
        <v>#N/A</v>
      </c>
      <c r="BO317" s="127">
        <v>1.0047263613915816</v>
      </c>
      <c r="BP317" t="e">
        <v>#N/A</v>
      </c>
      <c r="BQ317" t="e">
        <v>#N/A</v>
      </c>
      <c r="BR317" t="str">
        <v/>
      </c>
    </row>
    <row r="318" spans="47:70" x14ac:dyDescent="0.2">
      <c r="AU318"/>
      <c r="AV318"/>
      <c r="AW318"/>
      <c r="AX318"/>
      <c r="AY318"/>
      <c r="BK318" s="42">
        <v>317</v>
      </c>
      <c r="BL318" s="127">
        <v>2</v>
      </c>
      <c r="BM318" s="127">
        <v>1.0047263613915816</v>
      </c>
      <c r="BN318" s="127" t="e">
        <v>#N/A</v>
      </c>
      <c r="BO318" s="127">
        <v>1.0047263613915816</v>
      </c>
      <c r="BP318" t="e">
        <v>#N/A</v>
      </c>
      <c r="BQ318" t="e">
        <v>#N/A</v>
      </c>
      <c r="BR318" t="str">
        <v/>
      </c>
    </row>
    <row r="319" spans="47:70" x14ac:dyDescent="0.2">
      <c r="AU319"/>
      <c r="AV319"/>
      <c r="AW319"/>
      <c r="AX319"/>
      <c r="AY319"/>
      <c r="BK319" s="42">
        <v>318</v>
      </c>
      <c r="BL319" s="127">
        <v>2</v>
      </c>
      <c r="BM319" s="127">
        <v>1.0047263613915816</v>
      </c>
      <c r="BN319" s="127" t="e">
        <v>#N/A</v>
      </c>
      <c r="BO319" s="127">
        <v>1.0047263613915816</v>
      </c>
      <c r="BP319" t="e">
        <v>#N/A</v>
      </c>
      <c r="BQ319" t="e">
        <v>#N/A</v>
      </c>
      <c r="BR319" t="str">
        <v/>
      </c>
    </row>
    <row r="320" spans="47:70" x14ac:dyDescent="0.2">
      <c r="AU320"/>
      <c r="AV320"/>
      <c r="AW320"/>
      <c r="AX320"/>
      <c r="AY320"/>
      <c r="BK320" s="42">
        <v>319</v>
      </c>
      <c r="BL320" s="127">
        <v>2</v>
      </c>
      <c r="BM320" s="127">
        <v>1.0047263613915816</v>
      </c>
      <c r="BN320" s="127" t="e">
        <v>#N/A</v>
      </c>
      <c r="BO320" s="127">
        <v>1.0047263613915816</v>
      </c>
      <c r="BP320" s="151" t="e">
        <v>#N/A</v>
      </c>
      <c r="BQ320" t="e">
        <v>#N/A</v>
      </c>
      <c r="BR320" t="str">
        <v/>
      </c>
    </row>
    <row r="321" spans="47:70" x14ac:dyDescent="0.2">
      <c r="AU321"/>
      <c r="AV321"/>
      <c r="AW321"/>
      <c r="AX321"/>
      <c r="AY321"/>
      <c r="BK321" s="42">
        <v>320</v>
      </c>
      <c r="BL321" s="127">
        <v>2</v>
      </c>
      <c r="BM321" s="127">
        <v>1.0047263613915816</v>
      </c>
      <c r="BN321" s="127" t="e">
        <v>#N/A</v>
      </c>
      <c r="BO321" s="127">
        <v>1.0047263613915816</v>
      </c>
      <c r="BP321" s="151" t="e">
        <v>#N/A</v>
      </c>
      <c r="BQ321" t="e">
        <v>#N/A</v>
      </c>
      <c r="BR321" t="str">
        <v/>
      </c>
    </row>
    <row r="322" spans="47:70" x14ac:dyDescent="0.2">
      <c r="AU322"/>
      <c r="AV322"/>
      <c r="AW322"/>
      <c r="AX322"/>
      <c r="AY322"/>
      <c r="BK322" s="42">
        <v>321</v>
      </c>
      <c r="BL322" s="127">
        <v>2</v>
      </c>
      <c r="BM322" s="127">
        <v>1.0047263613915816</v>
      </c>
      <c r="BN322" s="127" t="e">
        <v>#N/A</v>
      </c>
      <c r="BO322" s="127">
        <v>1.0047263613915816</v>
      </c>
      <c r="BP322" s="151" t="e">
        <v>#N/A</v>
      </c>
      <c r="BQ322" t="e">
        <v>#N/A</v>
      </c>
      <c r="BR322" t="str">
        <v/>
      </c>
    </row>
    <row r="323" spans="47:70" x14ac:dyDescent="0.2">
      <c r="AU323"/>
      <c r="AV323"/>
      <c r="AW323"/>
      <c r="AX323"/>
      <c r="AY323"/>
      <c r="BK323" s="42">
        <v>322</v>
      </c>
      <c r="BL323" s="127">
        <v>2</v>
      </c>
      <c r="BM323" s="127">
        <v>1.0047263613915816</v>
      </c>
      <c r="BN323" s="127" t="e">
        <v>#N/A</v>
      </c>
      <c r="BO323" s="127">
        <v>1.0047263613915816</v>
      </c>
      <c r="BP323" s="151" t="e">
        <v>#N/A</v>
      </c>
      <c r="BQ323" t="e">
        <v>#N/A</v>
      </c>
      <c r="BR323" t="str">
        <v/>
      </c>
    </row>
    <row r="324" spans="47:70" x14ac:dyDescent="0.2">
      <c r="AU324"/>
      <c r="AV324"/>
      <c r="AW324"/>
      <c r="AX324"/>
      <c r="AY324"/>
      <c r="BK324" s="42">
        <v>323</v>
      </c>
      <c r="BL324" s="127">
        <v>2</v>
      </c>
      <c r="BM324" s="127">
        <v>1.0047263613915816</v>
      </c>
      <c r="BN324" s="127" t="e">
        <v>#N/A</v>
      </c>
      <c r="BO324" s="127">
        <v>1.0047263613915816</v>
      </c>
      <c r="BP324" s="151" t="e">
        <v>#N/A</v>
      </c>
      <c r="BQ324" t="e">
        <v>#N/A</v>
      </c>
      <c r="BR324" t="str">
        <v/>
      </c>
    </row>
    <row r="325" spans="47:70" x14ac:dyDescent="0.2">
      <c r="AU325"/>
      <c r="AV325"/>
      <c r="AW325"/>
      <c r="AX325"/>
      <c r="AY325"/>
      <c r="BK325" s="42">
        <v>324</v>
      </c>
      <c r="BL325" s="127">
        <v>2</v>
      </c>
      <c r="BM325" s="127">
        <v>1.0047263613915816</v>
      </c>
      <c r="BN325" s="127" t="e">
        <v>#N/A</v>
      </c>
      <c r="BO325" s="127">
        <v>1.0047263613915816</v>
      </c>
      <c r="BP325" s="151" t="e">
        <v>#N/A</v>
      </c>
      <c r="BQ325" t="e">
        <v>#N/A</v>
      </c>
      <c r="BR325" t="str">
        <v/>
      </c>
    </row>
    <row r="326" spans="47:70" x14ac:dyDescent="0.2">
      <c r="AU326"/>
      <c r="AV326"/>
      <c r="AW326"/>
      <c r="AX326"/>
      <c r="AY326"/>
      <c r="BK326" s="42">
        <v>325</v>
      </c>
      <c r="BL326" s="127">
        <v>2</v>
      </c>
      <c r="BM326" s="127">
        <v>1.0047263613915816</v>
      </c>
      <c r="BN326" s="127" t="e">
        <v>#N/A</v>
      </c>
      <c r="BO326" s="127">
        <v>1.0047263613915816</v>
      </c>
      <c r="BP326" s="151" t="e">
        <v>#N/A</v>
      </c>
      <c r="BQ326" t="e">
        <v>#N/A</v>
      </c>
      <c r="BR326" t="str">
        <v/>
      </c>
    </row>
    <row r="327" spans="47:70" x14ac:dyDescent="0.2">
      <c r="AU327"/>
      <c r="AV327"/>
      <c r="AW327"/>
      <c r="AX327"/>
      <c r="AY327"/>
      <c r="BK327" s="42">
        <v>326</v>
      </c>
      <c r="BL327" s="127">
        <v>2</v>
      </c>
      <c r="BM327" s="127">
        <v>1.0047263613915816</v>
      </c>
      <c r="BN327" s="127" t="e">
        <v>#N/A</v>
      </c>
      <c r="BO327" s="127">
        <v>1.0047263613915816</v>
      </c>
      <c r="BP327" s="151" t="e">
        <v>#N/A</v>
      </c>
      <c r="BQ327" t="e">
        <v>#N/A</v>
      </c>
      <c r="BR327" t="str">
        <v/>
      </c>
    </row>
    <row r="328" spans="47:70" x14ac:dyDescent="0.2">
      <c r="AU328"/>
      <c r="AV328"/>
      <c r="AW328"/>
      <c r="AX328"/>
      <c r="AY328"/>
      <c r="BK328" s="42">
        <v>327</v>
      </c>
      <c r="BL328" s="127">
        <v>2</v>
      </c>
      <c r="BM328" s="127">
        <v>1.0047263613915816</v>
      </c>
      <c r="BN328" s="127" t="e">
        <v>#N/A</v>
      </c>
      <c r="BO328" s="127">
        <v>1.0047263613915816</v>
      </c>
      <c r="BP328" s="151" t="e">
        <v>#N/A</v>
      </c>
      <c r="BQ328" t="e">
        <v>#N/A</v>
      </c>
      <c r="BR328" t="str">
        <v/>
      </c>
    </row>
    <row r="329" spans="47:70" x14ac:dyDescent="0.2">
      <c r="AU329"/>
      <c r="AV329"/>
      <c r="AW329"/>
      <c r="AX329"/>
      <c r="AY329"/>
      <c r="BK329" s="42">
        <v>328</v>
      </c>
      <c r="BL329" s="127">
        <v>2</v>
      </c>
      <c r="BM329" s="127">
        <v>1.0047263613915816</v>
      </c>
      <c r="BN329" s="127" t="e">
        <v>#N/A</v>
      </c>
      <c r="BO329" s="127">
        <v>1.0047263613915816</v>
      </c>
      <c r="BP329" s="151" t="e">
        <v>#N/A</v>
      </c>
      <c r="BQ329" t="e">
        <v>#N/A</v>
      </c>
      <c r="BR329" t="str">
        <v/>
      </c>
    </row>
    <row r="330" spans="47:70" x14ac:dyDescent="0.2">
      <c r="AU330"/>
      <c r="AV330"/>
      <c r="AW330"/>
      <c r="AX330"/>
      <c r="AY330"/>
      <c r="BK330" s="42">
        <v>329</v>
      </c>
      <c r="BL330" s="127">
        <v>2</v>
      </c>
      <c r="BM330" s="127">
        <v>1.0047263613915816</v>
      </c>
      <c r="BN330" s="127" t="e">
        <v>#N/A</v>
      </c>
      <c r="BO330" s="127">
        <v>1.0047263613915816</v>
      </c>
      <c r="BP330" s="151" t="e">
        <v>#N/A</v>
      </c>
      <c r="BQ330" t="e">
        <v>#N/A</v>
      </c>
      <c r="BR330" t="str">
        <v/>
      </c>
    </row>
    <row r="331" spans="47:70" x14ac:dyDescent="0.2">
      <c r="AU331"/>
      <c r="AV331"/>
      <c r="AW331"/>
      <c r="AX331"/>
      <c r="AY331"/>
      <c r="BK331" s="42">
        <v>330</v>
      </c>
      <c r="BL331" s="127">
        <v>2</v>
      </c>
      <c r="BM331" s="127">
        <v>1.0047263613915816</v>
      </c>
      <c r="BN331" s="127" t="e">
        <v>#N/A</v>
      </c>
      <c r="BO331" s="127">
        <v>1.0047263613915816</v>
      </c>
      <c r="BP331" s="151" t="e">
        <v>#N/A</v>
      </c>
      <c r="BQ331" t="e">
        <v>#N/A</v>
      </c>
      <c r="BR331" t="str">
        <v/>
      </c>
    </row>
    <row r="332" spans="47:70" x14ac:dyDescent="0.2">
      <c r="AU332"/>
      <c r="AV332"/>
      <c r="AW332"/>
      <c r="AX332"/>
      <c r="AY332"/>
      <c r="BK332" s="42">
        <v>331</v>
      </c>
      <c r="BL332" s="127">
        <v>2</v>
      </c>
      <c r="BM332" s="127">
        <v>1.0047263613915816</v>
      </c>
      <c r="BN332" s="127" t="e">
        <v>#N/A</v>
      </c>
      <c r="BO332" s="127">
        <v>1.0047263613915816</v>
      </c>
      <c r="BP332" s="151" t="e">
        <v>#N/A</v>
      </c>
      <c r="BQ332" t="e">
        <v>#N/A</v>
      </c>
      <c r="BR332" t="str">
        <v/>
      </c>
    </row>
    <row r="333" spans="47:70" x14ac:dyDescent="0.2">
      <c r="AU333"/>
      <c r="AV333"/>
      <c r="AW333"/>
      <c r="AX333"/>
      <c r="AY333"/>
      <c r="BK333" s="42">
        <v>332</v>
      </c>
      <c r="BL333" s="127">
        <v>2</v>
      </c>
      <c r="BM333" s="127">
        <v>1.0047263613915816</v>
      </c>
      <c r="BN333" s="127" t="e">
        <v>#N/A</v>
      </c>
      <c r="BO333" s="127">
        <v>1.0047263613915816</v>
      </c>
      <c r="BP333" s="151" t="e">
        <v>#N/A</v>
      </c>
      <c r="BQ333" t="e">
        <v>#N/A</v>
      </c>
      <c r="BR333" t="str">
        <v/>
      </c>
    </row>
    <row r="334" spans="47:70" x14ac:dyDescent="0.2">
      <c r="AU334"/>
      <c r="AV334"/>
      <c r="AW334"/>
      <c r="AX334"/>
      <c r="AY334"/>
      <c r="BK334" s="42">
        <v>333</v>
      </c>
      <c r="BL334" s="127">
        <v>2</v>
      </c>
      <c r="BM334" s="127">
        <v>1.0047263613915816</v>
      </c>
      <c r="BN334" s="127" t="e">
        <v>#N/A</v>
      </c>
      <c r="BO334" s="127">
        <v>1.0047263613915816</v>
      </c>
      <c r="BP334" s="151" t="e">
        <v>#N/A</v>
      </c>
      <c r="BQ334" t="e">
        <v>#N/A</v>
      </c>
      <c r="BR334" t="str">
        <v/>
      </c>
    </row>
    <row r="335" spans="47:70" x14ac:dyDescent="0.2">
      <c r="AU335"/>
      <c r="AV335"/>
      <c r="AW335"/>
      <c r="AX335"/>
      <c r="AY335"/>
      <c r="BK335" s="42">
        <v>334</v>
      </c>
      <c r="BL335" s="127">
        <v>2</v>
      </c>
      <c r="BM335" s="127">
        <v>1.0047263613915816</v>
      </c>
      <c r="BN335" s="127" t="e">
        <v>#N/A</v>
      </c>
      <c r="BO335" s="127">
        <v>1.0047263613915816</v>
      </c>
      <c r="BP335" s="151" t="e">
        <v>#N/A</v>
      </c>
      <c r="BQ335" t="e">
        <v>#N/A</v>
      </c>
      <c r="BR335" t="str">
        <v/>
      </c>
    </row>
    <row r="336" spans="47:70" x14ac:dyDescent="0.2">
      <c r="AU336"/>
      <c r="AV336"/>
      <c r="AW336"/>
      <c r="AX336"/>
      <c r="AY336"/>
      <c r="BK336" s="42">
        <v>335</v>
      </c>
      <c r="BL336" s="127">
        <v>2</v>
      </c>
      <c r="BM336" s="127">
        <v>1.0047263613915816</v>
      </c>
      <c r="BN336" s="127" t="e">
        <v>#N/A</v>
      </c>
      <c r="BO336" s="127">
        <v>1.0047263613915816</v>
      </c>
      <c r="BP336" s="151" t="e">
        <v>#N/A</v>
      </c>
      <c r="BQ336" t="e">
        <v>#N/A</v>
      </c>
      <c r="BR336" t="str">
        <v/>
      </c>
    </row>
    <row r="337" spans="47:70" x14ac:dyDescent="0.2">
      <c r="AU337"/>
      <c r="AV337"/>
      <c r="AW337"/>
      <c r="AX337"/>
      <c r="AY337"/>
      <c r="BK337" s="42">
        <v>336</v>
      </c>
      <c r="BL337" s="127">
        <v>2</v>
      </c>
      <c r="BM337" s="127">
        <v>1.0047263613915816</v>
      </c>
      <c r="BN337" s="127" t="e">
        <v>#N/A</v>
      </c>
      <c r="BO337" s="127">
        <v>1.0047263613915816</v>
      </c>
      <c r="BP337" s="151" t="e">
        <v>#N/A</v>
      </c>
      <c r="BQ337" t="e">
        <v>#N/A</v>
      </c>
      <c r="BR337" t="str">
        <v/>
      </c>
    </row>
    <row r="338" spans="47:70" x14ac:dyDescent="0.2">
      <c r="AU338"/>
      <c r="AV338"/>
      <c r="AW338"/>
      <c r="AX338"/>
      <c r="AY338"/>
      <c r="BK338" s="42">
        <v>337</v>
      </c>
      <c r="BL338" s="127">
        <v>2</v>
      </c>
      <c r="BM338" s="127">
        <v>1.0047263613915816</v>
      </c>
      <c r="BN338" s="127" t="e">
        <v>#N/A</v>
      </c>
      <c r="BO338" s="127">
        <v>1.0047263613915816</v>
      </c>
      <c r="BP338" s="151" t="e">
        <v>#N/A</v>
      </c>
      <c r="BQ338" t="e">
        <v>#N/A</v>
      </c>
      <c r="BR338" t="str">
        <v/>
      </c>
    </row>
    <row r="339" spans="47:70" x14ac:dyDescent="0.2">
      <c r="AU339"/>
      <c r="AV339"/>
      <c r="AW339"/>
      <c r="AX339"/>
      <c r="AY339"/>
      <c r="BK339" s="42">
        <v>338</v>
      </c>
      <c r="BL339" s="127">
        <v>2</v>
      </c>
      <c r="BM339" s="127">
        <v>1.0047263613915816</v>
      </c>
      <c r="BN339" s="127" t="e">
        <v>#N/A</v>
      </c>
      <c r="BO339" s="127">
        <v>1.0047263613915816</v>
      </c>
      <c r="BP339" s="151" t="e">
        <v>#N/A</v>
      </c>
      <c r="BQ339" t="e">
        <v>#N/A</v>
      </c>
      <c r="BR339" t="str">
        <v/>
      </c>
    </row>
    <row r="340" spans="47:70" x14ac:dyDescent="0.2">
      <c r="AU340"/>
      <c r="AV340"/>
      <c r="AW340"/>
      <c r="AX340"/>
      <c r="AY340"/>
      <c r="BK340" s="42">
        <v>339</v>
      </c>
      <c r="BL340" s="127">
        <v>2</v>
      </c>
      <c r="BM340" s="127">
        <v>1.0047263613915816</v>
      </c>
      <c r="BN340" s="127" t="e">
        <v>#N/A</v>
      </c>
      <c r="BO340" s="127">
        <v>1.0047263613915816</v>
      </c>
      <c r="BP340" s="151" t="e">
        <v>#N/A</v>
      </c>
      <c r="BQ340" t="e">
        <v>#N/A</v>
      </c>
      <c r="BR340" t="str">
        <v/>
      </c>
    </row>
    <row r="341" spans="47:70" x14ac:dyDescent="0.2">
      <c r="AU341"/>
      <c r="AV341"/>
      <c r="AW341"/>
      <c r="AX341"/>
      <c r="AY341"/>
      <c r="BK341" s="42">
        <v>340</v>
      </c>
      <c r="BL341" s="127">
        <v>2</v>
      </c>
      <c r="BM341" s="127">
        <v>1.0047263613915816</v>
      </c>
      <c r="BN341" s="127" t="e">
        <v>#N/A</v>
      </c>
      <c r="BO341" s="127">
        <v>1.0047263613915816</v>
      </c>
      <c r="BP341" s="151" t="e">
        <v>#N/A</v>
      </c>
      <c r="BQ341" t="e">
        <v>#N/A</v>
      </c>
      <c r="BR341" t="str">
        <v/>
      </c>
    </row>
    <row r="342" spans="47:70" x14ac:dyDescent="0.2">
      <c r="AU342"/>
      <c r="AV342"/>
      <c r="AW342"/>
      <c r="AX342"/>
      <c r="AY342"/>
      <c r="BK342" s="42">
        <v>341</v>
      </c>
      <c r="BL342" s="127">
        <v>2</v>
      </c>
      <c r="BM342" s="127">
        <v>1.0047263613915816</v>
      </c>
      <c r="BN342" s="127" t="e">
        <v>#N/A</v>
      </c>
      <c r="BO342" s="127">
        <v>1.0047263613915816</v>
      </c>
      <c r="BP342" s="151" t="e">
        <v>#N/A</v>
      </c>
      <c r="BQ342" t="e">
        <v>#N/A</v>
      </c>
      <c r="BR342" t="str">
        <v/>
      </c>
    </row>
    <row r="343" spans="47:70" x14ac:dyDescent="0.2">
      <c r="AU343"/>
      <c r="AV343"/>
      <c r="AW343"/>
      <c r="AX343"/>
      <c r="AY343"/>
      <c r="BK343" s="42">
        <v>342</v>
      </c>
      <c r="BL343" s="127">
        <v>2</v>
      </c>
      <c r="BM343" s="127">
        <v>1.0047263613915816</v>
      </c>
      <c r="BN343" s="127" t="e">
        <v>#N/A</v>
      </c>
      <c r="BO343" s="127">
        <v>1.0047263613915816</v>
      </c>
      <c r="BP343" s="151" t="e">
        <v>#N/A</v>
      </c>
      <c r="BQ343" t="e">
        <v>#N/A</v>
      </c>
      <c r="BR343" t="str">
        <v/>
      </c>
    </row>
    <row r="344" spans="47:70" x14ac:dyDescent="0.2">
      <c r="AU344"/>
      <c r="AV344"/>
      <c r="AW344"/>
      <c r="AX344"/>
      <c r="AY344"/>
      <c r="BK344" s="42">
        <v>343</v>
      </c>
      <c r="BL344" s="127">
        <v>2</v>
      </c>
      <c r="BM344" s="127">
        <v>1.0047263613915816</v>
      </c>
      <c r="BN344" s="127" t="e">
        <v>#N/A</v>
      </c>
      <c r="BO344" s="127">
        <v>1.0047263613915816</v>
      </c>
      <c r="BP344" s="151" t="e">
        <v>#N/A</v>
      </c>
      <c r="BQ344" t="e">
        <v>#N/A</v>
      </c>
      <c r="BR344" t="str">
        <v/>
      </c>
    </row>
    <row r="345" spans="47:70" x14ac:dyDescent="0.2">
      <c r="AU345"/>
      <c r="AV345"/>
      <c r="AW345"/>
      <c r="AX345"/>
      <c r="AY345"/>
      <c r="BK345" s="42">
        <v>344</v>
      </c>
      <c r="BL345" s="127">
        <v>2</v>
      </c>
      <c r="BM345" s="127">
        <v>1.0047263613915816</v>
      </c>
      <c r="BN345" s="127" t="e">
        <v>#N/A</v>
      </c>
      <c r="BO345" s="127">
        <v>1.0047263613915816</v>
      </c>
      <c r="BP345" s="151" t="e">
        <v>#N/A</v>
      </c>
      <c r="BQ345" t="e">
        <v>#N/A</v>
      </c>
      <c r="BR345" t="str">
        <v/>
      </c>
    </row>
    <row r="346" spans="47:70" x14ac:dyDescent="0.2">
      <c r="AU346"/>
      <c r="AV346"/>
      <c r="AW346"/>
      <c r="AX346"/>
      <c r="AY346"/>
      <c r="BK346" s="42">
        <v>345</v>
      </c>
      <c r="BL346" s="127">
        <v>2</v>
      </c>
      <c r="BM346" s="127">
        <v>1.0047263613915816</v>
      </c>
      <c r="BN346" s="127" t="e">
        <v>#N/A</v>
      </c>
      <c r="BO346" s="127">
        <v>1.0047263613915816</v>
      </c>
      <c r="BP346" s="151" t="e">
        <v>#N/A</v>
      </c>
      <c r="BQ346" t="e">
        <v>#N/A</v>
      </c>
      <c r="BR346" t="str">
        <v/>
      </c>
    </row>
    <row r="347" spans="47:70" x14ac:dyDescent="0.2">
      <c r="AU347"/>
      <c r="AV347"/>
      <c r="AW347"/>
      <c r="AX347"/>
      <c r="AY347"/>
      <c r="BK347" s="42">
        <v>346</v>
      </c>
      <c r="BL347" s="127">
        <v>2</v>
      </c>
      <c r="BM347" s="127">
        <v>1.0047263613915816</v>
      </c>
      <c r="BN347" s="127" t="e">
        <v>#N/A</v>
      </c>
      <c r="BO347" s="127">
        <v>1.0047263613915816</v>
      </c>
      <c r="BP347" s="151" t="e">
        <v>#N/A</v>
      </c>
      <c r="BQ347" t="e">
        <v>#N/A</v>
      </c>
      <c r="BR347" t="str">
        <v/>
      </c>
    </row>
    <row r="348" spans="47:70" x14ac:dyDescent="0.2">
      <c r="AU348"/>
      <c r="AV348"/>
      <c r="AW348"/>
      <c r="AX348"/>
      <c r="AY348"/>
      <c r="BK348" s="42">
        <v>347</v>
      </c>
      <c r="BL348" s="127">
        <v>2</v>
      </c>
      <c r="BM348" s="127">
        <v>1.0047263613915816</v>
      </c>
      <c r="BN348" s="127" t="e">
        <v>#N/A</v>
      </c>
      <c r="BO348" s="127">
        <v>1.0047263613915816</v>
      </c>
      <c r="BP348" s="151" t="e">
        <v>#N/A</v>
      </c>
      <c r="BQ348" t="e">
        <v>#N/A</v>
      </c>
      <c r="BR348" t="str">
        <v/>
      </c>
    </row>
    <row r="349" spans="47:70" x14ac:dyDescent="0.2">
      <c r="AU349"/>
      <c r="AV349"/>
      <c r="AW349"/>
      <c r="AX349"/>
      <c r="AY349"/>
      <c r="BK349" s="42">
        <v>348</v>
      </c>
      <c r="BL349" s="127">
        <v>2</v>
      </c>
      <c r="BM349" s="127">
        <v>1.0047263613915816</v>
      </c>
      <c r="BN349" s="127" t="e">
        <v>#N/A</v>
      </c>
      <c r="BO349" s="127">
        <v>1.0047263613915816</v>
      </c>
      <c r="BP349" s="151" t="e">
        <v>#N/A</v>
      </c>
      <c r="BQ349" t="e">
        <v>#N/A</v>
      </c>
      <c r="BR349" t="str">
        <v/>
      </c>
    </row>
    <row r="350" spans="47:70" x14ac:dyDescent="0.2">
      <c r="AU350"/>
      <c r="AV350"/>
      <c r="AW350"/>
      <c r="AX350"/>
      <c r="AY350"/>
      <c r="BK350" s="42">
        <v>349</v>
      </c>
      <c r="BL350" s="127">
        <v>2</v>
      </c>
      <c r="BM350" s="127">
        <v>1.0047263613915816</v>
      </c>
      <c r="BN350" s="127" t="e">
        <v>#N/A</v>
      </c>
      <c r="BO350" s="127">
        <v>1.0047263613915816</v>
      </c>
      <c r="BP350" s="151" t="e">
        <v>#N/A</v>
      </c>
      <c r="BQ350" t="e">
        <v>#N/A</v>
      </c>
      <c r="BR350" t="str">
        <v/>
      </c>
    </row>
    <row r="351" spans="47:70" x14ac:dyDescent="0.2">
      <c r="AU351"/>
      <c r="AV351"/>
      <c r="AW351"/>
      <c r="AX351"/>
      <c r="AY351"/>
      <c r="BK351" s="42">
        <v>350</v>
      </c>
      <c r="BL351" s="127">
        <v>2</v>
      </c>
      <c r="BM351" s="127">
        <v>1.0047263613915816</v>
      </c>
      <c r="BN351" s="127" t="e">
        <v>#N/A</v>
      </c>
      <c r="BO351" s="127">
        <v>1.0047263613915816</v>
      </c>
      <c r="BP351" s="151" t="e">
        <v>#N/A</v>
      </c>
      <c r="BQ351" t="e">
        <v>#N/A</v>
      </c>
      <c r="BR351" t="str">
        <v/>
      </c>
    </row>
    <row r="352" spans="47:70" x14ac:dyDescent="0.2">
      <c r="AU352"/>
      <c r="AV352"/>
      <c r="AW352"/>
      <c r="AX352"/>
      <c r="AY352"/>
      <c r="BK352" s="42">
        <v>351</v>
      </c>
      <c r="BL352" s="127">
        <v>2</v>
      </c>
      <c r="BM352" s="127">
        <v>1.0047263613915816</v>
      </c>
      <c r="BN352" s="127" t="e">
        <v>#N/A</v>
      </c>
      <c r="BO352" s="127">
        <v>1.0047263613915816</v>
      </c>
      <c r="BP352" s="151" t="e">
        <v>#N/A</v>
      </c>
      <c r="BQ352" t="e">
        <v>#N/A</v>
      </c>
      <c r="BR352" t="str">
        <v/>
      </c>
    </row>
    <row r="353" spans="47:70" x14ac:dyDescent="0.2">
      <c r="AU353"/>
      <c r="AV353"/>
      <c r="AW353"/>
      <c r="AX353"/>
      <c r="AY353"/>
      <c r="BK353" s="42">
        <v>352</v>
      </c>
      <c r="BL353" s="127">
        <v>2</v>
      </c>
      <c r="BM353" s="127">
        <v>1.0047263613915816</v>
      </c>
      <c r="BN353" s="127" t="e">
        <v>#N/A</v>
      </c>
      <c r="BO353" s="127">
        <v>1.0047263613915816</v>
      </c>
      <c r="BP353" s="151" t="e">
        <v>#N/A</v>
      </c>
      <c r="BQ353" t="e">
        <v>#N/A</v>
      </c>
      <c r="BR353" t="str">
        <v/>
      </c>
    </row>
    <row r="354" spans="47:70" x14ac:dyDescent="0.2">
      <c r="AU354"/>
      <c r="AV354"/>
      <c r="AW354"/>
      <c r="AX354"/>
      <c r="AY354"/>
      <c r="BK354" s="42">
        <v>353</v>
      </c>
      <c r="BL354" s="127">
        <v>2</v>
      </c>
      <c r="BM354" s="127">
        <v>1.0047263613915816</v>
      </c>
      <c r="BN354" s="127" t="e">
        <v>#N/A</v>
      </c>
      <c r="BO354" s="127">
        <v>1.0047263613915816</v>
      </c>
      <c r="BP354" s="151" t="e">
        <v>#N/A</v>
      </c>
      <c r="BQ354" t="e">
        <v>#N/A</v>
      </c>
      <c r="BR354" t="str">
        <v/>
      </c>
    </row>
    <row r="355" spans="47:70" x14ac:dyDescent="0.2">
      <c r="AU355"/>
      <c r="AV355"/>
      <c r="AW355"/>
      <c r="AX355"/>
      <c r="AY355"/>
      <c r="BK355" s="42">
        <v>354</v>
      </c>
      <c r="BL355" s="127">
        <v>2</v>
      </c>
      <c r="BM355" s="127">
        <v>1.0047263613915816</v>
      </c>
      <c r="BN355" s="127" t="e">
        <v>#N/A</v>
      </c>
      <c r="BO355" s="127">
        <v>1.0047263613915816</v>
      </c>
      <c r="BP355" s="151" t="e">
        <v>#N/A</v>
      </c>
      <c r="BQ355" t="e">
        <v>#N/A</v>
      </c>
      <c r="BR355" t="str">
        <v/>
      </c>
    </row>
    <row r="356" spans="47:70" x14ac:dyDescent="0.2">
      <c r="AU356"/>
      <c r="AV356"/>
      <c r="AW356"/>
      <c r="AX356"/>
      <c r="AY356"/>
      <c r="BK356" s="42">
        <v>355</v>
      </c>
      <c r="BL356" s="127">
        <v>2</v>
      </c>
      <c r="BM356" s="127">
        <v>1.0047263613915816</v>
      </c>
      <c r="BN356" s="127" t="e">
        <v>#N/A</v>
      </c>
      <c r="BO356" s="127">
        <v>1.0047263613915816</v>
      </c>
      <c r="BP356" s="151" t="e">
        <v>#N/A</v>
      </c>
      <c r="BQ356" t="e">
        <v>#N/A</v>
      </c>
      <c r="BR356" t="str">
        <v/>
      </c>
    </row>
    <row r="357" spans="47:70" x14ac:dyDescent="0.2">
      <c r="AU357"/>
      <c r="AV357"/>
      <c r="AW357"/>
      <c r="AX357"/>
      <c r="AY357"/>
      <c r="BK357" s="42">
        <v>356</v>
      </c>
      <c r="BL357" s="127">
        <v>2</v>
      </c>
      <c r="BM357" s="127">
        <v>1.0047263613915816</v>
      </c>
      <c r="BN357" s="127" t="e">
        <v>#N/A</v>
      </c>
      <c r="BO357" s="127">
        <v>1.0047263613915816</v>
      </c>
      <c r="BP357" s="151" t="e">
        <v>#N/A</v>
      </c>
      <c r="BQ357" t="e">
        <v>#N/A</v>
      </c>
      <c r="BR357" t="str">
        <v/>
      </c>
    </row>
    <row r="358" spans="47:70" x14ac:dyDescent="0.2">
      <c r="AU358"/>
      <c r="AV358"/>
      <c r="AW358"/>
      <c r="AX358"/>
      <c r="AY358"/>
      <c r="BK358" s="42">
        <v>357</v>
      </c>
      <c r="BL358" s="127">
        <v>2</v>
      </c>
      <c r="BM358" s="127">
        <v>1.0047263613915816</v>
      </c>
      <c r="BN358" s="127" t="e">
        <v>#N/A</v>
      </c>
      <c r="BO358" s="127">
        <v>1.0047263613915816</v>
      </c>
      <c r="BP358" s="151" t="e">
        <v>#N/A</v>
      </c>
      <c r="BQ358" t="e">
        <v>#N/A</v>
      </c>
      <c r="BR358" t="str">
        <v/>
      </c>
    </row>
    <row r="359" spans="47:70" x14ac:dyDescent="0.2">
      <c r="AU359"/>
      <c r="AV359"/>
      <c r="AW359"/>
      <c r="AX359"/>
      <c r="AY359"/>
      <c r="BK359" s="42">
        <v>358</v>
      </c>
      <c r="BL359" s="127">
        <v>2</v>
      </c>
      <c r="BM359" s="127">
        <v>1.0047263613915816</v>
      </c>
      <c r="BN359" s="127" t="e">
        <v>#N/A</v>
      </c>
      <c r="BO359" s="127">
        <v>1.0047263613915816</v>
      </c>
      <c r="BP359" s="151" t="e">
        <v>#N/A</v>
      </c>
      <c r="BQ359" t="e">
        <v>#N/A</v>
      </c>
      <c r="BR359" t="str">
        <v/>
      </c>
    </row>
    <row r="360" spans="47:70" x14ac:dyDescent="0.2">
      <c r="AU360"/>
      <c r="AV360"/>
      <c r="AW360"/>
      <c r="AX360"/>
      <c r="AY360"/>
      <c r="BK360" s="42">
        <v>359</v>
      </c>
      <c r="BL360" s="127">
        <v>2</v>
      </c>
      <c r="BM360" s="127">
        <v>1.0047263613915816</v>
      </c>
      <c r="BN360" s="127" t="e">
        <v>#N/A</v>
      </c>
      <c r="BO360" s="127">
        <v>1.0047263613915816</v>
      </c>
      <c r="BP360" s="151" t="e">
        <v>#N/A</v>
      </c>
      <c r="BQ360" t="e">
        <v>#N/A</v>
      </c>
      <c r="BR360" t="str">
        <v/>
      </c>
    </row>
    <row r="361" spans="47:70" x14ac:dyDescent="0.2">
      <c r="AU361"/>
      <c r="AV361"/>
      <c r="AW361"/>
      <c r="AX361"/>
      <c r="AY361"/>
      <c r="BK361" s="42">
        <v>360</v>
      </c>
      <c r="BL361" s="127">
        <v>2</v>
      </c>
      <c r="BM361" s="127">
        <v>1.0047263613915816</v>
      </c>
      <c r="BN361" s="127" t="e">
        <v>#N/A</v>
      </c>
      <c r="BO361" s="127">
        <v>1.0047263613915816</v>
      </c>
      <c r="BP361" s="151" t="e">
        <v>#N/A</v>
      </c>
      <c r="BQ361" t="e">
        <v>#N/A</v>
      </c>
      <c r="BR361" t="str">
        <v/>
      </c>
    </row>
    <row r="362" spans="47:70" x14ac:dyDescent="0.2">
      <c r="AU362"/>
      <c r="AV362"/>
      <c r="AW362"/>
      <c r="AX362"/>
      <c r="AY362"/>
      <c r="BK362" s="42">
        <v>361</v>
      </c>
      <c r="BL362" s="127">
        <v>2</v>
      </c>
      <c r="BM362" s="127">
        <v>1.0047263613915816</v>
      </c>
      <c r="BN362" s="127" t="e">
        <v>#N/A</v>
      </c>
      <c r="BO362" s="127">
        <v>1.0047263613915816</v>
      </c>
      <c r="BP362" s="151" t="e">
        <v>#N/A</v>
      </c>
      <c r="BQ362" t="e">
        <v>#N/A</v>
      </c>
      <c r="BR362" t="str">
        <v/>
      </c>
    </row>
    <row r="363" spans="47:70" x14ac:dyDescent="0.2">
      <c r="AU363"/>
      <c r="AV363"/>
      <c r="AW363"/>
      <c r="AX363"/>
      <c r="AY363"/>
      <c r="BK363" s="42">
        <v>362</v>
      </c>
      <c r="BL363" s="127">
        <v>2</v>
      </c>
      <c r="BM363" s="127">
        <v>1.0047263613915816</v>
      </c>
      <c r="BN363" s="127" t="e">
        <v>#N/A</v>
      </c>
      <c r="BO363" s="127">
        <v>1.0047263613915816</v>
      </c>
      <c r="BP363" s="151" t="e">
        <v>#N/A</v>
      </c>
      <c r="BQ363" t="e">
        <v>#N/A</v>
      </c>
      <c r="BR363" t="str">
        <v/>
      </c>
    </row>
    <row r="364" spans="47:70" x14ac:dyDescent="0.2">
      <c r="AU364"/>
      <c r="AV364"/>
      <c r="AW364"/>
      <c r="AX364"/>
      <c r="AY364"/>
      <c r="BK364" s="42">
        <v>363</v>
      </c>
      <c r="BL364" s="127">
        <v>2</v>
      </c>
      <c r="BM364" s="127">
        <v>1.0047263613915816</v>
      </c>
      <c r="BN364" s="127" t="e">
        <v>#N/A</v>
      </c>
      <c r="BO364" s="127">
        <v>1.0047263613915816</v>
      </c>
      <c r="BP364" s="151" t="e">
        <v>#N/A</v>
      </c>
      <c r="BQ364" t="e">
        <v>#N/A</v>
      </c>
      <c r="BR364" t="str">
        <v/>
      </c>
    </row>
    <row r="365" spans="47:70" x14ac:dyDescent="0.2">
      <c r="AU365"/>
      <c r="AV365"/>
      <c r="AW365"/>
      <c r="AX365"/>
      <c r="AY365"/>
      <c r="BK365" s="42">
        <v>364</v>
      </c>
      <c r="BL365" s="127">
        <v>2</v>
      </c>
      <c r="BM365" s="127">
        <v>1.0047263613915816</v>
      </c>
      <c r="BN365" s="127" t="e">
        <v>#N/A</v>
      </c>
      <c r="BO365" s="127">
        <v>1.0047263613915816</v>
      </c>
      <c r="BP365" s="151" t="e">
        <v>#N/A</v>
      </c>
      <c r="BQ365" t="e">
        <v>#N/A</v>
      </c>
      <c r="BR365" t="str">
        <v/>
      </c>
    </row>
    <row r="366" spans="47:70" x14ac:dyDescent="0.2">
      <c r="AU366"/>
      <c r="AV366"/>
      <c r="AW366"/>
      <c r="AX366"/>
      <c r="AY366"/>
      <c r="BK366" s="42">
        <v>365</v>
      </c>
      <c r="BL366" s="127">
        <v>2</v>
      </c>
      <c r="BM366" s="127">
        <v>1.0047263613915816</v>
      </c>
      <c r="BN366" s="127" t="e">
        <v>#N/A</v>
      </c>
      <c r="BO366" s="127">
        <v>1.0047263613915816</v>
      </c>
      <c r="BP366" s="151" t="e">
        <v>#N/A</v>
      </c>
      <c r="BQ366" t="e">
        <v>#N/A</v>
      </c>
      <c r="BR366" t="str">
        <v/>
      </c>
    </row>
    <row r="367" spans="47:70" x14ac:dyDescent="0.2">
      <c r="AU367"/>
      <c r="AV367"/>
      <c r="AW367"/>
      <c r="AX367"/>
      <c r="AY367"/>
      <c r="BK367" s="42">
        <v>366</v>
      </c>
      <c r="BL367" s="127">
        <v>2</v>
      </c>
      <c r="BM367" s="127">
        <v>1.0047263613915816</v>
      </c>
      <c r="BN367" s="127" t="e">
        <v>#N/A</v>
      </c>
      <c r="BO367" s="127">
        <v>1.0047263613915816</v>
      </c>
      <c r="BP367" s="151" t="e">
        <v>#N/A</v>
      </c>
      <c r="BQ367" t="e">
        <v>#N/A</v>
      </c>
      <c r="BR367" t="str">
        <v/>
      </c>
    </row>
    <row r="368" spans="47:70" x14ac:dyDescent="0.2">
      <c r="AU368"/>
      <c r="AV368"/>
      <c r="AW368"/>
      <c r="AX368"/>
      <c r="AY368"/>
      <c r="BK368" s="42">
        <v>367</v>
      </c>
      <c r="BL368" s="127">
        <v>2</v>
      </c>
      <c r="BM368" s="127">
        <v>1.0047263613915816</v>
      </c>
      <c r="BN368" s="127" t="e">
        <v>#N/A</v>
      </c>
      <c r="BO368" s="127">
        <v>1.0047263613915816</v>
      </c>
      <c r="BP368" s="151" t="e">
        <v>#N/A</v>
      </c>
      <c r="BQ368" t="e">
        <v>#N/A</v>
      </c>
      <c r="BR368" t="str">
        <v/>
      </c>
    </row>
    <row r="369" spans="47:70" x14ac:dyDescent="0.2">
      <c r="AU369"/>
      <c r="AV369"/>
      <c r="AW369"/>
      <c r="AX369"/>
      <c r="AY369"/>
      <c r="BK369" s="42">
        <v>368</v>
      </c>
      <c r="BL369" s="127">
        <v>2</v>
      </c>
      <c r="BM369" s="127">
        <v>1.0047263613915816</v>
      </c>
      <c r="BN369" s="127" t="e">
        <v>#N/A</v>
      </c>
      <c r="BO369" s="127">
        <v>1.0047263613915816</v>
      </c>
      <c r="BP369" s="151" t="e">
        <v>#N/A</v>
      </c>
      <c r="BQ369" t="e">
        <v>#N/A</v>
      </c>
      <c r="BR369" t="str">
        <v/>
      </c>
    </row>
    <row r="370" spans="47:70" x14ac:dyDescent="0.2">
      <c r="AU370"/>
      <c r="AV370"/>
      <c r="AW370"/>
      <c r="AX370"/>
      <c r="AY370"/>
      <c r="BK370" s="42">
        <v>369</v>
      </c>
      <c r="BL370" s="127">
        <v>2</v>
      </c>
      <c r="BM370" s="127">
        <v>1.0047263613915816</v>
      </c>
      <c r="BN370" s="127" t="e">
        <v>#N/A</v>
      </c>
      <c r="BO370" s="127">
        <v>1.0047263613915816</v>
      </c>
      <c r="BP370" s="151" t="e">
        <v>#N/A</v>
      </c>
      <c r="BQ370" t="e">
        <v>#N/A</v>
      </c>
      <c r="BR370" t="str">
        <v/>
      </c>
    </row>
    <row r="371" spans="47:70" x14ac:dyDescent="0.2">
      <c r="AU371"/>
      <c r="AV371"/>
      <c r="AW371"/>
      <c r="AX371"/>
      <c r="AY371"/>
      <c r="BK371" s="42">
        <v>370</v>
      </c>
      <c r="BL371" s="127">
        <v>2</v>
      </c>
      <c r="BM371" s="127">
        <v>1.0047263613915816</v>
      </c>
      <c r="BN371" s="127" t="e">
        <v>#N/A</v>
      </c>
      <c r="BO371" s="127">
        <v>1.0047263613915816</v>
      </c>
      <c r="BP371" s="151" t="e">
        <v>#N/A</v>
      </c>
      <c r="BQ371" t="e">
        <v>#N/A</v>
      </c>
      <c r="BR371" t="str">
        <v/>
      </c>
    </row>
    <row r="372" spans="47:70" x14ac:dyDescent="0.2">
      <c r="AU372"/>
      <c r="AV372"/>
      <c r="AW372"/>
      <c r="AX372"/>
      <c r="AY372"/>
      <c r="BK372" s="42">
        <v>371</v>
      </c>
      <c r="BL372" s="127">
        <v>2</v>
      </c>
      <c r="BM372" s="127">
        <v>1.0047263613915816</v>
      </c>
      <c r="BN372" s="127" t="e">
        <v>#N/A</v>
      </c>
      <c r="BO372" s="127">
        <v>1.0047263613915816</v>
      </c>
      <c r="BP372" s="151" t="e">
        <v>#N/A</v>
      </c>
      <c r="BQ372" t="e">
        <v>#N/A</v>
      </c>
      <c r="BR372" t="str">
        <v/>
      </c>
    </row>
    <row r="373" spans="47:70" x14ac:dyDescent="0.2">
      <c r="AU373"/>
      <c r="AV373"/>
      <c r="AW373"/>
      <c r="AX373"/>
      <c r="AY373"/>
      <c r="BK373" s="42">
        <v>372</v>
      </c>
      <c r="BL373" s="127">
        <v>2</v>
      </c>
      <c r="BM373" s="127">
        <v>1.0047263613915816</v>
      </c>
      <c r="BN373" s="127" t="e">
        <v>#N/A</v>
      </c>
      <c r="BO373" s="127">
        <v>1.0047263613915816</v>
      </c>
      <c r="BP373" s="151" t="e">
        <v>#N/A</v>
      </c>
      <c r="BQ373" t="e">
        <v>#N/A</v>
      </c>
      <c r="BR373" t="str">
        <v/>
      </c>
    </row>
    <row r="374" spans="47:70" x14ac:dyDescent="0.2">
      <c r="AU374"/>
      <c r="AV374"/>
      <c r="AW374"/>
      <c r="AX374"/>
      <c r="AY374"/>
      <c r="BK374" s="42">
        <v>373</v>
      </c>
      <c r="BL374" s="127">
        <v>2</v>
      </c>
      <c r="BM374" s="127">
        <v>1.0047263613915816</v>
      </c>
      <c r="BN374" s="127" t="e">
        <v>#N/A</v>
      </c>
      <c r="BO374" s="127">
        <v>1.0047263613915816</v>
      </c>
      <c r="BP374" s="151" t="e">
        <v>#N/A</v>
      </c>
      <c r="BQ374" t="e">
        <v>#N/A</v>
      </c>
      <c r="BR374" t="str">
        <v/>
      </c>
    </row>
    <row r="375" spans="47:70" x14ac:dyDescent="0.2">
      <c r="AU375"/>
      <c r="AV375"/>
      <c r="AW375"/>
      <c r="AX375"/>
      <c r="AY375"/>
      <c r="BK375" s="42">
        <v>374</v>
      </c>
      <c r="BL375" s="127">
        <v>2</v>
      </c>
      <c r="BM375" s="127">
        <v>1.0047263613915816</v>
      </c>
      <c r="BN375" s="127" t="e">
        <v>#N/A</v>
      </c>
      <c r="BO375" s="127">
        <v>1.0047263613915816</v>
      </c>
      <c r="BP375" s="151" t="e">
        <v>#N/A</v>
      </c>
      <c r="BQ375" t="e">
        <v>#N/A</v>
      </c>
      <c r="BR375" t="str">
        <v/>
      </c>
    </row>
    <row r="376" spans="47:70" x14ac:dyDescent="0.2">
      <c r="AU376"/>
      <c r="AV376"/>
      <c r="AW376"/>
      <c r="AX376"/>
      <c r="AY376"/>
      <c r="BK376" s="42">
        <v>375</v>
      </c>
      <c r="BL376" s="127">
        <v>2</v>
      </c>
      <c r="BM376" s="127">
        <v>1.0047263613915816</v>
      </c>
      <c r="BN376" s="127" t="e">
        <v>#N/A</v>
      </c>
      <c r="BO376" s="127">
        <v>1.0047263613915816</v>
      </c>
      <c r="BP376" s="151" t="e">
        <v>#N/A</v>
      </c>
      <c r="BQ376" t="e">
        <v>#N/A</v>
      </c>
      <c r="BR376" t="str">
        <v/>
      </c>
    </row>
    <row r="377" spans="47:70" x14ac:dyDescent="0.2">
      <c r="AU377"/>
      <c r="AV377"/>
      <c r="AW377"/>
      <c r="AX377"/>
      <c r="AY377"/>
      <c r="BK377" s="42">
        <v>376</v>
      </c>
      <c r="BL377" s="127">
        <v>2</v>
      </c>
      <c r="BM377" s="127">
        <v>1.0047263613915816</v>
      </c>
      <c r="BN377" s="127" t="e">
        <v>#N/A</v>
      </c>
      <c r="BO377" s="127">
        <v>1.0047263613915816</v>
      </c>
      <c r="BP377" s="151" t="e">
        <v>#N/A</v>
      </c>
      <c r="BQ377" t="e">
        <v>#N/A</v>
      </c>
      <c r="BR377" t="str">
        <v/>
      </c>
    </row>
    <row r="378" spans="47:70" x14ac:dyDescent="0.2">
      <c r="AU378"/>
      <c r="AV378"/>
      <c r="AW378"/>
      <c r="AX378"/>
      <c r="AY378"/>
      <c r="BK378" s="42">
        <v>377</v>
      </c>
      <c r="BL378" s="127">
        <v>2</v>
      </c>
      <c r="BM378" s="127">
        <v>1.0047263613915816</v>
      </c>
      <c r="BN378" s="127" t="e">
        <v>#N/A</v>
      </c>
      <c r="BO378" s="127">
        <v>1.0047263613915816</v>
      </c>
      <c r="BP378" s="151" t="e">
        <v>#N/A</v>
      </c>
      <c r="BQ378" t="e">
        <v>#N/A</v>
      </c>
      <c r="BR378" t="str">
        <v/>
      </c>
    </row>
    <row r="379" spans="47:70" x14ac:dyDescent="0.2">
      <c r="AU379"/>
      <c r="AV379"/>
      <c r="AW379"/>
      <c r="AX379"/>
      <c r="AY379"/>
      <c r="BK379" s="42">
        <v>378</v>
      </c>
      <c r="BL379" s="127">
        <v>2</v>
      </c>
      <c r="BM379" s="127">
        <v>1.0047263613915816</v>
      </c>
      <c r="BN379" s="127" t="e">
        <v>#N/A</v>
      </c>
      <c r="BO379" s="127">
        <v>1.0047263613915816</v>
      </c>
      <c r="BP379" s="151" t="e">
        <v>#N/A</v>
      </c>
      <c r="BQ379" t="e">
        <v>#N/A</v>
      </c>
      <c r="BR379" t="str">
        <v/>
      </c>
    </row>
    <row r="380" spans="47:70" x14ac:dyDescent="0.2">
      <c r="AU380"/>
      <c r="AV380"/>
      <c r="AW380"/>
      <c r="AX380"/>
      <c r="AY380"/>
      <c r="BK380" s="42">
        <v>379</v>
      </c>
      <c r="BL380" s="127">
        <v>2</v>
      </c>
      <c r="BM380" s="127">
        <v>1.0047263613915816</v>
      </c>
      <c r="BN380" s="127" t="e">
        <v>#N/A</v>
      </c>
      <c r="BO380" s="127">
        <v>1.0047263613915816</v>
      </c>
      <c r="BP380" s="151" t="e">
        <v>#N/A</v>
      </c>
      <c r="BQ380" t="e">
        <v>#N/A</v>
      </c>
      <c r="BR380" t="str">
        <v/>
      </c>
    </row>
    <row r="381" spans="47:70" x14ac:dyDescent="0.2">
      <c r="AU381"/>
      <c r="AV381"/>
      <c r="AW381"/>
      <c r="AX381"/>
      <c r="AY381"/>
      <c r="BK381" s="42">
        <v>380</v>
      </c>
      <c r="BL381" s="127">
        <v>2</v>
      </c>
      <c r="BM381" s="127">
        <v>1.0047263613915816</v>
      </c>
      <c r="BN381" s="127" t="e">
        <v>#N/A</v>
      </c>
      <c r="BO381" s="127">
        <v>1.0047263613915816</v>
      </c>
      <c r="BP381" s="151" t="e">
        <v>#N/A</v>
      </c>
      <c r="BQ381" t="e">
        <v>#N/A</v>
      </c>
      <c r="BR381" t="str">
        <v/>
      </c>
    </row>
    <row r="382" spans="47:70" x14ac:dyDescent="0.2">
      <c r="AU382"/>
      <c r="AV382"/>
      <c r="AW382"/>
      <c r="AX382"/>
      <c r="AY382"/>
      <c r="BK382" s="42">
        <v>381</v>
      </c>
      <c r="BL382" s="127">
        <v>2</v>
      </c>
      <c r="BM382" s="127">
        <v>1.0047263613915816</v>
      </c>
      <c r="BN382" s="127" t="e">
        <v>#N/A</v>
      </c>
      <c r="BO382" s="127">
        <v>1.0047263613915816</v>
      </c>
      <c r="BP382" s="151" t="e">
        <v>#N/A</v>
      </c>
      <c r="BQ382" t="e">
        <v>#N/A</v>
      </c>
      <c r="BR382" t="str">
        <v/>
      </c>
    </row>
    <row r="383" spans="47:70" x14ac:dyDescent="0.2">
      <c r="AU383"/>
      <c r="AV383"/>
      <c r="AW383"/>
      <c r="AX383"/>
      <c r="AY383"/>
      <c r="BK383" s="42">
        <v>382</v>
      </c>
      <c r="BL383" s="127">
        <v>2</v>
      </c>
      <c r="BM383" s="127">
        <v>1.0047263613915816</v>
      </c>
      <c r="BN383" s="127" t="e">
        <v>#N/A</v>
      </c>
      <c r="BO383" s="127">
        <v>1.0047263613915816</v>
      </c>
      <c r="BP383" s="151" t="e">
        <v>#N/A</v>
      </c>
      <c r="BQ383" t="e">
        <v>#N/A</v>
      </c>
      <c r="BR383" t="str">
        <v/>
      </c>
    </row>
    <row r="384" spans="47:70" x14ac:dyDescent="0.2">
      <c r="AU384"/>
      <c r="AV384"/>
      <c r="AW384"/>
      <c r="AX384"/>
      <c r="AY384"/>
      <c r="BK384" s="42">
        <v>383</v>
      </c>
      <c r="BL384" s="127">
        <v>2</v>
      </c>
      <c r="BM384" s="127">
        <v>1.0047263613915816</v>
      </c>
      <c r="BN384" s="127" t="e">
        <v>#N/A</v>
      </c>
      <c r="BO384" s="127">
        <v>1.0047263613915816</v>
      </c>
      <c r="BP384" s="151" t="e">
        <v>#N/A</v>
      </c>
      <c r="BQ384" t="e">
        <v>#N/A</v>
      </c>
      <c r="BR384" t="str">
        <v/>
      </c>
    </row>
    <row r="385" spans="47:70" x14ac:dyDescent="0.2">
      <c r="AU385"/>
      <c r="AV385"/>
      <c r="AW385"/>
      <c r="AX385"/>
      <c r="AY385"/>
      <c r="BK385" s="42">
        <v>384</v>
      </c>
      <c r="BL385" s="127">
        <v>2</v>
      </c>
      <c r="BM385" s="127">
        <v>1.0047263613915816</v>
      </c>
      <c r="BN385" s="127" t="e">
        <v>#N/A</v>
      </c>
      <c r="BO385" s="127">
        <v>1.0047263613915816</v>
      </c>
      <c r="BP385" s="151" t="e">
        <v>#N/A</v>
      </c>
      <c r="BQ385" t="e">
        <v>#N/A</v>
      </c>
      <c r="BR385" t="str">
        <v/>
      </c>
    </row>
    <row r="386" spans="47:70" x14ac:dyDescent="0.2">
      <c r="AU386"/>
      <c r="AV386"/>
      <c r="AW386"/>
      <c r="AX386"/>
      <c r="AY386"/>
      <c r="BK386" s="42">
        <v>385</v>
      </c>
      <c r="BL386" s="127">
        <v>2</v>
      </c>
      <c r="BM386" s="127">
        <v>1.0047263613915816</v>
      </c>
      <c r="BN386" s="127" t="e">
        <v>#N/A</v>
      </c>
      <c r="BO386" s="127">
        <v>1.0047263613915816</v>
      </c>
      <c r="BP386" s="151" t="e">
        <v>#N/A</v>
      </c>
      <c r="BQ386" t="e">
        <v>#N/A</v>
      </c>
      <c r="BR386" t="str">
        <v/>
      </c>
    </row>
    <row r="387" spans="47:70" x14ac:dyDescent="0.2">
      <c r="AU387"/>
      <c r="AV387"/>
      <c r="AW387"/>
      <c r="AX387"/>
      <c r="AY387"/>
      <c r="BK387" s="42">
        <v>386</v>
      </c>
      <c r="BL387" s="127">
        <v>2</v>
      </c>
      <c r="BM387" s="127">
        <v>1.0047263613915816</v>
      </c>
      <c r="BN387" s="127" t="e">
        <v>#N/A</v>
      </c>
      <c r="BO387" s="127">
        <v>1.0047263613915816</v>
      </c>
      <c r="BP387" s="151" t="e">
        <v>#N/A</v>
      </c>
      <c r="BQ387" t="e">
        <v>#N/A</v>
      </c>
      <c r="BR387" t="str">
        <v/>
      </c>
    </row>
    <row r="388" spans="47:70" x14ac:dyDescent="0.2">
      <c r="AU388"/>
      <c r="AV388"/>
      <c r="AW388"/>
      <c r="AX388"/>
      <c r="AY388"/>
      <c r="BK388" s="42">
        <v>387</v>
      </c>
      <c r="BL388" s="127">
        <v>2</v>
      </c>
      <c r="BM388" s="127">
        <v>1.0047263613915816</v>
      </c>
      <c r="BN388" s="127" t="e">
        <v>#N/A</v>
      </c>
      <c r="BO388" s="127">
        <v>1.0047263613915816</v>
      </c>
      <c r="BP388" s="151" t="e">
        <v>#N/A</v>
      </c>
      <c r="BQ388" t="e">
        <v>#N/A</v>
      </c>
      <c r="BR388" t="str">
        <v/>
      </c>
    </row>
    <row r="389" spans="47:70" x14ac:dyDescent="0.2">
      <c r="AU389"/>
      <c r="AV389"/>
      <c r="AW389"/>
      <c r="AX389"/>
      <c r="AY389"/>
      <c r="BK389" s="42">
        <v>388</v>
      </c>
      <c r="BL389" s="127">
        <v>2</v>
      </c>
      <c r="BM389" s="127">
        <v>1.0047263613915816</v>
      </c>
      <c r="BN389" s="127" t="e">
        <v>#N/A</v>
      </c>
      <c r="BO389" s="127">
        <v>1.0047263613915816</v>
      </c>
      <c r="BP389" s="151" t="e">
        <v>#N/A</v>
      </c>
      <c r="BQ389" t="e">
        <v>#N/A</v>
      </c>
      <c r="BR389" t="str">
        <v/>
      </c>
    </row>
    <row r="390" spans="47:70" x14ac:dyDescent="0.2">
      <c r="AU390"/>
      <c r="AV390"/>
      <c r="AW390"/>
      <c r="AX390"/>
      <c r="AY390"/>
      <c r="BK390" s="42">
        <v>389</v>
      </c>
      <c r="BL390" s="127">
        <v>2</v>
      </c>
      <c r="BM390" s="127">
        <v>1.0047263613915816</v>
      </c>
      <c r="BN390" s="127" t="e">
        <v>#N/A</v>
      </c>
      <c r="BO390" s="127">
        <v>1.0047263613915816</v>
      </c>
      <c r="BP390" s="151" t="e">
        <v>#N/A</v>
      </c>
      <c r="BQ390" t="e">
        <v>#N/A</v>
      </c>
      <c r="BR390" t="str">
        <v/>
      </c>
    </row>
    <row r="391" spans="47:70" x14ac:dyDescent="0.2">
      <c r="AU391"/>
      <c r="AV391"/>
      <c r="AW391"/>
      <c r="AX391"/>
      <c r="AY391"/>
      <c r="BK391" s="42">
        <v>390</v>
      </c>
      <c r="BL391" s="127">
        <v>2</v>
      </c>
      <c r="BM391" s="127">
        <v>1.0047263613915816</v>
      </c>
      <c r="BN391" s="127" t="e">
        <v>#N/A</v>
      </c>
      <c r="BO391" s="127">
        <v>1.0047263613915816</v>
      </c>
      <c r="BP391" s="151" t="e">
        <v>#N/A</v>
      </c>
      <c r="BQ391" t="e">
        <v>#N/A</v>
      </c>
      <c r="BR391" t="str">
        <v/>
      </c>
    </row>
    <row r="392" spans="47:70" x14ac:dyDescent="0.2">
      <c r="AU392"/>
      <c r="AV392"/>
      <c r="AW392"/>
      <c r="AX392"/>
      <c r="AY392"/>
      <c r="BK392" s="42">
        <v>391</v>
      </c>
      <c r="BL392" s="127">
        <v>2</v>
      </c>
      <c r="BM392" s="127">
        <v>1.0047263613915816</v>
      </c>
      <c r="BN392" s="127" t="e">
        <v>#N/A</v>
      </c>
      <c r="BO392" s="127">
        <v>1.0047263613915816</v>
      </c>
      <c r="BP392" s="151" t="e">
        <v>#N/A</v>
      </c>
      <c r="BQ392" t="e">
        <v>#N/A</v>
      </c>
      <c r="BR392" t="str">
        <v/>
      </c>
    </row>
    <row r="393" spans="47:70" x14ac:dyDescent="0.2">
      <c r="AU393"/>
      <c r="AV393"/>
      <c r="AW393"/>
      <c r="AX393"/>
      <c r="AY393"/>
      <c r="BK393" s="42">
        <v>392</v>
      </c>
      <c r="BL393" s="127">
        <v>2</v>
      </c>
      <c r="BM393" s="127">
        <v>1.0047263613915816</v>
      </c>
      <c r="BN393" s="127" t="e">
        <v>#N/A</v>
      </c>
      <c r="BO393" s="127">
        <v>1.0047263613915816</v>
      </c>
      <c r="BP393" s="151" t="e">
        <v>#N/A</v>
      </c>
      <c r="BQ393" t="e">
        <v>#N/A</v>
      </c>
      <c r="BR393" t="str">
        <v/>
      </c>
    </row>
    <row r="394" spans="47:70" x14ac:dyDescent="0.2">
      <c r="AU394"/>
      <c r="AV394"/>
      <c r="AW394"/>
      <c r="AX394"/>
      <c r="AY394"/>
      <c r="BK394" s="42">
        <v>393</v>
      </c>
      <c r="BL394" s="127">
        <v>2</v>
      </c>
      <c r="BM394" s="127">
        <v>1.0047263613915816</v>
      </c>
      <c r="BN394" s="127" t="e">
        <v>#N/A</v>
      </c>
      <c r="BO394" s="127">
        <v>1.0047263613915816</v>
      </c>
      <c r="BP394" s="151" t="e">
        <v>#N/A</v>
      </c>
      <c r="BQ394" t="e">
        <v>#N/A</v>
      </c>
      <c r="BR394" t="str">
        <v/>
      </c>
    </row>
    <row r="395" spans="47:70" x14ac:dyDescent="0.2">
      <c r="AU395"/>
      <c r="AV395"/>
      <c r="AW395"/>
      <c r="AX395"/>
      <c r="AY395"/>
      <c r="BK395" s="42">
        <v>394</v>
      </c>
      <c r="BL395" s="127">
        <v>2</v>
      </c>
      <c r="BM395" s="127">
        <v>1.0047263613915816</v>
      </c>
      <c r="BN395" s="127" t="e">
        <v>#N/A</v>
      </c>
      <c r="BO395" s="127">
        <v>1.0047263613915816</v>
      </c>
      <c r="BP395" s="151" t="e">
        <v>#N/A</v>
      </c>
      <c r="BQ395" t="e">
        <v>#N/A</v>
      </c>
      <c r="BR395" t="str">
        <v/>
      </c>
    </row>
    <row r="396" spans="47:70" x14ac:dyDescent="0.2">
      <c r="AU396"/>
      <c r="AV396"/>
      <c r="AW396"/>
      <c r="AX396"/>
      <c r="AY396"/>
      <c r="BK396" s="42">
        <v>395</v>
      </c>
      <c r="BL396" s="127">
        <v>2</v>
      </c>
      <c r="BM396" s="127">
        <v>1.0047263613915816</v>
      </c>
      <c r="BN396" s="127" t="e">
        <v>#N/A</v>
      </c>
      <c r="BO396" s="127">
        <v>1.0047263613915816</v>
      </c>
      <c r="BP396" s="151" t="e">
        <v>#N/A</v>
      </c>
      <c r="BQ396" t="e">
        <v>#N/A</v>
      </c>
      <c r="BR396" t="str">
        <v/>
      </c>
    </row>
    <row r="397" spans="47:70" x14ac:dyDescent="0.2">
      <c r="AU397"/>
      <c r="AV397"/>
      <c r="AW397"/>
      <c r="AX397"/>
      <c r="AY397"/>
      <c r="BK397" s="42">
        <v>396</v>
      </c>
      <c r="BL397" s="127">
        <v>2</v>
      </c>
      <c r="BM397" s="127">
        <v>1.0047263613915816</v>
      </c>
      <c r="BN397" s="127" t="e">
        <v>#N/A</v>
      </c>
      <c r="BO397" s="127">
        <v>1.0047263613915816</v>
      </c>
      <c r="BP397" s="151" t="e">
        <v>#N/A</v>
      </c>
      <c r="BQ397" t="e">
        <v>#N/A</v>
      </c>
      <c r="BR397" t="str">
        <v/>
      </c>
    </row>
    <row r="398" spans="47:70" x14ac:dyDescent="0.2">
      <c r="AU398"/>
      <c r="AV398"/>
      <c r="AW398"/>
      <c r="AX398"/>
      <c r="AY398"/>
      <c r="BK398" s="42">
        <v>397</v>
      </c>
      <c r="BL398" s="127">
        <v>2</v>
      </c>
      <c r="BM398" s="127">
        <v>1.0047263613915816</v>
      </c>
      <c r="BN398" s="127" t="e">
        <v>#N/A</v>
      </c>
      <c r="BO398" s="127">
        <v>1.0047263613915816</v>
      </c>
      <c r="BP398" s="151" t="e">
        <v>#N/A</v>
      </c>
      <c r="BQ398" t="e">
        <v>#N/A</v>
      </c>
      <c r="BR398" t="str">
        <v/>
      </c>
    </row>
    <row r="399" spans="47:70" x14ac:dyDescent="0.2">
      <c r="AU399"/>
      <c r="AV399"/>
      <c r="AW399"/>
      <c r="AX399"/>
      <c r="AY399"/>
      <c r="BK399" s="42">
        <v>398</v>
      </c>
      <c r="BL399" s="127">
        <v>2</v>
      </c>
      <c r="BM399" s="127">
        <v>1.0047263613915816</v>
      </c>
      <c r="BN399" s="127" t="e">
        <v>#N/A</v>
      </c>
      <c r="BO399" s="127">
        <v>1.0047263613915816</v>
      </c>
      <c r="BP399" s="151" t="e">
        <v>#N/A</v>
      </c>
      <c r="BQ399" t="e">
        <v>#N/A</v>
      </c>
      <c r="BR399" t="str">
        <v/>
      </c>
    </row>
    <row r="400" spans="47:70" x14ac:dyDescent="0.2">
      <c r="AU400"/>
      <c r="AV400"/>
      <c r="AW400"/>
      <c r="AX400"/>
      <c r="AY400"/>
      <c r="BK400" s="42">
        <v>399</v>
      </c>
      <c r="BL400" s="127">
        <v>2</v>
      </c>
      <c r="BM400" s="127">
        <v>1.0047263613915816</v>
      </c>
      <c r="BN400" s="127" t="e">
        <v>#N/A</v>
      </c>
      <c r="BO400" s="127">
        <v>1.0047263613915816</v>
      </c>
      <c r="BP400" s="151" t="e">
        <v>#N/A</v>
      </c>
      <c r="BQ400" t="e">
        <v>#N/A</v>
      </c>
      <c r="BR400" t="str">
        <v/>
      </c>
    </row>
    <row r="401" spans="47:70" x14ac:dyDescent="0.2">
      <c r="AU401"/>
      <c r="AV401"/>
      <c r="AW401"/>
      <c r="AX401"/>
      <c r="AY401"/>
      <c r="BK401" s="42">
        <v>400</v>
      </c>
      <c r="BL401" s="127">
        <v>2</v>
      </c>
      <c r="BM401" s="127">
        <v>1.0047263613915816</v>
      </c>
      <c r="BN401" s="127" t="e">
        <v>#N/A</v>
      </c>
      <c r="BO401" s="127">
        <v>1.0047263613915816</v>
      </c>
      <c r="BP401" s="151" t="e">
        <v>#N/A</v>
      </c>
      <c r="BQ401" t="e">
        <v>#N/A</v>
      </c>
      <c r="BR401" t="str">
        <v/>
      </c>
    </row>
    <row r="402" spans="47:70" x14ac:dyDescent="0.2">
      <c r="AU402"/>
      <c r="AV402"/>
      <c r="AW402"/>
      <c r="AX402"/>
      <c r="AY402"/>
      <c r="BK402" s="42">
        <v>401</v>
      </c>
      <c r="BL402" s="127">
        <v>2</v>
      </c>
      <c r="BM402" s="127">
        <v>1.0047263613915816</v>
      </c>
      <c r="BN402" s="127" t="e">
        <v>#N/A</v>
      </c>
      <c r="BO402" s="127">
        <v>1.0047263613915816</v>
      </c>
      <c r="BP402" s="151" t="e">
        <v>#N/A</v>
      </c>
      <c r="BQ402" t="e">
        <v>#N/A</v>
      </c>
      <c r="BR402" t="str">
        <v/>
      </c>
    </row>
    <row r="403" spans="47:70" x14ac:dyDescent="0.2">
      <c r="AU403"/>
      <c r="AV403"/>
      <c r="AW403"/>
      <c r="AX403"/>
      <c r="AY403"/>
      <c r="BK403" s="42">
        <v>402</v>
      </c>
      <c r="BL403" s="127">
        <v>2</v>
      </c>
      <c r="BM403" s="127">
        <v>1.0047263613915816</v>
      </c>
      <c r="BN403" s="127" t="e">
        <v>#N/A</v>
      </c>
      <c r="BO403" s="127">
        <v>1.0047263613915816</v>
      </c>
      <c r="BP403" s="151" t="e">
        <v>#N/A</v>
      </c>
      <c r="BQ403" t="e">
        <v>#N/A</v>
      </c>
      <c r="BR403" t="str">
        <v/>
      </c>
    </row>
    <row r="404" spans="47:70" x14ac:dyDescent="0.2">
      <c r="AU404"/>
      <c r="AV404"/>
      <c r="AW404"/>
      <c r="AX404"/>
      <c r="AY404"/>
      <c r="BK404" s="42">
        <v>403</v>
      </c>
      <c r="BL404" s="127">
        <v>2</v>
      </c>
      <c r="BM404" s="127">
        <v>1.0047263613915816</v>
      </c>
      <c r="BN404" s="127" t="e">
        <v>#N/A</v>
      </c>
      <c r="BO404" s="127">
        <v>1.0047263613915816</v>
      </c>
      <c r="BP404" s="151" t="e">
        <v>#N/A</v>
      </c>
      <c r="BQ404" t="e">
        <v>#N/A</v>
      </c>
      <c r="BR404" t="str">
        <v/>
      </c>
    </row>
    <row r="405" spans="47:70" x14ac:dyDescent="0.2">
      <c r="AU405"/>
      <c r="AV405"/>
      <c r="AW405"/>
      <c r="AX405"/>
      <c r="AY405"/>
      <c r="BK405" s="42">
        <v>404</v>
      </c>
      <c r="BL405" s="127">
        <v>2</v>
      </c>
      <c r="BM405" s="127">
        <v>1.0047263613915816</v>
      </c>
      <c r="BN405" s="127" t="e">
        <v>#N/A</v>
      </c>
      <c r="BO405" s="127">
        <v>1.0047263613915816</v>
      </c>
      <c r="BP405" s="151" t="e">
        <v>#N/A</v>
      </c>
      <c r="BQ405" t="e">
        <v>#N/A</v>
      </c>
      <c r="BR405" t="str">
        <v/>
      </c>
    </row>
    <row r="406" spans="47:70" x14ac:dyDescent="0.2">
      <c r="AU406"/>
      <c r="AV406"/>
      <c r="AW406"/>
      <c r="AX406"/>
      <c r="AY406"/>
      <c r="BK406" s="42">
        <v>405</v>
      </c>
      <c r="BL406" s="127">
        <v>2</v>
      </c>
      <c r="BM406" s="127">
        <v>1.0047263613915816</v>
      </c>
      <c r="BN406" s="127" t="e">
        <v>#N/A</v>
      </c>
      <c r="BO406" s="127">
        <v>1.0047263613915816</v>
      </c>
      <c r="BP406" s="151" t="e">
        <v>#N/A</v>
      </c>
      <c r="BQ406" t="e">
        <v>#N/A</v>
      </c>
      <c r="BR406" t="str">
        <v/>
      </c>
    </row>
    <row r="407" spans="47:70" x14ac:dyDescent="0.2">
      <c r="AU407"/>
      <c r="AV407"/>
      <c r="AW407"/>
      <c r="AX407"/>
      <c r="AY407"/>
      <c r="BK407" s="42">
        <v>406</v>
      </c>
      <c r="BL407" s="127">
        <v>2</v>
      </c>
      <c r="BM407" s="127">
        <v>1.0047263613915816</v>
      </c>
      <c r="BN407" s="127" t="e">
        <v>#N/A</v>
      </c>
      <c r="BO407" s="127">
        <v>1.0047263613915816</v>
      </c>
      <c r="BP407" s="151" t="e">
        <v>#N/A</v>
      </c>
      <c r="BQ407" t="e">
        <v>#N/A</v>
      </c>
      <c r="BR407" t="str">
        <v/>
      </c>
    </row>
    <row r="408" spans="47:70" x14ac:dyDescent="0.2">
      <c r="AU408"/>
      <c r="AV408"/>
      <c r="AW408"/>
      <c r="AX408"/>
      <c r="AY408"/>
      <c r="BK408" s="42">
        <v>407</v>
      </c>
      <c r="BL408" s="127">
        <v>2</v>
      </c>
      <c r="BM408" s="127">
        <v>1.0047263613915816</v>
      </c>
      <c r="BN408" s="127" t="e">
        <v>#N/A</v>
      </c>
      <c r="BO408" s="127">
        <v>1.0047263613915816</v>
      </c>
      <c r="BP408" s="151" t="e">
        <v>#N/A</v>
      </c>
      <c r="BQ408" t="e">
        <v>#N/A</v>
      </c>
      <c r="BR408" t="str">
        <v/>
      </c>
    </row>
    <row r="409" spans="47:70" x14ac:dyDescent="0.2">
      <c r="AU409"/>
      <c r="AV409"/>
      <c r="AW409"/>
      <c r="AX409"/>
      <c r="AY409"/>
      <c r="BK409" s="42">
        <v>408</v>
      </c>
      <c r="BL409" s="127">
        <v>2</v>
      </c>
      <c r="BM409" s="127">
        <v>1.0047263613915816</v>
      </c>
      <c r="BN409" s="127" t="e">
        <v>#N/A</v>
      </c>
      <c r="BO409" s="127">
        <v>1.0047263613915816</v>
      </c>
      <c r="BP409" s="151" t="e">
        <v>#N/A</v>
      </c>
      <c r="BQ409" t="e">
        <v>#N/A</v>
      </c>
      <c r="BR409" t="str">
        <v/>
      </c>
    </row>
    <row r="410" spans="47:70" x14ac:dyDescent="0.2">
      <c r="AU410"/>
      <c r="AV410"/>
      <c r="AW410"/>
      <c r="AX410"/>
      <c r="AY410"/>
      <c r="BK410" s="42">
        <v>409</v>
      </c>
      <c r="BL410" s="127">
        <v>2</v>
      </c>
      <c r="BM410" s="127">
        <v>1.0047263613915816</v>
      </c>
      <c r="BN410" s="127" t="e">
        <v>#N/A</v>
      </c>
      <c r="BO410" s="127">
        <v>1.0047263613915816</v>
      </c>
      <c r="BP410" s="151" t="e">
        <v>#N/A</v>
      </c>
      <c r="BQ410" t="e">
        <v>#N/A</v>
      </c>
      <c r="BR410" t="str">
        <v/>
      </c>
    </row>
    <row r="411" spans="47:70" x14ac:dyDescent="0.2">
      <c r="AU411"/>
      <c r="AV411"/>
      <c r="AW411"/>
      <c r="AX411"/>
      <c r="AY411"/>
      <c r="BK411" s="42">
        <v>410</v>
      </c>
      <c r="BL411" s="127">
        <v>2</v>
      </c>
      <c r="BM411" s="127">
        <v>1.0047263613915816</v>
      </c>
      <c r="BN411" s="127" t="e">
        <v>#N/A</v>
      </c>
      <c r="BO411" s="127">
        <v>1.0047263613915816</v>
      </c>
      <c r="BP411" s="151" t="e">
        <v>#N/A</v>
      </c>
      <c r="BQ411" t="e">
        <v>#N/A</v>
      </c>
      <c r="BR411" t="str">
        <v/>
      </c>
    </row>
    <row r="412" spans="47:70" x14ac:dyDescent="0.2">
      <c r="AU412"/>
      <c r="AV412"/>
      <c r="AW412"/>
      <c r="AX412"/>
      <c r="AY412"/>
      <c r="BK412" s="42">
        <v>411</v>
      </c>
      <c r="BL412" s="127">
        <v>2</v>
      </c>
      <c r="BM412" s="127">
        <v>1.0047263613915816</v>
      </c>
      <c r="BN412" s="127" t="e">
        <v>#N/A</v>
      </c>
      <c r="BO412" s="127">
        <v>1.0047263613915816</v>
      </c>
      <c r="BP412" s="151" t="e">
        <v>#N/A</v>
      </c>
      <c r="BQ412" t="e">
        <v>#N/A</v>
      </c>
      <c r="BR412" t="str">
        <v/>
      </c>
    </row>
    <row r="413" spans="47:70" x14ac:dyDescent="0.2">
      <c r="AU413"/>
      <c r="AV413"/>
      <c r="AW413"/>
      <c r="AX413"/>
      <c r="AY413"/>
      <c r="BK413" s="42">
        <v>412</v>
      </c>
      <c r="BL413" s="127">
        <v>2</v>
      </c>
      <c r="BM413" s="127">
        <v>1.0047263613915816</v>
      </c>
      <c r="BN413" s="127" t="e">
        <v>#N/A</v>
      </c>
      <c r="BO413" s="127">
        <v>1.0047263613915816</v>
      </c>
      <c r="BP413" s="151" t="e">
        <v>#N/A</v>
      </c>
      <c r="BQ413" t="e">
        <v>#N/A</v>
      </c>
      <c r="BR413" t="str">
        <v/>
      </c>
    </row>
    <row r="414" spans="47:70" x14ac:dyDescent="0.2">
      <c r="AU414"/>
      <c r="AV414"/>
      <c r="AW414"/>
      <c r="AX414"/>
      <c r="AY414"/>
      <c r="BK414" s="42">
        <v>413</v>
      </c>
      <c r="BL414" s="127">
        <v>2</v>
      </c>
      <c r="BM414" s="127">
        <v>1.0047263613915816</v>
      </c>
      <c r="BN414" s="127" t="e">
        <v>#N/A</v>
      </c>
      <c r="BO414" s="127">
        <v>1.0047263613915816</v>
      </c>
      <c r="BP414" s="151" t="e">
        <v>#N/A</v>
      </c>
      <c r="BQ414" t="e">
        <v>#N/A</v>
      </c>
      <c r="BR414" t="str">
        <v/>
      </c>
    </row>
    <row r="415" spans="47:70" x14ac:dyDescent="0.2">
      <c r="AU415"/>
      <c r="AV415"/>
      <c r="AW415"/>
      <c r="AX415"/>
      <c r="AY415"/>
      <c r="BK415" s="42">
        <v>414</v>
      </c>
      <c r="BL415" s="127">
        <v>2</v>
      </c>
      <c r="BM415" s="127">
        <v>1.0047263613915816</v>
      </c>
      <c r="BN415" s="127" t="e">
        <v>#N/A</v>
      </c>
      <c r="BO415" s="127">
        <v>1.0047263613915816</v>
      </c>
      <c r="BP415" s="151" t="e">
        <v>#N/A</v>
      </c>
      <c r="BQ415" t="e">
        <v>#N/A</v>
      </c>
      <c r="BR415" t="str">
        <v/>
      </c>
    </row>
    <row r="416" spans="47:70" x14ac:dyDescent="0.2">
      <c r="AU416"/>
      <c r="AV416"/>
      <c r="AW416"/>
      <c r="AX416"/>
      <c r="AY416"/>
      <c r="BK416" s="42">
        <v>415</v>
      </c>
      <c r="BL416" s="127">
        <v>2</v>
      </c>
      <c r="BM416" s="127">
        <v>1.0047263613915816</v>
      </c>
      <c r="BN416" s="127" t="e">
        <v>#N/A</v>
      </c>
      <c r="BO416" s="127">
        <v>1.0047263613915816</v>
      </c>
      <c r="BP416" s="151" t="e">
        <v>#N/A</v>
      </c>
      <c r="BQ416" t="e">
        <v>#N/A</v>
      </c>
      <c r="BR416" t="str">
        <v/>
      </c>
    </row>
    <row r="417" spans="47:70" x14ac:dyDescent="0.2">
      <c r="AU417"/>
      <c r="AV417"/>
      <c r="AW417"/>
      <c r="AX417"/>
      <c r="AY417"/>
      <c r="BK417" s="42">
        <v>416</v>
      </c>
      <c r="BL417" s="127">
        <v>2</v>
      </c>
      <c r="BM417" s="127">
        <v>1.0047263613915816</v>
      </c>
      <c r="BN417" s="127" t="e">
        <v>#N/A</v>
      </c>
      <c r="BO417" s="127">
        <v>1.0047263613915816</v>
      </c>
      <c r="BP417" s="151" t="e">
        <v>#N/A</v>
      </c>
      <c r="BQ417" t="e">
        <v>#N/A</v>
      </c>
      <c r="BR417" t="str">
        <v/>
      </c>
    </row>
    <row r="418" spans="47:70" x14ac:dyDescent="0.2">
      <c r="AU418"/>
      <c r="AV418"/>
      <c r="AW418"/>
      <c r="AX418"/>
      <c r="AY418"/>
      <c r="BK418" s="42">
        <v>417</v>
      </c>
      <c r="BL418" s="127">
        <v>2</v>
      </c>
      <c r="BM418" s="127">
        <v>1.0047263613915816</v>
      </c>
      <c r="BN418" s="127" t="e">
        <v>#N/A</v>
      </c>
      <c r="BO418" s="127">
        <v>1.0047263613915816</v>
      </c>
      <c r="BP418" s="151" t="e">
        <v>#N/A</v>
      </c>
      <c r="BQ418" t="e">
        <v>#N/A</v>
      </c>
      <c r="BR418" t="str">
        <v/>
      </c>
    </row>
    <row r="419" spans="47:70" x14ac:dyDescent="0.2">
      <c r="AU419"/>
      <c r="AV419"/>
      <c r="AW419"/>
      <c r="AX419"/>
      <c r="AY419"/>
      <c r="BK419" s="42">
        <v>418</v>
      </c>
      <c r="BL419" s="127">
        <v>2</v>
      </c>
      <c r="BM419" s="127">
        <v>1.0047263613915816</v>
      </c>
      <c r="BN419" s="127" t="e">
        <v>#N/A</v>
      </c>
      <c r="BO419" s="127">
        <v>1.0047263613915816</v>
      </c>
      <c r="BP419" s="151" t="e">
        <v>#N/A</v>
      </c>
      <c r="BQ419" t="e">
        <v>#N/A</v>
      </c>
      <c r="BR419" t="str">
        <v/>
      </c>
    </row>
    <row r="420" spans="47:70" x14ac:dyDescent="0.2">
      <c r="AU420"/>
      <c r="AV420"/>
      <c r="AW420"/>
      <c r="AX420"/>
      <c r="AY420"/>
      <c r="BK420" s="42">
        <v>419</v>
      </c>
      <c r="BL420" s="127">
        <v>2</v>
      </c>
      <c r="BM420" s="127">
        <v>1.0047263613915816</v>
      </c>
      <c r="BN420" s="127" t="e">
        <v>#N/A</v>
      </c>
      <c r="BO420" s="127">
        <v>1.0047263613915816</v>
      </c>
      <c r="BP420" s="151" t="e">
        <v>#N/A</v>
      </c>
      <c r="BQ420" t="e">
        <v>#N/A</v>
      </c>
      <c r="BR420" t="str">
        <v/>
      </c>
    </row>
    <row r="421" spans="47:70" x14ac:dyDescent="0.2">
      <c r="AU421"/>
      <c r="AV421"/>
      <c r="AW421"/>
      <c r="AX421"/>
      <c r="AY421"/>
      <c r="BK421" s="42">
        <v>420</v>
      </c>
      <c r="BL421" s="127">
        <v>2</v>
      </c>
      <c r="BM421" s="127">
        <v>1.0047263613915816</v>
      </c>
      <c r="BN421" s="127" t="e">
        <v>#N/A</v>
      </c>
      <c r="BO421" s="127">
        <v>1.0047263613915816</v>
      </c>
      <c r="BP421" s="151" t="e">
        <v>#N/A</v>
      </c>
      <c r="BQ421" t="e">
        <v>#N/A</v>
      </c>
      <c r="BR421" t="str">
        <v/>
      </c>
    </row>
    <row r="422" spans="47:70" x14ac:dyDescent="0.2">
      <c r="AU422"/>
      <c r="AV422"/>
      <c r="AW422"/>
      <c r="AX422"/>
      <c r="AY422"/>
      <c r="BK422" s="42">
        <v>421</v>
      </c>
      <c r="BL422" s="127">
        <v>2</v>
      </c>
      <c r="BM422" s="127">
        <v>1.0047263613915816</v>
      </c>
      <c r="BN422" s="127" t="e">
        <v>#N/A</v>
      </c>
      <c r="BO422" s="127">
        <v>1.0047263613915816</v>
      </c>
      <c r="BP422" s="151" t="e">
        <v>#N/A</v>
      </c>
      <c r="BQ422" t="e">
        <v>#N/A</v>
      </c>
      <c r="BR422" t="str">
        <v/>
      </c>
    </row>
    <row r="423" spans="47:70" x14ac:dyDescent="0.2">
      <c r="AU423"/>
      <c r="AV423"/>
      <c r="AW423"/>
      <c r="AX423"/>
      <c r="AY423"/>
      <c r="BK423" s="42">
        <v>422</v>
      </c>
      <c r="BL423" s="127">
        <v>2</v>
      </c>
      <c r="BM423" s="127">
        <v>1.0047263613915816</v>
      </c>
      <c r="BN423" s="127" t="e">
        <v>#N/A</v>
      </c>
      <c r="BO423" s="127">
        <v>1.0047263613915816</v>
      </c>
      <c r="BP423" s="151" t="e">
        <v>#N/A</v>
      </c>
      <c r="BQ423" t="e">
        <v>#N/A</v>
      </c>
      <c r="BR423" t="str">
        <v/>
      </c>
    </row>
    <row r="424" spans="47:70" x14ac:dyDescent="0.2">
      <c r="AU424"/>
      <c r="AV424"/>
      <c r="AW424"/>
      <c r="AX424"/>
      <c r="AY424"/>
      <c r="BK424" s="42">
        <v>423</v>
      </c>
      <c r="BL424" s="127">
        <v>2</v>
      </c>
      <c r="BM424" s="127">
        <v>1.0047263613915816</v>
      </c>
      <c r="BN424" s="127" t="e">
        <v>#N/A</v>
      </c>
      <c r="BO424" s="127">
        <v>1.0047263613915816</v>
      </c>
      <c r="BP424" s="151" t="e">
        <v>#N/A</v>
      </c>
      <c r="BQ424" t="e">
        <v>#N/A</v>
      </c>
      <c r="BR424" t="str">
        <v/>
      </c>
    </row>
    <row r="425" spans="47:70" x14ac:dyDescent="0.2">
      <c r="AU425"/>
      <c r="AV425"/>
      <c r="AW425"/>
      <c r="AX425"/>
      <c r="AY425"/>
      <c r="BK425" s="42">
        <v>424</v>
      </c>
      <c r="BL425" s="127">
        <v>2</v>
      </c>
      <c r="BM425" s="127">
        <v>1.0047263613915816</v>
      </c>
      <c r="BN425" s="127" t="e">
        <v>#N/A</v>
      </c>
      <c r="BO425" s="127">
        <v>1.0047263613915816</v>
      </c>
      <c r="BP425" s="151" t="e">
        <v>#N/A</v>
      </c>
      <c r="BQ425" t="e">
        <v>#N/A</v>
      </c>
      <c r="BR425" t="str">
        <v/>
      </c>
    </row>
    <row r="426" spans="47:70" x14ac:dyDescent="0.2">
      <c r="AU426"/>
      <c r="AV426"/>
      <c r="AW426"/>
      <c r="AX426"/>
      <c r="AY426"/>
      <c r="BK426" s="42">
        <v>425</v>
      </c>
      <c r="BL426" s="127">
        <v>2</v>
      </c>
      <c r="BM426" s="127">
        <v>1.0047263613915816</v>
      </c>
      <c r="BN426" s="127" t="e">
        <v>#N/A</v>
      </c>
      <c r="BO426" s="127">
        <v>1.0047263613915816</v>
      </c>
      <c r="BP426" s="151" t="e">
        <v>#N/A</v>
      </c>
      <c r="BQ426" t="e">
        <v>#N/A</v>
      </c>
      <c r="BR426" t="str">
        <v/>
      </c>
    </row>
    <row r="427" spans="47:70" x14ac:dyDescent="0.2">
      <c r="AU427"/>
      <c r="AV427"/>
      <c r="AW427"/>
      <c r="AX427"/>
      <c r="AY427"/>
      <c r="BK427" s="42">
        <v>426</v>
      </c>
      <c r="BL427" s="127">
        <v>2</v>
      </c>
      <c r="BM427" s="127">
        <v>1.0047263613915816</v>
      </c>
      <c r="BN427" s="127" t="e">
        <v>#N/A</v>
      </c>
      <c r="BO427" s="127">
        <v>1.0047263613915816</v>
      </c>
      <c r="BP427" s="151" t="e">
        <v>#N/A</v>
      </c>
      <c r="BQ427" t="e">
        <v>#N/A</v>
      </c>
      <c r="BR427" t="str">
        <v/>
      </c>
    </row>
    <row r="428" spans="47:70" x14ac:dyDescent="0.2">
      <c r="AU428"/>
      <c r="AV428"/>
      <c r="AW428"/>
      <c r="AX428"/>
      <c r="AY428"/>
      <c r="BK428" s="42">
        <v>427</v>
      </c>
      <c r="BL428" s="127">
        <v>2</v>
      </c>
      <c r="BM428" s="127">
        <v>1.0047263613915816</v>
      </c>
      <c r="BN428" s="127" t="e">
        <v>#N/A</v>
      </c>
      <c r="BO428" s="127">
        <v>1.0047263613915816</v>
      </c>
      <c r="BP428" s="151" t="e">
        <v>#N/A</v>
      </c>
      <c r="BQ428" t="e">
        <v>#N/A</v>
      </c>
      <c r="BR428" t="str">
        <v/>
      </c>
    </row>
    <row r="429" spans="47:70" x14ac:dyDescent="0.2">
      <c r="AU429"/>
      <c r="AV429"/>
      <c r="AW429"/>
      <c r="AX429"/>
      <c r="AY429"/>
      <c r="BK429" s="42">
        <v>428</v>
      </c>
      <c r="BL429" s="127">
        <v>2</v>
      </c>
      <c r="BM429" s="127">
        <v>1.0047263613915816</v>
      </c>
      <c r="BN429" s="127" t="e">
        <v>#N/A</v>
      </c>
      <c r="BO429" s="127">
        <v>1.0047263613915816</v>
      </c>
      <c r="BP429" s="151" t="e">
        <v>#N/A</v>
      </c>
      <c r="BQ429" t="e">
        <v>#N/A</v>
      </c>
      <c r="BR429" t="str">
        <v/>
      </c>
    </row>
    <row r="430" spans="47:70" x14ac:dyDescent="0.2">
      <c r="AU430"/>
      <c r="AV430"/>
      <c r="AW430"/>
      <c r="AX430"/>
      <c r="AY430"/>
      <c r="BK430" s="42">
        <v>429</v>
      </c>
      <c r="BL430" s="127">
        <v>2</v>
      </c>
      <c r="BM430" s="127">
        <v>1.0047263613915816</v>
      </c>
      <c r="BN430" s="127" t="e">
        <v>#N/A</v>
      </c>
      <c r="BO430" s="127">
        <v>1.0047263613915816</v>
      </c>
      <c r="BP430" s="151" t="e">
        <v>#N/A</v>
      </c>
      <c r="BQ430" t="e">
        <v>#N/A</v>
      </c>
      <c r="BR430" t="str">
        <v/>
      </c>
    </row>
    <row r="431" spans="47:70" x14ac:dyDescent="0.2">
      <c r="AU431"/>
      <c r="AV431"/>
      <c r="AW431"/>
      <c r="AX431"/>
      <c r="AY431"/>
      <c r="BK431" s="42">
        <v>430</v>
      </c>
      <c r="BL431" s="127">
        <v>2</v>
      </c>
      <c r="BM431" s="127">
        <v>1.0047263613915816</v>
      </c>
      <c r="BN431" s="127" t="e">
        <v>#N/A</v>
      </c>
      <c r="BO431" s="127">
        <v>1.0047263613915816</v>
      </c>
      <c r="BP431" s="151" t="e">
        <v>#N/A</v>
      </c>
      <c r="BQ431" t="e">
        <v>#N/A</v>
      </c>
      <c r="BR431" t="str">
        <v/>
      </c>
    </row>
    <row r="432" spans="47:70" x14ac:dyDescent="0.2">
      <c r="AU432"/>
      <c r="AV432"/>
      <c r="AW432"/>
      <c r="AX432"/>
      <c r="AY432"/>
      <c r="BK432" s="42">
        <v>431</v>
      </c>
      <c r="BL432" s="127">
        <v>2</v>
      </c>
      <c r="BM432" s="127">
        <v>1.0047263613915816</v>
      </c>
      <c r="BN432" s="127" t="e">
        <v>#N/A</v>
      </c>
      <c r="BO432" s="127">
        <v>1.0047263613915816</v>
      </c>
      <c r="BP432" s="151" t="e">
        <v>#N/A</v>
      </c>
      <c r="BQ432" t="e">
        <v>#N/A</v>
      </c>
      <c r="BR432" t="str">
        <v/>
      </c>
    </row>
    <row r="433" spans="47:70" x14ac:dyDescent="0.2">
      <c r="AU433"/>
      <c r="AV433"/>
      <c r="AW433"/>
      <c r="AX433"/>
      <c r="AY433"/>
      <c r="BK433" s="42">
        <v>432</v>
      </c>
      <c r="BL433" s="127">
        <v>2</v>
      </c>
      <c r="BM433" s="127">
        <v>1.0047263613915816</v>
      </c>
      <c r="BN433" s="127" t="e">
        <v>#N/A</v>
      </c>
      <c r="BO433" s="127">
        <v>1.0047263613915816</v>
      </c>
      <c r="BP433" s="151" t="e">
        <v>#N/A</v>
      </c>
      <c r="BQ433" t="e">
        <v>#N/A</v>
      </c>
      <c r="BR433" t="str">
        <v/>
      </c>
    </row>
    <row r="434" spans="47:70" x14ac:dyDescent="0.2">
      <c r="AU434"/>
      <c r="AV434"/>
      <c r="AW434"/>
      <c r="AX434"/>
      <c r="AY434"/>
      <c r="BK434" s="42">
        <v>433</v>
      </c>
      <c r="BL434" s="127">
        <v>2</v>
      </c>
      <c r="BM434" s="127">
        <v>1.0047263613915816</v>
      </c>
      <c r="BN434" s="127" t="e">
        <v>#N/A</v>
      </c>
      <c r="BO434" s="127">
        <v>1.0047263613915816</v>
      </c>
      <c r="BP434" s="151" t="e">
        <v>#N/A</v>
      </c>
      <c r="BQ434" t="e">
        <v>#N/A</v>
      </c>
      <c r="BR434" t="str">
        <v/>
      </c>
    </row>
    <row r="435" spans="47:70" x14ac:dyDescent="0.2">
      <c r="AU435"/>
      <c r="AV435"/>
      <c r="AW435"/>
      <c r="AX435"/>
      <c r="AY435"/>
      <c r="BK435" s="42">
        <v>434</v>
      </c>
      <c r="BL435" s="127">
        <v>2</v>
      </c>
      <c r="BM435" s="127">
        <v>1.0047263613915816</v>
      </c>
      <c r="BN435" s="127" t="e">
        <v>#N/A</v>
      </c>
      <c r="BO435" s="127">
        <v>1.0047263613915816</v>
      </c>
      <c r="BP435" s="151" t="e">
        <v>#N/A</v>
      </c>
      <c r="BQ435" t="e">
        <v>#N/A</v>
      </c>
      <c r="BR435" t="str">
        <v/>
      </c>
    </row>
    <row r="436" spans="47:70" x14ac:dyDescent="0.2">
      <c r="AU436"/>
      <c r="AV436"/>
      <c r="AW436"/>
      <c r="AX436"/>
      <c r="AY436"/>
      <c r="BK436" s="42">
        <v>435</v>
      </c>
      <c r="BL436" s="127">
        <v>2</v>
      </c>
      <c r="BM436" s="127">
        <v>1.0047263613915816</v>
      </c>
      <c r="BN436" s="127" t="e">
        <v>#N/A</v>
      </c>
      <c r="BO436" s="127">
        <v>1.0047263613915816</v>
      </c>
      <c r="BP436" s="151" t="e">
        <v>#N/A</v>
      </c>
      <c r="BQ436" t="e">
        <v>#N/A</v>
      </c>
      <c r="BR436" t="str">
        <v/>
      </c>
    </row>
    <row r="437" spans="47:70" x14ac:dyDescent="0.2">
      <c r="AU437"/>
      <c r="AV437"/>
      <c r="AW437"/>
      <c r="AX437"/>
      <c r="AY437"/>
      <c r="BK437" s="42">
        <v>436</v>
      </c>
      <c r="BL437" s="127">
        <v>2</v>
      </c>
      <c r="BM437" s="127">
        <v>1.0047263613915816</v>
      </c>
      <c r="BN437" s="127" t="e">
        <v>#N/A</v>
      </c>
      <c r="BO437" s="127">
        <v>1.0047263613915816</v>
      </c>
      <c r="BP437" s="151" t="e">
        <v>#N/A</v>
      </c>
      <c r="BQ437" t="e">
        <v>#N/A</v>
      </c>
      <c r="BR437" t="str">
        <v/>
      </c>
    </row>
    <row r="438" spans="47:70" x14ac:dyDescent="0.2">
      <c r="AU438"/>
      <c r="AV438"/>
      <c r="AW438"/>
      <c r="AX438"/>
      <c r="AY438"/>
      <c r="BK438" s="42">
        <v>437</v>
      </c>
      <c r="BL438" s="127">
        <v>2</v>
      </c>
      <c r="BM438" s="127">
        <v>1.0047263613915816</v>
      </c>
      <c r="BN438" s="127" t="e">
        <v>#N/A</v>
      </c>
      <c r="BO438" s="127">
        <v>1.0047263613915816</v>
      </c>
      <c r="BP438" s="151" t="e">
        <v>#N/A</v>
      </c>
      <c r="BQ438" t="e">
        <v>#N/A</v>
      </c>
      <c r="BR438" t="str">
        <v/>
      </c>
    </row>
    <row r="439" spans="47:70" x14ac:dyDescent="0.2">
      <c r="AU439"/>
      <c r="AV439"/>
      <c r="AW439"/>
      <c r="AX439"/>
      <c r="AY439"/>
      <c r="BK439" s="42">
        <v>438</v>
      </c>
      <c r="BL439" s="127">
        <v>2</v>
      </c>
      <c r="BM439" s="127">
        <v>1.0047263613915816</v>
      </c>
      <c r="BN439" s="127" t="e">
        <v>#N/A</v>
      </c>
      <c r="BO439" s="127">
        <v>1.0047263613915816</v>
      </c>
      <c r="BP439" s="151" t="e">
        <v>#N/A</v>
      </c>
      <c r="BQ439" t="e">
        <v>#N/A</v>
      </c>
      <c r="BR439" t="str">
        <v/>
      </c>
    </row>
    <row r="440" spans="47:70" x14ac:dyDescent="0.2">
      <c r="AU440"/>
      <c r="AV440"/>
      <c r="AW440"/>
      <c r="AX440"/>
      <c r="AY440"/>
      <c r="BK440" s="42">
        <v>439</v>
      </c>
      <c r="BL440" s="127">
        <v>2</v>
      </c>
      <c r="BM440" s="127">
        <v>1.0047263613915816</v>
      </c>
      <c r="BN440" s="127" t="e">
        <v>#N/A</v>
      </c>
      <c r="BO440" s="127">
        <v>1.0047263613915816</v>
      </c>
      <c r="BP440" s="151" t="e">
        <v>#N/A</v>
      </c>
      <c r="BQ440" t="e">
        <v>#N/A</v>
      </c>
      <c r="BR440" t="str">
        <v/>
      </c>
    </row>
    <row r="441" spans="47:70" x14ac:dyDescent="0.2">
      <c r="AU441"/>
      <c r="AV441"/>
      <c r="AW441"/>
      <c r="AX441"/>
      <c r="AY441"/>
      <c r="BK441" s="42">
        <v>440</v>
      </c>
      <c r="BL441" s="127">
        <v>2</v>
      </c>
      <c r="BM441" s="127">
        <v>1.0047263613915816</v>
      </c>
      <c r="BN441" s="127" t="e">
        <v>#N/A</v>
      </c>
      <c r="BO441" s="127">
        <v>1.0047263613915816</v>
      </c>
      <c r="BP441" s="151" t="e">
        <v>#N/A</v>
      </c>
      <c r="BQ441" t="e">
        <v>#N/A</v>
      </c>
      <c r="BR441" t="str">
        <v/>
      </c>
    </row>
    <row r="442" spans="47:70" x14ac:dyDescent="0.2">
      <c r="AU442"/>
      <c r="AV442"/>
      <c r="AW442"/>
      <c r="AX442"/>
      <c r="AY442"/>
      <c r="BK442" s="42">
        <v>441</v>
      </c>
      <c r="BL442" s="127">
        <v>2</v>
      </c>
      <c r="BM442" s="127">
        <v>1.0047263613915816</v>
      </c>
      <c r="BN442" s="127" t="e">
        <v>#N/A</v>
      </c>
      <c r="BO442" s="127">
        <v>1.0047263613915816</v>
      </c>
      <c r="BP442" s="151" t="e">
        <v>#N/A</v>
      </c>
      <c r="BQ442" t="e">
        <v>#N/A</v>
      </c>
      <c r="BR442" t="str">
        <v/>
      </c>
    </row>
    <row r="443" spans="47:70" x14ac:dyDescent="0.2">
      <c r="AU443"/>
      <c r="AV443"/>
      <c r="AW443"/>
      <c r="AX443"/>
      <c r="AY443"/>
      <c r="BK443" s="42">
        <v>442</v>
      </c>
      <c r="BL443" s="127">
        <v>2</v>
      </c>
      <c r="BM443" s="127">
        <v>1.0047263613915816</v>
      </c>
      <c r="BN443" s="127" t="e">
        <v>#N/A</v>
      </c>
      <c r="BO443" s="127">
        <v>1.0047263613915816</v>
      </c>
      <c r="BP443" s="151" t="e">
        <v>#N/A</v>
      </c>
      <c r="BQ443" t="e">
        <v>#N/A</v>
      </c>
      <c r="BR443" t="str">
        <v/>
      </c>
    </row>
    <row r="444" spans="47:70" x14ac:dyDescent="0.2">
      <c r="AU444"/>
      <c r="AV444"/>
      <c r="AW444"/>
      <c r="AX444"/>
      <c r="AY444"/>
      <c r="BK444" s="42">
        <v>443</v>
      </c>
      <c r="BL444" s="127">
        <v>2</v>
      </c>
      <c r="BM444" s="127">
        <v>1.0047263613915816</v>
      </c>
      <c r="BN444" s="127" t="e">
        <v>#N/A</v>
      </c>
      <c r="BO444" s="127">
        <v>1.0047263613915816</v>
      </c>
      <c r="BP444" s="151" t="e">
        <v>#N/A</v>
      </c>
      <c r="BQ444" t="e">
        <v>#N/A</v>
      </c>
      <c r="BR444" t="str">
        <v/>
      </c>
    </row>
    <row r="445" spans="47:70" x14ac:dyDescent="0.2">
      <c r="AU445"/>
      <c r="AV445"/>
      <c r="AW445"/>
      <c r="AX445"/>
      <c r="AY445"/>
      <c r="BK445" s="42">
        <v>444</v>
      </c>
      <c r="BL445" s="127">
        <v>2</v>
      </c>
      <c r="BM445" s="127">
        <v>1.0047263613915816</v>
      </c>
      <c r="BN445" s="127" t="e">
        <v>#N/A</v>
      </c>
      <c r="BO445" s="127">
        <v>1.0047263613915816</v>
      </c>
      <c r="BP445" s="151" t="e">
        <v>#N/A</v>
      </c>
      <c r="BQ445" t="e">
        <v>#N/A</v>
      </c>
      <c r="BR445" t="str">
        <v/>
      </c>
    </row>
    <row r="446" spans="47:70" x14ac:dyDescent="0.2">
      <c r="AU446"/>
      <c r="AV446"/>
      <c r="AW446"/>
      <c r="AX446"/>
      <c r="AY446"/>
      <c r="BK446" s="42">
        <v>445</v>
      </c>
      <c r="BL446" s="127">
        <v>2</v>
      </c>
      <c r="BM446" s="127">
        <v>1.0047263613915816</v>
      </c>
      <c r="BN446" s="127" t="e">
        <v>#N/A</v>
      </c>
      <c r="BO446" s="127">
        <v>1.0047263613915816</v>
      </c>
      <c r="BP446" s="151" t="e">
        <v>#N/A</v>
      </c>
      <c r="BQ446" t="e">
        <v>#N/A</v>
      </c>
      <c r="BR446" t="str">
        <v/>
      </c>
    </row>
    <row r="447" spans="47:70" x14ac:dyDescent="0.2">
      <c r="AU447"/>
      <c r="AV447"/>
      <c r="AW447"/>
      <c r="AX447"/>
      <c r="AY447"/>
      <c r="BK447" s="42">
        <v>446</v>
      </c>
      <c r="BL447" s="127">
        <v>2</v>
      </c>
      <c r="BM447" s="127">
        <v>1.0047263613915816</v>
      </c>
      <c r="BN447" s="127" t="e">
        <v>#N/A</v>
      </c>
      <c r="BO447" s="127">
        <v>1.0047263613915816</v>
      </c>
      <c r="BP447" s="151" t="e">
        <v>#N/A</v>
      </c>
      <c r="BQ447" t="e">
        <v>#N/A</v>
      </c>
      <c r="BR447" t="str">
        <v/>
      </c>
    </row>
    <row r="448" spans="47:70" x14ac:dyDescent="0.2">
      <c r="AU448"/>
      <c r="AV448"/>
      <c r="AW448"/>
      <c r="AX448"/>
      <c r="AY448"/>
      <c r="BK448" s="42">
        <v>447</v>
      </c>
      <c r="BL448" s="127">
        <v>2</v>
      </c>
      <c r="BM448" s="127">
        <v>1.0047263613915816</v>
      </c>
      <c r="BN448" s="127" t="e">
        <v>#N/A</v>
      </c>
      <c r="BO448" s="127">
        <v>1.0047263613915816</v>
      </c>
      <c r="BP448" s="151" t="e">
        <v>#N/A</v>
      </c>
      <c r="BQ448" t="e">
        <v>#N/A</v>
      </c>
      <c r="BR448" t="str">
        <v/>
      </c>
    </row>
    <row r="449" spans="47:70" x14ac:dyDescent="0.2">
      <c r="AU449"/>
      <c r="AV449"/>
      <c r="AW449"/>
      <c r="AX449"/>
      <c r="AY449"/>
      <c r="BK449" s="42">
        <v>448</v>
      </c>
      <c r="BL449" s="127">
        <v>2</v>
      </c>
      <c r="BM449" s="127">
        <v>1.0047263613915816</v>
      </c>
      <c r="BN449" s="127" t="e">
        <v>#N/A</v>
      </c>
      <c r="BO449" s="127">
        <v>1.0047263613915816</v>
      </c>
      <c r="BP449" s="151" t="e">
        <v>#N/A</v>
      </c>
      <c r="BQ449" t="e">
        <v>#N/A</v>
      </c>
      <c r="BR449" t="str">
        <v/>
      </c>
    </row>
    <row r="450" spans="47:70" x14ac:dyDescent="0.2">
      <c r="AU450"/>
      <c r="AV450"/>
      <c r="AW450"/>
      <c r="AX450"/>
      <c r="AY450"/>
      <c r="BK450" s="42">
        <v>449</v>
      </c>
      <c r="BL450" s="127">
        <v>2</v>
      </c>
      <c r="BM450" s="127">
        <v>1.0047263613915816</v>
      </c>
      <c r="BN450" s="127" t="e">
        <v>#N/A</v>
      </c>
      <c r="BO450" s="127">
        <v>1.0047263613915816</v>
      </c>
      <c r="BP450" s="151" t="e">
        <v>#N/A</v>
      </c>
      <c r="BQ450" t="e">
        <v>#N/A</v>
      </c>
      <c r="BR450" t="str">
        <v/>
      </c>
    </row>
    <row r="451" spans="47:70" x14ac:dyDescent="0.2">
      <c r="AU451"/>
      <c r="AV451"/>
      <c r="AW451"/>
      <c r="AX451"/>
      <c r="AY451"/>
      <c r="BK451" s="42">
        <v>450</v>
      </c>
      <c r="BL451" s="127">
        <v>2</v>
      </c>
      <c r="BM451" s="127">
        <v>1.0047263613915816</v>
      </c>
      <c r="BN451" s="127" t="e">
        <v>#N/A</v>
      </c>
      <c r="BO451" s="127">
        <v>1.0047263613915816</v>
      </c>
      <c r="BP451" s="151" t="e">
        <v>#N/A</v>
      </c>
      <c r="BQ451" t="e">
        <v>#N/A</v>
      </c>
      <c r="BR451" t="str">
        <v/>
      </c>
    </row>
    <row r="452" spans="47:70" x14ac:dyDescent="0.2">
      <c r="AU452"/>
      <c r="AV452"/>
      <c r="AW452"/>
      <c r="AX452"/>
      <c r="AY452"/>
      <c r="BK452" s="42">
        <v>451</v>
      </c>
      <c r="BL452" s="127">
        <v>2</v>
      </c>
      <c r="BM452" s="127">
        <v>1.0047263613915816</v>
      </c>
      <c r="BN452" s="127" t="e">
        <v>#N/A</v>
      </c>
      <c r="BO452" s="127">
        <v>1.0047263613915816</v>
      </c>
      <c r="BP452" s="151" t="e">
        <v>#N/A</v>
      </c>
      <c r="BQ452" t="e">
        <v>#N/A</v>
      </c>
      <c r="BR452" t="str">
        <v/>
      </c>
    </row>
    <row r="453" spans="47:70" x14ac:dyDescent="0.2">
      <c r="AU453"/>
      <c r="AV453"/>
      <c r="AW453"/>
      <c r="AX453"/>
      <c r="AY453"/>
      <c r="BK453" s="42">
        <v>452</v>
      </c>
      <c r="BL453" s="127">
        <v>2</v>
      </c>
      <c r="BM453" s="127">
        <v>1.0047263613915816</v>
      </c>
      <c r="BN453" s="127" t="e">
        <v>#N/A</v>
      </c>
      <c r="BO453" s="127">
        <v>1.0047263613915816</v>
      </c>
      <c r="BP453" s="151" t="e">
        <v>#N/A</v>
      </c>
      <c r="BQ453" t="e">
        <v>#N/A</v>
      </c>
      <c r="BR453" t="str">
        <v/>
      </c>
    </row>
    <row r="454" spans="47:70" x14ac:dyDescent="0.2">
      <c r="AU454"/>
      <c r="AV454"/>
      <c r="AW454"/>
      <c r="AX454"/>
      <c r="AY454"/>
      <c r="BK454" s="42">
        <v>453</v>
      </c>
      <c r="BL454" s="127">
        <v>2</v>
      </c>
      <c r="BM454" s="127">
        <v>1.0047263613915816</v>
      </c>
      <c r="BN454" s="127" t="e">
        <v>#N/A</v>
      </c>
      <c r="BO454" s="127">
        <v>1.0047263613915816</v>
      </c>
      <c r="BP454" s="151" t="e">
        <v>#N/A</v>
      </c>
      <c r="BQ454" t="e">
        <v>#N/A</v>
      </c>
      <c r="BR454" t="str">
        <v/>
      </c>
    </row>
    <row r="455" spans="47:70" x14ac:dyDescent="0.2">
      <c r="AU455"/>
      <c r="AV455"/>
      <c r="AW455"/>
      <c r="AX455"/>
      <c r="AY455"/>
      <c r="BK455" s="42">
        <v>454</v>
      </c>
      <c r="BL455" s="127">
        <v>2</v>
      </c>
      <c r="BM455" s="127">
        <v>1.0047263613915816</v>
      </c>
      <c r="BN455" s="127" t="e">
        <v>#N/A</v>
      </c>
      <c r="BO455" s="127">
        <v>1.0047263613915816</v>
      </c>
      <c r="BP455" s="151" t="e">
        <v>#N/A</v>
      </c>
      <c r="BQ455" t="e">
        <v>#N/A</v>
      </c>
      <c r="BR455" t="str">
        <v/>
      </c>
    </row>
    <row r="456" spans="47:70" x14ac:dyDescent="0.2">
      <c r="AU456"/>
      <c r="AV456"/>
      <c r="AW456"/>
      <c r="AX456"/>
      <c r="AY456"/>
      <c r="BK456" s="42">
        <v>455</v>
      </c>
      <c r="BL456" s="127">
        <v>2</v>
      </c>
      <c r="BM456" s="127">
        <v>1.0047263613915816</v>
      </c>
      <c r="BN456" s="127" t="e">
        <v>#N/A</v>
      </c>
      <c r="BO456" s="127">
        <v>1.0047263613915816</v>
      </c>
      <c r="BP456" s="151" t="e">
        <v>#N/A</v>
      </c>
      <c r="BQ456" t="e">
        <v>#N/A</v>
      </c>
      <c r="BR456" t="str">
        <v/>
      </c>
    </row>
    <row r="457" spans="47:70" x14ac:dyDescent="0.2">
      <c r="AU457"/>
      <c r="AV457"/>
      <c r="AW457"/>
      <c r="AX457"/>
      <c r="AY457"/>
      <c r="BK457" s="42">
        <v>456</v>
      </c>
      <c r="BL457" s="127">
        <v>2</v>
      </c>
      <c r="BM457" s="127">
        <v>1.0047263613915816</v>
      </c>
      <c r="BN457" s="127" t="e">
        <v>#N/A</v>
      </c>
      <c r="BO457" s="127">
        <v>1.0047263613915816</v>
      </c>
      <c r="BP457" s="151" t="e">
        <v>#N/A</v>
      </c>
      <c r="BQ457" t="e">
        <v>#N/A</v>
      </c>
      <c r="BR457" t="str">
        <v/>
      </c>
    </row>
    <row r="458" spans="47:70" x14ac:dyDescent="0.2">
      <c r="AU458"/>
      <c r="AV458"/>
      <c r="AW458"/>
      <c r="AX458"/>
      <c r="AY458"/>
      <c r="BK458" s="42">
        <v>457</v>
      </c>
      <c r="BL458" s="127">
        <v>2</v>
      </c>
      <c r="BM458" s="127">
        <v>1.0047263613915816</v>
      </c>
      <c r="BN458" s="127" t="e">
        <v>#N/A</v>
      </c>
      <c r="BO458" s="127">
        <v>1.0047263613915816</v>
      </c>
      <c r="BP458" s="151" t="e">
        <v>#N/A</v>
      </c>
      <c r="BQ458" t="e">
        <v>#N/A</v>
      </c>
      <c r="BR458" t="str">
        <v/>
      </c>
    </row>
    <row r="459" spans="47:70" x14ac:dyDescent="0.2">
      <c r="AU459"/>
      <c r="AV459"/>
      <c r="AW459"/>
      <c r="AX459"/>
      <c r="AY459"/>
      <c r="BK459" s="42">
        <v>458</v>
      </c>
      <c r="BL459" s="127">
        <v>2</v>
      </c>
      <c r="BM459" s="127">
        <v>1.0047263613915816</v>
      </c>
      <c r="BN459" s="127" t="e">
        <v>#N/A</v>
      </c>
      <c r="BO459" s="127">
        <v>1.0047263613915816</v>
      </c>
      <c r="BP459" s="151" t="e">
        <v>#N/A</v>
      </c>
      <c r="BQ459" t="e">
        <v>#N/A</v>
      </c>
      <c r="BR459" t="str">
        <v/>
      </c>
    </row>
    <row r="460" spans="47:70" x14ac:dyDescent="0.2">
      <c r="AU460"/>
      <c r="AV460"/>
      <c r="AW460"/>
      <c r="AX460"/>
      <c r="AY460"/>
      <c r="BK460" s="42">
        <v>459</v>
      </c>
      <c r="BL460" s="127">
        <v>2</v>
      </c>
      <c r="BM460" s="127">
        <v>1.0047263613915816</v>
      </c>
      <c r="BN460" s="127" t="e">
        <v>#N/A</v>
      </c>
      <c r="BO460" s="127">
        <v>1.0047263613915816</v>
      </c>
      <c r="BP460" s="151" t="e">
        <v>#N/A</v>
      </c>
      <c r="BQ460" t="e">
        <v>#N/A</v>
      </c>
      <c r="BR460" t="str">
        <v/>
      </c>
    </row>
    <row r="461" spans="47:70" x14ac:dyDescent="0.2">
      <c r="AU461"/>
      <c r="AV461"/>
      <c r="AW461"/>
      <c r="AX461"/>
      <c r="AY461"/>
      <c r="BK461" s="42">
        <v>460</v>
      </c>
      <c r="BL461" s="127">
        <v>2</v>
      </c>
      <c r="BM461" s="127">
        <v>1.0047263613915816</v>
      </c>
      <c r="BN461" s="127" t="e">
        <v>#N/A</v>
      </c>
      <c r="BO461" s="127">
        <v>1.0047263613915816</v>
      </c>
      <c r="BP461" s="151" t="e">
        <v>#N/A</v>
      </c>
      <c r="BQ461" t="e">
        <v>#N/A</v>
      </c>
      <c r="BR461" t="str">
        <v/>
      </c>
    </row>
    <row r="462" spans="47:70" x14ac:dyDescent="0.2">
      <c r="AU462"/>
      <c r="AV462"/>
      <c r="AW462"/>
      <c r="AX462"/>
      <c r="AY462"/>
      <c r="BK462" s="42">
        <v>461</v>
      </c>
      <c r="BL462" s="127">
        <v>2</v>
      </c>
      <c r="BM462" s="127">
        <v>1.0047263613915816</v>
      </c>
      <c r="BN462" s="127" t="e">
        <v>#N/A</v>
      </c>
      <c r="BO462" s="127">
        <v>1.0047263613915816</v>
      </c>
      <c r="BP462" s="151" t="e">
        <v>#N/A</v>
      </c>
      <c r="BQ462" t="e">
        <v>#N/A</v>
      </c>
      <c r="BR462" t="str">
        <v/>
      </c>
    </row>
    <row r="463" spans="47:70" x14ac:dyDescent="0.2">
      <c r="AU463"/>
      <c r="AV463"/>
      <c r="AW463"/>
      <c r="AX463"/>
      <c r="AY463"/>
      <c r="BK463" s="42">
        <v>462</v>
      </c>
      <c r="BL463" s="127">
        <v>2</v>
      </c>
      <c r="BM463" s="127">
        <v>1.0047263613915816</v>
      </c>
      <c r="BN463" s="127" t="e">
        <v>#N/A</v>
      </c>
      <c r="BO463" s="127">
        <v>1.0047263613915816</v>
      </c>
      <c r="BP463" s="151" t="e">
        <v>#N/A</v>
      </c>
      <c r="BQ463" t="e">
        <v>#N/A</v>
      </c>
      <c r="BR463" t="str">
        <v/>
      </c>
    </row>
    <row r="464" spans="47:70" x14ac:dyDescent="0.2">
      <c r="AU464"/>
      <c r="AV464"/>
      <c r="AW464"/>
      <c r="AX464"/>
      <c r="AY464"/>
      <c r="BK464" s="42">
        <v>463</v>
      </c>
      <c r="BL464" s="127">
        <v>2</v>
      </c>
      <c r="BM464" s="127">
        <v>1.0047263613915816</v>
      </c>
      <c r="BN464" s="127" t="e">
        <v>#N/A</v>
      </c>
      <c r="BO464" s="127">
        <v>1.0047263613915816</v>
      </c>
      <c r="BP464" s="151" t="e">
        <v>#N/A</v>
      </c>
      <c r="BQ464" t="e">
        <v>#N/A</v>
      </c>
      <c r="BR464" t="str">
        <v/>
      </c>
    </row>
    <row r="465" spans="47:70" x14ac:dyDescent="0.2">
      <c r="AU465"/>
      <c r="AV465"/>
      <c r="AW465"/>
      <c r="AX465"/>
      <c r="AY465"/>
      <c r="BK465" s="42">
        <v>464</v>
      </c>
      <c r="BL465" s="127">
        <v>2</v>
      </c>
      <c r="BM465" s="127">
        <v>1.0047263613915816</v>
      </c>
      <c r="BN465" s="127" t="e">
        <v>#N/A</v>
      </c>
      <c r="BO465" s="127">
        <v>1.0047263613915816</v>
      </c>
      <c r="BP465" s="151" t="e">
        <v>#N/A</v>
      </c>
      <c r="BQ465" t="e">
        <v>#N/A</v>
      </c>
      <c r="BR465" t="str">
        <v/>
      </c>
    </row>
    <row r="466" spans="47:70" x14ac:dyDescent="0.2">
      <c r="AU466"/>
      <c r="AV466"/>
      <c r="AW466"/>
      <c r="AX466"/>
      <c r="AY466"/>
      <c r="BK466" s="42">
        <v>465</v>
      </c>
      <c r="BL466" s="127">
        <v>2</v>
      </c>
      <c r="BM466" s="127">
        <v>1.0047263613915816</v>
      </c>
      <c r="BN466" s="127" t="e">
        <v>#N/A</v>
      </c>
      <c r="BO466" s="127">
        <v>1.0047263613915816</v>
      </c>
      <c r="BP466" s="151" t="e">
        <v>#N/A</v>
      </c>
      <c r="BQ466" t="e">
        <v>#N/A</v>
      </c>
      <c r="BR466" t="str">
        <v/>
      </c>
    </row>
    <row r="467" spans="47:70" x14ac:dyDescent="0.2">
      <c r="AU467"/>
      <c r="AV467"/>
      <c r="AW467"/>
      <c r="AX467"/>
      <c r="AY467"/>
      <c r="BK467" s="42">
        <v>466</v>
      </c>
      <c r="BL467" s="127">
        <v>2</v>
      </c>
      <c r="BM467" s="127">
        <v>1.0047263613915816</v>
      </c>
      <c r="BN467" s="127" t="e">
        <v>#N/A</v>
      </c>
      <c r="BO467" s="127">
        <v>1.0047263613915816</v>
      </c>
      <c r="BP467" s="151" t="e">
        <v>#N/A</v>
      </c>
      <c r="BQ467" t="e">
        <v>#N/A</v>
      </c>
      <c r="BR467" t="str">
        <v/>
      </c>
    </row>
    <row r="468" spans="47:70" x14ac:dyDescent="0.2">
      <c r="AU468"/>
      <c r="AV468"/>
      <c r="AW468"/>
      <c r="AX468"/>
      <c r="AY468"/>
      <c r="BK468" s="42">
        <v>467</v>
      </c>
      <c r="BL468" s="127">
        <v>2</v>
      </c>
      <c r="BM468" s="127">
        <v>1.0047263613915816</v>
      </c>
      <c r="BN468" s="127" t="e">
        <v>#N/A</v>
      </c>
      <c r="BO468" s="127">
        <v>1.0047263613915816</v>
      </c>
      <c r="BP468" s="151" t="e">
        <v>#N/A</v>
      </c>
      <c r="BQ468" t="e">
        <v>#N/A</v>
      </c>
      <c r="BR468" t="str">
        <v/>
      </c>
    </row>
    <row r="469" spans="47:70" x14ac:dyDescent="0.2">
      <c r="AU469"/>
      <c r="AV469"/>
      <c r="AW469"/>
      <c r="AX469"/>
      <c r="AY469"/>
      <c r="BK469" s="42">
        <v>468</v>
      </c>
      <c r="BL469" s="127">
        <v>2</v>
      </c>
      <c r="BM469" s="127">
        <v>1.0047263613915816</v>
      </c>
      <c r="BN469" s="127" t="e">
        <v>#N/A</v>
      </c>
      <c r="BO469" s="127">
        <v>1.0047263613915816</v>
      </c>
      <c r="BP469" s="151" t="e">
        <v>#N/A</v>
      </c>
      <c r="BQ469" t="e">
        <v>#N/A</v>
      </c>
      <c r="BR469" t="str">
        <v/>
      </c>
    </row>
    <row r="470" spans="47:70" x14ac:dyDescent="0.2">
      <c r="AU470"/>
      <c r="AV470"/>
      <c r="AW470"/>
      <c r="AX470"/>
      <c r="AY470"/>
      <c r="BK470" s="42">
        <v>469</v>
      </c>
      <c r="BL470" s="127">
        <v>2</v>
      </c>
      <c r="BM470" s="127">
        <v>1.0047263613915816</v>
      </c>
      <c r="BN470" s="127" t="e">
        <v>#N/A</v>
      </c>
      <c r="BO470" s="127">
        <v>1.0047263613915816</v>
      </c>
      <c r="BP470" s="151" t="e">
        <v>#N/A</v>
      </c>
      <c r="BQ470" t="e">
        <v>#N/A</v>
      </c>
      <c r="BR470" t="str">
        <v/>
      </c>
    </row>
    <row r="471" spans="47:70" x14ac:dyDescent="0.2">
      <c r="AU471"/>
      <c r="AV471"/>
      <c r="AW471"/>
      <c r="AX471"/>
      <c r="AY471"/>
      <c r="BK471" s="42">
        <v>470</v>
      </c>
      <c r="BL471" s="127">
        <v>2</v>
      </c>
      <c r="BM471" s="127">
        <v>1.0047263613915816</v>
      </c>
      <c r="BN471" s="127" t="e">
        <v>#N/A</v>
      </c>
      <c r="BO471" s="127">
        <v>1.0047263613915816</v>
      </c>
      <c r="BP471" s="151" t="e">
        <v>#N/A</v>
      </c>
      <c r="BQ471" t="e">
        <v>#N/A</v>
      </c>
      <c r="BR471" t="str">
        <v/>
      </c>
    </row>
    <row r="472" spans="47:70" x14ac:dyDescent="0.2">
      <c r="AU472"/>
      <c r="AV472"/>
      <c r="AW472"/>
      <c r="AX472"/>
      <c r="AY472"/>
      <c r="BK472" s="42">
        <v>471</v>
      </c>
      <c r="BL472" s="127">
        <v>2</v>
      </c>
      <c r="BM472" s="127">
        <v>1.0047263613915816</v>
      </c>
      <c r="BN472" s="127" t="e">
        <v>#N/A</v>
      </c>
      <c r="BO472" s="127">
        <v>1.0047263613915816</v>
      </c>
      <c r="BP472" s="151" t="e">
        <v>#N/A</v>
      </c>
      <c r="BQ472" t="e">
        <v>#N/A</v>
      </c>
      <c r="BR472" t="str">
        <v/>
      </c>
    </row>
    <row r="473" spans="47:70" x14ac:dyDescent="0.2">
      <c r="AU473"/>
      <c r="AV473"/>
      <c r="AW473"/>
      <c r="AX473"/>
      <c r="AY473"/>
      <c r="BK473" s="42">
        <v>472</v>
      </c>
      <c r="BL473" s="127">
        <v>2</v>
      </c>
      <c r="BM473" s="127">
        <v>1.0047263613915816</v>
      </c>
      <c r="BN473" s="127" t="e">
        <v>#N/A</v>
      </c>
      <c r="BO473" s="127">
        <v>1.0047263613915816</v>
      </c>
      <c r="BP473" s="151" t="e">
        <v>#N/A</v>
      </c>
      <c r="BQ473" t="e">
        <v>#N/A</v>
      </c>
      <c r="BR473" t="str">
        <v/>
      </c>
    </row>
    <row r="474" spans="47:70" x14ac:dyDescent="0.2">
      <c r="AU474"/>
      <c r="AV474"/>
      <c r="AW474"/>
      <c r="AX474"/>
      <c r="AY474"/>
      <c r="BK474" s="42">
        <v>473</v>
      </c>
      <c r="BL474" s="127">
        <v>2</v>
      </c>
      <c r="BM474" s="127">
        <v>1.0047263613915816</v>
      </c>
      <c r="BN474" s="127" t="e">
        <v>#N/A</v>
      </c>
      <c r="BO474" s="127">
        <v>1.0047263613915816</v>
      </c>
      <c r="BP474" s="151" t="e">
        <v>#N/A</v>
      </c>
      <c r="BQ474" t="e">
        <v>#N/A</v>
      </c>
      <c r="BR474" t="str">
        <v/>
      </c>
    </row>
    <row r="475" spans="47:70" x14ac:dyDescent="0.2">
      <c r="AU475"/>
      <c r="AV475"/>
      <c r="AW475"/>
      <c r="AX475"/>
      <c r="AY475"/>
      <c r="BK475" s="42">
        <v>474</v>
      </c>
      <c r="BL475" s="127">
        <v>2</v>
      </c>
      <c r="BM475" s="127">
        <v>1.0047263613915816</v>
      </c>
      <c r="BN475" s="127" t="e">
        <v>#N/A</v>
      </c>
      <c r="BO475" s="127">
        <v>1.0047263613915816</v>
      </c>
      <c r="BP475" s="151" t="e">
        <v>#N/A</v>
      </c>
      <c r="BQ475" t="e">
        <v>#N/A</v>
      </c>
      <c r="BR475" t="str">
        <v/>
      </c>
    </row>
    <row r="476" spans="47:70" x14ac:dyDescent="0.2">
      <c r="AU476"/>
      <c r="AV476"/>
      <c r="AW476"/>
      <c r="AX476"/>
      <c r="AY476"/>
      <c r="BK476" s="42">
        <v>475</v>
      </c>
      <c r="BL476" s="127">
        <v>2</v>
      </c>
      <c r="BM476" s="127">
        <v>1.0047263613915816</v>
      </c>
      <c r="BN476" s="127" t="e">
        <v>#N/A</v>
      </c>
      <c r="BO476" s="127">
        <v>1.0047263613915816</v>
      </c>
      <c r="BP476" s="151" t="e">
        <v>#N/A</v>
      </c>
      <c r="BQ476" t="e">
        <v>#N/A</v>
      </c>
      <c r="BR476" t="str">
        <v/>
      </c>
    </row>
    <row r="477" spans="47:70" x14ac:dyDescent="0.2">
      <c r="AU477"/>
      <c r="AV477"/>
      <c r="AW477"/>
      <c r="AX477"/>
      <c r="AY477"/>
      <c r="BK477" s="42">
        <v>476</v>
      </c>
      <c r="BL477" s="127">
        <v>2</v>
      </c>
      <c r="BM477" s="127">
        <v>1.0047263613915816</v>
      </c>
      <c r="BN477" s="127" t="e">
        <v>#N/A</v>
      </c>
      <c r="BO477" s="127">
        <v>1.0047263613915816</v>
      </c>
      <c r="BP477" s="151" t="e">
        <v>#N/A</v>
      </c>
      <c r="BQ477" t="e">
        <v>#N/A</v>
      </c>
      <c r="BR477" t="str">
        <v/>
      </c>
    </row>
    <row r="478" spans="47:70" x14ac:dyDescent="0.2">
      <c r="AU478"/>
      <c r="AV478"/>
      <c r="AW478"/>
      <c r="AX478"/>
      <c r="AY478"/>
      <c r="BK478" s="42">
        <v>477</v>
      </c>
      <c r="BL478" s="127">
        <v>2</v>
      </c>
      <c r="BM478" s="127">
        <v>1.0047263613915816</v>
      </c>
      <c r="BN478" s="127" t="e">
        <v>#N/A</v>
      </c>
      <c r="BO478" s="127">
        <v>1.0047263613915816</v>
      </c>
      <c r="BP478" s="151" t="e">
        <v>#N/A</v>
      </c>
      <c r="BQ478" t="e">
        <v>#N/A</v>
      </c>
      <c r="BR478" t="str">
        <v/>
      </c>
    </row>
    <row r="479" spans="47:70" x14ac:dyDescent="0.2">
      <c r="AU479"/>
      <c r="AV479"/>
      <c r="AW479"/>
      <c r="AX479"/>
      <c r="AY479"/>
      <c r="BK479" s="42">
        <v>478</v>
      </c>
      <c r="BL479" s="127">
        <v>2</v>
      </c>
      <c r="BM479" s="127">
        <v>1.0047263613915816</v>
      </c>
      <c r="BN479" s="127" t="e">
        <v>#N/A</v>
      </c>
      <c r="BO479" s="127">
        <v>1.0047263613915816</v>
      </c>
      <c r="BP479" s="151" t="e">
        <v>#N/A</v>
      </c>
      <c r="BQ479" t="e">
        <v>#N/A</v>
      </c>
      <c r="BR479" t="str">
        <v/>
      </c>
    </row>
    <row r="480" spans="47:70" x14ac:dyDescent="0.2">
      <c r="AU480"/>
      <c r="AV480"/>
      <c r="AW480"/>
      <c r="AX480"/>
      <c r="AY480"/>
      <c r="BK480" s="42">
        <v>479</v>
      </c>
      <c r="BL480" s="127">
        <v>2</v>
      </c>
      <c r="BM480" s="127">
        <v>1.0047263613915816</v>
      </c>
      <c r="BN480" s="127" t="e">
        <v>#N/A</v>
      </c>
      <c r="BO480" s="127">
        <v>1.0047263613915816</v>
      </c>
      <c r="BP480" s="151" t="e">
        <v>#N/A</v>
      </c>
      <c r="BQ480" t="e">
        <v>#N/A</v>
      </c>
      <c r="BR480" t="str">
        <v/>
      </c>
    </row>
    <row r="481" spans="47:70" x14ac:dyDescent="0.2">
      <c r="AU481"/>
      <c r="AV481"/>
      <c r="AW481"/>
      <c r="AX481"/>
      <c r="AY481"/>
      <c r="BK481" s="42">
        <v>480</v>
      </c>
      <c r="BL481" s="127">
        <v>2</v>
      </c>
      <c r="BM481" s="127">
        <v>1.0047263613915816</v>
      </c>
      <c r="BN481" s="127" t="e">
        <v>#N/A</v>
      </c>
      <c r="BO481" s="127">
        <v>1.0047263613915816</v>
      </c>
      <c r="BP481" s="151" t="e">
        <v>#N/A</v>
      </c>
      <c r="BQ481" t="e">
        <v>#N/A</v>
      </c>
      <c r="BR481" t="str">
        <v/>
      </c>
    </row>
    <row r="482" spans="47:70" x14ac:dyDescent="0.2">
      <c r="AU482"/>
      <c r="AV482"/>
      <c r="AW482"/>
      <c r="AX482"/>
      <c r="AY482"/>
      <c r="BK482" s="42">
        <v>481</v>
      </c>
      <c r="BL482" s="127">
        <v>2</v>
      </c>
      <c r="BM482" s="127">
        <v>1.0047263613915816</v>
      </c>
      <c r="BN482" s="127" t="e">
        <v>#N/A</v>
      </c>
      <c r="BO482" s="127">
        <v>1.0047263613915816</v>
      </c>
      <c r="BP482" s="151" t="e">
        <v>#N/A</v>
      </c>
      <c r="BQ482" t="e">
        <v>#N/A</v>
      </c>
      <c r="BR482" t="str">
        <v/>
      </c>
    </row>
    <row r="483" spans="47:70" x14ac:dyDescent="0.2">
      <c r="AU483"/>
      <c r="AV483"/>
      <c r="AW483"/>
      <c r="AX483"/>
      <c r="AY483"/>
      <c r="BK483" s="42">
        <v>482</v>
      </c>
      <c r="BL483" s="127">
        <v>2</v>
      </c>
      <c r="BM483" s="127">
        <v>1.0047263613915816</v>
      </c>
      <c r="BN483" s="127" t="e">
        <v>#N/A</v>
      </c>
      <c r="BO483" s="127">
        <v>1.0047263613915816</v>
      </c>
      <c r="BP483" s="151" t="e">
        <v>#N/A</v>
      </c>
      <c r="BQ483" t="e">
        <v>#N/A</v>
      </c>
      <c r="BR483" t="str">
        <v/>
      </c>
    </row>
    <row r="484" spans="47:70" x14ac:dyDescent="0.2">
      <c r="AU484"/>
      <c r="AV484"/>
      <c r="AW484"/>
      <c r="AX484"/>
      <c r="AY484"/>
      <c r="BK484" s="42">
        <v>483</v>
      </c>
      <c r="BL484" s="127">
        <v>2</v>
      </c>
      <c r="BM484" s="127">
        <v>1.0047263613915816</v>
      </c>
      <c r="BN484" s="127" t="e">
        <v>#N/A</v>
      </c>
      <c r="BO484" s="127">
        <v>1.0047263613915816</v>
      </c>
      <c r="BP484" s="151" t="e">
        <v>#N/A</v>
      </c>
      <c r="BQ484" t="e">
        <v>#N/A</v>
      </c>
      <c r="BR484" t="str">
        <v/>
      </c>
    </row>
    <row r="485" spans="47:70" x14ac:dyDescent="0.2">
      <c r="AU485"/>
      <c r="AV485"/>
      <c r="AW485"/>
      <c r="AX485"/>
      <c r="AY485"/>
      <c r="BK485" s="42">
        <v>484</v>
      </c>
      <c r="BL485" s="127">
        <v>2</v>
      </c>
      <c r="BM485" s="127">
        <v>1.0047263613915816</v>
      </c>
      <c r="BN485" s="127" t="e">
        <v>#N/A</v>
      </c>
      <c r="BO485" s="127">
        <v>1.0047263613915816</v>
      </c>
      <c r="BP485" s="151" t="e">
        <v>#N/A</v>
      </c>
      <c r="BQ485" t="e">
        <v>#N/A</v>
      </c>
      <c r="BR485" t="str">
        <v/>
      </c>
    </row>
    <row r="486" spans="47:70" x14ac:dyDescent="0.2">
      <c r="AU486"/>
      <c r="AV486"/>
      <c r="AW486"/>
      <c r="AX486"/>
      <c r="AY486"/>
      <c r="BK486" s="42">
        <v>485</v>
      </c>
      <c r="BL486" s="127">
        <v>2</v>
      </c>
      <c r="BM486" s="127">
        <v>1.0047263613915816</v>
      </c>
      <c r="BN486" s="127" t="e">
        <v>#N/A</v>
      </c>
      <c r="BO486" s="127">
        <v>1.0047263613915816</v>
      </c>
      <c r="BP486" s="151" t="e">
        <v>#N/A</v>
      </c>
      <c r="BQ486" t="e">
        <v>#N/A</v>
      </c>
      <c r="BR486" t="str">
        <v/>
      </c>
    </row>
    <row r="487" spans="47:70" x14ac:dyDescent="0.2">
      <c r="AU487"/>
      <c r="AV487"/>
      <c r="AW487"/>
      <c r="AX487"/>
      <c r="AY487"/>
      <c r="BK487" s="42">
        <v>486</v>
      </c>
      <c r="BL487" s="127">
        <v>2</v>
      </c>
      <c r="BM487" s="127">
        <v>1.0047263613915816</v>
      </c>
      <c r="BN487" s="127" t="e">
        <v>#N/A</v>
      </c>
      <c r="BO487" s="127">
        <v>1.0047263613915816</v>
      </c>
      <c r="BP487" s="151" t="e">
        <v>#N/A</v>
      </c>
      <c r="BQ487" t="e">
        <v>#N/A</v>
      </c>
      <c r="BR487" t="str">
        <v/>
      </c>
    </row>
    <row r="488" spans="47:70" x14ac:dyDescent="0.2">
      <c r="AU488"/>
      <c r="AV488"/>
      <c r="AW488"/>
      <c r="AX488"/>
      <c r="AY488"/>
      <c r="BK488" s="42">
        <v>487</v>
      </c>
      <c r="BL488" s="127">
        <v>2</v>
      </c>
      <c r="BM488" s="127">
        <v>1.0047263613915816</v>
      </c>
      <c r="BN488" s="127" t="e">
        <v>#N/A</v>
      </c>
      <c r="BO488" s="127">
        <v>1.0047263613915816</v>
      </c>
      <c r="BP488" s="151" t="e">
        <v>#N/A</v>
      </c>
      <c r="BQ488" t="e">
        <v>#N/A</v>
      </c>
      <c r="BR488" t="str">
        <v/>
      </c>
    </row>
    <row r="489" spans="47:70" x14ac:dyDescent="0.2">
      <c r="AU489"/>
      <c r="AV489"/>
      <c r="AW489"/>
      <c r="AX489"/>
      <c r="AY489"/>
      <c r="BK489" s="42">
        <v>488</v>
      </c>
      <c r="BL489" s="127">
        <v>2</v>
      </c>
      <c r="BM489" s="127">
        <v>1.0047263613915816</v>
      </c>
      <c r="BN489" s="127" t="e">
        <v>#N/A</v>
      </c>
      <c r="BO489" s="127">
        <v>1.0047263613915816</v>
      </c>
      <c r="BP489" s="151" t="e">
        <v>#N/A</v>
      </c>
      <c r="BQ489" t="e">
        <v>#N/A</v>
      </c>
      <c r="BR489" t="str">
        <v/>
      </c>
    </row>
    <row r="490" spans="47:70" x14ac:dyDescent="0.2">
      <c r="AU490"/>
      <c r="AV490"/>
      <c r="AW490"/>
      <c r="AX490"/>
      <c r="AY490"/>
      <c r="BK490" s="42">
        <v>489</v>
      </c>
      <c r="BL490" s="127">
        <v>2</v>
      </c>
      <c r="BM490" s="127">
        <v>1.0047263613915816</v>
      </c>
      <c r="BN490" s="127" t="e">
        <v>#N/A</v>
      </c>
      <c r="BO490" s="127">
        <v>1.0047263613915816</v>
      </c>
      <c r="BP490" s="151" t="e">
        <v>#N/A</v>
      </c>
      <c r="BQ490" t="e">
        <v>#N/A</v>
      </c>
      <c r="BR490" t="str">
        <v/>
      </c>
    </row>
    <row r="491" spans="47:70" x14ac:dyDescent="0.2">
      <c r="AU491"/>
      <c r="AV491"/>
      <c r="AW491"/>
      <c r="AX491"/>
      <c r="AY491"/>
      <c r="BK491" s="42">
        <v>490</v>
      </c>
      <c r="BL491" s="127">
        <v>2</v>
      </c>
      <c r="BM491" s="127">
        <v>1.0047263613915816</v>
      </c>
      <c r="BN491" s="127" t="e">
        <v>#N/A</v>
      </c>
      <c r="BO491" s="127">
        <v>1.0047263613915816</v>
      </c>
      <c r="BP491" s="151" t="e">
        <v>#N/A</v>
      </c>
      <c r="BQ491" t="e">
        <v>#N/A</v>
      </c>
      <c r="BR491" t="str">
        <v/>
      </c>
    </row>
    <row r="492" spans="47:70" x14ac:dyDescent="0.2">
      <c r="AU492"/>
      <c r="AV492"/>
      <c r="AW492"/>
      <c r="AX492"/>
      <c r="AY492"/>
      <c r="BK492" s="42">
        <v>491</v>
      </c>
      <c r="BL492" s="127">
        <v>2</v>
      </c>
      <c r="BM492" s="127">
        <v>1.0047263613915816</v>
      </c>
      <c r="BN492" s="127" t="e">
        <v>#N/A</v>
      </c>
      <c r="BO492" s="127">
        <v>1.0047263613915816</v>
      </c>
      <c r="BP492" s="151" t="e">
        <v>#N/A</v>
      </c>
      <c r="BQ492" t="e">
        <v>#N/A</v>
      </c>
      <c r="BR492" t="str">
        <v/>
      </c>
    </row>
    <row r="493" spans="47:70" x14ac:dyDescent="0.2">
      <c r="AU493"/>
      <c r="AV493"/>
      <c r="AW493"/>
      <c r="AX493"/>
      <c r="AY493"/>
      <c r="BK493" s="42">
        <v>492</v>
      </c>
      <c r="BL493" s="127">
        <v>2</v>
      </c>
      <c r="BM493" s="127">
        <v>1.0047263613915816</v>
      </c>
      <c r="BN493" s="127" t="e">
        <v>#N/A</v>
      </c>
      <c r="BO493" s="127">
        <v>1.0047263613915816</v>
      </c>
      <c r="BP493" s="151" t="e">
        <v>#N/A</v>
      </c>
      <c r="BQ493" t="e">
        <v>#N/A</v>
      </c>
      <c r="BR493" t="str">
        <v/>
      </c>
    </row>
    <row r="494" spans="47:70" x14ac:dyDescent="0.2">
      <c r="AU494"/>
      <c r="AV494"/>
      <c r="AW494"/>
      <c r="AX494"/>
      <c r="AY494"/>
      <c r="BK494" s="42">
        <v>493</v>
      </c>
      <c r="BL494" s="127">
        <v>2</v>
      </c>
      <c r="BM494" s="127">
        <v>1.0047263613915816</v>
      </c>
      <c r="BN494" s="127" t="e">
        <v>#N/A</v>
      </c>
      <c r="BO494" s="127">
        <v>1.0047263613915816</v>
      </c>
      <c r="BP494" s="151" t="e">
        <v>#N/A</v>
      </c>
      <c r="BQ494" t="e">
        <v>#N/A</v>
      </c>
      <c r="BR494" t="str">
        <v/>
      </c>
    </row>
    <row r="495" spans="47:70" x14ac:dyDescent="0.2">
      <c r="AU495"/>
      <c r="AV495"/>
      <c r="AW495"/>
      <c r="AX495"/>
      <c r="AY495"/>
      <c r="BK495" s="42">
        <v>494</v>
      </c>
      <c r="BL495" s="127">
        <v>2</v>
      </c>
      <c r="BM495" s="127">
        <v>1.0047263613915816</v>
      </c>
      <c r="BN495" s="127" t="e">
        <v>#N/A</v>
      </c>
      <c r="BO495" s="127">
        <v>1.0047263613915816</v>
      </c>
      <c r="BP495" s="151" t="e">
        <v>#N/A</v>
      </c>
      <c r="BQ495" t="e">
        <v>#N/A</v>
      </c>
      <c r="BR495" t="str">
        <v/>
      </c>
    </row>
    <row r="496" spans="47:70" x14ac:dyDescent="0.2">
      <c r="AU496"/>
      <c r="AV496"/>
      <c r="AW496"/>
      <c r="AX496"/>
      <c r="AY496"/>
      <c r="BK496" s="42">
        <v>495</v>
      </c>
      <c r="BL496" s="127">
        <v>2</v>
      </c>
      <c r="BM496" s="127">
        <v>1.0047263613915816</v>
      </c>
      <c r="BN496" s="127" t="e">
        <v>#N/A</v>
      </c>
      <c r="BO496" s="127">
        <v>1.0047263613915816</v>
      </c>
      <c r="BP496" s="151" t="e">
        <v>#N/A</v>
      </c>
      <c r="BQ496" t="e">
        <v>#N/A</v>
      </c>
      <c r="BR496" t="str">
        <v/>
      </c>
    </row>
    <row r="497" spans="47:70" x14ac:dyDescent="0.2">
      <c r="AU497"/>
      <c r="AV497"/>
      <c r="AW497"/>
      <c r="AX497"/>
      <c r="AY497"/>
      <c r="BK497" s="42">
        <v>496</v>
      </c>
      <c r="BL497" s="127">
        <v>2</v>
      </c>
      <c r="BM497" s="127">
        <v>1.0047263613915816</v>
      </c>
      <c r="BN497" s="127" t="e">
        <v>#N/A</v>
      </c>
      <c r="BO497" s="127">
        <v>1.0047263613915816</v>
      </c>
      <c r="BP497" s="151" t="e">
        <v>#N/A</v>
      </c>
      <c r="BQ497" t="e">
        <v>#N/A</v>
      </c>
      <c r="BR497" t="str">
        <v/>
      </c>
    </row>
    <row r="498" spans="47:70" x14ac:dyDescent="0.2">
      <c r="AU498"/>
      <c r="AV498"/>
      <c r="AW498"/>
      <c r="AX498"/>
      <c r="AY498"/>
      <c r="BK498" s="42">
        <v>497</v>
      </c>
      <c r="BL498" s="127">
        <v>2</v>
      </c>
      <c r="BM498" s="127">
        <v>1.0047263613915816</v>
      </c>
      <c r="BN498" s="127" t="e">
        <v>#N/A</v>
      </c>
      <c r="BO498" s="127">
        <v>1.0047263613915816</v>
      </c>
      <c r="BP498" s="151" t="e">
        <v>#N/A</v>
      </c>
      <c r="BQ498" t="e">
        <v>#N/A</v>
      </c>
      <c r="BR498" t="str">
        <v/>
      </c>
    </row>
    <row r="499" spans="47:70" x14ac:dyDescent="0.2">
      <c r="AU499"/>
      <c r="AV499"/>
      <c r="AW499"/>
      <c r="AX499"/>
      <c r="AY499"/>
      <c r="BK499" s="42">
        <v>498</v>
      </c>
      <c r="BL499" s="127">
        <v>2</v>
      </c>
      <c r="BM499" s="127">
        <v>1.0047263613915816</v>
      </c>
      <c r="BN499" s="127" t="e">
        <v>#N/A</v>
      </c>
      <c r="BO499" s="127">
        <v>1.0047263613915816</v>
      </c>
      <c r="BP499" s="151" t="e">
        <v>#N/A</v>
      </c>
      <c r="BQ499" t="e">
        <v>#N/A</v>
      </c>
      <c r="BR499" t="str">
        <v/>
      </c>
    </row>
    <row r="500" spans="47:70" x14ac:dyDescent="0.2">
      <c r="AU500"/>
      <c r="AV500"/>
      <c r="AW500"/>
      <c r="AX500"/>
      <c r="AY500"/>
      <c r="BK500" s="42">
        <v>499</v>
      </c>
      <c r="BL500" s="127">
        <v>2</v>
      </c>
      <c r="BM500" s="127">
        <v>1.0047263613915816</v>
      </c>
      <c r="BN500" s="127" t="e">
        <v>#N/A</v>
      </c>
      <c r="BO500" s="127">
        <v>1.0047263613915816</v>
      </c>
      <c r="BP500" s="151" t="e">
        <v>#N/A</v>
      </c>
      <c r="BQ500" t="e">
        <v>#N/A</v>
      </c>
      <c r="BR500" t="str">
        <v/>
      </c>
    </row>
    <row r="501" spans="47:70" x14ac:dyDescent="0.2">
      <c r="AU501"/>
      <c r="AV501"/>
      <c r="AW501"/>
      <c r="AX501"/>
      <c r="AY501"/>
      <c r="BK501" s="42">
        <v>500</v>
      </c>
      <c r="BL501" s="127">
        <v>2</v>
      </c>
      <c r="BM501" s="127">
        <v>1.0047263613915816</v>
      </c>
      <c r="BN501" s="127" t="e">
        <v>#N/A</v>
      </c>
      <c r="BO501" s="127">
        <v>1.0047263613915816</v>
      </c>
      <c r="BP501" s="151" t="e">
        <v>#N/A</v>
      </c>
      <c r="BQ501" t="e">
        <v>#N/A</v>
      </c>
      <c r="BR501" t="str">
        <v/>
      </c>
    </row>
    <row r="502" spans="47:70" x14ac:dyDescent="0.2">
      <c r="AU502"/>
      <c r="AV502"/>
      <c r="AW502"/>
      <c r="AX502"/>
      <c r="AY502"/>
      <c r="BK502" s="42">
        <v>501</v>
      </c>
      <c r="BL502" s="127">
        <v>2</v>
      </c>
      <c r="BM502" s="127">
        <v>1.0047263613915816</v>
      </c>
      <c r="BN502" s="127" t="e">
        <v>#N/A</v>
      </c>
      <c r="BO502" s="127">
        <v>1.0047263613915816</v>
      </c>
      <c r="BP502" s="151" t="e">
        <v>#N/A</v>
      </c>
      <c r="BQ502" t="e">
        <v>#N/A</v>
      </c>
      <c r="BR502" t="str">
        <v/>
      </c>
    </row>
    <row r="503" spans="47:70" x14ac:dyDescent="0.2">
      <c r="AU503"/>
      <c r="AV503"/>
      <c r="AW503"/>
      <c r="AX503"/>
      <c r="AY503"/>
      <c r="BK503" s="42">
        <v>502</v>
      </c>
      <c r="BL503" s="127">
        <v>2</v>
      </c>
      <c r="BM503" s="127">
        <v>1.0047263613915816</v>
      </c>
      <c r="BN503" s="127" t="e">
        <v>#N/A</v>
      </c>
      <c r="BO503" s="127">
        <v>1.0047263613915816</v>
      </c>
      <c r="BP503" s="151" t="e">
        <v>#N/A</v>
      </c>
      <c r="BQ503" t="e">
        <v>#N/A</v>
      </c>
      <c r="BR503" t="str">
        <v/>
      </c>
    </row>
    <row r="504" spans="47:70" x14ac:dyDescent="0.2">
      <c r="AU504"/>
      <c r="AV504"/>
      <c r="AW504"/>
      <c r="AX504"/>
      <c r="AY504"/>
      <c r="BK504" s="42">
        <v>503</v>
      </c>
      <c r="BL504" s="127">
        <v>2</v>
      </c>
      <c r="BM504" s="127">
        <v>1.0047263613915816</v>
      </c>
      <c r="BN504" s="127" t="e">
        <v>#N/A</v>
      </c>
      <c r="BO504" s="127">
        <v>1.0047263613915816</v>
      </c>
      <c r="BP504" s="151" t="e">
        <v>#N/A</v>
      </c>
      <c r="BQ504" t="e">
        <v>#N/A</v>
      </c>
      <c r="BR504" t="str">
        <v/>
      </c>
    </row>
    <row r="505" spans="47:70" x14ac:dyDescent="0.2">
      <c r="AU505"/>
      <c r="AV505"/>
      <c r="AW505"/>
      <c r="AX505"/>
      <c r="AY505"/>
      <c r="BK505" s="42">
        <v>504</v>
      </c>
      <c r="BL505" s="127">
        <v>2</v>
      </c>
      <c r="BM505" s="127">
        <v>1.0047263613915816</v>
      </c>
      <c r="BN505" s="127" t="e">
        <v>#N/A</v>
      </c>
      <c r="BO505" s="127">
        <v>1.0047263613915816</v>
      </c>
      <c r="BP505" s="151" t="e">
        <v>#N/A</v>
      </c>
      <c r="BQ505" t="e">
        <v>#N/A</v>
      </c>
      <c r="BR505" t="str">
        <v/>
      </c>
    </row>
    <row r="506" spans="47:70" x14ac:dyDescent="0.2">
      <c r="AU506"/>
      <c r="AV506"/>
      <c r="AW506"/>
      <c r="AX506"/>
      <c r="AY506"/>
      <c r="BK506" s="42">
        <v>505</v>
      </c>
      <c r="BL506" s="127">
        <v>2</v>
      </c>
      <c r="BM506" s="127">
        <v>1.0047263613915816</v>
      </c>
      <c r="BN506" s="127" t="e">
        <v>#N/A</v>
      </c>
      <c r="BO506" s="127">
        <v>1.0047263613915816</v>
      </c>
      <c r="BP506" s="151" t="e">
        <v>#N/A</v>
      </c>
      <c r="BQ506" t="e">
        <v>#N/A</v>
      </c>
      <c r="BR506" t="str">
        <v/>
      </c>
    </row>
    <row r="507" spans="47:70" x14ac:dyDescent="0.2">
      <c r="AU507"/>
      <c r="AV507"/>
      <c r="AW507"/>
      <c r="AX507"/>
      <c r="AY507"/>
      <c r="BK507" s="42">
        <v>506</v>
      </c>
      <c r="BL507" s="127">
        <v>2</v>
      </c>
      <c r="BM507" s="127">
        <v>1.0047263613915816</v>
      </c>
      <c r="BN507" s="127" t="e">
        <v>#N/A</v>
      </c>
      <c r="BO507" s="127">
        <v>1.0047263613915816</v>
      </c>
      <c r="BP507" s="151" t="e">
        <v>#N/A</v>
      </c>
      <c r="BQ507" t="e">
        <v>#N/A</v>
      </c>
      <c r="BR507" t="str">
        <v/>
      </c>
    </row>
    <row r="508" spans="47:70" x14ac:dyDescent="0.2">
      <c r="AU508"/>
      <c r="AV508"/>
      <c r="AW508"/>
      <c r="AX508"/>
      <c r="AY508"/>
      <c r="BK508" s="42">
        <v>507</v>
      </c>
      <c r="BL508" s="127">
        <v>2</v>
      </c>
      <c r="BM508" s="127">
        <v>1.0047263613915816</v>
      </c>
      <c r="BN508" s="127" t="e">
        <v>#N/A</v>
      </c>
      <c r="BO508" s="127">
        <v>1.0047263613915816</v>
      </c>
      <c r="BP508" s="151" t="e">
        <v>#N/A</v>
      </c>
      <c r="BQ508" t="e">
        <v>#N/A</v>
      </c>
      <c r="BR508" t="str">
        <v/>
      </c>
    </row>
    <row r="509" spans="47:70" x14ac:dyDescent="0.2">
      <c r="AU509"/>
      <c r="AV509"/>
      <c r="AW509"/>
      <c r="AX509"/>
      <c r="AY509"/>
      <c r="BK509" s="42">
        <v>508</v>
      </c>
      <c r="BL509" s="127">
        <v>2</v>
      </c>
      <c r="BM509" s="127">
        <v>1.0047263613915816</v>
      </c>
      <c r="BN509" s="127" t="e">
        <v>#N/A</v>
      </c>
      <c r="BO509" s="127">
        <v>1.0047263613915816</v>
      </c>
      <c r="BP509" s="151" t="e">
        <v>#N/A</v>
      </c>
      <c r="BQ509" t="e">
        <v>#N/A</v>
      </c>
      <c r="BR509" t="str">
        <v/>
      </c>
    </row>
    <row r="510" spans="47:70" x14ac:dyDescent="0.2">
      <c r="AU510"/>
      <c r="AV510"/>
      <c r="AW510"/>
      <c r="AX510"/>
      <c r="AY510"/>
      <c r="BK510" s="42">
        <v>509</v>
      </c>
      <c r="BL510" s="127">
        <v>2</v>
      </c>
      <c r="BM510" s="127">
        <v>1.0047263613915816</v>
      </c>
      <c r="BN510" s="127" t="e">
        <v>#N/A</v>
      </c>
      <c r="BO510" s="127">
        <v>1.0047263613915816</v>
      </c>
      <c r="BP510" s="151" t="e">
        <v>#N/A</v>
      </c>
      <c r="BQ510" t="e">
        <v>#N/A</v>
      </c>
      <c r="BR510" t="str">
        <v/>
      </c>
    </row>
    <row r="511" spans="47:70" x14ac:dyDescent="0.2">
      <c r="AU511"/>
      <c r="AV511"/>
      <c r="AW511"/>
      <c r="AX511"/>
      <c r="AY511"/>
      <c r="BK511" s="42">
        <v>510</v>
      </c>
      <c r="BL511" s="127">
        <v>2</v>
      </c>
      <c r="BM511" s="127">
        <v>1.0047263613915816</v>
      </c>
      <c r="BN511" s="127" t="e">
        <v>#N/A</v>
      </c>
      <c r="BO511" s="127">
        <v>1.0047263613915816</v>
      </c>
      <c r="BP511" s="151" t="e">
        <v>#N/A</v>
      </c>
      <c r="BQ511" t="e">
        <v>#N/A</v>
      </c>
      <c r="BR511" t="str">
        <v/>
      </c>
    </row>
    <row r="512" spans="47:70" x14ac:dyDescent="0.2">
      <c r="AU512"/>
      <c r="AV512"/>
      <c r="AW512"/>
      <c r="AX512"/>
      <c r="AY512"/>
      <c r="BK512" s="42">
        <v>511</v>
      </c>
      <c r="BL512" s="127">
        <v>2</v>
      </c>
      <c r="BM512" s="127">
        <v>1.0047263613915816</v>
      </c>
      <c r="BN512" s="127" t="e">
        <v>#N/A</v>
      </c>
      <c r="BO512" s="127">
        <v>1.0047263613915816</v>
      </c>
      <c r="BP512" s="151" t="e">
        <v>#N/A</v>
      </c>
      <c r="BQ512" t="e">
        <v>#N/A</v>
      </c>
      <c r="BR512" t="str">
        <v/>
      </c>
    </row>
    <row r="513" spans="47:70" x14ac:dyDescent="0.2">
      <c r="AU513"/>
      <c r="AV513"/>
      <c r="AW513"/>
      <c r="AX513"/>
      <c r="AY513"/>
      <c r="BK513" s="42">
        <v>512</v>
      </c>
      <c r="BL513" s="127">
        <v>2</v>
      </c>
      <c r="BM513" s="127">
        <v>1.0047263613915816</v>
      </c>
      <c r="BN513" s="127" t="e">
        <v>#N/A</v>
      </c>
      <c r="BO513" s="127">
        <v>1.0047263613915816</v>
      </c>
      <c r="BP513" s="151" t="e">
        <v>#N/A</v>
      </c>
      <c r="BQ513" t="e">
        <v>#N/A</v>
      </c>
      <c r="BR513" t="str">
        <v/>
      </c>
    </row>
    <row r="514" spans="47:70" x14ac:dyDescent="0.2">
      <c r="AU514"/>
      <c r="AV514"/>
      <c r="AW514"/>
      <c r="AX514"/>
      <c r="AY514"/>
      <c r="BK514" s="42">
        <v>513</v>
      </c>
      <c r="BL514" s="127">
        <v>2</v>
      </c>
      <c r="BM514" s="127">
        <v>1.0047263613915816</v>
      </c>
      <c r="BN514" s="127" t="e">
        <v>#N/A</v>
      </c>
      <c r="BO514" s="127">
        <v>1.0047263613915816</v>
      </c>
      <c r="BP514" s="151" t="e">
        <v>#N/A</v>
      </c>
      <c r="BQ514" t="e">
        <v>#N/A</v>
      </c>
      <c r="BR514" t="str">
        <v/>
      </c>
    </row>
    <row r="515" spans="47:70" x14ac:dyDescent="0.2">
      <c r="AU515"/>
      <c r="AV515"/>
      <c r="AW515"/>
      <c r="AX515"/>
      <c r="AY515"/>
      <c r="BK515" s="42">
        <v>514</v>
      </c>
      <c r="BL515" s="127">
        <v>2</v>
      </c>
      <c r="BM515" s="127">
        <v>1.0047263613915816</v>
      </c>
      <c r="BN515" s="127" t="e">
        <v>#N/A</v>
      </c>
      <c r="BO515" s="127">
        <v>1.0047263613915816</v>
      </c>
      <c r="BP515" s="151" t="e">
        <v>#N/A</v>
      </c>
      <c r="BQ515" t="e">
        <v>#N/A</v>
      </c>
      <c r="BR515" t="str">
        <v/>
      </c>
    </row>
    <row r="516" spans="47:70" x14ac:dyDescent="0.2">
      <c r="AU516"/>
      <c r="AV516"/>
      <c r="AW516"/>
      <c r="AX516"/>
      <c r="AY516"/>
      <c r="BK516" s="42">
        <v>515</v>
      </c>
      <c r="BL516" s="127">
        <v>2</v>
      </c>
      <c r="BM516" s="127">
        <v>1.0047263613915816</v>
      </c>
      <c r="BN516" s="127" t="e">
        <v>#N/A</v>
      </c>
      <c r="BO516" s="127">
        <v>1.0047263613915816</v>
      </c>
      <c r="BP516" s="151" t="e">
        <v>#N/A</v>
      </c>
      <c r="BQ516" t="e">
        <v>#N/A</v>
      </c>
      <c r="BR516" t="str">
        <v/>
      </c>
    </row>
    <row r="517" spans="47:70" x14ac:dyDescent="0.2">
      <c r="AU517"/>
      <c r="AV517"/>
      <c r="AW517"/>
      <c r="AX517"/>
      <c r="AY517"/>
      <c r="BK517" s="42">
        <v>516</v>
      </c>
      <c r="BL517" s="127">
        <v>2</v>
      </c>
      <c r="BM517" s="127">
        <v>1.0047263613915816</v>
      </c>
      <c r="BN517" s="127" t="e">
        <v>#N/A</v>
      </c>
      <c r="BO517" s="127">
        <v>1.0047263613915816</v>
      </c>
      <c r="BP517" s="151" t="e">
        <v>#N/A</v>
      </c>
      <c r="BQ517" t="e">
        <v>#N/A</v>
      </c>
      <c r="BR517" t="str">
        <v/>
      </c>
    </row>
    <row r="518" spans="47:70" x14ac:dyDescent="0.2">
      <c r="AU518"/>
      <c r="AV518"/>
      <c r="AW518"/>
      <c r="AX518"/>
      <c r="AY518"/>
      <c r="BK518" s="42">
        <v>517</v>
      </c>
      <c r="BL518" s="127">
        <v>2</v>
      </c>
      <c r="BM518" s="127">
        <v>1.0047263613915816</v>
      </c>
      <c r="BN518" s="127" t="e">
        <v>#N/A</v>
      </c>
      <c r="BO518" s="127">
        <v>1.0047263613915816</v>
      </c>
      <c r="BP518" s="151" t="e">
        <v>#N/A</v>
      </c>
      <c r="BQ518" t="e">
        <v>#N/A</v>
      </c>
      <c r="BR518" t="str">
        <v/>
      </c>
    </row>
    <row r="519" spans="47:70" x14ac:dyDescent="0.2">
      <c r="AU519"/>
      <c r="AV519"/>
      <c r="AW519"/>
      <c r="AX519"/>
      <c r="AY519"/>
      <c r="BK519" s="42">
        <v>518</v>
      </c>
      <c r="BL519" s="127">
        <v>2</v>
      </c>
      <c r="BM519" s="127">
        <v>1.0047263613915816</v>
      </c>
      <c r="BN519" s="127" t="e">
        <v>#N/A</v>
      </c>
      <c r="BO519" s="127">
        <v>1.0047263613915816</v>
      </c>
      <c r="BP519" s="151" t="e">
        <v>#N/A</v>
      </c>
      <c r="BQ519" t="e">
        <v>#N/A</v>
      </c>
      <c r="BR519" t="str">
        <v/>
      </c>
    </row>
    <row r="520" spans="47:70" x14ac:dyDescent="0.2">
      <c r="AU520"/>
      <c r="AV520"/>
      <c r="AW520"/>
      <c r="AX520"/>
      <c r="AY520"/>
      <c r="BK520" s="42">
        <v>519</v>
      </c>
      <c r="BL520" s="127">
        <v>2</v>
      </c>
      <c r="BM520" s="127">
        <v>1.0047263613915816</v>
      </c>
      <c r="BN520" s="127" t="e">
        <v>#N/A</v>
      </c>
      <c r="BO520" s="127">
        <v>1.0047263613915816</v>
      </c>
      <c r="BP520" s="151" t="e">
        <v>#N/A</v>
      </c>
      <c r="BQ520" t="e">
        <v>#N/A</v>
      </c>
      <c r="BR520" t="str">
        <v/>
      </c>
    </row>
    <row r="521" spans="47:70" x14ac:dyDescent="0.2">
      <c r="AU521"/>
      <c r="AV521"/>
      <c r="AW521"/>
      <c r="AX521"/>
      <c r="AY521"/>
      <c r="BK521" s="42">
        <v>520</v>
      </c>
      <c r="BL521" s="127">
        <v>2</v>
      </c>
      <c r="BM521" s="127">
        <v>1.0047263613915816</v>
      </c>
      <c r="BN521" s="127" t="e">
        <v>#N/A</v>
      </c>
      <c r="BO521" s="127">
        <v>1.0047263613915816</v>
      </c>
      <c r="BP521" s="151" t="e">
        <v>#N/A</v>
      </c>
      <c r="BQ521" t="e">
        <v>#N/A</v>
      </c>
      <c r="BR521" t="str">
        <v/>
      </c>
    </row>
    <row r="522" spans="47:70" x14ac:dyDescent="0.2">
      <c r="AU522"/>
      <c r="AV522"/>
      <c r="AW522"/>
      <c r="AX522"/>
      <c r="AY522"/>
      <c r="BK522" s="42">
        <v>521</v>
      </c>
      <c r="BL522" s="127">
        <v>2</v>
      </c>
      <c r="BM522" s="127">
        <v>1.0047263613915816</v>
      </c>
      <c r="BN522" s="127" t="e">
        <v>#N/A</v>
      </c>
      <c r="BO522" s="127">
        <v>1.0047263613915816</v>
      </c>
      <c r="BP522" s="151" t="e">
        <v>#N/A</v>
      </c>
      <c r="BQ522" t="e">
        <v>#N/A</v>
      </c>
      <c r="BR522" t="str">
        <v/>
      </c>
    </row>
    <row r="523" spans="47:70" x14ac:dyDescent="0.2">
      <c r="AU523"/>
      <c r="AV523"/>
      <c r="AW523"/>
      <c r="AX523"/>
      <c r="AY523"/>
      <c r="BK523" s="42">
        <v>522</v>
      </c>
      <c r="BL523" s="127">
        <v>2</v>
      </c>
      <c r="BM523" s="127">
        <v>1.0047263613915816</v>
      </c>
      <c r="BN523" s="127" t="e">
        <v>#N/A</v>
      </c>
      <c r="BO523" s="127">
        <v>1.0047263613915816</v>
      </c>
      <c r="BP523" s="151" t="e">
        <v>#N/A</v>
      </c>
      <c r="BQ523" t="e">
        <v>#N/A</v>
      </c>
      <c r="BR523" t="str">
        <v/>
      </c>
    </row>
    <row r="524" spans="47:70" x14ac:dyDescent="0.2">
      <c r="AU524"/>
      <c r="AV524"/>
      <c r="AW524"/>
      <c r="AX524"/>
      <c r="AY524"/>
      <c r="BK524" s="42">
        <v>523</v>
      </c>
      <c r="BL524" s="127">
        <v>2</v>
      </c>
      <c r="BM524" s="127">
        <v>1.0047263613915816</v>
      </c>
      <c r="BN524" s="127" t="e">
        <v>#N/A</v>
      </c>
      <c r="BO524" s="127">
        <v>1.0047263613915816</v>
      </c>
      <c r="BP524" s="151" t="e">
        <v>#N/A</v>
      </c>
      <c r="BQ524" t="e">
        <v>#N/A</v>
      </c>
      <c r="BR524" t="str">
        <v/>
      </c>
    </row>
    <row r="525" spans="47:70" x14ac:dyDescent="0.2">
      <c r="AU525"/>
      <c r="AV525"/>
      <c r="AW525"/>
      <c r="AX525"/>
      <c r="AY525"/>
      <c r="BK525" s="42">
        <v>524</v>
      </c>
      <c r="BL525" s="127">
        <v>2</v>
      </c>
      <c r="BM525" s="127">
        <v>1.0047263613915816</v>
      </c>
      <c r="BN525" s="127" t="e">
        <v>#N/A</v>
      </c>
      <c r="BO525" s="127">
        <v>1.0047263613915816</v>
      </c>
      <c r="BP525" s="151" t="e">
        <v>#N/A</v>
      </c>
      <c r="BQ525" t="e">
        <v>#N/A</v>
      </c>
      <c r="BR525" t="str">
        <v/>
      </c>
    </row>
    <row r="526" spans="47:70" x14ac:dyDescent="0.2">
      <c r="AU526"/>
      <c r="AV526"/>
      <c r="AW526"/>
      <c r="AX526"/>
      <c r="AY526"/>
      <c r="BK526" s="42">
        <v>525</v>
      </c>
      <c r="BL526" s="127">
        <v>2</v>
      </c>
      <c r="BM526" s="127">
        <v>1.0047263613915816</v>
      </c>
      <c r="BN526" s="127" t="e">
        <v>#N/A</v>
      </c>
      <c r="BO526" s="127">
        <v>1.0047263613915816</v>
      </c>
      <c r="BP526" s="151" t="e">
        <v>#N/A</v>
      </c>
      <c r="BQ526" t="e">
        <v>#N/A</v>
      </c>
      <c r="BR526" t="str">
        <v/>
      </c>
    </row>
    <row r="527" spans="47:70" x14ac:dyDescent="0.2">
      <c r="AU527"/>
      <c r="AV527"/>
      <c r="AW527"/>
      <c r="AX527"/>
      <c r="AY527"/>
      <c r="BK527" s="42">
        <v>526</v>
      </c>
      <c r="BL527" s="127">
        <v>2</v>
      </c>
      <c r="BM527" s="127">
        <v>1.0047263613915816</v>
      </c>
      <c r="BN527" s="127" t="e">
        <v>#N/A</v>
      </c>
      <c r="BO527" s="127">
        <v>1.0047263613915816</v>
      </c>
      <c r="BP527" s="151" t="e">
        <v>#N/A</v>
      </c>
      <c r="BQ527" t="e">
        <v>#N/A</v>
      </c>
      <c r="BR527" t="str">
        <v/>
      </c>
    </row>
    <row r="528" spans="47:70" x14ac:dyDescent="0.2">
      <c r="AU528"/>
      <c r="AV528"/>
      <c r="AW528"/>
      <c r="AX528"/>
      <c r="AY528"/>
      <c r="BK528" s="42">
        <v>527</v>
      </c>
      <c r="BL528" s="127">
        <v>2</v>
      </c>
      <c r="BM528" s="127">
        <v>1.0047263613915816</v>
      </c>
      <c r="BN528" s="127" t="e">
        <v>#N/A</v>
      </c>
      <c r="BO528" s="127">
        <v>1.0047263613915816</v>
      </c>
      <c r="BP528" s="151" t="e">
        <v>#N/A</v>
      </c>
      <c r="BQ528" t="e">
        <v>#N/A</v>
      </c>
      <c r="BR528" t="str">
        <v/>
      </c>
    </row>
    <row r="529" spans="47:70" x14ac:dyDescent="0.2">
      <c r="AU529"/>
      <c r="AV529"/>
      <c r="AW529"/>
      <c r="AX529"/>
      <c r="AY529"/>
      <c r="BK529" s="42">
        <v>528</v>
      </c>
      <c r="BL529" s="127">
        <v>2</v>
      </c>
      <c r="BM529" s="127">
        <v>1.0047263613915816</v>
      </c>
      <c r="BN529" s="127" t="e">
        <v>#N/A</v>
      </c>
      <c r="BO529" s="127">
        <v>1.0047263613915816</v>
      </c>
      <c r="BP529" s="151" t="e">
        <v>#N/A</v>
      </c>
      <c r="BQ529" t="e">
        <v>#N/A</v>
      </c>
      <c r="BR529" t="str">
        <v/>
      </c>
    </row>
    <row r="530" spans="47:70" x14ac:dyDescent="0.2">
      <c r="AU530"/>
      <c r="AV530"/>
      <c r="AW530"/>
      <c r="AX530"/>
      <c r="AY530"/>
      <c r="BK530" s="42">
        <v>529</v>
      </c>
      <c r="BL530" s="127">
        <v>2</v>
      </c>
      <c r="BM530" s="127">
        <v>1.0047263613915816</v>
      </c>
      <c r="BN530" s="127" t="e">
        <v>#N/A</v>
      </c>
      <c r="BO530" s="127">
        <v>1.0047263613915816</v>
      </c>
      <c r="BP530" s="151" t="e">
        <v>#N/A</v>
      </c>
      <c r="BQ530" t="e">
        <v>#N/A</v>
      </c>
      <c r="BR530" t="str">
        <v/>
      </c>
    </row>
    <row r="531" spans="47:70" x14ac:dyDescent="0.2">
      <c r="AU531"/>
      <c r="AV531"/>
      <c r="AW531"/>
      <c r="AX531"/>
      <c r="AY531"/>
      <c r="BK531" s="42">
        <v>530</v>
      </c>
      <c r="BL531" s="127">
        <v>2</v>
      </c>
      <c r="BM531" s="127">
        <v>1.0047263613915816</v>
      </c>
      <c r="BN531" s="127" t="e">
        <v>#N/A</v>
      </c>
      <c r="BO531" s="127">
        <v>1.0047263613915816</v>
      </c>
      <c r="BP531" s="151" t="e">
        <v>#N/A</v>
      </c>
      <c r="BQ531" t="e">
        <v>#N/A</v>
      </c>
      <c r="BR531" t="str">
        <v/>
      </c>
    </row>
    <row r="532" spans="47:70" x14ac:dyDescent="0.2">
      <c r="AU532"/>
      <c r="AV532"/>
      <c r="AW532"/>
      <c r="AX532"/>
      <c r="AY532"/>
      <c r="BK532" s="42">
        <v>531</v>
      </c>
      <c r="BL532" s="127">
        <v>2</v>
      </c>
      <c r="BM532" s="127">
        <v>1.0047263613915816</v>
      </c>
      <c r="BN532" s="127" t="e">
        <v>#N/A</v>
      </c>
      <c r="BO532" s="127">
        <v>1.0047263613915816</v>
      </c>
      <c r="BP532" s="151" t="e">
        <v>#N/A</v>
      </c>
      <c r="BQ532" t="e">
        <v>#N/A</v>
      </c>
      <c r="BR532" t="str">
        <v/>
      </c>
    </row>
    <row r="533" spans="47:70" x14ac:dyDescent="0.2">
      <c r="AU533"/>
      <c r="AV533"/>
      <c r="AW533"/>
      <c r="AX533"/>
      <c r="AY533"/>
      <c r="BK533" s="42">
        <v>532</v>
      </c>
      <c r="BL533" s="127">
        <v>2</v>
      </c>
      <c r="BM533" s="127">
        <v>1.0047263613915816</v>
      </c>
      <c r="BN533" s="127" t="e">
        <v>#N/A</v>
      </c>
      <c r="BO533" s="127">
        <v>1.0047263613915816</v>
      </c>
      <c r="BP533" s="151" t="e">
        <v>#N/A</v>
      </c>
      <c r="BQ533" t="e">
        <v>#N/A</v>
      </c>
      <c r="BR533" t="str">
        <v/>
      </c>
    </row>
    <row r="534" spans="47:70" x14ac:dyDescent="0.2">
      <c r="AU534"/>
      <c r="AV534"/>
      <c r="AW534"/>
      <c r="AX534"/>
      <c r="AY534"/>
      <c r="BK534" s="42">
        <v>533</v>
      </c>
      <c r="BL534" s="127">
        <v>2</v>
      </c>
      <c r="BM534" s="127">
        <v>1.0047263613915816</v>
      </c>
      <c r="BN534" s="127" t="e">
        <v>#N/A</v>
      </c>
      <c r="BO534" s="127">
        <v>1.0047263613915816</v>
      </c>
      <c r="BP534" s="151" t="e">
        <v>#N/A</v>
      </c>
      <c r="BQ534" t="e">
        <v>#N/A</v>
      </c>
      <c r="BR534" t="str">
        <v/>
      </c>
    </row>
    <row r="535" spans="47:70" x14ac:dyDescent="0.2">
      <c r="AU535"/>
      <c r="AV535"/>
      <c r="AW535"/>
      <c r="AX535"/>
      <c r="AY535"/>
      <c r="BK535" s="42">
        <v>534</v>
      </c>
      <c r="BL535" s="127">
        <v>2</v>
      </c>
      <c r="BM535" s="127">
        <v>1.0047263613915816</v>
      </c>
      <c r="BN535" s="127" t="e">
        <v>#N/A</v>
      </c>
      <c r="BO535" s="127">
        <v>1.0047263613915816</v>
      </c>
      <c r="BP535" s="151" t="e">
        <v>#N/A</v>
      </c>
      <c r="BQ535" t="e">
        <v>#N/A</v>
      </c>
      <c r="BR535" t="str">
        <v/>
      </c>
    </row>
    <row r="536" spans="47:70" x14ac:dyDescent="0.2">
      <c r="AU536"/>
      <c r="AV536"/>
      <c r="AW536"/>
      <c r="AX536"/>
      <c r="AY536"/>
      <c r="BK536" s="42">
        <v>535</v>
      </c>
      <c r="BL536" s="127">
        <v>2</v>
      </c>
      <c r="BM536" s="127">
        <v>1.0047263613915816</v>
      </c>
      <c r="BN536" s="127" t="e">
        <v>#N/A</v>
      </c>
      <c r="BO536" s="127">
        <v>1.0047263613915816</v>
      </c>
      <c r="BP536" s="151" t="e">
        <v>#N/A</v>
      </c>
      <c r="BQ536" t="e">
        <v>#N/A</v>
      </c>
      <c r="BR536" t="str">
        <v/>
      </c>
    </row>
    <row r="537" spans="47:70" x14ac:dyDescent="0.2">
      <c r="AU537"/>
      <c r="AV537"/>
      <c r="AW537"/>
      <c r="AX537"/>
      <c r="AY537"/>
      <c r="BK537" s="42">
        <v>536</v>
      </c>
      <c r="BL537" s="127">
        <v>2</v>
      </c>
      <c r="BM537" s="127">
        <v>1.0047263613915816</v>
      </c>
      <c r="BN537" s="127" t="e">
        <v>#N/A</v>
      </c>
      <c r="BO537" s="127">
        <v>1.0047263613915816</v>
      </c>
      <c r="BP537" s="151" t="e">
        <v>#N/A</v>
      </c>
      <c r="BQ537" t="e">
        <v>#N/A</v>
      </c>
      <c r="BR537" t="str">
        <v/>
      </c>
    </row>
    <row r="538" spans="47:70" x14ac:dyDescent="0.2">
      <c r="AU538"/>
      <c r="AV538"/>
      <c r="AW538"/>
      <c r="AX538"/>
      <c r="AY538"/>
      <c r="BK538" s="42">
        <v>537</v>
      </c>
      <c r="BL538" s="127">
        <v>2</v>
      </c>
      <c r="BM538" s="127">
        <v>1.0047263613915816</v>
      </c>
      <c r="BN538" s="127" t="e">
        <v>#N/A</v>
      </c>
      <c r="BO538" s="127">
        <v>1.0047263613915816</v>
      </c>
      <c r="BP538" s="151" t="e">
        <v>#N/A</v>
      </c>
      <c r="BQ538" t="e">
        <v>#N/A</v>
      </c>
      <c r="BR538" t="str">
        <v/>
      </c>
    </row>
    <row r="539" spans="47:70" x14ac:dyDescent="0.2">
      <c r="AU539"/>
      <c r="AV539"/>
      <c r="AW539"/>
      <c r="AX539"/>
      <c r="AY539"/>
      <c r="BK539" s="42">
        <v>538</v>
      </c>
      <c r="BL539" s="127">
        <v>2</v>
      </c>
      <c r="BM539" s="127">
        <v>1.0047263613915816</v>
      </c>
      <c r="BN539" s="127" t="e">
        <v>#N/A</v>
      </c>
      <c r="BO539" s="127">
        <v>1.0047263613915816</v>
      </c>
      <c r="BP539" s="151" t="e">
        <v>#N/A</v>
      </c>
      <c r="BQ539" t="e">
        <v>#N/A</v>
      </c>
      <c r="BR539" t="str">
        <v/>
      </c>
    </row>
    <row r="540" spans="47:70" x14ac:dyDescent="0.2">
      <c r="AU540"/>
      <c r="AV540"/>
      <c r="AW540"/>
      <c r="AX540"/>
      <c r="AY540"/>
      <c r="BK540" s="42">
        <v>539</v>
      </c>
      <c r="BL540" s="127">
        <v>2</v>
      </c>
      <c r="BM540" s="127">
        <v>1.0047263613915816</v>
      </c>
      <c r="BN540" s="127" t="e">
        <v>#N/A</v>
      </c>
      <c r="BO540" s="127">
        <v>1.0047263613915816</v>
      </c>
      <c r="BP540" s="151" t="e">
        <v>#N/A</v>
      </c>
      <c r="BQ540" t="e">
        <v>#N/A</v>
      </c>
      <c r="BR540" t="str">
        <v/>
      </c>
    </row>
    <row r="541" spans="47:70" x14ac:dyDescent="0.2">
      <c r="AU541"/>
      <c r="AV541"/>
      <c r="AW541"/>
      <c r="AX541"/>
      <c r="AY541"/>
      <c r="BK541" s="42">
        <v>540</v>
      </c>
      <c r="BL541" s="127">
        <v>2</v>
      </c>
      <c r="BM541" s="127">
        <v>1.0047263613915816</v>
      </c>
      <c r="BN541" s="127" t="e">
        <v>#N/A</v>
      </c>
      <c r="BO541" s="127">
        <v>1.0047263613915816</v>
      </c>
      <c r="BP541" s="151" t="e">
        <v>#N/A</v>
      </c>
      <c r="BQ541" t="e">
        <v>#N/A</v>
      </c>
      <c r="BR541" t="str">
        <v/>
      </c>
    </row>
    <row r="542" spans="47:70" x14ac:dyDescent="0.2">
      <c r="AU542"/>
      <c r="AV542"/>
      <c r="AW542"/>
      <c r="AX542"/>
      <c r="AY542"/>
      <c r="BK542" s="42">
        <v>541</v>
      </c>
      <c r="BL542" s="127">
        <v>2</v>
      </c>
      <c r="BM542" s="127">
        <v>1.0047263613915816</v>
      </c>
      <c r="BN542" s="127" t="e">
        <v>#N/A</v>
      </c>
      <c r="BO542" s="127">
        <v>1.0047263613915816</v>
      </c>
      <c r="BP542" s="151" t="e">
        <v>#N/A</v>
      </c>
      <c r="BQ542" t="e">
        <v>#N/A</v>
      </c>
      <c r="BR542" t="str">
        <v/>
      </c>
    </row>
    <row r="543" spans="47:70" x14ac:dyDescent="0.2">
      <c r="AU543"/>
      <c r="AV543"/>
      <c r="AW543"/>
      <c r="AX543"/>
      <c r="AY543"/>
      <c r="BK543" s="42">
        <v>542</v>
      </c>
      <c r="BL543" s="127">
        <v>2</v>
      </c>
      <c r="BM543" s="127">
        <v>1.0047263613915816</v>
      </c>
      <c r="BN543" s="127" t="e">
        <v>#N/A</v>
      </c>
      <c r="BO543" s="127">
        <v>1.0047263613915816</v>
      </c>
      <c r="BP543" s="151" t="e">
        <v>#N/A</v>
      </c>
      <c r="BQ543" t="e">
        <v>#N/A</v>
      </c>
      <c r="BR543" t="str">
        <v/>
      </c>
    </row>
    <row r="544" spans="47:70" x14ac:dyDescent="0.2">
      <c r="AU544"/>
      <c r="AV544"/>
      <c r="AW544"/>
      <c r="AX544"/>
      <c r="AY544"/>
      <c r="BK544" s="42">
        <v>543</v>
      </c>
      <c r="BL544" s="127">
        <v>2</v>
      </c>
      <c r="BM544" s="127">
        <v>1.0047263613915816</v>
      </c>
      <c r="BN544" s="127" t="e">
        <v>#N/A</v>
      </c>
      <c r="BO544" s="127">
        <v>1.0047263613915816</v>
      </c>
      <c r="BP544" s="151" t="e">
        <v>#N/A</v>
      </c>
      <c r="BQ544" t="e">
        <v>#N/A</v>
      </c>
      <c r="BR544" t="str">
        <v/>
      </c>
    </row>
    <row r="545" spans="47:70" x14ac:dyDescent="0.2">
      <c r="AU545"/>
      <c r="AV545"/>
      <c r="AW545"/>
      <c r="AX545"/>
      <c r="AY545"/>
      <c r="BK545" s="42">
        <v>544</v>
      </c>
      <c r="BL545" s="127">
        <v>2</v>
      </c>
      <c r="BM545" s="127">
        <v>1.0047263613915816</v>
      </c>
      <c r="BN545" s="127" t="e">
        <v>#N/A</v>
      </c>
      <c r="BO545" s="127">
        <v>1.0047263613915816</v>
      </c>
      <c r="BP545" s="151" t="e">
        <v>#N/A</v>
      </c>
      <c r="BQ545" t="e">
        <v>#N/A</v>
      </c>
      <c r="BR545" t="str">
        <v/>
      </c>
    </row>
    <row r="546" spans="47:70" x14ac:dyDescent="0.2">
      <c r="AU546"/>
      <c r="AV546"/>
      <c r="AW546"/>
      <c r="AX546"/>
      <c r="AY546"/>
      <c r="BK546" s="42">
        <v>545</v>
      </c>
      <c r="BL546" s="127">
        <v>2</v>
      </c>
      <c r="BM546" s="127">
        <v>1.0047263613915816</v>
      </c>
      <c r="BN546" s="127" t="e">
        <v>#N/A</v>
      </c>
      <c r="BO546" s="127">
        <v>1.0047263613915816</v>
      </c>
      <c r="BP546" s="151" t="e">
        <v>#N/A</v>
      </c>
      <c r="BQ546" t="e">
        <v>#N/A</v>
      </c>
      <c r="BR546" t="str">
        <v/>
      </c>
    </row>
    <row r="547" spans="47:70" x14ac:dyDescent="0.2">
      <c r="AU547"/>
      <c r="AV547"/>
      <c r="AW547"/>
      <c r="AX547"/>
      <c r="AY547"/>
      <c r="BK547" s="42">
        <v>546</v>
      </c>
      <c r="BL547" s="127">
        <v>2</v>
      </c>
      <c r="BM547" s="127">
        <v>1.0047263613915816</v>
      </c>
      <c r="BN547" s="127" t="e">
        <v>#N/A</v>
      </c>
      <c r="BO547" s="127">
        <v>1.0047263613915816</v>
      </c>
      <c r="BP547" s="151" t="e">
        <v>#N/A</v>
      </c>
      <c r="BQ547" t="e">
        <v>#N/A</v>
      </c>
      <c r="BR547" t="str">
        <v/>
      </c>
    </row>
    <row r="548" spans="47:70" x14ac:dyDescent="0.2">
      <c r="AU548"/>
      <c r="AV548"/>
      <c r="AW548"/>
      <c r="AX548"/>
      <c r="AY548"/>
      <c r="BK548" s="42">
        <v>547</v>
      </c>
      <c r="BL548" s="127">
        <v>2</v>
      </c>
      <c r="BM548" s="127">
        <v>1.0047263613915816</v>
      </c>
      <c r="BN548" s="127" t="e">
        <v>#N/A</v>
      </c>
      <c r="BO548" s="127">
        <v>1.0047263613915816</v>
      </c>
      <c r="BP548" s="151" t="e">
        <v>#N/A</v>
      </c>
      <c r="BQ548" t="e">
        <v>#N/A</v>
      </c>
      <c r="BR548" t="str">
        <v/>
      </c>
    </row>
    <row r="549" spans="47:70" x14ac:dyDescent="0.2">
      <c r="AU549"/>
      <c r="AV549"/>
      <c r="AW549"/>
      <c r="AX549"/>
      <c r="AY549"/>
      <c r="BK549" s="42">
        <v>548</v>
      </c>
      <c r="BL549" s="127">
        <v>2</v>
      </c>
      <c r="BM549" s="127">
        <v>1.0047263613915816</v>
      </c>
      <c r="BN549" s="127" t="e">
        <v>#N/A</v>
      </c>
      <c r="BO549" s="127">
        <v>1.0047263613915816</v>
      </c>
      <c r="BP549" s="151" t="e">
        <v>#N/A</v>
      </c>
      <c r="BQ549" t="e">
        <v>#N/A</v>
      </c>
      <c r="BR549" t="str">
        <v/>
      </c>
    </row>
    <row r="550" spans="47:70" x14ac:dyDescent="0.2">
      <c r="AU550"/>
      <c r="AV550"/>
      <c r="AW550"/>
      <c r="AX550"/>
      <c r="AY550"/>
      <c r="BK550" s="42">
        <v>549</v>
      </c>
      <c r="BL550" s="127">
        <v>2</v>
      </c>
      <c r="BM550" s="127">
        <v>1.0047263613915816</v>
      </c>
      <c r="BN550" s="127" t="e">
        <v>#N/A</v>
      </c>
      <c r="BO550" s="127">
        <v>1.0047263613915816</v>
      </c>
      <c r="BP550" s="151" t="e">
        <v>#N/A</v>
      </c>
      <c r="BQ550" t="e">
        <v>#N/A</v>
      </c>
      <c r="BR550" t="str">
        <v/>
      </c>
    </row>
    <row r="551" spans="47:70" x14ac:dyDescent="0.2">
      <c r="AU551"/>
      <c r="AV551"/>
      <c r="AW551"/>
      <c r="AX551"/>
      <c r="AY551"/>
      <c r="BK551" s="42">
        <v>550</v>
      </c>
      <c r="BL551" s="127">
        <v>2</v>
      </c>
      <c r="BM551" s="127">
        <v>1.0047263613915816</v>
      </c>
      <c r="BN551" s="127" t="e">
        <v>#N/A</v>
      </c>
      <c r="BO551" s="127">
        <v>1.0047263613915816</v>
      </c>
      <c r="BP551" s="151" t="e">
        <v>#N/A</v>
      </c>
      <c r="BQ551" t="e">
        <v>#N/A</v>
      </c>
      <c r="BR551" t="str">
        <v/>
      </c>
    </row>
    <row r="552" spans="47:70" x14ac:dyDescent="0.2">
      <c r="AU552"/>
      <c r="AV552"/>
      <c r="AW552"/>
      <c r="AX552"/>
      <c r="AY552"/>
      <c r="BK552" s="42">
        <v>551</v>
      </c>
      <c r="BL552" s="127">
        <v>2</v>
      </c>
      <c r="BM552" s="127">
        <v>1.0047263613915816</v>
      </c>
      <c r="BN552" s="127" t="e">
        <v>#N/A</v>
      </c>
      <c r="BO552" s="127">
        <v>1.0047263613915816</v>
      </c>
      <c r="BP552" s="151" t="e">
        <v>#N/A</v>
      </c>
      <c r="BQ552" t="e">
        <v>#N/A</v>
      </c>
      <c r="BR552" t="str">
        <v/>
      </c>
    </row>
    <row r="553" spans="47:70" x14ac:dyDescent="0.2">
      <c r="AU553"/>
      <c r="AV553"/>
      <c r="AW553"/>
      <c r="AX553"/>
      <c r="AY553"/>
      <c r="BK553" s="42">
        <v>552</v>
      </c>
      <c r="BL553" s="127">
        <v>2</v>
      </c>
      <c r="BM553" s="127">
        <v>1.0047263613915816</v>
      </c>
      <c r="BN553" s="127" t="e">
        <v>#N/A</v>
      </c>
      <c r="BO553" s="127">
        <v>1.0047263613915816</v>
      </c>
      <c r="BP553" s="151" t="e">
        <v>#N/A</v>
      </c>
      <c r="BQ553" t="e">
        <v>#N/A</v>
      </c>
      <c r="BR553" t="str">
        <v/>
      </c>
    </row>
    <row r="554" spans="47:70" x14ac:dyDescent="0.2">
      <c r="AU554"/>
      <c r="AV554"/>
      <c r="AW554"/>
      <c r="AX554"/>
      <c r="AY554"/>
      <c r="BK554" s="42">
        <v>553</v>
      </c>
      <c r="BL554" s="127">
        <v>2</v>
      </c>
      <c r="BM554" s="127">
        <v>1.0047263613915816</v>
      </c>
      <c r="BN554" s="127" t="e">
        <v>#N/A</v>
      </c>
      <c r="BO554" s="127">
        <v>1.0047263613915816</v>
      </c>
      <c r="BP554" s="151" t="e">
        <v>#N/A</v>
      </c>
      <c r="BQ554" t="e">
        <v>#N/A</v>
      </c>
      <c r="BR554" t="str">
        <v/>
      </c>
    </row>
    <row r="555" spans="47:70" x14ac:dyDescent="0.2">
      <c r="AU555"/>
      <c r="AV555"/>
      <c r="AW555"/>
      <c r="AX555"/>
      <c r="AY555"/>
      <c r="BK555" s="42">
        <v>554</v>
      </c>
      <c r="BL555" s="127">
        <v>2</v>
      </c>
      <c r="BM555" s="127">
        <v>1.0047263613915816</v>
      </c>
      <c r="BN555" s="127" t="e">
        <v>#N/A</v>
      </c>
      <c r="BO555" s="127">
        <v>1.0047263613915816</v>
      </c>
      <c r="BP555" s="151" t="e">
        <v>#N/A</v>
      </c>
      <c r="BQ555" t="e">
        <v>#N/A</v>
      </c>
      <c r="BR555" t="str">
        <v/>
      </c>
    </row>
    <row r="556" spans="47:70" x14ac:dyDescent="0.2">
      <c r="AU556"/>
      <c r="AV556"/>
      <c r="AW556"/>
      <c r="AX556"/>
      <c r="AY556"/>
      <c r="BK556" s="42">
        <v>555</v>
      </c>
      <c r="BL556" s="127">
        <v>2</v>
      </c>
      <c r="BM556" s="127">
        <v>1.0047263613915816</v>
      </c>
      <c r="BN556" s="127" t="e">
        <v>#N/A</v>
      </c>
      <c r="BO556" s="127">
        <v>1.0047263613915816</v>
      </c>
      <c r="BP556" s="151" t="e">
        <v>#N/A</v>
      </c>
      <c r="BQ556" t="e">
        <v>#N/A</v>
      </c>
      <c r="BR556" t="str">
        <v/>
      </c>
    </row>
    <row r="557" spans="47:70" x14ac:dyDescent="0.2">
      <c r="AU557"/>
      <c r="AV557"/>
      <c r="AW557"/>
      <c r="AX557"/>
      <c r="AY557"/>
      <c r="BK557" s="42">
        <v>556</v>
      </c>
      <c r="BL557" s="127">
        <v>2</v>
      </c>
      <c r="BM557" s="127">
        <v>1.0047263613915816</v>
      </c>
      <c r="BN557" s="127" t="e">
        <v>#N/A</v>
      </c>
      <c r="BO557" s="127">
        <v>1.0047263613915816</v>
      </c>
      <c r="BP557" s="151" t="e">
        <v>#N/A</v>
      </c>
      <c r="BQ557" t="e">
        <v>#N/A</v>
      </c>
      <c r="BR557" t="str">
        <v/>
      </c>
    </row>
    <row r="558" spans="47:70" x14ac:dyDescent="0.2">
      <c r="AU558"/>
      <c r="AV558"/>
      <c r="AW558"/>
      <c r="AX558"/>
      <c r="AY558"/>
      <c r="BK558" s="42">
        <v>557</v>
      </c>
      <c r="BL558" s="127">
        <v>2</v>
      </c>
      <c r="BM558" s="127">
        <v>1.0047263613915816</v>
      </c>
      <c r="BN558" s="127" t="e">
        <v>#N/A</v>
      </c>
      <c r="BO558" s="127">
        <v>1.0047263613915816</v>
      </c>
      <c r="BP558" s="151" t="e">
        <v>#N/A</v>
      </c>
      <c r="BQ558" t="e">
        <v>#N/A</v>
      </c>
      <c r="BR558" t="str">
        <v/>
      </c>
    </row>
    <row r="559" spans="47:70" x14ac:dyDescent="0.2">
      <c r="AU559"/>
      <c r="AV559"/>
      <c r="AW559"/>
      <c r="AX559"/>
      <c r="AY559"/>
      <c r="BK559" s="42">
        <v>558</v>
      </c>
      <c r="BL559" s="127">
        <v>2</v>
      </c>
      <c r="BM559" s="127">
        <v>1.0047263613915816</v>
      </c>
      <c r="BN559" s="127" t="e">
        <v>#N/A</v>
      </c>
      <c r="BO559" s="127">
        <v>1.0047263613915816</v>
      </c>
      <c r="BP559" s="151" t="e">
        <v>#N/A</v>
      </c>
      <c r="BQ559" t="e">
        <v>#N/A</v>
      </c>
      <c r="BR559" t="str">
        <v/>
      </c>
    </row>
    <row r="560" spans="47:70" x14ac:dyDescent="0.2">
      <c r="AU560"/>
      <c r="AV560"/>
      <c r="AW560"/>
      <c r="AX560"/>
      <c r="AY560"/>
      <c r="BK560" s="42">
        <v>559</v>
      </c>
      <c r="BL560" s="127">
        <v>2</v>
      </c>
      <c r="BM560" s="127">
        <v>1.0047263613915816</v>
      </c>
      <c r="BN560" s="127" t="e">
        <v>#N/A</v>
      </c>
      <c r="BO560" s="127">
        <v>1.0047263613915816</v>
      </c>
      <c r="BP560" s="151" t="e">
        <v>#N/A</v>
      </c>
      <c r="BQ560" t="e">
        <v>#N/A</v>
      </c>
      <c r="BR560" t="str">
        <v/>
      </c>
    </row>
    <row r="561" spans="47:70" x14ac:dyDescent="0.2">
      <c r="AU561"/>
      <c r="AV561"/>
      <c r="AW561"/>
      <c r="AX561"/>
      <c r="AY561"/>
      <c r="BK561" s="42">
        <v>560</v>
      </c>
      <c r="BL561" s="127">
        <v>2</v>
      </c>
      <c r="BM561" s="127">
        <v>1.0047263613915816</v>
      </c>
      <c r="BN561" s="127" t="e">
        <v>#N/A</v>
      </c>
      <c r="BO561" s="127">
        <v>1.0047263613915816</v>
      </c>
      <c r="BP561" s="151" t="e">
        <v>#N/A</v>
      </c>
      <c r="BQ561" t="e">
        <v>#N/A</v>
      </c>
      <c r="BR561" t="str">
        <v/>
      </c>
    </row>
    <row r="562" spans="47:70" x14ac:dyDescent="0.2">
      <c r="AU562"/>
      <c r="AV562"/>
      <c r="AW562"/>
      <c r="AX562"/>
      <c r="AY562"/>
      <c r="BK562" s="42">
        <v>561</v>
      </c>
      <c r="BL562" s="127">
        <v>2</v>
      </c>
      <c r="BM562" s="127">
        <v>1.0047263613915816</v>
      </c>
      <c r="BN562" s="127" t="e">
        <v>#N/A</v>
      </c>
      <c r="BO562" s="127">
        <v>1.0047263613915816</v>
      </c>
      <c r="BP562" s="151" t="e">
        <v>#N/A</v>
      </c>
      <c r="BQ562" t="e">
        <v>#N/A</v>
      </c>
      <c r="BR562" t="str">
        <v/>
      </c>
    </row>
    <row r="563" spans="47:70" x14ac:dyDescent="0.2">
      <c r="AU563"/>
      <c r="AV563"/>
      <c r="AW563"/>
      <c r="AX563"/>
      <c r="AY563"/>
      <c r="BK563" s="42">
        <v>562</v>
      </c>
      <c r="BL563" s="127">
        <v>2</v>
      </c>
      <c r="BM563" s="127">
        <v>1.0047263613915816</v>
      </c>
      <c r="BN563" s="127" t="e">
        <v>#N/A</v>
      </c>
      <c r="BO563" s="127">
        <v>1.0047263613915816</v>
      </c>
      <c r="BP563" s="151" t="e">
        <v>#N/A</v>
      </c>
      <c r="BQ563" t="e">
        <v>#N/A</v>
      </c>
      <c r="BR563" t="str">
        <v/>
      </c>
    </row>
    <row r="564" spans="47:70" x14ac:dyDescent="0.2">
      <c r="AU564"/>
      <c r="AV564"/>
      <c r="AW564"/>
      <c r="AX564"/>
      <c r="AY564"/>
      <c r="BK564" s="42">
        <v>563</v>
      </c>
      <c r="BL564" s="127">
        <v>2</v>
      </c>
      <c r="BM564" s="127">
        <v>1.0047263613915816</v>
      </c>
      <c r="BN564" s="127" t="e">
        <v>#N/A</v>
      </c>
      <c r="BO564" s="127">
        <v>1.0047263613915816</v>
      </c>
      <c r="BP564" s="151" t="e">
        <v>#N/A</v>
      </c>
      <c r="BQ564" t="e">
        <v>#N/A</v>
      </c>
      <c r="BR564" t="str">
        <v/>
      </c>
    </row>
    <row r="565" spans="47:70" x14ac:dyDescent="0.2">
      <c r="AU565"/>
      <c r="AV565"/>
      <c r="AW565"/>
      <c r="AX565"/>
      <c r="AY565"/>
      <c r="BK565" s="42">
        <v>564</v>
      </c>
      <c r="BL565" s="127">
        <v>2</v>
      </c>
      <c r="BM565" s="127">
        <v>1.0047263613915816</v>
      </c>
      <c r="BN565" s="127" t="e">
        <v>#N/A</v>
      </c>
      <c r="BO565" s="127">
        <v>1.0047263613915816</v>
      </c>
      <c r="BP565" s="151" t="e">
        <v>#N/A</v>
      </c>
      <c r="BQ565" t="e">
        <v>#N/A</v>
      </c>
      <c r="BR565" t="str">
        <v/>
      </c>
    </row>
    <row r="566" spans="47:70" x14ac:dyDescent="0.2">
      <c r="AU566"/>
      <c r="AV566"/>
      <c r="AW566"/>
      <c r="AX566"/>
      <c r="AY566"/>
      <c r="BK566" s="42">
        <v>565</v>
      </c>
      <c r="BL566" s="127">
        <v>2</v>
      </c>
      <c r="BM566" s="127">
        <v>1.0047263613915816</v>
      </c>
      <c r="BN566" s="127" t="e">
        <v>#N/A</v>
      </c>
      <c r="BO566" s="127">
        <v>1.0047263613915816</v>
      </c>
      <c r="BP566" s="151" t="e">
        <v>#N/A</v>
      </c>
      <c r="BQ566" t="e">
        <v>#N/A</v>
      </c>
      <c r="BR566" t="str">
        <v/>
      </c>
    </row>
    <row r="567" spans="47:70" x14ac:dyDescent="0.2">
      <c r="AU567"/>
      <c r="AV567"/>
      <c r="AW567"/>
      <c r="AX567"/>
      <c r="AY567"/>
      <c r="BK567" s="42">
        <v>566</v>
      </c>
      <c r="BL567" s="127">
        <v>2</v>
      </c>
      <c r="BM567" s="127">
        <v>1.0047263613915816</v>
      </c>
      <c r="BN567" s="127" t="e">
        <v>#N/A</v>
      </c>
      <c r="BO567" s="127">
        <v>1.0047263613915816</v>
      </c>
      <c r="BP567" s="151" t="e">
        <v>#N/A</v>
      </c>
      <c r="BQ567" t="e">
        <v>#N/A</v>
      </c>
      <c r="BR567" t="str">
        <v/>
      </c>
    </row>
    <row r="568" spans="47:70" x14ac:dyDescent="0.2">
      <c r="AU568"/>
      <c r="AV568"/>
      <c r="AW568"/>
      <c r="AX568"/>
      <c r="AY568"/>
      <c r="BK568" s="42">
        <v>567</v>
      </c>
      <c r="BL568" s="127">
        <v>2</v>
      </c>
      <c r="BM568" s="127">
        <v>1.0047263613915816</v>
      </c>
      <c r="BN568" s="127" t="e">
        <v>#N/A</v>
      </c>
      <c r="BO568" s="127">
        <v>1.0047263613915816</v>
      </c>
      <c r="BP568" s="151" t="e">
        <v>#N/A</v>
      </c>
      <c r="BQ568" t="e">
        <v>#N/A</v>
      </c>
      <c r="BR568" t="str">
        <v/>
      </c>
    </row>
    <row r="569" spans="47:70" x14ac:dyDescent="0.2">
      <c r="AU569"/>
      <c r="AV569"/>
      <c r="AW569"/>
      <c r="AX569"/>
      <c r="AY569"/>
      <c r="BK569" s="42">
        <v>568</v>
      </c>
      <c r="BL569" s="127">
        <v>2</v>
      </c>
      <c r="BM569" s="127">
        <v>1.0047263613915816</v>
      </c>
      <c r="BN569" s="127" t="e">
        <v>#N/A</v>
      </c>
      <c r="BO569" s="127">
        <v>1.0047263613915816</v>
      </c>
      <c r="BP569" s="151" t="e">
        <v>#N/A</v>
      </c>
      <c r="BQ569" t="e">
        <v>#N/A</v>
      </c>
      <c r="BR569" t="str">
        <v/>
      </c>
    </row>
    <row r="570" spans="47:70" x14ac:dyDescent="0.2">
      <c r="AU570"/>
      <c r="AV570"/>
      <c r="AW570"/>
      <c r="AX570"/>
      <c r="AY570"/>
      <c r="BK570" s="42">
        <v>569</v>
      </c>
      <c r="BL570" s="127">
        <v>2</v>
      </c>
      <c r="BM570" s="127">
        <v>1.0047263613915816</v>
      </c>
      <c r="BN570" s="127" t="e">
        <v>#N/A</v>
      </c>
      <c r="BO570" s="127">
        <v>1.0047263613915816</v>
      </c>
      <c r="BP570" s="151" t="e">
        <v>#N/A</v>
      </c>
      <c r="BQ570" t="e">
        <v>#N/A</v>
      </c>
      <c r="BR570" t="str">
        <v/>
      </c>
    </row>
    <row r="571" spans="47:70" x14ac:dyDescent="0.2">
      <c r="AU571"/>
      <c r="AV571"/>
      <c r="AW571"/>
      <c r="AX571"/>
      <c r="AY571"/>
      <c r="BK571" s="42">
        <v>570</v>
      </c>
      <c r="BL571" s="127">
        <v>2</v>
      </c>
      <c r="BM571" s="127">
        <v>1.0047263613915816</v>
      </c>
      <c r="BN571" s="127" t="e">
        <v>#N/A</v>
      </c>
      <c r="BO571" s="127">
        <v>1.0047263613915816</v>
      </c>
      <c r="BP571" s="151" t="e">
        <v>#N/A</v>
      </c>
      <c r="BQ571" t="e">
        <v>#N/A</v>
      </c>
      <c r="BR571" t="str">
        <v/>
      </c>
    </row>
    <row r="572" spans="47:70" x14ac:dyDescent="0.2">
      <c r="AU572"/>
      <c r="AV572"/>
      <c r="AW572"/>
      <c r="AX572"/>
      <c r="AY572"/>
      <c r="BK572" s="42">
        <v>571</v>
      </c>
      <c r="BL572" s="127">
        <v>2</v>
      </c>
      <c r="BM572" s="127">
        <v>1.0047263613915816</v>
      </c>
      <c r="BN572" s="127" t="e">
        <v>#N/A</v>
      </c>
      <c r="BO572" s="127">
        <v>1.0047263613915816</v>
      </c>
      <c r="BP572" s="151" t="e">
        <v>#N/A</v>
      </c>
      <c r="BQ572" t="e">
        <v>#N/A</v>
      </c>
      <c r="BR572" t="str">
        <v/>
      </c>
    </row>
    <row r="573" spans="47:70" x14ac:dyDescent="0.2">
      <c r="AU573"/>
      <c r="AV573"/>
      <c r="AW573"/>
      <c r="AX573"/>
      <c r="AY573"/>
      <c r="BK573" s="42">
        <v>572</v>
      </c>
      <c r="BL573" s="127">
        <v>2</v>
      </c>
      <c r="BM573" s="127">
        <v>1.0047263613915816</v>
      </c>
      <c r="BN573" s="127" t="e">
        <v>#N/A</v>
      </c>
      <c r="BO573" s="127">
        <v>1.0047263613915816</v>
      </c>
      <c r="BP573" s="151" t="e">
        <v>#N/A</v>
      </c>
      <c r="BQ573" t="e">
        <v>#N/A</v>
      </c>
      <c r="BR573" t="str">
        <v/>
      </c>
    </row>
    <row r="574" spans="47:70" x14ac:dyDescent="0.2">
      <c r="AU574"/>
      <c r="AV574"/>
      <c r="AW574"/>
      <c r="AX574"/>
      <c r="AY574"/>
      <c r="BK574" s="42">
        <v>573</v>
      </c>
      <c r="BL574" s="127">
        <v>2</v>
      </c>
      <c r="BM574" s="127">
        <v>1.0047263613915816</v>
      </c>
      <c r="BN574" s="127" t="e">
        <v>#N/A</v>
      </c>
      <c r="BO574" s="127">
        <v>1.0047263613915816</v>
      </c>
      <c r="BP574" s="151" t="e">
        <v>#N/A</v>
      </c>
      <c r="BQ574" t="e">
        <v>#N/A</v>
      </c>
      <c r="BR574" t="str">
        <v/>
      </c>
    </row>
    <row r="575" spans="47:70" x14ac:dyDescent="0.2">
      <c r="AU575"/>
      <c r="AV575"/>
      <c r="AW575"/>
      <c r="AX575"/>
      <c r="AY575"/>
      <c r="BK575" s="42">
        <v>574</v>
      </c>
      <c r="BL575" s="127">
        <v>2</v>
      </c>
      <c r="BM575" s="127">
        <v>1.0047263613915816</v>
      </c>
      <c r="BN575" s="127" t="e">
        <v>#N/A</v>
      </c>
      <c r="BO575" s="127">
        <v>1.0047263613915816</v>
      </c>
      <c r="BP575" s="151" t="e">
        <v>#N/A</v>
      </c>
      <c r="BQ575" t="e">
        <v>#N/A</v>
      </c>
      <c r="BR575" t="str">
        <v/>
      </c>
    </row>
    <row r="576" spans="47:70" x14ac:dyDescent="0.2">
      <c r="AU576"/>
      <c r="AV576"/>
      <c r="AW576"/>
      <c r="AX576"/>
      <c r="AY576"/>
      <c r="BK576" s="42">
        <v>575</v>
      </c>
      <c r="BL576" s="127">
        <v>2</v>
      </c>
      <c r="BM576" s="127">
        <v>1.0047263613915816</v>
      </c>
      <c r="BN576" s="127" t="e">
        <v>#N/A</v>
      </c>
      <c r="BO576" s="127">
        <v>1.0047263613915816</v>
      </c>
      <c r="BP576" s="151" t="e">
        <v>#N/A</v>
      </c>
      <c r="BQ576" t="e">
        <v>#N/A</v>
      </c>
      <c r="BR576" t="str">
        <v/>
      </c>
    </row>
    <row r="577" spans="47:70" x14ac:dyDescent="0.2">
      <c r="AU577"/>
      <c r="AV577"/>
      <c r="AW577"/>
      <c r="AX577"/>
      <c r="AY577"/>
      <c r="BK577" s="42">
        <v>576</v>
      </c>
      <c r="BL577" s="127">
        <v>2</v>
      </c>
      <c r="BM577" s="127">
        <v>1.0047263613915816</v>
      </c>
      <c r="BN577" s="127" t="e">
        <v>#N/A</v>
      </c>
      <c r="BO577" s="127">
        <v>1.0047263613915816</v>
      </c>
      <c r="BP577" s="151" t="e">
        <v>#N/A</v>
      </c>
      <c r="BQ577" t="e">
        <v>#N/A</v>
      </c>
      <c r="BR577" t="str">
        <v/>
      </c>
    </row>
    <row r="578" spans="47:70" x14ac:dyDescent="0.2">
      <c r="AU578"/>
      <c r="AV578"/>
      <c r="AW578"/>
      <c r="AX578"/>
      <c r="AY578"/>
      <c r="BK578" s="42">
        <v>577</v>
      </c>
      <c r="BL578" s="127">
        <v>2</v>
      </c>
      <c r="BM578" s="127">
        <v>1.0047263613915816</v>
      </c>
      <c r="BN578" s="127" t="e">
        <v>#N/A</v>
      </c>
      <c r="BO578" s="127">
        <v>1.0047263613915816</v>
      </c>
      <c r="BP578" s="151" t="e">
        <v>#N/A</v>
      </c>
      <c r="BQ578" t="e">
        <v>#N/A</v>
      </c>
      <c r="BR578" t="str">
        <v/>
      </c>
    </row>
    <row r="579" spans="47:70" x14ac:dyDescent="0.2">
      <c r="AU579"/>
      <c r="AV579"/>
      <c r="AW579"/>
      <c r="AX579"/>
      <c r="AY579"/>
      <c r="BK579" s="42">
        <v>578</v>
      </c>
      <c r="BL579" s="127">
        <v>2</v>
      </c>
      <c r="BM579" s="127">
        <v>1.0047263613915816</v>
      </c>
      <c r="BN579" s="127" t="e">
        <v>#N/A</v>
      </c>
      <c r="BO579" s="127">
        <v>1.0047263613915816</v>
      </c>
      <c r="BP579" s="151" t="e">
        <v>#N/A</v>
      </c>
      <c r="BQ579" t="e">
        <v>#N/A</v>
      </c>
      <c r="BR579" t="str">
        <v/>
      </c>
    </row>
    <row r="580" spans="47:70" x14ac:dyDescent="0.2">
      <c r="AU580"/>
      <c r="AV580"/>
      <c r="AW580"/>
      <c r="AX580"/>
      <c r="AY580"/>
      <c r="BK580" s="42">
        <v>579</v>
      </c>
      <c r="BL580" s="127">
        <v>2</v>
      </c>
      <c r="BM580" s="127">
        <v>1.0047263613915816</v>
      </c>
      <c r="BN580" s="127" t="e">
        <v>#N/A</v>
      </c>
      <c r="BO580" s="127">
        <v>1.0047263613915816</v>
      </c>
      <c r="BP580" s="151" t="e">
        <v>#N/A</v>
      </c>
      <c r="BQ580" t="e">
        <v>#N/A</v>
      </c>
      <c r="BR580" t="str">
        <v/>
      </c>
    </row>
    <row r="581" spans="47:70" x14ac:dyDescent="0.2">
      <c r="AU581"/>
      <c r="AV581"/>
      <c r="AW581"/>
      <c r="AX581"/>
      <c r="AY581"/>
      <c r="BK581" s="42">
        <v>580</v>
      </c>
      <c r="BL581" s="127">
        <v>2</v>
      </c>
      <c r="BM581" s="127">
        <v>1.0047263613915816</v>
      </c>
      <c r="BN581" s="127" t="e">
        <v>#N/A</v>
      </c>
      <c r="BO581" s="127">
        <v>1.0047263613915816</v>
      </c>
      <c r="BP581" s="151" t="e">
        <v>#N/A</v>
      </c>
      <c r="BQ581" t="e">
        <v>#N/A</v>
      </c>
      <c r="BR581" t="str">
        <v/>
      </c>
    </row>
    <row r="582" spans="47:70" x14ac:dyDescent="0.2">
      <c r="AU582"/>
      <c r="AV582"/>
      <c r="AW582"/>
      <c r="AX582"/>
      <c r="AY582"/>
      <c r="BK582" s="42">
        <v>581</v>
      </c>
      <c r="BL582" s="127">
        <v>2</v>
      </c>
      <c r="BM582" s="127">
        <v>1.0047263613915816</v>
      </c>
      <c r="BN582" s="127" t="e">
        <v>#N/A</v>
      </c>
      <c r="BO582" s="127">
        <v>1.0047263613915816</v>
      </c>
      <c r="BP582" s="151" t="e">
        <v>#N/A</v>
      </c>
      <c r="BQ582" t="e">
        <v>#N/A</v>
      </c>
      <c r="BR582" t="str">
        <v/>
      </c>
    </row>
    <row r="583" spans="47:70" x14ac:dyDescent="0.2">
      <c r="AU583"/>
      <c r="AV583"/>
      <c r="AW583"/>
      <c r="AX583"/>
      <c r="AY583"/>
      <c r="BK583" s="42">
        <v>582</v>
      </c>
      <c r="BL583" s="127">
        <v>2</v>
      </c>
      <c r="BM583" s="127">
        <v>1.0047263613915816</v>
      </c>
      <c r="BN583" s="127" t="e">
        <v>#N/A</v>
      </c>
      <c r="BO583" s="127">
        <v>1.0047263613915816</v>
      </c>
      <c r="BP583" s="151" t="e">
        <v>#N/A</v>
      </c>
      <c r="BQ583" t="e">
        <v>#N/A</v>
      </c>
      <c r="BR583" t="str">
        <v/>
      </c>
    </row>
    <row r="584" spans="47:70" x14ac:dyDescent="0.2">
      <c r="AU584"/>
      <c r="AV584"/>
      <c r="AW584"/>
      <c r="AX584"/>
      <c r="AY584"/>
      <c r="BK584" s="42">
        <v>583</v>
      </c>
      <c r="BL584" s="127">
        <v>2</v>
      </c>
      <c r="BM584" s="127">
        <v>1.0047263613915816</v>
      </c>
      <c r="BN584" s="127" t="e">
        <v>#N/A</v>
      </c>
      <c r="BO584" s="127">
        <v>1.0047263613915816</v>
      </c>
      <c r="BP584" s="151" t="e">
        <v>#N/A</v>
      </c>
      <c r="BQ584" t="e">
        <v>#N/A</v>
      </c>
      <c r="BR584" t="str">
        <v/>
      </c>
    </row>
    <row r="585" spans="47:70" x14ac:dyDescent="0.2">
      <c r="AU585"/>
      <c r="AV585"/>
      <c r="AW585"/>
      <c r="AX585"/>
      <c r="AY585"/>
      <c r="BK585" s="42">
        <v>584</v>
      </c>
      <c r="BL585" s="127">
        <v>2</v>
      </c>
      <c r="BM585" s="127">
        <v>1.0047263613915816</v>
      </c>
      <c r="BN585" s="127" t="e">
        <v>#N/A</v>
      </c>
      <c r="BO585" s="127">
        <v>1.0047263613915816</v>
      </c>
      <c r="BP585" s="151" t="e">
        <v>#N/A</v>
      </c>
      <c r="BQ585" t="e">
        <v>#N/A</v>
      </c>
      <c r="BR585" t="str">
        <v/>
      </c>
    </row>
    <row r="586" spans="47:70" x14ac:dyDescent="0.2">
      <c r="AU586"/>
      <c r="AV586"/>
      <c r="AW586"/>
      <c r="AX586"/>
      <c r="AY586"/>
      <c r="BK586" s="42">
        <v>585</v>
      </c>
      <c r="BL586" s="127">
        <v>2</v>
      </c>
      <c r="BM586" s="127">
        <v>1.0047263613915816</v>
      </c>
      <c r="BN586" s="127" t="e">
        <v>#N/A</v>
      </c>
      <c r="BO586" s="127">
        <v>1.0047263613915816</v>
      </c>
      <c r="BP586" s="151" t="e">
        <v>#N/A</v>
      </c>
      <c r="BQ586" t="e">
        <v>#N/A</v>
      </c>
      <c r="BR586" t="str">
        <v/>
      </c>
    </row>
    <row r="587" spans="47:70" x14ac:dyDescent="0.2">
      <c r="AU587"/>
      <c r="AV587"/>
      <c r="AW587"/>
      <c r="AX587"/>
      <c r="AY587"/>
      <c r="BK587" s="42">
        <v>586</v>
      </c>
      <c r="BL587" s="127">
        <v>2</v>
      </c>
      <c r="BM587" s="127">
        <v>1.0047263613915816</v>
      </c>
      <c r="BN587" s="127" t="e">
        <v>#N/A</v>
      </c>
      <c r="BO587" s="127">
        <v>1.0047263613915816</v>
      </c>
      <c r="BP587" s="151" t="e">
        <v>#N/A</v>
      </c>
      <c r="BQ587" t="e">
        <v>#N/A</v>
      </c>
      <c r="BR587" t="str">
        <v/>
      </c>
    </row>
    <row r="588" spans="47:70" x14ac:dyDescent="0.2">
      <c r="AU588"/>
      <c r="AV588"/>
      <c r="AW588"/>
      <c r="AX588"/>
      <c r="AY588"/>
      <c r="BK588" s="42">
        <v>587</v>
      </c>
      <c r="BL588" s="127">
        <v>2</v>
      </c>
      <c r="BM588" s="127">
        <v>1.0047263613915816</v>
      </c>
      <c r="BN588" s="127" t="e">
        <v>#N/A</v>
      </c>
      <c r="BO588" s="127">
        <v>1.0047263613915816</v>
      </c>
      <c r="BP588" s="151" t="e">
        <v>#N/A</v>
      </c>
      <c r="BQ588" t="e">
        <v>#N/A</v>
      </c>
      <c r="BR588" t="str">
        <v/>
      </c>
    </row>
    <row r="589" spans="47:70" x14ac:dyDescent="0.2">
      <c r="AU589"/>
      <c r="AV589"/>
      <c r="AW589"/>
      <c r="AX589"/>
      <c r="AY589"/>
      <c r="BK589" s="42">
        <v>588</v>
      </c>
      <c r="BL589" s="127">
        <v>2</v>
      </c>
      <c r="BM589" s="127">
        <v>1.0047263613915816</v>
      </c>
      <c r="BN589" s="127" t="e">
        <v>#N/A</v>
      </c>
      <c r="BO589" s="127">
        <v>1.0047263613915816</v>
      </c>
      <c r="BP589" s="151" t="e">
        <v>#N/A</v>
      </c>
      <c r="BQ589" t="e">
        <v>#N/A</v>
      </c>
      <c r="BR589" t="str">
        <v/>
      </c>
    </row>
    <row r="590" spans="47:70" x14ac:dyDescent="0.2">
      <c r="AU590"/>
      <c r="AV590"/>
      <c r="AW590"/>
      <c r="AX590"/>
      <c r="AY590"/>
      <c r="BK590" s="42">
        <v>589</v>
      </c>
      <c r="BL590" s="127">
        <v>2</v>
      </c>
      <c r="BM590" s="127">
        <v>1.0047263613915816</v>
      </c>
      <c r="BN590" s="127" t="e">
        <v>#N/A</v>
      </c>
      <c r="BO590" s="127">
        <v>1.0047263613915816</v>
      </c>
      <c r="BP590" s="151" t="e">
        <v>#N/A</v>
      </c>
      <c r="BQ590" t="e">
        <v>#N/A</v>
      </c>
      <c r="BR590" t="str">
        <v/>
      </c>
    </row>
    <row r="591" spans="47:70" x14ac:dyDescent="0.2">
      <c r="AU591"/>
      <c r="AV591"/>
      <c r="AW591"/>
      <c r="AX591"/>
      <c r="AY591"/>
      <c r="BK591" s="42">
        <v>590</v>
      </c>
      <c r="BL591" s="127">
        <v>2</v>
      </c>
      <c r="BM591" s="127">
        <v>1.0047263613915816</v>
      </c>
      <c r="BN591" s="127" t="e">
        <v>#N/A</v>
      </c>
      <c r="BO591" s="127">
        <v>1.0047263613915816</v>
      </c>
      <c r="BP591" s="151" t="e">
        <v>#N/A</v>
      </c>
      <c r="BQ591" t="e">
        <v>#N/A</v>
      </c>
      <c r="BR591" t="str">
        <v/>
      </c>
    </row>
    <row r="592" spans="47:70" x14ac:dyDescent="0.2">
      <c r="AU592"/>
      <c r="AV592"/>
      <c r="AW592"/>
      <c r="AX592"/>
      <c r="AY592"/>
      <c r="BK592" s="42">
        <v>591</v>
      </c>
      <c r="BL592" s="127">
        <v>2</v>
      </c>
      <c r="BM592" s="127">
        <v>1.0047263613915816</v>
      </c>
      <c r="BN592" s="127" t="e">
        <v>#N/A</v>
      </c>
      <c r="BO592" s="127">
        <v>1.0047263613915816</v>
      </c>
      <c r="BP592" s="151" t="e">
        <v>#N/A</v>
      </c>
      <c r="BQ592" t="e">
        <v>#N/A</v>
      </c>
      <c r="BR592" t="str">
        <v/>
      </c>
    </row>
    <row r="593" spans="47:70" x14ac:dyDescent="0.2">
      <c r="AU593"/>
      <c r="AV593"/>
      <c r="AW593"/>
      <c r="AX593"/>
      <c r="AY593"/>
      <c r="BK593" s="42">
        <v>592</v>
      </c>
      <c r="BL593" s="127">
        <v>2</v>
      </c>
      <c r="BM593" s="127">
        <v>1.0047263613915816</v>
      </c>
      <c r="BN593" s="127" t="e">
        <v>#N/A</v>
      </c>
      <c r="BO593" s="127">
        <v>1.0047263613915816</v>
      </c>
      <c r="BP593" s="151" t="e">
        <v>#N/A</v>
      </c>
      <c r="BQ593" t="e">
        <v>#N/A</v>
      </c>
      <c r="BR593" t="str">
        <v/>
      </c>
    </row>
    <row r="594" spans="47:70" x14ac:dyDescent="0.2">
      <c r="AU594"/>
      <c r="AV594"/>
      <c r="AW594"/>
      <c r="AX594"/>
      <c r="AY594"/>
      <c r="BK594" s="42">
        <v>593</v>
      </c>
      <c r="BL594" s="127">
        <v>2</v>
      </c>
      <c r="BM594" s="127">
        <v>1.0047263613915816</v>
      </c>
      <c r="BN594" s="127" t="e">
        <v>#N/A</v>
      </c>
      <c r="BO594" s="127">
        <v>1.0047263613915816</v>
      </c>
      <c r="BP594" s="151" t="e">
        <v>#N/A</v>
      </c>
      <c r="BQ594" t="e">
        <v>#N/A</v>
      </c>
      <c r="BR594" t="str">
        <v/>
      </c>
    </row>
    <row r="595" spans="47:70" x14ac:dyDescent="0.2">
      <c r="AU595"/>
      <c r="AV595"/>
      <c r="AW595"/>
      <c r="AX595"/>
      <c r="AY595"/>
      <c r="BK595" s="42">
        <v>594</v>
      </c>
      <c r="BL595" s="127">
        <v>2</v>
      </c>
      <c r="BM595" s="127">
        <v>1.0047263613915816</v>
      </c>
      <c r="BN595" s="127" t="e">
        <v>#N/A</v>
      </c>
      <c r="BO595" s="127">
        <v>1.0047263613915816</v>
      </c>
      <c r="BP595" s="151" t="e">
        <v>#N/A</v>
      </c>
      <c r="BQ595" t="e">
        <v>#N/A</v>
      </c>
      <c r="BR595" t="str">
        <v/>
      </c>
    </row>
    <row r="596" spans="47:70" x14ac:dyDescent="0.2">
      <c r="AU596"/>
      <c r="AV596"/>
      <c r="AW596"/>
      <c r="AX596"/>
      <c r="AY596"/>
      <c r="BK596" s="42">
        <v>595</v>
      </c>
      <c r="BL596" s="127">
        <v>2</v>
      </c>
      <c r="BM596" s="127">
        <v>1.0047263613915816</v>
      </c>
      <c r="BN596" s="127" t="e">
        <v>#N/A</v>
      </c>
      <c r="BO596" s="127">
        <v>1.0047263613915816</v>
      </c>
      <c r="BP596" s="151" t="e">
        <v>#N/A</v>
      </c>
      <c r="BQ596" t="e">
        <v>#N/A</v>
      </c>
      <c r="BR596" t="str">
        <v/>
      </c>
    </row>
    <row r="597" spans="47:70" x14ac:dyDescent="0.2">
      <c r="AU597"/>
      <c r="AV597"/>
      <c r="AW597"/>
      <c r="AX597"/>
      <c r="AY597"/>
      <c r="BK597" s="42">
        <v>596</v>
      </c>
      <c r="BL597" s="127">
        <v>2</v>
      </c>
      <c r="BM597" s="127">
        <v>1.0047263613915816</v>
      </c>
      <c r="BN597" s="127" t="e">
        <v>#N/A</v>
      </c>
      <c r="BO597" s="127">
        <v>1.0047263613915816</v>
      </c>
      <c r="BP597" s="151" t="e">
        <v>#N/A</v>
      </c>
      <c r="BQ597" t="e">
        <v>#N/A</v>
      </c>
      <c r="BR597" t="str">
        <v/>
      </c>
    </row>
    <row r="598" spans="47:70" x14ac:dyDescent="0.2">
      <c r="AU598"/>
      <c r="AV598"/>
      <c r="AW598"/>
      <c r="AX598"/>
      <c r="AY598"/>
      <c r="BK598" s="42">
        <v>597</v>
      </c>
      <c r="BL598" s="127">
        <v>2</v>
      </c>
      <c r="BM598" s="127">
        <v>1.0047263613915816</v>
      </c>
      <c r="BN598" s="127" t="e">
        <v>#N/A</v>
      </c>
      <c r="BO598" s="127">
        <v>1.0047263613915816</v>
      </c>
      <c r="BP598" s="151" t="e">
        <v>#N/A</v>
      </c>
      <c r="BQ598" t="e">
        <v>#N/A</v>
      </c>
      <c r="BR598" t="str">
        <v/>
      </c>
    </row>
    <row r="599" spans="47:70" x14ac:dyDescent="0.2">
      <c r="AU599"/>
      <c r="AV599"/>
      <c r="AW599"/>
      <c r="AX599"/>
      <c r="AY599"/>
      <c r="BK599" s="42">
        <v>598</v>
      </c>
      <c r="BL599" s="127">
        <v>2</v>
      </c>
      <c r="BM599" s="127">
        <v>1.0047263613915816</v>
      </c>
      <c r="BN599" s="127" t="e">
        <v>#N/A</v>
      </c>
      <c r="BO599" s="127">
        <v>1.0047263613915816</v>
      </c>
      <c r="BP599" s="151" t="e">
        <v>#N/A</v>
      </c>
      <c r="BQ599" t="e">
        <v>#N/A</v>
      </c>
      <c r="BR599" t="str">
        <v/>
      </c>
    </row>
    <row r="600" spans="47:70" x14ac:dyDescent="0.2">
      <c r="AU600"/>
      <c r="AV600"/>
      <c r="AW600"/>
      <c r="AX600"/>
      <c r="AY600"/>
      <c r="BK600" s="42">
        <v>599</v>
      </c>
      <c r="BL600" s="127">
        <v>2</v>
      </c>
      <c r="BM600" s="127">
        <v>1.0047263613915816</v>
      </c>
      <c r="BN600" s="127" t="e">
        <v>#N/A</v>
      </c>
      <c r="BO600" s="127">
        <v>1.0047263613915816</v>
      </c>
      <c r="BP600" s="151" t="e">
        <v>#N/A</v>
      </c>
      <c r="BQ600" t="e">
        <v>#N/A</v>
      </c>
      <c r="BR600" t="str">
        <v/>
      </c>
    </row>
    <row r="601" spans="47:70" x14ac:dyDescent="0.2">
      <c r="AU601"/>
      <c r="AV601"/>
      <c r="AW601"/>
      <c r="AX601"/>
      <c r="AY601"/>
      <c r="BK601" s="42">
        <v>600</v>
      </c>
      <c r="BL601" s="127">
        <v>2</v>
      </c>
      <c r="BM601" s="127">
        <v>1.0047263613915816</v>
      </c>
      <c r="BN601" s="127" t="e">
        <v>#N/A</v>
      </c>
      <c r="BO601" s="127">
        <v>1.0047263613915816</v>
      </c>
      <c r="BP601" s="151" t="e">
        <v>#N/A</v>
      </c>
      <c r="BQ601" t="e">
        <v>#N/A</v>
      </c>
      <c r="BR601" t="str">
        <v/>
      </c>
    </row>
    <row r="602" spans="47:70" x14ac:dyDescent="0.2">
      <c r="AU602"/>
      <c r="AV602"/>
      <c r="AW602"/>
      <c r="AX602"/>
      <c r="AY602"/>
      <c r="BK602" s="42">
        <v>601</v>
      </c>
      <c r="BL602" s="127">
        <v>2</v>
      </c>
      <c r="BM602" s="127">
        <v>1.0047263613915816</v>
      </c>
      <c r="BN602" s="127" t="e">
        <v>#N/A</v>
      </c>
      <c r="BO602" s="127">
        <v>1.0047263613915816</v>
      </c>
      <c r="BP602" s="151" t="e">
        <v>#N/A</v>
      </c>
      <c r="BQ602" t="e">
        <v>#N/A</v>
      </c>
      <c r="BR602" t="str">
        <v/>
      </c>
    </row>
    <row r="603" spans="47:70" x14ac:dyDescent="0.2">
      <c r="AU603"/>
      <c r="AV603"/>
      <c r="AW603"/>
      <c r="AX603"/>
      <c r="AY603"/>
      <c r="BK603" s="42">
        <v>602</v>
      </c>
      <c r="BL603" s="127">
        <v>2</v>
      </c>
      <c r="BM603" s="127">
        <v>1.0047263613915816</v>
      </c>
      <c r="BN603" s="127" t="e">
        <v>#N/A</v>
      </c>
      <c r="BO603" s="127">
        <v>1.0047263613915816</v>
      </c>
      <c r="BP603" s="151" t="e">
        <v>#N/A</v>
      </c>
      <c r="BQ603" t="e">
        <v>#N/A</v>
      </c>
      <c r="BR603" t="str">
        <v/>
      </c>
    </row>
    <row r="604" spans="47:70" x14ac:dyDescent="0.2">
      <c r="AU604"/>
      <c r="AV604"/>
      <c r="AW604"/>
      <c r="AX604"/>
      <c r="AY604"/>
      <c r="BK604" s="42">
        <v>603</v>
      </c>
      <c r="BL604" s="127">
        <v>2</v>
      </c>
      <c r="BM604" s="127">
        <v>1.0047263613915816</v>
      </c>
      <c r="BN604" s="127" t="e">
        <v>#N/A</v>
      </c>
      <c r="BO604" s="127">
        <v>1.0047263613915816</v>
      </c>
      <c r="BP604" s="151" t="e">
        <v>#N/A</v>
      </c>
      <c r="BQ604" t="e">
        <v>#N/A</v>
      </c>
      <c r="BR604" t="str">
        <v/>
      </c>
    </row>
    <row r="605" spans="47:70" x14ac:dyDescent="0.2">
      <c r="AU605"/>
      <c r="AV605"/>
      <c r="AW605"/>
      <c r="AX605"/>
      <c r="AY605"/>
      <c r="BK605" s="42">
        <v>604</v>
      </c>
      <c r="BL605" s="127">
        <v>2</v>
      </c>
      <c r="BM605" s="127">
        <v>1.0047263613915816</v>
      </c>
      <c r="BN605" s="127" t="e">
        <v>#N/A</v>
      </c>
      <c r="BO605" s="127">
        <v>1.0047263613915816</v>
      </c>
      <c r="BP605" s="151" t="e">
        <v>#N/A</v>
      </c>
      <c r="BQ605" t="e">
        <v>#N/A</v>
      </c>
      <c r="BR605" t="str">
        <v/>
      </c>
    </row>
    <row r="606" spans="47:70" x14ac:dyDescent="0.2">
      <c r="AU606"/>
      <c r="AV606"/>
      <c r="AW606"/>
      <c r="AX606"/>
      <c r="AY606"/>
      <c r="BK606" s="42">
        <v>605</v>
      </c>
      <c r="BL606" s="127">
        <v>2</v>
      </c>
      <c r="BM606" s="127">
        <v>1.0047263613915816</v>
      </c>
      <c r="BN606" s="127" t="e">
        <v>#N/A</v>
      </c>
      <c r="BO606" s="127">
        <v>1.0047263613915816</v>
      </c>
      <c r="BP606" s="151" t="e">
        <v>#N/A</v>
      </c>
      <c r="BQ606" t="e">
        <v>#N/A</v>
      </c>
      <c r="BR606" t="str">
        <v/>
      </c>
    </row>
    <row r="607" spans="47:70" x14ac:dyDescent="0.2">
      <c r="AU607"/>
      <c r="AV607"/>
      <c r="AW607"/>
      <c r="AX607"/>
      <c r="AY607"/>
      <c r="BK607" s="42">
        <v>606</v>
      </c>
      <c r="BL607" s="127">
        <v>2</v>
      </c>
      <c r="BM607" s="127">
        <v>1.0047263613915816</v>
      </c>
      <c r="BN607" s="127" t="e">
        <v>#N/A</v>
      </c>
      <c r="BO607" s="127">
        <v>1.0047263613915816</v>
      </c>
      <c r="BP607" s="151" t="e">
        <v>#N/A</v>
      </c>
      <c r="BQ607" t="e">
        <v>#N/A</v>
      </c>
      <c r="BR607" t="str">
        <v/>
      </c>
    </row>
    <row r="608" spans="47:70" x14ac:dyDescent="0.2">
      <c r="AU608"/>
      <c r="AV608"/>
      <c r="AW608"/>
      <c r="AX608"/>
      <c r="AY608"/>
      <c r="BK608" s="42">
        <v>607</v>
      </c>
      <c r="BL608" s="127">
        <v>2</v>
      </c>
      <c r="BM608" s="127">
        <v>1.0047263613915816</v>
      </c>
      <c r="BN608" s="127" t="e">
        <v>#N/A</v>
      </c>
      <c r="BO608" s="127">
        <v>1.0047263613915816</v>
      </c>
      <c r="BP608" s="151" t="e">
        <v>#N/A</v>
      </c>
      <c r="BQ608" t="e">
        <v>#N/A</v>
      </c>
      <c r="BR608" t="str">
        <v/>
      </c>
    </row>
    <row r="609" spans="47:70" x14ac:dyDescent="0.2">
      <c r="AU609"/>
      <c r="AV609"/>
      <c r="AW609"/>
      <c r="AX609"/>
      <c r="AY609"/>
      <c r="BK609" s="42">
        <v>608</v>
      </c>
      <c r="BL609" s="127">
        <v>2</v>
      </c>
      <c r="BM609" s="127">
        <v>1.0047263613915816</v>
      </c>
      <c r="BN609" s="127" t="e">
        <v>#N/A</v>
      </c>
      <c r="BO609" s="127">
        <v>1.0047263613915816</v>
      </c>
      <c r="BP609" s="151" t="e">
        <v>#N/A</v>
      </c>
      <c r="BQ609" t="e">
        <v>#N/A</v>
      </c>
      <c r="BR609" t="str">
        <v/>
      </c>
    </row>
    <row r="610" spans="47:70" x14ac:dyDescent="0.2">
      <c r="AU610"/>
      <c r="AV610"/>
      <c r="AW610"/>
      <c r="AX610"/>
      <c r="AY610"/>
      <c r="BK610" s="42">
        <v>609</v>
      </c>
      <c r="BL610" s="127">
        <v>2</v>
      </c>
      <c r="BM610" s="127">
        <v>1.0047263613915816</v>
      </c>
      <c r="BN610" s="127" t="e">
        <v>#N/A</v>
      </c>
      <c r="BO610" s="127">
        <v>1.0047263613915816</v>
      </c>
      <c r="BP610" s="151" t="e">
        <v>#N/A</v>
      </c>
      <c r="BQ610" t="e">
        <v>#N/A</v>
      </c>
      <c r="BR610" t="str">
        <v/>
      </c>
    </row>
    <row r="611" spans="47:70" x14ac:dyDescent="0.2">
      <c r="AU611"/>
      <c r="AV611"/>
      <c r="AW611"/>
      <c r="AX611"/>
      <c r="AY611"/>
      <c r="BK611" s="42">
        <v>610</v>
      </c>
      <c r="BL611" s="127">
        <v>2</v>
      </c>
      <c r="BM611" s="127">
        <v>1.0047263613915816</v>
      </c>
      <c r="BN611" s="127" t="e">
        <v>#N/A</v>
      </c>
      <c r="BO611" s="127">
        <v>1.0047263613915816</v>
      </c>
      <c r="BP611" s="151" t="e">
        <v>#N/A</v>
      </c>
      <c r="BQ611" t="e">
        <v>#N/A</v>
      </c>
      <c r="BR611" t="str">
        <v/>
      </c>
    </row>
    <row r="612" spans="47:70" x14ac:dyDescent="0.2">
      <c r="AU612"/>
      <c r="AV612"/>
      <c r="AW612"/>
      <c r="AX612"/>
      <c r="AY612"/>
      <c r="BK612" s="42">
        <v>611</v>
      </c>
      <c r="BL612" s="127">
        <v>2</v>
      </c>
      <c r="BM612" s="127">
        <v>1.0047263613915816</v>
      </c>
      <c r="BN612" s="127" t="e">
        <v>#N/A</v>
      </c>
      <c r="BO612" s="127">
        <v>1.0047263613915816</v>
      </c>
      <c r="BP612" s="151" t="e">
        <v>#N/A</v>
      </c>
      <c r="BQ612" t="e">
        <v>#N/A</v>
      </c>
      <c r="BR612" t="str">
        <v/>
      </c>
    </row>
    <row r="613" spans="47:70" x14ac:dyDescent="0.2">
      <c r="AU613"/>
      <c r="AV613"/>
      <c r="AW613"/>
      <c r="AX613"/>
      <c r="AY613"/>
      <c r="BK613" s="42">
        <v>612</v>
      </c>
      <c r="BL613" s="127">
        <v>2</v>
      </c>
      <c r="BM613" s="127">
        <v>1.0047263613915816</v>
      </c>
      <c r="BN613" s="127" t="e">
        <v>#N/A</v>
      </c>
      <c r="BO613" s="127">
        <v>1.0047263613915816</v>
      </c>
      <c r="BP613" s="151" t="e">
        <v>#N/A</v>
      </c>
      <c r="BQ613" t="e">
        <v>#N/A</v>
      </c>
      <c r="BR613" t="str">
        <v/>
      </c>
    </row>
    <row r="614" spans="47:70" x14ac:dyDescent="0.2">
      <c r="AU614"/>
      <c r="AV614"/>
      <c r="AW614"/>
      <c r="AX614"/>
      <c r="AY614"/>
      <c r="BK614" s="42">
        <v>613</v>
      </c>
      <c r="BL614" s="127">
        <v>2</v>
      </c>
      <c r="BM614" s="127">
        <v>1.0047263613915816</v>
      </c>
      <c r="BN614" s="127" t="e">
        <v>#N/A</v>
      </c>
      <c r="BO614" s="127">
        <v>1.0047263613915816</v>
      </c>
      <c r="BP614" s="151" t="e">
        <v>#N/A</v>
      </c>
      <c r="BQ614" t="e">
        <v>#N/A</v>
      </c>
      <c r="BR614" t="str">
        <v/>
      </c>
    </row>
    <row r="615" spans="47:70" x14ac:dyDescent="0.2">
      <c r="AU615"/>
      <c r="AV615"/>
      <c r="AW615"/>
      <c r="AX615"/>
      <c r="AY615"/>
      <c r="BK615" s="42">
        <v>614</v>
      </c>
      <c r="BL615" s="127">
        <v>2</v>
      </c>
      <c r="BM615" s="127">
        <v>1.0047263613915816</v>
      </c>
      <c r="BN615" s="127" t="e">
        <v>#N/A</v>
      </c>
      <c r="BO615" s="127">
        <v>1.0047263613915816</v>
      </c>
      <c r="BP615" s="151" t="e">
        <v>#N/A</v>
      </c>
      <c r="BQ615" t="e">
        <v>#N/A</v>
      </c>
      <c r="BR615" t="str">
        <v/>
      </c>
    </row>
    <row r="616" spans="47:70" x14ac:dyDescent="0.2">
      <c r="AU616"/>
      <c r="AV616"/>
      <c r="AW616"/>
      <c r="AX616"/>
      <c r="AY616"/>
      <c r="BK616" s="42">
        <v>615</v>
      </c>
      <c r="BL616" s="127">
        <v>2</v>
      </c>
      <c r="BM616" s="127">
        <v>1.0047263613915816</v>
      </c>
      <c r="BN616" s="127" t="e">
        <v>#N/A</v>
      </c>
      <c r="BO616" s="127">
        <v>1.0047263613915816</v>
      </c>
      <c r="BP616" s="151" t="e">
        <v>#N/A</v>
      </c>
      <c r="BQ616" t="e">
        <v>#N/A</v>
      </c>
      <c r="BR616" t="str">
        <v/>
      </c>
    </row>
    <row r="617" spans="47:70" x14ac:dyDescent="0.2">
      <c r="AU617"/>
      <c r="AV617"/>
      <c r="AW617"/>
      <c r="AX617"/>
      <c r="AY617"/>
      <c r="BK617" s="42">
        <v>616</v>
      </c>
      <c r="BL617" s="127">
        <v>2</v>
      </c>
      <c r="BM617" s="127">
        <v>1.0047263613915816</v>
      </c>
      <c r="BN617" s="127" t="e">
        <v>#N/A</v>
      </c>
      <c r="BO617" s="127">
        <v>1.0047263613915816</v>
      </c>
      <c r="BP617" s="151" t="e">
        <v>#N/A</v>
      </c>
      <c r="BQ617" t="e">
        <v>#N/A</v>
      </c>
      <c r="BR617" t="str">
        <v/>
      </c>
    </row>
    <row r="618" spans="47:70" x14ac:dyDescent="0.2">
      <c r="AU618"/>
      <c r="AV618"/>
      <c r="AW618"/>
      <c r="AX618"/>
      <c r="AY618"/>
      <c r="BK618" s="42">
        <v>617</v>
      </c>
      <c r="BL618" s="127">
        <v>2</v>
      </c>
      <c r="BM618" s="127">
        <v>1.0047263613915816</v>
      </c>
      <c r="BN618" s="127" t="e">
        <v>#N/A</v>
      </c>
      <c r="BO618" s="127">
        <v>1.0047263613915816</v>
      </c>
      <c r="BP618" s="151" t="e">
        <v>#N/A</v>
      </c>
      <c r="BQ618" t="e">
        <v>#N/A</v>
      </c>
      <c r="BR618" t="str">
        <v/>
      </c>
    </row>
    <row r="619" spans="47:70" x14ac:dyDescent="0.2">
      <c r="AU619"/>
      <c r="AV619"/>
      <c r="AW619"/>
      <c r="AX619"/>
      <c r="AY619"/>
      <c r="BK619" s="42">
        <v>618</v>
      </c>
      <c r="BL619" s="127">
        <v>2</v>
      </c>
      <c r="BM619" s="127">
        <v>1.0047263613915816</v>
      </c>
      <c r="BN619" s="127" t="e">
        <v>#N/A</v>
      </c>
      <c r="BO619" s="127">
        <v>1.0047263613915816</v>
      </c>
      <c r="BP619" s="151" t="e">
        <v>#N/A</v>
      </c>
      <c r="BQ619" t="e">
        <v>#N/A</v>
      </c>
      <c r="BR619" t="str">
        <v/>
      </c>
    </row>
    <row r="620" spans="47:70" x14ac:dyDescent="0.2">
      <c r="AU620"/>
      <c r="AV620"/>
      <c r="AW620"/>
      <c r="AX620"/>
      <c r="AY620"/>
      <c r="BK620" s="42">
        <v>619</v>
      </c>
      <c r="BL620" s="127">
        <v>2</v>
      </c>
      <c r="BM620" s="127">
        <v>1.0047263613915816</v>
      </c>
      <c r="BN620" s="127" t="e">
        <v>#N/A</v>
      </c>
      <c r="BO620" s="127">
        <v>1.0047263613915816</v>
      </c>
      <c r="BP620" s="151" t="e">
        <v>#N/A</v>
      </c>
      <c r="BQ620" t="e">
        <v>#N/A</v>
      </c>
      <c r="BR620" t="str">
        <v/>
      </c>
    </row>
    <row r="621" spans="47:70" x14ac:dyDescent="0.2">
      <c r="AU621"/>
      <c r="AV621"/>
      <c r="AW621"/>
      <c r="AX621"/>
      <c r="AY621"/>
      <c r="BK621" s="42">
        <v>620</v>
      </c>
      <c r="BL621" s="127">
        <v>2</v>
      </c>
      <c r="BM621" s="127">
        <v>1.0047263613915816</v>
      </c>
      <c r="BN621" s="127" t="e">
        <v>#N/A</v>
      </c>
      <c r="BO621" s="127">
        <v>1.0047263613915816</v>
      </c>
      <c r="BP621" s="151" t="e">
        <v>#N/A</v>
      </c>
      <c r="BQ621" t="e">
        <v>#N/A</v>
      </c>
      <c r="BR621" t="str">
        <v/>
      </c>
    </row>
    <row r="622" spans="47:70" x14ac:dyDescent="0.2">
      <c r="AU622"/>
      <c r="AV622"/>
      <c r="AW622"/>
      <c r="AX622"/>
      <c r="AY622"/>
      <c r="BK622" s="42">
        <v>621</v>
      </c>
      <c r="BL622" s="127">
        <v>2</v>
      </c>
      <c r="BM622" s="127">
        <v>1.0047263613915816</v>
      </c>
      <c r="BN622" s="127" t="e">
        <v>#N/A</v>
      </c>
      <c r="BO622" s="127">
        <v>1.0047263613915816</v>
      </c>
      <c r="BP622" s="151" t="e">
        <v>#N/A</v>
      </c>
      <c r="BQ622" t="e">
        <v>#N/A</v>
      </c>
      <c r="BR622" t="str">
        <v/>
      </c>
    </row>
    <row r="623" spans="47:70" x14ac:dyDescent="0.2">
      <c r="AU623"/>
      <c r="AV623"/>
      <c r="AW623"/>
      <c r="AX623"/>
      <c r="AY623"/>
      <c r="BK623" s="42">
        <v>622</v>
      </c>
      <c r="BL623" s="127">
        <v>2</v>
      </c>
      <c r="BM623" s="127">
        <v>1.0047263613915816</v>
      </c>
      <c r="BN623" s="127" t="e">
        <v>#N/A</v>
      </c>
      <c r="BO623" s="127">
        <v>1.0047263613915816</v>
      </c>
      <c r="BP623" s="151" t="e">
        <v>#N/A</v>
      </c>
      <c r="BQ623" t="e">
        <v>#N/A</v>
      </c>
      <c r="BR623" t="str">
        <v/>
      </c>
    </row>
    <row r="624" spans="47:70" x14ac:dyDescent="0.2">
      <c r="AU624"/>
      <c r="AV624"/>
      <c r="AW624"/>
      <c r="AX624"/>
      <c r="AY624"/>
      <c r="BK624" s="42">
        <v>623</v>
      </c>
      <c r="BL624" s="127">
        <v>2</v>
      </c>
      <c r="BM624" s="127">
        <v>1.0047263613915816</v>
      </c>
      <c r="BN624" s="127" t="e">
        <v>#N/A</v>
      </c>
      <c r="BO624" s="127">
        <v>1.0047263613915816</v>
      </c>
      <c r="BP624" s="151" t="e">
        <v>#N/A</v>
      </c>
      <c r="BQ624" t="e">
        <v>#N/A</v>
      </c>
      <c r="BR624" t="str">
        <v/>
      </c>
    </row>
    <row r="625" spans="47:70" x14ac:dyDescent="0.2">
      <c r="AU625"/>
      <c r="AV625"/>
      <c r="AW625"/>
      <c r="AX625"/>
      <c r="AY625"/>
      <c r="BK625" s="42">
        <v>624</v>
      </c>
      <c r="BL625" s="127">
        <v>2</v>
      </c>
      <c r="BM625" s="127">
        <v>1.0047263613915816</v>
      </c>
      <c r="BN625" s="127" t="e">
        <v>#N/A</v>
      </c>
      <c r="BO625" s="127">
        <v>1.0047263613915816</v>
      </c>
      <c r="BP625" s="151" t="e">
        <v>#N/A</v>
      </c>
      <c r="BQ625" t="e">
        <v>#N/A</v>
      </c>
      <c r="BR625" t="str">
        <v/>
      </c>
    </row>
    <row r="626" spans="47:70" x14ac:dyDescent="0.2">
      <c r="AU626"/>
      <c r="AV626"/>
      <c r="AW626"/>
      <c r="AX626"/>
      <c r="AY626"/>
      <c r="BK626" s="42">
        <v>625</v>
      </c>
      <c r="BL626" s="127">
        <v>2</v>
      </c>
      <c r="BM626" s="127">
        <v>1.0047263613915816</v>
      </c>
      <c r="BN626" s="127" t="e">
        <v>#N/A</v>
      </c>
      <c r="BO626" s="127">
        <v>1.0047263613915816</v>
      </c>
      <c r="BP626" s="151" t="e">
        <v>#N/A</v>
      </c>
      <c r="BQ626" t="e">
        <v>#N/A</v>
      </c>
      <c r="BR626" t="str">
        <v/>
      </c>
    </row>
    <row r="627" spans="47:70" x14ac:dyDescent="0.2">
      <c r="AU627"/>
      <c r="AV627"/>
      <c r="AW627"/>
      <c r="AX627"/>
      <c r="AY627"/>
      <c r="BK627" s="42">
        <v>626</v>
      </c>
      <c r="BL627" s="127">
        <v>2</v>
      </c>
      <c r="BM627" s="127">
        <v>1.0047263613915816</v>
      </c>
      <c r="BN627" s="127" t="e">
        <v>#N/A</v>
      </c>
      <c r="BO627" s="127">
        <v>1.0047263613915816</v>
      </c>
      <c r="BP627" s="151" t="e">
        <v>#N/A</v>
      </c>
      <c r="BQ627" t="e">
        <v>#N/A</v>
      </c>
      <c r="BR627" t="str">
        <v/>
      </c>
    </row>
    <row r="628" spans="47:70" x14ac:dyDescent="0.2">
      <c r="AU628"/>
      <c r="AV628"/>
      <c r="AW628"/>
      <c r="AX628"/>
      <c r="AY628"/>
      <c r="BK628" s="42">
        <v>627</v>
      </c>
      <c r="BL628" s="127">
        <v>2</v>
      </c>
      <c r="BM628" s="127">
        <v>1.0047263613915816</v>
      </c>
      <c r="BN628" s="127" t="e">
        <v>#N/A</v>
      </c>
      <c r="BO628" s="127">
        <v>1.0047263613915816</v>
      </c>
      <c r="BP628" s="151" t="e">
        <v>#N/A</v>
      </c>
      <c r="BQ628" t="e">
        <v>#N/A</v>
      </c>
      <c r="BR628" t="str">
        <v/>
      </c>
    </row>
    <row r="629" spans="47:70" x14ac:dyDescent="0.2">
      <c r="AU629"/>
      <c r="AV629"/>
      <c r="AW629"/>
      <c r="AX629"/>
      <c r="AY629"/>
      <c r="BK629" s="42">
        <v>628</v>
      </c>
      <c r="BL629" s="127">
        <v>2</v>
      </c>
      <c r="BM629" s="127">
        <v>1.0047263613915816</v>
      </c>
      <c r="BN629" s="127" t="e">
        <v>#N/A</v>
      </c>
      <c r="BO629" s="127">
        <v>1.0047263613915816</v>
      </c>
      <c r="BP629" s="151" t="e">
        <v>#N/A</v>
      </c>
      <c r="BQ629" t="e">
        <v>#N/A</v>
      </c>
      <c r="BR629" t="str">
        <v/>
      </c>
    </row>
    <row r="630" spans="47:70" x14ac:dyDescent="0.2">
      <c r="AU630"/>
      <c r="AV630"/>
      <c r="AW630"/>
      <c r="AX630"/>
      <c r="AY630"/>
      <c r="BK630" s="42">
        <v>629</v>
      </c>
      <c r="BL630" s="127">
        <v>2</v>
      </c>
      <c r="BM630" s="127">
        <v>1.0047263613915816</v>
      </c>
      <c r="BN630" s="127" t="e">
        <v>#N/A</v>
      </c>
      <c r="BO630" s="127">
        <v>1.0047263613915816</v>
      </c>
      <c r="BP630" s="151" t="e">
        <v>#N/A</v>
      </c>
      <c r="BQ630" t="e">
        <v>#N/A</v>
      </c>
      <c r="BR630" t="str">
        <v/>
      </c>
    </row>
    <row r="631" spans="47:70" x14ac:dyDescent="0.2">
      <c r="AU631"/>
      <c r="AV631"/>
      <c r="AW631"/>
      <c r="AX631"/>
      <c r="AY631"/>
      <c r="BK631" s="42">
        <v>630</v>
      </c>
      <c r="BL631" s="127">
        <v>2</v>
      </c>
      <c r="BM631" s="127">
        <v>1.0047263613915816</v>
      </c>
      <c r="BN631" s="127" t="e">
        <v>#N/A</v>
      </c>
      <c r="BO631" s="127">
        <v>1.0047263613915816</v>
      </c>
      <c r="BP631" s="151" t="e">
        <v>#N/A</v>
      </c>
      <c r="BQ631" t="e">
        <v>#N/A</v>
      </c>
      <c r="BR631" t="str">
        <v/>
      </c>
    </row>
    <row r="632" spans="47:70" x14ac:dyDescent="0.2">
      <c r="AU632"/>
      <c r="AV632"/>
      <c r="AW632"/>
      <c r="AX632"/>
      <c r="AY632"/>
      <c r="BK632" s="42">
        <v>631</v>
      </c>
      <c r="BL632" s="127">
        <v>2</v>
      </c>
      <c r="BM632" s="127">
        <v>1.0047263613915816</v>
      </c>
      <c r="BN632" s="127" t="e">
        <v>#N/A</v>
      </c>
      <c r="BO632" s="127">
        <v>1.0047263613915816</v>
      </c>
      <c r="BP632" s="151" t="e">
        <v>#N/A</v>
      </c>
      <c r="BQ632" t="e">
        <v>#N/A</v>
      </c>
      <c r="BR632" t="str">
        <v/>
      </c>
    </row>
    <row r="633" spans="47:70" x14ac:dyDescent="0.2">
      <c r="AU633"/>
      <c r="AV633"/>
      <c r="AW633"/>
      <c r="AX633"/>
      <c r="AY633"/>
      <c r="BK633" s="42">
        <v>632</v>
      </c>
      <c r="BL633" s="127">
        <v>2</v>
      </c>
      <c r="BM633" s="127">
        <v>1.0047263613915816</v>
      </c>
      <c r="BN633" s="127" t="e">
        <v>#N/A</v>
      </c>
      <c r="BO633" s="127">
        <v>1.0047263613915816</v>
      </c>
      <c r="BP633" s="151" t="e">
        <v>#N/A</v>
      </c>
      <c r="BQ633" t="e">
        <v>#N/A</v>
      </c>
      <c r="BR633" t="str">
        <v/>
      </c>
    </row>
    <row r="634" spans="47:70" x14ac:dyDescent="0.2">
      <c r="AU634"/>
      <c r="AV634"/>
      <c r="AW634"/>
      <c r="AX634"/>
      <c r="AY634"/>
      <c r="BK634" s="42">
        <v>633</v>
      </c>
      <c r="BL634" s="127">
        <v>2</v>
      </c>
      <c r="BM634" s="127">
        <v>1.0047263613915816</v>
      </c>
      <c r="BN634" s="127" t="e">
        <v>#N/A</v>
      </c>
      <c r="BO634" s="127">
        <v>1.0047263613915816</v>
      </c>
      <c r="BP634" s="151" t="e">
        <v>#N/A</v>
      </c>
      <c r="BQ634" t="e">
        <v>#N/A</v>
      </c>
      <c r="BR634" t="str">
        <v/>
      </c>
    </row>
    <row r="635" spans="47:70" x14ac:dyDescent="0.2">
      <c r="AU635"/>
      <c r="AV635"/>
      <c r="AW635"/>
      <c r="AX635"/>
      <c r="AY635"/>
      <c r="BK635" s="42">
        <v>634</v>
      </c>
      <c r="BL635" s="127">
        <v>2</v>
      </c>
      <c r="BM635" s="127">
        <v>1.0047263613915816</v>
      </c>
      <c r="BN635" s="127" t="e">
        <v>#N/A</v>
      </c>
      <c r="BO635" s="127">
        <v>1.0047263613915816</v>
      </c>
      <c r="BP635" s="151" t="e">
        <v>#N/A</v>
      </c>
      <c r="BQ635" t="e">
        <v>#N/A</v>
      </c>
      <c r="BR635" t="str">
        <v/>
      </c>
    </row>
    <row r="636" spans="47:70" x14ac:dyDescent="0.2">
      <c r="AU636"/>
      <c r="AV636"/>
      <c r="AW636"/>
      <c r="AX636"/>
      <c r="AY636"/>
      <c r="BK636" s="42">
        <v>635</v>
      </c>
      <c r="BL636" s="127">
        <v>2</v>
      </c>
      <c r="BM636" s="127">
        <v>1.0047263613915816</v>
      </c>
      <c r="BN636" s="127" t="e">
        <v>#N/A</v>
      </c>
      <c r="BO636" s="127">
        <v>1.0047263613915816</v>
      </c>
      <c r="BP636" s="151" t="e">
        <v>#N/A</v>
      </c>
      <c r="BQ636" t="e">
        <v>#N/A</v>
      </c>
      <c r="BR636" t="str">
        <v/>
      </c>
    </row>
    <row r="637" spans="47:70" x14ac:dyDescent="0.2">
      <c r="AU637"/>
      <c r="AV637"/>
      <c r="AW637"/>
      <c r="AX637"/>
      <c r="AY637"/>
      <c r="BK637" s="42">
        <v>636</v>
      </c>
      <c r="BL637" s="127">
        <v>2</v>
      </c>
      <c r="BM637" s="127">
        <v>1.0047263613915816</v>
      </c>
      <c r="BN637" s="127" t="e">
        <v>#N/A</v>
      </c>
      <c r="BO637" s="127">
        <v>1.0047263613915816</v>
      </c>
      <c r="BP637" s="151" t="e">
        <v>#N/A</v>
      </c>
      <c r="BQ637" t="e">
        <v>#N/A</v>
      </c>
      <c r="BR637" t="str">
        <v/>
      </c>
    </row>
    <row r="638" spans="47:70" x14ac:dyDescent="0.2">
      <c r="AU638"/>
      <c r="AV638"/>
      <c r="AW638"/>
      <c r="AX638"/>
      <c r="AY638"/>
      <c r="BK638" s="42">
        <v>637</v>
      </c>
      <c r="BL638" s="127">
        <v>2</v>
      </c>
      <c r="BM638" s="127">
        <v>1.0047263613915816</v>
      </c>
      <c r="BN638" s="127" t="e">
        <v>#N/A</v>
      </c>
      <c r="BO638" s="127">
        <v>1.0047263613915816</v>
      </c>
      <c r="BP638" s="151" t="e">
        <v>#N/A</v>
      </c>
      <c r="BQ638" t="e">
        <v>#N/A</v>
      </c>
      <c r="BR638" t="str">
        <v/>
      </c>
    </row>
    <row r="639" spans="47:70" x14ac:dyDescent="0.2">
      <c r="AU639"/>
      <c r="AV639"/>
      <c r="AW639"/>
      <c r="AX639"/>
      <c r="AY639"/>
      <c r="BK639" s="42">
        <v>638</v>
      </c>
      <c r="BL639" s="127">
        <v>2</v>
      </c>
      <c r="BM639" s="127">
        <v>1.0047263613915816</v>
      </c>
      <c r="BN639" s="127" t="e">
        <v>#N/A</v>
      </c>
      <c r="BO639" s="127">
        <v>1.0047263613915816</v>
      </c>
      <c r="BP639" s="151" t="e">
        <v>#N/A</v>
      </c>
      <c r="BQ639" t="e">
        <v>#N/A</v>
      </c>
      <c r="BR639" t="str">
        <v/>
      </c>
    </row>
    <row r="640" spans="47:70" x14ac:dyDescent="0.2">
      <c r="AU640"/>
      <c r="AV640"/>
      <c r="AW640"/>
      <c r="AX640"/>
      <c r="AY640"/>
      <c r="BK640" s="42">
        <v>639</v>
      </c>
      <c r="BL640" s="127">
        <v>2</v>
      </c>
      <c r="BM640" s="127">
        <v>1.0047263613915816</v>
      </c>
      <c r="BN640" s="127" t="e">
        <v>#N/A</v>
      </c>
      <c r="BO640" s="127">
        <v>1.0047263613915816</v>
      </c>
      <c r="BP640" s="151" t="e">
        <v>#N/A</v>
      </c>
      <c r="BQ640" t="e">
        <v>#N/A</v>
      </c>
      <c r="BR640" t="str">
        <v/>
      </c>
    </row>
    <row r="641" spans="47:70" x14ac:dyDescent="0.2">
      <c r="AU641"/>
      <c r="AV641"/>
      <c r="AW641"/>
      <c r="AX641"/>
      <c r="AY641"/>
      <c r="BK641" s="42">
        <v>640</v>
      </c>
      <c r="BL641" s="127">
        <v>2</v>
      </c>
      <c r="BM641" s="127">
        <v>1.0047263613915816</v>
      </c>
      <c r="BN641" s="127" t="e">
        <v>#N/A</v>
      </c>
      <c r="BO641" s="127">
        <v>1.0047263613915816</v>
      </c>
      <c r="BP641" s="151" t="e">
        <v>#N/A</v>
      </c>
      <c r="BQ641" t="e">
        <v>#N/A</v>
      </c>
      <c r="BR641" t="str">
        <v/>
      </c>
    </row>
    <row r="642" spans="47:70" x14ac:dyDescent="0.2">
      <c r="AU642"/>
      <c r="AV642"/>
      <c r="AW642"/>
      <c r="AX642"/>
      <c r="AY642"/>
      <c r="BK642" s="42">
        <v>641</v>
      </c>
      <c r="BL642" s="127">
        <v>2</v>
      </c>
      <c r="BM642" s="127">
        <v>1.0047263613915816</v>
      </c>
      <c r="BN642" s="127" t="e">
        <v>#N/A</v>
      </c>
      <c r="BO642" s="127">
        <v>1.0047263613915816</v>
      </c>
      <c r="BP642" s="151" t="e">
        <v>#N/A</v>
      </c>
      <c r="BQ642" t="e">
        <v>#N/A</v>
      </c>
      <c r="BR642" t="str">
        <v/>
      </c>
    </row>
    <row r="643" spans="47:70" x14ac:dyDescent="0.2">
      <c r="AU643"/>
      <c r="AV643"/>
      <c r="AW643"/>
      <c r="AX643"/>
      <c r="AY643"/>
      <c r="BK643" s="42">
        <v>642</v>
      </c>
      <c r="BL643" s="127">
        <v>2</v>
      </c>
      <c r="BM643" s="127">
        <v>1.0047263613915816</v>
      </c>
      <c r="BN643" s="127" t="e">
        <v>#N/A</v>
      </c>
      <c r="BO643" s="127">
        <v>1.0047263613915816</v>
      </c>
      <c r="BP643" s="151" t="e">
        <v>#N/A</v>
      </c>
      <c r="BQ643" t="e">
        <v>#N/A</v>
      </c>
      <c r="BR643" t="str">
        <v/>
      </c>
    </row>
    <row r="644" spans="47:70" x14ac:dyDescent="0.2">
      <c r="AU644"/>
      <c r="AV644"/>
      <c r="AW644"/>
      <c r="AX644"/>
      <c r="AY644"/>
      <c r="BK644" s="42">
        <v>643</v>
      </c>
      <c r="BL644" s="127">
        <v>2</v>
      </c>
      <c r="BM644" s="127">
        <v>1.0047263613915816</v>
      </c>
      <c r="BN644" s="127" t="e">
        <v>#N/A</v>
      </c>
      <c r="BO644" s="127">
        <v>1.0047263613915816</v>
      </c>
      <c r="BP644" s="151" t="e">
        <v>#N/A</v>
      </c>
      <c r="BQ644" t="e">
        <v>#N/A</v>
      </c>
      <c r="BR644" t="str">
        <v/>
      </c>
    </row>
    <row r="645" spans="47:70" x14ac:dyDescent="0.2">
      <c r="AU645"/>
      <c r="AV645"/>
      <c r="AW645"/>
      <c r="AX645"/>
      <c r="AY645"/>
      <c r="BK645" s="42">
        <v>644</v>
      </c>
      <c r="BL645" s="127">
        <v>2</v>
      </c>
      <c r="BM645" s="127">
        <v>1.0047263613915816</v>
      </c>
      <c r="BN645" s="127" t="e">
        <v>#N/A</v>
      </c>
      <c r="BO645" s="127">
        <v>1.0047263613915816</v>
      </c>
      <c r="BP645" s="151" t="e">
        <v>#N/A</v>
      </c>
      <c r="BQ645" t="e">
        <v>#N/A</v>
      </c>
      <c r="BR645" t="str">
        <v/>
      </c>
    </row>
    <row r="646" spans="47:70" x14ac:dyDescent="0.2">
      <c r="AU646"/>
      <c r="AV646"/>
      <c r="AW646"/>
      <c r="AX646"/>
      <c r="AY646"/>
      <c r="BK646" s="42">
        <v>645</v>
      </c>
      <c r="BL646" s="127">
        <v>2</v>
      </c>
      <c r="BM646" s="127">
        <v>1.0047263613915816</v>
      </c>
      <c r="BN646" s="127" t="e">
        <v>#N/A</v>
      </c>
      <c r="BO646" s="127">
        <v>1.0047263613915816</v>
      </c>
      <c r="BP646" s="151" t="e">
        <v>#N/A</v>
      </c>
      <c r="BQ646" t="e">
        <v>#N/A</v>
      </c>
      <c r="BR646" t="str">
        <v/>
      </c>
    </row>
    <row r="647" spans="47:70" x14ac:dyDescent="0.2">
      <c r="AU647"/>
      <c r="AV647"/>
      <c r="AW647"/>
      <c r="AX647"/>
      <c r="AY647"/>
      <c r="BK647" s="42">
        <v>646</v>
      </c>
      <c r="BL647" s="127">
        <v>2</v>
      </c>
      <c r="BM647" s="127">
        <v>1.0047263613915816</v>
      </c>
      <c r="BN647" s="127" t="e">
        <v>#N/A</v>
      </c>
      <c r="BO647" s="127">
        <v>1.0047263613915816</v>
      </c>
      <c r="BP647" s="151" t="e">
        <v>#N/A</v>
      </c>
      <c r="BQ647" t="e">
        <v>#N/A</v>
      </c>
      <c r="BR647" t="str">
        <v/>
      </c>
    </row>
    <row r="648" spans="47:70" x14ac:dyDescent="0.2">
      <c r="AU648"/>
      <c r="AV648"/>
      <c r="AW648"/>
      <c r="AX648"/>
      <c r="AY648"/>
      <c r="BK648" s="42">
        <v>647</v>
      </c>
      <c r="BL648" s="127">
        <v>2</v>
      </c>
      <c r="BM648" s="127">
        <v>1.0047263613915816</v>
      </c>
      <c r="BN648" s="127" t="e">
        <v>#N/A</v>
      </c>
      <c r="BO648" s="127">
        <v>1.0047263613915816</v>
      </c>
      <c r="BP648" s="151" t="e">
        <v>#N/A</v>
      </c>
      <c r="BQ648" t="e">
        <v>#N/A</v>
      </c>
      <c r="BR648" t="str">
        <v/>
      </c>
    </row>
    <row r="649" spans="47:70" x14ac:dyDescent="0.2">
      <c r="AU649"/>
      <c r="AV649"/>
      <c r="AW649"/>
      <c r="AX649"/>
      <c r="AY649"/>
      <c r="BK649" s="42">
        <v>648</v>
      </c>
      <c r="BL649" s="127">
        <v>2</v>
      </c>
      <c r="BM649" s="127">
        <v>1.0047263613915816</v>
      </c>
      <c r="BN649" s="127" t="e">
        <v>#N/A</v>
      </c>
      <c r="BO649" s="127">
        <v>1.0047263613915816</v>
      </c>
      <c r="BP649" s="151" t="e">
        <v>#N/A</v>
      </c>
      <c r="BQ649" t="e">
        <v>#N/A</v>
      </c>
      <c r="BR649" t="str">
        <v/>
      </c>
    </row>
    <row r="650" spans="47:70" x14ac:dyDescent="0.2">
      <c r="AU650"/>
      <c r="AV650"/>
      <c r="AW650"/>
      <c r="AX650"/>
      <c r="AY650"/>
      <c r="BK650" s="42">
        <v>649</v>
      </c>
      <c r="BL650" s="127">
        <v>2</v>
      </c>
      <c r="BM650" s="127">
        <v>1.0047263613915816</v>
      </c>
      <c r="BN650" s="127" t="e">
        <v>#N/A</v>
      </c>
      <c r="BO650" s="127">
        <v>1.0047263613915816</v>
      </c>
      <c r="BP650" s="151" t="e">
        <v>#N/A</v>
      </c>
      <c r="BQ650" t="e">
        <v>#N/A</v>
      </c>
      <c r="BR650" t="str">
        <v/>
      </c>
    </row>
    <row r="651" spans="47:70" x14ac:dyDescent="0.2">
      <c r="AU651"/>
      <c r="AV651"/>
      <c r="AW651"/>
      <c r="AX651"/>
      <c r="AY651"/>
      <c r="BK651" s="42">
        <v>650</v>
      </c>
      <c r="BL651" s="127">
        <v>2</v>
      </c>
      <c r="BM651" s="127">
        <v>1.0047263613915816</v>
      </c>
      <c r="BN651" s="127" t="e">
        <v>#N/A</v>
      </c>
      <c r="BO651" s="127">
        <v>1.0047263613915816</v>
      </c>
      <c r="BP651" s="151" t="e">
        <v>#N/A</v>
      </c>
      <c r="BQ651" t="e">
        <v>#N/A</v>
      </c>
      <c r="BR651" t="str">
        <v/>
      </c>
    </row>
    <row r="652" spans="47:70" x14ac:dyDescent="0.2">
      <c r="AU652"/>
      <c r="AV652"/>
      <c r="AW652"/>
      <c r="AX652"/>
      <c r="AY652"/>
      <c r="BK652" s="42">
        <v>651</v>
      </c>
      <c r="BL652" s="127">
        <v>2</v>
      </c>
      <c r="BM652" s="127">
        <v>1.0047263613915816</v>
      </c>
      <c r="BN652" s="127" t="e">
        <v>#N/A</v>
      </c>
      <c r="BO652" s="127">
        <v>1.0047263613915816</v>
      </c>
      <c r="BP652" s="151" t="e">
        <v>#N/A</v>
      </c>
      <c r="BQ652" t="e">
        <v>#N/A</v>
      </c>
      <c r="BR652" t="str">
        <v/>
      </c>
    </row>
    <row r="653" spans="47:70" x14ac:dyDescent="0.2">
      <c r="AU653"/>
      <c r="AV653"/>
      <c r="AW653"/>
      <c r="AX653"/>
      <c r="AY653"/>
      <c r="BK653" s="42">
        <v>652</v>
      </c>
      <c r="BL653" s="127">
        <v>2</v>
      </c>
      <c r="BM653" s="127">
        <v>1.0047263613915816</v>
      </c>
      <c r="BN653" s="127" t="e">
        <v>#N/A</v>
      </c>
      <c r="BO653" s="127">
        <v>1.0047263613915816</v>
      </c>
      <c r="BP653" s="151" t="e">
        <v>#N/A</v>
      </c>
      <c r="BQ653" t="e">
        <v>#N/A</v>
      </c>
      <c r="BR653" t="str">
        <v/>
      </c>
    </row>
    <row r="654" spans="47:70" x14ac:dyDescent="0.2">
      <c r="AU654"/>
      <c r="AV654"/>
      <c r="AW654"/>
      <c r="AX654"/>
      <c r="AY654"/>
      <c r="BK654" s="42">
        <v>653</v>
      </c>
      <c r="BL654" s="127">
        <v>2</v>
      </c>
      <c r="BM654" s="127">
        <v>1.0047263613915816</v>
      </c>
      <c r="BN654" s="127" t="e">
        <v>#N/A</v>
      </c>
      <c r="BO654" s="127">
        <v>1.0047263613915816</v>
      </c>
      <c r="BP654" s="151" t="e">
        <v>#N/A</v>
      </c>
      <c r="BQ654" t="e">
        <v>#N/A</v>
      </c>
      <c r="BR654" t="str">
        <v/>
      </c>
    </row>
    <row r="655" spans="47:70" x14ac:dyDescent="0.2">
      <c r="AU655"/>
      <c r="AV655"/>
      <c r="AW655"/>
      <c r="AX655"/>
      <c r="AY655"/>
      <c r="BK655" s="42">
        <v>654</v>
      </c>
      <c r="BL655" s="127">
        <v>2</v>
      </c>
      <c r="BM655" s="127">
        <v>1.0047263613915816</v>
      </c>
      <c r="BN655" s="127" t="e">
        <v>#N/A</v>
      </c>
      <c r="BO655" s="127">
        <v>1.0047263613915816</v>
      </c>
      <c r="BP655" s="151" t="e">
        <v>#N/A</v>
      </c>
      <c r="BQ655" t="e">
        <v>#N/A</v>
      </c>
      <c r="BR655" t="str">
        <v/>
      </c>
    </row>
    <row r="656" spans="47:70" x14ac:dyDescent="0.2">
      <c r="AU656"/>
      <c r="AV656"/>
      <c r="AW656"/>
      <c r="AX656"/>
      <c r="AY656"/>
      <c r="BK656" s="42">
        <v>655</v>
      </c>
      <c r="BL656" s="127">
        <v>2</v>
      </c>
      <c r="BM656" s="127">
        <v>1.0047263613915816</v>
      </c>
      <c r="BN656" s="127" t="e">
        <v>#N/A</v>
      </c>
      <c r="BO656" s="127">
        <v>1.0047263613915816</v>
      </c>
      <c r="BP656" s="151" t="e">
        <v>#N/A</v>
      </c>
      <c r="BQ656" t="e">
        <v>#N/A</v>
      </c>
      <c r="BR656" t="str">
        <v/>
      </c>
    </row>
    <row r="657" spans="47:70" x14ac:dyDescent="0.2">
      <c r="AU657"/>
      <c r="AV657"/>
      <c r="AW657"/>
      <c r="AX657"/>
      <c r="AY657"/>
      <c r="BK657" s="42">
        <v>656</v>
      </c>
      <c r="BL657" s="127">
        <v>2</v>
      </c>
      <c r="BM657" s="127">
        <v>1.0047263613915816</v>
      </c>
      <c r="BN657" s="127" t="e">
        <v>#N/A</v>
      </c>
      <c r="BO657" s="127">
        <v>1.0047263613915816</v>
      </c>
      <c r="BP657" s="151" t="e">
        <v>#N/A</v>
      </c>
      <c r="BQ657" t="e">
        <v>#N/A</v>
      </c>
      <c r="BR657" t="str">
        <v/>
      </c>
    </row>
    <row r="658" spans="47:70" x14ac:dyDescent="0.2">
      <c r="AU658"/>
      <c r="AV658"/>
      <c r="AW658"/>
      <c r="AX658"/>
      <c r="AY658"/>
      <c r="BK658" s="42">
        <v>657</v>
      </c>
      <c r="BL658" s="127">
        <v>2</v>
      </c>
      <c r="BM658" s="127">
        <v>1.0047263613915816</v>
      </c>
      <c r="BN658" s="127" t="e">
        <v>#N/A</v>
      </c>
      <c r="BO658" s="127">
        <v>1.0047263613915816</v>
      </c>
      <c r="BP658" s="151" t="e">
        <v>#N/A</v>
      </c>
      <c r="BQ658" t="e">
        <v>#N/A</v>
      </c>
      <c r="BR658" t="str">
        <v/>
      </c>
    </row>
    <row r="659" spans="47:70" x14ac:dyDescent="0.2">
      <c r="AU659"/>
      <c r="AV659"/>
      <c r="AW659"/>
      <c r="AX659"/>
      <c r="AY659"/>
      <c r="BK659" s="42">
        <v>658</v>
      </c>
      <c r="BL659" s="127">
        <v>2</v>
      </c>
      <c r="BM659" s="127">
        <v>1.0047263613915816</v>
      </c>
      <c r="BN659" s="127" t="e">
        <v>#N/A</v>
      </c>
      <c r="BO659" s="127">
        <v>1.0047263613915816</v>
      </c>
      <c r="BP659" s="151" t="e">
        <v>#N/A</v>
      </c>
      <c r="BQ659" t="e">
        <v>#N/A</v>
      </c>
      <c r="BR659" t="str">
        <v/>
      </c>
    </row>
    <row r="660" spans="47:70" x14ac:dyDescent="0.2">
      <c r="AU660"/>
      <c r="AV660"/>
      <c r="AW660"/>
      <c r="AX660"/>
      <c r="AY660"/>
      <c r="BK660" s="42">
        <v>659</v>
      </c>
      <c r="BL660" s="127">
        <v>2</v>
      </c>
      <c r="BM660" s="127">
        <v>1.0047263613915816</v>
      </c>
      <c r="BN660" s="127" t="e">
        <v>#N/A</v>
      </c>
      <c r="BO660" s="127">
        <v>1.0047263613915816</v>
      </c>
      <c r="BP660" s="151" t="e">
        <v>#N/A</v>
      </c>
      <c r="BQ660" t="e">
        <v>#N/A</v>
      </c>
      <c r="BR660" t="str">
        <v/>
      </c>
    </row>
    <row r="661" spans="47:70" x14ac:dyDescent="0.2">
      <c r="AU661"/>
      <c r="AV661"/>
      <c r="AW661"/>
      <c r="AX661"/>
      <c r="AY661"/>
      <c r="BK661" s="42">
        <v>660</v>
      </c>
      <c r="BL661" s="127">
        <v>2</v>
      </c>
      <c r="BM661" s="127">
        <v>1.0047263613915816</v>
      </c>
      <c r="BN661" s="127" t="e">
        <v>#N/A</v>
      </c>
      <c r="BO661" s="127">
        <v>1.0047263613915816</v>
      </c>
      <c r="BP661" s="151" t="e">
        <v>#N/A</v>
      </c>
      <c r="BQ661" t="e">
        <v>#N/A</v>
      </c>
      <c r="BR661" t="str">
        <v/>
      </c>
    </row>
    <row r="662" spans="47:70" x14ac:dyDescent="0.2">
      <c r="AU662"/>
      <c r="AV662"/>
      <c r="AW662"/>
      <c r="AX662"/>
      <c r="AY662"/>
      <c r="BK662" s="42">
        <v>661</v>
      </c>
      <c r="BL662" s="127">
        <v>2</v>
      </c>
      <c r="BM662" s="127">
        <v>1.0047263613915816</v>
      </c>
      <c r="BN662" s="127" t="e">
        <v>#N/A</v>
      </c>
      <c r="BO662" s="127">
        <v>1.0047263613915816</v>
      </c>
      <c r="BP662" s="151" t="e">
        <v>#N/A</v>
      </c>
      <c r="BQ662" t="e">
        <v>#N/A</v>
      </c>
      <c r="BR662" t="str">
        <v/>
      </c>
    </row>
    <row r="663" spans="47:70" x14ac:dyDescent="0.2">
      <c r="AU663"/>
      <c r="AV663"/>
      <c r="AW663"/>
      <c r="AX663"/>
      <c r="AY663"/>
      <c r="BK663" s="42">
        <v>662</v>
      </c>
      <c r="BL663" s="127">
        <v>2</v>
      </c>
      <c r="BM663" s="127">
        <v>1.0047263613915816</v>
      </c>
      <c r="BN663" s="127" t="e">
        <v>#N/A</v>
      </c>
      <c r="BO663" s="127">
        <v>1.0047263613915816</v>
      </c>
      <c r="BP663" s="151" t="e">
        <v>#N/A</v>
      </c>
      <c r="BQ663" t="e">
        <v>#N/A</v>
      </c>
      <c r="BR663" t="str">
        <v/>
      </c>
    </row>
    <row r="664" spans="47:70" x14ac:dyDescent="0.2">
      <c r="AU664"/>
      <c r="AV664"/>
      <c r="AW664"/>
      <c r="AX664"/>
      <c r="AY664"/>
      <c r="BK664" s="42">
        <v>663</v>
      </c>
      <c r="BL664" s="127">
        <v>2</v>
      </c>
      <c r="BM664" s="127">
        <v>1.0047263613915816</v>
      </c>
      <c r="BN664" s="127" t="e">
        <v>#N/A</v>
      </c>
      <c r="BO664" s="127">
        <v>1.0047263613915816</v>
      </c>
      <c r="BP664" s="151" t="e">
        <v>#N/A</v>
      </c>
      <c r="BQ664" t="e">
        <v>#N/A</v>
      </c>
      <c r="BR664" t="str">
        <v/>
      </c>
    </row>
    <row r="665" spans="47:70" x14ac:dyDescent="0.2">
      <c r="AU665"/>
      <c r="AV665"/>
      <c r="AW665"/>
      <c r="AX665"/>
      <c r="AY665"/>
      <c r="BK665" s="42">
        <v>664</v>
      </c>
      <c r="BL665" s="127">
        <v>2</v>
      </c>
      <c r="BM665" s="127">
        <v>1.0047263613915816</v>
      </c>
      <c r="BN665" s="127" t="e">
        <v>#N/A</v>
      </c>
      <c r="BO665" s="127">
        <v>1.0047263613915816</v>
      </c>
      <c r="BP665" s="151" t="e">
        <v>#N/A</v>
      </c>
      <c r="BQ665" t="e">
        <v>#N/A</v>
      </c>
      <c r="BR665" t="str">
        <v/>
      </c>
    </row>
    <row r="666" spans="47:70" x14ac:dyDescent="0.2">
      <c r="AU666"/>
      <c r="AV666"/>
      <c r="AW666"/>
      <c r="AX666"/>
      <c r="AY666"/>
      <c r="BK666" s="42">
        <v>665</v>
      </c>
      <c r="BL666" s="127">
        <v>2</v>
      </c>
      <c r="BM666" s="127">
        <v>1.0047263613915816</v>
      </c>
      <c r="BN666" s="127" t="e">
        <v>#N/A</v>
      </c>
      <c r="BO666" s="127">
        <v>1.0047263613915816</v>
      </c>
      <c r="BP666" s="151" t="e">
        <v>#N/A</v>
      </c>
      <c r="BQ666" t="e">
        <v>#N/A</v>
      </c>
      <c r="BR666" t="str">
        <v/>
      </c>
    </row>
    <row r="667" spans="47:70" x14ac:dyDescent="0.2">
      <c r="AU667"/>
      <c r="AV667"/>
      <c r="AW667"/>
      <c r="AX667"/>
      <c r="AY667"/>
      <c r="BK667" s="42">
        <v>666</v>
      </c>
      <c r="BL667" s="127">
        <v>2</v>
      </c>
      <c r="BM667" s="127">
        <v>1.0047263613915816</v>
      </c>
      <c r="BN667" s="127" t="e">
        <v>#N/A</v>
      </c>
      <c r="BO667" s="127">
        <v>1.0047263613915816</v>
      </c>
      <c r="BP667" s="151" t="e">
        <v>#N/A</v>
      </c>
      <c r="BQ667" t="e">
        <v>#N/A</v>
      </c>
      <c r="BR667" t="str">
        <v/>
      </c>
    </row>
    <row r="668" spans="47:70" x14ac:dyDescent="0.2">
      <c r="AU668"/>
      <c r="AV668"/>
      <c r="AW668"/>
      <c r="AX668"/>
      <c r="AY668"/>
      <c r="BK668" s="42">
        <v>667</v>
      </c>
      <c r="BL668" s="127">
        <v>2</v>
      </c>
      <c r="BM668" s="127">
        <v>1.0047263613915816</v>
      </c>
      <c r="BN668" s="127" t="e">
        <v>#N/A</v>
      </c>
      <c r="BO668" s="127">
        <v>1.0047263613915816</v>
      </c>
      <c r="BP668" s="151" t="e">
        <v>#N/A</v>
      </c>
      <c r="BQ668" t="e">
        <v>#N/A</v>
      </c>
      <c r="BR668" t="str">
        <v/>
      </c>
    </row>
    <row r="669" spans="47:70" x14ac:dyDescent="0.2">
      <c r="AU669"/>
      <c r="AV669"/>
      <c r="AW669"/>
      <c r="AX669"/>
      <c r="AY669"/>
      <c r="BK669" s="42">
        <v>668</v>
      </c>
      <c r="BL669" s="127">
        <v>2</v>
      </c>
      <c r="BM669" s="127">
        <v>1.0047263613915816</v>
      </c>
      <c r="BN669" s="127" t="e">
        <v>#N/A</v>
      </c>
      <c r="BO669" s="127">
        <v>1.0047263613915816</v>
      </c>
      <c r="BP669" s="151" t="e">
        <v>#N/A</v>
      </c>
      <c r="BQ669" t="e">
        <v>#N/A</v>
      </c>
      <c r="BR669" t="str">
        <v/>
      </c>
    </row>
    <row r="670" spans="47:70" x14ac:dyDescent="0.2">
      <c r="AU670"/>
      <c r="AV670"/>
      <c r="AW670"/>
      <c r="AX670"/>
      <c r="AY670"/>
      <c r="BK670" s="42">
        <v>669</v>
      </c>
      <c r="BL670" s="127">
        <v>2</v>
      </c>
      <c r="BM670" s="127">
        <v>1.0047263613915816</v>
      </c>
      <c r="BN670" s="127" t="e">
        <v>#N/A</v>
      </c>
      <c r="BO670" s="127">
        <v>1.0047263613915816</v>
      </c>
      <c r="BP670" s="151" t="e">
        <v>#N/A</v>
      </c>
      <c r="BQ670" t="e">
        <v>#N/A</v>
      </c>
      <c r="BR670" t="str">
        <v/>
      </c>
    </row>
    <row r="671" spans="47:70" x14ac:dyDescent="0.2">
      <c r="AU671"/>
      <c r="AV671"/>
      <c r="AW671"/>
      <c r="AX671"/>
      <c r="AY671"/>
      <c r="BK671" s="42">
        <v>670</v>
      </c>
      <c r="BL671" s="127">
        <v>2</v>
      </c>
      <c r="BM671" s="127">
        <v>1.0047263613915816</v>
      </c>
      <c r="BN671" s="127" t="e">
        <v>#N/A</v>
      </c>
      <c r="BO671" s="127">
        <v>1.0047263613915816</v>
      </c>
      <c r="BP671" s="151" t="e">
        <v>#N/A</v>
      </c>
      <c r="BQ671" t="e">
        <v>#N/A</v>
      </c>
      <c r="BR671" t="str">
        <v/>
      </c>
    </row>
    <row r="672" spans="47:70" x14ac:dyDescent="0.2">
      <c r="AU672"/>
      <c r="AV672"/>
      <c r="AW672"/>
      <c r="AX672"/>
      <c r="AY672"/>
      <c r="BK672" s="42">
        <v>671</v>
      </c>
      <c r="BL672" s="127">
        <v>2</v>
      </c>
      <c r="BM672" s="127">
        <v>1.0047263613915816</v>
      </c>
      <c r="BN672" s="127" t="e">
        <v>#N/A</v>
      </c>
      <c r="BO672" s="127">
        <v>1.0047263613915816</v>
      </c>
      <c r="BP672" s="151" t="e">
        <v>#N/A</v>
      </c>
      <c r="BQ672" t="e">
        <v>#N/A</v>
      </c>
      <c r="BR672" t="str">
        <v/>
      </c>
    </row>
    <row r="673" spans="47:70" x14ac:dyDescent="0.2">
      <c r="AU673"/>
      <c r="AV673"/>
      <c r="AW673"/>
      <c r="AX673"/>
      <c r="AY673"/>
      <c r="BK673" s="42">
        <v>672</v>
      </c>
      <c r="BL673" s="127">
        <v>2</v>
      </c>
      <c r="BM673" s="127">
        <v>1.0047263613915816</v>
      </c>
      <c r="BN673" s="127" t="e">
        <v>#N/A</v>
      </c>
      <c r="BO673" s="127">
        <v>1.0047263613915816</v>
      </c>
      <c r="BP673" s="151" t="e">
        <v>#N/A</v>
      </c>
      <c r="BQ673" t="e">
        <v>#N/A</v>
      </c>
      <c r="BR673" t="str">
        <v/>
      </c>
    </row>
    <row r="674" spans="47:70" x14ac:dyDescent="0.2">
      <c r="AU674"/>
      <c r="AV674"/>
      <c r="AW674"/>
      <c r="AX674"/>
      <c r="AY674"/>
      <c r="BK674" s="42">
        <v>673</v>
      </c>
      <c r="BL674" s="127">
        <v>2</v>
      </c>
      <c r="BM674" s="127">
        <v>1.0047263613915816</v>
      </c>
      <c r="BN674" s="127" t="e">
        <v>#N/A</v>
      </c>
      <c r="BO674" s="127">
        <v>1.0047263613915816</v>
      </c>
      <c r="BP674" s="151" t="e">
        <v>#N/A</v>
      </c>
      <c r="BQ674" t="e">
        <v>#N/A</v>
      </c>
      <c r="BR674" t="str">
        <v/>
      </c>
    </row>
    <row r="675" spans="47:70" x14ac:dyDescent="0.2">
      <c r="AU675"/>
      <c r="AV675"/>
      <c r="AW675"/>
      <c r="AX675"/>
      <c r="AY675"/>
      <c r="BK675" s="42">
        <v>674</v>
      </c>
      <c r="BL675" s="127">
        <v>2</v>
      </c>
      <c r="BM675" s="127">
        <v>1.0047263613915816</v>
      </c>
      <c r="BN675" s="127" t="e">
        <v>#N/A</v>
      </c>
      <c r="BO675" s="127">
        <v>1.0047263613915816</v>
      </c>
      <c r="BP675" s="151" t="e">
        <v>#N/A</v>
      </c>
      <c r="BQ675" t="e">
        <v>#N/A</v>
      </c>
      <c r="BR675" t="str">
        <v/>
      </c>
    </row>
    <row r="676" spans="47:70" x14ac:dyDescent="0.2">
      <c r="AU676"/>
      <c r="AV676"/>
      <c r="AW676"/>
      <c r="AX676"/>
      <c r="AY676"/>
      <c r="BK676" s="42">
        <v>675</v>
      </c>
      <c r="BL676" s="127">
        <v>2</v>
      </c>
      <c r="BM676" s="127">
        <v>1.0047263613915816</v>
      </c>
      <c r="BN676" s="127" t="e">
        <v>#N/A</v>
      </c>
      <c r="BO676" s="127">
        <v>1.0047263613915816</v>
      </c>
      <c r="BP676" s="151" t="e">
        <v>#N/A</v>
      </c>
      <c r="BQ676" t="e">
        <v>#N/A</v>
      </c>
      <c r="BR676" t="str">
        <v/>
      </c>
    </row>
    <row r="677" spans="47:70" x14ac:dyDescent="0.2">
      <c r="AU677"/>
      <c r="AV677"/>
      <c r="AW677"/>
      <c r="AX677"/>
      <c r="AY677"/>
      <c r="BK677" s="42">
        <v>676</v>
      </c>
      <c r="BL677" s="127">
        <v>2</v>
      </c>
      <c r="BM677" s="127">
        <v>1.0047263613915816</v>
      </c>
      <c r="BN677" s="127" t="e">
        <v>#N/A</v>
      </c>
      <c r="BO677" s="127">
        <v>1.0047263613915816</v>
      </c>
      <c r="BP677" s="151" t="e">
        <v>#N/A</v>
      </c>
      <c r="BQ677" t="e">
        <v>#N/A</v>
      </c>
      <c r="BR677" t="str">
        <v/>
      </c>
    </row>
    <row r="678" spans="47:70" x14ac:dyDescent="0.2">
      <c r="AU678"/>
      <c r="AV678"/>
      <c r="AW678"/>
      <c r="AX678"/>
      <c r="AY678"/>
      <c r="BK678" s="42">
        <v>677</v>
      </c>
      <c r="BL678" s="127">
        <v>2</v>
      </c>
      <c r="BM678" s="127">
        <v>1.0047263613915816</v>
      </c>
      <c r="BN678" s="127" t="e">
        <v>#N/A</v>
      </c>
      <c r="BO678" s="127">
        <v>1.0047263613915816</v>
      </c>
      <c r="BP678" s="151" t="e">
        <v>#N/A</v>
      </c>
      <c r="BQ678" t="e">
        <v>#N/A</v>
      </c>
      <c r="BR678" t="str">
        <v/>
      </c>
    </row>
    <row r="679" spans="47:70" x14ac:dyDescent="0.2">
      <c r="AU679"/>
      <c r="AV679"/>
      <c r="AW679"/>
      <c r="AX679"/>
      <c r="AY679"/>
      <c r="BK679" s="42">
        <v>678</v>
      </c>
      <c r="BL679" s="127">
        <v>2</v>
      </c>
      <c r="BM679" s="127">
        <v>1.0047263613915816</v>
      </c>
      <c r="BN679" s="127" t="e">
        <v>#N/A</v>
      </c>
      <c r="BO679" s="127">
        <v>1.0047263613915816</v>
      </c>
      <c r="BP679" s="151" t="e">
        <v>#N/A</v>
      </c>
      <c r="BQ679" t="e">
        <v>#N/A</v>
      </c>
      <c r="BR679" t="str">
        <v/>
      </c>
    </row>
    <row r="680" spans="47:70" x14ac:dyDescent="0.2">
      <c r="AU680"/>
      <c r="AV680"/>
      <c r="AW680"/>
      <c r="AX680"/>
      <c r="AY680"/>
      <c r="BK680" s="42">
        <v>679</v>
      </c>
      <c r="BL680" s="127">
        <v>2</v>
      </c>
      <c r="BM680" s="127">
        <v>1.0047263613915816</v>
      </c>
      <c r="BN680" s="127" t="e">
        <v>#N/A</v>
      </c>
      <c r="BO680" s="127">
        <v>1.0047263613915816</v>
      </c>
      <c r="BP680" s="151" t="e">
        <v>#N/A</v>
      </c>
      <c r="BQ680" t="e">
        <v>#N/A</v>
      </c>
      <c r="BR680" t="str">
        <v/>
      </c>
    </row>
    <row r="681" spans="47:70" x14ac:dyDescent="0.2">
      <c r="AU681"/>
      <c r="AV681"/>
      <c r="AW681"/>
      <c r="AX681"/>
      <c r="AY681"/>
      <c r="BK681" s="42">
        <v>680</v>
      </c>
      <c r="BL681" s="127">
        <v>2</v>
      </c>
      <c r="BM681" s="127">
        <v>1.0047263613915816</v>
      </c>
      <c r="BN681" s="127" t="e">
        <v>#N/A</v>
      </c>
      <c r="BO681" s="127">
        <v>1.0047263613915816</v>
      </c>
      <c r="BP681" s="151" t="e">
        <v>#N/A</v>
      </c>
      <c r="BQ681" t="e">
        <v>#N/A</v>
      </c>
      <c r="BR681" t="str">
        <v/>
      </c>
    </row>
    <row r="682" spans="47:70" x14ac:dyDescent="0.2">
      <c r="AU682"/>
      <c r="AV682"/>
      <c r="AW682"/>
      <c r="AX682"/>
      <c r="AY682"/>
      <c r="BK682" s="42">
        <v>681</v>
      </c>
      <c r="BL682" s="127">
        <v>2</v>
      </c>
      <c r="BM682" s="127">
        <v>1.0047263613915816</v>
      </c>
      <c r="BN682" s="127" t="e">
        <v>#N/A</v>
      </c>
      <c r="BO682" s="127">
        <v>1.0047263613915816</v>
      </c>
      <c r="BP682" s="151" t="e">
        <v>#N/A</v>
      </c>
      <c r="BQ682" t="e">
        <v>#N/A</v>
      </c>
      <c r="BR682" t="str">
        <v/>
      </c>
    </row>
    <row r="683" spans="47:70" x14ac:dyDescent="0.2">
      <c r="AU683"/>
      <c r="AV683"/>
      <c r="AW683"/>
      <c r="AX683"/>
      <c r="AY683"/>
      <c r="BK683" s="42">
        <v>682</v>
      </c>
      <c r="BL683" s="127">
        <v>2</v>
      </c>
      <c r="BM683" s="127">
        <v>1.0047263613915816</v>
      </c>
      <c r="BN683" s="127" t="e">
        <v>#N/A</v>
      </c>
      <c r="BO683" s="127">
        <v>1.0047263613915816</v>
      </c>
      <c r="BP683" s="151" t="e">
        <v>#N/A</v>
      </c>
      <c r="BQ683" t="e">
        <v>#N/A</v>
      </c>
      <c r="BR683" t="str">
        <v/>
      </c>
    </row>
    <row r="684" spans="47:70" x14ac:dyDescent="0.2">
      <c r="AU684"/>
      <c r="AV684"/>
      <c r="AW684"/>
      <c r="AX684"/>
      <c r="AY684"/>
      <c r="BK684" s="42">
        <v>683</v>
      </c>
      <c r="BL684" s="127">
        <v>2</v>
      </c>
      <c r="BM684" s="127">
        <v>1.0047263613915816</v>
      </c>
      <c r="BN684" s="127" t="e">
        <v>#N/A</v>
      </c>
      <c r="BO684" s="127">
        <v>1.0047263613915816</v>
      </c>
      <c r="BP684" s="151" t="e">
        <v>#N/A</v>
      </c>
      <c r="BQ684" t="e">
        <v>#N/A</v>
      </c>
      <c r="BR684" t="str">
        <v/>
      </c>
    </row>
    <row r="685" spans="47:70" x14ac:dyDescent="0.2">
      <c r="AU685"/>
      <c r="AV685"/>
      <c r="AW685"/>
      <c r="AX685"/>
      <c r="AY685"/>
      <c r="BK685" s="42">
        <v>684</v>
      </c>
      <c r="BL685" s="127">
        <v>3</v>
      </c>
      <c r="BM685" s="127">
        <v>1.0626913437795575</v>
      </c>
      <c r="BN685" s="127" t="e">
        <v>#N/A</v>
      </c>
      <c r="BO685" s="127" t="e">
        <v>#N/A</v>
      </c>
      <c r="BP685" s="151">
        <v>1.0626913437795575</v>
      </c>
      <c r="BQ685" t="e">
        <v>#N/A</v>
      </c>
      <c r="BR685">
        <v>0.499</v>
      </c>
    </row>
    <row r="686" spans="47:70" x14ac:dyDescent="0.2">
      <c r="AU686"/>
      <c r="AV686"/>
      <c r="AW686"/>
      <c r="AX686"/>
      <c r="AY686"/>
      <c r="BK686" s="42">
        <v>685</v>
      </c>
      <c r="BL686" s="127">
        <v>3</v>
      </c>
      <c r="BM686" s="127">
        <v>1.0626913437795575</v>
      </c>
      <c r="BN686" s="127" t="e">
        <v>#N/A</v>
      </c>
      <c r="BO686" s="127" t="e">
        <v>#N/A</v>
      </c>
      <c r="BP686" s="151">
        <v>1.0626913437795575</v>
      </c>
      <c r="BQ686" t="e">
        <v>#N/A</v>
      </c>
      <c r="BR686" t="str">
        <v/>
      </c>
    </row>
    <row r="687" spans="47:70" x14ac:dyDescent="0.2">
      <c r="AU687"/>
      <c r="AV687"/>
      <c r="AW687"/>
      <c r="AX687"/>
      <c r="AY687"/>
      <c r="BK687" s="42">
        <v>686</v>
      </c>
      <c r="BL687" s="127">
        <v>3</v>
      </c>
      <c r="BM687" s="127">
        <v>1.0626913437795575</v>
      </c>
      <c r="BN687" s="127" t="e">
        <v>#N/A</v>
      </c>
      <c r="BO687" s="127" t="e">
        <v>#N/A</v>
      </c>
      <c r="BP687" s="151">
        <v>1.0626913437795575</v>
      </c>
      <c r="BQ687" t="e">
        <v>#N/A</v>
      </c>
      <c r="BR687" t="str">
        <v/>
      </c>
    </row>
    <row r="688" spans="47:70" x14ac:dyDescent="0.2">
      <c r="AU688"/>
      <c r="AV688"/>
      <c r="AW688"/>
      <c r="AX688"/>
      <c r="AY688"/>
      <c r="BK688" s="42">
        <v>687</v>
      </c>
      <c r="BL688" s="127">
        <v>3</v>
      </c>
      <c r="BM688" s="127">
        <v>1.0626913437795575</v>
      </c>
      <c r="BN688" s="127" t="e">
        <v>#N/A</v>
      </c>
      <c r="BO688" s="127" t="e">
        <v>#N/A</v>
      </c>
      <c r="BP688" s="151">
        <v>1.0626913437795575</v>
      </c>
      <c r="BQ688" t="e">
        <v>#N/A</v>
      </c>
      <c r="BR688" t="str">
        <v/>
      </c>
    </row>
    <row r="689" spans="47:70" x14ac:dyDescent="0.2">
      <c r="AU689"/>
      <c r="AV689"/>
      <c r="AW689"/>
      <c r="AX689"/>
      <c r="AY689"/>
      <c r="BK689" s="42">
        <v>688</v>
      </c>
      <c r="BL689" s="127">
        <v>3</v>
      </c>
      <c r="BM689" s="127">
        <v>1.0626913437795575</v>
      </c>
      <c r="BN689" s="127" t="e">
        <v>#N/A</v>
      </c>
      <c r="BO689" s="127" t="e">
        <v>#N/A</v>
      </c>
      <c r="BP689" s="151">
        <v>1.0626913437795575</v>
      </c>
      <c r="BQ689" t="e">
        <v>#N/A</v>
      </c>
      <c r="BR689" t="str">
        <v/>
      </c>
    </row>
    <row r="690" spans="47:70" x14ac:dyDescent="0.2">
      <c r="AU690"/>
      <c r="AV690"/>
      <c r="AW690"/>
      <c r="AX690"/>
      <c r="AY690"/>
      <c r="BK690" s="42">
        <v>689</v>
      </c>
      <c r="BL690" s="127">
        <v>3</v>
      </c>
      <c r="BM690" s="127">
        <v>1.0626913437795575</v>
      </c>
      <c r="BN690" s="127" t="e">
        <v>#N/A</v>
      </c>
      <c r="BO690" s="127" t="e">
        <v>#N/A</v>
      </c>
      <c r="BP690" s="151">
        <v>1.0626913437795575</v>
      </c>
      <c r="BQ690" t="e">
        <v>#N/A</v>
      </c>
      <c r="BR690" t="str">
        <v/>
      </c>
    </row>
    <row r="691" spans="47:70" x14ac:dyDescent="0.2">
      <c r="AU691"/>
      <c r="AV691"/>
      <c r="AW691"/>
      <c r="AX691"/>
      <c r="AY691"/>
      <c r="BK691" s="42">
        <v>690</v>
      </c>
      <c r="BL691" s="127">
        <v>3</v>
      </c>
      <c r="BM691" s="127">
        <v>1.0626913437795575</v>
      </c>
      <c r="BN691" s="127" t="e">
        <v>#N/A</v>
      </c>
      <c r="BO691" s="127" t="e">
        <v>#N/A</v>
      </c>
      <c r="BP691" s="151">
        <v>1.0626913437795575</v>
      </c>
      <c r="BQ691" t="e">
        <v>#N/A</v>
      </c>
      <c r="BR691" t="str">
        <v/>
      </c>
    </row>
    <row r="692" spans="47:70" x14ac:dyDescent="0.2">
      <c r="AU692"/>
      <c r="AV692"/>
      <c r="AW692"/>
      <c r="AX692"/>
      <c r="AY692"/>
      <c r="BK692" s="42">
        <v>691</v>
      </c>
      <c r="BL692" s="127">
        <v>3</v>
      </c>
      <c r="BM692" s="127">
        <v>1.0626913437795575</v>
      </c>
      <c r="BN692" s="127" t="e">
        <v>#N/A</v>
      </c>
      <c r="BO692" s="127" t="e">
        <v>#N/A</v>
      </c>
      <c r="BP692" s="151">
        <v>1.0626913437795575</v>
      </c>
      <c r="BQ692" t="e">
        <v>#N/A</v>
      </c>
      <c r="BR692" t="str">
        <v/>
      </c>
    </row>
    <row r="693" spans="47:70" x14ac:dyDescent="0.2">
      <c r="AU693"/>
      <c r="AV693"/>
      <c r="AW693"/>
      <c r="AX693"/>
      <c r="AY693"/>
      <c r="BK693" s="42">
        <v>692</v>
      </c>
      <c r="BL693" s="127">
        <v>3</v>
      </c>
      <c r="BM693" s="127">
        <v>1.0626913437795575</v>
      </c>
      <c r="BN693" s="127" t="e">
        <v>#N/A</v>
      </c>
      <c r="BO693" s="127" t="e">
        <v>#N/A</v>
      </c>
      <c r="BP693" s="151">
        <v>1.0626913437795575</v>
      </c>
      <c r="BQ693" t="e">
        <v>#N/A</v>
      </c>
      <c r="BR693" t="str">
        <v/>
      </c>
    </row>
    <row r="694" spans="47:70" x14ac:dyDescent="0.2">
      <c r="AU694"/>
      <c r="AV694"/>
      <c r="AW694"/>
      <c r="AX694"/>
      <c r="AY694"/>
      <c r="BK694" s="42">
        <v>693</v>
      </c>
      <c r="BL694" s="127">
        <v>3</v>
      </c>
      <c r="BM694" s="127">
        <v>1.0626913437795575</v>
      </c>
      <c r="BN694" s="127" t="e">
        <v>#N/A</v>
      </c>
      <c r="BO694" s="127" t="e">
        <v>#N/A</v>
      </c>
      <c r="BP694" s="151">
        <v>1.0626913437795575</v>
      </c>
      <c r="BQ694" t="e">
        <v>#N/A</v>
      </c>
      <c r="BR694" t="str">
        <v/>
      </c>
    </row>
    <row r="695" spans="47:70" x14ac:dyDescent="0.2">
      <c r="AU695"/>
      <c r="AV695"/>
      <c r="AW695"/>
      <c r="AX695"/>
      <c r="AY695"/>
      <c r="BK695" s="42">
        <v>694</v>
      </c>
      <c r="BL695" s="127">
        <v>3</v>
      </c>
      <c r="BM695" s="127">
        <v>1.0626913437795575</v>
      </c>
      <c r="BN695" s="127" t="e">
        <v>#N/A</v>
      </c>
      <c r="BO695" s="127" t="e">
        <v>#N/A</v>
      </c>
      <c r="BP695" s="151">
        <v>1.0626913437795575</v>
      </c>
      <c r="BQ695" t="e">
        <v>#N/A</v>
      </c>
      <c r="BR695" t="str">
        <v/>
      </c>
    </row>
    <row r="696" spans="47:70" x14ac:dyDescent="0.2">
      <c r="AU696"/>
      <c r="AV696"/>
      <c r="AW696"/>
      <c r="AX696"/>
      <c r="AY696"/>
      <c r="BK696" s="42">
        <v>695</v>
      </c>
      <c r="BL696" s="127">
        <v>3</v>
      </c>
      <c r="BM696" s="127">
        <v>1.0626913437795575</v>
      </c>
      <c r="BN696" s="127" t="e">
        <v>#N/A</v>
      </c>
      <c r="BO696" s="127" t="e">
        <v>#N/A</v>
      </c>
      <c r="BP696" s="151">
        <v>1.0626913437795575</v>
      </c>
      <c r="BQ696" t="e">
        <v>#N/A</v>
      </c>
      <c r="BR696" t="str">
        <v/>
      </c>
    </row>
    <row r="697" spans="47:70" x14ac:dyDescent="0.2">
      <c r="AU697"/>
      <c r="AV697"/>
      <c r="AW697"/>
      <c r="AX697"/>
      <c r="AY697"/>
      <c r="BK697" s="42">
        <v>696</v>
      </c>
      <c r="BL697" s="127">
        <v>3</v>
      </c>
      <c r="BM697" s="127">
        <v>1.0626913437795575</v>
      </c>
      <c r="BN697" s="127" t="e">
        <v>#N/A</v>
      </c>
      <c r="BO697" s="127" t="e">
        <v>#N/A</v>
      </c>
      <c r="BP697" s="151">
        <v>1.0626913437795575</v>
      </c>
      <c r="BQ697" t="e">
        <v>#N/A</v>
      </c>
      <c r="BR697" t="str">
        <v/>
      </c>
    </row>
    <row r="698" spans="47:70" x14ac:dyDescent="0.2">
      <c r="AU698"/>
      <c r="AV698"/>
      <c r="AW698"/>
      <c r="AX698"/>
      <c r="AY698"/>
      <c r="BK698" s="42">
        <v>697</v>
      </c>
      <c r="BL698" s="127">
        <v>3</v>
      </c>
      <c r="BM698" s="127">
        <v>1.0626913437795575</v>
      </c>
      <c r="BN698" s="127" t="e">
        <v>#N/A</v>
      </c>
      <c r="BO698" s="127" t="e">
        <v>#N/A</v>
      </c>
      <c r="BP698" s="151">
        <v>1.0626913437795575</v>
      </c>
      <c r="BQ698" t="e">
        <v>#N/A</v>
      </c>
      <c r="BR698" t="str">
        <v/>
      </c>
    </row>
    <row r="699" spans="47:70" x14ac:dyDescent="0.2">
      <c r="AU699"/>
      <c r="AV699"/>
      <c r="AW699"/>
      <c r="AX699"/>
      <c r="AY699"/>
      <c r="BK699" s="42">
        <v>698</v>
      </c>
      <c r="BL699" s="127">
        <v>3</v>
      </c>
      <c r="BM699" s="127">
        <v>1.0626913437795575</v>
      </c>
      <c r="BN699" s="127" t="e">
        <v>#N/A</v>
      </c>
      <c r="BO699" s="127" t="e">
        <v>#N/A</v>
      </c>
      <c r="BP699" s="151">
        <v>1.0626913437795575</v>
      </c>
      <c r="BQ699" t="e">
        <v>#N/A</v>
      </c>
      <c r="BR699" t="str">
        <v/>
      </c>
    </row>
    <row r="700" spans="47:70" x14ac:dyDescent="0.2">
      <c r="AU700"/>
      <c r="AV700"/>
      <c r="AW700"/>
      <c r="AX700"/>
      <c r="AY700"/>
      <c r="BK700" s="42">
        <v>699</v>
      </c>
      <c r="BL700" s="127">
        <v>3</v>
      </c>
      <c r="BM700" s="127">
        <v>1.0626913437795575</v>
      </c>
      <c r="BN700" s="127" t="e">
        <v>#N/A</v>
      </c>
      <c r="BO700" s="127" t="e">
        <v>#N/A</v>
      </c>
      <c r="BP700" s="151">
        <v>1.0626913437795575</v>
      </c>
      <c r="BQ700" t="e">
        <v>#N/A</v>
      </c>
      <c r="BR700" t="str">
        <v/>
      </c>
    </row>
    <row r="701" spans="47:70" x14ac:dyDescent="0.2">
      <c r="AU701"/>
      <c r="AV701"/>
      <c r="AW701"/>
      <c r="AX701"/>
      <c r="AY701"/>
      <c r="BK701" s="42">
        <v>700</v>
      </c>
      <c r="BL701" s="127">
        <v>3</v>
      </c>
      <c r="BM701" s="127">
        <v>1.0626913437795575</v>
      </c>
      <c r="BN701" s="127" t="e">
        <v>#N/A</v>
      </c>
      <c r="BO701" s="127" t="e">
        <v>#N/A</v>
      </c>
      <c r="BP701" s="151">
        <v>1.0626913437795575</v>
      </c>
      <c r="BQ701" t="e">
        <v>#N/A</v>
      </c>
      <c r="BR701" t="str">
        <v/>
      </c>
    </row>
    <row r="702" spans="47:70" x14ac:dyDescent="0.2">
      <c r="AU702"/>
      <c r="AV702"/>
      <c r="AW702"/>
      <c r="AX702"/>
      <c r="AY702"/>
      <c r="BK702" s="42">
        <v>701</v>
      </c>
      <c r="BL702" s="127">
        <v>3</v>
      </c>
      <c r="BM702" s="127">
        <v>1.0626913437795575</v>
      </c>
      <c r="BN702" s="127" t="e">
        <v>#N/A</v>
      </c>
      <c r="BO702" s="127" t="e">
        <v>#N/A</v>
      </c>
      <c r="BP702" s="151">
        <v>1.0626913437795575</v>
      </c>
      <c r="BQ702" t="e">
        <v>#N/A</v>
      </c>
      <c r="BR702" t="str">
        <v/>
      </c>
    </row>
    <row r="703" spans="47:70" x14ac:dyDescent="0.2">
      <c r="AU703"/>
      <c r="AV703"/>
      <c r="AW703"/>
      <c r="AX703"/>
      <c r="AY703"/>
      <c r="BK703" s="42">
        <v>702</v>
      </c>
      <c r="BL703" s="127">
        <v>3</v>
      </c>
      <c r="BM703" s="127">
        <v>1.0626913437795575</v>
      </c>
      <c r="BN703" s="127" t="e">
        <v>#N/A</v>
      </c>
      <c r="BO703" s="127" t="e">
        <v>#N/A</v>
      </c>
      <c r="BP703" s="151">
        <v>1.0626913437795575</v>
      </c>
      <c r="BQ703" t="e">
        <v>#N/A</v>
      </c>
      <c r="BR703" t="str">
        <v/>
      </c>
    </row>
    <row r="704" spans="47:70" x14ac:dyDescent="0.2">
      <c r="AU704"/>
      <c r="AV704"/>
      <c r="AW704"/>
      <c r="AX704"/>
      <c r="AY704"/>
      <c r="BK704" s="42">
        <v>703</v>
      </c>
      <c r="BL704" s="127">
        <v>3</v>
      </c>
      <c r="BM704" s="127">
        <v>1.0626913437795575</v>
      </c>
      <c r="BN704" s="127" t="e">
        <v>#N/A</v>
      </c>
      <c r="BO704" s="127" t="e">
        <v>#N/A</v>
      </c>
      <c r="BP704" s="151">
        <v>1.0626913437795575</v>
      </c>
      <c r="BQ704" t="e">
        <v>#N/A</v>
      </c>
      <c r="BR704" t="str">
        <v/>
      </c>
    </row>
    <row r="705" spans="47:70" x14ac:dyDescent="0.2">
      <c r="AU705"/>
      <c r="AV705"/>
      <c r="AW705"/>
      <c r="AX705"/>
      <c r="AY705"/>
      <c r="BK705" s="42">
        <v>704</v>
      </c>
      <c r="BL705" s="127">
        <v>3</v>
      </c>
      <c r="BM705" s="127">
        <v>1.0626913437795575</v>
      </c>
      <c r="BN705" s="127" t="e">
        <v>#N/A</v>
      </c>
      <c r="BO705" s="127" t="e">
        <v>#N/A</v>
      </c>
      <c r="BP705" s="151">
        <v>1.0626913437795575</v>
      </c>
      <c r="BQ705" t="e">
        <v>#N/A</v>
      </c>
      <c r="BR705" t="str">
        <v/>
      </c>
    </row>
    <row r="706" spans="47:70" x14ac:dyDescent="0.2">
      <c r="AU706"/>
      <c r="AV706"/>
      <c r="AW706"/>
      <c r="AX706"/>
      <c r="AY706"/>
      <c r="BK706" s="42">
        <v>705</v>
      </c>
      <c r="BL706" s="127">
        <v>3</v>
      </c>
      <c r="BM706" s="127">
        <v>1.0626913437795575</v>
      </c>
      <c r="BN706" s="127" t="e">
        <v>#N/A</v>
      </c>
      <c r="BO706" s="127" t="e">
        <v>#N/A</v>
      </c>
      <c r="BP706" s="151">
        <v>1.0626913437795575</v>
      </c>
      <c r="BQ706" t="e">
        <v>#N/A</v>
      </c>
      <c r="BR706" t="str">
        <v/>
      </c>
    </row>
    <row r="707" spans="47:70" x14ac:dyDescent="0.2">
      <c r="AU707"/>
      <c r="AV707"/>
      <c r="AW707"/>
      <c r="AX707"/>
      <c r="AY707"/>
      <c r="BK707" s="42">
        <v>706</v>
      </c>
      <c r="BL707" s="127">
        <v>3</v>
      </c>
      <c r="BM707" s="127">
        <v>1.0626913437795575</v>
      </c>
      <c r="BN707" s="127" t="e">
        <v>#N/A</v>
      </c>
      <c r="BO707" s="127" t="e">
        <v>#N/A</v>
      </c>
      <c r="BP707" s="151">
        <v>1.0626913437795575</v>
      </c>
      <c r="BQ707" t="e">
        <v>#N/A</v>
      </c>
      <c r="BR707" t="str">
        <v/>
      </c>
    </row>
    <row r="708" spans="47:70" x14ac:dyDescent="0.2">
      <c r="AU708"/>
      <c r="AV708"/>
      <c r="AW708"/>
      <c r="AX708"/>
      <c r="AY708"/>
      <c r="BK708" s="42">
        <v>707</v>
      </c>
      <c r="BL708" s="127">
        <v>3</v>
      </c>
      <c r="BM708" s="127">
        <v>1.0626913437795575</v>
      </c>
      <c r="BN708" s="127" t="e">
        <v>#N/A</v>
      </c>
      <c r="BO708" s="127" t="e">
        <v>#N/A</v>
      </c>
      <c r="BP708" s="151">
        <v>1.0626913437795575</v>
      </c>
      <c r="BQ708" t="e">
        <v>#N/A</v>
      </c>
      <c r="BR708" t="str">
        <v/>
      </c>
    </row>
    <row r="709" spans="47:70" x14ac:dyDescent="0.2">
      <c r="AU709"/>
      <c r="AV709"/>
      <c r="AW709"/>
      <c r="AX709"/>
      <c r="AY709"/>
      <c r="BK709" s="42">
        <v>708</v>
      </c>
      <c r="BL709" s="127">
        <v>3</v>
      </c>
      <c r="BM709" s="127">
        <v>1.0626913437795575</v>
      </c>
      <c r="BN709" s="127" t="e">
        <v>#N/A</v>
      </c>
      <c r="BO709" s="127" t="e">
        <v>#N/A</v>
      </c>
      <c r="BP709" s="151">
        <v>1.0626913437795575</v>
      </c>
      <c r="BQ709" t="e">
        <v>#N/A</v>
      </c>
      <c r="BR709" t="str">
        <v/>
      </c>
    </row>
    <row r="710" spans="47:70" x14ac:dyDescent="0.2">
      <c r="AU710"/>
      <c r="AV710"/>
      <c r="AW710"/>
      <c r="AX710"/>
      <c r="AY710"/>
      <c r="BK710" s="42">
        <v>709</v>
      </c>
      <c r="BL710" s="127">
        <v>3</v>
      </c>
      <c r="BM710" s="127">
        <v>1.0626913437795575</v>
      </c>
      <c r="BN710" s="127" t="e">
        <v>#N/A</v>
      </c>
      <c r="BO710" s="127" t="e">
        <v>#N/A</v>
      </c>
      <c r="BP710" s="151">
        <v>1.0626913437795575</v>
      </c>
      <c r="BQ710" t="e">
        <v>#N/A</v>
      </c>
      <c r="BR710" t="str">
        <v/>
      </c>
    </row>
    <row r="711" spans="47:70" x14ac:dyDescent="0.2">
      <c r="AU711"/>
      <c r="AV711"/>
      <c r="AW711"/>
      <c r="AX711"/>
      <c r="AY711"/>
      <c r="BK711" s="42">
        <v>710</v>
      </c>
      <c r="BL711" s="127">
        <v>3</v>
      </c>
      <c r="BM711" s="127">
        <v>1.0626913437795575</v>
      </c>
      <c r="BN711" s="127" t="e">
        <v>#N/A</v>
      </c>
      <c r="BO711" s="127" t="e">
        <v>#N/A</v>
      </c>
      <c r="BP711" s="151">
        <v>1.0626913437795575</v>
      </c>
      <c r="BQ711" t="e">
        <v>#N/A</v>
      </c>
      <c r="BR711" t="str">
        <v/>
      </c>
    </row>
    <row r="712" spans="47:70" x14ac:dyDescent="0.2">
      <c r="AU712"/>
      <c r="AV712"/>
      <c r="AW712"/>
      <c r="AX712"/>
      <c r="AY712"/>
      <c r="BK712" s="42">
        <v>711</v>
      </c>
      <c r="BL712" s="127">
        <v>3</v>
      </c>
      <c r="BM712" s="127">
        <v>1.0626913437795575</v>
      </c>
      <c r="BN712" s="127" t="e">
        <v>#N/A</v>
      </c>
      <c r="BO712" s="127" t="e">
        <v>#N/A</v>
      </c>
      <c r="BP712" s="151">
        <v>1.0626913437795575</v>
      </c>
      <c r="BQ712" t="e">
        <v>#N/A</v>
      </c>
      <c r="BR712" t="str">
        <v/>
      </c>
    </row>
    <row r="713" spans="47:70" x14ac:dyDescent="0.2">
      <c r="AU713"/>
      <c r="AV713"/>
      <c r="AW713"/>
      <c r="AX713"/>
      <c r="AY713"/>
      <c r="BK713" s="42">
        <v>712</v>
      </c>
      <c r="BL713" s="127">
        <v>3</v>
      </c>
      <c r="BM713" s="127">
        <v>1.0626913437795575</v>
      </c>
      <c r="BN713" s="127" t="e">
        <v>#N/A</v>
      </c>
      <c r="BO713" s="127" t="e">
        <v>#N/A</v>
      </c>
      <c r="BP713" s="151">
        <v>1.0626913437795575</v>
      </c>
      <c r="BQ713" t="e">
        <v>#N/A</v>
      </c>
      <c r="BR713" t="str">
        <v/>
      </c>
    </row>
    <row r="714" spans="47:70" x14ac:dyDescent="0.2">
      <c r="AU714"/>
      <c r="AV714"/>
      <c r="AW714"/>
      <c r="AX714"/>
      <c r="AY714"/>
      <c r="BK714" s="42">
        <v>713</v>
      </c>
      <c r="BL714" s="127">
        <v>3</v>
      </c>
      <c r="BM714" s="127">
        <v>1.0626913437795575</v>
      </c>
      <c r="BN714" s="127" t="e">
        <v>#N/A</v>
      </c>
      <c r="BO714" s="127" t="e">
        <v>#N/A</v>
      </c>
      <c r="BP714" s="151">
        <v>1.0626913437795575</v>
      </c>
      <c r="BQ714" t="e">
        <v>#N/A</v>
      </c>
      <c r="BR714" t="str">
        <v/>
      </c>
    </row>
    <row r="715" spans="47:70" x14ac:dyDescent="0.2">
      <c r="AU715"/>
      <c r="AV715"/>
      <c r="AW715"/>
      <c r="AX715"/>
      <c r="AY715"/>
      <c r="BK715" s="42">
        <v>714</v>
      </c>
      <c r="BL715" s="127">
        <v>3</v>
      </c>
      <c r="BM715" s="127">
        <v>1.0626913437795575</v>
      </c>
      <c r="BN715" s="127" t="e">
        <v>#N/A</v>
      </c>
      <c r="BO715" s="127" t="e">
        <v>#N/A</v>
      </c>
      <c r="BP715" s="151">
        <v>1.0626913437795575</v>
      </c>
      <c r="BQ715" t="e">
        <v>#N/A</v>
      </c>
      <c r="BR715" t="str">
        <v/>
      </c>
    </row>
    <row r="716" spans="47:70" x14ac:dyDescent="0.2">
      <c r="AU716"/>
      <c r="AV716"/>
      <c r="AW716"/>
      <c r="AX716"/>
      <c r="AY716"/>
      <c r="BK716" s="42">
        <v>715</v>
      </c>
      <c r="BL716" s="127">
        <v>3</v>
      </c>
      <c r="BM716" s="127">
        <v>1.0626913437795575</v>
      </c>
      <c r="BN716" s="127" t="e">
        <v>#N/A</v>
      </c>
      <c r="BO716" s="127" t="e">
        <v>#N/A</v>
      </c>
      <c r="BP716" s="151">
        <v>1.0626913437795575</v>
      </c>
      <c r="BQ716" t="e">
        <v>#N/A</v>
      </c>
      <c r="BR716" t="str">
        <v/>
      </c>
    </row>
    <row r="717" spans="47:70" x14ac:dyDescent="0.2">
      <c r="AU717"/>
      <c r="AV717"/>
      <c r="AW717"/>
      <c r="AX717"/>
      <c r="AY717"/>
      <c r="BK717" s="42">
        <v>716</v>
      </c>
      <c r="BL717" s="127">
        <v>3</v>
      </c>
      <c r="BM717" s="127">
        <v>1.0626913437795575</v>
      </c>
      <c r="BN717" s="127" t="e">
        <v>#N/A</v>
      </c>
      <c r="BO717" s="127" t="e">
        <v>#N/A</v>
      </c>
      <c r="BP717" s="151">
        <v>1.0626913437795575</v>
      </c>
      <c r="BQ717" t="e">
        <v>#N/A</v>
      </c>
      <c r="BR717" t="str">
        <v/>
      </c>
    </row>
    <row r="718" spans="47:70" x14ac:dyDescent="0.2">
      <c r="AU718"/>
      <c r="AV718"/>
      <c r="AW718"/>
      <c r="AX718"/>
      <c r="AY718"/>
      <c r="BK718" s="42">
        <v>717</v>
      </c>
      <c r="BL718" s="127">
        <v>3</v>
      </c>
      <c r="BM718" s="127">
        <v>1.0626913437795575</v>
      </c>
      <c r="BN718" s="127" t="e">
        <v>#N/A</v>
      </c>
      <c r="BO718" s="127" t="e">
        <v>#N/A</v>
      </c>
      <c r="BP718" s="151">
        <v>1.0626913437795575</v>
      </c>
      <c r="BQ718" t="e">
        <v>#N/A</v>
      </c>
      <c r="BR718" t="str">
        <v/>
      </c>
    </row>
    <row r="719" spans="47:70" x14ac:dyDescent="0.2">
      <c r="AU719"/>
      <c r="AV719"/>
      <c r="AW719"/>
      <c r="AX719"/>
      <c r="AY719"/>
      <c r="BK719" s="42">
        <v>718</v>
      </c>
      <c r="BL719" s="127">
        <v>3</v>
      </c>
      <c r="BM719" s="127">
        <v>1.0626913437795575</v>
      </c>
      <c r="BN719" s="127" t="e">
        <v>#N/A</v>
      </c>
      <c r="BO719" s="127" t="e">
        <v>#N/A</v>
      </c>
      <c r="BP719" s="151">
        <v>1.0626913437795575</v>
      </c>
      <c r="BQ719" t="e">
        <v>#N/A</v>
      </c>
      <c r="BR719" t="str">
        <v/>
      </c>
    </row>
    <row r="720" spans="47:70" x14ac:dyDescent="0.2">
      <c r="AU720"/>
      <c r="AV720"/>
      <c r="AW720"/>
      <c r="AX720"/>
      <c r="AY720"/>
      <c r="BK720" s="42">
        <v>719</v>
      </c>
      <c r="BL720" s="127">
        <v>3</v>
      </c>
      <c r="BM720" s="127">
        <v>1.0626913437795575</v>
      </c>
      <c r="BN720" s="127" t="e">
        <v>#N/A</v>
      </c>
      <c r="BO720" s="127" t="e">
        <v>#N/A</v>
      </c>
      <c r="BP720" s="151">
        <v>1.0626913437795575</v>
      </c>
      <c r="BQ720" t="e">
        <v>#N/A</v>
      </c>
      <c r="BR720" t="str">
        <v/>
      </c>
    </row>
    <row r="721" spans="47:70" x14ac:dyDescent="0.2">
      <c r="AU721"/>
      <c r="AV721"/>
      <c r="AW721"/>
      <c r="AX721"/>
      <c r="AY721"/>
      <c r="BK721" s="42">
        <v>720</v>
      </c>
      <c r="BL721" s="127">
        <v>3</v>
      </c>
      <c r="BM721" s="127">
        <v>1.0626913437795575</v>
      </c>
      <c r="BN721" s="127" t="e">
        <v>#N/A</v>
      </c>
      <c r="BO721" s="127" t="e">
        <v>#N/A</v>
      </c>
      <c r="BP721" s="151">
        <v>1.0626913437795575</v>
      </c>
      <c r="BQ721" t="e">
        <v>#N/A</v>
      </c>
      <c r="BR721" t="str">
        <v/>
      </c>
    </row>
    <row r="722" spans="47:70" x14ac:dyDescent="0.2">
      <c r="AU722"/>
      <c r="AV722"/>
      <c r="AW722"/>
      <c r="AX722"/>
      <c r="AY722"/>
      <c r="BK722" s="42">
        <v>721</v>
      </c>
      <c r="BL722" s="127">
        <v>3</v>
      </c>
      <c r="BM722" s="127">
        <v>1.0626913437795575</v>
      </c>
      <c r="BN722" s="127" t="e">
        <v>#N/A</v>
      </c>
      <c r="BO722" s="127" t="e">
        <v>#N/A</v>
      </c>
      <c r="BP722" s="151">
        <v>1.0626913437795575</v>
      </c>
      <c r="BQ722" t="e">
        <v>#N/A</v>
      </c>
      <c r="BR722" t="str">
        <v/>
      </c>
    </row>
    <row r="723" spans="47:70" x14ac:dyDescent="0.2">
      <c r="AU723"/>
      <c r="AV723"/>
      <c r="AW723"/>
      <c r="AX723"/>
      <c r="AY723"/>
      <c r="BK723" s="42">
        <v>722</v>
      </c>
      <c r="BL723" s="127">
        <v>3</v>
      </c>
      <c r="BM723" s="127">
        <v>1.0626913437795575</v>
      </c>
      <c r="BN723" s="127" t="e">
        <v>#N/A</v>
      </c>
      <c r="BO723" s="127" t="e">
        <v>#N/A</v>
      </c>
      <c r="BP723" s="151">
        <v>1.0626913437795575</v>
      </c>
      <c r="BQ723" t="e">
        <v>#N/A</v>
      </c>
      <c r="BR723" t="str">
        <v/>
      </c>
    </row>
    <row r="724" spans="47:70" x14ac:dyDescent="0.2">
      <c r="AU724"/>
      <c r="AV724"/>
      <c r="AW724"/>
      <c r="AX724"/>
      <c r="AY724"/>
      <c r="BK724" s="42">
        <v>723</v>
      </c>
      <c r="BL724" s="127">
        <v>3</v>
      </c>
      <c r="BM724" s="127">
        <v>1.0626913437795575</v>
      </c>
      <c r="BN724" s="127" t="e">
        <v>#N/A</v>
      </c>
      <c r="BO724" s="127" t="e">
        <v>#N/A</v>
      </c>
      <c r="BP724" s="151">
        <v>1.0626913437795575</v>
      </c>
      <c r="BQ724" t="e">
        <v>#N/A</v>
      </c>
      <c r="BR724" t="str">
        <v/>
      </c>
    </row>
    <row r="725" spans="47:70" x14ac:dyDescent="0.2">
      <c r="AU725"/>
      <c r="AV725"/>
      <c r="AW725"/>
      <c r="AX725"/>
      <c r="AY725"/>
      <c r="BK725" s="42">
        <v>724</v>
      </c>
      <c r="BL725" s="127">
        <v>3</v>
      </c>
      <c r="BM725" s="127">
        <v>1.0626913437795575</v>
      </c>
      <c r="BN725" s="127" t="e">
        <v>#N/A</v>
      </c>
      <c r="BO725" s="127" t="e">
        <v>#N/A</v>
      </c>
      <c r="BP725" s="151">
        <v>1.0626913437795575</v>
      </c>
      <c r="BQ725" t="e">
        <v>#N/A</v>
      </c>
      <c r="BR725" t="str">
        <v/>
      </c>
    </row>
    <row r="726" spans="47:70" x14ac:dyDescent="0.2">
      <c r="AU726"/>
      <c r="AV726"/>
      <c r="AW726"/>
      <c r="AX726"/>
      <c r="AY726"/>
      <c r="BK726" s="42">
        <v>725</v>
      </c>
      <c r="BL726" s="127">
        <v>3</v>
      </c>
      <c r="BM726" s="127">
        <v>1.0626913437795575</v>
      </c>
      <c r="BN726" s="127" t="e">
        <v>#N/A</v>
      </c>
      <c r="BO726" s="127" t="e">
        <v>#N/A</v>
      </c>
      <c r="BP726" s="151">
        <v>1.0626913437795575</v>
      </c>
      <c r="BQ726" t="e">
        <v>#N/A</v>
      </c>
      <c r="BR726" t="str">
        <v/>
      </c>
    </row>
    <row r="727" spans="47:70" x14ac:dyDescent="0.2">
      <c r="AU727"/>
      <c r="AV727"/>
      <c r="AW727"/>
      <c r="AX727"/>
      <c r="AY727"/>
      <c r="BK727" s="42">
        <v>726</v>
      </c>
      <c r="BL727" s="127">
        <v>3</v>
      </c>
      <c r="BM727" s="127">
        <v>1.0626913437795575</v>
      </c>
      <c r="BN727" s="127" t="e">
        <v>#N/A</v>
      </c>
      <c r="BO727" s="127" t="e">
        <v>#N/A</v>
      </c>
      <c r="BP727" s="151">
        <v>1.0626913437795575</v>
      </c>
      <c r="BQ727" t="e">
        <v>#N/A</v>
      </c>
      <c r="BR727" t="str">
        <v/>
      </c>
    </row>
    <row r="728" spans="47:70" x14ac:dyDescent="0.2">
      <c r="AU728"/>
      <c r="AV728"/>
      <c r="AW728"/>
      <c r="AX728"/>
      <c r="AY728"/>
      <c r="BK728" s="42">
        <v>727</v>
      </c>
      <c r="BL728" s="127">
        <v>3</v>
      </c>
      <c r="BM728" s="127">
        <v>1.0626913437795575</v>
      </c>
      <c r="BN728" s="127" t="e">
        <v>#N/A</v>
      </c>
      <c r="BO728" s="127" t="e">
        <v>#N/A</v>
      </c>
      <c r="BP728" s="151">
        <v>1.0626913437795575</v>
      </c>
      <c r="BQ728" t="e">
        <v>#N/A</v>
      </c>
      <c r="BR728" t="str">
        <v/>
      </c>
    </row>
    <row r="729" spans="47:70" x14ac:dyDescent="0.2">
      <c r="AU729"/>
      <c r="AV729"/>
      <c r="AW729"/>
      <c r="AX729"/>
      <c r="AY729"/>
      <c r="BK729" s="42">
        <v>728</v>
      </c>
      <c r="BL729" s="127">
        <v>3</v>
      </c>
      <c r="BM729" s="127">
        <v>1.0626913437795575</v>
      </c>
      <c r="BN729" s="127" t="e">
        <v>#N/A</v>
      </c>
      <c r="BO729" s="127" t="e">
        <v>#N/A</v>
      </c>
      <c r="BP729" s="151">
        <v>1.0626913437795575</v>
      </c>
      <c r="BQ729" t="e">
        <v>#N/A</v>
      </c>
      <c r="BR729" t="str">
        <v/>
      </c>
    </row>
    <row r="730" spans="47:70" x14ac:dyDescent="0.2">
      <c r="AU730"/>
      <c r="AV730"/>
      <c r="AW730"/>
      <c r="AX730"/>
      <c r="AY730"/>
      <c r="BK730" s="42">
        <v>729</v>
      </c>
      <c r="BL730" s="127">
        <v>3</v>
      </c>
      <c r="BM730" s="127">
        <v>1.0626913437795575</v>
      </c>
      <c r="BN730" s="127" t="e">
        <v>#N/A</v>
      </c>
      <c r="BO730" s="127" t="e">
        <v>#N/A</v>
      </c>
      <c r="BP730" s="151">
        <v>1.0626913437795575</v>
      </c>
      <c r="BQ730" t="e">
        <v>#N/A</v>
      </c>
      <c r="BR730" t="str">
        <v/>
      </c>
    </row>
    <row r="731" spans="47:70" x14ac:dyDescent="0.2">
      <c r="AU731"/>
      <c r="AV731"/>
      <c r="AW731"/>
      <c r="AX731"/>
      <c r="AY731"/>
      <c r="BK731" s="42">
        <v>730</v>
      </c>
      <c r="BL731" s="127">
        <v>3</v>
      </c>
      <c r="BM731" s="127">
        <v>1.0626913437795575</v>
      </c>
      <c r="BN731" s="127" t="e">
        <v>#N/A</v>
      </c>
      <c r="BO731" s="127" t="e">
        <v>#N/A</v>
      </c>
      <c r="BP731" s="151">
        <v>1.0626913437795575</v>
      </c>
      <c r="BQ731" t="e">
        <v>#N/A</v>
      </c>
      <c r="BR731" t="str">
        <v/>
      </c>
    </row>
    <row r="732" spans="47:70" x14ac:dyDescent="0.2">
      <c r="AU732"/>
      <c r="AV732"/>
      <c r="AW732"/>
      <c r="AX732"/>
      <c r="AY732"/>
      <c r="BK732" s="42">
        <v>731</v>
      </c>
      <c r="BL732" s="127">
        <v>3</v>
      </c>
      <c r="BM732" s="127">
        <v>1.0626913437795575</v>
      </c>
      <c r="BN732" s="127" t="e">
        <v>#N/A</v>
      </c>
      <c r="BO732" s="127" t="e">
        <v>#N/A</v>
      </c>
      <c r="BP732" s="151">
        <v>1.0626913437795575</v>
      </c>
      <c r="BQ732" t="e">
        <v>#N/A</v>
      </c>
      <c r="BR732" t="str">
        <v/>
      </c>
    </row>
    <row r="733" spans="47:70" x14ac:dyDescent="0.2">
      <c r="AU733"/>
      <c r="AV733"/>
      <c r="AW733"/>
      <c r="AX733"/>
      <c r="AY733"/>
      <c r="BK733" s="42">
        <v>732</v>
      </c>
      <c r="BL733" s="127">
        <v>3</v>
      </c>
      <c r="BM733" s="127">
        <v>1.0626913437795575</v>
      </c>
      <c r="BN733" s="127" t="e">
        <v>#N/A</v>
      </c>
      <c r="BO733" s="127" t="e">
        <v>#N/A</v>
      </c>
      <c r="BP733" s="151">
        <v>1.0626913437795575</v>
      </c>
      <c r="BQ733" t="e">
        <v>#N/A</v>
      </c>
      <c r="BR733" t="str">
        <v/>
      </c>
    </row>
    <row r="734" spans="47:70" x14ac:dyDescent="0.2">
      <c r="AU734"/>
      <c r="AV734"/>
      <c r="AW734"/>
      <c r="AX734"/>
      <c r="AY734"/>
      <c r="BK734" s="42">
        <v>733</v>
      </c>
      <c r="BL734" s="127">
        <v>3</v>
      </c>
      <c r="BM734" s="127">
        <v>1.0626913437795575</v>
      </c>
      <c r="BN734" s="127" t="e">
        <v>#N/A</v>
      </c>
      <c r="BO734" s="127" t="e">
        <v>#N/A</v>
      </c>
      <c r="BP734" s="151">
        <v>1.0626913437795575</v>
      </c>
      <c r="BQ734" t="e">
        <v>#N/A</v>
      </c>
      <c r="BR734" t="str">
        <v/>
      </c>
    </row>
    <row r="735" spans="47:70" x14ac:dyDescent="0.2">
      <c r="AU735"/>
      <c r="AV735"/>
      <c r="AW735"/>
      <c r="AX735"/>
      <c r="AY735"/>
      <c r="BK735" s="42">
        <v>734</v>
      </c>
      <c r="BL735" s="127">
        <v>3</v>
      </c>
      <c r="BM735" s="127">
        <v>1.0626913437795575</v>
      </c>
      <c r="BN735" s="127" t="e">
        <v>#N/A</v>
      </c>
      <c r="BO735" s="127" t="e">
        <v>#N/A</v>
      </c>
      <c r="BP735" s="151">
        <v>1.0626913437795575</v>
      </c>
      <c r="BQ735" t="e">
        <v>#N/A</v>
      </c>
      <c r="BR735" t="str">
        <v/>
      </c>
    </row>
    <row r="736" spans="47:70" x14ac:dyDescent="0.2">
      <c r="AU736"/>
      <c r="AV736"/>
      <c r="AW736"/>
      <c r="AX736"/>
      <c r="AY736"/>
      <c r="BK736" s="42">
        <v>735</v>
      </c>
      <c r="BL736" s="127">
        <v>3</v>
      </c>
      <c r="BM736" s="127">
        <v>1.0626913437795575</v>
      </c>
      <c r="BN736" s="127" t="e">
        <v>#N/A</v>
      </c>
      <c r="BO736" s="127" t="e">
        <v>#N/A</v>
      </c>
      <c r="BP736" s="151">
        <v>1.0626913437795575</v>
      </c>
      <c r="BQ736" t="e">
        <v>#N/A</v>
      </c>
      <c r="BR736" t="str">
        <v/>
      </c>
    </row>
    <row r="737" spans="47:70" x14ac:dyDescent="0.2">
      <c r="AU737"/>
      <c r="AV737"/>
      <c r="AW737"/>
      <c r="AX737"/>
      <c r="AY737"/>
      <c r="BK737" s="42">
        <v>736</v>
      </c>
      <c r="BL737" s="127">
        <v>3</v>
      </c>
      <c r="BM737" s="127">
        <v>1.0626913437795575</v>
      </c>
      <c r="BN737" s="127" t="e">
        <v>#N/A</v>
      </c>
      <c r="BO737" s="127" t="e">
        <v>#N/A</v>
      </c>
      <c r="BP737" s="151">
        <v>1.0626913437795575</v>
      </c>
      <c r="BQ737" t="e">
        <v>#N/A</v>
      </c>
      <c r="BR737" t="str">
        <v/>
      </c>
    </row>
    <row r="738" spans="47:70" x14ac:dyDescent="0.2">
      <c r="AU738"/>
      <c r="AV738"/>
      <c r="AW738"/>
      <c r="AX738"/>
      <c r="AY738"/>
      <c r="BK738" s="42">
        <v>737</v>
      </c>
      <c r="BL738" s="127">
        <v>3</v>
      </c>
      <c r="BM738" s="127">
        <v>1.0626913437795575</v>
      </c>
      <c r="BN738" s="127" t="e">
        <v>#N/A</v>
      </c>
      <c r="BO738" s="127" t="e">
        <v>#N/A</v>
      </c>
      <c r="BP738" s="151">
        <v>1.0626913437795575</v>
      </c>
      <c r="BQ738" t="e">
        <v>#N/A</v>
      </c>
      <c r="BR738" t="str">
        <v/>
      </c>
    </row>
    <row r="739" spans="47:70" x14ac:dyDescent="0.2">
      <c r="AU739"/>
      <c r="AV739"/>
      <c r="AW739"/>
      <c r="AX739"/>
      <c r="AY739"/>
      <c r="BK739" s="42">
        <v>738</v>
      </c>
      <c r="BL739" s="127">
        <v>3</v>
      </c>
      <c r="BM739" s="127">
        <v>1.0626913437795575</v>
      </c>
      <c r="BN739" s="127" t="e">
        <v>#N/A</v>
      </c>
      <c r="BO739" s="127" t="e">
        <v>#N/A</v>
      </c>
      <c r="BP739" s="151">
        <v>1.0626913437795575</v>
      </c>
      <c r="BQ739" t="e">
        <v>#N/A</v>
      </c>
      <c r="BR739" t="str">
        <v/>
      </c>
    </row>
    <row r="740" spans="47:70" x14ac:dyDescent="0.2">
      <c r="AU740"/>
      <c r="AV740"/>
      <c r="AW740"/>
      <c r="AX740"/>
      <c r="AY740"/>
      <c r="BK740" s="42">
        <v>739</v>
      </c>
      <c r="BL740" s="127">
        <v>3</v>
      </c>
      <c r="BM740" s="127">
        <v>1.0626913437795575</v>
      </c>
      <c r="BN740" s="127" t="e">
        <v>#N/A</v>
      </c>
      <c r="BO740" s="127" t="e">
        <v>#N/A</v>
      </c>
      <c r="BP740" s="151">
        <v>1.0626913437795575</v>
      </c>
      <c r="BQ740" t="e">
        <v>#N/A</v>
      </c>
      <c r="BR740" t="str">
        <v/>
      </c>
    </row>
    <row r="741" spans="47:70" x14ac:dyDescent="0.2">
      <c r="AU741"/>
      <c r="AV741"/>
      <c r="AW741"/>
      <c r="AX741"/>
      <c r="AY741"/>
      <c r="BK741" s="42">
        <v>740</v>
      </c>
      <c r="BL741" s="127">
        <v>3</v>
      </c>
      <c r="BM741" s="127">
        <v>1.0626913437795575</v>
      </c>
      <c r="BN741" s="127" t="e">
        <v>#N/A</v>
      </c>
      <c r="BO741" s="127" t="e">
        <v>#N/A</v>
      </c>
      <c r="BP741" s="151">
        <v>1.0626913437795575</v>
      </c>
      <c r="BQ741" t="e">
        <v>#N/A</v>
      </c>
      <c r="BR741" t="str">
        <v/>
      </c>
    </row>
    <row r="742" spans="47:70" x14ac:dyDescent="0.2">
      <c r="AU742"/>
      <c r="AV742"/>
      <c r="AW742"/>
      <c r="AX742"/>
      <c r="AY742"/>
      <c r="BK742" s="42">
        <v>741</v>
      </c>
      <c r="BL742" s="127">
        <v>3</v>
      </c>
      <c r="BM742" s="127">
        <v>1.0626913437795575</v>
      </c>
      <c r="BN742" s="127" t="e">
        <v>#N/A</v>
      </c>
      <c r="BO742" s="127" t="e">
        <v>#N/A</v>
      </c>
      <c r="BP742" s="151">
        <v>1.0626913437795575</v>
      </c>
      <c r="BQ742" t="e">
        <v>#N/A</v>
      </c>
      <c r="BR742" t="str">
        <v/>
      </c>
    </row>
    <row r="743" spans="47:70" x14ac:dyDescent="0.2">
      <c r="AU743"/>
      <c r="AV743"/>
      <c r="AW743"/>
      <c r="AX743"/>
      <c r="AY743"/>
      <c r="BK743" s="42">
        <v>742</v>
      </c>
      <c r="BL743" s="127">
        <v>3</v>
      </c>
      <c r="BM743" s="127">
        <v>1.0626913437795575</v>
      </c>
      <c r="BN743" s="127" t="e">
        <v>#N/A</v>
      </c>
      <c r="BO743" s="127" t="e">
        <v>#N/A</v>
      </c>
      <c r="BP743" s="151">
        <v>1.0626913437795575</v>
      </c>
      <c r="BQ743" t="e">
        <v>#N/A</v>
      </c>
      <c r="BR743" t="str">
        <v/>
      </c>
    </row>
    <row r="744" spans="47:70" x14ac:dyDescent="0.2">
      <c r="AU744"/>
      <c r="AV744"/>
      <c r="AW744"/>
      <c r="AX744"/>
      <c r="AY744"/>
      <c r="BK744" s="42">
        <v>743</v>
      </c>
      <c r="BL744" s="127">
        <v>3</v>
      </c>
      <c r="BM744" s="127">
        <v>1.0626913437795575</v>
      </c>
      <c r="BN744" s="127" t="e">
        <v>#N/A</v>
      </c>
      <c r="BO744" s="127" t="e">
        <v>#N/A</v>
      </c>
      <c r="BP744" s="151">
        <v>1.0626913437795575</v>
      </c>
      <c r="BQ744" t="e">
        <v>#N/A</v>
      </c>
      <c r="BR744" t="str">
        <v/>
      </c>
    </row>
    <row r="745" spans="47:70" x14ac:dyDescent="0.2">
      <c r="AU745"/>
      <c r="AV745"/>
      <c r="AW745"/>
      <c r="AX745"/>
      <c r="AY745"/>
      <c r="BK745" s="42">
        <v>744</v>
      </c>
      <c r="BL745" s="127">
        <v>3</v>
      </c>
      <c r="BM745" s="127">
        <v>1.0626913437795575</v>
      </c>
      <c r="BN745" s="127" t="e">
        <v>#N/A</v>
      </c>
      <c r="BO745" s="127" t="e">
        <v>#N/A</v>
      </c>
      <c r="BP745" s="151">
        <v>1.0626913437795575</v>
      </c>
      <c r="BQ745" t="e">
        <v>#N/A</v>
      </c>
      <c r="BR745" t="str">
        <v/>
      </c>
    </row>
    <row r="746" spans="47:70" x14ac:dyDescent="0.2">
      <c r="AU746"/>
      <c r="AV746"/>
      <c r="AW746"/>
      <c r="AX746"/>
      <c r="AY746"/>
      <c r="BK746" s="42">
        <v>745</v>
      </c>
      <c r="BL746" s="127">
        <v>3</v>
      </c>
      <c r="BM746" s="127">
        <v>1.0626913437795575</v>
      </c>
      <c r="BN746" s="127" t="e">
        <v>#N/A</v>
      </c>
      <c r="BO746" s="127" t="e">
        <v>#N/A</v>
      </c>
      <c r="BP746" s="151">
        <v>1.0626913437795575</v>
      </c>
      <c r="BQ746" t="e">
        <v>#N/A</v>
      </c>
      <c r="BR746" t="str">
        <v/>
      </c>
    </row>
    <row r="747" spans="47:70" x14ac:dyDescent="0.2">
      <c r="AU747"/>
      <c r="AV747"/>
      <c r="AW747"/>
      <c r="AX747"/>
      <c r="AY747"/>
      <c r="BK747" s="42">
        <v>746</v>
      </c>
      <c r="BL747" s="127">
        <v>3</v>
      </c>
      <c r="BM747" s="127">
        <v>1.0626913437795575</v>
      </c>
      <c r="BN747" s="127" t="e">
        <v>#N/A</v>
      </c>
      <c r="BO747" s="127" t="e">
        <v>#N/A</v>
      </c>
      <c r="BP747" s="151">
        <v>1.0626913437795575</v>
      </c>
      <c r="BQ747" t="e">
        <v>#N/A</v>
      </c>
      <c r="BR747" t="str">
        <v/>
      </c>
    </row>
    <row r="748" spans="47:70" x14ac:dyDescent="0.2">
      <c r="AU748"/>
      <c r="AV748"/>
      <c r="AW748"/>
      <c r="AX748"/>
      <c r="AY748"/>
      <c r="BK748" s="42">
        <v>747</v>
      </c>
      <c r="BL748" s="127">
        <v>3</v>
      </c>
      <c r="BM748" s="127">
        <v>1.0626913437795575</v>
      </c>
      <c r="BN748" s="127" t="e">
        <v>#N/A</v>
      </c>
      <c r="BO748" s="127" t="e">
        <v>#N/A</v>
      </c>
      <c r="BP748" s="151">
        <v>1.0626913437795575</v>
      </c>
      <c r="BQ748" t="e">
        <v>#N/A</v>
      </c>
      <c r="BR748" t="str">
        <v/>
      </c>
    </row>
    <row r="749" spans="47:70" x14ac:dyDescent="0.2">
      <c r="AU749"/>
      <c r="AV749"/>
      <c r="AW749"/>
      <c r="AX749"/>
      <c r="AY749"/>
      <c r="BK749" s="42">
        <v>748</v>
      </c>
      <c r="BL749" s="127">
        <v>3</v>
      </c>
      <c r="BM749" s="127">
        <v>1.0626913437795575</v>
      </c>
      <c r="BN749" s="127" t="e">
        <v>#N/A</v>
      </c>
      <c r="BO749" s="127" t="e">
        <v>#N/A</v>
      </c>
      <c r="BP749" s="151">
        <v>1.0626913437795575</v>
      </c>
      <c r="BQ749" t="e">
        <v>#N/A</v>
      </c>
      <c r="BR749" t="str">
        <v/>
      </c>
    </row>
    <row r="750" spans="47:70" x14ac:dyDescent="0.2">
      <c r="AU750"/>
      <c r="AV750"/>
      <c r="AW750"/>
      <c r="AX750"/>
      <c r="AY750"/>
      <c r="BK750" s="42">
        <v>749</v>
      </c>
      <c r="BL750" s="127">
        <v>3</v>
      </c>
      <c r="BM750" s="127">
        <v>1.0626913437795575</v>
      </c>
      <c r="BN750" s="127" t="e">
        <v>#N/A</v>
      </c>
      <c r="BO750" s="127" t="e">
        <v>#N/A</v>
      </c>
      <c r="BP750" s="151">
        <v>1.0626913437795575</v>
      </c>
      <c r="BQ750" t="e">
        <v>#N/A</v>
      </c>
      <c r="BR750" t="str">
        <v/>
      </c>
    </row>
    <row r="751" spans="47:70" x14ac:dyDescent="0.2">
      <c r="AU751"/>
      <c r="AV751"/>
      <c r="AW751"/>
      <c r="AX751"/>
      <c r="AY751"/>
      <c r="BK751" s="42">
        <v>750</v>
      </c>
      <c r="BL751" s="127">
        <v>3</v>
      </c>
      <c r="BM751" s="127">
        <v>1.0626913437795575</v>
      </c>
      <c r="BN751" s="127" t="e">
        <v>#N/A</v>
      </c>
      <c r="BO751" s="127" t="e">
        <v>#N/A</v>
      </c>
      <c r="BP751" s="151">
        <v>1.0626913437795575</v>
      </c>
      <c r="BQ751" t="e">
        <v>#N/A</v>
      </c>
      <c r="BR751" t="str">
        <v/>
      </c>
    </row>
    <row r="752" spans="47:70" x14ac:dyDescent="0.2">
      <c r="AU752"/>
      <c r="AV752"/>
      <c r="AW752"/>
      <c r="AX752"/>
      <c r="AY752"/>
      <c r="BK752" s="42">
        <v>751</v>
      </c>
      <c r="BL752" s="127">
        <v>3</v>
      </c>
      <c r="BM752" s="127">
        <v>1.0626913437795575</v>
      </c>
      <c r="BN752" s="127" t="e">
        <v>#N/A</v>
      </c>
      <c r="BO752" s="127" t="e">
        <v>#N/A</v>
      </c>
      <c r="BP752" s="151">
        <v>1.0626913437795575</v>
      </c>
      <c r="BQ752" t="e">
        <v>#N/A</v>
      </c>
      <c r="BR752" t="str">
        <v/>
      </c>
    </row>
    <row r="753" spans="47:70" x14ac:dyDescent="0.2">
      <c r="AU753"/>
      <c r="AV753"/>
      <c r="AW753"/>
      <c r="AX753"/>
      <c r="AY753"/>
      <c r="BK753" s="42">
        <v>752</v>
      </c>
      <c r="BL753" s="127">
        <v>3</v>
      </c>
      <c r="BM753" s="127">
        <v>1.0626913437795575</v>
      </c>
      <c r="BN753" s="127" t="e">
        <v>#N/A</v>
      </c>
      <c r="BO753" s="127" t="e">
        <v>#N/A</v>
      </c>
      <c r="BP753" s="151">
        <v>1.0626913437795575</v>
      </c>
      <c r="BQ753" t="e">
        <v>#N/A</v>
      </c>
      <c r="BR753" t="str">
        <v/>
      </c>
    </row>
    <row r="754" spans="47:70" x14ac:dyDescent="0.2">
      <c r="AU754"/>
      <c r="AV754"/>
      <c r="AW754"/>
      <c r="AX754"/>
      <c r="AY754"/>
      <c r="BK754" s="42">
        <v>753</v>
      </c>
      <c r="BL754" s="127">
        <v>3</v>
      </c>
      <c r="BM754" s="127">
        <v>1.0626913437795575</v>
      </c>
      <c r="BN754" s="127" t="e">
        <v>#N/A</v>
      </c>
      <c r="BO754" s="127" t="e">
        <v>#N/A</v>
      </c>
      <c r="BP754" s="151">
        <v>1.0626913437795575</v>
      </c>
      <c r="BQ754" t="e">
        <v>#N/A</v>
      </c>
      <c r="BR754" t="str">
        <v/>
      </c>
    </row>
    <row r="755" spans="47:70" x14ac:dyDescent="0.2">
      <c r="AU755"/>
      <c r="AV755"/>
      <c r="AW755"/>
      <c r="AX755"/>
      <c r="AY755"/>
      <c r="BK755" s="42">
        <v>754</v>
      </c>
      <c r="BL755" s="127">
        <v>3</v>
      </c>
      <c r="BM755" s="127">
        <v>1.0626913437795575</v>
      </c>
      <c r="BN755" s="127" t="e">
        <v>#N/A</v>
      </c>
      <c r="BO755" s="127" t="e">
        <v>#N/A</v>
      </c>
      <c r="BP755" s="151">
        <v>1.0626913437795575</v>
      </c>
      <c r="BQ755" t="e">
        <v>#N/A</v>
      </c>
      <c r="BR755" t="str">
        <v/>
      </c>
    </row>
    <row r="756" spans="47:70" x14ac:dyDescent="0.2">
      <c r="AU756"/>
      <c r="AV756"/>
      <c r="AW756"/>
      <c r="AX756"/>
      <c r="AY756"/>
      <c r="BK756" s="42">
        <v>755</v>
      </c>
      <c r="BL756" s="127">
        <v>3</v>
      </c>
      <c r="BM756" s="127">
        <v>1.0626913437795575</v>
      </c>
      <c r="BN756" s="127" t="e">
        <v>#N/A</v>
      </c>
      <c r="BO756" s="127" t="e">
        <v>#N/A</v>
      </c>
      <c r="BP756" s="151">
        <v>1.0626913437795575</v>
      </c>
      <c r="BQ756" t="e">
        <v>#N/A</v>
      </c>
      <c r="BR756" t="str">
        <v/>
      </c>
    </row>
    <row r="757" spans="47:70" x14ac:dyDescent="0.2">
      <c r="AU757"/>
      <c r="AV757"/>
      <c r="AW757"/>
      <c r="AX757"/>
      <c r="AY757"/>
      <c r="BK757" s="42">
        <v>756</v>
      </c>
      <c r="BL757" s="127">
        <v>3</v>
      </c>
      <c r="BM757" s="127">
        <v>1.0626913437795575</v>
      </c>
      <c r="BN757" s="127" t="e">
        <v>#N/A</v>
      </c>
      <c r="BO757" s="127" t="e">
        <v>#N/A</v>
      </c>
      <c r="BP757" s="151">
        <v>1.0626913437795575</v>
      </c>
      <c r="BQ757" t="e">
        <v>#N/A</v>
      </c>
      <c r="BR757" t="str">
        <v/>
      </c>
    </row>
    <row r="758" spans="47:70" x14ac:dyDescent="0.2">
      <c r="AU758"/>
      <c r="AV758"/>
      <c r="AW758"/>
      <c r="AX758"/>
      <c r="AY758"/>
      <c r="BK758" s="42">
        <v>757</v>
      </c>
      <c r="BL758" s="127">
        <v>3</v>
      </c>
      <c r="BM758" s="127">
        <v>1.0626913437795575</v>
      </c>
      <c r="BN758" s="127" t="e">
        <v>#N/A</v>
      </c>
      <c r="BO758" s="127" t="e">
        <v>#N/A</v>
      </c>
      <c r="BP758" s="151">
        <v>1.0626913437795575</v>
      </c>
      <c r="BQ758" t="e">
        <v>#N/A</v>
      </c>
      <c r="BR758" t="str">
        <v/>
      </c>
    </row>
    <row r="759" spans="47:70" x14ac:dyDescent="0.2">
      <c r="AU759"/>
      <c r="AV759"/>
      <c r="AW759"/>
      <c r="AX759"/>
      <c r="AY759"/>
      <c r="BK759" s="42">
        <v>758</v>
      </c>
      <c r="BL759" s="127">
        <v>3</v>
      </c>
      <c r="BM759" s="127">
        <v>1.0626913437795575</v>
      </c>
      <c r="BN759" s="127" t="e">
        <v>#N/A</v>
      </c>
      <c r="BO759" s="127" t="e">
        <v>#N/A</v>
      </c>
      <c r="BP759" s="151">
        <v>1.0626913437795575</v>
      </c>
      <c r="BQ759" t="e">
        <v>#N/A</v>
      </c>
      <c r="BR759" t="str">
        <v/>
      </c>
    </row>
    <row r="760" spans="47:70" x14ac:dyDescent="0.2">
      <c r="AU760"/>
      <c r="AV760"/>
      <c r="AW760"/>
      <c r="AX760"/>
      <c r="AY760"/>
      <c r="BK760" s="42">
        <v>759</v>
      </c>
      <c r="BL760" s="127">
        <v>3</v>
      </c>
      <c r="BM760" s="127">
        <v>1.0626913437795575</v>
      </c>
      <c r="BN760" s="127" t="e">
        <v>#N/A</v>
      </c>
      <c r="BO760" s="127" t="e">
        <v>#N/A</v>
      </c>
      <c r="BP760" s="151">
        <v>1.0626913437795575</v>
      </c>
      <c r="BQ760" t="e">
        <v>#N/A</v>
      </c>
      <c r="BR760" t="str">
        <v/>
      </c>
    </row>
    <row r="761" spans="47:70" x14ac:dyDescent="0.2">
      <c r="AU761"/>
      <c r="AV761"/>
      <c r="AW761"/>
      <c r="AX761"/>
      <c r="AY761"/>
      <c r="BK761" s="42">
        <v>760</v>
      </c>
      <c r="BL761" s="127">
        <v>3</v>
      </c>
      <c r="BM761" s="127">
        <v>1.0626913437795575</v>
      </c>
      <c r="BN761" s="127" t="e">
        <v>#N/A</v>
      </c>
      <c r="BO761" s="127" t="e">
        <v>#N/A</v>
      </c>
      <c r="BP761" s="151">
        <v>1.0626913437795575</v>
      </c>
      <c r="BQ761" t="e">
        <v>#N/A</v>
      </c>
      <c r="BR761" t="str">
        <v/>
      </c>
    </row>
    <row r="762" spans="47:70" x14ac:dyDescent="0.2">
      <c r="AU762"/>
      <c r="AV762"/>
      <c r="AW762"/>
      <c r="AX762"/>
      <c r="AY762"/>
      <c r="BK762" s="42">
        <v>761</v>
      </c>
      <c r="BL762" s="127">
        <v>3</v>
      </c>
      <c r="BM762" s="127">
        <v>1.0626913437795575</v>
      </c>
      <c r="BN762" s="127" t="e">
        <v>#N/A</v>
      </c>
      <c r="BO762" s="127" t="e">
        <v>#N/A</v>
      </c>
      <c r="BP762" s="151">
        <v>1.0626913437795575</v>
      </c>
      <c r="BQ762" t="e">
        <v>#N/A</v>
      </c>
      <c r="BR762" t="str">
        <v/>
      </c>
    </row>
    <row r="763" spans="47:70" x14ac:dyDescent="0.2">
      <c r="AU763"/>
      <c r="AV763"/>
      <c r="AW763"/>
      <c r="AX763"/>
      <c r="AY763"/>
      <c r="BK763" s="42">
        <v>762</v>
      </c>
      <c r="BL763" s="127">
        <v>3</v>
      </c>
      <c r="BM763" s="127">
        <v>1.0626913437795575</v>
      </c>
      <c r="BN763" s="127" t="e">
        <v>#N/A</v>
      </c>
      <c r="BO763" s="127" t="e">
        <v>#N/A</v>
      </c>
      <c r="BP763" s="151">
        <v>1.0626913437795575</v>
      </c>
      <c r="BQ763" t="e">
        <v>#N/A</v>
      </c>
      <c r="BR763" t="str">
        <v/>
      </c>
    </row>
    <row r="764" spans="47:70" x14ac:dyDescent="0.2">
      <c r="AU764"/>
      <c r="AV764"/>
      <c r="AW764"/>
      <c r="AX764"/>
      <c r="AY764"/>
      <c r="BK764" s="42">
        <v>763</v>
      </c>
      <c r="BL764" s="127">
        <v>3</v>
      </c>
      <c r="BM764" s="127">
        <v>1.0626913437795575</v>
      </c>
      <c r="BN764" s="127" t="e">
        <v>#N/A</v>
      </c>
      <c r="BO764" s="127" t="e">
        <v>#N/A</v>
      </c>
      <c r="BP764" s="151">
        <v>1.0626913437795575</v>
      </c>
      <c r="BQ764" t="e">
        <v>#N/A</v>
      </c>
      <c r="BR764" t="str">
        <v/>
      </c>
    </row>
    <row r="765" spans="47:70" x14ac:dyDescent="0.2">
      <c r="AU765"/>
      <c r="AV765"/>
      <c r="AW765"/>
      <c r="AX765"/>
      <c r="AY765"/>
      <c r="BK765" s="42">
        <v>764</v>
      </c>
      <c r="BL765" s="127">
        <v>3</v>
      </c>
      <c r="BM765" s="127">
        <v>1.0626913437795575</v>
      </c>
      <c r="BN765" s="127" t="e">
        <v>#N/A</v>
      </c>
      <c r="BO765" s="127" t="e">
        <v>#N/A</v>
      </c>
      <c r="BP765" s="151">
        <v>1.0626913437795575</v>
      </c>
      <c r="BQ765" t="e">
        <v>#N/A</v>
      </c>
      <c r="BR765" t="str">
        <v/>
      </c>
    </row>
    <row r="766" spans="47:70" x14ac:dyDescent="0.2">
      <c r="AU766"/>
      <c r="AV766"/>
      <c r="AW766"/>
      <c r="AX766"/>
      <c r="AY766"/>
      <c r="BK766" s="42">
        <v>765</v>
      </c>
      <c r="BL766" s="127">
        <v>3</v>
      </c>
      <c r="BM766" s="127">
        <v>1.0626913437795575</v>
      </c>
      <c r="BN766" s="127" t="e">
        <v>#N/A</v>
      </c>
      <c r="BO766" s="127" t="e">
        <v>#N/A</v>
      </c>
      <c r="BP766" s="151">
        <v>1.0626913437795575</v>
      </c>
      <c r="BQ766" t="e">
        <v>#N/A</v>
      </c>
      <c r="BR766" t="str">
        <v/>
      </c>
    </row>
    <row r="767" spans="47:70" x14ac:dyDescent="0.2">
      <c r="AU767"/>
      <c r="AV767"/>
      <c r="AW767"/>
      <c r="AX767"/>
      <c r="AY767"/>
      <c r="BK767" s="42">
        <v>766</v>
      </c>
      <c r="BL767" s="127">
        <v>3</v>
      </c>
      <c r="BM767" s="127">
        <v>1.0626913437795575</v>
      </c>
      <c r="BN767" s="127" t="e">
        <v>#N/A</v>
      </c>
      <c r="BO767" s="127" t="e">
        <v>#N/A</v>
      </c>
      <c r="BP767" s="151">
        <v>1.0626913437795575</v>
      </c>
      <c r="BQ767" t="e">
        <v>#N/A</v>
      </c>
      <c r="BR767" t="str">
        <v/>
      </c>
    </row>
    <row r="768" spans="47:70" x14ac:dyDescent="0.2">
      <c r="AU768"/>
      <c r="AV768"/>
      <c r="AW768"/>
      <c r="AX768"/>
      <c r="AY768"/>
      <c r="BK768" s="42">
        <v>767</v>
      </c>
      <c r="BL768" s="127">
        <v>3</v>
      </c>
      <c r="BM768" s="127">
        <v>1.0626913437795575</v>
      </c>
      <c r="BN768" s="127" t="e">
        <v>#N/A</v>
      </c>
      <c r="BO768" s="127" t="e">
        <v>#N/A</v>
      </c>
      <c r="BP768" s="151">
        <v>1.0626913437795575</v>
      </c>
      <c r="BQ768" t="e">
        <v>#N/A</v>
      </c>
      <c r="BR768" t="str">
        <v/>
      </c>
    </row>
    <row r="769" spans="47:70" x14ac:dyDescent="0.2">
      <c r="AU769"/>
      <c r="AV769"/>
      <c r="AW769"/>
      <c r="AX769"/>
      <c r="AY769"/>
      <c r="BK769" s="42">
        <v>768</v>
      </c>
      <c r="BL769" s="127">
        <v>3</v>
      </c>
      <c r="BM769" s="127">
        <v>1.0626913437795575</v>
      </c>
      <c r="BN769" s="127" t="e">
        <v>#N/A</v>
      </c>
      <c r="BO769" s="127" t="e">
        <v>#N/A</v>
      </c>
      <c r="BP769" s="151">
        <v>1.0626913437795575</v>
      </c>
      <c r="BQ769" t="e">
        <v>#N/A</v>
      </c>
      <c r="BR769" t="str">
        <v/>
      </c>
    </row>
    <row r="770" spans="47:70" x14ac:dyDescent="0.2">
      <c r="AU770"/>
      <c r="AV770"/>
      <c r="AW770"/>
      <c r="AX770"/>
      <c r="AY770"/>
      <c r="BK770" s="42">
        <v>769</v>
      </c>
      <c r="BL770" s="127">
        <v>3</v>
      </c>
      <c r="BM770" s="127">
        <v>1.0626913437795575</v>
      </c>
      <c r="BN770" s="127" t="e">
        <v>#N/A</v>
      </c>
      <c r="BO770" s="127" t="e">
        <v>#N/A</v>
      </c>
      <c r="BP770" s="151">
        <v>1.0626913437795575</v>
      </c>
      <c r="BQ770" t="e">
        <v>#N/A</v>
      </c>
      <c r="BR770" t="str">
        <v/>
      </c>
    </row>
    <row r="771" spans="47:70" x14ac:dyDescent="0.2">
      <c r="AU771"/>
      <c r="AV771"/>
      <c r="AW771"/>
      <c r="AX771"/>
      <c r="AY771"/>
      <c r="BK771" s="42">
        <v>770</v>
      </c>
      <c r="BL771" s="127">
        <v>3</v>
      </c>
      <c r="BM771" s="127">
        <v>1.0626913437795575</v>
      </c>
      <c r="BN771" s="127" t="e">
        <v>#N/A</v>
      </c>
      <c r="BO771" s="127" t="e">
        <v>#N/A</v>
      </c>
      <c r="BP771" s="151">
        <v>1.0626913437795575</v>
      </c>
      <c r="BQ771" t="e">
        <v>#N/A</v>
      </c>
      <c r="BR771" t="str">
        <v/>
      </c>
    </row>
    <row r="772" spans="47:70" x14ac:dyDescent="0.2">
      <c r="AU772"/>
      <c r="AV772"/>
      <c r="AW772"/>
      <c r="AX772"/>
      <c r="AY772"/>
      <c r="BK772" s="42">
        <v>771</v>
      </c>
      <c r="BL772" s="127">
        <v>3</v>
      </c>
      <c r="BM772" s="127">
        <v>1.0626913437795575</v>
      </c>
      <c r="BN772" s="127" t="e">
        <v>#N/A</v>
      </c>
      <c r="BO772" s="127" t="e">
        <v>#N/A</v>
      </c>
      <c r="BP772" s="151">
        <v>1.0626913437795575</v>
      </c>
      <c r="BQ772" t="e">
        <v>#N/A</v>
      </c>
      <c r="BR772" t="str">
        <v/>
      </c>
    </row>
    <row r="773" spans="47:70" x14ac:dyDescent="0.2">
      <c r="AU773"/>
      <c r="AV773"/>
      <c r="AW773"/>
      <c r="AX773"/>
      <c r="AY773"/>
      <c r="BK773" s="42">
        <v>772</v>
      </c>
      <c r="BL773" s="127">
        <v>3</v>
      </c>
      <c r="BM773" s="127">
        <v>1.0626913437795575</v>
      </c>
      <c r="BN773" s="127" t="e">
        <v>#N/A</v>
      </c>
      <c r="BO773" s="127" t="e">
        <v>#N/A</v>
      </c>
      <c r="BP773" s="151">
        <v>1.0626913437795575</v>
      </c>
      <c r="BQ773" t="e">
        <v>#N/A</v>
      </c>
      <c r="BR773" t="str">
        <v/>
      </c>
    </row>
    <row r="774" spans="47:70" x14ac:dyDescent="0.2">
      <c r="AU774"/>
      <c r="AV774"/>
      <c r="AW774"/>
      <c r="AX774"/>
      <c r="AY774"/>
      <c r="BK774" s="42">
        <v>773</v>
      </c>
      <c r="BL774" s="127">
        <v>3</v>
      </c>
      <c r="BM774" s="127">
        <v>1.0626913437795575</v>
      </c>
      <c r="BN774" s="127" t="e">
        <v>#N/A</v>
      </c>
      <c r="BO774" s="127" t="e">
        <v>#N/A</v>
      </c>
      <c r="BP774" s="151">
        <v>1.0626913437795575</v>
      </c>
      <c r="BQ774" t="e">
        <v>#N/A</v>
      </c>
      <c r="BR774" t="str">
        <v/>
      </c>
    </row>
    <row r="775" spans="47:70" x14ac:dyDescent="0.2">
      <c r="AU775"/>
      <c r="AV775"/>
      <c r="AW775"/>
      <c r="AX775"/>
      <c r="AY775"/>
      <c r="BK775" s="42">
        <v>774</v>
      </c>
      <c r="BL775" s="127">
        <v>3</v>
      </c>
      <c r="BM775" s="127">
        <v>1.0626913437795575</v>
      </c>
      <c r="BN775" s="127" t="e">
        <v>#N/A</v>
      </c>
      <c r="BO775" s="127" t="e">
        <v>#N/A</v>
      </c>
      <c r="BP775" s="151">
        <v>1.0626913437795575</v>
      </c>
      <c r="BQ775" t="e">
        <v>#N/A</v>
      </c>
      <c r="BR775" t="str">
        <v/>
      </c>
    </row>
    <row r="776" spans="47:70" x14ac:dyDescent="0.2">
      <c r="AU776"/>
      <c r="AV776"/>
      <c r="AW776"/>
      <c r="AX776"/>
      <c r="AY776"/>
      <c r="BK776" s="42">
        <v>775</v>
      </c>
      <c r="BL776" s="127">
        <v>3</v>
      </c>
      <c r="BM776" s="127">
        <v>1.0626913437795575</v>
      </c>
      <c r="BN776" s="127" t="e">
        <v>#N/A</v>
      </c>
      <c r="BO776" s="127" t="e">
        <v>#N/A</v>
      </c>
      <c r="BP776" s="151">
        <v>1.0626913437795575</v>
      </c>
      <c r="BQ776" t="e">
        <v>#N/A</v>
      </c>
      <c r="BR776" t="str">
        <v/>
      </c>
    </row>
    <row r="777" spans="47:70" x14ac:dyDescent="0.2">
      <c r="AU777"/>
      <c r="AV777"/>
      <c r="AW777"/>
      <c r="AX777"/>
      <c r="AY777"/>
      <c r="BK777" s="42">
        <v>776</v>
      </c>
      <c r="BL777" s="127">
        <v>3</v>
      </c>
      <c r="BM777" s="127">
        <v>1.0626913437795575</v>
      </c>
      <c r="BN777" s="127" t="e">
        <v>#N/A</v>
      </c>
      <c r="BO777" s="127" t="e">
        <v>#N/A</v>
      </c>
      <c r="BP777" s="151">
        <v>1.0626913437795575</v>
      </c>
      <c r="BQ777" t="e">
        <v>#N/A</v>
      </c>
      <c r="BR777" t="str">
        <v/>
      </c>
    </row>
    <row r="778" spans="47:70" x14ac:dyDescent="0.2">
      <c r="AU778"/>
      <c r="AV778"/>
      <c r="AW778"/>
      <c r="AX778"/>
      <c r="AY778"/>
      <c r="BK778" s="42">
        <v>777</v>
      </c>
      <c r="BL778" s="127">
        <v>3</v>
      </c>
      <c r="BM778" s="127">
        <v>1.0626913437795575</v>
      </c>
      <c r="BN778" s="127" t="e">
        <v>#N/A</v>
      </c>
      <c r="BO778" s="127" t="e">
        <v>#N/A</v>
      </c>
      <c r="BP778" s="151">
        <v>1.0626913437795575</v>
      </c>
      <c r="BQ778" t="e">
        <v>#N/A</v>
      </c>
      <c r="BR778" t="str">
        <v/>
      </c>
    </row>
    <row r="779" spans="47:70" x14ac:dyDescent="0.2">
      <c r="AU779"/>
      <c r="AV779"/>
      <c r="AW779"/>
      <c r="AX779"/>
      <c r="AY779"/>
      <c r="BK779" s="42">
        <v>778</v>
      </c>
      <c r="BL779" s="127">
        <v>3</v>
      </c>
      <c r="BM779" s="127">
        <v>1.0626913437795575</v>
      </c>
      <c r="BN779" s="127" t="e">
        <v>#N/A</v>
      </c>
      <c r="BO779" s="127" t="e">
        <v>#N/A</v>
      </c>
      <c r="BP779" s="151">
        <v>1.0626913437795575</v>
      </c>
      <c r="BQ779" t="e">
        <v>#N/A</v>
      </c>
      <c r="BR779" t="str">
        <v/>
      </c>
    </row>
    <row r="780" spans="47:70" x14ac:dyDescent="0.2">
      <c r="AU780"/>
      <c r="AV780"/>
      <c r="AW780"/>
      <c r="AX780"/>
      <c r="AY780"/>
      <c r="BK780" s="42">
        <v>779</v>
      </c>
      <c r="BL780" s="127">
        <v>3</v>
      </c>
      <c r="BM780" s="127">
        <v>1.0626913437795575</v>
      </c>
      <c r="BN780" s="127" t="e">
        <v>#N/A</v>
      </c>
      <c r="BO780" s="127" t="e">
        <v>#N/A</v>
      </c>
      <c r="BP780" s="151">
        <v>1.0626913437795575</v>
      </c>
      <c r="BQ780" t="e">
        <v>#N/A</v>
      </c>
      <c r="BR780" t="str">
        <v/>
      </c>
    </row>
    <row r="781" spans="47:70" x14ac:dyDescent="0.2">
      <c r="AU781"/>
      <c r="AV781"/>
      <c r="AW781"/>
      <c r="AX781"/>
      <c r="AY781"/>
      <c r="BK781" s="42">
        <v>780</v>
      </c>
      <c r="BL781" s="127">
        <v>3</v>
      </c>
      <c r="BM781" s="127">
        <v>1.0626913437795575</v>
      </c>
      <c r="BN781" s="127" t="e">
        <v>#N/A</v>
      </c>
      <c r="BO781" s="127" t="e">
        <v>#N/A</v>
      </c>
      <c r="BP781" s="151">
        <v>1.0626913437795575</v>
      </c>
      <c r="BQ781" t="e">
        <v>#N/A</v>
      </c>
      <c r="BR781" t="str">
        <v/>
      </c>
    </row>
    <row r="782" spans="47:70" x14ac:dyDescent="0.2">
      <c r="AU782"/>
      <c r="AV782"/>
      <c r="AW782"/>
      <c r="AX782"/>
      <c r="AY782"/>
      <c r="BK782" s="42">
        <v>781</v>
      </c>
      <c r="BL782" s="127">
        <v>3</v>
      </c>
      <c r="BM782" s="127">
        <v>1.0626913437795575</v>
      </c>
      <c r="BN782" s="127" t="e">
        <v>#N/A</v>
      </c>
      <c r="BO782" s="127" t="e">
        <v>#N/A</v>
      </c>
      <c r="BP782" s="151">
        <v>1.0626913437795575</v>
      </c>
      <c r="BQ782" t="e">
        <v>#N/A</v>
      </c>
      <c r="BR782" t="str">
        <v/>
      </c>
    </row>
    <row r="783" spans="47:70" x14ac:dyDescent="0.2">
      <c r="AU783"/>
      <c r="AV783"/>
      <c r="AW783"/>
      <c r="AX783"/>
      <c r="AY783"/>
      <c r="BK783" s="42">
        <v>782</v>
      </c>
      <c r="BL783" s="127">
        <v>3</v>
      </c>
      <c r="BM783" s="127">
        <v>1.0626913437795575</v>
      </c>
      <c r="BN783" s="127" t="e">
        <v>#N/A</v>
      </c>
      <c r="BO783" s="127" t="e">
        <v>#N/A</v>
      </c>
      <c r="BP783" s="151">
        <v>1.0626913437795575</v>
      </c>
      <c r="BQ783" t="e">
        <v>#N/A</v>
      </c>
      <c r="BR783" t="str">
        <v/>
      </c>
    </row>
    <row r="784" spans="47:70" x14ac:dyDescent="0.2">
      <c r="AU784"/>
      <c r="AV784"/>
      <c r="AW784"/>
      <c r="AX784"/>
      <c r="AY784"/>
      <c r="BK784" s="42">
        <v>783</v>
      </c>
      <c r="BL784" s="127">
        <v>3</v>
      </c>
      <c r="BM784" s="127">
        <v>1.0626913437795575</v>
      </c>
      <c r="BN784" s="127" t="e">
        <v>#N/A</v>
      </c>
      <c r="BO784" s="127" t="e">
        <v>#N/A</v>
      </c>
      <c r="BP784" s="151">
        <v>1.0626913437795575</v>
      </c>
      <c r="BQ784" t="e">
        <v>#N/A</v>
      </c>
      <c r="BR784" t="str">
        <v/>
      </c>
    </row>
    <row r="785" spans="47:70" x14ac:dyDescent="0.2">
      <c r="AU785"/>
      <c r="AV785"/>
      <c r="AW785"/>
      <c r="AX785"/>
      <c r="AY785"/>
      <c r="BK785" s="42">
        <v>784</v>
      </c>
      <c r="BL785" s="127">
        <v>3</v>
      </c>
      <c r="BM785" s="127">
        <v>1.0626913437795575</v>
      </c>
      <c r="BN785" s="127" t="e">
        <v>#N/A</v>
      </c>
      <c r="BO785" s="127" t="e">
        <v>#N/A</v>
      </c>
      <c r="BP785" s="151">
        <v>1.0626913437795575</v>
      </c>
      <c r="BQ785" t="e">
        <v>#N/A</v>
      </c>
      <c r="BR785" t="str">
        <v/>
      </c>
    </row>
    <row r="786" spans="47:70" x14ac:dyDescent="0.2">
      <c r="AU786"/>
      <c r="AV786"/>
      <c r="AW786"/>
      <c r="AX786"/>
      <c r="AY786"/>
      <c r="BK786" s="42">
        <v>785</v>
      </c>
      <c r="BL786" s="127">
        <v>3</v>
      </c>
      <c r="BM786" s="127">
        <v>1.0626913437795575</v>
      </c>
      <c r="BN786" s="127" t="e">
        <v>#N/A</v>
      </c>
      <c r="BO786" s="127" t="e">
        <v>#N/A</v>
      </c>
      <c r="BP786" s="151">
        <v>1.0626913437795575</v>
      </c>
      <c r="BQ786" t="e">
        <v>#N/A</v>
      </c>
      <c r="BR786" t="str">
        <v/>
      </c>
    </row>
    <row r="787" spans="47:70" x14ac:dyDescent="0.2">
      <c r="AU787"/>
      <c r="AV787"/>
      <c r="AW787"/>
      <c r="AX787"/>
      <c r="AY787"/>
      <c r="BK787" s="42">
        <v>786</v>
      </c>
      <c r="BL787" s="127">
        <v>3</v>
      </c>
      <c r="BM787" s="127">
        <v>1.0626913437795575</v>
      </c>
      <c r="BN787" s="127" t="e">
        <v>#N/A</v>
      </c>
      <c r="BO787" s="127" t="e">
        <v>#N/A</v>
      </c>
      <c r="BP787" s="151">
        <v>1.0626913437795575</v>
      </c>
      <c r="BQ787" t="e">
        <v>#N/A</v>
      </c>
      <c r="BR787" t="str">
        <v/>
      </c>
    </row>
    <row r="788" spans="47:70" x14ac:dyDescent="0.2">
      <c r="AU788"/>
      <c r="AV788"/>
      <c r="AW788"/>
      <c r="AX788"/>
      <c r="AY788"/>
      <c r="BK788" s="42">
        <v>787</v>
      </c>
      <c r="BL788" s="127">
        <v>3</v>
      </c>
      <c r="BM788" s="127">
        <v>1.0626913437795575</v>
      </c>
      <c r="BN788" s="127" t="e">
        <v>#N/A</v>
      </c>
      <c r="BO788" s="127" t="e">
        <v>#N/A</v>
      </c>
      <c r="BP788" s="151">
        <v>1.0626913437795575</v>
      </c>
      <c r="BQ788" t="e">
        <v>#N/A</v>
      </c>
      <c r="BR788" t="str">
        <v/>
      </c>
    </row>
    <row r="789" spans="47:70" x14ac:dyDescent="0.2">
      <c r="AU789"/>
      <c r="AV789"/>
      <c r="AW789"/>
      <c r="AX789"/>
      <c r="AY789"/>
      <c r="BK789" s="42">
        <v>788</v>
      </c>
      <c r="BL789" s="127">
        <v>3</v>
      </c>
      <c r="BM789" s="127">
        <v>1.0626913437795575</v>
      </c>
      <c r="BN789" s="127" t="e">
        <v>#N/A</v>
      </c>
      <c r="BO789" s="127" t="e">
        <v>#N/A</v>
      </c>
      <c r="BP789" s="151">
        <v>1.0626913437795575</v>
      </c>
      <c r="BQ789" t="e">
        <v>#N/A</v>
      </c>
      <c r="BR789" t="str">
        <v/>
      </c>
    </row>
    <row r="790" spans="47:70" x14ac:dyDescent="0.2">
      <c r="AU790"/>
      <c r="AV790"/>
      <c r="AW790"/>
      <c r="AX790"/>
      <c r="AY790"/>
      <c r="BK790" s="42">
        <v>789</v>
      </c>
      <c r="BL790" s="127">
        <v>3</v>
      </c>
      <c r="BM790" s="127">
        <v>1.0626913437795575</v>
      </c>
      <c r="BN790" s="127" t="e">
        <v>#N/A</v>
      </c>
      <c r="BO790" s="127" t="e">
        <v>#N/A</v>
      </c>
      <c r="BP790" s="151">
        <v>1.0626913437795575</v>
      </c>
      <c r="BQ790" t="e">
        <v>#N/A</v>
      </c>
      <c r="BR790" t="str">
        <v/>
      </c>
    </row>
    <row r="791" spans="47:70" x14ac:dyDescent="0.2">
      <c r="AU791"/>
      <c r="AV791"/>
      <c r="AW791"/>
      <c r="AX791"/>
      <c r="AY791"/>
      <c r="BK791" s="42">
        <v>790</v>
      </c>
      <c r="BL791" s="127">
        <v>3</v>
      </c>
      <c r="BM791" s="127">
        <v>1.0626913437795575</v>
      </c>
      <c r="BN791" s="127" t="e">
        <v>#N/A</v>
      </c>
      <c r="BO791" s="127" t="e">
        <v>#N/A</v>
      </c>
      <c r="BP791" s="151">
        <v>1.0626913437795575</v>
      </c>
      <c r="BQ791" t="e">
        <v>#N/A</v>
      </c>
      <c r="BR791" t="str">
        <v/>
      </c>
    </row>
    <row r="792" spans="47:70" x14ac:dyDescent="0.2">
      <c r="AU792"/>
      <c r="AV792"/>
      <c r="AW792"/>
      <c r="AX792"/>
      <c r="AY792"/>
      <c r="BK792" s="42">
        <v>791</v>
      </c>
      <c r="BL792" s="127">
        <v>3</v>
      </c>
      <c r="BM792" s="127">
        <v>1.0626913437795575</v>
      </c>
      <c r="BN792" s="127" t="e">
        <v>#N/A</v>
      </c>
      <c r="BO792" s="127" t="e">
        <v>#N/A</v>
      </c>
      <c r="BP792" s="151">
        <v>1.0626913437795575</v>
      </c>
      <c r="BQ792" t="e">
        <v>#N/A</v>
      </c>
      <c r="BR792" t="str">
        <v/>
      </c>
    </row>
    <row r="793" spans="47:70" x14ac:dyDescent="0.2">
      <c r="AU793"/>
      <c r="AV793"/>
      <c r="AW793"/>
      <c r="AX793"/>
      <c r="AY793"/>
      <c r="BK793" s="42">
        <v>792</v>
      </c>
      <c r="BL793" s="127">
        <v>3</v>
      </c>
      <c r="BM793" s="127">
        <v>1.0626913437795575</v>
      </c>
      <c r="BN793" s="127" t="e">
        <v>#N/A</v>
      </c>
      <c r="BO793" s="127" t="e">
        <v>#N/A</v>
      </c>
      <c r="BP793" s="151">
        <v>1.0626913437795575</v>
      </c>
      <c r="BQ793" t="e">
        <v>#N/A</v>
      </c>
      <c r="BR793" t="str">
        <v/>
      </c>
    </row>
    <row r="794" spans="47:70" x14ac:dyDescent="0.2">
      <c r="AU794"/>
      <c r="AV794"/>
      <c r="AW794"/>
      <c r="AX794"/>
      <c r="AY794"/>
      <c r="BK794" s="42">
        <v>793</v>
      </c>
      <c r="BL794" s="127">
        <v>3</v>
      </c>
      <c r="BM794" s="127">
        <v>1.0626913437795575</v>
      </c>
      <c r="BN794" s="127" t="e">
        <v>#N/A</v>
      </c>
      <c r="BO794" s="127" t="e">
        <v>#N/A</v>
      </c>
      <c r="BP794" s="151">
        <v>1.0626913437795575</v>
      </c>
      <c r="BQ794" t="e">
        <v>#N/A</v>
      </c>
      <c r="BR794" t="str">
        <v/>
      </c>
    </row>
    <row r="795" spans="47:70" x14ac:dyDescent="0.2">
      <c r="AU795"/>
      <c r="AV795"/>
      <c r="AW795"/>
      <c r="AX795"/>
      <c r="AY795"/>
      <c r="BK795" s="42">
        <v>794</v>
      </c>
      <c r="BL795" s="127">
        <v>3</v>
      </c>
      <c r="BM795" s="127">
        <v>1.0626913437795575</v>
      </c>
      <c r="BN795" s="127" t="e">
        <v>#N/A</v>
      </c>
      <c r="BO795" s="127" t="e">
        <v>#N/A</v>
      </c>
      <c r="BP795" s="151">
        <v>1.0626913437795575</v>
      </c>
      <c r="BQ795" t="e">
        <v>#N/A</v>
      </c>
      <c r="BR795" t="str">
        <v/>
      </c>
    </row>
    <row r="796" spans="47:70" x14ac:dyDescent="0.2">
      <c r="AU796"/>
      <c r="AV796"/>
      <c r="AW796"/>
      <c r="AX796"/>
      <c r="AY796"/>
      <c r="BK796" s="42">
        <v>795</v>
      </c>
      <c r="BL796" s="127">
        <v>3</v>
      </c>
      <c r="BM796" s="127">
        <v>1.0626913437795575</v>
      </c>
      <c r="BN796" s="127" t="e">
        <v>#N/A</v>
      </c>
      <c r="BO796" s="127" t="e">
        <v>#N/A</v>
      </c>
      <c r="BP796" s="151">
        <v>1.0626913437795575</v>
      </c>
      <c r="BQ796" t="e">
        <v>#N/A</v>
      </c>
      <c r="BR796" t="str">
        <v/>
      </c>
    </row>
    <row r="797" spans="47:70" x14ac:dyDescent="0.2">
      <c r="AU797"/>
      <c r="AV797"/>
      <c r="AW797"/>
      <c r="AX797"/>
      <c r="AY797"/>
      <c r="BK797" s="42">
        <v>796</v>
      </c>
      <c r="BL797" s="127">
        <v>3</v>
      </c>
      <c r="BM797" s="127">
        <v>1.0626913437795575</v>
      </c>
      <c r="BN797" s="127" t="e">
        <v>#N/A</v>
      </c>
      <c r="BO797" s="127" t="e">
        <v>#N/A</v>
      </c>
      <c r="BP797" s="151">
        <v>1.0626913437795575</v>
      </c>
      <c r="BQ797" t="e">
        <v>#N/A</v>
      </c>
      <c r="BR797" t="str">
        <v/>
      </c>
    </row>
    <row r="798" spans="47:70" x14ac:dyDescent="0.2">
      <c r="AU798"/>
      <c r="AV798"/>
      <c r="AW798"/>
      <c r="AX798"/>
      <c r="AY798"/>
      <c r="BK798" s="42">
        <v>797</v>
      </c>
      <c r="BL798" s="127">
        <v>3</v>
      </c>
      <c r="BM798" s="127">
        <v>1.0626913437795575</v>
      </c>
      <c r="BN798" s="127" t="e">
        <v>#N/A</v>
      </c>
      <c r="BO798" s="127" t="e">
        <v>#N/A</v>
      </c>
      <c r="BP798" s="151">
        <v>1.0626913437795575</v>
      </c>
      <c r="BQ798" t="e">
        <v>#N/A</v>
      </c>
      <c r="BR798" t="str">
        <v/>
      </c>
    </row>
    <row r="799" spans="47:70" x14ac:dyDescent="0.2">
      <c r="AU799"/>
      <c r="AV799"/>
      <c r="AW799"/>
      <c r="AX799"/>
      <c r="AY799"/>
      <c r="BK799" s="42">
        <v>798</v>
      </c>
      <c r="BL799" s="127">
        <v>3</v>
      </c>
      <c r="BM799" s="127">
        <v>1.0626913437795575</v>
      </c>
      <c r="BN799" s="127" t="e">
        <v>#N/A</v>
      </c>
      <c r="BO799" s="127" t="e">
        <v>#N/A</v>
      </c>
      <c r="BP799" s="151">
        <v>1.0626913437795575</v>
      </c>
      <c r="BQ799" t="e">
        <v>#N/A</v>
      </c>
      <c r="BR799" t="str">
        <v/>
      </c>
    </row>
    <row r="800" spans="47:70" x14ac:dyDescent="0.2">
      <c r="AU800"/>
      <c r="AV800"/>
      <c r="AW800"/>
      <c r="AX800"/>
      <c r="AY800"/>
      <c r="BK800" s="42">
        <v>799</v>
      </c>
      <c r="BL800" s="127">
        <v>3</v>
      </c>
      <c r="BM800" s="127">
        <v>1.0626913437795575</v>
      </c>
      <c r="BN800" s="127" t="e">
        <v>#N/A</v>
      </c>
      <c r="BO800" s="127" t="e">
        <v>#N/A</v>
      </c>
      <c r="BP800" s="151">
        <v>1.0626913437795575</v>
      </c>
      <c r="BQ800" t="e">
        <v>#N/A</v>
      </c>
      <c r="BR800" t="str">
        <v/>
      </c>
    </row>
    <row r="801" spans="47:70" x14ac:dyDescent="0.2">
      <c r="AU801"/>
      <c r="AV801"/>
      <c r="AW801"/>
      <c r="AX801"/>
      <c r="AY801"/>
      <c r="BK801" s="42">
        <v>800</v>
      </c>
      <c r="BL801" s="127">
        <v>3</v>
      </c>
      <c r="BM801" s="127">
        <v>1.0626913437795575</v>
      </c>
      <c r="BN801" s="127" t="e">
        <v>#N/A</v>
      </c>
      <c r="BO801" s="127" t="e">
        <v>#N/A</v>
      </c>
      <c r="BP801" s="151">
        <v>1.0626913437795575</v>
      </c>
      <c r="BQ801" t="e">
        <v>#N/A</v>
      </c>
      <c r="BR801" t="str">
        <v/>
      </c>
    </row>
    <row r="802" spans="47:70" x14ac:dyDescent="0.2">
      <c r="AU802"/>
      <c r="AV802"/>
      <c r="AW802"/>
      <c r="AX802"/>
      <c r="AY802"/>
      <c r="BK802" s="42">
        <v>801</v>
      </c>
      <c r="BL802" s="127">
        <v>3</v>
      </c>
      <c r="BM802" s="127">
        <v>1.0626913437795575</v>
      </c>
      <c r="BN802" s="127" t="e">
        <v>#N/A</v>
      </c>
      <c r="BO802" s="127" t="e">
        <v>#N/A</v>
      </c>
      <c r="BP802" s="151">
        <v>1.0626913437795575</v>
      </c>
      <c r="BQ802" t="e">
        <v>#N/A</v>
      </c>
      <c r="BR802" t="str">
        <v/>
      </c>
    </row>
    <row r="803" spans="47:70" x14ac:dyDescent="0.2">
      <c r="AU803"/>
      <c r="AV803"/>
      <c r="AW803"/>
      <c r="AX803"/>
      <c r="AY803"/>
      <c r="BK803" s="42">
        <v>802</v>
      </c>
      <c r="BL803" s="127">
        <v>3</v>
      </c>
      <c r="BM803" s="127">
        <v>1.0626913437795575</v>
      </c>
      <c r="BN803" s="127" t="e">
        <v>#N/A</v>
      </c>
      <c r="BO803" s="127" t="e">
        <v>#N/A</v>
      </c>
      <c r="BP803" s="151">
        <v>1.0626913437795575</v>
      </c>
      <c r="BQ803" t="e">
        <v>#N/A</v>
      </c>
      <c r="BR803" t="str">
        <v/>
      </c>
    </row>
    <row r="804" spans="47:70" x14ac:dyDescent="0.2">
      <c r="AU804"/>
      <c r="AV804"/>
      <c r="AW804"/>
      <c r="AX804"/>
      <c r="AY804"/>
      <c r="BK804" s="42">
        <v>803</v>
      </c>
      <c r="BL804" s="127">
        <v>3</v>
      </c>
      <c r="BM804" s="127">
        <v>1.0626913437795575</v>
      </c>
      <c r="BN804" s="127" t="e">
        <v>#N/A</v>
      </c>
      <c r="BO804" s="127" t="e">
        <v>#N/A</v>
      </c>
      <c r="BP804" s="151">
        <v>1.0626913437795575</v>
      </c>
      <c r="BQ804" t="e">
        <v>#N/A</v>
      </c>
      <c r="BR804" t="str">
        <v/>
      </c>
    </row>
    <row r="805" spans="47:70" x14ac:dyDescent="0.2">
      <c r="AU805"/>
      <c r="AV805"/>
      <c r="AW805"/>
      <c r="AX805"/>
      <c r="AY805"/>
      <c r="BK805" s="42">
        <v>804</v>
      </c>
      <c r="BL805" s="127">
        <v>3</v>
      </c>
      <c r="BM805" s="127">
        <v>1.0626913437795575</v>
      </c>
      <c r="BN805" s="127" t="e">
        <v>#N/A</v>
      </c>
      <c r="BO805" s="127" t="e">
        <v>#N/A</v>
      </c>
      <c r="BP805" s="151">
        <v>1.0626913437795575</v>
      </c>
      <c r="BQ805" t="e">
        <v>#N/A</v>
      </c>
      <c r="BR805" t="str">
        <v/>
      </c>
    </row>
    <row r="806" spans="47:70" x14ac:dyDescent="0.2">
      <c r="AU806"/>
      <c r="AV806"/>
      <c r="AW806"/>
      <c r="AX806"/>
      <c r="AY806"/>
      <c r="BK806" s="42">
        <v>805</v>
      </c>
      <c r="BL806" s="127">
        <v>3</v>
      </c>
      <c r="BM806" s="127">
        <v>1.0626913437795575</v>
      </c>
      <c r="BN806" s="127" t="e">
        <v>#N/A</v>
      </c>
      <c r="BO806" s="127" t="e">
        <v>#N/A</v>
      </c>
      <c r="BP806" s="151">
        <v>1.0626913437795575</v>
      </c>
      <c r="BQ806" t="e">
        <v>#N/A</v>
      </c>
      <c r="BR806" t="str">
        <v/>
      </c>
    </row>
    <row r="807" spans="47:70" x14ac:dyDescent="0.2">
      <c r="AU807"/>
      <c r="AV807"/>
      <c r="AW807"/>
      <c r="AX807"/>
      <c r="AY807"/>
      <c r="BK807" s="42">
        <v>806</v>
      </c>
      <c r="BL807" s="127">
        <v>3</v>
      </c>
      <c r="BM807" s="127">
        <v>1.0626913437795575</v>
      </c>
      <c r="BN807" s="127" t="e">
        <v>#N/A</v>
      </c>
      <c r="BO807" s="127" t="e">
        <v>#N/A</v>
      </c>
      <c r="BP807" s="151">
        <v>1.0626913437795575</v>
      </c>
      <c r="BQ807" t="e">
        <v>#N/A</v>
      </c>
      <c r="BR807" t="str">
        <v/>
      </c>
    </row>
    <row r="808" spans="47:70" x14ac:dyDescent="0.2">
      <c r="AU808"/>
      <c r="AV808"/>
      <c r="AW808"/>
      <c r="AX808"/>
      <c r="AY808"/>
      <c r="BK808" s="42">
        <v>807</v>
      </c>
      <c r="BL808" s="127">
        <v>3</v>
      </c>
      <c r="BM808" s="127">
        <v>1.0626913437795575</v>
      </c>
      <c r="BN808" s="127" t="e">
        <v>#N/A</v>
      </c>
      <c r="BO808" s="127" t="e">
        <v>#N/A</v>
      </c>
      <c r="BP808" s="151">
        <v>1.0626913437795575</v>
      </c>
      <c r="BQ808" t="e">
        <v>#N/A</v>
      </c>
      <c r="BR808" t="str">
        <v/>
      </c>
    </row>
    <row r="809" spans="47:70" x14ac:dyDescent="0.2">
      <c r="AU809"/>
      <c r="AV809"/>
      <c r="AW809"/>
      <c r="AX809"/>
      <c r="AY809"/>
      <c r="BK809" s="42">
        <v>808</v>
      </c>
      <c r="BL809" s="127">
        <v>3</v>
      </c>
      <c r="BM809" s="127">
        <v>1.0626913437795575</v>
      </c>
      <c r="BN809" s="127" t="e">
        <v>#N/A</v>
      </c>
      <c r="BO809" s="127" t="e">
        <v>#N/A</v>
      </c>
      <c r="BP809" s="151">
        <v>1.0626913437795575</v>
      </c>
      <c r="BQ809" t="e">
        <v>#N/A</v>
      </c>
      <c r="BR809" t="str">
        <v/>
      </c>
    </row>
    <row r="810" spans="47:70" x14ac:dyDescent="0.2">
      <c r="AU810"/>
      <c r="AV810"/>
      <c r="AW810"/>
      <c r="AX810"/>
      <c r="AY810"/>
      <c r="BK810" s="42">
        <v>809</v>
      </c>
      <c r="BL810" s="127">
        <v>3</v>
      </c>
      <c r="BM810" s="127">
        <v>1.0626913437795575</v>
      </c>
      <c r="BN810" s="127" t="e">
        <v>#N/A</v>
      </c>
      <c r="BO810" s="127" t="e">
        <v>#N/A</v>
      </c>
      <c r="BP810" s="151">
        <v>1.0626913437795575</v>
      </c>
      <c r="BQ810" t="e">
        <v>#N/A</v>
      </c>
      <c r="BR810" t="str">
        <v/>
      </c>
    </row>
    <row r="811" spans="47:70" x14ac:dyDescent="0.2">
      <c r="AU811"/>
      <c r="AV811"/>
      <c r="AW811"/>
      <c r="AX811"/>
      <c r="AY811"/>
      <c r="BK811" s="42">
        <v>810</v>
      </c>
      <c r="BL811" s="127">
        <v>3</v>
      </c>
      <c r="BM811" s="127">
        <v>1.0626913437795575</v>
      </c>
      <c r="BN811" s="127" t="e">
        <v>#N/A</v>
      </c>
      <c r="BO811" s="127" t="e">
        <v>#N/A</v>
      </c>
      <c r="BP811" s="151">
        <v>1.0626913437795575</v>
      </c>
      <c r="BQ811" t="e">
        <v>#N/A</v>
      </c>
      <c r="BR811" t="str">
        <v/>
      </c>
    </row>
    <row r="812" spans="47:70" x14ac:dyDescent="0.2">
      <c r="AU812"/>
      <c r="AV812"/>
      <c r="AW812"/>
      <c r="AX812"/>
      <c r="AY812"/>
      <c r="BK812" s="42">
        <v>811</v>
      </c>
      <c r="BL812" s="127">
        <v>3</v>
      </c>
      <c r="BM812" s="127">
        <v>1.0626913437795575</v>
      </c>
      <c r="BN812" s="127" t="e">
        <v>#N/A</v>
      </c>
      <c r="BO812" s="127" t="e">
        <v>#N/A</v>
      </c>
      <c r="BP812" s="151">
        <v>1.0626913437795575</v>
      </c>
      <c r="BQ812" t="e">
        <v>#N/A</v>
      </c>
      <c r="BR812" t="str">
        <v/>
      </c>
    </row>
    <row r="813" spans="47:70" x14ac:dyDescent="0.2">
      <c r="AU813"/>
      <c r="AV813"/>
      <c r="AW813"/>
      <c r="AX813"/>
      <c r="AY813"/>
      <c r="BK813" s="42">
        <v>812</v>
      </c>
      <c r="BL813" s="127">
        <v>3</v>
      </c>
      <c r="BM813" s="127">
        <v>1.0626913437795575</v>
      </c>
      <c r="BN813" s="127" t="e">
        <v>#N/A</v>
      </c>
      <c r="BO813" s="127" t="e">
        <v>#N/A</v>
      </c>
      <c r="BP813" s="151">
        <v>1.0626913437795575</v>
      </c>
      <c r="BQ813" t="e">
        <v>#N/A</v>
      </c>
      <c r="BR813" t="str">
        <v/>
      </c>
    </row>
    <row r="814" spans="47:70" x14ac:dyDescent="0.2">
      <c r="AU814"/>
      <c r="AV814"/>
      <c r="AW814"/>
      <c r="AX814"/>
      <c r="AY814"/>
      <c r="BK814" s="42">
        <v>813</v>
      </c>
      <c r="BL814" s="127">
        <v>3</v>
      </c>
      <c r="BM814" s="127">
        <v>1.0626913437795575</v>
      </c>
      <c r="BN814" s="127" t="e">
        <v>#N/A</v>
      </c>
      <c r="BO814" s="127" t="e">
        <v>#N/A</v>
      </c>
      <c r="BP814" s="151">
        <v>1.0626913437795575</v>
      </c>
      <c r="BQ814" t="e">
        <v>#N/A</v>
      </c>
      <c r="BR814" t="str">
        <v/>
      </c>
    </row>
    <row r="815" spans="47:70" x14ac:dyDescent="0.2">
      <c r="AU815"/>
      <c r="AV815"/>
      <c r="AW815"/>
      <c r="AX815"/>
      <c r="AY815"/>
      <c r="BK815" s="42">
        <v>814</v>
      </c>
      <c r="BL815" s="127">
        <v>3</v>
      </c>
      <c r="BM815" s="127">
        <v>1.0626913437795575</v>
      </c>
      <c r="BN815" s="127" t="e">
        <v>#N/A</v>
      </c>
      <c r="BO815" s="127" t="e">
        <v>#N/A</v>
      </c>
      <c r="BP815" s="151">
        <v>1.0626913437795575</v>
      </c>
      <c r="BQ815" t="e">
        <v>#N/A</v>
      </c>
      <c r="BR815" t="str">
        <v/>
      </c>
    </row>
    <row r="816" spans="47:70" x14ac:dyDescent="0.2">
      <c r="AU816"/>
      <c r="AV816"/>
      <c r="AW816"/>
      <c r="AX816"/>
      <c r="AY816"/>
      <c r="BK816" s="42">
        <v>815</v>
      </c>
      <c r="BL816" s="127">
        <v>3</v>
      </c>
      <c r="BM816" s="127">
        <v>1.0626913437795575</v>
      </c>
      <c r="BN816" s="127" t="e">
        <v>#N/A</v>
      </c>
      <c r="BO816" s="127" t="e">
        <v>#N/A</v>
      </c>
      <c r="BP816" s="151">
        <v>1.0626913437795575</v>
      </c>
      <c r="BQ816" t="e">
        <v>#N/A</v>
      </c>
      <c r="BR816" t="str">
        <v/>
      </c>
    </row>
    <row r="817" spans="47:70" x14ac:dyDescent="0.2">
      <c r="AU817"/>
      <c r="AV817"/>
      <c r="AW817"/>
      <c r="AX817"/>
      <c r="AY817"/>
      <c r="BK817" s="42">
        <v>816</v>
      </c>
      <c r="BL817" s="127">
        <v>3</v>
      </c>
      <c r="BM817" s="127">
        <v>1.0626913437795575</v>
      </c>
      <c r="BN817" s="127" t="e">
        <v>#N/A</v>
      </c>
      <c r="BO817" s="127" t="e">
        <v>#N/A</v>
      </c>
      <c r="BP817" s="151">
        <v>1.0626913437795575</v>
      </c>
      <c r="BQ817" t="e">
        <v>#N/A</v>
      </c>
      <c r="BR817" t="str">
        <v/>
      </c>
    </row>
    <row r="818" spans="47:70" x14ac:dyDescent="0.2">
      <c r="AU818"/>
      <c r="AV818"/>
      <c r="AW818"/>
      <c r="AX818"/>
      <c r="AY818"/>
      <c r="BK818" s="42">
        <v>817</v>
      </c>
      <c r="BL818" s="127">
        <v>3</v>
      </c>
      <c r="BM818" s="127">
        <v>1.0626913437795575</v>
      </c>
      <c r="BN818" s="127" t="e">
        <v>#N/A</v>
      </c>
      <c r="BO818" s="127" t="e">
        <v>#N/A</v>
      </c>
      <c r="BP818" s="151">
        <v>1.0626913437795575</v>
      </c>
      <c r="BQ818" t="e">
        <v>#N/A</v>
      </c>
      <c r="BR818" t="str">
        <v/>
      </c>
    </row>
    <row r="819" spans="47:70" x14ac:dyDescent="0.2">
      <c r="AU819"/>
      <c r="AV819"/>
      <c r="AW819"/>
      <c r="AX819"/>
      <c r="AY819"/>
      <c r="BK819" s="42">
        <v>818</v>
      </c>
      <c r="BL819" s="127">
        <v>3</v>
      </c>
      <c r="BM819" s="127">
        <v>1.0626913437795575</v>
      </c>
      <c r="BN819" s="127" t="e">
        <v>#N/A</v>
      </c>
      <c r="BO819" s="127" t="e">
        <v>#N/A</v>
      </c>
      <c r="BP819" s="151">
        <v>1.0626913437795575</v>
      </c>
      <c r="BQ819" t="e">
        <v>#N/A</v>
      </c>
      <c r="BR819" t="str">
        <v/>
      </c>
    </row>
    <row r="820" spans="47:70" x14ac:dyDescent="0.2">
      <c r="AU820"/>
      <c r="AV820"/>
      <c r="AW820"/>
      <c r="AX820"/>
      <c r="AY820"/>
      <c r="BK820" s="42">
        <v>819</v>
      </c>
      <c r="BL820" s="127">
        <v>3</v>
      </c>
      <c r="BM820" s="127">
        <v>1.0626913437795575</v>
      </c>
      <c r="BN820" s="127" t="e">
        <v>#N/A</v>
      </c>
      <c r="BO820" s="127" t="e">
        <v>#N/A</v>
      </c>
      <c r="BP820" s="151">
        <v>1.0626913437795575</v>
      </c>
      <c r="BQ820" t="e">
        <v>#N/A</v>
      </c>
      <c r="BR820" t="str">
        <v/>
      </c>
    </row>
    <row r="821" spans="47:70" x14ac:dyDescent="0.2">
      <c r="AU821"/>
      <c r="AV821"/>
      <c r="AW821"/>
      <c r="AX821"/>
      <c r="AY821"/>
      <c r="BK821" s="42">
        <v>820</v>
      </c>
      <c r="BL821" s="127">
        <v>3</v>
      </c>
      <c r="BM821" s="127">
        <v>1.0626913437795575</v>
      </c>
      <c r="BN821" s="127" t="e">
        <v>#N/A</v>
      </c>
      <c r="BO821" s="127" t="e">
        <v>#N/A</v>
      </c>
      <c r="BP821" s="151">
        <v>1.0626913437795575</v>
      </c>
      <c r="BQ821" t="e">
        <v>#N/A</v>
      </c>
      <c r="BR821" t="str">
        <v/>
      </c>
    </row>
    <row r="822" spans="47:70" x14ac:dyDescent="0.2">
      <c r="AU822"/>
      <c r="AV822"/>
      <c r="AW822"/>
      <c r="AX822"/>
      <c r="AY822"/>
      <c r="BK822" s="42">
        <v>821</v>
      </c>
      <c r="BL822" s="127">
        <v>3</v>
      </c>
      <c r="BM822" s="127">
        <v>1.0626913437795575</v>
      </c>
      <c r="BN822" s="127" t="e">
        <v>#N/A</v>
      </c>
      <c r="BO822" s="127" t="e">
        <v>#N/A</v>
      </c>
      <c r="BP822" s="151">
        <v>1.0626913437795575</v>
      </c>
      <c r="BQ822" t="e">
        <v>#N/A</v>
      </c>
      <c r="BR822" t="str">
        <v/>
      </c>
    </row>
    <row r="823" spans="47:70" x14ac:dyDescent="0.2">
      <c r="AU823"/>
      <c r="AV823"/>
      <c r="AW823"/>
      <c r="AX823"/>
      <c r="AY823"/>
      <c r="BK823" s="42">
        <v>822</v>
      </c>
      <c r="BL823" s="127">
        <v>3</v>
      </c>
      <c r="BM823" s="127">
        <v>1.0626913437795575</v>
      </c>
      <c r="BN823" s="127" t="e">
        <v>#N/A</v>
      </c>
      <c r="BO823" s="127" t="e">
        <v>#N/A</v>
      </c>
      <c r="BP823" s="151">
        <v>1.0626913437795575</v>
      </c>
      <c r="BQ823" t="e">
        <v>#N/A</v>
      </c>
      <c r="BR823" t="str">
        <v/>
      </c>
    </row>
    <row r="824" spans="47:70" x14ac:dyDescent="0.2">
      <c r="AU824"/>
      <c r="AV824"/>
      <c r="AW824"/>
      <c r="AX824"/>
      <c r="AY824"/>
      <c r="BK824" s="42">
        <v>823</v>
      </c>
      <c r="BL824" s="127">
        <v>3</v>
      </c>
      <c r="BM824" s="127">
        <v>1.0626913437795575</v>
      </c>
      <c r="BN824" s="127" t="e">
        <v>#N/A</v>
      </c>
      <c r="BO824" s="127" t="e">
        <v>#N/A</v>
      </c>
      <c r="BP824" s="151">
        <v>1.0626913437795575</v>
      </c>
      <c r="BQ824" t="e">
        <v>#N/A</v>
      </c>
      <c r="BR824" t="str">
        <v/>
      </c>
    </row>
    <row r="825" spans="47:70" x14ac:dyDescent="0.2">
      <c r="AU825"/>
      <c r="AV825"/>
      <c r="AW825"/>
      <c r="AX825"/>
      <c r="AY825"/>
      <c r="BK825" s="42">
        <v>824</v>
      </c>
      <c r="BL825" s="127">
        <v>3</v>
      </c>
      <c r="BM825" s="127">
        <v>1.0626913437795575</v>
      </c>
      <c r="BN825" s="127" t="e">
        <v>#N/A</v>
      </c>
      <c r="BO825" s="127" t="e">
        <v>#N/A</v>
      </c>
      <c r="BP825" s="151">
        <v>1.0626913437795575</v>
      </c>
      <c r="BQ825" t="e">
        <v>#N/A</v>
      </c>
      <c r="BR825" t="str">
        <v/>
      </c>
    </row>
    <row r="826" spans="47:70" x14ac:dyDescent="0.2">
      <c r="AU826"/>
      <c r="AV826"/>
      <c r="AW826"/>
      <c r="AX826"/>
      <c r="AY826"/>
      <c r="BK826" s="42">
        <v>825</v>
      </c>
      <c r="BL826" s="127">
        <v>3</v>
      </c>
      <c r="BM826" s="127">
        <v>1.0626913437795575</v>
      </c>
      <c r="BN826" s="127" t="e">
        <v>#N/A</v>
      </c>
      <c r="BO826" s="127" t="e">
        <v>#N/A</v>
      </c>
      <c r="BP826" s="151">
        <v>1.0626913437795575</v>
      </c>
      <c r="BQ826" t="e">
        <v>#N/A</v>
      </c>
      <c r="BR826" t="str">
        <v/>
      </c>
    </row>
    <row r="827" spans="47:70" x14ac:dyDescent="0.2">
      <c r="AU827"/>
      <c r="AV827"/>
      <c r="AW827"/>
      <c r="AX827"/>
      <c r="AY827"/>
      <c r="BK827" s="42">
        <v>826</v>
      </c>
      <c r="BL827" s="127">
        <v>3</v>
      </c>
      <c r="BM827" s="127">
        <v>1.0626913437795575</v>
      </c>
      <c r="BN827" s="127" t="e">
        <v>#N/A</v>
      </c>
      <c r="BO827" s="127" t="e">
        <v>#N/A</v>
      </c>
      <c r="BP827" s="151">
        <v>1.0626913437795575</v>
      </c>
      <c r="BQ827" t="e">
        <v>#N/A</v>
      </c>
      <c r="BR827" t="str">
        <v/>
      </c>
    </row>
    <row r="828" spans="47:70" x14ac:dyDescent="0.2">
      <c r="AU828"/>
      <c r="AV828"/>
      <c r="AW828"/>
      <c r="AX828"/>
      <c r="AY828"/>
      <c r="BK828" s="42">
        <v>827</v>
      </c>
      <c r="BL828" s="127">
        <v>3</v>
      </c>
      <c r="BM828" s="127">
        <v>1.0626913437795575</v>
      </c>
      <c r="BN828" s="127" t="e">
        <v>#N/A</v>
      </c>
      <c r="BO828" s="127" t="e">
        <v>#N/A</v>
      </c>
      <c r="BP828" s="151">
        <v>1.0626913437795575</v>
      </c>
      <c r="BQ828" t="e">
        <v>#N/A</v>
      </c>
      <c r="BR828" t="str">
        <v/>
      </c>
    </row>
    <row r="829" spans="47:70" x14ac:dyDescent="0.2">
      <c r="AU829"/>
      <c r="AV829"/>
      <c r="AW829"/>
      <c r="AX829"/>
      <c r="AY829"/>
      <c r="BK829" s="42">
        <v>828</v>
      </c>
      <c r="BL829" s="127">
        <v>3</v>
      </c>
      <c r="BM829" s="127">
        <v>1.0626913437795575</v>
      </c>
      <c r="BN829" s="127" t="e">
        <v>#N/A</v>
      </c>
      <c r="BO829" s="127" t="e">
        <v>#N/A</v>
      </c>
      <c r="BP829" s="151">
        <v>1.0626913437795575</v>
      </c>
      <c r="BQ829" t="e">
        <v>#N/A</v>
      </c>
      <c r="BR829" t="str">
        <v/>
      </c>
    </row>
    <row r="830" spans="47:70" x14ac:dyDescent="0.2">
      <c r="AU830"/>
      <c r="AV830"/>
      <c r="AW830"/>
      <c r="AX830"/>
      <c r="AY830"/>
      <c r="BK830" s="42">
        <v>829</v>
      </c>
      <c r="BL830" s="127">
        <v>3</v>
      </c>
      <c r="BM830" s="127">
        <v>1.0626913437795575</v>
      </c>
      <c r="BN830" s="127" t="e">
        <v>#N/A</v>
      </c>
      <c r="BO830" s="127" t="e">
        <v>#N/A</v>
      </c>
      <c r="BP830" s="151">
        <v>1.0626913437795575</v>
      </c>
      <c r="BQ830" t="e">
        <v>#N/A</v>
      </c>
      <c r="BR830" t="str">
        <v/>
      </c>
    </row>
    <row r="831" spans="47:70" x14ac:dyDescent="0.2">
      <c r="AU831"/>
      <c r="AV831"/>
      <c r="AW831"/>
      <c r="AX831"/>
      <c r="AY831"/>
      <c r="BK831" s="42">
        <v>830</v>
      </c>
      <c r="BL831" s="127">
        <v>3</v>
      </c>
      <c r="BM831" s="127">
        <v>1.0626913437795575</v>
      </c>
      <c r="BN831" s="127" t="e">
        <v>#N/A</v>
      </c>
      <c r="BO831" s="127" t="e">
        <v>#N/A</v>
      </c>
      <c r="BP831" s="151">
        <v>1.0626913437795575</v>
      </c>
      <c r="BQ831" t="e">
        <v>#N/A</v>
      </c>
      <c r="BR831" t="str">
        <v/>
      </c>
    </row>
    <row r="832" spans="47:70" x14ac:dyDescent="0.2">
      <c r="AU832"/>
      <c r="AV832"/>
      <c r="AW832"/>
      <c r="AX832"/>
      <c r="AY832"/>
      <c r="BK832" s="42">
        <v>831</v>
      </c>
      <c r="BL832" s="127">
        <v>3</v>
      </c>
      <c r="BM832" s="127">
        <v>1.0626913437795575</v>
      </c>
      <c r="BN832" s="127" t="e">
        <v>#N/A</v>
      </c>
      <c r="BO832" s="127" t="e">
        <v>#N/A</v>
      </c>
      <c r="BP832" s="151">
        <v>1.0626913437795575</v>
      </c>
      <c r="BQ832" t="e">
        <v>#N/A</v>
      </c>
      <c r="BR832" t="str">
        <v/>
      </c>
    </row>
    <row r="833" spans="47:70" x14ac:dyDescent="0.2">
      <c r="AU833"/>
      <c r="AV833"/>
      <c r="AW833"/>
      <c r="AX833"/>
      <c r="AY833"/>
      <c r="BK833" s="42">
        <v>832</v>
      </c>
      <c r="BL833" s="127">
        <v>3</v>
      </c>
      <c r="BM833" s="127">
        <v>1.0626913437795575</v>
      </c>
      <c r="BN833" s="127" t="e">
        <v>#N/A</v>
      </c>
      <c r="BO833" s="127" t="e">
        <v>#N/A</v>
      </c>
      <c r="BP833" s="151">
        <v>1.0626913437795575</v>
      </c>
      <c r="BQ833" t="e">
        <v>#N/A</v>
      </c>
      <c r="BR833" t="str">
        <v/>
      </c>
    </row>
    <row r="834" spans="47:70" x14ac:dyDescent="0.2">
      <c r="AU834"/>
      <c r="AV834"/>
      <c r="AW834"/>
      <c r="AX834"/>
      <c r="AY834"/>
      <c r="BK834" s="42">
        <v>833</v>
      </c>
      <c r="BL834" s="127">
        <v>3</v>
      </c>
      <c r="BM834" s="127">
        <v>1.0626913437795575</v>
      </c>
      <c r="BN834" s="127" t="e">
        <v>#N/A</v>
      </c>
      <c r="BO834" s="127" t="e">
        <v>#N/A</v>
      </c>
      <c r="BP834" s="151">
        <v>1.0626913437795575</v>
      </c>
      <c r="BQ834" t="e">
        <v>#N/A</v>
      </c>
      <c r="BR834" t="str">
        <v/>
      </c>
    </row>
    <row r="835" spans="47:70" x14ac:dyDescent="0.2">
      <c r="AU835"/>
      <c r="AV835"/>
      <c r="AW835"/>
      <c r="AX835"/>
      <c r="AY835"/>
      <c r="BK835" s="42">
        <v>834</v>
      </c>
      <c r="BL835" s="127">
        <v>3</v>
      </c>
      <c r="BM835" s="127">
        <v>1.0626913437795575</v>
      </c>
      <c r="BN835" s="127" t="e">
        <v>#N/A</v>
      </c>
      <c r="BO835" s="127" t="e">
        <v>#N/A</v>
      </c>
      <c r="BP835" s="151">
        <v>1.0626913437795575</v>
      </c>
      <c r="BQ835" t="e">
        <v>#N/A</v>
      </c>
      <c r="BR835" t="str">
        <v/>
      </c>
    </row>
    <row r="836" spans="47:70" x14ac:dyDescent="0.2">
      <c r="AU836"/>
      <c r="AV836"/>
      <c r="AW836"/>
      <c r="AX836"/>
      <c r="AY836"/>
      <c r="BK836" s="42">
        <v>835</v>
      </c>
      <c r="BL836" s="127">
        <v>3</v>
      </c>
      <c r="BM836" s="127">
        <v>1.0626913437795575</v>
      </c>
      <c r="BN836" s="127" t="e">
        <v>#N/A</v>
      </c>
      <c r="BO836" s="127" t="e">
        <v>#N/A</v>
      </c>
      <c r="BP836" s="151">
        <v>1.0626913437795575</v>
      </c>
      <c r="BQ836" t="e">
        <v>#N/A</v>
      </c>
      <c r="BR836" t="str">
        <v/>
      </c>
    </row>
    <row r="837" spans="47:70" x14ac:dyDescent="0.2">
      <c r="AU837"/>
      <c r="AV837"/>
      <c r="AW837"/>
      <c r="AX837"/>
      <c r="AY837"/>
      <c r="BK837" s="42">
        <v>836</v>
      </c>
      <c r="BL837" s="127">
        <v>3</v>
      </c>
      <c r="BM837" s="127">
        <v>1.0626913437795575</v>
      </c>
      <c r="BN837" s="127" t="e">
        <v>#N/A</v>
      </c>
      <c r="BO837" s="127" t="e">
        <v>#N/A</v>
      </c>
      <c r="BP837" s="151">
        <v>1.0626913437795575</v>
      </c>
      <c r="BQ837" t="e">
        <v>#N/A</v>
      </c>
      <c r="BR837" t="str">
        <v/>
      </c>
    </row>
    <row r="838" spans="47:70" x14ac:dyDescent="0.2">
      <c r="AU838"/>
      <c r="AV838"/>
      <c r="AW838"/>
      <c r="AX838"/>
      <c r="AY838"/>
      <c r="BK838" s="42">
        <v>837</v>
      </c>
      <c r="BL838" s="127">
        <v>3</v>
      </c>
      <c r="BM838" s="127">
        <v>1.0626913437795575</v>
      </c>
      <c r="BN838" s="127" t="e">
        <v>#N/A</v>
      </c>
      <c r="BO838" s="127" t="e">
        <v>#N/A</v>
      </c>
      <c r="BP838" s="151">
        <v>1.0626913437795575</v>
      </c>
      <c r="BQ838" t="e">
        <v>#N/A</v>
      </c>
      <c r="BR838" t="str">
        <v/>
      </c>
    </row>
    <row r="839" spans="47:70" x14ac:dyDescent="0.2">
      <c r="AU839"/>
      <c r="AV839"/>
      <c r="AW839"/>
      <c r="AX839"/>
      <c r="AY839"/>
      <c r="BK839" s="42">
        <v>838</v>
      </c>
      <c r="BL839" s="127">
        <v>3</v>
      </c>
      <c r="BM839" s="127">
        <v>1.0626913437795575</v>
      </c>
      <c r="BN839" s="127" t="e">
        <v>#N/A</v>
      </c>
      <c r="BO839" s="127" t="e">
        <v>#N/A</v>
      </c>
      <c r="BP839" s="151">
        <v>1.0626913437795575</v>
      </c>
      <c r="BQ839" t="e">
        <v>#N/A</v>
      </c>
      <c r="BR839" t="str">
        <v/>
      </c>
    </row>
    <row r="840" spans="47:70" x14ac:dyDescent="0.2">
      <c r="AU840"/>
      <c r="AV840"/>
      <c r="AW840"/>
      <c r="AX840"/>
      <c r="AY840"/>
      <c r="BK840" s="42">
        <v>839</v>
      </c>
      <c r="BL840" s="127">
        <v>3</v>
      </c>
      <c r="BM840" s="127">
        <v>1.0626913437795575</v>
      </c>
      <c r="BN840" s="127" t="e">
        <v>#N/A</v>
      </c>
      <c r="BO840" s="127" t="e">
        <v>#N/A</v>
      </c>
      <c r="BP840" s="151">
        <v>1.0626913437795575</v>
      </c>
      <c r="BQ840" t="e">
        <v>#N/A</v>
      </c>
      <c r="BR840" t="str">
        <v/>
      </c>
    </row>
    <row r="841" spans="47:70" x14ac:dyDescent="0.2">
      <c r="AU841"/>
      <c r="AV841"/>
      <c r="AW841"/>
      <c r="AX841"/>
      <c r="AY841"/>
      <c r="BK841" s="42">
        <v>840</v>
      </c>
      <c r="BL841" s="127">
        <v>3</v>
      </c>
      <c r="BM841" s="127">
        <v>1.0626913437795575</v>
      </c>
      <c r="BN841" s="127" t="e">
        <v>#N/A</v>
      </c>
      <c r="BO841" s="127" t="e">
        <v>#N/A</v>
      </c>
      <c r="BP841" s="151">
        <v>1.0626913437795575</v>
      </c>
      <c r="BQ841" t="e">
        <v>#N/A</v>
      </c>
      <c r="BR841" t="str">
        <v/>
      </c>
    </row>
    <row r="842" spans="47:70" x14ac:dyDescent="0.2">
      <c r="AU842"/>
      <c r="AV842"/>
      <c r="AW842"/>
      <c r="AX842"/>
      <c r="AY842"/>
      <c r="BK842" s="42">
        <v>841</v>
      </c>
      <c r="BL842" s="127">
        <v>3</v>
      </c>
      <c r="BM842" s="127">
        <v>1.0626913437795575</v>
      </c>
      <c r="BN842" s="127" t="e">
        <v>#N/A</v>
      </c>
      <c r="BO842" s="127" t="e">
        <v>#N/A</v>
      </c>
      <c r="BP842" s="151">
        <v>1.0626913437795575</v>
      </c>
      <c r="BQ842" t="e">
        <v>#N/A</v>
      </c>
      <c r="BR842" t="str">
        <v/>
      </c>
    </row>
    <row r="843" spans="47:70" x14ac:dyDescent="0.2">
      <c r="AU843"/>
      <c r="AV843"/>
      <c r="AW843"/>
      <c r="AX843"/>
      <c r="AY843"/>
      <c r="BK843" s="42">
        <v>842</v>
      </c>
      <c r="BL843" s="127">
        <v>3</v>
      </c>
      <c r="BM843" s="127">
        <v>1.0626913437795575</v>
      </c>
      <c r="BN843" s="127" t="e">
        <v>#N/A</v>
      </c>
      <c r="BO843" s="127" t="e">
        <v>#N/A</v>
      </c>
      <c r="BP843" s="151">
        <v>1.0626913437795575</v>
      </c>
      <c r="BQ843" t="e">
        <v>#N/A</v>
      </c>
      <c r="BR843" t="str">
        <v/>
      </c>
    </row>
    <row r="844" spans="47:70" x14ac:dyDescent="0.2">
      <c r="AU844"/>
      <c r="AV844"/>
      <c r="AW844"/>
      <c r="AX844"/>
      <c r="AY844"/>
      <c r="BK844" s="42">
        <v>843</v>
      </c>
      <c r="BL844" s="127">
        <v>3</v>
      </c>
      <c r="BM844" s="127">
        <v>1.0626913437795575</v>
      </c>
      <c r="BN844" s="127" t="e">
        <v>#N/A</v>
      </c>
      <c r="BO844" s="127" t="e">
        <v>#N/A</v>
      </c>
      <c r="BP844" s="151">
        <v>1.0626913437795575</v>
      </c>
      <c r="BQ844" t="e">
        <v>#N/A</v>
      </c>
      <c r="BR844" t="str">
        <v/>
      </c>
    </row>
    <row r="845" spans="47:70" x14ac:dyDescent="0.2">
      <c r="AU845"/>
      <c r="AV845"/>
      <c r="AW845"/>
      <c r="AX845"/>
      <c r="AY845"/>
      <c r="BK845" s="42">
        <v>844</v>
      </c>
      <c r="BL845" s="127">
        <v>3</v>
      </c>
      <c r="BM845" s="127">
        <v>1.0626913437795575</v>
      </c>
      <c r="BN845" s="127" t="e">
        <v>#N/A</v>
      </c>
      <c r="BO845" s="127" t="e">
        <v>#N/A</v>
      </c>
      <c r="BP845" s="151">
        <v>1.0626913437795575</v>
      </c>
      <c r="BQ845" t="e">
        <v>#N/A</v>
      </c>
      <c r="BR845" t="str">
        <v/>
      </c>
    </row>
    <row r="846" spans="47:70" x14ac:dyDescent="0.2">
      <c r="AU846"/>
      <c r="AV846"/>
      <c r="AW846"/>
      <c r="AX846"/>
      <c r="AY846"/>
      <c r="BK846" s="42">
        <v>845</v>
      </c>
      <c r="BL846" s="127">
        <v>3</v>
      </c>
      <c r="BM846" s="127">
        <v>1.0626913437795575</v>
      </c>
      <c r="BN846" s="127" t="e">
        <v>#N/A</v>
      </c>
      <c r="BO846" s="127" t="e">
        <v>#N/A</v>
      </c>
      <c r="BP846" s="151">
        <v>1.0626913437795575</v>
      </c>
      <c r="BQ846" t="e">
        <v>#N/A</v>
      </c>
      <c r="BR846" t="str">
        <v/>
      </c>
    </row>
    <row r="847" spans="47:70" x14ac:dyDescent="0.2">
      <c r="AU847"/>
      <c r="AV847"/>
      <c r="AW847"/>
      <c r="AX847"/>
      <c r="AY847"/>
      <c r="BK847" s="42">
        <v>846</v>
      </c>
      <c r="BL847" s="127">
        <v>3</v>
      </c>
      <c r="BM847" s="127">
        <v>1.0626913437795575</v>
      </c>
      <c r="BN847" s="127" t="e">
        <v>#N/A</v>
      </c>
      <c r="BO847" s="127" t="e">
        <v>#N/A</v>
      </c>
      <c r="BP847" s="151">
        <v>1.0626913437795575</v>
      </c>
      <c r="BQ847" t="e">
        <v>#N/A</v>
      </c>
      <c r="BR847" t="str">
        <v/>
      </c>
    </row>
    <row r="848" spans="47:70" x14ac:dyDescent="0.2">
      <c r="AU848"/>
      <c r="AV848"/>
      <c r="AW848"/>
      <c r="AX848"/>
      <c r="AY848"/>
      <c r="BK848" s="42">
        <v>847</v>
      </c>
      <c r="BL848" s="127">
        <v>3</v>
      </c>
      <c r="BM848" s="127">
        <v>1.0626913437795575</v>
      </c>
      <c r="BN848" s="127" t="e">
        <v>#N/A</v>
      </c>
      <c r="BO848" s="127" t="e">
        <v>#N/A</v>
      </c>
      <c r="BP848" s="151">
        <v>1.0626913437795575</v>
      </c>
      <c r="BQ848" t="e">
        <v>#N/A</v>
      </c>
      <c r="BR848" t="str">
        <v/>
      </c>
    </row>
    <row r="849" spans="47:70" x14ac:dyDescent="0.2">
      <c r="AU849"/>
      <c r="AV849"/>
      <c r="AW849"/>
      <c r="AX849"/>
      <c r="AY849"/>
      <c r="BK849" s="42">
        <v>848</v>
      </c>
      <c r="BL849" s="127">
        <v>3</v>
      </c>
      <c r="BM849" s="127">
        <v>1.0626913437795575</v>
      </c>
      <c r="BN849" s="127" t="e">
        <v>#N/A</v>
      </c>
      <c r="BO849" s="127" t="e">
        <v>#N/A</v>
      </c>
      <c r="BP849" s="151">
        <v>1.0626913437795575</v>
      </c>
      <c r="BQ849" t="e">
        <v>#N/A</v>
      </c>
      <c r="BR849" t="str">
        <v/>
      </c>
    </row>
    <row r="850" spans="47:70" x14ac:dyDescent="0.2">
      <c r="AU850"/>
      <c r="AV850"/>
      <c r="AW850"/>
      <c r="AX850"/>
      <c r="AY850"/>
      <c r="BK850" s="42">
        <v>849</v>
      </c>
      <c r="BL850" s="127">
        <v>3</v>
      </c>
      <c r="BM850" s="127">
        <v>1.0626913437795575</v>
      </c>
      <c r="BN850" s="127" t="e">
        <v>#N/A</v>
      </c>
      <c r="BO850" s="127" t="e">
        <v>#N/A</v>
      </c>
      <c r="BP850" s="151">
        <v>1.0626913437795575</v>
      </c>
      <c r="BQ850" t="e">
        <v>#N/A</v>
      </c>
      <c r="BR850" t="str">
        <v/>
      </c>
    </row>
    <row r="851" spans="47:70" x14ac:dyDescent="0.2">
      <c r="AU851"/>
      <c r="AV851"/>
      <c r="AW851"/>
      <c r="AX851"/>
      <c r="AY851"/>
      <c r="BK851" s="42">
        <v>850</v>
      </c>
      <c r="BL851" s="127">
        <v>3</v>
      </c>
      <c r="BM851" s="127">
        <v>1.0626913437795575</v>
      </c>
      <c r="BN851" s="127" t="e">
        <v>#N/A</v>
      </c>
      <c r="BO851" s="127" t="e">
        <v>#N/A</v>
      </c>
      <c r="BP851" s="151">
        <v>1.0626913437795575</v>
      </c>
      <c r="BQ851" t="e">
        <v>#N/A</v>
      </c>
      <c r="BR851" t="str">
        <v/>
      </c>
    </row>
    <row r="852" spans="47:70" x14ac:dyDescent="0.2">
      <c r="AU852"/>
      <c r="AV852"/>
      <c r="AW852"/>
      <c r="AX852"/>
      <c r="AY852"/>
      <c r="BK852" s="42">
        <v>851</v>
      </c>
      <c r="BL852" s="127">
        <v>3</v>
      </c>
      <c r="BM852" s="127">
        <v>1.0626913437795575</v>
      </c>
      <c r="BN852" s="127" t="e">
        <v>#N/A</v>
      </c>
      <c r="BO852" s="127" t="e">
        <v>#N/A</v>
      </c>
      <c r="BP852" s="151">
        <v>1.0626913437795575</v>
      </c>
      <c r="BQ852" t="e">
        <v>#N/A</v>
      </c>
      <c r="BR852" t="str">
        <v/>
      </c>
    </row>
    <row r="853" spans="47:70" x14ac:dyDescent="0.2">
      <c r="AU853"/>
      <c r="AV853"/>
      <c r="AW853"/>
      <c r="AX853"/>
      <c r="AY853"/>
      <c r="BK853" s="42">
        <v>852</v>
      </c>
      <c r="BL853" s="127">
        <v>3</v>
      </c>
      <c r="BM853" s="127">
        <v>1.0626913437795575</v>
      </c>
      <c r="BN853" s="127" t="e">
        <v>#N/A</v>
      </c>
      <c r="BO853" s="127" t="e">
        <v>#N/A</v>
      </c>
      <c r="BP853" s="151">
        <v>1.0626913437795575</v>
      </c>
      <c r="BQ853" t="e">
        <v>#N/A</v>
      </c>
      <c r="BR853" t="str">
        <v/>
      </c>
    </row>
    <row r="854" spans="47:70" x14ac:dyDescent="0.2">
      <c r="AU854"/>
      <c r="AV854"/>
      <c r="AW854"/>
      <c r="AX854"/>
      <c r="AY854"/>
      <c r="BK854" s="42">
        <v>853</v>
      </c>
      <c r="BL854" s="127">
        <v>3</v>
      </c>
      <c r="BM854" s="127">
        <v>1.0626913437795575</v>
      </c>
      <c r="BN854" s="127" t="e">
        <v>#N/A</v>
      </c>
      <c r="BO854" s="127" t="e">
        <v>#N/A</v>
      </c>
      <c r="BP854" s="151">
        <v>1.0626913437795575</v>
      </c>
      <c r="BQ854" t="e">
        <v>#N/A</v>
      </c>
      <c r="BR854" t="str">
        <v/>
      </c>
    </row>
    <row r="855" spans="47:70" x14ac:dyDescent="0.2">
      <c r="AU855"/>
      <c r="AV855"/>
      <c r="AW855"/>
      <c r="AX855"/>
      <c r="AY855"/>
      <c r="BK855" s="42">
        <v>854</v>
      </c>
      <c r="BL855" s="127">
        <v>3</v>
      </c>
      <c r="BM855" s="127">
        <v>1.0626913437795575</v>
      </c>
      <c r="BN855" s="127" t="e">
        <v>#N/A</v>
      </c>
      <c r="BO855" s="127" t="e">
        <v>#N/A</v>
      </c>
      <c r="BP855" s="151">
        <v>1.0626913437795575</v>
      </c>
      <c r="BQ855" t="e">
        <v>#N/A</v>
      </c>
      <c r="BR855" t="str">
        <v/>
      </c>
    </row>
    <row r="856" spans="47:70" x14ac:dyDescent="0.2">
      <c r="AU856"/>
      <c r="AV856"/>
      <c r="AW856"/>
      <c r="AX856"/>
      <c r="AY856"/>
      <c r="BK856" s="42">
        <v>855</v>
      </c>
      <c r="BL856" s="127">
        <v>3</v>
      </c>
      <c r="BM856" s="127">
        <v>1.0626913437795575</v>
      </c>
      <c r="BN856" s="127" t="e">
        <v>#N/A</v>
      </c>
      <c r="BO856" s="127" t="e">
        <v>#N/A</v>
      </c>
      <c r="BP856" s="151">
        <v>1.0626913437795575</v>
      </c>
      <c r="BQ856" t="e">
        <v>#N/A</v>
      </c>
      <c r="BR856" t="str">
        <v/>
      </c>
    </row>
    <row r="857" spans="47:70" x14ac:dyDescent="0.2">
      <c r="AU857"/>
      <c r="AV857"/>
      <c r="AW857"/>
      <c r="AX857"/>
      <c r="AY857"/>
      <c r="BK857" s="42">
        <v>856</v>
      </c>
      <c r="BL857" s="127">
        <v>3</v>
      </c>
      <c r="BM857" s="127">
        <v>1.0626913437795575</v>
      </c>
      <c r="BN857" s="127" t="e">
        <v>#N/A</v>
      </c>
      <c r="BO857" s="127" t="e">
        <v>#N/A</v>
      </c>
      <c r="BP857" s="151">
        <v>1.0626913437795575</v>
      </c>
      <c r="BQ857" t="e">
        <v>#N/A</v>
      </c>
      <c r="BR857" t="str">
        <v/>
      </c>
    </row>
    <row r="858" spans="47:70" x14ac:dyDescent="0.2">
      <c r="AU858"/>
      <c r="AV858"/>
      <c r="AW858"/>
      <c r="AX858"/>
      <c r="AY858"/>
      <c r="BK858" s="42">
        <v>857</v>
      </c>
      <c r="BL858" s="127">
        <v>3</v>
      </c>
      <c r="BM858" s="127">
        <v>1.0626913437795575</v>
      </c>
      <c r="BN858" s="127" t="e">
        <v>#N/A</v>
      </c>
      <c r="BO858" s="127" t="e">
        <v>#N/A</v>
      </c>
      <c r="BP858" s="151">
        <v>1.0626913437795575</v>
      </c>
      <c r="BQ858" t="e">
        <v>#N/A</v>
      </c>
      <c r="BR858" t="str">
        <v/>
      </c>
    </row>
    <row r="859" spans="47:70" x14ac:dyDescent="0.2">
      <c r="AU859"/>
      <c r="AV859"/>
      <c r="AW859"/>
      <c r="AX859"/>
      <c r="AY859"/>
      <c r="BK859" s="42">
        <v>858</v>
      </c>
      <c r="BL859" s="127">
        <v>3</v>
      </c>
      <c r="BM859" s="127">
        <v>1.0626913437795575</v>
      </c>
      <c r="BN859" s="127" t="e">
        <v>#N/A</v>
      </c>
      <c r="BO859" s="127" t="e">
        <v>#N/A</v>
      </c>
      <c r="BP859" s="151">
        <v>1.0626913437795575</v>
      </c>
      <c r="BQ859" t="e">
        <v>#N/A</v>
      </c>
      <c r="BR859" t="str">
        <v/>
      </c>
    </row>
    <row r="860" spans="47:70" x14ac:dyDescent="0.2">
      <c r="AU860"/>
      <c r="AV860"/>
      <c r="AW860"/>
      <c r="AX860"/>
      <c r="AY860"/>
      <c r="BK860" s="42">
        <v>859</v>
      </c>
      <c r="BL860" s="127">
        <v>3</v>
      </c>
      <c r="BM860" s="127">
        <v>1.0626913437795575</v>
      </c>
      <c r="BN860" s="127" t="e">
        <v>#N/A</v>
      </c>
      <c r="BO860" s="127" t="e">
        <v>#N/A</v>
      </c>
      <c r="BP860" s="151">
        <v>1.0626913437795575</v>
      </c>
      <c r="BQ860" t="e">
        <v>#N/A</v>
      </c>
      <c r="BR860" t="str">
        <v/>
      </c>
    </row>
    <row r="861" spans="47:70" x14ac:dyDescent="0.2">
      <c r="AU861"/>
      <c r="AV861"/>
      <c r="AW861"/>
      <c r="AX861"/>
      <c r="AY861"/>
      <c r="BK861" s="42">
        <v>860</v>
      </c>
      <c r="BL861" s="127">
        <v>3</v>
      </c>
      <c r="BM861" s="127">
        <v>1.0626913437795575</v>
      </c>
      <c r="BN861" s="127" t="e">
        <v>#N/A</v>
      </c>
      <c r="BO861" s="127" t="e">
        <v>#N/A</v>
      </c>
      <c r="BP861" s="151">
        <v>1.0626913437795575</v>
      </c>
      <c r="BQ861" t="e">
        <v>#N/A</v>
      </c>
      <c r="BR861" t="str">
        <v/>
      </c>
    </row>
    <row r="862" spans="47:70" x14ac:dyDescent="0.2">
      <c r="AU862"/>
      <c r="AV862"/>
      <c r="AW862"/>
      <c r="AX862"/>
      <c r="AY862"/>
      <c r="BK862" s="42">
        <v>861</v>
      </c>
      <c r="BL862" s="127">
        <v>3</v>
      </c>
      <c r="BM862" s="127">
        <v>1.0626913437795575</v>
      </c>
      <c r="BN862" s="127" t="e">
        <v>#N/A</v>
      </c>
      <c r="BO862" s="127" t="e">
        <v>#N/A</v>
      </c>
      <c r="BP862" s="151">
        <v>1.0626913437795575</v>
      </c>
      <c r="BQ862" t="e">
        <v>#N/A</v>
      </c>
      <c r="BR862" t="str">
        <v/>
      </c>
    </row>
    <row r="863" spans="47:70" x14ac:dyDescent="0.2">
      <c r="AU863"/>
      <c r="AV863"/>
      <c r="AW863"/>
      <c r="AX863"/>
      <c r="AY863"/>
      <c r="BK863" s="42">
        <v>862</v>
      </c>
      <c r="BL863" s="127">
        <v>3</v>
      </c>
      <c r="BM863" s="127">
        <v>1.0626913437795575</v>
      </c>
      <c r="BN863" s="127" t="e">
        <v>#N/A</v>
      </c>
      <c r="BO863" s="127" t="e">
        <v>#N/A</v>
      </c>
      <c r="BP863" s="151">
        <v>1.0626913437795575</v>
      </c>
      <c r="BQ863" t="e">
        <v>#N/A</v>
      </c>
      <c r="BR863" t="str">
        <v/>
      </c>
    </row>
    <row r="864" spans="47:70" x14ac:dyDescent="0.2">
      <c r="AU864"/>
      <c r="AV864"/>
      <c r="AW864"/>
      <c r="AX864"/>
      <c r="AY864"/>
      <c r="BK864" s="42">
        <v>863</v>
      </c>
      <c r="BL864" s="127">
        <v>3</v>
      </c>
      <c r="BM864" s="127">
        <v>1.0626913437795575</v>
      </c>
      <c r="BN864" s="127" t="e">
        <v>#N/A</v>
      </c>
      <c r="BO864" s="127" t="e">
        <v>#N/A</v>
      </c>
      <c r="BP864" s="151">
        <v>1.0626913437795575</v>
      </c>
      <c r="BQ864" t="e">
        <v>#N/A</v>
      </c>
      <c r="BR864" t="str">
        <v/>
      </c>
    </row>
    <row r="865" spans="47:70" x14ac:dyDescent="0.2">
      <c r="AU865"/>
      <c r="AV865"/>
      <c r="AW865"/>
      <c r="AX865"/>
      <c r="AY865"/>
      <c r="BK865" s="42">
        <v>864</v>
      </c>
      <c r="BL865" s="127">
        <v>3</v>
      </c>
      <c r="BM865" s="127">
        <v>1.0626913437795575</v>
      </c>
      <c r="BN865" s="127" t="e">
        <v>#N/A</v>
      </c>
      <c r="BO865" s="127" t="e">
        <v>#N/A</v>
      </c>
      <c r="BP865" s="151">
        <v>1.0626913437795575</v>
      </c>
      <c r="BQ865" t="e">
        <v>#N/A</v>
      </c>
      <c r="BR865" t="str">
        <v/>
      </c>
    </row>
    <row r="866" spans="47:70" x14ac:dyDescent="0.2">
      <c r="AU866"/>
      <c r="AV866"/>
      <c r="AW866"/>
      <c r="AX866"/>
      <c r="AY866"/>
      <c r="BK866" s="42">
        <v>865</v>
      </c>
      <c r="BL866" s="127">
        <v>3</v>
      </c>
      <c r="BM866" s="127">
        <v>1.0626913437795575</v>
      </c>
      <c r="BN866" s="127" t="e">
        <v>#N/A</v>
      </c>
      <c r="BO866" s="127" t="e">
        <v>#N/A</v>
      </c>
      <c r="BP866" s="151">
        <v>1.0626913437795575</v>
      </c>
      <c r="BQ866" t="e">
        <v>#N/A</v>
      </c>
      <c r="BR866" t="str">
        <v/>
      </c>
    </row>
    <row r="867" spans="47:70" x14ac:dyDescent="0.2">
      <c r="AU867"/>
      <c r="AV867"/>
      <c r="AW867"/>
      <c r="AX867"/>
      <c r="AY867"/>
      <c r="BK867" s="42">
        <v>866</v>
      </c>
      <c r="BL867" s="127">
        <v>3</v>
      </c>
      <c r="BM867" s="127">
        <v>1.0626913437795575</v>
      </c>
      <c r="BN867" s="127" t="e">
        <v>#N/A</v>
      </c>
      <c r="BO867" s="127" t="e">
        <v>#N/A</v>
      </c>
      <c r="BP867" s="151">
        <v>1.0626913437795575</v>
      </c>
      <c r="BQ867" t="e">
        <v>#N/A</v>
      </c>
      <c r="BR867" t="str">
        <v/>
      </c>
    </row>
    <row r="868" spans="47:70" x14ac:dyDescent="0.2">
      <c r="AU868"/>
      <c r="AV868"/>
      <c r="AW868"/>
      <c r="AX868"/>
      <c r="AY868"/>
      <c r="BK868" s="42">
        <v>867</v>
      </c>
      <c r="BL868" s="127">
        <v>3</v>
      </c>
      <c r="BM868" s="127">
        <v>1.0626913437795575</v>
      </c>
      <c r="BN868" s="127" t="e">
        <v>#N/A</v>
      </c>
      <c r="BO868" s="127" t="e">
        <v>#N/A</v>
      </c>
      <c r="BP868" s="151">
        <v>1.0626913437795575</v>
      </c>
      <c r="BQ868" t="e">
        <v>#N/A</v>
      </c>
      <c r="BR868" t="str">
        <v/>
      </c>
    </row>
    <row r="869" spans="47:70" x14ac:dyDescent="0.2">
      <c r="AU869"/>
      <c r="AV869"/>
      <c r="AW869"/>
      <c r="AX869"/>
      <c r="AY869"/>
      <c r="BK869" s="42">
        <v>868</v>
      </c>
      <c r="BL869" s="127">
        <v>3</v>
      </c>
      <c r="BM869" s="127">
        <v>1.0626913437795575</v>
      </c>
      <c r="BN869" s="127" t="e">
        <v>#N/A</v>
      </c>
      <c r="BO869" s="127" t="e">
        <v>#N/A</v>
      </c>
      <c r="BP869" s="151">
        <v>1.0626913437795575</v>
      </c>
      <c r="BQ869" t="e">
        <v>#N/A</v>
      </c>
      <c r="BR869" t="str">
        <v/>
      </c>
    </row>
    <row r="870" spans="47:70" x14ac:dyDescent="0.2">
      <c r="AU870"/>
      <c r="AV870"/>
      <c r="AW870"/>
      <c r="AX870"/>
      <c r="AY870"/>
      <c r="BK870" s="42">
        <v>869</v>
      </c>
      <c r="BL870" s="127">
        <v>3</v>
      </c>
      <c r="BM870" s="127">
        <v>1.0626913437795575</v>
      </c>
      <c r="BN870" s="127" t="e">
        <v>#N/A</v>
      </c>
      <c r="BO870" s="127" t="e">
        <v>#N/A</v>
      </c>
      <c r="BP870" s="151">
        <v>1.0626913437795575</v>
      </c>
      <c r="BQ870" t="e">
        <v>#N/A</v>
      </c>
      <c r="BR870" t="str">
        <v/>
      </c>
    </row>
    <row r="871" spans="47:70" x14ac:dyDescent="0.2">
      <c r="AU871"/>
      <c r="AV871"/>
      <c r="AW871"/>
      <c r="AX871"/>
      <c r="AY871"/>
      <c r="BK871" s="42">
        <v>870</v>
      </c>
      <c r="BL871" s="127">
        <v>3</v>
      </c>
      <c r="BM871" s="127">
        <v>1.0626913437795575</v>
      </c>
      <c r="BN871" s="127" t="e">
        <v>#N/A</v>
      </c>
      <c r="BO871" s="127" t="e">
        <v>#N/A</v>
      </c>
      <c r="BP871" s="151">
        <v>1.0626913437795575</v>
      </c>
      <c r="BQ871" t="e">
        <v>#N/A</v>
      </c>
      <c r="BR871" t="str">
        <v/>
      </c>
    </row>
    <row r="872" spans="47:70" x14ac:dyDescent="0.2">
      <c r="AU872"/>
      <c r="AV872"/>
      <c r="AW872"/>
      <c r="AX872"/>
      <c r="AY872"/>
      <c r="BK872" s="42">
        <v>871</v>
      </c>
      <c r="BL872" s="127">
        <v>3</v>
      </c>
      <c r="BM872" s="127">
        <v>1.0626913437795575</v>
      </c>
      <c r="BN872" s="127" t="e">
        <v>#N/A</v>
      </c>
      <c r="BO872" s="127" t="e">
        <v>#N/A</v>
      </c>
      <c r="BP872" s="151">
        <v>1.0626913437795575</v>
      </c>
      <c r="BQ872" t="e">
        <v>#N/A</v>
      </c>
      <c r="BR872" t="str">
        <v/>
      </c>
    </row>
    <row r="873" spans="47:70" x14ac:dyDescent="0.2">
      <c r="AU873"/>
      <c r="AV873"/>
      <c r="AW873"/>
      <c r="AX873"/>
      <c r="AY873"/>
      <c r="BK873" s="42">
        <v>872</v>
      </c>
      <c r="BL873" s="127">
        <v>3</v>
      </c>
      <c r="BM873" s="127">
        <v>1.0626913437795575</v>
      </c>
      <c r="BN873" s="127" t="e">
        <v>#N/A</v>
      </c>
      <c r="BO873" s="127" t="e">
        <v>#N/A</v>
      </c>
      <c r="BP873" s="151">
        <v>1.0626913437795575</v>
      </c>
      <c r="BQ873" t="e">
        <v>#N/A</v>
      </c>
      <c r="BR873" t="str">
        <v/>
      </c>
    </row>
    <row r="874" spans="47:70" x14ac:dyDescent="0.2">
      <c r="AU874"/>
      <c r="AV874"/>
      <c r="AW874"/>
      <c r="AX874"/>
      <c r="AY874"/>
      <c r="BK874" s="42">
        <v>873</v>
      </c>
      <c r="BL874" s="127">
        <v>3</v>
      </c>
      <c r="BM874" s="127">
        <v>1.0626913437795575</v>
      </c>
      <c r="BN874" s="127" t="e">
        <v>#N/A</v>
      </c>
      <c r="BO874" s="127" t="e">
        <v>#N/A</v>
      </c>
      <c r="BP874" s="151">
        <v>1.0626913437795575</v>
      </c>
      <c r="BQ874" t="e">
        <v>#N/A</v>
      </c>
      <c r="BR874" t="str">
        <v/>
      </c>
    </row>
    <row r="875" spans="47:70" x14ac:dyDescent="0.2">
      <c r="AU875"/>
      <c r="AV875"/>
      <c r="AW875"/>
      <c r="AX875"/>
      <c r="AY875"/>
      <c r="BK875" s="42">
        <v>874</v>
      </c>
      <c r="BL875" s="127">
        <v>3</v>
      </c>
      <c r="BM875" s="127">
        <v>1.0626913437795575</v>
      </c>
      <c r="BN875" s="127" t="e">
        <v>#N/A</v>
      </c>
      <c r="BO875" s="127" t="e">
        <v>#N/A</v>
      </c>
      <c r="BP875" s="151">
        <v>1.0626913437795575</v>
      </c>
      <c r="BQ875" t="e">
        <v>#N/A</v>
      </c>
      <c r="BR875" t="str">
        <v/>
      </c>
    </row>
    <row r="876" spans="47:70" x14ac:dyDescent="0.2">
      <c r="AU876"/>
      <c r="AV876"/>
      <c r="AW876"/>
      <c r="AX876"/>
      <c r="AY876"/>
      <c r="BK876" s="42">
        <v>875</v>
      </c>
      <c r="BL876" s="127">
        <v>3</v>
      </c>
      <c r="BM876" s="127">
        <v>1.0626913437795575</v>
      </c>
      <c r="BN876" s="127" t="e">
        <v>#N/A</v>
      </c>
      <c r="BO876" s="127" t="e">
        <v>#N/A</v>
      </c>
      <c r="BP876" s="151">
        <v>1.0626913437795575</v>
      </c>
      <c r="BQ876" t="e">
        <v>#N/A</v>
      </c>
      <c r="BR876" t="str">
        <v/>
      </c>
    </row>
    <row r="877" spans="47:70" x14ac:dyDescent="0.2">
      <c r="AU877"/>
      <c r="AV877"/>
      <c r="AW877"/>
      <c r="AX877"/>
      <c r="AY877"/>
      <c r="BK877" s="42">
        <v>876</v>
      </c>
      <c r="BL877" s="127">
        <v>3</v>
      </c>
      <c r="BM877" s="127">
        <v>1.0626913437795575</v>
      </c>
      <c r="BN877" s="127" t="e">
        <v>#N/A</v>
      </c>
      <c r="BO877" s="127" t="e">
        <v>#N/A</v>
      </c>
      <c r="BP877" s="151">
        <v>1.0626913437795575</v>
      </c>
      <c r="BQ877" t="e">
        <v>#N/A</v>
      </c>
      <c r="BR877" t="str">
        <v/>
      </c>
    </row>
    <row r="878" spans="47:70" x14ac:dyDescent="0.2">
      <c r="AU878"/>
      <c r="AV878"/>
      <c r="AW878"/>
      <c r="AX878"/>
      <c r="AY878"/>
      <c r="BK878" s="42">
        <v>877</v>
      </c>
      <c r="BL878" s="127">
        <v>3</v>
      </c>
      <c r="BM878" s="127">
        <v>1.0626913437795575</v>
      </c>
      <c r="BN878" s="127" t="e">
        <v>#N/A</v>
      </c>
      <c r="BO878" s="127" t="e">
        <v>#N/A</v>
      </c>
      <c r="BP878" s="151">
        <v>1.0626913437795575</v>
      </c>
      <c r="BQ878" t="e">
        <v>#N/A</v>
      </c>
      <c r="BR878" t="str">
        <v/>
      </c>
    </row>
    <row r="879" spans="47:70" x14ac:dyDescent="0.2">
      <c r="AU879"/>
      <c r="AV879"/>
      <c r="AW879"/>
      <c r="AX879"/>
      <c r="AY879"/>
      <c r="BK879" s="42">
        <v>878</v>
      </c>
      <c r="BL879" s="127">
        <v>3</v>
      </c>
      <c r="BM879" s="127">
        <v>1.0626913437795575</v>
      </c>
      <c r="BN879" s="127" t="e">
        <v>#N/A</v>
      </c>
      <c r="BO879" s="127" t="e">
        <v>#N/A</v>
      </c>
      <c r="BP879" s="151">
        <v>1.0626913437795575</v>
      </c>
      <c r="BQ879" t="e">
        <v>#N/A</v>
      </c>
      <c r="BR879" t="str">
        <v/>
      </c>
    </row>
    <row r="880" spans="47:70" x14ac:dyDescent="0.2">
      <c r="AU880"/>
      <c r="AV880"/>
      <c r="AW880"/>
      <c r="AX880"/>
      <c r="AY880"/>
      <c r="BK880" s="42">
        <v>879</v>
      </c>
      <c r="BL880" s="127">
        <v>3</v>
      </c>
      <c r="BM880" s="127">
        <v>1.0626913437795575</v>
      </c>
      <c r="BN880" s="127" t="e">
        <v>#N/A</v>
      </c>
      <c r="BO880" s="127" t="e">
        <v>#N/A</v>
      </c>
      <c r="BP880" s="151">
        <v>1.0626913437795575</v>
      </c>
      <c r="BQ880" t="e">
        <v>#N/A</v>
      </c>
      <c r="BR880" t="str">
        <v/>
      </c>
    </row>
    <row r="881" spans="47:70" x14ac:dyDescent="0.2">
      <c r="AU881"/>
      <c r="AV881"/>
      <c r="AW881"/>
      <c r="AX881"/>
      <c r="AY881"/>
      <c r="BK881" s="42">
        <v>880</v>
      </c>
      <c r="BL881" s="127">
        <v>3</v>
      </c>
      <c r="BM881" s="127">
        <v>1.0626913437795575</v>
      </c>
      <c r="BN881" s="127" t="e">
        <v>#N/A</v>
      </c>
      <c r="BO881" s="127" t="e">
        <v>#N/A</v>
      </c>
      <c r="BP881" s="151">
        <v>1.0626913437795575</v>
      </c>
      <c r="BQ881" t="e">
        <v>#N/A</v>
      </c>
      <c r="BR881" t="str">
        <v/>
      </c>
    </row>
    <row r="882" spans="47:70" x14ac:dyDescent="0.2">
      <c r="AU882"/>
      <c r="AV882"/>
      <c r="AW882"/>
      <c r="AX882"/>
      <c r="AY882"/>
      <c r="BK882" s="42">
        <v>881</v>
      </c>
      <c r="BL882" s="127">
        <v>3</v>
      </c>
      <c r="BM882" s="127">
        <v>1.0626913437795575</v>
      </c>
      <c r="BN882" s="127" t="e">
        <v>#N/A</v>
      </c>
      <c r="BO882" s="127" t="e">
        <v>#N/A</v>
      </c>
      <c r="BP882" s="151">
        <v>1.0626913437795575</v>
      </c>
      <c r="BQ882" t="e">
        <v>#N/A</v>
      </c>
      <c r="BR882" t="str">
        <v/>
      </c>
    </row>
    <row r="883" spans="47:70" x14ac:dyDescent="0.2">
      <c r="AU883"/>
      <c r="AV883"/>
      <c r="AW883"/>
      <c r="AX883"/>
      <c r="AY883"/>
      <c r="BK883" s="42">
        <v>882</v>
      </c>
      <c r="BL883" s="127">
        <v>3</v>
      </c>
      <c r="BM883" s="127">
        <v>1.0626913437795575</v>
      </c>
      <c r="BN883" s="127" t="e">
        <v>#N/A</v>
      </c>
      <c r="BO883" s="127" t="e">
        <v>#N/A</v>
      </c>
      <c r="BP883" s="151">
        <v>1.0626913437795575</v>
      </c>
      <c r="BQ883" t="e">
        <v>#N/A</v>
      </c>
      <c r="BR883" t="str">
        <v/>
      </c>
    </row>
    <row r="884" spans="47:70" x14ac:dyDescent="0.2">
      <c r="AU884"/>
      <c r="AV884"/>
      <c r="AW884"/>
      <c r="AX884"/>
      <c r="AY884"/>
      <c r="BK884" s="42">
        <v>883</v>
      </c>
      <c r="BL884" s="127">
        <v>3</v>
      </c>
      <c r="BM884" s="127">
        <v>1.0626913437795575</v>
      </c>
      <c r="BN884" s="127" t="e">
        <v>#N/A</v>
      </c>
      <c r="BO884" s="127" t="e">
        <v>#N/A</v>
      </c>
      <c r="BP884" s="151">
        <v>1.0626913437795575</v>
      </c>
      <c r="BQ884" t="e">
        <v>#N/A</v>
      </c>
      <c r="BR884" t="str">
        <v/>
      </c>
    </row>
    <row r="885" spans="47:70" x14ac:dyDescent="0.2">
      <c r="AU885"/>
      <c r="AV885"/>
      <c r="AW885"/>
      <c r="AX885"/>
      <c r="AY885"/>
      <c r="BK885" s="42">
        <v>884</v>
      </c>
      <c r="BL885" s="127">
        <v>3</v>
      </c>
      <c r="BM885" s="127">
        <v>1.0626913437795575</v>
      </c>
      <c r="BN885" s="127" t="e">
        <v>#N/A</v>
      </c>
      <c r="BO885" s="127" t="e">
        <v>#N/A</v>
      </c>
      <c r="BP885" s="151">
        <v>1.0626913437795575</v>
      </c>
      <c r="BQ885" t="e">
        <v>#N/A</v>
      </c>
      <c r="BR885" t="str">
        <v/>
      </c>
    </row>
    <row r="886" spans="47:70" x14ac:dyDescent="0.2">
      <c r="AU886"/>
      <c r="AV886"/>
      <c r="AW886"/>
      <c r="AX886"/>
      <c r="AY886"/>
      <c r="BK886" s="42">
        <v>885</v>
      </c>
      <c r="BL886" s="127">
        <v>3</v>
      </c>
      <c r="BM886" s="127">
        <v>1.0626913437795575</v>
      </c>
      <c r="BN886" s="127" t="e">
        <v>#N/A</v>
      </c>
      <c r="BO886" s="127" t="e">
        <v>#N/A</v>
      </c>
      <c r="BP886" s="151">
        <v>1.0626913437795575</v>
      </c>
      <c r="BQ886" t="e">
        <v>#N/A</v>
      </c>
      <c r="BR886" t="str">
        <v/>
      </c>
    </row>
    <row r="887" spans="47:70" x14ac:dyDescent="0.2">
      <c r="AU887"/>
      <c r="AV887"/>
      <c r="AW887"/>
      <c r="AX887"/>
      <c r="AY887"/>
      <c r="BK887" s="42">
        <v>886</v>
      </c>
      <c r="BL887" s="127">
        <v>3</v>
      </c>
      <c r="BM887" s="127">
        <v>1.0626913437795575</v>
      </c>
      <c r="BN887" s="127" t="e">
        <v>#N/A</v>
      </c>
      <c r="BO887" s="127" t="e">
        <v>#N/A</v>
      </c>
      <c r="BP887" s="151">
        <v>1.0626913437795575</v>
      </c>
      <c r="BQ887" t="e">
        <v>#N/A</v>
      </c>
      <c r="BR887" t="str">
        <v/>
      </c>
    </row>
    <row r="888" spans="47:70" x14ac:dyDescent="0.2">
      <c r="AU888"/>
      <c r="AV888"/>
      <c r="AW888"/>
      <c r="AX888"/>
      <c r="AY888"/>
      <c r="BK888" s="42">
        <v>887</v>
      </c>
      <c r="BL888" s="127">
        <v>3</v>
      </c>
      <c r="BM888" s="127">
        <v>1.0626913437795575</v>
      </c>
      <c r="BN888" s="127" t="e">
        <v>#N/A</v>
      </c>
      <c r="BO888" s="127" t="e">
        <v>#N/A</v>
      </c>
      <c r="BP888" s="151">
        <v>1.0626913437795575</v>
      </c>
      <c r="BQ888" t="e">
        <v>#N/A</v>
      </c>
      <c r="BR888" t="str">
        <v/>
      </c>
    </row>
    <row r="889" spans="47:70" x14ac:dyDescent="0.2">
      <c r="AU889"/>
      <c r="AV889"/>
      <c r="AW889"/>
      <c r="AX889"/>
      <c r="AY889"/>
      <c r="BK889" s="42">
        <v>888</v>
      </c>
      <c r="BL889" s="127">
        <v>3</v>
      </c>
      <c r="BM889" s="127">
        <v>1.0626913437795575</v>
      </c>
      <c r="BN889" s="127" t="e">
        <v>#N/A</v>
      </c>
      <c r="BO889" s="127" t="e">
        <v>#N/A</v>
      </c>
      <c r="BP889" s="151">
        <v>1.0626913437795575</v>
      </c>
      <c r="BQ889" t="e">
        <v>#N/A</v>
      </c>
      <c r="BR889" t="str">
        <v/>
      </c>
    </row>
    <row r="890" spans="47:70" x14ac:dyDescent="0.2">
      <c r="AU890"/>
      <c r="AV890"/>
      <c r="AW890"/>
      <c r="AX890"/>
      <c r="AY890"/>
      <c r="BK890" s="42">
        <v>889</v>
      </c>
      <c r="BL890" s="127">
        <v>3</v>
      </c>
      <c r="BM890" s="127">
        <v>1.0626913437795575</v>
      </c>
      <c r="BN890" s="127" t="e">
        <v>#N/A</v>
      </c>
      <c r="BO890" s="127" t="e">
        <v>#N/A</v>
      </c>
      <c r="BP890" s="151">
        <v>1.0626913437795575</v>
      </c>
      <c r="BQ890" t="e">
        <v>#N/A</v>
      </c>
      <c r="BR890" t="str">
        <v/>
      </c>
    </row>
    <row r="891" spans="47:70" x14ac:dyDescent="0.2">
      <c r="AU891"/>
      <c r="AV891"/>
      <c r="AW891"/>
      <c r="AX891"/>
      <c r="AY891"/>
      <c r="BK891" s="42">
        <v>890</v>
      </c>
      <c r="BL891" s="127">
        <v>3</v>
      </c>
      <c r="BM891" s="127">
        <v>1.0626913437795575</v>
      </c>
      <c r="BN891" s="127" t="e">
        <v>#N/A</v>
      </c>
      <c r="BO891" s="127" t="e">
        <v>#N/A</v>
      </c>
      <c r="BP891" s="151">
        <v>1.0626913437795575</v>
      </c>
      <c r="BQ891" t="e">
        <v>#N/A</v>
      </c>
      <c r="BR891" t="str">
        <v/>
      </c>
    </row>
    <row r="892" spans="47:70" x14ac:dyDescent="0.2">
      <c r="AU892"/>
      <c r="AV892"/>
      <c r="AW892"/>
      <c r="AX892"/>
      <c r="AY892"/>
      <c r="BK892" s="42">
        <v>891</v>
      </c>
      <c r="BL892" s="127">
        <v>3</v>
      </c>
      <c r="BM892" s="127">
        <v>1.0626913437795575</v>
      </c>
      <c r="BN892" s="127" t="e">
        <v>#N/A</v>
      </c>
      <c r="BO892" s="127" t="e">
        <v>#N/A</v>
      </c>
      <c r="BP892" s="151">
        <v>1.0626913437795575</v>
      </c>
      <c r="BQ892" t="e">
        <v>#N/A</v>
      </c>
      <c r="BR892" t="str">
        <v/>
      </c>
    </row>
    <row r="893" spans="47:70" x14ac:dyDescent="0.2">
      <c r="AU893"/>
      <c r="AV893"/>
      <c r="AW893"/>
      <c r="AX893"/>
      <c r="AY893"/>
      <c r="BK893" s="42">
        <v>892</v>
      </c>
      <c r="BL893" s="127">
        <v>3</v>
      </c>
      <c r="BM893" s="127">
        <v>1.0626913437795575</v>
      </c>
      <c r="BN893" s="127" t="e">
        <v>#N/A</v>
      </c>
      <c r="BO893" s="127" t="e">
        <v>#N/A</v>
      </c>
      <c r="BP893" s="151">
        <v>1.0626913437795575</v>
      </c>
      <c r="BQ893" t="e">
        <v>#N/A</v>
      </c>
      <c r="BR893" t="str">
        <v/>
      </c>
    </row>
    <row r="894" spans="47:70" x14ac:dyDescent="0.2">
      <c r="AU894"/>
      <c r="AV894"/>
      <c r="AW894"/>
      <c r="AX894"/>
      <c r="AY894"/>
      <c r="BK894" s="42">
        <v>893</v>
      </c>
      <c r="BL894" s="127">
        <v>3</v>
      </c>
      <c r="BM894" s="127">
        <v>1.0626913437795575</v>
      </c>
      <c r="BN894" s="127" t="e">
        <v>#N/A</v>
      </c>
      <c r="BO894" s="127" t="e">
        <v>#N/A</v>
      </c>
      <c r="BP894" s="151">
        <v>1.0626913437795575</v>
      </c>
      <c r="BQ894" t="e">
        <v>#N/A</v>
      </c>
      <c r="BR894" t="str">
        <v/>
      </c>
    </row>
    <row r="895" spans="47:70" x14ac:dyDescent="0.2">
      <c r="AU895"/>
      <c r="AV895"/>
      <c r="AW895"/>
      <c r="AX895"/>
      <c r="AY895"/>
      <c r="BK895" s="42">
        <v>894</v>
      </c>
      <c r="BL895" s="127">
        <v>3</v>
      </c>
      <c r="BM895" s="127">
        <v>1.0626913437795575</v>
      </c>
      <c r="BN895" s="127" t="e">
        <v>#N/A</v>
      </c>
      <c r="BO895" s="127" t="e">
        <v>#N/A</v>
      </c>
      <c r="BP895" s="151">
        <v>1.0626913437795575</v>
      </c>
      <c r="BQ895" t="e">
        <v>#N/A</v>
      </c>
      <c r="BR895" t="str">
        <v/>
      </c>
    </row>
    <row r="896" spans="47:70" x14ac:dyDescent="0.2">
      <c r="AU896"/>
      <c r="AV896"/>
      <c r="AW896"/>
      <c r="AX896"/>
      <c r="AY896"/>
      <c r="BK896" s="42">
        <v>895</v>
      </c>
      <c r="BL896" s="127">
        <v>3</v>
      </c>
      <c r="BM896" s="127">
        <v>1.0626913437795575</v>
      </c>
      <c r="BN896" s="127" t="e">
        <v>#N/A</v>
      </c>
      <c r="BO896" s="127" t="e">
        <v>#N/A</v>
      </c>
      <c r="BP896" s="151">
        <v>1.0626913437795575</v>
      </c>
      <c r="BQ896" t="e">
        <v>#N/A</v>
      </c>
      <c r="BR896" t="str">
        <v/>
      </c>
    </row>
    <row r="897" spans="47:70" x14ac:dyDescent="0.2">
      <c r="AU897"/>
      <c r="AV897"/>
      <c r="AW897"/>
      <c r="AX897"/>
      <c r="AY897"/>
      <c r="BK897" s="42">
        <v>896</v>
      </c>
      <c r="BL897" s="127">
        <v>3</v>
      </c>
      <c r="BM897" s="127">
        <v>1.0626913437795575</v>
      </c>
      <c r="BN897" s="127" t="e">
        <v>#N/A</v>
      </c>
      <c r="BO897" s="127" t="e">
        <v>#N/A</v>
      </c>
      <c r="BP897" s="151">
        <v>1.0626913437795575</v>
      </c>
      <c r="BQ897" t="e">
        <v>#N/A</v>
      </c>
      <c r="BR897" t="str">
        <v/>
      </c>
    </row>
    <row r="898" spans="47:70" x14ac:dyDescent="0.2">
      <c r="AU898"/>
      <c r="AV898"/>
      <c r="AW898"/>
      <c r="AX898"/>
      <c r="AY898"/>
      <c r="BK898" s="42">
        <v>897</v>
      </c>
      <c r="BL898" s="127">
        <v>3</v>
      </c>
      <c r="BM898" s="127">
        <v>1.0626913437795575</v>
      </c>
      <c r="BN898" s="127" t="e">
        <v>#N/A</v>
      </c>
      <c r="BO898" s="127" t="e">
        <v>#N/A</v>
      </c>
      <c r="BP898" s="151">
        <v>1.0626913437795575</v>
      </c>
      <c r="BQ898" t="e">
        <v>#N/A</v>
      </c>
      <c r="BR898" t="str">
        <v/>
      </c>
    </row>
    <row r="899" spans="47:70" x14ac:dyDescent="0.2">
      <c r="AU899"/>
      <c r="AV899"/>
      <c r="AW899"/>
      <c r="AX899"/>
      <c r="AY899"/>
      <c r="BK899" s="42">
        <v>898</v>
      </c>
      <c r="BL899" s="127">
        <v>3</v>
      </c>
      <c r="BM899" s="127">
        <v>1.0626913437795575</v>
      </c>
      <c r="BN899" s="127" t="e">
        <v>#N/A</v>
      </c>
      <c r="BO899" s="127" t="e">
        <v>#N/A</v>
      </c>
      <c r="BP899" s="151">
        <v>1.0626913437795575</v>
      </c>
      <c r="BQ899" t="e">
        <v>#N/A</v>
      </c>
      <c r="BR899" t="str">
        <v/>
      </c>
    </row>
    <row r="900" spans="47:70" x14ac:dyDescent="0.2">
      <c r="AU900"/>
      <c r="AV900"/>
      <c r="AW900"/>
      <c r="AX900"/>
      <c r="AY900"/>
      <c r="BK900" s="42">
        <v>899</v>
      </c>
      <c r="BL900" s="127">
        <v>3</v>
      </c>
      <c r="BM900" s="127">
        <v>1.0626913437795575</v>
      </c>
      <c r="BN900" s="127" t="e">
        <v>#N/A</v>
      </c>
      <c r="BO900" s="127" t="e">
        <v>#N/A</v>
      </c>
      <c r="BP900" s="151">
        <v>1.0626913437795575</v>
      </c>
      <c r="BQ900" t="e">
        <v>#N/A</v>
      </c>
      <c r="BR900" t="str">
        <v/>
      </c>
    </row>
    <row r="901" spans="47:70" x14ac:dyDescent="0.2">
      <c r="AU901"/>
      <c r="AV901"/>
      <c r="AW901"/>
      <c r="AX901"/>
      <c r="AY901"/>
      <c r="BK901" s="42">
        <v>900</v>
      </c>
      <c r="BL901" s="127">
        <v>3</v>
      </c>
      <c r="BM901" s="127">
        <v>1.0626913437795575</v>
      </c>
      <c r="BN901" s="127" t="e">
        <v>#N/A</v>
      </c>
      <c r="BO901" s="127" t="e">
        <v>#N/A</v>
      </c>
      <c r="BP901" s="151">
        <v>1.0626913437795575</v>
      </c>
      <c r="BQ901" t="e">
        <v>#N/A</v>
      </c>
      <c r="BR901" t="str">
        <v/>
      </c>
    </row>
    <row r="902" spans="47:70" x14ac:dyDescent="0.2">
      <c r="AU902"/>
      <c r="AV902"/>
      <c r="AW902"/>
      <c r="AX902"/>
      <c r="AY902"/>
      <c r="BK902" s="42">
        <v>901</v>
      </c>
      <c r="BL902" s="127">
        <v>3</v>
      </c>
      <c r="BM902" s="127">
        <v>1.0626913437795575</v>
      </c>
      <c r="BN902" s="127" t="e">
        <v>#N/A</v>
      </c>
      <c r="BO902" s="127" t="e">
        <v>#N/A</v>
      </c>
      <c r="BP902" s="151">
        <v>1.0626913437795575</v>
      </c>
      <c r="BQ902" t="e">
        <v>#N/A</v>
      </c>
      <c r="BR902" t="str">
        <v/>
      </c>
    </row>
    <row r="903" spans="47:70" x14ac:dyDescent="0.2">
      <c r="AU903"/>
      <c r="AV903"/>
      <c r="AW903"/>
      <c r="AX903"/>
      <c r="AY903"/>
      <c r="BK903" s="42">
        <v>902</v>
      </c>
      <c r="BL903" s="127">
        <v>3</v>
      </c>
      <c r="BM903" s="127">
        <v>1.0626913437795575</v>
      </c>
      <c r="BN903" s="127" t="e">
        <v>#N/A</v>
      </c>
      <c r="BO903" s="127" t="e">
        <v>#N/A</v>
      </c>
      <c r="BP903" s="151">
        <v>1.0626913437795575</v>
      </c>
      <c r="BQ903" t="e">
        <v>#N/A</v>
      </c>
      <c r="BR903" t="str">
        <v/>
      </c>
    </row>
    <row r="904" spans="47:70" x14ac:dyDescent="0.2">
      <c r="AU904"/>
      <c r="AV904"/>
      <c r="AW904"/>
      <c r="AX904"/>
      <c r="AY904"/>
      <c r="BK904" s="42">
        <v>903</v>
      </c>
      <c r="BL904" s="127">
        <v>3</v>
      </c>
      <c r="BM904" s="127">
        <v>1.0626913437795575</v>
      </c>
      <c r="BN904" s="127" t="e">
        <v>#N/A</v>
      </c>
      <c r="BO904" s="127" t="e">
        <v>#N/A</v>
      </c>
      <c r="BP904" s="151">
        <v>1.0626913437795575</v>
      </c>
      <c r="BQ904" t="e">
        <v>#N/A</v>
      </c>
      <c r="BR904" t="str">
        <v/>
      </c>
    </row>
    <row r="905" spans="47:70" x14ac:dyDescent="0.2">
      <c r="AU905"/>
      <c r="AV905"/>
      <c r="AW905"/>
      <c r="AX905"/>
      <c r="AY905"/>
      <c r="BK905" s="42">
        <v>904</v>
      </c>
      <c r="BL905" s="127">
        <v>3</v>
      </c>
      <c r="BM905" s="127">
        <v>1.0626913437795575</v>
      </c>
      <c r="BN905" s="127" t="e">
        <v>#N/A</v>
      </c>
      <c r="BO905" s="127" t="e">
        <v>#N/A</v>
      </c>
      <c r="BP905" s="151">
        <v>1.0626913437795575</v>
      </c>
      <c r="BQ905" t="e">
        <v>#N/A</v>
      </c>
      <c r="BR905" t="str">
        <v/>
      </c>
    </row>
    <row r="906" spans="47:70" x14ac:dyDescent="0.2">
      <c r="AU906"/>
      <c r="AV906"/>
      <c r="AW906"/>
      <c r="AX906"/>
      <c r="AY906"/>
      <c r="BK906" s="42">
        <v>905</v>
      </c>
      <c r="BL906" s="127">
        <v>3</v>
      </c>
      <c r="BM906" s="127">
        <v>1.0626913437795575</v>
      </c>
      <c r="BN906" s="127" t="e">
        <v>#N/A</v>
      </c>
      <c r="BO906" s="127" t="e">
        <v>#N/A</v>
      </c>
      <c r="BP906" s="151">
        <v>1.0626913437795575</v>
      </c>
      <c r="BQ906" t="e">
        <v>#N/A</v>
      </c>
      <c r="BR906" t="str">
        <v/>
      </c>
    </row>
    <row r="907" spans="47:70" x14ac:dyDescent="0.2">
      <c r="AU907"/>
      <c r="AV907"/>
      <c r="AW907"/>
      <c r="AX907"/>
      <c r="AY907"/>
      <c r="BK907" s="42">
        <v>906</v>
      </c>
      <c r="BL907" s="127">
        <v>3</v>
      </c>
      <c r="BM907" s="127">
        <v>1.0626913437795575</v>
      </c>
      <c r="BN907" s="127" t="e">
        <v>#N/A</v>
      </c>
      <c r="BO907" s="127" t="e">
        <v>#N/A</v>
      </c>
      <c r="BP907" s="151">
        <v>1.0626913437795575</v>
      </c>
      <c r="BQ907" t="e">
        <v>#N/A</v>
      </c>
      <c r="BR907" t="str">
        <v/>
      </c>
    </row>
    <row r="908" spans="47:70" x14ac:dyDescent="0.2">
      <c r="AU908"/>
      <c r="AV908"/>
      <c r="AW908"/>
      <c r="AX908"/>
      <c r="AY908"/>
      <c r="BK908" s="42">
        <v>907</v>
      </c>
      <c r="BL908" s="127">
        <v>3</v>
      </c>
      <c r="BM908" s="127">
        <v>1.0626913437795575</v>
      </c>
      <c r="BN908" s="127" t="e">
        <v>#N/A</v>
      </c>
      <c r="BO908" s="127" t="e">
        <v>#N/A</v>
      </c>
      <c r="BP908" s="151">
        <v>1.0626913437795575</v>
      </c>
      <c r="BQ908" t="e">
        <v>#N/A</v>
      </c>
      <c r="BR908" t="str">
        <v/>
      </c>
    </row>
    <row r="909" spans="47:70" x14ac:dyDescent="0.2">
      <c r="AU909"/>
      <c r="AV909"/>
      <c r="AW909"/>
      <c r="AX909"/>
      <c r="AY909"/>
      <c r="BK909" s="42">
        <v>908</v>
      </c>
      <c r="BL909" s="127">
        <v>3</v>
      </c>
      <c r="BM909" s="127">
        <v>1.0626913437795575</v>
      </c>
      <c r="BN909" s="127" t="e">
        <v>#N/A</v>
      </c>
      <c r="BO909" s="127" t="e">
        <v>#N/A</v>
      </c>
      <c r="BP909" s="151">
        <v>1.0626913437795575</v>
      </c>
      <c r="BQ909" t="e">
        <v>#N/A</v>
      </c>
      <c r="BR909" t="str">
        <v/>
      </c>
    </row>
    <row r="910" spans="47:70" x14ac:dyDescent="0.2">
      <c r="AU910"/>
      <c r="AV910"/>
      <c r="AW910"/>
      <c r="AX910"/>
      <c r="AY910"/>
      <c r="BK910" s="42">
        <v>909</v>
      </c>
      <c r="BL910" s="127">
        <v>3</v>
      </c>
      <c r="BM910" s="127">
        <v>1.0626913437795575</v>
      </c>
      <c r="BN910" s="127" t="e">
        <v>#N/A</v>
      </c>
      <c r="BO910" s="127" t="e">
        <v>#N/A</v>
      </c>
      <c r="BP910" s="151">
        <v>1.0626913437795575</v>
      </c>
      <c r="BQ910" t="e">
        <v>#N/A</v>
      </c>
      <c r="BR910" t="str">
        <v/>
      </c>
    </row>
    <row r="911" spans="47:70" x14ac:dyDescent="0.2">
      <c r="AU911"/>
      <c r="AV911"/>
      <c r="AW911"/>
      <c r="AX911"/>
      <c r="AY911"/>
      <c r="BK911" s="42">
        <v>910</v>
      </c>
      <c r="BL911" s="127">
        <v>3</v>
      </c>
      <c r="BM911" s="127">
        <v>1.0626913437795575</v>
      </c>
      <c r="BN911" s="127" t="e">
        <v>#N/A</v>
      </c>
      <c r="BO911" s="127" t="e">
        <v>#N/A</v>
      </c>
      <c r="BP911" s="151">
        <v>1.0626913437795575</v>
      </c>
      <c r="BQ911" t="e">
        <v>#N/A</v>
      </c>
      <c r="BR911" t="str">
        <v/>
      </c>
    </row>
    <row r="912" spans="47:70" x14ac:dyDescent="0.2">
      <c r="AU912"/>
      <c r="AV912"/>
      <c r="AW912"/>
      <c r="AX912"/>
      <c r="AY912"/>
      <c r="BK912" s="42">
        <v>911</v>
      </c>
      <c r="BL912" s="127">
        <v>3</v>
      </c>
      <c r="BM912" s="127">
        <v>1.0626913437795575</v>
      </c>
      <c r="BN912" s="127" t="e">
        <v>#N/A</v>
      </c>
      <c r="BO912" s="127" t="e">
        <v>#N/A</v>
      </c>
      <c r="BP912" s="151">
        <v>1.0626913437795575</v>
      </c>
      <c r="BQ912" t="e">
        <v>#N/A</v>
      </c>
      <c r="BR912" t="str">
        <v/>
      </c>
    </row>
    <row r="913" spans="47:70" x14ac:dyDescent="0.2">
      <c r="AU913"/>
      <c r="AV913"/>
      <c r="AW913"/>
      <c r="AX913"/>
      <c r="AY913"/>
      <c r="BK913" s="42">
        <v>912</v>
      </c>
      <c r="BL913" s="127">
        <v>3</v>
      </c>
      <c r="BM913" s="127">
        <v>1.0626913437795575</v>
      </c>
      <c r="BN913" s="127" t="e">
        <v>#N/A</v>
      </c>
      <c r="BO913" s="127" t="e">
        <v>#N/A</v>
      </c>
      <c r="BP913" s="151">
        <v>1.0626913437795575</v>
      </c>
      <c r="BQ913" t="e">
        <v>#N/A</v>
      </c>
      <c r="BR913" t="str">
        <v/>
      </c>
    </row>
    <row r="914" spans="47:70" x14ac:dyDescent="0.2">
      <c r="AU914"/>
      <c r="AV914"/>
      <c r="AW914"/>
      <c r="AX914"/>
      <c r="AY914"/>
      <c r="BK914" s="42">
        <v>913</v>
      </c>
      <c r="BL914" s="127">
        <v>3</v>
      </c>
      <c r="BM914" s="127">
        <v>1.0626913437795575</v>
      </c>
      <c r="BN914" s="127" t="e">
        <v>#N/A</v>
      </c>
      <c r="BO914" s="127" t="e">
        <v>#N/A</v>
      </c>
      <c r="BP914" s="151">
        <v>1.0626913437795575</v>
      </c>
      <c r="BQ914" t="e">
        <v>#N/A</v>
      </c>
      <c r="BR914" t="str">
        <v/>
      </c>
    </row>
    <row r="915" spans="47:70" x14ac:dyDescent="0.2">
      <c r="AU915"/>
      <c r="AV915"/>
      <c r="AW915"/>
      <c r="AX915"/>
      <c r="AY915"/>
      <c r="BK915" s="42">
        <v>914</v>
      </c>
      <c r="BL915" s="127">
        <v>3</v>
      </c>
      <c r="BM915" s="127">
        <v>1.0626913437795575</v>
      </c>
      <c r="BN915" s="127" t="e">
        <v>#N/A</v>
      </c>
      <c r="BO915" s="127" t="e">
        <v>#N/A</v>
      </c>
      <c r="BP915" s="151">
        <v>1.0626913437795575</v>
      </c>
      <c r="BQ915" t="e">
        <v>#N/A</v>
      </c>
      <c r="BR915" t="str">
        <v/>
      </c>
    </row>
    <row r="916" spans="47:70" x14ac:dyDescent="0.2">
      <c r="AU916"/>
      <c r="AV916"/>
      <c r="AW916"/>
      <c r="AX916"/>
      <c r="AY916"/>
      <c r="BK916" s="42">
        <v>915</v>
      </c>
      <c r="BL916" s="127">
        <v>3</v>
      </c>
      <c r="BM916" s="127">
        <v>1.0626913437795575</v>
      </c>
      <c r="BN916" s="127" t="e">
        <v>#N/A</v>
      </c>
      <c r="BO916" s="127" t="e">
        <v>#N/A</v>
      </c>
      <c r="BP916" s="151">
        <v>1.0626913437795575</v>
      </c>
      <c r="BQ916" t="e">
        <v>#N/A</v>
      </c>
      <c r="BR916" t="str">
        <v/>
      </c>
    </row>
    <row r="917" spans="47:70" x14ac:dyDescent="0.2">
      <c r="AU917"/>
      <c r="AV917"/>
      <c r="AW917"/>
      <c r="AX917"/>
      <c r="AY917"/>
      <c r="BK917" s="42">
        <v>916</v>
      </c>
      <c r="BL917" s="127">
        <v>3</v>
      </c>
      <c r="BM917" s="127">
        <v>1.0626913437795575</v>
      </c>
      <c r="BN917" s="127" t="e">
        <v>#N/A</v>
      </c>
      <c r="BO917" s="127" t="e">
        <v>#N/A</v>
      </c>
      <c r="BP917" s="151">
        <v>1.0626913437795575</v>
      </c>
      <c r="BQ917" t="e">
        <v>#N/A</v>
      </c>
      <c r="BR917" t="str">
        <v/>
      </c>
    </row>
    <row r="918" spans="47:70" x14ac:dyDescent="0.2">
      <c r="AU918"/>
      <c r="AV918"/>
      <c r="AW918"/>
      <c r="AX918"/>
      <c r="AY918"/>
      <c r="BK918" s="42">
        <v>917</v>
      </c>
      <c r="BL918" s="127">
        <v>3</v>
      </c>
      <c r="BM918" s="127">
        <v>1.0626913437795575</v>
      </c>
      <c r="BN918" s="127" t="e">
        <v>#N/A</v>
      </c>
      <c r="BO918" s="127" t="e">
        <v>#N/A</v>
      </c>
      <c r="BP918" s="151">
        <v>1.0626913437795575</v>
      </c>
      <c r="BQ918" t="e">
        <v>#N/A</v>
      </c>
      <c r="BR918" t="str">
        <v/>
      </c>
    </row>
    <row r="919" spans="47:70" x14ac:dyDescent="0.2">
      <c r="AU919"/>
      <c r="AV919"/>
      <c r="AW919"/>
      <c r="AX919"/>
      <c r="AY919"/>
      <c r="BK919" s="42">
        <v>918</v>
      </c>
      <c r="BL919" s="127">
        <v>3</v>
      </c>
      <c r="BM919" s="127">
        <v>1.0626913437795575</v>
      </c>
      <c r="BN919" s="127" t="e">
        <v>#N/A</v>
      </c>
      <c r="BO919" s="127" t="e">
        <v>#N/A</v>
      </c>
      <c r="BP919" s="151">
        <v>1.0626913437795575</v>
      </c>
      <c r="BQ919" t="e">
        <v>#N/A</v>
      </c>
      <c r="BR919" t="str">
        <v/>
      </c>
    </row>
    <row r="920" spans="47:70" x14ac:dyDescent="0.2">
      <c r="AU920"/>
      <c r="AV920"/>
      <c r="AW920"/>
      <c r="AX920"/>
      <c r="AY920"/>
      <c r="BK920" s="42">
        <v>919</v>
      </c>
      <c r="BL920" s="127">
        <v>3</v>
      </c>
      <c r="BM920" s="127">
        <v>1.0626913437795575</v>
      </c>
      <c r="BN920" s="127" t="e">
        <v>#N/A</v>
      </c>
      <c r="BO920" s="127" t="e">
        <v>#N/A</v>
      </c>
      <c r="BP920" s="151">
        <v>1.0626913437795575</v>
      </c>
      <c r="BQ920" t="e">
        <v>#N/A</v>
      </c>
      <c r="BR920" t="str">
        <v/>
      </c>
    </row>
    <row r="921" spans="47:70" x14ac:dyDescent="0.2">
      <c r="AU921"/>
      <c r="AV921"/>
      <c r="AW921"/>
      <c r="AX921"/>
      <c r="AY921"/>
      <c r="BK921" s="42">
        <v>920</v>
      </c>
      <c r="BL921" s="127">
        <v>3</v>
      </c>
      <c r="BM921" s="127">
        <v>1.0626913437795575</v>
      </c>
      <c r="BN921" s="127" t="e">
        <v>#N/A</v>
      </c>
      <c r="BO921" s="127" t="e">
        <v>#N/A</v>
      </c>
      <c r="BP921" s="151">
        <v>1.0626913437795575</v>
      </c>
      <c r="BQ921" t="e">
        <v>#N/A</v>
      </c>
      <c r="BR921" t="str">
        <v/>
      </c>
    </row>
    <row r="922" spans="47:70" x14ac:dyDescent="0.2">
      <c r="AU922"/>
      <c r="AV922"/>
      <c r="AW922"/>
      <c r="AX922"/>
      <c r="AY922"/>
      <c r="BK922" s="42">
        <v>921</v>
      </c>
      <c r="BL922" s="127">
        <v>3</v>
      </c>
      <c r="BM922" s="127">
        <v>1.0626913437795575</v>
      </c>
      <c r="BN922" s="127" t="e">
        <v>#N/A</v>
      </c>
      <c r="BO922" s="127" t="e">
        <v>#N/A</v>
      </c>
      <c r="BP922" s="151">
        <v>1.0626913437795575</v>
      </c>
      <c r="BQ922" t="e">
        <v>#N/A</v>
      </c>
      <c r="BR922" t="str">
        <v/>
      </c>
    </row>
    <row r="923" spans="47:70" x14ac:dyDescent="0.2">
      <c r="AU923"/>
      <c r="AV923"/>
      <c r="AW923"/>
      <c r="AX923"/>
      <c r="AY923"/>
      <c r="BK923" s="42">
        <v>922</v>
      </c>
      <c r="BL923" s="127">
        <v>3</v>
      </c>
      <c r="BM923" s="127">
        <v>1.0626913437795575</v>
      </c>
      <c r="BN923" s="127" t="e">
        <v>#N/A</v>
      </c>
      <c r="BO923" s="127" t="e">
        <v>#N/A</v>
      </c>
      <c r="BP923" s="151">
        <v>1.0626913437795575</v>
      </c>
      <c r="BQ923" t="e">
        <v>#N/A</v>
      </c>
      <c r="BR923" t="str">
        <v/>
      </c>
    </row>
    <row r="924" spans="47:70" x14ac:dyDescent="0.2">
      <c r="AU924"/>
      <c r="AV924"/>
      <c r="AW924"/>
      <c r="AX924"/>
      <c r="AY924"/>
      <c r="BK924" s="42">
        <v>923</v>
      </c>
      <c r="BL924" s="127">
        <v>3</v>
      </c>
      <c r="BM924" s="127">
        <v>1.0626913437795575</v>
      </c>
      <c r="BN924" s="127" t="e">
        <v>#N/A</v>
      </c>
      <c r="BO924" s="127" t="e">
        <v>#N/A</v>
      </c>
      <c r="BP924" s="151">
        <v>1.0626913437795575</v>
      </c>
      <c r="BQ924" t="e">
        <v>#N/A</v>
      </c>
      <c r="BR924" t="str">
        <v/>
      </c>
    </row>
    <row r="925" spans="47:70" x14ac:dyDescent="0.2">
      <c r="AU925"/>
      <c r="AV925"/>
      <c r="AW925"/>
      <c r="AX925"/>
      <c r="AY925"/>
      <c r="BK925" s="42">
        <v>924</v>
      </c>
      <c r="BL925" s="127">
        <v>3</v>
      </c>
      <c r="BM925" s="127">
        <v>1.0626913437795575</v>
      </c>
      <c r="BN925" s="127" t="e">
        <v>#N/A</v>
      </c>
      <c r="BO925" s="127" t="e">
        <v>#N/A</v>
      </c>
      <c r="BP925" s="151">
        <v>1.0626913437795575</v>
      </c>
      <c r="BQ925" t="e">
        <v>#N/A</v>
      </c>
      <c r="BR925" t="str">
        <v/>
      </c>
    </row>
    <row r="926" spans="47:70" x14ac:dyDescent="0.2">
      <c r="AU926"/>
      <c r="AV926"/>
      <c r="AW926"/>
      <c r="AX926"/>
      <c r="AY926"/>
      <c r="BK926" s="42">
        <v>925</v>
      </c>
      <c r="BL926" s="127">
        <v>3</v>
      </c>
      <c r="BM926" s="127">
        <v>1.0626913437795575</v>
      </c>
      <c r="BN926" s="127" t="e">
        <v>#N/A</v>
      </c>
      <c r="BO926" s="127" t="e">
        <v>#N/A</v>
      </c>
      <c r="BP926" s="151">
        <v>1.0626913437795575</v>
      </c>
      <c r="BQ926" t="e">
        <v>#N/A</v>
      </c>
      <c r="BR926" t="str">
        <v/>
      </c>
    </row>
    <row r="927" spans="47:70" x14ac:dyDescent="0.2">
      <c r="AU927"/>
      <c r="AV927"/>
      <c r="AW927"/>
      <c r="AX927"/>
      <c r="AY927"/>
      <c r="BK927" s="42">
        <v>926</v>
      </c>
      <c r="BL927" s="127">
        <v>3</v>
      </c>
      <c r="BM927" s="127">
        <v>1.0626913437795575</v>
      </c>
      <c r="BN927" s="127" t="e">
        <v>#N/A</v>
      </c>
      <c r="BO927" s="127" t="e">
        <v>#N/A</v>
      </c>
      <c r="BP927" s="151">
        <v>1.0626913437795575</v>
      </c>
      <c r="BQ927" t="e">
        <v>#N/A</v>
      </c>
      <c r="BR927" t="str">
        <v/>
      </c>
    </row>
    <row r="928" spans="47:70" x14ac:dyDescent="0.2">
      <c r="AU928"/>
      <c r="AV928"/>
      <c r="AW928"/>
      <c r="AX928"/>
      <c r="AY928"/>
      <c r="BK928" s="42">
        <v>927</v>
      </c>
      <c r="BL928" s="127">
        <v>3</v>
      </c>
      <c r="BM928" s="127">
        <v>1.0626913437795575</v>
      </c>
      <c r="BN928" s="127" t="e">
        <v>#N/A</v>
      </c>
      <c r="BO928" s="127" t="e">
        <v>#N/A</v>
      </c>
      <c r="BP928" s="151">
        <v>1.0626913437795575</v>
      </c>
      <c r="BQ928" t="e">
        <v>#N/A</v>
      </c>
      <c r="BR928" t="str">
        <v/>
      </c>
    </row>
    <row r="929" spans="47:70" x14ac:dyDescent="0.2">
      <c r="AU929"/>
      <c r="AV929"/>
      <c r="AW929"/>
      <c r="AX929"/>
      <c r="AY929"/>
      <c r="BK929" s="42">
        <v>928</v>
      </c>
      <c r="BL929" s="127">
        <v>3</v>
      </c>
      <c r="BM929" s="127">
        <v>1.0626913437795575</v>
      </c>
      <c r="BN929" s="127" t="e">
        <v>#N/A</v>
      </c>
      <c r="BO929" s="127" t="e">
        <v>#N/A</v>
      </c>
      <c r="BP929" s="151">
        <v>1.0626913437795575</v>
      </c>
      <c r="BQ929" t="e">
        <v>#N/A</v>
      </c>
      <c r="BR929" t="str">
        <v/>
      </c>
    </row>
    <row r="930" spans="47:70" x14ac:dyDescent="0.2">
      <c r="AU930"/>
      <c r="AV930"/>
      <c r="AW930"/>
      <c r="AX930"/>
      <c r="AY930"/>
      <c r="BK930" s="42">
        <v>929</v>
      </c>
      <c r="BL930" s="127">
        <v>3</v>
      </c>
      <c r="BM930" s="127">
        <v>1.0626913437795575</v>
      </c>
      <c r="BN930" s="127" t="e">
        <v>#N/A</v>
      </c>
      <c r="BO930" s="127" t="e">
        <v>#N/A</v>
      </c>
      <c r="BP930" s="151">
        <v>1.0626913437795575</v>
      </c>
      <c r="BQ930" t="e">
        <v>#N/A</v>
      </c>
      <c r="BR930" t="str">
        <v/>
      </c>
    </row>
    <row r="931" spans="47:70" x14ac:dyDescent="0.2">
      <c r="AU931"/>
      <c r="AV931"/>
      <c r="AW931"/>
      <c r="AX931"/>
      <c r="AY931"/>
      <c r="BK931" s="42">
        <v>930</v>
      </c>
      <c r="BL931" s="127">
        <v>3</v>
      </c>
      <c r="BM931" s="127">
        <v>1.0626913437795575</v>
      </c>
      <c r="BN931" s="127" t="e">
        <v>#N/A</v>
      </c>
      <c r="BO931" s="127" t="e">
        <v>#N/A</v>
      </c>
      <c r="BP931" s="151">
        <v>1.0626913437795575</v>
      </c>
      <c r="BQ931" t="e">
        <v>#N/A</v>
      </c>
      <c r="BR931" t="str">
        <v/>
      </c>
    </row>
    <row r="932" spans="47:70" x14ac:dyDescent="0.2">
      <c r="AU932"/>
      <c r="AV932"/>
      <c r="AW932"/>
      <c r="AX932"/>
      <c r="AY932"/>
      <c r="BK932" s="42">
        <v>931</v>
      </c>
      <c r="BL932" s="127">
        <v>3</v>
      </c>
      <c r="BM932" s="127">
        <v>1.0626913437795575</v>
      </c>
      <c r="BN932" s="127" t="e">
        <v>#N/A</v>
      </c>
      <c r="BO932" s="127" t="e">
        <v>#N/A</v>
      </c>
      <c r="BP932" s="151">
        <v>1.0626913437795575</v>
      </c>
      <c r="BQ932" t="e">
        <v>#N/A</v>
      </c>
      <c r="BR932" t="str">
        <v/>
      </c>
    </row>
    <row r="933" spans="47:70" x14ac:dyDescent="0.2">
      <c r="AU933"/>
      <c r="AV933"/>
      <c r="AW933"/>
      <c r="AX933"/>
      <c r="AY933"/>
      <c r="BK933" s="42">
        <v>932</v>
      </c>
      <c r="BL933" s="127">
        <v>3</v>
      </c>
      <c r="BM933" s="127">
        <v>1.0626913437795575</v>
      </c>
      <c r="BN933" s="127" t="e">
        <v>#N/A</v>
      </c>
      <c r="BO933" s="127" t="e">
        <v>#N/A</v>
      </c>
      <c r="BP933" s="151">
        <v>1.0626913437795575</v>
      </c>
      <c r="BQ933" t="e">
        <v>#N/A</v>
      </c>
      <c r="BR933" t="str">
        <v/>
      </c>
    </row>
    <row r="934" spans="47:70" x14ac:dyDescent="0.2">
      <c r="AU934"/>
      <c r="AV934"/>
      <c r="AW934"/>
      <c r="AX934"/>
      <c r="AY934"/>
      <c r="BK934" s="42">
        <v>933</v>
      </c>
      <c r="BL934" s="127">
        <v>3</v>
      </c>
      <c r="BM934" s="127">
        <v>1.0626913437795575</v>
      </c>
      <c r="BN934" s="127" t="e">
        <v>#N/A</v>
      </c>
      <c r="BO934" s="127" t="e">
        <v>#N/A</v>
      </c>
      <c r="BP934" s="151">
        <v>1.0626913437795575</v>
      </c>
      <c r="BQ934" t="e">
        <v>#N/A</v>
      </c>
      <c r="BR934" t="str">
        <v/>
      </c>
    </row>
    <row r="935" spans="47:70" x14ac:dyDescent="0.2">
      <c r="AU935"/>
      <c r="AV935"/>
      <c r="AW935"/>
      <c r="AX935"/>
      <c r="AY935"/>
      <c r="BK935" s="42">
        <v>934</v>
      </c>
      <c r="BL935" s="127">
        <v>3</v>
      </c>
      <c r="BM935" s="127">
        <v>1.0626913437795575</v>
      </c>
      <c r="BN935" s="127" t="e">
        <v>#N/A</v>
      </c>
      <c r="BO935" s="127" t="e">
        <v>#N/A</v>
      </c>
      <c r="BP935" s="151">
        <v>1.0626913437795575</v>
      </c>
      <c r="BQ935" t="e">
        <v>#N/A</v>
      </c>
      <c r="BR935" t="str">
        <v/>
      </c>
    </row>
    <row r="936" spans="47:70" x14ac:dyDescent="0.2">
      <c r="AU936"/>
      <c r="AV936"/>
      <c r="AW936"/>
      <c r="AX936"/>
      <c r="AY936"/>
      <c r="BK936" s="42">
        <v>935</v>
      </c>
      <c r="BL936" s="127">
        <v>3</v>
      </c>
      <c r="BM936" s="127">
        <v>1.0626913437795575</v>
      </c>
      <c r="BN936" s="127" t="e">
        <v>#N/A</v>
      </c>
      <c r="BO936" s="127" t="e">
        <v>#N/A</v>
      </c>
      <c r="BP936" s="151">
        <v>1.0626913437795575</v>
      </c>
      <c r="BQ936" t="e">
        <v>#N/A</v>
      </c>
      <c r="BR936" t="str">
        <v/>
      </c>
    </row>
    <row r="937" spans="47:70" x14ac:dyDescent="0.2">
      <c r="AU937"/>
      <c r="AV937"/>
      <c r="AW937"/>
      <c r="AX937"/>
      <c r="AY937"/>
      <c r="BK937" s="42">
        <v>936</v>
      </c>
      <c r="BL937" s="127">
        <v>3</v>
      </c>
      <c r="BM937" s="127">
        <v>1.0626913437795575</v>
      </c>
      <c r="BN937" s="127" t="e">
        <v>#N/A</v>
      </c>
      <c r="BO937" s="127" t="e">
        <v>#N/A</v>
      </c>
      <c r="BP937" s="151">
        <v>1.0626913437795575</v>
      </c>
      <c r="BQ937" t="e">
        <v>#N/A</v>
      </c>
      <c r="BR937" t="str">
        <v/>
      </c>
    </row>
    <row r="938" spans="47:70" x14ac:dyDescent="0.2">
      <c r="AU938"/>
      <c r="AV938"/>
      <c r="AW938"/>
      <c r="AX938"/>
      <c r="AY938"/>
      <c r="BK938" s="42">
        <v>937</v>
      </c>
      <c r="BL938" s="127">
        <v>3</v>
      </c>
      <c r="BM938" s="127">
        <v>1.0626913437795575</v>
      </c>
      <c r="BN938" s="127" t="e">
        <v>#N/A</v>
      </c>
      <c r="BO938" s="127" t="e">
        <v>#N/A</v>
      </c>
      <c r="BP938" s="151">
        <v>1.0626913437795575</v>
      </c>
      <c r="BQ938" t="e">
        <v>#N/A</v>
      </c>
      <c r="BR938" t="str">
        <v/>
      </c>
    </row>
    <row r="939" spans="47:70" x14ac:dyDescent="0.2">
      <c r="AU939"/>
      <c r="AV939"/>
      <c r="AW939"/>
      <c r="AX939"/>
      <c r="AY939"/>
      <c r="BK939" s="42">
        <v>938</v>
      </c>
      <c r="BL939" s="127">
        <v>3</v>
      </c>
      <c r="BM939" s="127">
        <v>1.0626913437795575</v>
      </c>
      <c r="BN939" s="127" t="e">
        <v>#N/A</v>
      </c>
      <c r="BO939" s="127" t="e">
        <v>#N/A</v>
      </c>
      <c r="BP939" s="151">
        <v>1.0626913437795575</v>
      </c>
      <c r="BQ939" t="e">
        <v>#N/A</v>
      </c>
      <c r="BR939" t="str">
        <v/>
      </c>
    </row>
    <row r="940" spans="47:70" x14ac:dyDescent="0.2">
      <c r="AU940"/>
      <c r="AV940"/>
      <c r="AW940"/>
      <c r="AX940"/>
      <c r="AY940"/>
      <c r="BK940" s="42">
        <v>939</v>
      </c>
      <c r="BL940" s="127">
        <v>3</v>
      </c>
      <c r="BM940" s="127">
        <v>1.0626913437795575</v>
      </c>
      <c r="BN940" s="127" t="e">
        <v>#N/A</v>
      </c>
      <c r="BO940" s="127" t="e">
        <v>#N/A</v>
      </c>
      <c r="BP940" s="151">
        <v>1.0626913437795575</v>
      </c>
      <c r="BQ940" t="e">
        <v>#N/A</v>
      </c>
      <c r="BR940" t="str">
        <v/>
      </c>
    </row>
    <row r="941" spans="47:70" x14ac:dyDescent="0.2">
      <c r="AU941"/>
      <c r="AV941"/>
      <c r="AW941"/>
      <c r="AX941"/>
      <c r="AY941"/>
      <c r="BK941" s="42">
        <v>940</v>
      </c>
      <c r="BL941" s="127">
        <v>3</v>
      </c>
      <c r="BM941" s="127">
        <v>1.0626913437795575</v>
      </c>
      <c r="BN941" s="127" t="e">
        <v>#N/A</v>
      </c>
      <c r="BO941" s="127" t="e">
        <v>#N/A</v>
      </c>
      <c r="BP941" s="151">
        <v>1.0626913437795575</v>
      </c>
      <c r="BQ941" t="e">
        <v>#N/A</v>
      </c>
      <c r="BR941" t="str">
        <v/>
      </c>
    </row>
    <row r="942" spans="47:70" x14ac:dyDescent="0.2">
      <c r="AU942"/>
      <c r="AV942"/>
      <c r="AW942"/>
      <c r="AX942"/>
      <c r="AY942"/>
      <c r="BK942" s="42">
        <v>941</v>
      </c>
      <c r="BL942" s="127">
        <v>3</v>
      </c>
      <c r="BM942" s="127">
        <v>1.0626913437795575</v>
      </c>
      <c r="BN942" s="127" t="e">
        <v>#N/A</v>
      </c>
      <c r="BO942" s="127" t="e">
        <v>#N/A</v>
      </c>
      <c r="BP942" s="151">
        <v>1.0626913437795575</v>
      </c>
      <c r="BQ942" t="e">
        <v>#N/A</v>
      </c>
      <c r="BR942" t="str">
        <v/>
      </c>
    </row>
    <row r="943" spans="47:70" x14ac:dyDescent="0.2">
      <c r="AU943"/>
      <c r="AV943"/>
      <c r="AW943"/>
      <c r="AX943"/>
      <c r="AY943"/>
      <c r="BK943" s="42">
        <v>942</v>
      </c>
      <c r="BL943" s="127">
        <v>3</v>
      </c>
      <c r="BM943" s="127">
        <v>1.0626913437795575</v>
      </c>
      <c r="BN943" s="127" t="e">
        <v>#N/A</v>
      </c>
      <c r="BO943" s="127" t="e">
        <v>#N/A</v>
      </c>
      <c r="BP943" s="151">
        <v>1.0626913437795575</v>
      </c>
      <c r="BQ943" t="e">
        <v>#N/A</v>
      </c>
      <c r="BR943" t="str">
        <v/>
      </c>
    </row>
    <row r="944" spans="47:70" x14ac:dyDescent="0.2">
      <c r="AU944"/>
      <c r="AV944"/>
      <c r="AW944"/>
      <c r="AX944"/>
      <c r="AY944"/>
      <c r="BK944" s="42">
        <v>943</v>
      </c>
      <c r="BL944" s="127">
        <v>3</v>
      </c>
      <c r="BM944" s="127">
        <v>1.0626913437795575</v>
      </c>
      <c r="BN944" s="127" t="e">
        <v>#N/A</v>
      </c>
      <c r="BO944" s="127" t="e">
        <v>#N/A</v>
      </c>
      <c r="BP944" s="151">
        <v>1.0626913437795575</v>
      </c>
      <c r="BQ944" t="e">
        <v>#N/A</v>
      </c>
      <c r="BR944" t="str">
        <v/>
      </c>
    </row>
    <row r="945" spans="47:70" x14ac:dyDescent="0.2">
      <c r="AU945"/>
      <c r="AV945"/>
      <c r="AW945"/>
      <c r="AX945"/>
      <c r="AY945"/>
      <c r="BK945" s="42">
        <v>944</v>
      </c>
      <c r="BL945" s="127">
        <v>3</v>
      </c>
      <c r="BM945" s="127">
        <v>1.0626913437795575</v>
      </c>
      <c r="BN945" s="127" t="e">
        <v>#N/A</v>
      </c>
      <c r="BO945" s="127" t="e">
        <v>#N/A</v>
      </c>
      <c r="BP945" s="151">
        <v>1.0626913437795575</v>
      </c>
      <c r="BQ945" t="e">
        <v>#N/A</v>
      </c>
      <c r="BR945" t="str">
        <v/>
      </c>
    </row>
    <row r="946" spans="47:70" x14ac:dyDescent="0.2">
      <c r="AU946"/>
      <c r="AV946"/>
      <c r="AW946"/>
      <c r="AX946"/>
      <c r="AY946"/>
      <c r="BK946" s="42">
        <v>945</v>
      </c>
      <c r="BL946" s="127">
        <v>3</v>
      </c>
      <c r="BM946" s="127">
        <v>1.0626913437795575</v>
      </c>
      <c r="BN946" s="127" t="e">
        <v>#N/A</v>
      </c>
      <c r="BO946" s="127" t="e">
        <v>#N/A</v>
      </c>
      <c r="BP946" s="151">
        <v>1.0626913437795575</v>
      </c>
      <c r="BQ946" t="e">
        <v>#N/A</v>
      </c>
      <c r="BR946" t="str">
        <v/>
      </c>
    </row>
    <row r="947" spans="47:70" x14ac:dyDescent="0.2">
      <c r="AU947"/>
      <c r="AV947"/>
      <c r="AW947"/>
      <c r="AX947"/>
      <c r="AY947"/>
      <c r="BK947" s="42">
        <v>946</v>
      </c>
      <c r="BL947" s="127">
        <v>3</v>
      </c>
      <c r="BM947" s="127">
        <v>1.0626913437795575</v>
      </c>
      <c r="BN947" s="127" t="e">
        <v>#N/A</v>
      </c>
      <c r="BO947" s="127" t="e">
        <v>#N/A</v>
      </c>
      <c r="BP947" s="151">
        <v>1.0626913437795575</v>
      </c>
      <c r="BQ947" t="e">
        <v>#N/A</v>
      </c>
      <c r="BR947" t="str">
        <v/>
      </c>
    </row>
    <row r="948" spans="47:70" x14ac:dyDescent="0.2">
      <c r="AU948"/>
      <c r="AV948"/>
      <c r="AW948"/>
      <c r="AX948"/>
      <c r="AY948"/>
      <c r="BK948" s="42">
        <v>947</v>
      </c>
      <c r="BL948" s="127">
        <v>3</v>
      </c>
      <c r="BM948" s="127">
        <v>1.0626913437795575</v>
      </c>
      <c r="BN948" s="127" t="e">
        <v>#N/A</v>
      </c>
      <c r="BO948" s="127" t="e">
        <v>#N/A</v>
      </c>
      <c r="BP948" s="151">
        <v>1.0626913437795575</v>
      </c>
      <c r="BQ948" t="e">
        <v>#N/A</v>
      </c>
      <c r="BR948" t="str">
        <v/>
      </c>
    </row>
    <row r="949" spans="47:70" x14ac:dyDescent="0.2">
      <c r="AU949"/>
      <c r="AV949"/>
      <c r="AW949"/>
      <c r="AX949"/>
      <c r="AY949"/>
      <c r="BK949" s="42">
        <v>948</v>
      </c>
      <c r="BL949" s="127">
        <v>3</v>
      </c>
      <c r="BM949" s="127">
        <v>1.0626913437795575</v>
      </c>
      <c r="BN949" s="127" t="e">
        <v>#N/A</v>
      </c>
      <c r="BO949" s="127" t="e">
        <v>#N/A</v>
      </c>
      <c r="BP949" s="151">
        <v>1.0626913437795575</v>
      </c>
      <c r="BQ949" t="e">
        <v>#N/A</v>
      </c>
      <c r="BR949" t="str">
        <v/>
      </c>
    </row>
    <row r="950" spans="47:70" x14ac:dyDescent="0.2">
      <c r="AU950"/>
      <c r="AV950"/>
      <c r="AW950"/>
      <c r="AX950"/>
      <c r="AY950"/>
      <c r="BK950" s="42">
        <v>949</v>
      </c>
      <c r="BL950" s="127">
        <v>3</v>
      </c>
      <c r="BM950" s="127">
        <v>1.0626913437795575</v>
      </c>
      <c r="BN950" s="127" t="e">
        <v>#N/A</v>
      </c>
      <c r="BO950" s="127" t="e">
        <v>#N/A</v>
      </c>
      <c r="BP950" s="151">
        <v>1.0626913437795575</v>
      </c>
      <c r="BQ950" t="e">
        <v>#N/A</v>
      </c>
      <c r="BR950" t="str">
        <v/>
      </c>
    </row>
    <row r="951" spans="47:70" x14ac:dyDescent="0.2">
      <c r="AU951"/>
      <c r="AV951"/>
      <c r="AW951"/>
      <c r="AX951"/>
      <c r="AY951"/>
      <c r="BK951" s="42">
        <v>950</v>
      </c>
      <c r="BL951" s="127">
        <v>3</v>
      </c>
      <c r="BM951" s="127">
        <v>1.0626913437795575</v>
      </c>
      <c r="BN951" s="127" t="e">
        <v>#N/A</v>
      </c>
      <c r="BO951" s="127" t="e">
        <v>#N/A</v>
      </c>
      <c r="BP951" s="151">
        <v>1.0626913437795575</v>
      </c>
      <c r="BQ951" t="e">
        <v>#N/A</v>
      </c>
      <c r="BR951" t="str">
        <v/>
      </c>
    </row>
    <row r="952" spans="47:70" x14ac:dyDescent="0.2">
      <c r="AU952"/>
      <c r="AV952"/>
      <c r="AW952"/>
      <c r="AX952"/>
      <c r="AY952"/>
      <c r="BK952" s="42">
        <v>951</v>
      </c>
      <c r="BL952" s="127">
        <v>3</v>
      </c>
      <c r="BM952" s="127">
        <v>1.0626913437795575</v>
      </c>
      <c r="BN952" s="127" t="e">
        <v>#N/A</v>
      </c>
      <c r="BO952" s="127" t="e">
        <v>#N/A</v>
      </c>
      <c r="BP952" s="151">
        <v>1.0626913437795575</v>
      </c>
      <c r="BQ952" t="e">
        <v>#N/A</v>
      </c>
      <c r="BR952" t="str">
        <v/>
      </c>
    </row>
    <row r="953" spans="47:70" x14ac:dyDescent="0.2">
      <c r="AU953"/>
      <c r="AV953"/>
      <c r="AW953"/>
      <c r="AX953"/>
      <c r="AY953"/>
      <c r="BK953" s="42">
        <v>952</v>
      </c>
      <c r="BL953" s="127">
        <v>3</v>
      </c>
      <c r="BM953" s="127">
        <v>1.0626913437795575</v>
      </c>
      <c r="BN953" s="127" t="e">
        <v>#N/A</v>
      </c>
      <c r="BO953" s="127" t="e">
        <v>#N/A</v>
      </c>
      <c r="BP953" s="151">
        <v>1.0626913437795575</v>
      </c>
      <c r="BQ953" t="e">
        <v>#N/A</v>
      </c>
      <c r="BR953" t="str">
        <v/>
      </c>
    </row>
    <row r="954" spans="47:70" x14ac:dyDescent="0.2">
      <c r="AU954"/>
      <c r="AV954"/>
      <c r="AW954"/>
      <c r="AX954"/>
      <c r="AY954"/>
      <c r="BK954" s="42">
        <v>953</v>
      </c>
      <c r="BL954" s="127">
        <v>3</v>
      </c>
      <c r="BM954" s="127">
        <v>1.0626913437795575</v>
      </c>
      <c r="BN954" s="127" t="e">
        <v>#N/A</v>
      </c>
      <c r="BO954" s="127" t="e">
        <v>#N/A</v>
      </c>
      <c r="BP954" s="151">
        <v>1.0626913437795575</v>
      </c>
      <c r="BQ954" t="e">
        <v>#N/A</v>
      </c>
      <c r="BR954" t="str">
        <v/>
      </c>
    </row>
    <row r="955" spans="47:70" x14ac:dyDescent="0.2">
      <c r="AU955"/>
      <c r="AV955"/>
      <c r="AW955"/>
      <c r="AX955"/>
      <c r="AY955"/>
      <c r="BK955" s="42">
        <v>954</v>
      </c>
      <c r="BL955" s="127">
        <v>3</v>
      </c>
      <c r="BM955" s="127">
        <v>1.0626913437795575</v>
      </c>
      <c r="BN955" s="127" t="e">
        <v>#N/A</v>
      </c>
      <c r="BO955" s="127" t="e">
        <v>#N/A</v>
      </c>
      <c r="BP955" s="151">
        <v>1.0626913437795575</v>
      </c>
      <c r="BQ955" t="e">
        <v>#N/A</v>
      </c>
      <c r="BR955" t="str">
        <v/>
      </c>
    </row>
    <row r="956" spans="47:70" x14ac:dyDescent="0.2">
      <c r="AU956"/>
      <c r="AV956"/>
      <c r="AW956"/>
      <c r="AX956"/>
      <c r="AY956"/>
      <c r="BK956" s="42">
        <v>955</v>
      </c>
      <c r="BL956" s="127">
        <v>3</v>
      </c>
      <c r="BM956" s="127">
        <v>1.0626913437795575</v>
      </c>
      <c r="BN956" s="127" t="e">
        <v>#N/A</v>
      </c>
      <c r="BO956" s="127" t="e">
        <v>#N/A</v>
      </c>
      <c r="BP956" s="151">
        <v>1.0626913437795575</v>
      </c>
      <c r="BQ956" t="e">
        <v>#N/A</v>
      </c>
      <c r="BR956" t="str">
        <v/>
      </c>
    </row>
    <row r="957" spans="47:70" x14ac:dyDescent="0.2">
      <c r="AU957"/>
      <c r="AV957"/>
      <c r="AW957"/>
      <c r="AX957"/>
      <c r="AY957"/>
      <c r="BK957" s="42">
        <v>956</v>
      </c>
      <c r="BL957" s="127">
        <v>3</v>
      </c>
      <c r="BM957" s="127">
        <v>1.0626913437795575</v>
      </c>
      <c r="BN957" s="127" t="e">
        <v>#N/A</v>
      </c>
      <c r="BO957" s="127" t="e">
        <v>#N/A</v>
      </c>
      <c r="BP957" s="151">
        <v>1.0626913437795575</v>
      </c>
      <c r="BQ957" t="e">
        <v>#N/A</v>
      </c>
      <c r="BR957" t="str">
        <v/>
      </c>
    </row>
    <row r="958" spans="47:70" x14ac:dyDescent="0.2">
      <c r="AU958"/>
      <c r="AV958"/>
      <c r="AW958"/>
      <c r="AX958"/>
      <c r="AY958"/>
      <c r="BK958" s="42">
        <v>957</v>
      </c>
      <c r="BL958" s="127">
        <v>3</v>
      </c>
      <c r="BM958" s="127">
        <v>1.0626913437795575</v>
      </c>
      <c r="BN958" s="127" t="e">
        <v>#N/A</v>
      </c>
      <c r="BO958" s="127" t="e">
        <v>#N/A</v>
      </c>
      <c r="BP958" s="151">
        <v>1.0626913437795575</v>
      </c>
      <c r="BQ958" t="e">
        <v>#N/A</v>
      </c>
      <c r="BR958" t="str">
        <v/>
      </c>
    </row>
    <row r="959" spans="47:70" x14ac:dyDescent="0.2">
      <c r="AU959"/>
      <c r="AV959"/>
      <c r="AW959"/>
      <c r="AX959"/>
      <c r="AY959"/>
      <c r="BK959" s="42">
        <v>958</v>
      </c>
      <c r="BL959" s="127">
        <v>3</v>
      </c>
      <c r="BM959" s="127">
        <v>1.0626913437795575</v>
      </c>
      <c r="BN959" s="127" t="e">
        <v>#N/A</v>
      </c>
      <c r="BO959" s="127" t="e">
        <v>#N/A</v>
      </c>
      <c r="BP959" s="151">
        <v>1.0626913437795575</v>
      </c>
      <c r="BQ959" t="e">
        <v>#N/A</v>
      </c>
      <c r="BR959" t="str">
        <v/>
      </c>
    </row>
    <row r="960" spans="47:70" x14ac:dyDescent="0.2">
      <c r="AU960"/>
      <c r="AV960"/>
      <c r="AW960"/>
      <c r="AX960"/>
      <c r="AY960"/>
      <c r="BK960" s="42">
        <v>959</v>
      </c>
      <c r="BL960" s="127">
        <v>3</v>
      </c>
      <c r="BM960" s="127">
        <v>1.0626913437795575</v>
      </c>
      <c r="BN960" s="127" t="e">
        <v>#N/A</v>
      </c>
      <c r="BO960" s="127" t="e">
        <v>#N/A</v>
      </c>
      <c r="BP960" s="151">
        <v>1.0626913437795575</v>
      </c>
      <c r="BQ960" t="e">
        <v>#N/A</v>
      </c>
      <c r="BR960" t="str">
        <v/>
      </c>
    </row>
    <row r="961" spans="47:70" x14ac:dyDescent="0.2">
      <c r="AU961"/>
      <c r="AV961"/>
      <c r="AW961"/>
      <c r="AX961"/>
      <c r="AY961"/>
      <c r="BK961" s="42">
        <v>960</v>
      </c>
      <c r="BL961" s="127">
        <v>3</v>
      </c>
      <c r="BM961" s="127">
        <v>1.0626913437795575</v>
      </c>
      <c r="BN961" s="127" t="e">
        <v>#N/A</v>
      </c>
      <c r="BO961" s="127" t="e">
        <v>#N/A</v>
      </c>
      <c r="BP961" s="151">
        <v>1.0626913437795575</v>
      </c>
      <c r="BQ961" t="e">
        <v>#N/A</v>
      </c>
      <c r="BR961" t="str">
        <v/>
      </c>
    </row>
    <row r="962" spans="47:70" x14ac:dyDescent="0.2">
      <c r="AU962"/>
      <c r="AV962"/>
      <c r="AW962"/>
      <c r="AX962"/>
      <c r="AY962"/>
      <c r="BK962" s="42">
        <v>961</v>
      </c>
      <c r="BL962" s="127">
        <v>3</v>
      </c>
      <c r="BM962" s="127">
        <v>1.0626913437795575</v>
      </c>
      <c r="BN962" s="127" t="e">
        <v>#N/A</v>
      </c>
      <c r="BO962" s="127" t="e">
        <v>#N/A</v>
      </c>
      <c r="BP962" s="151">
        <v>1.0626913437795575</v>
      </c>
      <c r="BQ962" t="e">
        <v>#N/A</v>
      </c>
      <c r="BR962" t="str">
        <v/>
      </c>
    </row>
    <row r="963" spans="47:70" x14ac:dyDescent="0.2">
      <c r="AU963"/>
      <c r="AV963"/>
      <c r="AW963"/>
      <c r="AX963"/>
      <c r="AY963"/>
      <c r="BK963" s="42">
        <v>962</v>
      </c>
      <c r="BL963" s="127">
        <v>3</v>
      </c>
      <c r="BM963" s="127">
        <v>1.0626913437795575</v>
      </c>
      <c r="BN963" s="127" t="e">
        <v>#N/A</v>
      </c>
      <c r="BO963" s="127" t="e">
        <v>#N/A</v>
      </c>
      <c r="BP963" s="151">
        <v>1.0626913437795575</v>
      </c>
      <c r="BQ963" t="e">
        <v>#N/A</v>
      </c>
      <c r="BR963" t="str">
        <v/>
      </c>
    </row>
    <row r="964" spans="47:70" x14ac:dyDescent="0.2">
      <c r="AU964"/>
      <c r="AV964"/>
      <c r="AW964"/>
      <c r="AX964"/>
      <c r="AY964"/>
      <c r="BK964" s="42">
        <v>963</v>
      </c>
      <c r="BL964" s="127">
        <v>3</v>
      </c>
      <c r="BM964" s="127">
        <v>1.0626913437795575</v>
      </c>
      <c r="BN964" s="127" t="e">
        <v>#N/A</v>
      </c>
      <c r="BO964" s="127" t="e">
        <v>#N/A</v>
      </c>
      <c r="BP964" s="151">
        <v>1.0626913437795575</v>
      </c>
      <c r="BQ964" t="e">
        <v>#N/A</v>
      </c>
      <c r="BR964" t="str">
        <v/>
      </c>
    </row>
    <row r="965" spans="47:70" x14ac:dyDescent="0.2">
      <c r="AU965"/>
      <c r="AV965"/>
      <c r="AW965"/>
      <c r="AX965"/>
      <c r="AY965"/>
      <c r="BK965" s="42">
        <v>964</v>
      </c>
      <c r="BL965" s="127">
        <v>3</v>
      </c>
      <c r="BM965" s="127">
        <v>1.0626913437795575</v>
      </c>
      <c r="BN965" s="127" t="e">
        <v>#N/A</v>
      </c>
      <c r="BO965" s="127" t="e">
        <v>#N/A</v>
      </c>
      <c r="BP965" s="151">
        <v>1.0626913437795575</v>
      </c>
      <c r="BQ965" t="e">
        <v>#N/A</v>
      </c>
      <c r="BR965" t="str">
        <v/>
      </c>
    </row>
    <row r="966" spans="47:70" x14ac:dyDescent="0.2">
      <c r="AU966"/>
      <c r="AV966"/>
      <c r="AW966"/>
      <c r="AX966"/>
      <c r="AY966"/>
      <c r="BK966" s="42">
        <v>965</v>
      </c>
      <c r="BL966" s="127">
        <v>3</v>
      </c>
      <c r="BM966" s="127">
        <v>1.0626913437795575</v>
      </c>
      <c r="BN966" s="127" t="e">
        <v>#N/A</v>
      </c>
      <c r="BO966" s="127" t="e">
        <v>#N/A</v>
      </c>
      <c r="BP966" s="151">
        <v>1.0626913437795575</v>
      </c>
      <c r="BQ966" t="e">
        <v>#N/A</v>
      </c>
      <c r="BR966" t="str">
        <v/>
      </c>
    </row>
    <row r="967" spans="47:70" x14ac:dyDescent="0.2">
      <c r="AU967"/>
      <c r="AV967"/>
      <c r="AW967"/>
      <c r="AX967"/>
      <c r="AY967"/>
      <c r="BK967" s="42">
        <v>966</v>
      </c>
      <c r="BL967" s="127">
        <v>3</v>
      </c>
      <c r="BM967" s="127">
        <v>1.0626913437795575</v>
      </c>
      <c r="BN967" s="127" t="e">
        <v>#N/A</v>
      </c>
      <c r="BO967" s="127" t="e">
        <v>#N/A</v>
      </c>
      <c r="BP967" s="151">
        <v>1.0626913437795575</v>
      </c>
      <c r="BQ967" t="e">
        <v>#N/A</v>
      </c>
      <c r="BR967" t="str">
        <v/>
      </c>
    </row>
    <row r="968" spans="47:70" x14ac:dyDescent="0.2">
      <c r="AU968"/>
      <c r="AV968"/>
      <c r="AW968"/>
      <c r="AX968"/>
      <c r="AY968"/>
      <c r="BK968" s="42">
        <v>967</v>
      </c>
      <c r="BL968" s="127">
        <v>3</v>
      </c>
      <c r="BM968" s="127">
        <v>1.0626913437795575</v>
      </c>
      <c r="BN968" s="127" t="e">
        <v>#N/A</v>
      </c>
      <c r="BO968" s="127" t="e">
        <v>#N/A</v>
      </c>
      <c r="BP968" s="151">
        <v>1.0626913437795575</v>
      </c>
      <c r="BQ968" t="e">
        <v>#N/A</v>
      </c>
      <c r="BR968" t="str">
        <v/>
      </c>
    </row>
    <row r="969" spans="47:70" x14ac:dyDescent="0.2">
      <c r="AU969"/>
      <c r="AV969"/>
      <c r="AW969"/>
      <c r="AX969"/>
      <c r="AY969"/>
      <c r="BK969" s="42">
        <v>968</v>
      </c>
      <c r="BL969" s="127">
        <v>3</v>
      </c>
      <c r="BM969" s="127">
        <v>1.0626913437795575</v>
      </c>
      <c r="BN969" s="127" t="e">
        <v>#N/A</v>
      </c>
      <c r="BO969" s="127" t="e">
        <v>#N/A</v>
      </c>
      <c r="BP969" s="151">
        <v>1.0626913437795575</v>
      </c>
      <c r="BQ969" t="e">
        <v>#N/A</v>
      </c>
      <c r="BR969" t="str">
        <v/>
      </c>
    </row>
    <row r="970" spans="47:70" x14ac:dyDescent="0.2">
      <c r="AU970"/>
      <c r="AV970"/>
      <c r="AW970"/>
      <c r="AX970"/>
      <c r="AY970"/>
      <c r="BK970" s="42">
        <v>969</v>
      </c>
      <c r="BL970" s="127">
        <v>3</v>
      </c>
      <c r="BM970" s="127">
        <v>1.0626913437795575</v>
      </c>
      <c r="BN970" s="127" t="e">
        <v>#N/A</v>
      </c>
      <c r="BO970" s="127" t="e">
        <v>#N/A</v>
      </c>
      <c r="BP970" s="151">
        <v>1.0626913437795575</v>
      </c>
      <c r="BQ970" t="e">
        <v>#N/A</v>
      </c>
      <c r="BR970" t="str">
        <v/>
      </c>
    </row>
    <row r="971" spans="47:70" x14ac:dyDescent="0.2">
      <c r="AU971"/>
      <c r="AV971"/>
      <c r="AW971"/>
      <c r="AX971"/>
      <c r="AY971"/>
      <c r="BK971" s="42">
        <v>970</v>
      </c>
      <c r="BL971" s="127">
        <v>3</v>
      </c>
      <c r="BM971" s="127">
        <v>1.0626913437795575</v>
      </c>
      <c r="BN971" s="127" t="e">
        <v>#N/A</v>
      </c>
      <c r="BO971" s="127" t="e">
        <v>#N/A</v>
      </c>
      <c r="BP971" s="151">
        <v>1.0626913437795575</v>
      </c>
      <c r="BQ971" t="e">
        <v>#N/A</v>
      </c>
      <c r="BR971" t="str">
        <v/>
      </c>
    </row>
    <row r="972" spans="47:70" x14ac:dyDescent="0.2">
      <c r="AU972"/>
      <c r="AV972"/>
      <c r="AW972"/>
      <c r="AX972"/>
      <c r="AY972"/>
      <c r="BK972" s="42">
        <v>971</v>
      </c>
      <c r="BL972" s="127">
        <v>3</v>
      </c>
      <c r="BM972" s="127">
        <v>1.0626913437795575</v>
      </c>
      <c r="BN972" s="127" t="e">
        <v>#N/A</v>
      </c>
      <c r="BO972" s="127" t="e">
        <v>#N/A</v>
      </c>
      <c r="BP972" s="151">
        <v>1.0626913437795575</v>
      </c>
      <c r="BQ972" t="e">
        <v>#N/A</v>
      </c>
      <c r="BR972" t="str">
        <v/>
      </c>
    </row>
    <row r="973" spans="47:70" x14ac:dyDescent="0.2">
      <c r="AU973"/>
      <c r="AV973"/>
      <c r="AW973"/>
      <c r="AX973"/>
      <c r="AY973"/>
      <c r="BK973" s="42">
        <v>972</v>
      </c>
      <c r="BL973" s="127">
        <v>3</v>
      </c>
      <c r="BM973" s="127">
        <v>1.0626913437795575</v>
      </c>
      <c r="BN973" s="127" t="e">
        <v>#N/A</v>
      </c>
      <c r="BO973" s="127" t="e">
        <v>#N/A</v>
      </c>
      <c r="BP973" s="151">
        <v>1.0626913437795575</v>
      </c>
      <c r="BQ973" t="e">
        <v>#N/A</v>
      </c>
      <c r="BR973" t="str">
        <v/>
      </c>
    </row>
    <row r="974" spans="47:70" x14ac:dyDescent="0.2">
      <c r="AU974"/>
      <c r="AV974"/>
      <c r="AW974"/>
      <c r="AX974"/>
      <c r="AY974"/>
      <c r="BK974" s="42">
        <v>973</v>
      </c>
      <c r="BL974" s="127">
        <v>3</v>
      </c>
      <c r="BM974" s="127">
        <v>1.0626913437795575</v>
      </c>
      <c r="BN974" s="127" t="e">
        <v>#N/A</v>
      </c>
      <c r="BO974" s="127" t="e">
        <v>#N/A</v>
      </c>
      <c r="BP974" s="151">
        <v>1.0626913437795575</v>
      </c>
      <c r="BQ974" t="e">
        <v>#N/A</v>
      </c>
      <c r="BR974" t="str">
        <v/>
      </c>
    </row>
    <row r="975" spans="47:70" x14ac:dyDescent="0.2">
      <c r="AU975"/>
      <c r="AV975"/>
      <c r="AW975"/>
      <c r="AX975"/>
      <c r="AY975"/>
      <c r="BK975" s="42">
        <v>974</v>
      </c>
      <c r="BL975" s="127">
        <v>3</v>
      </c>
      <c r="BM975" s="127">
        <v>1.0626913437795575</v>
      </c>
      <c r="BN975" s="127" t="e">
        <v>#N/A</v>
      </c>
      <c r="BO975" s="127" t="e">
        <v>#N/A</v>
      </c>
      <c r="BP975" s="151">
        <v>1.0626913437795575</v>
      </c>
      <c r="BQ975" t="e">
        <v>#N/A</v>
      </c>
      <c r="BR975" t="str">
        <v/>
      </c>
    </row>
    <row r="976" spans="47:70" x14ac:dyDescent="0.2">
      <c r="AU976"/>
      <c r="AV976"/>
      <c r="AW976"/>
      <c r="AX976"/>
      <c r="AY976"/>
      <c r="BK976" s="42">
        <v>975</v>
      </c>
      <c r="BL976" s="127">
        <v>3</v>
      </c>
      <c r="BM976" s="127">
        <v>1.0626913437795575</v>
      </c>
      <c r="BN976" s="127" t="e">
        <v>#N/A</v>
      </c>
      <c r="BO976" s="127" t="e">
        <v>#N/A</v>
      </c>
      <c r="BP976" s="151">
        <v>1.0626913437795575</v>
      </c>
      <c r="BQ976" t="e">
        <v>#N/A</v>
      </c>
      <c r="BR976" t="str">
        <v/>
      </c>
    </row>
    <row r="977" spans="47:70" x14ac:dyDescent="0.2">
      <c r="AU977"/>
      <c r="AV977"/>
      <c r="AW977"/>
      <c r="AX977"/>
      <c r="AY977"/>
      <c r="BK977" s="42">
        <v>976</v>
      </c>
      <c r="BL977" s="127">
        <v>3</v>
      </c>
      <c r="BM977" s="127">
        <v>1.0626913437795575</v>
      </c>
      <c r="BN977" s="127" t="e">
        <v>#N/A</v>
      </c>
      <c r="BO977" s="127" t="e">
        <v>#N/A</v>
      </c>
      <c r="BP977" s="151">
        <v>1.0626913437795575</v>
      </c>
      <c r="BQ977" t="e">
        <v>#N/A</v>
      </c>
      <c r="BR977" t="str">
        <v/>
      </c>
    </row>
    <row r="978" spans="47:70" x14ac:dyDescent="0.2">
      <c r="AU978"/>
      <c r="AV978"/>
      <c r="AW978"/>
      <c r="AX978"/>
      <c r="AY978"/>
      <c r="BK978" s="42">
        <v>977</v>
      </c>
      <c r="BL978" s="127">
        <v>3</v>
      </c>
      <c r="BM978" s="127">
        <v>1.0626913437795575</v>
      </c>
      <c r="BN978" s="127" t="e">
        <v>#N/A</v>
      </c>
      <c r="BO978" s="127" t="e">
        <v>#N/A</v>
      </c>
      <c r="BP978" s="151">
        <v>1.0626913437795575</v>
      </c>
      <c r="BQ978" t="e">
        <v>#N/A</v>
      </c>
      <c r="BR978" t="str">
        <v/>
      </c>
    </row>
    <row r="979" spans="47:70" x14ac:dyDescent="0.2">
      <c r="AU979"/>
      <c r="AV979"/>
      <c r="AW979"/>
      <c r="AX979"/>
      <c r="AY979"/>
      <c r="BK979" s="42">
        <v>978</v>
      </c>
      <c r="BL979" s="127">
        <v>3</v>
      </c>
      <c r="BM979" s="127">
        <v>1.0626913437795575</v>
      </c>
      <c r="BN979" s="127" t="e">
        <v>#N/A</v>
      </c>
      <c r="BO979" s="127" t="e">
        <v>#N/A</v>
      </c>
      <c r="BP979" s="151">
        <v>1.0626913437795575</v>
      </c>
      <c r="BQ979" t="e">
        <v>#N/A</v>
      </c>
      <c r="BR979" t="str">
        <v/>
      </c>
    </row>
    <row r="980" spans="47:70" x14ac:dyDescent="0.2">
      <c r="AU980"/>
      <c r="AV980"/>
      <c r="AW980"/>
      <c r="AX980"/>
      <c r="AY980"/>
      <c r="BK980" s="42">
        <v>979</v>
      </c>
      <c r="BL980" s="127">
        <v>3</v>
      </c>
      <c r="BM980" s="127">
        <v>1.0626913437795575</v>
      </c>
      <c r="BN980" s="127" t="e">
        <v>#N/A</v>
      </c>
      <c r="BO980" s="127" t="e">
        <v>#N/A</v>
      </c>
      <c r="BP980" s="151">
        <v>1.0626913437795575</v>
      </c>
      <c r="BQ980" t="e">
        <v>#N/A</v>
      </c>
      <c r="BR980" t="str">
        <v/>
      </c>
    </row>
    <row r="981" spans="47:70" x14ac:dyDescent="0.2">
      <c r="AU981"/>
      <c r="AV981"/>
      <c r="AW981"/>
      <c r="AX981"/>
      <c r="AY981"/>
      <c r="BK981" s="42">
        <v>980</v>
      </c>
      <c r="BL981" s="127">
        <v>3</v>
      </c>
      <c r="BM981" s="127">
        <v>1.0626913437795575</v>
      </c>
      <c r="BN981" s="127" t="e">
        <v>#N/A</v>
      </c>
      <c r="BO981" s="127" t="e">
        <v>#N/A</v>
      </c>
      <c r="BP981" s="151">
        <v>1.0626913437795575</v>
      </c>
      <c r="BQ981" t="e">
        <v>#N/A</v>
      </c>
      <c r="BR981" t="str">
        <v/>
      </c>
    </row>
    <row r="982" spans="47:70" x14ac:dyDescent="0.2">
      <c r="AU982"/>
      <c r="AV982"/>
      <c r="AW982"/>
      <c r="AX982"/>
      <c r="AY982"/>
      <c r="BK982" s="42">
        <v>981</v>
      </c>
      <c r="BL982" s="127">
        <v>3</v>
      </c>
      <c r="BM982" s="127">
        <v>1.0626913437795575</v>
      </c>
      <c r="BN982" s="127" t="e">
        <v>#N/A</v>
      </c>
      <c r="BO982" s="127" t="e">
        <v>#N/A</v>
      </c>
      <c r="BP982" s="151">
        <v>1.0626913437795575</v>
      </c>
      <c r="BQ982" t="e">
        <v>#N/A</v>
      </c>
      <c r="BR982" t="str">
        <v/>
      </c>
    </row>
    <row r="983" spans="47:70" x14ac:dyDescent="0.2">
      <c r="AU983"/>
      <c r="AV983"/>
      <c r="AW983"/>
      <c r="AX983"/>
      <c r="AY983"/>
      <c r="BK983" s="42">
        <v>982</v>
      </c>
      <c r="BL983" s="127">
        <v>3</v>
      </c>
      <c r="BM983" s="127">
        <v>1.0626913437795575</v>
      </c>
      <c r="BN983" s="127" t="e">
        <v>#N/A</v>
      </c>
      <c r="BO983" s="127" t="e">
        <v>#N/A</v>
      </c>
      <c r="BP983" s="151">
        <v>1.0626913437795575</v>
      </c>
      <c r="BQ983" t="e">
        <v>#N/A</v>
      </c>
      <c r="BR983" t="str">
        <v/>
      </c>
    </row>
    <row r="984" spans="47:70" x14ac:dyDescent="0.2">
      <c r="AU984"/>
      <c r="AV984"/>
      <c r="AW984"/>
      <c r="AX984"/>
      <c r="AY984"/>
      <c r="BK984" s="42">
        <v>983</v>
      </c>
      <c r="BL984" s="127">
        <v>3</v>
      </c>
      <c r="BM984" s="127">
        <v>1.0626913437795575</v>
      </c>
      <c r="BN984" s="127" t="e">
        <v>#N/A</v>
      </c>
      <c r="BO984" s="127" t="e">
        <v>#N/A</v>
      </c>
      <c r="BP984" s="151">
        <v>1.0626913437795575</v>
      </c>
      <c r="BQ984" t="e">
        <v>#N/A</v>
      </c>
      <c r="BR984" t="str">
        <v/>
      </c>
    </row>
    <row r="985" spans="47:70" x14ac:dyDescent="0.2">
      <c r="AU985"/>
      <c r="AV985"/>
      <c r="AW985"/>
      <c r="AX985"/>
      <c r="AY985"/>
      <c r="BK985" s="42">
        <v>984</v>
      </c>
      <c r="BL985" s="127">
        <v>3</v>
      </c>
      <c r="BM985" s="127">
        <v>1.0626913437795575</v>
      </c>
      <c r="BN985" s="127" t="e">
        <v>#N/A</v>
      </c>
      <c r="BO985" s="127" t="e">
        <v>#N/A</v>
      </c>
      <c r="BP985" s="151">
        <v>1.0626913437795575</v>
      </c>
      <c r="BQ985" t="e">
        <v>#N/A</v>
      </c>
      <c r="BR985" t="str">
        <v/>
      </c>
    </row>
    <row r="986" spans="47:70" x14ac:dyDescent="0.2">
      <c r="AU986"/>
      <c r="AV986"/>
      <c r="AW986"/>
      <c r="AX986"/>
      <c r="AY986"/>
      <c r="BK986" s="42">
        <v>985</v>
      </c>
      <c r="BL986" s="127">
        <v>3</v>
      </c>
      <c r="BM986" s="127">
        <v>1.0626913437795575</v>
      </c>
      <c r="BN986" s="127" t="e">
        <v>#N/A</v>
      </c>
      <c r="BO986" s="127" t="e">
        <v>#N/A</v>
      </c>
      <c r="BP986" s="151">
        <v>1.0626913437795575</v>
      </c>
      <c r="BQ986" t="e">
        <v>#N/A</v>
      </c>
      <c r="BR986" t="str">
        <v/>
      </c>
    </row>
    <row r="987" spans="47:70" x14ac:dyDescent="0.2">
      <c r="AU987"/>
      <c r="AV987"/>
      <c r="AW987"/>
      <c r="AX987"/>
      <c r="AY987"/>
      <c r="BK987" s="42">
        <v>986</v>
      </c>
      <c r="BL987" s="127">
        <v>3</v>
      </c>
      <c r="BM987" s="127">
        <v>1.0626913437795575</v>
      </c>
      <c r="BN987" s="127" t="e">
        <v>#N/A</v>
      </c>
      <c r="BO987" s="127" t="e">
        <v>#N/A</v>
      </c>
      <c r="BP987" s="151">
        <v>1.0626913437795575</v>
      </c>
      <c r="BQ987" t="e">
        <v>#N/A</v>
      </c>
      <c r="BR987" t="str">
        <v/>
      </c>
    </row>
    <row r="988" spans="47:70" x14ac:dyDescent="0.2">
      <c r="AU988"/>
      <c r="AV988"/>
      <c r="AW988"/>
      <c r="AX988"/>
      <c r="AY988"/>
      <c r="BK988" s="42">
        <v>987</v>
      </c>
      <c r="BL988" s="127">
        <v>3</v>
      </c>
      <c r="BM988" s="127">
        <v>1.0626913437795575</v>
      </c>
      <c r="BN988" s="127" t="e">
        <v>#N/A</v>
      </c>
      <c r="BO988" s="127" t="e">
        <v>#N/A</v>
      </c>
      <c r="BP988" s="151">
        <v>1.0626913437795575</v>
      </c>
      <c r="BQ988" t="e">
        <v>#N/A</v>
      </c>
      <c r="BR988" t="str">
        <v/>
      </c>
    </row>
    <row r="989" spans="47:70" x14ac:dyDescent="0.2">
      <c r="AU989"/>
      <c r="AV989"/>
      <c r="AW989"/>
      <c r="AX989"/>
      <c r="AY989"/>
      <c r="BK989" s="42">
        <v>988</v>
      </c>
      <c r="BL989" s="127">
        <v>3</v>
      </c>
      <c r="BM989" s="127">
        <v>1.0626913437795575</v>
      </c>
      <c r="BN989" s="127" t="e">
        <v>#N/A</v>
      </c>
      <c r="BO989" s="127" t="e">
        <v>#N/A</v>
      </c>
      <c r="BP989" s="151">
        <v>1.0626913437795575</v>
      </c>
      <c r="BQ989" t="e">
        <v>#N/A</v>
      </c>
      <c r="BR989" t="str">
        <v/>
      </c>
    </row>
    <row r="990" spans="47:70" x14ac:dyDescent="0.2">
      <c r="AU990"/>
      <c r="AV990"/>
      <c r="AW990"/>
      <c r="AX990"/>
      <c r="AY990"/>
      <c r="BK990" s="42">
        <v>989</v>
      </c>
      <c r="BL990" s="127">
        <v>3</v>
      </c>
      <c r="BM990" s="127">
        <v>1.0626913437795575</v>
      </c>
      <c r="BN990" s="127" t="e">
        <v>#N/A</v>
      </c>
      <c r="BO990" s="127" t="e">
        <v>#N/A</v>
      </c>
      <c r="BP990" s="151">
        <v>1.0626913437795575</v>
      </c>
      <c r="BQ990" t="e">
        <v>#N/A</v>
      </c>
      <c r="BR990" t="str">
        <v/>
      </c>
    </row>
    <row r="991" spans="47:70" x14ac:dyDescent="0.2">
      <c r="AU991"/>
      <c r="AV991"/>
      <c r="AW991"/>
      <c r="AX991"/>
      <c r="AY991"/>
      <c r="BK991" s="42">
        <v>990</v>
      </c>
      <c r="BL991" s="127">
        <v>3</v>
      </c>
      <c r="BM991" s="127">
        <v>1.0626913437795575</v>
      </c>
      <c r="BN991" s="127" t="e">
        <v>#N/A</v>
      </c>
      <c r="BO991" s="127" t="e">
        <v>#N/A</v>
      </c>
      <c r="BP991" s="151">
        <v>1.0626913437795575</v>
      </c>
      <c r="BQ991" t="e">
        <v>#N/A</v>
      </c>
      <c r="BR991" t="str">
        <v/>
      </c>
    </row>
    <row r="992" spans="47:70" x14ac:dyDescent="0.2">
      <c r="AU992"/>
      <c r="AV992"/>
      <c r="AW992"/>
      <c r="AX992"/>
      <c r="AY992"/>
      <c r="BK992" s="42">
        <v>991</v>
      </c>
      <c r="BL992" s="127">
        <v>3</v>
      </c>
      <c r="BM992" s="127">
        <v>1.0626913437795575</v>
      </c>
      <c r="BN992" s="127" t="e">
        <v>#N/A</v>
      </c>
      <c r="BO992" s="127" t="e">
        <v>#N/A</v>
      </c>
      <c r="BP992" s="151">
        <v>1.0626913437795575</v>
      </c>
      <c r="BQ992" t="e">
        <v>#N/A</v>
      </c>
      <c r="BR992" t="str">
        <v/>
      </c>
    </row>
    <row r="993" spans="47:70" x14ac:dyDescent="0.2">
      <c r="AU993"/>
      <c r="AV993"/>
      <c r="AW993"/>
      <c r="AX993"/>
      <c r="AY993"/>
      <c r="BK993" s="42">
        <v>992</v>
      </c>
      <c r="BL993" s="127">
        <v>3</v>
      </c>
      <c r="BM993" s="127">
        <v>1.0626913437795575</v>
      </c>
      <c r="BN993" s="127" t="e">
        <v>#N/A</v>
      </c>
      <c r="BO993" s="127" t="e">
        <v>#N/A</v>
      </c>
      <c r="BP993" s="151">
        <v>1.0626913437795575</v>
      </c>
      <c r="BQ993" t="e">
        <v>#N/A</v>
      </c>
      <c r="BR993" t="str">
        <v/>
      </c>
    </row>
    <row r="994" spans="47:70" x14ac:dyDescent="0.2">
      <c r="AU994"/>
      <c r="AV994"/>
      <c r="AW994"/>
      <c r="AX994"/>
      <c r="AY994"/>
      <c r="BK994" s="42">
        <v>993</v>
      </c>
      <c r="BL994" s="127">
        <v>3</v>
      </c>
      <c r="BM994" s="127">
        <v>1.0626913437795575</v>
      </c>
      <c r="BN994" s="127" t="e">
        <v>#N/A</v>
      </c>
      <c r="BO994" s="127" t="e">
        <v>#N/A</v>
      </c>
      <c r="BP994" s="151">
        <v>1.0626913437795575</v>
      </c>
      <c r="BQ994" t="e">
        <v>#N/A</v>
      </c>
      <c r="BR994" t="str">
        <v/>
      </c>
    </row>
    <row r="995" spans="47:70" x14ac:dyDescent="0.2">
      <c r="AU995"/>
      <c r="AV995"/>
      <c r="AW995"/>
      <c r="AX995"/>
      <c r="AY995"/>
      <c r="BK995" s="42">
        <v>994</v>
      </c>
      <c r="BL995" s="127">
        <v>3</v>
      </c>
      <c r="BM995" s="127">
        <v>1.0626913437795575</v>
      </c>
      <c r="BN995" s="127" t="e">
        <v>#N/A</v>
      </c>
      <c r="BO995" s="127" t="e">
        <v>#N/A</v>
      </c>
      <c r="BP995" s="151">
        <v>1.0626913437795575</v>
      </c>
      <c r="BQ995" t="e">
        <v>#N/A</v>
      </c>
      <c r="BR995" t="str">
        <v/>
      </c>
    </row>
    <row r="996" spans="47:70" x14ac:dyDescent="0.2">
      <c r="AU996"/>
      <c r="AV996"/>
      <c r="AW996"/>
      <c r="AX996"/>
      <c r="AY996"/>
      <c r="BK996" s="42">
        <v>995</v>
      </c>
      <c r="BL996" s="127">
        <v>3</v>
      </c>
      <c r="BM996" s="127">
        <v>1.0626913437795575</v>
      </c>
      <c r="BN996" s="127" t="e">
        <v>#N/A</v>
      </c>
      <c r="BO996" s="127" t="e">
        <v>#N/A</v>
      </c>
      <c r="BP996" s="151">
        <v>1.0626913437795575</v>
      </c>
      <c r="BQ996" t="e">
        <v>#N/A</v>
      </c>
      <c r="BR996" t="str">
        <v/>
      </c>
    </row>
    <row r="997" spans="47:70" x14ac:dyDescent="0.2">
      <c r="AU997"/>
      <c r="AV997"/>
      <c r="AW997"/>
      <c r="AX997"/>
      <c r="AY997"/>
      <c r="BK997" s="42">
        <v>996</v>
      </c>
      <c r="BL997" s="127">
        <v>3</v>
      </c>
      <c r="BM997" s="127">
        <v>1.0626913437795575</v>
      </c>
      <c r="BN997" s="127" t="e">
        <v>#N/A</v>
      </c>
      <c r="BO997" s="127" t="e">
        <v>#N/A</v>
      </c>
      <c r="BP997" s="151">
        <v>1.0626913437795575</v>
      </c>
      <c r="BQ997" t="e">
        <v>#N/A</v>
      </c>
      <c r="BR997" t="str">
        <v/>
      </c>
    </row>
    <row r="998" spans="47:70" x14ac:dyDescent="0.2">
      <c r="AU998"/>
      <c r="AV998"/>
      <c r="AW998"/>
      <c r="AX998"/>
      <c r="AY998"/>
      <c r="BK998" s="42">
        <v>997</v>
      </c>
      <c r="BL998" s="127">
        <v>3</v>
      </c>
      <c r="BM998" s="127">
        <v>1.0626913437795575</v>
      </c>
      <c r="BN998" s="127" t="e">
        <v>#N/A</v>
      </c>
      <c r="BO998" s="127" t="e">
        <v>#N/A</v>
      </c>
      <c r="BP998" s="151">
        <v>1.0626913437795575</v>
      </c>
      <c r="BQ998" t="e">
        <v>#N/A</v>
      </c>
      <c r="BR998" t="str">
        <v/>
      </c>
    </row>
    <row r="999" spans="47:70" x14ac:dyDescent="0.2">
      <c r="AU999"/>
      <c r="AV999"/>
      <c r="AW999"/>
      <c r="AX999"/>
      <c r="AY999"/>
      <c r="BK999" s="42">
        <v>998</v>
      </c>
      <c r="BL999" s="127">
        <v>3</v>
      </c>
      <c r="BM999" s="127">
        <v>1.0626913437795575</v>
      </c>
      <c r="BN999" s="127" t="e">
        <v>#N/A</v>
      </c>
      <c r="BO999" s="127" t="e">
        <v>#N/A</v>
      </c>
      <c r="BP999" s="151">
        <v>1.0626913437795575</v>
      </c>
      <c r="BQ999" t="e">
        <v>#N/A</v>
      </c>
      <c r="BR999" t="str">
        <v/>
      </c>
    </row>
    <row r="1000" spans="47:70" x14ac:dyDescent="0.2">
      <c r="AU1000"/>
      <c r="AV1000"/>
      <c r="AW1000"/>
      <c r="AX1000"/>
      <c r="AY1000"/>
      <c r="BK1000" s="42">
        <v>999</v>
      </c>
      <c r="BL1000" s="127">
        <v>3</v>
      </c>
      <c r="BM1000" s="127">
        <v>1.0626913437795575</v>
      </c>
      <c r="BN1000" s="127" t="e">
        <v>#N/A</v>
      </c>
      <c r="BO1000" s="127" t="e">
        <v>#N/A</v>
      </c>
      <c r="BP1000" s="151">
        <v>1.0626913437795575</v>
      </c>
      <c r="BQ1000" t="e">
        <v>#N/A</v>
      </c>
      <c r="BR1000" t="str">
        <v/>
      </c>
    </row>
    <row r="1001" spans="47:70" x14ac:dyDescent="0.2">
      <c r="AU1001"/>
      <c r="AV1001"/>
      <c r="AW1001"/>
      <c r="AX1001"/>
      <c r="AY1001"/>
      <c r="BK1001" s="42">
        <v>1000</v>
      </c>
      <c r="BL1001" s="127">
        <v>3</v>
      </c>
      <c r="BM1001" s="127">
        <v>1.0626913437795575</v>
      </c>
      <c r="BN1001" s="127" t="e">
        <v>#N/A</v>
      </c>
      <c r="BO1001" s="127" t="e">
        <v>#N/A</v>
      </c>
      <c r="BP1001" s="151">
        <v>1.0626913437795575</v>
      </c>
      <c r="BQ1001" t="e">
        <v>#N/A</v>
      </c>
      <c r="BR1001" t="str">
        <v/>
      </c>
    </row>
    <row r="1002" spans="47:70" x14ac:dyDescent="0.2">
      <c r="AU1002"/>
      <c r="AV1002"/>
      <c r="AW1002"/>
      <c r="AX1002"/>
      <c r="AY1002"/>
      <c r="BK1002" s="42">
        <v>1001</v>
      </c>
      <c r="BL1002" s="127">
        <v>3</v>
      </c>
      <c r="BM1002" s="127">
        <v>1.0626913437795575</v>
      </c>
      <c r="BN1002" s="127" t="e">
        <v>#N/A</v>
      </c>
      <c r="BO1002" s="127" t="e">
        <v>#N/A</v>
      </c>
      <c r="BP1002" s="151">
        <v>1.0626913437795575</v>
      </c>
      <c r="BQ1002" t="e">
        <v>#N/A</v>
      </c>
      <c r="BR1002" t="str">
        <v/>
      </c>
    </row>
    <row r="1003" spans="47:70" x14ac:dyDescent="0.2">
      <c r="AU1003"/>
      <c r="AV1003"/>
      <c r="AW1003"/>
      <c r="AX1003"/>
      <c r="AY1003"/>
      <c r="BK1003" s="42">
        <v>1002</v>
      </c>
      <c r="BL1003" s="127">
        <v>3</v>
      </c>
      <c r="BM1003" s="127">
        <v>1.0626913437795575</v>
      </c>
      <c r="BN1003" s="127" t="e">
        <v>#N/A</v>
      </c>
      <c r="BO1003" s="127" t="e">
        <v>#N/A</v>
      </c>
      <c r="BP1003" s="151">
        <v>1.0626913437795575</v>
      </c>
      <c r="BQ1003" t="e">
        <v>#N/A</v>
      </c>
      <c r="BR1003" t="str">
        <v/>
      </c>
    </row>
    <row r="1004" spans="47:70" x14ac:dyDescent="0.2">
      <c r="AU1004"/>
      <c r="AV1004"/>
      <c r="AW1004"/>
      <c r="AX1004"/>
      <c r="AY1004"/>
      <c r="BK1004" s="42">
        <v>1003</v>
      </c>
      <c r="BL1004" s="127">
        <v>3</v>
      </c>
      <c r="BM1004" s="127">
        <v>1.0626913437795575</v>
      </c>
      <c r="BN1004" s="127" t="e">
        <v>#N/A</v>
      </c>
      <c r="BO1004" s="127" t="e">
        <v>#N/A</v>
      </c>
      <c r="BP1004" s="151">
        <v>1.0626913437795575</v>
      </c>
      <c r="BQ1004" t="e">
        <v>#N/A</v>
      </c>
      <c r="BR1004" t="str">
        <v/>
      </c>
    </row>
    <row r="1005" spans="47:70" x14ac:dyDescent="0.2">
      <c r="AU1005"/>
      <c r="AV1005"/>
      <c r="AW1005"/>
      <c r="AX1005"/>
      <c r="AY1005"/>
      <c r="BK1005" s="42">
        <v>1004</v>
      </c>
      <c r="BL1005" s="127">
        <v>3</v>
      </c>
      <c r="BM1005" s="127">
        <v>1.0626913437795575</v>
      </c>
      <c r="BN1005" s="127" t="e">
        <v>#N/A</v>
      </c>
      <c r="BO1005" s="127" t="e">
        <v>#N/A</v>
      </c>
      <c r="BP1005" s="151">
        <v>1.0626913437795575</v>
      </c>
      <c r="BQ1005" t="e">
        <v>#N/A</v>
      </c>
      <c r="BR1005" t="str">
        <v/>
      </c>
    </row>
    <row r="1006" spans="47:70" x14ac:dyDescent="0.2">
      <c r="AU1006"/>
      <c r="AV1006"/>
      <c r="AW1006"/>
      <c r="AX1006"/>
      <c r="AY1006"/>
      <c r="BK1006" s="42">
        <v>1005</v>
      </c>
      <c r="BL1006" s="127">
        <v>3</v>
      </c>
      <c r="BM1006" s="127">
        <v>1.0626913437795575</v>
      </c>
      <c r="BN1006" s="127" t="e">
        <v>#N/A</v>
      </c>
      <c r="BO1006" s="127" t="e">
        <v>#N/A</v>
      </c>
      <c r="BP1006" s="151">
        <v>1.0626913437795575</v>
      </c>
      <c r="BQ1006" t="e">
        <v>#N/A</v>
      </c>
      <c r="BR1006" t="str">
        <v/>
      </c>
    </row>
    <row r="1007" spans="47:70" x14ac:dyDescent="0.2">
      <c r="AU1007"/>
      <c r="AV1007"/>
      <c r="AW1007"/>
      <c r="AX1007"/>
      <c r="AY1007"/>
      <c r="BK1007" s="42">
        <v>1006</v>
      </c>
      <c r="BL1007" s="127">
        <v>3</v>
      </c>
      <c r="BM1007" s="127">
        <v>1.0626913437795575</v>
      </c>
      <c r="BN1007" s="127" t="e">
        <v>#N/A</v>
      </c>
      <c r="BO1007" s="127" t="e">
        <v>#N/A</v>
      </c>
      <c r="BP1007" s="151">
        <v>1.0626913437795575</v>
      </c>
      <c r="BQ1007" t="e">
        <v>#N/A</v>
      </c>
      <c r="BR1007" t="str">
        <v/>
      </c>
    </row>
    <row r="1008" spans="47:70" x14ac:dyDescent="0.2">
      <c r="AU1008"/>
      <c r="AV1008"/>
      <c r="AW1008"/>
      <c r="AX1008"/>
      <c r="AY1008"/>
      <c r="BK1008" s="42">
        <v>1007</v>
      </c>
      <c r="BL1008" s="127">
        <v>3</v>
      </c>
      <c r="BM1008" s="127">
        <v>1.0626913437795575</v>
      </c>
      <c r="BN1008" s="127" t="e">
        <v>#N/A</v>
      </c>
      <c r="BO1008" s="127" t="e">
        <v>#N/A</v>
      </c>
      <c r="BP1008" s="151">
        <v>1.0626913437795575</v>
      </c>
      <c r="BQ1008" t="e">
        <v>#N/A</v>
      </c>
      <c r="BR1008" t="str">
        <v/>
      </c>
    </row>
    <row r="1009" spans="47:70" x14ac:dyDescent="0.2">
      <c r="AU1009"/>
      <c r="AV1009"/>
      <c r="AW1009"/>
      <c r="AX1009"/>
      <c r="AY1009"/>
      <c r="BK1009" s="42">
        <v>1008</v>
      </c>
      <c r="BL1009" s="127">
        <v>3</v>
      </c>
      <c r="BM1009" s="127">
        <v>1.0626913437795575</v>
      </c>
      <c r="BN1009" s="127" t="e">
        <v>#N/A</v>
      </c>
      <c r="BO1009" s="127" t="e">
        <v>#N/A</v>
      </c>
      <c r="BP1009" s="151">
        <v>1.0626913437795575</v>
      </c>
      <c r="BQ1009" t="e">
        <v>#N/A</v>
      </c>
      <c r="BR1009" t="str">
        <v/>
      </c>
    </row>
    <row r="1010" spans="47:70" x14ac:dyDescent="0.2">
      <c r="AU1010"/>
      <c r="AV1010"/>
      <c r="AW1010"/>
      <c r="AX1010"/>
      <c r="AY1010"/>
      <c r="BK1010" s="42">
        <v>1009</v>
      </c>
      <c r="BL1010" s="127">
        <v>3</v>
      </c>
      <c r="BM1010" s="127">
        <v>1.0626913437795575</v>
      </c>
      <c r="BN1010" s="127" t="e">
        <v>#N/A</v>
      </c>
      <c r="BO1010" s="127" t="e">
        <v>#N/A</v>
      </c>
      <c r="BP1010" s="151">
        <v>1.0626913437795575</v>
      </c>
      <c r="BQ1010" t="e">
        <v>#N/A</v>
      </c>
      <c r="BR1010" t="str">
        <v/>
      </c>
    </row>
    <row r="1011" spans="47:70" x14ac:dyDescent="0.2">
      <c r="AU1011"/>
      <c r="AV1011"/>
      <c r="AW1011"/>
      <c r="AX1011"/>
      <c r="AY1011"/>
      <c r="BK1011" s="42">
        <v>1010</v>
      </c>
      <c r="BL1011" s="127">
        <v>3</v>
      </c>
      <c r="BM1011" s="127">
        <v>1.0626913437795575</v>
      </c>
      <c r="BN1011" s="127" t="e">
        <v>#N/A</v>
      </c>
      <c r="BO1011" s="127" t="e">
        <v>#N/A</v>
      </c>
      <c r="BP1011" s="151">
        <v>1.0626913437795575</v>
      </c>
      <c r="BQ1011" t="e">
        <v>#N/A</v>
      </c>
      <c r="BR1011" t="str">
        <v/>
      </c>
    </row>
    <row r="1012" spans="47:70" x14ac:dyDescent="0.2">
      <c r="AU1012"/>
      <c r="AV1012"/>
      <c r="AW1012"/>
      <c r="AX1012"/>
      <c r="AY1012"/>
      <c r="BK1012" s="42">
        <v>1011</v>
      </c>
      <c r="BL1012" s="127">
        <v>3</v>
      </c>
      <c r="BM1012" s="127">
        <v>1.0626913437795575</v>
      </c>
      <c r="BN1012" s="127" t="e">
        <v>#N/A</v>
      </c>
      <c r="BO1012" s="127" t="e">
        <v>#N/A</v>
      </c>
      <c r="BP1012" s="151">
        <v>1.0626913437795575</v>
      </c>
      <c r="BQ1012" t="e">
        <v>#N/A</v>
      </c>
      <c r="BR1012" t="str">
        <v/>
      </c>
    </row>
    <row r="1013" spans="47:70" x14ac:dyDescent="0.2">
      <c r="AU1013"/>
      <c r="AV1013"/>
      <c r="AW1013"/>
      <c r="AX1013"/>
      <c r="AY1013"/>
      <c r="BK1013" s="42">
        <v>1012</v>
      </c>
      <c r="BL1013" s="127">
        <v>3</v>
      </c>
      <c r="BM1013" s="127">
        <v>1.0626913437795575</v>
      </c>
      <c r="BN1013" s="127" t="e">
        <v>#N/A</v>
      </c>
      <c r="BO1013" s="127" t="e">
        <v>#N/A</v>
      </c>
      <c r="BP1013" s="151">
        <v>1.0626913437795575</v>
      </c>
      <c r="BQ1013" t="e">
        <v>#N/A</v>
      </c>
      <c r="BR1013" t="str">
        <v/>
      </c>
    </row>
    <row r="1014" spans="47:70" x14ac:dyDescent="0.2">
      <c r="AU1014"/>
      <c r="AV1014"/>
      <c r="AW1014"/>
      <c r="AX1014"/>
      <c r="AY1014"/>
      <c r="BK1014" s="42">
        <v>1013</v>
      </c>
      <c r="BL1014" s="127">
        <v>3</v>
      </c>
      <c r="BM1014" s="127">
        <v>1.0626913437795575</v>
      </c>
      <c r="BN1014" s="127" t="e">
        <v>#N/A</v>
      </c>
      <c r="BO1014" s="127" t="e">
        <v>#N/A</v>
      </c>
      <c r="BP1014" s="151">
        <v>1.0626913437795575</v>
      </c>
      <c r="BQ1014" t="e">
        <v>#N/A</v>
      </c>
      <c r="BR1014" t="str">
        <v/>
      </c>
    </row>
    <row r="1015" spans="47:70" x14ac:dyDescent="0.2">
      <c r="AU1015"/>
      <c r="AV1015"/>
      <c r="AW1015"/>
      <c r="AX1015"/>
      <c r="AY1015"/>
      <c r="BK1015" s="42">
        <v>1014</v>
      </c>
      <c r="BL1015" s="127">
        <v>3</v>
      </c>
      <c r="BM1015" s="127">
        <v>1.0626913437795575</v>
      </c>
      <c r="BN1015" s="127" t="e">
        <v>#N/A</v>
      </c>
      <c r="BO1015" s="127" t="e">
        <v>#N/A</v>
      </c>
      <c r="BP1015" s="151">
        <v>1.0626913437795575</v>
      </c>
      <c r="BQ1015" t="e">
        <v>#N/A</v>
      </c>
      <c r="BR1015" t="str">
        <v/>
      </c>
    </row>
    <row r="1016" spans="47:70" x14ac:dyDescent="0.2">
      <c r="AU1016"/>
      <c r="AV1016"/>
      <c r="AW1016"/>
      <c r="AX1016"/>
      <c r="AY1016"/>
      <c r="BK1016" s="42">
        <v>1015</v>
      </c>
      <c r="BL1016" s="127">
        <v>3</v>
      </c>
      <c r="BM1016" s="127">
        <v>1.0626913437795575</v>
      </c>
      <c r="BN1016" s="127" t="e">
        <v>#N/A</v>
      </c>
      <c r="BO1016" s="127" t="e">
        <v>#N/A</v>
      </c>
      <c r="BP1016" s="151">
        <v>1.0626913437795575</v>
      </c>
      <c r="BQ1016" t="e">
        <v>#N/A</v>
      </c>
      <c r="BR1016" t="str">
        <v/>
      </c>
    </row>
    <row r="1017" spans="47:70" x14ac:dyDescent="0.2">
      <c r="AU1017"/>
      <c r="AV1017"/>
      <c r="AW1017"/>
      <c r="AX1017"/>
      <c r="AY1017"/>
      <c r="BK1017" s="42">
        <v>1016</v>
      </c>
      <c r="BL1017" s="127">
        <v>3</v>
      </c>
      <c r="BM1017" s="127">
        <v>1.0626913437795575</v>
      </c>
      <c r="BN1017" s="127" t="e">
        <v>#N/A</v>
      </c>
      <c r="BO1017" s="127" t="e">
        <v>#N/A</v>
      </c>
      <c r="BP1017" s="151">
        <v>1.0626913437795575</v>
      </c>
      <c r="BQ1017" t="e">
        <v>#N/A</v>
      </c>
      <c r="BR1017" t="str">
        <v/>
      </c>
    </row>
    <row r="1018" spans="47:70" x14ac:dyDescent="0.2">
      <c r="AU1018"/>
      <c r="AV1018"/>
      <c r="AW1018"/>
      <c r="AX1018"/>
      <c r="AY1018"/>
      <c r="BK1018" s="42">
        <v>1017</v>
      </c>
      <c r="BL1018" s="127">
        <v>3</v>
      </c>
      <c r="BM1018" s="127">
        <v>1.0626913437795575</v>
      </c>
      <c r="BN1018" s="127" t="e">
        <v>#N/A</v>
      </c>
      <c r="BO1018" s="127" t="e">
        <v>#N/A</v>
      </c>
      <c r="BP1018" s="151">
        <v>1.0626913437795575</v>
      </c>
      <c r="BQ1018" t="e">
        <v>#N/A</v>
      </c>
      <c r="BR1018" t="str">
        <v/>
      </c>
    </row>
    <row r="1019" spans="47:70" x14ac:dyDescent="0.2">
      <c r="AU1019"/>
      <c r="AV1019"/>
      <c r="AW1019"/>
      <c r="AX1019"/>
      <c r="AY1019"/>
      <c r="BK1019" s="42">
        <v>1018</v>
      </c>
      <c r="BL1019" s="127">
        <v>3</v>
      </c>
      <c r="BM1019" s="127">
        <v>1.0626913437795575</v>
      </c>
      <c r="BN1019" s="127" t="e">
        <v>#N/A</v>
      </c>
      <c r="BO1019" s="127" t="e">
        <v>#N/A</v>
      </c>
      <c r="BP1019" s="151">
        <v>1.0626913437795575</v>
      </c>
      <c r="BQ1019" t="e">
        <v>#N/A</v>
      </c>
      <c r="BR1019" t="str">
        <v/>
      </c>
    </row>
    <row r="1020" spans="47:70" x14ac:dyDescent="0.2">
      <c r="AU1020"/>
      <c r="AV1020"/>
      <c r="AW1020"/>
      <c r="AX1020"/>
      <c r="AY1020"/>
      <c r="BK1020" s="42">
        <v>1019</v>
      </c>
      <c r="BL1020" s="127">
        <v>3</v>
      </c>
      <c r="BM1020" s="127">
        <v>1.0626913437795575</v>
      </c>
      <c r="BN1020" s="127" t="e">
        <v>#N/A</v>
      </c>
      <c r="BO1020" s="127" t="e">
        <v>#N/A</v>
      </c>
      <c r="BP1020" s="151">
        <v>1.0626913437795575</v>
      </c>
      <c r="BQ1020" t="e">
        <v>#N/A</v>
      </c>
      <c r="BR1020" t="str">
        <v/>
      </c>
    </row>
    <row r="1021" spans="47:70" x14ac:dyDescent="0.2">
      <c r="AU1021"/>
      <c r="AV1021"/>
      <c r="AW1021"/>
      <c r="AX1021"/>
      <c r="AY1021"/>
      <c r="BK1021" s="42">
        <v>1020</v>
      </c>
      <c r="BL1021" s="127">
        <v>3</v>
      </c>
      <c r="BM1021" s="127">
        <v>1.0626913437795575</v>
      </c>
      <c r="BN1021" s="127" t="e">
        <v>#N/A</v>
      </c>
      <c r="BO1021" s="127" t="e">
        <v>#N/A</v>
      </c>
      <c r="BP1021" s="151">
        <v>1.0626913437795575</v>
      </c>
      <c r="BQ1021" t="e">
        <v>#N/A</v>
      </c>
      <c r="BR1021" t="str">
        <v/>
      </c>
    </row>
    <row r="1022" spans="47:70" x14ac:dyDescent="0.2">
      <c r="AU1022"/>
      <c r="AV1022"/>
      <c r="AW1022"/>
      <c r="AX1022"/>
      <c r="AY1022"/>
      <c r="BK1022" s="42">
        <v>1021</v>
      </c>
      <c r="BL1022" s="127">
        <v>3</v>
      </c>
      <c r="BM1022" s="127">
        <v>1.0626913437795575</v>
      </c>
      <c r="BN1022" s="127" t="e">
        <v>#N/A</v>
      </c>
      <c r="BO1022" s="127" t="e">
        <v>#N/A</v>
      </c>
      <c r="BP1022" s="151">
        <v>1.0626913437795575</v>
      </c>
      <c r="BQ1022" t="e">
        <v>#N/A</v>
      </c>
      <c r="BR1022" t="str">
        <v/>
      </c>
    </row>
    <row r="1023" spans="47:70" x14ac:dyDescent="0.2">
      <c r="AU1023"/>
      <c r="AV1023"/>
      <c r="AW1023"/>
      <c r="AX1023"/>
      <c r="AY1023"/>
      <c r="BK1023" s="42">
        <v>1022</v>
      </c>
      <c r="BL1023" s="127">
        <v>3</v>
      </c>
      <c r="BM1023" s="127">
        <v>1.0626913437795575</v>
      </c>
      <c r="BN1023" s="127" t="e">
        <v>#N/A</v>
      </c>
      <c r="BO1023" s="127" t="e">
        <v>#N/A</v>
      </c>
      <c r="BP1023" s="151">
        <v>1.0626913437795575</v>
      </c>
      <c r="BQ1023" t="e">
        <v>#N/A</v>
      </c>
      <c r="BR1023" t="str">
        <v/>
      </c>
    </row>
    <row r="1024" spans="47:70" x14ac:dyDescent="0.2">
      <c r="AU1024"/>
      <c r="AV1024"/>
      <c r="AW1024"/>
      <c r="AX1024"/>
      <c r="AY1024"/>
      <c r="BK1024" s="42">
        <v>1023</v>
      </c>
      <c r="BL1024" s="127">
        <v>3</v>
      </c>
      <c r="BM1024" s="127">
        <v>1.0626913437795575</v>
      </c>
      <c r="BN1024" s="127" t="e">
        <v>#N/A</v>
      </c>
      <c r="BO1024" s="127" t="e">
        <v>#N/A</v>
      </c>
      <c r="BP1024" s="151">
        <v>1.0626913437795575</v>
      </c>
      <c r="BQ1024" t="e">
        <v>#N/A</v>
      </c>
      <c r="BR1024" t="str">
        <v/>
      </c>
    </row>
    <row r="1025" spans="47:70" x14ac:dyDescent="0.2">
      <c r="AU1025"/>
      <c r="AV1025"/>
      <c r="AW1025"/>
      <c r="AX1025"/>
      <c r="AY1025"/>
      <c r="BK1025" s="42">
        <v>1024</v>
      </c>
      <c r="BL1025" s="127">
        <v>3</v>
      </c>
      <c r="BM1025" s="127">
        <v>1.0626913437795575</v>
      </c>
      <c r="BN1025" s="127" t="e">
        <v>#N/A</v>
      </c>
      <c r="BO1025" s="127" t="e">
        <v>#N/A</v>
      </c>
      <c r="BP1025" s="151">
        <v>1.0626913437795575</v>
      </c>
      <c r="BQ1025" t="e">
        <v>#N/A</v>
      </c>
      <c r="BR1025" t="str">
        <v/>
      </c>
    </row>
    <row r="1026" spans="47:70" x14ac:dyDescent="0.2">
      <c r="AU1026"/>
      <c r="AV1026"/>
      <c r="AW1026"/>
      <c r="AX1026"/>
      <c r="AY1026"/>
      <c r="BK1026" s="42">
        <v>1025</v>
      </c>
      <c r="BL1026" s="127">
        <v>3</v>
      </c>
      <c r="BM1026" s="127">
        <v>1.0626913437795575</v>
      </c>
      <c r="BN1026" s="127" t="e">
        <v>#N/A</v>
      </c>
      <c r="BO1026" s="127" t="e">
        <v>#N/A</v>
      </c>
      <c r="BP1026" s="151">
        <v>1.0626913437795575</v>
      </c>
      <c r="BQ1026" t="e">
        <v>#N/A</v>
      </c>
      <c r="BR1026" t="str">
        <v/>
      </c>
    </row>
    <row r="1027" spans="47:70" x14ac:dyDescent="0.2">
      <c r="AU1027"/>
      <c r="AV1027"/>
      <c r="AW1027"/>
      <c r="AX1027"/>
      <c r="AY1027"/>
      <c r="BK1027" s="42">
        <v>1026</v>
      </c>
      <c r="BL1027" s="127">
        <v>3</v>
      </c>
      <c r="BM1027" s="127">
        <v>1.0626913437795575</v>
      </c>
      <c r="BN1027" s="127" t="e">
        <v>#N/A</v>
      </c>
      <c r="BO1027" s="127" t="e">
        <v>#N/A</v>
      </c>
      <c r="BP1027" s="151">
        <v>1.0626913437795575</v>
      </c>
      <c r="BQ1027" t="e">
        <v>#N/A</v>
      </c>
      <c r="BR1027" t="str">
        <v/>
      </c>
    </row>
    <row r="1028" spans="47:70" x14ac:dyDescent="0.2">
      <c r="AU1028"/>
      <c r="AV1028"/>
      <c r="AW1028"/>
      <c r="AX1028"/>
      <c r="AY1028"/>
      <c r="BK1028" s="42">
        <v>1027</v>
      </c>
      <c r="BL1028" s="127">
        <v>3</v>
      </c>
      <c r="BM1028" s="127">
        <v>1.0626913437795575</v>
      </c>
      <c r="BN1028" s="127" t="e">
        <v>#N/A</v>
      </c>
      <c r="BO1028" s="127" t="e">
        <v>#N/A</v>
      </c>
      <c r="BP1028" s="151">
        <v>1.0626913437795575</v>
      </c>
      <c r="BQ1028" t="e">
        <v>#N/A</v>
      </c>
      <c r="BR1028" t="str">
        <v/>
      </c>
    </row>
    <row r="1029" spans="47:70" x14ac:dyDescent="0.2">
      <c r="AU1029"/>
      <c r="AV1029"/>
      <c r="AW1029"/>
      <c r="AX1029"/>
      <c r="AY1029"/>
      <c r="BK1029" s="42">
        <v>1028</v>
      </c>
      <c r="BL1029" s="127">
        <v>3</v>
      </c>
      <c r="BM1029" s="127">
        <v>1.0626913437795575</v>
      </c>
      <c r="BN1029" s="127" t="e">
        <v>#N/A</v>
      </c>
      <c r="BO1029" s="127" t="e">
        <v>#N/A</v>
      </c>
      <c r="BP1029" s="151">
        <v>1.0626913437795575</v>
      </c>
      <c r="BQ1029" t="e">
        <v>#N/A</v>
      </c>
      <c r="BR1029" t="str">
        <v/>
      </c>
    </row>
    <row r="1030" spans="47:70" x14ac:dyDescent="0.2">
      <c r="AU1030"/>
      <c r="AV1030"/>
      <c r="AW1030"/>
      <c r="AX1030"/>
      <c r="AY1030"/>
      <c r="BK1030" s="42">
        <v>1029</v>
      </c>
      <c r="BL1030" s="127">
        <v>3</v>
      </c>
      <c r="BM1030" s="127">
        <v>1.0626913437795575</v>
      </c>
      <c r="BN1030" s="127" t="e">
        <v>#N/A</v>
      </c>
      <c r="BO1030" s="127" t="e">
        <v>#N/A</v>
      </c>
      <c r="BP1030" s="151">
        <v>1.0626913437795575</v>
      </c>
      <c r="BQ1030" t="e">
        <v>#N/A</v>
      </c>
      <c r="BR1030" t="str">
        <v/>
      </c>
    </row>
    <row r="1031" spans="47:70" x14ac:dyDescent="0.2">
      <c r="AU1031"/>
      <c r="AV1031"/>
      <c r="AW1031"/>
      <c r="AX1031"/>
      <c r="AY1031"/>
      <c r="BK1031" s="42">
        <v>1030</v>
      </c>
      <c r="BL1031" s="127">
        <v>3</v>
      </c>
      <c r="BM1031" s="127">
        <v>1.0626913437795575</v>
      </c>
      <c r="BN1031" s="127" t="e">
        <v>#N/A</v>
      </c>
      <c r="BO1031" s="127" t="e">
        <v>#N/A</v>
      </c>
      <c r="BP1031" s="151">
        <v>1.0626913437795575</v>
      </c>
      <c r="BQ1031" t="e">
        <v>#N/A</v>
      </c>
      <c r="BR1031" t="str">
        <v/>
      </c>
    </row>
    <row r="1032" spans="47:70" x14ac:dyDescent="0.2">
      <c r="AU1032"/>
      <c r="AV1032"/>
      <c r="AW1032"/>
      <c r="AX1032"/>
      <c r="AY1032"/>
      <c r="BK1032" s="42">
        <v>1031</v>
      </c>
      <c r="BL1032" s="127">
        <v>3</v>
      </c>
      <c r="BM1032" s="127">
        <v>1.0626913437795575</v>
      </c>
      <c r="BN1032" s="127" t="e">
        <v>#N/A</v>
      </c>
      <c r="BO1032" s="127" t="e">
        <v>#N/A</v>
      </c>
      <c r="BP1032" s="151">
        <v>1.0626913437795575</v>
      </c>
      <c r="BQ1032" t="e">
        <v>#N/A</v>
      </c>
      <c r="BR1032" t="str">
        <v/>
      </c>
    </row>
    <row r="1033" spans="47:70" x14ac:dyDescent="0.2">
      <c r="AU1033"/>
      <c r="AV1033"/>
      <c r="AW1033"/>
      <c r="AX1033"/>
      <c r="AY1033"/>
      <c r="BK1033" s="42">
        <v>1032</v>
      </c>
      <c r="BL1033" s="127">
        <v>3</v>
      </c>
      <c r="BM1033" s="127">
        <v>1.0626913437795575</v>
      </c>
      <c r="BN1033" s="127" t="e">
        <v>#N/A</v>
      </c>
      <c r="BO1033" s="127" t="e">
        <v>#N/A</v>
      </c>
      <c r="BP1033" s="151">
        <v>1.0626913437795575</v>
      </c>
      <c r="BQ1033" t="e">
        <v>#N/A</v>
      </c>
      <c r="BR1033" t="str">
        <v/>
      </c>
    </row>
    <row r="1034" spans="47:70" x14ac:dyDescent="0.2">
      <c r="AU1034"/>
      <c r="AV1034"/>
      <c r="AW1034"/>
      <c r="AX1034"/>
      <c r="AY1034"/>
      <c r="BK1034" s="42">
        <v>1033</v>
      </c>
      <c r="BL1034" s="127">
        <v>3</v>
      </c>
      <c r="BM1034" s="127">
        <v>1.0626913437795575</v>
      </c>
      <c r="BN1034" s="127" t="e">
        <v>#N/A</v>
      </c>
      <c r="BO1034" s="127" t="e">
        <v>#N/A</v>
      </c>
      <c r="BP1034" s="151">
        <v>1.0626913437795575</v>
      </c>
      <c r="BQ1034" t="e">
        <v>#N/A</v>
      </c>
      <c r="BR1034" t="str">
        <v/>
      </c>
    </row>
    <row r="1035" spans="47:70" x14ac:dyDescent="0.2">
      <c r="AU1035"/>
      <c r="AV1035"/>
      <c r="AW1035"/>
      <c r="AX1035"/>
      <c r="AY1035"/>
      <c r="BK1035" s="42">
        <v>1034</v>
      </c>
      <c r="BL1035" s="127">
        <v>3</v>
      </c>
      <c r="BM1035" s="127">
        <v>1.0626913437795575</v>
      </c>
      <c r="BN1035" s="127" t="e">
        <v>#N/A</v>
      </c>
      <c r="BO1035" s="127" t="e">
        <v>#N/A</v>
      </c>
      <c r="BP1035" s="151">
        <v>1.0626913437795575</v>
      </c>
      <c r="BQ1035" t="e">
        <v>#N/A</v>
      </c>
      <c r="BR1035" t="str">
        <v/>
      </c>
    </row>
    <row r="1036" spans="47:70" x14ac:dyDescent="0.2">
      <c r="AU1036"/>
      <c r="AV1036"/>
      <c r="AW1036"/>
      <c r="AX1036"/>
      <c r="AY1036"/>
      <c r="BK1036" s="42">
        <v>1035</v>
      </c>
      <c r="BL1036" s="127">
        <v>3</v>
      </c>
      <c r="BM1036" s="127">
        <v>1.0626913437795575</v>
      </c>
      <c r="BN1036" s="127" t="e">
        <v>#N/A</v>
      </c>
      <c r="BO1036" s="127" t="e">
        <v>#N/A</v>
      </c>
      <c r="BP1036" s="151">
        <v>1.0626913437795575</v>
      </c>
      <c r="BQ1036" t="e">
        <v>#N/A</v>
      </c>
      <c r="BR1036" t="str">
        <v/>
      </c>
    </row>
    <row r="1037" spans="47:70" x14ac:dyDescent="0.2">
      <c r="AU1037"/>
      <c r="AV1037"/>
      <c r="AW1037"/>
      <c r="AX1037"/>
      <c r="AY1037"/>
      <c r="BK1037" s="42">
        <v>1036</v>
      </c>
      <c r="BL1037" s="127">
        <v>3</v>
      </c>
      <c r="BM1037" s="127">
        <v>1.0626913437795575</v>
      </c>
      <c r="BN1037" s="127" t="e">
        <v>#N/A</v>
      </c>
      <c r="BO1037" s="127" t="e">
        <v>#N/A</v>
      </c>
      <c r="BP1037" s="151">
        <v>1.0626913437795575</v>
      </c>
      <c r="BQ1037" t="e">
        <v>#N/A</v>
      </c>
      <c r="BR1037" t="str">
        <v/>
      </c>
    </row>
    <row r="1038" spans="47:70" x14ac:dyDescent="0.2">
      <c r="AU1038"/>
      <c r="AV1038"/>
      <c r="AW1038"/>
      <c r="AX1038"/>
      <c r="AY1038"/>
      <c r="BK1038" s="42">
        <v>1037</v>
      </c>
      <c r="BL1038" s="127">
        <v>3</v>
      </c>
      <c r="BM1038" s="127">
        <v>1.0626913437795575</v>
      </c>
      <c r="BN1038" s="127" t="e">
        <v>#N/A</v>
      </c>
      <c r="BO1038" s="127" t="e">
        <v>#N/A</v>
      </c>
      <c r="BP1038" s="151">
        <v>1.0626913437795575</v>
      </c>
      <c r="BQ1038" t="e">
        <v>#N/A</v>
      </c>
      <c r="BR1038" t="str">
        <v/>
      </c>
    </row>
    <row r="1039" spans="47:70" x14ac:dyDescent="0.2">
      <c r="AU1039"/>
      <c r="AV1039"/>
      <c r="AW1039"/>
      <c r="AX1039"/>
      <c r="AY1039"/>
      <c r="BK1039" s="42">
        <v>1038</v>
      </c>
      <c r="BL1039" s="127">
        <v>3</v>
      </c>
      <c r="BM1039" s="127">
        <v>1.0626913437795575</v>
      </c>
      <c r="BN1039" s="127" t="e">
        <v>#N/A</v>
      </c>
      <c r="BO1039" s="127" t="e">
        <v>#N/A</v>
      </c>
      <c r="BP1039" s="151">
        <v>1.0626913437795575</v>
      </c>
      <c r="BQ1039" t="e">
        <v>#N/A</v>
      </c>
      <c r="BR1039" t="str">
        <v/>
      </c>
    </row>
    <row r="1040" spans="47:70" x14ac:dyDescent="0.2">
      <c r="AU1040"/>
      <c r="AV1040"/>
      <c r="AW1040"/>
      <c r="AX1040"/>
      <c r="AY1040"/>
      <c r="BK1040" s="42">
        <v>1039</v>
      </c>
      <c r="BL1040" s="127">
        <v>3</v>
      </c>
      <c r="BM1040" s="127">
        <v>1.0626913437795575</v>
      </c>
      <c r="BN1040" s="127" t="e">
        <v>#N/A</v>
      </c>
      <c r="BO1040" s="127" t="e">
        <v>#N/A</v>
      </c>
      <c r="BP1040" s="151">
        <v>1.0626913437795575</v>
      </c>
      <c r="BQ1040" t="e">
        <v>#N/A</v>
      </c>
      <c r="BR1040" t="str">
        <v/>
      </c>
    </row>
    <row r="1041" spans="47:70" x14ac:dyDescent="0.2">
      <c r="AU1041"/>
      <c r="AV1041"/>
      <c r="AW1041"/>
      <c r="AX1041"/>
      <c r="AY1041"/>
      <c r="BK1041" s="42">
        <v>1040</v>
      </c>
      <c r="BL1041" s="127">
        <v>3</v>
      </c>
      <c r="BM1041" s="127">
        <v>1.0626913437795575</v>
      </c>
      <c r="BN1041" s="127" t="e">
        <v>#N/A</v>
      </c>
      <c r="BO1041" s="127" t="e">
        <v>#N/A</v>
      </c>
      <c r="BP1041" s="151">
        <v>1.0626913437795575</v>
      </c>
      <c r="BQ1041" t="e">
        <v>#N/A</v>
      </c>
      <c r="BR1041" t="str">
        <v/>
      </c>
    </row>
    <row r="1042" spans="47:70" x14ac:dyDescent="0.2">
      <c r="AU1042"/>
      <c r="AV1042"/>
      <c r="AW1042"/>
      <c r="AX1042"/>
      <c r="AY1042"/>
      <c r="BK1042" s="42">
        <v>1041</v>
      </c>
      <c r="BL1042" s="127">
        <v>3</v>
      </c>
      <c r="BM1042" s="127">
        <v>1.0626913437795575</v>
      </c>
      <c r="BN1042" s="127" t="e">
        <v>#N/A</v>
      </c>
      <c r="BO1042" s="127" t="e">
        <v>#N/A</v>
      </c>
      <c r="BP1042" s="151">
        <v>1.0626913437795575</v>
      </c>
      <c r="BQ1042" t="e">
        <v>#N/A</v>
      </c>
      <c r="BR1042" t="str">
        <v/>
      </c>
    </row>
    <row r="1043" spans="47:70" x14ac:dyDescent="0.2">
      <c r="AU1043"/>
      <c r="AV1043"/>
      <c r="AW1043"/>
      <c r="AX1043"/>
      <c r="AY1043"/>
      <c r="BK1043" s="42">
        <v>1042</v>
      </c>
      <c r="BL1043" s="127">
        <v>3</v>
      </c>
      <c r="BM1043" s="127">
        <v>1.0626913437795575</v>
      </c>
      <c r="BN1043" s="127" t="e">
        <v>#N/A</v>
      </c>
      <c r="BO1043" s="127" t="e">
        <v>#N/A</v>
      </c>
      <c r="BP1043" s="151">
        <v>1.0626913437795575</v>
      </c>
      <c r="BQ1043" t="e">
        <v>#N/A</v>
      </c>
      <c r="BR1043" t="str">
        <v/>
      </c>
    </row>
    <row r="1044" spans="47:70" x14ac:dyDescent="0.2">
      <c r="AU1044"/>
      <c r="AV1044"/>
      <c r="AW1044"/>
      <c r="AX1044"/>
      <c r="AY1044"/>
      <c r="BK1044" s="42">
        <v>1043</v>
      </c>
      <c r="BL1044" s="127">
        <v>3</v>
      </c>
      <c r="BM1044" s="127">
        <v>1.0626913437795575</v>
      </c>
      <c r="BN1044" s="127" t="e">
        <v>#N/A</v>
      </c>
      <c r="BO1044" s="127" t="e">
        <v>#N/A</v>
      </c>
      <c r="BP1044" s="151">
        <v>1.0626913437795575</v>
      </c>
      <c r="BQ1044" t="e">
        <v>#N/A</v>
      </c>
      <c r="BR1044" t="str">
        <v/>
      </c>
    </row>
    <row r="1045" spans="47:70" x14ac:dyDescent="0.2">
      <c r="AU1045"/>
      <c r="AV1045"/>
      <c r="AW1045"/>
      <c r="AX1045"/>
      <c r="AY1045"/>
      <c r="BK1045" s="42">
        <v>1044</v>
      </c>
      <c r="BL1045" s="127">
        <v>3</v>
      </c>
      <c r="BM1045" s="127">
        <v>1.0626913437795575</v>
      </c>
      <c r="BN1045" s="127" t="e">
        <v>#N/A</v>
      </c>
      <c r="BO1045" s="127" t="e">
        <v>#N/A</v>
      </c>
      <c r="BP1045" s="151">
        <v>1.0626913437795575</v>
      </c>
      <c r="BQ1045" t="e">
        <v>#N/A</v>
      </c>
      <c r="BR1045" t="str">
        <v/>
      </c>
    </row>
    <row r="1046" spans="47:70" x14ac:dyDescent="0.2">
      <c r="AU1046"/>
      <c r="AV1046"/>
      <c r="AW1046"/>
      <c r="AX1046"/>
      <c r="AY1046"/>
      <c r="BK1046" s="42">
        <v>1045</v>
      </c>
      <c r="BL1046" s="127">
        <v>3</v>
      </c>
      <c r="BM1046" s="127">
        <v>1.0626913437795575</v>
      </c>
      <c r="BN1046" s="127" t="e">
        <v>#N/A</v>
      </c>
      <c r="BO1046" s="127" t="e">
        <v>#N/A</v>
      </c>
      <c r="BP1046" s="151">
        <v>1.0626913437795575</v>
      </c>
      <c r="BQ1046" t="e">
        <v>#N/A</v>
      </c>
      <c r="BR1046" t="str">
        <v/>
      </c>
    </row>
    <row r="1047" spans="47:70" x14ac:dyDescent="0.2">
      <c r="AU1047"/>
      <c r="AV1047"/>
      <c r="AW1047"/>
      <c r="AX1047"/>
      <c r="AY1047"/>
      <c r="BK1047" s="42">
        <v>1046</v>
      </c>
      <c r="BL1047" s="127">
        <v>3</v>
      </c>
      <c r="BM1047" s="127">
        <v>1.0626913437795575</v>
      </c>
      <c r="BN1047" s="127" t="e">
        <v>#N/A</v>
      </c>
      <c r="BO1047" s="127" t="e">
        <v>#N/A</v>
      </c>
      <c r="BP1047" s="151">
        <v>1.0626913437795575</v>
      </c>
      <c r="BQ1047" t="e">
        <v>#N/A</v>
      </c>
      <c r="BR1047" t="str">
        <v/>
      </c>
    </row>
    <row r="1048" spans="47:70" x14ac:dyDescent="0.2">
      <c r="AU1048"/>
      <c r="AV1048"/>
      <c r="AW1048"/>
      <c r="AX1048"/>
      <c r="AY1048"/>
      <c r="BK1048" s="42">
        <v>1047</v>
      </c>
      <c r="BL1048" s="127">
        <v>3</v>
      </c>
      <c r="BM1048" s="127">
        <v>1.0626913437795575</v>
      </c>
      <c r="BN1048" s="127" t="e">
        <v>#N/A</v>
      </c>
      <c r="BO1048" s="127" t="e">
        <v>#N/A</v>
      </c>
      <c r="BP1048" s="151">
        <v>1.0626913437795575</v>
      </c>
      <c r="BQ1048" t="e">
        <v>#N/A</v>
      </c>
      <c r="BR1048" t="str">
        <v/>
      </c>
    </row>
    <row r="1049" spans="47:70" x14ac:dyDescent="0.2">
      <c r="AU1049"/>
      <c r="AV1049"/>
      <c r="AW1049"/>
      <c r="AX1049"/>
      <c r="AY1049"/>
      <c r="BK1049" s="42">
        <v>1048</v>
      </c>
      <c r="BL1049" s="127">
        <v>3</v>
      </c>
      <c r="BM1049" s="127">
        <v>1.0626913437795575</v>
      </c>
      <c r="BN1049" s="127" t="e">
        <v>#N/A</v>
      </c>
      <c r="BO1049" s="127" t="e">
        <v>#N/A</v>
      </c>
      <c r="BP1049" s="151">
        <v>1.0626913437795575</v>
      </c>
      <c r="BQ1049" t="e">
        <v>#N/A</v>
      </c>
      <c r="BR1049" t="str">
        <v/>
      </c>
    </row>
    <row r="1050" spans="47:70" x14ac:dyDescent="0.2">
      <c r="AU1050"/>
      <c r="AV1050"/>
      <c r="AW1050"/>
      <c r="AX1050"/>
      <c r="AY1050"/>
      <c r="BK1050" s="42">
        <v>1049</v>
      </c>
      <c r="BL1050" s="127">
        <v>3</v>
      </c>
      <c r="BM1050" s="127">
        <v>1.0626913437795575</v>
      </c>
      <c r="BN1050" s="127" t="e">
        <v>#N/A</v>
      </c>
      <c r="BO1050" s="127" t="e">
        <v>#N/A</v>
      </c>
      <c r="BP1050" s="151">
        <v>1.0626913437795575</v>
      </c>
      <c r="BQ1050" t="e">
        <v>#N/A</v>
      </c>
      <c r="BR1050" t="str">
        <v/>
      </c>
    </row>
    <row r="1051" spans="47:70" x14ac:dyDescent="0.2">
      <c r="AU1051"/>
      <c r="AV1051"/>
      <c r="AW1051"/>
      <c r="AX1051"/>
      <c r="AY1051"/>
      <c r="BK1051" s="42">
        <v>1050</v>
      </c>
      <c r="BL1051" s="127">
        <v>3</v>
      </c>
      <c r="BM1051" s="127">
        <v>1.0626913437795575</v>
      </c>
      <c r="BN1051" s="127" t="e">
        <v>#N/A</v>
      </c>
      <c r="BO1051" s="127" t="e">
        <v>#N/A</v>
      </c>
      <c r="BP1051" s="151">
        <v>1.0626913437795575</v>
      </c>
      <c r="BQ1051" t="e">
        <v>#N/A</v>
      </c>
      <c r="BR1051" t="str">
        <v/>
      </c>
    </row>
    <row r="1052" spans="47:70" x14ac:dyDescent="0.2">
      <c r="AU1052"/>
      <c r="AV1052"/>
      <c r="AW1052"/>
      <c r="AX1052"/>
      <c r="AY1052"/>
      <c r="BK1052" s="42">
        <v>1051</v>
      </c>
      <c r="BL1052" s="127">
        <v>3</v>
      </c>
      <c r="BM1052" s="127">
        <v>1.0626913437795575</v>
      </c>
      <c r="BN1052" s="127" t="e">
        <v>#N/A</v>
      </c>
      <c r="BO1052" s="127" t="e">
        <v>#N/A</v>
      </c>
      <c r="BP1052" s="151">
        <v>1.0626913437795575</v>
      </c>
      <c r="BQ1052" t="e">
        <v>#N/A</v>
      </c>
      <c r="BR1052" t="str">
        <v/>
      </c>
    </row>
    <row r="1053" spans="47:70" x14ac:dyDescent="0.2">
      <c r="AU1053"/>
      <c r="AV1053"/>
      <c r="AW1053"/>
      <c r="AX1053"/>
      <c r="AY1053"/>
      <c r="BK1053" s="42">
        <v>1052</v>
      </c>
      <c r="BL1053" s="127">
        <v>3</v>
      </c>
      <c r="BM1053" s="127">
        <v>1.0626913437795575</v>
      </c>
      <c r="BN1053" s="127" t="e">
        <v>#N/A</v>
      </c>
      <c r="BO1053" s="127" t="e">
        <v>#N/A</v>
      </c>
      <c r="BP1053" s="151">
        <v>1.0626913437795575</v>
      </c>
      <c r="BQ1053" t="e">
        <v>#N/A</v>
      </c>
      <c r="BR1053" t="str">
        <v/>
      </c>
    </row>
    <row r="1054" spans="47:70" x14ac:dyDescent="0.2">
      <c r="AU1054"/>
      <c r="AV1054"/>
      <c r="AW1054"/>
      <c r="AX1054"/>
      <c r="AY1054"/>
      <c r="BK1054" s="42">
        <v>1053</v>
      </c>
      <c r="BL1054" s="127">
        <v>3</v>
      </c>
      <c r="BM1054" s="127">
        <v>1.0626913437795575</v>
      </c>
      <c r="BN1054" s="127" t="e">
        <v>#N/A</v>
      </c>
      <c r="BO1054" s="127" t="e">
        <v>#N/A</v>
      </c>
      <c r="BP1054" s="151">
        <v>1.0626913437795575</v>
      </c>
      <c r="BQ1054" t="e">
        <v>#N/A</v>
      </c>
      <c r="BR1054" t="str">
        <v/>
      </c>
    </row>
    <row r="1055" spans="47:70" x14ac:dyDescent="0.2">
      <c r="AU1055"/>
      <c r="AV1055"/>
      <c r="AW1055"/>
      <c r="AX1055"/>
      <c r="AY1055"/>
      <c r="BK1055" s="42">
        <v>1054</v>
      </c>
      <c r="BL1055" s="127">
        <v>3</v>
      </c>
      <c r="BM1055" s="127">
        <v>1.0626913437795575</v>
      </c>
      <c r="BN1055" s="127" t="e">
        <v>#N/A</v>
      </c>
      <c r="BO1055" s="127" t="e">
        <v>#N/A</v>
      </c>
      <c r="BP1055" s="151">
        <v>1.0626913437795575</v>
      </c>
      <c r="BQ1055" t="e">
        <v>#N/A</v>
      </c>
      <c r="BR1055" t="str">
        <v/>
      </c>
    </row>
    <row r="1056" spans="47:70" x14ac:dyDescent="0.2">
      <c r="AU1056"/>
      <c r="AV1056"/>
      <c r="AW1056"/>
      <c r="AX1056"/>
      <c r="AY1056"/>
      <c r="BK1056" s="42">
        <v>1055</v>
      </c>
      <c r="BL1056" s="127">
        <v>3</v>
      </c>
      <c r="BM1056" s="127">
        <v>1.0626913437795575</v>
      </c>
      <c r="BN1056" s="127" t="e">
        <v>#N/A</v>
      </c>
      <c r="BO1056" s="127" t="e">
        <v>#N/A</v>
      </c>
      <c r="BP1056" s="151">
        <v>1.0626913437795575</v>
      </c>
      <c r="BQ1056" t="e">
        <v>#N/A</v>
      </c>
      <c r="BR1056" t="str">
        <v/>
      </c>
    </row>
    <row r="1057" spans="47:70" x14ac:dyDescent="0.2">
      <c r="AU1057"/>
      <c r="AV1057"/>
      <c r="AW1057"/>
      <c r="AX1057"/>
      <c r="AY1057"/>
      <c r="BK1057" s="42">
        <v>1056</v>
      </c>
      <c r="BL1057" s="127">
        <v>3</v>
      </c>
      <c r="BM1057" s="127">
        <v>1.0626913437795575</v>
      </c>
      <c r="BN1057" s="127" t="e">
        <v>#N/A</v>
      </c>
      <c r="BO1057" s="127" t="e">
        <v>#N/A</v>
      </c>
      <c r="BP1057" s="151">
        <v>1.0626913437795575</v>
      </c>
      <c r="BQ1057" t="e">
        <v>#N/A</v>
      </c>
      <c r="BR1057" t="str">
        <v/>
      </c>
    </row>
    <row r="1058" spans="47:70" x14ac:dyDescent="0.2">
      <c r="AU1058"/>
      <c r="AV1058"/>
      <c r="AW1058"/>
      <c r="AX1058"/>
      <c r="AY1058"/>
      <c r="BK1058" s="42">
        <v>1057</v>
      </c>
      <c r="BL1058" s="127">
        <v>3</v>
      </c>
      <c r="BM1058" s="127">
        <v>1.0626913437795575</v>
      </c>
      <c r="BN1058" s="127" t="e">
        <v>#N/A</v>
      </c>
      <c r="BO1058" s="127" t="e">
        <v>#N/A</v>
      </c>
      <c r="BP1058" s="151">
        <v>1.0626913437795575</v>
      </c>
      <c r="BQ1058" t="e">
        <v>#N/A</v>
      </c>
      <c r="BR1058" t="str">
        <v/>
      </c>
    </row>
    <row r="1059" spans="47:70" x14ac:dyDescent="0.2">
      <c r="AU1059"/>
      <c r="AV1059"/>
      <c r="AW1059"/>
      <c r="AX1059"/>
      <c r="AY1059"/>
      <c r="BK1059" s="42">
        <v>1058</v>
      </c>
      <c r="BL1059" s="127">
        <v>3</v>
      </c>
      <c r="BM1059" s="127">
        <v>1.0626913437795575</v>
      </c>
      <c r="BN1059" s="127" t="e">
        <v>#N/A</v>
      </c>
      <c r="BO1059" s="127" t="e">
        <v>#N/A</v>
      </c>
      <c r="BP1059" s="151">
        <v>1.0626913437795575</v>
      </c>
      <c r="BQ1059" t="e">
        <v>#N/A</v>
      </c>
      <c r="BR1059" t="str">
        <v/>
      </c>
    </row>
    <row r="1060" spans="47:70" x14ac:dyDescent="0.2">
      <c r="AU1060"/>
      <c r="AV1060"/>
      <c r="AW1060"/>
      <c r="AX1060"/>
      <c r="AY1060"/>
      <c r="BK1060" s="42">
        <v>1059</v>
      </c>
      <c r="BL1060" s="127">
        <v>3</v>
      </c>
      <c r="BM1060" s="127">
        <v>1.0626913437795575</v>
      </c>
      <c r="BN1060" s="127" t="e">
        <v>#N/A</v>
      </c>
      <c r="BO1060" s="127" t="e">
        <v>#N/A</v>
      </c>
      <c r="BP1060" s="151">
        <v>1.0626913437795575</v>
      </c>
      <c r="BQ1060" t="e">
        <v>#N/A</v>
      </c>
      <c r="BR1060" t="str">
        <v/>
      </c>
    </row>
    <row r="1061" spans="47:70" x14ac:dyDescent="0.2">
      <c r="AU1061"/>
      <c r="AV1061"/>
      <c r="AW1061"/>
      <c r="AX1061"/>
      <c r="AY1061"/>
      <c r="BK1061" s="42">
        <v>1060</v>
      </c>
      <c r="BL1061" s="127">
        <v>3</v>
      </c>
      <c r="BM1061" s="127">
        <v>1.0626913437795575</v>
      </c>
      <c r="BN1061" s="127" t="e">
        <v>#N/A</v>
      </c>
      <c r="BO1061" s="127" t="e">
        <v>#N/A</v>
      </c>
      <c r="BP1061" s="151">
        <v>1.0626913437795575</v>
      </c>
      <c r="BQ1061" t="e">
        <v>#N/A</v>
      </c>
      <c r="BR1061" t="str">
        <v/>
      </c>
    </row>
    <row r="1062" spans="47:70" x14ac:dyDescent="0.2">
      <c r="AU1062"/>
      <c r="AV1062"/>
      <c r="AW1062"/>
      <c r="AX1062"/>
      <c r="AY1062"/>
      <c r="BK1062" s="42">
        <v>1061</v>
      </c>
      <c r="BL1062" s="127">
        <v>3</v>
      </c>
      <c r="BM1062" s="127">
        <v>1.0626913437795575</v>
      </c>
      <c r="BN1062" s="127" t="e">
        <v>#N/A</v>
      </c>
      <c r="BO1062" s="127" t="e">
        <v>#N/A</v>
      </c>
      <c r="BP1062" s="151">
        <v>1.0626913437795575</v>
      </c>
      <c r="BQ1062" t="e">
        <v>#N/A</v>
      </c>
      <c r="BR1062" t="str">
        <v/>
      </c>
    </row>
    <row r="1063" spans="47:70" x14ac:dyDescent="0.2">
      <c r="AU1063"/>
      <c r="AV1063"/>
      <c r="AW1063"/>
      <c r="AX1063"/>
      <c r="AY1063"/>
      <c r="BK1063" s="42">
        <v>1062</v>
      </c>
      <c r="BL1063" s="127">
        <v>3</v>
      </c>
      <c r="BM1063" s="127">
        <v>1.0626913437795575</v>
      </c>
      <c r="BN1063" s="127" t="e">
        <v>#N/A</v>
      </c>
      <c r="BO1063" s="127" t="e">
        <v>#N/A</v>
      </c>
      <c r="BP1063" s="151">
        <v>1.0626913437795575</v>
      </c>
      <c r="BQ1063" t="e">
        <v>#N/A</v>
      </c>
      <c r="BR1063" t="str">
        <v/>
      </c>
    </row>
    <row r="1064" spans="47:70" x14ac:dyDescent="0.2">
      <c r="AU1064"/>
      <c r="AV1064"/>
      <c r="AW1064"/>
      <c r="AX1064"/>
      <c r="AY1064"/>
      <c r="BK1064" s="42">
        <v>1063</v>
      </c>
      <c r="BL1064" s="127">
        <v>3</v>
      </c>
      <c r="BM1064" s="127">
        <v>1.0626913437795575</v>
      </c>
      <c r="BN1064" s="127" t="e">
        <v>#N/A</v>
      </c>
      <c r="BO1064" s="127" t="e">
        <v>#N/A</v>
      </c>
      <c r="BP1064" s="151">
        <v>1.0626913437795575</v>
      </c>
      <c r="BQ1064" t="e">
        <v>#N/A</v>
      </c>
      <c r="BR1064" t="str">
        <v/>
      </c>
    </row>
    <row r="1065" spans="47:70" x14ac:dyDescent="0.2">
      <c r="AU1065"/>
      <c r="AV1065"/>
      <c r="AW1065"/>
      <c r="AX1065"/>
      <c r="AY1065"/>
      <c r="BK1065" s="42">
        <v>1064</v>
      </c>
      <c r="BL1065" s="127">
        <v>3</v>
      </c>
      <c r="BM1065" s="127">
        <v>1.0626913437795575</v>
      </c>
      <c r="BN1065" s="127" t="e">
        <v>#N/A</v>
      </c>
      <c r="BO1065" s="127" t="e">
        <v>#N/A</v>
      </c>
      <c r="BP1065" s="151">
        <v>1.0626913437795575</v>
      </c>
      <c r="BQ1065" t="e">
        <v>#N/A</v>
      </c>
      <c r="BR1065" t="str">
        <v/>
      </c>
    </row>
    <row r="1066" spans="47:70" x14ac:dyDescent="0.2">
      <c r="AU1066"/>
      <c r="AV1066"/>
      <c r="AW1066"/>
      <c r="AX1066"/>
      <c r="AY1066"/>
      <c r="BK1066" s="42">
        <v>1065</v>
      </c>
      <c r="BL1066" s="127">
        <v>3</v>
      </c>
      <c r="BM1066" s="127">
        <v>1.0626913437795575</v>
      </c>
      <c r="BN1066" s="127" t="e">
        <v>#N/A</v>
      </c>
      <c r="BO1066" s="127" t="e">
        <v>#N/A</v>
      </c>
      <c r="BP1066" s="151">
        <v>1.0626913437795575</v>
      </c>
      <c r="BQ1066" t="e">
        <v>#N/A</v>
      </c>
      <c r="BR1066" t="str">
        <v/>
      </c>
    </row>
    <row r="1067" spans="47:70" x14ac:dyDescent="0.2">
      <c r="AU1067"/>
      <c r="AV1067"/>
      <c r="AW1067"/>
      <c r="AX1067"/>
      <c r="AY1067"/>
      <c r="BK1067" s="42">
        <v>1066</v>
      </c>
      <c r="BL1067" s="127">
        <v>3</v>
      </c>
      <c r="BM1067" s="127">
        <v>1.0626913437795575</v>
      </c>
      <c r="BN1067" s="127" t="e">
        <v>#N/A</v>
      </c>
      <c r="BO1067" s="127" t="e">
        <v>#N/A</v>
      </c>
      <c r="BP1067" s="151">
        <v>1.0626913437795575</v>
      </c>
      <c r="BQ1067" t="e">
        <v>#N/A</v>
      </c>
      <c r="BR1067" t="str">
        <v/>
      </c>
    </row>
    <row r="1068" spans="47:70" x14ac:dyDescent="0.2">
      <c r="AU1068"/>
      <c r="AV1068"/>
      <c r="AW1068"/>
      <c r="AX1068"/>
      <c r="AY1068"/>
      <c r="BK1068" s="42">
        <v>1067</v>
      </c>
      <c r="BL1068" s="127">
        <v>3</v>
      </c>
      <c r="BM1068" s="127">
        <v>1.0626913437795575</v>
      </c>
      <c r="BN1068" s="127" t="e">
        <v>#N/A</v>
      </c>
      <c r="BO1068" s="127" t="e">
        <v>#N/A</v>
      </c>
      <c r="BP1068" s="151">
        <v>1.0626913437795575</v>
      </c>
      <c r="BQ1068" t="e">
        <v>#N/A</v>
      </c>
      <c r="BR1068" t="str">
        <v/>
      </c>
    </row>
    <row r="1069" spans="47:70" x14ac:dyDescent="0.2">
      <c r="AU1069"/>
      <c r="AV1069"/>
      <c r="AW1069"/>
      <c r="AX1069"/>
      <c r="AY1069"/>
      <c r="BK1069" s="42">
        <v>1068</v>
      </c>
      <c r="BL1069" s="127">
        <v>3</v>
      </c>
      <c r="BM1069" s="127">
        <v>1.0626913437795575</v>
      </c>
      <c r="BN1069" s="127" t="e">
        <v>#N/A</v>
      </c>
      <c r="BO1069" s="127" t="e">
        <v>#N/A</v>
      </c>
      <c r="BP1069" s="151">
        <v>1.0626913437795575</v>
      </c>
      <c r="BQ1069" t="e">
        <v>#N/A</v>
      </c>
      <c r="BR1069" t="str">
        <v/>
      </c>
    </row>
    <row r="1070" spans="47:70" x14ac:dyDescent="0.2">
      <c r="AU1070"/>
      <c r="AV1070"/>
      <c r="AW1070"/>
      <c r="AX1070"/>
      <c r="AY1070"/>
      <c r="BK1070" s="42">
        <v>1069</v>
      </c>
      <c r="BL1070" s="127">
        <v>3</v>
      </c>
      <c r="BM1070" s="127">
        <v>1.0626913437795575</v>
      </c>
      <c r="BN1070" s="127" t="e">
        <v>#N/A</v>
      </c>
      <c r="BO1070" s="127" t="e">
        <v>#N/A</v>
      </c>
      <c r="BP1070" s="151">
        <v>1.0626913437795575</v>
      </c>
      <c r="BQ1070" t="e">
        <v>#N/A</v>
      </c>
      <c r="BR1070" t="str">
        <v/>
      </c>
    </row>
    <row r="1071" spans="47:70" x14ac:dyDescent="0.2">
      <c r="AU1071"/>
      <c r="AV1071"/>
      <c r="AW1071"/>
      <c r="AX1071"/>
      <c r="AY1071"/>
      <c r="BK1071" s="42">
        <v>1070</v>
      </c>
      <c r="BL1071" s="127">
        <v>3</v>
      </c>
      <c r="BM1071" s="127">
        <v>1.0626913437795575</v>
      </c>
      <c r="BN1071" s="127" t="e">
        <v>#N/A</v>
      </c>
      <c r="BO1071" s="127" t="e">
        <v>#N/A</v>
      </c>
      <c r="BP1071" s="151">
        <v>1.0626913437795575</v>
      </c>
      <c r="BQ1071" t="e">
        <v>#N/A</v>
      </c>
      <c r="BR1071" t="str">
        <v/>
      </c>
    </row>
    <row r="1072" spans="47:70" x14ac:dyDescent="0.2">
      <c r="AU1072"/>
      <c r="AV1072"/>
      <c r="AW1072"/>
      <c r="AX1072"/>
      <c r="AY1072"/>
      <c r="BK1072" s="42">
        <v>1071</v>
      </c>
      <c r="BL1072" s="127">
        <v>3</v>
      </c>
      <c r="BM1072" s="127">
        <v>1.0626913437795575</v>
      </c>
      <c r="BN1072" s="127" t="e">
        <v>#N/A</v>
      </c>
      <c r="BO1072" s="127" t="e">
        <v>#N/A</v>
      </c>
      <c r="BP1072" s="151">
        <v>1.0626913437795575</v>
      </c>
      <c r="BQ1072" t="e">
        <v>#N/A</v>
      </c>
      <c r="BR1072" t="str">
        <v/>
      </c>
    </row>
    <row r="1073" spans="47:70" x14ac:dyDescent="0.2">
      <c r="AU1073"/>
      <c r="AV1073"/>
      <c r="AW1073"/>
      <c r="AX1073"/>
      <c r="AY1073"/>
      <c r="BK1073" s="42">
        <v>1072</v>
      </c>
      <c r="BL1073" s="127">
        <v>3</v>
      </c>
      <c r="BM1073" s="127">
        <v>1.0626913437795575</v>
      </c>
      <c r="BN1073" s="127" t="e">
        <v>#N/A</v>
      </c>
      <c r="BO1073" s="127" t="e">
        <v>#N/A</v>
      </c>
      <c r="BP1073" s="151">
        <v>1.0626913437795575</v>
      </c>
      <c r="BQ1073" t="e">
        <v>#N/A</v>
      </c>
      <c r="BR1073" t="str">
        <v/>
      </c>
    </row>
    <row r="1074" spans="47:70" x14ac:dyDescent="0.2">
      <c r="AU1074"/>
      <c r="AV1074"/>
      <c r="AW1074"/>
      <c r="AX1074"/>
      <c r="AY1074"/>
      <c r="BK1074" s="42">
        <v>1073</v>
      </c>
      <c r="BL1074" s="127">
        <v>3</v>
      </c>
      <c r="BM1074" s="127">
        <v>1.0626913437795575</v>
      </c>
      <c r="BN1074" s="127" t="e">
        <v>#N/A</v>
      </c>
      <c r="BO1074" s="127" t="e">
        <v>#N/A</v>
      </c>
      <c r="BP1074" s="151">
        <v>1.0626913437795575</v>
      </c>
      <c r="BQ1074" t="e">
        <v>#N/A</v>
      </c>
      <c r="BR1074" t="str">
        <v/>
      </c>
    </row>
    <row r="1075" spans="47:70" x14ac:dyDescent="0.2">
      <c r="AU1075"/>
      <c r="AV1075"/>
      <c r="AW1075"/>
      <c r="AX1075"/>
      <c r="AY1075"/>
      <c r="BK1075" s="42">
        <v>1074</v>
      </c>
      <c r="BL1075" s="127">
        <v>3</v>
      </c>
      <c r="BM1075" s="127">
        <v>1.0626913437795575</v>
      </c>
      <c r="BN1075" s="127" t="e">
        <v>#N/A</v>
      </c>
      <c r="BO1075" s="127" t="e">
        <v>#N/A</v>
      </c>
      <c r="BP1075" s="151">
        <v>1.0626913437795575</v>
      </c>
      <c r="BQ1075" t="e">
        <v>#N/A</v>
      </c>
      <c r="BR1075" t="str">
        <v/>
      </c>
    </row>
    <row r="1076" spans="47:70" x14ac:dyDescent="0.2">
      <c r="AU1076"/>
      <c r="AV1076"/>
      <c r="AW1076"/>
      <c r="AX1076"/>
      <c r="AY1076"/>
      <c r="BK1076" s="42">
        <v>1075</v>
      </c>
      <c r="BL1076" s="127">
        <v>3</v>
      </c>
      <c r="BM1076" s="127">
        <v>1.0626913437795575</v>
      </c>
      <c r="BN1076" s="127" t="e">
        <v>#N/A</v>
      </c>
      <c r="BO1076" s="127" t="e">
        <v>#N/A</v>
      </c>
      <c r="BP1076" s="151">
        <v>1.0626913437795575</v>
      </c>
      <c r="BQ1076" t="e">
        <v>#N/A</v>
      </c>
      <c r="BR1076" t="str">
        <v/>
      </c>
    </row>
    <row r="1077" spans="47:70" x14ac:dyDescent="0.2">
      <c r="AU1077"/>
      <c r="AV1077"/>
      <c r="AW1077"/>
      <c r="AX1077"/>
      <c r="AY1077"/>
      <c r="BK1077" s="42">
        <v>1076</v>
      </c>
      <c r="BL1077" s="127">
        <v>3</v>
      </c>
      <c r="BM1077" s="127">
        <v>1.0626913437795575</v>
      </c>
      <c r="BN1077" s="127" t="e">
        <v>#N/A</v>
      </c>
      <c r="BO1077" s="127" t="e">
        <v>#N/A</v>
      </c>
      <c r="BP1077" s="151">
        <v>1.0626913437795575</v>
      </c>
      <c r="BQ1077" t="e">
        <v>#N/A</v>
      </c>
      <c r="BR1077" t="str">
        <v/>
      </c>
    </row>
    <row r="1078" spans="47:70" x14ac:dyDescent="0.2">
      <c r="AU1078"/>
      <c r="AV1078"/>
      <c r="AW1078"/>
      <c r="AX1078"/>
      <c r="AY1078"/>
      <c r="BK1078" s="42">
        <v>1077</v>
      </c>
      <c r="BL1078" s="127">
        <v>3</v>
      </c>
      <c r="BM1078" s="127">
        <v>1.0626913437795575</v>
      </c>
      <c r="BN1078" s="127" t="e">
        <v>#N/A</v>
      </c>
      <c r="BO1078" s="127" t="e">
        <v>#N/A</v>
      </c>
      <c r="BP1078" s="151">
        <v>1.0626913437795575</v>
      </c>
      <c r="BQ1078" t="e">
        <v>#N/A</v>
      </c>
      <c r="BR1078" t="str">
        <v/>
      </c>
    </row>
    <row r="1079" spans="47:70" x14ac:dyDescent="0.2">
      <c r="AU1079"/>
      <c r="AV1079"/>
      <c r="AW1079"/>
      <c r="AX1079"/>
      <c r="AY1079"/>
      <c r="BK1079" s="42">
        <v>1078</v>
      </c>
      <c r="BL1079" s="127">
        <v>3</v>
      </c>
      <c r="BM1079" s="127">
        <v>1.0626913437795575</v>
      </c>
      <c r="BN1079" s="127" t="e">
        <v>#N/A</v>
      </c>
      <c r="BO1079" s="127" t="e">
        <v>#N/A</v>
      </c>
      <c r="BP1079" s="151">
        <v>1.0626913437795575</v>
      </c>
      <c r="BQ1079" t="e">
        <v>#N/A</v>
      </c>
      <c r="BR1079" t="str">
        <v/>
      </c>
    </row>
    <row r="1080" spans="47:70" x14ac:dyDescent="0.2">
      <c r="AU1080"/>
      <c r="AV1080"/>
      <c r="AW1080"/>
      <c r="AX1080"/>
      <c r="AY1080"/>
      <c r="BK1080" s="42">
        <v>1079</v>
      </c>
      <c r="BL1080" s="127">
        <v>3</v>
      </c>
      <c r="BM1080" s="127">
        <v>1.0626913437795575</v>
      </c>
      <c r="BN1080" s="127" t="e">
        <v>#N/A</v>
      </c>
      <c r="BO1080" s="127" t="e">
        <v>#N/A</v>
      </c>
      <c r="BP1080" s="151">
        <v>1.0626913437795575</v>
      </c>
      <c r="BQ1080" t="e">
        <v>#N/A</v>
      </c>
      <c r="BR1080" t="str">
        <v/>
      </c>
    </row>
    <row r="1081" spans="47:70" x14ac:dyDescent="0.2">
      <c r="AU1081"/>
      <c r="AV1081"/>
      <c r="AW1081"/>
      <c r="AX1081"/>
      <c r="AY1081"/>
      <c r="BK1081" s="42">
        <v>1080</v>
      </c>
      <c r="BL1081" s="127">
        <v>3</v>
      </c>
      <c r="BM1081" s="127">
        <v>1.0626913437795575</v>
      </c>
      <c r="BN1081" s="127" t="e">
        <v>#N/A</v>
      </c>
      <c r="BO1081" s="127" t="e">
        <v>#N/A</v>
      </c>
      <c r="BP1081" s="151">
        <v>1.0626913437795575</v>
      </c>
      <c r="BQ1081" t="e">
        <v>#N/A</v>
      </c>
      <c r="BR1081" t="str">
        <v/>
      </c>
    </row>
    <row r="1082" spans="47:70" x14ac:dyDescent="0.2">
      <c r="AU1082"/>
      <c r="AV1082"/>
      <c r="AW1082"/>
      <c r="AX1082"/>
      <c r="AY1082"/>
      <c r="BK1082" s="42">
        <v>1081</v>
      </c>
      <c r="BL1082" s="127">
        <v>3</v>
      </c>
      <c r="BM1082" s="127">
        <v>1.0626913437795575</v>
      </c>
      <c r="BN1082" s="127" t="e">
        <v>#N/A</v>
      </c>
      <c r="BO1082" s="127" t="e">
        <v>#N/A</v>
      </c>
      <c r="BP1082" s="151">
        <v>1.0626913437795575</v>
      </c>
      <c r="BQ1082" t="e">
        <v>#N/A</v>
      </c>
      <c r="BR1082" t="str">
        <v/>
      </c>
    </row>
    <row r="1083" spans="47:70" x14ac:dyDescent="0.2">
      <c r="AU1083"/>
      <c r="AV1083"/>
      <c r="AW1083"/>
      <c r="AX1083"/>
      <c r="AY1083"/>
      <c r="BK1083" s="42">
        <v>1082</v>
      </c>
      <c r="BL1083" s="127">
        <v>3</v>
      </c>
      <c r="BM1083" s="127">
        <v>1.0626913437795575</v>
      </c>
      <c r="BN1083" s="127" t="e">
        <v>#N/A</v>
      </c>
      <c r="BO1083" s="127" t="e">
        <v>#N/A</v>
      </c>
      <c r="BP1083" s="151">
        <v>1.0626913437795575</v>
      </c>
      <c r="BQ1083" t="e">
        <v>#N/A</v>
      </c>
      <c r="BR1083" t="str">
        <v/>
      </c>
    </row>
    <row r="1084" spans="47:70" x14ac:dyDescent="0.2">
      <c r="AU1084"/>
      <c r="AV1084"/>
      <c r="AW1084"/>
      <c r="AX1084"/>
      <c r="AY1084"/>
      <c r="BK1084" s="42">
        <v>1083</v>
      </c>
      <c r="BL1084" s="127">
        <v>3</v>
      </c>
      <c r="BM1084" s="127">
        <v>1.0626913437795575</v>
      </c>
      <c r="BN1084" s="127" t="e">
        <v>#N/A</v>
      </c>
      <c r="BO1084" s="127" t="e">
        <v>#N/A</v>
      </c>
      <c r="BP1084" s="151">
        <v>1.0626913437795575</v>
      </c>
      <c r="BQ1084" t="e">
        <v>#N/A</v>
      </c>
      <c r="BR1084" t="str">
        <v/>
      </c>
    </row>
    <row r="1085" spans="47:70" x14ac:dyDescent="0.2">
      <c r="AU1085"/>
      <c r="AV1085"/>
      <c r="AW1085"/>
      <c r="AX1085"/>
      <c r="AY1085"/>
      <c r="BK1085" s="42">
        <v>1084</v>
      </c>
      <c r="BL1085" s="127">
        <v>3</v>
      </c>
      <c r="BM1085" s="127">
        <v>1.0626913437795575</v>
      </c>
      <c r="BN1085" s="127" t="e">
        <v>#N/A</v>
      </c>
      <c r="BO1085" s="127" t="e">
        <v>#N/A</v>
      </c>
      <c r="BP1085" s="151">
        <v>1.0626913437795575</v>
      </c>
      <c r="BQ1085" t="e">
        <v>#N/A</v>
      </c>
      <c r="BR1085" t="str">
        <v/>
      </c>
    </row>
    <row r="1086" spans="47:70" x14ac:dyDescent="0.2">
      <c r="AU1086"/>
      <c r="AV1086"/>
      <c r="AW1086"/>
      <c r="AX1086"/>
      <c r="AY1086"/>
      <c r="BK1086" s="42">
        <v>1085</v>
      </c>
      <c r="BL1086" s="127">
        <v>3</v>
      </c>
      <c r="BM1086" s="127">
        <v>1.0626913437795575</v>
      </c>
      <c r="BN1086" s="127" t="e">
        <v>#N/A</v>
      </c>
      <c r="BO1086" s="127" t="e">
        <v>#N/A</v>
      </c>
      <c r="BP1086" s="151">
        <v>1.0626913437795575</v>
      </c>
      <c r="BQ1086" t="e">
        <v>#N/A</v>
      </c>
      <c r="BR1086" t="str">
        <v/>
      </c>
    </row>
    <row r="1087" spans="47:70" x14ac:dyDescent="0.2">
      <c r="AU1087"/>
      <c r="AV1087"/>
      <c r="AW1087"/>
      <c r="AX1087"/>
      <c r="AY1087"/>
      <c r="BK1087" s="42">
        <v>1086</v>
      </c>
      <c r="BL1087" s="127">
        <v>3</v>
      </c>
      <c r="BM1087" s="127">
        <v>1.0626913437795575</v>
      </c>
      <c r="BN1087" s="127" t="e">
        <v>#N/A</v>
      </c>
      <c r="BO1087" s="127" t="e">
        <v>#N/A</v>
      </c>
      <c r="BP1087" s="151">
        <v>1.0626913437795575</v>
      </c>
      <c r="BQ1087" t="e">
        <v>#N/A</v>
      </c>
      <c r="BR1087" t="str">
        <v/>
      </c>
    </row>
    <row r="1088" spans="47:70" x14ac:dyDescent="0.2">
      <c r="AU1088"/>
      <c r="AV1088"/>
      <c r="AW1088"/>
      <c r="AX1088"/>
      <c r="AY1088"/>
      <c r="BK1088" s="42">
        <v>1087</v>
      </c>
      <c r="BL1088" s="127">
        <v>3</v>
      </c>
      <c r="BM1088" s="127">
        <v>1.0626913437795575</v>
      </c>
      <c r="BN1088" s="127" t="e">
        <v>#N/A</v>
      </c>
      <c r="BO1088" s="127" t="e">
        <v>#N/A</v>
      </c>
      <c r="BP1088" s="151">
        <v>1.0626913437795575</v>
      </c>
      <c r="BQ1088" t="e">
        <v>#N/A</v>
      </c>
      <c r="BR1088" t="str">
        <v/>
      </c>
    </row>
    <row r="1089" spans="47:70" x14ac:dyDescent="0.2">
      <c r="AU1089"/>
      <c r="AV1089"/>
      <c r="AW1089"/>
      <c r="AX1089"/>
      <c r="AY1089"/>
      <c r="BK1089" s="42">
        <v>1088</v>
      </c>
      <c r="BL1089" s="127">
        <v>3</v>
      </c>
      <c r="BM1089" s="127">
        <v>1.0626913437795575</v>
      </c>
      <c r="BN1089" s="127" t="e">
        <v>#N/A</v>
      </c>
      <c r="BO1089" s="127" t="e">
        <v>#N/A</v>
      </c>
      <c r="BP1089" s="151">
        <v>1.0626913437795575</v>
      </c>
      <c r="BQ1089" t="e">
        <v>#N/A</v>
      </c>
      <c r="BR1089" t="str">
        <v/>
      </c>
    </row>
    <row r="1090" spans="47:70" x14ac:dyDescent="0.2">
      <c r="AU1090"/>
      <c r="AV1090"/>
      <c r="AW1090"/>
      <c r="AX1090"/>
      <c r="AY1090"/>
      <c r="BK1090" s="42">
        <v>1089</v>
      </c>
      <c r="BL1090" s="127">
        <v>3</v>
      </c>
      <c r="BM1090" s="127">
        <v>1.0626913437795575</v>
      </c>
      <c r="BN1090" s="127" t="e">
        <v>#N/A</v>
      </c>
      <c r="BO1090" s="127" t="e">
        <v>#N/A</v>
      </c>
      <c r="BP1090" s="151">
        <v>1.0626913437795575</v>
      </c>
      <c r="BQ1090" t="e">
        <v>#N/A</v>
      </c>
      <c r="BR1090" t="str">
        <v/>
      </c>
    </row>
    <row r="1091" spans="47:70" x14ac:dyDescent="0.2">
      <c r="AU1091"/>
      <c r="AV1091"/>
      <c r="AW1091"/>
      <c r="AX1091"/>
      <c r="AY1091"/>
      <c r="BK1091" s="42">
        <v>1090</v>
      </c>
      <c r="BL1091" s="127">
        <v>3</v>
      </c>
      <c r="BM1091" s="127">
        <v>1.0626913437795575</v>
      </c>
      <c r="BN1091" s="127" t="e">
        <v>#N/A</v>
      </c>
      <c r="BO1091" s="127" t="e">
        <v>#N/A</v>
      </c>
      <c r="BP1091" s="151">
        <v>1.0626913437795575</v>
      </c>
      <c r="BQ1091" t="e">
        <v>#N/A</v>
      </c>
      <c r="BR1091" t="str">
        <v/>
      </c>
    </row>
    <row r="1092" spans="47:70" x14ac:dyDescent="0.2">
      <c r="AU1092"/>
      <c r="AV1092"/>
      <c r="AW1092"/>
      <c r="AX1092"/>
      <c r="AY1092"/>
      <c r="BK1092" s="42">
        <v>1091</v>
      </c>
      <c r="BL1092" s="127">
        <v>3</v>
      </c>
      <c r="BM1092" s="127">
        <v>1.0626913437795575</v>
      </c>
      <c r="BN1092" s="127" t="e">
        <v>#N/A</v>
      </c>
      <c r="BO1092" s="127" t="e">
        <v>#N/A</v>
      </c>
      <c r="BP1092" s="151">
        <v>1.0626913437795575</v>
      </c>
      <c r="BQ1092" t="e">
        <v>#N/A</v>
      </c>
      <c r="BR1092" t="str">
        <v/>
      </c>
    </row>
    <row r="1093" spans="47:70" x14ac:dyDescent="0.2">
      <c r="AU1093"/>
      <c r="AV1093"/>
      <c r="AW1093"/>
      <c r="AX1093"/>
      <c r="AY1093"/>
      <c r="BK1093" s="42">
        <v>1092</v>
      </c>
      <c r="BL1093" s="127">
        <v>3</v>
      </c>
      <c r="BM1093" s="127">
        <v>1.0626913437795575</v>
      </c>
      <c r="BN1093" s="127" t="e">
        <v>#N/A</v>
      </c>
      <c r="BO1093" s="127" t="e">
        <v>#N/A</v>
      </c>
      <c r="BP1093" s="151">
        <v>1.0626913437795575</v>
      </c>
      <c r="BQ1093" t="e">
        <v>#N/A</v>
      </c>
      <c r="BR1093" t="str">
        <v/>
      </c>
    </row>
    <row r="1094" spans="47:70" x14ac:dyDescent="0.2">
      <c r="AU1094"/>
      <c r="AV1094"/>
      <c r="AW1094"/>
      <c r="AX1094"/>
      <c r="AY1094"/>
      <c r="BK1094" s="42">
        <v>1093</v>
      </c>
      <c r="BL1094" s="127">
        <v>3</v>
      </c>
      <c r="BM1094" s="127">
        <v>1.0626913437795575</v>
      </c>
      <c r="BN1094" s="127" t="e">
        <v>#N/A</v>
      </c>
      <c r="BO1094" s="127" t="e">
        <v>#N/A</v>
      </c>
      <c r="BP1094" s="151">
        <v>1.0626913437795575</v>
      </c>
      <c r="BQ1094" t="e">
        <v>#N/A</v>
      </c>
      <c r="BR1094" t="str">
        <v/>
      </c>
    </row>
    <row r="1095" spans="47:70" x14ac:dyDescent="0.2">
      <c r="AU1095"/>
      <c r="AV1095"/>
      <c r="AW1095"/>
      <c r="AX1095"/>
      <c r="AY1095"/>
      <c r="BK1095" s="42">
        <v>1094</v>
      </c>
      <c r="BL1095" s="127">
        <v>3</v>
      </c>
      <c r="BM1095" s="127">
        <v>1.0626913437795575</v>
      </c>
      <c r="BN1095" s="127" t="e">
        <v>#N/A</v>
      </c>
      <c r="BO1095" s="127" t="e">
        <v>#N/A</v>
      </c>
      <c r="BP1095" s="151">
        <v>1.0626913437795575</v>
      </c>
      <c r="BQ1095" t="e">
        <v>#N/A</v>
      </c>
      <c r="BR1095" t="str">
        <v/>
      </c>
    </row>
    <row r="1096" spans="47:70" x14ac:dyDescent="0.2">
      <c r="AU1096"/>
      <c r="AV1096"/>
      <c r="AW1096"/>
      <c r="AX1096"/>
      <c r="AY1096"/>
      <c r="BK1096" s="42">
        <v>1095</v>
      </c>
      <c r="BL1096" s="127">
        <v>3</v>
      </c>
      <c r="BM1096" s="127">
        <v>1.0626913437795575</v>
      </c>
      <c r="BN1096" s="127" t="e">
        <v>#N/A</v>
      </c>
      <c r="BO1096" s="127" t="e">
        <v>#N/A</v>
      </c>
      <c r="BP1096" s="151">
        <v>1.0626913437795575</v>
      </c>
      <c r="BQ1096" t="e">
        <v>#N/A</v>
      </c>
      <c r="BR1096" t="str">
        <v/>
      </c>
    </row>
    <row r="1097" spans="47:70" x14ac:dyDescent="0.2">
      <c r="AU1097"/>
      <c r="AV1097"/>
      <c r="AW1097"/>
      <c r="AX1097"/>
      <c r="AY1097"/>
      <c r="BK1097" s="42">
        <v>1096</v>
      </c>
      <c r="BL1097" s="127">
        <v>3</v>
      </c>
      <c r="BM1097" s="127">
        <v>1.0626913437795575</v>
      </c>
      <c r="BN1097" s="127" t="e">
        <v>#N/A</v>
      </c>
      <c r="BO1097" s="127" t="e">
        <v>#N/A</v>
      </c>
      <c r="BP1097" s="151">
        <v>1.0626913437795575</v>
      </c>
      <c r="BQ1097" t="e">
        <v>#N/A</v>
      </c>
      <c r="BR1097" t="str">
        <v/>
      </c>
    </row>
    <row r="1098" spans="47:70" x14ac:dyDescent="0.2">
      <c r="AU1098"/>
      <c r="AV1098"/>
      <c r="AW1098"/>
      <c r="AX1098"/>
      <c r="AY1098"/>
      <c r="BK1098" s="42">
        <v>1097</v>
      </c>
      <c r="BL1098" s="127">
        <v>3</v>
      </c>
      <c r="BM1098" s="127">
        <v>1.0626913437795575</v>
      </c>
      <c r="BN1098" s="127" t="e">
        <v>#N/A</v>
      </c>
      <c r="BO1098" s="127" t="e">
        <v>#N/A</v>
      </c>
      <c r="BP1098" s="151">
        <v>1.0626913437795575</v>
      </c>
      <c r="BQ1098" t="e">
        <v>#N/A</v>
      </c>
      <c r="BR1098" t="str">
        <v/>
      </c>
    </row>
    <row r="1099" spans="47:70" x14ac:dyDescent="0.2">
      <c r="AU1099"/>
      <c r="AV1099"/>
      <c r="AW1099"/>
      <c r="AX1099"/>
      <c r="AY1099"/>
      <c r="BK1099" s="42">
        <v>1098</v>
      </c>
      <c r="BL1099" s="127">
        <v>3</v>
      </c>
      <c r="BM1099" s="127">
        <v>1.0626913437795575</v>
      </c>
      <c r="BN1099" s="127" t="e">
        <v>#N/A</v>
      </c>
      <c r="BO1099" s="127" t="e">
        <v>#N/A</v>
      </c>
      <c r="BP1099" s="151">
        <v>1.0626913437795575</v>
      </c>
      <c r="BQ1099" t="e">
        <v>#N/A</v>
      </c>
      <c r="BR1099" t="str">
        <v/>
      </c>
    </row>
    <row r="1100" spans="47:70" x14ac:dyDescent="0.2">
      <c r="AU1100"/>
      <c r="AV1100"/>
      <c r="AW1100"/>
      <c r="AX1100"/>
      <c r="AY1100"/>
      <c r="BK1100" s="42">
        <v>1099</v>
      </c>
      <c r="BL1100" s="127">
        <v>3</v>
      </c>
      <c r="BM1100" s="127">
        <v>1.0626913437795575</v>
      </c>
      <c r="BN1100" s="127" t="e">
        <v>#N/A</v>
      </c>
      <c r="BO1100" s="127" t="e">
        <v>#N/A</v>
      </c>
      <c r="BP1100" s="151">
        <v>1.0626913437795575</v>
      </c>
      <c r="BQ1100" t="e">
        <v>#N/A</v>
      </c>
      <c r="BR1100" t="str">
        <v/>
      </c>
    </row>
    <row r="1101" spans="47:70" x14ac:dyDescent="0.2">
      <c r="AU1101"/>
      <c r="AV1101"/>
      <c r="AW1101"/>
      <c r="AX1101"/>
      <c r="AY1101"/>
      <c r="BK1101" s="42">
        <v>1100</v>
      </c>
      <c r="BL1101" s="127">
        <v>4</v>
      </c>
      <c r="BM1101" s="127">
        <v>0.11332468572476186</v>
      </c>
      <c r="BN1101" s="127" t="e">
        <v>#N/A</v>
      </c>
      <c r="BO1101" s="127" t="e">
        <v>#N/A</v>
      </c>
      <c r="BP1101" s="151" t="e">
        <v>#N/A</v>
      </c>
      <c r="BQ1101">
        <v>0.11332468572476186</v>
      </c>
      <c r="BR1101">
        <v>1.7030000000000001</v>
      </c>
    </row>
    <row r="1102" spans="47:70" x14ac:dyDescent="0.2">
      <c r="AU1102"/>
      <c r="AV1102"/>
      <c r="AW1102"/>
      <c r="AX1102"/>
      <c r="AY1102"/>
      <c r="BK1102" s="42">
        <v>1101</v>
      </c>
      <c r="BL1102" s="127">
        <v>4</v>
      </c>
      <c r="BM1102" s="127">
        <v>0.11332468572476186</v>
      </c>
      <c r="BN1102" s="127" t="e">
        <v>#N/A</v>
      </c>
      <c r="BO1102" s="127" t="e">
        <v>#N/A</v>
      </c>
      <c r="BP1102" s="151" t="e">
        <v>#N/A</v>
      </c>
      <c r="BQ1102">
        <v>0.11332468572476186</v>
      </c>
      <c r="BR1102" t="str">
        <v/>
      </c>
    </row>
    <row r="1103" spans="47:70" x14ac:dyDescent="0.2">
      <c r="AU1103"/>
      <c r="AV1103"/>
      <c r="AW1103"/>
      <c r="AX1103"/>
      <c r="AY1103"/>
      <c r="BK1103" s="42">
        <v>1102</v>
      </c>
      <c r="BL1103" s="127">
        <v>4</v>
      </c>
      <c r="BM1103" s="127">
        <v>0.11332468572476186</v>
      </c>
      <c r="BN1103" s="127" t="e">
        <v>#N/A</v>
      </c>
      <c r="BO1103" s="127" t="e">
        <v>#N/A</v>
      </c>
      <c r="BP1103" s="151" t="e">
        <v>#N/A</v>
      </c>
      <c r="BQ1103">
        <v>0.11332468572476186</v>
      </c>
      <c r="BR1103" t="str">
        <v/>
      </c>
    </row>
    <row r="1104" spans="47:70" x14ac:dyDescent="0.2">
      <c r="AU1104"/>
      <c r="AV1104"/>
      <c r="AW1104"/>
      <c r="AX1104"/>
      <c r="AY1104"/>
      <c r="BK1104" s="42">
        <v>1103</v>
      </c>
      <c r="BL1104" s="127">
        <v>4</v>
      </c>
      <c r="BM1104" s="127">
        <v>0.11332468572476186</v>
      </c>
      <c r="BN1104" s="127" t="e">
        <v>#N/A</v>
      </c>
      <c r="BO1104" s="127" t="e">
        <v>#N/A</v>
      </c>
      <c r="BP1104" s="151" t="e">
        <v>#N/A</v>
      </c>
      <c r="BQ1104">
        <v>0.11332468572476186</v>
      </c>
      <c r="BR1104" t="str">
        <v/>
      </c>
    </row>
    <row r="1105" spans="47:70" x14ac:dyDescent="0.2">
      <c r="AU1105"/>
      <c r="AV1105"/>
      <c r="AW1105"/>
      <c r="AX1105"/>
      <c r="AY1105"/>
      <c r="BK1105" s="42">
        <v>1104</v>
      </c>
      <c r="BL1105" s="127">
        <v>4</v>
      </c>
      <c r="BM1105" s="127">
        <v>0.11332468572476186</v>
      </c>
      <c r="BN1105" s="127" t="e">
        <v>#N/A</v>
      </c>
      <c r="BO1105" s="127" t="e">
        <v>#N/A</v>
      </c>
      <c r="BP1105" s="151" t="e">
        <v>#N/A</v>
      </c>
      <c r="BQ1105">
        <v>0.11332468572476186</v>
      </c>
      <c r="BR1105" t="str">
        <v/>
      </c>
    </row>
    <row r="1106" spans="47:70" x14ac:dyDescent="0.2">
      <c r="AU1106"/>
      <c r="AV1106"/>
      <c r="AW1106"/>
      <c r="AX1106"/>
      <c r="AY1106"/>
      <c r="BK1106" s="42">
        <v>1105</v>
      </c>
      <c r="BL1106" s="127">
        <v>4</v>
      </c>
      <c r="BM1106" s="127">
        <v>0.11332468572476186</v>
      </c>
      <c r="BN1106" s="127" t="e">
        <v>#N/A</v>
      </c>
      <c r="BO1106" s="127" t="e">
        <v>#N/A</v>
      </c>
      <c r="BP1106" s="151" t="e">
        <v>#N/A</v>
      </c>
      <c r="BQ1106">
        <v>0.11332468572476186</v>
      </c>
      <c r="BR1106" t="str">
        <v/>
      </c>
    </row>
    <row r="1107" spans="47:70" x14ac:dyDescent="0.2">
      <c r="AU1107"/>
      <c r="AV1107"/>
      <c r="AW1107"/>
      <c r="AX1107"/>
      <c r="AY1107"/>
      <c r="BK1107" s="42">
        <v>1106</v>
      </c>
      <c r="BL1107" s="127">
        <v>4</v>
      </c>
      <c r="BM1107" s="127">
        <v>0.11332468572476186</v>
      </c>
      <c r="BN1107" s="127" t="e">
        <v>#N/A</v>
      </c>
      <c r="BO1107" s="127" t="e">
        <v>#N/A</v>
      </c>
      <c r="BP1107" s="151" t="e">
        <v>#N/A</v>
      </c>
      <c r="BQ1107">
        <v>0.11332468572476186</v>
      </c>
      <c r="BR1107" t="str">
        <v/>
      </c>
    </row>
    <row r="1108" spans="47:70" x14ac:dyDescent="0.2">
      <c r="AU1108"/>
      <c r="AV1108"/>
      <c r="AW1108"/>
      <c r="AX1108"/>
      <c r="AY1108"/>
      <c r="BK1108" s="42">
        <v>1107</v>
      </c>
      <c r="BL1108" s="127">
        <v>4</v>
      </c>
      <c r="BM1108" s="127">
        <v>0.11332468572476186</v>
      </c>
      <c r="BN1108" s="127" t="e">
        <v>#N/A</v>
      </c>
      <c r="BO1108" s="127" t="e">
        <v>#N/A</v>
      </c>
      <c r="BP1108" s="151" t="e">
        <v>#N/A</v>
      </c>
      <c r="BQ1108">
        <v>0.11332468572476186</v>
      </c>
      <c r="BR1108" t="str">
        <v/>
      </c>
    </row>
    <row r="1109" spans="47:70" x14ac:dyDescent="0.2">
      <c r="AU1109"/>
      <c r="AV1109"/>
      <c r="AW1109"/>
      <c r="AX1109"/>
      <c r="AY1109"/>
      <c r="BK1109" s="42">
        <v>1108</v>
      </c>
      <c r="BL1109" s="127">
        <v>4</v>
      </c>
      <c r="BM1109" s="127">
        <v>0.11332468572476186</v>
      </c>
      <c r="BN1109" s="127" t="e">
        <v>#N/A</v>
      </c>
      <c r="BO1109" s="127" t="e">
        <v>#N/A</v>
      </c>
      <c r="BP1109" s="151" t="e">
        <v>#N/A</v>
      </c>
      <c r="BQ1109">
        <v>0.11332468572476186</v>
      </c>
      <c r="BR1109" t="str">
        <v/>
      </c>
    </row>
    <row r="1110" spans="47:70" x14ac:dyDescent="0.2">
      <c r="AU1110"/>
      <c r="AV1110"/>
      <c r="AW1110"/>
      <c r="AX1110"/>
      <c r="AY1110"/>
      <c r="BK1110" s="42">
        <v>1109</v>
      </c>
      <c r="BL1110" s="127">
        <v>4</v>
      </c>
      <c r="BM1110" s="127">
        <v>0.11332468572476186</v>
      </c>
      <c r="BN1110" s="127" t="e">
        <v>#N/A</v>
      </c>
      <c r="BO1110" s="127" t="e">
        <v>#N/A</v>
      </c>
      <c r="BP1110" s="151" t="e">
        <v>#N/A</v>
      </c>
      <c r="BQ1110">
        <v>0.11332468572476186</v>
      </c>
      <c r="BR1110" t="str">
        <v/>
      </c>
    </row>
    <row r="1111" spans="47:70" x14ac:dyDescent="0.2">
      <c r="AU1111"/>
      <c r="AV1111"/>
      <c r="AW1111"/>
      <c r="AX1111"/>
      <c r="AY1111"/>
      <c r="BK1111" s="42">
        <v>1110</v>
      </c>
      <c r="BL1111" s="127">
        <v>4</v>
      </c>
      <c r="BM1111" s="127">
        <v>0.11332468572476186</v>
      </c>
      <c r="BN1111" s="127" t="e">
        <v>#N/A</v>
      </c>
      <c r="BO1111" s="127" t="e">
        <v>#N/A</v>
      </c>
      <c r="BP1111" s="151" t="e">
        <v>#N/A</v>
      </c>
      <c r="BQ1111">
        <v>0.11332468572476186</v>
      </c>
      <c r="BR1111" t="str">
        <v/>
      </c>
    </row>
    <row r="1112" spans="47:70" x14ac:dyDescent="0.2">
      <c r="AU1112"/>
      <c r="AV1112"/>
      <c r="AW1112"/>
      <c r="AX1112"/>
      <c r="AY1112"/>
      <c r="BK1112" s="42">
        <v>1111</v>
      </c>
      <c r="BL1112" s="127">
        <v>4</v>
      </c>
      <c r="BM1112" s="127">
        <v>0.11332468572476186</v>
      </c>
      <c r="BN1112" s="127" t="e">
        <v>#N/A</v>
      </c>
      <c r="BO1112" s="127" t="e">
        <v>#N/A</v>
      </c>
      <c r="BP1112" s="151" t="e">
        <v>#N/A</v>
      </c>
      <c r="BQ1112">
        <v>0.11332468572476186</v>
      </c>
      <c r="BR1112" t="str">
        <v/>
      </c>
    </row>
    <row r="1113" spans="47:70" x14ac:dyDescent="0.2">
      <c r="AU1113"/>
      <c r="AV1113"/>
      <c r="AW1113"/>
      <c r="AX1113"/>
      <c r="AY1113"/>
      <c r="BK1113" s="42">
        <v>1112</v>
      </c>
      <c r="BL1113" s="127">
        <v>4</v>
      </c>
      <c r="BM1113" s="127">
        <v>0.11332468572476186</v>
      </c>
      <c r="BN1113" s="127" t="e">
        <v>#N/A</v>
      </c>
      <c r="BO1113" s="127" t="e">
        <v>#N/A</v>
      </c>
      <c r="BP1113" s="151" t="e">
        <v>#N/A</v>
      </c>
      <c r="BQ1113">
        <v>0.11332468572476186</v>
      </c>
      <c r="BR1113" t="str">
        <v/>
      </c>
    </row>
    <row r="1114" spans="47:70" x14ac:dyDescent="0.2">
      <c r="AU1114"/>
      <c r="AV1114"/>
      <c r="AW1114"/>
      <c r="AX1114"/>
      <c r="AY1114"/>
      <c r="BK1114" s="42">
        <v>1113</v>
      </c>
      <c r="BL1114" s="127">
        <v>4</v>
      </c>
      <c r="BM1114" s="127">
        <v>0.11332468572476186</v>
      </c>
      <c r="BN1114" s="127" t="e">
        <v>#N/A</v>
      </c>
      <c r="BO1114" s="127" t="e">
        <v>#N/A</v>
      </c>
      <c r="BP1114" s="151" t="e">
        <v>#N/A</v>
      </c>
      <c r="BQ1114">
        <v>0.11332468572476186</v>
      </c>
      <c r="BR1114" t="str">
        <v/>
      </c>
    </row>
    <row r="1115" spans="47:70" x14ac:dyDescent="0.2">
      <c r="AU1115"/>
      <c r="AV1115"/>
      <c r="AW1115"/>
      <c r="AX1115"/>
      <c r="AY1115"/>
      <c r="BK1115" s="42">
        <v>1114</v>
      </c>
      <c r="BL1115" s="127">
        <v>4</v>
      </c>
      <c r="BM1115" s="127">
        <v>0.11332468572476186</v>
      </c>
      <c r="BN1115" s="127" t="e">
        <v>#N/A</v>
      </c>
      <c r="BO1115" s="127" t="e">
        <v>#N/A</v>
      </c>
      <c r="BP1115" s="151" t="e">
        <v>#N/A</v>
      </c>
      <c r="BQ1115">
        <v>0.11332468572476186</v>
      </c>
      <c r="BR1115" t="str">
        <v/>
      </c>
    </row>
    <row r="1116" spans="47:70" x14ac:dyDescent="0.2">
      <c r="AU1116"/>
      <c r="AV1116"/>
      <c r="AW1116"/>
      <c r="AX1116"/>
      <c r="AY1116"/>
      <c r="BK1116" s="42">
        <v>1115</v>
      </c>
      <c r="BL1116" s="127">
        <v>4</v>
      </c>
      <c r="BM1116" s="127">
        <v>0.11332468572476186</v>
      </c>
      <c r="BN1116" s="127" t="e">
        <v>#N/A</v>
      </c>
      <c r="BO1116" s="127" t="e">
        <v>#N/A</v>
      </c>
      <c r="BP1116" s="151" t="e">
        <v>#N/A</v>
      </c>
      <c r="BQ1116">
        <v>0.11332468572476186</v>
      </c>
      <c r="BR1116" t="str">
        <v/>
      </c>
    </row>
    <row r="1117" spans="47:70" x14ac:dyDescent="0.2">
      <c r="AU1117"/>
      <c r="AV1117"/>
      <c r="AW1117"/>
      <c r="AX1117"/>
      <c r="AY1117"/>
      <c r="BK1117" s="42">
        <v>1116</v>
      </c>
      <c r="BL1117" s="127">
        <v>4</v>
      </c>
      <c r="BM1117" s="127">
        <v>0.11332468572476186</v>
      </c>
      <c r="BN1117" s="127" t="e">
        <v>#N/A</v>
      </c>
      <c r="BO1117" s="127" t="e">
        <v>#N/A</v>
      </c>
      <c r="BP1117" s="151" t="e">
        <v>#N/A</v>
      </c>
      <c r="BQ1117">
        <v>0.11332468572476186</v>
      </c>
      <c r="BR1117" t="str">
        <v/>
      </c>
    </row>
    <row r="1118" spans="47:70" x14ac:dyDescent="0.2">
      <c r="AU1118"/>
      <c r="AV1118"/>
      <c r="AW1118"/>
      <c r="AX1118"/>
      <c r="AY1118"/>
      <c r="BK1118" s="42">
        <v>1117</v>
      </c>
      <c r="BL1118" s="127">
        <v>4</v>
      </c>
      <c r="BM1118" s="127">
        <v>0.11332468572476186</v>
      </c>
      <c r="BN1118" s="127" t="e">
        <v>#N/A</v>
      </c>
      <c r="BO1118" s="127" t="e">
        <v>#N/A</v>
      </c>
      <c r="BP1118" s="151" t="e">
        <v>#N/A</v>
      </c>
      <c r="BQ1118">
        <v>0.11332468572476186</v>
      </c>
      <c r="BR1118" t="str">
        <v/>
      </c>
    </row>
    <row r="1119" spans="47:70" x14ac:dyDescent="0.2">
      <c r="AU1119"/>
      <c r="AV1119"/>
      <c r="AW1119"/>
      <c r="AX1119"/>
      <c r="AY1119"/>
      <c r="BK1119" s="42">
        <v>1118</v>
      </c>
      <c r="BL1119" s="127">
        <v>4</v>
      </c>
      <c r="BM1119" s="127">
        <v>0.11332468572476186</v>
      </c>
      <c r="BN1119" s="127" t="e">
        <v>#N/A</v>
      </c>
      <c r="BO1119" s="127" t="e">
        <v>#N/A</v>
      </c>
      <c r="BP1119" s="151" t="e">
        <v>#N/A</v>
      </c>
      <c r="BQ1119">
        <v>0.11332468572476186</v>
      </c>
      <c r="BR1119" t="str">
        <v/>
      </c>
    </row>
    <row r="1120" spans="47:70" x14ac:dyDescent="0.2">
      <c r="AU1120"/>
      <c r="AV1120"/>
      <c r="AW1120"/>
      <c r="AX1120"/>
      <c r="AY1120"/>
      <c r="BK1120" s="42">
        <v>1119</v>
      </c>
      <c r="BL1120" s="127">
        <v>4</v>
      </c>
      <c r="BM1120" s="127">
        <v>0.11332468572476186</v>
      </c>
      <c r="BN1120" s="127" t="e">
        <v>#N/A</v>
      </c>
      <c r="BO1120" s="127" t="e">
        <v>#N/A</v>
      </c>
      <c r="BP1120" s="151" t="e">
        <v>#N/A</v>
      </c>
      <c r="BQ1120">
        <v>0.11332468572476186</v>
      </c>
      <c r="BR1120" t="str">
        <v/>
      </c>
    </row>
    <row r="1121" spans="47:70" x14ac:dyDescent="0.2">
      <c r="AU1121"/>
      <c r="AV1121"/>
      <c r="AW1121"/>
      <c r="AX1121"/>
      <c r="AY1121"/>
      <c r="BK1121" s="42">
        <v>1120</v>
      </c>
      <c r="BL1121" s="127">
        <v>4</v>
      </c>
      <c r="BM1121" s="127">
        <v>0.11332468572476186</v>
      </c>
      <c r="BN1121" s="127" t="e">
        <v>#N/A</v>
      </c>
      <c r="BO1121" s="127" t="e">
        <v>#N/A</v>
      </c>
      <c r="BP1121" s="151" t="e">
        <v>#N/A</v>
      </c>
      <c r="BQ1121">
        <v>0.11332468572476186</v>
      </c>
      <c r="BR1121" t="str">
        <v/>
      </c>
    </row>
    <row r="1122" spans="47:70" x14ac:dyDescent="0.2">
      <c r="AU1122"/>
      <c r="AV1122"/>
      <c r="AW1122"/>
      <c r="AX1122"/>
      <c r="AY1122"/>
      <c r="BK1122" s="42">
        <v>1121</v>
      </c>
      <c r="BL1122" s="127">
        <v>4</v>
      </c>
      <c r="BM1122" s="127">
        <v>0.11332468572476186</v>
      </c>
      <c r="BN1122" s="127" t="e">
        <v>#N/A</v>
      </c>
      <c r="BO1122" s="127" t="e">
        <v>#N/A</v>
      </c>
      <c r="BP1122" s="151" t="e">
        <v>#N/A</v>
      </c>
      <c r="BQ1122">
        <v>0.11332468572476186</v>
      </c>
      <c r="BR1122" t="str">
        <v/>
      </c>
    </row>
    <row r="1123" spans="47:70" x14ac:dyDescent="0.2">
      <c r="AU1123"/>
      <c r="AV1123"/>
      <c r="AW1123"/>
      <c r="AX1123"/>
      <c r="AY1123"/>
      <c r="BK1123" s="42">
        <v>1122</v>
      </c>
      <c r="BL1123" s="127">
        <v>4</v>
      </c>
      <c r="BM1123" s="127">
        <v>0.11332468572476186</v>
      </c>
      <c r="BN1123" s="127" t="e">
        <v>#N/A</v>
      </c>
      <c r="BO1123" s="127" t="e">
        <v>#N/A</v>
      </c>
      <c r="BP1123" s="151" t="e">
        <v>#N/A</v>
      </c>
      <c r="BQ1123">
        <v>0.11332468572476186</v>
      </c>
      <c r="BR1123" t="str">
        <v/>
      </c>
    </row>
    <row r="1124" spans="47:70" x14ac:dyDescent="0.2">
      <c r="AU1124"/>
      <c r="AV1124"/>
      <c r="AW1124"/>
      <c r="AX1124"/>
      <c r="AY1124"/>
      <c r="BK1124" s="42">
        <v>1123</v>
      </c>
      <c r="BL1124" s="127">
        <v>4</v>
      </c>
      <c r="BM1124" s="127">
        <v>0.11332468572476186</v>
      </c>
      <c r="BN1124" s="127" t="e">
        <v>#N/A</v>
      </c>
      <c r="BO1124" s="127" t="e">
        <v>#N/A</v>
      </c>
      <c r="BP1124" s="151" t="e">
        <v>#N/A</v>
      </c>
      <c r="BQ1124">
        <v>0.11332468572476186</v>
      </c>
      <c r="BR1124" t="str">
        <v/>
      </c>
    </row>
    <row r="1125" spans="47:70" x14ac:dyDescent="0.2">
      <c r="AU1125"/>
      <c r="AV1125"/>
      <c r="AW1125"/>
      <c r="AX1125"/>
      <c r="AY1125"/>
      <c r="BK1125" s="42">
        <v>1124</v>
      </c>
      <c r="BL1125" s="127">
        <v>4</v>
      </c>
      <c r="BM1125" s="127">
        <v>0.11332468572476186</v>
      </c>
      <c r="BN1125" s="127" t="e">
        <v>#N/A</v>
      </c>
      <c r="BO1125" s="127" t="e">
        <v>#N/A</v>
      </c>
      <c r="BP1125" s="151" t="e">
        <v>#N/A</v>
      </c>
      <c r="BQ1125">
        <v>0.11332468572476186</v>
      </c>
      <c r="BR1125" t="str">
        <v/>
      </c>
    </row>
    <row r="1126" spans="47:70" x14ac:dyDescent="0.2">
      <c r="AU1126"/>
      <c r="AV1126"/>
      <c r="AW1126"/>
      <c r="AX1126"/>
      <c r="AY1126"/>
      <c r="BK1126" s="42">
        <v>1125</v>
      </c>
      <c r="BL1126" s="127">
        <v>4</v>
      </c>
      <c r="BM1126" s="127">
        <v>0.11332468572476186</v>
      </c>
      <c r="BN1126" s="127" t="e">
        <v>#N/A</v>
      </c>
      <c r="BO1126" s="127" t="e">
        <v>#N/A</v>
      </c>
      <c r="BP1126" s="151" t="e">
        <v>#N/A</v>
      </c>
      <c r="BQ1126">
        <v>0.11332468572476186</v>
      </c>
      <c r="BR1126" t="str">
        <v/>
      </c>
    </row>
    <row r="1127" spans="47:70" x14ac:dyDescent="0.2">
      <c r="AU1127"/>
      <c r="AV1127"/>
      <c r="AW1127"/>
      <c r="AX1127"/>
      <c r="AY1127"/>
      <c r="BK1127" s="42">
        <v>1126</v>
      </c>
      <c r="BL1127" s="127">
        <v>4</v>
      </c>
      <c r="BM1127" s="127">
        <v>0.11332468572476186</v>
      </c>
      <c r="BN1127" s="127" t="e">
        <v>#N/A</v>
      </c>
      <c r="BO1127" s="127" t="e">
        <v>#N/A</v>
      </c>
      <c r="BP1127" s="151" t="e">
        <v>#N/A</v>
      </c>
      <c r="BQ1127">
        <v>0.11332468572476186</v>
      </c>
      <c r="BR1127" t="str">
        <v/>
      </c>
    </row>
    <row r="1128" spans="47:70" x14ac:dyDescent="0.2">
      <c r="AU1128"/>
      <c r="AV1128"/>
      <c r="AW1128"/>
      <c r="AX1128"/>
      <c r="AY1128"/>
      <c r="BK1128" s="42">
        <v>1127</v>
      </c>
      <c r="BL1128" s="127">
        <v>4</v>
      </c>
      <c r="BM1128" s="127">
        <v>0.11332468572476186</v>
      </c>
      <c r="BN1128" s="127" t="e">
        <v>#N/A</v>
      </c>
      <c r="BO1128" s="127" t="e">
        <v>#N/A</v>
      </c>
      <c r="BP1128" s="151" t="e">
        <v>#N/A</v>
      </c>
      <c r="BQ1128">
        <v>0.11332468572476186</v>
      </c>
      <c r="BR1128" t="str">
        <v/>
      </c>
    </row>
    <row r="1129" spans="47:70" x14ac:dyDescent="0.2">
      <c r="AU1129"/>
      <c r="AV1129"/>
      <c r="AW1129"/>
      <c r="AX1129"/>
      <c r="AY1129"/>
      <c r="BK1129" s="42">
        <v>1128</v>
      </c>
      <c r="BL1129" s="127">
        <v>4</v>
      </c>
      <c r="BM1129" s="127">
        <v>0.11332468572476186</v>
      </c>
      <c r="BN1129" s="127" t="e">
        <v>#N/A</v>
      </c>
      <c r="BO1129" s="127" t="e">
        <v>#N/A</v>
      </c>
      <c r="BP1129" s="151" t="e">
        <v>#N/A</v>
      </c>
      <c r="BQ1129">
        <v>0.11332468572476186</v>
      </c>
      <c r="BR1129" t="str">
        <v/>
      </c>
    </row>
    <row r="1130" spans="47:70" x14ac:dyDescent="0.2">
      <c r="AU1130"/>
      <c r="AV1130"/>
      <c r="AW1130"/>
      <c r="AX1130"/>
      <c r="AY1130"/>
      <c r="BK1130" s="42">
        <v>1129</v>
      </c>
      <c r="BL1130" s="127">
        <v>4</v>
      </c>
      <c r="BM1130" s="127">
        <v>0.11332468572476186</v>
      </c>
      <c r="BN1130" s="127" t="e">
        <v>#N/A</v>
      </c>
      <c r="BO1130" s="127" t="e">
        <v>#N/A</v>
      </c>
      <c r="BP1130" s="151" t="e">
        <v>#N/A</v>
      </c>
      <c r="BQ1130">
        <v>0.11332468572476186</v>
      </c>
      <c r="BR1130" t="str">
        <v/>
      </c>
    </row>
    <row r="1131" spans="47:70" x14ac:dyDescent="0.2">
      <c r="AU1131"/>
      <c r="AV1131"/>
      <c r="AW1131"/>
      <c r="AX1131"/>
      <c r="AY1131"/>
      <c r="BK1131" s="42">
        <v>1130</v>
      </c>
      <c r="BL1131" s="127">
        <v>4</v>
      </c>
      <c r="BM1131" s="127">
        <v>0.11332468572476186</v>
      </c>
      <c r="BN1131" s="127" t="e">
        <v>#N/A</v>
      </c>
      <c r="BO1131" s="127" t="e">
        <v>#N/A</v>
      </c>
      <c r="BP1131" s="151" t="e">
        <v>#N/A</v>
      </c>
      <c r="BQ1131">
        <v>0.11332468572476186</v>
      </c>
      <c r="BR1131" t="str">
        <v/>
      </c>
    </row>
    <row r="1132" spans="47:70" x14ac:dyDescent="0.2">
      <c r="AU1132"/>
      <c r="AV1132"/>
      <c r="AW1132"/>
      <c r="AX1132"/>
      <c r="AY1132"/>
      <c r="BK1132" s="42">
        <v>1131</v>
      </c>
      <c r="BL1132" s="127">
        <v>4</v>
      </c>
      <c r="BM1132" s="127">
        <v>0.11332468572476186</v>
      </c>
      <c r="BN1132" s="127" t="e">
        <v>#N/A</v>
      </c>
      <c r="BO1132" s="127" t="e">
        <v>#N/A</v>
      </c>
      <c r="BP1132" s="151" t="e">
        <v>#N/A</v>
      </c>
      <c r="BQ1132">
        <v>0.11332468572476186</v>
      </c>
      <c r="BR1132" t="str">
        <v/>
      </c>
    </row>
    <row r="1133" spans="47:70" x14ac:dyDescent="0.2">
      <c r="AU1133"/>
      <c r="AV1133"/>
      <c r="AW1133"/>
      <c r="AX1133"/>
      <c r="AY1133"/>
      <c r="BK1133" s="42">
        <v>1132</v>
      </c>
      <c r="BL1133" s="127">
        <v>4</v>
      </c>
      <c r="BM1133" s="127">
        <v>0.11332468572476186</v>
      </c>
      <c r="BN1133" s="127" t="e">
        <v>#N/A</v>
      </c>
      <c r="BO1133" s="127" t="e">
        <v>#N/A</v>
      </c>
      <c r="BP1133" s="151" t="e">
        <v>#N/A</v>
      </c>
      <c r="BQ1133">
        <v>0.11332468572476186</v>
      </c>
      <c r="BR1133" t="str">
        <v/>
      </c>
    </row>
    <row r="1134" spans="47:70" x14ac:dyDescent="0.2">
      <c r="AU1134"/>
      <c r="AV1134"/>
      <c r="AW1134"/>
      <c r="AX1134"/>
      <c r="AY1134"/>
      <c r="BK1134" s="42">
        <v>1133</v>
      </c>
      <c r="BL1134" s="127">
        <v>4</v>
      </c>
      <c r="BM1134" s="127">
        <v>0.11332468572476186</v>
      </c>
      <c r="BN1134" s="127" t="e">
        <v>#N/A</v>
      </c>
      <c r="BO1134" s="127" t="e">
        <v>#N/A</v>
      </c>
      <c r="BP1134" s="151" t="e">
        <v>#N/A</v>
      </c>
      <c r="BQ1134">
        <v>0.11332468572476186</v>
      </c>
      <c r="BR1134" t="str">
        <v/>
      </c>
    </row>
    <row r="1135" spans="47:70" x14ac:dyDescent="0.2">
      <c r="AU1135"/>
      <c r="AV1135"/>
      <c r="AW1135"/>
      <c r="AX1135"/>
      <c r="AY1135"/>
      <c r="BK1135" s="42">
        <v>1134</v>
      </c>
      <c r="BL1135" s="127">
        <v>4</v>
      </c>
      <c r="BM1135" s="127">
        <v>0.11332468572476186</v>
      </c>
      <c r="BN1135" s="127" t="e">
        <v>#N/A</v>
      </c>
      <c r="BO1135" s="127" t="e">
        <v>#N/A</v>
      </c>
      <c r="BP1135" s="151" t="e">
        <v>#N/A</v>
      </c>
      <c r="BQ1135">
        <v>0.11332468572476186</v>
      </c>
      <c r="BR1135" t="str">
        <v/>
      </c>
    </row>
    <row r="1136" spans="47:70" x14ac:dyDescent="0.2">
      <c r="AU1136"/>
      <c r="AV1136"/>
      <c r="AW1136"/>
      <c r="AX1136"/>
      <c r="AY1136"/>
      <c r="BK1136" s="42">
        <v>1135</v>
      </c>
      <c r="BL1136" s="127">
        <v>4</v>
      </c>
      <c r="BM1136" s="127">
        <v>0.11332468572476186</v>
      </c>
      <c r="BN1136" s="127" t="e">
        <v>#N/A</v>
      </c>
      <c r="BO1136" s="127" t="e">
        <v>#N/A</v>
      </c>
      <c r="BP1136" s="151" t="e">
        <v>#N/A</v>
      </c>
      <c r="BQ1136">
        <v>0.11332468572476186</v>
      </c>
      <c r="BR1136" t="str">
        <v/>
      </c>
    </row>
    <row r="1137" spans="47:70" x14ac:dyDescent="0.2">
      <c r="AU1137"/>
      <c r="AV1137"/>
      <c r="AW1137"/>
      <c r="AX1137"/>
      <c r="AY1137"/>
      <c r="BK1137" s="42">
        <v>1136</v>
      </c>
      <c r="BL1137" s="127">
        <v>4</v>
      </c>
      <c r="BM1137" s="127">
        <v>0.11332468572476186</v>
      </c>
      <c r="BN1137" s="127" t="e">
        <v>#N/A</v>
      </c>
      <c r="BO1137" s="127" t="e">
        <v>#N/A</v>
      </c>
      <c r="BP1137" s="151" t="e">
        <v>#N/A</v>
      </c>
      <c r="BQ1137">
        <v>0.11332468572476186</v>
      </c>
      <c r="BR1137" t="str">
        <v/>
      </c>
    </row>
    <row r="1138" spans="47:70" x14ac:dyDescent="0.2">
      <c r="AU1138"/>
      <c r="AV1138"/>
      <c r="AW1138"/>
      <c r="AX1138"/>
      <c r="AY1138"/>
      <c r="BK1138" s="42">
        <v>1137</v>
      </c>
      <c r="BL1138" s="127">
        <v>4</v>
      </c>
      <c r="BM1138" s="127">
        <v>0.11332468572476186</v>
      </c>
      <c r="BN1138" s="127" t="e">
        <v>#N/A</v>
      </c>
      <c r="BO1138" s="127" t="e">
        <v>#N/A</v>
      </c>
      <c r="BP1138" s="151" t="e">
        <v>#N/A</v>
      </c>
      <c r="BQ1138">
        <v>0.11332468572476186</v>
      </c>
      <c r="BR1138" t="str">
        <v/>
      </c>
    </row>
    <row r="1139" spans="47:70" x14ac:dyDescent="0.2">
      <c r="AU1139"/>
      <c r="AV1139"/>
      <c r="AW1139"/>
      <c r="AX1139"/>
      <c r="AY1139"/>
      <c r="BK1139" s="42">
        <v>1138</v>
      </c>
      <c r="BL1139" s="127">
        <v>4</v>
      </c>
      <c r="BM1139" s="127">
        <v>0.11332468572476186</v>
      </c>
      <c r="BN1139" s="127" t="e">
        <v>#N/A</v>
      </c>
      <c r="BO1139" s="127" t="e">
        <v>#N/A</v>
      </c>
      <c r="BP1139" s="151" t="e">
        <v>#N/A</v>
      </c>
      <c r="BQ1139">
        <v>0.11332468572476186</v>
      </c>
      <c r="BR1139" t="str">
        <v/>
      </c>
    </row>
    <row r="1140" spans="47:70" x14ac:dyDescent="0.2">
      <c r="AU1140"/>
      <c r="AV1140"/>
      <c r="AW1140"/>
      <c r="AX1140"/>
      <c r="AY1140"/>
      <c r="BK1140" s="42">
        <v>1139</v>
      </c>
      <c r="BL1140" s="127">
        <v>4</v>
      </c>
      <c r="BM1140" s="127">
        <v>0.11332468572476186</v>
      </c>
      <c r="BN1140" s="127" t="e">
        <v>#N/A</v>
      </c>
      <c r="BO1140" s="127" t="e">
        <v>#N/A</v>
      </c>
      <c r="BP1140" s="151" t="e">
        <v>#N/A</v>
      </c>
      <c r="BQ1140">
        <v>0.11332468572476186</v>
      </c>
      <c r="BR1140" t="str">
        <v/>
      </c>
    </row>
    <row r="1141" spans="47:70" x14ac:dyDescent="0.2">
      <c r="AU1141"/>
      <c r="AV1141"/>
      <c r="AW1141"/>
      <c r="AX1141"/>
      <c r="AY1141"/>
      <c r="BK1141" s="42">
        <v>1140</v>
      </c>
      <c r="BL1141" s="127">
        <v>4</v>
      </c>
      <c r="BM1141" s="127">
        <v>0.11332468572476186</v>
      </c>
      <c r="BN1141" s="127" t="e">
        <v>#N/A</v>
      </c>
      <c r="BO1141" s="127" t="e">
        <v>#N/A</v>
      </c>
      <c r="BP1141" s="151" t="e">
        <v>#N/A</v>
      </c>
      <c r="BQ1141">
        <v>0.11332468572476186</v>
      </c>
      <c r="BR1141" t="str">
        <v/>
      </c>
    </row>
    <row r="1142" spans="47:70" x14ac:dyDescent="0.2">
      <c r="AU1142"/>
      <c r="AV1142"/>
      <c r="AW1142"/>
      <c r="AX1142"/>
      <c r="AY1142"/>
      <c r="BK1142" s="42">
        <v>1141</v>
      </c>
      <c r="BL1142" s="127">
        <v>4</v>
      </c>
      <c r="BM1142" s="127">
        <v>0.11332468572476186</v>
      </c>
      <c r="BN1142" s="127" t="e">
        <v>#N/A</v>
      </c>
      <c r="BO1142" s="127" t="e">
        <v>#N/A</v>
      </c>
      <c r="BP1142" s="151" t="e">
        <v>#N/A</v>
      </c>
      <c r="BQ1142">
        <v>0.11332468572476186</v>
      </c>
      <c r="BR1142" t="str">
        <v/>
      </c>
    </row>
    <row r="1143" spans="47:70" x14ac:dyDescent="0.2">
      <c r="AU1143"/>
      <c r="AV1143"/>
      <c r="AW1143"/>
      <c r="AX1143"/>
      <c r="AY1143"/>
      <c r="BK1143" s="42">
        <v>1142</v>
      </c>
      <c r="BL1143" s="127">
        <v>4</v>
      </c>
      <c r="BM1143" s="127">
        <v>0.11332468572476186</v>
      </c>
      <c r="BN1143" s="127" t="e">
        <v>#N/A</v>
      </c>
      <c r="BO1143" s="127" t="e">
        <v>#N/A</v>
      </c>
      <c r="BP1143" s="151" t="e">
        <v>#N/A</v>
      </c>
      <c r="BQ1143">
        <v>0.11332468572476186</v>
      </c>
      <c r="BR1143" t="str">
        <v/>
      </c>
    </row>
    <row r="1144" spans="47:70" x14ac:dyDescent="0.2">
      <c r="AU1144"/>
      <c r="AV1144"/>
      <c r="AW1144"/>
      <c r="AX1144"/>
      <c r="AY1144"/>
      <c r="BK1144" s="42">
        <v>1143</v>
      </c>
      <c r="BL1144" s="127">
        <v>4</v>
      </c>
      <c r="BM1144" s="127">
        <v>0.11332468572476186</v>
      </c>
      <c r="BN1144" s="127" t="e">
        <v>#N/A</v>
      </c>
      <c r="BO1144" s="127" t="e">
        <v>#N/A</v>
      </c>
      <c r="BP1144" s="151" t="e">
        <v>#N/A</v>
      </c>
      <c r="BQ1144">
        <v>0.11332468572476186</v>
      </c>
      <c r="BR1144" t="str">
        <v/>
      </c>
    </row>
    <row r="1145" spans="47:70" x14ac:dyDescent="0.2">
      <c r="AU1145"/>
      <c r="AV1145"/>
      <c r="AW1145"/>
      <c r="AX1145"/>
      <c r="AY1145"/>
      <c r="BK1145" s="42">
        <v>1144</v>
      </c>
      <c r="BL1145" s="127">
        <v>4</v>
      </c>
      <c r="BM1145" s="127">
        <v>0.11332468572476186</v>
      </c>
      <c r="BN1145" s="127" t="e">
        <v>#N/A</v>
      </c>
      <c r="BO1145" s="127" t="e">
        <v>#N/A</v>
      </c>
      <c r="BP1145" s="151" t="e">
        <v>#N/A</v>
      </c>
      <c r="BQ1145">
        <v>0.11332468572476186</v>
      </c>
      <c r="BR1145" t="str">
        <v/>
      </c>
    </row>
    <row r="1146" spans="47:70" x14ac:dyDescent="0.2">
      <c r="AU1146"/>
      <c r="AV1146"/>
      <c r="AW1146"/>
      <c r="AX1146"/>
      <c r="AY1146"/>
      <c r="BK1146" s="42">
        <v>1145</v>
      </c>
      <c r="BL1146" s="127">
        <v>4</v>
      </c>
      <c r="BM1146" s="127">
        <v>0.11332468572476186</v>
      </c>
      <c r="BN1146" s="127" t="e">
        <v>#N/A</v>
      </c>
      <c r="BO1146" s="127" t="e">
        <v>#N/A</v>
      </c>
      <c r="BP1146" s="151" t="e">
        <v>#N/A</v>
      </c>
      <c r="BQ1146">
        <v>0.11332468572476186</v>
      </c>
      <c r="BR1146" t="str">
        <v/>
      </c>
    </row>
    <row r="1147" spans="47:70" x14ac:dyDescent="0.2">
      <c r="AU1147"/>
      <c r="AV1147"/>
      <c r="AW1147"/>
      <c r="AX1147"/>
      <c r="AY1147"/>
      <c r="BK1147" s="42">
        <v>1146</v>
      </c>
      <c r="BL1147" s="127">
        <v>4</v>
      </c>
      <c r="BM1147" s="127">
        <v>0.11332468572476186</v>
      </c>
      <c r="BN1147" s="127" t="e">
        <v>#N/A</v>
      </c>
      <c r="BO1147" s="127" t="e">
        <v>#N/A</v>
      </c>
      <c r="BP1147" s="151" t="e">
        <v>#N/A</v>
      </c>
      <c r="BQ1147">
        <v>0.11332468572476186</v>
      </c>
      <c r="BR1147" t="str">
        <v/>
      </c>
    </row>
    <row r="1148" spans="47:70" x14ac:dyDescent="0.2">
      <c r="AU1148"/>
      <c r="AV1148"/>
      <c r="AW1148"/>
      <c r="AX1148"/>
      <c r="AY1148"/>
      <c r="BK1148" s="42">
        <v>1147</v>
      </c>
      <c r="BL1148" s="127">
        <v>4</v>
      </c>
      <c r="BM1148" s="127">
        <v>0.11332468572476186</v>
      </c>
      <c r="BN1148" s="127" t="e">
        <v>#N/A</v>
      </c>
      <c r="BO1148" s="127" t="e">
        <v>#N/A</v>
      </c>
      <c r="BP1148" s="151" t="e">
        <v>#N/A</v>
      </c>
      <c r="BQ1148">
        <v>0.11332468572476186</v>
      </c>
      <c r="BR1148" t="str">
        <v/>
      </c>
    </row>
    <row r="1149" spans="47:70" x14ac:dyDescent="0.2">
      <c r="AU1149"/>
      <c r="AV1149"/>
      <c r="AW1149"/>
      <c r="AX1149"/>
      <c r="AY1149"/>
      <c r="BK1149" s="42">
        <v>1148</v>
      </c>
      <c r="BL1149" s="127">
        <v>4</v>
      </c>
      <c r="BM1149" s="127">
        <v>0.11332468572476186</v>
      </c>
      <c r="BN1149" s="127" t="e">
        <v>#N/A</v>
      </c>
      <c r="BO1149" s="127" t="e">
        <v>#N/A</v>
      </c>
      <c r="BP1149" s="151" t="e">
        <v>#N/A</v>
      </c>
      <c r="BQ1149">
        <v>0.11332468572476186</v>
      </c>
      <c r="BR1149" t="str">
        <v/>
      </c>
    </row>
    <row r="1150" spans="47:70" x14ac:dyDescent="0.2">
      <c r="AU1150"/>
      <c r="AV1150"/>
      <c r="AW1150"/>
      <c r="AX1150"/>
      <c r="AY1150"/>
      <c r="BK1150" s="42">
        <v>1149</v>
      </c>
      <c r="BL1150" s="127">
        <v>4</v>
      </c>
      <c r="BM1150" s="127">
        <v>0.11332468572476186</v>
      </c>
      <c r="BN1150" s="127" t="e">
        <v>#N/A</v>
      </c>
      <c r="BO1150" s="127" t="e">
        <v>#N/A</v>
      </c>
      <c r="BP1150" s="151" t="e">
        <v>#N/A</v>
      </c>
      <c r="BQ1150">
        <v>0.11332468572476186</v>
      </c>
      <c r="BR1150" t="str">
        <v/>
      </c>
    </row>
    <row r="1151" spans="47:70" x14ac:dyDescent="0.2">
      <c r="AU1151"/>
      <c r="AV1151"/>
      <c r="AW1151"/>
      <c r="AX1151"/>
      <c r="AY1151"/>
      <c r="BK1151" s="42">
        <v>1150</v>
      </c>
      <c r="BL1151" s="127">
        <v>4</v>
      </c>
      <c r="BM1151" s="127">
        <v>0.11332468572476186</v>
      </c>
      <c r="BN1151" s="127" t="e">
        <v>#N/A</v>
      </c>
      <c r="BO1151" s="127" t="e">
        <v>#N/A</v>
      </c>
      <c r="BP1151" s="151" t="e">
        <v>#N/A</v>
      </c>
      <c r="BQ1151">
        <v>0.11332468572476186</v>
      </c>
      <c r="BR1151" t="str">
        <v/>
      </c>
    </row>
    <row r="1152" spans="47:70" x14ac:dyDescent="0.2">
      <c r="AU1152"/>
      <c r="AV1152"/>
      <c r="AW1152"/>
      <c r="AX1152"/>
      <c r="AY1152"/>
      <c r="BK1152" s="42">
        <v>1151</v>
      </c>
      <c r="BL1152" s="127">
        <v>4</v>
      </c>
      <c r="BM1152" s="127">
        <v>0.11332468572476186</v>
      </c>
      <c r="BN1152" s="127" t="e">
        <v>#N/A</v>
      </c>
      <c r="BO1152" s="127" t="e">
        <v>#N/A</v>
      </c>
      <c r="BP1152" s="151" t="e">
        <v>#N/A</v>
      </c>
      <c r="BQ1152">
        <v>0.11332468572476186</v>
      </c>
      <c r="BR1152" t="str">
        <v/>
      </c>
    </row>
    <row r="1153" spans="47:70" x14ac:dyDescent="0.2">
      <c r="AU1153"/>
      <c r="AV1153"/>
      <c r="AW1153"/>
      <c r="AX1153"/>
      <c r="AY1153"/>
      <c r="BK1153" s="42">
        <v>1152</v>
      </c>
      <c r="BL1153" s="127">
        <v>4</v>
      </c>
      <c r="BM1153" s="127">
        <v>0.11332468572476186</v>
      </c>
      <c r="BN1153" s="127" t="e">
        <v>#N/A</v>
      </c>
      <c r="BO1153" s="127" t="e">
        <v>#N/A</v>
      </c>
      <c r="BP1153" s="151" t="e">
        <v>#N/A</v>
      </c>
      <c r="BQ1153">
        <v>0.11332468572476186</v>
      </c>
      <c r="BR1153" t="str">
        <v/>
      </c>
    </row>
    <row r="1154" spans="47:70" x14ac:dyDescent="0.2">
      <c r="AU1154"/>
      <c r="AV1154"/>
      <c r="AW1154"/>
      <c r="AX1154"/>
      <c r="AY1154"/>
      <c r="BK1154" s="42">
        <v>1153</v>
      </c>
      <c r="BL1154" s="127">
        <v>4</v>
      </c>
      <c r="BM1154" s="127">
        <v>0.11332468572476186</v>
      </c>
      <c r="BN1154" s="127" t="e">
        <v>#N/A</v>
      </c>
      <c r="BO1154" s="127" t="e">
        <v>#N/A</v>
      </c>
      <c r="BP1154" s="151" t="e">
        <v>#N/A</v>
      </c>
      <c r="BQ1154">
        <v>0.11332468572476186</v>
      </c>
      <c r="BR1154" t="str">
        <v/>
      </c>
    </row>
    <row r="1155" spans="47:70" x14ac:dyDescent="0.2">
      <c r="AU1155"/>
      <c r="AV1155"/>
      <c r="AW1155"/>
      <c r="AX1155"/>
      <c r="AY1155"/>
      <c r="BK1155" s="42">
        <v>1154</v>
      </c>
      <c r="BL1155" s="127">
        <v>4</v>
      </c>
      <c r="BM1155" s="127">
        <v>0.11332468572476186</v>
      </c>
      <c r="BN1155" s="127" t="e">
        <v>#N/A</v>
      </c>
      <c r="BO1155" s="127" t="e">
        <v>#N/A</v>
      </c>
      <c r="BP1155" s="151" t="e">
        <v>#N/A</v>
      </c>
      <c r="BQ1155">
        <v>0.11332468572476186</v>
      </c>
      <c r="BR1155" t="str">
        <v/>
      </c>
    </row>
    <row r="1156" spans="47:70" x14ac:dyDescent="0.2">
      <c r="AU1156"/>
      <c r="AV1156"/>
      <c r="AW1156"/>
      <c r="AX1156"/>
      <c r="AY1156"/>
      <c r="BK1156" s="42">
        <v>1155</v>
      </c>
      <c r="BL1156" s="127">
        <v>4</v>
      </c>
      <c r="BM1156" s="127">
        <v>0.11332468572476186</v>
      </c>
      <c r="BN1156" s="127" t="e">
        <v>#N/A</v>
      </c>
      <c r="BO1156" s="127" t="e">
        <v>#N/A</v>
      </c>
      <c r="BP1156" s="151" t="e">
        <v>#N/A</v>
      </c>
      <c r="BQ1156">
        <v>0.11332468572476186</v>
      </c>
      <c r="BR1156" t="str">
        <v/>
      </c>
    </row>
    <row r="1157" spans="47:70" x14ac:dyDescent="0.2">
      <c r="AU1157"/>
      <c r="AV1157"/>
      <c r="AW1157"/>
      <c r="AX1157"/>
      <c r="AY1157"/>
      <c r="BK1157" s="42">
        <v>1156</v>
      </c>
      <c r="BL1157" s="127">
        <v>4</v>
      </c>
      <c r="BM1157" s="127">
        <v>0.11332468572476186</v>
      </c>
      <c r="BN1157" s="127" t="e">
        <v>#N/A</v>
      </c>
      <c r="BO1157" s="127" t="e">
        <v>#N/A</v>
      </c>
      <c r="BP1157" s="151" t="e">
        <v>#N/A</v>
      </c>
      <c r="BQ1157">
        <v>0.11332468572476186</v>
      </c>
      <c r="BR1157" t="str">
        <v/>
      </c>
    </row>
    <row r="1158" spans="47:70" x14ac:dyDescent="0.2">
      <c r="AU1158"/>
      <c r="AV1158"/>
      <c r="AW1158"/>
      <c r="AX1158"/>
      <c r="AY1158"/>
      <c r="BK1158" s="42">
        <v>1157</v>
      </c>
      <c r="BL1158" s="127">
        <v>4</v>
      </c>
      <c r="BM1158" s="127">
        <v>0.11332468572476186</v>
      </c>
      <c r="BN1158" s="127" t="e">
        <v>#N/A</v>
      </c>
      <c r="BO1158" s="127" t="e">
        <v>#N/A</v>
      </c>
      <c r="BP1158" s="151" t="e">
        <v>#N/A</v>
      </c>
      <c r="BQ1158">
        <v>0.11332468572476186</v>
      </c>
      <c r="BR1158" t="str">
        <v/>
      </c>
    </row>
    <row r="1159" spans="47:70" x14ac:dyDescent="0.2">
      <c r="AU1159"/>
      <c r="AV1159"/>
      <c r="AW1159"/>
      <c r="AX1159"/>
      <c r="AY1159"/>
      <c r="BK1159" s="42">
        <v>1158</v>
      </c>
      <c r="BL1159" s="127">
        <v>4</v>
      </c>
      <c r="BM1159" s="127">
        <v>0.11332468572476186</v>
      </c>
      <c r="BN1159" s="127" t="e">
        <v>#N/A</v>
      </c>
      <c r="BO1159" s="127" t="e">
        <v>#N/A</v>
      </c>
      <c r="BP1159" s="151" t="e">
        <v>#N/A</v>
      </c>
      <c r="BQ1159">
        <v>0.11332468572476186</v>
      </c>
      <c r="BR1159" t="str">
        <v/>
      </c>
    </row>
    <row r="1160" spans="47:70" x14ac:dyDescent="0.2">
      <c r="AU1160"/>
      <c r="AV1160"/>
      <c r="AW1160"/>
      <c r="AX1160"/>
      <c r="AY1160"/>
      <c r="BK1160" s="42">
        <v>1159</v>
      </c>
      <c r="BL1160" s="127">
        <v>4</v>
      </c>
      <c r="BM1160" s="127">
        <v>0.11332468572476186</v>
      </c>
      <c r="BN1160" s="127" t="e">
        <v>#N/A</v>
      </c>
      <c r="BO1160" s="127" t="e">
        <v>#N/A</v>
      </c>
      <c r="BP1160" s="151" t="e">
        <v>#N/A</v>
      </c>
      <c r="BQ1160">
        <v>0.11332468572476186</v>
      </c>
      <c r="BR1160" t="str">
        <v/>
      </c>
    </row>
    <row r="1161" spans="47:70" x14ac:dyDescent="0.2">
      <c r="AU1161"/>
      <c r="AV1161"/>
      <c r="AW1161"/>
      <c r="AX1161"/>
      <c r="AY1161"/>
      <c r="BK1161" s="42">
        <v>1160</v>
      </c>
      <c r="BL1161" s="127">
        <v>4</v>
      </c>
      <c r="BM1161" s="127">
        <v>0.11332468572476186</v>
      </c>
      <c r="BN1161" s="127" t="e">
        <v>#N/A</v>
      </c>
      <c r="BO1161" s="127" t="e">
        <v>#N/A</v>
      </c>
      <c r="BP1161" s="151" t="e">
        <v>#N/A</v>
      </c>
      <c r="BQ1161">
        <v>0.11332468572476186</v>
      </c>
      <c r="BR1161" t="str">
        <v/>
      </c>
    </row>
    <row r="1162" spans="47:70" x14ac:dyDescent="0.2">
      <c r="AU1162"/>
      <c r="AV1162"/>
      <c r="AW1162"/>
      <c r="AX1162"/>
      <c r="AY1162"/>
      <c r="BK1162" s="42">
        <v>1161</v>
      </c>
      <c r="BL1162" s="127">
        <v>4</v>
      </c>
      <c r="BM1162" s="127">
        <v>0.11332468572476186</v>
      </c>
      <c r="BN1162" s="127" t="e">
        <v>#N/A</v>
      </c>
      <c r="BO1162" s="127" t="e">
        <v>#N/A</v>
      </c>
      <c r="BP1162" s="151" t="e">
        <v>#N/A</v>
      </c>
      <c r="BQ1162">
        <v>0.11332468572476186</v>
      </c>
      <c r="BR1162" t="str">
        <v/>
      </c>
    </row>
    <row r="1163" spans="47:70" x14ac:dyDescent="0.2">
      <c r="AU1163"/>
      <c r="AV1163"/>
      <c r="AW1163"/>
      <c r="AX1163"/>
      <c r="AY1163"/>
      <c r="BK1163" s="42">
        <v>1162</v>
      </c>
      <c r="BL1163" s="127">
        <v>4</v>
      </c>
      <c r="BM1163" s="127">
        <v>0.11332468572476186</v>
      </c>
      <c r="BN1163" s="127" t="e">
        <v>#N/A</v>
      </c>
      <c r="BO1163" s="127" t="e">
        <v>#N/A</v>
      </c>
      <c r="BP1163" s="151" t="e">
        <v>#N/A</v>
      </c>
      <c r="BQ1163">
        <v>0.11332468572476186</v>
      </c>
      <c r="BR1163" t="str">
        <v/>
      </c>
    </row>
    <row r="1164" spans="47:70" x14ac:dyDescent="0.2">
      <c r="AU1164"/>
      <c r="AV1164"/>
      <c r="AW1164"/>
      <c r="AX1164"/>
      <c r="AY1164"/>
      <c r="BK1164" s="42">
        <v>1163</v>
      </c>
      <c r="BL1164" s="127">
        <v>4</v>
      </c>
      <c r="BM1164" s="127">
        <v>0.11332468572476186</v>
      </c>
      <c r="BN1164" s="127" t="e">
        <v>#N/A</v>
      </c>
      <c r="BO1164" s="127" t="e">
        <v>#N/A</v>
      </c>
      <c r="BP1164" s="151" t="e">
        <v>#N/A</v>
      </c>
      <c r="BQ1164">
        <v>0.11332468572476186</v>
      </c>
      <c r="BR1164" t="str">
        <v/>
      </c>
    </row>
    <row r="1165" spans="47:70" x14ac:dyDescent="0.2">
      <c r="AU1165"/>
      <c r="AV1165"/>
      <c r="AW1165"/>
      <c r="AX1165"/>
      <c r="AY1165"/>
      <c r="BK1165" s="42">
        <v>1164</v>
      </c>
      <c r="BL1165" s="127">
        <v>4</v>
      </c>
      <c r="BM1165" s="127">
        <v>0.11332468572476186</v>
      </c>
      <c r="BN1165" s="127" t="e">
        <v>#N/A</v>
      </c>
      <c r="BO1165" s="127" t="e">
        <v>#N/A</v>
      </c>
      <c r="BP1165" s="151" t="e">
        <v>#N/A</v>
      </c>
      <c r="BQ1165">
        <v>0.11332468572476186</v>
      </c>
      <c r="BR1165" t="str">
        <v/>
      </c>
    </row>
    <row r="1166" spans="47:70" x14ac:dyDescent="0.2">
      <c r="AU1166"/>
      <c r="AV1166"/>
      <c r="AW1166"/>
      <c r="AX1166"/>
      <c r="AY1166"/>
      <c r="BK1166" s="42">
        <v>1165</v>
      </c>
      <c r="BL1166" s="127">
        <v>4</v>
      </c>
      <c r="BM1166" s="127">
        <v>0.11332468572476186</v>
      </c>
      <c r="BN1166" s="127" t="e">
        <v>#N/A</v>
      </c>
      <c r="BO1166" s="127" t="e">
        <v>#N/A</v>
      </c>
      <c r="BP1166" s="151" t="e">
        <v>#N/A</v>
      </c>
      <c r="BQ1166">
        <v>0.11332468572476186</v>
      </c>
      <c r="BR1166" t="str">
        <v/>
      </c>
    </row>
    <row r="1167" spans="47:70" x14ac:dyDescent="0.2">
      <c r="AU1167"/>
      <c r="AV1167"/>
      <c r="AW1167"/>
      <c r="AX1167"/>
      <c r="AY1167"/>
      <c r="BK1167" s="42">
        <v>1166</v>
      </c>
      <c r="BL1167" s="127">
        <v>4</v>
      </c>
      <c r="BM1167" s="127">
        <v>0.11332468572476186</v>
      </c>
      <c r="BN1167" s="127" t="e">
        <v>#N/A</v>
      </c>
      <c r="BO1167" s="127" t="e">
        <v>#N/A</v>
      </c>
      <c r="BP1167" s="151" t="e">
        <v>#N/A</v>
      </c>
      <c r="BQ1167">
        <v>0.11332468572476186</v>
      </c>
      <c r="BR1167" t="str">
        <v/>
      </c>
    </row>
    <row r="1168" spans="47:70" x14ac:dyDescent="0.2">
      <c r="AU1168"/>
      <c r="AV1168"/>
      <c r="AW1168"/>
      <c r="AX1168"/>
      <c r="AY1168"/>
      <c r="BK1168" s="42">
        <v>1167</v>
      </c>
      <c r="BL1168" s="127">
        <v>4</v>
      </c>
      <c r="BM1168" s="127">
        <v>0.11332468572476186</v>
      </c>
      <c r="BN1168" s="127" t="e">
        <v>#N/A</v>
      </c>
      <c r="BO1168" s="127" t="e">
        <v>#N/A</v>
      </c>
      <c r="BP1168" s="151" t="e">
        <v>#N/A</v>
      </c>
      <c r="BQ1168">
        <v>0.11332468572476186</v>
      </c>
      <c r="BR1168" t="str">
        <v/>
      </c>
    </row>
    <row r="1169" spans="47:70" x14ac:dyDescent="0.2">
      <c r="AU1169"/>
      <c r="AV1169"/>
      <c r="AW1169"/>
      <c r="AX1169"/>
      <c r="AY1169"/>
      <c r="BK1169" s="42">
        <v>1168</v>
      </c>
      <c r="BL1169" s="127">
        <v>4</v>
      </c>
      <c r="BM1169" s="127">
        <v>0.11332468572476186</v>
      </c>
      <c r="BN1169" s="127" t="e">
        <v>#N/A</v>
      </c>
      <c r="BO1169" s="127" t="e">
        <v>#N/A</v>
      </c>
      <c r="BP1169" s="151" t="e">
        <v>#N/A</v>
      </c>
      <c r="BQ1169">
        <v>0.11332468572476186</v>
      </c>
      <c r="BR1169" t="str">
        <v/>
      </c>
    </row>
    <row r="1170" spans="47:70" x14ac:dyDescent="0.2">
      <c r="AU1170"/>
      <c r="AV1170"/>
      <c r="AW1170"/>
      <c r="AX1170"/>
      <c r="AY1170"/>
      <c r="BK1170" s="42">
        <v>1169</v>
      </c>
      <c r="BL1170" s="127">
        <v>4</v>
      </c>
      <c r="BM1170" s="127">
        <v>0.11332468572476186</v>
      </c>
      <c r="BN1170" s="127" t="e">
        <v>#N/A</v>
      </c>
      <c r="BO1170" s="127" t="e">
        <v>#N/A</v>
      </c>
      <c r="BP1170" s="151" t="e">
        <v>#N/A</v>
      </c>
      <c r="BQ1170">
        <v>0.11332468572476186</v>
      </c>
      <c r="BR1170" t="str">
        <v/>
      </c>
    </row>
    <row r="1171" spans="47:70" x14ac:dyDescent="0.2">
      <c r="AU1171"/>
      <c r="AV1171"/>
      <c r="AW1171"/>
      <c r="AX1171"/>
      <c r="AY1171"/>
      <c r="BK1171" s="42">
        <v>1170</v>
      </c>
      <c r="BL1171" s="127">
        <v>4</v>
      </c>
      <c r="BM1171" s="127">
        <v>0.11332468572476186</v>
      </c>
      <c r="BN1171" s="127" t="e">
        <v>#N/A</v>
      </c>
      <c r="BO1171" s="127" t="e">
        <v>#N/A</v>
      </c>
      <c r="BP1171" s="151" t="e">
        <v>#N/A</v>
      </c>
      <c r="BQ1171">
        <v>0.11332468572476186</v>
      </c>
      <c r="BR1171" t="str">
        <v/>
      </c>
    </row>
    <row r="1172" spans="47:70" x14ac:dyDescent="0.2">
      <c r="AU1172"/>
      <c r="AV1172"/>
      <c r="AW1172"/>
      <c r="AX1172"/>
      <c r="AY1172"/>
      <c r="BK1172" s="42">
        <v>1171</v>
      </c>
      <c r="BL1172" s="127">
        <v>4</v>
      </c>
      <c r="BM1172" s="127">
        <v>0.11332468572476186</v>
      </c>
      <c r="BN1172" s="127" t="e">
        <v>#N/A</v>
      </c>
      <c r="BO1172" s="127" t="e">
        <v>#N/A</v>
      </c>
      <c r="BP1172" s="151" t="e">
        <v>#N/A</v>
      </c>
      <c r="BQ1172">
        <v>0.11332468572476186</v>
      </c>
      <c r="BR1172" t="str">
        <v/>
      </c>
    </row>
    <row r="1173" spans="47:70" x14ac:dyDescent="0.2">
      <c r="AU1173"/>
      <c r="AV1173"/>
      <c r="AW1173"/>
      <c r="AX1173"/>
      <c r="AY1173"/>
      <c r="BK1173" s="42">
        <v>1172</v>
      </c>
      <c r="BL1173" s="127">
        <v>4</v>
      </c>
      <c r="BM1173" s="127">
        <v>0.11332468572476186</v>
      </c>
      <c r="BN1173" s="127" t="e">
        <v>#N/A</v>
      </c>
      <c r="BO1173" s="127" t="e">
        <v>#N/A</v>
      </c>
      <c r="BP1173" s="151" t="e">
        <v>#N/A</v>
      </c>
      <c r="BQ1173">
        <v>0.11332468572476186</v>
      </c>
      <c r="BR1173" t="str">
        <v/>
      </c>
    </row>
    <row r="1174" spans="47:70" x14ac:dyDescent="0.2">
      <c r="AU1174"/>
      <c r="AV1174"/>
      <c r="AW1174"/>
      <c r="AX1174"/>
      <c r="AY1174"/>
      <c r="BK1174" s="42">
        <v>1173</v>
      </c>
      <c r="BL1174" s="127">
        <v>4</v>
      </c>
      <c r="BM1174" s="127">
        <v>0.11332468572476186</v>
      </c>
      <c r="BN1174" s="127" t="e">
        <v>#N/A</v>
      </c>
      <c r="BO1174" s="127" t="e">
        <v>#N/A</v>
      </c>
      <c r="BP1174" s="151" t="e">
        <v>#N/A</v>
      </c>
      <c r="BQ1174">
        <v>0.11332468572476186</v>
      </c>
      <c r="BR1174" t="str">
        <v/>
      </c>
    </row>
    <row r="1175" spans="47:70" x14ac:dyDescent="0.2">
      <c r="AU1175"/>
      <c r="AV1175"/>
      <c r="AW1175"/>
      <c r="AX1175"/>
      <c r="AY1175"/>
      <c r="BK1175" s="42">
        <v>1174</v>
      </c>
      <c r="BL1175" s="127">
        <v>4</v>
      </c>
      <c r="BM1175" s="127">
        <v>0.11332468572476186</v>
      </c>
      <c r="BN1175" s="127" t="e">
        <v>#N/A</v>
      </c>
      <c r="BO1175" s="127" t="e">
        <v>#N/A</v>
      </c>
      <c r="BP1175" s="151" t="e">
        <v>#N/A</v>
      </c>
      <c r="BQ1175">
        <v>0.11332468572476186</v>
      </c>
      <c r="BR1175" t="str">
        <v/>
      </c>
    </row>
    <row r="1176" spans="47:70" x14ac:dyDescent="0.2">
      <c r="AU1176"/>
      <c r="AV1176"/>
      <c r="AW1176"/>
      <c r="AX1176"/>
      <c r="AY1176"/>
      <c r="BK1176" s="42">
        <v>1175</v>
      </c>
      <c r="BL1176" s="127">
        <v>4</v>
      </c>
      <c r="BM1176" s="127">
        <v>0.11332468572476186</v>
      </c>
      <c r="BN1176" s="127" t="e">
        <v>#N/A</v>
      </c>
      <c r="BO1176" s="127" t="e">
        <v>#N/A</v>
      </c>
      <c r="BP1176" s="151" t="e">
        <v>#N/A</v>
      </c>
      <c r="BQ1176">
        <v>0.11332468572476186</v>
      </c>
      <c r="BR1176" t="str">
        <v/>
      </c>
    </row>
    <row r="1177" spans="47:70" x14ac:dyDescent="0.2">
      <c r="AU1177"/>
      <c r="AV1177"/>
      <c r="AW1177"/>
      <c r="AX1177"/>
      <c r="AY1177"/>
      <c r="BK1177" s="42">
        <v>1176</v>
      </c>
      <c r="BL1177" s="127">
        <v>4</v>
      </c>
      <c r="BM1177" s="127">
        <v>0.11332468572476186</v>
      </c>
      <c r="BN1177" s="127" t="e">
        <v>#N/A</v>
      </c>
      <c r="BO1177" s="127" t="e">
        <v>#N/A</v>
      </c>
      <c r="BP1177" s="151" t="e">
        <v>#N/A</v>
      </c>
      <c r="BQ1177">
        <v>0.11332468572476186</v>
      </c>
      <c r="BR1177" t="str">
        <v/>
      </c>
    </row>
    <row r="1178" spans="47:70" x14ac:dyDescent="0.2">
      <c r="AU1178"/>
      <c r="AV1178"/>
      <c r="AW1178"/>
      <c r="AX1178"/>
      <c r="AY1178"/>
      <c r="BK1178" s="42">
        <v>1177</v>
      </c>
      <c r="BL1178" s="127">
        <v>4</v>
      </c>
      <c r="BM1178" s="127">
        <v>0.11332468572476186</v>
      </c>
      <c r="BN1178" s="127" t="e">
        <v>#N/A</v>
      </c>
      <c r="BO1178" s="127" t="e">
        <v>#N/A</v>
      </c>
      <c r="BP1178" s="151" t="e">
        <v>#N/A</v>
      </c>
      <c r="BQ1178">
        <v>0.11332468572476186</v>
      </c>
      <c r="BR1178" t="str">
        <v/>
      </c>
    </row>
    <row r="1179" spans="47:70" x14ac:dyDescent="0.2">
      <c r="AU1179"/>
      <c r="AV1179"/>
      <c r="AW1179"/>
      <c r="AX1179"/>
      <c r="AY1179"/>
      <c r="BK1179" s="42">
        <v>1178</v>
      </c>
      <c r="BL1179" s="127">
        <v>4</v>
      </c>
      <c r="BM1179" s="127">
        <v>0.11332468572476186</v>
      </c>
      <c r="BN1179" s="127" t="e">
        <v>#N/A</v>
      </c>
      <c r="BO1179" s="127" t="e">
        <v>#N/A</v>
      </c>
      <c r="BP1179" s="151" t="e">
        <v>#N/A</v>
      </c>
      <c r="BQ1179">
        <v>0.11332468572476186</v>
      </c>
      <c r="BR1179" t="str">
        <v/>
      </c>
    </row>
    <row r="1180" spans="47:70" x14ac:dyDescent="0.2">
      <c r="AU1180"/>
      <c r="AV1180"/>
      <c r="AW1180"/>
      <c r="AX1180"/>
      <c r="AY1180"/>
      <c r="BK1180" s="42">
        <v>1179</v>
      </c>
      <c r="BL1180" s="127">
        <v>4</v>
      </c>
      <c r="BM1180" s="127">
        <v>0.11332468572476186</v>
      </c>
      <c r="BN1180" s="127" t="e">
        <v>#N/A</v>
      </c>
      <c r="BO1180" s="127" t="e">
        <v>#N/A</v>
      </c>
      <c r="BP1180" s="151" t="e">
        <v>#N/A</v>
      </c>
      <c r="BQ1180">
        <v>0.11332468572476186</v>
      </c>
      <c r="BR1180" t="str">
        <v/>
      </c>
    </row>
    <row r="1181" spans="47:70" x14ac:dyDescent="0.2">
      <c r="AU1181"/>
      <c r="AV1181"/>
      <c r="AW1181"/>
      <c r="AX1181"/>
      <c r="AY1181"/>
      <c r="BK1181" s="42">
        <v>1180</v>
      </c>
      <c r="BL1181" s="127">
        <v>4</v>
      </c>
      <c r="BM1181" s="127">
        <v>0.11332468572476186</v>
      </c>
      <c r="BN1181" s="127" t="e">
        <v>#N/A</v>
      </c>
      <c r="BO1181" s="127" t="e">
        <v>#N/A</v>
      </c>
      <c r="BP1181" s="151" t="e">
        <v>#N/A</v>
      </c>
      <c r="BQ1181">
        <v>0.11332468572476186</v>
      </c>
      <c r="BR1181" t="str">
        <v/>
      </c>
    </row>
    <row r="1182" spans="47:70" x14ac:dyDescent="0.2">
      <c r="AU1182"/>
      <c r="AV1182"/>
      <c r="AW1182"/>
      <c r="AX1182"/>
      <c r="AY1182"/>
      <c r="BK1182" s="42">
        <v>1181</v>
      </c>
      <c r="BL1182" s="127">
        <v>4</v>
      </c>
      <c r="BM1182" s="127">
        <v>0.11332468572476186</v>
      </c>
      <c r="BN1182" s="127" t="e">
        <v>#N/A</v>
      </c>
      <c r="BO1182" s="127" t="e">
        <v>#N/A</v>
      </c>
      <c r="BP1182" s="151" t="e">
        <v>#N/A</v>
      </c>
      <c r="BQ1182">
        <v>0.11332468572476186</v>
      </c>
      <c r="BR1182" t="str">
        <v/>
      </c>
    </row>
    <row r="1183" spans="47:70" x14ac:dyDescent="0.2">
      <c r="AU1183"/>
      <c r="AV1183"/>
      <c r="AW1183"/>
      <c r="AX1183"/>
      <c r="AY1183"/>
      <c r="BK1183" s="42">
        <v>1182</v>
      </c>
      <c r="BL1183" s="127">
        <v>4</v>
      </c>
      <c r="BM1183" s="127">
        <v>0.11332468572476186</v>
      </c>
      <c r="BN1183" s="127" t="e">
        <v>#N/A</v>
      </c>
      <c r="BO1183" s="127" t="e">
        <v>#N/A</v>
      </c>
      <c r="BP1183" s="151" t="e">
        <v>#N/A</v>
      </c>
      <c r="BQ1183">
        <v>0.11332468572476186</v>
      </c>
      <c r="BR1183" t="str">
        <v/>
      </c>
    </row>
    <row r="1184" spans="47:70" x14ac:dyDescent="0.2">
      <c r="AU1184"/>
      <c r="AV1184"/>
      <c r="AW1184"/>
      <c r="AX1184"/>
      <c r="AY1184"/>
      <c r="BK1184" s="42">
        <v>1183</v>
      </c>
      <c r="BL1184" s="127">
        <v>4</v>
      </c>
      <c r="BM1184" s="127">
        <v>0.11332468572476186</v>
      </c>
      <c r="BN1184" s="127" t="e">
        <v>#N/A</v>
      </c>
      <c r="BO1184" s="127" t="e">
        <v>#N/A</v>
      </c>
      <c r="BP1184" s="151" t="e">
        <v>#N/A</v>
      </c>
      <c r="BQ1184">
        <v>0.11332468572476186</v>
      </c>
      <c r="BR1184" t="str">
        <v/>
      </c>
    </row>
    <row r="1185" spans="47:70" x14ac:dyDescent="0.2">
      <c r="AU1185"/>
      <c r="AV1185"/>
      <c r="AW1185"/>
      <c r="AX1185"/>
      <c r="AY1185"/>
      <c r="BK1185" s="42">
        <v>1184</v>
      </c>
      <c r="BL1185" s="127">
        <v>4</v>
      </c>
      <c r="BM1185" s="127">
        <v>0.11332468572476186</v>
      </c>
      <c r="BN1185" s="127" t="e">
        <v>#N/A</v>
      </c>
      <c r="BO1185" s="127" t="e">
        <v>#N/A</v>
      </c>
      <c r="BP1185" s="151" t="e">
        <v>#N/A</v>
      </c>
      <c r="BQ1185">
        <v>0.11332468572476186</v>
      </c>
      <c r="BR1185" t="str">
        <v/>
      </c>
    </row>
    <row r="1186" spans="47:70" x14ac:dyDescent="0.2">
      <c r="AU1186"/>
      <c r="AV1186"/>
      <c r="AW1186"/>
      <c r="AX1186"/>
      <c r="AY1186"/>
      <c r="BK1186" s="42">
        <v>1185</v>
      </c>
      <c r="BL1186" s="127">
        <v>4</v>
      </c>
      <c r="BM1186" s="127">
        <v>0.11332468572476186</v>
      </c>
      <c r="BN1186" s="127" t="e">
        <v>#N/A</v>
      </c>
      <c r="BO1186" s="127" t="e">
        <v>#N/A</v>
      </c>
      <c r="BP1186" s="151" t="e">
        <v>#N/A</v>
      </c>
      <c r="BQ1186">
        <v>0.11332468572476186</v>
      </c>
      <c r="BR1186" t="str">
        <v/>
      </c>
    </row>
    <row r="1187" spans="47:70" x14ac:dyDescent="0.2">
      <c r="AU1187"/>
      <c r="AV1187"/>
      <c r="AW1187"/>
      <c r="AX1187"/>
      <c r="AY1187"/>
      <c r="BK1187" s="42">
        <v>1186</v>
      </c>
      <c r="BL1187" s="127">
        <v>4</v>
      </c>
      <c r="BM1187" s="127">
        <v>0.11332468572476186</v>
      </c>
      <c r="BN1187" s="127" t="e">
        <v>#N/A</v>
      </c>
      <c r="BO1187" s="127" t="e">
        <v>#N/A</v>
      </c>
      <c r="BP1187" s="151" t="e">
        <v>#N/A</v>
      </c>
      <c r="BQ1187">
        <v>0.11332468572476186</v>
      </c>
      <c r="BR1187" t="str">
        <v/>
      </c>
    </row>
    <row r="1188" spans="47:70" x14ac:dyDescent="0.2">
      <c r="AU1188"/>
      <c r="AV1188"/>
      <c r="AW1188"/>
      <c r="AX1188"/>
      <c r="AY1188"/>
      <c r="BK1188" s="42">
        <v>1187</v>
      </c>
      <c r="BL1188" s="127">
        <v>4</v>
      </c>
      <c r="BM1188" s="127">
        <v>0.11332468572476186</v>
      </c>
      <c r="BN1188" s="127" t="e">
        <v>#N/A</v>
      </c>
      <c r="BO1188" s="127" t="e">
        <v>#N/A</v>
      </c>
      <c r="BP1188" s="151" t="e">
        <v>#N/A</v>
      </c>
      <c r="BQ1188">
        <v>0.11332468572476186</v>
      </c>
      <c r="BR1188" t="str">
        <v/>
      </c>
    </row>
    <row r="1189" spans="47:70" x14ac:dyDescent="0.2">
      <c r="AU1189"/>
      <c r="AV1189"/>
      <c r="AW1189"/>
      <c r="AX1189"/>
      <c r="AY1189"/>
      <c r="BK1189" s="42">
        <v>1188</v>
      </c>
      <c r="BL1189" s="127">
        <v>4</v>
      </c>
      <c r="BM1189" s="127">
        <v>0.11332468572476186</v>
      </c>
      <c r="BN1189" s="127" t="e">
        <v>#N/A</v>
      </c>
      <c r="BO1189" s="127" t="e">
        <v>#N/A</v>
      </c>
      <c r="BP1189" s="151" t="e">
        <v>#N/A</v>
      </c>
      <c r="BQ1189">
        <v>0.11332468572476186</v>
      </c>
      <c r="BR1189" t="str">
        <v/>
      </c>
    </row>
    <row r="1190" spans="47:70" x14ac:dyDescent="0.2">
      <c r="AU1190"/>
      <c r="AV1190"/>
      <c r="AW1190"/>
      <c r="AX1190"/>
      <c r="AY1190"/>
      <c r="BK1190" s="42">
        <v>1189</v>
      </c>
      <c r="BL1190" s="127">
        <v>4</v>
      </c>
      <c r="BM1190" s="127">
        <v>0.11332468572476186</v>
      </c>
      <c r="BN1190" s="127" t="e">
        <v>#N/A</v>
      </c>
      <c r="BO1190" s="127" t="e">
        <v>#N/A</v>
      </c>
      <c r="BP1190" s="151" t="e">
        <v>#N/A</v>
      </c>
      <c r="BQ1190">
        <v>0.11332468572476186</v>
      </c>
      <c r="BR1190" t="str">
        <v/>
      </c>
    </row>
    <row r="1191" spans="47:70" x14ac:dyDescent="0.2">
      <c r="AU1191"/>
      <c r="AV1191"/>
      <c r="AW1191"/>
      <c r="AX1191"/>
      <c r="AY1191"/>
      <c r="BK1191" s="42">
        <v>1190</v>
      </c>
      <c r="BL1191" s="127">
        <v>4</v>
      </c>
      <c r="BM1191" s="127">
        <v>0.11332468572476186</v>
      </c>
      <c r="BN1191" s="127" t="e">
        <v>#N/A</v>
      </c>
      <c r="BO1191" s="127" t="e">
        <v>#N/A</v>
      </c>
      <c r="BP1191" s="151" t="e">
        <v>#N/A</v>
      </c>
      <c r="BQ1191">
        <v>0.11332468572476186</v>
      </c>
      <c r="BR1191" t="str">
        <v/>
      </c>
    </row>
    <row r="1192" spans="47:70" x14ac:dyDescent="0.2">
      <c r="AU1192"/>
      <c r="AV1192"/>
      <c r="AW1192"/>
      <c r="AX1192"/>
      <c r="AY1192"/>
      <c r="BK1192" s="42">
        <v>1191</v>
      </c>
      <c r="BL1192" s="127">
        <v>4</v>
      </c>
      <c r="BM1192" s="127">
        <v>0.11332468572476186</v>
      </c>
      <c r="BN1192" s="127" t="e">
        <v>#N/A</v>
      </c>
      <c r="BO1192" s="127" t="e">
        <v>#N/A</v>
      </c>
      <c r="BP1192" s="151" t="e">
        <v>#N/A</v>
      </c>
      <c r="BQ1192">
        <v>0.11332468572476186</v>
      </c>
      <c r="BR1192" t="str">
        <v/>
      </c>
    </row>
    <row r="1193" spans="47:70" x14ac:dyDescent="0.2">
      <c r="AU1193"/>
      <c r="AV1193"/>
      <c r="AW1193"/>
      <c r="AX1193"/>
      <c r="AY1193"/>
      <c r="BK1193" s="42">
        <v>1192</v>
      </c>
      <c r="BL1193" s="127">
        <v>4</v>
      </c>
      <c r="BM1193" s="127">
        <v>0.11332468572476186</v>
      </c>
      <c r="BN1193" s="127" t="e">
        <v>#N/A</v>
      </c>
      <c r="BO1193" s="127" t="e">
        <v>#N/A</v>
      </c>
      <c r="BP1193" s="151" t="e">
        <v>#N/A</v>
      </c>
      <c r="BQ1193">
        <v>0.11332468572476186</v>
      </c>
      <c r="BR1193" t="str">
        <v/>
      </c>
    </row>
    <row r="1194" spans="47:70" x14ac:dyDescent="0.2">
      <c r="AU1194"/>
      <c r="AV1194"/>
      <c r="AW1194"/>
      <c r="AX1194"/>
      <c r="AY1194"/>
      <c r="BK1194" s="42">
        <v>1193</v>
      </c>
      <c r="BL1194" s="127">
        <v>4</v>
      </c>
      <c r="BM1194" s="127">
        <v>0.11332468572476186</v>
      </c>
      <c r="BN1194" s="127" t="e">
        <v>#N/A</v>
      </c>
      <c r="BO1194" s="127" t="e">
        <v>#N/A</v>
      </c>
      <c r="BP1194" s="151" t="e">
        <v>#N/A</v>
      </c>
      <c r="BQ1194">
        <v>0.11332468572476186</v>
      </c>
      <c r="BR1194" t="str">
        <v/>
      </c>
    </row>
    <row r="1195" spans="47:70" x14ac:dyDescent="0.2">
      <c r="AU1195"/>
      <c r="AV1195"/>
      <c r="AW1195"/>
      <c r="AX1195"/>
      <c r="AY1195"/>
      <c r="BK1195" s="42">
        <v>1194</v>
      </c>
      <c r="BL1195" s="127">
        <v>4</v>
      </c>
      <c r="BM1195" s="127">
        <v>0.11332468572476186</v>
      </c>
      <c r="BN1195" s="127" t="e">
        <v>#N/A</v>
      </c>
      <c r="BO1195" s="127" t="e">
        <v>#N/A</v>
      </c>
      <c r="BP1195" s="151" t="e">
        <v>#N/A</v>
      </c>
      <c r="BQ1195">
        <v>0.11332468572476186</v>
      </c>
      <c r="BR1195" t="str">
        <v/>
      </c>
    </row>
    <row r="1196" spans="47:70" x14ac:dyDescent="0.2">
      <c r="AU1196"/>
      <c r="AV1196"/>
      <c r="AW1196"/>
      <c r="AX1196"/>
      <c r="AY1196"/>
      <c r="BK1196" s="42">
        <v>1195</v>
      </c>
      <c r="BL1196" s="127">
        <v>4</v>
      </c>
      <c r="BM1196" s="127">
        <v>0.11332468572476186</v>
      </c>
      <c r="BN1196" s="127" t="e">
        <v>#N/A</v>
      </c>
      <c r="BO1196" s="127" t="e">
        <v>#N/A</v>
      </c>
      <c r="BP1196" s="151" t="e">
        <v>#N/A</v>
      </c>
      <c r="BQ1196">
        <v>0.11332468572476186</v>
      </c>
      <c r="BR1196" t="str">
        <v/>
      </c>
    </row>
    <row r="1197" spans="47:70" x14ac:dyDescent="0.2">
      <c r="AU1197"/>
      <c r="AV1197"/>
      <c r="AW1197"/>
      <c r="AX1197"/>
      <c r="AY1197"/>
      <c r="BK1197" s="42">
        <v>1196</v>
      </c>
      <c r="BL1197" s="127">
        <v>4</v>
      </c>
      <c r="BM1197" s="127">
        <v>0.11332468572476186</v>
      </c>
      <c r="BN1197" s="127" t="e">
        <v>#N/A</v>
      </c>
      <c r="BO1197" s="127" t="e">
        <v>#N/A</v>
      </c>
      <c r="BP1197" s="151" t="e">
        <v>#N/A</v>
      </c>
      <c r="BQ1197">
        <v>0.11332468572476186</v>
      </c>
      <c r="BR1197" t="str">
        <v/>
      </c>
    </row>
    <row r="1198" spans="47:70" x14ac:dyDescent="0.2">
      <c r="AU1198"/>
      <c r="AV1198"/>
      <c r="AW1198"/>
      <c r="AX1198"/>
      <c r="AY1198"/>
      <c r="BK1198" s="42">
        <v>1197</v>
      </c>
      <c r="BL1198" s="127">
        <v>4</v>
      </c>
      <c r="BM1198" s="127">
        <v>0.11332468572476186</v>
      </c>
      <c r="BN1198" s="127" t="e">
        <v>#N/A</v>
      </c>
      <c r="BO1198" s="127" t="e">
        <v>#N/A</v>
      </c>
      <c r="BP1198" s="151" t="e">
        <v>#N/A</v>
      </c>
      <c r="BQ1198">
        <v>0.11332468572476186</v>
      </c>
      <c r="BR1198" t="str">
        <v/>
      </c>
    </row>
    <row r="1199" spans="47:70" x14ac:dyDescent="0.2">
      <c r="AU1199"/>
      <c r="AV1199"/>
      <c r="AW1199"/>
      <c r="AX1199"/>
      <c r="AY1199"/>
      <c r="BK1199" s="42">
        <v>1198</v>
      </c>
      <c r="BL1199" s="127">
        <v>4</v>
      </c>
      <c r="BM1199" s="127">
        <v>0.11332468572476186</v>
      </c>
      <c r="BN1199" s="127" t="e">
        <v>#N/A</v>
      </c>
      <c r="BO1199" s="127" t="e">
        <v>#N/A</v>
      </c>
      <c r="BP1199" s="151" t="e">
        <v>#N/A</v>
      </c>
      <c r="BQ1199">
        <v>0.11332468572476186</v>
      </c>
      <c r="BR1199" t="str">
        <v/>
      </c>
    </row>
    <row r="1200" spans="47:70" x14ac:dyDescent="0.2">
      <c r="AU1200"/>
      <c r="AV1200"/>
      <c r="AW1200"/>
      <c r="AX1200"/>
      <c r="AY1200"/>
      <c r="BK1200" s="42">
        <v>1199</v>
      </c>
      <c r="BL1200" s="127">
        <v>4</v>
      </c>
      <c r="BM1200" s="127">
        <v>0.11332468572476186</v>
      </c>
      <c r="BN1200" s="127" t="e">
        <v>#N/A</v>
      </c>
      <c r="BO1200" s="127" t="e">
        <v>#N/A</v>
      </c>
      <c r="BP1200" s="151" t="e">
        <v>#N/A</v>
      </c>
      <c r="BQ1200">
        <v>0.11332468572476186</v>
      </c>
      <c r="BR1200" t="str">
        <v/>
      </c>
    </row>
    <row r="1201" spans="47:70" x14ac:dyDescent="0.2">
      <c r="AU1201"/>
      <c r="AV1201"/>
      <c r="AW1201"/>
      <c r="AX1201"/>
      <c r="AY1201"/>
      <c r="BK1201" s="42">
        <v>1200</v>
      </c>
      <c r="BL1201" s="127">
        <v>4</v>
      </c>
      <c r="BM1201" s="127">
        <v>0.11332468572476186</v>
      </c>
      <c r="BN1201" s="127" t="e">
        <v>#N/A</v>
      </c>
      <c r="BO1201" s="127" t="e">
        <v>#N/A</v>
      </c>
      <c r="BP1201" s="151" t="e">
        <v>#N/A</v>
      </c>
      <c r="BQ1201">
        <v>0.11332468572476186</v>
      </c>
      <c r="BR1201" t="str">
        <v/>
      </c>
    </row>
    <row r="1202" spans="47:70" x14ac:dyDescent="0.2">
      <c r="AU1202"/>
      <c r="AV1202"/>
      <c r="AW1202"/>
      <c r="AX1202"/>
      <c r="AY1202"/>
      <c r="BK1202" s="42">
        <v>1201</v>
      </c>
      <c r="BL1202" s="127">
        <v>4</v>
      </c>
      <c r="BM1202" s="127">
        <v>0.11332468572476186</v>
      </c>
      <c r="BN1202" s="127" t="e">
        <v>#N/A</v>
      </c>
      <c r="BO1202" s="127" t="e">
        <v>#N/A</v>
      </c>
      <c r="BP1202" s="151" t="e">
        <v>#N/A</v>
      </c>
      <c r="BQ1202">
        <v>0.11332468572476186</v>
      </c>
      <c r="BR1202" t="str">
        <v/>
      </c>
    </row>
    <row r="1203" spans="47:70" x14ac:dyDescent="0.2">
      <c r="AU1203"/>
      <c r="AV1203"/>
      <c r="AW1203"/>
      <c r="AX1203"/>
      <c r="AY1203"/>
      <c r="BK1203" s="42">
        <v>1202</v>
      </c>
      <c r="BL1203" s="127">
        <v>4</v>
      </c>
      <c r="BM1203" s="127">
        <v>0.11332468572476186</v>
      </c>
      <c r="BN1203" s="127" t="e">
        <v>#N/A</v>
      </c>
      <c r="BO1203" s="127" t="e">
        <v>#N/A</v>
      </c>
      <c r="BP1203" s="151" t="e">
        <v>#N/A</v>
      </c>
      <c r="BQ1203">
        <v>0.11332468572476186</v>
      </c>
      <c r="BR1203" t="str">
        <v/>
      </c>
    </row>
    <row r="1204" spans="47:70" x14ac:dyDescent="0.2">
      <c r="AU1204"/>
      <c r="AV1204"/>
      <c r="AW1204"/>
      <c r="AX1204"/>
      <c r="AY1204"/>
      <c r="BK1204" s="42">
        <v>1203</v>
      </c>
      <c r="BL1204" s="127">
        <v>4</v>
      </c>
      <c r="BM1204" s="127">
        <v>0.11332468572476186</v>
      </c>
      <c r="BN1204" s="127" t="e">
        <v>#N/A</v>
      </c>
      <c r="BO1204" s="127" t="e">
        <v>#N/A</v>
      </c>
      <c r="BP1204" s="151" t="e">
        <v>#N/A</v>
      </c>
      <c r="BQ1204">
        <v>0.11332468572476186</v>
      </c>
      <c r="BR1204" t="str">
        <v/>
      </c>
    </row>
    <row r="1205" spans="47:70" x14ac:dyDescent="0.2">
      <c r="AU1205"/>
      <c r="AV1205"/>
      <c r="AW1205"/>
      <c r="AX1205"/>
      <c r="AY1205"/>
      <c r="BK1205" s="42">
        <v>1204</v>
      </c>
      <c r="BL1205" s="127">
        <v>4</v>
      </c>
      <c r="BM1205" s="127">
        <v>0.11332468572476186</v>
      </c>
      <c r="BN1205" s="127" t="e">
        <v>#N/A</v>
      </c>
      <c r="BO1205" s="127" t="e">
        <v>#N/A</v>
      </c>
      <c r="BP1205" s="151" t="e">
        <v>#N/A</v>
      </c>
      <c r="BQ1205">
        <v>0.11332468572476186</v>
      </c>
      <c r="BR1205" t="str">
        <v/>
      </c>
    </row>
    <row r="1206" spans="47:70" x14ac:dyDescent="0.2">
      <c r="AU1206"/>
      <c r="AV1206"/>
      <c r="AW1206"/>
      <c r="AX1206"/>
      <c r="AY1206"/>
      <c r="BK1206" s="42">
        <v>1205</v>
      </c>
      <c r="BL1206" s="127">
        <v>4</v>
      </c>
      <c r="BM1206" s="127">
        <v>0.11332468572476186</v>
      </c>
      <c r="BN1206" s="127" t="e">
        <v>#N/A</v>
      </c>
      <c r="BO1206" s="127" t="e">
        <v>#N/A</v>
      </c>
      <c r="BP1206" s="151" t="e">
        <v>#N/A</v>
      </c>
      <c r="BQ1206">
        <v>0.11332468572476186</v>
      </c>
      <c r="BR1206" t="str">
        <v/>
      </c>
    </row>
    <row r="1207" spans="47:70" x14ac:dyDescent="0.2">
      <c r="AU1207"/>
      <c r="AV1207"/>
      <c r="AW1207"/>
      <c r="AX1207"/>
      <c r="AY1207"/>
      <c r="BK1207" s="42">
        <v>1206</v>
      </c>
      <c r="BL1207" s="127">
        <v>4</v>
      </c>
      <c r="BM1207" s="127">
        <v>0.11332468572476186</v>
      </c>
      <c r="BN1207" s="127" t="e">
        <v>#N/A</v>
      </c>
      <c r="BO1207" s="127" t="e">
        <v>#N/A</v>
      </c>
      <c r="BP1207" s="151" t="e">
        <v>#N/A</v>
      </c>
      <c r="BQ1207">
        <v>0.11332468572476186</v>
      </c>
      <c r="BR1207" t="str">
        <v/>
      </c>
    </row>
    <row r="1208" spans="47:70" x14ac:dyDescent="0.2">
      <c r="AU1208"/>
      <c r="AV1208"/>
      <c r="AW1208"/>
      <c r="AX1208"/>
      <c r="AY1208"/>
      <c r="BK1208" s="42">
        <v>1207</v>
      </c>
      <c r="BL1208" s="127">
        <v>4</v>
      </c>
      <c r="BM1208" s="127">
        <v>0.11332468572476186</v>
      </c>
      <c r="BN1208" s="127" t="e">
        <v>#N/A</v>
      </c>
      <c r="BO1208" s="127" t="e">
        <v>#N/A</v>
      </c>
      <c r="BP1208" s="151" t="e">
        <v>#N/A</v>
      </c>
      <c r="BQ1208">
        <v>0.11332468572476186</v>
      </c>
      <c r="BR1208" t="str">
        <v/>
      </c>
    </row>
    <row r="1209" spans="47:70" x14ac:dyDescent="0.2">
      <c r="AU1209"/>
      <c r="AV1209"/>
      <c r="AW1209"/>
      <c r="AX1209"/>
      <c r="AY1209"/>
      <c r="BK1209" s="42">
        <v>1208</v>
      </c>
      <c r="BL1209" s="127">
        <v>4</v>
      </c>
      <c r="BM1209" s="127">
        <v>0.11332468572476186</v>
      </c>
      <c r="BN1209" s="127" t="e">
        <v>#N/A</v>
      </c>
      <c r="BO1209" s="127" t="e">
        <v>#N/A</v>
      </c>
      <c r="BP1209" s="151" t="e">
        <v>#N/A</v>
      </c>
      <c r="BQ1209">
        <v>0.11332468572476186</v>
      </c>
      <c r="BR1209" t="str">
        <v/>
      </c>
    </row>
    <row r="1210" spans="47:70" x14ac:dyDescent="0.2">
      <c r="AU1210"/>
      <c r="AV1210"/>
      <c r="AW1210"/>
      <c r="AX1210"/>
      <c r="AY1210"/>
      <c r="BK1210" s="42">
        <v>1209</v>
      </c>
      <c r="BL1210" s="127">
        <v>4</v>
      </c>
      <c r="BM1210" s="127">
        <v>0.11332468572476186</v>
      </c>
      <c r="BN1210" s="127" t="e">
        <v>#N/A</v>
      </c>
      <c r="BO1210" s="127" t="e">
        <v>#N/A</v>
      </c>
      <c r="BP1210" s="151" t="e">
        <v>#N/A</v>
      </c>
      <c r="BQ1210">
        <v>0.11332468572476186</v>
      </c>
      <c r="BR1210" t="str">
        <v/>
      </c>
    </row>
    <row r="1211" spans="47:70" x14ac:dyDescent="0.2">
      <c r="AU1211"/>
      <c r="AV1211"/>
      <c r="AW1211"/>
      <c r="AX1211"/>
      <c r="AY1211"/>
      <c r="BK1211" s="42">
        <v>1210</v>
      </c>
      <c r="BL1211" s="127">
        <v>4</v>
      </c>
      <c r="BM1211" s="127">
        <v>0.11332468572476186</v>
      </c>
      <c r="BN1211" s="127" t="e">
        <v>#N/A</v>
      </c>
      <c r="BO1211" s="127" t="e">
        <v>#N/A</v>
      </c>
      <c r="BP1211" s="151" t="e">
        <v>#N/A</v>
      </c>
      <c r="BQ1211">
        <v>0.11332468572476186</v>
      </c>
      <c r="BR1211" t="str">
        <v/>
      </c>
    </row>
    <row r="1212" spans="47:70" x14ac:dyDescent="0.2">
      <c r="AU1212"/>
      <c r="AV1212"/>
      <c r="AW1212"/>
      <c r="AX1212"/>
      <c r="AY1212"/>
      <c r="BK1212" s="42">
        <v>1211</v>
      </c>
      <c r="BL1212" s="127">
        <v>4</v>
      </c>
      <c r="BM1212" s="127">
        <v>0.11332468572476186</v>
      </c>
      <c r="BN1212" s="127" t="e">
        <v>#N/A</v>
      </c>
      <c r="BO1212" s="127" t="e">
        <v>#N/A</v>
      </c>
      <c r="BP1212" s="151" t="e">
        <v>#N/A</v>
      </c>
      <c r="BQ1212">
        <v>0.11332468572476186</v>
      </c>
      <c r="BR1212" t="str">
        <v/>
      </c>
    </row>
    <row r="1213" spans="47:70" x14ac:dyDescent="0.2">
      <c r="AU1213"/>
      <c r="AV1213"/>
      <c r="AW1213"/>
      <c r="AX1213"/>
      <c r="AY1213"/>
      <c r="BK1213" s="42">
        <v>1212</v>
      </c>
      <c r="BL1213" s="127">
        <v>4</v>
      </c>
      <c r="BM1213" s="127">
        <v>0.11332468572476186</v>
      </c>
      <c r="BN1213" s="127" t="e">
        <v>#N/A</v>
      </c>
      <c r="BO1213" s="127" t="e">
        <v>#N/A</v>
      </c>
      <c r="BP1213" s="151" t="e">
        <v>#N/A</v>
      </c>
      <c r="BQ1213">
        <v>0.11332468572476186</v>
      </c>
      <c r="BR1213" t="str">
        <v/>
      </c>
    </row>
    <row r="1214" spans="47:70" x14ac:dyDescent="0.2">
      <c r="AU1214"/>
      <c r="AV1214"/>
      <c r="AW1214"/>
      <c r="AX1214"/>
      <c r="AY1214"/>
      <c r="BK1214" s="42">
        <v>1213</v>
      </c>
      <c r="BL1214" s="127">
        <v>4</v>
      </c>
      <c r="BM1214" s="127">
        <v>0.11332468572476186</v>
      </c>
      <c r="BN1214" s="127" t="e">
        <v>#N/A</v>
      </c>
      <c r="BO1214" s="127" t="e">
        <v>#N/A</v>
      </c>
      <c r="BP1214" s="151" t="e">
        <v>#N/A</v>
      </c>
      <c r="BQ1214">
        <v>0.11332468572476186</v>
      </c>
      <c r="BR1214" t="str">
        <v/>
      </c>
    </row>
    <row r="1215" spans="47:70" x14ac:dyDescent="0.2">
      <c r="AU1215"/>
      <c r="AV1215"/>
      <c r="AW1215"/>
      <c r="AX1215"/>
      <c r="AY1215"/>
      <c r="BK1215" s="42">
        <v>1214</v>
      </c>
      <c r="BL1215" s="127">
        <v>4</v>
      </c>
      <c r="BM1215" s="127">
        <v>0.11332468572476186</v>
      </c>
      <c r="BN1215" s="127" t="e">
        <v>#N/A</v>
      </c>
      <c r="BO1215" s="127" t="e">
        <v>#N/A</v>
      </c>
      <c r="BP1215" s="151" t="e">
        <v>#N/A</v>
      </c>
      <c r="BQ1215">
        <v>0.11332468572476186</v>
      </c>
      <c r="BR1215" t="str">
        <v/>
      </c>
    </row>
    <row r="1216" spans="47:70" x14ac:dyDescent="0.2">
      <c r="AU1216"/>
      <c r="AV1216"/>
      <c r="AW1216"/>
      <c r="AX1216"/>
      <c r="AY1216"/>
      <c r="BK1216" s="42">
        <v>1215</v>
      </c>
      <c r="BL1216" s="127">
        <v>4</v>
      </c>
      <c r="BM1216" s="127">
        <v>0.11332468572476186</v>
      </c>
      <c r="BN1216" s="127" t="e">
        <v>#N/A</v>
      </c>
      <c r="BO1216" s="127" t="e">
        <v>#N/A</v>
      </c>
      <c r="BP1216" s="151" t="e">
        <v>#N/A</v>
      </c>
      <c r="BQ1216">
        <v>0.11332468572476186</v>
      </c>
      <c r="BR1216" t="str">
        <v/>
      </c>
    </row>
    <row r="1217" spans="47:70" x14ac:dyDescent="0.2">
      <c r="AU1217"/>
      <c r="AV1217"/>
      <c r="AW1217"/>
      <c r="AX1217"/>
      <c r="AY1217"/>
      <c r="BK1217" s="42">
        <v>1216</v>
      </c>
      <c r="BL1217" s="127">
        <v>4</v>
      </c>
      <c r="BM1217" s="127">
        <v>0.11332468572476186</v>
      </c>
      <c r="BN1217" s="127" t="e">
        <v>#N/A</v>
      </c>
      <c r="BO1217" s="127" t="e">
        <v>#N/A</v>
      </c>
      <c r="BP1217" s="151" t="e">
        <v>#N/A</v>
      </c>
      <c r="BQ1217">
        <v>0.11332468572476186</v>
      </c>
      <c r="BR1217" t="str">
        <v/>
      </c>
    </row>
    <row r="1218" spans="47:70" x14ac:dyDescent="0.2">
      <c r="AU1218"/>
      <c r="AV1218"/>
      <c r="AW1218"/>
      <c r="AX1218"/>
      <c r="AY1218"/>
      <c r="BK1218" s="42">
        <v>1217</v>
      </c>
      <c r="BL1218" s="127">
        <v>4</v>
      </c>
      <c r="BM1218" s="127">
        <v>0.11332468572476186</v>
      </c>
      <c r="BN1218" s="127" t="e">
        <v>#N/A</v>
      </c>
      <c r="BO1218" s="127" t="e">
        <v>#N/A</v>
      </c>
      <c r="BP1218" s="151" t="e">
        <v>#N/A</v>
      </c>
      <c r="BQ1218">
        <v>0.11332468572476186</v>
      </c>
      <c r="BR1218" t="str">
        <v/>
      </c>
    </row>
    <row r="1219" spans="47:70" x14ac:dyDescent="0.2">
      <c r="AU1219"/>
      <c r="AV1219"/>
      <c r="AW1219"/>
      <c r="AX1219"/>
      <c r="AY1219"/>
      <c r="BK1219" s="42">
        <v>1218</v>
      </c>
      <c r="BL1219" s="127">
        <v>4</v>
      </c>
      <c r="BM1219" s="127">
        <v>0.11332468572476186</v>
      </c>
      <c r="BN1219" s="127" t="e">
        <v>#N/A</v>
      </c>
      <c r="BO1219" s="127" t="e">
        <v>#N/A</v>
      </c>
      <c r="BP1219" s="151" t="e">
        <v>#N/A</v>
      </c>
      <c r="BQ1219">
        <v>0.11332468572476186</v>
      </c>
      <c r="BR1219" t="str">
        <v/>
      </c>
    </row>
    <row r="1220" spans="47:70" x14ac:dyDescent="0.2">
      <c r="AU1220"/>
      <c r="AV1220"/>
      <c r="AW1220"/>
      <c r="AX1220"/>
      <c r="AY1220"/>
      <c r="BK1220" s="42">
        <v>1219</v>
      </c>
      <c r="BL1220" s="127">
        <v>4</v>
      </c>
      <c r="BM1220" s="127">
        <v>0.11332468572476186</v>
      </c>
      <c r="BN1220" s="127" t="e">
        <v>#N/A</v>
      </c>
      <c r="BO1220" s="127" t="e">
        <v>#N/A</v>
      </c>
      <c r="BP1220" s="151" t="e">
        <v>#N/A</v>
      </c>
      <c r="BQ1220">
        <v>0.11332468572476186</v>
      </c>
      <c r="BR1220" t="str">
        <v/>
      </c>
    </row>
    <row r="1221" spans="47:70" x14ac:dyDescent="0.2">
      <c r="AU1221"/>
      <c r="AV1221"/>
      <c r="AW1221"/>
      <c r="AX1221"/>
      <c r="AY1221"/>
      <c r="BK1221" s="42">
        <v>1220</v>
      </c>
      <c r="BL1221" s="127">
        <v>4</v>
      </c>
      <c r="BM1221" s="127">
        <v>0.11332468572476186</v>
      </c>
      <c r="BN1221" s="127" t="e">
        <v>#N/A</v>
      </c>
      <c r="BO1221" s="127" t="e">
        <v>#N/A</v>
      </c>
      <c r="BP1221" s="151" t="e">
        <v>#N/A</v>
      </c>
      <c r="BQ1221">
        <v>0.11332468572476186</v>
      </c>
      <c r="BR1221" t="str">
        <v/>
      </c>
    </row>
    <row r="1222" spans="47:70" x14ac:dyDescent="0.2">
      <c r="AU1222"/>
      <c r="AV1222"/>
      <c r="AW1222"/>
      <c r="AX1222"/>
      <c r="AY1222"/>
      <c r="BK1222" s="42">
        <v>1221</v>
      </c>
      <c r="BL1222" s="127">
        <v>4</v>
      </c>
      <c r="BM1222" s="127">
        <v>0.11332468572476186</v>
      </c>
      <c r="BN1222" s="127" t="e">
        <v>#N/A</v>
      </c>
      <c r="BO1222" s="127" t="e">
        <v>#N/A</v>
      </c>
      <c r="BP1222" s="151" t="e">
        <v>#N/A</v>
      </c>
      <c r="BQ1222">
        <v>0.11332468572476186</v>
      </c>
      <c r="BR1222" t="str">
        <v/>
      </c>
    </row>
    <row r="1223" spans="47:70" x14ac:dyDescent="0.2">
      <c r="AU1223"/>
      <c r="AV1223"/>
      <c r="AW1223"/>
      <c r="AX1223"/>
      <c r="AY1223"/>
      <c r="BK1223" s="42">
        <v>1222</v>
      </c>
      <c r="BL1223" s="127">
        <v>4</v>
      </c>
      <c r="BM1223" s="127">
        <v>0.11332468572476186</v>
      </c>
      <c r="BN1223" s="127" t="e">
        <v>#N/A</v>
      </c>
      <c r="BO1223" s="127" t="e">
        <v>#N/A</v>
      </c>
      <c r="BP1223" s="151" t="e">
        <v>#N/A</v>
      </c>
      <c r="BQ1223">
        <v>0.11332468572476186</v>
      </c>
      <c r="BR1223" t="str">
        <v/>
      </c>
    </row>
    <row r="1224" spans="47:70" x14ac:dyDescent="0.2">
      <c r="AU1224"/>
      <c r="AV1224"/>
      <c r="AW1224"/>
      <c r="AX1224"/>
      <c r="AY1224"/>
      <c r="BK1224" s="42">
        <v>1223</v>
      </c>
      <c r="BL1224" s="127">
        <v>4</v>
      </c>
      <c r="BM1224" s="127">
        <v>0.11332468572476186</v>
      </c>
      <c r="BN1224" s="127" t="e">
        <v>#N/A</v>
      </c>
      <c r="BO1224" s="127" t="e">
        <v>#N/A</v>
      </c>
      <c r="BP1224" s="151" t="e">
        <v>#N/A</v>
      </c>
      <c r="BQ1224">
        <v>0.11332468572476186</v>
      </c>
      <c r="BR1224" t="str">
        <v/>
      </c>
    </row>
    <row r="1225" spans="47:70" x14ac:dyDescent="0.2">
      <c r="AU1225"/>
      <c r="AV1225"/>
      <c r="AW1225"/>
      <c r="AX1225"/>
      <c r="AY1225"/>
      <c r="BK1225" s="42">
        <v>1224</v>
      </c>
      <c r="BL1225" s="127">
        <v>4</v>
      </c>
      <c r="BM1225" s="127">
        <v>0.11332468572476186</v>
      </c>
      <c r="BN1225" s="127" t="e">
        <v>#N/A</v>
      </c>
      <c r="BO1225" s="127" t="e">
        <v>#N/A</v>
      </c>
      <c r="BP1225" s="151" t="e">
        <v>#N/A</v>
      </c>
      <c r="BQ1225">
        <v>0.11332468572476186</v>
      </c>
      <c r="BR1225" t="str">
        <v/>
      </c>
    </row>
    <row r="1226" spans="47:70" x14ac:dyDescent="0.2">
      <c r="AU1226"/>
      <c r="AV1226"/>
      <c r="AW1226"/>
      <c r="AX1226"/>
      <c r="AY1226"/>
      <c r="BK1226" s="42">
        <v>1225</v>
      </c>
      <c r="BL1226" s="127">
        <v>4</v>
      </c>
      <c r="BM1226" s="127">
        <v>0.11332468572476186</v>
      </c>
      <c r="BN1226" s="127" t="e">
        <v>#N/A</v>
      </c>
      <c r="BO1226" s="127" t="e">
        <v>#N/A</v>
      </c>
      <c r="BP1226" s="151" t="e">
        <v>#N/A</v>
      </c>
      <c r="BQ1226">
        <v>0.11332468572476186</v>
      </c>
      <c r="BR1226" t="str">
        <v/>
      </c>
    </row>
    <row r="1227" spans="47:70" x14ac:dyDescent="0.2">
      <c r="AU1227"/>
      <c r="AV1227"/>
      <c r="AW1227"/>
      <c r="AX1227"/>
      <c r="AY1227"/>
      <c r="BK1227" s="42">
        <v>1226</v>
      </c>
      <c r="BL1227" s="127">
        <v>4</v>
      </c>
      <c r="BM1227" s="127">
        <v>0.11332468572476186</v>
      </c>
      <c r="BN1227" s="127" t="e">
        <v>#N/A</v>
      </c>
      <c r="BO1227" s="127" t="e">
        <v>#N/A</v>
      </c>
      <c r="BP1227" s="151" t="e">
        <v>#N/A</v>
      </c>
      <c r="BQ1227">
        <v>0.11332468572476186</v>
      </c>
      <c r="BR1227" t="str">
        <v/>
      </c>
    </row>
    <row r="1228" spans="47:70" x14ac:dyDescent="0.2">
      <c r="AU1228"/>
      <c r="AV1228"/>
      <c r="AW1228"/>
      <c r="AX1228"/>
      <c r="AY1228"/>
      <c r="BK1228" s="42">
        <v>1227</v>
      </c>
      <c r="BL1228" s="127">
        <v>4</v>
      </c>
      <c r="BM1228" s="127">
        <v>0.11332468572476186</v>
      </c>
      <c r="BN1228" s="127" t="e">
        <v>#N/A</v>
      </c>
      <c r="BO1228" s="127" t="e">
        <v>#N/A</v>
      </c>
      <c r="BP1228" s="151" t="e">
        <v>#N/A</v>
      </c>
      <c r="BQ1228">
        <v>0.11332468572476186</v>
      </c>
      <c r="BR1228" t="str">
        <v/>
      </c>
    </row>
    <row r="1229" spans="47:70" x14ac:dyDescent="0.2">
      <c r="AU1229"/>
      <c r="AV1229"/>
      <c r="AW1229"/>
      <c r="AX1229"/>
      <c r="AY1229"/>
      <c r="BK1229" s="42">
        <v>1228</v>
      </c>
      <c r="BL1229" s="127">
        <v>4</v>
      </c>
      <c r="BM1229" s="127">
        <v>0.11332468572476186</v>
      </c>
      <c r="BN1229" s="127" t="e">
        <v>#N/A</v>
      </c>
      <c r="BO1229" s="127" t="e">
        <v>#N/A</v>
      </c>
      <c r="BP1229" s="151" t="e">
        <v>#N/A</v>
      </c>
      <c r="BQ1229">
        <v>0.11332468572476186</v>
      </c>
      <c r="BR1229" t="str">
        <v/>
      </c>
    </row>
    <row r="1230" spans="47:70" x14ac:dyDescent="0.2">
      <c r="AU1230"/>
      <c r="AV1230"/>
      <c r="AW1230"/>
      <c r="AX1230"/>
      <c r="AY1230"/>
      <c r="BK1230" s="42">
        <v>1229</v>
      </c>
      <c r="BL1230" s="127">
        <v>4</v>
      </c>
      <c r="BM1230" s="127">
        <v>0.11332468572476186</v>
      </c>
      <c r="BN1230" s="127" t="e">
        <v>#N/A</v>
      </c>
      <c r="BO1230" s="127" t="e">
        <v>#N/A</v>
      </c>
      <c r="BP1230" s="151" t="e">
        <v>#N/A</v>
      </c>
      <c r="BQ1230">
        <v>0.11332468572476186</v>
      </c>
      <c r="BR1230" t="str">
        <v/>
      </c>
    </row>
    <row r="1231" spans="47:70" x14ac:dyDescent="0.2">
      <c r="AU1231"/>
      <c r="AV1231"/>
      <c r="AW1231"/>
      <c r="AX1231"/>
      <c r="AY1231"/>
      <c r="BK1231" s="42">
        <v>1230</v>
      </c>
      <c r="BL1231" s="127">
        <v>4</v>
      </c>
      <c r="BM1231" s="127">
        <v>0.11332468572476186</v>
      </c>
      <c r="BN1231" s="127" t="e">
        <v>#N/A</v>
      </c>
      <c r="BO1231" s="127" t="e">
        <v>#N/A</v>
      </c>
      <c r="BP1231" s="151" t="e">
        <v>#N/A</v>
      </c>
      <c r="BQ1231">
        <v>0.11332468572476186</v>
      </c>
      <c r="BR1231" t="str">
        <v/>
      </c>
    </row>
    <row r="1232" spans="47:70" x14ac:dyDescent="0.2">
      <c r="AU1232"/>
      <c r="AV1232"/>
      <c r="AW1232"/>
      <c r="AX1232"/>
      <c r="AY1232"/>
      <c r="BK1232" s="42">
        <v>1231</v>
      </c>
      <c r="BL1232" s="127">
        <v>4</v>
      </c>
      <c r="BM1232" s="127">
        <v>0.11332468572476186</v>
      </c>
      <c r="BN1232" s="127" t="e">
        <v>#N/A</v>
      </c>
      <c r="BO1232" s="127" t="e">
        <v>#N/A</v>
      </c>
      <c r="BP1232" s="151" t="e">
        <v>#N/A</v>
      </c>
      <c r="BQ1232">
        <v>0.11332468572476186</v>
      </c>
      <c r="BR1232" t="str">
        <v/>
      </c>
    </row>
    <row r="1233" spans="47:70" x14ac:dyDescent="0.2">
      <c r="AU1233"/>
      <c r="AV1233"/>
      <c r="AW1233"/>
      <c r="AX1233"/>
      <c r="AY1233"/>
      <c r="BK1233" s="42">
        <v>1232</v>
      </c>
      <c r="BL1233" s="127">
        <v>4</v>
      </c>
      <c r="BM1233" s="127">
        <v>0.11332468572476186</v>
      </c>
      <c r="BN1233" s="127" t="e">
        <v>#N/A</v>
      </c>
      <c r="BO1233" s="127" t="e">
        <v>#N/A</v>
      </c>
      <c r="BP1233" s="151" t="e">
        <v>#N/A</v>
      </c>
      <c r="BQ1233">
        <v>0.11332468572476186</v>
      </c>
      <c r="BR1233" t="str">
        <v/>
      </c>
    </row>
    <row r="1234" spans="47:70" x14ac:dyDescent="0.2">
      <c r="AU1234"/>
      <c r="AV1234"/>
      <c r="AW1234"/>
      <c r="AX1234"/>
      <c r="AY1234"/>
      <c r="BK1234" s="42">
        <v>1233</v>
      </c>
      <c r="BL1234" s="127">
        <v>4</v>
      </c>
      <c r="BM1234" s="127">
        <v>0.11332468572476186</v>
      </c>
      <c r="BN1234" s="127" t="e">
        <v>#N/A</v>
      </c>
      <c r="BO1234" s="127" t="e">
        <v>#N/A</v>
      </c>
      <c r="BP1234" s="151" t="e">
        <v>#N/A</v>
      </c>
      <c r="BQ1234">
        <v>0.11332468572476186</v>
      </c>
      <c r="BR1234" t="str">
        <v/>
      </c>
    </row>
    <row r="1235" spans="47:70" x14ac:dyDescent="0.2">
      <c r="AU1235"/>
      <c r="AV1235"/>
      <c r="AW1235"/>
      <c r="AX1235"/>
      <c r="AY1235"/>
      <c r="BK1235" s="42">
        <v>1234</v>
      </c>
      <c r="BL1235" s="127">
        <v>4</v>
      </c>
      <c r="BM1235" s="127">
        <v>0.11332468572476186</v>
      </c>
      <c r="BN1235" s="127" t="e">
        <v>#N/A</v>
      </c>
      <c r="BO1235" s="127" t="e">
        <v>#N/A</v>
      </c>
      <c r="BP1235" s="151" t="e">
        <v>#N/A</v>
      </c>
      <c r="BQ1235">
        <v>0.11332468572476186</v>
      </c>
      <c r="BR1235" t="str">
        <v/>
      </c>
    </row>
    <row r="1236" spans="47:70" x14ac:dyDescent="0.2">
      <c r="AU1236"/>
      <c r="AV1236"/>
      <c r="AW1236"/>
      <c r="AX1236"/>
      <c r="AY1236"/>
      <c r="BK1236" s="42">
        <v>1235</v>
      </c>
      <c r="BL1236" s="127">
        <v>4</v>
      </c>
      <c r="BM1236" s="127">
        <v>0.11332468572476186</v>
      </c>
      <c r="BN1236" s="127" t="e">
        <v>#N/A</v>
      </c>
      <c r="BO1236" s="127" t="e">
        <v>#N/A</v>
      </c>
      <c r="BP1236" s="151" t="e">
        <v>#N/A</v>
      </c>
      <c r="BQ1236">
        <v>0.11332468572476186</v>
      </c>
      <c r="BR1236" t="str">
        <v/>
      </c>
    </row>
    <row r="1237" spans="47:70" x14ac:dyDescent="0.2">
      <c r="AU1237"/>
      <c r="AV1237"/>
      <c r="AW1237"/>
      <c r="AX1237"/>
      <c r="AY1237"/>
      <c r="BK1237" s="42">
        <v>1236</v>
      </c>
      <c r="BL1237" s="127">
        <v>4</v>
      </c>
      <c r="BM1237" s="127">
        <v>0.11332468572476186</v>
      </c>
      <c r="BN1237" s="127" t="e">
        <v>#N/A</v>
      </c>
      <c r="BO1237" s="127" t="e">
        <v>#N/A</v>
      </c>
      <c r="BP1237" s="151" t="e">
        <v>#N/A</v>
      </c>
      <c r="BQ1237">
        <v>0.11332468572476186</v>
      </c>
      <c r="BR1237" t="str">
        <v/>
      </c>
    </row>
    <row r="1238" spans="47:70" x14ac:dyDescent="0.2">
      <c r="AU1238"/>
      <c r="AV1238"/>
      <c r="AW1238"/>
      <c r="AX1238"/>
      <c r="AY1238"/>
      <c r="BK1238" s="42">
        <v>1237</v>
      </c>
      <c r="BL1238" s="127">
        <v>4</v>
      </c>
      <c r="BM1238" s="127">
        <v>0.11332468572476186</v>
      </c>
      <c r="BN1238" s="127" t="e">
        <v>#N/A</v>
      </c>
      <c r="BO1238" s="127" t="e">
        <v>#N/A</v>
      </c>
      <c r="BP1238" s="151" t="e">
        <v>#N/A</v>
      </c>
      <c r="BQ1238">
        <v>0.11332468572476186</v>
      </c>
      <c r="BR1238" t="str">
        <v/>
      </c>
    </row>
    <row r="1239" spans="47:70" x14ac:dyDescent="0.2">
      <c r="AU1239"/>
      <c r="AV1239"/>
      <c r="AW1239"/>
      <c r="AX1239"/>
      <c r="AY1239"/>
      <c r="BK1239" s="42">
        <v>1238</v>
      </c>
      <c r="BL1239" s="127">
        <v>4</v>
      </c>
      <c r="BM1239" s="127">
        <v>0.11332468572476186</v>
      </c>
      <c r="BN1239" s="127" t="e">
        <v>#N/A</v>
      </c>
      <c r="BO1239" s="127" t="e">
        <v>#N/A</v>
      </c>
      <c r="BP1239" s="151" t="e">
        <v>#N/A</v>
      </c>
      <c r="BQ1239">
        <v>0.11332468572476186</v>
      </c>
      <c r="BR1239" t="str">
        <v/>
      </c>
    </row>
    <row r="1240" spans="47:70" x14ac:dyDescent="0.2">
      <c r="AU1240"/>
      <c r="AV1240"/>
      <c r="AW1240"/>
      <c r="AX1240"/>
      <c r="AY1240"/>
      <c r="BK1240" s="42">
        <v>1239</v>
      </c>
      <c r="BL1240" s="127">
        <v>4</v>
      </c>
      <c r="BM1240" s="127">
        <v>0.11332468572476186</v>
      </c>
      <c r="BN1240" s="127" t="e">
        <v>#N/A</v>
      </c>
      <c r="BO1240" s="127" t="e">
        <v>#N/A</v>
      </c>
      <c r="BP1240" s="151" t="e">
        <v>#N/A</v>
      </c>
      <c r="BQ1240">
        <v>0.11332468572476186</v>
      </c>
      <c r="BR1240" t="str">
        <v/>
      </c>
    </row>
    <row r="1241" spans="47:70" x14ac:dyDescent="0.2">
      <c r="AU1241"/>
      <c r="AV1241"/>
      <c r="AW1241"/>
      <c r="AX1241"/>
      <c r="AY1241"/>
      <c r="BK1241" s="42">
        <v>1240</v>
      </c>
      <c r="BL1241" s="127">
        <v>4</v>
      </c>
      <c r="BM1241" s="127">
        <v>0.11332468572476186</v>
      </c>
      <c r="BN1241" s="127" t="e">
        <v>#N/A</v>
      </c>
      <c r="BO1241" s="127" t="e">
        <v>#N/A</v>
      </c>
      <c r="BP1241" s="151" t="e">
        <v>#N/A</v>
      </c>
      <c r="BQ1241">
        <v>0.11332468572476186</v>
      </c>
      <c r="BR1241" t="str">
        <v/>
      </c>
    </row>
    <row r="1242" spans="47:70" x14ac:dyDescent="0.2">
      <c r="AU1242"/>
      <c r="AV1242"/>
      <c r="AW1242"/>
      <c r="AX1242"/>
      <c r="AY1242"/>
      <c r="BK1242" s="42">
        <v>1241</v>
      </c>
      <c r="BL1242" s="127">
        <v>4</v>
      </c>
      <c r="BM1242" s="127">
        <v>0.11332468572476186</v>
      </c>
      <c r="BN1242" s="127" t="e">
        <v>#N/A</v>
      </c>
      <c r="BO1242" s="127" t="e">
        <v>#N/A</v>
      </c>
      <c r="BP1242" s="151" t="e">
        <v>#N/A</v>
      </c>
      <c r="BQ1242">
        <v>0.11332468572476186</v>
      </c>
      <c r="BR1242" t="str">
        <v/>
      </c>
    </row>
    <row r="1243" spans="47:70" x14ac:dyDescent="0.2">
      <c r="AU1243"/>
      <c r="AV1243"/>
      <c r="AW1243"/>
      <c r="AX1243"/>
      <c r="AY1243"/>
      <c r="BK1243" s="42">
        <v>1242</v>
      </c>
      <c r="BL1243" s="127">
        <v>4</v>
      </c>
      <c r="BM1243" s="127">
        <v>0.11332468572476186</v>
      </c>
      <c r="BN1243" s="127" t="e">
        <v>#N/A</v>
      </c>
      <c r="BO1243" s="127" t="e">
        <v>#N/A</v>
      </c>
      <c r="BP1243" s="151" t="e">
        <v>#N/A</v>
      </c>
      <c r="BQ1243">
        <v>0.11332468572476186</v>
      </c>
      <c r="BR1243" t="str">
        <v/>
      </c>
    </row>
    <row r="1244" spans="47:70" x14ac:dyDescent="0.2">
      <c r="AU1244"/>
      <c r="AV1244"/>
      <c r="AW1244"/>
      <c r="AX1244"/>
      <c r="AY1244"/>
      <c r="BK1244" s="42">
        <v>1243</v>
      </c>
      <c r="BL1244" s="127">
        <v>4</v>
      </c>
      <c r="BM1244" s="127">
        <v>0.11332468572476186</v>
      </c>
      <c r="BN1244" s="127" t="e">
        <v>#N/A</v>
      </c>
      <c r="BO1244" s="127" t="e">
        <v>#N/A</v>
      </c>
      <c r="BP1244" s="151" t="e">
        <v>#N/A</v>
      </c>
      <c r="BQ1244">
        <v>0.11332468572476186</v>
      </c>
      <c r="BR1244" t="str">
        <v/>
      </c>
    </row>
    <row r="1245" spans="47:70" x14ac:dyDescent="0.2">
      <c r="AU1245"/>
      <c r="AV1245"/>
      <c r="AW1245"/>
      <c r="AX1245"/>
      <c r="AY1245"/>
      <c r="BK1245" s="42">
        <v>1244</v>
      </c>
      <c r="BL1245" s="127">
        <v>4</v>
      </c>
      <c r="BM1245" s="127">
        <v>0.11332468572476186</v>
      </c>
      <c r="BN1245" s="127" t="e">
        <v>#N/A</v>
      </c>
      <c r="BO1245" s="127" t="e">
        <v>#N/A</v>
      </c>
      <c r="BP1245" s="151" t="e">
        <v>#N/A</v>
      </c>
      <c r="BQ1245">
        <v>0.11332468572476186</v>
      </c>
      <c r="BR1245" t="str">
        <v/>
      </c>
    </row>
    <row r="1246" spans="47:70" x14ac:dyDescent="0.2">
      <c r="AU1246"/>
      <c r="AV1246"/>
      <c r="AW1246"/>
      <c r="AX1246"/>
      <c r="AY1246"/>
      <c r="BK1246" s="42">
        <v>1245</v>
      </c>
      <c r="BL1246" s="127">
        <v>4</v>
      </c>
      <c r="BM1246" s="127">
        <v>0.11332468572476186</v>
      </c>
      <c r="BN1246" s="127" t="e">
        <v>#N/A</v>
      </c>
      <c r="BO1246" s="127" t="e">
        <v>#N/A</v>
      </c>
      <c r="BP1246" s="151" t="e">
        <v>#N/A</v>
      </c>
      <c r="BQ1246">
        <v>0.11332468572476186</v>
      </c>
      <c r="BR1246" t="str">
        <v/>
      </c>
    </row>
    <row r="1247" spans="47:70" x14ac:dyDescent="0.2">
      <c r="AU1247"/>
      <c r="AV1247"/>
      <c r="AW1247"/>
      <c r="AX1247"/>
      <c r="AY1247"/>
      <c r="BK1247" s="42">
        <v>1246</v>
      </c>
      <c r="BL1247" s="127">
        <v>4</v>
      </c>
      <c r="BM1247" s="127">
        <v>0.11332468572476186</v>
      </c>
      <c r="BN1247" s="127" t="e">
        <v>#N/A</v>
      </c>
      <c r="BO1247" s="127" t="e">
        <v>#N/A</v>
      </c>
      <c r="BP1247" s="151" t="e">
        <v>#N/A</v>
      </c>
      <c r="BQ1247">
        <v>0.11332468572476186</v>
      </c>
      <c r="BR1247" t="str">
        <v/>
      </c>
    </row>
    <row r="1248" spans="47:70" x14ac:dyDescent="0.2">
      <c r="AU1248"/>
      <c r="AV1248"/>
      <c r="AW1248"/>
      <c r="AX1248"/>
      <c r="AY1248"/>
      <c r="BK1248" s="42">
        <v>1247</v>
      </c>
      <c r="BL1248" s="127">
        <v>4</v>
      </c>
      <c r="BM1248" s="127">
        <v>0.11332468572476186</v>
      </c>
      <c r="BN1248" s="127" t="e">
        <v>#N/A</v>
      </c>
      <c r="BO1248" s="127" t="e">
        <v>#N/A</v>
      </c>
      <c r="BP1248" s="151" t="e">
        <v>#N/A</v>
      </c>
      <c r="BQ1248">
        <v>0.11332468572476186</v>
      </c>
      <c r="BR1248" t="str">
        <v/>
      </c>
    </row>
    <row r="1249" spans="47:70" x14ac:dyDescent="0.2">
      <c r="AU1249"/>
      <c r="AV1249"/>
      <c r="AW1249"/>
      <c r="AX1249"/>
      <c r="AY1249"/>
      <c r="BK1249" s="42">
        <v>1248</v>
      </c>
      <c r="BL1249" s="127">
        <v>4</v>
      </c>
      <c r="BM1249" s="127">
        <v>0.11332468572476186</v>
      </c>
      <c r="BN1249" s="127" t="e">
        <v>#N/A</v>
      </c>
      <c r="BO1249" s="127" t="e">
        <v>#N/A</v>
      </c>
      <c r="BP1249" s="151" t="e">
        <v>#N/A</v>
      </c>
      <c r="BQ1249">
        <v>0.11332468572476186</v>
      </c>
      <c r="BR1249" t="str">
        <v/>
      </c>
    </row>
    <row r="1250" spans="47:70" x14ac:dyDescent="0.2">
      <c r="AU1250"/>
      <c r="AV1250"/>
      <c r="AW1250"/>
      <c r="AX1250"/>
      <c r="AY1250"/>
      <c r="BK1250" s="42">
        <v>1249</v>
      </c>
      <c r="BL1250" s="127">
        <v>4</v>
      </c>
      <c r="BM1250" s="127">
        <v>0.11332468572476186</v>
      </c>
      <c r="BN1250" s="127" t="e">
        <v>#N/A</v>
      </c>
      <c r="BO1250" s="127" t="e">
        <v>#N/A</v>
      </c>
      <c r="BP1250" s="151" t="e">
        <v>#N/A</v>
      </c>
      <c r="BQ1250">
        <v>0.11332468572476186</v>
      </c>
      <c r="BR1250" t="str">
        <v/>
      </c>
    </row>
    <row r="1251" spans="47:70" x14ac:dyDescent="0.2">
      <c r="AU1251"/>
      <c r="AV1251"/>
      <c r="AW1251"/>
      <c r="AX1251"/>
      <c r="AY1251"/>
      <c r="BK1251" s="42">
        <v>1250</v>
      </c>
      <c r="BL1251" s="127">
        <v>4</v>
      </c>
      <c r="BM1251" s="127">
        <v>0.11332468572476186</v>
      </c>
      <c r="BN1251" s="127" t="e">
        <v>#N/A</v>
      </c>
      <c r="BO1251" s="127" t="e">
        <v>#N/A</v>
      </c>
      <c r="BP1251" s="151" t="e">
        <v>#N/A</v>
      </c>
      <c r="BQ1251">
        <v>0.11332468572476186</v>
      </c>
      <c r="BR1251" t="str">
        <v/>
      </c>
    </row>
    <row r="1252" spans="47:70" x14ac:dyDescent="0.2">
      <c r="AU1252"/>
      <c r="AV1252"/>
      <c r="AW1252"/>
      <c r="AX1252"/>
      <c r="AY1252"/>
      <c r="BK1252" s="42">
        <v>1251</v>
      </c>
      <c r="BL1252" s="127">
        <v>4</v>
      </c>
      <c r="BM1252" s="127">
        <v>0.11332468572476186</v>
      </c>
      <c r="BN1252" s="127" t="e">
        <v>#N/A</v>
      </c>
      <c r="BO1252" s="127" t="e">
        <v>#N/A</v>
      </c>
      <c r="BP1252" s="151" t="e">
        <v>#N/A</v>
      </c>
      <c r="BQ1252">
        <v>0.11332468572476186</v>
      </c>
      <c r="BR1252" t="str">
        <v/>
      </c>
    </row>
    <row r="1253" spans="47:70" x14ac:dyDescent="0.2">
      <c r="AU1253"/>
      <c r="AV1253"/>
      <c r="AW1253"/>
      <c r="AX1253"/>
      <c r="AY1253"/>
      <c r="BK1253" s="42">
        <v>1252</v>
      </c>
      <c r="BL1253" s="127">
        <v>4</v>
      </c>
      <c r="BM1253" s="127">
        <v>0.11332468572476186</v>
      </c>
      <c r="BN1253" s="127" t="e">
        <v>#N/A</v>
      </c>
      <c r="BO1253" s="127" t="e">
        <v>#N/A</v>
      </c>
      <c r="BP1253" s="151" t="e">
        <v>#N/A</v>
      </c>
      <c r="BQ1253">
        <v>0.11332468572476186</v>
      </c>
      <c r="BR1253" t="str">
        <v/>
      </c>
    </row>
    <row r="1254" spans="47:70" x14ac:dyDescent="0.2">
      <c r="AU1254"/>
      <c r="AV1254"/>
      <c r="AW1254"/>
      <c r="AX1254"/>
      <c r="AY1254"/>
      <c r="BK1254" s="42">
        <v>1253</v>
      </c>
      <c r="BL1254" s="127">
        <v>4</v>
      </c>
      <c r="BM1254" s="127">
        <v>0.11332468572476186</v>
      </c>
      <c r="BN1254" s="127" t="e">
        <v>#N/A</v>
      </c>
      <c r="BO1254" s="127" t="e">
        <v>#N/A</v>
      </c>
      <c r="BP1254" s="151" t="e">
        <v>#N/A</v>
      </c>
      <c r="BQ1254">
        <v>0.11332468572476186</v>
      </c>
      <c r="BR1254" t="str">
        <v/>
      </c>
    </row>
    <row r="1255" spans="47:70" x14ac:dyDescent="0.2">
      <c r="AU1255"/>
      <c r="AV1255"/>
      <c r="AW1255"/>
      <c r="AX1255"/>
      <c r="AY1255"/>
      <c r="BK1255" s="42">
        <v>1254</v>
      </c>
      <c r="BL1255" s="127">
        <v>4</v>
      </c>
      <c r="BM1255" s="127">
        <v>0.11332468572476186</v>
      </c>
      <c r="BN1255" s="127" t="e">
        <v>#N/A</v>
      </c>
      <c r="BO1255" s="127" t="e">
        <v>#N/A</v>
      </c>
      <c r="BP1255" s="151" t="e">
        <v>#N/A</v>
      </c>
      <c r="BQ1255">
        <v>0.11332468572476186</v>
      </c>
      <c r="BR1255" t="str">
        <v/>
      </c>
    </row>
    <row r="1256" spans="47:70" x14ac:dyDescent="0.2">
      <c r="AU1256"/>
      <c r="AV1256"/>
      <c r="AW1256"/>
      <c r="AX1256"/>
      <c r="AY1256"/>
      <c r="BK1256" s="42">
        <v>1255</v>
      </c>
      <c r="BL1256" s="127">
        <v>4</v>
      </c>
      <c r="BM1256" s="127">
        <v>0.11332468572476186</v>
      </c>
      <c r="BN1256" s="127" t="e">
        <v>#N/A</v>
      </c>
      <c r="BO1256" s="127" t="e">
        <v>#N/A</v>
      </c>
      <c r="BP1256" s="151" t="e">
        <v>#N/A</v>
      </c>
      <c r="BQ1256">
        <v>0.11332468572476186</v>
      </c>
      <c r="BR1256" t="str">
        <v/>
      </c>
    </row>
    <row r="1257" spans="47:70" x14ac:dyDescent="0.2">
      <c r="AU1257"/>
      <c r="AV1257"/>
      <c r="AW1257"/>
      <c r="AX1257"/>
      <c r="AY1257"/>
      <c r="BK1257" s="42">
        <v>1256</v>
      </c>
      <c r="BL1257" s="127">
        <v>4</v>
      </c>
      <c r="BM1257" s="127">
        <v>0.11332468572476186</v>
      </c>
      <c r="BN1257" s="127" t="e">
        <v>#N/A</v>
      </c>
      <c r="BO1257" s="127" t="e">
        <v>#N/A</v>
      </c>
      <c r="BP1257" s="151" t="e">
        <v>#N/A</v>
      </c>
      <c r="BQ1257">
        <v>0.11332468572476186</v>
      </c>
      <c r="BR1257" t="str">
        <v/>
      </c>
    </row>
    <row r="1258" spans="47:70" x14ac:dyDescent="0.2">
      <c r="AU1258"/>
      <c r="AV1258"/>
      <c r="AW1258"/>
      <c r="AX1258"/>
      <c r="AY1258"/>
      <c r="BK1258" s="42">
        <v>1257</v>
      </c>
      <c r="BL1258" s="127">
        <v>4</v>
      </c>
      <c r="BM1258" s="127">
        <v>0.11332468572476186</v>
      </c>
      <c r="BN1258" s="127" t="e">
        <v>#N/A</v>
      </c>
      <c r="BO1258" s="127" t="e">
        <v>#N/A</v>
      </c>
      <c r="BP1258" s="151" t="e">
        <v>#N/A</v>
      </c>
      <c r="BQ1258">
        <v>0.11332468572476186</v>
      </c>
      <c r="BR1258" t="str">
        <v/>
      </c>
    </row>
    <row r="1259" spans="47:70" x14ac:dyDescent="0.2">
      <c r="AU1259"/>
      <c r="AV1259"/>
      <c r="AW1259"/>
      <c r="AX1259"/>
      <c r="AY1259"/>
      <c r="BK1259" s="42">
        <v>1258</v>
      </c>
      <c r="BL1259" s="127">
        <v>4</v>
      </c>
      <c r="BM1259" s="127">
        <v>0.11332468572476186</v>
      </c>
      <c r="BN1259" s="127" t="e">
        <v>#N/A</v>
      </c>
      <c r="BO1259" s="127" t="e">
        <v>#N/A</v>
      </c>
      <c r="BP1259" s="151" t="e">
        <v>#N/A</v>
      </c>
      <c r="BQ1259">
        <v>0.11332468572476186</v>
      </c>
      <c r="BR1259" t="str">
        <v/>
      </c>
    </row>
    <row r="1260" spans="47:70" x14ac:dyDescent="0.2">
      <c r="AU1260"/>
      <c r="AV1260"/>
      <c r="AW1260"/>
      <c r="AX1260"/>
      <c r="AY1260"/>
      <c r="BK1260" s="42">
        <v>1259</v>
      </c>
      <c r="BL1260" s="127">
        <v>4</v>
      </c>
      <c r="BM1260" s="127">
        <v>0.11332468572476186</v>
      </c>
      <c r="BN1260" s="127" t="e">
        <v>#N/A</v>
      </c>
      <c r="BO1260" s="127" t="e">
        <v>#N/A</v>
      </c>
      <c r="BP1260" s="151" t="e">
        <v>#N/A</v>
      </c>
      <c r="BQ1260">
        <v>0.11332468572476186</v>
      </c>
      <c r="BR1260" t="str">
        <v/>
      </c>
    </row>
    <row r="1261" spans="47:70" x14ac:dyDescent="0.2">
      <c r="AU1261"/>
      <c r="AV1261"/>
      <c r="AW1261"/>
      <c r="AX1261"/>
      <c r="AY1261"/>
      <c r="BK1261" s="42">
        <v>1260</v>
      </c>
      <c r="BL1261" s="127">
        <v>4</v>
      </c>
      <c r="BM1261" s="127">
        <v>0.11332468572476186</v>
      </c>
      <c r="BN1261" s="127" t="e">
        <v>#N/A</v>
      </c>
      <c r="BO1261" s="127" t="e">
        <v>#N/A</v>
      </c>
      <c r="BP1261" s="151" t="e">
        <v>#N/A</v>
      </c>
      <c r="BQ1261">
        <v>0.11332468572476186</v>
      </c>
      <c r="BR1261" t="str">
        <v/>
      </c>
    </row>
    <row r="1262" spans="47:70" x14ac:dyDescent="0.2">
      <c r="AU1262"/>
      <c r="AV1262"/>
      <c r="AW1262"/>
      <c r="AX1262"/>
      <c r="AY1262"/>
      <c r="BK1262" s="42">
        <v>1261</v>
      </c>
      <c r="BL1262" s="127">
        <v>4</v>
      </c>
      <c r="BM1262" s="127">
        <v>0.11332468572476186</v>
      </c>
      <c r="BN1262" s="127" t="e">
        <v>#N/A</v>
      </c>
      <c r="BO1262" s="127" t="e">
        <v>#N/A</v>
      </c>
      <c r="BP1262" s="151" t="e">
        <v>#N/A</v>
      </c>
      <c r="BQ1262">
        <v>0.11332468572476186</v>
      </c>
      <c r="BR1262" t="str">
        <v/>
      </c>
    </row>
    <row r="1263" spans="47:70" x14ac:dyDescent="0.2">
      <c r="AU1263"/>
      <c r="AV1263"/>
      <c r="AW1263"/>
      <c r="AX1263"/>
      <c r="AY1263"/>
      <c r="BK1263" s="42">
        <v>1262</v>
      </c>
      <c r="BL1263" s="127">
        <v>4</v>
      </c>
      <c r="BM1263" s="127">
        <v>0.11332468572476186</v>
      </c>
      <c r="BN1263" s="127" t="e">
        <v>#N/A</v>
      </c>
      <c r="BO1263" s="127" t="e">
        <v>#N/A</v>
      </c>
      <c r="BP1263" s="151" t="e">
        <v>#N/A</v>
      </c>
      <c r="BQ1263">
        <v>0.11332468572476186</v>
      </c>
      <c r="BR1263" t="str">
        <v/>
      </c>
    </row>
    <row r="1264" spans="47:70" x14ac:dyDescent="0.2">
      <c r="AU1264"/>
      <c r="AV1264"/>
      <c r="AW1264"/>
      <c r="AX1264"/>
      <c r="AY1264"/>
      <c r="BK1264" s="42">
        <v>1263</v>
      </c>
      <c r="BL1264" s="127">
        <v>4</v>
      </c>
      <c r="BM1264" s="127">
        <v>0.11332468572476186</v>
      </c>
      <c r="BN1264" s="127" t="e">
        <v>#N/A</v>
      </c>
      <c r="BO1264" s="127" t="e">
        <v>#N/A</v>
      </c>
      <c r="BP1264" s="151" t="e">
        <v>#N/A</v>
      </c>
      <c r="BQ1264">
        <v>0.11332468572476186</v>
      </c>
      <c r="BR1264" t="str">
        <v/>
      </c>
    </row>
    <row r="1265" spans="47:70" x14ac:dyDescent="0.2">
      <c r="AU1265"/>
      <c r="AV1265"/>
      <c r="AW1265"/>
      <c r="AX1265"/>
      <c r="AY1265"/>
      <c r="BK1265" s="42">
        <v>1264</v>
      </c>
      <c r="BL1265" s="127">
        <v>4</v>
      </c>
      <c r="BM1265" s="127">
        <v>0.11332468572476186</v>
      </c>
      <c r="BN1265" s="127" t="e">
        <v>#N/A</v>
      </c>
      <c r="BO1265" s="127" t="e">
        <v>#N/A</v>
      </c>
      <c r="BP1265" s="151" t="e">
        <v>#N/A</v>
      </c>
      <c r="BQ1265">
        <v>0.11332468572476186</v>
      </c>
      <c r="BR1265" t="str">
        <v/>
      </c>
    </row>
    <row r="1266" spans="47:70" x14ac:dyDescent="0.2">
      <c r="AU1266"/>
      <c r="AV1266"/>
      <c r="AW1266"/>
      <c r="AX1266"/>
      <c r="AY1266"/>
      <c r="BK1266" s="42">
        <v>1265</v>
      </c>
      <c r="BL1266" s="127">
        <v>4</v>
      </c>
      <c r="BM1266" s="127">
        <v>0.11332468572476186</v>
      </c>
      <c r="BN1266" s="127" t="e">
        <v>#N/A</v>
      </c>
      <c r="BO1266" s="127" t="e">
        <v>#N/A</v>
      </c>
      <c r="BP1266" s="151" t="e">
        <v>#N/A</v>
      </c>
      <c r="BQ1266">
        <v>0.11332468572476186</v>
      </c>
      <c r="BR1266" t="str">
        <v/>
      </c>
    </row>
    <row r="1267" spans="47:70" x14ac:dyDescent="0.2">
      <c r="AU1267"/>
      <c r="AV1267"/>
      <c r="AW1267"/>
      <c r="AX1267"/>
      <c r="AY1267"/>
      <c r="BK1267" s="42">
        <v>1266</v>
      </c>
      <c r="BL1267" s="127">
        <v>4</v>
      </c>
      <c r="BM1267" s="127">
        <v>0.11332468572476186</v>
      </c>
      <c r="BN1267" s="127" t="e">
        <v>#N/A</v>
      </c>
      <c r="BO1267" s="127" t="e">
        <v>#N/A</v>
      </c>
      <c r="BP1267" s="151" t="e">
        <v>#N/A</v>
      </c>
      <c r="BQ1267">
        <v>0.11332468572476186</v>
      </c>
      <c r="BR1267" t="str">
        <v/>
      </c>
    </row>
    <row r="1268" spans="47:70" x14ac:dyDescent="0.2">
      <c r="AU1268"/>
      <c r="AV1268"/>
      <c r="AW1268"/>
      <c r="AX1268"/>
      <c r="AY1268"/>
      <c r="BK1268" s="42">
        <v>1267</v>
      </c>
      <c r="BL1268" s="127">
        <v>4</v>
      </c>
      <c r="BM1268" s="127">
        <v>0.11332468572476186</v>
      </c>
      <c r="BN1268" s="127" t="e">
        <v>#N/A</v>
      </c>
      <c r="BO1268" s="127" t="e">
        <v>#N/A</v>
      </c>
      <c r="BP1268" s="151" t="e">
        <v>#N/A</v>
      </c>
      <c r="BQ1268">
        <v>0.11332468572476186</v>
      </c>
      <c r="BR1268" t="str">
        <v/>
      </c>
    </row>
    <row r="1269" spans="47:70" x14ac:dyDescent="0.2">
      <c r="AU1269"/>
      <c r="AV1269"/>
      <c r="AW1269"/>
      <c r="AX1269"/>
      <c r="AY1269"/>
      <c r="BK1269" s="42">
        <v>1268</v>
      </c>
      <c r="BL1269" s="127">
        <v>4</v>
      </c>
      <c r="BM1269" s="127">
        <v>0.11332468572476186</v>
      </c>
      <c r="BN1269" s="127" t="e">
        <v>#N/A</v>
      </c>
      <c r="BO1269" s="127" t="e">
        <v>#N/A</v>
      </c>
      <c r="BP1269" s="151" t="e">
        <v>#N/A</v>
      </c>
      <c r="BQ1269">
        <v>0.11332468572476186</v>
      </c>
      <c r="BR1269" t="str">
        <v/>
      </c>
    </row>
    <row r="1270" spans="47:70" x14ac:dyDescent="0.2">
      <c r="AU1270"/>
      <c r="AV1270"/>
      <c r="AW1270"/>
      <c r="AX1270"/>
      <c r="AY1270"/>
      <c r="BK1270" s="42">
        <v>1269</v>
      </c>
      <c r="BL1270" s="127">
        <v>4</v>
      </c>
      <c r="BM1270" s="127">
        <v>0.11332468572476186</v>
      </c>
      <c r="BN1270" s="127" t="e">
        <v>#N/A</v>
      </c>
      <c r="BO1270" s="127" t="e">
        <v>#N/A</v>
      </c>
      <c r="BP1270" s="151" t="e">
        <v>#N/A</v>
      </c>
      <c r="BQ1270">
        <v>0.11332468572476186</v>
      </c>
      <c r="BR1270" t="str">
        <v/>
      </c>
    </row>
    <row r="1271" spans="47:70" x14ac:dyDescent="0.2">
      <c r="AU1271"/>
      <c r="AV1271"/>
      <c r="AW1271"/>
      <c r="AX1271"/>
      <c r="AY1271"/>
      <c r="BK1271" s="42">
        <v>1270</v>
      </c>
      <c r="BL1271" s="127">
        <v>4</v>
      </c>
      <c r="BM1271" s="127">
        <v>0.11332468572476186</v>
      </c>
      <c r="BN1271" s="127" t="e">
        <v>#N/A</v>
      </c>
      <c r="BO1271" s="127" t="e">
        <v>#N/A</v>
      </c>
      <c r="BP1271" s="151" t="e">
        <v>#N/A</v>
      </c>
      <c r="BQ1271">
        <v>0.11332468572476186</v>
      </c>
      <c r="BR1271" t="str">
        <v/>
      </c>
    </row>
    <row r="1272" spans="47:70" x14ac:dyDescent="0.2">
      <c r="AU1272"/>
      <c r="AV1272"/>
      <c r="AW1272"/>
      <c r="AX1272"/>
      <c r="AY1272"/>
      <c r="BK1272" s="42">
        <v>1271</v>
      </c>
      <c r="BL1272" s="127">
        <v>4</v>
      </c>
      <c r="BM1272" s="127">
        <v>0.11332468572476186</v>
      </c>
      <c r="BN1272" s="127" t="e">
        <v>#N/A</v>
      </c>
      <c r="BO1272" s="127" t="e">
        <v>#N/A</v>
      </c>
      <c r="BP1272" s="151" t="e">
        <v>#N/A</v>
      </c>
      <c r="BQ1272">
        <v>0.11332468572476186</v>
      </c>
      <c r="BR1272" t="str">
        <v/>
      </c>
    </row>
    <row r="1273" spans="47:70" x14ac:dyDescent="0.2">
      <c r="AU1273"/>
      <c r="AV1273"/>
      <c r="AW1273"/>
      <c r="AX1273"/>
      <c r="AY1273"/>
      <c r="BK1273" s="42">
        <v>1272</v>
      </c>
      <c r="BL1273" s="127">
        <v>4</v>
      </c>
      <c r="BM1273" s="127">
        <v>0.11332468572476186</v>
      </c>
      <c r="BN1273" s="127" t="e">
        <v>#N/A</v>
      </c>
      <c r="BO1273" s="127" t="e">
        <v>#N/A</v>
      </c>
      <c r="BP1273" s="151" t="e">
        <v>#N/A</v>
      </c>
      <c r="BQ1273">
        <v>0.11332468572476186</v>
      </c>
      <c r="BR1273" t="str">
        <v/>
      </c>
    </row>
    <row r="1274" spans="47:70" x14ac:dyDescent="0.2">
      <c r="AU1274"/>
      <c r="AV1274"/>
      <c r="AW1274"/>
      <c r="AX1274"/>
      <c r="AY1274"/>
      <c r="BK1274" s="42">
        <v>1273</v>
      </c>
      <c r="BL1274" s="127">
        <v>4</v>
      </c>
      <c r="BM1274" s="127">
        <v>0.11332468572476186</v>
      </c>
      <c r="BN1274" s="127" t="e">
        <v>#N/A</v>
      </c>
      <c r="BO1274" s="127" t="e">
        <v>#N/A</v>
      </c>
      <c r="BP1274" s="151" t="e">
        <v>#N/A</v>
      </c>
      <c r="BQ1274">
        <v>0.11332468572476186</v>
      </c>
      <c r="BR1274" t="str">
        <v/>
      </c>
    </row>
    <row r="1275" spans="47:70" x14ac:dyDescent="0.2">
      <c r="AU1275"/>
      <c r="AV1275"/>
      <c r="AW1275"/>
      <c r="AX1275"/>
      <c r="AY1275"/>
      <c r="BK1275" s="42">
        <v>1274</v>
      </c>
      <c r="BL1275" s="127">
        <v>4</v>
      </c>
      <c r="BM1275" s="127">
        <v>0.11332468572476186</v>
      </c>
      <c r="BN1275" s="127" t="e">
        <v>#N/A</v>
      </c>
      <c r="BO1275" s="127" t="e">
        <v>#N/A</v>
      </c>
      <c r="BP1275" s="151" t="e">
        <v>#N/A</v>
      </c>
      <c r="BQ1275">
        <v>0.11332468572476186</v>
      </c>
      <c r="BR1275" t="str">
        <v/>
      </c>
    </row>
    <row r="1276" spans="47:70" x14ac:dyDescent="0.2">
      <c r="AU1276"/>
      <c r="AV1276"/>
      <c r="AW1276"/>
      <c r="AX1276"/>
      <c r="AY1276"/>
      <c r="BK1276" s="42">
        <v>1275</v>
      </c>
      <c r="BL1276" s="127">
        <v>4</v>
      </c>
      <c r="BM1276" s="127">
        <v>0.11332468572476186</v>
      </c>
      <c r="BN1276" s="127" t="e">
        <v>#N/A</v>
      </c>
      <c r="BO1276" s="127" t="e">
        <v>#N/A</v>
      </c>
      <c r="BP1276" s="151" t="e">
        <v>#N/A</v>
      </c>
      <c r="BQ1276">
        <v>0.11332468572476186</v>
      </c>
      <c r="BR1276" t="str">
        <v/>
      </c>
    </row>
    <row r="1277" spans="47:70" x14ac:dyDescent="0.2">
      <c r="AU1277"/>
      <c r="AV1277"/>
      <c r="AW1277"/>
      <c r="AX1277"/>
      <c r="AY1277"/>
      <c r="BK1277" s="42">
        <v>1276</v>
      </c>
      <c r="BL1277" s="127">
        <v>4</v>
      </c>
      <c r="BM1277" s="127">
        <v>0.11332468572476186</v>
      </c>
      <c r="BN1277" s="127" t="e">
        <v>#N/A</v>
      </c>
      <c r="BO1277" s="127" t="e">
        <v>#N/A</v>
      </c>
      <c r="BP1277" s="151" t="e">
        <v>#N/A</v>
      </c>
      <c r="BQ1277">
        <v>0.11332468572476186</v>
      </c>
      <c r="BR1277" t="str">
        <v/>
      </c>
    </row>
    <row r="1278" spans="47:70" x14ac:dyDescent="0.2">
      <c r="AU1278"/>
      <c r="AV1278"/>
      <c r="AW1278"/>
      <c r="AX1278"/>
      <c r="AY1278"/>
      <c r="BK1278" s="42">
        <v>1277</v>
      </c>
      <c r="BL1278" s="127">
        <v>4</v>
      </c>
      <c r="BM1278" s="127">
        <v>0.11332468572476186</v>
      </c>
      <c r="BN1278" s="127" t="e">
        <v>#N/A</v>
      </c>
      <c r="BO1278" s="127" t="e">
        <v>#N/A</v>
      </c>
      <c r="BP1278" s="151" t="e">
        <v>#N/A</v>
      </c>
      <c r="BQ1278">
        <v>0.11332468572476186</v>
      </c>
      <c r="BR1278" t="str">
        <v/>
      </c>
    </row>
    <row r="1279" spans="47:70" x14ac:dyDescent="0.2">
      <c r="AU1279"/>
      <c r="AV1279"/>
      <c r="AW1279"/>
      <c r="AX1279"/>
      <c r="AY1279"/>
      <c r="BK1279" s="42">
        <v>1278</v>
      </c>
      <c r="BL1279" s="127">
        <v>4</v>
      </c>
      <c r="BM1279" s="127">
        <v>0.11332468572476186</v>
      </c>
      <c r="BN1279" s="127" t="e">
        <v>#N/A</v>
      </c>
      <c r="BO1279" s="127" t="e">
        <v>#N/A</v>
      </c>
      <c r="BP1279" s="151" t="e">
        <v>#N/A</v>
      </c>
      <c r="BQ1279">
        <v>0.11332468572476186</v>
      </c>
      <c r="BR1279" t="str">
        <v/>
      </c>
    </row>
    <row r="1280" spans="47:70" x14ac:dyDescent="0.2">
      <c r="AU1280"/>
      <c r="AV1280"/>
      <c r="AW1280"/>
      <c r="AX1280"/>
      <c r="AY1280"/>
      <c r="BK1280" s="42">
        <v>1279</v>
      </c>
      <c r="BL1280" s="127">
        <v>4</v>
      </c>
      <c r="BM1280" s="127">
        <v>0.11332468572476186</v>
      </c>
      <c r="BN1280" s="127" t="e">
        <v>#N/A</v>
      </c>
      <c r="BO1280" s="127" t="e">
        <v>#N/A</v>
      </c>
      <c r="BP1280" s="151" t="e">
        <v>#N/A</v>
      </c>
      <c r="BQ1280">
        <v>0.11332468572476186</v>
      </c>
      <c r="BR1280" t="str">
        <v/>
      </c>
    </row>
    <row r="1281" spans="47:70" x14ac:dyDescent="0.2">
      <c r="AU1281"/>
      <c r="AV1281"/>
      <c r="AW1281"/>
      <c r="AX1281"/>
      <c r="AY1281"/>
      <c r="BK1281" s="42">
        <v>1280</v>
      </c>
      <c r="BL1281" s="127">
        <v>4</v>
      </c>
      <c r="BM1281" s="127">
        <v>0.11332468572476186</v>
      </c>
      <c r="BN1281" s="127" t="e">
        <v>#N/A</v>
      </c>
      <c r="BO1281" s="127" t="e">
        <v>#N/A</v>
      </c>
      <c r="BP1281" s="151" t="e">
        <v>#N/A</v>
      </c>
      <c r="BQ1281">
        <v>0.11332468572476186</v>
      </c>
      <c r="BR1281" t="str">
        <v/>
      </c>
    </row>
    <row r="1282" spans="47:70" x14ac:dyDescent="0.2">
      <c r="AU1282"/>
      <c r="AV1282"/>
      <c r="AW1282"/>
      <c r="AX1282"/>
      <c r="AY1282"/>
      <c r="BK1282" s="42">
        <v>1281</v>
      </c>
      <c r="BL1282" s="127">
        <v>4</v>
      </c>
      <c r="BM1282" s="127">
        <v>0.11332468572476186</v>
      </c>
      <c r="BN1282" s="127" t="e">
        <v>#N/A</v>
      </c>
      <c r="BO1282" s="127" t="e">
        <v>#N/A</v>
      </c>
      <c r="BP1282" s="151" t="e">
        <v>#N/A</v>
      </c>
      <c r="BQ1282">
        <v>0.11332468572476186</v>
      </c>
      <c r="BR1282" t="str">
        <v/>
      </c>
    </row>
    <row r="1283" spans="47:70" x14ac:dyDescent="0.2">
      <c r="AU1283"/>
      <c r="AV1283"/>
      <c r="AW1283"/>
      <c r="AX1283"/>
      <c r="AY1283"/>
      <c r="BK1283" s="42">
        <v>1282</v>
      </c>
      <c r="BL1283" s="127">
        <v>4</v>
      </c>
      <c r="BM1283" s="127">
        <v>0.11332468572476186</v>
      </c>
      <c r="BN1283" s="127" t="e">
        <v>#N/A</v>
      </c>
      <c r="BO1283" s="127" t="e">
        <v>#N/A</v>
      </c>
      <c r="BP1283" s="151" t="e">
        <v>#N/A</v>
      </c>
      <c r="BQ1283">
        <v>0.11332468572476186</v>
      </c>
      <c r="BR1283" t="str">
        <v/>
      </c>
    </row>
    <row r="1284" spans="47:70" x14ac:dyDescent="0.2">
      <c r="AU1284"/>
      <c r="AV1284"/>
      <c r="AW1284"/>
      <c r="AX1284"/>
      <c r="AY1284"/>
      <c r="BK1284" s="42">
        <v>1283</v>
      </c>
      <c r="BL1284" s="127">
        <v>4</v>
      </c>
      <c r="BM1284" s="127">
        <v>0.11332468572476186</v>
      </c>
      <c r="BN1284" s="127" t="e">
        <v>#N/A</v>
      </c>
      <c r="BO1284" s="127" t="e">
        <v>#N/A</v>
      </c>
      <c r="BP1284" s="151" t="e">
        <v>#N/A</v>
      </c>
      <c r="BQ1284">
        <v>0.11332468572476186</v>
      </c>
      <c r="BR1284" t="str">
        <v/>
      </c>
    </row>
    <row r="1285" spans="47:70" x14ac:dyDescent="0.2">
      <c r="AU1285"/>
      <c r="AV1285"/>
      <c r="AW1285"/>
      <c r="AX1285"/>
      <c r="AY1285"/>
      <c r="BK1285" s="42">
        <v>1284</v>
      </c>
      <c r="BL1285" s="127">
        <v>4</v>
      </c>
      <c r="BM1285" s="127">
        <v>0.11332468572476186</v>
      </c>
      <c r="BN1285" s="127" t="e">
        <v>#N/A</v>
      </c>
      <c r="BO1285" s="127" t="e">
        <v>#N/A</v>
      </c>
      <c r="BP1285" s="151" t="e">
        <v>#N/A</v>
      </c>
      <c r="BQ1285">
        <v>0.11332468572476186</v>
      </c>
      <c r="BR1285" t="str">
        <v/>
      </c>
    </row>
    <row r="1286" spans="47:70" x14ac:dyDescent="0.2">
      <c r="AU1286"/>
      <c r="AV1286"/>
      <c r="AW1286"/>
      <c r="AX1286"/>
      <c r="AY1286"/>
      <c r="BK1286" s="42">
        <v>1285</v>
      </c>
      <c r="BL1286" s="127">
        <v>4</v>
      </c>
      <c r="BM1286" s="127">
        <v>0.11332468572476186</v>
      </c>
      <c r="BN1286" s="127" t="e">
        <v>#N/A</v>
      </c>
      <c r="BO1286" s="127" t="e">
        <v>#N/A</v>
      </c>
      <c r="BP1286" s="151" t="e">
        <v>#N/A</v>
      </c>
      <c r="BQ1286">
        <v>0.11332468572476186</v>
      </c>
      <c r="BR1286" t="str">
        <v/>
      </c>
    </row>
    <row r="1287" spans="47:70" x14ac:dyDescent="0.2">
      <c r="AU1287"/>
      <c r="AV1287"/>
      <c r="AW1287"/>
      <c r="AX1287"/>
      <c r="AY1287"/>
      <c r="BK1287" s="42">
        <v>1286</v>
      </c>
      <c r="BL1287" s="127">
        <v>4</v>
      </c>
      <c r="BM1287" s="127">
        <v>0.11332468572476186</v>
      </c>
      <c r="BN1287" s="127" t="e">
        <v>#N/A</v>
      </c>
      <c r="BO1287" s="127" t="e">
        <v>#N/A</v>
      </c>
      <c r="BP1287" s="151" t="e">
        <v>#N/A</v>
      </c>
      <c r="BQ1287">
        <v>0.11332468572476186</v>
      </c>
      <c r="BR1287" t="str">
        <v/>
      </c>
    </row>
    <row r="1288" spans="47:70" x14ac:dyDescent="0.2">
      <c r="AU1288"/>
      <c r="AV1288"/>
      <c r="AW1288"/>
      <c r="AX1288"/>
      <c r="AY1288"/>
      <c r="BK1288" s="42">
        <v>1287</v>
      </c>
      <c r="BL1288" s="127">
        <v>4</v>
      </c>
      <c r="BM1288" s="127">
        <v>0.11332468572476186</v>
      </c>
      <c r="BN1288" s="127" t="e">
        <v>#N/A</v>
      </c>
      <c r="BO1288" s="127" t="e">
        <v>#N/A</v>
      </c>
      <c r="BP1288" s="151" t="e">
        <v>#N/A</v>
      </c>
      <c r="BQ1288">
        <v>0.11332468572476186</v>
      </c>
      <c r="BR1288" t="str">
        <v/>
      </c>
    </row>
    <row r="1289" spans="47:70" x14ac:dyDescent="0.2">
      <c r="AU1289"/>
      <c r="AV1289"/>
      <c r="AW1289"/>
      <c r="AX1289"/>
      <c r="AY1289"/>
      <c r="BK1289" s="42">
        <v>1288</v>
      </c>
      <c r="BL1289" s="127">
        <v>4</v>
      </c>
      <c r="BM1289" s="127">
        <v>0.11332468572476186</v>
      </c>
      <c r="BN1289" s="127" t="e">
        <v>#N/A</v>
      </c>
      <c r="BO1289" s="127" t="e">
        <v>#N/A</v>
      </c>
      <c r="BP1289" s="151" t="e">
        <v>#N/A</v>
      </c>
      <c r="BQ1289">
        <v>0.11332468572476186</v>
      </c>
      <c r="BR1289" t="str">
        <v/>
      </c>
    </row>
    <row r="1290" spans="47:70" x14ac:dyDescent="0.2">
      <c r="AU1290"/>
      <c r="AV1290"/>
      <c r="AW1290"/>
      <c r="AX1290"/>
      <c r="AY1290"/>
      <c r="BK1290" s="42">
        <v>1289</v>
      </c>
      <c r="BL1290" s="127">
        <v>4</v>
      </c>
      <c r="BM1290" s="127">
        <v>0.11332468572476186</v>
      </c>
      <c r="BN1290" s="127" t="e">
        <v>#N/A</v>
      </c>
      <c r="BO1290" s="127" t="e">
        <v>#N/A</v>
      </c>
      <c r="BP1290" s="151" t="e">
        <v>#N/A</v>
      </c>
      <c r="BQ1290">
        <v>0.11332468572476186</v>
      </c>
      <c r="BR1290" t="str">
        <v/>
      </c>
    </row>
    <row r="1291" spans="47:70" x14ac:dyDescent="0.2">
      <c r="AU1291"/>
      <c r="AV1291"/>
      <c r="AW1291"/>
      <c r="AX1291"/>
      <c r="AY1291"/>
      <c r="BK1291" s="42">
        <v>1290</v>
      </c>
      <c r="BL1291" s="127">
        <v>4</v>
      </c>
      <c r="BM1291" s="127">
        <v>0.11332468572476186</v>
      </c>
      <c r="BN1291" s="127" t="e">
        <v>#N/A</v>
      </c>
      <c r="BO1291" s="127" t="e">
        <v>#N/A</v>
      </c>
      <c r="BP1291" s="151" t="e">
        <v>#N/A</v>
      </c>
      <c r="BQ1291">
        <v>0.11332468572476186</v>
      </c>
      <c r="BR1291" t="str">
        <v/>
      </c>
    </row>
    <row r="1292" spans="47:70" x14ac:dyDescent="0.2">
      <c r="AU1292"/>
      <c r="AV1292"/>
      <c r="AW1292"/>
      <c r="AX1292"/>
      <c r="AY1292"/>
      <c r="BK1292" s="42">
        <v>1291</v>
      </c>
      <c r="BL1292" s="127">
        <v>4</v>
      </c>
      <c r="BM1292" s="127">
        <v>0.11332468572476186</v>
      </c>
      <c r="BN1292" s="127" t="e">
        <v>#N/A</v>
      </c>
      <c r="BO1292" s="127" t="e">
        <v>#N/A</v>
      </c>
      <c r="BP1292" s="151" t="e">
        <v>#N/A</v>
      </c>
      <c r="BQ1292">
        <v>0.11332468572476186</v>
      </c>
      <c r="BR1292" t="str">
        <v/>
      </c>
    </row>
    <row r="1293" spans="47:70" x14ac:dyDescent="0.2">
      <c r="AU1293"/>
      <c r="AV1293"/>
      <c r="AW1293"/>
      <c r="AX1293"/>
      <c r="AY1293"/>
      <c r="BK1293" s="42">
        <v>1292</v>
      </c>
      <c r="BL1293" s="127">
        <v>4</v>
      </c>
      <c r="BM1293" s="127">
        <v>0.11332468572476186</v>
      </c>
      <c r="BN1293" s="127" t="e">
        <v>#N/A</v>
      </c>
      <c r="BO1293" s="127" t="e">
        <v>#N/A</v>
      </c>
      <c r="BP1293" s="151" t="e">
        <v>#N/A</v>
      </c>
      <c r="BQ1293">
        <v>0.11332468572476186</v>
      </c>
      <c r="BR1293" t="str">
        <v/>
      </c>
    </row>
    <row r="1294" spans="47:70" x14ac:dyDescent="0.2">
      <c r="AU1294"/>
      <c r="AV1294"/>
      <c r="AW1294"/>
      <c r="AX1294"/>
      <c r="AY1294"/>
      <c r="BK1294" s="42">
        <v>1293</v>
      </c>
      <c r="BL1294" s="127">
        <v>4</v>
      </c>
      <c r="BM1294" s="127">
        <v>0.11332468572476186</v>
      </c>
      <c r="BN1294" s="127" t="e">
        <v>#N/A</v>
      </c>
      <c r="BO1294" s="127" t="e">
        <v>#N/A</v>
      </c>
      <c r="BP1294" s="151" t="e">
        <v>#N/A</v>
      </c>
      <c r="BQ1294">
        <v>0.11332468572476186</v>
      </c>
      <c r="BR1294" t="str">
        <v/>
      </c>
    </row>
    <row r="1295" spans="47:70" x14ac:dyDescent="0.2">
      <c r="AU1295"/>
      <c r="AV1295"/>
      <c r="AW1295"/>
      <c r="AX1295"/>
      <c r="AY1295"/>
      <c r="BK1295" s="42">
        <v>1294</v>
      </c>
      <c r="BL1295" s="127">
        <v>4</v>
      </c>
      <c r="BM1295" s="127">
        <v>0.11332468572476186</v>
      </c>
      <c r="BN1295" s="127" t="e">
        <v>#N/A</v>
      </c>
      <c r="BO1295" s="127" t="e">
        <v>#N/A</v>
      </c>
      <c r="BP1295" s="151" t="e">
        <v>#N/A</v>
      </c>
      <c r="BQ1295">
        <v>0.11332468572476186</v>
      </c>
      <c r="BR1295" t="str">
        <v/>
      </c>
    </row>
    <row r="1296" spans="47:70" x14ac:dyDescent="0.2">
      <c r="AU1296"/>
      <c r="AV1296"/>
      <c r="AW1296"/>
      <c r="AX1296"/>
      <c r="AY1296"/>
      <c r="BK1296" s="42">
        <v>1295</v>
      </c>
      <c r="BL1296" s="127">
        <v>4</v>
      </c>
      <c r="BM1296" s="127">
        <v>0.11332468572476186</v>
      </c>
      <c r="BN1296" s="127" t="e">
        <v>#N/A</v>
      </c>
      <c r="BO1296" s="127" t="e">
        <v>#N/A</v>
      </c>
      <c r="BP1296" s="151" t="e">
        <v>#N/A</v>
      </c>
      <c r="BQ1296">
        <v>0.11332468572476186</v>
      </c>
      <c r="BR1296" t="str">
        <v/>
      </c>
    </row>
    <row r="1297" spans="47:70" x14ac:dyDescent="0.2">
      <c r="AU1297"/>
      <c r="AV1297"/>
      <c r="AW1297"/>
      <c r="AX1297"/>
      <c r="AY1297"/>
      <c r="BK1297" s="42">
        <v>1296</v>
      </c>
      <c r="BL1297" s="127">
        <v>4</v>
      </c>
      <c r="BM1297" s="127">
        <v>0.11332468572476186</v>
      </c>
      <c r="BN1297" s="127" t="e">
        <v>#N/A</v>
      </c>
      <c r="BO1297" s="127" t="e">
        <v>#N/A</v>
      </c>
      <c r="BP1297" s="151" t="e">
        <v>#N/A</v>
      </c>
      <c r="BQ1297">
        <v>0.11332468572476186</v>
      </c>
      <c r="BR1297" t="str">
        <v/>
      </c>
    </row>
    <row r="1298" spans="47:70" x14ac:dyDescent="0.2">
      <c r="AU1298"/>
      <c r="AV1298"/>
      <c r="AW1298"/>
      <c r="AX1298"/>
      <c r="AY1298"/>
      <c r="BK1298" s="42">
        <v>1297</v>
      </c>
      <c r="BL1298" s="127">
        <v>4</v>
      </c>
      <c r="BM1298" s="127">
        <v>0.11332468572476186</v>
      </c>
      <c r="BN1298" s="127" t="e">
        <v>#N/A</v>
      </c>
      <c r="BO1298" s="127" t="e">
        <v>#N/A</v>
      </c>
      <c r="BP1298" s="151" t="e">
        <v>#N/A</v>
      </c>
      <c r="BQ1298">
        <v>0.11332468572476186</v>
      </c>
      <c r="BR1298" t="str">
        <v/>
      </c>
    </row>
    <row r="1299" spans="47:70" x14ac:dyDescent="0.2">
      <c r="AU1299"/>
      <c r="AV1299"/>
      <c r="AW1299"/>
      <c r="AX1299"/>
      <c r="AY1299"/>
      <c r="BK1299" s="42">
        <v>1298</v>
      </c>
      <c r="BL1299" s="127">
        <v>4</v>
      </c>
      <c r="BM1299" s="127">
        <v>0.11332468572476186</v>
      </c>
      <c r="BN1299" s="127" t="e">
        <v>#N/A</v>
      </c>
      <c r="BO1299" s="127" t="e">
        <v>#N/A</v>
      </c>
      <c r="BP1299" s="151" t="e">
        <v>#N/A</v>
      </c>
      <c r="BQ1299">
        <v>0.11332468572476186</v>
      </c>
      <c r="BR1299" t="str">
        <v/>
      </c>
    </row>
    <row r="1300" spans="47:70" x14ac:dyDescent="0.2">
      <c r="AU1300"/>
      <c r="AV1300"/>
      <c r="AW1300"/>
      <c r="AX1300"/>
      <c r="AY1300"/>
      <c r="BK1300" s="42">
        <v>1299</v>
      </c>
      <c r="BL1300" s="127">
        <v>4</v>
      </c>
      <c r="BM1300" s="127">
        <v>0.11332468572476186</v>
      </c>
      <c r="BN1300" s="127" t="e">
        <v>#N/A</v>
      </c>
      <c r="BO1300" s="127" t="e">
        <v>#N/A</v>
      </c>
      <c r="BP1300" s="151" t="e">
        <v>#N/A</v>
      </c>
      <c r="BQ1300">
        <v>0.11332468572476186</v>
      </c>
      <c r="BR1300" t="str">
        <v/>
      </c>
    </row>
    <row r="1301" spans="47:70" x14ac:dyDescent="0.2">
      <c r="AU1301"/>
      <c r="AV1301"/>
      <c r="AW1301"/>
      <c r="AX1301"/>
      <c r="AY1301"/>
      <c r="BK1301" s="42">
        <v>1300</v>
      </c>
      <c r="BL1301" s="127">
        <v>4</v>
      </c>
      <c r="BM1301" s="127">
        <v>0.11332468572476186</v>
      </c>
      <c r="BN1301" s="127" t="e">
        <v>#N/A</v>
      </c>
      <c r="BO1301" s="127" t="e">
        <v>#N/A</v>
      </c>
      <c r="BP1301" s="151" t="e">
        <v>#N/A</v>
      </c>
      <c r="BQ1301">
        <v>0.11332468572476186</v>
      </c>
      <c r="BR1301" t="str">
        <v/>
      </c>
    </row>
    <row r="1302" spans="47:70" x14ac:dyDescent="0.2">
      <c r="AU1302"/>
      <c r="AV1302"/>
      <c r="AW1302"/>
      <c r="AX1302"/>
      <c r="AY1302"/>
      <c r="BK1302" s="42">
        <v>1301</v>
      </c>
      <c r="BL1302" s="127">
        <v>4</v>
      </c>
      <c r="BM1302" s="127">
        <v>0.11332468572476186</v>
      </c>
      <c r="BN1302" s="127" t="e">
        <v>#N/A</v>
      </c>
      <c r="BO1302" s="127" t="e">
        <v>#N/A</v>
      </c>
      <c r="BP1302" s="151" t="e">
        <v>#N/A</v>
      </c>
      <c r="BQ1302">
        <v>0.11332468572476186</v>
      </c>
      <c r="BR1302" t="str">
        <v/>
      </c>
    </row>
    <row r="1303" spans="47:70" x14ac:dyDescent="0.2">
      <c r="AU1303"/>
      <c r="AV1303"/>
      <c r="AW1303"/>
      <c r="AX1303"/>
      <c r="AY1303"/>
      <c r="BK1303" s="42">
        <v>1302</v>
      </c>
      <c r="BL1303" s="127">
        <v>4</v>
      </c>
      <c r="BM1303" s="127">
        <v>0.11332468572476186</v>
      </c>
      <c r="BN1303" s="127" t="e">
        <v>#N/A</v>
      </c>
      <c r="BO1303" s="127" t="e">
        <v>#N/A</v>
      </c>
      <c r="BP1303" s="151" t="e">
        <v>#N/A</v>
      </c>
      <c r="BQ1303">
        <v>0.11332468572476186</v>
      </c>
      <c r="BR1303" t="str">
        <v/>
      </c>
    </row>
    <row r="1304" spans="47:70" x14ac:dyDescent="0.2">
      <c r="AU1304"/>
      <c r="AV1304"/>
      <c r="AW1304"/>
      <c r="AX1304"/>
      <c r="AY1304"/>
      <c r="BK1304" s="42">
        <v>1303</v>
      </c>
      <c r="BL1304" s="127">
        <v>4</v>
      </c>
      <c r="BM1304" s="127">
        <v>0.11332468572476186</v>
      </c>
      <c r="BN1304" s="127" t="e">
        <v>#N/A</v>
      </c>
      <c r="BO1304" s="127" t="e">
        <v>#N/A</v>
      </c>
      <c r="BP1304" s="151" t="e">
        <v>#N/A</v>
      </c>
      <c r="BQ1304">
        <v>0.11332468572476186</v>
      </c>
      <c r="BR1304" t="str">
        <v/>
      </c>
    </row>
    <row r="1305" spans="47:70" x14ac:dyDescent="0.2">
      <c r="AU1305"/>
      <c r="AV1305"/>
      <c r="AW1305"/>
      <c r="AX1305"/>
      <c r="AY1305"/>
      <c r="BK1305" s="42">
        <v>1304</v>
      </c>
      <c r="BL1305" s="127">
        <v>4</v>
      </c>
      <c r="BM1305" s="127">
        <v>0.11332468572476186</v>
      </c>
      <c r="BN1305" s="127" t="e">
        <v>#N/A</v>
      </c>
      <c r="BO1305" s="127" t="e">
        <v>#N/A</v>
      </c>
      <c r="BP1305" s="151" t="e">
        <v>#N/A</v>
      </c>
      <c r="BQ1305">
        <v>0.11332468572476186</v>
      </c>
      <c r="BR1305" t="str">
        <v/>
      </c>
    </row>
    <row r="1306" spans="47:70" x14ac:dyDescent="0.2">
      <c r="AU1306"/>
      <c r="AV1306"/>
      <c r="AW1306"/>
      <c r="AX1306"/>
      <c r="AY1306"/>
      <c r="BK1306" s="42">
        <v>1305</v>
      </c>
      <c r="BL1306" s="127">
        <v>4</v>
      </c>
      <c r="BM1306" s="127">
        <v>0.11332468572476186</v>
      </c>
      <c r="BN1306" s="127" t="e">
        <v>#N/A</v>
      </c>
      <c r="BO1306" s="127" t="e">
        <v>#N/A</v>
      </c>
      <c r="BP1306" s="151" t="e">
        <v>#N/A</v>
      </c>
      <c r="BQ1306">
        <v>0.11332468572476186</v>
      </c>
      <c r="BR1306" t="str">
        <v/>
      </c>
    </row>
    <row r="1307" spans="47:70" x14ac:dyDescent="0.2">
      <c r="AU1307"/>
      <c r="AV1307"/>
      <c r="AW1307"/>
      <c r="AX1307"/>
      <c r="AY1307"/>
      <c r="BK1307" s="42">
        <v>1306</v>
      </c>
      <c r="BL1307" s="127">
        <v>4</v>
      </c>
      <c r="BM1307" s="127">
        <v>0.11332468572476186</v>
      </c>
      <c r="BN1307" s="127" t="e">
        <v>#N/A</v>
      </c>
      <c r="BO1307" s="127" t="e">
        <v>#N/A</v>
      </c>
      <c r="BP1307" s="151" t="e">
        <v>#N/A</v>
      </c>
      <c r="BQ1307">
        <v>0.11332468572476186</v>
      </c>
      <c r="BR1307" t="str">
        <v/>
      </c>
    </row>
    <row r="1308" spans="47:70" x14ac:dyDescent="0.2">
      <c r="AU1308"/>
      <c r="AV1308"/>
      <c r="AW1308"/>
      <c r="AX1308"/>
      <c r="AY1308"/>
      <c r="BK1308" s="42">
        <v>1307</v>
      </c>
      <c r="BL1308" s="127">
        <v>4</v>
      </c>
      <c r="BM1308" s="127">
        <v>0.11332468572476186</v>
      </c>
      <c r="BN1308" s="127" t="e">
        <v>#N/A</v>
      </c>
      <c r="BO1308" s="127" t="e">
        <v>#N/A</v>
      </c>
      <c r="BP1308" s="151" t="e">
        <v>#N/A</v>
      </c>
      <c r="BQ1308">
        <v>0.11332468572476186</v>
      </c>
      <c r="BR1308" t="str">
        <v/>
      </c>
    </row>
    <row r="1309" spans="47:70" x14ac:dyDescent="0.2">
      <c r="AU1309"/>
      <c r="AV1309"/>
      <c r="AW1309"/>
      <c r="AX1309"/>
      <c r="AY1309"/>
      <c r="BK1309" s="42">
        <v>1308</v>
      </c>
      <c r="BL1309" s="127">
        <v>4</v>
      </c>
      <c r="BM1309" s="127">
        <v>0.11332468572476186</v>
      </c>
      <c r="BN1309" s="127" t="e">
        <v>#N/A</v>
      </c>
      <c r="BO1309" s="127" t="e">
        <v>#N/A</v>
      </c>
      <c r="BP1309" s="151" t="e">
        <v>#N/A</v>
      </c>
      <c r="BQ1309">
        <v>0.11332468572476186</v>
      </c>
      <c r="BR1309" t="str">
        <v/>
      </c>
    </row>
    <row r="1310" spans="47:70" x14ac:dyDescent="0.2">
      <c r="AU1310"/>
      <c r="AV1310"/>
      <c r="AW1310"/>
      <c r="AX1310"/>
      <c r="AY1310"/>
      <c r="BK1310" s="42">
        <v>1309</v>
      </c>
      <c r="BL1310" s="127">
        <v>4</v>
      </c>
      <c r="BM1310" s="127">
        <v>0.11332468572476186</v>
      </c>
      <c r="BN1310" s="127" t="e">
        <v>#N/A</v>
      </c>
      <c r="BO1310" s="127" t="e">
        <v>#N/A</v>
      </c>
      <c r="BP1310" s="151" t="e">
        <v>#N/A</v>
      </c>
      <c r="BQ1310">
        <v>0.11332468572476186</v>
      </c>
      <c r="BR1310" t="str">
        <v/>
      </c>
    </row>
    <row r="1311" spans="47:70" x14ac:dyDescent="0.2">
      <c r="AU1311"/>
      <c r="AV1311"/>
      <c r="AW1311"/>
      <c r="AX1311"/>
      <c r="AY1311"/>
      <c r="BK1311" s="42">
        <v>1310</v>
      </c>
      <c r="BL1311" s="127">
        <v>4</v>
      </c>
      <c r="BM1311" s="127">
        <v>0.11332468572476186</v>
      </c>
      <c r="BN1311" s="127" t="e">
        <v>#N/A</v>
      </c>
      <c r="BO1311" s="127" t="e">
        <v>#N/A</v>
      </c>
      <c r="BP1311" s="151" t="e">
        <v>#N/A</v>
      </c>
      <c r="BQ1311">
        <v>0.11332468572476186</v>
      </c>
      <c r="BR1311" t="str">
        <v/>
      </c>
    </row>
    <row r="1312" spans="47:70" x14ac:dyDescent="0.2">
      <c r="AU1312"/>
      <c r="AV1312"/>
      <c r="AW1312"/>
      <c r="AX1312"/>
      <c r="AY1312"/>
      <c r="BK1312" s="42">
        <v>1311</v>
      </c>
      <c r="BL1312" s="127">
        <v>4</v>
      </c>
      <c r="BM1312" s="127">
        <v>0.11332468572476186</v>
      </c>
      <c r="BN1312" s="127" t="e">
        <v>#N/A</v>
      </c>
      <c r="BO1312" s="127" t="e">
        <v>#N/A</v>
      </c>
      <c r="BP1312" s="151" t="e">
        <v>#N/A</v>
      </c>
      <c r="BQ1312">
        <v>0.11332468572476186</v>
      </c>
      <c r="BR1312" t="str">
        <v/>
      </c>
    </row>
    <row r="1313" spans="47:70" x14ac:dyDescent="0.2">
      <c r="AU1313"/>
      <c r="AV1313"/>
      <c r="AW1313"/>
      <c r="AX1313"/>
      <c r="AY1313"/>
      <c r="BK1313" s="42">
        <v>1312</v>
      </c>
      <c r="BL1313" s="127">
        <v>4</v>
      </c>
      <c r="BM1313" s="127">
        <v>0.11332468572476186</v>
      </c>
      <c r="BN1313" s="127" t="e">
        <v>#N/A</v>
      </c>
      <c r="BO1313" s="127" t="e">
        <v>#N/A</v>
      </c>
      <c r="BP1313" s="151" t="e">
        <v>#N/A</v>
      </c>
      <c r="BQ1313">
        <v>0.11332468572476186</v>
      </c>
      <c r="BR1313" t="str">
        <v/>
      </c>
    </row>
    <row r="1314" spans="47:70" x14ac:dyDescent="0.2">
      <c r="AU1314"/>
      <c r="AV1314"/>
      <c r="AW1314"/>
      <c r="AX1314"/>
      <c r="AY1314"/>
      <c r="BK1314" s="42">
        <v>1313</v>
      </c>
      <c r="BL1314" s="127">
        <v>4</v>
      </c>
      <c r="BM1314" s="127">
        <v>0.11332468572476186</v>
      </c>
      <c r="BN1314" s="127" t="e">
        <v>#N/A</v>
      </c>
      <c r="BO1314" s="127" t="e">
        <v>#N/A</v>
      </c>
      <c r="BP1314" s="151" t="e">
        <v>#N/A</v>
      </c>
      <c r="BQ1314">
        <v>0.11332468572476186</v>
      </c>
      <c r="BR1314" t="str">
        <v/>
      </c>
    </row>
    <row r="1315" spans="47:70" x14ac:dyDescent="0.2">
      <c r="AU1315"/>
      <c r="AV1315"/>
      <c r="AW1315"/>
      <c r="AX1315"/>
      <c r="AY1315"/>
      <c r="BK1315" s="42">
        <v>1314</v>
      </c>
      <c r="BL1315" s="127">
        <v>4</v>
      </c>
      <c r="BM1315" s="127">
        <v>0.11332468572476186</v>
      </c>
      <c r="BN1315" s="127" t="e">
        <v>#N/A</v>
      </c>
      <c r="BO1315" s="127" t="e">
        <v>#N/A</v>
      </c>
      <c r="BP1315" s="151" t="e">
        <v>#N/A</v>
      </c>
      <c r="BQ1315">
        <v>0.11332468572476186</v>
      </c>
      <c r="BR1315" t="str">
        <v/>
      </c>
    </row>
    <row r="1316" spans="47:70" x14ac:dyDescent="0.2">
      <c r="AU1316"/>
      <c r="AV1316"/>
      <c r="AW1316"/>
      <c r="AX1316"/>
      <c r="AY1316"/>
      <c r="BK1316" s="42">
        <v>1315</v>
      </c>
      <c r="BL1316" s="127">
        <v>4</v>
      </c>
      <c r="BM1316" s="127">
        <v>0.11332468572476186</v>
      </c>
      <c r="BN1316" s="127" t="e">
        <v>#N/A</v>
      </c>
      <c r="BO1316" s="127" t="e">
        <v>#N/A</v>
      </c>
      <c r="BP1316" s="151" t="e">
        <v>#N/A</v>
      </c>
      <c r="BQ1316">
        <v>0.11332468572476186</v>
      </c>
      <c r="BR1316" t="str">
        <v/>
      </c>
    </row>
    <row r="1317" spans="47:70" x14ac:dyDescent="0.2">
      <c r="AU1317"/>
      <c r="AV1317"/>
      <c r="AW1317"/>
      <c r="AX1317"/>
      <c r="AY1317"/>
      <c r="BK1317" s="42">
        <v>1316</v>
      </c>
      <c r="BL1317" s="127">
        <v>4</v>
      </c>
      <c r="BM1317" s="127">
        <v>0.11332468572476186</v>
      </c>
      <c r="BN1317" s="127" t="e">
        <v>#N/A</v>
      </c>
      <c r="BO1317" s="127" t="e">
        <v>#N/A</v>
      </c>
      <c r="BP1317" s="151" t="e">
        <v>#N/A</v>
      </c>
      <c r="BQ1317">
        <v>0.11332468572476186</v>
      </c>
      <c r="BR1317" t="str">
        <v/>
      </c>
    </row>
    <row r="1318" spans="47:70" x14ac:dyDescent="0.2">
      <c r="AU1318"/>
      <c r="AV1318"/>
      <c r="AW1318"/>
      <c r="AX1318"/>
      <c r="AY1318"/>
      <c r="BK1318" s="42">
        <v>1317</v>
      </c>
      <c r="BL1318" s="127">
        <v>4</v>
      </c>
      <c r="BM1318" s="127">
        <v>0.11332468572476186</v>
      </c>
      <c r="BN1318" s="127" t="e">
        <v>#N/A</v>
      </c>
      <c r="BO1318" s="127" t="e">
        <v>#N/A</v>
      </c>
      <c r="BP1318" s="151" t="e">
        <v>#N/A</v>
      </c>
      <c r="BQ1318">
        <v>0.11332468572476186</v>
      </c>
      <c r="BR1318" t="str">
        <v/>
      </c>
    </row>
    <row r="1319" spans="47:70" x14ac:dyDescent="0.2">
      <c r="AU1319"/>
      <c r="AV1319"/>
      <c r="AW1319"/>
      <c r="AX1319"/>
      <c r="AY1319"/>
      <c r="BK1319" s="42">
        <v>1318</v>
      </c>
      <c r="BL1319" s="127">
        <v>4</v>
      </c>
      <c r="BM1319" s="127">
        <v>0.11332468572476186</v>
      </c>
      <c r="BN1319" s="127" t="e">
        <v>#N/A</v>
      </c>
      <c r="BO1319" s="127" t="e">
        <v>#N/A</v>
      </c>
      <c r="BP1319" s="151" t="e">
        <v>#N/A</v>
      </c>
      <c r="BQ1319">
        <v>0.11332468572476186</v>
      </c>
      <c r="BR1319" t="str">
        <v/>
      </c>
    </row>
    <row r="1320" spans="47:70" x14ac:dyDescent="0.2">
      <c r="AU1320"/>
      <c r="AV1320"/>
      <c r="AW1320"/>
      <c r="AX1320"/>
      <c r="AY1320"/>
      <c r="BK1320" s="42">
        <v>1319</v>
      </c>
      <c r="BL1320" s="127">
        <v>4</v>
      </c>
      <c r="BM1320" s="127">
        <v>0.11332468572476186</v>
      </c>
      <c r="BN1320" s="127" t="e">
        <v>#N/A</v>
      </c>
      <c r="BO1320" s="127" t="e">
        <v>#N/A</v>
      </c>
      <c r="BP1320" s="151" t="e">
        <v>#N/A</v>
      </c>
      <c r="BQ1320">
        <v>0.11332468572476186</v>
      </c>
      <c r="BR1320" t="str">
        <v/>
      </c>
    </row>
    <row r="1321" spans="47:70" x14ac:dyDescent="0.2">
      <c r="AU1321"/>
      <c r="AV1321"/>
      <c r="AW1321"/>
      <c r="AX1321"/>
      <c r="AY1321"/>
      <c r="BK1321" s="42">
        <v>1320</v>
      </c>
      <c r="BL1321" s="127">
        <v>4</v>
      </c>
      <c r="BM1321" s="127">
        <v>0.11332468572476186</v>
      </c>
      <c r="BN1321" s="127" t="e">
        <v>#N/A</v>
      </c>
      <c r="BO1321" s="127" t="e">
        <v>#N/A</v>
      </c>
      <c r="BP1321" s="151" t="e">
        <v>#N/A</v>
      </c>
      <c r="BQ1321">
        <v>0.11332468572476186</v>
      </c>
      <c r="BR1321" t="str">
        <v/>
      </c>
    </row>
    <row r="1322" spans="47:70" x14ac:dyDescent="0.2">
      <c r="AU1322"/>
      <c r="AV1322"/>
      <c r="AW1322"/>
      <c r="AX1322"/>
      <c r="AY1322"/>
      <c r="BK1322" s="42">
        <v>1321</v>
      </c>
      <c r="BL1322" s="127">
        <v>4</v>
      </c>
      <c r="BM1322" s="127">
        <v>0.11332468572476186</v>
      </c>
      <c r="BN1322" s="127" t="e">
        <v>#N/A</v>
      </c>
      <c r="BO1322" s="127" t="e">
        <v>#N/A</v>
      </c>
      <c r="BP1322" s="151" t="e">
        <v>#N/A</v>
      </c>
      <c r="BQ1322">
        <v>0.11332468572476186</v>
      </c>
      <c r="BR1322" t="str">
        <v/>
      </c>
    </row>
    <row r="1323" spans="47:70" x14ac:dyDescent="0.2">
      <c r="AU1323"/>
      <c r="AV1323"/>
      <c r="AW1323"/>
      <c r="AX1323"/>
      <c r="AY1323"/>
      <c r="BK1323" s="42">
        <v>1322</v>
      </c>
      <c r="BL1323" s="127">
        <v>4</v>
      </c>
      <c r="BM1323" s="127">
        <v>0.11332468572476186</v>
      </c>
      <c r="BN1323" s="127" t="e">
        <v>#N/A</v>
      </c>
      <c r="BO1323" s="127" t="e">
        <v>#N/A</v>
      </c>
      <c r="BP1323" s="151" t="e">
        <v>#N/A</v>
      </c>
      <c r="BQ1323">
        <v>0.11332468572476186</v>
      </c>
      <c r="BR1323" t="str">
        <v/>
      </c>
    </row>
    <row r="1324" spans="47:70" x14ac:dyDescent="0.2">
      <c r="AU1324"/>
      <c r="AV1324"/>
      <c r="AW1324"/>
      <c r="AX1324"/>
      <c r="AY1324"/>
      <c r="BK1324" s="42">
        <v>1323</v>
      </c>
      <c r="BL1324" s="127">
        <v>4</v>
      </c>
      <c r="BM1324" s="127">
        <v>0.11332468572476186</v>
      </c>
      <c r="BN1324" s="127" t="e">
        <v>#N/A</v>
      </c>
      <c r="BO1324" s="127" t="e">
        <v>#N/A</v>
      </c>
      <c r="BP1324" s="151" t="e">
        <v>#N/A</v>
      </c>
      <c r="BQ1324">
        <v>0.11332468572476186</v>
      </c>
      <c r="BR1324" t="str">
        <v/>
      </c>
    </row>
    <row r="1325" spans="47:70" x14ac:dyDescent="0.2">
      <c r="AU1325"/>
      <c r="AV1325"/>
      <c r="AW1325"/>
      <c r="AX1325"/>
      <c r="AY1325"/>
      <c r="BK1325" s="42">
        <v>1324</v>
      </c>
      <c r="BL1325" s="127">
        <v>4</v>
      </c>
      <c r="BM1325" s="127">
        <v>0.11332468572476186</v>
      </c>
      <c r="BN1325" s="127" t="e">
        <v>#N/A</v>
      </c>
      <c r="BO1325" s="127" t="e">
        <v>#N/A</v>
      </c>
      <c r="BP1325" s="151" t="e">
        <v>#N/A</v>
      </c>
      <c r="BQ1325">
        <v>0.11332468572476186</v>
      </c>
      <c r="BR1325" t="str">
        <v/>
      </c>
    </row>
    <row r="1326" spans="47:70" x14ac:dyDescent="0.2">
      <c r="AU1326"/>
      <c r="AV1326"/>
      <c r="AW1326"/>
      <c r="AX1326"/>
      <c r="AY1326"/>
      <c r="BK1326" s="42">
        <v>1325</v>
      </c>
      <c r="BL1326" s="127">
        <v>4</v>
      </c>
      <c r="BM1326" s="127">
        <v>0.11332468572476186</v>
      </c>
      <c r="BN1326" s="127" t="e">
        <v>#N/A</v>
      </c>
      <c r="BO1326" s="127" t="e">
        <v>#N/A</v>
      </c>
      <c r="BP1326" s="151" t="e">
        <v>#N/A</v>
      </c>
      <c r="BQ1326">
        <v>0.11332468572476186</v>
      </c>
      <c r="BR1326" t="str">
        <v/>
      </c>
    </row>
    <row r="1327" spans="47:70" x14ac:dyDescent="0.2">
      <c r="AU1327"/>
      <c r="AV1327"/>
      <c r="AW1327"/>
      <c r="AX1327"/>
      <c r="AY1327"/>
      <c r="BK1327" s="42">
        <v>1326</v>
      </c>
      <c r="BL1327" s="127">
        <v>4</v>
      </c>
      <c r="BM1327" s="127">
        <v>0.11332468572476186</v>
      </c>
      <c r="BN1327" s="127" t="e">
        <v>#N/A</v>
      </c>
      <c r="BO1327" s="127" t="e">
        <v>#N/A</v>
      </c>
      <c r="BP1327" s="151" t="e">
        <v>#N/A</v>
      </c>
      <c r="BQ1327">
        <v>0.11332468572476186</v>
      </c>
      <c r="BR1327" t="str">
        <v/>
      </c>
    </row>
    <row r="1328" spans="47:70" x14ac:dyDescent="0.2">
      <c r="AU1328"/>
      <c r="AV1328"/>
      <c r="AW1328"/>
      <c r="AX1328"/>
      <c r="AY1328"/>
      <c r="BK1328" s="42">
        <v>1327</v>
      </c>
      <c r="BL1328" s="127">
        <v>4</v>
      </c>
      <c r="BM1328" s="127">
        <v>0.11332468572476186</v>
      </c>
      <c r="BN1328" s="127" t="e">
        <v>#N/A</v>
      </c>
      <c r="BO1328" s="127" t="e">
        <v>#N/A</v>
      </c>
      <c r="BP1328" s="151" t="e">
        <v>#N/A</v>
      </c>
      <c r="BQ1328">
        <v>0.11332468572476186</v>
      </c>
      <c r="BR1328" t="str">
        <v/>
      </c>
    </row>
    <row r="1329" spans="47:70" x14ac:dyDescent="0.2">
      <c r="AU1329"/>
      <c r="AV1329"/>
      <c r="AW1329"/>
      <c r="AX1329"/>
      <c r="AY1329"/>
      <c r="BK1329" s="42">
        <v>1328</v>
      </c>
      <c r="BL1329" s="127">
        <v>4</v>
      </c>
      <c r="BM1329" s="127">
        <v>0.11332468572476186</v>
      </c>
      <c r="BN1329" s="127" t="e">
        <v>#N/A</v>
      </c>
      <c r="BO1329" s="127" t="e">
        <v>#N/A</v>
      </c>
      <c r="BP1329" s="151" t="e">
        <v>#N/A</v>
      </c>
      <c r="BQ1329">
        <v>0.11332468572476186</v>
      </c>
      <c r="BR1329" t="str">
        <v/>
      </c>
    </row>
    <row r="1330" spans="47:70" x14ac:dyDescent="0.2">
      <c r="AU1330"/>
      <c r="AV1330"/>
      <c r="AW1330"/>
      <c r="AX1330"/>
      <c r="AY1330"/>
      <c r="BK1330" s="42">
        <v>1329</v>
      </c>
      <c r="BL1330" s="127">
        <v>4</v>
      </c>
      <c r="BM1330" s="127">
        <v>0.11332468572476186</v>
      </c>
      <c r="BN1330" s="127" t="e">
        <v>#N/A</v>
      </c>
      <c r="BO1330" s="127" t="e">
        <v>#N/A</v>
      </c>
      <c r="BP1330" s="151" t="e">
        <v>#N/A</v>
      </c>
      <c r="BQ1330">
        <v>0.11332468572476186</v>
      </c>
      <c r="BR1330" t="str">
        <v/>
      </c>
    </row>
    <row r="1331" spans="47:70" x14ac:dyDescent="0.2">
      <c r="AU1331"/>
      <c r="AV1331"/>
      <c r="AW1331"/>
      <c r="AX1331"/>
      <c r="AY1331"/>
      <c r="BK1331" s="42">
        <v>1330</v>
      </c>
      <c r="BL1331" s="127">
        <v>4</v>
      </c>
      <c r="BM1331" s="127">
        <v>0.11332468572476186</v>
      </c>
      <c r="BN1331" s="127" t="e">
        <v>#N/A</v>
      </c>
      <c r="BO1331" s="127" t="e">
        <v>#N/A</v>
      </c>
      <c r="BP1331" s="151" t="e">
        <v>#N/A</v>
      </c>
      <c r="BQ1331">
        <v>0.11332468572476186</v>
      </c>
      <c r="BR1331" t="str">
        <v/>
      </c>
    </row>
    <row r="1332" spans="47:70" x14ac:dyDescent="0.2">
      <c r="AU1332"/>
      <c r="AV1332"/>
      <c r="AW1332"/>
      <c r="AX1332"/>
      <c r="AY1332"/>
      <c r="BK1332" s="42">
        <v>1331</v>
      </c>
      <c r="BL1332" s="127">
        <v>4</v>
      </c>
      <c r="BM1332" s="127">
        <v>0.11332468572476186</v>
      </c>
      <c r="BN1332" s="127" t="e">
        <v>#N/A</v>
      </c>
      <c r="BO1332" s="127" t="e">
        <v>#N/A</v>
      </c>
      <c r="BP1332" s="151" t="e">
        <v>#N/A</v>
      </c>
      <c r="BQ1332">
        <v>0.11332468572476186</v>
      </c>
      <c r="BR1332" t="str">
        <v/>
      </c>
    </row>
    <row r="1333" spans="47:70" x14ac:dyDescent="0.2">
      <c r="AU1333"/>
      <c r="AV1333"/>
      <c r="AW1333"/>
      <c r="AX1333"/>
      <c r="AY1333"/>
      <c r="BK1333" s="42">
        <v>1332</v>
      </c>
      <c r="BL1333" s="127">
        <v>4</v>
      </c>
      <c r="BM1333" s="127">
        <v>0.11332468572476186</v>
      </c>
      <c r="BN1333" s="127" t="e">
        <v>#N/A</v>
      </c>
      <c r="BO1333" s="127" t="e">
        <v>#N/A</v>
      </c>
      <c r="BP1333" s="151" t="e">
        <v>#N/A</v>
      </c>
      <c r="BQ1333">
        <v>0.11332468572476186</v>
      </c>
      <c r="BR1333" t="str">
        <v/>
      </c>
    </row>
    <row r="1334" spans="47:70" x14ac:dyDescent="0.2">
      <c r="AU1334"/>
      <c r="AV1334"/>
      <c r="AW1334"/>
      <c r="AX1334"/>
      <c r="AY1334"/>
      <c r="BK1334" s="42">
        <v>1333</v>
      </c>
      <c r="BL1334" s="127">
        <v>4</v>
      </c>
      <c r="BM1334" s="127">
        <v>0.11332468572476186</v>
      </c>
      <c r="BN1334" s="127" t="e">
        <v>#N/A</v>
      </c>
      <c r="BO1334" s="127" t="e">
        <v>#N/A</v>
      </c>
      <c r="BP1334" s="151" t="e">
        <v>#N/A</v>
      </c>
      <c r="BQ1334">
        <v>0.11332468572476186</v>
      </c>
      <c r="BR1334" t="str">
        <v/>
      </c>
    </row>
    <row r="1335" spans="47:70" x14ac:dyDescent="0.2">
      <c r="AU1335"/>
      <c r="AV1335"/>
      <c r="AW1335"/>
      <c r="AX1335"/>
      <c r="AY1335"/>
      <c r="BK1335" s="42">
        <v>1334</v>
      </c>
      <c r="BL1335" s="127">
        <v>4</v>
      </c>
      <c r="BM1335" s="127">
        <v>0.11332468572476186</v>
      </c>
      <c r="BN1335" s="127" t="e">
        <v>#N/A</v>
      </c>
      <c r="BO1335" s="127" t="e">
        <v>#N/A</v>
      </c>
      <c r="BP1335" s="151" t="e">
        <v>#N/A</v>
      </c>
      <c r="BQ1335">
        <v>0.11332468572476186</v>
      </c>
      <c r="BR1335" t="str">
        <v/>
      </c>
    </row>
    <row r="1336" spans="47:70" x14ac:dyDescent="0.2">
      <c r="AU1336"/>
      <c r="AV1336"/>
      <c r="AW1336"/>
      <c r="AX1336"/>
      <c r="AY1336"/>
      <c r="BK1336" s="42">
        <v>1335</v>
      </c>
      <c r="BL1336" s="127">
        <v>4</v>
      </c>
      <c r="BM1336" s="127">
        <v>0.11332468572476186</v>
      </c>
      <c r="BN1336" s="127" t="e">
        <v>#N/A</v>
      </c>
      <c r="BO1336" s="127" t="e">
        <v>#N/A</v>
      </c>
      <c r="BP1336" s="151" t="e">
        <v>#N/A</v>
      </c>
      <c r="BQ1336">
        <v>0.11332468572476186</v>
      </c>
      <c r="BR1336" t="str">
        <v/>
      </c>
    </row>
    <row r="1337" spans="47:70" x14ac:dyDescent="0.2">
      <c r="AU1337"/>
      <c r="AV1337"/>
      <c r="AW1337"/>
      <c r="AX1337"/>
      <c r="AY1337"/>
      <c r="BK1337" s="42">
        <v>1336</v>
      </c>
      <c r="BL1337" s="127">
        <v>4</v>
      </c>
      <c r="BM1337" s="127">
        <v>0.11332468572476186</v>
      </c>
      <c r="BN1337" s="127" t="e">
        <v>#N/A</v>
      </c>
      <c r="BO1337" s="127" t="e">
        <v>#N/A</v>
      </c>
      <c r="BP1337" s="151" t="e">
        <v>#N/A</v>
      </c>
      <c r="BQ1337">
        <v>0.11332468572476186</v>
      </c>
      <c r="BR1337" t="str">
        <v/>
      </c>
    </row>
    <row r="1338" spans="47:70" x14ac:dyDescent="0.2">
      <c r="AU1338"/>
      <c r="AV1338"/>
      <c r="AW1338"/>
      <c r="AX1338"/>
      <c r="AY1338"/>
      <c r="BK1338" s="42">
        <v>1337</v>
      </c>
      <c r="BL1338" s="127">
        <v>4</v>
      </c>
      <c r="BM1338" s="127">
        <v>0.11332468572476186</v>
      </c>
      <c r="BN1338" s="127" t="e">
        <v>#N/A</v>
      </c>
      <c r="BO1338" s="127" t="e">
        <v>#N/A</v>
      </c>
      <c r="BP1338" s="151" t="e">
        <v>#N/A</v>
      </c>
      <c r="BQ1338">
        <v>0.11332468572476186</v>
      </c>
      <c r="BR1338" t="str">
        <v/>
      </c>
    </row>
    <row r="1339" spans="47:70" x14ac:dyDescent="0.2">
      <c r="AU1339"/>
      <c r="AV1339"/>
      <c r="AW1339"/>
      <c r="AX1339"/>
      <c r="AY1339"/>
      <c r="BK1339" s="42">
        <v>1338</v>
      </c>
      <c r="BL1339" s="127">
        <v>4</v>
      </c>
      <c r="BM1339" s="127">
        <v>0.11332468572476186</v>
      </c>
      <c r="BN1339" s="127" t="e">
        <v>#N/A</v>
      </c>
      <c r="BO1339" s="127" t="e">
        <v>#N/A</v>
      </c>
      <c r="BP1339" s="151" t="e">
        <v>#N/A</v>
      </c>
      <c r="BQ1339">
        <v>0.11332468572476186</v>
      </c>
      <c r="BR1339" t="str">
        <v/>
      </c>
    </row>
    <row r="1340" spans="47:70" x14ac:dyDescent="0.2">
      <c r="AU1340"/>
      <c r="AV1340"/>
      <c r="AW1340"/>
      <c r="AX1340"/>
      <c r="AY1340"/>
      <c r="BK1340" s="42">
        <v>1339</v>
      </c>
      <c r="BL1340" s="127">
        <v>4</v>
      </c>
      <c r="BM1340" s="127">
        <v>0.11332468572476186</v>
      </c>
      <c r="BN1340" s="127" t="e">
        <v>#N/A</v>
      </c>
      <c r="BO1340" s="127" t="e">
        <v>#N/A</v>
      </c>
      <c r="BP1340" s="151" t="e">
        <v>#N/A</v>
      </c>
      <c r="BQ1340">
        <v>0.11332468572476186</v>
      </c>
      <c r="BR1340" t="str">
        <v/>
      </c>
    </row>
    <row r="1341" spans="47:70" x14ac:dyDescent="0.2">
      <c r="AU1341"/>
      <c r="AV1341"/>
      <c r="AW1341"/>
      <c r="AX1341"/>
      <c r="AY1341"/>
      <c r="BK1341" s="42">
        <v>1340</v>
      </c>
      <c r="BL1341" s="127">
        <v>4</v>
      </c>
      <c r="BM1341" s="127">
        <v>0.11332468572476186</v>
      </c>
      <c r="BN1341" s="127" t="e">
        <v>#N/A</v>
      </c>
      <c r="BO1341" s="127" t="e">
        <v>#N/A</v>
      </c>
      <c r="BP1341" s="151" t="e">
        <v>#N/A</v>
      </c>
      <c r="BQ1341">
        <v>0.11332468572476186</v>
      </c>
      <c r="BR1341" t="str">
        <v/>
      </c>
    </row>
    <row r="1342" spans="47:70" x14ac:dyDescent="0.2">
      <c r="AU1342"/>
      <c r="AV1342"/>
      <c r="AW1342"/>
      <c r="AX1342"/>
      <c r="AY1342"/>
      <c r="BK1342" s="42">
        <v>1341</v>
      </c>
      <c r="BL1342" s="127">
        <v>4</v>
      </c>
      <c r="BM1342" s="127">
        <v>0.11332468572476186</v>
      </c>
      <c r="BN1342" s="127" t="e">
        <v>#N/A</v>
      </c>
      <c r="BO1342" s="127" t="e">
        <v>#N/A</v>
      </c>
      <c r="BP1342" s="151" t="e">
        <v>#N/A</v>
      </c>
      <c r="BQ1342">
        <v>0.11332468572476186</v>
      </c>
      <c r="BR1342" t="str">
        <v/>
      </c>
    </row>
    <row r="1343" spans="47:70" x14ac:dyDescent="0.2">
      <c r="AU1343"/>
      <c r="AV1343"/>
      <c r="AW1343"/>
      <c r="AX1343"/>
      <c r="AY1343"/>
      <c r="BK1343" s="42">
        <v>1342</v>
      </c>
      <c r="BL1343" s="127">
        <v>4</v>
      </c>
      <c r="BM1343" s="127">
        <v>0.11332468572476186</v>
      </c>
      <c r="BN1343" s="127" t="e">
        <v>#N/A</v>
      </c>
      <c r="BO1343" s="127" t="e">
        <v>#N/A</v>
      </c>
      <c r="BP1343" s="151" t="e">
        <v>#N/A</v>
      </c>
      <c r="BQ1343">
        <v>0.11332468572476186</v>
      </c>
      <c r="BR1343" t="str">
        <v/>
      </c>
    </row>
    <row r="1344" spans="47:70" x14ac:dyDescent="0.2">
      <c r="AU1344"/>
      <c r="AV1344"/>
      <c r="AW1344"/>
      <c r="AX1344"/>
      <c r="AY1344"/>
      <c r="BK1344" s="42">
        <v>1343</v>
      </c>
      <c r="BL1344" s="127">
        <v>4</v>
      </c>
      <c r="BM1344" s="127">
        <v>0.11332468572476186</v>
      </c>
      <c r="BN1344" s="127" t="e">
        <v>#N/A</v>
      </c>
      <c r="BO1344" s="127" t="e">
        <v>#N/A</v>
      </c>
      <c r="BP1344" s="151" t="e">
        <v>#N/A</v>
      </c>
      <c r="BQ1344">
        <v>0.11332468572476186</v>
      </c>
      <c r="BR1344" t="str">
        <v/>
      </c>
    </row>
    <row r="1345" spans="47:70" x14ac:dyDescent="0.2">
      <c r="AU1345"/>
      <c r="AV1345"/>
      <c r="AW1345"/>
      <c r="AX1345"/>
      <c r="AY1345"/>
      <c r="BK1345" s="42">
        <v>1344</v>
      </c>
      <c r="BL1345" s="127">
        <v>4</v>
      </c>
      <c r="BM1345" s="127">
        <v>0.11332468572476186</v>
      </c>
      <c r="BN1345" s="127" t="e">
        <v>#N/A</v>
      </c>
      <c r="BO1345" s="127" t="e">
        <v>#N/A</v>
      </c>
      <c r="BP1345" s="151" t="e">
        <v>#N/A</v>
      </c>
      <c r="BQ1345">
        <v>0.11332468572476186</v>
      </c>
      <c r="BR1345" t="str">
        <v/>
      </c>
    </row>
    <row r="1346" spans="47:70" x14ac:dyDescent="0.2">
      <c r="AU1346"/>
      <c r="AV1346"/>
      <c r="AW1346"/>
      <c r="AX1346"/>
      <c r="AY1346"/>
      <c r="BK1346" s="42">
        <v>1345</v>
      </c>
      <c r="BL1346" s="127">
        <v>4</v>
      </c>
      <c r="BM1346" s="127">
        <v>0.11332468572476186</v>
      </c>
      <c r="BN1346" s="127" t="e">
        <v>#N/A</v>
      </c>
      <c r="BO1346" s="127" t="e">
        <v>#N/A</v>
      </c>
      <c r="BP1346" s="151" t="e">
        <v>#N/A</v>
      </c>
      <c r="BQ1346">
        <v>0.11332468572476186</v>
      </c>
      <c r="BR1346" t="str">
        <v/>
      </c>
    </row>
    <row r="1347" spans="47:70" x14ac:dyDescent="0.2">
      <c r="AU1347"/>
      <c r="AV1347"/>
      <c r="AW1347"/>
      <c r="AX1347"/>
      <c r="AY1347"/>
      <c r="BK1347" s="42">
        <v>1346</v>
      </c>
      <c r="BL1347" s="127">
        <v>4</v>
      </c>
      <c r="BM1347" s="127">
        <v>0.11332468572476186</v>
      </c>
      <c r="BN1347" s="127" t="e">
        <v>#N/A</v>
      </c>
      <c r="BO1347" s="127" t="e">
        <v>#N/A</v>
      </c>
      <c r="BP1347" s="151" t="e">
        <v>#N/A</v>
      </c>
      <c r="BQ1347">
        <v>0.11332468572476186</v>
      </c>
      <c r="BR1347" t="str">
        <v/>
      </c>
    </row>
    <row r="1348" spans="47:70" x14ac:dyDescent="0.2">
      <c r="AU1348"/>
      <c r="AV1348"/>
      <c r="AW1348"/>
      <c r="AX1348"/>
      <c r="AY1348"/>
      <c r="BK1348" s="42">
        <v>1347</v>
      </c>
      <c r="BL1348" s="127">
        <v>4</v>
      </c>
      <c r="BM1348" s="127">
        <v>0.11332468572476186</v>
      </c>
      <c r="BN1348" s="127" t="e">
        <v>#N/A</v>
      </c>
      <c r="BO1348" s="127" t="e">
        <v>#N/A</v>
      </c>
      <c r="BP1348" s="151" t="e">
        <v>#N/A</v>
      </c>
      <c r="BQ1348">
        <v>0.11332468572476186</v>
      </c>
      <c r="BR1348" t="str">
        <v/>
      </c>
    </row>
    <row r="1349" spans="47:70" x14ac:dyDescent="0.2">
      <c r="AU1349"/>
      <c r="AV1349"/>
      <c r="AW1349"/>
      <c r="AX1349"/>
      <c r="AY1349"/>
      <c r="BK1349" s="42">
        <v>1348</v>
      </c>
      <c r="BL1349" s="127">
        <v>4</v>
      </c>
      <c r="BM1349" s="127">
        <v>0.11332468572476186</v>
      </c>
      <c r="BN1349" s="127" t="e">
        <v>#N/A</v>
      </c>
      <c r="BO1349" s="127" t="e">
        <v>#N/A</v>
      </c>
      <c r="BP1349" s="151" t="e">
        <v>#N/A</v>
      </c>
      <c r="BQ1349">
        <v>0.11332468572476186</v>
      </c>
      <c r="BR1349" t="str">
        <v/>
      </c>
    </row>
    <row r="1350" spans="47:70" x14ac:dyDescent="0.2">
      <c r="AU1350"/>
      <c r="AV1350"/>
      <c r="AW1350"/>
      <c r="AX1350"/>
      <c r="AY1350"/>
      <c r="BK1350" s="42">
        <v>1349</v>
      </c>
      <c r="BL1350" s="127">
        <v>4</v>
      </c>
      <c r="BM1350" s="127">
        <v>0.11332468572476186</v>
      </c>
      <c r="BN1350" s="127" t="e">
        <v>#N/A</v>
      </c>
      <c r="BO1350" s="127" t="e">
        <v>#N/A</v>
      </c>
      <c r="BP1350" s="151" t="e">
        <v>#N/A</v>
      </c>
      <c r="BQ1350">
        <v>0.11332468572476186</v>
      </c>
      <c r="BR1350" t="str">
        <v/>
      </c>
    </row>
    <row r="1351" spans="47:70" x14ac:dyDescent="0.2">
      <c r="AU1351"/>
      <c r="AV1351"/>
      <c r="AW1351"/>
      <c r="AX1351"/>
      <c r="AY1351"/>
      <c r="BK1351" s="42">
        <v>1350</v>
      </c>
      <c r="BL1351" s="127">
        <v>4</v>
      </c>
      <c r="BM1351" s="127">
        <v>0.11332468572476186</v>
      </c>
      <c r="BN1351" s="127" t="e">
        <v>#N/A</v>
      </c>
      <c r="BO1351" s="127" t="e">
        <v>#N/A</v>
      </c>
      <c r="BP1351" s="151" t="e">
        <v>#N/A</v>
      </c>
      <c r="BQ1351">
        <v>0.11332468572476186</v>
      </c>
      <c r="BR1351" t="str">
        <v/>
      </c>
    </row>
    <row r="1352" spans="47:70" x14ac:dyDescent="0.2">
      <c r="AU1352"/>
      <c r="AV1352"/>
      <c r="AW1352"/>
      <c r="AX1352"/>
      <c r="AY1352"/>
      <c r="BK1352" s="42">
        <v>1351</v>
      </c>
      <c r="BL1352" s="127">
        <v>4</v>
      </c>
      <c r="BM1352" s="127">
        <v>0.11332468572476186</v>
      </c>
      <c r="BN1352" s="127" t="e">
        <v>#N/A</v>
      </c>
      <c r="BO1352" s="127" t="e">
        <v>#N/A</v>
      </c>
      <c r="BP1352" s="151" t="e">
        <v>#N/A</v>
      </c>
      <c r="BQ1352">
        <v>0.11332468572476186</v>
      </c>
      <c r="BR1352" t="str">
        <v/>
      </c>
    </row>
    <row r="1353" spans="47:70" x14ac:dyDescent="0.2">
      <c r="AU1353"/>
      <c r="AV1353"/>
      <c r="AW1353"/>
      <c r="AX1353"/>
      <c r="AY1353"/>
      <c r="BK1353" s="42">
        <v>1352</v>
      </c>
      <c r="BL1353" s="127">
        <v>4</v>
      </c>
      <c r="BM1353" s="127">
        <v>0.11332468572476186</v>
      </c>
      <c r="BN1353" s="127" t="e">
        <v>#N/A</v>
      </c>
      <c r="BO1353" s="127" t="e">
        <v>#N/A</v>
      </c>
      <c r="BP1353" s="151" t="e">
        <v>#N/A</v>
      </c>
      <c r="BQ1353">
        <v>0.11332468572476186</v>
      </c>
      <c r="BR1353" t="str">
        <v/>
      </c>
    </row>
    <row r="1354" spans="47:70" x14ac:dyDescent="0.2">
      <c r="AU1354"/>
      <c r="AV1354"/>
      <c r="AW1354"/>
      <c r="AX1354"/>
      <c r="AY1354"/>
      <c r="BK1354" s="42">
        <v>1353</v>
      </c>
      <c r="BL1354" s="127">
        <v>4</v>
      </c>
      <c r="BM1354" s="127">
        <v>0.11332468572476186</v>
      </c>
      <c r="BN1354" s="127" t="e">
        <v>#N/A</v>
      </c>
      <c r="BO1354" s="127" t="e">
        <v>#N/A</v>
      </c>
      <c r="BP1354" s="151" t="e">
        <v>#N/A</v>
      </c>
      <c r="BQ1354">
        <v>0.11332468572476186</v>
      </c>
      <c r="BR1354" t="str">
        <v/>
      </c>
    </row>
    <row r="1355" spans="47:70" x14ac:dyDescent="0.2">
      <c r="AU1355"/>
      <c r="AV1355"/>
      <c r="AW1355"/>
      <c r="AX1355"/>
      <c r="AY1355"/>
      <c r="BK1355" s="42">
        <v>1354</v>
      </c>
      <c r="BL1355" s="127">
        <v>4</v>
      </c>
      <c r="BM1355" s="127">
        <v>0.11332468572476186</v>
      </c>
      <c r="BN1355" s="127" t="e">
        <v>#N/A</v>
      </c>
      <c r="BO1355" s="127" t="e">
        <v>#N/A</v>
      </c>
      <c r="BP1355" s="151" t="e">
        <v>#N/A</v>
      </c>
      <c r="BQ1355">
        <v>0.11332468572476186</v>
      </c>
      <c r="BR1355" t="str">
        <v/>
      </c>
    </row>
    <row r="1356" spans="47:70" x14ac:dyDescent="0.2">
      <c r="AU1356"/>
      <c r="AV1356"/>
      <c r="AW1356"/>
      <c r="AX1356"/>
      <c r="AY1356"/>
      <c r="BK1356" s="42">
        <v>1355</v>
      </c>
      <c r="BL1356" s="127">
        <v>4</v>
      </c>
      <c r="BM1356" s="127">
        <v>0.11332468572476186</v>
      </c>
      <c r="BN1356" s="127" t="e">
        <v>#N/A</v>
      </c>
      <c r="BO1356" s="127" t="e">
        <v>#N/A</v>
      </c>
      <c r="BP1356" s="151" t="e">
        <v>#N/A</v>
      </c>
      <c r="BQ1356">
        <v>0.11332468572476186</v>
      </c>
      <c r="BR1356" t="str">
        <v/>
      </c>
    </row>
    <row r="1357" spans="47:70" x14ac:dyDescent="0.2">
      <c r="AU1357"/>
      <c r="AV1357"/>
      <c r="AW1357"/>
      <c r="AX1357"/>
      <c r="AY1357"/>
      <c r="BK1357" s="42">
        <v>1356</v>
      </c>
      <c r="BL1357" s="127">
        <v>4</v>
      </c>
      <c r="BM1357" s="127">
        <v>0.11332468572476186</v>
      </c>
      <c r="BN1357" s="127" t="e">
        <v>#N/A</v>
      </c>
      <c r="BO1357" s="127" t="e">
        <v>#N/A</v>
      </c>
      <c r="BP1357" s="151" t="e">
        <v>#N/A</v>
      </c>
      <c r="BQ1357">
        <v>0.11332468572476186</v>
      </c>
      <c r="BR1357" t="str">
        <v/>
      </c>
    </row>
    <row r="1358" spans="47:70" x14ac:dyDescent="0.2">
      <c r="AU1358"/>
      <c r="AV1358"/>
      <c r="AW1358"/>
      <c r="AX1358"/>
      <c r="AY1358"/>
      <c r="BK1358" s="42">
        <v>1357</v>
      </c>
      <c r="BL1358" s="127">
        <v>4</v>
      </c>
      <c r="BM1358" s="127">
        <v>0.11332468572476186</v>
      </c>
      <c r="BN1358" s="127" t="e">
        <v>#N/A</v>
      </c>
      <c r="BO1358" s="127" t="e">
        <v>#N/A</v>
      </c>
      <c r="BP1358" s="151" t="e">
        <v>#N/A</v>
      </c>
      <c r="BQ1358">
        <v>0.11332468572476186</v>
      </c>
      <c r="BR1358" t="str">
        <v/>
      </c>
    </row>
    <row r="1359" spans="47:70" x14ac:dyDescent="0.2">
      <c r="AU1359"/>
      <c r="AV1359"/>
      <c r="AW1359"/>
      <c r="AX1359"/>
      <c r="AY1359"/>
      <c r="BK1359" s="42">
        <v>1358</v>
      </c>
      <c r="BL1359" s="127">
        <v>4</v>
      </c>
      <c r="BM1359" s="127">
        <v>0.11332468572476186</v>
      </c>
      <c r="BN1359" s="127" t="e">
        <v>#N/A</v>
      </c>
      <c r="BO1359" s="127" t="e">
        <v>#N/A</v>
      </c>
      <c r="BP1359" s="151" t="e">
        <v>#N/A</v>
      </c>
      <c r="BQ1359">
        <v>0.11332468572476186</v>
      </c>
      <c r="BR1359" t="str">
        <v/>
      </c>
    </row>
    <row r="1360" spans="47:70" x14ac:dyDescent="0.2">
      <c r="AU1360"/>
      <c r="AV1360"/>
      <c r="AW1360"/>
      <c r="AX1360"/>
      <c r="AY1360"/>
      <c r="BK1360" s="42">
        <v>1359</v>
      </c>
      <c r="BL1360" s="127">
        <v>4</v>
      </c>
      <c r="BM1360" s="127">
        <v>0.11332468572476186</v>
      </c>
      <c r="BN1360" s="127" t="e">
        <v>#N/A</v>
      </c>
      <c r="BO1360" s="127" t="e">
        <v>#N/A</v>
      </c>
      <c r="BP1360" s="151" t="e">
        <v>#N/A</v>
      </c>
      <c r="BQ1360">
        <v>0.11332468572476186</v>
      </c>
      <c r="BR1360" t="str">
        <v/>
      </c>
    </row>
    <row r="1361" spans="47:70" x14ac:dyDescent="0.2">
      <c r="AU1361"/>
      <c r="AV1361"/>
      <c r="AW1361"/>
      <c r="AX1361"/>
      <c r="AY1361"/>
      <c r="BK1361" s="42">
        <v>1360</v>
      </c>
      <c r="BL1361" s="127">
        <v>4</v>
      </c>
      <c r="BM1361" s="127">
        <v>0.11332468572476186</v>
      </c>
      <c r="BN1361" s="127" t="e">
        <v>#N/A</v>
      </c>
      <c r="BO1361" s="127" t="e">
        <v>#N/A</v>
      </c>
      <c r="BP1361" s="151" t="e">
        <v>#N/A</v>
      </c>
      <c r="BQ1361">
        <v>0.11332468572476186</v>
      </c>
      <c r="BR1361" t="str">
        <v/>
      </c>
    </row>
    <row r="1362" spans="47:70" x14ac:dyDescent="0.2">
      <c r="AU1362"/>
      <c r="AV1362"/>
      <c r="AW1362"/>
      <c r="AX1362"/>
      <c r="AY1362"/>
      <c r="BK1362" s="42">
        <v>1361</v>
      </c>
      <c r="BL1362" s="127">
        <v>4</v>
      </c>
      <c r="BM1362" s="127">
        <v>0.11332468572476186</v>
      </c>
      <c r="BN1362" s="127" t="e">
        <v>#N/A</v>
      </c>
      <c r="BO1362" s="127" t="e">
        <v>#N/A</v>
      </c>
      <c r="BP1362" s="151" t="e">
        <v>#N/A</v>
      </c>
      <c r="BQ1362">
        <v>0.11332468572476186</v>
      </c>
      <c r="BR1362" t="str">
        <v/>
      </c>
    </row>
    <row r="1363" spans="47:70" x14ac:dyDescent="0.2">
      <c r="AU1363"/>
      <c r="AV1363"/>
      <c r="AW1363"/>
      <c r="AX1363"/>
      <c r="AY1363"/>
      <c r="BK1363" s="42">
        <v>1362</v>
      </c>
      <c r="BL1363" s="127">
        <v>4</v>
      </c>
      <c r="BM1363" s="127">
        <v>0.11332468572476186</v>
      </c>
      <c r="BN1363" s="127" t="e">
        <v>#N/A</v>
      </c>
      <c r="BO1363" s="127" t="e">
        <v>#N/A</v>
      </c>
      <c r="BP1363" s="151" t="e">
        <v>#N/A</v>
      </c>
      <c r="BQ1363">
        <v>0.11332468572476186</v>
      </c>
      <c r="BR1363" t="str">
        <v/>
      </c>
    </row>
    <row r="1364" spans="47:70" x14ac:dyDescent="0.2">
      <c r="AU1364"/>
      <c r="AV1364"/>
      <c r="AW1364"/>
      <c r="AX1364"/>
      <c r="AY1364"/>
      <c r="BK1364" s="42">
        <v>1363</v>
      </c>
      <c r="BL1364" s="127">
        <v>4</v>
      </c>
      <c r="BM1364" s="127">
        <v>0.11332468572476186</v>
      </c>
      <c r="BN1364" s="127" t="e">
        <v>#N/A</v>
      </c>
      <c r="BO1364" s="127" t="e">
        <v>#N/A</v>
      </c>
      <c r="BP1364" s="151" t="e">
        <v>#N/A</v>
      </c>
      <c r="BQ1364">
        <v>0.11332468572476186</v>
      </c>
      <c r="BR1364" t="str">
        <v/>
      </c>
    </row>
    <row r="1365" spans="47:70" x14ac:dyDescent="0.2">
      <c r="AU1365"/>
      <c r="AV1365"/>
      <c r="AW1365"/>
      <c r="AX1365"/>
      <c r="AY1365"/>
      <c r="BK1365" s="42">
        <v>1364</v>
      </c>
      <c r="BL1365" s="127">
        <v>4</v>
      </c>
      <c r="BM1365" s="127">
        <v>0.11332468572476186</v>
      </c>
      <c r="BN1365" s="127" t="e">
        <v>#N/A</v>
      </c>
      <c r="BO1365" s="127" t="e">
        <v>#N/A</v>
      </c>
      <c r="BP1365" s="151" t="e">
        <v>#N/A</v>
      </c>
      <c r="BQ1365">
        <v>0.11332468572476186</v>
      </c>
      <c r="BR1365" t="str">
        <v/>
      </c>
    </row>
    <row r="1366" spans="47:70" x14ac:dyDescent="0.2">
      <c r="AU1366"/>
      <c r="AV1366"/>
      <c r="AW1366"/>
      <c r="AX1366"/>
      <c r="AY1366"/>
      <c r="BK1366" s="42">
        <v>1365</v>
      </c>
      <c r="BL1366" s="127">
        <v>4</v>
      </c>
      <c r="BM1366" s="127">
        <v>0.11332468572476186</v>
      </c>
      <c r="BN1366" s="127" t="e">
        <v>#N/A</v>
      </c>
      <c r="BO1366" s="127" t="e">
        <v>#N/A</v>
      </c>
      <c r="BP1366" s="151" t="e">
        <v>#N/A</v>
      </c>
      <c r="BQ1366">
        <v>0.11332468572476186</v>
      </c>
      <c r="BR1366" t="str">
        <v/>
      </c>
    </row>
    <row r="1367" spans="47:70" x14ac:dyDescent="0.2">
      <c r="AU1367"/>
      <c r="AV1367"/>
      <c r="AW1367"/>
      <c r="AX1367"/>
      <c r="AY1367"/>
      <c r="BK1367" s="42">
        <v>1366</v>
      </c>
      <c r="BL1367" s="127">
        <v>4</v>
      </c>
      <c r="BM1367" s="127">
        <v>0.11332468572476186</v>
      </c>
      <c r="BN1367" s="127" t="e">
        <v>#N/A</v>
      </c>
      <c r="BO1367" s="127" t="e">
        <v>#N/A</v>
      </c>
      <c r="BP1367" s="151" t="e">
        <v>#N/A</v>
      </c>
      <c r="BQ1367">
        <v>0.11332468572476186</v>
      </c>
      <c r="BR1367" t="str">
        <v/>
      </c>
    </row>
    <row r="1368" spans="47:70" x14ac:dyDescent="0.2">
      <c r="AU1368"/>
      <c r="AV1368"/>
      <c r="AW1368"/>
      <c r="AX1368"/>
      <c r="AY1368"/>
      <c r="BK1368" s="42">
        <v>1367</v>
      </c>
      <c r="BL1368" s="127">
        <v>4</v>
      </c>
      <c r="BM1368" s="127">
        <v>0.11332468572476186</v>
      </c>
      <c r="BN1368" s="127" t="e">
        <v>#N/A</v>
      </c>
      <c r="BO1368" s="127" t="e">
        <v>#N/A</v>
      </c>
      <c r="BP1368" s="151" t="e">
        <v>#N/A</v>
      </c>
      <c r="BQ1368">
        <v>0.11332468572476186</v>
      </c>
      <c r="BR1368" t="str">
        <v/>
      </c>
    </row>
    <row r="1369" spans="47:70" x14ac:dyDescent="0.2">
      <c r="AU1369"/>
      <c r="AV1369"/>
      <c r="AW1369"/>
      <c r="AX1369"/>
      <c r="AY1369"/>
      <c r="BK1369" s="42">
        <v>1368</v>
      </c>
      <c r="BL1369" s="127">
        <v>4</v>
      </c>
      <c r="BM1369" s="127">
        <v>0.11332468572476186</v>
      </c>
      <c r="BN1369" s="127" t="e">
        <v>#N/A</v>
      </c>
      <c r="BO1369" s="127" t="e">
        <v>#N/A</v>
      </c>
      <c r="BP1369" s="151" t="e">
        <v>#N/A</v>
      </c>
      <c r="BQ1369">
        <v>0.11332468572476186</v>
      </c>
      <c r="BR1369" t="str">
        <v/>
      </c>
    </row>
    <row r="1370" spans="47:70" x14ac:dyDescent="0.2">
      <c r="AU1370"/>
      <c r="AV1370"/>
      <c r="AW1370"/>
      <c r="AX1370"/>
      <c r="AY1370"/>
      <c r="BK1370" s="42">
        <v>1369</v>
      </c>
      <c r="BL1370" s="127">
        <v>4</v>
      </c>
      <c r="BM1370" s="127">
        <v>0.11332468572476186</v>
      </c>
      <c r="BN1370" s="127" t="e">
        <v>#N/A</v>
      </c>
      <c r="BO1370" s="127" t="e">
        <v>#N/A</v>
      </c>
      <c r="BP1370" s="151" t="e">
        <v>#N/A</v>
      </c>
      <c r="BQ1370">
        <v>0.11332468572476186</v>
      </c>
      <c r="BR1370" t="str">
        <v/>
      </c>
    </row>
    <row r="1371" spans="47:70" x14ac:dyDescent="0.2">
      <c r="AU1371"/>
      <c r="AV1371"/>
      <c r="AW1371"/>
      <c r="AX1371"/>
      <c r="AY1371"/>
      <c r="BK1371" s="42">
        <v>1370</v>
      </c>
      <c r="BL1371" s="127">
        <v>4</v>
      </c>
      <c r="BM1371" s="127">
        <v>0.11332468572476186</v>
      </c>
      <c r="BN1371" s="127" t="e">
        <v>#N/A</v>
      </c>
      <c r="BO1371" s="127" t="e">
        <v>#N/A</v>
      </c>
      <c r="BP1371" s="151" t="e">
        <v>#N/A</v>
      </c>
      <c r="BQ1371">
        <v>0.11332468572476186</v>
      </c>
      <c r="BR1371" t="str">
        <v/>
      </c>
    </row>
    <row r="1372" spans="47:70" x14ac:dyDescent="0.2">
      <c r="AU1372"/>
      <c r="AV1372"/>
      <c r="AW1372"/>
      <c r="AX1372"/>
      <c r="AY1372"/>
      <c r="BK1372" s="42">
        <v>1371</v>
      </c>
      <c r="BL1372" s="127">
        <v>4</v>
      </c>
      <c r="BM1372" s="127">
        <v>0.11332468572476186</v>
      </c>
      <c r="BN1372" s="127" t="e">
        <v>#N/A</v>
      </c>
      <c r="BO1372" s="127" t="e">
        <v>#N/A</v>
      </c>
      <c r="BP1372" s="151" t="e">
        <v>#N/A</v>
      </c>
      <c r="BQ1372">
        <v>0.11332468572476186</v>
      </c>
      <c r="BR1372" t="str">
        <v/>
      </c>
    </row>
    <row r="1373" spans="47:70" x14ac:dyDescent="0.2">
      <c r="AU1373"/>
      <c r="AV1373"/>
      <c r="AW1373"/>
      <c r="AX1373"/>
      <c r="AY1373"/>
      <c r="BK1373" s="42">
        <v>1372</v>
      </c>
      <c r="BL1373" s="127">
        <v>4</v>
      </c>
      <c r="BM1373" s="127">
        <v>0.11332468572476186</v>
      </c>
      <c r="BN1373" s="127" t="e">
        <v>#N/A</v>
      </c>
      <c r="BO1373" s="127" t="e">
        <v>#N/A</v>
      </c>
      <c r="BP1373" s="151" t="e">
        <v>#N/A</v>
      </c>
      <c r="BQ1373">
        <v>0.11332468572476186</v>
      </c>
      <c r="BR1373" t="str">
        <v/>
      </c>
    </row>
    <row r="1374" spans="47:70" x14ac:dyDescent="0.2">
      <c r="AU1374"/>
      <c r="AV1374"/>
      <c r="AW1374"/>
      <c r="AX1374"/>
      <c r="AY1374"/>
      <c r="BK1374" s="42">
        <v>1373</v>
      </c>
      <c r="BL1374" s="127">
        <v>4</v>
      </c>
      <c r="BM1374" s="127">
        <v>0.11332468572476186</v>
      </c>
      <c r="BN1374" s="127" t="e">
        <v>#N/A</v>
      </c>
      <c r="BO1374" s="127" t="e">
        <v>#N/A</v>
      </c>
      <c r="BP1374" s="151" t="e">
        <v>#N/A</v>
      </c>
      <c r="BQ1374">
        <v>0.11332468572476186</v>
      </c>
      <c r="BR1374" t="str">
        <v/>
      </c>
    </row>
    <row r="1375" spans="47:70" x14ac:dyDescent="0.2">
      <c r="AU1375"/>
      <c r="AV1375"/>
      <c r="AW1375"/>
      <c r="AX1375"/>
      <c r="AY1375"/>
      <c r="BK1375" s="42">
        <v>1374</v>
      </c>
      <c r="BL1375" s="127">
        <v>4</v>
      </c>
      <c r="BM1375" s="127">
        <v>0.11332468572476186</v>
      </c>
      <c r="BN1375" s="127" t="e">
        <v>#N/A</v>
      </c>
      <c r="BO1375" s="127" t="e">
        <v>#N/A</v>
      </c>
      <c r="BP1375" s="151" t="e">
        <v>#N/A</v>
      </c>
      <c r="BQ1375">
        <v>0.11332468572476186</v>
      </c>
      <c r="BR1375" t="str">
        <v/>
      </c>
    </row>
    <row r="1376" spans="47:70" x14ac:dyDescent="0.2">
      <c r="AU1376"/>
      <c r="AV1376"/>
      <c r="AW1376"/>
      <c r="AX1376"/>
      <c r="AY1376"/>
      <c r="BK1376" s="42">
        <v>1375</v>
      </c>
      <c r="BL1376" s="127">
        <v>4</v>
      </c>
      <c r="BM1376" s="127">
        <v>0.11332468572476186</v>
      </c>
      <c r="BN1376" s="127" t="e">
        <v>#N/A</v>
      </c>
      <c r="BO1376" s="127" t="e">
        <v>#N/A</v>
      </c>
      <c r="BP1376" s="151" t="e">
        <v>#N/A</v>
      </c>
      <c r="BQ1376">
        <v>0.11332468572476186</v>
      </c>
      <c r="BR1376" t="str">
        <v/>
      </c>
    </row>
    <row r="1377" spans="47:70" x14ac:dyDescent="0.2">
      <c r="AU1377"/>
      <c r="AV1377"/>
      <c r="AW1377"/>
      <c r="AX1377"/>
      <c r="AY1377"/>
      <c r="BK1377" s="42">
        <v>1376</v>
      </c>
      <c r="BL1377" s="127">
        <v>4</v>
      </c>
      <c r="BM1377" s="127">
        <v>0.11332468572476186</v>
      </c>
      <c r="BN1377" s="127" t="e">
        <v>#N/A</v>
      </c>
      <c r="BO1377" s="127" t="e">
        <v>#N/A</v>
      </c>
      <c r="BP1377" s="151" t="e">
        <v>#N/A</v>
      </c>
      <c r="BQ1377">
        <v>0.11332468572476186</v>
      </c>
      <c r="BR1377" t="str">
        <v/>
      </c>
    </row>
    <row r="1378" spans="47:70" x14ac:dyDescent="0.2">
      <c r="AU1378"/>
      <c r="AV1378"/>
      <c r="AW1378"/>
      <c r="AX1378"/>
      <c r="AY1378"/>
      <c r="BK1378" s="42">
        <v>1377</v>
      </c>
      <c r="BL1378" s="127">
        <v>4</v>
      </c>
      <c r="BM1378" s="127">
        <v>0.11332468572476186</v>
      </c>
      <c r="BN1378" s="127" t="e">
        <v>#N/A</v>
      </c>
      <c r="BO1378" s="127" t="e">
        <v>#N/A</v>
      </c>
      <c r="BP1378" s="151" t="e">
        <v>#N/A</v>
      </c>
      <c r="BQ1378">
        <v>0.11332468572476186</v>
      </c>
      <c r="BR1378" t="str">
        <v/>
      </c>
    </row>
    <row r="1379" spans="47:70" x14ac:dyDescent="0.2">
      <c r="AU1379"/>
      <c r="AV1379"/>
      <c r="AW1379"/>
      <c r="AX1379"/>
      <c r="AY1379"/>
      <c r="BK1379" s="42">
        <v>1378</v>
      </c>
      <c r="BL1379" s="127">
        <v>4</v>
      </c>
      <c r="BM1379" s="127">
        <v>0.11332468572476186</v>
      </c>
      <c r="BN1379" s="127" t="e">
        <v>#N/A</v>
      </c>
      <c r="BO1379" s="127" t="e">
        <v>#N/A</v>
      </c>
      <c r="BP1379" s="151" t="e">
        <v>#N/A</v>
      </c>
      <c r="BQ1379">
        <v>0.11332468572476186</v>
      </c>
      <c r="BR1379" t="str">
        <v/>
      </c>
    </row>
    <row r="1380" spans="47:70" x14ac:dyDescent="0.2">
      <c r="AU1380"/>
      <c r="AV1380"/>
      <c r="AW1380"/>
      <c r="AX1380"/>
      <c r="AY1380"/>
      <c r="BK1380" s="42">
        <v>1379</v>
      </c>
      <c r="BL1380" s="127">
        <v>4</v>
      </c>
      <c r="BM1380" s="127">
        <v>0.11332468572476186</v>
      </c>
      <c r="BN1380" s="127" t="e">
        <v>#N/A</v>
      </c>
      <c r="BO1380" s="127" t="e">
        <v>#N/A</v>
      </c>
      <c r="BP1380" s="151" t="e">
        <v>#N/A</v>
      </c>
      <c r="BQ1380">
        <v>0.11332468572476186</v>
      </c>
      <c r="BR1380" t="str">
        <v/>
      </c>
    </row>
    <row r="1381" spans="47:70" x14ac:dyDescent="0.2">
      <c r="AU1381"/>
      <c r="AV1381"/>
      <c r="AW1381"/>
      <c r="AX1381"/>
      <c r="AY1381"/>
      <c r="BK1381" s="42">
        <v>1380</v>
      </c>
      <c r="BL1381" s="127">
        <v>4</v>
      </c>
      <c r="BM1381" s="127">
        <v>0.11332468572476186</v>
      </c>
      <c r="BN1381" s="127" t="e">
        <v>#N/A</v>
      </c>
      <c r="BO1381" s="127" t="e">
        <v>#N/A</v>
      </c>
      <c r="BP1381" s="151" t="e">
        <v>#N/A</v>
      </c>
      <c r="BQ1381">
        <v>0.11332468572476186</v>
      </c>
      <c r="BR1381" t="str">
        <v/>
      </c>
    </row>
    <row r="1382" spans="47:70" x14ac:dyDescent="0.2">
      <c r="AU1382"/>
      <c r="AV1382"/>
      <c r="AW1382"/>
      <c r="AX1382"/>
      <c r="AY1382"/>
      <c r="BK1382" s="42">
        <v>1381</v>
      </c>
      <c r="BL1382" s="127">
        <v>4</v>
      </c>
      <c r="BM1382" s="127">
        <v>0.11332468572476186</v>
      </c>
      <c r="BN1382" s="127" t="e">
        <v>#N/A</v>
      </c>
      <c r="BO1382" s="127" t="e">
        <v>#N/A</v>
      </c>
      <c r="BP1382" s="151" t="e">
        <v>#N/A</v>
      </c>
      <c r="BQ1382">
        <v>0.11332468572476186</v>
      </c>
      <c r="BR1382" t="str">
        <v/>
      </c>
    </row>
    <row r="1383" spans="47:70" x14ac:dyDescent="0.2">
      <c r="AU1383"/>
      <c r="AV1383"/>
      <c r="AW1383"/>
      <c r="AX1383"/>
      <c r="AY1383"/>
      <c r="BK1383" s="42">
        <v>1382</v>
      </c>
      <c r="BL1383" s="127">
        <v>4</v>
      </c>
      <c r="BM1383" s="127">
        <v>0.11332468572476186</v>
      </c>
      <c r="BN1383" s="127" t="e">
        <v>#N/A</v>
      </c>
      <c r="BO1383" s="127" t="e">
        <v>#N/A</v>
      </c>
      <c r="BP1383" s="151" t="e">
        <v>#N/A</v>
      </c>
      <c r="BQ1383">
        <v>0.11332468572476186</v>
      </c>
      <c r="BR1383" t="str">
        <v/>
      </c>
    </row>
    <row r="1384" spans="47:70" x14ac:dyDescent="0.2">
      <c r="AU1384"/>
      <c r="AV1384"/>
      <c r="AW1384"/>
      <c r="AX1384"/>
      <c r="AY1384"/>
      <c r="BK1384" s="42">
        <v>1383</v>
      </c>
      <c r="BL1384" s="127">
        <v>4</v>
      </c>
      <c r="BM1384" s="127">
        <v>0.11332468572476186</v>
      </c>
      <c r="BN1384" s="127" t="e">
        <v>#N/A</v>
      </c>
      <c r="BO1384" s="127" t="e">
        <v>#N/A</v>
      </c>
      <c r="BP1384" s="151" t="e">
        <v>#N/A</v>
      </c>
      <c r="BQ1384">
        <v>0.11332468572476186</v>
      </c>
      <c r="BR1384" t="str">
        <v/>
      </c>
    </row>
    <row r="1385" spans="47:70" x14ac:dyDescent="0.2">
      <c r="AU1385"/>
      <c r="AV1385"/>
      <c r="AW1385"/>
      <c r="AX1385"/>
      <c r="AY1385"/>
      <c r="BK1385" s="42">
        <v>1384</v>
      </c>
      <c r="BL1385" s="127">
        <v>4</v>
      </c>
      <c r="BM1385" s="127">
        <v>0.11332468572476186</v>
      </c>
      <c r="BN1385" s="127" t="e">
        <v>#N/A</v>
      </c>
      <c r="BO1385" s="127" t="e">
        <v>#N/A</v>
      </c>
      <c r="BP1385" s="151" t="e">
        <v>#N/A</v>
      </c>
      <c r="BQ1385">
        <v>0.11332468572476186</v>
      </c>
      <c r="BR1385" t="str">
        <v/>
      </c>
    </row>
    <row r="1386" spans="47:70" x14ac:dyDescent="0.2">
      <c r="AU1386"/>
      <c r="AV1386"/>
      <c r="AW1386"/>
      <c r="AX1386"/>
      <c r="AY1386"/>
      <c r="BK1386" s="42">
        <v>1385</v>
      </c>
      <c r="BL1386" s="127">
        <v>4</v>
      </c>
      <c r="BM1386" s="127">
        <v>0.11332468572476186</v>
      </c>
      <c r="BN1386" s="127" t="e">
        <v>#N/A</v>
      </c>
      <c r="BO1386" s="127" t="e">
        <v>#N/A</v>
      </c>
      <c r="BP1386" s="151" t="e">
        <v>#N/A</v>
      </c>
      <c r="BQ1386">
        <v>0.11332468572476186</v>
      </c>
      <c r="BR1386" t="str">
        <v/>
      </c>
    </row>
    <row r="1387" spans="47:70" x14ac:dyDescent="0.2">
      <c r="AU1387"/>
      <c r="AV1387"/>
      <c r="AW1387"/>
      <c r="AX1387"/>
      <c r="AY1387"/>
      <c r="BK1387" s="42">
        <v>1386</v>
      </c>
      <c r="BL1387" s="127">
        <v>4</v>
      </c>
      <c r="BM1387" s="127">
        <v>0.11332468572476186</v>
      </c>
      <c r="BN1387" s="127" t="e">
        <v>#N/A</v>
      </c>
      <c r="BO1387" s="127" t="e">
        <v>#N/A</v>
      </c>
      <c r="BP1387" s="151" t="e">
        <v>#N/A</v>
      </c>
      <c r="BQ1387">
        <v>0.11332468572476186</v>
      </c>
      <c r="BR1387" t="str">
        <v/>
      </c>
    </row>
    <row r="1388" spans="47:70" x14ac:dyDescent="0.2">
      <c r="AU1388"/>
      <c r="AV1388"/>
      <c r="AW1388"/>
      <c r="AX1388"/>
      <c r="AY1388"/>
      <c r="BK1388" s="42">
        <v>1387</v>
      </c>
      <c r="BL1388" s="127">
        <v>4</v>
      </c>
      <c r="BM1388" s="127">
        <v>0.11332468572476186</v>
      </c>
      <c r="BN1388" s="127" t="e">
        <v>#N/A</v>
      </c>
      <c r="BO1388" s="127" t="e">
        <v>#N/A</v>
      </c>
      <c r="BP1388" s="151" t="e">
        <v>#N/A</v>
      </c>
      <c r="BQ1388">
        <v>0.11332468572476186</v>
      </c>
      <c r="BR1388" t="str">
        <v/>
      </c>
    </row>
    <row r="1389" spans="47:70" x14ac:dyDescent="0.2">
      <c r="AU1389"/>
      <c r="AV1389"/>
      <c r="AW1389"/>
      <c r="AX1389"/>
      <c r="AY1389"/>
      <c r="BK1389" s="42">
        <v>1388</v>
      </c>
      <c r="BL1389" s="127">
        <v>4</v>
      </c>
      <c r="BM1389" s="127">
        <v>0.11332468572476186</v>
      </c>
      <c r="BN1389" s="127" t="e">
        <v>#N/A</v>
      </c>
      <c r="BO1389" s="127" t="e">
        <v>#N/A</v>
      </c>
      <c r="BP1389" s="151" t="e">
        <v>#N/A</v>
      </c>
      <c r="BQ1389">
        <v>0.11332468572476186</v>
      </c>
      <c r="BR1389" t="str">
        <v/>
      </c>
    </row>
    <row r="1390" spans="47:70" x14ac:dyDescent="0.2">
      <c r="AU1390"/>
      <c r="AV1390"/>
      <c r="AW1390"/>
      <c r="AX1390"/>
      <c r="AY1390"/>
      <c r="BK1390" s="42">
        <v>1389</v>
      </c>
      <c r="BL1390" s="127">
        <v>4</v>
      </c>
      <c r="BM1390" s="127">
        <v>0.11332468572476186</v>
      </c>
      <c r="BN1390" s="127" t="e">
        <v>#N/A</v>
      </c>
      <c r="BO1390" s="127" t="e">
        <v>#N/A</v>
      </c>
      <c r="BP1390" s="151" t="e">
        <v>#N/A</v>
      </c>
      <c r="BQ1390">
        <v>0.11332468572476186</v>
      </c>
      <c r="BR1390" t="str">
        <v/>
      </c>
    </row>
    <row r="1391" spans="47:70" x14ac:dyDescent="0.2">
      <c r="AU1391"/>
      <c r="AV1391"/>
      <c r="AW1391"/>
      <c r="AX1391"/>
      <c r="AY1391"/>
      <c r="BK1391" s="42">
        <v>1390</v>
      </c>
      <c r="BL1391" s="127">
        <v>4</v>
      </c>
      <c r="BM1391" s="127">
        <v>0.11332468572476186</v>
      </c>
      <c r="BN1391" s="127" t="e">
        <v>#N/A</v>
      </c>
      <c r="BO1391" s="127" t="e">
        <v>#N/A</v>
      </c>
      <c r="BP1391" s="151" t="e">
        <v>#N/A</v>
      </c>
      <c r="BQ1391">
        <v>0.11332468572476186</v>
      </c>
      <c r="BR1391" t="str">
        <v/>
      </c>
    </row>
    <row r="1392" spans="47:70" x14ac:dyDescent="0.2">
      <c r="AU1392"/>
      <c r="AV1392"/>
      <c r="AW1392"/>
      <c r="AX1392"/>
      <c r="AY1392"/>
      <c r="BK1392" s="42">
        <v>1391</v>
      </c>
      <c r="BL1392" s="127">
        <v>4</v>
      </c>
      <c r="BM1392" s="127">
        <v>0.11332468572476186</v>
      </c>
      <c r="BN1392" s="127" t="e">
        <v>#N/A</v>
      </c>
      <c r="BO1392" s="127" t="e">
        <v>#N/A</v>
      </c>
      <c r="BP1392" s="151" t="e">
        <v>#N/A</v>
      </c>
      <c r="BQ1392">
        <v>0.11332468572476186</v>
      </c>
      <c r="BR1392" t="str">
        <v/>
      </c>
    </row>
    <row r="1393" spans="47:70" x14ac:dyDescent="0.2">
      <c r="AU1393"/>
      <c r="AV1393"/>
      <c r="AW1393"/>
      <c r="AX1393"/>
      <c r="AY1393"/>
      <c r="BK1393" s="42">
        <v>1392</v>
      </c>
      <c r="BL1393" s="127">
        <v>4</v>
      </c>
      <c r="BM1393" s="127">
        <v>0.11332468572476186</v>
      </c>
      <c r="BN1393" s="127" t="e">
        <v>#N/A</v>
      </c>
      <c r="BO1393" s="127" t="e">
        <v>#N/A</v>
      </c>
      <c r="BP1393" s="151" t="e">
        <v>#N/A</v>
      </c>
      <c r="BQ1393">
        <v>0.11332468572476186</v>
      </c>
      <c r="BR1393" t="str">
        <v/>
      </c>
    </row>
    <row r="1394" spans="47:70" x14ac:dyDescent="0.2">
      <c r="AU1394"/>
      <c r="AV1394"/>
      <c r="AW1394"/>
      <c r="AX1394"/>
      <c r="AY1394"/>
      <c r="BK1394" s="42">
        <v>1393</v>
      </c>
      <c r="BL1394" s="127">
        <v>4</v>
      </c>
      <c r="BM1394" s="127">
        <v>0.11332468572476186</v>
      </c>
      <c r="BN1394" s="127" t="e">
        <v>#N/A</v>
      </c>
      <c r="BO1394" s="127" t="e">
        <v>#N/A</v>
      </c>
      <c r="BP1394" s="151" t="e">
        <v>#N/A</v>
      </c>
      <c r="BQ1394">
        <v>0.11332468572476186</v>
      </c>
      <c r="BR1394" t="str">
        <v/>
      </c>
    </row>
    <row r="1395" spans="47:70" x14ac:dyDescent="0.2">
      <c r="AU1395"/>
      <c r="AV1395"/>
      <c r="AW1395"/>
      <c r="AX1395"/>
      <c r="AY1395"/>
      <c r="BK1395" s="42">
        <v>1394</v>
      </c>
      <c r="BL1395" s="127">
        <v>4</v>
      </c>
      <c r="BM1395" s="127">
        <v>0.11332468572476186</v>
      </c>
      <c r="BN1395" s="127" t="e">
        <v>#N/A</v>
      </c>
      <c r="BO1395" s="127" t="e">
        <v>#N/A</v>
      </c>
      <c r="BP1395" s="151" t="e">
        <v>#N/A</v>
      </c>
      <c r="BQ1395">
        <v>0.11332468572476186</v>
      </c>
      <c r="BR1395" t="str">
        <v/>
      </c>
    </row>
    <row r="1396" spans="47:70" x14ac:dyDescent="0.2">
      <c r="AU1396"/>
      <c r="AV1396"/>
      <c r="AW1396"/>
      <c r="AX1396"/>
      <c r="AY1396"/>
      <c r="BK1396" s="42">
        <v>1395</v>
      </c>
      <c r="BL1396" s="127">
        <v>4</v>
      </c>
      <c r="BM1396" s="127">
        <v>0.11332468572476186</v>
      </c>
      <c r="BN1396" s="127" t="e">
        <v>#N/A</v>
      </c>
      <c r="BO1396" s="127" t="e">
        <v>#N/A</v>
      </c>
      <c r="BP1396" s="151" t="e">
        <v>#N/A</v>
      </c>
      <c r="BQ1396">
        <v>0.11332468572476186</v>
      </c>
      <c r="BR1396" t="str">
        <v/>
      </c>
    </row>
    <row r="1397" spans="47:70" x14ac:dyDescent="0.2">
      <c r="AU1397"/>
      <c r="AV1397"/>
      <c r="AW1397"/>
      <c r="AX1397"/>
      <c r="AY1397"/>
      <c r="BK1397" s="42">
        <v>1396</v>
      </c>
      <c r="BL1397" s="127">
        <v>4</v>
      </c>
      <c r="BM1397" s="127">
        <v>0.11332468572476186</v>
      </c>
      <c r="BN1397" s="127" t="e">
        <v>#N/A</v>
      </c>
      <c r="BO1397" s="127" t="e">
        <v>#N/A</v>
      </c>
      <c r="BP1397" s="151" t="e">
        <v>#N/A</v>
      </c>
      <c r="BQ1397">
        <v>0.11332468572476186</v>
      </c>
      <c r="BR1397" t="str">
        <v/>
      </c>
    </row>
    <row r="1398" spans="47:70" x14ac:dyDescent="0.2">
      <c r="AU1398"/>
      <c r="AV1398"/>
      <c r="AW1398"/>
      <c r="AX1398"/>
      <c r="AY1398"/>
      <c r="BK1398" s="42">
        <v>1397</v>
      </c>
      <c r="BL1398" s="127">
        <v>4</v>
      </c>
      <c r="BM1398" s="127">
        <v>0.11332468572476186</v>
      </c>
      <c r="BN1398" s="127" t="e">
        <v>#N/A</v>
      </c>
      <c r="BO1398" s="127" t="e">
        <v>#N/A</v>
      </c>
      <c r="BP1398" s="151" t="e">
        <v>#N/A</v>
      </c>
      <c r="BQ1398">
        <v>0.11332468572476186</v>
      </c>
      <c r="BR1398" t="str">
        <v/>
      </c>
    </row>
    <row r="1399" spans="47:70" x14ac:dyDescent="0.2">
      <c r="AU1399"/>
      <c r="AV1399"/>
      <c r="AW1399"/>
      <c r="AX1399"/>
      <c r="AY1399"/>
      <c r="BK1399" s="42">
        <v>1398</v>
      </c>
      <c r="BL1399" s="127">
        <v>4</v>
      </c>
      <c r="BM1399" s="127">
        <v>0.11332468572476186</v>
      </c>
      <c r="BN1399" s="127" t="e">
        <v>#N/A</v>
      </c>
      <c r="BO1399" s="127" t="e">
        <v>#N/A</v>
      </c>
      <c r="BP1399" s="151" t="e">
        <v>#N/A</v>
      </c>
      <c r="BQ1399">
        <v>0.11332468572476186</v>
      </c>
      <c r="BR1399" t="str">
        <v/>
      </c>
    </row>
    <row r="1400" spans="47:70" x14ac:dyDescent="0.2">
      <c r="AU1400"/>
      <c r="AV1400"/>
      <c r="AW1400"/>
      <c r="AX1400"/>
      <c r="AY1400"/>
      <c r="BK1400" s="42">
        <v>1399</v>
      </c>
      <c r="BL1400" s="127">
        <v>4</v>
      </c>
      <c r="BM1400" s="127">
        <v>0.11332468572476186</v>
      </c>
      <c r="BN1400" s="127" t="e">
        <v>#N/A</v>
      </c>
      <c r="BO1400" s="127" t="e">
        <v>#N/A</v>
      </c>
      <c r="BP1400" s="151" t="e">
        <v>#N/A</v>
      </c>
      <c r="BQ1400">
        <v>0.11332468572476186</v>
      </c>
      <c r="BR1400" t="str">
        <v/>
      </c>
    </row>
    <row r="1401" spans="47:70" x14ac:dyDescent="0.2">
      <c r="AU1401"/>
      <c r="AV1401"/>
      <c r="AW1401"/>
      <c r="AX1401"/>
      <c r="AY1401"/>
      <c r="BK1401" s="42">
        <v>1400</v>
      </c>
      <c r="BL1401" s="127">
        <v>4</v>
      </c>
      <c r="BM1401" s="127">
        <v>0.11332468572476186</v>
      </c>
      <c r="BN1401" s="127" t="e">
        <v>#N/A</v>
      </c>
      <c r="BO1401" s="127" t="e">
        <v>#N/A</v>
      </c>
      <c r="BP1401" s="151" t="e">
        <v>#N/A</v>
      </c>
      <c r="BQ1401">
        <v>0.11332468572476186</v>
      </c>
      <c r="BR1401" t="str">
        <v/>
      </c>
    </row>
    <row r="1402" spans="47:70" x14ac:dyDescent="0.2">
      <c r="AU1402"/>
      <c r="AV1402"/>
      <c r="AW1402"/>
      <c r="AX1402"/>
      <c r="AY1402"/>
      <c r="BK1402" s="42">
        <v>1401</v>
      </c>
      <c r="BL1402" s="127">
        <v>4</v>
      </c>
      <c r="BM1402" s="127">
        <v>0.11332468572476186</v>
      </c>
      <c r="BN1402" s="127" t="e">
        <v>#N/A</v>
      </c>
      <c r="BO1402" s="127" t="e">
        <v>#N/A</v>
      </c>
      <c r="BP1402" s="151" t="e">
        <v>#N/A</v>
      </c>
      <c r="BQ1402">
        <v>0.11332468572476186</v>
      </c>
      <c r="BR1402" t="str">
        <v/>
      </c>
    </row>
    <row r="1403" spans="47:70" x14ac:dyDescent="0.2">
      <c r="AU1403"/>
      <c r="AV1403"/>
      <c r="AW1403"/>
      <c r="AX1403"/>
      <c r="AY1403"/>
      <c r="BK1403" s="42">
        <v>1402</v>
      </c>
      <c r="BL1403" s="127">
        <v>4</v>
      </c>
      <c r="BM1403" s="127">
        <v>0.11332468572476186</v>
      </c>
      <c r="BN1403" s="127" t="e">
        <v>#N/A</v>
      </c>
      <c r="BO1403" s="127" t="e">
        <v>#N/A</v>
      </c>
      <c r="BP1403" s="151" t="e">
        <v>#N/A</v>
      </c>
      <c r="BQ1403">
        <v>0.11332468572476186</v>
      </c>
      <c r="BR1403" t="str">
        <v/>
      </c>
    </row>
    <row r="1404" spans="47:70" x14ac:dyDescent="0.2">
      <c r="AU1404"/>
      <c r="AV1404"/>
      <c r="AW1404"/>
      <c r="AX1404"/>
      <c r="AY1404"/>
      <c r="BK1404" s="42">
        <v>1403</v>
      </c>
      <c r="BL1404" s="127">
        <v>4</v>
      </c>
      <c r="BM1404" s="127">
        <v>0.11332468572476186</v>
      </c>
      <c r="BN1404" s="127" t="e">
        <v>#N/A</v>
      </c>
      <c r="BO1404" s="127" t="e">
        <v>#N/A</v>
      </c>
      <c r="BP1404" s="151" t="e">
        <v>#N/A</v>
      </c>
      <c r="BQ1404">
        <v>0.11332468572476186</v>
      </c>
      <c r="BR1404" t="str">
        <v/>
      </c>
    </row>
    <row r="1405" spans="47:70" x14ac:dyDescent="0.2">
      <c r="AU1405"/>
      <c r="AV1405"/>
      <c r="AW1405"/>
      <c r="AX1405"/>
      <c r="AY1405"/>
      <c r="BK1405" s="42">
        <v>1404</v>
      </c>
      <c r="BL1405" s="127">
        <v>4</v>
      </c>
      <c r="BM1405" s="127">
        <v>0.11332468572476186</v>
      </c>
      <c r="BN1405" s="127" t="e">
        <v>#N/A</v>
      </c>
      <c r="BO1405" s="127" t="e">
        <v>#N/A</v>
      </c>
      <c r="BP1405" s="151" t="e">
        <v>#N/A</v>
      </c>
      <c r="BQ1405">
        <v>0.11332468572476186</v>
      </c>
      <c r="BR1405" t="str">
        <v/>
      </c>
    </row>
    <row r="1406" spans="47:70" x14ac:dyDescent="0.2">
      <c r="AU1406"/>
      <c r="AV1406"/>
      <c r="AW1406"/>
      <c r="AX1406"/>
      <c r="AY1406"/>
      <c r="BK1406" s="42">
        <v>1405</v>
      </c>
      <c r="BL1406" s="127">
        <v>4</v>
      </c>
      <c r="BM1406" s="127">
        <v>0.11332468572476186</v>
      </c>
      <c r="BN1406" s="127" t="e">
        <v>#N/A</v>
      </c>
      <c r="BO1406" s="127" t="e">
        <v>#N/A</v>
      </c>
      <c r="BP1406" s="151" t="e">
        <v>#N/A</v>
      </c>
      <c r="BQ1406">
        <v>0.11332468572476186</v>
      </c>
      <c r="BR1406" t="str">
        <v/>
      </c>
    </row>
    <row r="1407" spans="47:70" x14ac:dyDescent="0.2">
      <c r="AU1407"/>
      <c r="AV1407"/>
      <c r="AW1407"/>
      <c r="AX1407"/>
      <c r="AY1407"/>
      <c r="BK1407" s="42">
        <v>1406</v>
      </c>
      <c r="BL1407" s="127">
        <v>4</v>
      </c>
      <c r="BM1407" s="127">
        <v>0.11332468572476186</v>
      </c>
      <c r="BN1407" s="127" t="e">
        <v>#N/A</v>
      </c>
      <c r="BO1407" s="127" t="e">
        <v>#N/A</v>
      </c>
      <c r="BP1407" s="151" t="e">
        <v>#N/A</v>
      </c>
      <c r="BQ1407">
        <v>0.11332468572476186</v>
      </c>
      <c r="BR1407" t="str">
        <v/>
      </c>
    </row>
    <row r="1408" spans="47:70" x14ac:dyDescent="0.2">
      <c r="AU1408"/>
      <c r="AV1408"/>
      <c r="AW1408"/>
      <c r="AX1408"/>
      <c r="AY1408"/>
      <c r="BK1408" s="42">
        <v>1407</v>
      </c>
      <c r="BL1408" s="127">
        <v>4</v>
      </c>
      <c r="BM1408" s="127">
        <v>0.11332468572476186</v>
      </c>
      <c r="BN1408" s="127" t="e">
        <v>#N/A</v>
      </c>
      <c r="BO1408" s="127" t="e">
        <v>#N/A</v>
      </c>
      <c r="BP1408" s="151" t="e">
        <v>#N/A</v>
      </c>
      <c r="BQ1408">
        <v>0.11332468572476186</v>
      </c>
      <c r="BR1408" t="str">
        <v/>
      </c>
    </row>
    <row r="1409" spans="47:70" x14ac:dyDescent="0.2">
      <c r="AU1409"/>
      <c r="AV1409"/>
      <c r="AW1409"/>
      <c r="AX1409"/>
      <c r="AY1409"/>
      <c r="BK1409" s="42">
        <v>1408</v>
      </c>
      <c r="BL1409" s="127">
        <v>4</v>
      </c>
      <c r="BM1409" s="127">
        <v>0.11332468572476186</v>
      </c>
      <c r="BN1409" s="127" t="e">
        <v>#N/A</v>
      </c>
      <c r="BO1409" s="127" t="e">
        <v>#N/A</v>
      </c>
      <c r="BP1409" s="151" t="e">
        <v>#N/A</v>
      </c>
      <c r="BQ1409">
        <v>0.11332468572476186</v>
      </c>
      <c r="BR1409" t="str">
        <v/>
      </c>
    </row>
    <row r="1410" spans="47:70" x14ac:dyDescent="0.2">
      <c r="AU1410"/>
      <c r="AV1410"/>
      <c r="AW1410"/>
      <c r="AX1410"/>
      <c r="AY1410"/>
      <c r="BK1410" s="42">
        <v>1409</v>
      </c>
      <c r="BL1410" s="127">
        <v>4</v>
      </c>
      <c r="BM1410" s="127">
        <v>0.11332468572476186</v>
      </c>
      <c r="BN1410" s="127" t="e">
        <v>#N/A</v>
      </c>
      <c r="BO1410" s="127" t="e">
        <v>#N/A</v>
      </c>
      <c r="BP1410" s="151" t="e">
        <v>#N/A</v>
      </c>
      <c r="BQ1410">
        <v>0.11332468572476186</v>
      </c>
      <c r="BR1410" t="str">
        <v/>
      </c>
    </row>
    <row r="1411" spans="47:70" x14ac:dyDescent="0.2">
      <c r="AU1411"/>
      <c r="AV1411"/>
      <c r="AW1411"/>
      <c r="AX1411"/>
      <c r="AY1411"/>
      <c r="BK1411" s="42">
        <v>1410</v>
      </c>
      <c r="BL1411" s="127">
        <v>4</v>
      </c>
      <c r="BM1411" s="127">
        <v>0.11332468572476186</v>
      </c>
      <c r="BN1411" s="127" t="e">
        <v>#N/A</v>
      </c>
      <c r="BO1411" s="127" t="e">
        <v>#N/A</v>
      </c>
      <c r="BP1411" s="151" t="e">
        <v>#N/A</v>
      </c>
      <c r="BQ1411">
        <v>0.11332468572476186</v>
      </c>
      <c r="BR1411" t="str">
        <v/>
      </c>
    </row>
    <row r="1412" spans="47:70" x14ac:dyDescent="0.2">
      <c r="AU1412"/>
      <c r="AV1412"/>
      <c r="AW1412"/>
      <c r="AX1412"/>
      <c r="AY1412"/>
      <c r="BK1412" s="42">
        <v>1411</v>
      </c>
      <c r="BL1412" s="127">
        <v>4</v>
      </c>
      <c r="BM1412" s="127">
        <v>0.11332468572476186</v>
      </c>
      <c r="BN1412" s="127" t="e">
        <v>#N/A</v>
      </c>
      <c r="BO1412" s="127" t="e">
        <v>#N/A</v>
      </c>
      <c r="BP1412" s="151" t="e">
        <v>#N/A</v>
      </c>
      <c r="BQ1412">
        <v>0.11332468572476186</v>
      </c>
      <c r="BR1412" t="str">
        <v/>
      </c>
    </row>
    <row r="1413" spans="47:70" x14ac:dyDescent="0.2">
      <c r="AU1413"/>
      <c r="AV1413"/>
      <c r="AW1413"/>
      <c r="AX1413"/>
      <c r="AY1413"/>
      <c r="BK1413" s="42">
        <v>1412</v>
      </c>
      <c r="BL1413" s="127">
        <v>4</v>
      </c>
      <c r="BM1413" s="127">
        <v>0.11332468572476186</v>
      </c>
      <c r="BN1413" s="127" t="e">
        <v>#N/A</v>
      </c>
      <c r="BO1413" s="127" t="e">
        <v>#N/A</v>
      </c>
      <c r="BP1413" s="151" t="e">
        <v>#N/A</v>
      </c>
      <c r="BQ1413">
        <v>0.11332468572476186</v>
      </c>
      <c r="BR1413" t="str">
        <v/>
      </c>
    </row>
    <row r="1414" spans="47:70" x14ac:dyDescent="0.2">
      <c r="AU1414"/>
      <c r="AV1414"/>
      <c r="AW1414"/>
      <c r="AX1414"/>
      <c r="AY1414"/>
      <c r="BK1414" s="42">
        <v>1413</v>
      </c>
      <c r="BL1414" s="127">
        <v>4</v>
      </c>
      <c r="BM1414" s="127">
        <v>0.11332468572476186</v>
      </c>
      <c r="BN1414" s="127" t="e">
        <v>#N/A</v>
      </c>
      <c r="BO1414" s="127" t="e">
        <v>#N/A</v>
      </c>
      <c r="BP1414" s="151" t="e">
        <v>#N/A</v>
      </c>
      <c r="BQ1414">
        <v>0.11332468572476186</v>
      </c>
      <c r="BR1414" t="str">
        <v/>
      </c>
    </row>
    <row r="1415" spans="47:70" x14ac:dyDescent="0.2">
      <c r="AU1415"/>
      <c r="AV1415"/>
      <c r="AW1415"/>
      <c r="AX1415"/>
      <c r="AY1415"/>
      <c r="BK1415" s="42">
        <v>1414</v>
      </c>
      <c r="BL1415" s="127">
        <v>4</v>
      </c>
      <c r="BM1415" s="127">
        <v>0.11332468572476186</v>
      </c>
      <c r="BN1415" s="127" t="e">
        <v>#N/A</v>
      </c>
      <c r="BO1415" s="127" t="e">
        <v>#N/A</v>
      </c>
      <c r="BP1415" s="151" t="e">
        <v>#N/A</v>
      </c>
      <c r="BQ1415">
        <v>0.11332468572476186</v>
      </c>
      <c r="BR1415" t="str">
        <v/>
      </c>
    </row>
    <row r="1416" spans="47:70" x14ac:dyDescent="0.2">
      <c r="AU1416"/>
      <c r="AV1416"/>
      <c r="AW1416"/>
      <c r="AX1416"/>
      <c r="AY1416"/>
      <c r="BK1416" s="42">
        <v>1415</v>
      </c>
      <c r="BL1416" s="127">
        <v>4</v>
      </c>
      <c r="BM1416" s="127">
        <v>0.11332468572476186</v>
      </c>
      <c r="BN1416" s="127" t="e">
        <v>#N/A</v>
      </c>
      <c r="BO1416" s="127" t="e">
        <v>#N/A</v>
      </c>
      <c r="BP1416" s="151" t="e">
        <v>#N/A</v>
      </c>
      <c r="BQ1416">
        <v>0.11332468572476186</v>
      </c>
      <c r="BR1416" t="str">
        <v/>
      </c>
    </row>
    <row r="1417" spans="47:70" x14ac:dyDescent="0.2">
      <c r="AU1417"/>
      <c r="AV1417"/>
      <c r="AW1417"/>
      <c r="AX1417"/>
      <c r="AY1417"/>
      <c r="BK1417" s="42">
        <v>1416</v>
      </c>
      <c r="BL1417" s="127">
        <v>4</v>
      </c>
      <c r="BM1417" s="127">
        <v>0.11332468572476186</v>
      </c>
      <c r="BN1417" s="127" t="e">
        <v>#N/A</v>
      </c>
      <c r="BO1417" s="127" t="e">
        <v>#N/A</v>
      </c>
      <c r="BP1417" s="151" t="e">
        <v>#N/A</v>
      </c>
      <c r="BQ1417">
        <v>0.11332468572476186</v>
      </c>
      <c r="BR1417" t="str">
        <v/>
      </c>
    </row>
    <row r="1418" spans="47:70" x14ac:dyDescent="0.2">
      <c r="AU1418"/>
      <c r="AV1418"/>
      <c r="AW1418"/>
      <c r="AX1418"/>
      <c r="AY1418"/>
      <c r="BK1418" s="42">
        <v>1417</v>
      </c>
      <c r="BL1418" s="127">
        <v>4</v>
      </c>
      <c r="BM1418" s="127">
        <v>0.11332468572476186</v>
      </c>
      <c r="BN1418" s="127" t="e">
        <v>#N/A</v>
      </c>
      <c r="BO1418" s="127" t="e">
        <v>#N/A</v>
      </c>
      <c r="BP1418" s="151" t="e">
        <v>#N/A</v>
      </c>
      <c r="BQ1418">
        <v>0.11332468572476186</v>
      </c>
      <c r="BR1418" t="str">
        <v/>
      </c>
    </row>
    <row r="1419" spans="47:70" x14ac:dyDescent="0.2">
      <c r="AU1419"/>
      <c r="AV1419"/>
      <c r="AW1419"/>
      <c r="AX1419"/>
      <c r="AY1419"/>
      <c r="BK1419" s="42">
        <v>1418</v>
      </c>
      <c r="BL1419" s="127">
        <v>4</v>
      </c>
      <c r="BM1419" s="127">
        <v>0.11332468572476186</v>
      </c>
      <c r="BN1419" s="127" t="e">
        <v>#N/A</v>
      </c>
      <c r="BO1419" s="127" t="e">
        <v>#N/A</v>
      </c>
      <c r="BP1419" s="151" t="e">
        <v>#N/A</v>
      </c>
      <c r="BQ1419">
        <v>0.11332468572476186</v>
      </c>
      <c r="BR1419" t="str">
        <v/>
      </c>
    </row>
    <row r="1420" spans="47:70" x14ac:dyDescent="0.2">
      <c r="AU1420"/>
      <c r="AV1420"/>
      <c r="AW1420"/>
      <c r="AX1420"/>
      <c r="AY1420"/>
      <c r="BK1420" s="42">
        <v>1419</v>
      </c>
      <c r="BL1420" s="127">
        <v>4</v>
      </c>
      <c r="BM1420" s="127">
        <v>0.11332468572476186</v>
      </c>
      <c r="BN1420" s="127" t="e">
        <v>#N/A</v>
      </c>
      <c r="BO1420" s="127" t="e">
        <v>#N/A</v>
      </c>
      <c r="BP1420" s="151" t="e">
        <v>#N/A</v>
      </c>
      <c r="BQ1420">
        <v>0.11332468572476186</v>
      </c>
      <c r="BR1420" t="str">
        <v/>
      </c>
    </row>
    <row r="1421" spans="47:70" x14ac:dyDescent="0.2">
      <c r="AU1421"/>
      <c r="AV1421"/>
      <c r="AW1421"/>
      <c r="AX1421"/>
      <c r="AY1421"/>
      <c r="BK1421" s="42">
        <v>1420</v>
      </c>
      <c r="BL1421" s="127">
        <v>4</v>
      </c>
      <c r="BM1421" s="127">
        <v>0.11332468572476186</v>
      </c>
      <c r="BN1421" s="127" t="e">
        <v>#N/A</v>
      </c>
      <c r="BO1421" s="127" t="e">
        <v>#N/A</v>
      </c>
      <c r="BP1421" s="151" t="e">
        <v>#N/A</v>
      </c>
      <c r="BQ1421">
        <v>0.11332468572476186</v>
      </c>
      <c r="BR1421" t="str">
        <v/>
      </c>
    </row>
    <row r="1422" spans="47:70" x14ac:dyDescent="0.2">
      <c r="AU1422"/>
      <c r="AV1422"/>
      <c r="AW1422"/>
      <c r="AX1422"/>
      <c r="AY1422"/>
      <c r="BK1422" s="42">
        <v>1421</v>
      </c>
      <c r="BL1422" s="127">
        <v>4</v>
      </c>
      <c r="BM1422" s="127">
        <v>0.11332468572476186</v>
      </c>
      <c r="BN1422" s="127" t="e">
        <v>#N/A</v>
      </c>
      <c r="BO1422" s="127" t="e">
        <v>#N/A</v>
      </c>
      <c r="BP1422" s="151" t="e">
        <v>#N/A</v>
      </c>
      <c r="BQ1422">
        <v>0.11332468572476186</v>
      </c>
      <c r="BR1422" t="str">
        <v/>
      </c>
    </row>
    <row r="1423" spans="47:70" x14ac:dyDescent="0.2">
      <c r="AU1423"/>
      <c r="AV1423"/>
      <c r="AW1423"/>
      <c r="AX1423"/>
      <c r="AY1423"/>
      <c r="BK1423" s="42">
        <v>1422</v>
      </c>
      <c r="BL1423" s="127">
        <v>4</v>
      </c>
      <c r="BM1423" s="127">
        <v>0.11332468572476186</v>
      </c>
      <c r="BN1423" s="127" t="e">
        <v>#N/A</v>
      </c>
      <c r="BO1423" s="127" t="e">
        <v>#N/A</v>
      </c>
      <c r="BP1423" s="151" t="e">
        <v>#N/A</v>
      </c>
      <c r="BQ1423">
        <v>0.11332468572476186</v>
      </c>
      <c r="BR1423" t="str">
        <v/>
      </c>
    </row>
    <row r="1424" spans="47:70" x14ac:dyDescent="0.2">
      <c r="AU1424"/>
      <c r="AV1424"/>
      <c r="AW1424"/>
      <c r="AX1424"/>
      <c r="AY1424"/>
      <c r="BK1424" s="42">
        <v>1423</v>
      </c>
      <c r="BL1424" s="127">
        <v>4</v>
      </c>
      <c r="BM1424" s="127">
        <v>0.11332468572476186</v>
      </c>
      <c r="BN1424" s="127" t="e">
        <v>#N/A</v>
      </c>
      <c r="BO1424" s="127" t="e">
        <v>#N/A</v>
      </c>
      <c r="BP1424" s="151" t="e">
        <v>#N/A</v>
      </c>
      <c r="BQ1424">
        <v>0.11332468572476186</v>
      </c>
      <c r="BR1424" t="str">
        <v/>
      </c>
    </row>
    <row r="1425" spans="47:70" x14ac:dyDescent="0.2">
      <c r="AU1425"/>
      <c r="AV1425"/>
      <c r="AW1425"/>
      <c r="AX1425"/>
      <c r="AY1425"/>
      <c r="BK1425" s="42">
        <v>1424</v>
      </c>
      <c r="BL1425" s="127">
        <v>4</v>
      </c>
      <c r="BM1425" s="127">
        <v>0.11332468572476186</v>
      </c>
      <c r="BN1425" s="127" t="e">
        <v>#N/A</v>
      </c>
      <c r="BO1425" s="127" t="e">
        <v>#N/A</v>
      </c>
      <c r="BP1425" s="151" t="e">
        <v>#N/A</v>
      </c>
      <c r="BQ1425">
        <v>0.11332468572476186</v>
      </c>
      <c r="BR1425" t="str">
        <v/>
      </c>
    </row>
    <row r="1426" spans="47:70" x14ac:dyDescent="0.2">
      <c r="AU1426"/>
      <c r="AV1426"/>
      <c r="AW1426"/>
      <c r="AX1426"/>
      <c r="AY1426"/>
      <c r="BK1426" s="42">
        <v>1425</v>
      </c>
      <c r="BL1426" s="127">
        <v>4</v>
      </c>
      <c r="BM1426" s="127">
        <v>0.11332468572476186</v>
      </c>
      <c r="BN1426" s="127" t="e">
        <v>#N/A</v>
      </c>
      <c r="BO1426" s="127" t="e">
        <v>#N/A</v>
      </c>
      <c r="BP1426" s="151" t="e">
        <v>#N/A</v>
      </c>
      <c r="BQ1426">
        <v>0.11332468572476186</v>
      </c>
      <c r="BR1426" t="str">
        <v/>
      </c>
    </row>
    <row r="1427" spans="47:70" x14ac:dyDescent="0.2">
      <c r="AU1427"/>
      <c r="AV1427"/>
      <c r="AW1427"/>
      <c r="AX1427"/>
      <c r="AY1427"/>
      <c r="BK1427" s="42">
        <v>1426</v>
      </c>
      <c r="BL1427" s="127">
        <v>4</v>
      </c>
      <c r="BM1427" s="127">
        <v>0.11332468572476186</v>
      </c>
      <c r="BN1427" s="127" t="e">
        <v>#N/A</v>
      </c>
      <c r="BO1427" s="127" t="e">
        <v>#N/A</v>
      </c>
      <c r="BP1427" s="151" t="e">
        <v>#N/A</v>
      </c>
      <c r="BQ1427">
        <v>0.11332468572476186</v>
      </c>
      <c r="BR1427" t="str">
        <v/>
      </c>
    </row>
    <row r="1428" spans="47:70" x14ac:dyDescent="0.2">
      <c r="AU1428"/>
      <c r="AV1428"/>
      <c r="AW1428"/>
      <c r="AX1428"/>
      <c r="AY1428"/>
      <c r="BK1428" s="42">
        <v>1427</v>
      </c>
      <c r="BL1428" s="127">
        <v>4</v>
      </c>
      <c r="BM1428" s="127">
        <v>0.11332468572476186</v>
      </c>
      <c r="BN1428" s="127" t="e">
        <v>#N/A</v>
      </c>
      <c r="BO1428" s="127" t="e">
        <v>#N/A</v>
      </c>
      <c r="BP1428" s="151" t="e">
        <v>#N/A</v>
      </c>
      <c r="BQ1428">
        <v>0.11332468572476186</v>
      </c>
      <c r="BR1428" t="str">
        <v/>
      </c>
    </row>
    <row r="1429" spans="47:70" x14ac:dyDescent="0.2">
      <c r="AU1429"/>
      <c r="AV1429"/>
      <c r="AW1429"/>
      <c r="AX1429"/>
      <c r="AY1429"/>
      <c r="BK1429" s="42">
        <v>1428</v>
      </c>
      <c r="BL1429" s="127">
        <v>4</v>
      </c>
      <c r="BM1429" s="127">
        <v>0.11332468572476186</v>
      </c>
      <c r="BN1429" s="127" t="e">
        <v>#N/A</v>
      </c>
      <c r="BO1429" s="127" t="e">
        <v>#N/A</v>
      </c>
      <c r="BP1429" s="151" t="e">
        <v>#N/A</v>
      </c>
      <c r="BQ1429">
        <v>0.11332468572476186</v>
      </c>
      <c r="BR1429" t="str">
        <v/>
      </c>
    </row>
    <row r="1430" spans="47:70" x14ac:dyDescent="0.2">
      <c r="AU1430"/>
      <c r="AV1430"/>
      <c r="AW1430"/>
      <c r="AX1430"/>
      <c r="AY1430"/>
      <c r="BK1430" s="42">
        <v>1429</v>
      </c>
      <c r="BL1430" s="127">
        <v>4</v>
      </c>
      <c r="BM1430" s="127">
        <v>0.11332468572476186</v>
      </c>
      <c r="BN1430" s="127" t="e">
        <v>#N/A</v>
      </c>
      <c r="BO1430" s="127" t="e">
        <v>#N/A</v>
      </c>
      <c r="BP1430" s="151" t="e">
        <v>#N/A</v>
      </c>
      <c r="BQ1430">
        <v>0.11332468572476186</v>
      </c>
      <c r="BR1430" t="str">
        <v/>
      </c>
    </row>
    <row r="1431" spans="47:70" x14ac:dyDescent="0.2">
      <c r="AU1431"/>
      <c r="AV1431"/>
      <c r="AW1431"/>
      <c r="AX1431"/>
      <c r="AY1431"/>
      <c r="BK1431" s="42">
        <v>1430</v>
      </c>
      <c r="BL1431" s="127">
        <v>4</v>
      </c>
      <c r="BM1431" s="127">
        <v>0.11332468572476186</v>
      </c>
      <c r="BN1431" s="127" t="e">
        <v>#N/A</v>
      </c>
      <c r="BO1431" s="127" t="e">
        <v>#N/A</v>
      </c>
      <c r="BP1431" s="151" t="e">
        <v>#N/A</v>
      </c>
      <c r="BQ1431">
        <v>0.11332468572476186</v>
      </c>
      <c r="BR1431" t="str">
        <v/>
      </c>
    </row>
    <row r="1432" spans="47:70" x14ac:dyDescent="0.2">
      <c r="AU1432"/>
      <c r="AV1432"/>
      <c r="AW1432"/>
      <c r="AX1432"/>
      <c r="AY1432"/>
      <c r="BK1432" s="42">
        <v>1431</v>
      </c>
      <c r="BL1432" s="127">
        <v>4</v>
      </c>
      <c r="BM1432" s="127">
        <v>0.11332468572476186</v>
      </c>
      <c r="BN1432" s="127" t="e">
        <v>#N/A</v>
      </c>
      <c r="BO1432" s="127" t="e">
        <v>#N/A</v>
      </c>
      <c r="BP1432" s="151" t="e">
        <v>#N/A</v>
      </c>
      <c r="BQ1432">
        <v>0.11332468572476186</v>
      </c>
      <c r="BR1432" t="str">
        <v/>
      </c>
    </row>
    <row r="1433" spans="47:70" x14ac:dyDescent="0.2">
      <c r="AU1433"/>
      <c r="AV1433"/>
      <c r="AW1433"/>
      <c r="AX1433"/>
      <c r="AY1433"/>
      <c r="BK1433" s="42">
        <v>1432</v>
      </c>
      <c r="BL1433" s="127">
        <v>4</v>
      </c>
      <c r="BM1433" s="127">
        <v>0.11332468572476186</v>
      </c>
      <c r="BN1433" s="127" t="e">
        <v>#N/A</v>
      </c>
      <c r="BO1433" s="127" t="e">
        <v>#N/A</v>
      </c>
      <c r="BP1433" s="151" t="e">
        <v>#N/A</v>
      </c>
      <c r="BQ1433">
        <v>0.11332468572476186</v>
      </c>
      <c r="BR1433" t="str">
        <v/>
      </c>
    </row>
    <row r="1434" spans="47:70" x14ac:dyDescent="0.2">
      <c r="AU1434"/>
      <c r="AV1434"/>
      <c r="AW1434"/>
      <c r="AX1434"/>
      <c r="AY1434"/>
      <c r="BK1434" s="42">
        <v>1433</v>
      </c>
      <c r="BL1434" s="127">
        <v>4</v>
      </c>
      <c r="BM1434" s="127">
        <v>0.11332468572476186</v>
      </c>
      <c r="BN1434" s="127" t="e">
        <v>#N/A</v>
      </c>
      <c r="BO1434" s="127" t="e">
        <v>#N/A</v>
      </c>
      <c r="BP1434" s="151" t="e">
        <v>#N/A</v>
      </c>
      <c r="BQ1434">
        <v>0.11332468572476186</v>
      </c>
      <c r="BR1434" t="str">
        <v/>
      </c>
    </row>
    <row r="1435" spans="47:70" x14ac:dyDescent="0.2">
      <c r="AU1435"/>
      <c r="AV1435"/>
      <c r="AW1435"/>
      <c r="AX1435"/>
      <c r="AY1435"/>
      <c r="BK1435" s="42">
        <v>1434</v>
      </c>
      <c r="BL1435" s="127">
        <v>4</v>
      </c>
      <c r="BM1435" s="127">
        <v>0.11332468572476186</v>
      </c>
      <c r="BN1435" s="127" t="e">
        <v>#N/A</v>
      </c>
      <c r="BO1435" s="127" t="e">
        <v>#N/A</v>
      </c>
      <c r="BP1435" s="151" t="e">
        <v>#N/A</v>
      </c>
      <c r="BQ1435">
        <v>0.11332468572476186</v>
      </c>
      <c r="BR1435" t="str">
        <v/>
      </c>
    </row>
    <row r="1436" spans="47:70" x14ac:dyDescent="0.2">
      <c r="AU1436"/>
      <c r="AV1436"/>
      <c r="AW1436"/>
      <c r="AX1436"/>
      <c r="AY1436"/>
      <c r="BK1436" s="42">
        <v>1435</v>
      </c>
      <c r="BL1436" s="127">
        <v>4</v>
      </c>
      <c r="BM1436" s="127">
        <v>0.11332468572476186</v>
      </c>
      <c r="BN1436" s="127" t="e">
        <v>#N/A</v>
      </c>
      <c r="BO1436" s="127" t="e">
        <v>#N/A</v>
      </c>
      <c r="BP1436" s="151" t="e">
        <v>#N/A</v>
      </c>
      <c r="BQ1436">
        <v>0.11332468572476186</v>
      </c>
      <c r="BR1436" t="str">
        <v/>
      </c>
    </row>
    <row r="1437" spans="47:70" x14ac:dyDescent="0.2">
      <c r="AU1437"/>
      <c r="AV1437"/>
      <c r="AW1437"/>
      <c r="AX1437"/>
      <c r="AY1437"/>
      <c r="BK1437" s="42">
        <v>1436</v>
      </c>
      <c r="BL1437" s="127">
        <v>4</v>
      </c>
      <c r="BM1437" s="127">
        <v>0.11332468572476186</v>
      </c>
      <c r="BN1437" s="127" t="e">
        <v>#N/A</v>
      </c>
      <c r="BO1437" s="127" t="e">
        <v>#N/A</v>
      </c>
      <c r="BP1437" s="151" t="e">
        <v>#N/A</v>
      </c>
      <c r="BQ1437">
        <v>0.11332468572476186</v>
      </c>
      <c r="BR1437" t="str">
        <v/>
      </c>
    </row>
    <row r="1438" spans="47:70" x14ac:dyDescent="0.2">
      <c r="AU1438"/>
      <c r="AV1438"/>
      <c r="AW1438"/>
      <c r="AX1438"/>
      <c r="AY1438"/>
      <c r="BK1438" s="42">
        <v>1437</v>
      </c>
      <c r="BL1438" s="127">
        <v>4</v>
      </c>
      <c r="BM1438" s="127">
        <v>0.11332468572476186</v>
      </c>
      <c r="BN1438" s="127" t="e">
        <v>#N/A</v>
      </c>
      <c r="BO1438" s="127" t="e">
        <v>#N/A</v>
      </c>
      <c r="BP1438" s="151" t="e">
        <v>#N/A</v>
      </c>
      <c r="BQ1438">
        <v>0.11332468572476186</v>
      </c>
      <c r="BR1438" t="str">
        <v/>
      </c>
    </row>
    <row r="1439" spans="47:70" x14ac:dyDescent="0.2">
      <c r="AU1439"/>
      <c r="AV1439"/>
      <c r="AW1439"/>
      <c r="AX1439"/>
      <c r="AY1439"/>
      <c r="BK1439" s="42">
        <v>1438</v>
      </c>
      <c r="BL1439" s="127">
        <v>4</v>
      </c>
      <c r="BM1439" s="127">
        <v>0.11332468572476186</v>
      </c>
      <c r="BN1439" s="127" t="e">
        <v>#N/A</v>
      </c>
      <c r="BO1439" s="127" t="e">
        <v>#N/A</v>
      </c>
      <c r="BP1439" s="151" t="e">
        <v>#N/A</v>
      </c>
      <c r="BQ1439">
        <v>0.11332468572476186</v>
      </c>
      <c r="BR1439" t="str">
        <v/>
      </c>
    </row>
    <row r="1440" spans="47:70" x14ac:dyDescent="0.2">
      <c r="AU1440"/>
      <c r="AV1440"/>
      <c r="AW1440"/>
      <c r="AX1440"/>
      <c r="AY1440"/>
      <c r="BK1440" s="42">
        <v>1439</v>
      </c>
      <c r="BL1440" s="127">
        <v>4</v>
      </c>
      <c r="BM1440" s="127">
        <v>0.11332468572476186</v>
      </c>
      <c r="BN1440" s="127" t="e">
        <v>#N/A</v>
      </c>
      <c r="BO1440" s="127" t="e">
        <v>#N/A</v>
      </c>
      <c r="BP1440" s="151" t="e">
        <v>#N/A</v>
      </c>
      <c r="BQ1440">
        <v>0.11332468572476186</v>
      </c>
      <c r="BR1440" t="str">
        <v/>
      </c>
    </row>
    <row r="1441" spans="47:70" x14ac:dyDescent="0.2">
      <c r="AU1441"/>
      <c r="AV1441"/>
      <c r="AW1441"/>
      <c r="AX1441"/>
      <c r="AY1441"/>
      <c r="BK1441" s="42">
        <v>1440</v>
      </c>
      <c r="BL1441" s="127">
        <v>4</v>
      </c>
      <c r="BM1441" s="127">
        <v>0.11332468572476186</v>
      </c>
      <c r="BN1441" s="127" t="e">
        <v>#N/A</v>
      </c>
      <c r="BO1441" s="127" t="e">
        <v>#N/A</v>
      </c>
      <c r="BP1441" s="151" t="e">
        <v>#N/A</v>
      </c>
      <c r="BQ1441">
        <v>0.11332468572476186</v>
      </c>
      <c r="BR1441" t="str">
        <v/>
      </c>
    </row>
    <row r="1442" spans="47:70" x14ac:dyDescent="0.2">
      <c r="AU1442"/>
      <c r="AV1442"/>
      <c r="AW1442"/>
      <c r="AX1442"/>
      <c r="AY1442"/>
      <c r="BK1442" s="42">
        <v>1441</v>
      </c>
      <c r="BL1442" s="127">
        <v>4</v>
      </c>
      <c r="BM1442" s="127">
        <v>0.11332468572476186</v>
      </c>
      <c r="BN1442" s="127" t="e">
        <v>#N/A</v>
      </c>
      <c r="BO1442" s="127" t="e">
        <v>#N/A</v>
      </c>
      <c r="BP1442" s="151" t="e">
        <v>#N/A</v>
      </c>
      <c r="BQ1442">
        <v>0.11332468572476186</v>
      </c>
      <c r="BR1442" t="str">
        <v/>
      </c>
    </row>
    <row r="1443" spans="47:70" x14ac:dyDescent="0.2">
      <c r="AU1443"/>
      <c r="AV1443"/>
      <c r="AW1443"/>
      <c r="AX1443"/>
      <c r="AY1443"/>
      <c r="BK1443" s="42">
        <v>1442</v>
      </c>
      <c r="BL1443" s="127">
        <v>4</v>
      </c>
      <c r="BM1443" s="127">
        <v>0.11332468572476186</v>
      </c>
      <c r="BN1443" s="127" t="e">
        <v>#N/A</v>
      </c>
      <c r="BO1443" s="127" t="e">
        <v>#N/A</v>
      </c>
      <c r="BP1443" s="151" t="e">
        <v>#N/A</v>
      </c>
      <c r="BQ1443">
        <v>0.11332468572476186</v>
      </c>
      <c r="BR1443" t="str">
        <v/>
      </c>
    </row>
    <row r="1444" spans="47:70" x14ac:dyDescent="0.2">
      <c r="AU1444"/>
      <c r="AV1444"/>
      <c r="AW1444"/>
      <c r="AX1444"/>
      <c r="AY1444"/>
      <c r="BK1444" s="42">
        <v>1443</v>
      </c>
      <c r="BL1444" s="127">
        <v>4</v>
      </c>
      <c r="BM1444" s="127">
        <v>0.11332468572476186</v>
      </c>
      <c r="BN1444" s="127" t="e">
        <v>#N/A</v>
      </c>
      <c r="BO1444" s="127" t="e">
        <v>#N/A</v>
      </c>
      <c r="BP1444" s="151" t="e">
        <v>#N/A</v>
      </c>
      <c r="BQ1444">
        <v>0.11332468572476186</v>
      </c>
      <c r="BR1444" t="str">
        <v/>
      </c>
    </row>
    <row r="1445" spans="47:70" x14ac:dyDescent="0.2">
      <c r="AU1445"/>
      <c r="AV1445"/>
      <c r="AW1445"/>
      <c r="AX1445"/>
      <c r="AY1445"/>
      <c r="BK1445" s="42">
        <v>1444</v>
      </c>
      <c r="BL1445" s="127">
        <v>4</v>
      </c>
      <c r="BM1445" s="127">
        <v>0.11332468572476186</v>
      </c>
      <c r="BN1445" s="127" t="e">
        <v>#N/A</v>
      </c>
      <c r="BO1445" s="127" t="e">
        <v>#N/A</v>
      </c>
      <c r="BP1445" s="151" t="e">
        <v>#N/A</v>
      </c>
      <c r="BQ1445">
        <v>0.11332468572476186</v>
      </c>
      <c r="BR1445" t="str">
        <v/>
      </c>
    </row>
    <row r="1446" spans="47:70" x14ac:dyDescent="0.2">
      <c r="AU1446"/>
      <c r="AV1446"/>
      <c r="AW1446"/>
      <c r="AX1446"/>
      <c r="AY1446"/>
      <c r="BK1446" s="42">
        <v>1445</v>
      </c>
      <c r="BL1446" s="127">
        <v>4</v>
      </c>
      <c r="BM1446" s="127">
        <v>0.11332468572476186</v>
      </c>
      <c r="BN1446" s="127" t="e">
        <v>#N/A</v>
      </c>
      <c r="BO1446" s="127" t="e">
        <v>#N/A</v>
      </c>
      <c r="BP1446" s="151" t="e">
        <v>#N/A</v>
      </c>
      <c r="BQ1446">
        <v>0.11332468572476186</v>
      </c>
      <c r="BR1446" t="str">
        <v/>
      </c>
    </row>
    <row r="1447" spans="47:70" x14ac:dyDescent="0.2">
      <c r="AU1447"/>
      <c r="AV1447"/>
      <c r="AW1447"/>
      <c r="AX1447"/>
      <c r="AY1447"/>
      <c r="BK1447" s="42">
        <v>1446</v>
      </c>
      <c r="BL1447" s="127">
        <v>4</v>
      </c>
      <c r="BM1447" s="127">
        <v>0.11332468572476186</v>
      </c>
      <c r="BN1447" s="127" t="e">
        <v>#N/A</v>
      </c>
      <c r="BO1447" s="127" t="e">
        <v>#N/A</v>
      </c>
      <c r="BP1447" s="151" t="e">
        <v>#N/A</v>
      </c>
      <c r="BQ1447">
        <v>0.11332468572476186</v>
      </c>
      <c r="BR1447" t="str">
        <v/>
      </c>
    </row>
    <row r="1448" spans="47:70" x14ac:dyDescent="0.2">
      <c r="AU1448"/>
      <c r="AV1448"/>
      <c r="AW1448"/>
      <c r="AX1448"/>
      <c r="AY1448"/>
      <c r="BK1448" s="42">
        <v>1447</v>
      </c>
      <c r="BL1448" s="127">
        <v>4</v>
      </c>
      <c r="BM1448" s="127">
        <v>0.11332468572476186</v>
      </c>
      <c r="BN1448" s="127" t="e">
        <v>#N/A</v>
      </c>
      <c r="BO1448" s="127" t="e">
        <v>#N/A</v>
      </c>
      <c r="BP1448" s="151" t="e">
        <v>#N/A</v>
      </c>
      <c r="BQ1448">
        <v>0.11332468572476186</v>
      </c>
      <c r="BR1448" t="str">
        <v/>
      </c>
    </row>
    <row r="1449" spans="47:70" x14ac:dyDescent="0.2">
      <c r="AU1449"/>
      <c r="AV1449"/>
      <c r="AW1449"/>
      <c r="AX1449"/>
      <c r="AY1449"/>
      <c r="BK1449" s="42">
        <v>1448</v>
      </c>
      <c r="BL1449" s="127">
        <v>4</v>
      </c>
      <c r="BM1449" s="127">
        <v>0.11332468572476186</v>
      </c>
      <c r="BN1449" s="127" t="e">
        <v>#N/A</v>
      </c>
      <c r="BO1449" s="127" t="e">
        <v>#N/A</v>
      </c>
      <c r="BP1449" s="151" t="e">
        <v>#N/A</v>
      </c>
      <c r="BQ1449">
        <v>0.11332468572476186</v>
      </c>
      <c r="BR1449" t="str">
        <v/>
      </c>
    </row>
    <row r="1450" spans="47:70" x14ac:dyDescent="0.2">
      <c r="AU1450"/>
      <c r="AV1450"/>
      <c r="AW1450"/>
      <c r="AX1450"/>
      <c r="AY1450"/>
      <c r="BK1450" s="42">
        <v>1449</v>
      </c>
      <c r="BL1450" s="127">
        <v>4</v>
      </c>
      <c r="BM1450" s="127">
        <v>0.11332468572476186</v>
      </c>
      <c r="BN1450" s="127" t="e">
        <v>#N/A</v>
      </c>
      <c r="BO1450" s="127" t="e">
        <v>#N/A</v>
      </c>
      <c r="BP1450" s="151" t="e">
        <v>#N/A</v>
      </c>
      <c r="BQ1450">
        <v>0.11332468572476186</v>
      </c>
      <c r="BR1450" t="str">
        <v/>
      </c>
    </row>
    <row r="1451" spans="47:70" x14ac:dyDescent="0.2">
      <c r="AU1451"/>
      <c r="AV1451"/>
      <c r="AW1451"/>
      <c r="AX1451"/>
      <c r="AY1451"/>
      <c r="BK1451" s="42">
        <v>1450</v>
      </c>
      <c r="BL1451" s="127">
        <v>4</v>
      </c>
      <c r="BM1451" s="127">
        <v>0.11332468572476186</v>
      </c>
      <c r="BN1451" s="127" t="e">
        <v>#N/A</v>
      </c>
      <c r="BO1451" s="127" t="e">
        <v>#N/A</v>
      </c>
      <c r="BP1451" s="151" t="e">
        <v>#N/A</v>
      </c>
      <c r="BQ1451">
        <v>0.11332468572476186</v>
      </c>
      <c r="BR1451" t="str">
        <v/>
      </c>
    </row>
    <row r="1452" spans="47:70" x14ac:dyDescent="0.2">
      <c r="AU1452"/>
      <c r="AV1452"/>
      <c r="AW1452"/>
      <c r="AX1452"/>
      <c r="AY1452"/>
      <c r="BK1452" s="42">
        <v>1451</v>
      </c>
      <c r="BL1452" s="127">
        <v>4</v>
      </c>
      <c r="BM1452" s="127">
        <v>0.11332468572476186</v>
      </c>
      <c r="BN1452" s="127" t="e">
        <v>#N/A</v>
      </c>
      <c r="BO1452" s="127" t="e">
        <v>#N/A</v>
      </c>
      <c r="BP1452" s="151" t="e">
        <v>#N/A</v>
      </c>
      <c r="BQ1452">
        <v>0.11332468572476186</v>
      </c>
      <c r="BR1452" t="str">
        <v/>
      </c>
    </row>
    <row r="1453" spans="47:70" x14ac:dyDescent="0.2">
      <c r="AU1453"/>
      <c r="AV1453"/>
      <c r="AW1453"/>
      <c r="AX1453"/>
      <c r="AY1453"/>
      <c r="BK1453" s="42">
        <v>1452</v>
      </c>
      <c r="BL1453" s="127">
        <v>4</v>
      </c>
      <c r="BM1453" s="127">
        <v>0.11332468572476186</v>
      </c>
      <c r="BN1453" s="127" t="e">
        <v>#N/A</v>
      </c>
      <c r="BO1453" s="127" t="e">
        <v>#N/A</v>
      </c>
      <c r="BP1453" s="151" t="e">
        <v>#N/A</v>
      </c>
      <c r="BQ1453">
        <v>0.11332468572476186</v>
      </c>
      <c r="BR1453" t="str">
        <v/>
      </c>
    </row>
    <row r="1454" spans="47:70" x14ac:dyDescent="0.2">
      <c r="AU1454"/>
      <c r="AV1454"/>
      <c r="AW1454"/>
      <c r="AX1454"/>
      <c r="AY1454"/>
      <c r="BK1454" s="42">
        <v>1453</v>
      </c>
      <c r="BL1454" s="127">
        <v>4</v>
      </c>
      <c r="BM1454" s="127">
        <v>0.11332468572476186</v>
      </c>
      <c r="BN1454" s="127" t="e">
        <v>#N/A</v>
      </c>
      <c r="BO1454" s="127" t="e">
        <v>#N/A</v>
      </c>
      <c r="BP1454" s="151" t="e">
        <v>#N/A</v>
      </c>
      <c r="BQ1454">
        <v>0.11332468572476186</v>
      </c>
      <c r="BR1454" t="str">
        <v/>
      </c>
    </row>
    <row r="1455" spans="47:70" x14ac:dyDescent="0.2">
      <c r="AU1455"/>
      <c r="AV1455"/>
      <c r="AW1455"/>
      <c r="AX1455"/>
      <c r="AY1455"/>
      <c r="BK1455" s="42">
        <v>1454</v>
      </c>
      <c r="BL1455" s="127">
        <v>4</v>
      </c>
      <c r="BM1455" s="127">
        <v>0.11332468572476186</v>
      </c>
      <c r="BN1455" s="127" t="e">
        <v>#N/A</v>
      </c>
      <c r="BO1455" s="127" t="e">
        <v>#N/A</v>
      </c>
      <c r="BP1455" s="151" t="e">
        <v>#N/A</v>
      </c>
      <c r="BQ1455">
        <v>0.11332468572476186</v>
      </c>
      <c r="BR1455" t="str">
        <v/>
      </c>
    </row>
    <row r="1456" spans="47:70" x14ac:dyDescent="0.2">
      <c r="AU1456"/>
      <c r="AV1456"/>
      <c r="AW1456"/>
      <c r="AX1456"/>
      <c r="AY1456"/>
      <c r="BK1456" s="42">
        <v>1455</v>
      </c>
      <c r="BL1456" s="127">
        <v>4</v>
      </c>
      <c r="BM1456" s="127">
        <v>0.11332468572476186</v>
      </c>
      <c r="BN1456" s="127" t="e">
        <v>#N/A</v>
      </c>
      <c r="BO1456" s="127" t="e">
        <v>#N/A</v>
      </c>
      <c r="BP1456" s="151" t="e">
        <v>#N/A</v>
      </c>
      <c r="BQ1456">
        <v>0.11332468572476186</v>
      </c>
      <c r="BR1456" t="str">
        <v/>
      </c>
    </row>
    <row r="1457" spans="47:70" x14ac:dyDescent="0.2">
      <c r="AU1457"/>
      <c r="AV1457"/>
      <c r="AW1457"/>
      <c r="AX1457"/>
      <c r="AY1457"/>
      <c r="BK1457" s="42">
        <v>1456</v>
      </c>
      <c r="BL1457" s="127">
        <v>4</v>
      </c>
      <c r="BM1457" s="127">
        <v>0.11332468572476186</v>
      </c>
      <c r="BN1457" s="127" t="e">
        <v>#N/A</v>
      </c>
      <c r="BO1457" s="127" t="e">
        <v>#N/A</v>
      </c>
      <c r="BP1457" s="151" t="e">
        <v>#N/A</v>
      </c>
      <c r="BQ1457">
        <v>0.11332468572476186</v>
      </c>
      <c r="BR1457" t="str">
        <v/>
      </c>
    </row>
    <row r="1458" spans="47:70" x14ac:dyDescent="0.2">
      <c r="AU1458"/>
      <c r="AV1458"/>
      <c r="AW1458"/>
      <c r="AX1458"/>
      <c r="AY1458"/>
      <c r="BK1458" s="42">
        <v>1457</v>
      </c>
      <c r="BL1458" s="127">
        <v>4</v>
      </c>
      <c r="BM1458" s="127">
        <v>0.11332468572476186</v>
      </c>
      <c r="BN1458" s="127" t="e">
        <v>#N/A</v>
      </c>
      <c r="BO1458" s="127" t="e">
        <v>#N/A</v>
      </c>
      <c r="BP1458" s="151" t="e">
        <v>#N/A</v>
      </c>
      <c r="BQ1458">
        <v>0.11332468572476186</v>
      </c>
      <c r="BR1458" t="str">
        <v/>
      </c>
    </row>
    <row r="1459" spans="47:70" x14ac:dyDescent="0.2">
      <c r="AU1459"/>
      <c r="AV1459"/>
      <c r="AW1459"/>
      <c r="AX1459"/>
      <c r="AY1459"/>
      <c r="BK1459" s="42">
        <v>1458</v>
      </c>
      <c r="BL1459" s="127">
        <v>4</v>
      </c>
      <c r="BM1459" s="127">
        <v>0.11332468572476186</v>
      </c>
      <c r="BN1459" s="127" t="e">
        <v>#N/A</v>
      </c>
      <c r="BO1459" s="127" t="e">
        <v>#N/A</v>
      </c>
      <c r="BP1459" s="151" t="e">
        <v>#N/A</v>
      </c>
      <c r="BQ1459">
        <v>0.11332468572476186</v>
      </c>
      <c r="BR1459" t="str">
        <v/>
      </c>
    </row>
    <row r="1460" spans="47:70" x14ac:dyDescent="0.2">
      <c r="AU1460"/>
      <c r="AV1460"/>
      <c r="AW1460"/>
      <c r="AX1460"/>
      <c r="AY1460"/>
      <c r="BK1460" s="42">
        <v>1459</v>
      </c>
      <c r="BL1460" s="127">
        <v>4</v>
      </c>
      <c r="BM1460" s="127">
        <v>0.11332468572476186</v>
      </c>
      <c r="BN1460" s="127" t="e">
        <v>#N/A</v>
      </c>
      <c r="BO1460" s="127" t="e">
        <v>#N/A</v>
      </c>
      <c r="BP1460" s="151" t="e">
        <v>#N/A</v>
      </c>
      <c r="BQ1460">
        <v>0.11332468572476186</v>
      </c>
      <c r="BR1460" t="str">
        <v/>
      </c>
    </row>
    <row r="1461" spans="47:70" x14ac:dyDescent="0.2">
      <c r="AU1461"/>
      <c r="AV1461"/>
      <c r="AW1461"/>
      <c r="AX1461"/>
      <c r="AY1461"/>
      <c r="BK1461" s="42">
        <v>1460</v>
      </c>
      <c r="BL1461" s="127">
        <v>4</v>
      </c>
      <c r="BM1461" s="127">
        <v>0.11332468572476186</v>
      </c>
      <c r="BN1461" s="127" t="e">
        <v>#N/A</v>
      </c>
      <c r="BO1461" s="127" t="e">
        <v>#N/A</v>
      </c>
      <c r="BP1461" s="151" t="e">
        <v>#N/A</v>
      </c>
      <c r="BQ1461">
        <v>0.11332468572476186</v>
      </c>
      <c r="BR1461" t="str">
        <v/>
      </c>
    </row>
    <row r="1462" spans="47:70" x14ac:dyDescent="0.2">
      <c r="AU1462"/>
      <c r="AV1462"/>
      <c r="AW1462"/>
      <c r="AX1462"/>
      <c r="AY1462"/>
      <c r="BK1462" s="42">
        <v>1461</v>
      </c>
      <c r="BL1462" s="127">
        <v>4</v>
      </c>
      <c r="BM1462" s="127">
        <v>0.11332468572476186</v>
      </c>
      <c r="BN1462" s="127" t="e">
        <v>#N/A</v>
      </c>
      <c r="BO1462" s="127" t="e">
        <v>#N/A</v>
      </c>
      <c r="BP1462" s="151" t="e">
        <v>#N/A</v>
      </c>
      <c r="BQ1462">
        <v>0.11332468572476186</v>
      </c>
      <c r="BR1462" t="str">
        <v/>
      </c>
    </row>
    <row r="1463" spans="47:70" x14ac:dyDescent="0.2">
      <c r="AU1463"/>
      <c r="AV1463"/>
      <c r="AW1463"/>
      <c r="AX1463"/>
      <c r="AY1463"/>
      <c r="BK1463" s="42">
        <v>1462</v>
      </c>
      <c r="BL1463" s="127">
        <v>4</v>
      </c>
      <c r="BM1463" s="127">
        <v>0.11332468572476186</v>
      </c>
      <c r="BN1463" s="127" t="e">
        <v>#N/A</v>
      </c>
      <c r="BO1463" s="127" t="e">
        <v>#N/A</v>
      </c>
      <c r="BP1463" s="151" t="e">
        <v>#N/A</v>
      </c>
      <c r="BQ1463">
        <v>0.11332468572476186</v>
      </c>
      <c r="BR1463" t="str">
        <v/>
      </c>
    </row>
    <row r="1464" spans="47:70" x14ac:dyDescent="0.2">
      <c r="AU1464"/>
      <c r="AV1464"/>
      <c r="AW1464"/>
      <c r="AX1464"/>
      <c r="AY1464"/>
      <c r="BK1464" s="42">
        <v>1463</v>
      </c>
      <c r="BL1464" s="127">
        <v>4</v>
      </c>
      <c r="BM1464" s="127">
        <v>0.11332468572476186</v>
      </c>
      <c r="BN1464" s="127" t="e">
        <v>#N/A</v>
      </c>
      <c r="BO1464" s="127" t="e">
        <v>#N/A</v>
      </c>
      <c r="BP1464" s="151" t="e">
        <v>#N/A</v>
      </c>
      <c r="BQ1464">
        <v>0.11332468572476186</v>
      </c>
      <c r="BR1464" t="str">
        <v/>
      </c>
    </row>
    <row r="1465" spans="47:70" x14ac:dyDescent="0.2">
      <c r="AU1465"/>
      <c r="AV1465"/>
      <c r="AW1465"/>
      <c r="AX1465"/>
      <c r="AY1465"/>
      <c r="BK1465" s="42">
        <v>1464</v>
      </c>
      <c r="BL1465" s="127">
        <v>4</v>
      </c>
      <c r="BM1465" s="127">
        <v>0.11332468572476186</v>
      </c>
      <c r="BN1465" s="127" t="e">
        <v>#N/A</v>
      </c>
      <c r="BO1465" s="127" t="e">
        <v>#N/A</v>
      </c>
      <c r="BP1465" s="151" t="e">
        <v>#N/A</v>
      </c>
      <c r="BQ1465">
        <v>0.11332468572476186</v>
      </c>
      <c r="BR1465" t="str">
        <v/>
      </c>
    </row>
    <row r="1466" spans="47:70" x14ac:dyDescent="0.2">
      <c r="AU1466"/>
      <c r="AV1466"/>
      <c r="AW1466"/>
      <c r="AX1466"/>
      <c r="AY1466"/>
      <c r="BK1466" s="42">
        <v>1465</v>
      </c>
      <c r="BL1466" s="127">
        <v>4</v>
      </c>
      <c r="BM1466" s="127">
        <v>0.11332468572476186</v>
      </c>
      <c r="BN1466" s="127" t="e">
        <v>#N/A</v>
      </c>
      <c r="BO1466" s="127" t="e">
        <v>#N/A</v>
      </c>
      <c r="BP1466" s="151" t="e">
        <v>#N/A</v>
      </c>
      <c r="BQ1466">
        <v>0.11332468572476186</v>
      </c>
      <c r="BR1466" t="str">
        <v/>
      </c>
    </row>
    <row r="1467" spans="47:70" x14ac:dyDescent="0.2">
      <c r="AU1467"/>
      <c r="AV1467"/>
      <c r="AW1467"/>
      <c r="AX1467"/>
      <c r="AY1467"/>
      <c r="BK1467" s="42">
        <v>1466</v>
      </c>
      <c r="BL1467" s="127">
        <v>4</v>
      </c>
      <c r="BM1467" s="127">
        <v>0.11332468572476186</v>
      </c>
      <c r="BN1467" s="127" t="e">
        <v>#N/A</v>
      </c>
      <c r="BO1467" s="127" t="e">
        <v>#N/A</v>
      </c>
      <c r="BP1467" s="151" t="e">
        <v>#N/A</v>
      </c>
      <c r="BQ1467">
        <v>0.11332468572476186</v>
      </c>
      <c r="BR1467" t="str">
        <v/>
      </c>
    </row>
    <row r="1468" spans="47:70" x14ac:dyDescent="0.2">
      <c r="AU1468"/>
      <c r="AV1468"/>
      <c r="AW1468"/>
      <c r="AX1468"/>
      <c r="AY1468"/>
      <c r="BK1468" s="42">
        <v>1467</v>
      </c>
      <c r="BL1468" s="127">
        <v>4</v>
      </c>
      <c r="BM1468" s="127">
        <v>0.11332468572476186</v>
      </c>
      <c r="BN1468" s="127" t="e">
        <v>#N/A</v>
      </c>
      <c r="BO1468" s="127" t="e">
        <v>#N/A</v>
      </c>
      <c r="BP1468" s="151" t="e">
        <v>#N/A</v>
      </c>
      <c r="BQ1468">
        <v>0.11332468572476186</v>
      </c>
      <c r="BR1468" t="str">
        <v/>
      </c>
    </row>
    <row r="1469" spans="47:70" x14ac:dyDescent="0.2">
      <c r="AU1469"/>
      <c r="AV1469"/>
      <c r="AW1469"/>
      <c r="AX1469"/>
      <c r="AY1469"/>
      <c r="BK1469" s="42">
        <v>1468</v>
      </c>
      <c r="BL1469" s="127">
        <v>4</v>
      </c>
      <c r="BM1469" s="127">
        <v>0.11332468572476186</v>
      </c>
      <c r="BN1469" s="127" t="e">
        <v>#N/A</v>
      </c>
      <c r="BO1469" s="127" t="e">
        <v>#N/A</v>
      </c>
      <c r="BP1469" s="151" t="e">
        <v>#N/A</v>
      </c>
      <c r="BQ1469">
        <v>0.11332468572476186</v>
      </c>
      <c r="BR1469" t="str">
        <v/>
      </c>
    </row>
    <row r="1470" spans="47:70" x14ac:dyDescent="0.2">
      <c r="AU1470"/>
      <c r="AV1470"/>
      <c r="AW1470"/>
      <c r="AX1470"/>
      <c r="AY1470"/>
      <c r="BK1470" s="42">
        <v>1469</v>
      </c>
      <c r="BL1470" s="127">
        <v>4</v>
      </c>
      <c r="BM1470" s="127">
        <v>0.11332468572476186</v>
      </c>
      <c r="BN1470" s="127" t="e">
        <v>#N/A</v>
      </c>
      <c r="BO1470" s="127" t="e">
        <v>#N/A</v>
      </c>
      <c r="BP1470" s="151" t="e">
        <v>#N/A</v>
      </c>
      <c r="BQ1470">
        <v>0.11332468572476186</v>
      </c>
      <c r="BR1470" t="str">
        <v/>
      </c>
    </row>
    <row r="1471" spans="47:70" x14ac:dyDescent="0.2">
      <c r="AU1471"/>
      <c r="AV1471"/>
      <c r="AW1471"/>
      <c r="AX1471"/>
      <c r="AY1471"/>
      <c r="BK1471" s="42">
        <v>1470</v>
      </c>
      <c r="BL1471" s="127">
        <v>4</v>
      </c>
      <c r="BM1471" s="127">
        <v>0.11332468572476186</v>
      </c>
      <c r="BN1471" s="127" t="e">
        <v>#N/A</v>
      </c>
      <c r="BO1471" s="127" t="e">
        <v>#N/A</v>
      </c>
      <c r="BP1471" s="151" t="e">
        <v>#N/A</v>
      </c>
      <c r="BQ1471">
        <v>0.11332468572476186</v>
      </c>
      <c r="BR1471" t="str">
        <v/>
      </c>
    </row>
    <row r="1472" spans="47:70" x14ac:dyDescent="0.2">
      <c r="AU1472"/>
      <c r="AV1472"/>
      <c r="AW1472"/>
      <c r="AX1472"/>
      <c r="AY1472"/>
      <c r="BK1472" s="42">
        <v>1471</v>
      </c>
      <c r="BL1472" s="127">
        <v>4</v>
      </c>
      <c r="BM1472" s="127">
        <v>0.11332468572476186</v>
      </c>
      <c r="BN1472" s="127" t="e">
        <v>#N/A</v>
      </c>
      <c r="BO1472" s="127" t="e">
        <v>#N/A</v>
      </c>
      <c r="BP1472" s="151" t="e">
        <v>#N/A</v>
      </c>
      <c r="BQ1472">
        <v>0.11332468572476186</v>
      </c>
      <c r="BR1472" t="str">
        <v/>
      </c>
    </row>
    <row r="1473" spans="47:70" x14ac:dyDescent="0.2">
      <c r="AU1473"/>
      <c r="AV1473"/>
      <c r="AW1473"/>
      <c r="AX1473"/>
      <c r="AY1473"/>
      <c r="BK1473" s="42">
        <v>1472</v>
      </c>
      <c r="BL1473" s="127">
        <v>4</v>
      </c>
      <c r="BM1473" s="127">
        <v>0.11332468572476186</v>
      </c>
      <c r="BN1473" s="127" t="e">
        <v>#N/A</v>
      </c>
      <c r="BO1473" s="127" t="e">
        <v>#N/A</v>
      </c>
      <c r="BP1473" s="151" t="e">
        <v>#N/A</v>
      </c>
      <c r="BQ1473">
        <v>0.11332468572476186</v>
      </c>
      <c r="BR1473" t="str">
        <v/>
      </c>
    </row>
    <row r="1474" spans="47:70" x14ac:dyDescent="0.2">
      <c r="AU1474"/>
      <c r="AV1474"/>
      <c r="AW1474"/>
      <c r="AX1474"/>
      <c r="AY1474"/>
      <c r="BK1474" s="42">
        <v>1473</v>
      </c>
      <c r="BL1474" s="127">
        <v>4</v>
      </c>
      <c r="BM1474" s="127">
        <v>0.11332468572476186</v>
      </c>
      <c r="BN1474" s="127" t="e">
        <v>#N/A</v>
      </c>
      <c r="BO1474" s="127" t="e">
        <v>#N/A</v>
      </c>
      <c r="BP1474" s="151" t="e">
        <v>#N/A</v>
      </c>
      <c r="BQ1474">
        <v>0.11332468572476186</v>
      </c>
      <c r="BR1474" t="str">
        <v/>
      </c>
    </row>
    <row r="1475" spans="47:70" x14ac:dyDescent="0.2">
      <c r="AU1475"/>
      <c r="AV1475"/>
      <c r="AW1475"/>
      <c r="AX1475"/>
      <c r="AY1475"/>
      <c r="BK1475" s="42">
        <v>1474</v>
      </c>
      <c r="BL1475" s="127">
        <v>4</v>
      </c>
      <c r="BM1475" s="127">
        <v>0.11332468572476186</v>
      </c>
      <c r="BN1475" s="127" t="e">
        <v>#N/A</v>
      </c>
      <c r="BO1475" s="127" t="e">
        <v>#N/A</v>
      </c>
      <c r="BP1475" s="151" t="e">
        <v>#N/A</v>
      </c>
      <c r="BQ1475">
        <v>0.11332468572476186</v>
      </c>
      <c r="BR1475" t="str">
        <v/>
      </c>
    </row>
    <row r="1476" spans="47:70" x14ac:dyDescent="0.2">
      <c r="AU1476"/>
      <c r="AV1476"/>
      <c r="AW1476"/>
      <c r="AX1476"/>
      <c r="AY1476"/>
      <c r="BK1476" s="42">
        <v>1475</v>
      </c>
      <c r="BL1476" s="127">
        <v>4</v>
      </c>
      <c r="BM1476" s="127">
        <v>0.11332468572476186</v>
      </c>
      <c r="BN1476" s="127" t="e">
        <v>#N/A</v>
      </c>
      <c r="BO1476" s="127" t="e">
        <v>#N/A</v>
      </c>
      <c r="BP1476" s="151" t="e">
        <v>#N/A</v>
      </c>
      <c r="BQ1476">
        <v>0.11332468572476186</v>
      </c>
      <c r="BR1476" t="str">
        <v/>
      </c>
    </row>
    <row r="1477" spans="47:70" x14ac:dyDescent="0.2">
      <c r="AU1477"/>
      <c r="AV1477"/>
      <c r="AW1477"/>
      <c r="AX1477"/>
      <c r="AY1477"/>
      <c r="BK1477" s="42">
        <v>1476</v>
      </c>
      <c r="BL1477" s="127">
        <v>4</v>
      </c>
      <c r="BM1477" s="127">
        <v>0.11332468572476186</v>
      </c>
      <c r="BN1477" s="127" t="e">
        <v>#N/A</v>
      </c>
      <c r="BO1477" s="127" t="e">
        <v>#N/A</v>
      </c>
      <c r="BP1477" s="151" t="e">
        <v>#N/A</v>
      </c>
      <c r="BQ1477">
        <v>0.11332468572476186</v>
      </c>
      <c r="BR1477" t="str">
        <v/>
      </c>
    </row>
    <row r="1478" spans="47:70" x14ac:dyDescent="0.2">
      <c r="AU1478"/>
      <c r="AV1478"/>
      <c r="AW1478"/>
      <c r="AX1478"/>
      <c r="AY1478"/>
      <c r="BK1478" s="42">
        <v>1477</v>
      </c>
      <c r="BL1478" s="127">
        <v>4</v>
      </c>
      <c r="BM1478" s="127">
        <v>0.11332468572476186</v>
      </c>
      <c r="BN1478" s="127" t="e">
        <v>#N/A</v>
      </c>
      <c r="BO1478" s="127" t="e">
        <v>#N/A</v>
      </c>
      <c r="BP1478" s="151" t="e">
        <v>#N/A</v>
      </c>
      <c r="BQ1478">
        <v>0.11332468572476186</v>
      </c>
      <c r="BR1478" t="str">
        <v/>
      </c>
    </row>
    <row r="1479" spans="47:70" x14ac:dyDescent="0.2">
      <c r="AU1479"/>
      <c r="AV1479"/>
      <c r="AW1479"/>
      <c r="AX1479"/>
      <c r="AY1479"/>
      <c r="BK1479" s="42">
        <v>1478</v>
      </c>
      <c r="BL1479" s="127">
        <v>4</v>
      </c>
      <c r="BM1479" s="127">
        <v>0.11332468572476186</v>
      </c>
      <c r="BN1479" s="127" t="e">
        <v>#N/A</v>
      </c>
      <c r="BO1479" s="127" t="e">
        <v>#N/A</v>
      </c>
      <c r="BP1479" s="151" t="e">
        <v>#N/A</v>
      </c>
      <c r="BQ1479">
        <v>0.11332468572476186</v>
      </c>
      <c r="BR1479" t="str">
        <v/>
      </c>
    </row>
    <row r="1480" spans="47:70" x14ac:dyDescent="0.2">
      <c r="AU1480"/>
      <c r="AV1480"/>
      <c r="AW1480"/>
      <c r="AX1480"/>
      <c r="AY1480"/>
      <c r="BK1480" s="42">
        <v>1479</v>
      </c>
      <c r="BL1480" s="127">
        <v>4</v>
      </c>
      <c r="BM1480" s="127">
        <v>0.11332468572476186</v>
      </c>
      <c r="BN1480" s="127" t="e">
        <v>#N/A</v>
      </c>
      <c r="BO1480" s="127" t="e">
        <v>#N/A</v>
      </c>
      <c r="BP1480" s="151" t="e">
        <v>#N/A</v>
      </c>
      <c r="BQ1480">
        <v>0.11332468572476186</v>
      </c>
      <c r="BR1480" t="str">
        <v/>
      </c>
    </row>
    <row r="1481" spans="47:70" x14ac:dyDescent="0.2">
      <c r="AU1481"/>
      <c r="AV1481"/>
      <c r="AW1481"/>
      <c r="AX1481"/>
      <c r="AY1481"/>
      <c r="BK1481" s="42">
        <v>1480</v>
      </c>
      <c r="BL1481" s="127">
        <v>4</v>
      </c>
      <c r="BM1481" s="127">
        <v>0.11332468572476186</v>
      </c>
      <c r="BN1481" s="127" t="e">
        <v>#N/A</v>
      </c>
      <c r="BO1481" s="127" t="e">
        <v>#N/A</v>
      </c>
      <c r="BP1481" s="151" t="e">
        <v>#N/A</v>
      </c>
      <c r="BQ1481">
        <v>0.11332468572476186</v>
      </c>
      <c r="BR1481" t="str">
        <v/>
      </c>
    </row>
    <row r="1482" spans="47:70" x14ac:dyDescent="0.2">
      <c r="AU1482"/>
      <c r="AV1482"/>
      <c r="AW1482"/>
      <c r="AX1482"/>
      <c r="AY1482"/>
      <c r="BK1482" s="42">
        <v>1481</v>
      </c>
      <c r="BL1482" s="127">
        <v>4</v>
      </c>
      <c r="BM1482" s="127">
        <v>0.11332468572476186</v>
      </c>
      <c r="BN1482" s="127" t="e">
        <v>#N/A</v>
      </c>
      <c r="BO1482" s="127" t="e">
        <v>#N/A</v>
      </c>
      <c r="BP1482" s="151" t="e">
        <v>#N/A</v>
      </c>
      <c r="BQ1482">
        <v>0.11332468572476186</v>
      </c>
      <c r="BR1482" t="str">
        <v/>
      </c>
    </row>
    <row r="1483" spans="47:70" x14ac:dyDescent="0.2">
      <c r="AU1483"/>
      <c r="AV1483"/>
      <c r="AW1483"/>
      <c r="AX1483"/>
      <c r="AY1483"/>
      <c r="BK1483" s="42">
        <v>1482</v>
      </c>
      <c r="BL1483" s="127">
        <v>4</v>
      </c>
      <c r="BM1483" s="127">
        <v>0.11332468572476186</v>
      </c>
      <c r="BN1483" s="127" t="e">
        <v>#N/A</v>
      </c>
      <c r="BO1483" s="127" t="e">
        <v>#N/A</v>
      </c>
      <c r="BP1483" s="151" t="e">
        <v>#N/A</v>
      </c>
      <c r="BQ1483">
        <v>0.11332468572476186</v>
      </c>
      <c r="BR1483" t="str">
        <v/>
      </c>
    </row>
    <row r="1484" spans="47:70" x14ac:dyDescent="0.2">
      <c r="AU1484"/>
      <c r="AV1484"/>
      <c r="AW1484"/>
      <c r="AX1484"/>
      <c r="AY1484"/>
      <c r="BK1484" s="42">
        <v>1483</v>
      </c>
      <c r="BL1484" s="127">
        <v>4</v>
      </c>
      <c r="BM1484" s="127">
        <v>0.11332468572476186</v>
      </c>
      <c r="BN1484" s="127" t="e">
        <v>#N/A</v>
      </c>
      <c r="BO1484" s="127" t="e">
        <v>#N/A</v>
      </c>
      <c r="BP1484" s="151" t="e">
        <v>#N/A</v>
      </c>
      <c r="BQ1484">
        <v>0.11332468572476186</v>
      </c>
      <c r="BR1484" t="str">
        <v/>
      </c>
    </row>
    <row r="1485" spans="47:70" x14ac:dyDescent="0.2">
      <c r="AU1485"/>
      <c r="AV1485"/>
      <c r="AW1485"/>
      <c r="AX1485"/>
      <c r="AY1485"/>
      <c r="BK1485" s="42">
        <v>1484</v>
      </c>
      <c r="BL1485" s="127">
        <v>4</v>
      </c>
      <c r="BM1485" s="127">
        <v>0.11332468572476186</v>
      </c>
      <c r="BN1485" s="127" t="e">
        <v>#N/A</v>
      </c>
      <c r="BO1485" s="127" t="e">
        <v>#N/A</v>
      </c>
      <c r="BP1485" s="151" t="e">
        <v>#N/A</v>
      </c>
      <c r="BQ1485">
        <v>0.11332468572476186</v>
      </c>
      <c r="BR1485" t="str">
        <v/>
      </c>
    </row>
    <row r="1486" spans="47:70" x14ac:dyDescent="0.2">
      <c r="AU1486"/>
      <c r="AV1486"/>
      <c r="AW1486"/>
      <c r="AX1486"/>
      <c r="AY1486"/>
      <c r="BK1486" s="42">
        <v>1485</v>
      </c>
      <c r="BL1486" s="127">
        <v>4</v>
      </c>
      <c r="BM1486" s="127">
        <v>0.11332468572476186</v>
      </c>
      <c r="BN1486" s="127" t="e">
        <v>#N/A</v>
      </c>
      <c r="BO1486" s="127" t="e">
        <v>#N/A</v>
      </c>
      <c r="BP1486" s="151" t="e">
        <v>#N/A</v>
      </c>
      <c r="BQ1486">
        <v>0.11332468572476186</v>
      </c>
      <c r="BR1486" t="str">
        <v/>
      </c>
    </row>
    <row r="1487" spans="47:70" x14ac:dyDescent="0.2">
      <c r="AU1487"/>
      <c r="AV1487"/>
      <c r="AW1487"/>
      <c r="AX1487"/>
      <c r="AY1487"/>
      <c r="BK1487" s="42">
        <v>1486</v>
      </c>
      <c r="BL1487" s="127">
        <v>4</v>
      </c>
      <c r="BM1487" s="127">
        <v>0.11332468572476186</v>
      </c>
      <c r="BN1487" s="127" t="e">
        <v>#N/A</v>
      </c>
      <c r="BO1487" s="127" t="e">
        <v>#N/A</v>
      </c>
      <c r="BP1487" s="151" t="e">
        <v>#N/A</v>
      </c>
      <c r="BQ1487">
        <v>0.11332468572476186</v>
      </c>
      <c r="BR1487" t="str">
        <v/>
      </c>
    </row>
    <row r="1488" spans="47:70" x14ac:dyDescent="0.2">
      <c r="AU1488"/>
      <c r="AV1488"/>
      <c r="AW1488"/>
      <c r="AX1488"/>
      <c r="AY1488"/>
      <c r="BK1488" s="42">
        <v>1487</v>
      </c>
      <c r="BL1488" s="127">
        <v>4</v>
      </c>
      <c r="BM1488" s="127">
        <v>0.11332468572476186</v>
      </c>
      <c r="BN1488" s="127" t="e">
        <v>#N/A</v>
      </c>
      <c r="BO1488" s="127" t="e">
        <v>#N/A</v>
      </c>
      <c r="BP1488" s="151" t="e">
        <v>#N/A</v>
      </c>
      <c r="BQ1488">
        <v>0.11332468572476186</v>
      </c>
      <c r="BR1488" t="str">
        <v/>
      </c>
    </row>
    <row r="1489" spans="47:70" x14ac:dyDescent="0.2">
      <c r="AU1489"/>
      <c r="AV1489"/>
      <c r="AW1489"/>
      <c r="AX1489"/>
      <c r="AY1489"/>
      <c r="BK1489" s="42">
        <v>1488</v>
      </c>
      <c r="BL1489" s="127">
        <v>4</v>
      </c>
      <c r="BM1489" s="127">
        <v>0.11332468572476186</v>
      </c>
      <c r="BN1489" s="127" t="e">
        <v>#N/A</v>
      </c>
      <c r="BO1489" s="127" t="e">
        <v>#N/A</v>
      </c>
      <c r="BP1489" s="151" t="e">
        <v>#N/A</v>
      </c>
      <c r="BQ1489">
        <v>0.11332468572476186</v>
      </c>
      <c r="BR1489" t="str">
        <v/>
      </c>
    </row>
    <row r="1490" spans="47:70" x14ac:dyDescent="0.2">
      <c r="AU1490"/>
      <c r="AV1490"/>
      <c r="AW1490"/>
      <c r="AX1490"/>
      <c r="AY1490"/>
      <c r="BK1490" s="42">
        <v>1489</v>
      </c>
      <c r="BL1490" s="127">
        <v>4</v>
      </c>
      <c r="BM1490" s="127">
        <v>0.11332468572476186</v>
      </c>
      <c r="BN1490" s="127" t="e">
        <v>#N/A</v>
      </c>
      <c r="BO1490" s="127" t="e">
        <v>#N/A</v>
      </c>
      <c r="BP1490" s="151" t="e">
        <v>#N/A</v>
      </c>
      <c r="BQ1490">
        <v>0.11332468572476186</v>
      </c>
      <c r="BR1490" t="str">
        <v/>
      </c>
    </row>
    <row r="1491" spans="47:70" x14ac:dyDescent="0.2">
      <c r="AU1491"/>
      <c r="AV1491"/>
      <c r="AW1491"/>
      <c r="AX1491"/>
      <c r="AY1491"/>
      <c r="BK1491" s="42">
        <v>1490</v>
      </c>
      <c r="BL1491" s="127">
        <v>4</v>
      </c>
      <c r="BM1491" s="127">
        <v>0.11332468572476186</v>
      </c>
      <c r="BN1491" s="127" t="e">
        <v>#N/A</v>
      </c>
      <c r="BO1491" s="127" t="e">
        <v>#N/A</v>
      </c>
      <c r="BP1491" s="151" t="e">
        <v>#N/A</v>
      </c>
      <c r="BQ1491">
        <v>0.11332468572476186</v>
      </c>
      <c r="BR1491" t="str">
        <v/>
      </c>
    </row>
    <row r="1492" spans="47:70" x14ac:dyDescent="0.2">
      <c r="AU1492"/>
      <c r="AV1492"/>
      <c r="AW1492"/>
      <c r="AX1492"/>
      <c r="AY1492"/>
      <c r="BK1492" s="42">
        <v>1491</v>
      </c>
      <c r="BL1492" s="127">
        <v>4</v>
      </c>
      <c r="BM1492" s="127">
        <v>0.11332468572476186</v>
      </c>
      <c r="BN1492" s="127" t="e">
        <v>#N/A</v>
      </c>
      <c r="BO1492" s="127" t="e">
        <v>#N/A</v>
      </c>
      <c r="BP1492" s="151" t="e">
        <v>#N/A</v>
      </c>
      <c r="BQ1492">
        <v>0.11332468572476186</v>
      </c>
      <c r="BR1492" t="str">
        <v/>
      </c>
    </row>
    <row r="1493" spans="47:70" x14ac:dyDescent="0.2">
      <c r="AU1493"/>
      <c r="AV1493"/>
      <c r="AW1493"/>
      <c r="AX1493"/>
      <c r="AY1493"/>
      <c r="BK1493" s="42">
        <v>1492</v>
      </c>
      <c r="BL1493" s="127">
        <v>4</v>
      </c>
      <c r="BM1493" s="127">
        <v>0.11332468572476186</v>
      </c>
      <c r="BN1493" s="127" t="e">
        <v>#N/A</v>
      </c>
      <c r="BO1493" s="127" t="e">
        <v>#N/A</v>
      </c>
      <c r="BP1493" s="151" t="e">
        <v>#N/A</v>
      </c>
      <c r="BQ1493">
        <v>0.11332468572476186</v>
      </c>
      <c r="BR1493" t="str">
        <v/>
      </c>
    </row>
    <row r="1494" spans="47:70" x14ac:dyDescent="0.2">
      <c r="AU1494"/>
      <c r="AV1494"/>
      <c r="AW1494"/>
      <c r="AX1494"/>
      <c r="AY1494"/>
      <c r="BK1494" s="42">
        <v>1493</v>
      </c>
      <c r="BL1494" s="127">
        <v>4</v>
      </c>
      <c r="BM1494" s="127">
        <v>0.11332468572476186</v>
      </c>
      <c r="BN1494" s="127" t="e">
        <v>#N/A</v>
      </c>
      <c r="BO1494" s="127" t="e">
        <v>#N/A</v>
      </c>
      <c r="BP1494" s="151" t="e">
        <v>#N/A</v>
      </c>
      <c r="BQ1494">
        <v>0.11332468572476186</v>
      </c>
      <c r="BR1494" t="str">
        <v/>
      </c>
    </row>
    <row r="1495" spans="47:70" x14ac:dyDescent="0.2">
      <c r="AU1495"/>
      <c r="AV1495"/>
      <c r="AW1495"/>
      <c r="AX1495"/>
      <c r="AY1495"/>
      <c r="BK1495" s="42">
        <v>1494</v>
      </c>
      <c r="BL1495" s="127">
        <v>4</v>
      </c>
      <c r="BM1495" s="127">
        <v>0.11332468572476186</v>
      </c>
      <c r="BN1495" s="127" t="e">
        <v>#N/A</v>
      </c>
      <c r="BO1495" s="127" t="e">
        <v>#N/A</v>
      </c>
      <c r="BP1495" s="151" t="e">
        <v>#N/A</v>
      </c>
      <c r="BQ1495">
        <v>0.11332468572476186</v>
      </c>
      <c r="BR1495" t="str">
        <v/>
      </c>
    </row>
    <row r="1496" spans="47:70" x14ac:dyDescent="0.2">
      <c r="AU1496"/>
      <c r="AV1496"/>
      <c r="AW1496"/>
      <c r="AX1496"/>
      <c r="AY1496"/>
      <c r="BK1496" s="42">
        <v>1495</v>
      </c>
      <c r="BL1496" s="127">
        <v>4</v>
      </c>
      <c r="BM1496" s="127">
        <v>0.11332468572476186</v>
      </c>
      <c r="BN1496" s="127" t="e">
        <v>#N/A</v>
      </c>
      <c r="BO1496" s="127" t="e">
        <v>#N/A</v>
      </c>
      <c r="BP1496" s="151" t="e">
        <v>#N/A</v>
      </c>
      <c r="BQ1496">
        <v>0.11332468572476186</v>
      </c>
      <c r="BR1496" t="str">
        <v/>
      </c>
    </row>
    <row r="1497" spans="47:70" x14ac:dyDescent="0.2">
      <c r="AU1497"/>
      <c r="AV1497"/>
      <c r="AW1497"/>
      <c r="AX1497"/>
      <c r="AY1497"/>
      <c r="BK1497" s="42">
        <v>1496</v>
      </c>
      <c r="BL1497" s="127">
        <v>4</v>
      </c>
      <c r="BM1497" s="127">
        <v>0.11332468572476186</v>
      </c>
      <c r="BN1497" s="127" t="e">
        <v>#N/A</v>
      </c>
      <c r="BO1497" s="127" t="e">
        <v>#N/A</v>
      </c>
      <c r="BP1497" s="151" t="e">
        <v>#N/A</v>
      </c>
      <c r="BQ1497">
        <v>0.11332468572476186</v>
      </c>
      <c r="BR1497" t="str">
        <v/>
      </c>
    </row>
    <row r="1498" spans="47:70" x14ac:dyDescent="0.2">
      <c r="AU1498"/>
      <c r="AV1498"/>
      <c r="AW1498"/>
      <c r="AX1498"/>
      <c r="AY1498"/>
      <c r="BK1498" s="42">
        <v>1497</v>
      </c>
      <c r="BL1498" s="127">
        <v>4</v>
      </c>
      <c r="BM1498" s="127">
        <v>0.11332468572476186</v>
      </c>
      <c r="BN1498" s="127" t="e">
        <v>#N/A</v>
      </c>
      <c r="BO1498" s="127" t="e">
        <v>#N/A</v>
      </c>
      <c r="BP1498" s="151" t="e">
        <v>#N/A</v>
      </c>
      <c r="BQ1498">
        <v>0.11332468572476186</v>
      </c>
      <c r="BR1498" t="str">
        <v/>
      </c>
    </row>
    <row r="1499" spans="47:70" x14ac:dyDescent="0.2">
      <c r="AU1499"/>
      <c r="AV1499"/>
      <c r="AW1499"/>
      <c r="AX1499"/>
      <c r="AY1499"/>
      <c r="BK1499" s="42">
        <v>1498</v>
      </c>
      <c r="BL1499" s="127">
        <v>4</v>
      </c>
      <c r="BM1499" s="127">
        <v>0.11332468572476186</v>
      </c>
      <c r="BN1499" s="127" t="e">
        <v>#N/A</v>
      </c>
      <c r="BO1499" s="127" t="e">
        <v>#N/A</v>
      </c>
      <c r="BP1499" s="151" t="e">
        <v>#N/A</v>
      </c>
      <c r="BQ1499">
        <v>0.11332468572476186</v>
      </c>
      <c r="BR1499" t="str">
        <v/>
      </c>
    </row>
    <row r="1500" spans="47:70" x14ac:dyDescent="0.2">
      <c r="AU1500"/>
      <c r="AV1500"/>
      <c r="AW1500"/>
      <c r="AX1500"/>
      <c r="AY1500"/>
      <c r="BK1500" s="42">
        <v>1499</v>
      </c>
      <c r="BL1500" s="127">
        <v>4</v>
      </c>
      <c r="BM1500" s="127">
        <v>0.11332468572476186</v>
      </c>
      <c r="BN1500" s="127" t="e">
        <v>#N/A</v>
      </c>
      <c r="BO1500" s="127" t="e">
        <v>#N/A</v>
      </c>
      <c r="BP1500" s="151" t="e">
        <v>#N/A</v>
      </c>
      <c r="BQ1500">
        <v>0.11332468572476186</v>
      </c>
      <c r="BR1500" t="str">
        <v/>
      </c>
    </row>
    <row r="1501" spans="47:70" x14ac:dyDescent="0.2">
      <c r="AU1501"/>
      <c r="AV1501"/>
      <c r="AW1501"/>
      <c r="AX1501"/>
      <c r="AY1501"/>
      <c r="BK1501" s="42">
        <v>1500</v>
      </c>
      <c r="BL1501" s="127">
        <v>4</v>
      </c>
      <c r="BM1501" s="127">
        <v>0.11332468572476186</v>
      </c>
      <c r="BN1501" s="127" t="e">
        <v>#N/A</v>
      </c>
      <c r="BO1501" s="127" t="e">
        <v>#N/A</v>
      </c>
      <c r="BP1501" s="151" t="e">
        <v>#N/A</v>
      </c>
      <c r="BQ1501">
        <v>0.11332468572476186</v>
      </c>
      <c r="BR1501" t="str">
        <v/>
      </c>
    </row>
    <row r="1502" spans="47:70" x14ac:dyDescent="0.2">
      <c r="AU1502"/>
      <c r="AV1502"/>
      <c r="AW1502"/>
      <c r="AX1502"/>
      <c r="AY1502"/>
      <c r="BK1502" s="42">
        <v>1501</v>
      </c>
      <c r="BL1502" s="127">
        <v>4</v>
      </c>
      <c r="BM1502" s="127">
        <v>0.11332468572476186</v>
      </c>
      <c r="BN1502" s="127" t="e">
        <v>#N/A</v>
      </c>
      <c r="BO1502" s="127" t="e">
        <v>#N/A</v>
      </c>
      <c r="BP1502" s="151" t="e">
        <v>#N/A</v>
      </c>
      <c r="BQ1502">
        <v>0.11332468572476186</v>
      </c>
      <c r="BR1502" t="str">
        <v/>
      </c>
    </row>
    <row r="1503" spans="47:70" x14ac:dyDescent="0.2">
      <c r="AU1503"/>
      <c r="AV1503"/>
      <c r="AW1503"/>
      <c r="AX1503"/>
      <c r="AY1503"/>
      <c r="BK1503" s="42">
        <v>1502</v>
      </c>
      <c r="BL1503" s="127">
        <v>4</v>
      </c>
      <c r="BM1503" s="127">
        <v>0.11332468572476186</v>
      </c>
      <c r="BN1503" s="127" t="e">
        <v>#N/A</v>
      </c>
      <c r="BO1503" s="127" t="e">
        <v>#N/A</v>
      </c>
      <c r="BP1503" s="151" t="e">
        <v>#N/A</v>
      </c>
      <c r="BQ1503">
        <v>0.11332468572476186</v>
      </c>
      <c r="BR1503" t="str">
        <v/>
      </c>
    </row>
    <row r="1504" spans="47:70" x14ac:dyDescent="0.2">
      <c r="AU1504"/>
      <c r="AV1504"/>
      <c r="AW1504"/>
      <c r="AX1504"/>
      <c r="AY1504"/>
      <c r="BK1504" s="42">
        <v>1503</v>
      </c>
      <c r="BL1504" s="127">
        <v>4</v>
      </c>
      <c r="BM1504" s="127">
        <v>0.11332468572476186</v>
      </c>
      <c r="BN1504" s="127" t="e">
        <v>#N/A</v>
      </c>
      <c r="BO1504" s="127" t="e">
        <v>#N/A</v>
      </c>
      <c r="BP1504" s="151" t="e">
        <v>#N/A</v>
      </c>
      <c r="BQ1504">
        <v>0.11332468572476186</v>
      </c>
      <c r="BR1504" t="str">
        <v/>
      </c>
    </row>
    <row r="1505" spans="47:70" x14ac:dyDescent="0.2">
      <c r="AU1505"/>
      <c r="AV1505"/>
      <c r="AW1505"/>
      <c r="AX1505"/>
      <c r="AY1505"/>
      <c r="BK1505" s="42">
        <v>1504</v>
      </c>
      <c r="BL1505" s="127">
        <v>4</v>
      </c>
      <c r="BM1505" s="127">
        <v>0.11332468572476186</v>
      </c>
      <c r="BN1505" s="127" t="e">
        <v>#N/A</v>
      </c>
      <c r="BO1505" s="127" t="e">
        <v>#N/A</v>
      </c>
      <c r="BP1505" s="151" t="e">
        <v>#N/A</v>
      </c>
      <c r="BQ1505">
        <v>0.11332468572476186</v>
      </c>
      <c r="BR1505" t="str">
        <v/>
      </c>
    </row>
    <row r="1506" spans="47:70" x14ac:dyDescent="0.2">
      <c r="AU1506"/>
      <c r="AV1506"/>
      <c r="AW1506"/>
      <c r="AX1506"/>
      <c r="AY1506"/>
      <c r="BK1506" s="42">
        <v>1505</v>
      </c>
      <c r="BL1506" s="127">
        <v>4</v>
      </c>
      <c r="BM1506" s="127">
        <v>0.11332468572476186</v>
      </c>
      <c r="BN1506" s="127" t="e">
        <v>#N/A</v>
      </c>
      <c r="BO1506" s="127" t="e">
        <v>#N/A</v>
      </c>
      <c r="BP1506" s="151" t="e">
        <v>#N/A</v>
      </c>
      <c r="BQ1506">
        <v>0.11332468572476186</v>
      </c>
      <c r="BR1506" t="str">
        <v/>
      </c>
    </row>
    <row r="1507" spans="47:70" x14ac:dyDescent="0.2">
      <c r="AU1507"/>
      <c r="AV1507"/>
      <c r="AW1507"/>
      <c r="AX1507"/>
      <c r="AY1507"/>
      <c r="BK1507" s="42">
        <v>1506</v>
      </c>
      <c r="BL1507" s="127">
        <v>4</v>
      </c>
      <c r="BM1507" s="127">
        <v>0.11332468572476186</v>
      </c>
      <c r="BN1507" s="127" t="e">
        <v>#N/A</v>
      </c>
      <c r="BO1507" s="127" t="e">
        <v>#N/A</v>
      </c>
      <c r="BP1507" s="151" t="e">
        <v>#N/A</v>
      </c>
      <c r="BQ1507">
        <v>0.11332468572476186</v>
      </c>
      <c r="BR1507" t="str">
        <v/>
      </c>
    </row>
    <row r="1508" spans="47:70" x14ac:dyDescent="0.2">
      <c r="AU1508"/>
      <c r="AV1508"/>
      <c r="AW1508"/>
      <c r="AX1508"/>
      <c r="AY1508"/>
      <c r="BK1508" s="42">
        <v>1507</v>
      </c>
      <c r="BL1508" s="127">
        <v>4</v>
      </c>
      <c r="BM1508" s="127">
        <v>0.11332468572476186</v>
      </c>
      <c r="BN1508" s="127" t="e">
        <v>#N/A</v>
      </c>
      <c r="BO1508" s="127" t="e">
        <v>#N/A</v>
      </c>
      <c r="BP1508" s="151" t="e">
        <v>#N/A</v>
      </c>
      <c r="BQ1508">
        <v>0.11332468572476186</v>
      </c>
      <c r="BR1508" t="str">
        <v/>
      </c>
    </row>
    <row r="1509" spans="47:70" x14ac:dyDescent="0.2">
      <c r="AU1509"/>
      <c r="AV1509"/>
      <c r="AW1509"/>
      <c r="AX1509"/>
      <c r="AY1509"/>
      <c r="BK1509" s="42">
        <v>1508</v>
      </c>
      <c r="BL1509" s="127">
        <v>4</v>
      </c>
      <c r="BM1509" s="127">
        <v>0.11332468572476186</v>
      </c>
      <c r="BN1509" s="127" t="e">
        <v>#N/A</v>
      </c>
      <c r="BO1509" s="127" t="e">
        <v>#N/A</v>
      </c>
      <c r="BP1509" s="151" t="e">
        <v>#N/A</v>
      </c>
      <c r="BQ1509">
        <v>0.11332468572476186</v>
      </c>
      <c r="BR1509" t="str">
        <v/>
      </c>
    </row>
    <row r="1510" spans="47:70" x14ac:dyDescent="0.2">
      <c r="AU1510"/>
      <c r="AV1510"/>
      <c r="AW1510"/>
      <c r="AX1510"/>
      <c r="AY1510"/>
      <c r="BK1510" s="42">
        <v>1509</v>
      </c>
      <c r="BL1510" s="127">
        <v>4</v>
      </c>
      <c r="BM1510" s="127">
        <v>0.11332468572476186</v>
      </c>
      <c r="BN1510" s="127" t="e">
        <v>#N/A</v>
      </c>
      <c r="BO1510" s="127" t="e">
        <v>#N/A</v>
      </c>
      <c r="BP1510" s="151" t="e">
        <v>#N/A</v>
      </c>
      <c r="BQ1510">
        <v>0.11332468572476186</v>
      </c>
      <c r="BR1510" t="str">
        <v/>
      </c>
    </row>
    <row r="1511" spans="47:70" x14ac:dyDescent="0.2">
      <c r="AU1511"/>
      <c r="AV1511"/>
      <c r="AW1511"/>
      <c r="AX1511"/>
      <c r="AY1511"/>
      <c r="BK1511" s="42">
        <v>1510</v>
      </c>
      <c r="BL1511" s="127">
        <v>4</v>
      </c>
      <c r="BM1511" s="127">
        <v>0.11332468572476186</v>
      </c>
      <c r="BN1511" s="127" t="e">
        <v>#N/A</v>
      </c>
      <c r="BO1511" s="127" t="e">
        <v>#N/A</v>
      </c>
      <c r="BP1511" s="151" t="e">
        <v>#N/A</v>
      </c>
      <c r="BQ1511">
        <v>0.11332468572476186</v>
      </c>
      <c r="BR1511" t="str">
        <v/>
      </c>
    </row>
    <row r="1512" spans="47:70" x14ac:dyDescent="0.2">
      <c r="AU1512"/>
      <c r="AV1512"/>
      <c r="AW1512"/>
      <c r="AX1512"/>
      <c r="AY1512"/>
      <c r="BK1512" s="42">
        <v>1511</v>
      </c>
      <c r="BL1512" s="127">
        <v>4</v>
      </c>
      <c r="BM1512" s="127">
        <v>0.11332468572476186</v>
      </c>
      <c r="BN1512" s="127" t="e">
        <v>#N/A</v>
      </c>
      <c r="BO1512" s="127" t="e">
        <v>#N/A</v>
      </c>
      <c r="BP1512" s="151" t="e">
        <v>#N/A</v>
      </c>
      <c r="BQ1512">
        <v>0.11332468572476186</v>
      </c>
      <c r="BR1512" t="str">
        <v/>
      </c>
    </row>
    <row r="1513" spans="47:70" x14ac:dyDescent="0.2">
      <c r="AU1513"/>
      <c r="AV1513"/>
      <c r="AW1513"/>
      <c r="AX1513"/>
      <c r="AY1513"/>
      <c r="BK1513" s="42">
        <v>1512</v>
      </c>
      <c r="BL1513" s="127">
        <v>4</v>
      </c>
      <c r="BM1513" s="127">
        <v>0.11332468572476186</v>
      </c>
      <c r="BN1513" s="127" t="e">
        <v>#N/A</v>
      </c>
      <c r="BO1513" s="127" t="e">
        <v>#N/A</v>
      </c>
      <c r="BP1513" s="151" t="e">
        <v>#N/A</v>
      </c>
      <c r="BQ1513">
        <v>0.11332468572476186</v>
      </c>
      <c r="BR1513" t="str">
        <v/>
      </c>
    </row>
    <row r="1514" spans="47:70" x14ac:dyDescent="0.2">
      <c r="AU1514"/>
      <c r="AV1514"/>
      <c r="AW1514"/>
      <c r="AX1514"/>
      <c r="AY1514"/>
      <c r="BK1514" s="42">
        <v>1513</v>
      </c>
      <c r="BL1514" s="127">
        <v>4</v>
      </c>
      <c r="BM1514" s="127">
        <v>0.11332468572476186</v>
      </c>
      <c r="BN1514" s="127" t="e">
        <v>#N/A</v>
      </c>
      <c r="BO1514" s="127" t="e">
        <v>#N/A</v>
      </c>
      <c r="BP1514" s="151" t="e">
        <v>#N/A</v>
      </c>
      <c r="BQ1514">
        <v>0.11332468572476186</v>
      </c>
      <c r="BR1514" t="str">
        <v/>
      </c>
    </row>
    <row r="1515" spans="47:70" x14ac:dyDescent="0.2">
      <c r="AU1515"/>
      <c r="AV1515"/>
      <c r="AW1515"/>
      <c r="AX1515"/>
      <c r="AY1515"/>
      <c r="BK1515" s="42">
        <v>1514</v>
      </c>
      <c r="BL1515" s="127">
        <v>4</v>
      </c>
      <c r="BM1515" s="127">
        <v>0.11332468572476186</v>
      </c>
      <c r="BN1515" s="127" t="e">
        <v>#N/A</v>
      </c>
      <c r="BO1515" s="127" t="e">
        <v>#N/A</v>
      </c>
      <c r="BP1515" s="151" t="e">
        <v>#N/A</v>
      </c>
      <c r="BQ1515">
        <v>0.11332468572476186</v>
      </c>
      <c r="BR1515" t="str">
        <v/>
      </c>
    </row>
    <row r="1516" spans="47:70" x14ac:dyDescent="0.2">
      <c r="AU1516"/>
      <c r="AV1516"/>
      <c r="AW1516"/>
      <c r="AX1516"/>
      <c r="AY1516"/>
      <c r="BK1516" s="42">
        <v>1515</v>
      </c>
      <c r="BL1516" s="127">
        <v>4</v>
      </c>
      <c r="BM1516" s="127">
        <v>0.11332468572476186</v>
      </c>
      <c r="BN1516" s="127" t="e">
        <v>#N/A</v>
      </c>
      <c r="BO1516" s="127" t="e">
        <v>#N/A</v>
      </c>
      <c r="BP1516" s="151" t="e">
        <v>#N/A</v>
      </c>
      <c r="BQ1516">
        <v>0.11332468572476186</v>
      </c>
      <c r="BR1516" t="str">
        <v/>
      </c>
    </row>
    <row r="1517" spans="47:70" x14ac:dyDescent="0.2">
      <c r="AU1517"/>
      <c r="AV1517"/>
      <c r="AW1517"/>
      <c r="AX1517"/>
      <c r="AY1517"/>
      <c r="BK1517" s="42">
        <v>1516</v>
      </c>
      <c r="BL1517" s="127">
        <v>4</v>
      </c>
      <c r="BM1517" s="127">
        <v>0.11332468572476186</v>
      </c>
      <c r="BN1517" s="127" t="e">
        <v>#N/A</v>
      </c>
      <c r="BO1517" s="127" t="e">
        <v>#N/A</v>
      </c>
      <c r="BP1517" s="151" t="e">
        <v>#N/A</v>
      </c>
      <c r="BQ1517">
        <v>0.11332468572476186</v>
      </c>
      <c r="BR1517" t="str">
        <v/>
      </c>
    </row>
    <row r="1518" spans="47:70" x14ac:dyDescent="0.2">
      <c r="AU1518"/>
      <c r="AV1518"/>
      <c r="AW1518"/>
      <c r="AX1518"/>
      <c r="AY1518"/>
      <c r="BK1518" s="42">
        <v>1517</v>
      </c>
      <c r="BL1518" s="127">
        <v>4</v>
      </c>
      <c r="BM1518" s="127">
        <v>0.11332468572476186</v>
      </c>
      <c r="BN1518" s="127" t="e">
        <v>#N/A</v>
      </c>
      <c r="BO1518" s="127" t="e">
        <v>#N/A</v>
      </c>
      <c r="BP1518" s="151" t="e">
        <v>#N/A</v>
      </c>
      <c r="BQ1518">
        <v>0.11332468572476186</v>
      </c>
      <c r="BR1518" t="str">
        <v/>
      </c>
    </row>
    <row r="1519" spans="47:70" x14ac:dyDescent="0.2">
      <c r="AU1519"/>
      <c r="AV1519"/>
      <c r="AW1519"/>
      <c r="AX1519"/>
      <c r="AY1519"/>
      <c r="BK1519" s="42">
        <v>1518</v>
      </c>
      <c r="BL1519" s="127">
        <v>4</v>
      </c>
      <c r="BM1519" s="127">
        <v>0.11332468572476186</v>
      </c>
      <c r="BN1519" s="127" t="e">
        <v>#N/A</v>
      </c>
      <c r="BO1519" s="127" t="e">
        <v>#N/A</v>
      </c>
      <c r="BP1519" s="151" t="e">
        <v>#N/A</v>
      </c>
      <c r="BQ1519">
        <v>0.11332468572476186</v>
      </c>
      <c r="BR1519" t="str">
        <v/>
      </c>
    </row>
    <row r="1520" spans="47:70" x14ac:dyDescent="0.2">
      <c r="AU1520"/>
      <c r="AV1520"/>
      <c r="AW1520"/>
      <c r="AX1520"/>
      <c r="AY1520"/>
      <c r="BK1520" s="42">
        <v>1519</v>
      </c>
      <c r="BL1520" s="127">
        <v>4</v>
      </c>
      <c r="BM1520" s="127">
        <v>0.11332468572476186</v>
      </c>
      <c r="BN1520" s="127" t="e">
        <v>#N/A</v>
      </c>
      <c r="BO1520" s="127" t="e">
        <v>#N/A</v>
      </c>
      <c r="BP1520" s="151" t="e">
        <v>#N/A</v>
      </c>
      <c r="BQ1520">
        <v>0.11332468572476186</v>
      </c>
      <c r="BR1520" t="str">
        <v/>
      </c>
    </row>
    <row r="1521" spans="47:70" x14ac:dyDescent="0.2">
      <c r="AU1521"/>
      <c r="AV1521"/>
      <c r="AW1521"/>
      <c r="AX1521"/>
      <c r="AY1521"/>
      <c r="BK1521" s="42">
        <v>1520</v>
      </c>
      <c r="BL1521" s="127">
        <v>4</v>
      </c>
      <c r="BM1521" s="127">
        <v>0.11332468572476186</v>
      </c>
      <c r="BN1521" s="127" t="e">
        <v>#N/A</v>
      </c>
      <c r="BO1521" s="127" t="e">
        <v>#N/A</v>
      </c>
      <c r="BP1521" s="151" t="e">
        <v>#N/A</v>
      </c>
      <c r="BQ1521">
        <v>0.11332468572476186</v>
      </c>
      <c r="BR1521" t="str">
        <v/>
      </c>
    </row>
    <row r="1522" spans="47:70" x14ac:dyDescent="0.2">
      <c r="AU1522"/>
      <c r="AV1522"/>
      <c r="AW1522"/>
      <c r="AX1522"/>
      <c r="AY1522"/>
      <c r="BK1522" s="42">
        <v>1521</v>
      </c>
      <c r="BL1522" s="127">
        <v>4</v>
      </c>
      <c r="BM1522" s="127">
        <v>0.11332468572476186</v>
      </c>
      <c r="BN1522" s="127" t="e">
        <v>#N/A</v>
      </c>
      <c r="BO1522" s="127" t="e">
        <v>#N/A</v>
      </c>
      <c r="BP1522" s="151" t="e">
        <v>#N/A</v>
      </c>
      <c r="BQ1522">
        <v>0.11332468572476186</v>
      </c>
      <c r="BR1522" t="str">
        <v/>
      </c>
    </row>
    <row r="1523" spans="47:70" x14ac:dyDescent="0.2">
      <c r="AU1523"/>
      <c r="AV1523"/>
      <c r="AW1523"/>
      <c r="AX1523"/>
      <c r="AY1523"/>
      <c r="BK1523" s="42">
        <v>1522</v>
      </c>
      <c r="BL1523" s="127">
        <v>4</v>
      </c>
      <c r="BM1523" s="127">
        <v>0.11332468572476186</v>
      </c>
      <c r="BN1523" s="127" t="e">
        <v>#N/A</v>
      </c>
      <c r="BO1523" s="127" t="e">
        <v>#N/A</v>
      </c>
      <c r="BP1523" s="151" t="e">
        <v>#N/A</v>
      </c>
      <c r="BQ1523">
        <v>0.11332468572476186</v>
      </c>
      <c r="BR1523" t="str">
        <v/>
      </c>
    </row>
    <row r="1524" spans="47:70" x14ac:dyDescent="0.2">
      <c r="AU1524"/>
      <c r="AV1524"/>
      <c r="AW1524"/>
      <c r="AX1524"/>
      <c r="AY1524"/>
      <c r="BK1524" s="42">
        <v>1523</v>
      </c>
      <c r="BL1524" s="127">
        <v>4</v>
      </c>
      <c r="BM1524" s="127">
        <v>0.11332468572476186</v>
      </c>
      <c r="BN1524" s="127" t="e">
        <v>#N/A</v>
      </c>
      <c r="BO1524" s="127" t="e">
        <v>#N/A</v>
      </c>
      <c r="BP1524" s="151" t="e">
        <v>#N/A</v>
      </c>
      <c r="BQ1524">
        <v>0.11332468572476186</v>
      </c>
      <c r="BR1524" t="str">
        <v/>
      </c>
    </row>
    <row r="1525" spans="47:70" x14ac:dyDescent="0.2">
      <c r="AU1525"/>
      <c r="AV1525"/>
      <c r="AW1525"/>
      <c r="AX1525"/>
      <c r="AY1525"/>
      <c r="BK1525" s="42">
        <v>1524</v>
      </c>
      <c r="BL1525" s="127">
        <v>4</v>
      </c>
      <c r="BM1525" s="127">
        <v>0.11332468572476186</v>
      </c>
      <c r="BN1525" s="127" t="e">
        <v>#N/A</v>
      </c>
      <c r="BO1525" s="127" t="e">
        <v>#N/A</v>
      </c>
      <c r="BP1525" s="151" t="e">
        <v>#N/A</v>
      </c>
      <c r="BQ1525">
        <v>0.11332468572476186</v>
      </c>
      <c r="BR1525" t="str">
        <v/>
      </c>
    </row>
    <row r="1526" spans="47:70" x14ac:dyDescent="0.2">
      <c r="AU1526"/>
      <c r="AV1526"/>
      <c r="AW1526"/>
      <c r="AX1526"/>
      <c r="AY1526"/>
      <c r="BK1526" s="42">
        <v>1525</v>
      </c>
      <c r="BL1526" s="127">
        <v>4</v>
      </c>
      <c r="BM1526" s="127">
        <v>0.11332468572476186</v>
      </c>
      <c r="BN1526" s="127" t="e">
        <v>#N/A</v>
      </c>
      <c r="BO1526" s="127" t="e">
        <v>#N/A</v>
      </c>
      <c r="BP1526" s="151" t="e">
        <v>#N/A</v>
      </c>
      <c r="BQ1526">
        <v>0.11332468572476186</v>
      </c>
      <c r="BR1526" t="str">
        <v/>
      </c>
    </row>
    <row r="1527" spans="47:70" x14ac:dyDescent="0.2">
      <c r="AU1527"/>
      <c r="AV1527"/>
      <c r="AW1527"/>
      <c r="AX1527"/>
      <c r="AY1527"/>
      <c r="BK1527" s="42">
        <v>1526</v>
      </c>
      <c r="BL1527" s="127">
        <v>4</v>
      </c>
      <c r="BM1527" s="127">
        <v>0.11332468572476186</v>
      </c>
      <c r="BN1527" s="127" t="e">
        <v>#N/A</v>
      </c>
      <c r="BO1527" s="127" t="e">
        <v>#N/A</v>
      </c>
      <c r="BP1527" s="151" t="e">
        <v>#N/A</v>
      </c>
      <c r="BQ1527">
        <v>0.11332468572476186</v>
      </c>
      <c r="BR1527" t="str">
        <v/>
      </c>
    </row>
    <row r="1528" spans="47:70" x14ac:dyDescent="0.2">
      <c r="AU1528"/>
      <c r="AV1528"/>
      <c r="AW1528"/>
      <c r="AX1528"/>
      <c r="AY1528"/>
      <c r="BK1528" s="42">
        <v>1527</v>
      </c>
      <c r="BL1528" s="127">
        <v>4</v>
      </c>
      <c r="BM1528" s="127">
        <v>0.11332468572476186</v>
      </c>
      <c r="BN1528" s="127" t="e">
        <v>#N/A</v>
      </c>
      <c r="BO1528" s="127" t="e">
        <v>#N/A</v>
      </c>
      <c r="BP1528" s="151" t="e">
        <v>#N/A</v>
      </c>
      <c r="BQ1528">
        <v>0.11332468572476186</v>
      </c>
      <c r="BR1528" t="str">
        <v/>
      </c>
    </row>
    <row r="1529" spans="47:70" x14ac:dyDescent="0.2">
      <c r="AU1529"/>
      <c r="AV1529"/>
      <c r="AW1529"/>
      <c r="AX1529"/>
      <c r="AY1529"/>
      <c r="BK1529" s="42">
        <v>1528</v>
      </c>
      <c r="BL1529" s="127">
        <v>4</v>
      </c>
      <c r="BM1529" s="127">
        <v>0.11332468572476186</v>
      </c>
      <c r="BN1529" s="127" t="e">
        <v>#N/A</v>
      </c>
      <c r="BO1529" s="127" t="e">
        <v>#N/A</v>
      </c>
      <c r="BP1529" s="151" t="e">
        <v>#N/A</v>
      </c>
      <c r="BQ1529">
        <v>0.11332468572476186</v>
      </c>
      <c r="BR1529" t="str">
        <v/>
      </c>
    </row>
    <row r="1530" spans="47:70" x14ac:dyDescent="0.2">
      <c r="AU1530"/>
      <c r="AV1530"/>
      <c r="AW1530"/>
      <c r="AX1530"/>
      <c r="AY1530"/>
      <c r="BK1530" s="42">
        <v>1529</v>
      </c>
      <c r="BL1530" s="127">
        <v>4</v>
      </c>
      <c r="BM1530" s="127">
        <v>0.11332468572476186</v>
      </c>
      <c r="BN1530" s="127" t="e">
        <v>#N/A</v>
      </c>
      <c r="BO1530" s="127" t="e">
        <v>#N/A</v>
      </c>
      <c r="BP1530" s="151" t="e">
        <v>#N/A</v>
      </c>
      <c r="BQ1530">
        <v>0.11332468572476186</v>
      </c>
      <c r="BR1530" t="str">
        <v/>
      </c>
    </row>
    <row r="1531" spans="47:70" x14ac:dyDescent="0.2">
      <c r="AU1531"/>
      <c r="AV1531"/>
      <c r="AW1531"/>
      <c r="AX1531"/>
      <c r="AY1531"/>
      <c r="BK1531" s="42">
        <v>1530</v>
      </c>
      <c r="BL1531" s="127">
        <v>4</v>
      </c>
      <c r="BM1531" s="127">
        <v>0.11332468572476186</v>
      </c>
      <c r="BN1531" s="127" t="e">
        <v>#N/A</v>
      </c>
      <c r="BO1531" s="127" t="e">
        <v>#N/A</v>
      </c>
      <c r="BP1531" s="151" t="e">
        <v>#N/A</v>
      </c>
      <c r="BQ1531">
        <v>0.11332468572476186</v>
      </c>
      <c r="BR1531" t="str">
        <v/>
      </c>
    </row>
    <row r="1532" spans="47:70" x14ac:dyDescent="0.2">
      <c r="AU1532"/>
      <c r="AV1532"/>
      <c r="AW1532"/>
      <c r="AX1532"/>
      <c r="AY1532"/>
      <c r="BK1532" s="42">
        <v>1531</v>
      </c>
      <c r="BL1532" s="127">
        <v>4</v>
      </c>
      <c r="BM1532" s="127">
        <v>0.11332468572476186</v>
      </c>
      <c r="BN1532" s="127" t="e">
        <v>#N/A</v>
      </c>
      <c r="BO1532" s="127" t="e">
        <v>#N/A</v>
      </c>
      <c r="BP1532" s="151" t="e">
        <v>#N/A</v>
      </c>
      <c r="BQ1532">
        <v>0.11332468572476186</v>
      </c>
      <c r="BR1532" t="str">
        <v/>
      </c>
    </row>
    <row r="1533" spans="47:70" x14ac:dyDescent="0.2">
      <c r="AU1533"/>
      <c r="AV1533"/>
      <c r="AW1533"/>
      <c r="AX1533"/>
      <c r="AY1533"/>
      <c r="BK1533" s="42">
        <v>1532</v>
      </c>
      <c r="BL1533" s="127">
        <v>4</v>
      </c>
      <c r="BM1533" s="127">
        <v>0.11332468572476186</v>
      </c>
      <c r="BN1533" s="127" t="e">
        <v>#N/A</v>
      </c>
      <c r="BO1533" s="127" t="e">
        <v>#N/A</v>
      </c>
      <c r="BP1533" s="151" t="e">
        <v>#N/A</v>
      </c>
      <c r="BQ1533">
        <v>0.11332468572476186</v>
      </c>
      <c r="BR1533" t="str">
        <v/>
      </c>
    </row>
    <row r="1534" spans="47:70" x14ac:dyDescent="0.2">
      <c r="AU1534"/>
      <c r="AV1534"/>
      <c r="AW1534"/>
      <c r="AX1534"/>
      <c r="AY1534"/>
      <c r="BK1534" s="42">
        <v>1533</v>
      </c>
      <c r="BL1534" s="127">
        <v>4</v>
      </c>
      <c r="BM1534" s="127">
        <v>0.11332468572476186</v>
      </c>
      <c r="BN1534" s="127" t="e">
        <v>#N/A</v>
      </c>
      <c r="BO1534" s="127" t="e">
        <v>#N/A</v>
      </c>
      <c r="BP1534" s="151" t="e">
        <v>#N/A</v>
      </c>
      <c r="BQ1534">
        <v>0.11332468572476186</v>
      </c>
      <c r="BR1534" t="str">
        <v/>
      </c>
    </row>
    <row r="1535" spans="47:70" x14ac:dyDescent="0.2">
      <c r="AU1535"/>
      <c r="AV1535"/>
      <c r="AW1535"/>
      <c r="AX1535"/>
      <c r="AY1535"/>
      <c r="BK1535" s="42">
        <v>1534</v>
      </c>
      <c r="BL1535" s="127">
        <v>4</v>
      </c>
      <c r="BM1535" s="127">
        <v>0.11332468572476186</v>
      </c>
      <c r="BN1535" s="127" t="e">
        <v>#N/A</v>
      </c>
      <c r="BO1535" s="127" t="e">
        <v>#N/A</v>
      </c>
      <c r="BP1535" s="151" t="e">
        <v>#N/A</v>
      </c>
      <c r="BQ1535">
        <v>0.11332468572476186</v>
      </c>
      <c r="BR1535" t="str">
        <v/>
      </c>
    </row>
    <row r="1536" spans="47:70" x14ac:dyDescent="0.2">
      <c r="AU1536"/>
      <c r="AV1536"/>
      <c r="AW1536"/>
      <c r="AX1536"/>
      <c r="AY1536"/>
      <c r="BK1536" s="42">
        <v>1535</v>
      </c>
      <c r="BL1536" s="127">
        <v>4</v>
      </c>
      <c r="BM1536" s="127">
        <v>0.11332468572476186</v>
      </c>
      <c r="BN1536" s="127" t="e">
        <v>#N/A</v>
      </c>
      <c r="BO1536" s="127" t="e">
        <v>#N/A</v>
      </c>
      <c r="BP1536" s="151" t="e">
        <v>#N/A</v>
      </c>
      <c r="BQ1536">
        <v>0.11332468572476186</v>
      </c>
      <c r="BR1536" t="str">
        <v/>
      </c>
    </row>
    <row r="1537" spans="47:70" x14ac:dyDescent="0.2">
      <c r="AU1537"/>
      <c r="AV1537"/>
      <c r="AW1537"/>
      <c r="AX1537"/>
      <c r="AY1537"/>
      <c r="BK1537" s="42">
        <v>1536</v>
      </c>
      <c r="BL1537" s="127">
        <v>4</v>
      </c>
      <c r="BM1537" s="127">
        <v>0.11332468572476186</v>
      </c>
      <c r="BN1537" s="127" t="e">
        <v>#N/A</v>
      </c>
      <c r="BO1537" s="127" t="e">
        <v>#N/A</v>
      </c>
      <c r="BP1537" s="151" t="e">
        <v>#N/A</v>
      </c>
      <c r="BQ1537">
        <v>0.11332468572476186</v>
      </c>
      <c r="BR1537" t="str">
        <v/>
      </c>
    </row>
    <row r="1538" spans="47:70" x14ac:dyDescent="0.2">
      <c r="AU1538"/>
      <c r="AV1538"/>
      <c r="AW1538"/>
      <c r="AX1538"/>
      <c r="AY1538"/>
      <c r="BK1538" s="42">
        <v>1537</v>
      </c>
      <c r="BL1538" s="127">
        <v>4</v>
      </c>
      <c r="BM1538" s="127">
        <v>0.11332468572476186</v>
      </c>
      <c r="BN1538" s="127" t="e">
        <v>#N/A</v>
      </c>
      <c r="BO1538" s="127" t="e">
        <v>#N/A</v>
      </c>
      <c r="BP1538" s="151" t="e">
        <v>#N/A</v>
      </c>
      <c r="BQ1538">
        <v>0.11332468572476186</v>
      </c>
      <c r="BR1538" t="str">
        <v/>
      </c>
    </row>
    <row r="1539" spans="47:70" x14ac:dyDescent="0.2">
      <c r="AU1539"/>
      <c r="AV1539"/>
      <c r="AW1539"/>
      <c r="AX1539"/>
      <c r="AY1539"/>
      <c r="BK1539" s="42">
        <v>1538</v>
      </c>
      <c r="BL1539" s="127">
        <v>4</v>
      </c>
      <c r="BM1539" s="127">
        <v>0.11332468572476186</v>
      </c>
      <c r="BN1539" s="127" t="e">
        <v>#N/A</v>
      </c>
      <c r="BO1539" s="127" t="e">
        <v>#N/A</v>
      </c>
      <c r="BP1539" s="151" t="e">
        <v>#N/A</v>
      </c>
      <c r="BQ1539">
        <v>0.11332468572476186</v>
      </c>
      <c r="BR1539" t="str">
        <v/>
      </c>
    </row>
    <row r="1540" spans="47:70" x14ac:dyDescent="0.2">
      <c r="AU1540"/>
      <c r="AV1540"/>
      <c r="AW1540"/>
      <c r="AX1540"/>
      <c r="AY1540"/>
      <c r="BK1540" s="42">
        <v>1539</v>
      </c>
      <c r="BL1540" s="127">
        <v>4</v>
      </c>
      <c r="BM1540" s="127">
        <v>0.11332468572476186</v>
      </c>
      <c r="BN1540" s="127" t="e">
        <v>#N/A</v>
      </c>
      <c r="BO1540" s="127" t="e">
        <v>#N/A</v>
      </c>
      <c r="BP1540" s="151" t="e">
        <v>#N/A</v>
      </c>
      <c r="BQ1540">
        <v>0.11332468572476186</v>
      </c>
      <c r="BR1540" t="str">
        <v/>
      </c>
    </row>
    <row r="1541" spans="47:70" x14ac:dyDescent="0.2">
      <c r="AU1541"/>
      <c r="AV1541"/>
      <c r="AW1541"/>
      <c r="AX1541"/>
      <c r="AY1541"/>
      <c r="BK1541" s="42">
        <v>1540</v>
      </c>
      <c r="BL1541" s="127">
        <v>4</v>
      </c>
      <c r="BM1541" s="127">
        <v>0.11332468572476186</v>
      </c>
      <c r="BN1541" s="127" t="e">
        <v>#N/A</v>
      </c>
      <c r="BO1541" s="127" t="e">
        <v>#N/A</v>
      </c>
      <c r="BP1541" s="151" t="e">
        <v>#N/A</v>
      </c>
      <c r="BQ1541">
        <v>0.11332468572476186</v>
      </c>
      <c r="BR1541" t="str">
        <v/>
      </c>
    </row>
    <row r="1542" spans="47:70" x14ac:dyDescent="0.2">
      <c r="AU1542"/>
      <c r="AV1542"/>
      <c r="AW1542"/>
      <c r="AX1542"/>
      <c r="AY1542"/>
      <c r="BK1542" s="42">
        <v>1541</v>
      </c>
      <c r="BL1542" s="127">
        <v>4</v>
      </c>
      <c r="BM1542" s="127">
        <v>0.11332468572476186</v>
      </c>
      <c r="BN1542" s="127" t="e">
        <v>#N/A</v>
      </c>
      <c r="BO1542" s="127" t="e">
        <v>#N/A</v>
      </c>
      <c r="BP1542" s="151" t="e">
        <v>#N/A</v>
      </c>
      <c r="BQ1542">
        <v>0.11332468572476186</v>
      </c>
      <c r="BR1542" t="str">
        <v/>
      </c>
    </row>
    <row r="1543" spans="47:70" x14ac:dyDescent="0.2">
      <c r="AU1543"/>
      <c r="AV1543"/>
      <c r="AW1543"/>
      <c r="AX1543"/>
      <c r="AY1543"/>
      <c r="BK1543" s="42">
        <v>1542</v>
      </c>
      <c r="BL1543" s="127">
        <v>4</v>
      </c>
      <c r="BM1543" s="127">
        <v>0.11332468572476186</v>
      </c>
      <c r="BN1543" s="127" t="e">
        <v>#N/A</v>
      </c>
      <c r="BO1543" s="127" t="e">
        <v>#N/A</v>
      </c>
      <c r="BP1543" s="151" t="e">
        <v>#N/A</v>
      </c>
      <c r="BQ1543">
        <v>0.11332468572476186</v>
      </c>
      <c r="BR1543" t="str">
        <v/>
      </c>
    </row>
    <row r="1544" spans="47:70" x14ac:dyDescent="0.2">
      <c r="AU1544"/>
      <c r="AV1544"/>
      <c r="AW1544"/>
      <c r="AX1544"/>
      <c r="AY1544"/>
      <c r="BK1544" s="42">
        <v>1543</v>
      </c>
      <c r="BL1544" s="127">
        <v>4</v>
      </c>
      <c r="BM1544" s="127">
        <v>0.11332468572476186</v>
      </c>
      <c r="BN1544" s="127" t="e">
        <v>#N/A</v>
      </c>
      <c r="BO1544" s="127" t="e">
        <v>#N/A</v>
      </c>
      <c r="BP1544" s="151" t="e">
        <v>#N/A</v>
      </c>
      <c r="BQ1544">
        <v>0.11332468572476186</v>
      </c>
      <c r="BR1544" t="str">
        <v/>
      </c>
    </row>
    <row r="1545" spans="47:70" x14ac:dyDescent="0.2">
      <c r="AU1545"/>
      <c r="AV1545"/>
      <c r="AW1545"/>
      <c r="AX1545"/>
      <c r="AY1545"/>
      <c r="BK1545" s="42">
        <v>1544</v>
      </c>
      <c r="BL1545" s="127">
        <v>4</v>
      </c>
      <c r="BM1545" s="127">
        <v>0.11332468572476186</v>
      </c>
      <c r="BN1545" s="127" t="e">
        <v>#N/A</v>
      </c>
      <c r="BO1545" s="127" t="e">
        <v>#N/A</v>
      </c>
      <c r="BP1545" s="151" t="e">
        <v>#N/A</v>
      </c>
      <c r="BQ1545">
        <v>0.11332468572476186</v>
      </c>
      <c r="BR1545" t="str">
        <v/>
      </c>
    </row>
    <row r="1546" spans="47:70" x14ac:dyDescent="0.2">
      <c r="AU1546"/>
      <c r="AV1546"/>
      <c r="AW1546"/>
      <c r="AX1546"/>
      <c r="AY1546"/>
      <c r="BK1546" s="42">
        <v>1545</v>
      </c>
      <c r="BL1546" s="127">
        <v>4</v>
      </c>
      <c r="BM1546" s="127">
        <v>0.11332468572476186</v>
      </c>
      <c r="BN1546" s="127" t="e">
        <v>#N/A</v>
      </c>
      <c r="BO1546" s="127" t="e">
        <v>#N/A</v>
      </c>
      <c r="BP1546" s="151" t="e">
        <v>#N/A</v>
      </c>
      <c r="BQ1546">
        <v>0.11332468572476186</v>
      </c>
      <c r="BR1546" t="str">
        <v/>
      </c>
    </row>
    <row r="1547" spans="47:70" x14ac:dyDescent="0.2">
      <c r="AU1547"/>
      <c r="AV1547"/>
      <c r="AW1547"/>
      <c r="AX1547"/>
      <c r="AY1547"/>
      <c r="BK1547" s="42">
        <v>1546</v>
      </c>
      <c r="BL1547" s="127">
        <v>4</v>
      </c>
      <c r="BM1547" s="127">
        <v>0.11332468572476186</v>
      </c>
      <c r="BN1547" s="127" t="e">
        <v>#N/A</v>
      </c>
      <c r="BO1547" s="127" t="e">
        <v>#N/A</v>
      </c>
      <c r="BP1547" s="151" t="e">
        <v>#N/A</v>
      </c>
      <c r="BQ1547">
        <v>0.11332468572476186</v>
      </c>
      <c r="BR1547" t="str">
        <v/>
      </c>
    </row>
    <row r="1548" spans="47:70" x14ac:dyDescent="0.2">
      <c r="AU1548"/>
      <c r="AV1548"/>
      <c r="AW1548"/>
      <c r="AX1548"/>
      <c r="AY1548"/>
      <c r="BK1548" s="42">
        <v>1547</v>
      </c>
      <c r="BL1548" s="127">
        <v>4</v>
      </c>
      <c r="BM1548" s="127">
        <v>0.11332468572476186</v>
      </c>
      <c r="BN1548" s="127" t="e">
        <v>#N/A</v>
      </c>
      <c r="BO1548" s="127" t="e">
        <v>#N/A</v>
      </c>
      <c r="BP1548" s="151" t="e">
        <v>#N/A</v>
      </c>
      <c r="BQ1548">
        <v>0.11332468572476186</v>
      </c>
      <c r="BR1548" t="str">
        <v/>
      </c>
    </row>
    <row r="1549" spans="47:70" x14ac:dyDescent="0.2">
      <c r="AU1549"/>
      <c r="AV1549"/>
      <c r="AW1549"/>
      <c r="AX1549"/>
      <c r="AY1549"/>
      <c r="BK1549" s="42">
        <v>1548</v>
      </c>
      <c r="BL1549" s="127">
        <v>4</v>
      </c>
      <c r="BM1549" s="127">
        <v>0.11332468572476186</v>
      </c>
      <c r="BN1549" s="127" t="e">
        <v>#N/A</v>
      </c>
      <c r="BO1549" s="127" t="e">
        <v>#N/A</v>
      </c>
      <c r="BP1549" s="151" t="e">
        <v>#N/A</v>
      </c>
      <c r="BQ1549">
        <v>0.11332468572476186</v>
      </c>
      <c r="BR1549" t="str">
        <v/>
      </c>
    </row>
    <row r="1550" spans="47:70" x14ac:dyDescent="0.2">
      <c r="AU1550"/>
      <c r="AV1550"/>
      <c r="AW1550"/>
      <c r="AX1550"/>
      <c r="AY1550"/>
      <c r="BK1550" s="42">
        <v>1549</v>
      </c>
      <c r="BL1550" s="127">
        <v>4</v>
      </c>
      <c r="BM1550" s="127">
        <v>0.11332468572476186</v>
      </c>
      <c r="BN1550" s="127" t="e">
        <v>#N/A</v>
      </c>
      <c r="BO1550" s="127" t="e">
        <v>#N/A</v>
      </c>
      <c r="BP1550" s="151" t="e">
        <v>#N/A</v>
      </c>
      <c r="BQ1550">
        <v>0.11332468572476186</v>
      </c>
      <c r="BR1550" t="str">
        <v/>
      </c>
    </row>
    <row r="1551" spans="47:70" x14ac:dyDescent="0.2">
      <c r="AU1551"/>
      <c r="AV1551"/>
      <c r="AW1551"/>
      <c r="AX1551"/>
      <c r="AY1551"/>
      <c r="BK1551" s="42">
        <v>1550</v>
      </c>
      <c r="BL1551" s="127">
        <v>4</v>
      </c>
      <c r="BM1551" s="127">
        <v>0.11332468572476186</v>
      </c>
      <c r="BN1551" s="127" t="e">
        <v>#N/A</v>
      </c>
      <c r="BO1551" s="127" t="e">
        <v>#N/A</v>
      </c>
      <c r="BP1551" s="151" t="e">
        <v>#N/A</v>
      </c>
      <c r="BQ1551">
        <v>0.11332468572476186</v>
      </c>
      <c r="BR1551" t="str">
        <v/>
      </c>
    </row>
    <row r="1552" spans="47:70" x14ac:dyDescent="0.2">
      <c r="AU1552"/>
      <c r="AV1552"/>
      <c r="AW1552"/>
      <c r="AX1552"/>
      <c r="AY1552"/>
      <c r="BK1552" s="42">
        <v>1551</v>
      </c>
      <c r="BL1552" s="127">
        <v>4</v>
      </c>
      <c r="BM1552" s="127">
        <v>0.11332468572476186</v>
      </c>
      <c r="BN1552" s="127" t="e">
        <v>#N/A</v>
      </c>
      <c r="BO1552" s="127" t="e">
        <v>#N/A</v>
      </c>
      <c r="BP1552" s="151" t="e">
        <v>#N/A</v>
      </c>
      <c r="BQ1552">
        <v>0.11332468572476186</v>
      </c>
      <c r="BR1552" t="str">
        <v/>
      </c>
    </row>
    <row r="1553" spans="47:70" x14ac:dyDescent="0.2">
      <c r="AU1553"/>
      <c r="AV1553"/>
      <c r="AW1553"/>
      <c r="AX1553"/>
      <c r="AY1553"/>
      <c r="BK1553" s="42">
        <v>1552</v>
      </c>
      <c r="BL1553" s="127">
        <v>4</v>
      </c>
      <c r="BM1553" s="127">
        <v>0.11332468572476186</v>
      </c>
      <c r="BN1553" s="127" t="e">
        <v>#N/A</v>
      </c>
      <c r="BO1553" s="127" t="e">
        <v>#N/A</v>
      </c>
      <c r="BP1553" s="151" t="e">
        <v>#N/A</v>
      </c>
      <c r="BQ1553">
        <v>0.11332468572476186</v>
      </c>
      <c r="BR1553" t="str">
        <v/>
      </c>
    </row>
    <row r="1554" spans="47:70" x14ac:dyDescent="0.2">
      <c r="AU1554"/>
      <c r="AV1554"/>
      <c r="AW1554"/>
      <c r="AX1554"/>
      <c r="AY1554"/>
      <c r="BK1554" s="42">
        <v>1553</v>
      </c>
      <c r="BL1554" s="127">
        <v>4</v>
      </c>
      <c r="BM1554" s="127">
        <v>0.11332468572476186</v>
      </c>
      <c r="BN1554" s="127" t="e">
        <v>#N/A</v>
      </c>
      <c r="BO1554" s="127" t="e">
        <v>#N/A</v>
      </c>
      <c r="BP1554" s="151" t="e">
        <v>#N/A</v>
      </c>
      <c r="BQ1554">
        <v>0.11332468572476186</v>
      </c>
      <c r="BR1554" t="str">
        <v/>
      </c>
    </row>
    <row r="1555" spans="47:70" x14ac:dyDescent="0.2">
      <c r="AU1555"/>
      <c r="AV1555"/>
      <c r="AW1555"/>
      <c r="AX1555"/>
      <c r="AY1555"/>
      <c r="BK1555" s="42">
        <v>1554</v>
      </c>
      <c r="BL1555" s="127">
        <v>4</v>
      </c>
      <c r="BM1555" s="127">
        <v>0.11332468572476186</v>
      </c>
      <c r="BN1555" s="127" t="e">
        <v>#N/A</v>
      </c>
      <c r="BO1555" s="127" t="e">
        <v>#N/A</v>
      </c>
      <c r="BP1555" s="151" t="e">
        <v>#N/A</v>
      </c>
      <c r="BQ1555">
        <v>0.11332468572476186</v>
      </c>
      <c r="BR1555" t="str">
        <v/>
      </c>
    </row>
    <row r="1556" spans="47:70" x14ac:dyDescent="0.2">
      <c r="AU1556"/>
      <c r="AV1556"/>
      <c r="AW1556"/>
      <c r="AX1556"/>
      <c r="AY1556"/>
      <c r="BK1556" s="42">
        <v>1555</v>
      </c>
      <c r="BL1556" s="127">
        <v>4</v>
      </c>
      <c r="BM1556" s="127">
        <v>0.11332468572476186</v>
      </c>
      <c r="BN1556" s="127" t="e">
        <v>#N/A</v>
      </c>
      <c r="BO1556" s="127" t="e">
        <v>#N/A</v>
      </c>
      <c r="BP1556" s="151" t="e">
        <v>#N/A</v>
      </c>
      <c r="BQ1556">
        <v>0.11332468572476186</v>
      </c>
      <c r="BR1556" t="str">
        <v/>
      </c>
    </row>
    <row r="1557" spans="47:70" x14ac:dyDescent="0.2">
      <c r="AU1557"/>
      <c r="AV1557"/>
      <c r="AW1557"/>
      <c r="AX1557"/>
      <c r="AY1557"/>
      <c r="BK1557" s="42">
        <v>1556</v>
      </c>
      <c r="BL1557" s="127">
        <v>4</v>
      </c>
      <c r="BM1557" s="127">
        <v>0.11332468572476186</v>
      </c>
      <c r="BN1557" s="127" t="e">
        <v>#N/A</v>
      </c>
      <c r="BO1557" s="127" t="e">
        <v>#N/A</v>
      </c>
      <c r="BP1557" s="151" t="e">
        <v>#N/A</v>
      </c>
      <c r="BQ1557">
        <v>0.11332468572476186</v>
      </c>
      <c r="BR1557" t="str">
        <v/>
      </c>
    </row>
    <row r="1558" spans="47:70" x14ac:dyDescent="0.2">
      <c r="AU1558"/>
      <c r="AV1558"/>
      <c r="AW1558"/>
      <c r="AX1558"/>
      <c r="AY1558"/>
      <c r="BK1558" s="42">
        <v>1557</v>
      </c>
      <c r="BL1558" s="127">
        <v>4</v>
      </c>
      <c r="BM1558" s="127">
        <v>0.11332468572476186</v>
      </c>
      <c r="BN1558" s="127" t="e">
        <v>#N/A</v>
      </c>
      <c r="BO1558" s="127" t="e">
        <v>#N/A</v>
      </c>
      <c r="BP1558" s="151" t="e">
        <v>#N/A</v>
      </c>
      <c r="BQ1558">
        <v>0.11332468572476186</v>
      </c>
      <c r="BR1558" t="str">
        <v/>
      </c>
    </row>
    <row r="1559" spans="47:70" x14ac:dyDescent="0.2">
      <c r="AU1559"/>
      <c r="AV1559"/>
      <c r="AW1559"/>
      <c r="AX1559"/>
      <c r="AY1559"/>
      <c r="BK1559" s="42">
        <v>1558</v>
      </c>
      <c r="BL1559" s="127">
        <v>4</v>
      </c>
      <c r="BM1559" s="127">
        <v>0.11332468572476186</v>
      </c>
      <c r="BN1559" s="127" t="e">
        <v>#N/A</v>
      </c>
      <c r="BO1559" s="127" t="e">
        <v>#N/A</v>
      </c>
      <c r="BP1559" s="151" t="e">
        <v>#N/A</v>
      </c>
      <c r="BQ1559">
        <v>0.11332468572476186</v>
      </c>
      <c r="BR1559" t="str">
        <v/>
      </c>
    </row>
    <row r="1560" spans="47:70" x14ac:dyDescent="0.2">
      <c r="AU1560"/>
      <c r="AV1560"/>
      <c r="AW1560"/>
      <c r="AX1560"/>
      <c r="AY1560"/>
      <c r="BK1560" s="42">
        <v>1559</v>
      </c>
      <c r="BL1560" s="127">
        <v>4</v>
      </c>
      <c r="BM1560" s="127">
        <v>0.11332468572476186</v>
      </c>
      <c r="BN1560" s="127" t="e">
        <v>#N/A</v>
      </c>
      <c r="BO1560" s="127" t="e">
        <v>#N/A</v>
      </c>
      <c r="BP1560" s="151" t="e">
        <v>#N/A</v>
      </c>
      <c r="BQ1560">
        <v>0.11332468572476186</v>
      </c>
      <c r="BR1560" t="str">
        <v/>
      </c>
    </row>
    <row r="1561" spans="47:70" x14ac:dyDescent="0.2">
      <c r="AU1561"/>
      <c r="AV1561"/>
      <c r="AW1561"/>
      <c r="AX1561"/>
      <c r="AY1561"/>
      <c r="BK1561" s="42">
        <v>1560</v>
      </c>
      <c r="BL1561" s="127">
        <v>4</v>
      </c>
      <c r="BM1561" s="127">
        <v>0.11332468572476186</v>
      </c>
      <c r="BN1561" s="127" t="e">
        <v>#N/A</v>
      </c>
      <c r="BO1561" s="127" t="e">
        <v>#N/A</v>
      </c>
      <c r="BP1561" s="151" t="e">
        <v>#N/A</v>
      </c>
      <c r="BQ1561">
        <v>0.11332468572476186</v>
      </c>
      <c r="BR1561" t="str">
        <v/>
      </c>
    </row>
    <row r="1562" spans="47:70" x14ac:dyDescent="0.2">
      <c r="AU1562"/>
      <c r="AV1562"/>
      <c r="AW1562"/>
      <c r="AX1562"/>
      <c r="AY1562"/>
      <c r="BK1562" s="42">
        <v>1561</v>
      </c>
      <c r="BL1562" s="127">
        <v>4</v>
      </c>
      <c r="BM1562" s="127">
        <v>0.11332468572476186</v>
      </c>
      <c r="BN1562" s="127" t="e">
        <v>#N/A</v>
      </c>
      <c r="BO1562" s="127" t="e">
        <v>#N/A</v>
      </c>
      <c r="BP1562" s="151" t="e">
        <v>#N/A</v>
      </c>
      <c r="BQ1562">
        <v>0.11332468572476186</v>
      </c>
      <c r="BR1562" t="str">
        <v/>
      </c>
    </row>
    <row r="1563" spans="47:70" x14ac:dyDescent="0.2">
      <c r="AU1563"/>
      <c r="AV1563"/>
      <c r="AW1563"/>
      <c r="AX1563"/>
      <c r="AY1563"/>
      <c r="BK1563" s="42">
        <v>1562</v>
      </c>
      <c r="BL1563" s="127">
        <v>4</v>
      </c>
      <c r="BM1563" s="127">
        <v>0.11332468572476186</v>
      </c>
      <c r="BN1563" s="127" t="e">
        <v>#N/A</v>
      </c>
      <c r="BO1563" s="127" t="e">
        <v>#N/A</v>
      </c>
      <c r="BP1563" s="151" t="e">
        <v>#N/A</v>
      </c>
      <c r="BQ1563">
        <v>0.11332468572476186</v>
      </c>
      <c r="BR1563" t="str">
        <v/>
      </c>
    </row>
    <row r="1564" spans="47:70" x14ac:dyDescent="0.2">
      <c r="AU1564"/>
      <c r="AV1564"/>
      <c r="AW1564"/>
      <c r="AX1564"/>
      <c r="AY1564"/>
      <c r="BK1564" s="42">
        <v>1563</v>
      </c>
      <c r="BL1564" s="127">
        <v>4</v>
      </c>
      <c r="BM1564" s="127">
        <v>0.11332468572476186</v>
      </c>
      <c r="BN1564" s="127" t="e">
        <v>#N/A</v>
      </c>
      <c r="BO1564" s="127" t="e">
        <v>#N/A</v>
      </c>
      <c r="BP1564" s="151" t="e">
        <v>#N/A</v>
      </c>
      <c r="BQ1564">
        <v>0.11332468572476186</v>
      </c>
      <c r="BR1564" t="str">
        <v/>
      </c>
    </row>
    <row r="1565" spans="47:70" x14ac:dyDescent="0.2">
      <c r="AU1565"/>
      <c r="AV1565"/>
      <c r="AW1565"/>
      <c r="AX1565"/>
      <c r="AY1565"/>
      <c r="BK1565" s="42">
        <v>1564</v>
      </c>
      <c r="BL1565" s="127">
        <v>4</v>
      </c>
      <c r="BM1565" s="127">
        <v>0.11332468572476186</v>
      </c>
      <c r="BN1565" s="127" t="e">
        <v>#N/A</v>
      </c>
      <c r="BO1565" s="127" t="e">
        <v>#N/A</v>
      </c>
      <c r="BP1565" s="151" t="e">
        <v>#N/A</v>
      </c>
      <c r="BQ1565">
        <v>0.11332468572476186</v>
      </c>
      <c r="BR1565" t="str">
        <v/>
      </c>
    </row>
    <row r="1566" spans="47:70" x14ac:dyDescent="0.2">
      <c r="AU1566"/>
      <c r="AV1566"/>
      <c r="AW1566"/>
      <c r="AX1566"/>
      <c r="AY1566"/>
      <c r="BK1566" s="42">
        <v>1565</v>
      </c>
      <c r="BL1566" s="127">
        <v>4</v>
      </c>
      <c r="BM1566" s="127">
        <v>0.11332468572476186</v>
      </c>
      <c r="BN1566" s="127" t="e">
        <v>#N/A</v>
      </c>
      <c r="BO1566" s="127" t="e">
        <v>#N/A</v>
      </c>
      <c r="BP1566" s="151" t="e">
        <v>#N/A</v>
      </c>
      <c r="BQ1566">
        <v>0.11332468572476186</v>
      </c>
      <c r="BR1566" t="str">
        <v/>
      </c>
    </row>
    <row r="1567" spans="47:70" x14ac:dyDescent="0.2">
      <c r="AU1567"/>
      <c r="AV1567"/>
      <c r="AW1567"/>
      <c r="AX1567"/>
      <c r="AY1567"/>
      <c r="BK1567" s="42">
        <v>1566</v>
      </c>
      <c r="BL1567" s="127">
        <v>4</v>
      </c>
      <c r="BM1567" s="127">
        <v>0.11332468572476186</v>
      </c>
      <c r="BN1567" s="127" t="e">
        <v>#N/A</v>
      </c>
      <c r="BO1567" s="127" t="e">
        <v>#N/A</v>
      </c>
      <c r="BP1567" s="151" t="e">
        <v>#N/A</v>
      </c>
      <c r="BQ1567">
        <v>0.11332468572476186</v>
      </c>
      <c r="BR1567" t="str">
        <v/>
      </c>
    </row>
    <row r="1568" spans="47:70" x14ac:dyDescent="0.2">
      <c r="AU1568"/>
      <c r="AV1568"/>
      <c r="AW1568"/>
      <c r="AX1568"/>
      <c r="AY1568"/>
      <c r="BK1568" s="42">
        <v>1567</v>
      </c>
      <c r="BL1568" s="127">
        <v>4</v>
      </c>
      <c r="BM1568" s="127">
        <v>0.11332468572476186</v>
      </c>
      <c r="BN1568" s="127" t="e">
        <v>#N/A</v>
      </c>
      <c r="BO1568" s="127" t="e">
        <v>#N/A</v>
      </c>
      <c r="BP1568" s="151" t="e">
        <v>#N/A</v>
      </c>
      <c r="BQ1568">
        <v>0.11332468572476186</v>
      </c>
      <c r="BR1568" t="str">
        <v/>
      </c>
    </row>
    <row r="1569" spans="47:70" x14ac:dyDescent="0.2">
      <c r="AU1569"/>
      <c r="AV1569"/>
      <c r="AW1569"/>
      <c r="AX1569"/>
      <c r="AY1569"/>
      <c r="BK1569" s="42">
        <v>1568</v>
      </c>
      <c r="BL1569" s="127">
        <v>4</v>
      </c>
      <c r="BM1569" s="127">
        <v>0.11332468572476186</v>
      </c>
      <c r="BN1569" s="127" t="e">
        <v>#N/A</v>
      </c>
      <c r="BO1569" s="127" t="e">
        <v>#N/A</v>
      </c>
      <c r="BP1569" s="151" t="e">
        <v>#N/A</v>
      </c>
      <c r="BQ1569">
        <v>0.11332468572476186</v>
      </c>
      <c r="BR1569" t="str">
        <v/>
      </c>
    </row>
    <row r="1570" spans="47:70" x14ac:dyDescent="0.2">
      <c r="AU1570"/>
      <c r="AV1570"/>
      <c r="AW1570"/>
      <c r="AX1570"/>
      <c r="AY1570"/>
      <c r="BK1570" s="42">
        <v>1569</v>
      </c>
      <c r="BL1570" s="127">
        <v>4</v>
      </c>
      <c r="BM1570" s="127">
        <v>0.11332468572476186</v>
      </c>
      <c r="BN1570" s="127" t="e">
        <v>#N/A</v>
      </c>
      <c r="BO1570" s="127" t="e">
        <v>#N/A</v>
      </c>
      <c r="BP1570" s="151" t="e">
        <v>#N/A</v>
      </c>
      <c r="BQ1570">
        <v>0.11332468572476186</v>
      </c>
      <c r="BR1570" t="str">
        <v/>
      </c>
    </row>
    <row r="1571" spans="47:70" x14ac:dyDescent="0.2">
      <c r="AU1571"/>
      <c r="AV1571"/>
      <c r="AW1571"/>
      <c r="AX1571"/>
      <c r="AY1571"/>
      <c r="BK1571" s="42">
        <v>1570</v>
      </c>
      <c r="BL1571" s="127">
        <v>4</v>
      </c>
      <c r="BM1571" s="127">
        <v>0.11332468572476186</v>
      </c>
      <c r="BN1571" s="127" t="e">
        <v>#N/A</v>
      </c>
      <c r="BO1571" s="127" t="e">
        <v>#N/A</v>
      </c>
      <c r="BP1571" s="151" t="e">
        <v>#N/A</v>
      </c>
      <c r="BQ1571">
        <v>0.11332468572476186</v>
      </c>
      <c r="BR1571" t="str">
        <v/>
      </c>
    </row>
    <row r="1572" spans="47:70" x14ac:dyDescent="0.2">
      <c r="AU1572"/>
      <c r="AV1572"/>
      <c r="AW1572"/>
      <c r="AX1572"/>
      <c r="AY1572"/>
      <c r="BK1572" s="42">
        <v>1571</v>
      </c>
      <c r="BL1572" s="127">
        <v>4</v>
      </c>
      <c r="BM1572" s="127">
        <v>0.11332468572476186</v>
      </c>
      <c r="BN1572" s="127" t="e">
        <v>#N/A</v>
      </c>
      <c r="BO1572" s="127" t="e">
        <v>#N/A</v>
      </c>
      <c r="BP1572" s="151" t="e">
        <v>#N/A</v>
      </c>
      <c r="BQ1572">
        <v>0.11332468572476186</v>
      </c>
      <c r="BR1572" t="str">
        <v/>
      </c>
    </row>
    <row r="1573" spans="47:70" x14ac:dyDescent="0.2">
      <c r="AU1573"/>
      <c r="AV1573"/>
      <c r="AW1573"/>
      <c r="AX1573"/>
      <c r="AY1573"/>
      <c r="BK1573" s="42">
        <v>1572</v>
      </c>
      <c r="BL1573" s="127">
        <v>4</v>
      </c>
      <c r="BM1573" s="127">
        <v>0.11332468572476186</v>
      </c>
      <c r="BN1573" s="127" t="e">
        <v>#N/A</v>
      </c>
      <c r="BO1573" s="127" t="e">
        <v>#N/A</v>
      </c>
      <c r="BP1573" s="151" t="e">
        <v>#N/A</v>
      </c>
      <c r="BQ1573">
        <v>0.11332468572476186</v>
      </c>
      <c r="BR1573" t="str">
        <v/>
      </c>
    </row>
    <row r="1574" spans="47:70" x14ac:dyDescent="0.2">
      <c r="AU1574"/>
      <c r="AV1574"/>
      <c r="AW1574"/>
      <c r="AX1574"/>
      <c r="AY1574"/>
      <c r="BK1574" s="42">
        <v>1573</v>
      </c>
      <c r="BL1574" s="127">
        <v>4</v>
      </c>
      <c r="BM1574" s="127">
        <v>0.11332468572476186</v>
      </c>
      <c r="BN1574" s="127" t="e">
        <v>#N/A</v>
      </c>
      <c r="BO1574" s="127" t="e">
        <v>#N/A</v>
      </c>
      <c r="BP1574" s="151" t="e">
        <v>#N/A</v>
      </c>
      <c r="BQ1574">
        <v>0.11332468572476186</v>
      </c>
      <c r="BR1574" t="str">
        <v/>
      </c>
    </row>
    <row r="1575" spans="47:70" x14ac:dyDescent="0.2">
      <c r="AU1575"/>
      <c r="AV1575"/>
      <c r="AW1575"/>
      <c r="AX1575"/>
      <c r="AY1575"/>
      <c r="BK1575" s="42">
        <v>1574</v>
      </c>
      <c r="BL1575" s="127">
        <v>4</v>
      </c>
      <c r="BM1575" s="127">
        <v>0.11332468572476186</v>
      </c>
      <c r="BN1575" s="127" t="e">
        <v>#N/A</v>
      </c>
      <c r="BO1575" s="127" t="e">
        <v>#N/A</v>
      </c>
      <c r="BP1575" s="151" t="e">
        <v>#N/A</v>
      </c>
      <c r="BQ1575">
        <v>0.11332468572476186</v>
      </c>
      <c r="BR1575" t="str">
        <v/>
      </c>
    </row>
    <row r="1576" spans="47:70" x14ac:dyDescent="0.2">
      <c r="AU1576"/>
      <c r="AV1576"/>
      <c r="AW1576"/>
      <c r="AX1576"/>
      <c r="AY1576"/>
      <c r="BK1576" s="42">
        <v>1575</v>
      </c>
      <c r="BL1576" s="127">
        <v>4</v>
      </c>
      <c r="BM1576" s="127">
        <v>0.11332468572476186</v>
      </c>
      <c r="BN1576" s="127" t="e">
        <v>#N/A</v>
      </c>
      <c r="BO1576" s="127" t="e">
        <v>#N/A</v>
      </c>
      <c r="BP1576" s="151" t="e">
        <v>#N/A</v>
      </c>
      <c r="BQ1576">
        <v>0.11332468572476186</v>
      </c>
      <c r="BR1576" t="str">
        <v/>
      </c>
    </row>
    <row r="1577" spans="47:70" x14ac:dyDescent="0.2">
      <c r="AU1577"/>
      <c r="AV1577"/>
      <c r="AW1577"/>
      <c r="AX1577"/>
      <c r="AY1577"/>
      <c r="BK1577" s="42">
        <v>1576</v>
      </c>
      <c r="BL1577" s="127">
        <v>4</v>
      </c>
      <c r="BM1577" s="127">
        <v>0.11332468572476186</v>
      </c>
      <c r="BN1577" s="127" t="e">
        <v>#N/A</v>
      </c>
      <c r="BO1577" s="127" t="e">
        <v>#N/A</v>
      </c>
      <c r="BP1577" s="151" t="e">
        <v>#N/A</v>
      </c>
      <c r="BQ1577">
        <v>0.11332468572476186</v>
      </c>
      <c r="BR1577" t="str">
        <v/>
      </c>
    </row>
    <row r="1578" spans="47:70" x14ac:dyDescent="0.2">
      <c r="AU1578"/>
      <c r="AV1578"/>
      <c r="AW1578"/>
      <c r="AX1578"/>
      <c r="AY1578"/>
      <c r="BK1578" s="42">
        <v>1577</v>
      </c>
      <c r="BL1578" s="127">
        <v>4</v>
      </c>
      <c r="BM1578" s="127">
        <v>0.11332468572476186</v>
      </c>
      <c r="BN1578" s="127" t="e">
        <v>#N/A</v>
      </c>
      <c r="BO1578" s="127" t="e">
        <v>#N/A</v>
      </c>
      <c r="BP1578" s="151" t="e">
        <v>#N/A</v>
      </c>
      <c r="BQ1578">
        <v>0.11332468572476186</v>
      </c>
      <c r="BR1578" t="str">
        <v/>
      </c>
    </row>
    <row r="1579" spans="47:70" x14ac:dyDescent="0.2">
      <c r="AU1579"/>
      <c r="AV1579"/>
      <c r="AW1579"/>
      <c r="AX1579"/>
      <c r="AY1579"/>
      <c r="BK1579" s="42">
        <v>1578</v>
      </c>
      <c r="BL1579" s="127">
        <v>4</v>
      </c>
      <c r="BM1579" s="127">
        <v>0.11332468572476186</v>
      </c>
      <c r="BN1579" s="127" t="e">
        <v>#N/A</v>
      </c>
      <c r="BO1579" s="127" t="e">
        <v>#N/A</v>
      </c>
      <c r="BP1579" s="151" t="e">
        <v>#N/A</v>
      </c>
      <c r="BQ1579">
        <v>0.11332468572476186</v>
      </c>
      <c r="BR1579" t="str">
        <v/>
      </c>
    </row>
    <row r="1580" spans="47:70" x14ac:dyDescent="0.2">
      <c r="AU1580"/>
      <c r="AV1580"/>
      <c r="AW1580"/>
      <c r="AX1580"/>
      <c r="AY1580"/>
      <c r="BK1580" s="42">
        <v>1579</v>
      </c>
      <c r="BL1580" s="127">
        <v>4</v>
      </c>
      <c r="BM1580" s="127">
        <v>0.11332468572476186</v>
      </c>
      <c r="BN1580" s="127" t="e">
        <v>#N/A</v>
      </c>
      <c r="BO1580" s="127" t="e">
        <v>#N/A</v>
      </c>
      <c r="BP1580" s="151" t="e">
        <v>#N/A</v>
      </c>
      <c r="BQ1580">
        <v>0.11332468572476186</v>
      </c>
      <c r="BR1580" t="str">
        <v/>
      </c>
    </row>
    <row r="1581" spans="47:70" x14ac:dyDescent="0.2">
      <c r="AU1581"/>
      <c r="AV1581"/>
      <c r="AW1581"/>
      <c r="AX1581"/>
      <c r="AY1581"/>
      <c r="BK1581" s="42">
        <v>1580</v>
      </c>
      <c r="BL1581" s="127">
        <v>4</v>
      </c>
      <c r="BM1581" s="127">
        <v>0.11332468572476186</v>
      </c>
      <c r="BN1581" s="127" t="e">
        <v>#N/A</v>
      </c>
      <c r="BO1581" s="127" t="e">
        <v>#N/A</v>
      </c>
      <c r="BP1581" s="151" t="e">
        <v>#N/A</v>
      </c>
      <c r="BQ1581">
        <v>0.11332468572476186</v>
      </c>
      <c r="BR1581" t="str">
        <v/>
      </c>
    </row>
    <row r="1582" spans="47:70" x14ac:dyDescent="0.2">
      <c r="AU1582"/>
      <c r="AV1582"/>
      <c r="AW1582"/>
      <c r="AX1582"/>
      <c r="AY1582"/>
      <c r="BK1582" s="42">
        <v>1581</v>
      </c>
      <c r="BL1582" s="127">
        <v>4</v>
      </c>
      <c r="BM1582" s="127">
        <v>0.11332468572476186</v>
      </c>
      <c r="BN1582" s="127" t="e">
        <v>#N/A</v>
      </c>
      <c r="BO1582" s="127" t="e">
        <v>#N/A</v>
      </c>
      <c r="BP1582" s="151" t="e">
        <v>#N/A</v>
      </c>
      <c r="BQ1582">
        <v>0.11332468572476186</v>
      </c>
      <c r="BR1582" t="str">
        <v/>
      </c>
    </row>
    <row r="1583" spans="47:70" x14ac:dyDescent="0.2">
      <c r="AU1583"/>
      <c r="AV1583"/>
      <c r="AW1583"/>
      <c r="AX1583"/>
      <c r="AY1583"/>
      <c r="BK1583" s="42">
        <v>1582</v>
      </c>
      <c r="BL1583" s="127">
        <v>4</v>
      </c>
      <c r="BM1583" s="127">
        <v>0.11332468572476186</v>
      </c>
      <c r="BN1583" s="127" t="e">
        <v>#N/A</v>
      </c>
      <c r="BO1583" s="127" t="e">
        <v>#N/A</v>
      </c>
      <c r="BP1583" s="151" t="e">
        <v>#N/A</v>
      </c>
      <c r="BQ1583">
        <v>0.11332468572476186</v>
      </c>
      <c r="BR1583" t="str">
        <v/>
      </c>
    </row>
    <row r="1584" spans="47:70" x14ac:dyDescent="0.2">
      <c r="AU1584"/>
      <c r="AV1584"/>
      <c r="AW1584"/>
      <c r="AX1584"/>
      <c r="AY1584"/>
      <c r="BK1584" s="42">
        <v>1583</v>
      </c>
      <c r="BL1584" s="127">
        <v>4</v>
      </c>
      <c r="BM1584" s="127">
        <v>0.11332468572476186</v>
      </c>
      <c r="BN1584" s="127" t="e">
        <v>#N/A</v>
      </c>
      <c r="BO1584" s="127" t="e">
        <v>#N/A</v>
      </c>
      <c r="BP1584" s="151" t="e">
        <v>#N/A</v>
      </c>
      <c r="BQ1584">
        <v>0.11332468572476186</v>
      </c>
      <c r="BR1584" t="str">
        <v/>
      </c>
    </row>
    <row r="1585" spans="47:70" x14ac:dyDescent="0.2">
      <c r="AU1585"/>
      <c r="AV1585"/>
      <c r="AW1585"/>
      <c r="AX1585"/>
      <c r="AY1585"/>
      <c r="BK1585" s="42">
        <v>1584</v>
      </c>
      <c r="BL1585" s="127">
        <v>4</v>
      </c>
      <c r="BM1585" s="127">
        <v>0.11332468572476186</v>
      </c>
      <c r="BN1585" s="127" t="e">
        <v>#N/A</v>
      </c>
      <c r="BO1585" s="127" t="e">
        <v>#N/A</v>
      </c>
      <c r="BP1585" s="151" t="e">
        <v>#N/A</v>
      </c>
      <c r="BQ1585">
        <v>0.11332468572476186</v>
      </c>
      <c r="BR1585" t="str">
        <v/>
      </c>
    </row>
    <row r="1586" spans="47:70" x14ac:dyDescent="0.2">
      <c r="AU1586"/>
      <c r="AV1586"/>
      <c r="AW1586"/>
      <c r="AX1586"/>
      <c r="AY1586"/>
      <c r="BK1586" s="42">
        <v>1585</v>
      </c>
      <c r="BL1586" s="127">
        <v>4</v>
      </c>
      <c r="BM1586" s="127">
        <v>0.11332468572476186</v>
      </c>
      <c r="BN1586" s="127" t="e">
        <v>#N/A</v>
      </c>
      <c r="BO1586" s="127" t="e">
        <v>#N/A</v>
      </c>
      <c r="BP1586" s="151" t="e">
        <v>#N/A</v>
      </c>
      <c r="BQ1586">
        <v>0.11332468572476186</v>
      </c>
      <c r="BR1586" t="str">
        <v/>
      </c>
    </row>
    <row r="1587" spans="47:70" x14ac:dyDescent="0.2">
      <c r="AU1587"/>
      <c r="AV1587"/>
      <c r="AW1587"/>
      <c r="AX1587"/>
      <c r="AY1587"/>
      <c r="BK1587" s="42">
        <v>1586</v>
      </c>
      <c r="BL1587" s="127">
        <v>4</v>
      </c>
      <c r="BM1587" s="127">
        <v>0.11332468572476186</v>
      </c>
      <c r="BN1587" s="127" t="e">
        <v>#N/A</v>
      </c>
      <c r="BO1587" s="127" t="e">
        <v>#N/A</v>
      </c>
      <c r="BP1587" s="151" t="e">
        <v>#N/A</v>
      </c>
      <c r="BQ1587">
        <v>0.11332468572476186</v>
      </c>
      <c r="BR1587" t="str">
        <v/>
      </c>
    </row>
    <row r="1588" spans="47:70" x14ac:dyDescent="0.2">
      <c r="AU1588"/>
      <c r="AV1588"/>
      <c r="AW1588"/>
      <c r="AX1588"/>
      <c r="AY1588"/>
      <c r="BK1588" s="42">
        <v>1587</v>
      </c>
      <c r="BL1588" s="127">
        <v>4</v>
      </c>
      <c r="BM1588" s="127">
        <v>0.11332468572476186</v>
      </c>
      <c r="BN1588" s="127" t="e">
        <v>#N/A</v>
      </c>
      <c r="BO1588" s="127" t="e">
        <v>#N/A</v>
      </c>
      <c r="BP1588" s="151" t="e">
        <v>#N/A</v>
      </c>
      <c r="BQ1588">
        <v>0.11332468572476186</v>
      </c>
      <c r="BR1588" t="str">
        <v/>
      </c>
    </row>
    <row r="1589" spans="47:70" x14ac:dyDescent="0.2">
      <c r="AU1589"/>
      <c r="AV1589"/>
      <c r="AW1589"/>
      <c r="AX1589"/>
      <c r="AY1589"/>
      <c r="BK1589" s="42">
        <v>1588</v>
      </c>
      <c r="BL1589" s="127">
        <v>4</v>
      </c>
      <c r="BM1589" s="127">
        <v>0.11332468572476186</v>
      </c>
      <c r="BN1589" s="127" t="e">
        <v>#N/A</v>
      </c>
      <c r="BO1589" s="127" t="e">
        <v>#N/A</v>
      </c>
      <c r="BP1589" s="151" t="e">
        <v>#N/A</v>
      </c>
      <c r="BQ1589">
        <v>0.11332468572476186</v>
      </c>
      <c r="BR1589" t="str">
        <v/>
      </c>
    </row>
    <row r="1590" spans="47:70" x14ac:dyDescent="0.2">
      <c r="AU1590"/>
      <c r="AV1590"/>
      <c r="AW1590"/>
      <c r="AX1590"/>
      <c r="AY1590"/>
      <c r="BK1590" s="42">
        <v>1589</v>
      </c>
      <c r="BL1590" s="127">
        <v>4</v>
      </c>
      <c r="BM1590" s="127">
        <v>0.11332468572476186</v>
      </c>
      <c r="BN1590" s="127" t="e">
        <v>#N/A</v>
      </c>
      <c r="BO1590" s="127" t="e">
        <v>#N/A</v>
      </c>
      <c r="BP1590" s="151" t="e">
        <v>#N/A</v>
      </c>
      <c r="BQ1590">
        <v>0.11332468572476186</v>
      </c>
      <c r="BR1590" t="str">
        <v/>
      </c>
    </row>
    <row r="1591" spans="47:70" x14ac:dyDescent="0.2">
      <c r="AU1591"/>
      <c r="AV1591"/>
      <c r="AW1591"/>
      <c r="AX1591"/>
      <c r="AY1591"/>
      <c r="BK1591" s="42">
        <v>1590</v>
      </c>
      <c r="BL1591" s="127">
        <v>4</v>
      </c>
      <c r="BM1591" s="127">
        <v>0.11332468572476186</v>
      </c>
      <c r="BN1591" s="127" t="e">
        <v>#N/A</v>
      </c>
      <c r="BO1591" s="127" t="e">
        <v>#N/A</v>
      </c>
      <c r="BP1591" s="151" t="e">
        <v>#N/A</v>
      </c>
      <c r="BQ1591">
        <v>0.11332468572476186</v>
      </c>
      <c r="BR1591" t="str">
        <v/>
      </c>
    </row>
    <row r="1592" spans="47:70" x14ac:dyDescent="0.2">
      <c r="AU1592"/>
      <c r="AV1592"/>
      <c r="AW1592"/>
      <c r="AX1592"/>
      <c r="AY1592"/>
      <c r="BK1592" s="42">
        <v>1591</v>
      </c>
      <c r="BL1592" s="127">
        <v>4</v>
      </c>
      <c r="BM1592" s="127">
        <v>0.11332468572476186</v>
      </c>
      <c r="BN1592" s="127" t="e">
        <v>#N/A</v>
      </c>
      <c r="BO1592" s="127" t="e">
        <v>#N/A</v>
      </c>
      <c r="BP1592" s="151" t="e">
        <v>#N/A</v>
      </c>
      <c r="BQ1592">
        <v>0.11332468572476186</v>
      </c>
      <c r="BR1592" t="str">
        <v/>
      </c>
    </row>
    <row r="1593" spans="47:70" x14ac:dyDescent="0.2">
      <c r="AU1593"/>
      <c r="AV1593"/>
      <c r="AW1593"/>
      <c r="AX1593"/>
      <c r="AY1593"/>
      <c r="BK1593" s="42">
        <v>1592</v>
      </c>
      <c r="BL1593" s="127">
        <v>4</v>
      </c>
      <c r="BM1593" s="127">
        <v>0.11332468572476186</v>
      </c>
      <c r="BN1593" s="127" t="e">
        <v>#N/A</v>
      </c>
      <c r="BO1593" s="127" t="e">
        <v>#N/A</v>
      </c>
      <c r="BP1593" s="151" t="e">
        <v>#N/A</v>
      </c>
      <c r="BQ1593">
        <v>0.11332468572476186</v>
      </c>
      <c r="BR1593" t="str">
        <v/>
      </c>
    </row>
    <row r="1594" spans="47:70" x14ac:dyDescent="0.2">
      <c r="AU1594"/>
      <c r="AV1594"/>
      <c r="AW1594"/>
      <c r="AX1594"/>
      <c r="AY1594"/>
      <c r="BK1594" s="42">
        <v>1593</v>
      </c>
      <c r="BL1594" s="127">
        <v>4</v>
      </c>
      <c r="BM1594" s="127">
        <v>0.11332468572476186</v>
      </c>
      <c r="BN1594" s="127" t="e">
        <v>#N/A</v>
      </c>
      <c r="BO1594" s="127" t="e">
        <v>#N/A</v>
      </c>
      <c r="BP1594" s="151" t="e">
        <v>#N/A</v>
      </c>
      <c r="BQ1594">
        <v>0.11332468572476186</v>
      </c>
      <c r="BR1594" t="str">
        <v/>
      </c>
    </row>
    <row r="1595" spans="47:70" x14ac:dyDescent="0.2">
      <c r="AU1595"/>
      <c r="AV1595"/>
      <c r="AW1595"/>
      <c r="AX1595"/>
      <c r="AY1595"/>
      <c r="BK1595" s="42">
        <v>1594</v>
      </c>
      <c r="BL1595" s="127">
        <v>4</v>
      </c>
      <c r="BM1595" s="127">
        <v>0.11332468572476186</v>
      </c>
      <c r="BN1595" s="127" t="e">
        <v>#N/A</v>
      </c>
      <c r="BO1595" s="127" t="e">
        <v>#N/A</v>
      </c>
      <c r="BP1595" s="151" t="e">
        <v>#N/A</v>
      </c>
      <c r="BQ1595">
        <v>0.11332468572476186</v>
      </c>
      <c r="BR1595" t="str">
        <v/>
      </c>
    </row>
    <row r="1596" spans="47:70" x14ac:dyDescent="0.2">
      <c r="AU1596"/>
      <c r="AV1596"/>
      <c r="AW1596"/>
      <c r="AX1596"/>
      <c r="AY1596"/>
      <c r="BK1596" s="42">
        <v>1595</v>
      </c>
      <c r="BL1596" s="127">
        <v>4</v>
      </c>
      <c r="BM1596" s="127">
        <v>0.11332468572476186</v>
      </c>
      <c r="BN1596" s="127" t="e">
        <v>#N/A</v>
      </c>
      <c r="BO1596" s="127" t="e">
        <v>#N/A</v>
      </c>
      <c r="BP1596" s="151" t="e">
        <v>#N/A</v>
      </c>
      <c r="BQ1596">
        <v>0.11332468572476186</v>
      </c>
      <c r="BR1596" t="str">
        <v/>
      </c>
    </row>
    <row r="1597" spans="47:70" x14ac:dyDescent="0.2">
      <c r="AU1597"/>
      <c r="AV1597"/>
      <c r="AW1597"/>
      <c r="AX1597"/>
      <c r="AY1597"/>
      <c r="BK1597" s="42">
        <v>1596</v>
      </c>
      <c r="BL1597" s="127">
        <v>4</v>
      </c>
      <c r="BM1597" s="127">
        <v>0.11332468572476186</v>
      </c>
      <c r="BN1597" s="127" t="e">
        <v>#N/A</v>
      </c>
      <c r="BO1597" s="127" t="e">
        <v>#N/A</v>
      </c>
      <c r="BP1597" s="151" t="e">
        <v>#N/A</v>
      </c>
      <c r="BQ1597">
        <v>0.11332468572476186</v>
      </c>
      <c r="BR1597" t="str">
        <v/>
      </c>
    </row>
    <row r="1598" spans="47:70" x14ac:dyDescent="0.2">
      <c r="AU1598"/>
      <c r="AV1598"/>
      <c r="AW1598"/>
      <c r="AX1598"/>
      <c r="AY1598"/>
      <c r="BK1598" s="42">
        <v>1597</v>
      </c>
      <c r="BL1598" s="127">
        <v>4</v>
      </c>
      <c r="BM1598" s="127">
        <v>0.11332468572476186</v>
      </c>
      <c r="BN1598" s="127" t="e">
        <v>#N/A</v>
      </c>
      <c r="BO1598" s="127" t="e">
        <v>#N/A</v>
      </c>
      <c r="BP1598" s="151" t="e">
        <v>#N/A</v>
      </c>
      <c r="BQ1598">
        <v>0.11332468572476186</v>
      </c>
      <c r="BR1598" t="str">
        <v/>
      </c>
    </row>
    <row r="1599" spans="47:70" x14ac:dyDescent="0.2">
      <c r="AU1599"/>
      <c r="AV1599"/>
      <c r="AW1599"/>
      <c r="AX1599"/>
      <c r="AY1599"/>
      <c r="BK1599" s="42">
        <v>1598</v>
      </c>
      <c r="BL1599" s="127">
        <v>4</v>
      </c>
      <c r="BM1599" s="127">
        <v>0.11332468572476186</v>
      </c>
      <c r="BN1599" s="127" t="e">
        <v>#N/A</v>
      </c>
      <c r="BO1599" s="127" t="e">
        <v>#N/A</v>
      </c>
      <c r="BP1599" s="151" t="e">
        <v>#N/A</v>
      </c>
      <c r="BQ1599">
        <v>0.11332468572476186</v>
      </c>
      <c r="BR1599" t="str">
        <v/>
      </c>
    </row>
    <row r="1600" spans="47:70" x14ac:dyDescent="0.2">
      <c r="AU1600"/>
      <c r="AV1600"/>
      <c r="AW1600"/>
      <c r="AX1600"/>
      <c r="AY1600"/>
      <c r="BK1600" s="42">
        <v>1599</v>
      </c>
      <c r="BL1600" s="127">
        <v>4</v>
      </c>
      <c r="BM1600" s="127">
        <v>0.11332468572476186</v>
      </c>
      <c r="BN1600" s="127" t="e">
        <v>#N/A</v>
      </c>
      <c r="BO1600" s="127" t="e">
        <v>#N/A</v>
      </c>
      <c r="BP1600" s="151" t="e">
        <v>#N/A</v>
      </c>
      <c r="BQ1600">
        <v>0.11332468572476186</v>
      </c>
      <c r="BR1600" t="str">
        <v/>
      </c>
    </row>
    <row r="1601" spans="47:70" x14ac:dyDescent="0.2">
      <c r="AU1601"/>
      <c r="AV1601"/>
      <c r="AW1601"/>
      <c r="AX1601"/>
      <c r="AY1601"/>
      <c r="BK1601" s="42">
        <v>1600</v>
      </c>
      <c r="BL1601" s="127">
        <v>4</v>
      </c>
      <c r="BM1601" s="127">
        <v>0.11332468572476186</v>
      </c>
      <c r="BN1601" s="127" t="e">
        <v>#N/A</v>
      </c>
      <c r="BO1601" s="127" t="e">
        <v>#N/A</v>
      </c>
      <c r="BP1601" s="151" t="e">
        <v>#N/A</v>
      </c>
      <c r="BQ1601">
        <v>0.11332468572476186</v>
      </c>
      <c r="BR1601" t="str">
        <v/>
      </c>
    </row>
    <row r="1602" spans="47:70" x14ac:dyDescent="0.2">
      <c r="AU1602"/>
      <c r="AV1602"/>
      <c r="AW1602"/>
      <c r="AX1602"/>
      <c r="AY1602"/>
      <c r="BK1602" s="42">
        <v>1601</v>
      </c>
      <c r="BL1602" s="127">
        <v>4</v>
      </c>
      <c r="BM1602" s="127">
        <v>0.11332468572476186</v>
      </c>
      <c r="BN1602" s="127" t="e">
        <v>#N/A</v>
      </c>
      <c r="BO1602" s="127" t="e">
        <v>#N/A</v>
      </c>
      <c r="BP1602" s="151" t="e">
        <v>#N/A</v>
      </c>
      <c r="BQ1602">
        <v>0.11332468572476186</v>
      </c>
      <c r="BR1602" t="str">
        <v/>
      </c>
    </row>
    <row r="1603" spans="47:70" x14ac:dyDescent="0.2">
      <c r="AU1603"/>
      <c r="AV1603"/>
      <c r="AW1603"/>
      <c r="AX1603"/>
      <c r="AY1603"/>
      <c r="BK1603" s="42">
        <v>1602</v>
      </c>
      <c r="BL1603" s="127">
        <v>4</v>
      </c>
      <c r="BM1603" s="127">
        <v>0.11332468572476186</v>
      </c>
      <c r="BN1603" s="127" t="e">
        <v>#N/A</v>
      </c>
      <c r="BO1603" s="127" t="e">
        <v>#N/A</v>
      </c>
      <c r="BP1603" s="151" t="e">
        <v>#N/A</v>
      </c>
      <c r="BQ1603">
        <v>0.11332468572476186</v>
      </c>
      <c r="BR1603" t="str">
        <v/>
      </c>
    </row>
    <row r="1604" spans="47:70" x14ac:dyDescent="0.2">
      <c r="AU1604"/>
      <c r="AV1604"/>
      <c r="AW1604"/>
      <c r="AX1604"/>
      <c r="AY1604"/>
      <c r="BK1604" s="42">
        <v>1603</v>
      </c>
      <c r="BL1604" s="127">
        <v>4</v>
      </c>
      <c r="BM1604" s="127">
        <v>0.11332468572476186</v>
      </c>
      <c r="BN1604" s="127" t="e">
        <v>#N/A</v>
      </c>
      <c r="BO1604" s="127" t="e">
        <v>#N/A</v>
      </c>
      <c r="BP1604" s="151" t="e">
        <v>#N/A</v>
      </c>
      <c r="BQ1604">
        <v>0.11332468572476186</v>
      </c>
      <c r="BR1604" t="str">
        <v/>
      </c>
    </row>
    <row r="1605" spans="47:70" x14ac:dyDescent="0.2">
      <c r="AU1605"/>
      <c r="AV1605"/>
      <c r="AW1605"/>
      <c r="AX1605"/>
      <c r="AY1605"/>
      <c r="BK1605" s="42">
        <v>1604</v>
      </c>
      <c r="BL1605" s="127">
        <v>4</v>
      </c>
      <c r="BM1605" s="127">
        <v>0.11332468572476186</v>
      </c>
      <c r="BN1605" s="127" t="e">
        <v>#N/A</v>
      </c>
      <c r="BO1605" s="127" t="e">
        <v>#N/A</v>
      </c>
      <c r="BP1605" s="151" t="e">
        <v>#N/A</v>
      </c>
      <c r="BQ1605">
        <v>0.11332468572476186</v>
      </c>
      <c r="BR1605" t="str">
        <v/>
      </c>
    </row>
    <row r="1606" spans="47:70" x14ac:dyDescent="0.2">
      <c r="AU1606"/>
      <c r="AV1606"/>
      <c r="AW1606"/>
      <c r="AX1606"/>
      <c r="AY1606"/>
      <c r="BK1606" s="42">
        <v>1605</v>
      </c>
      <c r="BL1606" s="127">
        <v>4</v>
      </c>
      <c r="BM1606" s="127">
        <v>0.11332468572476186</v>
      </c>
      <c r="BN1606" s="127" t="e">
        <v>#N/A</v>
      </c>
      <c r="BO1606" s="127" t="e">
        <v>#N/A</v>
      </c>
      <c r="BP1606" s="151" t="e">
        <v>#N/A</v>
      </c>
      <c r="BQ1606">
        <v>0.11332468572476186</v>
      </c>
      <c r="BR1606" t="str">
        <v/>
      </c>
    </row>
    <row r="1607" spans="47:70" x14ac:dyDescent="0.2">
      <c r="AU1607"/>
      <c r="AV1607"/>
      <c r="AW1607"/>
      <c r="AX1607"/>
      <c r="AY1607"/>
      <c r="BK1607" s="42">
        <v>1606</v>
      </c>
      <c r="BL1607" s="127">
        <v>4</v>
      </c>
      <c r="BM1607" s="127">
        <v>0.11332468572476186</v>
      </c>
      <c r="BN1607" s="127" t="e">
        <v>#N/A</v>
      </c>
      <c r="BO1607" s="127" t="e">
        <v>#N/A</v>
      </c>
      <c r="BP1607" s="151" t="e">
        <v>#N/A</v>
      </c>
      <c r="BQ1607">
        <v>0.11332468572476186</v>
      </c>
      <c r="BR1607" t="str">
        <v/>
      </c>
    </row>
    <row r="1608" spans="47:70" x14ac:dyDescent="0.2">
      <c r="AU1608"/>
      <c r="AV1608"/>
      <c r="AW1608"/>
      <c r="AX1608"/>
      <c r="AY1608"/>
      <c r="BK1608" s="42">
        <v>1607</v>
      </c>
      <c r="BL1608" s="127">
        <v>4</v>
      </c>
      <c r="BM1608" s="127">
        <v>0.11332468572476186</v>
      </c>
      <c r="BN1608" s="127" t="e">
        <v>#N/A</v>
      </c>
      <c r="BO1608" s="127" t="e">
        <v>#N/A</v>
      </c>
      <c r="BP1608" s="151" t="e">
        <v>#N/A</v>
      </c>
      <c r="BQ1608">
        <v>0.11332468572476186</v>
      </c>
      <c r="BR1608" t="str">
        <v/>
      </c>
    </row>
    <row r="1609" spans="47:70" x14ac:dyDescent="0.2">
      <c r="AU1609"/>
      <c r="AV1609"/>
      <c r="AW1609"/>
      <c r="AX1609"/>
      <c r="AY1609"/>
      <c r="BK1609" s="42">
        <v>1608</v>
      </c>
      <c r="BL1609" s="127">
        <v>4</v>
      </c>
      <c r="BM1609" s="127">
        <v>0.11332468572476186</v>
      </c>
      <c r="BN1609" s="127" t="e">
        <v>#N/A</v>
      </c>
      <c r="BO1609" s="127" t="e">
        <v>#N/A</v>
      </c>
      <c r="BP1609" s="151" t="e">
        <v>#N/A</v>
      </c>
      <c r="BQ1609">
        <v>0.11332468572476186</v>
      </c>
      <c r="BR1609" t="str">
        <v/>
      </c>
    </row>
    <row r="1610" spans="47:70" x14ac:dyDescent="0.2">
      <c r="AU1610"/>
      <c r="AV1610"/>
      <c r="AW1610"/>
      <c r="AX1610"/>
      <c r="AY1610"/>
      <c r="BK1610" s="42">
        <v>1609</v>
      </c>
      <c r="BL1610" s="127">
        <v>4</v>
      </c>
      <c r="BM1610" s="127">
        <v>0.11332468572476186</v>
      </c>
      <c r="BN1610" s="127" t="e">
        <v>#N/A</v>
      </c>
      <c r="BO1610" s="127" t="e">
        <v>#N/A</v>
      </c>
      <c r="BP1610" s="151" t="e">
        <v>#N/A</v>
      </c>
      <c r="BQ1610">
        <v>0.11332468572476186</v>
      </c>
      <c r="BR1610" t="str">
        <v/>
      </c>
    </row>
    <row r="1611" spans="47:70" x14ac:dyDescent="0.2">
      <c r="AU1611"/>
      <c r="AV1611"/>
      <c r="AW1611"/>
      <c r="AX1611"/>
      <c r="AY1611"/>
      <c r="BK1611" s="42">
        <v>1610</v>
      </c>
      <c r="BL1611" s="127">
        <v>4</v>
      </c>
      <c r="BM1611" s="127">
        <v>0.11332468572476186</v>
      </c>
      <c r="BN1611" s="127" t="e">
        <v>#N/A</v>
      </c>
      <c r="BO1611" s="127" t="e">
        <v>#N/A</v>
      </c>
      <c r="BP1611" s="151" t="e">
        <v>#N/A</v>
      </c>
      <c r="BQ1611">
        <v>0.11332468572476186</v>
      </c>
      <c r="BR1611" t="str">
        <v/>
      </c>
    </row>
    <row r="1612" spans="47:70" x14ac:dyDescent="0.2">
      <c r="AU1612"/>
      <c r="AV1612"/>
      <c r="AW1612"/>
      <c r="AX1612"/>
      <c r="AY1612"/>
      <c r="BK1612" s="42">
        <v>1611</v>
      </c>
      <c r="BL1612" s="127">
        <v>4</v>
      </c>
      <c r="BM1612" s="127">
        <v>0.11332468572476186</v>
      </c>
      <c r="BN1612" s="127" t="e">
        <v>#N/A</v>
      </c>
      <c r="BO1612" s="127" t="e">
        <v>#N/A</v>
      </c>
      <c r="BP1612" s="151" t="e">
        <v>#N/A</v>
      </c>
      <c r="BQ1612">
        <v>0.11332468572476186</v>
      </c>
      <c r="BR1612" t="str">
        <v/>
      </c>
    </row>
    <row r="1613" spans="47:70" x14ac:dyDescent="0.2">
      <c r="AU1613"/>
      <c r="AV1613"/>
      <c r="AW1613"/>
      <c r="AX1613"/>
      <c r="AY1613"/>
      <c r="BK1613" s="42">
        <v>1612</v>
      </c>
      <c r="BL1613" s="127">
        <v>4</v>
      </c>
      <c r="BM1613" s="127">
        <v>0.11332468572476186</v>
      </c>
      <c r="BN1613" s="127" t="e">
        <v>#N/A</v>
      </c>
      <c r="BO1613" s="127" t="e">
        <v>#N/A</v>
      </c>
      <c r="BP1613" s="151" t="e">
        <v>#N/A</v>
      </c>
      <c r="BQ1613">
        <v>0.11332468572476186</v>
      </c>
      <c r="BR1613" t="str">
        <v/>
      </c>
    </row>
    <row r="1614" spans="47:70" x14ac:dyDescent="0.2">
      <c r="AU1614"/>
      <c r="AV1614"/>
      <c r="AW1614"/>
      <c r="AX1614"/>
      <c r="AY1614"/>
      <c r="BK1614" s="42">
        <v>1613</v>
      </c>
      <c r="BL1614" s="127">
        <v>4</v>
      </c>
      <c r="BM1614" s="127">
        <v>0.11332468572476186</v>
      </c>
      <c r="BN1614" s="127" t="e">
        <v>#N/A</v>
      </c>
      <c r="BO1614" s="127" t="e">
        <v>#N/A</v>
      </c>
      <c r="BP1614" s="151" t="e">
        <v>#N/A</v>
      </c>
      <c r="BQ1614">
        <v>0.11332468572476186</v>
      </c>
      <c r="BR1614" t="str">
        <v/>
      </c>
    </row>
    <row r="1615" spans="47:70" x14ac:dyDescent="0.2">
      <c r="AU1615"/>
      <c r="AV1615"/>
      <c r="AW1615"/>
      <c r="AX1615"/>
      <c r="AY1615"/>
      <c r="BK1615" s="42">
        <v>1614</v>
      </c>
      <c r="BL1615" s="127">
        <v>4</v>
      </c>
      <c r="BM1615" s="127">
        <v>0.11332468572476186</v>
      </c>
      <c r="BN1615" s="127" t="e">
        <v>#N/A</v>
      </c>
      <c r="BO1615" s="127" t="e">
        <v>#N/A</v>
      </c>
      <c r="BP1615" s="151" t="e">
        <v>#N/A</v>
      </c>
      <c r="BQ1615">
        <v>0.11332468572476186</v>
      </c>
      <c r="BR1615" t="str">
        <v/>
      </c>
    </row>
    <row r="1616" spans="47:70" x14ac:dyDescent="0.2">
      <c r="AU1616"/>
      <c r="AV1616"/>
      <c r="AW1616"/>
      <c r="AX1616"/>
      <c r="AY1616"/>
      <c r="BK1616" s="42">
        <v>1615</v>
      </c>
      <c r="BL1616" s="127">
        <v>4</v>
      </c>
      <c r="BM1616" s="127">
        <v>0.11332468572476186</v>
      </c>
      <c r="BN1616" s="127" t="e">
        <v>#N/A</v>
      </c>
      <c r="BO1616" s="127" t="e">
        <v>#N/A</v>
      </c>
      <c r="BP1616" s="151" t="e">
        <v>#N/A</v>
      </c>
      <c r="BQ1616">
        <v>0.11332468572476186</v>
      </c>
      <c r="BR1616" t="str">
        <v/>
      </c>
    </row>
    <row r="1617" spans="47:70" x14ac:dyDescent="0.2">
      <c r="AU1617"/>
      <c r="AV1617"/>
      <c r="AW1617"/>
      <c r="AX1617"/>
      <c r="AY1617"/>
      <c r="BK1617" s="42">
        <v>1616</v>
      </c>
      <c r="BL1617" s="127">
        <v>4</v>
      </c>
      <c r="BM1617" s="127">
        <v>0.11332468572476186</v>
      </c>
      <c r="BN1617" s="127" t="e">
        <v>#N/A</v>
      </c>
      <c r="BO1617" s="127" t="e">
        <v>#N/A</v>
      </c>
      <c r="BP1617" s="151" t="e">
        <v>#N/A</v>
      </c>
      <c r="BQ1617">
        <v>0.11332468572476186</v>
      </c>
      <c r="BR1617" t="str">
        <v/>
      </c>
    </row>
    <row r="1618" spans="47:70" x14ac:dyDescent="0.2">
      <c r="AU1618"/>
      <c r="AV1618"/>
      <c r="AW1618"/>
      <c r="AX1618"/>
      <c r="AY1618"/>
      <c r="BK1618" s="42">
        <v>1617</v>
      </c>
      <c r="BL1618" s="127">
        <v>4</v>
      </c>
      <c r="BM1618" s="127">
        <v>0.11332468572476186</v>
      </c>
      <c r="BN1618" s="127" t="e">
        <v>#N/A</v>
      </c>
      <c r="BO1618" s="127" t="e">
        <v>#N/A</v>
      </c>
      <c r="BP1618" s="151" t="e">
        <v>#N/A</v>
      </c>
      <c r="BQ1618">
        <v>0.11332468572476186</v>
      </c>
      <c r="BR1618" t="str">
        <v/>
      </c>
    </row>
    <row r="1619" spans="47:70" x14ac:dyDescent="0.2">
      <c r="AU1619"/>
      <c r="AV1619"/>
      <c r="AW1619"/>
      <c r="AX1619"/>
      <c r="AY1619"/>
      <c r="BK1619" s="42">
        <v>1618</v>
      </c>
      <c r="BL1619" s="127">
        <v>4</v>
      </c>
      <c r="BM1619" s="127">
        <v>0.11332468572476186</v>
      </c>
      <c r="BN1619" s="127" t="e">
        <v>#N/A</v>
      </c>
      <c r="BO1619" s="127" t="e">
        <v>#N/A</v>
      </c>
      <c r="BP1619" s="151" t="e">
        <v>#N/A</v>
      </c>
      <c r="BQ1619">
        <v>0.11332468572476186</v>
      </c>
      <c r="BR1619" t="str">
        <v/>
      </c>
    </row>
    <row r="1620" spans="47:70" x14ac:dyDescent="0.2">
      <c r="AU1620"/>
      <c r="AV1620"/>
      <c r="AW1620"/>
      <c r="AX1620"/>
      <c r="AY1620"/>
      <c r="BK1620" s="42">
        <v>1619</v>
      </c>
      <c r="BL1620" s="127">
        <v>4</v>
      </c>
      <c r="BM1620" s="127">
        <v>0.11332468572476186</v>
      </c>
      <c r="BN1620" s="127" t="e">
        <v>#N/A</v>
      </c>
      <c r="BO1620" s="127" t="e">
        <v>#N/A</v>
      </c>
      <c r="BP1620" s="151" t="e">
        <v>#N/A</v>
      </c>
      <c r="BQ1620">
        <v>0.11332468572476186</v>
      </c>
      <c r="BR1620" t="str">
        <v/>
      </c>
    </row>
    <row r="1621" spans="47:70" x14ac:dyDescent="0.2">
      <c r="AU1621"/>
      <c r="AV1621"/>
      <c r="AW1621"/>
      <c r="AX1621"/>
      <c r="AY1621"/>
      <c r="BK1621" s="42">
        <v>1620</v>
      </c>
      <c r="BL1621" s="127">
        <v>4</v>
      </c>
      <c r="BM1621" s="127">
        <v>0.11332468572476186</v>
      </c>
      <c r="BN1621" s="127" t="e">
        <v>#N/A</v>
      </c>
      <c r="BO1621" s="127" t="e">
        <v>#N/A</v>
      </c>
      <c r="BP1621" s="151" t="e">
        <v>#N/A</v>
      </c>
      <c r="BQ1621">
        <v>0.11332468572476186</v>
      </c>
      <c r="BR1621" t="str">
        <v/>
      </c>
    </row>
    <row r="1622" spans="47:70" x14ac:dyDescent="0.2">
      <c r="AU1622"/>
      <c r="AV1622"/>
      <c r="AW1622"/>
      <c r="AX1622"/>
      <c r="AY1622"/>
      <c r="BK1622" s="42">
        <v>1621</v>
      </c>
      <c r="BL1622" s="127">
        <v>4</v>
      </c>
      <c r="BM1622" s="127">
        <v>0.11332468572476186</v>
      </c>
      <c r="BN1622" s="127" t="e">
        <v>#N/A</v>
      </c>
      <c r="BO1622" s="127" t="e">
        <v>#N/A</v>
      </c>
      <c r="BP1622" s="151" t="e">
        <v>#N/A</v>
      </c>
      <c r="BQ1622">
        <v>0.11332468572476186</v>
      </c>
      <c r="BR1622" t="str">
        <v/>
      </c>
    </row>
    <row r="1623" spans="47:70" x14ac:dyDescent="0.2">
      <c r="AU1623"/>
      <c r="AV1623"/>
      <c r="AW1623"/>
      <c r="AX1623"/>
      <c r="AY1623"/>
      <c r="BK1623" s="42">
        <v>1622</v>
      </c>
      <c r="BL1623" s="127">
        <v>4</v>
      </c>
      <c r="BM1623" s="127">
        <v>0.11332468572476186</v>
      </c>
      <c r="BN1623" s="127" t="e">
        <v>#N/A</v>
      </c>
      <c r="BO1623" s="127" t="e">
        <v>#N/A</v>
      </c>
      <c r="BP1623" s="151" t="e">
        <v>#N/A</v>
      </c>
      <c r="BQ1623">
        <v>0.11332468572476186</v>
      </c>
      <c r="BR1623" t="str">
        <v/>
      </c>
    </row>
    <row r="1624" spans="47:70" x14ac:dyDescent="0.2">
      <c r="AU1624"/>
      <c r="AV1624"/>
      <c r="AW1624"/>
      <c r="AX1624"/>
      <c r="AY1624"/>
      <c r="BK1624" s="42">
        <v>1623</v>
      </c>
      <c r="BL1624" s="127">
        <v>4</v>
      </c>
      <c r="BM1624" s="127">
        <v>0.11332468572476186</v>
      </c>
      <c r="BN1624" s="127" t="e">
        <v>#N/A</v>
      </c>
      <c r="BO1624" s="127" t="e">
        <v>#N/A</v>
      </c>
      <c r="BP1624" s="151" t="e">
        <v>#N/A</v>
      </c>
      <c r="BQ1624">
        <v>0.11332468572476186</v>
      </c>
      <c r="BR1624" t="str">
        <v/>
      </c>
    </row>
    <row r="1625" spans="47:70" x14ac:dyDescent="0.2">
      <c r="AU1625"/>
      <c r="AV1625"/>
      <c r="AW1625"/>
      <c r="AX1625"/>
      <c r="AY1625"/>
      <c r="BK1625" s="42">
        <v>1624</v>
      </c>
      <c r="BL1625" s="127">
        <v>4</v>
      </c>
      <c r="BM1625" s="127">
        <v>0.11332468572476186</v>
      </c>
      <c r="BN1625" s="127" t="e">
        <v>#N/A</v>
      </c>
      <c r="BO1625" s="127" t="e">
        <v>#N/A</v>
      </c>
      <c r="BP1625" s="151" t="e">
        <v>#N/A</v>
      </c>
      <c r="BQ1625">
        <v>0.11332468572476186</v>
      </c>
      <c r="BR1625" t="str">
        <v/>
      </c>
    </row>
    <row r="1626" spans="47:70" x14ac:dyDescent="0.2">
      <c r="AU1626"/>
      <c r="AV1626"/>
      <c r="AW1626"/>
      <c r="AX1626"/>
      <c r="AY1626"/>
      <c r="BK1626" s="42">
        <v>1625</v>
      </c>
      <c r="BL1626" s="127">
        <v>4</v>
      </c>
      <c r="BM1626" s="127">
        <v>0.11332468572476186</v>
      </c>
      <c r="BN1626" s="127" t="e">
        <v>#N/A</v>
      </c>
      <c r="BO1626" s="127" t="e">
        <v>#N/A</v>
      </c>
      <c r="BP1626" s="151" t="e">
        <v>#N/A</v>
      </c>
      <c r="BQ1626">
        <v>0.11332468572476186</v>
      </c>
      <c r="BR1626" t="str">
        <v/>
      </c>
    </row>
    <row r="1627" spans="47:70" x14ac:dyDescent="0.2">
      <c r="AU1627"/>
      <c r="AV1627"/>
      <c r="AW1627"/>
      <c r="AX1627"/>
      <c r="AY1627"/>
      <c r="BK1627" s="42">
        <v>1626</v>
      </c>
      <c r="BL1627" s="127">
        <v>4</v>
      </c>
      <c r="BM1627" s="127">
        <v>0.11332468572476186</v>
      </c>
      <c r="BN1627" s="127" t="e">
        <v>#N/A</v>
      </c>
      <c r="BO1627" s="127" t="e">
        <v>#N/A</v>
      </c>
      <c r="BP1627" s="151" t="e">
        <v>#N/A</v>
      </c>
      <c r="BQ1627">
        <v>0.11332468572476186</v>
      </c>
      <c r="BR1627" t="str">
        <v/>
      </c>
    </row>
    <row r="1628" spans="47:70" x14ac:dyDescent="0.2">
      <c r="AU1628"/>
      <c r="AV1628"/>
      <c r="AW1628"/>
      <c r="AX1628"/>
      <c r="AY1628"/>
      <c r="BK1628" s="42">
        <v>1627</v>
      </c>
      <c r="BL1628" s="127">
        <v>4</v>
      </c>
      <c r="BM1628" s="127">
        <v>0.11332468572476186</v>
      </c>
      <c r="BN1628" s="127" t="e">
        <v>#N/A</v>
      </c>
      <c r="BO1628" s="127" t="e">
        <v>#N/A</v>
      </c>
      <c r="BP1628" s="151" t="e">
        <v>#N/A</v>
      </c>
      <c r="BQ1628">
        <v>0.11332468572476186</v>
      </c>
      <c r="BR1628" t="str">
        <v/>
      </c>
    </row>
    <row r="1629" spans="47:70" x14ac:dyDescent="0.2">
      <c r="AU1629"/>
      <c r="AV1629"/>
      <c r="AW1629"/>
      <c r="AX1629"/>
      <c r="AY1629"/>
      <c r="BK1629" s="42">
        <v>1628</v>
      </c>
      <c r="BL1629" s="127">
        <v>4</v>
      </c>
      <c r="BM1629" s="127">
        <v>0.11332468572476186</v>
      </c>
      <c r="BN1629" s="127" t="e">
        <v>#N/A</v>
      </c>
      <c r="BO1629" s="127" t="e">
        <v>#N/A</v>
      </c>
      <c r="BP1629" s="151" t="e">
        <v>#N/A</v>
      </c>
      <c r="BQ1629">
        <v>0.11332468572476186</v>
      </c>
      <c r="BR1629" t="str">
        <v/>
      </c>
    </row>
    <row r="1630" spans="47:70" x14ac:dyDescent="0.2">
      <c r="AU1630"/>
      <c r="AV1630"/>
      <c r="AW1630"/>
      <c r="AX1630"/>
      <c r="AY1630"/>
      <c r="BK1630" s="42">
        <v>1629</v>
      </c>
      <c r="BL1630" s="127">
        <v>4</v>
      </c>
      <c r="BM1630" s="127">
        <v>0.11332468572476186</v>
      </c>
      <c r="BN1630" s="127" t="e">
        <v>#N/A</v>
      </c>
      <c r="BO1630" s="127" t="e">
        <v>#N/A</v>
      </c>
      <c r="BP1630" s="151" t="e">
        <v>#N/A</v>
      </c>
      <c r="BQ1630">
        <v>0.11332468572476186</v>
      </c>
      <c r="BR1630" t="str">
        <v/>
      </c>
    </row>
    <row r="1631" spans="47:70" x14ac:dyDescent="0.2">
      <c r="AU1631"/>
      <c r="AV1631"/>
      <c r="AW1631"/>
      <c r="AX1631"/>
      <c r="AY1631"/>
      <c r="BK1631" s="42">
        <v>1630</v>
      </c>
      <c r="BL1631" s="127">
        <v>4</v>
      </c>
      <c r="BM1631" s="127">
        <v>0.11332468572476186</v>
      </c>
      <c r="BN1631" s="127" t="e">
        <v>#N/A</v>
      </c>
      <c r="BO1631" s="127" t="e">
        <v>#N/A</v>
      </c>
      <c r="BP1631" s="151" t="e">
        <v>#N/A</v>
      </c>
      <c r="BQ1631">
        <v>0.11332468572476186</v>
      </c>
      <c r="BR1631" t="str">
        <v/>
      </c>
    </row>
    <row r="1632" spans="47:70" x14ac:dyDescent="0.2">
      <c r="AU1632"/>
      <c r="AV1632"/>
      <c r="AW1632"/>
      <c r="AX1632"/>
      <c r="AY1632"/>
      <c r="BK1632" s="42">
        <v>1631</v>
      </c>
      <c r="BL1632" s="127">
        <v>4</v>
      </c>
      <c r="BM1632" s="127">
        <v>0.11332468572476186</v>
      </c>
      <c r="BN1632" s="127" t="e">
        <v>#N/A</v>
      </c>
      <c r="BO1632" s="127" t="e">
        <v>#N/A</v>
      </c>
      <c r="BP1632" s="151" t="e">
        <v>#N/A</v>
      </c>
      <c r="BQ1632">
        <v>0.11332468572476186</v>
      </c>
      <c r="BR1632" t="str">
        <v/>
      </c>
    </row>
    <row r="1633" spans="47:70" x14ac:dyDescent="0.2">
      <c r="AU1633"/>
      <c r="AV1633"/>
      <c r="AW1633"/>
      <c r="AX1633"/>
      <c r="AY1633"/>
      <c r="BK1633" s="42">
        <v>1632</v>
      </c>
      <c r="BL1633" s="127">
        <v>4</v>
      </c>
      <c r="BM1633" s="127">
        <v>0.11332468572476186</v>
      </c>
      <c r="BN1633" s="127" t="e">
        <v>#N/A</v>
      </c>
      <c r="BO1633" s="127" t="e">
        <v>#N/A</v>
      </c>
      <c r="BP1633" s="151" t="e">
        <v>#N/A</v>
      </c>
      <c r="BQ1633">
        <v>0.11332468572476186</v>
      </c>
      <c r="BR1633" t="str">
        <v/>
      </c>
    </row>
    <row r="1634" spans="47:70" x14ac:dyDescent="0.2">
      <c r="AU1634"/>
      <c r="AV1634"/>
      <c r="AW1634"/>
      <c r="AX1634"/>
      <c r="AY1634"/>
      <c r="BK1634" s="42">
        <v>1633</v>
      </c>
      <c r="BL1634" s="127">
        <v>4</v>
      </c>
      <c r="BM1634" s="127">
        <v>0.11332468572476186</v>
      </c>
      <c r="BN1634" s="127" t="e">
        <v>#N/A</v>
      </c>
      <c r="BO1634" s="127" t="e">
        <v>#N/A</v>
      </c>
      <c r="BP1634" s="151" t="e">
        <v>#N/A</v>
      </c>
      <c r="BQ1634">
        <v>0.11332468572476186</v>
      </c>
      <c r="BR1634" t="str">
        <v/>
      </c>
    </row>
    <row r="1635" spans="47:70" x14ac:dyDescent="0.2">
      <c r="AU1635"/>
      <c r="AV1635"/>
      <c r="AW1635"/>
      <c r="AX1635"/>
      <c r="AY1635"/>
      <c r="BK1635" s="42">
        <v>1634</v>
      </c>
      <c r="BL1635" s="127">
        <v>4</v>
      </c>
      <c r="BM1635" s="127">
        <v>0.11332468572476186</v>
      </c>
      <c r="BN1635" s="127" t="e">
        <v>#N/A</v>
      </c>
      <c r="BO1635" s="127" t="e">
        <v>#N/A</v>
      </c>
      <c r="BP1635" s="151" t="e">
        <v>#N/A</v>
      </c>
      <c r="BQ1635">
        <v>0.11332468572476186</v>
      </c>
      <c r="BR1635" t="str">
        <v/>
      </c>
    </row>
    <row r="1636" spans="47:70" x14ac:dyDescent="0.2">
      <c r="AU1636"/>
      <c r="AV1636"/>
      <c r="AW1636"/>
      <c r="AX1636"/>
      <c r="AY1636"/>
      <c r="BK1636" s="42">
        <v>1635</v>
      </c>
      <c r="BL1636" s="127">
        <v>4</v>
      </c>
      <c r="BM1636" s="127">
        <v>0.11332468572476186</v>
      </c>
      <c r="BN1636" s="127" t="e">
        <v>#N/A</v>
      </c>
      <c r="BO1636" s="127" t="e">
        <v>#N/A</v>
      </c>
      <c r="BP1636" s="151" t="e">
        <v>#N/A</v>
      </c>
      <c r="BQ1636">
        <v>0.11332468572476186</v>
      </c>
      <c r="BR1636" t="str">
        <v/>
      </c>
    </row>
    <row r="1637" spans="47:70" x14ac:dyDescent="0.2">
      <c r="AU1637"/>
      <c r="AV1637"/>
      <c r="AW1637"/>
      <c r="AX1637"/>
      <c r="AY1637"/>
      <c r="BK1637" s="42">
        <v>1636</v>
      </c>
      <c r="BL1637" s="127">
        <v>4</v>
      </c>
      <c r="BM1637" s="127">
        <v>0.11332468572476186</v>
      </c>
      <c r="BN1637" s="127" t="e">
        <v>#N/A</v>
      </c>
      <c r="BO1637" s="127" t="e">
        <v>#N/A</v>
      </c>
      <c r="BP1637" s="151" t="e">
        <v>#N/A</v>
      </c>
      <c r="BQ1637">
        <v>0.11332468572476186</v>
      </c>
      <c r="BR1637" t="str">
        <v/>
      </c>
    </row>
    <row r="1638" spans="47:70" x14ac:dyDescent="0.2">
      <c r="AU1638"/>
      <c r="AV1638"/>
      <c r="AW1638"/>
      <c r="AX1638"/>
      <c r="AY1638"/>
      <c r="BK1638" s="42">
        <v>1637</v>
      </c>
      <c r="BL1638" s="127">
        <v>4</v>
      </c>
      <c r="BM1638" s="127">
        <v>0.11332468572476186</v>
      </c>
      <c r="BN1638" s="127" t="e">
        <v>#N/A</v>
      </c>
      <c r="BO1638" s="127" t="e">
        <v>#N/A</v>
      </c>
      <c r="BP1638" s="151" t="e">
        <v>#N/A</v>
      </c>
      <c r="BQ1638">
        <v>0.11332468572476186</v>
      </c>
      <c r="BR1638" t="str">
        <v/>
      </c>
    </row>
    <row r="1639" spans="47:70" x14ac:dyDescent="0.2">
      <c r="AU1639"/>
      <c r="AV1639"/>
      <c r="AW1639"/>
      <c r="AX1639"/>
      <c r="AY1639"/>
      <c r="BK1639" s="42">
        <v>1638</v>
      </c>
      <c r="BL1639" s="127">
        <v>4</v>
      </c>
      <c r="BM1639" s="127">
        <v>0.11332468572476186</v>
      </c>
      <c r="BN1639" s="127" t="e">
        <v>#N/A</v>
      </c>
      <c r="BO1639" s="127" t="e">
        <v>#N/A</v>
      </c>
      <c r="BP1639" s="151" t="e">
        <v>#N/A</v>
      </c>
      <c r="BQ1639">
        <v>0.11332468572476186</v>
      </c>
      <c r="BR1639" t="str">
        <v/>
      </c>
    </row>
    <row r="1640" spans="47:70" x14ac:dyDescent="0.2">
      <c r="AU1640"/>
      <c r="AV1640"/>
      <c r="AW1640"/>
      <c r="AX1640"/>
      <c r="AY1640"/>
      <c r="BK1640" s="42">
        <v>1639</v>
      </c>
      <c r="BL1640" s="127">
        <v>4</v>
      </c>
      <c r="BM1640" s="127">
        <v>0.11332468572476186</v>
      </c>
      <c r="BN1640" s="127" t="e">
        <v>#N/A</v>
      </c>
      <c r="BO1640" s="127" t="e">
        <v>#N/A</v>
      </c>
      <c r="BP1640" s="151" t="e">
        <v>#N/A</v>
      </c>
      <c r="BQ1640">
        <v>0.11332468572476186</v>
      </c>
      <c r="BR1640" t="str">
        <v/>
      </c>
    </row>
    <row r="1641" spans="47:70" x14ac:dyDescent="0.2">
      <c r="AU1641"/>
      <c r="AV1641"/>
      <c r="AW1641"/>
      <c r="AX1641"/>
      <c r="AY1641"/>
      <c r="BK1641" s="42">
        <v>1640</v>
      </c>
      <c r="BL1641" s="127">
        <v>4</v>
      </c>
      <c r="BM1641" s="127">
        <v>0.11332468572476186</v>
      </c>
      <c r="BN1641" s="127" t="e">
        <v>#N/A</v>
      </c>
      <c r="BO1641" s="127" t="e">
        <v>#N/A</v>
      </c>
      <c r="BP1641" s="151" t="e">
        <v>#N/A</v>
      </c>
      <c r="BQ1641">
        <v>0.11332468572476186</v>
      </c>
      <c r="BR1641" t="str">
        <v/>
      </c>
    </row>
    <row r="1642" spans="47:70" x14ac:dyDescent="0.2">
      <c r="AU1642"/>
      <c r="AV1642"/>
      <c r="AW1642"/>
      <c r="AX1642"/>
      <c r="AY1642"/>
      <c r="BK1642" s="42">
        <v>1641</v>
      </c>
      <c r="BL1642" s="127">
        <v>4</v>
      </c>
      <c r="BM1642" s="127">
        <v>0.11332468572476186</v>
      </c>
      <c r="BN1642" s="127" t="e">
        <v>#N/A</v>
      </c>
      <c r="BO1642" s="127" t="e">
        <v>#N/A</v>
      </c>
      <c r="BP1642" s="151" t="e">
        <v>#N/A</v>
      </c>
      <c r="BQ1642">
        <v>0.11332468572476186</v>
      </c>
      <c r="BR1642" t="str">
        <v/>
      </c>
    </row>
    <row r="1643" spans="47:70" x14ac:dyDescent="0.2">
      <c r="AU1643"/>
      <c r="AV1643"/>
      <c r="AW1643"/>
      <c r="AX1643"/>
      <c r="AY1643"/>
      <c r="BK1643" s="42">
        <v>1642</v>
      </c>
      <c r="BL1643" s="127">
        <v>4</v>
      </c>
      <c r="BM1643" s="127">
        <v>0.11332468572476186</v>
      </c>
      <c r="BN1643" s="127" t="e">
        <v>#N/A</v>
      </c>
      <c r="BO1643" s="127" t="e">
        <v>#N/A</v>
      </c>
      <c r="BP1643" s="151" t="e">
        <v>#N/A</v>
      </c>
      <c r="BQ1643">
        <v>0.11332468572476186</v>
      </c>
      <c r="BR1643" t="str">
        <v/>
      </c>
    </row>
    <row r="1644" spans="47:70" x14ac:dyDescent="0.2">
      <c r="AU1644"/>
      <c r="AV1644"/>
      <c r="AW1644"/>
      <c r="AX1644"/>
      <c r="AY1644"/>
      <c r="BK1644" s="42">
        <v>1643</v>
      </c>
      <c r="BL1644" s="127">
        <v>4</v>
      </c>
      <c r="BM1644" s="127">
        <v>0.11332468572476186</v>
      </c>
      <c r="BN1644" s="127" t="e">
        <v>#N/A</v>
      </c>
      <c r="BO1644" s="127" t="e">
        <v>#N/A</v>
      </c>
      <c r="BP1644" s="151" t="e">
        <v>#N/A</v>
      </c>
      <c r="BQ1644">
        <v>0.11332468572476186</v>
      </c>
      <c r="BR1644" t="str">
        <v/>
      </c>
    </row>
    <row r="1645" spans="47:70" x14ac:dyDescent="0.2">
      <c r="AU1645"/>
      <c r="AV1645"/>
      <c r="AW1645"/>
      <c r="AX1645"/>
      <c r="AY1645"/>
      <c r="BK1645" s="42">
        <v>1644</v>
      </c>
      <c r="BL1645" s="127">
        <v>4</v>
      </c>
      <c r="BM1645" s="127">
        <v>0.11332468572476186</v>
      </c>
      <c r="BN1645" s="127" t="e">
        <v>#N/A</v>
      </c>
      <c r="BO1645" s="127" t="e">
        <v>#N/A</v>
      </c>
      <c r="BP1645" s="151" t="e">
        <v>#N/A</v>
      </c>
      <c r="BQ1645">
        <v>0.11332468572476186</v>
      </c>
      <c r="BR1645" t="str">
        <v/>
      </c>
    </row>
    <row r="1646" spans="47:70" x14ac:dyDescent="0.2">
      <c r="AU1646"/>
      <c r="AV1646"/>
      <c r="AW1646"/>
      <c r="AX1646"/>
      <c r="AY1646"/>
      <c r="BK1646" s="42">
        <v>1645</v>
      </c>
      <c r="BL1646" s="127">
        <v>4</v>
      </c>
      <c r="BM1646" s="127">
        <v>0.11332468572476186</v>
      </c>
      <c r="BN1646" s="127" t="e">
        <v>#N/A</v>
      </c>
      <c r="BO1646" s="127" t="e">
        <v>#N/A</v>
      </c>
      <c r="BP1646" s="151" t="e">
        <v>#N/A</v>
      </c>
      <c r="BQ1646">
        <v>0.11332468572476186</v>
      </c>
      <c r="BR1646" t="str">
        <v/>
      </c>
    </row>
    <row r="1647" spans="47:70" x14ac:dyDescent="0.2">
      <c r="AU1647"/>
      <c r="AV1647"/>
      <c r="AW1647"/>
      <c r="AX1647"/>
      <c r="AY1647"/>
      <c r="BK1647" s="42">
        <v>1646</v>
      </c>
      <c r="BL1647" s="127">
        <v>4</v>
      </c>
      <c r="BM1647" s="127">
        <v>0.11332468572476186</v>
      </c>
      <c r="BN1647" s="127" t="e">
        <v>#N/A</v>
      </c>
      <c r="BO1647" s="127" t="e">
        <v>#N/A</v>
      </c>
      <c r="BP1647" s="151" t="e">
        <v>#N/A</v>
      </c>
      <c r="BQ1647">
        <v>0.11332468572476186</v>
      </c>
      <c r="BR1647" t="str">
        <v/>
      </c>
    </row>
    <row r="1648" spans="47:70" x14ac:dyDescent="0.2">
      <c r="AU1648"/>
      <c r="AV1648"/>
      <c r="AW1648"/>
      <c r="AX1648"/>
      <c r="AY1648"/>
      <c r="BK1648" s="42">
        <v>1647</v>
      </c>
      <c r="BL1648" s="127">
        <v>4</v>
      </c>
      <c r="BM1648" s="127">
        <v>0.11332468572476186</v>
      </c>
      <c r="BN1648" s="127" t="e">
        <v>#N/A</v>
      </c>
      <c r="BO1648" s="127" t="e">
        <v>#N/A</v>
      </c>
      <c r="BP1648" s="151" t="e">
        <v>#N/A</v>
      </c>
      <c r="BQ1648">
        <v>0.11332468572476186</v>
      </c>
      <c r="BR1648" t="str">
        <v/>
      </c>
    </row>
    <row r="1649" spans="47:70" x14ac:dyDescent="0.2">
      <c r="AU1649"/>
      <c r="AV1649"/>
      <c r="AW1649"/>
      <c r="AX1649"/>
      <c r="AY1649"/>
      <c r="BK1649" s="42">
        <v>1648</v>
      </c>
      <c r="BL1649" s="127">
        <v>4</v>
      </c>
      <c r="BM1649" s="127">
        <v>0.11332468572476186</v>
      </c>
      <c r="BN1649" s="127" t="e">
        <v>#N/A</v>
      </c>
      <c r="BO1649" s="127" t="e">
        <v>#N/A</v>
      </c>
      <c r="BP1649" s="151" t="e">
        <v>#N/A</v>
      </c>
      <c r="BQ1649">
        <v>0.11332468572476186</v>
      </c>
      <c r="BR1649" t="str">
        <v/>
      </c>
    </row>
    <row r="1650" spans="47:70" x14ac:dyDescent="0.2">
      <c r="AU1650"/>
      <c r="AV1650"/>
      <c r="AW1650"/>
      <c r="AX1650"/>
      <c r="AY1650"/>
      <c r="BK1650" s="42">
        <v>1649</v>
      </c>
      <c r="BL1650" s="127">
        <v>4</v>
      </c>
      <c r="BM1650" s="127">
        <v>0.11332468572476186</v>
      </c>
      <c r="BN1650" s="127" t="e">
        <v>#N/A</v>
      </c>
      <c r="BO1650" s="127" t="e">
        <v>#N/A</v>
      </c>
      <c r="BP1650" s="151" t="e">
        <v>#N/A</v>
      </c>
      <c r="BQ1650">
        <v>0.11332468572476186</v>
      </c>
      <c r="BR1650" t="str">
        <v/>
      </c>
    </row>
    <row r="1651" spans="47:70" x14ac:dyDescent="0.2">
      <c r="AU1651"/>
      <c r="AV1651"/>
      <c r="AW1651"/>
      <c r="AX1651"/>
      <c r="AY1651"/>
      <c r="BK1651" s="42">
        <v>1650</v>
      </c>
      <c r="BL1651" s="127">
        <v>4</v>
      </c>
      <c r="BM1651" s="127">
        <v>0.11332468572476186</v>
      </c>
      <c r="BN1651" s="127" t="e">
        <v>#N/A</v>
      </c>
      <c r="BO1651" s="127" t="e">
        <v>#N/A</v>
      </c>
      <c r="BP1651" s="151" t="e">
        <v>#N/A</v>
      </c>
      <c r="BQ1651">
        <v>0.11332468572476186</v>
      </c>
      <c r="BR1651" t="str">
        <v/>
      </c>
    </row>
    <row r="1652" spans="47:70" x14ac:dyDescent="0.2">
      <c r="AU1652"/>
      <c r="AV1652"/>
      <c r="AW1652"/>
      <c r="AX1652"/>
      <c r="AY1652"/>
      <c r="BK1652" s="42">
        <v>1651</v>
      </c>
      <c r="BL1652" s="127">
        <v>4</v>
      </c>
      <c r="BM1652" s="127">
        <v>0.11332468572476186</v>
      </c>
      <c r="BN1652" s="127" t="e">
        <v>#N/A</v>
      </c>
      <c r="BO1652" s="127" t="e">
        <v>#N/A</v>
      </c>
      <c r="BP1652" s="151" t="e">
        <v>#N/A</v>
      </c>
      <c r="BQ1652">
        <v>0.11332468572476186</v>
      </c>
      <c r="BR1652" t="str">
        <v/>
      </c>
    </row>
    <row r="1653" spans="47:70" x14ac:dyDescent="0.2">
      <c r="AU1653"/>
      <c r="AV1653"/>
      <c r="AW1653"/>
      <c r="AX1653"/>
      <c r="AY1653"/>
      <c r="BK1653" s="42">
        <v>1652</v>
      </c>
      <c r="BL1653" s="127">
        <v>4</v>
      </c>
      <c r="BM1653" s="127">
        <v>0.11332468572476186</v>
      </c>
      <c r="BN1653" s="127" t="e">
        <v>#N/A</v>
      </c>
      <c r="BO1653" s="127" t="e">
        <v>#N/A</v>
      </c>
      <c r="BP1653" s="151" t="e">
        <v>#N/A</v>
      </c>
      <c r="BQ1653">
        <v>0.11332468572476186</v>
      </c>
      <c r="BR1653" t="str">
        <v/>
      </c>
    </row>
    <row r="1654" spans="47:70" x14ac:dyDescent="0.2">
      <c r="AU1654"/>
      <c r="AV1654"/>
      <c r="AW1654"/>
      <c r="AX1654"/>
      <c r="AY1654"/>
      <c r="BK1654" s="42">
        <v>1653</v>
      </c>
      <c r="BL1654" s="127">
        <v>4</v>
      </c>
      <c r="BM1654" s="127">
        <v>0.11332468572476186</v>
      </c>
      <c r="BN1654" s="127" t="e">
        <v>#N/A</v>
      </c>
      <c r="BO1654" s="127" t="e">
        <v>#N/A</v>
      </c>
      <c r="BP1654" s="151" t="e">
        <v>#N/A</v>
      </c>
      <c r="BQ1654">
        <v>0.11332468572476186</v>
      </c>
      <c r="BR1654" t="str">
        <v/>
      </c>
    </row>
    <row r="1655" spans="47:70" x14ac:dyDescent="0.2">
      <c r="AU1655"/>
      <c r="AV1655"/>
      <c r="AW1655"/>
      <c r="AX1655"/>
      <c r="AY1655"/>
      <c r="BK1655" s="42">
        <v>1654</v>
      </c>
      <c r="BL1655" s="127">
        <v>4</v>
      </c>
      <c r="BM1655" s="127">
        <v>0.11332468572476186</v>
      </c>
      <c r="BN1655" s="127" t="e">
        <v>#N/A</v>
      </c>
      <c r="BO1655" s="127" t="e">
        <v>#N/A</v>
      </c>
      <c r="BP1655" s="151" t="e">
        <v>#N/A</v>
      </c>
      <c r="BQ1655">
        <v>0.11332468572476186</v>
      </c>
      <c r="BR1655" t="str">
        <v/>
      </c>
    </row>
    <row r="1656" spans="47:70" x14ac:dyDescent="0.2">
      <c r="AU1656"/>
      <c r="AV1656"/>
      <c r="AW1656"/>
      <c r="AX1656"/>
      <c r="AY1656"/>
      <c r="BK1656" s="42">
        <v>1655</v>
      </c>
      <c r="BL1656" s="127">
        <v>4</v>
      </c>
      <c r="BM1656" s="127">
        <v>0.11332468572476186</v>
      </c>
      <c r="BN1656" s="127" t="e">
        <v>#N/A</v>
      </c>
      <c r="BO1656" s="127" t="e">
        <v>#N/A</v>
      </c>
      <c r="BP1656" s="151" t="e">
        <v>#N/A</v>
      </c>
      <c r="BQ1656">
        <v>0.11332468572476186</v>
      </c>
      <c r="BR1656" t="str">
        <v/>
      </c>
    </row>
    <row r="1657" spans="47:70" x14ac:dyDescent="0.2">
      <c r="AU1657"/>
      <c r="AV1657"/>
      <c r="AW1657"/>
      <c r="AX1657"/>
      <c r="AY1657"/>
      <c r="BK1657" s="42">
        <v>1656</v>
      </c>
      <c r="BL1657" s="127">
        <v>4</v>
      </c>
      <c r="BM1657" s="127">
        <v>0.11332468572476186</v>
      </c>
      <c r="BN1657" s="127" t="e">
        <v>#N/A</v>
      </c>
      <c r="BO1657" s="127" t="e">
        <v>#N/A</v>
      </c>
      <c r="BP1657" s="151" t="e">
        <v>#N/A</v>
      </c>
      <c r="BQ1657">
        <v>0.11332468572476186</v>
      </c>
      <c r="BR1657" t="str">
        <v/>
      </c>
    </row>
    <row r="1658" spans="47:70" x14ac:dyDescent="0.2">
      <c r="AU1658"/>
      <c r="AV1658"/>
      <c r="AW1658"/>
      <c r="AX1658"/>
      <c r="AY1658"/>
      <c r="BK1658" s="42">
        <v>1657</v>
      </c>
      <c r="BL1658" s="127">
        <v>4</v>
      </c>
      <c r="BM1658" s="127">
        <v>0.11332468572476186</v>
      </c>
      <c r="BN1658" s="127" t="e">
        <v>#N/A</v>
      </c>
      <c r="BO1658" s="127" t="e">
        <v>#N/A</v>
      </c>
      <c r="BP1658" s="151" t="e">
        <v>#N/A</v>
      </c>
      <c r="BQ1658">
        <v>0.11332468572476186</v>
      </c>
      <c r="BR1658" t="str">
        <v/>
      </c>
    </row>
    <row r="1659" spans="47:70" x14ac:dyDescent="0.2">
      <c r="AU1659"/>
      <c r="AV1659"/>
      <c r="AW1659"/>
      <c r="AX1659"/>
      <c r="AY1659"/>
      <c r="BK1659" s="42">
        <v>1658</v>
      </c>
      <c r="BL1659" s="127">
        <v>4</v>
      </c>
      <c r="BM1659" s="127">
        <v>0.11332468572476186</v>
      </c>
      <c r="BN1659" s="127" t="e">
        <v>#N/A</v>
      </c>
      <c r="BO1659" s="127" t="e">
        <v>#N/A</v>
      </c>
      <c r="BP1659" s="151" t="e">
        <v>#N/A</v>
      </c>
      <c r="BQ1659">
        <v>0.11332468572476186</v>
      </c>
      <c r="BR1659" t="str">
        <v/>
      </c>
    </row>
    <row r="1660" spans="47:70" x14ac:dyDescent="0.2">
      <c r="AU1660"/>
      <c r="AV1660"/>
      <c r="AW1660"/>
      <c r="AX1660"/>
      <c r="AY1660"/>
      <c r="BK1660" s="42">
        <v>1659</v>
      </c>
      <c r="BL1660" s="127">
        <v>4</v>
      </c>
      <c r="BM1660" s="127">
        <v>0.11332468572476186</v>
      </c>
      <c r="BN1660" s="127" t="e">
        <v>#N/A</v>
      </c>
      <c r="BO1660" s="127" t="e">
        <v>#N/A</v>
      </c>
      <c r="BP1660" s="151" t="e">
        <v>#N/A</v>
      </c>
      <c r="BQ1660">
        <v>0.11332468572476186</v>
      </c>
      <c r="BR1660" t="str">
        <v/>
      </c>
    </row>
    <row r="1661" spans="47:70" x14ac:dyDescent="0.2">
      <c r="AU1661"/>
      <c r="AV1661"/>
      <c r="AW1661"/>
      <c r="AX1661"/>
      <c r="AY1661"/>
      <c r="BK1661" s="42">
        <v>1660</v>
      </c>
      <c r="BL1661" s="127">
        <v>4</v>
      </c>
      <c r="BM1661" s="127">
        <v>0.11332468572476186</v>
      </c>
      <c r="BN1661" s="127" t="e">
        <v>#N/A</v>
      </c>
      <c r="BO1661" s="127" t="e">
        <v>#N/A</v>
      </c>
      <c r="BP1661" s="151" t="e">
        <v>#N/A</v>
      </c>
      <c r="BQ1661">
        <v>0.11332468572476186</v>
      </c>
      <c r="BR1661" t="str">
        <v/>
      </c>
    </row>
    <row r="1662" spans="47:70" x14ac:dyDescent="0.2">
      <c r="AU1662"/>
      <c r="AV1662"/>
      <c r="AW1662"/>
      <c r="AX1662"/>
      <c r="AY1662"/>
      <c r="BK1662" s="42">
        <v>1661</v>
      </c>
      <c r="BL1662" s="127">
        <v>4</v>
      </c>
      <c r="BM1662" s="127">
        <v>0.11332468572476186</v>
      </c>
      <c r="BN1662" s="127" t="e">
        <v>#N/A</v>
      </c>
      <c r="BO1662" s="127" t="e">
        <v>#N/A</v>
      </c>
      <c r="BP1662" s="151" t="e">
        <v>#N/A</v>
      </c>
      <c r="BQ1662">
        <v>0.11332468572476186</v>
      </c>
      <c r="BR1662" t="str">
        <v/>
      </c>
    </row>
    <row r="1663" spans="47:70" x14ac:dyDescent="0.2">
      <c r="AU1663"/>
      <c r="AV1663"/>
      <c r="AW1663"/>
      <c r="AX1663"/>
      <c r="AY1663"/>
      <c r="BK1663" s="42">
        <v>1662</v>
      </c>
      <c r="BL1663" s="127">
        <v>4</v>
      </c>
      <c r="BM1663" s="127">
        <v>0.11332468572476186</v>
      </c>
      <c r="BN1663" s="127" t="e">
        <v>#N/A</v>
      </c>
      <c r="BO1663" s="127" t="e">
        <v>#N/A</v>
      </c>
      <c r="BP1663" s="151" t="e">
        <v>#N/A</v>
      </c>
      <c r="BQ1663">
        <v>0.11332468572476186</v>
      </c>
      <c r="BR1663" t="str">
        <v/>
      </c>
    </row>
    <row r="1664" spans="47:70" x14ac:dyDescent="0.2">
      <c r="AU1664"/>
      <c r="AV1664"/>
      <c r="AW1664"/>
      <c r="AX1664"/>
      <c r="AY1664"/>
      <c r="BK1664" s="42">
        <v>1663</v>
      </c>
      <c r="BL1664" s="127">
        <v>4</v>
      </c>
      <c r="BM1664" s="127">
        <v>0.11332468572476186</v>
      </c>
      <c r="BN1664" s="127" t="e">
        <v>#N/A</v>
      </c>
      <c r="BO1664" s="127" t="e">
        <v>#N/A</v>
      </c>
      <c r="BP1664" s="151" t="e">
        <v>#N/A</v>
      </c>
      <c r="BQ1664">
        <v>0.11332468572476186</v>
      </c>
      <c r="BR1664" t="str">
        <v/>
      </c>
    </row>
    <row r="1665" spans="47:70" x14ac:dyDescent="0.2">
      <c r="AU1665"/>
      <c r="AV1665"/>
      <c r="AW1665"/>
      <c r="AX1665"/>
      <c r="AY1665"/>
      <c r="BK1665" s="42">
        <v>1664</v>
      </c>
      <c r="BL1665" s="127">
        <v>4</v>
      </c>
      <c r="BM1665" s="127">
        <v>0.11332468572476186</v>
      </c>
      <c r="BN1665" s="127" t="e">
        <v>#N/A</v>
      </c>
      <c r="BO1665" s="127" t="e">
        <v>#N/A</v>
      </c>
      <c r="BP1665" s="151" t="e">
        <v>#N/A</v>
      </c>
      <c r="BQ1665">
        <v>0.11332468572476186</v>
      </c>
      <c r="BR1665" t="str">
        <v/>
      </c>
    </row>
    <row r="1666" spans="47:70" x14ac:dyDescent="0.2">
      <c r="AU1666"/>
      <c r="AV1666"/>
      <c r="AW1666"/>
      <c r="AX1666"/>
      <c r="AY1666"/>
      <c r="BK1666" s="42">
        <v>1665</v>
      </c>
      <c r="BL1666" s="127">
        <v>4</v>
      </c>
      <c r="BM1666" s="127">
        <v>0.11332468572476186</v>
      </c>
      <c r="BN1666" s="127" t="e">
        <v>#N/A</v>
      </c>
      <c r="BO1666" s="127" t="e">
        <v>#N/A</v>
      </c>
      <c r="BP1666" s="151" t="e">
        <v>#N/A</v>
      </c>
      <c r="BQ1666">
        <v>0.11332468572476186</v>
      </c>
      <c r="BR1666" t="str">
        <v/>
      </c>
    </row>
    <row r="1667" spans="47:70" x14ac:dyDescent="0.2">
      <c r="AU1667"/>
      <c r="AV1667"/>
      <c r="AW1667"/>
      <c r="AX1667"/>
      <c r="AY1667"/>
      <c r="BK1667" s="42">
        <v>1666</v>
      </c>
      <c r="BL1667" s="127">
        <v>4</v>
      </c>
      <c r="BM1667" s="127">
        <v>0.11332468572476186</v>
      </c>
      <c r="BN1667" s="127" t="e">
        <v>#N/A</v>
      </c>
      <c r="BO1667" s="127" t="e">
        <v>#N/A</v>
      </c>
      <c r="BP1667" s="151" t="e">
        <v>#N/A</v>
      </c>
      <c r="BQ1667">
        <v>0.11332468572476186</v>
      </c>
      <c r="BR1667" t="str">
        <v/>
      </c>
    </row>
    <row r="1668" spans="47:70" x14ac:dyDescent="0.2">
      <c r="AU1668"/>
      <c r="AV1668"/>
      <c r="AW1668"/>
      <c r="AX1668"/>
      <c r="AY1668"/>
      <c r="BK1668" s="42">
        <v>1667</v>
      </c>
      <c r="BL1668" s="127">
        <v>4</v>
      </c>
      <c r="BM1668" s="127">
        <v>0.11332468572476186</v>
      </c>
      <c r="BN1668" s="127" t="e">
        <v>#N/A</v>
      </c>
      <c r="BO1668" s="127" t="e">
        <v>#N/A</v>
      </c>
      <c r="BP1668" s="151" t="e">
        <v>#N/A</v>
      </c>
      <c r="BQ1668">
        <v>0.11332468572476186</v>
      </c>
      <c r="BR1668" t="str">
        <v/>
      </c>
    </row>
    <row r="1669" spans="47:70" x14ac:dyDescent="0.2">
      <c r="AU1669"/>
      <c r="AV1669"/>
      <c r="AW1669"/>
      <c r="AX1669"/>
      <c r="AY1669"/>
      <c r="BK1669" s="42">
        <v>1668</v>
      </c>
      <c r="BL1669" s="127">
        <v>4</v>
      </c>
      <c r="BM1669" s="127">
        <v>0.11332468572476186</v>
      </c>
      <c r="BN1669" s="127" t="e">
        <v>#N/A</v>
      </c>
      <c r="BO1669" s="127" t="e">
        <v>#N/A</v>
      </c>
      <c r="BP1669" s="151" t="e">
        <v>#N/A</v>
      </c>
      <c r="BQ1669">
        <v>0.11332468572476186</v>
      </c>
      <c r="BR1669" t="str">
        <v/>
      </c>
    </row>
    <row r="1670" spans="47:70" x14ac:dyDescent="0.2">
      <c r="AU1670"/>
      <c r="AV1670"/>
      <c r="AW1670"/>
      <c r="AX1670"/>
      <c r="AY1670"/>
      <c r="BK1670" s="42">
        <v>1669</v>
      </c>
      <c r="BL1670" s="127">
        <v>4</v>
      </c>
      <c r="BM1670" s="127">
        <v>0.11332468572476186</v>
      </c>
      <c r="BN1670" s="127" t="e">
        <v>#N/A</v>
      </c>
      <c r="BO1670" s="127" t="e">
        <v>#N/A</v>
      </c>
      <c r="BP1670" s="151" t="e">
        <v>#N/A</v>
      </c>
      <c r="BQ1670">
        <v>0.11332468572476186</v>
      </c>
      <c r="BR1670" t="str">
        <v/>
      </c>
    </row>
    <row r="1671" spans="47:70" x14ac:dyDescent="0.2">
      <c r="AU1671"/>
      <c r="AV1671"/>
      <c r="AW1671"/>
      <c r="AX1671"/>
      <c r="AY1671"/>
      <c r="BK1671" s="42">
        <v>1670</v>
      </c>
      <c r="BL1671" s="127">
        <v>4</v>
      </c>
      <c r="BM1671" s="127">
        <v>0.11332468572476186</v>
      </c>
      <c r="BN1671" s="127" t="e">
        <v>#N/A</v>
      </c>
      <c r="BO1671" s="127" t="e">
        <v>#N/A</v>
      </c>
      <c r="BP1671" s="151" t="e">
        <v>#N/A</v>
      </c>
      <c r="BQ1671">
        <v>0.11332468572476186</v>
      </c>
      <c r="BR1671" t="str">
        <v/>
      </c>
    </row>
    <row r="1672" spans="47:70" x14ac:dyDescent="0.2">
      <c r="AU1672"/>
      <c r="AV1672"/>
      <c r="AW1672"/>
      <c r="AX1672"/>
      <c r="AY1672"/>
      <c r="BK1672" s="42">
        <v>1671</v>
      </c>
      <c r="BL1672" s="127">
        <v>4</v>
      </c>
      <c r="BM1672" s="127">
        <v>0.11332468572476186</v>
      </c>
      <c r="BN1672" s="127" t="e">
        <v>#N/A</v>
      </c>
      <c r="BO1672" s="127" t="e">
        <v>#N/A</v>
      </c>
      <c r="BP1672" s="151" t="e">
        <v>#N/A</v>
      </c>
      <c r="BQ1672">
        <v>0.11332468572476186</v>
      </c>
      <c r="BR1672" t="str">
        <v/>
      </c>
    </row>
    <row r="1673" spans="47:70" x14ac:dyDescent="0.2">
      <c r="AU1673"/>
      <c r="AV1673"/>
      <c r="AW1673"/>
      <c r="AX1673"/>
      <c r="AY1673"/>
      <c r="BK1673" s="42">
        <v>1672</v>
      </c>
      <c r="BL1673" s="127">
        <v>4</v>
      </c>
      <c r="BM1673" s="127">
        <v>0.11332468572476186</v>
      </c>
      <c r="BN1673" s="127" t="e">
        <v>#N/A</v>
      </c>
      <c r="BO1673" s="127" t="e">
        <v>#N/A</v>
      </c>
      <c r="BP1673" s="151" t="e">
        <v>#N/A</v>
      </c>
      <c r="BQ1673">
        <v>0.11332468572476186</v>
      </c>
      <c r="BR1673" t="str">
        <v/>
      </c>
    </row>
    <row r="1674" spans="47:70" x14ac:dyDescent="0.2">
      <c r="AU1674"/>
      <c r="AV1674"/>
      <c r="AW1674"/>
      <c r="AX1674"/>
      <c r="AY1674"/>
      <c r="BK1674" s="42">
        <v>1673</v>
      </c>
      <c r="BL1674" s="127">
        <v>4</v>
      </c>
      <c r="BM1674" s="127">
        <v>0.11332468572476186</v>
      </c>
      <c r="BN1674" s="127" t="e">
        <v>#N/A</v>
      </c>
      <c r="BO1674" s="127" t="e">
        <v>#N/A</v>
      </c>
      <c r="BP1674" s="151" t="e">
        <v>#N/A</v>
      </c>
      <c r="BQ1674">
        <v>0.11332468572476186</v>
      </c>
      <c r="BR1674" t="str">
        <v/>
      </c>
    </row>
    <row r="1675" spans="47:70" x14ac:dyDescent="0.2">
      <c r="AU1675"/>
      <c r="AV1675"/>
      <c r="AW1675"/>
      <c r="AX1675"/>
      <c r="AY1675"/>
      <c r="BK1675" s="42">
        <v>1674</v>
      </c>
      <c r="BL1675" s="127">
        <v>4</v>
      </c>
      <c r="BM1675" s="127">
        <v>0.11332468572476186</v>
      </c>
      <c r="BN1675" s="127" t="e">
        <v>#N/A</v>
      </c>
      <c r="BO1675" s="127" t="e">
        <v>#N/A</v>
      </c>
      <c r="BP1675" s="151" t="e">
        <v>#N/A</v>
      </c>
      <c r="BQ1675">
        <v>0.11332468572476186</v>
      </c>
      <c r="BR1675" t="str">
        <v/>
      </c>
    </row>
    <row r="1676" spans="47:70" x14ac:dyDescent="0.2">
      <c r="AU1676"/>
      <c r="AV1676"/>
      <c r="AW1676"/>
      <c r="AX1676"/>
      <c r="AY1676"/>
      <c r="BK1676" s="42">
        <v>1675</v>
      </c>
      <c r="BL1676" s="127">
        <v>4</v>
      </c>
      <c r="BM1676" s="127">
        <v>0.11332468572476186</v>
      </c>
      <c r="BN1676" s="127" t="e">
        <v>#N/A</v>
      </c>
      <c r="BO1676" s="127" t="e">
        <v>#N/A</v>
      </c>
      <c r="BP1676" s="151" t="e">
        <v>#N/A</v>
      </c>
      <c r="BQ1676">
        <v>0.11332468572476186</v>
      </c>
      <c r="BR1676" t="str">
        <v/>
      </c>
    </row>
    <row r="1677" spans="47:70" x14ac:dyDescent="0.2">
      <c r="AU1677"/>
      <c r="AV1677"/>
      <c r="AW1677"/>
      <c r="AX1677"/>
      <c r="AY1677"/>
      <c r="BK1677" s="42">
        <v>1676</v>
      </c>
      <c r="BL1677" s="127">
        <v>4</v>
      </c>
      <c r="BM1677" s="127">
        <v>0.11332468572476186</v>
      </c>
      <c r="BN1677" s="127" t="e">
        <v>#N/A</v>
      </c>
      <c r="BO1677" s="127" t="e">
        <v>#N/A</v>
      </c>
      <c r="BP1677" s="151" t="e">
        <v>#N/A</v>
      </c>
      <c r="BQ1677">
        <v>0.11332468572476186</v>
      </c>
      <c r="BR1677" t="str">
        <v/>
      </c>
    </row>
    <row r="1678" spans="47:70" x14ac:dyDescent="0.2">
      <c r="AU1678"/>
      <c r="AV1678"/>
      <c r="AW1678"/>
      <c r="AX1678"/>
      <c r="AY1678"/>
      <c r="BK1678" s="42">
        <v>1677</v>
      </c>
      <c r="BL1678" s="127">
        <v>4</v>
      </c>
      <c r="BM1678" s="127">
        <v>0.11332468572476186</v>
      </c>
      <c r="BN1678" s="127" t="e">
        <v>#N/A</v>
      </c>
      <c r="BO1678" s="127" t="e">
        <v>#N/A</v>
      </c>
      <c r="BP1678" s="151" t="e">
        <v>#N/A</v>
      </c>
      <c r="BQ1678">
        <v>0.11332468572476186</v>
      </c>
      <c r="BR1678" t="str">
        <v/>
      </c>
    </row>
    <row r="1679" spans="47:70" x14ac:dyDescent="0.2">
      <c r="AU1679"/>
      <c r="AV1679"/>
      <c r="AW1679"/>
      <c r="AX1679"/>
      <c r="AY1679"/>
      <c r="BK1679" s="42">
        <v>1678</v>
      </c>
      <c r="BL1679" s="127">
        <v>4</v>
      </c>
      <c r="BM1679" s="127">
        <v>0.11332468572476186</v>
      </c>
      <c r="BN1679" s="127" t="e">
        <v>#N/A</v>
      </c>
      <c r="BO1679" s="127" t="e">
        <v>#N/A</v>
      </c>
      <c r="BP1679" s="151" t="e">
        <v>#N/A</v>
      </c>
      <c r="BQ1679">
        <v>0.11332468572476186</v>
      </c>
      <c r="BR1679" t="str">
        <v/>
      </c>
    </row>
    <row r="1680" spans="47:70" x14ac:dyDescent="0.2">
      <c r="AU1680"/>
      <c r="AV1680"/>
      <c r="AW1680"/>
      <c r="AX1680"/>
      <c r="AY1680"/>
      <c r="BK1680" s="42">
        <v>1679</v>
      </c>
      <c r="BL1680" s="127">
        <v>4</v>
      </c>
      <c r="BM1680" s="127">
        <v>0.11332468572476186</v>
      </c>
      <c r="BN1680" s="127" t="e">
        <v>#N/A</v>
      </c>
      <c r="BO1680" s="127" t="e">
        <v>#N/A</v>
      </c>
      <c r="BP1680" s="151" t="e">
        <v>#N/A</v>
      </c>
      <c r="BQ1680">
        <v>0.11332468572476186</v>
      </c>
      <c r="BR1680" t="str">
        <v/>
      </c>
    </row>
    <row r="1681" spans="47:70" x14ac:dyDescent="0.2">
      <c r="AU1681"/>
      <c r="AV1681"/>
      <c r="AW1681"/>
      <c r="AX1681"/>
      <c r="AY1681"/>
      <c r="BK1681" s="42">
        <v>1680</v>
      </c>
      <c r="BL1681" s="127">
        <v>4</v>
      </c>
      <c r="BM1681" s="127">
        <v>0.11332468572476186</v>
      </c>
      <c r="BN1681" s="127" t="e">
        <v>#N/A</v>
      </c>
      <c r="BO1681" s="127" t="e">
        <v>#N/A</v>
      </c>
      <c r="BP1681" s="151" t="e">
        <v>#N/A</v>
      </c>
      <c r="BQ1681">
        <v>0.11332468572476186</v>
      </c>
      <c r="BR1681" t="str">
        <v/>
      </c>
    </row>
    <row r="1682" spans="47:70" x14ac:dyDescent="0.2">
      <c r="AU1682"/>
      <c r="AV1682"/>
      <c r="AW1682"/>
      <c r="AX1682"/>
      <c r="AY1682"/>
      <c r="BK1682" s="42">
        <v>1681</v>
      </c>
      <c r="BL1682" s="127">
        <v>4</v>
      </c>
      <c r="BM1682" s="127">
        <v>0.11332468572476186</v>
      </c>
      <c r="BN1682" s="127" t="e">
        <v>#N/A</v>
      </c>
      <c r="BO1682" s="127" t="e">
        <v>#N/A</v>
      </c>
      <c r="BP1682" s="151" t="e">
        <v>#N/A</v>
      </c>
      <c r="BQ1682">
        <v>0.11332468572476186</v>
      </c>
      <c r="BR1682" t="str">
        <v/>
      </c>
    </row>
    <row r="1683" spans="47:70" x14ac:dyDescent="0.2">
      <c r="AU1683"/>
      <c r="AV1683"/>
      <c r="AW1683"/>
      <c r="AX1683"/>
      <c r="AY1683"/>
      <c r="BK1683" s="42">
        <v>1682</v>
      </c>
      <c r="BL1683" s="127">
        <v>4</v>
      </c>
      <c r="BM1683" s="127">
        <v>0.11332468572476186</v>
      </c>
      <c r="BN1683" s="127" t="e">
        <v>#N/A</v>
      </c>
      <c r="BO1683" s="127" t="e">
        <v>#N/A</v>
      </c>
      <c r="BP1683" s="151" t="e">
        <v>#N/A</v>
      </c>
      <c r="BQ1683">
        <v>0.11332468572476186</v>
      </c>
      <c r="BR1683" t="str">
        <v/>
      </c>
    </row>
    <row r="1684" spans="47:70" x14ac:dyDescent="0.2">
      <c r="AU1684"/>
      <c r="AV1684"/>
      <c r="AW1684"/>
      <c r="AX1684"/>
      <c r="AY1684"/>
      <c r="BK1684" s="42">
        <v>1683</v>
      </c>
      <c r="BL1684" s="127">
        <v>4</v>
      </c>
      <c r="BM1684" s="127">
        <v>0.11332468572476186</v>
      </c>
      <c r="BN1684" s="127" t="e">
        <v>#N/A</v>
      </c>
      <c r="BO1684" s="127" t="e">
        <v>#N/A</v>
      </c>
      <c r="BP1684" s="151" t="e">
        <v>#N/A</v>
      </c>
      <c r="BQ1684">
        <v>0.11332468572476186</v>
      </c>
      <c r="BR1684" t="str">
        <v/>
      </c>
    </row>
    <row r="1685" spans="47:70" x14ac:dyDescent="0.2">
      <c r="AU1685"/>
      <c r="AV1685"/>
      <c r="AW1685"/>
      <c r="AX1685"/>
      <c r="AY1685"/>
      <c r="BK1685" s="42">
        <v>1684</v>
      </c>
      <c r="BL1685" s="127">
        <v>4</v>
      </c>
      <c r="BM1685" s="127">
        <v>0.11332468572476186</v>
      </c>
      <c r="BN1685" s="127" t="e">
        <v>#N/A</v>
      </c>
      <c r="BO1685" s="127" t="e">
        <v>#N/A</v>
      </c>
      <c r="BP1685" s="151" t="e">
        <v>#N/A</v>
      </c>
      <c r="BQ1685">
        <v>0.11332468572476186</v>
      </c>
      <c r="BR1685" t="str">
        <v/>
      </c>
    </row>
    <row r="1686" spans="47:70" x14ac:dyDescent="0.2">
      <c r="AU1686"/>
      <c r="AV1686"/>
      <c r="AW1686"/>
      <c r="AX1686"/>
      <c r="AY1686"/>
      <c r="BK1686" s="42">
        <v>1685</v>
      </c>
      <c r="BL1686" s="127">
        <v>4</v>
      </c>
      <c r="BM1686" s="127">
        <v>0.11332468572476186</v>
      </c>
      <c r="BN1686" s="127" t="e">
        <v>#N/A</v>
      </c>
      <c r="BO1686" s="127" t="e">
        <v>#N/A</v>
      </c>
      <c r="BP1686" s="151" t="e">
        <v>#N/A</v>
      </c>
      <c r="BQ1686">
        <v>0.11332468572476186</v>
      </c>
      <c r="BR1686" t="str">
        <v/>
      </c>
    </row>
    <row r="1687" spans="47:70" x14ac:dyDescent="0.2">
      <c r="AU1687"/>
      <c r="AV1687"/>
      <c r="AW1687"/>
      <c r="AX1687"/>
      <c r="AY1687"/>
      <c r="BK1687" s="42">
        <v>1686</v>
      </c>
      <c r="BL1687" s="127">
        <v>4</v>
      </c>
      <c r="BM1687" s="127">
        <v>0.11332468572476186</v>
      </c>
      <c r="BN1687" s="127" t="e">
        <v>#N/A</v>
      </c>
      <c r="BO1687" s="127" t="e">
        <v>#N/A</v>
      </c>
      <c r="BP1687" s="151" t="e">
        <v>#N/A</v>
      </c>
      <c r="BQ1687">
        <v>0.11332468572476186</v>
      </c>
      <c r="BR1687" t="str">
        <v/>
      </c>
    </row>
    <row r="1688" spans="47:70" x14ac:dyDescent="0.2">
      <c r="AU1688"/>
      <c r="AV1688"/>
      <c r="AW1688"/>
      <c r="AX1688"/>
      <c r="AY1688"/>
      <c r="BK1688" s="42">
        <v>1687</v>
      </c>
      <c r="BL1688" s="127">
        <v>4</v>
      </c>
      <c r="BM1688" s="127">
        <v>0.11332468572476186</v>
      </c>
      <c r="BN1688" s="127" t="e">
        <v>#N/A</v>
      </c>
      <c r="BO1688" s="127" t="e">
        <v>#N/A</v>
      </c>
      <c r="BP1688" s="151" t="e">
        <v>#N/A</v>
      </c>
      <c r="BQ1688">
        <v>0.11332468572476186</v>
      </c>
      <c r="BR1688" t="str">
        <v/>
      </c>
    </row>
    <row r="1689" spans="47:70" x14ac:dyDescent="0.2">
      <c r="AU1689"/>
      <c r="AV1689"/>
      <c r="AW1689"/>
      <c r="AX1689"/>
      <c r="AY1689"/>
      <c r="BK1689" s="42">
        <v>1688</v>
      </c>
      <c r="BL1689" s="127">
        <v>4</v>
      </c>
      <c r="BM1689" s="127">
        <v>0.11332468572476186</v>
      </c>
      <c r="BN1689" s="127" t="e">
        <v>#N/A</v>
      </c>
      <c r="BO1689" s="127" t="e">
        <v>#N/A</v>
      </c>
      <c r="BP1689" s="151" t="e">
        <v>#N/A</v>
      </c>
      <c r="BQ1689">
        <v>0.11332468572476186</v>
      </c>
      <c r="BR1689" t="str">
        <v/>
      </c>
    </row>
    <row r="1690" spans="47:70" x14ac:dyDescent="0.2">
      <c r="AU1690"/>
      <c r="AV1690"/>
      <c r="AW1690"/>
      <c r="AX1690"/>
      <c r="AY1690"/>
      <c r="BK1690" s="42">
        <v>1689</v>
      </c>
      <c r="BL1690" s="127">
        <v>4</v>
      </c>
      <c r="BM1690" s="127">
        <v>0.11332468572476186</v>
      </c>
      <c r="BN1690" s="127" t="e">
        <v>#N/A</v>
      </c>
      <c r="BO1690" s="127" t="e">
        <v>#N/A</v>
      </c>
      <c r="BP1690" s="151" t="e">
        <v>#N/A</v>
      </c>
      <c r="BQ1690">
        <v>0.11332468572476186</v>
      </c>
      <c r="BR1690" t="str">
        <v/>
      </c>
    </row>
    <row r="1691" spans="47:70" x14ac:dyDescent="0.2">
      <c r="AU1691"/>
      <c r="AV1691"/>
      <c r="AW1691"/>
      <c r="AX1691"/>
      <c r="AY1691"/>
      <c r="BK1691" s="42">
        <v>1690</v>
      </c>
      <c r="BL1691" s="127">
        <v>4</v>
      </c>
      <c r="BM1691" s="127">
        <v>0.11332468572476186</v>
      </c>
      <c r="BN1691" s="127" t="e">
        <v>#N/A</v>
      </c>
      <c r="BO1691" s="127" t="e">
        <v>#N/A</v>
      </c>
      <c r="BP1691" s="151" t="e">
        <v>#N/A</v>
      </c>
      <c r="BQ1691">
        <v>0.11332468572476186</v>
      </c>
      <c r="BR1691" t="str">
        <v/>
      </c>
    </row>
    <row r="1692" spans="47:70" x14ac:dyDescent="0.2">
      <c r="AU1692"/>
      <c r="AV1692"/>
      <c r="AW1692"/>
      <c r="AX1692"/>
      <c r="AY1692"/>
      <c r="BK1692" s="42">
        <v>1691</v>
      </c>
      <c r="BL1692" s="127">
        <v>4</v>
      </c>
      <c r="BM1692" s="127">
        <v>0.11332468572476186</v>
      </c>
      <c r="BN1692" s="127" t="e">
        <v>#N/A</v>
      </c>
      <c r="BO1692" s="127" t="e">
        <v>#N/A</v>
      </c>
      <c r="BP1692" s="151" t="e">
        <v>#N/A</v>
      </c>
      <c r="BQ1692">
        <v>0.11332468572476186</v>
      </c>
      <c r="BR1692" t="str">
        <v/>
      </c>
    </row>
    <row r="1693" spans="47:70" x14ac:dyDescent="0.2">
      <c r="AU1693"/>
      <c r="AV1693"/>
      <c r="AW1693"/>
      <c r="AX1693"/>
      <c r="AY1693"/>
      <c r="BK1693" s="42">
        <v>1692</v>
      </c>
      <c r="BL1693" s="127">
        <v>4</v>
      </c>
      <c r="BM1693" s="127">
        <v>0.11332468572476186</v>
      </c>
      <c r="BN1693" s="127" t="e">
        <v>#N/A</v>
      </c>
      <c r="BO1693" s="127" t="e">
        <v>#N/A</v>
      </c>
      <c r="BP1693" s="151" t="e">
        <v>#N/A</v>
      </c>
      <c r="BQ1693">
        <v>0.11332468572476186</v>
      </c>
      <c r="BR1693" t="str">
        <v/>
      </c>
    </row>
    <row r="1694" spans="47:70" x14ac:dyDescent="0.2">
      <c r="AU1694"/>
      <c r="AV1694"/>
      <c r="AW1694"/>
      <c r="AX1694"/>
      <c r="AY1694"/>
      <c r="BK1694" s="42">
        <v>1693</v>
      </c>
      <c r="BL1694" s="127">
        <v>4</v>
      </c>
      <c r="BM1694" s="127">
        <v>0.11332468572476186</v>
      </c>
      <c r="BN1694" s="127" t="e">
        <v>#N/A</v>
      </c>
      <c r="BO1694" s="127" t="e">
        <v>#N/A</v>
      </c>
      <c r="BP1694" s="151" t="e">
        <v>#N/A</v>
      </c>
      <c r="BQ1694">
        <v>0.11332468572476186</v>
      </c>
      <c r="BR1694" t="str">
        <v/>
      </c>
    </row>
    <row r="1695" spans="47:70" x14ac:dyDescent="0.2">
      <c r="AU1695"/>
      <c r="AV1695"/>
      <c r="AW1695"/>
      <c r="AX1695"/>
      <c r="AY1695"/>
      <c r="BK1695" s="42">
        <v>1694</v>
      </c>
      <c r="BL1695" s="127">
        <v>4</v>
      </c>
      <c r="BM1695" s="127">
        <v>0.11332468572476186</v>
      </c>
      <c r="BN1695" s="127" t="e">
        <v>#N/A</v>
      </c>
      <c r="BO1695" s="127" t="e">
        <v>#N/A</v>
      </c>
      <c r="BP1695" s="151" t="e">
        <v>#N/A</v>
      </c>
      <c r="BQ1695">
        <v>0.11332468572476186</v>
      </c>
      <c r="BR1695" t="str">
        <v/>
      </c>
    </row>
    <row r="1696" spans="47:70" x14ac:dyDescent="0.2">
      <c r="AU1696"/>
      <c r="AV1696"/>
      <c r="AW1696"/>
      <c r="AX1696"/>
      <c r="AY1696"/>
      <c r="BK1696" s="42">
        <v>1695</v>
      </c>
      <c r="BL1696" s="127">
        <v>4</v>
      </c>
      <c r="BM1696" s="127">
        <v>0.11332468572476186</v>
      </c>
      <c r="BN1696" s="127" t="e">
        <v>#N/A</v>
      </c>
      <c r="BO1696" s="127" t="e">
        <v>#N/A</v>
      </c>
      <c r="BP1696" s="151" t="e">
        <v>#N/A</v>
      </c>
      <c r="BQ1696">
        <v>0.11332468572476186</v>
      </c>
      <c r="BR1696" t="str">
        <v/>
      </c>
    </row>
    <row r="1697" spans="47:70" x14ac:dyDescent="0.2">
      <c r="AU1697"/>
      <c r="AV1697"/>
      <c r="AW1697"/>
      <c r="AX1697"/>
      <c r="AY1697"/>
      <c r="BK1697" s="42">
        <v>1696</v>
      </c>
      <c r="BL1697" s="127">
        <v>4</v>
      </c>
      <c r="BM1697" s="127">
        <v>0.11332468572476186</v>
      </c>
      <c r="BN1697" s="127" t="e">
        <v>#N/A</v>
      </c>
      <c r="BO1697" s="127" t="e">
        <v>#N/A</v>
      </c>
      <c r="BP1697" s="151" t="e">
        <v>#N/A</v>
      </c>
      <c r="BQ1697">
        <v>0.11332468572476186</v>
      </c>
      <c r="BR1697" t="str">
        <v/>
      </c>
    </row>
    <row r="1698" spans="47:70" x14ac:dyDescent="0.2">
      <c r="AU1698"/>
      <c r="AV1698"/>
      <c r="AW1698"/>
      <c r="AX1698"/>
      <c r="AY1698"/>
      <c r="BK1698" s="42">
        <v>1697</v>
      </c>
      <c r="BL1698" s="127">
        <v>4</v>
      </c>
      <c r="BM1698" s="127">
        <v>0.11332468572476186</v>
      </c>
      <c r="BN1698" s="127" t="e">
        <v>#N/A</v>
      </c>
      <c r="BO1698" s="127" t="e">
        <v>#N/A</v>
      </c>
      <c r="BP1698" s="151" t="e">
        <v>#N/A</v>
      </c>
      <c r="BQ1698">
        <v>0.11332468572476186</v>
      </c>
      <c r="BR1698" t="str">
        <v/>
      </c>
    </row>
    <row r="1699" spans="47:70" x14ac:dyDescent="0.2">
      <c r="AU1699"/>
      <c r="AV1699"/>
      <c r="AW1699"/>
      <c r="AX1699"/>
      <c r="AY1699"/>
      <c r="BK1699" s="42">
        <v>1698</v>
      </c>
      <c r="BL1699" s="127">
        <v>4</v>
      </c>
      <c r="BM1699" s="127">
        <v>0.11332468572476186</v>
      </c>
      <c r="BN1699" s="127" t="e">
        <v>#N/A</v>
      </c>
      <c r="BO1699" s="127" t="e">
        <v>#N/A</v>
      </c>
      <c r="BP1699" s="151" t="e">
        <v>#N/A</v>
      </c>
      <c r="BQ1699">
        <v>0.11332468572476186</v>
      </c>
      <c r="BR1699" t="str">
        <v/>
      </c>
    </row>
    <row r="1700" spans="47:70" x14ac:dyDescent="0.2">
      <c r="AU1700"/>
      <c r="AV1700"/>
      <c r="AW1700"/>
      <c r="AX1700"/>
      <c r="AY1700"/>
      <c r="BK1700" s="42">
        <v>1699</v>
      </c>
      <c r="BL1700" s="127">
        <v>4</v>
      </c>
      <c r="BM1700" s="127">
        <v>0.11332468572476186</v>
      </c>
      <c r="BN1700" s="127" t="e">
        <v>#N/A</v>
      </c>
      <c r="BO1700" s="127" t="e">
        <v>#N/A</v>
      </c>
      <c r="BP1700" s="151" t="e">
        <v>#N/A</v>
      </c>
      <c r="BQ1700">
        <v>0.11332468572476186</v>
      </c>
      <c r="BR1700" t="str">
        <v/>
      </c>
    </row>
    <row r="1701" spans="47:70" x14ac:dyDescent="0.2">
      <c r="AU1701"/>
      <c r="AV1701"/>
      <c r="AW1701"/>
      <c r="AX1701"/>
      <c r="AY1701"/>
      <c r="BK1701" s="42">
        <v>1700</v>
      </c>
      <c r="BL1701" s="127">
        <v>4</v>
      </c>
      <c r="BM1701" s="127">
        <v>0.11332468572476186</v>
      </c>
      <c r="BN1701" s="127" t="e">
        <v>#N/A</v>
      </c>
      <c r="BO1701" s="127" t="e">
        <v>#N/A</v>
      </c>
      <c r="BP1701" s="151" t="e">
        <v>#N/A</v>
      </c>
      <c r="BQ1701">
        <v>0.11332468572476186</v>
      </c>
      <c r="BR1701" t="str">
        <v/>
      </c>
    </row>
    <row r="1702" spans="47:70" x14ac:dyDescent="0.2">
      <c r="AU1702"/>
      <c r="AV1702"/>
      <c r="AW1702"/>
      <c r="AX1702"/>
      <c r="AY1702"/>
      <c r="BK1702" s="42">
        <v>1701</v>
      </c>
      <c r="BL1702" s="127">
        <v>4</v>
      </c>
      <c r="BM1702" s="127">
        <v>0.11332468572476186</v>
      </c>
      <c r="BN1702" s="127" t="e">
        <v>#N/A</v>
      </c>
      <c r="BO1702" s="127" t="e">
        <v>#N/A</v>
      </c>
      <c r="BP1702" s="151" t="e">
        <v>#N/A</v>
      </c>
      <c r="BQ1702">
        <v>0.11332468572476186</v>
      </c>
      <c r="BR1702" t="str">
        <v/>
      </c>
    </row>
    <row r="1703" spans="47:70" x14ac:dyDescent="0.2">
      <c r="AU1703"/>
      <c r="AV1703"/>
      <c r="AW1703"/>
      <c r="AX1703"/>
      <c r="AY1703"/>
      <c r="BK1703" s="42">
        <v>1702</v>
      </c>
      <c r="BL1703" s="127">
        <v>4</v>
      </c>
      <c r="BM1703" s="127">
        <v>0.11332468572476186</v>
      </c>
      <c r="BN1703" s="127" t="e">
        <v>#N/A</v>
      </c>
      <c r="BO1703" s="127" t="e">
        <v>#N/A</v>
      </c>
      <c r="BP1703" s="151" t="e">
        <v>#N/A</v>
      </c>
      <c r="BQ1703">
        <v>0.11332468572476186</v>
      </c>
      <c r="BR1703" t="str">
        <v/>
      </c>
    </row>
    <row r="1704" spans="47:70" x14ac:dyDescent="0.2">
      <c r="AU1704"/>
      <c r="AV1704"/>
      <c r="AW1704"/>
      <c r="AX1704"/>
      <c r="AY1704"/>
      <c r="BK1704" s="42">
        <v>1703</v>
      </c>
      <c r="BL1704" s="127">
        <v>4</v>
      </c>
      <c r="BM1704" s="127">
        <v>0.11332468572476186</v>
      </c>
      <c r="BN1704" s="127" t="e">
        <v>#N/A</v>
      </c>
      <c r="BO1704" s="127" t="e">
        <v>#N/A</v>
      </c>
      <c r="BP1704" s="151" t="e">
        <v>#N/A</v>
      </c>
      <c r="BQ1704">
        <v>0.11332468572476186</v>
      </c>
      <c r="BR1704" t="str">
        <v/>
      </c>
    </row>
    <row r="1705" spans="47:70" x14ac:dyDescent="0.2">
      <c r="AU1705"/>
      <c r="AV1705"/>
      <c r="AW1705"/>
      <c r="AX1705"/>
      <c r="AY1705"/>
      <c r="BK1705" s="42">
        <v>1704</v>
      </c>
      <c r="BL1705" s="127">
        <v>4</v>
      </c>
      <c r="BM1705" s="127">
        <v>0.11332468572476186</v>
      </c>
      <c r="BN1705" s="127" t="e">
        <v>#N/A</v>
      </c>
      <c r="BO1705" s="127" t="e">
        <v>#N/A</v>
      </c>
      <c r="BP1705" s="151" t="e">
        <v>#N/A</v>
      </c>
      <c r="BQ1705">
        <v>0.11332468572476186</v>
      </c>
      <c r="BR1705" t="str">
        <v/>
      </c>
    </row>
    <row r="1706" spans="47:70" x14ac:dyDescent="0.2">
      <c r="AU1706"/>
      <c r="AV1706"/>
      <c r="AW1706"/>
      <c r="AX1706"/>
      <c r="AY1706"/>
      <c r="BK1706" s="42">
        <v>1705</v>
      </c>
      <c r="BL1706" s="127">
        <v>4</v>
      </c>
      <c r="BM1706" s="127">
        <v>0.11332468572476186</v>
      </c>
      <c r="BN1706" s="127" t="e">
        <v>#N/A</v>
      </c>
      <c r="BO1706" s="127" t="e">
        <v>#N/A</v>
      </c>
      <c r="BP1706" s="151" t="e">
        <v>#N/A</v>
      </c>
      <c r="BQ1706">
        <v>0.11332468572476186</v>
      </c>
      <c r="BR1706" t="str">
        <v/>
      </c>
    </row>
    <row r="1707" spans="47:70" x14ac:dyDescent="0.2">
      <c r="AU1707"/>
      <c r="AV1707"/>
      <c r="AW1707"/>
      <c r="AX1707"/>
      <c r="AY1707"/>
      <c r="BK1707" s="42">
        <v>1706</v>
      </c>
      <c r="BL1707" s="127">
        <v>4</v>
      </c>
      <c r="BM1707" s="127">
        <v>0.11332468572476186</v>
      </c>
      <c r="BN1707" s="127" t="e">
        <v>#N/A</v>
      </c>
      <c r="BO1707" s="127" t="e">
        <v>#N/A</v>
      </c>
      <c r="BP1707" s="151" t="e">
        <v>#N/A</v>
      </c>
      <c r="BQ1707">
        <v>0.11332468572476186</v>
      </c>
      <c r="BR1707" t="str">
        <v/>
      </c>
    </row>
    <row r="1708" spans="47:70" x14ac:dyDescent="0.2">
      <c r="AU1708"/>
      <c r="AV1708"/>
      <c r="AW1708"/>
      <c r="AX1708"/>
      <c r="AY1708"/>
      <c r="BK1708" s="42">
        <v>1707</v>
      </c>
      <c r="BL1708" s="127">
        <v>4</v>
      </c>
      <c r="BM1708" s="127">
        <v>0.11332468572476186</v>
      </c>
      <c r="BN1708" s="127" t="e">
        <v>#N/A</v>
      </c>
      <c r="BO1708" s="127" t="e">
        <v>#N/A</v>
      </c>
      <c r="BP1708" s="151" t="e">
        <v>#N/A</v>
      </c>
      <c r="BQ1708">
        <v>0.11332468572476186</v>
      </c>
      <c r="BR1708" t="str">
        <v/>
      </c>
    </row>
    <row r="1709" spans="47:70" x14ac:dyDescent="0.2">
      <c r="AU1709"/>
      <c r="AV1709"/>
      <c r="AW1709"/>
      <c r="AX1709"/>
      <c r="AY1709"/>
      <c r="BK1709" s="42">
        <v>1708</v>
      </c>
      <c r="BL1709" s="127">
        <v>4</v>
      </c>
      <c r="BM1709" s="127">
        <v>0.11332468572476186</v>
      </c>
      <c r="BN1709" s="127" t="e">
        <v>#N/A</v>
      </c>
      <c r="BO1709" s="127" t="e">
        <v>#N/A</v>
      </c>
      <c r="BP1709" s="151" t="e">
        <v>#N/A</v>
      </c>
      <c r="BQ1709">
        <v>0.11332468572476186</v>
      </c>
      <c r="BR1709" t="str">
        <v/>
      </c>
    </row>
    <row r="1710" spans="47:70" x14ac:dyDescent="0.2">
      <c r="AU1710"/>
      <c r="AV1710"/>
      <c r="AW1710"/>
      <c r="AX1710"/>
      <c r="AY1710"/>
      <c r="BK1710" s="42">
        <v>1709</v>
      </c>
      <c r="BL1710" s="127">
        <v>4</v>
      </c>
      <c r="BM1710" s="127">
        <v>0.11332468572476186</v>
      </c>
      <c r="BN1710" s="127" t="e">
        <v>#N/A</v>
      </c>
      <c r="BO1710" s="127" t="e">
        <v>#N/A</v>
      </c>
      <c r="BP1710" s="151" t="e">
        <v>#N/A</v>
      </c>
      <c r="BQ1710">
        <v>0.11332468572476186</v>
      </c>
      <c r="BR1710" t="str">
        <v/>
      </c>
    </row>
    <row r="1711" spans="47:70" x14ac:dyDescent="0.2">
      <c r="AU1711"/>
      <c r="AV1711"/>
      <c r="AW1711"/>
      <c r="AX1711"/>
      <c r="AY1711"/>
      <c r="BK1711" s="42">
        <v>1710</v>
      </c>
      <c r="BL1711" s="127">
        <v>4</v>
      </c>
      <c r="BM1711" s="127">
        <v>0.11332468572476186</v>
      </c>
      <c r="BN1711" s="127" t="e">
        <v>#N/A</v>
      </c>
      <c r="BO1711" s="127" t="e">
        <v>#N/A</v>
      </c>
      <c r="BP1711" s="151" t="e">
        <v>#N/A</v>
      </c>
      <c r="BQ1711">
        <v>0.11332468572476186</v>
      </c>
      <c r="BR1711" t="str">
        <v/>
      </c>
    </row>
    <row r="1712" spans="47:70" x14ac:dyDescent="0.2">
      <c r="AU1712"/>
      <c r="AV1712"/>
      <c r="AW1712"/>
      <c r="AX1712"/>
      <c r="AY1712"/>
      <c r="BK1712" s="42">
        <v>1711</v>
      </c>
      <c r="BL1712" s="127">
        <v>4</v>
      </c>
      <c r="BM1712" s="127">
        <v>0.11332468572476186</v>
      </c>
      <c r="BN1712" s="127" t="e">
        <v>#N/A</v>
      </c>
      <c r="BO1712" s="127" t="e">
        <v>#N/A</v>
      </c>
      <c r="BP1712" s="151" t="e">
        <v>#N/A</v>
      </c>
      <c r="BQ1712">
        <v>0.11332468572476186</v>
      </c>
      <c r="BR1712" t="str">
        <v/>
      </c>
    </row>
    <row r="1713" spans="47:70" x14ac:dyDescent="0.2">
      <c r="AU1713"/>
      <c r="AV1713"/>
      <c r="AW1713"/>
      <c r="AX1713"/>
      <c r="AY1713"/>
      <c r="BK1713" s="42">
        <v>1712</v>
      </c>
      <c r="BL1713" s="127">
        <v>4</v>
      </c>
      <c r="BM1713" s="127">
        <v>0.11332468572476186</v>
      </c>
      <c r="BN1713" s="127" t="e">
        <v>#N/A</v>
      </c>
      <c r="BO1713" s="127" t="e">
        <v>#N/A</v>
      </c>
      <c r="BP1713" s="151" t="e">
        <v>#N/A</v>
      </c>
      <c r="BQ1713">
        <v>0.11332468572476186</v>
      </c>
      <c r="BR1713" t="str">
        <v/>
      </c>
    </row>
    <row r="1714" spans="47:70" x14ac:dyDescent="0.2">
      <c r="AU1714"/>
      <c r="AV1714"/>
      <c r="AW1714"/>
      <c r="AX1714"/>
      <c r="AY1714"/>
      <c r="BK1714" s="42">
        <v>1713</v>
      </c>
      <c r="BL1714" s="127">
        <v>4</v>
      </c>
      <c r="BM1714" s="127">
        <v>0.11332468572476186</v>
      </c>
      <c r="BN1714" s="127" t="e">
        <v>#N/A</v>
      </c>
      <c r="BO1714" s="127" t="e">
        <v>#N/A</v>
      </c>
      <c r="BP1714" s="151" t="e">
        <v>#N/A</v>
      </c>
      <c r="BQ1714">
        <v>0.11332468572476186</v>
      </c>
      <c r="BR1714" t="str">
        <v/>
      </c>
    </row>
    <row r="1715" spans="47:70" x14ac:dyDescent="0.2">
      <c r="AU1715"/>
      <c r="AV1715"/>
      <c r="AW1715"/>
      <c r="AX1715"/>
      <c r="AY1715"/>
      <c r="BK1715" s="42">
        <v>1714</v>
      </c>
      <c r="BL1715" s="127">
        <v>4</v>
      </c>
      <c r="BM1715" s="127">
        <v>0.11332468572476186</v>
      </c>
      <c r="BN1715" s="127" t="e">
        <v>#N/A</v>
      </c>
      <c r="BO1715" s="127" t="e">
        <v>#N/A</v>
      </c>
      <c r="BP1715" s="151" t="e">
        <v>#N/A</v>
      </c>
      <c r="BQ1715">
        <v>0.11332468572476186</v>
      </c>
      <c r="BR1715" t="str">
        <v/>
      </c>
    </row>
    <row r="1716" spans="47:70" x14ac:dyDescent="0.2">
      <c r="AU1716"/>
      <c r="AV1716"/>
      <c r="AW1716"/>
      <c r="AX1716"/>
      <c r="AY1716"/>
      <c r="BK1716" s="42">
        <v>1715</v>
      </c>
      <c r="BL1716" s="127">
        <v>4</v>
      </c>
      <c r="BM1716" s="127">
        <v>0.11332468572476186</v>
      </c>
      <c r="BN1716" s="127" t="e">
        <v>#N/A</v>
      </c>
      <c r="BO1716" s="127" t="e">
        <v>#N/A</v>
      </c>
      <c r="BP1716" s="151" t="e">
        <v>#N/A</v>
      </c>
      <c r="BQ1716">
        <v>0.11332468572476186</v>
      </c>
      <c r="BR1716" t="str">
        <v/>
      </c>
    </row>
    <row r="1717" spans="47:70" x14ac:dyDescent="0.2">
      <c r="AU1717"/>
      <c r="AV1717"/>
      <c r="AW1717"/>
      <c r="AX1717"/>
      <c r="AY1717"/>
      <c r="BK1717" s="42">
        <v>1716</v>
      </c>
      <c r="BL1717" s="127">
        <v>4</v>
      </c>
      <c r="BM1717" s="127">
        <v>0.11332468572476186</v>
      </c>
      <c r="BN1717" s="127" t="e">
        <v>#N/A</v>
      </c>
      <c r="BO1717" s="127" t="e">
        <v>#N/A</v>
      </c>
      <c r="BP1717" s="151" t="e">
        <v>#N/A</v>
      </c>
      <c r="BQ1717">
        <v>0.11332468572476186</v>
      </c>
      <c r="BR1717" t="str">
        <v/>
      </c>
    </row>
    <row r="1718" spans="47:70" x14ac:dyDescent="0.2">
      <c r="AU1718"/>
      <c r="AV1718"/>
      <c r="AW1718"/>
      <c r="AX1718"/>
      <c r="AY1718"/>
      <c r="BK1718" s="42">
        <v>1717</v>
      </c>
      <c r="BL1718" s="127">
        <v>4</v>
      </c>
      <c r="BM1718" s="127">
        <v>0.11332468572476186</v>
      </c>
      <c r="BN1718" s="127" t="e">
        <v>#N/A</v>
      </c>
      <c r="BO1718" s="127" t="e">
        <v>#N/A</v>
      </c>
      <c r="BP1718" s="151" t="e">
        <v>#N/A</v>
      </c>
      <c r="BQ1718">
        <v>0.11332468572476186</v>
      </c>
      <c r="BR1718" t="str">
        <v/>
      </c>
    </row>
    <row r="1719" spans="47:70" x14ac:dyDescent="0.2">
      <c r="AU1719"/>
      <c r="AV1719"/>
      <c r="AW1719"/>
      <c r="AX1719"/>
      <c r="AY1719"/>
      <c r="BK1719" s="42">
        <v>1718</v>
      </c>
      <c r="BL1719" s="127">
        <v>4</v>
      </c>
      <c r="BM1719" s="127">
        <v>0.11332468572476186</v>
      </c>
      <c r="BN1719" s="127" t="e">
        <v>#N/A</v>
      </c>
      <c r="BO1719" s="127" t="e">
        <v>#N/A</v>
      </c>
      <c r="BP1719" s="151" t="e">
        <v>#N/A</v>
      </c>
      <c r="BQ1719">
        <v>0.11332468572476186</v>
      </c>
      <c r="BR1719" t="str">
        <v/>
      </c>
    </row>
    <row r="1720" spans="47:70" x14ac:dyDescent="0.2">
      <c r="AU1720"/>
      <c r="AV1720"/>
      <c r="AW1720"/>
      <c r="AX1720"/>
      <c r="AY1720"/>
      <c r="BK1720" s="42">
        <v>1719</v>
      </c>
      <c r="BL1720" s="127">
        <v>4</v>
      </c>
      <c r="BM1720" s="127">
        <v>0.11332468572476186</v>
      </c>
      <c r="BN1720" s="127" t="e">
        <v>#N/A</v>
      </c>
      <c r="BO1720" s="127" t="e">
        <v>#N/A</v>
      </c>
      <c r="BP1720" s="151" t="e">
        <v>#N/A</v>
      </c>
      <c r="BQ1720">
        <v>0.11332468572476186</v>
      </c>
      <c r="BR1720" t="str">
        <v/>
      </c>
    </row>
    <row r="1721" spans="47:70" x14ac:dyDescent="0.2">
      <c r="AU1721"/>
      <c r="AV1721"/>
      <c r="AW1721"/>
      <c r="AX1721"/>
      <c r="AY1721"/>
      <c r="BK1721" s="42">
        <v>1720</v>
      </c>
      <c r="BL1721" s="127">
        <v>4</v>
      </c>
      <c r="BM1721" s="127">
        <v>0.11332468572476186</v>
      </c>
      <c r="BN1721" s="127" t="e">
        <v>#N/A</v>
      </c>
      <c r="BO1721" s="127" t="e">
        <v>#N/A</v>
      </c>
      <c r="BP1721" s="151" t="e">
        <v>#N/A</v>
      </c>
      <c r="BQ1721">
        <v>0.11332468572476186</v>
      </c>
      <c r="BR1721" t="str">
        <v/>
      </c>
    </row>
    <row r="1722" spans="47:70" x14ac:dyDescent="0.2">
      <c r="AU1722"/>
      <c r="AV1722"/>
      <c r="AW1722"/>
      <c r="AX1722"/>
      <c r="AY1722"/>
      <c r="BK1722" s="42">
        <v>1721</v>
      </c>
      <c r="BL1722" s="127">
        <v>4</v>
      </c>
      <c r="BM1722" s="127">
        <v>0.11332468572476186</v>
      </c>
      <c r="BN1722" s="127" t="e">
        <v>#N/A</v>
      </c>
      <c r="BO1722" s="127" t="e">
        <v>#N/A</v>
      </c>
      <c r="BP1722" s="151" t="e">
        <v>#N/A</v>
      </c>
      <c r="BQ1722">
        <v>0.11332468572476186</v>
      </c>
      <c r="BR1722" t="str">
        <v/>
      </c>
    </row>
    <row r="1723" spans="47:70" x14ac:dyDescent="0.2">
      <c r="AU1723"/>
      <c r="AV1723"/>
      <c r="AW1723"/>
      <c r="AX1723"/>
      <c r="AY1723"/>
      <c r="BK1723" s="42">
        <v>1722</v>
      </c>
      <c r="BL1723" s="127">
        <v>4</v>
      </c>
      <c r="BM1723" s="127">
        <v>0.11332468572476186</v>
      </c>
      <c r="BN1723" s="127" t="e">
        <v>#N/A</v>
      </c>
      <c r="BO1723" s="127" t="e">
        <v>#N/A</v>
      </c>
      <c r="BP1723" s="151" t="e">
        <v>#N/A</v>
      </c>
      <c r="BQ1723">
        <v>0.11332468572476186</v>
      </c>
      <c r="BR1723" t="str">
        <v/>
      </c>
    </row>
    <row r="1724" spans="47:70" x14ac:dyDescent="0.2">
      <c r="AU1724"/>
      <c r="AV1724"/>
      <c r="AW1724"/>
      <c r="AX1724"/>
      <c r="AY1724"/>
      <c r="BK1724" s="42">
        <v>1723</v>
      </c>
      <c r="BL1724" s="127">
        <v>4</v>
      </c>
      <c r="BM1724" s="127">
        <v>0.11332468572476186</v>
      </c>
      <c r="BN1724" s="127" t="e">
        <v>#N/A</v>
      </c>
      <c r="BO1724" s="127" t="e">
        <v>#N/A</v>
      </c>
      <c r="BP1724" s="151" t="e">
        <v>#N/A</v>
      </c>
      <c r="BQ1724">
        <v>0.11332468572476186</v>
      </c>
      <c r="BR1724" t="str">
        <v/>
      </c>
    </row>
    <row r="1725" spans="47:70" x14ac:dyDescent="0.2">
      <c r="AU1725"/>
      <c r="AV1725"/>
      <c r="AW1725"/>
      <c r="AX1725"/>
      <c r="AY1725"/>
      <c r="BK1725" s="42">
        <v>1724</v>
      </c>
      <c r="BL1725" s="127">
        <v>4</v>
      </c>
      <c r="BM1725" s="127">
        <v>0.11332468572476186</v>
      </c>
      <c r="BN1725" s="127" t="e">
        <v>#N/A</v>
      </c>
      <c r="BO1725" s="127" t="e">
        <v>#N/A</v>
      </c>
      <c r="BP1725" s="151" t="e">
        <v>#N/A</v>
      </c>
      <c r="BQ1725">
        <v>0.11332468572476186</v>
      </c>
      <c r="BR1725" t="str">
        <v/>
      </c>
    </row>
    <row r="1726" spans="47:70" x14ac:dyDescent="0.2">
      <c r="AU1726"/>
      <c r="AV1726"/>
      <c r="AW1726"/>
      <c r="AX1726"/>
      <c r="AY1726"/>
      <c r="BK1726" s="42">
        <v>1725</v>
      </c>
      <c r="BL1726" s="127">
        <v>4</v>
      </c>
      <c r="BM1726" s="127">
        <v>0.11332468572476186</v>
      </c>
      <c r="BN1726" s="127" t="e">
        <v>#N/A</v>
      </c>
      <c r="BO1726" s="127" t="e">
        <v>#N/A</v>
      </c>
      <c r="BP1726" s="151" t="e">
        <v>#N/A</v>
      </c>
      <c r="BQ1726">
        <v>0.11332468572476186</v>
      </c>
      <c r="BR1726" t="str">
        <v/>
      </c>
    </row>
    <row r="1727" spans="47:70" x14ac:dyDescent="0.2">
      <c r="AU1727"/>
      <c r="AV1727"/>
      <c r="AW1727"/>
      <c r="AX1727"/>
      <c r="AY1727"/>
      <c r="BK1727" s="42">
        <v>1726</v>
      </c>
      <c r="BL1727" s="127">
        <v>4</v>
      </c>
      <c r="BM1727" s="127">
        <v>0.11332468572476186</v>
      </c>
      <c r="BN1727" s="127" t="e">
        <v>#N/A</v>
      </c>
      <c r="BO1727" s="127" t="e">
        <v>#N/A</v>
      </c>
      <c r="BP1727" s="151" t="e">
        <v>#N/A</v>
      </c>
      <c r="BQ1727">
        <v>0.11332468572476186</v>
      </c>
      <c r="BR1727" t="str">
        <v/>
      </c>
    </row>
    <row r="1728" spans="47:70" x14ac:dyDescent="0.2">
      <c r="AU1728"/>
      <c r="AV1728"/>
      <c r="AW1728"/>
      <c r="AX1728"/>
      <c r="AY1728"/>
      <c r="BK1728" s="42">
        <v>1727</v>
      </c>
      <c r="BL1728" s="127">
        <v>4</v>
      </c>
      <c r="BM1728" s="127">
        <v>0.11332468572476186</v>
      </c>
      <c r="BN1728" s="127" t="e">
        <v>#N/A</v>
      </c>
      <c r="BO1728" s="127" t="e">
        <v>#N/A</v>
      </c>
      <c r="BP1728" s="151" t="e">
        <v>#N/A</v>
      </c>
      <c r="BQ1728">
        <v>0.11332468572476186</v>
      </c>
      <c r="BR1728" t="str">
        <v/>
      </c>
    </row>
    <row r="1729" spans="47:70" x14ac:dyDescent="0.2">
      <c r="AU1729"/>
      <c r="AV1729"/>
      <c r="AW1729"/>
      <c r="AX1729"/>
      <c r="AY1729"/>
      <c r="BK1729" s="42">
        <v>1728</v>
      </c>
      <c r="BL1729" s="127">
        <v>4</v>
      </c>
      <c r="BM1729" s="127">
        <v>0.11332468572476186</v>
      </c>
      <c r="BN1729" s="127" t="e">
        <v>#N/A</v>
      </c>
      <c r="BO1729" s="127" t="e">
        <v>#N/A</v>
      </c>
      <c r="BP1729" s="151" t="e">
        <v>#N/A</v>
      </c>
      <c r="BQ1729">
        <v>0.11332468572476186</v>
      </c>
      <c r="BR1729" t="str">
        <v/>
      </c>
    </row>
    <row r="1730" spans="47:70" x14ac:dyDescent="0.2">
      <c r="AU1730"/>
      <c r="AV1730"/>
      <c r="AW1730"/>
      <c r="AX1730"/>
      <c r="AY1730"/>
      <c r="BK1730" s="42">
        <v>1729</v>
      </c>
      <c r="BL1730" s="127">
        <v>4</v>
      </c>
      <c r="BM1730" s="127">
        <v>0.11332468572476186</v>
      </c>
      <c r="BN1730" s="127" t="e">
        <v>#N/A</v>
      </c>
      <c r="BO1730" s="127" t="e">
        <v>#N/A</v>
      </c>
      <c r="BP1730" s="151" t="e">
        <v>#N/A</v>
      </c>
      <c r="BQ1730">
        <v>0.11332468572476186</v>
      </c>
      <c r="BR1730" t="str">
        <v/>
      </c>
    </row>
    <row r="1731" spans="47:70" x14ac:dyDescent="0.2">
      <c r="AU1731"/>
      <c r="AV1731"/>
      <c r="AW1731"/>
      <c r="AX1731"/>
      <c r="AY1731"/>
      <c r="BK1731" s="42">
        <v>1730</v>
      </c>
      <c r="BL1731" s="127">
        <v>4</v>
      </c>
      <c r="BM1731" s="127">
        <v>0.11332468572476186</v>
      </c>
      <c r="BN1731" s="127" t="e">
        <v>#N/A</v>
      </c>
      <c r="BO1731" s="127" t="e">
        <v>#N/A</v>
      </c>
      <c r="BP1731" s="151" t="e">
        <v>#N/A</v>
      </c>
      <c r="BQ1731">
        <v>0.11332468572476186</v>
      </c>
      <c r="BR1731" t="str">
        <v/>
      </c>
    </row>
    <row r="1732" spans="47:70" x14ac:dyDescent="0.2">
      <c r="AU1732"/>
      <c r="AV1732"/>
      <c r="AW1732"/>
      <c r="AX1732"/>
      <c r="AY1732"/>
      <c r="BK1732" s="42">
        <v>1731</v>
      </c>
      <c r="BL1732" s="127">
        <v>4</v>
      </c>
      <c r="BM1732" s="127">
        <v>0.11332468572476186</v>
      </c>
      <c r="BN1732" s="127" t="e">
        <v>#N/A</v>
      </c>
      <c r="BO1732" s="127" t="e">
        <v>#N/A</v>
      </c>
      <c r="BP1732" s="151" t="e">
        <v>#N/A</v>
      </c>
      <c r="BQ1732">
        <v>0.11332468572476186</v>
      </c>
      <c r="BR1732" t="str">
        <v/>
      </c>
    </row>
    <row r="1733" spans="47:70" x14ac:dyDescent="0.2">
      <c r="AU1733"/>
      <c r="AV1733"/>
      <c r="AW1733"/>
      <c r="AX1733"/>
      <c r="AY1733"/>
      <c r="BK1733" s="42">
        <v>1732</v>
      </c>
      <c r="BL1733" s="127">
        <v>4</v>
      </c>
      <c r="BM1733" s="127">
        <v>0.11332468572476186</v>
      </c>
      <c r="BN1733" s="127" t="e">
        <v>#N/A</v>
      </c>
      <c r="BO1733" s="127" t="e">
        <v>#N/A</v>
      </c>
      <c r="BP1733" s="151" t="e">
        <v>#N/A</v>
      </c>
      <c r="BQ1733">
        <v>0.11332468572476186</v>
      </c>
      <c r="BR1733" t="str">
        <v/>
      </c>
    </row>
    <row r="1734" spans="47:70" x14ac:dyDescent="0.2">
      <c r="AU1734"/>
      <c r="AV1734"/>
      <c r="AW1734"/>
      <c r="AX1734"/>
      <c r="AY1734"/>
      <c r="BK1734" s="42">
        <v>1733</v>
      </c>
      <c r="BL1734" s="127">
        <v>4</v>
      </c>
      <c r="BM1734" s="127">
        <v>0.11332468572476186</v>
      </c>
      <c r="BN1734" s="127" t="e">
        <v>#N/A</v>
      </c>
      <c r="BO1734" s="127" t="e">
        <v>#N/A</v>
      </c>
      <c r="BP1734" s="151" t="e">
        <v>#N/A</v>
      </c>
      <c r="BQ1734">
        <v>0.11332468572476186</v>
      </c>
      <c r="BR1734" t="str">
        <v/>
      </c>
    </row>
    <row r="1735" spans="47:70" x14ac:dyDescent="0.2">
      <c r="AU1735"/>
      <c r="AV1735"/>
      <c r="AW1735"/>
      <c r="AX1735"/>
      <c r="AY1735"/>
      <c r="BK1735" s="42">
        <v>1734</v>
      </c>
      <c r="BL1735" s="127">
        <v>4</v>
      </c>
      <c r="BM1735" s="127">
        <v>0.11332468572476186</v>
      </c>
      <c r="BN1735" s="127" t="e">
        <v>#N/A</v>
      </c>
      <c r="BO1735" s="127" t="e">
        <v>#N/A</v>
      </c>
      <c r="BP1735" s="151" t="e">
        <v>#N/A</v>
      </c>
      <c r="BQ1735">
        <v>0.11332468572476186</v>
      </c>
      <c r="BR1735" t="str">
        <v/>
      </c>
    </row>
    <row r="1736" spans="47:70" x14ac:dyDescent="0.2">
      <c r="AU1736"/>
      <c r="AV1736"/>
      <c r="AW1736"/>
      <c r="AX1736"/>
      <c r="AY1736"/>
      <c r="BK1736" s="42">
        <v>1735</v>
      </c>
      <c r="BL1736" s="127">
        <v>4</v>
      </c>
      <c r="BM1736" s="127">
        <v>0.11332468572476186</v>
      </c>
      <c r="BN1736" s="127" t="e">
        <v>#N/A</v>
      </c>
      <c r="BO1736" s="127" t="e">
        <v>#N/A</v>
      </c>
      <c r="BP1736" s="151" t="e">
        <v>#N/A</v>
      </c>
      <c r="BQ1736">
        <v>0.11332468572476186</v>
      </c>
      <c r="BR1736" t="str">
        <v/>
      </c>
    </row>
    <row r="1737" spans="47:70" x14ac:dyDescent="0.2">
      <c r="AU1737"/>
      <c r="AV1737"/>
      <c r="AW1737"/>
      <c r="AX1737"/>
      <c r="AY1737"/>
      <c r="BK1737" s="42">
        <v>1736</v>
      </c>
      <c r="BL1737" s="127">
        <v>4</v>
      </c>
      <c r="BM1737" s="127">
        <v>0.11332468572476186</v>
      </c>
      <c r="BN1737" s="127" t="e">
        <v>#N/A</v>
      </c>
      <c r="BO1737" s="127" t="e">
        <v>#N/A</v>
      </c>
      <c r="BP1737" s="151" t="e">
        <v>#N/A</v>
      </c>
      <c r="BQ1737">
        <v>0.11332468572476186</v>
      </c>
      <c r="BR1737" t="str">
        <v/>
      </c>
    </row>
    <row r="1738" spans="47:70" x14ac:dyDescent="0.2">
      <c r="AU1738"/>
      <c r="AV1738"/>
      <c r="AW1738"/>
      <c r="AX1738"/>
      <c r="AY1738"/>
      <c r="BK1738" s="42">
        <v>1737</v>
      </c>
      <c r="BL1738" s="127">
        <v>4</v>
      </c>
      <c r="BM1738" s="127">
        <v>0.11332468572476186</v>
      </c>
      <c r="BN1738" s="127" t="e">
        <v>#N/A</v>
      </c>
      <c r="BO1738" s="127" t="e">
        <v>#N/A</v>
      </c>
      <c r="BP1738" s="151" t="e">
        <v>#N/A</v>
      </c>
      <c r="BQ1738">
        <v>0.11332468572476186</v>
      </c>
      <c r="BR1738" t="str">
        <v/>
      </c>
    </row>
    <row r="1739" spans="47:70" x14ac:dyDescent="0.2">
      <c r="AU1739"/>
      <c r="AV1739"/>
      <c r="AW1739"/>
      <c r="AX1739"/>
      <c r="AY1739"/>
      <c r="BK1739" s="42">
        <v>1738</v>
      </c>
      <c r="BL1739" s="127">
        <v>4</v>
      </c>
      <c r="BM1739" s="127">
        <v>0.11332468572476186</v>
      </c>
      <c r="BN1739" s="127" t="e">
        <v>#N/A</v>
      </c>
      <c r="BO1739" s="127" t="e">
        <v>#N/A</v>
      </c>
      <c r="BP1739" s="151" t="e">
        <v>#N/A</v>
      </c>
      <c r="BQ1739">
        <v>0.11332468572476186</v>
      </c>
      <c r="BR1739" t="str">
        <v/>
      </c>
    </row>
    <row r="1740" spans="47:70" x14ac:dyDescent="0.2">
      <c r="AU1740"/>
      <c r="AV1740"/>
      <c r="AW1740"/>
      <c r="AX1740"/>
      <c r="AY1740"/>
      <c r="BK1740" s="42">
        <v>1739</v>
      </c>
      <c r="BL1740" s="127">
        <v>4</v>
      </c>
      <c r="BM1740" s="127">
        <v>0.11332468572476186</v>
      </c>
      <c r="BN1740" s="127" t="e">
        <v>#N/A</v>
      </c>
      <c r="BO1740" s="127" t="e">
        <v>#N/A</v>
      </c>
      <c r="BP1740" s="151" t="e">
        <v>#N/A</v>
      </c>
      <c r="BQ1740">
        <v>0.11332468572476186</v>
      </c>
      <c r="BR1740" t="str">
        <v/>
      </c>
    </row>
    <row r="1741" spans="47:70" x14ac:dyDescent="0.2">
      <c r="AU1741"/>
      <c r="AV1741"/>
      <c r="AW1741"/>
      <c r="AX1741"/>
      <c r="AY1741"/>
      <c r="BK1741" s="42">
        <v>1740</v>
      </c>
      <c r="BL1741" s="127">
        <v>4</v>
      </c>
      <c r="BM1741" s="127">
        <v>0.11332468572476186</v>
      </c>
      <c r="BN1741" s="127" t="e">
        <v>#N/A</v>
      </c>
      <c r="BO1741" s="127" t="e">
        <v>#N/A</v>
      </c>
      <c r="BP1741" s="151" t="e">
        <v>#N/A</v>
      </c>
      <c r="BQ1741">
        <v>0.11332468572476186</v>
      </c>
      <c r="BR1741" t="str">
        <v/>
      </c>
    </row>
    <row r="1742" spans="47:70" x14ac:dyDescent="0.2">
      <c r="AU1742"/>
      <c r="AV1742"/>
      <c r="AW1742"/>
      <c r="AX1742"/>
      <c r="AY1742"/>
      <c r="BK1742" s="42">
        <v>1741</v>
      </c>
      <c r="BL1742" s="127">
        <v>4</v>
      </c>
      <c r="BM1742" s="127">
        <v>0.11332468572476186</v>
      </c>
      <c r="BN1742" s="127" t="e">
        <v>#N/A</v>
      </c>
      <c r="BO1742" s="127" t="e">
        <v>#N/A</v>
      </c>
      <c r="BP1742" s="151" t="e">
        <v>#N/A</v>
      </c>
      <c r="BQ1742">
        <v>0.11332468572476186</v>
      </c>
      <c r="BR1742" t="str">
        <v/>
      </c>
    </row>
    <row r="1743" spans="47:70" x14ac:dyDescent="0.2">
      <c r="AU1743"/>
      <c r="AV1743"/>
      <c r="AW1743"/>
      <c r="AX1743"/>
      <c r="AY1743"/>
      <c r="BK1743" s="42">
        <v>1742</v>
      </c>
      <c r="BL1743" s="127">
        <v>4</v>
      </c>
      <c r="BM1743" s="127">
        <v>0.11332468572476186</v>
      </c>
      <c r="BN1743" s="127" t="e">
        <v>#N/A</v>
      </c>
      <c r="BO1743" s="127" t="e">
        <v>#N/A</v>
      </c>
      <c r="BP1743" s="151" t="e">
        <v>#N/A</v>
      </c>
      <c r="BQ1743">
        <v>0.11332468572476186</v>
      </c>
      <c r="BR1743" t="str">
        <v/>
      </c>
    </row>
    <row r="1744" spans="47:70" x14ac:dyDescent="0.2">
      <c r="AU1744"/>
      <c r="AV1744"/>
      <c r="AW1744"/>
      <c r="AX1744"/>
      <c r="AY1744"/>
      <c r="BK1744" s="42">
        <v>1743</v>
      </c>
      <c r="BL1744" s="127">
        <v>4</v>
      </c>
      <c r="BM1744" s="127">
        <v>0.11332468572476186</v>
      </c>
      <c r="BN1744" s="127" t="e">
        <v>#N/A</v>
      </c>
      <c r="BO1744" s="127" t="e">
        <v>#N/A</v>
      </c>
      <c r="BP1744" s="151" t="e">
        <v>#N/A</v>
      </c>
      <c r="BQ1744">
        <v>0.11332468572476186</v>
      </c>
      <c r="BR1744" t="str">
        <v/>
      </c>
    </row>
    <row r="1745" spans="47:70" x14ac:dyDescent="0.2">
      <c r="AU1745"/>
      <c r="AV1745"/>
      <c r="AW1745"/>
      <c r="AX1745"/>
      <c r="AY1745"/>
      <c r="BK1745" s="42">
        <v>1744</v>
      </c>
      <c r="BL1745" s="127">
        <v>4</v>
      </c>
      <c r="BM1745" s="127">
        <v>0.11332468572476186</v>
      </c>
      <c r="BN1745" s="127" t="e">
        <v>#N/A</v>
      </c>
      <c r="BO1745" s="127" t="e">
        <v>#N/A</v>
      </c>
      <c r="BP1745" s="151" t="e">
        <v>#N/A</v>
      </c>
      <c r="BQ1745">
        <v>0.11332468572476186</v>
      </c>
      <c r="BR1745" t="str">
        <v/>
      </c>
    </row>
    <row r="1746" spans="47:70" x14ac:dyDescent="0.2">
      <c r="AU1746"/>
      <c r="AV1746"/>
      <c r="AW1746"/>
      <c r="AX1746"/>
      <c r="AY1746"/>
      <c r="BK1746" s="42">
        <v>1745</v>
      </c>
      <c r="BL1746" s="127">
        <v>4</v>
      </c>
      <c r="BM1746" s="127">
        <v>0.11332468572476186</v>
      </c>
      <c r="BN1746" s="127" t="e">
        <v>#N/A</v>
      </c>
      <c r="BO1746" s="127" t="e">
        <v>#N/A</v>
      </c>
      <c r="BP1746" s="151" t="e">
        <v>#N/A</v>
      </c>
      <c r="BQ1746">
        <v>0.11332468572476186</v>
      </c>
      <c r="BR1746" t="str">
        <v/>
      </c>
    </row>
    <row r="1747" spans="47:70" x14ac:dyDescent="0.2">
      <c r="AU1747"/>
      <c r="AV1747"/>
      <c r="AW1747"/>
      <c r="AX1747"/>
      <c r="AY1747"/>
      <c r="BK1747" s="42">
        <v>1746</v>
      </c>
      <c r="BL1747" s="127">
        <v>4</v>
      </c>
      <c r="BM1747" s="127">
        <v>0.11332468572476186</v>
      </c>
      <c r="BN1747" s="127" t="e">
        <v>#N/A</v>
      </c>
      <c r="BO1747" s="127" t="e">
        <v>#N/A</v>
      </c>
      <c r="BP1747" s="151" t="e">
        <v>#N/A</v>
      </c>
      <c r="BQ1747">
        <v>0.11332468572476186</v>
      </c>
      <c r="BR1747" t="str">
        <v/>
      </c>
    </row>
    <row r="1748" spans="47:70" x14ac:dyDescent="0.2">
      <c r="AU1748"/>
      <c r="AV1748"/>
      <c r="AW1748"/>
      <c r="AX1748"/>
      <c r="AY1748"/>
      <c r="BK1748" s="42">
        <v>1747</v>
      </c>
      <c r="BL1748" s="127">
        <v>4</v>
      </c>
      <c r="BM1748" s="127">
        <v>0.11332468572476186</v>
      </c>
      <c r="BN1748" s="127" t="e">
        <v>#N/A</v>
      </c>
      <c r="BO1748" s="127" t="e">
        <v>#N/A</v>
      </c>
      <c r="BP1748" s="151" t="e">
        <v>#N/A</v>
      </c>
      <c r="BQ1748">
        <v>0.11332468572476186</v>
      </c>
      <c r="BR1748" t="str">
        <v/>
      </c>
    </row>
    <row r="1749" spans="47:70" x14ac:dyDescent="0.2">
      <c r="AU1749"/>
      <c r="AV1749"/>
      <c r="AW1749"/>
      <c r="AX1749"/>
      <c r="AY1749"/>
      <c r="BK1749" s="42">
        <v>1748</v>
      </c>
      <c r="BL1749" s="127">
        <v>4</v>
      </c>
      <c r="BM1749" s="127">
        <v>0.11332468572476186</v>
      </c>
      <c r="BN1749" s="127" t="e">
        <v>#N/A</v>
      </c>
      <c r="BO1749" s="127" t="e">
        <v>#N/A</v>
      </c>
      <c r="BP1749" s="151" t="e">
        <v>#N/A</v>
      </c>
      <c r="BQ1749">
        <v>0.11332468572476186</v>
      </c>
      <c r="BR1749" t="str">
        <v/>
      </c>
    </row>
    <row r="1750" spans="47:70" x14ac:dyDescent="0.2">
      <c r="AU1750"/>
      <c r="AV1750"/>
      <c r="AW1750"/>
      <c r="AX1750"/>
      <c r="AY1750"/>
      <c r="BK1750" s="42">
        <v>1749</v>
      </c>
      <c r="BL1750" s="127">
        <v>4</v>
      </c>
      <c r="BM1750" s="127">
        <v>0.11332468572476186</v>
      </c>
      <c r="BN1750" s="127" t="e">
        <v>#N/A</v>
      </c>
      <c r="BO1750" s="127" t="e">
        <v>#N/A</v>
      </c>
      <c r="BP1750" s="151" t="e">
        <v>#N/A</v>
      </c>
      <c r="BQ1750">
        <v>0.11332468572476186</v>
      </c>
      <c r="BR1750" t="str">
        <v/>
      </c>
    </row>
    <row r="1751" spans="47:70" x14ac:dyDescent="0.2">
      <c r="AU1751"/>
      <c r="AV1751"/>
      <c r="AW1751"/>
      <c r="AX1751"/>
      <c r="AY1751"/>
      <c r="BK1751" s="42">
        <v>1750</v>
      </c>
      <c r="BL1751" s="127">
        <v>4</v>
      </c>
      <c r="BM1751" s="127">
        <v>0.11332468572476186</v>
      </c>
      <c r="BN1751" s="127" t="e">
        <v>#N/A</v>
      </c>
      <c r="BO1751" s="127" t="e">
        <v>#N/A</v>
      </c>
      <c r="BP1751" s="151" t="e">
        <v>#N/A</v>
      </c>
      <c r="BQ1751">
        <v>0.11332468572476186</v>
      </c>
      <c r="BR1751" t="str">
        <v/>
      </c>
    </row>
    <row r="1752" spans="47:70" x14ac:dyDescent="0.2">
      <c r="AU1752"/>
      <c r="AV1752"/>
      <c r="AW1752"/>
      <c r="AX1752"/>
      <c r="AY1752"/>
      <c r="BK1752" s="42">
        <v>1751</v>
      </c>
      <c r="BL1752" s="127">
        <v>4</v>
      </c>
      <c r="BM1752" s="127">
        <v>0.11332468572476186</v>
      </c>
      <c r="BN1752" s="127" t="e">
        <v>#N/A</v>
      </c>
      <c r="BO1752" s="127" t="e">
        <v>#N/A</v>
      </c>
      <c r="BP1752" s="151" t="e">
        <v>#N/A</v>
      </c>
      <c r="BQ1752">
        <v>0.11332468572476186</v>
      </c>
      <c r="BR1752" t="str">
        <v/>
      </c>
    </row>
    <row r="1753" spans="47:70" x14ac:dyDescent="0.2">
      <c r="AU1753"/>
      <c r="AV1753"/>
      <c r="AW1753"/>
      <c r="AX1753"/>
      <c r="AY1753"/>
      <c r="BK1753" s="42">
        <v>1752</v>
      </c>
      <c r="BL1753" s="127">
        <v>4</v>
      </c>
      <c r="BM1753" s="127">
        <v>0.11332468572476186</v>
      </c>
      <c r="BN1753" s="127" t="e">
        <v>#N/A</v>
      </c>
      <c r="BO1753" s="127" t="e">
        <v>#N/A</v>
      </c>
      <c r="BP1753" s="151" t="e">
        <v>#N/A</v>
      </c>
      <c r="BQ1753">
        <v>0.11332468572476186</v>
      </c>
      <c r="BR1753" t="str">
        <v/>
      </c>
    </row>
    <row r="1754" spans="47:70" x14ac:dyDescent="0.2">
      <c r="AU1754"/>
      <c r="AV1754"/>
      <c r="AW1754"/>
      <c r="AX1754"/>
      <c r="AY1754"/>
      <c r="BK1754" s="42">
        <v>1753</v>
      </c>
      <c r="BL1754" s="127">
        <v>4</v>
      </c>
      <c r="BM1754" s="127">
        <v>0.11332468572476186</v>
      </c>
      <c r="BN1754" s="127" t="e">
        <v>#N/A</v>
      </c>
      <c r="BO1754" s="127" t="e">
        <v>#N/A</v>
      </c>
      <c r="BP1754" s="151" t="e">
        <v>#N/A</v>
      </c>
      <c r="BQ1754">
        <v>0.11332468572476186</v>
      </c>
      <c r="BR1754" t="str">
        <v/>
      </c>
    </row>
    <row r="1755" spans="47:70" x14ac:dyDescent="0.2">
      <c r="AU1755"/>
      <c r="AV1755"/>
      <c r="AW1755"/>
      <c r="AX1755"/>
      <c r="AY1755"/>
      <c r="BK1755" s="42">
        <v>1754</v>
      </c>
      <c r="BL1755" s="127">
        <v>4</v>
      </c>
      <c r="BM1755" s="127">
        <v>0.11332468572476186</v>
      </c>
      <c r="BN1755" s="127" t="e">
        <v>#N/A</v>
      </c>
      <c r="BO1755" s="127" t="e">
        <v>#N/A</v>
      </c>
      <c r="BP1755" s="151" t="e">
        <v>#N/A</v>
      </c>
      <c r="BQ1755">
        <v>0.11332468572476186</v>
      </c>
      <c r="BR1755" t="str">
        <v/>
      </c>
    </row>
    <row r="1756" spans="47:70" x14ac:dyDescent="0.2">
      <c r="AU1756"/>
      <c r="AV1756"/>
      <c r="AW1756"/>
      <c r="AX1756"/>
      <c r="AY1756"/>
      <c r="BK1756" s="42">
        <v>1755</v>
      </c>
      <c r="BL1756" s="127">
        <v>4</v>
      </c>
      <c r="BM1756" s="127">
        <v>0.11332468572476186</v>
      </c>
      <c r="BN1756" s="127" t="e">
        <v>#N/A</v>
      </c>
      <c r="BO1756" s="127" t="e">
        <v>#N/A</v>
      </c>
      <c r="BP1756" s="151" t="e">
        <v>#N/A</v>
      </c>
      <c r="BQ1756">
        <v>0.11332468572476186</v>
      </c>
      <c r="BR1756" t="str">
        <v/>
      </c>
    </row>
    <row r="1757" spans="47:70" x14ac:dyDescent="0.2">
      <c r="AU1757"/>
      <c r="AV1757"/>
      <c r="AW1757"/>
      <c r="AX1757"/>
      <c r="AY1757"/>
      <c r="BK1757" s="42">
        <v>1756</v>
      </c>
      <c r="BL1757" s="127">
        <v>4</v>
      </c>
      <c r="BM1757" s="127">
        <v>0.11332468572476186</v>
      </c>
      <c r="BN1757" s="127" t="e">
        <v>#N/A</v>
      </c>
      <c r="BO1757" s="127" t="e">
        <v>#N/A</v>
      </c>
      <c r="BP1757" s="151" t="e">
        <v>#N/A</v>
      </c>
      <c r="BQ1757">
        <v>0.11332468572476186</v>
      </c>
      <c r="BR1757" t="str">
        <v/>
      </c>
    </row>
    <row r="1758" spans="47:70" x14ac:dyDescent="0.2">
      <c r="AU1758"/>
      <c r="AV1758"/>
      <c r="AW1758"/>
      <c r="AX1758"/>
      <c r="AY1758"/>
      <c r="BK1758" s="42">
        <v>1757</v>
      </c>
      <c r="BL1758" s="127">
        <v>4</v>
      </c>
      <c r="BM1758" s="127">
        <v>0.11332468572476186</v>
      </c>
      <c r="BN1758" s="127" t="e">
        <v>#N/A</v>
      </c>
      <c r="BO1758" s="127" t="e">
        <v>#N/A</v>
      </c>
      <c r="BP1758" s="151" t="e">
        <v>#N/A</v>
      </c>
      <c r="BQ1758">
        <v>0.11332468572476186</v>
      </c>
      <c r="BR1758" t="str">
        <v/>
      </c>
    </row>
    <row r="1759" spans="47:70" x14ac:dyDescent="0.2">
      <c r="AU1759"/>
      <c r="AV1759"/>
      <c r="AW1759"/>
      <c r="AX1759"/>
      <c r="AY1759"/>
      <c r="BK1759" s="42">
        <v>1758</v>
      </c>
      <c r="BL1759" s="127">
        <v>4</v>
      </c>
      <c r="BM1759" s="127">
        <v>0.11332468572476186</v>
      </c>
      <c r="BN1759" s="127" t="e">
        <v>#N/A</v>
      </c>
      <c r="BO1759" s="127" t="e">
        <v>#N/A</v>
      </c>
      <c r="BP1759" s="151" t="e">
        <v>#N/A</v>
      </c>
      <c r="BQ1759">
        <v>0.11332468572476186</v>
      </c>
      <c r="BR1759" t="str">
        <v/>
      </c>
    </row>
    <row r="1760" spans="47:70" x14ac:dyDescent="0.2">
      <c r="AU1760"/>
      <c r="AV1760"/>
      <c r="AW1760"/>
      <c r="AX1760"/>
      <c r="AY1760"/>
      <c r="BK1760" s="42">
        <v>1759</v>
      </c>
      <c r="BL1760" s="127">
        <v>4</v>
      </c>
      <c r="BM1760" s="127">
        <v>0.11332468572476186</v>
      </c>
      <c r="BN1760" s="127" t="e">
        <v>#N/A</v>
      </c>
      <c r="BO1760" s="127" t="e">
        <v>#N/A</v>
      </c>
      <c r="BP1760" s="151" t="e">
        <v>#N/A</v>
      </c>
      <c r="BQ1760">
        <v>0.11332468572476186</v>
      </c>
      <c r="BR1760" t="str">
        <v/>
      </c>
    </row>
    <row r="1761" spans="47:70" x14ac:dyDescent="0.2">
      <c r="AU1761"/>
      <c r="AV1761"/>
      <c r="AW1761"/>
      <c r="AX1761"/>
      <c r="AY1761"/>
      <c r="BK1761" s="42">
        <v>1760</v>
      </c>
      <c r="BL1761" s="127">
        <v>4</v>
      </c>
      <c r="BM1761" s="127">
        <v>0.11332468572476186</v>
      </c>
      <c r="BN1761" s="127" t="e">
        <v>#N/A</v>
      </c>
      <c r="BO1761" s="127" t="e">
        <v>#N/A</v>
      </c>
      <c r="BP1761" s="151" t="e">
        <v>#N/A</v>
      </c>
      <c r="BQ1761">
        <v>0.11332468572476186</v>
      </c>
      <c r="BR1761" t="str">
        <v/>
      </c>
    </row>
    <row r="1762" spans="47:70" x14ac:dyDescent="0.2">
      <c r="AU1762"/>
      <c r="AV1762"/>
      <c r="AW1762"/>
      <c r="AX1762"/>
      <c r="AY1762"/>
      <c r="BK1762" s="42">
        <v>1761</v>
      </c>
      <c r="BL1762" s="127">
        <v>4</v>
      </c>
      <c r="BM1762" s="127">
        <v>0.11332468572476186</v>
      </c>
      <c r="BN1762" s="127" t="e">
        <v>#N/A</v>
      </c>
      <c r="BO1762" s="127" t="e">
        <v>#N/A</v>
      </c>
      <c r="BP1762" s="151" t="e">
        <v>#N/A</v>
      </c>
      <c r="BQ1762">
        <v>0.11332468572476186</v>
      </c>
      <c r="BR1762" t="str">
        <v/>
      </c>
    </row>
    <row r="1763" spans="47:70" x14ac:dyDescent="0.2">
      <c r="AU1763"/>
      <c r="AV1763"/>
      <c r="AW1763"/>
      <c r="AX1763"/>
      <c r="AY1763"/>
      <c r="BK1763" s="42">
        <v>1762</v>
      </c>
      <c r="BL1763" s="127">
        <v>4</v>
      </c>
      <c r="BM1763" s="127">
        <v>0.11332468572476186</v>
      </c>
      <c r="BN1763" s="127" t="e">
        <v>#N/A</v>
      </c>
      <c r="BO1763" s="127" t="e">
        <v>#N/A</v>
      </c>
      <c r="BP1763" s="151" t="e">
        <v>#N/A</v>
      </c>
      <c r="BQ1763">
        <v>0.11332468572476186</v>
      </c>
      <c r="BR1763" t="str">
        <v/>
      </c>
    </row>
    <row r="1764" spans="47:70" x14ac:dyDescent="0.2">
      <c r="AU1764"/>
      <c r="AV1764"/>
      <c r="AW1764"/>
      <c r="AX1764"/>
      <c r="AY1764"/>
      <c r="BK1764" s="42">
        <v>1763</v>
      </c>
      <c r="BL1764" s="127">
        <v>4</v>
      </c>
      <c r="BM1764" s="127">
        <v>0.11332468572476186</v>
      </c>
      <c r="BN1764" s="127" t="e">
        <v>#N/A</v>
      </c>
      <c r="BO1764" s="127" t="e">
        <v>#N/A</v>
      </c>
      <c r="BP1764" s="151" t="e">
        <v>#N/A</v>
      </c>
      <c r="BQ1764">
        <v>0.11332468572476186</v>
      </c>
      <c r="BR1764" t="str">
        <v/>
      </c>
    </row>
    <row r="1765" spans="47:70" x14ac:dyDescent="0.2">
      <c r="AU1765"/>
      <c r="AV1765"/>
      <c r="AW1765"/>
      <c r="AX1765"/>
      <c r="AY1765"/>
      <c r="BK1765" s="42">
        <v>1764</v>
      </c>
      <c r="BL1765" s="127">
        <v>4</v>
      </c>
      <c r="BM1765" s="127">
        <v>0.11332468572476186</v>
      </c>
      <c r="BN1765" s="127" t="e">
        <v>#N/A</v>
      </c>
      <c r="BO1765" s="127" t="e">
        <v>#N/A</v>
      </c>
      <c r="BP1765" s="151" t="e">
        <v>#N/A</v>
      </c>
      <c r="BQ1765">
        <v>0.11332468572476186</v>
      </c>
      <c r="BR1765" t="str">
        <v/>
      </c>
    </row>
    <row r="1766" spans="47:70" x14ac:dyDescent="0.2">
      <c r="AU1766"/>
      <c r="AV1766"/>
      <c r="AW1766"/>
      <c r="AX1766"/>
      <c r="AY1766"/>
      <c r="BK1766" s="42">
        <v>1765</v>
      </c>
      <c r="BL1766" s="127">
        <v>4</v>
      </c>
      <c r="BM1766" s="127">
        <v>0.11332468572476186</v>
      </c>
      <c r="BN1766" s="127" t="e">
        <v>#N/A</v>
      </c>
      <c r="BO1766" s="127" t="e">
        <v>#N/A</v>
      </c>
      <c r="BP1766" s="151" t="e">
        <v>#N/A</v>
      </c>
      <c r="BQ1766">
        <v>0.11332468572476186</v>
      </c>
      <c r="BR1766" t="str">
        <v/>
      </c>
    </row>
    <row r="1767" spans="47:70" x14ac:dyDescent="0.2">
      <c r="AU1767"/>
      <c r="AV1767"/>
      <c r="AW1767"/>
      <c r="AX1767"/>
      <c r="AY1767"/>
      <c r="BK1767" s="42">
        <v>1766</v>
      </c>
      <c r="BL1767" s="127">
        <v>4</v>
      </c>
      <c r="BM1767" s="127">
        <v>0.11332468572476186</v>
      </c>
      <c r="BN1767" s="127" t="e">
        <v>#N/A</v>
      </c>
      <c r="BO1767" s="127" t="e">
        <v>#N/A</v>
      </c>
      <c r="BP1767" s="151" t="e">
        <v>#N/A</v>
      </c>
      <c r="BQ1767">
        <v>0.11332468572476186</v>
      </c>
      <c r="BR1767" t="str">
        <v/>
      </c>
    </row>
    <row r="1768" spans="47:70" x14ac:dyDescent="0.2">
      <c r="AU1768"/>
      <c r="AV1768"/>
      <c r="AW1768"/>
      <c r="AX1768"/>
      <c r="AY1768"/>
      <c r="BK1768" s="42">
        <v>1767</v>
      </c>
      <c r="BL1768" s="127">
        <v>4</v>
      </c>
      <c r="BM1768" s="127">
        <v>0.11332468572476186</v>
      </c>
      <c r="BN1768" s="127" t="e">
        <v>#N/A</v>
      </c>
      <c r="BO1768" s="127" t="e">
        <v>#N/A</v>
      </c>
      <c r="BP1768" s="151" t="e">
        <v>#N/A</v>
      </c>
      <c r="BQ1768">
        <v>0.11332468572476186</v>
      </c>
      <c r="BR1768" t="str">
        <v/>
      </c>
    </row>
    <row r="1769" spans="47:70" x14ac:dyDescent="0.2">
      <c r="AU1769"/>
      <c r="AV1769"/>
      <c r="AW1769"/>
      <c r="AX1769"/>
      <c r="AY1769"/>
      <c r="BK1769" s="42">
        <v>1768</v>
      </c>
      <c r="BL1769" s="127">
        <v>4</v>
      </c>
      <c r="BM1769" s="127">
        <v>0.11332468572476186</v>
      </c>
      <c r="BN1769" s="127" t="e">
        <v>#N/A</v>
      </c>
      <c r="BO1769" s="127" t="e">
        <v>#N/A</v>
      </c>
      <c r="BP1769" s="151" t="e">
        <v>#N/A</v>
      </c>
      <c r="BQ1769">
        <v>0.11332468572476186</v>
      </c>
      <c r="BR1769" t="str">
        <v/>
      </c>
    </row>
    <row r="1770" spans="47:70" x14ac:dyDescent="0.2">
      <c r="AU1770"/>
      <c r="AV1770"/>
      <c r="AW1770"/>
      <c r="AX1770"/>
      <c r="AY1770"/>
      <c r="BK1770" s="42">
        <v>1769</v>
      </c>
      <c r="BL1770" s="127">
        <v>4</v>
      </c>
      <c r="BM1770" s="127">
        <v>0.11332468572476186</v>
      </c>
      <c r="BN1770" s="127" t="e">
        <v>#N/A</v>
      </c>
      <c r="BO1770" s="127" t="e">
        <v>#N/A</v>
      </c>
      <c r="BP1770" s="151" t="e">
        <v>#N/A</v>
      </c>
      <c r="BQ1770">
        <v>0.11332468572476186</v>
      </c>
      <c r="BR1770" t="str">
        <v/>
      </c>
    </row>
    <row r="1771" spans="47:70" x14ac:dyDescent="0.2">
      <c r="AU1771"/>
      <c r="AV1771"/>
      <c r="AW1771"/>
      <c r="AX1771"/>
      <c r="AY1771"/>
      <c r="BK1771" s="42">
        <v>1770</v>
      </c>
      <c r="BL1771" s="127">
        <v>4</v>
      </c>
      <c r="BM1771" s="127">
        <v>0.11332468572476186</v>
      </c>
      <c r="BN1771" s="127" t="e">
        <v>#N/A</v>
      </c>
      <c r="BO1771" s="127" t="e">
        <v>#N/A</v>
      </c>
      <c r="BP1771" s="151" t="e">
        <v>#N/A</v>
      </c>
      <c r="BQ1771">
        <v>0.11332468572476186</v>
      </c>
      <c r="BR1771" t="str">
        <v/>
      </c>
    </row>
    <row r="1772" spans="47:70" x14ac:dyDescent="0.2">
      <c r="AU1772"/>
      <c r="AV1772"/>
      <c r="AW1772"/>
      <c r="AX1772"/>
      <c r="AY1772"/>
      <c r="BK1772" s="42">
        <v>1771</v>
      </c>
      <c r="BL1772" s="127">
        <v>4</v>
      </c>
      <c r="BM1772" s="127">
        <v>0.11332468572476186</v>
      </c>
      <c r="BN1772" s="127" t="e">
        <v>#N/A</v>
      </c>
      <c r="BO1772" s="127" t="e">
        <v>#N/A</v>
      </c>
      <c r="BP1772" s="151" t="e">
        <v>#N/A</v>
      </c>
      <c r="BQ1772">
        <v>0.11332468572476186</v>
      </c>
      <c r="BR1772" t="str">
        <v/>
      </c>
    </row>
    <row r="1773" spans="47:70" x14ac:dyDescent="0.2">
      <c r="AU1773"/>
      <c r="AV1773"/>
      <c r="AW1773"/>
      <c r="AX1773"/>
      <c r="AY1773"/>
      <c r="BK1773" s="42">
        <v>1772</v>
      </c>
      <c r="BL1773" s="127">
        <v>4</v>
      </c>
      <c r="BM1773" s="127">
        <v>0.11332468572476186</v>
      </c>
      <c r="BN1773" s="127" t="e">
        <v>#N/A</v>
      </c>
      <c r="BO1773" s="127" t="e">
        <v>#N/A</v>
      </c>
      <c r="BP1773" s="151" t="e">
        <v>#N/A</v>
      </c>
      <c r="BQ1773">
        <v>0.11332468572476186</v>
      </c>
      <c r="BR1773" t="str">
        <v/>
      </c>
    </row>
    <row r="1774" spans="47:70" x14ac:dyDescent="0.2">
      <c r="AU1774"/>
      <c r="AV1774"/>
      <c r="AW1774"/>
      <c r="AX1774"/>
      <c r="AY1774"/>
      <c r="BK1774" s="42">
        <v>1773</v>
      </c>
      <c r="BL1774" s="127">
        <v>4</v>
      </c>
      <c r="BM1774" s="127">
        <v>0.11332468572476186</v>
      </c>
      <c r="BN1774" s="127" t="e">
        <v>#N/A</v>
      </c>
      <c r="BO1774" s="127" t="e">
        <v>#N/A</v>
      </c>
      <c r="BP1774" s="151" t="e">
        <v>#N/A</v>
      </c>
      <c r="BQ1774">
        <v>0.11332468572476186</v>
      </c>
      <c r="BR1774" t="str">
        <v/>
      </c>
    </row>
    <row r="1775" spans="47:70" x14ac:dyDescent="0.2">
      <c r="AU1775"/>
      <c r="AV1775"/>
      <c r="AW1775"/>
      <c r="AX1775"/>
      <c r="AY1775"/>
      <c r="BK1775" s="42">
        <v>1774</v>
      </c>
      <c r="BL1775" s="127">
        <v>4</v>
      </c>
      <c r="BM1775" s="127">
        <v>0.11332468572476186</v>
      </c>
      <c r="BN1775" s="127" t="e">
        <v>#N/A</v>
      </c>
      <c r="BO1775" s="127" t="e">
        <v>#N/A</v>
      </c>
      <c r="BP1775" s="151" t="e">
        <v>#N/A</v>
      </c>
      <c r="BQ1775">
        <v>0.11332468572476186</v>
      </c>
      <c r="BR1775" t="str">
        <v/>
      </c>
    </row>
    <row r="1776" spans="47:70" x14ac:dyDescent="0.2">
      <c r="AU1776"/>
      <c r="AV1776"/>
      <c r="AW1776"/>
      <c r="AX1776"/>
      <c r="AY1776"/>
      <c r="BK1776" s="42">
        <v>1775</v>
      </c>
      <c r="BL1776" s="127">
        <v>4</v>
      </c>
      <c r="BM1776" s="127">
        <v>0.11332468572476186</v>
      </c>
      <c r="BN1776" s="127" t="e">
        <v>#N/A</v>
      </c>
      <c r="BO1776" s="127" t="e">
        <v>#N/A</v>
      </c>
      <c r="BP1776" s="151" t="e">
        <v>#N/A</v>
      </c>
      <c r="BQ1776">
        <v>0.11332468572476186</v>
      </c>
      <c r="BR1776" t="str">
        <v/>
      </c>
    </row>
    <row r="1777" spans="47:70" x14ac:dyDescent="0.2">
      <c r="AU1777"/>
      <c r="AV1777"/>
      <c r="AW1777"/>
      <c r="AX1777"/>
      <c r="AY1777"/>
      <c r="BK1777" s="42">
        <v>1776</v>
      </c>
      <c r="BL1777" s="127">
        <v>4</v>
      </c>
      <c r="BM1777" s="127">
        <v>0.11332468572476186</v>
      </c>
      <c r="BN1777" s="127" t="e">
        <v>#N/A</v>
      </c>
      <c r="BO1777" s="127" t="e">
        <v>#N/A</v>
      </c>
      <c r="BP1777" s="151" t="e">
        <v>#N/A</v>
      </c>
      <c r="BQ1777">
        <v>0.11332468572476186</v>
      </c>
      <c r="BR1777" t="str">
        <v/>
      </c>
    </row>
    <row r="1778" spans="47:70" x14ac:dyDescent="0.2">
      <c r="AU1778"/>
      <c r="AV1778"/>
      <c r="AW1778"/>
      <c r="AX1778"/>
      <c r="AY1778"/>
      <c r="BK1778" s="42">
        <v>1777</v>
      </c>
      <c r="BL1778" s="127">
        <v>4</v>
      </c>
      <c r="BM1778" s="127">
        <v>0.11332468572476186</v>
      </c>
      <c r="BN1778" s="127" t="e">
        <v>#N/A</v>
      </c>
      <c r="BO1778" s="127" t="e">
        <v>#N/A</v>
      </c>
      <c r="BP1778" s="151" t="e">
        <v>#N/A</v>
      </c>
      <c r="BQ1778">
        <v>0.11332468572476186</v>
      </c>
      <c r="BR1778" t="str">
        <v/>
      </c>
    </row>
    <row r="1779" spans="47:70" x14ac:dyDescent="0.2">
      <c r="AU1779"/>
      <c r="AV1779"/>
      <c r="AW1779"/>
      <c r="AX1779"/>
      <c r="AY1779"/>
      <c r="BK1779" s="42">
        <v>1778</v>
      </c>
      <c r="BL1779" s="127">
        <v>4</v>
      </c>
      <c r="BM1779" s="127">
        <v>0.11332468572476186</v>
      </c>
      <c r="BN1779" s="127" t="e">
        <v>#N/A</v>
      </c>
      <c r="BO1779" s="127" t="e">
        <v>#N/A</v>
      </c>
      <c r="BP1779" s="151" t="e">
        <v>#N/A</v>
      </c>
      <c r="BQ1779">
        <v>0.11332468572476186</v>
      </c>
      <c r="BR1779" t="str">
        <v/>
      </c>
    </row>
    <row r="1780" spans="47:70" x14ac:dyDescent="0.2">
      <c r="AU1780"/>
      <c r="AV1780"/>
      <c r="AW1780"/>
      <c r="AX1780"/>
      <c r="AY1780"/>
      <c r="BK1780" s="42">
        <v>1779</v>
      </c>
      <c r="BL1780" s="127">
        <v>4</v>
      </c>
      <c r="BM1780" s="127">
        <v>0.11332468572476186</v>
      </c>
      <c r="BN1780" s="127" t="e">
        <v>#N/A</v>
      </c>
      <c r="BO1780" s="127" t="e">
        <v>#N/A</v>
      </c>
      <c r="BP1780" s="151" t="e">
        <v>#N/A</v>
      </c>
      <c r="BQ1780">
        <v>0.11332468572476186</v>
      </c>
      <c r="BR1780" t="str">
        <v/>
      </c>
    </row>
    <row r="1781" spans="47:70" x14ac:dyDescent="0.2">
      <c r="AU1781"/>
      <c r="AV1781"/>
      <c r="AW1781"/>
      <c r="AX1781"/>
      <c r="AY1781"/>
      <c r="BK1781" s="42">
        <v>1780</v>
      </c>
      <c r="BL1781" s="127">
        <v>4</v>
      </c>
      <c r="BM1781" s="127">
        <v>0.11332468572476186</v>
      </c>
      <c r="BN1781" s="127" t="e">
        <v>#N/A</v>
      </c>
      <c r="BO1781" s="127" t="e">
        <v>#N/A</v>
      </c>
      <c r="BP1781" s="151" t="e">
        <v>#N/A</v>
      </c>
      <c r="BQ1781">
        <v>0.11332468572476186</v>
      </c>
      <c r="BR1781" t="str">
        <v/>
      </c>
    </row>
    <row r="1782" spans="47:70" x14ac:dyDescent="0.2">
      <c r="AU1782"/>
      <c r="AV1782"/>
      <c r="AW1782"/>
      <c r="AX1782"/>
      <c r="AY1782"/>
      <c r="BK1782" s="42">
        <v>1781</v>
      </c>
      <c r="BL1782" s="127">
        <v>4</v>
      </c>
      <c r="BM1782" s="127">
        <v>0.11332468572476186</v>
      </c>
      <c r="BN1782" s="127" t="e">
        <v>#N/A</v>
      </c>
      <c r="BO1782" s="127" t="e">
        <v>#N/A</v>
      </c>
      <c r="BP1782" s="151" t="e">
        <v>#N/A</v>
      </c>
      <c r="BQ1782">
        <v>0.11332468572476186</v>
      </c>
      <c r="BR1782" t="str">
        <v/>
      </c>
    </row>
    <row r="1783" spans="47:70" x14ac:dyDescent="0.2">
      <c r="AU1783"/>
      <c r="AV1783"/>
      <c r="AW1783"/>
      <c r="AX1783"/>
      <c r="AY1783"/>
      <c r="BK1783" s="42">
        <v>1782</v>
      </c>
      <c r="BL1783" s="127">
        <v>4</v>
      </c>
      <c r="BM1783" s="127">
        <v>0.11332468572476186</v>
      </c>
      <c r="BN1783" s="127" t="e">
        <v>#N/A</v>
      </c>
      <c r="BO1783" s="127" t="e">
        <v>#N/A</v>
      </c>
      <c r="BP1783" s="151" t="e">
        <v>#N/A</v>
      </c>
      <c r="BQ1783">
        <v>0.11332468572476186</v>
      </c>
      <c r="BR1783" t="str">
        <v/>
      </c>
    </row>
    <row r="1784" spans="47:70" x14ac:dyDescent="0.2">
      <c r="AU1784"/>
      <c r="AV1784"/>
      <c r="AW1784"/>
      <c r="AX1784"/>
      <c r="AY1784"/>
      <c r="BK1784" s="42">
        <v>1783</v>
      </c>
      <c r="BL1784" s="127">
        <v>4</v>
      </c>
      <c r="BM1784" s="127">
        <v>0.11332468572476186</v>
      </c>
      <c r="BN1784" s="127" t="e">
        <v>#N/A</v>
      </c>
      <c r="BO1784" s="127" t="e">
        <v>#N/A</v>
      </c>
      <c r="BP1784" s="151" t="e">
        <v>#N/A</v>
      </c>
      <c r="BQ1784">
        <v>0.11332468572476186</v>
      </c>
      <c r="BR1784" t="str">
        <v/>
      </c>
    </row>
    <row r="1785" spans="47:70" x14ac:dyDescent="0.2">
      <c r="AU1785"/>
      <c r="AV1785"/>
      <c r="AW1785"/>
      <c r="AX1785"/>
      <c r="AY1785"/>
      <c r="BK1785" s="42">
        <v>1784</v>
      </c>
      <c r="BL1785" s="127">
        <v>4</v>
      </c>
      <c r="BM1785" s="127">
        <v>0.11332468572476186</v>
      </c>
      <c r="BN1785" s="127" t="e">
        <v>#N/A</v>
      </c>
      <c r="BO1785" s="127" t="e">
        <v>#N/A</v>
      </c>
      <c r="BP1785" s="151" t="e">
        <v>#N/A</v>
      </c>
      <c r="BQ1785">
        <v>0.11332468572476186</v>
      </c>
      <c r="BR1785" t="str">
        <v/>
      </c>
    </row>
    <row r="1786" spans="47:70" x14ac:dyDescent="0.2">
      <c r="AU1786"/>
      <c r="AV1786"/>
      <c r="AW1786"/>
      <c r="AX1786"/>
      <c r="AY1786"/>
      <c r="BK1786" s="42">
        <v>1785</v>
      </c>
      <c r="BL1786" s="127">
        <v>4</v>
      </c>
      <c r="BM1786" s="127">
        <v>0.11332468572476186</v>
      </c>
      <c r="BN1786" s="127" t="e">
        <v>#N/A</v>
      </c>
      <c r="BO1786" s="127" t="e">
        <v>#N/A</v>
      </c>
      <c r="BP1786" s="151" t="e">
        <v>#N/A</v>
      </c>
      <c r="BQ1786">
        <v>0.11332468572476186</v>
      </c>
      <c r="BR1786" t="str">
        <v/>
      </c>
    </row>
    <row r="1787" spans="47:70" x14ac:dyDescent="0.2">
      <c r="AU1787"/>
      <c r="AV1787"/>
      <c r="AW1787"/>
      <c r="AX1787"/>
      <c r="AY1787"/>
      <c r="BK1787" s="42">
        <v>1786</v>
      </c>
      <c r="BL1787" s="127">
        <v>4</v>
      </c>
      <c r="BM1787" s="127">
        <v>0.11332468572476186</v>
      </c>
      <c r="BN1787" s="127" t="e">
        <v>#N/A</v>
      </c>
      <c r="BO1787" s="127" t="e">
        <v>#N/A</v>
      </c>
      <c r="BP1787" s="151" t="e">
        <v>#N/A</v>
      </c>
      <c r="BQ1787">
        <v>0.11332468572476186</v>
      </c>
      <c r="BR1787" t="str">
        <v/>
      </c>
    </row>
    <row r="1788" spans="47:70" x14ac:dyDescent="0.2">
      <c r="AU1788"/>
      <c r="AV1788"/>
      <c r="AW1788"/>
      <c r="AX1788"/>
      <c r="AY1788"/>
      <c r="BK1788" s="42">
        <v>1787</v>
      </c>
      <c r="BL1788" s="127">
        <v>4</v>
      </c>
      <c r="BM1788" s="127">
        <v>0.11332468572476186</v>
      </c>
      <c r="BN1788" s="127" t="e">
        <v>#N/A</v>
      </c>
      <c r="BO1788" s="127" t="e">
        <v>#N/A</v>
      </c>
      <c r="BP1788" s="151" t="e">
        <v>#N/A</v>
      </c>
      <c r="BQ1788">
        <v>0.11332468572476186</v>
      </c>
      <c r="BR1788" t="str">
        <v/>
      </c>
    </row>
    <row r="1789" spans="47:70" x14ac:dyDescent="0.2">
      <c r="AU1789"/>
      <c r="AV1789"/>
      <c r="AW1789"/>
      <c r="AX1789"/>
      <c r="AY1789"/>
      <c r="BK1789" s="42">
        <v>1788</v>
      </c>
      <c r="BL1789" s="127">
        <v>4</v>
      </c>
      <c r="BM1789" s="127">
        <v>0.11332468572476186</v>
      </c>
      <c r="BN1789" s="127" t="e">
        <v>#N/A</v>
      </c>
      <c r="BO1789" s="127" t="e">
        <v>#N/A</v>
      </c>
      <c r="BP1789" s="151" t="e">
        <v>#N/A</v>
      </c>
      <c r="BQ1789">
        <v>0.11332468572476186</v>
      </c>
      <c r="BR1789" t="str">
        <v/>
      </c>
    </row>
    <row r="1790" spans="47:70" x14ac:dyDescent="0.2">
      <c r="AU1790"/>
      <c r="AV1790"/>
      <c r="AW1790"/>
      <c r="AX1790"/>
      <c r="AY1790"/>
      <c r="BK1790" s="42">
        <v>1789</v>
      </c>
      <c r="BL1790" s="127">
        <v>4</v>
      </c>
      <c r="BM1790" s="127">
        <v>0.11332468572476186</v>
      </c>
      <c r="BN1790" s="127" t="e">
        <v>#N/A</v>
      </c>
      <c r="BO1790" s="127" t="e">
        <v>#N/A</v>
      </c>
      <c r="BP1790" s="151" t="e">
        <v>#N/A</v>
      </c>
      <c r="BQ1790">
        <v>0.11332468572476186</v>
      </c>
      <c r="BR1790" t="str">
        <v/>
      </c>
    </row>
    <row r="1791" spans="47:70" x14ac:dyDescent="0.2">
      <c r="AU1791"/>
      <c r="AV1791"/>
      <c r="AW1791"/>
      <c r="AX1791"/>
      <c r="AY1791"/>
      <c r="BK1791" s="42">
        <v>1790</v>
      </c>
      <c r="BL1791" s="127">
        <v>4</v>
      </c>
      <c r="BM1791" s="127">
        <v>0.11332468572476186</v>
      </c>
      <c r="BN1791" s="127" t="e">
        <v>#N/A</v>
      </c>
      <c r="BO1791" s="127" t="e">
        <v>#N/A</v>
      </c>
      <c r="BP1791" s="151" t="e">
        <v>#N/A</v>
      </c>
      <c r="BQ1791">
        <v>0.11332468572476186</v>
      </c>
      <c r="BR1791" t="str">
        <v/>
      </c>
    </row>
    <row r="1792" spans="47:70" x14ac:dyDescent="0.2">
      <c r="AU1792"/>
      <c r="AV1792"/>
      <c r="AW1792"/>
      <c r="AX1792"/>
      <c r="AY1792"/>
      <c r="BK1792" s="42">
        <v>1791</v>
      </c>
      <c r="BL1792" s="127">
        <v>4</v>
      </c>
      <c r="BM1792" s="127">
        <v>0.11332468572476186</v>
      </c>
      <c r="BN1792" s="127" t="e">
        <v>#N/A</v>
      </c>
      <c r="BO1792" s="127" t="e">
        <v>#N/A</v>
      </c>
      <c r="BP1792" s="151" t="e">
        <v>#N/A</v>
      </c>
      <c r="BQ1792">
        <v>0.11332468572476186</v>
      </c>
      <c r="BR1792" t="str">
        <v/>
      </c>
    </row>
    <row r="1793" spans="47:70" x14ac:dyDescent="0.2">
      <c r="AU1793"/>
      <c r="AV1793"/>
      <c r="AW1793"/>
      <c r="AX1793"/>
      <c r="AY1793"/>
      <c r="BK1793" s="42">
        <v>1792</v>
      </c>
      <c r="BL1793" s="127">
        <v>4</v>
      </c>
      <c r="BM1793" s="127">
        <v>0.11332468572476186</v>
      </c>
      <c r="BN1793" s="127" t="e">
        <v>#N/A</v>
      </c>
      <c r="BO1793" s="127" t="e">
        <v>#N/A</v>
      </c>
      <c r="BP1793" s="151" t="e">
        <v>#N/A</v>
      </c>
      <c r="BQ1793">
        <v>0.11332468572476186</v>
      </c>
      <c r="BR1793" t="str">
        <v/>
      </c>
    </row>
    <row r="1794" spans="47:70" x14ac:dyDescent="0.2">
      <c r="AU1794"/>
      <c r="AV1794"/>
      <c r="AW1794"/>
      <c r="AX1794"/>
      <c r="AY1794"/>
      <c r="BK1794" s="42">
        <v>1793</v>
      </c>
      <c r="BL1794" s="127">
        <v>4</v>
      </c>
      <c r="BM1794" s="127">
        <v>0.11332468572476186</v>
      </c>
      <c r="BN1794" s="127" t="e">
        <v>#N/A</v>
      </c>
      <c r="BO1794" s="127" t="e">
        <v>#N/A</v>
      </c>
      <c r="BP1794" s="151" t="e">
        <v>#N/A</v>
      </c>
      <c r="BQ1794">
        <v>0.11332468572476186</v>
      </c>
      <c r="BR1794" t="str">
        <v/>
      </c>
    </row>
    <row r="1795" spans="47:70" x14ac:dyDescent="0.2">
      <c r="AU1795"/>
      <c r="AV1795"/>
      <c r="AW1795"/>
      <c r="AX1795"/>
      <c r="AY1795"/>
      <c r="BK1795" s="42">
        <v>1794</v>
      </c>
      <c r="BL1795" s="127">
        <v>4</v>
      </c>
      <c r="BM1795" s="127">
        <v>0.11332468572476186</v>
      </c>
      <c r="BN1795" s="127" t="e">
        <v>#N/A</v>
      </c>
      <c r="BO1795" s="127" t="e">
        <v>#N/A</v>
      </c>
      <c r="BP1795" s="151" t="e">
        <v>#N/A</v>
      </c>
      <c r="BQ1795">
        <v>0.11332468572476186</v>
      </c>
      <c r="BR1795" t="str">
        <v/>
      </c>
    </row>
    <row r="1796" spans="47:70" x14ac:dyDescent="0.2">
      <c r="AU1796"/>
      <c r="AV1796"/>
      <c r="AW1796"/>
      <c r="AX1796"/>
      <c r="AY1796"/>
      <c r="BK1796" s="42">
        <v>1795</v>
      </c>
      <c r="BL1796" s="127">
        <v>4</v>
      </c>
      <c r="BM1796" s="127">
        <v>0.11332468572476186</v>
      </c>
      <c r="BN1796" s="127" t="e">
        <v>#N/A</v>
      </c>
      <c r="BO1796" s="127" t="e">
        <v>#N/A</v>
      </c>
      <c r="BP1796" s="151" t="e">
        <v>#N/A</v>
      </c>
      <c r="BQ1796">
        <v>0.11332468572476186</v>
      </c>
      <c r="BR1796" t="str">
        <v/>
      </c>
    </row>
    <row r="1797" spans="47:70" x14ac:dyDescent="0.2">
      <c r="AU1797"/>
      <c r="AV1797"/>
      <c r="AW1797"/>
      <c r="AX1797"/>
      <c r="AY1797"/>
      <c r="BK1797" s="42">
        <v>1796</v>
      </c>
      <c r="BL1797" s="127">
        <v>4</v>
      </c>
      <c r="BM1797" s="127">
        <v>0.11332468572476186</v>
      </c>
      <c r="BN1797" s="127" t="e">
        <v>#N/A</v>
      </c>
      <c r="BO1797" s="127" t="e">
        <v>#N/A</v>
      </c>
      <c r="BP1797" s="151" t="e">
        <v>#N/A</v>
      </c>
      <c r="BQ1797">
        <v>0.11332468572476186</v>
      </c>
      <c r="BR1797" t="str">
        <v/>
      </c>
    </row>
    <row r="1798" spans="47:70" x14ac:dyDescent="0.2">
      <c r="AU1798"/>
      <c r="AV1798"/>
      <c r="AW1798"/>
      <c r="AX1798"/>
      <c r="AY1798"/>
      <c r="BK1798" s="42">
        <v>1797</v>
      </c>
      <c r="BL1798" s="127">
        <v>4</v>
      </c>
      <c r="BM1798" s="127">
        <v>0.11332468572476186</v>
      </c>
      <c r="BN1798" s="127" t="e">
        <v>#N/A</v>
      </c>
      <c r="BO1798" s="127" t="e">
        <v>#N/A</v>
      </c>
      <c r="BP1798" s="151" t="e">
        <v>#N/A</v>
      </c>
      <c r="BQ1798">
        <v>0.11332468572476186</v>
      </c>
      <c r="BR1798" t="str">
        <v/>
      </c>
    </row>
    <row r="1799" spans="47:70" x14ac:dyDescent="0.2">
      <c r="AU1799"/>
      <c r="AV1799"/>
      <c r="AW1799"/>
      <c r="AX1799"/>
      <c r="AY1799"/>
      <c r="BK1799" s="42">
        <v>1798</v>
      </c>
      <c r="BL1799" s="127">
        <v>4</v>
      </c>
      <c r="BM1799" s="127">
        <v>0.11332468572476186</v>
      </c>
      <c r="BN1799" s="127" t="e">
        <v>#N/A</v>
      </c>
      <c r="BO1799" s="127" t="e">
        <v>#N/A</v>
      </c>
      <c r="BP1799" s="151" t="e">
        <v>#N/A</v>
      </c>
      <c r="BQ1799">
        <v>0.11332468572476186</v>
      </c>
      <c r="BR1799" t="str">
        <v/>
      </c>
    </row>
    <row r="1800" spans="47:70" x14ac:dyDescent="0.2">
      <c r="AU1800"/>
      <c r="AV1800"/>
      <c r="AW1800"/>
      <c r="AX1800"/>
      <c r="AY1800"/>
      <c r="BK1800" s="42">
        <v>1799</v>
      </c>
      <c r="BL1800" s="127">
        <v>4</v>
      </c>
      <c r="BM1800" s="127">
        <v>0.11332468572476186</v>
      </c>
      <c r="BN1800" s="127" t="e">
        <v>#N/A</v>
      </c>
      <c r="BO1800" s="127" t="e">
        <v>#N/A</v>
      </c>
      <c r="BP1800" s="151" t="e">
        <v>#N/A</v>
      </c>
      <c r="BQ1800">
        <v>0.11332468572476186</v>
      </c>
      <c r="BR1800" t="str">
        <v/>
      </c>
    </row>
    <row r="1801" spans="47:70" x14ac:dyDescent="0.2">
      <c r="AU1801"/>
      <c r="AV1801"/>
      <c r="AW1801"/>
      <c r="AX1801"/>
      <c r="AY1801"/>
      <c r="BK1801" s="42">
        <v>1800</v>
      </c>
      <c r="BL1801" s="127">
        <v>4</v>
      </c>
      <c r="BM1801" s="127">
        <v>0.11332468572476186</v>
      </c>
      <c r="BN1801" s="127" t="e">
        <v>#N/A</v>
      </c>
      <c r="BO1801" s="127" t="e">
        <v>#N/A</v>
      </c>
      <c r="BP1801" s="151" t="e">
        <v>#N/A</v>
      </c>
      <c r="BQ1801">
        <v>0.11332468572476186</v>
      </c>
      <c r="BR1801" t="str">
        <v/>
      </c>
    </row>
    <row r="1802" spans="47:70" x14ac:dyDescent="0.2">
      <c r="AU1802"/>
      <c r="AV1802"/>
      <c r="AW1802"/>
      <c r="AX1802"/>
      <c r="AY1802"/>
      <c r="BK1802" s="42">
        <v>1801</v>
      </c>
      <c r="BL1802" s="127">
        <v>4</v>
      </c>
      <c r="BM1802" s="127">
        <v>0.11332468572476186</v>
      </c>
      <c r="BN1802" s="127" t="e">
        <v>#N/A</v>
      </c>
      <c r="BO1802" s="127" t="e">
        <v>#N/A</v>
      </c>
      <c r="BP1802" s="151" t="e">
        <v>#N/A</v>
      </c>
      <c r="BQ1802">
        <v>0.11332468572476186</v>
      </c>
      <c r="BR1802" t="str">
        <v/>
      </c>
    </row>
    <row r="1803" spans="47:70" x14ac:dyDescent="0.2">
      <c r="AU1803"/>
      <c r="AV1803"/>
      <c r="AW1803"/>
      <c r="AX1803"/>
      <c r="AY1803"/>
      <c r="BK1803" s="42">
        <v>1802</v>
      </c>
      <c r="BL1803" s="127">
        <v>4</v>
      </c>
      <c r="BM1803" s="127">
        <v>0.11332468572476186</v>
      </c>
      <c r="BN1803" s="127" t="e">
        <v>#N/A</v>
      </c>
      <c r="BO1803" s="127" t="e">
        <v>#N/A</v>
      </c>
      <c r="BP1803" s="151" t="e">
        <v>#N/A</v>
      </c>
      <c r="BQ1803">
        <v>0.11332468572476186</v>
      </c>
      <c r="BR1803" t="str">
        <v/>
      </c>
    </row>
    <row r="1804" spans="47:70" x14ac:dyDescent="0.2">
      <c r="AU1804"/>
      <c r="AV1804"/>
      <c r="AW1804"/>
      <c r="AX1804"/>
      <c r="AY1804"/>
      <c r="BK1804" s="42">
        <v>1803</v>
      </c>
      <c r="BL1804" s="127">
        <v>4</v>
      </c>
      <c r="BM1804" s="127">
        <v>0.11332468572476186</v>
      </c>
      <c r="BN1804" s="127" t="e">
        <v>#N/A</v>
      </c>
      <c r="BO1804" s="127" t="e">
        <v>#N/A</v>
      </c>
      <c r="BP1804" s="151" t="e">
        <v>#N/A</v>
      </c>
      <c r="BQ1804">
        <v>0.11332468572476186</v>
      </c>
      <c r="BR1804" t="str">
        <v/>
      </c>
    </row>
    <row r="1805" spans="47:70" x14ac:dyDescent="0.2">
      <c r="AU1805"/>
      <c r="AV1805"/>
      <c r="AW1805"/>
      <c r="AX1805"/>
      <c r="AY1805"/>
      <c r="BK1805" s="42">
        <v>1804</v>
      </c>
      <c r="BL1805" s="127">
        <v>4</v>
      </c>
      <c r="BM1805" s="127">
        <v>0.11332468572476186</v>
      </c>
      <c r="BN1805" s="127" t="e">
        <v>#N/A</v>
      </c>
      <c r="BO1805" s="127" t="e">
        <v>#N/A</v>
      </c>
      <c r="BP1805" s="151" t="e">
        <v>#N/A</v>
      </c>
      <c r="BQ1805">
        <v>0.11332468572476186</v>
      </c>
      <c r="BR1805" t="str">
        <v/>
      </c>
    </row>
    <row r="1806" spans="47:70" x14ac:dyDescent="0.2">
      <c r="AU1806"/>
      <c r="AV1806"/>
      <c r="AW1806"/>
      <c r="AX1806"/>
      <c r="AY1806"/>
      <c r="BK1806" s="42">
        <v>1805</v>
      </c>
      <c r="BL1806" s="127">
        <v>4</v>
      </c>
      <c r="BM1806" s="127">
        <v>0.11332468572476186</v>
      </c>
      <c r="BN1806" s="127" t="e">
        <v>#N/A</v>
      </c>
      <c r="BO1806" s="127" t="e">
        <v>#N/A</v>
      </c>
      <c r="BP1806" s="151" t="e">
        <v>#N/A</v>
      </c>
      <c r="BQ1806">
        <v>0.11332468572476186</v>
      </c>
      <c r="BR1806" t="str">
        <v/>
      </c>
    </row>
    <row r="1807" spans="47:70" x14ac:dyDescent="0.2">
      <c r="AU1807"/>
      <c r="AV1807"/>
      <c r="AW1807"/>
      <c r="AX1807"/>
      <c r="AY1807"/>
      <c r="BK1807" s="42">
        <v>1806</v>
      </c>
      <c r="BL1807" s="127">
        <v>4</v>
      </c>
      <c r="BM1807" s="127">
        <v>0.11332468572476186</v>
      </c>
      <c r="BN1807" s="127" t="e">
        <v>#N/A</v>
      </c>
      <c r="BO1807" s="127" t="e">
        <v>#N/A</v>
      </c>
      <c r="BP1807" s="151" t="e">
        <v>#N/A</v>
      </c>
      <c r="BQ1807">
        <v>0.11332468572476186</v>
      </c>
      <c r="BR1807" t="str">
        <v/>
      </c>
    </row>
    <row r="1808" spans="47:70" x14ac:dyDescent="0.2">
      <c r="AU1808"/>
      <c r="AV1808"/>
      <c r="AW1808"/>
      <c r="AX1808"/>
      <c r="AY1808"/>
      <c r="BK1808" s="42">
        <v>1807</v>
      </c>
      <c r="BL1808" s="127">
        <v>4</v>
      </c>
      <c r="BM1808" s="127">
        <v>0.11332468572476186</v>
      </c>
      <c r="BN1808" s="127" t="e">
        <v>#N/A</v>
      </c>
      <c r="BO1808" s="127" t="e">
        <v>#N/A</v>
      </c>
      <c r="BP1808" s="151" t="e">
        <v>#N/A</v>
      </c>
      <c r="BQ1808">
        <v>0.11332468572476186</v>
      </c>
      <c r="BR1808" t="str">
        <v/>
      </c>
    </row>
    <row r="1809" spans="47:70" x14ac:dyDescent="0.2">
      <c r="AU1809"/>
      <c r="AV1809"/>
      <c r="AW1809"/>
      <c r="AX1809"/>
      <c r="AY1809"/>
      <c r="BK1809" s="42">
        <v>1808</v>
      </c>
      <c r="BL1809" s="127">
        <v>4</v>
      </c>
      <c r="BM1809" s="127">
        <v>0.11332468572476186</v>
      </c>
      <c r="BN1809" s="127" t="e">
        <v>#N/A</v>
      </c>
      <c r="BO1809" s="127" t="e">
        <v>#N/A</v>
      </c>
      <c r="BP1809" s="151" t="e">
        <v>#N/A</v>
      </c>
      <c r="BQ1809">
        <v>0.11332468572476186</v>
      </c>
      <c r="BR1809" t="str">
        <v/>
      </c>
    </row>
    <row r="1810" spans="47:70" x14ac:dyDescent="0.2">
      <c r="AU1810"/>
      <c r="AV1810"/>
      <c r="AW1810"/>
      <c r="AX1810"/>
      <c r="AY1810"/>
      <c r="BK1810" s="42">
        <v>1809</v>
      </c>
      <c r="BL1810" s="127">
        <v>4</v>
      </c>
      <c r="BM1810" s="127">
        <v>0.11332468572476186</v>
      </c>
      <c r="BN1810" s="127" t="e">
        <v>#N/A</v>
      </c>
      <c r="BO1810" s="127" t="e">
        <v>#N/A</v>
      </c>
      <c r="BP1810" s="151" t="e">
        <v>#N/A</v>
      </c>
      <c r="BQ1810">
        <v>0.11332468572476186</v>
      </c>
      <c r="BR1810" t="str">
        <v/>
      </c>
    </row>
    <row r="1811" spans="47:70" x14ac:dyDescent="0.2">
      <c r="AU1811"/>
      <c r="AV1811"/>
      <c r="AW1811"/>
      <c r="AX1811"/>
      <c r="AY1811"/>
      <c r="BK1811" s="42">
        <v>1810</v>
      </c>
      <c r="BL1811" s="127">
        <v>4</v>
      </c>
      <c r="BM1811" s="127">
        <v>0.11332468572476186</v>
      </c>
      <c r="BN1811" s="127" t="e">
        <v>#N/A</v>
      </c>
      <c r="BO1811" s="127" t="e">
        <v>#N/A</v>
      </c>
      <c r="BP1811" s="151" t="e">
        <v>#N/A</v>
      </c>
      <c r="BQ1811">
        <v>0.11332468572476186</v>
      </c>
      <c r="BR1811" t="str">
        <v/>
      </c>
    </row>
    <row r="1812" spans="47:70" x14ac:dyDescent="0.2">
      <c r="AU1812"/>
      <c r="AV1812"/>
      <c r="AW1812"/>
      <c r="AX1812"/>
      <c r="AY1812"/>
      <c r="BK1812" s="42">
        <v>1811</v>
      </c>
      <c r="BL1812" s="127">
        <v>4</v>
      </c>
      <c r="BM1812" s="127">
        <v>0.11332468572476186</v>
      </c>
      <c r="BN1812" s="127" t="e">
        <v>#N/A</v>
      </c>
      <c r="BO1812" s="127" t="e">
        <v>#N/A</v>
      </c>
      <c r="BP1812" s="151" t="e">
        <v>#N/A</v>
      </c>
      <c r="BQ1812">
        <v>0.11332468572476186</v>
      </c>
      <c r="BR1812" t="str">
        <v/>
      </c>
    </row>
    <row r="1813" spans="47:70" x14ac:dyDescent="0.2">
      <c r="AU1813"/>
      <c r="AV1813"/>
      <c r="AW1813"/>
      <c r="AX1813"/>
      <c r="AY1813"/>
      <c r="BK1813" s="42">
        <v>1812</v>
      </c>
      <c r="BL1813" s="127">
        <v>4</v>
      </c>
      <c r="BM1813" s="127">
        <v>0.11332468572476186</v>
      </c>
      <c r="BN1813" s="127" t="e">
        <v>#N/A</v>
      </c>
      <c r="BO1813" s="127" t="e">
        <v>#N/A</v>
      </c>
      <c r="BP1813" s="151" t="e">
        <v>#N/A</v>
      </c>
      <c r="BQ1813">
        <v>0.11332468572476186</v>
      </c>
      <c r="BR1813" t="str">
        <v/>
      </c>
    </row>
    <row r="1814" spans="47:70" x14ac:dyDescent="0.2">
      <c r="AU1814"/>
      <c r="AV1814"/>
      <c r="AW1814"/>
      <c r="AX1814"/>
      <c r="AY1814"/>
      <c r="BK1814" s="42">
        <v>1813</v>
      </c>
      <c r="BL1814" s="127">
        <v>4</v>
      </c>
      <c r="BM1814" s="127">
        <v>0.11332468572476186</v>
      </c>
      <c r="BN1814" s="127" t="e">
        <v>#N/A</v>
      </c>
      <c r="BO1814" s="127" t="e">
        <v>#N/A</v>
      </c>
      <c r="BP1814" s="151" t="e">
        <v>#N/A</v>
      </c>
      <c r="BQ1814">
        <v>0.11332468572476186</v>
      </c>
      <c r="BR1814" t="str">
        <v/>
      </c>
    </row>
    <row r="1815" spans="47:70" x14ac:dyDescent="0.2">
      <c r="AU1815"/>
      <c r="AV1815"/>
      <c r="AW1815"/>
      <c r="AX1815"/>
      <c r="AY1815"/>
      <c r="BK1815" s="42">
        <v>1814</v>
      </c>
      <c r="BL1815" s="127">
        <v>4</v>
      </c>
      <c r="BM1815" s="127">
        <v>0.11332468572476186</v>
      </c>
      <c r="BN1815" s="127" t="e">
        <v>#N/A</v>
      </c>
      <c r="BO1815" s="127" t="e">
        <v>#N/A</v>
      </c>
      <c r="BP1815" s="151" t="e">
        <v>#N/A</v>
      </c>
      <c r="BQ1815">
        <v>0.11332468572476186</v>
      </c>
      <c r="BR1815" t="str">
        <v/>
      </c>
    </row>
    <row r="1816" spans="47:70" x14ac:dyDescent="0.2">
      <c r="AU1816"/>
      <c r="AV1816"/>
      <c r="AW1816"/>
      <c r="AX1816"/>
      <c r="AY1816"/>
      <c r="BK1816" s="42">
        <v>1815</v>
      </c>
      <c r="BL1816" s="127">
        <v>4</v>
      </c>
      <c r="BM1816" s="127">
        <v>0.11332468572476186</v>
      </c>
      <c r="BN1816" s="127" t="e">
        <v>#N/A</v>
      </c>
      <c r="BO1816" s="127" t="e">
        <v>#N/A</v>
      </c>
      <c r="BP1816" s="151" t="e">
        <v>#N/A</v>
      </c>
      <c r="BQ1816">
        <v>0.11332468572476186</v>
      </c>
      <c r="BR1816" t="str">
        <v/>
      </c>
    </row>
    <row r="1817" spans="47:70" x14ac:dyDescent="0.2">
      <c r="AU1817"/>
      <c r="AV1817"/>
      <c r="AW1817"/>
      <c r="AX1817"/>
      <c r="AY1817"/>
      <c r="BK1817" s="42">
        <v>1816</v>
      </c>
      <c r="BL1817" s="127">
        <v>4</v>
      </c>
      <c r="BM1817" s="127">
        <v>0.11332468572476186</v>
      </c>
      <c r="BN1817" s="127" t="e">
        <v>#N/A</v>
      </c>
      <c r="BO1817" s="127" t="e">
        <v>#N/A</v>
      </c>
      <c r="BP1817" s="151" t="e">
        <v>#N/A</v>
      </c>
      <c r="BQ1817">
        <v>0.11332468572476186</v>
      </c>
      <c r="BR1817" t="str">
        <v/>
      </c>
    </row>
    <row r="1818" spans="47:70" x14ac:dyDescent="0.2">
      <c r="AU1818"/>
      <c r="AV1818"/>
      <c r="AW1818"/>
      <c r="AX1818"/>
      <c r="AY1818"/>
      <c r="BK1818" s="42">
        <v>1817</v>
      </c>
      <c r="BL1818" s="127">
        <v>4</v>
      </c>
      <c r="BM1818" s="127">
        <v>0.11332468572476186</v>
      </c>
      <c r="BN1818" s="127" t="e">
        <v>#N/A</v>
      </c>
      <c r="BO1818" s="127" t="e">
        <v>#N/A</v>
      </c>
      <c r="BP1818" s="151" t="e">
        <v>#N/A</v>
      </c>
      <c r="BQ1818">
        <v>0.11332468572476186</v>
      </c>
      <c r="BR1818" t="str">
        <v/>
      </c>
    </row>
    <row r="1819" spans="47:70" x14ac:dyDescent="0.2">
      <c r="AU1819"/>
      <c r="AV1819"/>
      <c r="AW1819"/>
      <c r="AX1819"/>
      <c r="AY1819"/>
      <c r="BK1819" s="42">
        <v>1818</v>
      </c>
      <c r="BL1819" s="127">
        <v>4</v>
      </c>
      <c r="BM1819" s="127">
        <v>0.11332468572476186</v>
      </c>
      <c r="BN1819" s="127" t="e">
        <v>#N/A</v>
      </c>
      <c r="BO1819" s="127" t="e">
        <v>#N/A</v>
      </c>
      <c r="BP1819" s="151" t="e">
        <v>#N/A</v>
      </c>
      <c r="BQ1819">
        <v>0.11332468572476186</v>
      </c>
      <c r="BR1819" t="str">
        <v/>
      </c>
    </row>
    <row r="1820" spans="47:70" x14ac:dyDescent="0.2">
      <c r="AU1820"/>
      <c r="AV1820"/>
      <c r="AW1820"/>
      <c r="AX1820"/>
      <c r="AY1820"/>
      <c r="BK1820" s="42">
        <v>1819</v>
      </c>
      <c r="BL1820" s="127">
        <v>4</v>
      </c>
      <c r="BM1820" s="127">
        <v>0.11332468572476186</v>
      </c>
      <c r="BN1820" s="127" t="e">
        <v>#N/A</v>
      </c>
      <c r="BO1820" s="127" t="e">
        <v>#N/A</v>
      </c>
      <c r="BP1820" s="151" t="e">
        <v>#N/A</v>
      </c>
      <c r="BQ1820">
        <v>0.11332468572476186</v>
      </c>
      <c r="BR1820" t="str">
        <v/>
      </c>
    </row>
    <row r="1821" spans="47:70" x14ac:dyDescent="0.2">
      <c r="AU1821"/>
      <c r="AV1821"/>
      <c r="AW1821"/>
      <c r="AX1821"/>
      <c r="AY1821"/>
      <c r="BK1821" s="42">
        <v>1820</v>
      </c>
      <c r="BL1821" s="127">
        <v>4</v>
      </c>
      <c r="BM1821" s="127">
        <v>0.11332468572476186</v>
      </c>
      <c r="BN1821" s="127" t="e">
        <v>#N/A</v>
      </c>
      <c r="BO1821" s="127" t="e">
        <v>#N/A</v>
      </c>
      <c r="BP1821" s="151" t="e">
        <v>#N/A</v>
      </c>
      <c r="BQ1821">
        <v>0.11332468572476186</v>
      </c>
      <c r="BR1821" t="str">
        <v/>
      </c>
    </row>
    <row r="1822" spans="47:70" x14ac:dyDescent="0.2">
      <c r="AU1822"/>
      <c r="AV1822"/>
      <c r="AW1822"/>
      <c r="AX1822"/>
      <c r="AY1822"/>
      <c r="BK1822" s="42">
        <v>1821</v>
      </c>
      <c r="BL1822" s="127">
        <v>4</v>
      </c>
      <c r="BM1822" s="127">
        <v>0.11332468572476186</v>
      </c>
      <c r="BN1822" s="127" t="e">
        <v>#N/A</v>
      </c>
      <c r="BO1822" s="127" t="e">
        <v>#N/A</v>
      </c>
      <c r="BP1822" s="151" t="e">
        <v>#N/A</v>
      </c>
      <c r="BQ1822">
        <v>0.11332468572476186</v>
      </c>
      <c r="BR1822" t="str">
        <v/>
      </c>
    </row>
    <row r="1823" spans="47:70" x14ac:dyDescent="0.2">
      <c r="AU1823"/>
      <c r="AV1823"/>
      <c r="AW1823"/>
      <c r="AX1823"/>
      <c r="AY1823"/>
      <c r="BK1823" s="42">
        <v>1822</v>
      </c>
      <c r="BL1823" s="127">
        <v>4</v>
      </c>
      <c r="BM1823" s="127">
        <v>0.11332468572476186</v>
      </c>
      <c r="BN1823" s="127" t="e">
        <v>#N/A</v>
      </c>
      <c r="BO1823" s="127" t="e">
        <v>#N/A</v>
      </c>
      <c r="BP1823" s="151" t="e">
        <v>#N/A</v>
      </c>
      <c r="BQ1823">
        <v>0.11332468572476186</v>
      </c>
      <c r="BR1823" t="str">
        <v/>
      </c>
    </row>
    <row r="1824" spans="47:70" x14ac:dyDescent="0.2">
      <c r="AU1824"/>
      <c r="AV1824"/>
      <c r="AW1824"/>
      <c r="AX1824"/>
      <c r="AY1824"/>
      <c r="BK1824" s="42">
        <v>1823</v>
      </c>
      <c r="BL1824" s="127">
        <v>4</v>
      </c>
      <c r="BM1824" s="127">
        <v>0.11332468572476186</v>
      </c>
      <c r="BN1824" s="127" t="e">
        <v>#N/A</v>
      </c>
      <c r="BO1824" s="127" t="e">
        <v>#N/A</v>
      </c>
      <c r="BP1824" s="151" t="e">
        <v>#N/A</v>
      </c>
      <c r="BQ1824">
        <v>0.11332468572476186</v>
      </c>
      <c r="BR1824" t="str">
        <v/>
      </c>
    </row>
    <row r="1825" spans="47:70" x14ac:dyDescent="0.2">
      <c r="AU1825"/>
      <c r="AV1825"/>
      <c r="AW1825"/>
      <c r="AX1825"/>
      <c r="AY1825"/>
      <c r="BK1825" s="42">
        <v>1824</v>
      </c>
      <c r="BL1825" s="127">
        <v>4</v>
      </c>
      <c r="BM1825" s="127">
        <v>0.11332468572476186</v>
      </c>
      <c r="BN1825" s="127" t="e">
        <v>#N/A</v>
      </c>
      <c r="BO1825" s="127" t="e">
        <v>#N/A</v>
      </c>
      <c r="BP1825" s="151" t="e">
        <v>#N/A</v>
      </c>
      <c r="BQ1825">
        <v>0.11332468572476186</v>
      </c>
      <c r="BR1825" t="str">
        <v/>
      </c>
    </row>
    <row r="1826" spans="47:70" x14ac:dyDescent="0.2">
      <c r="AU1826"/>
      <c r="AV1826"/>
      <c r="AW1826"/>
      <c r="AX1826"/>
      <c r="AY1826"/>
      <c r="BK1826" s="42">
        <v>1825</v>
      </c>
      <c r="BL1826" s="127">
        <v>4</v>
      </c>
      <c r="BM1826" s="127">
        <v>0.11332468572476186</v>
      </c>
      <c r="BN1826" s="127" t="e">
        <v>#N/A</v>
      </c>
      <c r="BO1826" s="127" t="e">
        <v>#N/A</v>
      </c>
      <c r="BP1826" s="151" t="e">
        <v>#N/A</v>
      </c>
      <c r="BQ1826">
        <v>0.11332468572476186</v>
      </c>
      <c r="BR1826" t="str">
        <v/>
      </c>
    </row>
    <row r="1827" spans="47:70" x14ac:dyDescent="0.2">
      <c r="AU1827"/>
      <c r="AV1827"/>
      <c r="AW1827"/>
      <c r="AX1827"/>
      <c r="AY1827"/>
      <c r="BK1827" s="42">
        <v>1826</v>
      </c>
      <c r="BL1827" s="127">
        <v>4</v>
      </c>
      <c r="BM1827" s="127">
        <v>0.11332468572476186</v>
      </c>
      <c r="BN1827" s="127" t="e">
        <v>#N/A</v>
      </c>
      <c r="BO1827" s="127" t="e">
        <v>#N/A</v>
      </c>
      <c r="BP1827" s="151" t="e">
        <v>#N/A</v>
      </c>
      <c r="BQ1827">
        <v>0.11332468572476186</v>
      </c>
      <c r="BR1827" t="str">
        <v/>
      </c>
    </row>
    <row r="1828" spans="47:70" x14ac:dyDescent="0.2">
      <c r="AU1828"/>
      <c r="AV1828"/>
      <c r="AW1828"/>
      <c r="AX1828"/>
      <c r="AY1828"/>
      <c r="BK1828" s="42">
        <v>1827</v>
      </c>
      <c r="BL1828" s="127">
        <v>4</v>
      </c>
      <c r="BM1828" s="127">
        <v>0.11332468572476186</v>
      </c>
      <c r="BN1828" s="127" t="e">
        <v>#N/A</v>
      </c>
      <c r="BO1828" s="127" t="e">
        <v>#N/A</v>
      </c>
      <c r="BP1828" s="151" t="e">
        <v>#N/A</v>
      </c>
      <c r="BQ1828">
        <v>0.11332468572476186</v>
      </c>
      <c r="BR1828" t="str">
        <v/>
      </c>
    </row>
    <row r="1829" spans="47:70" x14ac:dyDescent="0.2">
      <c r="AU1829"/>
      <c r="AV1829"/>
      <c r="AW1829"/>
      <c r="AX1829"/>
      <c r="AY1829"/>
      <c r="BK1829" s="42">
        <v>1828</v>
      </c>
      <c r="BL1829" s="127">
        <v>4</v>
      </c>
      <c r="BM1829" s="127">
        <v>0.11332468572476186</v>
      </c>
      <c r="BN1829" s="127" t="e">
        <v>#N/A</v>
      </c>
      <c r="BO1829" s="127" t="e">
        <v>#N/A</v>
      </c>
      <c r="BP1829" s="151" t="e">
        <v>#N/A</v>
      </c>
      <c r="BQ1829">
        <v>0.11332468572476186</v>
      </c>
      <c r="BR1829" t="str">
        <v/>
      </c>
    </row>
    <row r="1830" spans="47:70" x14ac:dyDescent="0.2">
      <c r="AU1830"/>
      <c r="AV1830"/>
      <c r="AW1830"/>
      <c r="AX1830"/>
      <c r="AY1830"/>
      <c r="BK1830" s="42">
        <v>1829</v>
      </c>
      <c r="BL1830" s="127">
        <v>4</v>
      </c>
      <c r="BM1830" s="127">
        <v>0.11332468572476186</v>
      </c>
      <c r="BN1830" s="127" t="e">
        <v>#N/A</v>
      </c>
      <c r="BO1830" s="127" t="e">
        <v>#N/A</v>
      </c>
      <c r="BP1830" s="151" t="e">
        <v>#N/A</v>
      </c>
      <c r="BQ1830">
        <v>0.11332468572476186</v>
      </c>
      <c r="BR1830" t="str">
        <v/>
      </c>
    </row>
    <row r="1831" spans="47:70" x14ac:dyDescent="0.2">
      <c r="AU1831"/>
      <c r="AV1831"/>
      <c r="AW1831"/>
      <c r="AX1831"/>
      <c r="AY1831"/>
      <c r="BK1831" s="42">
        <v>1830</v>
      </c>
      <c r="BL1831" s="127">
        <v>4</v>
      </c>
      <c r="BM1831" s="127">
        <v>0.11332468572476186</v>
      </c>
      <c r="BN1831" s="127" t="e">
        <v>#N/A</v>
      </c>
      <c r="BO1831" s="127" t="e">
        <v>#N/A</v>
      </c>
      <c r="BP1831" s="151" t="e">
        <v>#N/A</v>
      </c>
      <c r="BQ1831">
        <v>0.11332468572476186</v>
      </c>
      <c r="BR1831" t="str">
        <v/>
      </c>
    </row>
    <row r="1832" spans="47:70" x14ac:dyDescent="0.2">
      <c r="AU1832"/>
      <c r="AV1832"/>
      <c r="AW1832"/>
      <c r="AX1832"/>
      <c r="AY1832"/>
      <c r="BK1832" s="42">
        <v>1831</v>
      </c>
      <c r="BL1832" s="127">
        <v>4</v>
      </c>
      <c r="BM1832" s="127">
        <v>0.11332468572476186</v>
      </c>
      <c r="BN1832" s="127" t="e">
        <v>#N/A</v>
      </c>
      <c r="BO1832" s="127" t="e">
        <v>#N/A</v>
      </c>
      <c r="BP1832" s="151" t="e">
        <v>#N/A</v>
      </c>
      <c r="BQ1832">
        <v>0.11332468572476186</v>
      </c>
      <c r="BR1832" t="str">
        <v/>
      </c>
    </row>
    <row r="1833" spans="47:70" x14ac:dyDescent="0.2">
      <c r="AU1833"/>
      <c r="AV1833"/>
      <c r="AW1833"/>
      <c r="AX1833"/>
      <c r="AY1833"/>
      <c r="BK1833" s="42">
        <v>1832</v>
      </c>
      <c r="BL1833" s="127">
        <v>4</v>
      </c>
      <c r="BM1833" s="127">
        <v>0.11332468572476186</v>
      </c>
      <c r="BN1833" s="127" t="e">
        <v>#N/A</v>
      </c>
      <c r="BO1833" s="127" t="e">
        <v>#N/A</v>
      </c>
      <c r="BP1833" s="151" t="e">
        <v>#N/A</v>
      </c>
      <c r="BQ1833">
        <v>0.11332468572476186</v>
      </c>
      <c r="BR1833" t="str">
        <v/>
      </c>
    </row>
    <row r="1834" spans="47:70" x14ac:dyDescent="0.2">
      <c r="AU1834"/>
      <c r="AV1834"/>
      <c r="AW1834"/>
      <c r="AX1834"/>
      <c r="AY1834"/>
      <c r="BK1834" s="42">
        <v>1833</v>
      </c>
      <c r="BL1834" s="127">
        <v>4</v>
      </c>
      <c r="BM1834" s="127">
        <v>0.11332468572476186</v>
      </c>
      <c r="BN1834" s="127" t="e">
        <v>#N/A</v>
      </c>
      <c r="BO1834" s="127" t="e">
        <v>#N/A</v>
      </c>
      <c r="BP1834" s="151" t="e">
        <v>#N/A</v>
      </c>
      <c r="BQ1834">
        <v>0.11332468572476186</v>
      </c>
      <c r="BR1834" t="str">
        <v/>
      </c>
    </row>
    <row r="1835" spans="47:70" x14ac:dyDescent="0.2">
      <c r="AU1835"/>
      <c r="AV1835"/>
      <c r="AW1835"/>
      <c r="AX1835"/>
      <c r="AY1835"/>
      <c r="BK1835" s="42">
        <v>1834</v>
      </c>
      <c r="BL1835" s="127">
        <v>4</v>
      </c>
      <c r="BM1835" s="127">
        <v>0.11332468572476186</v>
      </c>
      <c r="BN1835" s="127" t="e">
        <v>#N/A</v>
      </c>
      <c r="BO1835" s="127" t="e">
        <v>#N/A</v>
      </c>
      <c r="BP1835" s="151" t="e">
        <v>#N/A</v>
      </c>
      <c r="BQ1835">
        <v>0.11332468572476186</v>
      </c>
      <c r="BR1835" t="str">
        <v/>
      </c>
    </row>
    <row r="1836" spans="47:70" x14ac:dyDescent="0.2">
      <c r="AU1836"/>
      <c r="AV1836"/>
      <c r="AW1836"/>
      <c r="AX1836"/>
      <c r="AY1836"/>
      <c r="BK1836" s="42">
        <v>1835</v>
      </c>
      <c r="BL1836" s="127">
        <v>4</v>
      </c>
      <c r="BM1836" s="127">
        <v>0.11332468572476186</v>
      </c>
      <c r="BN1836" s="127" t="e">
        <v>#N/A</v>
      </c>
      <c r="BO1836" s="127" t="e">
        <v>#N/A</v>
      </c>
      <c r="BP1836" s="151" t="e">
        <v>#N/A</v>
      </c>
      <c r="BQ1836">
        <v>0.11332468572476186</v>
      </c>
      <c r="BR1836" t="str">
        <v/>
      </c>
    </row>
    <row r="1837" spans="47:70" x14ac:dyDescent="0.2">
      <c r="AU1837"/>
      <c r="AV1837"/>
      <c r="AW1837"/>
      <c r="AX1837"/>
      <c r="AY1837"/>
      <c r="BK1837" s="42">
        <v>1836</v>
      </c>
      <c r="BL1837" s="127">
        <v>4</v>
      </c>
      <c r="BM1837" s="127">
        <v>0.11332468572476186</v>
      </c>
      <c r="BN1837" s="127" t="e">
        <v>#N/A</v>
      </c>
      <c r="BO1837" s="127" t="e">
        <v>#N/A</v>
      </c>
      <c r="BP1837" s="151" t="e">
        <v>#N/A</v>
      </c>
      <c r="BQ1837">
        <v>0.11332468572476186</v>
      </c>
      <c r="BR1837" t="str">
        <v/>
      </c>
    </row>
    <row r="1838" spans="47:70" x14ac:dyDescent="0.2">
      <c r="AU1838"/>
      <c r="AV1838"/>
      <c r="AW1838"/>
      <c r="AX1838"/>
      <c r="AY1838"/>
      <c r="BK1838" s="42">
        <v>1837</v>
      </c>
      <c r="BL1838" s="127">
        <v>4</v>
      </c>
      <c r="BM1838" s="127">
        <v>0.11332468572476186</v>
      </c>
      <c r="BN1838" s="127" t="e">
        <v>#N/A</v>
      </c>
      <c r="BO1838" s="127" t="e">
        <v>#N/A</v>
      </c>
      <c r="BP1838" s="151" t="e">
        <v>#N/A</v>
      </c>
      <c r="BQ1838">
        <v>0.11332468572476186</v>
      </c>
      <c r="BR1838" t="str">
        <v/>
      </c>
    </row>
    <row r="1839" spans="47:70" x14ac:dyDescent="0.2">
      <c r="AU1839"/>
      <c r="AV1839"/>
      <c r="AW1839"/>
      <c r="AX1839"/>
      <c r="AY1839"/>
      <c r="BK1839" s="42">
        <v>1838</v>
      </c>
      <c r="BL1839" s="127">
        <v>4</v>
      </c>
      <c r="BM1839" s="127">
        <v>0.11332468572476186</v>
      </c>
      <c r="BN1839" s="127" t="e">
        <v>#N/A</v>
      </c>
      <c r="BO1839" s="127" t="e">
        <v>#N/A</v>
      </c>
      <c r="BP1839" s="151" t="e">
        <v>#N/A</v>
      </c>
      <c r="BQ1839">
        <v>0.11332468572476186</v>
      </c>
      <c r="BR1839" t="str">
        <v/>
      </c>
    </row>
    <row r="1840" spans="47:70" x14ac:dyDescent="0.2">
      <c r="AU1840"/>
      <c r="AV1840"/>
      <c r="AW1840"/>
      <c r="AX1840"/>
      <c r="AY1840"/>
      <c r="BK1840" s="42">
        <v>1839</v>
      </c>
      <c r="BL1840" s="127">
        <v>4</v>
      </c>
      <c r="BM1840" s="127">
        <v>0.11332468572476186</v>
      </c>
      <c r="BN1840" s="127" t="e">
        <v>#N/A</v>
      </c>
      <c r="BO1840" s="127" t="e">
        <v>#N/A</v>
      </c>
      <c r="BP1840" s="151" t="e">
        <v>#N/A</v>
      </c>
      <c r="BQ1840">
        <v>0.11332468572476186</v>
      </c>
      <c r="BR1840" t="str">
        <v/>
      </c>
    </row>
    <row r="1841" spans="47:70" x14ac:dyDescent="0.2">
      <c r="AU1841"/>
      <c r="AV1841"/>
      <c r="AW1841"/>
      <c r="AX1841"/>
      <c r="AY1841"/>
      <c r="BK1841" s="42">
        <v>1840</v>
      </c>
      <c r="BL1841" s="127">
        <v>4</v>
      </c>
      <c r="BM1841" s="127">
        <v>0.11332468572476186</v>
      </c>
      <c r="BN1841" s="127" t="e">
        <v>#N/A</v>
      </c>
      <c r="BO1841" s="127" t="e">
        <v>#N/A</v>
      </c>
      <c r="BP1841" s="151" t="e">
        <v>#N/A</v>
      </c>
      <c r="BQ1841">
        <v>0.11332468572476186</v>
      </c>
      <c r="BR1841" t="str">
        <v/>
      </c>
    </row>
    <row r="1842" spans="47:70" x14ac:dyDescent="0.2">
      <c r="AU1842"/>
      <c r="AV1842"/>
      <c r="AW1842"/>
      <c r="AX1842"/>
      <c r="AY1842"/>
      <c r="BK1842" s="42">
        <v>1841</v>
      </c>
      <c r="BL1842" s="127">
        <v>4</v>
      </c>
      <c r="BM1842" s="127">
        <v>0.11332468572476186</v>
      </c>
      <c r="BN1842" s="127" t="e">
        <v>#N/A</v>
      </c>
      <c r="BO1842" s="127" t="e">
        <v>#N/A</v>
      </c>
      <c r="BP1842" s="151" t="e">
        <v>#N/A</v>
      </c>
      <c r="BQ1842">
        <v>0.11332468572476186</v>
      </c>
      <c r="BR1842" t="str">
        <v/>
      </c>
    </row>
    <row r="1843" spans="47:70" x14ac:dyDescent="0.2">
      <c r="AU1843"/>
      <c r="AV1843"/>
      <c r="AW1843"/>
      <c r="AX1843"/>
      <c r="AY1843"/>
      <c r="BK1843" s="42">
        <v>1842</v>
      </c>
      <c r="BL1843" s="127">
        <v>4</v>
      </c>
      <c r="BM1843" s="127">
        <v>0.11332468572476186</v>
      </c>
      <c r="BN1843" s="127" t="e">
        <v>#N/A</v>
      </c>
      <c r="BO1843" s="127" t="e">
        <v>#N/A</v>
      </c>
      <c r="BP1843" s="151" t="e">
        <v>#N/A</v>
      </c>
      <c r="BQ1843">
        <v>0.11332468572476186</v>
      </c>
      <c r="BR1843" t="str">
        <v/>
      </c>
    </row>
    <row r="1844" spans="47:70" x14ac:dyDescent="0.2">
      <c r="AU1844"/>
      <c r="AV1844"/>
      <c r="AW1844"/>
      <c r="AX1844"/>
      <c r="AY1844"/>
      <c r="BK1844" s="42">
        <v>1843</v>
      </c>
      <c r="BL1844" s="127">
        <v>4</v>
      </c>
      <c r="BM1844" s="127">
        <v>0.11332468572476186</v>
      </c>
      <c r="BN1844" s="127" t="e">
        <v>#N/A</v>
      </c>
      <c r="BO1844" s="127" t="e">
        <v>#N/A</v>
      </c>
      <c r="BP1844" s="151" t="e">
        <v>#N/A</v>
      </c>
      <c r="BQ1844">
        <v>0.11332468572476186</v>
      </c>
      <c r="BR1844" t="str">
        <v/>
      </c>
    </row>
    <row r="1845" spans="47:70" x14ac:dyDescent="0.2">
      <c r="AU1845"/>
      <c r="AV1845"/>
      <c r="AW1845"/>
      <c r="AX1845"/>
      <c r="AY1845"/>
      <c r="BK1845" s="42">
        <v>1844</v>
      </c>
      <c r="BL1845" s="127">
        <v>4</v>
      </c>
      <c r="BM1845" s="127">
        <v>0.11332468572476186</v>
      </c>
      <c r="BN1845" s="127" t="e">
        <v>#N/A</v>
      </c>
      <c r="BO1845" s="127" t="e">
        <v>#N/A</v>
      </c>
      <c r="BP1845" s="151" t="e">
        <v>#N/A</v>
      </c>
      <c r="BQ1845">
        <v>0.11332468572476186</v>
      </c>
      <c r="BR1845" t="str">
        <v/>
      </c>
    </row>
    <row r="1846" spans="47:70" x14ac:dyDescent="0.2">
      <c r="AU1846"/>
      <c r="AV1846"/>
      <c r="AW1846"/>
      <c r="AX1846"/>
      <c r="AY1846"/>
      <c r="BK1846" s="42">
        <v>1845</v>
      </c>
      <c r="BL1846" s="127">
        <v>4</v>
      </c>
      <c r="BM1846" s="127">
        <v>0.11332468572476186</v>
      </c>
      <c r="BN1846" s="127" t="e">
        <v>#N/A</v>
      </c>
      <c r="BO1846" s="127" t="e">
        <v>#N/A</v>
      </c>
      <c r="BP1846" s="151" t="e">
        <v>#N/A</v>
      </c>
      <c r="BQ1846">
        <v>0.11332468572476186</v>
      </c>
      <c r="BR1846" t="str">
        <v/>
      </c>
    </row>
    <row r="1847" spans="47:70" x14ac:dyDescent="0.2">
      <c r="AU1847"/>
      <c r="AV1847"/>
      <c r="AW1847"/>
      <c r="AX1847"/>
      <c r="AY1847"/>
      <c r="BK1847" s="42">
        <v>1846</v>
      </c>
      <c r="BL1847" s="127">
        <v>4</v>
      </c>
      <c r="BM1847" s="127">
        <v>0.11332468572476186</v>
      </c>
      <c r="BN1847" s="127" t="e">
        <v>#N/A</v>
      </c>
      <c r="BO1847" s="127" t="e">
        <v>#N/A</v>
      </c>
      <c r="BP1847" s="151" t="e">
        <v>#N/A</v>
      </c>
      <c r="BQ1847">
        <v>0.11332468572476186</v>
      </c>
      <c r="BR1847" t="str">
        <v/>
      </c>
    </row>
    <row r="1848" spans="47:70" x14ac:dyDescent="0.2">
      <c r="AU1848"/>
      <c r="AV1848"/>
      <c r="AW1848"/>
      <c r="AX1848"/>
      <c r="AY1848"/>
      <c r="BK1848" s="42">
        <v>1847</v>
      </c>
      <c r="BL1848" s="127">
        <v>4</v>
      </c>
      <c r="BM1848" s="127">
        <v>0.11332468572476186</v>
      </c>
      <c r="BN1848" s="127" t="e">
        <v>#N/A</v>
      </c>
      <c r="BO1848" s="127" t="e">
        <v>#N/A</v>
      </c>
      <c r="BP1848" s="151" t="e">
        <v>#N/A</v>
      </c>
      <c r="BQ1848">
        <v>0.11332468572476186</v>
      </c>
      <c r="BR1848" t="str">
        <v/>
      </c>
    </row>
    <row r="1849" spans="47:70" x14ac:dyDescent="0.2">
      <c r="AU1849"/>
      <c r="AV1849"/>
      <c r="AW1849"/>
      <c r="AX1849"/>
      <c r="AY1849"/>
      <c r="BK1849" s="42">
        <v>1848</v>
      </c>
      <c r="BL1849" s="127">
        <v>4</v>
      </c>
      <c r="BM1849" s="127">
        <v>0.11332468572476186</v>
      </c>
      <c r="BN1849" s="127" t="e">
        <v>#N/A</v>
      </c>
      <c r="BO1849" s="127" t="e">
        <v>#N/A</v>
      </c>
      <c r="BP1849" s="151" t="e">
        <v>#N/A</v>
      </c>
      <c r="BQ1849">
        <v>0.11332468572476186</v>
      </c>
      <c r="BR1849" t="str">
        <v/>
      </c>
    </row>
    <row r="1850" spans="47:70" x14ac:dyDescent="0.2">
      <c r="AU1850"/>
      <c r="AV1850"/>
      <c r="AW1850"/>
      <c r="AX1850"/>
      <c r="AY1850"/>
      <c r="BK1850" s="42">
        <v>1849</v>
      </c>
      <c r="BL1850" s="127">
        <v>4</v>
      </c>
      <c r="BM1850" s="127">
        <v>0.11332468572476186</v>
      </c>
      <c r="BN1850" s="127" t="e">
        <v>#N/A</v>
      </c>
      <c r="BO1850" s="127" t="e">
        <v>#N/A</v>
      </c>
      <c r="BP1850" s="151" t="e">
        <v>#N/A</v>
      </c>
      <c r="BQ1850">
        <v>0.11332468572476186</v>
      </c>
      <c r="BR1850" t="str">
        <v/>
      </c>
    </row>
    <row r="1851" spans="47:70" x14ac:dyDescent="0.2">
      <c r="AU1851"/>
      <c r="AV1851"/>
      <c r="AW1851"/>
      <c r="AX1851"/>
      <c r="AY1851"/>
      <c r="BK1851" s="42">
        <v>1850</v>
      </c>
      <c r="BL1851" s="127">
        <v>4</v>
      </c>
      <c r="BM1851" s="127">
        <v>0.11332468572476186</v>
      </c>
      <c r="BN1851" s="127" t="e">
        <v>#N/A</v>
      </c>
      <c r="BO1851" s="127" t="e">
        <v>#N/A</v>
      </c>
      <c r="BP1851" s="151" t="e">
        <v>#N/A</v>
      </c>
      <c r="BQ1851">
        <v>0.11332468572476186</v>
      </c>
      <c r="BR1851" t="str">
        <v/>
      </c>
    </row>
    <row r="1852" spans="47:70" x14ac:dyDescent="0.2">
      <c r="AU1852"/>
      <c r="AV1852"/>
      <c r="AW1852"/>
      <c r="AX1852"/>
      <c r="AY1852"/>
      <c r="BK1852" s="42">
        <v>1851</v>
      </c>
      <c r="BL1852" s="127">
        <v>4</v>
      </c>
      <c r="BM1852" s="127">
        <v>0.11332468572476186</v>
      </c>
      <c r="BN1852" s="127" t="e">
        <v>#N/A</v>
      </c>
      <c r="BO1852" s="127" t="e">
        <v>#N/A</v>
      </c>
      <c r="BP1852" s="151" t="e">
        <v>#N/A</v>
      </c>
      <c r="BQ1852">
        <v>0.11332468572476186</v>
      </c>
      <c r="BR1852" t="str">
        <v/>
      </c>
    </row>
    <row r="1853" spans="47:70" x14ac:dyDescent="0.2">
      <c r="AU1853"/>
      <c r="AV1853"/>
      <c r="AW1853"/>
      <c r="AX1853"/>
      <c r="AY1853"/>
      <c r="BK1853" s="42">
        <v>1852</v>
      </c>
      <c r="BL1853" s="127">
        <v>4</v>
      </c>
      <c r="BM1853" s="127">
        <v>0.11332468572476186</v>
      </c>
      <c r="BN1853" s="127" t="e">
        <v>#N/A</v>
      </c>
      <c r="BO1853" s="127" t="e">
        <v>#N/A</v>
      </c>
      <c r="BP1853" s="151" t="e">
        <v>#N/A</v>
      </c>
      <c r="BQ1853">
        <v>0.11332468572476186</v>
      </c>
      <c r="BR1853" t="str">
        <v/>
      </c>
    </row>
    <row r="1854" spans="47:70" x14ac:dyDescent="0.2">
      <c r="AU1854"/>
      <c r="AV1854"/>
      <c r="AW1854"/>
      <c r="AX1854"/>
      <c r="AY1854"/>
      <c r="BK1854" s="42">
        <v>1853</v>
      </c>
      <c r="BL1854" s="127">
        <v>4</v>
      </c>
      <c r="BM1854" s="127">
        <v>0.11332468572476186</v>
      </c>
      <c r="BN1854" s="127" t="e">
        <v>#N/A</v>
      </c>
      <c r="BO1854" s="127" t="e">
        <v>#N/A</v>
      </c>
      <c r="BP1854" s="151" t="e">
        <v>#N/A</v>
      </c>
      <c r="BQ1854">
        <v>0.11332468572476186</v>
      </c>
      <c r="BR1854" t="str">
        <v/>
      </c>
    </row>
    <row r="1855" spans="47:70" x14ac:dyDescent="0.2">
      <c r="AU1855"/>
      <c r="AV1855"/>
      <c r="AW1855"/>
      <c r="AX1855"/>
      <c r="AY1855"/>
      <c r="BK1855" s="42">
        <v>1854</v>
      </c>
      <c r="BL1855" s="127">
        <v>4</v>
      </c>
      <c r="BM1855" s="127">
        <v>0.11332468572476186</v>
      </c>
      <c r="BN1855" s="127" t="e">
        <v>#N/A</v>
      </c>
      <c r="BO1855" s="127" t="e">
        <v>#N/A</v>
      </c>
      <c r="BP1855" s="151" t="e">
        <v>#N/A</v>
      </c>
      <c r="BQ1855">
        <v>0.11332468572476186</v>
      </c>
      <c r="BR1855" t="str">
        <v/>
      </c>
    </row>
    <row r="1856" spans="47:70" x14ac:dyDescent="0.2">
      <c r="AU1856"/>
      <c r="AV1856"/>
      <c r="AW1856"/>
      <c r="AX1856"/>
      <c r="AY1856"/>
      <c r="BK1856" s="42">
        <v>1855</v>
      </c>
      <c r="BL1856" s="127">
        <v>4</v>
      </c>
      <c r="BM1856" s="127">
        <v>0.11332468572476186</v>
      </c>
      <c r="BN1856" s="127" t="e">
        <v>#N/A</v>
      </c>
      <c r="BO1856" s="127" t="e">
        <v>#N/A</v>
      </c>
      <c r="BP1856" s="151" t="e">
        <v>#N/A</v>
      </c>
      <c r="BQ1856">
        <v>0.11332468572476186</v>
      </c>
      <c r="BR1856" t="str">
        <v/>
      </c>
    </row>
    <row r="1857" spans="47:70" x14ac:dyDescent="0.2">
      <c r="AU1857"/>
      <c r="AV1857"/>
      <c r="AW1857"/>
      <c r="AX1857"/>
      <c r="AY1857"/>
      <c r="BK1857" s="42">
        <v>1856</v>
      </c>
      <c r="BL1857" s="127">
        <v>4</v>
      </c>
      <c r="BM1857" s="127">
        <v>0.11332468572476186</v>
      </c>
      <c r="BN1857" s="127" t="e">
        <v>#N/A</v>
      </c>
      <c r="BO1857" s="127" t="e">
        <v>#N/A</v>
      </c>
      <c r="BP1857" s="151" t="e">
        <v>#N/A</v>
      </c>
      <c r="BQ1857">
        <v>0.11332468572476186</v>
      </c>
      <c r="BR1857" t="str">
        <v/>
      </c>
    </row>
    <row r="1858" spans="47:70" x14ac:dyDescent="0.2">
      <c r="AU1858"/>
      <c r="AV1858"/>
      <c r="AW1858"/>
      <c r="AX1858"/>
      <c r="AY1858"/>
      <c r="BK1858" s="42">
        <v>1857</v>
      </c>
      <c r="BL1858" s="127">
        <v>4</v>
      </c>
      <c r="BM1858" s="127">
        <v>0.11332468572476186</v>
      </c>
      <c r="BN1858" s="127" t="e">
        <v>#N/A</v>
      </c>
      <c r="BO1858" s="127" t="e">
        <v>#N/A</v>
      </c>
      <c r="BP1858" s="151" t="e">
        <v>#N/A</v>
      </c>
      <c r="BQ1858">
        <v>0.11332468572476186</v>
      </c>
      <c r="BR1858" t="str">
        <v/>
      </c>
    </row>
    <row r="1859" spans="47:70" x14ac:dyDescent="0.2">
      <c r="AU1859"/>
      <c r="AV1859"/>
      <c r="AW1859"/>
      <c r="AX1859"/>
      <c r="AY1859"/>
      <c r="BK1859" s="42">
        <v>1858</v>
      </c>
      <c r="BL1859" s="127">
        <v>4</v>
      </c>
      <c r="BM1859" s="127">
        <v>0.11332468572476186</v>
      </c>
      <c r="BN1859" s="127" t="e">
        <v>#N/A</v>
      </c>
      <c r="BO1859" s="127" t="e">
        <v>#N/A</v>
      </c>
      <c r="BP1859" s="151" t="e">
        <v>#N/A</v>
      </c>
      <c r="BQ1859">
        <v>0.11332468572476186</v>
      </c>
      <c r="BR1859" t="str">
        <v/>
      </c>
    </row>
    <row r="1860" spans="47:70" x14ac:dyDescent="0.2">
      <c r="AU1860"/>
      <c r="AV1860"/>
      <c r="AW1860"/>
      <c r="AX1860"/>
      <c r="AY1860"/>
      <c r="BK1860" s="42">
        <v>1859</v>
      </c>
      <c r="BL1860" s="127">
        <v>4</v>
      </c>
      <c r="BM1860" s="127">
        <v>0.11332468572476186</v>
      </c>
      <c r="BN1860" s="127" t="e">
        <v>#N/A</v>
      </c>
      <c r="BO1860" s="127" t="e">
        <v>#N/A</v>
      </c>
      <c r="BP1860" s="151" t="e">
        <v>#N/A</v>
      </c>
      <c r="BQ1860">
        <v>0.11332468572476186</v>
      </c>
      <c r="BR1860" t="str">
        <v/>
      </c>
    </row>
    <row r="1861" spans="47:70" x14ac:dyDescent="0.2">
      <c r="AU1861"/>
      <c r="AV1861"/>
      <c r="AW1861"/>
      <c r="AX1861"/>
      <c r="AY1861"/>
      <c r="BK1861" s="42">
        <v>1860</v>
      </c>
      <c r="BL1861" s="127">
        <v>4</v>
      </c>
      <c r="BM1861" s="127">
        <v>0.11332468572476186</v>
      </c>
      <c r="BN1861" s="127" t="e">
        <v>#N/A</v>
      </c>
      <c r="BO1861" s="127" t="e">
        <v>#N/A</v>
      </c>
      <c r="BP1861" s="151" t="e">
        <v>#N/A</v>
      </c>
      <c r="BQ1861">
        <v>0.11332468572476186</v>
      </c>
      <c r="BR1861" t="str">
        <v/>
      </c>
    </row>
    <row r="1862" spans="47:70" x14ac:dyDescent="0.2">
      <c r="AU1862"/>
      <c r="AV1862"/>
      <c r="AW1862"/>
      <c r="AX1862"/>
      <c r="AY1862"/>
      <c r="BK1862" s="42">
        <v>1861</v>
      </c>
      <c r="BL1862" s="127">
        <v>4</v>
      </c>
      <c r="BM1862" s="127">
        <v>0.11332468572476186</v>
      </c>
      <c r="BN1862" s="127" t="e">
        <v>#N/A</v>
      </c>
      <c r="BO1862" s="127" t="e">
        <v>#N/A</v>
      </c>
      <c r="BP1862" s="151" t="e">
        <v>#N/A</v>
      </c>
      <c r="BQ1862">
        <v>0.11332468572476186</v>
      </c>
      <c r="BR1862" t="str">
        <v/>
      </c>
    </row>
    <row r="1863" spans="47:70" x14ac:dyDescent="0.2">
      <c r="AU1863"/>
      <c r="AV1863"/>
      <c r="AW1863"/>
      <c r="AX1863"/>
      <c r="AY1863"/>
      <c r="BK1863" s="42">
        <v>1862</v>
      </c>
      <c r="BL1863" s="127">
        <v>4</v>
      </c>
      <c r="BM1863" s="127">
        <v>0.11332468572476186</v>
      </c>
      <c r="BN1863" s="127" t="e">
        <v>#N/A</v>
      </c>
      <c r="BO1863" s="127" t="e">
        <v>#N/A</v>
      </c>
      <c r="BP1863" s="151" t="e">
        <v>#N/A</v>
      </c>
      <c r="BQ1863">
        <v>0.11332468572476186</v>
      </c>
      <c r="BR1863" t="str">
        <v/>
      </c>
    </row>
    <row r="1864" spans="47:70" x14ac:dyDescent="0.2">
      <c r="AU1864"/>
      <c r="AV1864"/>
      <c r="AW1864"/>
      <c r="AX1864"/>
      <c r="AY1864"/>
      <c r="BK1864" s="42">
        <v>1863</v>
      </c>
      <c r="BL1864" s="127">
        <v>4</v>
      </c>
      <c r="BM1864" s="127">
        <v>0.11332468572476186</v>
      </c>
      <c r="BN1864" s="127" t="e">
        <v>#N/A</v>
      </c>
      <c r="BO1864" s="127" t="e">
        <v>#N/A</v>
      </c>
      <c r="BP1864" s="151" t="e">
        <v>#N/A</v>
      </c>
      <c r="BQ1864">
        <v>0.11332468572476186</v>
      </c>
      <c r="BR1864" t="str">
        <v/>
      </c>
    </row>
    <row r="1865" spans="47:70" x14ac:dyDescent="0.2">
      <c r="AU1865"/>
      <c r="AV1865"/>
      <c r="AW1865"/>
      <c r="AX1865"/>
      <c r="AY1865"/>
      <c r="BK1865" s="42">
        <v>1864</v>
      </c>
      <c r="BL1865" s="127">
        <v>4</v>
      </c>
      <c r="BM1865" s="127">
        <v>0.11332468572476186</v>
      </c>
      <c r="BN1865" s="127" t="e">
        <v>#N/A</v>
      </c>
      <c r="BO1865" s="127" t="e">
        <v>#N/A</v>
      </c>
      <c r="BP1865" s="151" t="e">
        <v>#N/A</v>
      </c>
      <c r="BQ1865">
        <v>0.11332468572476186</v>
      </c>
      <c r="BR1865" t="str">
        <v/>
      </c>
    </row>
    <row r="1866" spans="47:70" x14ac:dyDescent="0.2">
      <c r="AU1866"/>
      <c r="AV1866"/>
      <c r="AW1866"/>
      <c r="AX1866"/>
      <c r="AY1866"/>
      <c r="BK1866" s="42">
        <v>1865</v>
      </c>
      <c r="BL1866" s="127">
        <v>4</v>
      </c>
      <c r="BM1866" s="127">
        <v>0.11332468572476186</v>
      </c>
      <c r="BN1866" s="127" t="e">
        <v>#N/A</v>
      </c>
      <c r="BO1866" s="127" t="e">
        <v>#N/A</v>
      </c>
      <c r="BP1866" s="151" t="e">
        <v>#N/A</v>
      </c>
      <c r="BQ1866">
        <v>0.11332468572476186</v>
      </c>
      <c r="BR1866" t="str">
        <v/>
      </c>
    </row>
    <row r="1867" spans="47:70" x14ac:dyDescent="0.2">
      <c r="AU1867"/>
      <c r="AV1867"/>
      <c r="AW1867"/>
      <c r="AX1867"/>
      <c r="AY1867"/>
      <c r="BK1867" s="42">
        <v>1866</v>
      </c>
      <c r="BL1867" s="127">
        <v>4</v>
      </c>
      <c r="BM1867" s="127">
        <v>0.11332468572476186</v>
      </c>
      <c r="BN1867" s="127" t="e">
        <v>#N/A</v>
      </c>
      <c r="BO1867" s="127" t="e">
        <v>#N/A</v>
      </c>
      <c r="BP1867" s="151" t="e">
        <v>#N/A</v>
      </c>
      <c r="BQ1867">
        <v>0.11332468572476186</v>
      </c>
      <c r="BR1867" t="str">
        <v/>
      </c>
    </row>
    <row r="1868" spans="47:70" x14ac:dyDescent="0.2">
      <c r="AU1868"/>
      <c r="AV1868"/>
      <c r="AW1868"/>
      <c r="AX1868"/>
      <c r="AY1868"/>
      <c r="BK1868" s="42">
        <v>1867</v>
      </c>
      <c r="BL1868" s="127">
        <v>4</v>
      </c>
      <c r="BM1868" s="127">
        <v>0.11332468572476186</v>
      </c>
      <c r="BN1868" s="127" t="e">
        <v>#N/A</v>
      </c>
      <c r="BO1868" s="127" t="e">
        <v>#N/A</v>
      </c>
      <c r="BP1868" s="151" t="e">
        <v>#N/A</v>
      </c>
      <c r="BQ1868">
        <v>0.11332468572476186</v>
      </c>
      <c r="BR1868" t="str">
        <v/>
      </c>
    </row>
    <row r="1869" spans="47:70" x14ac:dyDescent="0.2">
      <c r="AU1869"/>
      <c r="AV1869"/>
      <c r="AW1869"/>
      <c r="AX1869"/>
      <c r="AY1869"/>
      <c r="BK1869" s="42">
        <v>1868</v>
      </c>
      <c r="BL1869" s="127">
        <v>4</v>
      </c>
      <c r="BM1869" s="127">
        <v>0.11332468572476186</v>
      </c>
      <c r="BN1869" s="127" t="e">
        <v>#N/A</v>
      </c>
      <c r="BO1869" s="127" t="e">
        <v>#N/A</v>
      </c>
      <c r="BP1869" s="151" t="e">
        <v>#N/A</v>
      </c>
      <c r="BQ1869">
        <v>0.11332468572476186</v>
      </c>
      <c r="BR1869" t="str">
        <v/>
      </c>
    </row>
    <row r="1870" spans="47:70" x14ac:dyDescent="0.2">
      <c r="AU1870"/>
      <c r="AV1870"/>
      <c r="AW1870"/>
      <c r="AX1870"/>
      <c r="AY1870"/>
      <c r="BK1870" s="42">
        <v>1869</v>
      </c>
      <c r="BL1870" s="127">
        <v>4</v>
      </c>
      <c r="BM1870" s="127">
        <v>0.11332468572476186</v>
      </c>
      <c r="BN1870" s="127" t="e">
        <v>#N/A</v>
      </c>
      <c r="BO1870" s="127" t="e">
        <v>#N/A</v>
      </c>
      <c r="BP1870" s="151" t="e">
        <v>#N/A</v>
      </c>
      <c r="BQ1870">
        <v>0.11332468572476186</v>
      </c>
      <c r="BR1870" t="str">
        <v/>
      </c>
    </row>
    <row r="1871" spans="47:70" x14ac:dyDescent="0.2">
      <c r="AU1871"/>
      <c r="AV1871"/>
      <c r="AW1871"/>
      <c r="AX1871"/>
      <c r="AY1871"/>
      <c r="BK1871" s="42">
        <v>1870</v>
      </c>
      <c r="BL1871" s="127">
        <v>4</v>
      </c>
      <c r="BM1871" s="127">
        <v>0.11332468572476186</v>
      </c>
      <c r="BN1871" s="127" t="e">
        <v>#N/A</v>
      </c>
      <c r="BO1871" s="127" t="e">
        <v>#N/A</v>
      </c>
      <c r="BP1871" s="151" t="e">
        <v>#N/A</v>
      </c>
      <c r="BQ1871">
        <v>0.11332468572476186</v>
      </c>
      <c r="BR1871" t="str">
        <v/>
      </c>
    </row>
    <row r="1872" spans="47:70" x14ac:dyDescent="0.2">
      <c r="AU1872"/>
      <c r="AV1872"/>
      <c r="AW1872"/>
      <c r="AX1872"/>
      <c r="AY1872"/>
      <c r="BK1872" s="42">
        <v>1871</v>
      </c>
      <c r="BL1872" s="127">
        <v>4</v>
      </c>
      <c r="BM1872" s="127">
        <v>0.11332468572476186</v>
      </c>
      <c r="BN1872" s="127" t="e">
        <v>#N/A</v>
      </c>
      <c r="BO1872" s="127" t="e">
        <v>#N/A</v>
      </c>
      <c r="BP1872" s="151" t="e">
        <v>#N/A</v>
      </c>
      <c r="BQ1872">
        <v>0.11332468572476186</v>
      </c>
      <c r="BR1872" t="str">
        <v/>
      </c>
    </row>
    <row r="1873" spans="47:70" x14ac:dyDescent="0.2">
      <c r="AU1873"/>
      <c r="AV1873"/>
      <c r="AW1873"/>
      <c r="AX1873"/>
      <c r="AY1873"/>
      <c r="BK1873" s="42">
        <v>1872</v>
      </c>
      <c r="BL1873" s="127">
        <v>4</v>
      </c>
      <c r="BM1873" s="127">
        <v>0.11332468572476186</v>
      </c>
      <c r="BN1873" s="127" t="e">
        <v>#N/A</v>
      </c>
      <c r="BO1873" s="127" t="e">
        <v>#N/A</v>
      </c>
      <c r="BP1873" s="151" t="e">
        <v>#N/A</v>
      </c>
      <c r="BQ1873">
        <v>0.11332468572476186</v>
      </c>
      <c r="BR1873" t="str">
        <v/>
      </c>
    </row>
    <row r="1874" spans="47:70" x14ac:dyDescent="0.2">
      <c r="AU1874"/>
      <c r="AV1874"/>
      <c r="AW1874"/>
      <c r="AX1874"/>
      <c r="AY1874"/>
      <c r="BK1874" s="42">
        <v>1873</v>
      </c>
      <c r="BL1874" s="127">
        <v>4</v>
      </c>
      <c r="BM1874" s="127">
        <v>0.11332468572476186</v>
      </c>
      <c r="BN1874" s="127" t="e">
        <v>#N/A</v>
      </c>
      <c r="BO1874" s="127" t="e">
        <v>#N/A</v>
      </c>
      <c r="BP1874" s="151" t="e">
        <v>#N/A</v>
      </c>
      <c r="BQ1874">
        <v>0.11332468572476186</v>
      </c>
      <c r="BR1874" t="str">
        <v/>
      </c>
    </row>
    <row r="1875" spans="47:70" x14ac:dyDescent="0.2">
      <c r="AU1875"/>
      <c r="AV1875"/>
      <c r="AW1875"/>
      <c r="AX1875"/>
      <c r="AY1875"/>
      <c r="BK1875" s="42">
        <v>1874</v>
      </c>
      <c r="BL1875" s="127">
        <v>4</v>
      </c>
      <c r="BM1875" s="127">
        <v>0.11332468572476186</v>
      </c>
      <c r="BN1875" s="127" t="e">
        <v>#N/A</v>
      </c>
      <c r="BO1875" s="127" t="e">
        <v>#N/A</v>
      </c>
      <c r="BP1875" s="151" t="e">
        <v>#N/A</v>
      </c>
      <c r="BQ1875">
        <v>0.11332468572476186</v>
      </c>
      <c r="BR1875" t="str">
        <v/>
      </c>
    </row>
    <row r="1876" spans="47:70" x14ac:dyDescent="0.2">
      <c r="AU1876"/>
      <c r="AV1876"/>
      <c r="AW1876"/>
      <c r="AX1876"/>
      <c r="AY1876"/>
      <c r="BK1876" s="42">
        <v>1875</v>
      </c>
      <c r="BL1876" s="127">
        <v>4</v>
      </c>
      <c r="BM1876" s="127">
        <v>0.11332468572476186</v>
      </c>
      <c r="BN1876" s="127" t="e">
        <v>#N/A</v>
      </c>
      <c r="BO1876" s="127" t="e">
        <v>#N/A</v>
      </c>
      <c r="BP1876" s="151" t="e">
        <v>#N/A</v>
      </c>
      <c r="BQ1876">
        <v>0.11332468572476186</v>
      </c>
      <c r="BR1876" t="str">
        <v/>
      </c>
    </row>
    <row r="1877" spans="47:70" x14ac:dyDescent="0.2">
      <c r="AU1877"/>
      <c r="AV1877"/>
      <c r="AW1877"/>
      <c r="AX1877"/>
      <c r="AY1877"/>
      <c r="BK1877" s="42">
        <v>1876</v>
      </c>
      <c r="BL1877" s="127">
        <v>4</v>
      </c>
      <c r="BM1877" s="127">
        <v>0.11332468572476186</v>
      </c>
      <c r="BN1877" s="127" t="e">
        <v>#N/A</v>
      </c>
      <c r="BO1877" s="127" t="e">
        <v>#N/A</v>
      </c>
      <c r="BP1877" s="151" t="e">
        <v>#N/A</v>
      </c>
      <c r="BQ1877">
        <v>0.11332468572476186</v>
      </c>
      <c r="BR1877" t="str">
        <v/>
      </c>
    </row>
    <row r="1878" spans="47:70" x14ac:dyDescent="0.2">
      <c r="AU1878"/>
      <c r="AV1878"/>
      <c r="AW1878"/>
      <c r="AX1878"/>
      <c r="AY1878"/>
      <c r="BK1878" s="42">
        <v>1877</v>
      </c>
      <c r="BL1878" s="127">
        <v>4</v>
      </c>
      <c r="BM1878" s="127">
        <v>0.11332468572476186</v>
      </c>
      <c r="BN1878" s="127" t="e">
        <v>#N/A</v>
      </c>
      <c r="BO1878" s="127" t="e">
        <v>#N/A</v>
      </c>
      <c r="BP1878" s="151" t="e">
        <v>#N/A</v>
      </c>
      <c r="BQ1878">
        <v>0.11332468572476186</v>
      </c>
      <c r="BR1878" t="str">
        <v/>
      </c>
    </row>
    <row r="1879" spans="47:70" x14ac:dyDescent="0.2">
      <c r="AU1879"/>
      <c r="AV1879"/>
      <c r="AW1879"/>
      <c r="AX1879"/>
      <c r="AY1879"/>
      <c r="BK1879" s="42">
        <v>1878</v>
      </c>
      <c r="BL1879" s="127">
        <v>4</v>
      </c>
      <c r="BM1879" s="127">
        <v>0.11332468572476186</v>
      </c>
      <c r="BN1879" s="127" t="e">
        <v>#N/A</v>
      </c>
      <c r="BO1879" s="127" t="e">
        <v>#N/A</v>
      </c>
      <c r="BP1879" s="151" t="e">
        <v>#N/A</v>
      </c>
      <c r="BQ1879">
        <v>0.11332468572476186</v>
      </c>
      <c r="BR1879" t="str">
        <v/>
      </c>
    </row>
    <row r="1880" spans="47:70" x14ac:dyDescent="0.2">
      <c r="AU1880"/>
      <c r="AV1880"/>
      <c r="AW1880"/>
      <c r="AX1880"/>
      <c r="AY1880"/>
      <c r="BK1880" s="42">
        <v>1879</v>
      </c>
      <c r="BL1880" s="127">
        <v>4</v>
      </c>
      <c r="BM1880" s="127">
        <v>0.11332468572476186</v>
      </c>
      <c r="BN1880" s="127" t="e">
        <v>#N/A</v>
      </c>
      <c r="BO1880" s="127" t="e">
        <v>#N/A</v>
      </c>
      <c r="BP1880" s="151" t="e">
        <v>#N/A</v>
      </c>
      <c r="BQ1880">
        <v>0.11332468572476186</v>
      </c>
      <c r="BR1880" t="str">
        <v/>
      </c>
    </row>
    <row r="1881" spans="47:70" x14ac:dyDescent="0.2">
      <c r="AU1881"/>
      <c r="AV1881"/>
      <c r="AW1881"/>
      <c r="AX1881"/>
      <c r="AY1881"/>
      <c r="BK1881" s="42">
        <v>1880</v>
      </c>
      <c r="BL1881" s="127">
        <v>4</v>
      </c>
      <c r="BM1881" s="127">
        <v>0.11332468572476186</v>
      </c>
      <c r="BN1881" s="127" t="e">
        <v>#N/A</v>
      </c>
      <c r="BO1881" s="127" t="e">
        <v>#N/A</v>
      </c>
      <c r="BP1881" s="151" t="e">
        <v>#N/A</v>
      </c>
      <c r="BQ1881">
        <v>0.11332468572476186</v>
      </c>
      <c r="BR1881" t="str">
        <v/>
      </c>
    </row>
    <row r="1882" spans="47:70" x14ac:dyDescent="0.2">
      <c r="AU1882"/>
      <c r="AV1882"/>
      <c r="AW1882"/>
      <c r="AX1882"/>
      <c r="AY1882"/>
      <c r="BK1882" s="42">
        <v>1881</v>
      </c>
      <c r="BL1882" s="127">
        <v>4</v>
      </c>
      <c r="BM1882" s="127">
        <v>0.11332468572476186</v>
      </c>
      <c r="BN1882" s="127" t="e">
        <v>#N/A</v>
      </c>
      <c r="BO1882" s="127" t="e">
        <v>#N/A</v>
      </c>
      <c r="BP1882" s="151" t="e">
        <v>#N/A</v>
      </c>
      <c r="BQ1882">
        <v>0.11332468572476186</v>
      </c>
      <c r="BR1882" t="str">
        <v/>
      </c>
    </row>
    <row r="1883" spans="47:70" x14ac:dyDescent="0.2">
      <c r="AU1883"/>
      <c r="AV1883"/>
      <c r="AW1883"/>
      <c r="AX1883"/>
      <c r="AY1883"/>
      <c r="BK1883" s="42">
        <v>1882</v>
      </c>
      <c r="BL1883" s="127">
        <v>4</v>
      </c>
      <c r="BM1883" s="127">
        <v>0.11332468572476186</v>
      </c>
      <c r="BN1883" s="127" t="e">
        <v>#N/A</v>
      </c>
      <c r="BO1883" s="127" t="e">
        <v>#N/A</v>
      </c>
      <c r="BP1883" s="151" t="e">
        <v>#N/A</v>
      </c>
      <c r="BQ1883">
        <v>0.11332468572476186</v>
      </c>
      <c r="BR1883" t="str">
        <v/>
      </c>
    </row>
    <row r="1884" spans="47:70" x14ac:dyDescent="0.2">
      <c r="AU1884"/>
      <c r="AV1884"/>
      <c r="AW1884"/>
      <c r="AX1884"/>
      <c r="AY1884"/>
      <c r="BK1884" s="42">
        <v>1883</v>
      </c>
      <c r="BL1884" s="127">
        <v>4</v>
      </c>
      <c r="BM1884" s="127">
        <v>0.11332468572476186</v>
      </c>
      <c r="BN1884" s="127" t="e">
        <v>#N/A</v>
      </c>
      <c r="BO1884" s="127" t="e">
        <v>#N/A</v>
      </c>
      <c r="BP1884" s="151" t="e">
        <v>#N/A</v>
      </c>
      <c r="BQ1884">
        <v>0.11332468572476186</v>
      </c>
      <c r="BR1884" t="str">
        <v/>
      </c>
    </row>
    <row r="1885" spans="47:70" x14ac:dyDescent="0.2">
      <c r="AU1885"/>
      <c r="AV1885"/>
      <c r="AW1885"/>
      <c r="AX1885"/>
      <c r="AY1885"/>
      <c r="BK1885" s="42">
        <v>1884</v>
      </c>
      <c r="BL1885" s="127">
        <v>4</v>
      </c>
      <c r="BM1885" s="127">
        <v>0.11332468572476186</v>
      </c>
      <c r="BN1885" s="127" t="e">
        <v>#N/A</v>
      </c>
      <c r="BO1885" s="127" t="e">
        <v>#N/A</v>
      </c>
      <c r="BP1885" s="151" t="e">
        <v>#N/A</v>
      </c>
      <c r="BQ1885">
        <v>0.11332468572476186</v>
      </c>
      <c r="BR1885" t="str">
        <v/>
      </c>
    </row>
    <row r="1886" spans="47:70" x14ac:dyDescent="0.2">
      <c r="AU1886"/>
      <c r="AV1886"/>
      <c r="AW1886"/>
      <c r="AX1886"/>
      <c r="AY1886"/>
      <c r="BK1886" s="42">
        <v>1885</v>
      </c>
      <c r="BL1886" s="127">
        <v>4</v>
      </c>
      <c r="BM1886" s="127">
        <v>0.11332468572476186</v>
      </c>
      <c r="BN1886" s="127" t="e">
        <v>#N/A</v>
      </c>
      <c r="BO1886" s="127" t="e">
        <v>#N/A</v>
      </c>
      <c r="BP1886" s="151" t="e">
        <v>#N/A</v>
      </c>
      <c r="BQ1886">
        <v>0.11332468572476186</v>
      </c>
      <c r="BR1886" t="str">
        <v/>
      </c>
    </row>
    <row r="1887" spans="47:70" x14ac:dyDescent="0.2">
      <c r="AU1887"/>
      <c r="AV1887"/>
      <c r="AW1887"/>
      <c r="AX1887"/>
      <c r="AY1887"/>
      <c r="BK1887" s="42">
        <v>1886</v>
      </c>
      <c r="BL1887" s="127">
        <v>4</v>
      </c>
      <c r="BM1887" s="127">
        <v>0.11332468572476186</v>
      </c>
      <c r="BN1887" s="127" t="e">
        <v>#N/A</v>
      </c>
      <c r="BO1887" s="127" t="e">
        <v>#N/A</v>
      </c>
      <c r="BP1887" s="151" t="e">
        <v>#N/A</v>
      </c>
      <c r="BQ1887">
        <v>0.11332468572476186</v>
      </c>
      <c r="BR1887" t="str">
        <v/>
      </c>
    </row>
    <row r="1888" spans="47:70" x14ac:dyDescent="0.2">
      <c r="AU1888"/>
      <c r="AV1888"/>
      <c r="AW1888"/>
      <c r="AX1888"/>
      <c r="AY1888"/>
      <c r="BK1888" s="42">
        <v>1887</v>
      </c>
      <c r="BL1888" s="127">
        <v>4</v>
      </c>
      <c r="BM1888" s="127">
        <v>0.11332468572476186</v>
      </c>
      <c r="BN1888" s="127" t="e">
        <v>#N/A</v>
      </c>
      <c r="BO1888" s="127" t="e">
        <v>#N/A</v>
      </c>
      <c r="BP1888" s="151" t="e">
        <v>#N/A</v>
      </c>
      <c r="BQ1888">
        <v>0.11332468572476186</v>
      </c>
      <c r="BR1888" t="str">
        <v/>
      </c>
    </row>
    <row r="1889" spans="47:70" x14ac:dyDescent="0.2">
      <c r="AU1889"/>
      <c r="AV1889"/>
      <c r="AW1889"/>
      <c r="AX1889"/>
      <c r="AY1889"/>
      <c r="BK1889" s="42">
        <v>1888</v>
      </c>
      <c r="BL1889" s="127">
        <v>4</v>
      </c>
      <c r="BM1889" s="127">
        <v>0.11332468572476186</v>
      </c>
      <c r="BN1889" s="127" t="e">
        <v>#N/A</v>
      </c>
      <c r="BO1889" s="127" t="e">
        <v>#N/A</v>
      </c>
      <c r="BP1889" s="151" t="e">
        <v>#N/A</v>
      </c>
      <c r="BQ1889">
        <v>0.11332468572476186</v>
      </c>
      <c r="BR1889" t="str">
        <v/>
      </c>
    </row>
    <row r="1890" spans="47:70" x14ac:dyDescent="0.2">
      <c r="AU1890"/>
      <c r="AV1890"/>
      <c r="AW1890"/>
      <c r="AX1890"/>
      <c r="AY1890"/>
      <c r="BK1890" s="42">
        <v>1889</v>
      </c>
      <c r="BL1890" s="127">
        <v>4</v>
      </c>
      <c r="BM1890" s="127">
        <v>0.11332468572476186</v>
      </c>
      <c r="BN1890" s="127" t="e">
        <v>#N/A</v>
      </c>
      <c r="BO1890" s="127" t="e">
        <v>#N/A</v>
      </c>
      <c r="BP1890" s="151" t="e">
        <v>#N/A</v>
      </c>
      <c r="BQ1890">
        <v>0.11332468572476186</v>
      </c>
      <c r="BR1890" t="str">
        <v/>
      </c>
    </row>
    <row r="1891" spans="47:70" x14ac:dyDescent="0.2">
      <c r="AU1891"/>
      <c r="AV1891"/>
      <c r="AW1891"/>
      <c r="AX1891"/>
      <c r="AY1891"/>
      <c r="BK1891" s="42">
        <v>1890</v>
      </c>
      <c r="BL1891" s="127">
        <v>4</v>
      </c>
      <c r="BM1891" s="127">
        <v>0.11332468572476186</v>
      </c>
      <c r="BN1891" s="127" t="e">
        <v>#N/A</v>
      </c>
      <c r="BO1891" s="127" t="e">
        <v>#N/A</v>
      </c>
      <c r="BP1891" s="151" t="e">
        <v>#N/A</v>
      </c>
      <c r="BQ1891">
        <v>0.11332468572476186</v>
      </c>
      <c r="BR1891" t="str">
        <v/>
      </c>
    </row>
    <row r="1892" spans="47:70" x14ac:dyDescent="0.2">
      <c r="AU1892"/>
      <c r="AV1892"/>
      <c r="AW1892"/>
      <c r="AX1892"/>
      <c r="AY1892"/>
      <c r="BK1892" s="42">
        <v>1891</v>
      </c>
      <c r="BL1892" s="127">
        <v>4</v>
      </c>
      <c r="BM1892" s="127">
        <v>0.11332468572476186</v>
      </c>
      <c r="BN1892" s="127" t="e">
        <v>#N/A</v>
      </c>
      <c r="BO1892" s="127" t="e">
        <v>#N/A</v>
      </c>
      <c r="BP1892" s="151" t="e">
        <v>#N/A</v>
      </c>
      <c r="BQ1892">
        <v>0.11332468572476186</v>
      </c>
      <c r="BR1892" t="str">
        <v/>
      </c>
    </row>
    <row r="1893" spans="47:70" x14ac:dyDescent="0.2">
      <c r="AU1893"/>
      <c r="AV1893"/>
      <c r="AW1893"/>
      <c r="AX1893"/>
      <c r="AY1893"/>
      <c r="BK1893" s="42">
        <v>1892</v>
      </c>
      <c r="BL1893" s="127">
        <v>4</v>
      </c>
      <c r="BM1893" s="127">
        <v>0.11332468572476186</v>
      </c>
      <c r="BN1893" s="127" t="e">
        <v>#N/A</v>
      </c>
      <c r="BO1893" s="127" t="e">
        <v>#N/A</v>
      </c>
      <c r="BP1893" s="151" t="e">
        <v>#N/A</v>
      </c>
      <c r="BQ1893">
        <v>0.11332468572476186</v>
      </c>
      <c r="BR1893" t="str">
        <v/>
      </c>
    </row>
    <row r="1894" spans="47:70" x14ac:dyDescent="0.2">
      <c r="AU1894"/>
      <c r="AV1894"/>
      <c r="AW1894"/>
      <c r="AX1894"/>
      <c r="AY1894"/>
      <c r="BK1894" s="42">
        <v>1893</v>
      </c>
      <c r="BL1894" s="127">
        <v>4</v>
      </c>
      <c r="BM1894" s="127">
        <v>0.11332468572476186</v>
      </c>
      <c r="BN1894" s="127" t="e">
        <v>#N/A</v>
      </c>
      <c r="BO1894" s="127" t="e">
        <v>#N/A</v>
      </c>
      <c r="BP1894" s="151" t="e">
        <v>#N/A</v>
      </c>
      <c r="BQ1894">
        <v>0.11332468572476186</v>
      </c>
      <c r="BR1894" t="str">
        <v/>
      </c>
    </row>
    <row r="1895" spans="47:70" x14ac:dyDescent="0.2">
      <c r="AU1895"/>
      <c r="AV1895"/>
      <c r="AW1895"/>
      <c r="AX1895"/>
      <c r="AY1895"/>
      <c r="BK1895" s="42">
        <v>1894</v>
      </c>
      <c r="BL1895" s="127">
        <v>4</v>
      </c>
      <c r="BM1895" s="127">
        <v>0.11332468572476186</v>
      </c>
      <c r="BN1895" s="127" t="e">
        <v>#N/A</v>
      </c>
      <c r="BO1895" s="127" t="e">
        <v>#N/A</v>
      </c>
      <c r="BP1895" s="151" t="e">
        <v>#N/A</v>
      </c>
      <c r="BQ1895">
        <v>0.11332468572476186</v>
      </c>
      <c r="BR1895" t="str">
        <v/>
      </c>
    </row>
    <row r="1896" spans="47:70" x14ac:dyDescent="0.2">
      <c r="AU1896"/>
      <c r="AV1896"/>
      <c r="AW1896"/>
      <c r="AX1896"/>
      <c r="AY1896"/>
      <c r="BK1896" s="42">
        <v>1895</v>
      </c>
      <c r="BL1896" s="127">
        <v>4</v>
      </c>
      <c r="BM1896" s="127">
        <v>0.11332468572476186</v>
      </c>
      <c r="BN1896" s="127" t="e">
        <v>#N/A</v>
      </c>
      <c r="BO1896" s="127" t="e">
        <v>#N/A</v>
      </c>
      <c r="BP1896" s="151" t="e">
        <v>#N/A</v>
      </c>
      <c r="BQ1896">
        <v>0.11332468572476186</v>
      </c>
      <c r="BR1896" t="str">
        <v/>
      </c>
    </row>
    <row r="1897" spans="47:70" x14ac:dyDescent="0.2">
      <c r="AU1897"/>
      <c r="AV1897"/>
      <c r="AW1897"/>
      <c r="AX1897"/>
      <c r="AY1897"/>
      <c r="BK1897" s="42">
        <v>1896</v>
      </c>
      <c r="BL1897" s="127">
        <v>4</v>
      </c>
      <c r="BM1897" s="127">
        <v>0.11332468572476186</v>
      </c>
      <c r="BN1897" s="127" t="e">
        <v>#N/A</v>
      </c>
      <c r="BO1897" s="127" t="e">
        <v>#N/A</v>
      </c>
      <c r="BP1897" s="151" t="e">
        <v>#N/A</v>
      </c>
      <c r="BQ1897">
        <v>0.11332468572476186</v>
      </c>
      <c r="BR1897" t="str">
        <v/>
      </c>
    </row>
    <row r="1898" spans="47:70" x14ac:dyDescent="0.2">
      <c r="AU1898"/>
      <c r="AV1898"/>
      <c r="AW1898"/>
      <c r="AX1898"/>
      <c r="AY1898"/>
      <c r="BK1898" s="42">
        <v>1897</v>
      </c>
      <c r="BL1898" s="127">
        <v>4</v>
      </c>
      <c r="BM1898" s="127">
        <v>0.11332468572476186</v>
      </c>
      <c r="BN1898" s="127" t="e">
        <v>#N/A</v>
      </c>
      <c r="BO1898" s="127" t="e">
        <v>#N/A</v>
      </c>
      <c r="BP1898" s="151" t="e">
        <v>#N/A</v>
      </c>
      <c r="BQ1898">
        <v>0.11332468572476186</v>
      </c>
      <c r="BR1898" t="str">
        <v/>
      </c>
    </row>
    <row r="1899" spans="47:70" x14ac:dyDescent="0.2">
      <c r="AU1899"/>
      <c r="AV1899"/>
      <c r="AW1899"/>
      <c r="AX1899"/>
      <c r="AY1899"/>
      <c r="BK1899" s="42">
        <v>1898</v>
      </c>
      <c r="BL1899" s="127">
        <v>4</v>
      </c>
      <c r="BM1899" s="127">
        <v>0.11332468572476186</v>
      </c>
      <c r="BN1899" s="127" t="e">
        <v>#N/A</v>
      </c>
      <c r="BO1899" s="127" t="e">
        <v>#N/A</v>
      </c>
      <c r="BP1899" s="151" t="e">
        <v>#N/A</v>
      </c>
      <c r="BQ1899">
        <v>0.11332468572476186</v>
      </c>
      <c r="BR1899" t="str">
        <v/>
      </c>
    </row>
    <row r="1900" spans="47:70" x14ac:dyDescent="0.2">
      <c r="AU1900"/>
      <c r="AV1900"/>
      <c r="AW1900"/>
      <c r="AX1900"/>
      <c r="AY1900"/>
      <c r="BK1900" s="42">
        <v>1899</v>
      </c>
      <c r="BL1900" s="127">
        <v>4</v>
      </c>
      <c r="BM1900" s="127">
        <v>0.11332468572476186</v>
      </c>
      <c r="BN1900" s="127" t="e">
        <v>#N/A</v>
      </c>
      <c r="BO1900" s="127" t="e">
        <v>#N/A</v>
      </c>
      <c r="BP1900" s="151" t="e">
        <v>#N/A</v>
      </c>
      <c r="BQ1900">
        <v>0.11332468572476186</v>
      </c>
      <c r="BR1900" t="str">
        <v/>
      </c>
    </row>
    <row r="1901" spans="47:70" x14ac:dyDescent="0.2">
      <c r="AU1901"/>
      <c r="AV1901"/>
      <c r="AW1901"/>
      <c r="AX1901"/>
      <c r="AY1901"/>
      <c r="BK1901" s="42">
        <v>1900</v>
      </c>
      <c r="BL1901" s="127">
        <v>4</v>
      </c>
      <c r="BM1901" s="127">
        <v>0.11332468572476186</v>
      </c>
      <c r="BN1901" s="127" t="e">
        <v>#N/A</v>
      </c>
      <c r="BO1901" s="127" t="e">
        <v>#N/A</v>
      </c>
      <c r="BP1901" s="151" t="e">
        <v>#N/A</v>
      </c>
      <c r="BQ1901">
        <v>0.11332468572476186</v>
      </c>
      <c r="BR1901" t="str">
        <v/>
      </c>
    </row>
    <row r="1902" spans="47:70" x14ac:dyDescent="0.2">
      <c r="AU1902"/>
      <c r="AV1902"/>
      <c r="AW1902"/>
      <c r="AX1902"/>
      <c r="AY1902"/>
      <c r="BK1902" s="42">
        <v>1901</v>
      </c>
      <c r="BL1902" s="127">
        <v>4</v>
      </c>
      <c r="BM1902" s="127">
        <v>0.11332468572476186</v>
      </c>
      <c r="BN1902" s="127" t="e">
        <v>#N/A</v>
      </c>
      <c r="BO1902" s="127" t="e">
        <v>#N/A</v>
      </c>
      <c r="BP1902" s="151" t="e">
        <v>#N/A</v>
      </c>
      <c r="BQ1902">
        <v>0.11332468572476186</v>
      </c>
      <c r="BR1902" t="str">
        <v/>
      </c>
    </row>
    <row r="1903" spans="47:70" x14ac:dyDescent="0.2">
      <c r="AU1903"/>
      <c r="AV1903"/>
      <c r="AW1903"/>
      <c r="AX1903"/>
      <c r="AY1903"/>
      <c r="BK1903" s="42">
        <v>1902</v>
      </c>
      <c r="BL1903" s="127">
        <v>4</v>
      </c>
      <c r="BM1903" s="127">
        <v>0.11332468572476186</v>
      </c>
      <c r="BN1903" s="127" t="e">
        <v>#N/A</v>
      </c>
      <c r="BO1903" s="127" t="e">
        <v>#N/A</v>
      </c>
      <c r="BP1903" s="151" t="e">
        <v>#N/A</v>
      </c>
      <c r="BQ1903">
        <v>0.11332468572476186</v>
      </c>
      <c r="BR1903" t="str">
        <v/>
      </c>
    </row>
    <row r="1904" spans="47:70" x14ac:dyDescent="0.2">
      <c r="AU1904"/>
      <c r="AV1904"/>
      <c r="AW1904"/>
      <c r="AX1904"/>
      <c r="AY1904"/>
      <c r="BK1904" s="42">
        <v>1903</v>
      </c>
      <c r="BL1904" s="127">
        <v>4</v>
      </c>
      <c r="BM1904" s="127">
        <v>0.11332468572476186</v>
      </c>
      <c r="BN1904" s="127" t="e">
        <v>#N/A</v>
      </c>
      <c r="BO1904" s="127" t="e">
        <v>#N/A</v>
      </c>
      <c r="BP1904" s="151" t="e">
        <v>#N/A</v>
      </c>
      <c r="BQ1904">
        <v>0.11332468572476186</v>
      </c>
      <c r="BR1904" t="str">
        <v/>
      </c>
    </row>
    <row r="1905" spans="47:70" x14ac:dyDescent="0.2">
      <c r="AU1905"/>
      <c r="AV1905"/>
      <c r="AW1905"/>
      <c r="AX1905"/>
      <c r="AY1905"/>
      <c r="BK1905" s="42">
        <v>1904</v>
      </c>
      <c r="BL1905" s="127">
        <v>4</v>
      </c>
      <c r="BM1905" s="127">
        <v>0.11332468572476186</v>
      </c>
      <c r="BN1905" s="127" t="e">
        <v>#N/A</v>
      </c>
      <c r="BO1905" s="127" t="e">
        <v>#N/A</v>
      </c>
      <c r="BP1905" s="151" t="e">
        <v>#N/A</v>
      </c>
      <c r="BQ1905">
        <v>0.11332468572476186</v>
      </c>
      <c r="BR1905" t="str">
        <v/>
      </c>
    </row>
    <row r="1906" spans="47:70" x14ac:dyDescent="0.2">
      <c r="AU1906"/>
      <c r="AV1906"/>
      <c r="AW1906"/>
      <c r="AX1906"/>
      <c r="AY1906"/>
      <c r="BK1906" s="42">
        <v>1905</v>
      </c>
      <c r="BL1906" s="127">
        <v>4</v>
      </c>
      <c r="BM1906" s="127">
        <v>0.11332468572476186</v>
      </c>
      <c r="BN1906" s="127" t="e">
        <v>#N/A</v>
      </c>
      <c r="BO1906" s="127" t="e">
        <v>#N/A</v>
      </c>
      <c r="BP1906" s="151" t="e">
        <v>#N/A</v>
      </c>
      <c r="BQ1906">
        <v>0.11332468572476186</v>
      </c>
      <c r="BR1906" t="str">
        <v/>
      </c>
    </row>
    <row r="1907" spans="47:70" x14ac:dyDescent="0.2">
      <c r="AU1907"/>
      <c r="AV1907"/>
      <c r="AW1907"/>
      <c r="AX1907"/>
      <c r="AY1907"/>
      <c r="BK1907" s="42">
        <v>1906</v>
      </c>
      <c r="BL1907" s="127">
        <v>4</v>
      </c>
      <c r="BM1907" s="127">
        <v>0.11332468572476186</v>
      </c>
      <c r="BN1907" s="127" t="e">
        <v>#N/A</v>
      </c>
      <c r="BO1907" s="127" t="e">
        <v>#N/A</v>
      </c>
      <c r="BP1907" s="151" t="e">
        <v>#N/A</v>
      </c>
      <c r="BQ1907">
        <v>0.11332468572476186</v>
      </c>
      <c r="BR1907" t="str">
        <v/>
      </c>
    </row>
    <row r="1908" spans="47:70" x14ac:dyDescent="0.2">
      <c r="AU1908"/>
      <c r="AV1908"/>
      <c r="AW1908"/>
      <c r="AX1908"/>
      <c r="AY1908"/>
      <c r="BK1908" s="42">
        <v>1907</v>
      </c>
      <c r="BL1908" s="127">
        <v>4</v>
      </c>
      <c r="BM1908" s="127">
        <v>0.11332468572476186</v>
      </c>
      <c r="BN1908" s="127" t="e">
        <v>#N/A</v>
      </c>
      <c r="BO1908" s="127" t="e">
        <v>#N/A</v>
      </c>
      <c r="BP1908" s="151" t="e">
        <v>#N/A</v>
      </c>
      <c r="BQ1908">
        <v>0.11332468572476186</v>
      </c>
      <c r="BR1908" t="str">
        <v/>
      </c>
    </row>
    <row r="1909" spans="47:70" x14ac:dyDescent="0.2">
      <c r="AU1909"/>
      <c r="AV1909"/>
      <c r="AW1909"/>
      <c r="AX1909"/>
      <c r="AY1909"/>
      <c r="BK1909" s="42">
        <v>1908</v>
      </c>
      <c r="BL1909" s="127">
        <v>4</v>
      </c>
      <c r="BM1909" s="127">
        <v>0.11332468572476186</v>
      </c>
      <c r="BN1909" s="127" t="e">
        <v>#N/A</v>
      </c>
      <c r="BO1909" s="127" t="e">
        <v>#N/A</v>
      </c>
      <c r="BP1909" s="151" t="e">
        <v>#N/A</v>
      </c>
      <c r="BQ1909">
        <v>0.11332468572476186</v>
      </c>
      <c r="BR1909" t="str">
        <v/>
      </c>
    </row>
    <row r="1910" spans="47:70" x14ac:dyDescent="0.2">
      <c r="AU1910"/>
      <c r="AV1910"/>
      <c r="AW1910"/>
      <c r="AX1910"/>
      <c r="AY1910"/>
      <c r="BK1910" s="42">
        <v>1909</v>
      </c>
      <c r="BL1910" s="127">
        <v>4</v>
      </c>
      <c r="BM1910" s="127">
        <v>0.11332468572476186</v>
      </c>
      <c r="BN1910" s="127" t="e">
        <v>#N/A</v>
      </c>
      <c r="BO1910" s="127" t="e">
        <v>#N/A</v>
      </c>
      <c r="BP1910" s="151" t="e">
        <v>#N/A</v>
      </c>
      <c r="BQ1910">
        <v>0.11332468572476186</v>
      </c>
      <c r="BR1910" t="str">
        <v/>
      </c>
    </row>
    <row r="1911" spans="47:70" x14ac:dyDescent="0.2">
      <c r="AU1911"/>
      <c r="AV1911"/>
      <c r="AW1911"/>
      <c r="AX1911"/>
      <c r="AY1911"/>
      <c r="BK1911" s="42">
        <v>1910</v>
      </c>
      <c r="BL1911" s="127">
        <v>4</v>
      </c>
      <c r="BM1911" s="127">
        <v>0.11332468572476186</v>
      </c>
      <c r="BN1911" s="127" t="e">
        <v>#N/A</v>
      </c>
      <c r="BO1911" s="127" t="e">
        <v>#N/A</v>
      </c>
      <c r="BP1911" s="151" t="e">
        <v>#N/A</v>
      </c>
      <c r="BQ1911">
        <v>0.11332468572476186</v>
      </c>
      <c r="BR1911" t="str">
        <v/>
      </c>
    </row>
    <row r="1912" spans="47:70" x14ac:dyDescent="0.2">
      <c r="AU1912"/>
      <c r="AV1912"/>
      <c r="AW1912"/>
      <c r="AX1912"/>
      <c r="AY1912"/>
      <c r="BK1912" s="42">
        <v>1911</v>
      </c>
      <c r="BL1912" s="127">
        <v>4</v>
      </c>
      <c r="BM1912" s="127">
        <v>0.11332468572476186</v>
      </c>
      <c r="BN1912" s="127" t="e">
        <v>#N/A</v>
      </c>
      <c r="BO1912" s="127" t="e">
        <v>#N/A</v>
      </c>
      <c r="BP1912" s="151" t="e">
        <v>#N/A</v>
      </c>
      <c r="BQ1912">
        <v>0.11332468572476186</v>
      </c>
      <c r="BR1912" t="str">
        <v/>
      </c>
    </row>
    <row r="1913" spans="47:70" x14ac:dyDescent="0.2">
      <c r="AU1913"/>
      <c r="AV1913"/>
      <c r="AW1913"/>
      <c r="AX1913"/>
      <c r="AY1913"/>
      <c r="BK1913" s="42">
        <v>1912</v>
      </c>
      <c r="BL1913" s="127">
        <v>4</v>
      </c>
      <c r="BM1913" s="127">
        <v>0.11332468572476186</v>
      </c>
      <c r="BN1913" s="127" t="e">
        <v>#N/A</v>
      </c>
      <c r="BO1913" s="127" t="e">
        <v>#N/A</v>
      </c>
      <c r="BP1913" s="151" t="e">
        <v>#N/A</v>
      </c>
      <c r="BQ1913">
        <v>0.11332468572476186</v>
      </c>
      <c r="BR1913" t="str">
        <v/>
      </c>
    </row>
    <row r="1914" spans="47:70" x14ac:dyDescent="0.2">
      <c r="AU1914"/>
      <c r="AV1914"/>
      <c r="AW1914"/>
      <c r="AX1914"/>
      <c r="AY1914"/>
      <c r="BK1914" s="42">
        <v>1913</v>
      </c>
      <c r="BL1914" s="127">
        <v>4</v>
      </c>
      <c r="BM1914" s="127">
        <v>0.11332468572476186</v>
      </c>
      <c r="BN1914" s="127" t="e">
        <v>#N/A</v>
      </c>
      <c r="BO1914" s="127" t="e">
        <v>#N/A</v>
      </c>
      <c r="BP1914" s="151" t="e">
        <v>#N/A</v>
      </c>
      <c r="BQ1914">
        <v>0.11332468572476186</v>
      </c>
      <c r="BR1914" t="str">
        <v/>
      </c>
    </row>
    <row r="1915" spans="47:70" x14ac:dyDescent="0.2">
      <c r="AU1915"/>
      <c r="AV1915"/>
      <c r="AW1915"/>
      <c r="AX1915"/>
      <c r="AY1915"/>
      <c r="BK1915" s="42">
        <v>1914</v>
      </c>
      <c r="BL1915" s="127">
        <v>4</v>
      </c>
      <c r="BM1915" s="127">
        <v>0.11332468572476186</v>
      </c>
      <c r="BN1915" s="127" t="e">
        <v>#N/A</v>
      </c>
      <c r="BO1915" s="127" t="e">
        <v>#N/A</v>
      </c>
      <c r="BP1915" s="151" t="e">
        <v>#N/A</v>
      </c>
      <c r="BQ1915">
        <v>0.11332468572476186</v>
      </c>
      <c r="BR1915" t="str">
        <v/>
      </c>
    </row>
    <row r="1916" spans="47:70" x14ac:dyDescent="0.2">
      <c r="AU1916"/>
      <c r="AV1916"/>
      <c r="AW1916"/>
      <c r="AX1916"/>
      <c r="AY1916"/>
      <c r="BK1916" s="42">
        <v>1915</v>
      </c>
      <c r="BL1916" s="127">
        <v>4</v>
      </c>
      <c r="BM1916" s="127">
        <v>0.11332468572476186</v>
      </c>
      <c r="BN1916" s="127" t="e">
        <v>#N/A</v>
      </c>
      <c r="BO1916" s="127" t="e">
        <v>#N/A</v>
      </c>
      <c r="BP1916" s="151" t="e">
        <v>#N/A</v>
      </c>
      <c r="BQ1916">
        <v>0.11332468572476186</v>
      </c>
      <c r="BR1916" t="str">
        <v/>
      </c>
    </row>
    <row r="1917" spans="47:70" x14ac:dyDescent="0.2">
      <c r="AU1917"/>
      <c r="AV1917"/>
      <c r="AW1917"/>
      <c r="AX1917"/>
      <c r="AY1917"/>
      <c r="BK1917" s="42">
        <v>1916</v>
      </c>
      <c r="BL1917" s="127">
        <v>4</v>
      </c>
      <c r="BM1917" s="127">
        <v>0.11332468572476186</v>
      </c>
      <c r="BN1917" s="127" t="e">
        <v>#N/A</v>
      </c>
      <c r="BO1917" s="127" t="e">
        <v>#N/A</v>
      </c>
      <c r="BP1917" s="151" t="e">
        <v>#N/A</v>
      </c>
      <c r="BQ1917">
        <v>0.11332468572476186</v>
      </c>
      <c r="BR1917" t="str">
        <v/>
      </c>
    </row>
    <row r="1918" spans="47:70" x14ac:dyDescent="0.2">
      <c r="AU1918"/>
      <c r="AV1918"/>
      <c r="AW1918"/>
      <c r="AX1918"/>
      <c r="AY1918"/>
      <c r="BK1918" s="42">
        <v>1917</v>
      </c>
      <c r="BL1918" s="127">
        <v>4</v>
      </c>
      <c r="BM1918" s="127">
        <v>0.11332468572476186</v>
      </c>
      <c r="BN1918" s="127" t="e">
        <v>#N/A</v>
      </c>
      <c r="BO1918" s="127" t="e">
        <v>#N/A</v>
      </c>
      <c r="BP1918" s="151" t="e">
        <v>#N/A</v>
      </c>
      <c r="BQ1918">
        <v>0.11332468572476186</v>
      </c>
      <c r="BR1918" t="str">
        <v/>
      </c>
    </row>
    <row r="1919" spans="47:70" x14ac:dyDescent="0.2">
      <c r="AU1919"/>
      <c r="AV1919"/>
      <c r="AW1919"/>
      <c r="AX1919"/>
      <c r="AY1919"/>
      <c r="BK1919" s="42">
        <v>1918</v>
      </c>
      <c r="BL1919" s="127">
        <v>4</v>
      </c>
      <c r="BM1919" s="127">
        <v>0.11332468572476186</v>
      </c>
      <c r="BN1919" s="127" t="e">
        <v>#N/A</v>
      </c>
      <c r="BO1919" s="127" t="e">
        <v>#N/A</v>
      </c>
      <c r="BP1919" s="151" t="e">
        <v>#N/A</v>
      </c>
      <c r="BQ1919">
        <v>0.11332468572476186</v>
      </c>
      <c r="BR1919" t="str">
        <v/>
      </c>
    </row>
    <row r="1920" spans="47:70" x14ac:dyDescent="0.2">
      <c r="AU1920"/>
      <c r="AV1920"/>
      <c r="AW1920"/>
      <c r="AX1920"/>
      <c r="AY1920"/>
      <c r="BK1920" s="42">
        <v>1919</v>
      </c>
      <c r="BL1920" s="127">
        <v>4</v>
      </c>
      <c r="BM1920" s="127">
        <v>0.11332468572476186</v>
      </c>
      <c r="BN1920" s="127" t="e">
        <v>#N/A</v>
      </c>
      <c r="BO1920" s="127" t="e">
        <v>#N/A</v>
      </c>
      <c r="BP1920" s="151" t="e">
        <v>#N/A</v>
      </c>
      <c r="BQ1920">
        <v>0.11332468572476186</v>
      </c>
      <c r="BR1920" t="str">
        <v/>
      </c>
    </row>
    <row r="1921" spans="47:70" x14ac:dyDescent="0.2">
      <c r="AU1921"/>
      <c r="AV1921"/>
      <c r="AW1921"/>
      <c r="AX1921"/>
      <c r="AY1921"/>
      <c r="BK1921" s="42">
        <v>1920</v>
      </c>
      <c r="BL1921" s="127">
        <v>4</v>
      </c>
      <c r="BM1921" s="127">
        <v>0.11332468572476186</v>
      </c>
      <c r="BN1921" s="127" t="e">
        <v>#N/A</v>
      </c>
      <c r="BO1921" s="127" t="e">
        <v>#N/A</v>
      </c>
      <c r="BP1921" s="151" t="e">
        <v>#N/A</v>
      </c>
      <c r="BQ1921">
        <v>0.11332468572476186</v>
      </c>
      <c r="BR1921" t="str">
        <v/>
      </c>
    </row>
    <row r="1922" spans="47:70" x14ac:dyDescent="0.2">
      <c r="AU1922"/>
      <c r="AV1922"/>
      <c r="AW1922"/>
      <c r="AX1922"/>
      <c r="AY1922"/>
      <c r="BK1922" s="42">
        <v>1921</v>
      </c>
      <c r="BL1922" s="127">
        <v>4</v>
      </c>
      <c r="BM1922" s="127">
        <v>0.11332468572476186</v>
      </c>
      <c r="BN1922" s="127" t="e">
        <v>#N/A</v>
      </c>
      <c r="BO1922" s="127" t="e">
        <v>#N/A</v>
      </c>
      <c r="BP1922" s="151" t="e">
        <v>#N/A</v>
      </c>
      <c r="BQ1922">
        <v>0.11332468572476186</v>
      </c>
      <c r="BR1922" t="str">
        <v/>
      </c>
    </row>
    <row r="1923" spans="47:70" x14ac:dyDescent="0.2">
      <c r="AU1923"/>
      <c r="AV1923"/>
      <c r="AW1923"/>
      <c r="AX1923"/>
      <c r="AY1923"/>
      <c r="BK1923" s="42">
        <v>1922</v>
      </c>
      <c r="BL1923" s="127">
        <v>4</v>
      </c>
      <c r="BM1923" s="127">
        <v>0.11332468572476186</v>
      </c>
      <c r="BN1923" s="127" t="e">
        <v>#N/A</v>
      </c>
      <c r="BO1923" s="127" t="e">
        <v>#N/A</v>
      </c>
      <c r="BP1923" s="151" t="e">
        <v>#N/A</v>
      </c>
      <c r="BQ1923">
        <v>0.11332468572476186</v>
      </c>
      <c r="BR1923" t="str">
        <v/>
      </c>
    </row>
    <row r="1924" spans="47:70" x14ac:dyDescent="0.2">
      <c r="AU1924"/>
      <c r="AV1924"/>
      <c r="AW1924"/>
      <c r="AX1924"/>
      <c r="AY1924"/>
      <c r="BK1924" s="42">
        <v>1923</v>
      </c>
      <c r="BL1924" s="127">
        <v>4</v>
      </c>
      <c r="BM1924" s="127">
        <v>0.11332468572476186</v>
      </c>
      <c r="BN1924" s="127" t="e">
        <v>#N/A</v>
      </c>
      <c r="BO1924" s="127" t="e">
        <v>#N/A</v>
      </c>
      <c r="BP1924" s="151" t="e">
        <v>#N/A</v>
      </c>
      <c r="BQ1924">
        <v>0.11332468572476186</v>
      </c>
      <c r="BR1924" t="str">
        <v/>
      </c>
    </row>
    <row r="1925" spans="47:70" x14ac:dyDescent="0.2">
      <c r="AU1925"/>
      <c r="AV1925"/>
      <c r="AW1925"/>
      <c r="AX1925"/>
      <c r="AY1925"/>
      <c r="BK1925" s="42">
        <v>1924</v>
      </c>
      <c r="BL1925" s="127">
        <v>4</v>
      </c>
      <c r="BM1925" s="127">
        <v>0.11332468572476186</v>
      </c>
      <c r="BN1925" s="127" t="e">
        <v>#N/A</v>
      </c>
      <c r="BO1925" s="127" t="e">
        <v>#N/A</v>
      </c>
      <c r="BP1925" s="151" t="e">
        <v>#N/A</v>
      </c>
      <c r="BQ1925">
        <v>0.11332468572476186</v>
      </c>
      <c r="BR1925" t="str">
        <v/>
      </c>
    </row>
    <row r="1926" spans="47:70" x14ac:dyDescent="0.2">
      <c r="AU1926"/>
      <c r="AV1926"/>
      <c r="AW1926"/>
      <c r="AX1926"/>
      <c r="AY1926"/>
      <c r="BK1926" s="42">
        <v>1925</v>
      </c>
      <c r="BL1926" s="127">
        <v>4</v>
      </c>
      <c r="BM1926" s="127">
        <v>0.11332468572476186</v>
      </c>
      <c r="BN1926" s="127" t="e">
        <v>#N/A</v>
      </c>
      <c r="BO1926" s="127" t="e">
        <v>#N/A</v>
      </c>
      <c r="BP1926" s="151" t="e">
        <v>#N/A</v>
      </c>
      <c r="BQ1926">
        <v>0.11332468572476186</v>
      </c>
      <c r="BR1926" t="str">
        <v/>
      </c>
    </row>
    <row r="1927" spans="47:70" x14ac:dyDescent="0.2">
      <c r="AU1927"/>
      <c r="AV1927"/>
      <c r="AW1927"/>
      <c r="AX1927"/>
      <c r="AY1927"/>
      <c r="BK1927" s="42">
        <v>1926</v>
      </c>
      <c r="BL1927" s="127">
        <v>4</v>
      </c>
      <c r="BM1927" s="127">
        <v>0.11332468572476186</v>
      </c>
      <c r="BN1927" s="127" t="e">
        <v>#N/A</v>
      </c>
      <c r="BO1927" s="127" t="e">
        <v>#N/A</v>
      </c>
      <c r="BP1927" s="151" t="e">
        <v>#N/A</v>
      </c>
      <c r="BQ1927">
        <v>0.11332468572476186</v>
      </c>
      <c r="BR1927" t="str">
        <v/>
      </c>
    </row>
    <row r="1928" spans="47:70" x14ac:dyDescent="0.2">
      <c r="AU1928"/>
      <c r="AV1928"/>
      <c r="AW1928"/>
      <c r="AX1928"/>
      <c r="AY1928"/>
      <c r="BK1928" s="42">
        <v>1927</v>
      </c>
      <c r="BL1928" s="127">
        <v>4</v>
      </c>
      <c r="BM1928" s="127">
        <v>0.11332468572476186</v>
      </c>
      <c r="BN1928" s="127" t="e">
        <v>#N/A</v>
      </c>
      <c r="BO1928" s="127" t="e">
        <v>#N/A</v>
      </c>
      <c r="BP1928" s="151" t="e">
        <v>#N/A</v>
      </c>
      <c r="BQ1928">
        <v>0.11332468572476186</v>
      </c>
      <c r="BR1928" t="str">
        <v/>
      </c>
    </row>
    <row r="1929" spans="47:70" x14ac:dyDescent="0.2">
      <c r="AU1929"/>
      <c r="AV1929"/>
      <c r="AW1929"/>
      <c r="AX1929"/>
      <c r="AY1929"/>
      <c r="BK1929" s="42">
        <v>1928</v>
      </c>
      <c r="BL1929" s="127">
        <v>4</v>
      </c>
      <c r="BM1929" s="127">
        <v>0.11332468572476186</v>
      </c>
      <c r="BN1929" s="127" t="e">
        <v>#N/A</v>
      </c>
      <c r="BO1929" s="127" t="e">
        <v>#N/A</v>
      </c>
      <c r="BP1929" s="151" t="e">
        <v>#N/A</v>
      </c>
      <c r="BQ1929">
        <v>0.11332468572476186</v>
      </c>
      <c r="BR1929" t="str">
        <v/>
      </c>
    </row>
    <row r="1930" spans="47:70" x14ac:dyDescent="0.2">
      <c r="AU1930"/>
      <c r="AV1930"/>
      <c r="AW1930"/>
      <c r="AX1930"/>
      <c r="AY1930"/>
      <c r="BK1930" s="42">
        <v>1929</v>
      </c>
      <c r="BL1930" s="127">
        <v>4</v>
      </c>
      <c r="BM1930" s="127">
        <v>0.11332468572476186</v>
      </c>
      <c r="BN1930" s="127" t="e">
        <v>#N/A</v>
      </c>
      <c r="BO1930" s="127" t="e">
        <v>#N/A</v>
      </c>
      <c r="BP1930" s="151" t="e">
        <v>#N/A</v>
      </c>
      <c r="BQ1930">
        <v>0.11332468572476186</v>
      </c>
      <c r="BR1930" t="str">
        <v/>
      </c>
    </row>
    <row r="1931" spans="47:70" x14ac:dyDescent="0.2">
      <c r="AU1931"/>
      <c r="AV1931"/>
      <c r="AW1931"/>
      <c r="AX1931"/>
      <c r="AY1931"/>
      <c r="BK1931" s="42">
        <v>1930</v>
      </c>
      <c r="BL1931" s="127">
        <v>4</v>
      </c>
      <c r="BM1931" s="127">
        <v>0.11332468572476186</v>
      </c>
      <c r="BN1931" s="127" t="e">
        <v>#N/A</v>
      </c>
      <c r="BO1931" s="127" t="e">
        <v>#N/A</v>
      </c>
      <c r="BP1931" s="151" t="e">
        <v>#N/A</v>
      </c>
      <c r="BQ1931">
        <v>0.11332468572476186</v>
      </c>
      <c r="BR1931" t="str">
        <v/>
      </c>
    </row>
    <row r="1932" spans="47:70" x14ac:dyDescent="0.2">
      <c r="AU1932"/>
      <c r="AV1932"/>
      <c r="AW1932"/>
      <c r="AX1932"/>
      <c r="AY1932"/>
      <c r="BK1932" s="42">
        <v>1931</v>
      </c>
      <c r="BL1932" s="127">
        <v>4</v>
      </c>
      <c r="BM1932" s="127">
        <v>0.11332468572476186</v>
      </c>
      <c r="BN1932" s="127" t="e">
        <v>#N/A</v>
      </c>
      <c r="BO1932" s="127" t="e">
        <v>#N/A</v>
      </c>
      <c r="BP1932" s="151" t="e">
        <v>#N/A</v>
      </c>
      <c r="BQ1932">
        <v>0.11332468572476186</v>
      </c>
      <c r="BR1932" t="str">
        <v/>
      </c>
    </row>
    <row r="1933" spans="47:70" x14ac:dyDescent="0.2">
      <c r="AU1933"/>
      <c r="AV1933"/>
      <c r="AW1933"/>
      <c r="AX1933"/>
      <c r="AY1933"/>
      <c r="BK1933" s="42">
        <v>1932</v>
      </c>
      <c r="BL1933" s="127">
        <v>4</v>
      </c>
      <c r="BM1933" s="127">
        <v>0.11332468572476186</v>
      </c>
      <c r="BN1933" s="127" t="e">
        <v>#N/A</v>
      </c>
      <c r="BO1933" s="127" t="e">
        <v>#N/A</v>
      </c>
      <c r="BP1933" s="151" t="e">
        <v>#N/A</v>
      </c>
      <c r="BQ1933">
        <v>0.11332468572476186</v>
      </c>
      <c r="BR1933" t="str">
        <v/>
      </c>
    </row>
    <row r="1934" spans="47:70" x14ac:dyDescent="0.2">
      <c r="AU1934"/>
      <c r="AV1934"/>
      <c r="AW1934"/>
      <c r="AX1934"/>
      <c r="AY1934"/>
      <c r="BK1934" s="42">
        <v>1933</v>
      </c>
      <c r="BL1934" s="127">
        <v>4</v>
      </c>
      <c r="BM1934" s="127">
        <v>0.11332468572476186</v>
      </c>
      <c r="BN1934" s="127" t="e">
        <v>#N/A</v>
      </c>
      <c r="BO1934" s="127" t="e">
        <v>#N/A</v>
      </c>
      <c r="BP1934" s="151" t="e">
        <v>#N/A</v>
      </c>
      <c r="BQ1934">
        <v>0.11332468572476186</v>
      </c>
      <c r="BR1934" t="str">
        <v/>
      </c>
    </row>
    <row r="1935" spans="47:70" x14ac:dyDescent="0.2">
      <c r="AU1935"/>
      <c r="AV1935"/>
      <c r="AW1935"/>
      <c r="AX1935"/>
      <c r="AY1935"/>
      <c r="BK1935" s="42">
        <v>1934</v>
      </c>
      <c r="BL1935" s="127">
        <v>4</v>
      </c>
      <c r="BM1935" s="127">
        <v>0.11332468572476186</v>
      </c>
      <c r="BN1935" s="127" t="e">
        <v>#N/A</v>
      </c>
      <c r="BO1935" s="127" t="e">
        <v>#N/A</v>
      </c>
      <c r="BP1935" s="151" t="e">
        <v>#N/A</v>
      </c>
      <c r="BQ1935">
        <v>0.11332468572476186</v>
      </c>
      <c r="BR1935" t="str">
        <v/>
      </c>
    </row>
    <row r="1936" spans="47:70" x14ac:dyDescent="0.2">
      <c r="AU1936"/>
      <c r="AV1936"/>
      <c r="AW1936"/>
      <c r="AX1936"/>
      <c r="AY1936"/>
      <c r="BK1936" s="42">
        <v>1935</v>
      </c>
      <c r="BL1936" s="127">
        <v>4</v>
      </c>
      <c r="BM1936" s="127">
        <v>0.11332468572476186</v>
      </c>
      <c r="BN1936" s="127" t="e">
        <v>#N/A</v>
      </c>
      <c r="BO1936" s="127" t="e">
        <v>#N/A</v>
      </c>
      <c r="BP1936" s="151" t="e">
        <v>#N/A</v>
      </c>
      <c r="BQ1936">
        <v>0.11332468572476186</v>
      </c>
      <c r="BR1936" t="str">
        <v/>
      </c>
    </row>
    <row r="1937" spans="47:70" x14ac:dyDescent="0.2">
      <c r="AU1937"/>
      <c r="AV1937"/>
      <c r="AW1937"/>
      <c r="AX1937"/>
      <c r="AY1937"/>
      <c r="BK1937" s="42">
        <v>1936</v>
      </c>
      <c r="BL1937" s="127">
        <v>4</v>
      </c>
      <c r="BM1937" s="127">
        <v>0.11332468572476186</v>
      </c>
      <c r="BN1937" s="127" t="e">
        <v>#N/A</v>
      </c>
      <c r="BO1937" s="127" t="e">
        <v>#N/A</v>
      </c>
      <c r="BP1937" s="151" t="e">
        <v>#N/A</v>
      </c>
      <c r="BQ1937">
        <v>0.11332468572476186</v>
      </c>
      <c r="BR1937" t="str">
        <v/>
      </c>
    </row>
    <row r="1938" spans="47:70" x14ac:dyDescent="0.2">
      <c r="AU1938"/>
      <c r="AV1938"/>
      <c r="AW1938"/>
      <c r="AX1938"/>
      <c r="AY1938"/>
      <c r="BK1938" s="42">
        <v>1937</v>
      </c>
      <c r="BL1938" s="127">
        <v>4</v>
      </c>
      <c r="BM1938" s="127">
        <v>0.11332468572476186</v>
      </c>
      <c r="BN1938" s="127" t="e">
        <v>#N/A</v>
      </c>
      <c r="BO1938" s="127" t="e">
        <v>#N/A</v>
      </c>
      <c r="BP1938" s="151" t="e">
        <v>#N/A</v>
      </c>
      <c r="BQ1938">
        <v>0.11332468572476186</v>
      </c>
      <c r="BR1938" t="str">
        <v/>
      </c>
    </row>
    <row r="1939" spans="47:70" x14ac:dyDescent="0.2">
      <c r="AU1939"/>
      <c r="AV1939"/>
      <c r="AW1939"/>
      <c r="AX1939"/>
      <c r="AY1939"/>
      <c r="BK1939" s="42">
        <v>1938</v>
      </c>
      <c r="BL1939" s="127">
        <v>4</v>
      </c>
      <c r="BM1939" s="127">
        <v>0.11332468572476186</v>
      </c>
      <c r="BN1939" s="127" t="e">
        <v>#N/A</v>
      </c>
      <c r="BO1939" s="127" t="e">
        <v>#N/A</v>
      </c>
      <c r="BP1939" s="151" t="e">
        <v>#N/A</v>
      </c>
      <c r="BQ1939">
        <v>0.11332468572476186</v>
      </c>
      <c r="BR1939" t="str">
        <v/>
      </c>
    </row>
    <row r="1940" spans="47:70" x14ac:dyDescent="0.2">
      <c r="AU1940"/>
      <c r="AV1940"/>
      <c r="AW1940"/>
      <c r="AX1940"/>
      <c r="AY1940"/>
      <c r="BK1940" s="42">
        <v>1939</v>
      </c>
      <c r="BL1940" s="127">
        <v>4</v>
      </c>
      <c r="BM1940" s="127">
        <v>0.11332468572476186</v>
      </c>
      <c r="BN1940" s="127" t="e">
        <v>#N/A</v>
      </c>
      <c r="BO1940" s="127" t="e">
        <v>#N/A</v>
      </c>
      <c r="BP1940" s="151" t="e">
        <v>#N/A</v>
      </c>
      <c r="BQ1940">
        <v>0.11332468572476186</v>
      </c>
      <c r="BR1940" t="str">
        <v/>
      </c>
    </row>
    <row r="1941" spans="47:70" x14ac:dyDescent="0.2">
      <c r="AU1941"/>
      <c r="AV1941"/>
      <c r="AW1941"/>
      <c r="AX1941"/>
      <c r="AY1941"/>
      <c r="BK1941" s="42">
        <v>1940</v>
      </c>
      <c r="BL1941" s="127">
        <v>4</v>
      </c>
      <c r="BM1941" s="127">
        <v>0.11332468572476186</v>
      </c>
      <c r="BN1941" s="127" t="e">
        <v>#N/A</v>
      </c>
      <c r="BO1941" s="127" t="e">
        <v>#N/A</v>
      </c>
      <c r="BP1941" s="151" t="e">
        <v>#N/A</v>
      </c>
      <c r="BQ1941">
        <v>0.11332468572476186</v>
      </c>
      <c r="BR1941" t="str">
        <v/>
      </c>
    </row>
    <row r="1942" spans="47:70" x14ac:dyDescent="0.2">
      <c r="AU1942"/>
      <c r="AV1942"/>
      <c r="AW1942"/>
      <c r="AX1942"/>
      <c r="AY1942"/>
      <c r="BK1942" s="42">
        <v>1941</v>
      </c>
      <c r="BL1942" s="127">
        <v>4</v>
      </c>
      <c r="BM1942" s="127">
        <v>0.11332468572476186</v>
      </c>
      <c r="BN1942" s="127" t="e">
        <v>#N/A</v>
      </c>
      <c r="BO1942" s="127" t="e">
        <v>#N/A</v>
      </c>
      <c r="BP1942" s="151" t="e">
        <v>#N/A</v>
      </c>
      <c r="BQ1942">
        <v>0.11332468572476186</v>
      </c>
      <c r="BR1942" t="str">
        <v/>
      </c>
    </row>
    <row r="1943" spans="47:70" x14ac:dyDescent="0.2">
      <c r="AU1943"/>
      <c r="AV1943"/>
      <c r="AW1943"/>
      <c r="AX1943"/>
      <c r="AY1943"/>
      <c r="BK1943" s="42">
        <v>1942</v>
      </c>
      <c r="BL1943" s="127">
        <v>4</v>
      </c>
      <c r="BM1943" s="127">
        <v>0.11332468572476186</v>
      </c>
      <c r="BN1943" s="127" t="e">
        <v>#N/A</v>
      </c>
      <c r="BO1943" s="127" t="e">
        <v>#N/A</v>
      </c>
      <c r="BP1943" s="151" t="e">
        <v>#N/A</v>
      </c>
      <c r="BQ1943">
        <v>0.11332468572476186</v>
      </c>
      <c r="BR1943" t="str">
        <v/>
      </c>
    </row>
    <row r="1944" spans="47:70" x14ac:dyDescent="0.2">
      <c r="AU1944"/>
      <c r="AV1944"/>
      <c r="AW1944"/>
      <c r="AX1944"/>
      <c r="AY1944"/>
      <c r="BK1944" s="42">
        <v>1943</v>
      </c>
      <c r="BL1944" s="127">
        <v>4</v>
      </c>
      <c r="BM1944" s="127">
        <v>0.11332468572476186</v>
      </c>
      <c r="BN1944" s="127" t="e">
        <v>#N/A</v>
      </c>
      <c r="BO1944" s="127" t="e">
        <v>#N/A</v>
      </c>
      <c r="BP1944" s="151" t="e">
        <v>#N/A</v>
      </c>
      <c r="BQ1944">
        <v>0.11332468572476186</v>
      </c>
      <c r="BR1944" t="str">
        <v/>
      </c>
    </row>
    <row r="1945" spans="47:70" x14ac:dyDescent="0.2">
      <c r="AU1945"/>
      <c r="AV1945"/>
      <c r="AW1945"/>
      <c r="AX1945"/>
      <c r="AY1945"/>
      <c r="BK1945" s="42">
        <v>1944</v>
      </c>
      <c r="BL1945" s="127">
        <v>4</v>
      </c>
      <c r="BM1945" s="127">
        <v>0.11332468572476186</v>
      </c>
      <c r="BN1945" s="127" t="e">
        <v>#N/A</v>
      </c>
      <c r="BO1945" s="127" t="e">
        <v>#N/A</v>
      </c>
      <c r="BP1945" s="151" t="e">
        <v>#N/A</v>
      </c>
      <c r="BQ1945">
        <v>0.11332468572476186</v>
      </c>
      <c r="BR1945" t="str">
        <v/>
      </c>
    </row>
    <row r="1946" spans="47:70" x14ac:dyDescent="0.2">
      <c r="AU1946"/>
      <c r="AV1946"/>
      <c r="AW1946"/>
      <c r="AX1946"/>
      <c r="AY1946"/>
      <c r="BK1946" s="42">
        <v>1945</v>
      </c>
      <c r="BL1946" s="127">
        <v>4</v>
      </c>
      <c r="BM1946" s="127">
        <v>0.11332468572476186</v>
      </c>
      <c r="BN1946" s="127" t="e">
        <v>#N/A</v>
      </c>
      <c r="BO1946" s="127" t="e">
        <v>#N/A</v>
      </c>
      <c r="BP1946" s="151" t="e">
        <v>#N/A</v>
      </c>
      <c r="BQ1946">
        <v>0.11332468572476186</v>
      </c>
      <c r="BR1946" t="str">
        <v/>
      </c>
    </row>
    <row r="1947" spans="47:70" x14ac:dyDescent="0.2">
      <c r="AU1947"/>
      <c r="AV1947"/>
      <c r="AW1947"/>
      <c r="AX1947"/>
      <c r="AY1947"/>
      <c r="BK1947" s="42">
        <v>1946</v>
      </c>
      <c r="BL1947" s="127">
        <v>4</v>
      </c>
      <c r="BM1947" s="127">
        <v>0.11332468572476186</v>
      </c>
      <c r="BN1947" s="127" t="e">
        <v>#N/A</v>
      </c>
      <c r="BO1947" s="127" t="e">
        <v>#N/A</v>
      </c>
      <c r="BP1947" s="151" t="e">
        <v>#N/A</v>
      </c>
      <c r="BQ1947">
        <v>0.11332468572476186</v>
      </c>
      <c r="BR1947" t="str">
        <v/>
      </c>
    </row>
    <row r="1948" spans="47:70" x14ac:dyDescent="0.2">
      <c r="AU1948"/>
      <c r="AV1948"/>
      <c r="AW1948"/>
      <c r="AX1948"/>
      <c r="AY1948"/>
      <c r="BK1948" s="42">
        <v>1947</v>
      </c>
      <c r="BL1948" s="127">
        <v>4</v>
      </c>
      <c r="BM1948" s="127">
        <v>0.11332468572476186</v>
      </c>
      <c r="BN1948" s="127" t="e">
        <v>#N/A</v>
      </c>
      <c r="BO1948" s="127" t="e">
        <v>#N/A</v>
      </c>
      <c r="BP1948" s="151" t="e">
        <v>#N/A</v>
      </c>
      <c r="BQ1948">
        <v>0.11332468572476186</v>
      </c>
      <c r="BR1948" t="str">
        <v/>
      </c>
    </row>
    <row r="1949" spans="47:70" x14ac:dyDescent="0.2">
      <c r="AU1949"/>
      <c r="AV1949"/>
      <c r="AW1949"/>
      <c r="AX1949"/>
      <c r="AY1949"/>
      <c r="BK1949" s="42">
        <v>1948</v>
      </c>
      <c r="BL1949" s="127">
        <v>4</v>
      </c>
      <c r="BM1949" s="127">
        <v>0.11332468572476186</v>
      </c>
      <c r="BN1949" s="127" t="e">
        <v>#N/A</v>
      </c>
      <c r="BO1949" s="127" t="e">
        <v>#N/A</v>
      </c>
      <c r="BP1949" s="151" t="e">
        <v>#N/A</v>
      </c>
      <c r="BQ1949">
        <v>0.11332468572476186</v>
      </c>
      <c r="BR1949" t="str">
        <v/>
      </c>
    </row>
    <row r="1950" spans="47:70" x14ac:dyDescent="0.2">
      <c r="AU1950"/>
      <c r="AV1950"/>
      <c r="AW1950"/>
      <c r="AX1950"/>
      <c r="AY1950"/>
      <c r="BK1950" s="42">
        <v>1949</v>
      </c>
      <c r="BL1950" s="127">
        <v>4</v>
      </c>
      <c r="BM1950" s="127">
        <v>0.11332468572476186</v>
      </c>
      <c r="BN1950" s="127" t="e">
        <v>#N/A</v>
      </c>
      <c r="BO1950" s="127" t="e">
        <v>#N/A</v>
      </c>
      <c r="BP1950" s="151" t="e">
        <v>#N/A</v>
      </c>
      <c r="BQ1950">
        <v>0.11332468572476186</v>
      </c>
      <c r="BR1950" t="str">
        <v/>
      </c>
    </row>
    <row r="1951" spans="47:70" x14ac:dyDescent="0.2">
      <c r="AU1951"/>
      <c r="AV1951"/>
      <c r="AW1951"/>
      <c r="AX1951"/>
      <c r="AY1951"/>
      <c r="BK1951" s="42">
        <v>1950</v>
      </c>
      <c r="BL1951" s="127">
        <v>4</v>
      </c>
      <c r="BM1951" s="127">
        <v>0.11332468572476186</v>
      </c>
      <c r="BN1951" s="127" t="e">
        <v>#N/A</v>
      </c>
      <c r="BO1951" s="127" t="e">
        <v>#N/A</v>
      </c>
      <c r="BP1951" s="151" t="e">
        <v>#N/A</v>
      </c>
      <c r="BQ1951">
        <v>0.11332468572476186</v>
      </c>
      <c r="BR1951" t="str">
        <v/>
      </c>
    </row>
    <row r="1952" spans="47:70" x14ac:dyDescent="0.2">
      <c r="AU1952"/>
      <c r="AV1952"/>
      <c r="AW1952"/>
      <c r="AX1952"/>
      <c r="AY1952"/>
      <c r="BK1952" s="42">
        <v>1951</v>
      </c>
      <c r="BL1952" s="127">
        <v>4</v>
      </c>
      <c r="BM1952" s="127">
        <v>0.11332468572476186</v>
      </c>
      <c r="BN1952" s="127" t="e">
        <v>#N/A</v>
      </c>
      <c r="BO1952" s="127" t="e">
        <v>#N/A</v>
      </c>
      <c r="BP1952" s="151" t="e">
        <v>#N/A</v>
      </c>
      <c r="BQ1952">
        <v>0.11332468572476186</v>
      </c>
      <c r="BR1952" t="str">
        <v/>
      </c>
    </row>
    <row r="1953" spans="47:70" x14ac:dyDescent="0.2">
      <c r="AU1953"/>
      <c r="AV1953"/>
      <c r="AW1953"/>
      <c r="AX1953"/>
      <c r="AY1953"/>
      <c r="BK1953" s="42">
        <v>1952</v>
      </c>
      <c r="BL1953" s="127">
        <v>4</v>
      </c>
      <c r="BM1953" s="127">
        <v>0.11332468572476186</v>
      </c>
      <c r="BN1953" s="127" t="e">
        <v>#N/A</v>
      </c>
      <c r="BO1953" s="127" t="e">
        <v>#N/A</v>
      </c>
      <c r="BP1953" s="151" t="e">
        <v>#N/A</v>
      </c>
      <c r="BQ1953">
        <v>0.11332468572476186</v>
      </c>
      <c r="BR1953" t="str">
        <v/>
      </c>
    </row>
    <row r="1954" spans="47:70" x14ac:dyDescent="0.2">
      <c r="AU1954"/>
      <c r="AV1954"/>
      <c r="AW1954"/>
      <c r="AX1954"/>
      <c r="AY1954"/>
      <c r="BK1954" s="42">
        <v>1953</v>
      </c>
      <c r="BL1954" s="127">
        <v>4</v>
      </c>
      <c r="BM1954" s="127">
        <v>0.11332468572476186</v>
      </c>
      <c r="BN1954" s="127" t="e">
        <v>#N/A</v>
      </c>
      <c r="BO1954" s="127" t="e">
        <v>#N/A</v>
      </c>
      <c r="BP1954" s="151" t="e">
        <v>#N/A</v>
      </c>
      <c r="BQ1954">
        <v>0.11332468572476186</v>
      </c>
      <c r="BR1954" t="str">
        <v/>
      </c>
    </row>
    <row r="1955" spans="47:70" x14ac:dyDescent="0.2">
      <c r="AU1955"/>
      <c r="AV1955"/>
      <c r="AW1955"/>
      <c r="AX1955"/>
      <c r="AY1955"/>
      <c r="BK1955" s="42">
        <v>1954</v>
      </c>
      <c r="BL1955" s="127">
        <v>4</v>
      </c>
      <c r="BM1955" s="127">
        <v>0.11332468572476186</v>
      </c>
      <c r="BN1955" s="127" t="e">
        <v>#N/A</v>
      </c>
      <c r="BO1955" s="127" t="e">
        <v>#N/A</v>
      </c>
      <c r="BP1955" s="151" t="e">
        <v>#N/A</v>
      </c>
      <c r="BQ1955">
        <v>0.11332468572476186</v>
      </c>
      <c r="BR1955" t="str">
        <v/>
      </c>
    </row>
    <row r="1956" spans="47:70" x14ac:dyDescent="0.2">
      <c r="AU1956"/>
      <c r="AV1956"/>
      <c r="AW1956"/>
      <c r="AX1956"/>
      <c r="AY1956"/>
      <c r="BK1956" s="42">
        <v>1955</v>
      </c>
      <c r="BL1956" s="127">
        <v>4</v>
      </c>
      <c r="BM1956" s="127">
        <v>0.11332468572476186</v>
      </c>
      <c r="BN1956" s="127" t="e">
        <v>#N/A</v>
      </c>
      <c r="BO1956" s="127" t="e">
        <v>#N/A</v>
      </c>
      <c r="BP1956" s="151" t="e">
        <v>#N/A</v>
      </c>
      <c r="BQ1956">
        <v>0.11332468572476186</v>
      </c>
      <c r="BR1956" t="str">
        <v/>
      </c>
    </row>
    <row r="1957" spans="47:70" x14ac:dyDescent="0.2">
      <c r="AU1957"/>
      <c r="AV1957"/>
      <c r="AW1957"/>
      <c r="AX1957"/>
      <c r="AY1957"/>
      <c r="BK1957" s="42">
        <v>1956</v>
      </c>
      <c r="BL1957" s="127">
        <v>4</v>
      </c>
      <c r="BM1957" s="127">
        <v>0.11332468572476186</v>
      </c>
      <c r="BN1957" s="127" t="e">
        <v>#N/A</v>
      </c>
      <c r="BO1957" s="127" t="e">
        <v>#N/A</v>
      </c>
      <c r="BP1957" s="151" t="e">
        <v>#N/A</v>
      </c>
      <c r="BQ1957">
        <v>0.11332468572476186</v>
      </c>
      <c r="BR1957" t="str">
        <v/>
      </c>
    </row>
    <row r="1958" spans="47:70" x14ac:dyDescent="0.2">
      <c r="AU1958"/>
      <c r="AV1958"/>
      <c r="AW1958"/>
      <c r="AX1958"/>
      <c r="AY1958"/>
      <c r="BK1958" s="42">
        <v>1957</v>
      </c>
      <c r="BL1958" s="127">
        <v>4</v>
      </c>
      <c r="BM1958" s="127">
        <v>0.11332468572476186</v>
      </c>
      <c r="BN1958" s="127" t="e">
        <v>#N/A</v>
      </c>
      <c r="BO1958" s="127" t="e">
        <v>#N/A</v>
      </c>
      <c r="BP1958" s="151" t="e">
        <v>#N/A</v>
      </c>
      <c r="BQ1958">
        <v>0.11332468572476186</v>
      </c>
      <c r="BR1958" t="str">
        <v/>
      </c>
    </row>
    <row r="1959" spans="47:70" x14ac:dyDescent="0.2">
      <c r="AU1959"/>
      <c r="AV1959"/>
      <c r="AW1959"/>
      <c r="AX1959"/>
      <c r="AY1959"/>
      <c r="BK1959" s="42">
        <v>1958</v>
      </c>
      <c r="BL1959" s="127">
        <v>4</v>
      </c>
      <c r="BM1959" s="127">
        <v>0.11332468572476186</v>
      </c>
      <c r="BN1959" s="127" t="e">
        <v>#N/A</v>
      </c>
      <c r="BO1959" s="127" t="e">
        <v>#N/A</v>
      </c>
      <c r="BP1959" s="151" t="e">
        <v>#N/A</v>
      </c>
      <c r="BQ1959">
        <v>0.11332468572476186</v>
      </c>
      <c r="BR1959" t="str">
        <v/>
      </c>
    </row>
    <row r="1960" spans="47:70" x14ac:dyDescent="0.2">
      <c r="AU1960"/>
      <c r="AV1960"/>
      <c r="AW1960"/>
      <c r="AX1960"/>
      <c r="AY1960"/>
      <c r="BK1960" s="42">
        <v>1959</v>
      </c>
      <c r="BL1960" s="127">
        <v>4</v>
      </c>
      <c r="BM1960" s="127">
        <v>0.11332468572476186</v>
      </c>
      <c r="BN1960" s="127" t="e">
        <v>#N/A</v>
      </c>
      <c r="BO1960" s="127" t="e">
        <v>#N/A</v>
      </c>
      <c r="BP1960" s="151" t="e">
        <v>#N/A</v>
      </c>
      <c r="BQ1960">
        <v>0.11332468572476186</v>
      </c>
      <c r="BR1960" t="str">
        <v/>
      </c>
    </row>
    <row r="1961" spans="47:70" x14ac:dyDescent="0.2">
      <c r="AU1961"/>
      <c r="AV1961"/>
      <c r="AW1961"/>
      <c r="AX1961"/>
      <c r="AY1961"/>
      <c r="BK1961" s="42">
        <v>1960</v>
      </c>
      <c r="BL1961" s="127">
        <v>4</v>
      </c>
      <c r="BM1961" s="127">
        <v>0.11332468572476186</v>
      </c>
      <c r="BN1961" s="127" t="e">
        <v>#N/A</v>
      </c>
      <c r="BO1961" s="127" t="e">
        <v>#N/A</v>
      </c>
      <c r="BP1961" s="151" t="e">
        <v>#N/A</v>
      </c>
      <c r="BQ1961">
        <v>0.11332468572476186</v>
      </c>
      <c r="BR1961" t="str">
        <v/>
      </c>
    </row>
    <row r="1962" spans="47:70" x14ac:dyDescent="0.2">
      <c r="AU1962"/>
      <c r="AV1962"/>
      <c r="AW1962"/>
      <c r="AX1962"/>
      <c r="AY1962"/>
      <c r="BK1962" s="42">
        <v>1961</v>
      </c>
      <c r="BL1962" s="127">
        <v>4</v>
      </c>
      <c r="BM1962" s="127">
        <v>0.11332468572476186</v>
      </c>
      <c r="BN1962" s="127" t="e">
        <v>#N/A</v>
      </c>
      <c r="BO1962" s="127" t="e">
        <v>#N/A</v>
      </c>
      <c r="BP1962" s="151" t="e">
        <v>#N/A</v>
      </c>
      <c r="BQ1962">
        <v>0.11332468572476186</v>
      </c>
      <c r="BR1962" t="str">
        <v/>
      </c>
    </row>
    <row r="1963" spans="47:70" x14ac:dyDescent="0.2">
      <c r="AU1963"/>
      <c r="AV1963"/>
      <c r="AW1963"/>
      <c r="AX1963"/>
      <c r="AY1963"/>
      <c r="BK1963" s="42">
        <v>1962</v>
      </c>
      <c r="BL1963" s="127">
        <v>4</v>
      </c>
      <c r="BM1963" s="127">
        <v>0.11332468572476186</v>
      </c>
      <c r="BN1963" s="127" t="e">
        <v>#N/A</v>
      </c>
      <c r="BO1963" s="127" t="e">
        <v>#N/A</v>
      </c>
      <c r="BP1963" s="151" t="e">
        <v>#N/A</v>
      </c>
      <c r="BQ1963">
        <v>0.11332468572476186</v>
      </c>
      <c r="BR1963" t="str">
        <v/>
      </c>
    </row>
    <row r="1964" spans="47:70" x14ac:dyDescent="0.2">
      <c r="AU1964"/>
      <c r="AV1964"/>
      <c r="AW1964"/>
      <c r="AX1964"/>
      <c r="AY1964"/>
      <c r="BK1964" s="42">
        <v>1963</v>
      </c>
      <c r="BL1964" s="127">
        <v>4</v>
      </c>
      <c r="BM1964" s="127">
        <v>0.11332468572476186</v>
      </c>
      <c r="BN1964" s="127" t="e">
        <v>#N/A</v>
      </c>
      <c r="BO1964" s="127" t="e">
        <v>#N/A</v>
      </c>
      <c r="BP1964" s="151" t="e">
        <v>#N/A</v>
      </c>
      <c r="BQ1964">
        <v>0.11332468572476186</v>
      </c>
      <c r="BR1964" t="str">
        <v/>
      </c>
    </row>
    <row r="1965" spans="47:70" x14ac:dyDescent="0.2">
      <c r="AU1965"/>
      <c r="AV1965"/>
      <c r="AW1965"/>
      <c r="AX1965"/>
      <c r="AY1965"/>
      <c r="BK1965" s="42">
        <v>1964</v>
      </c>
      <c r="BL1965" s="127">
        <v>4</v>
      </c>
      <c r="BM1965" s="127">
        <v>0.11332468572476186</v>
      </c>
      <c r="BN1965" s="127" t="e">
        <v>#N/A</v>
      </c>
      <c r="BO1965" s="127" t="e">
        <v>#N/A</v>
      </c>
      <c r="BP1965" s="151" t="e">
        <v>#N/A</v>
      </c>
      <c r="BQ1965">
        <v>0.11332468572476186</v>
      </c>
      <c r="BR1965" t="str">
        <v/>
      </c>
    </row>
    <row r="1966" spans="47:70" x14ac:dyDescent="0.2">
      <c r="AU1966"/>
      <c r="AV1966"/>
      <c r="AW1966"/>
      <c r="AX1966"/>
      <c r="AY1966"/>
      <c r="BK1966" s="42">
        <v>1965</v>
      </c>
      <c r="BL1966" s="127">
        <v>4</v>
      </c>
      <c r="BM1966" s="127">
        <v>0.11332468572476186</v>
      </c>
      <c r="BN1966" s="127" t="e">
        <v>#N/A</v>
      </c>
      <c r="BO1966" s="127" t="e">
        <v>#N/A</v>
      </c>
      <c r="BP1966" s="151" t="e">
        <v>#N/A</v>
      </c>
      <c r="BQ1966">
        <v>0.11332468572476186</v>
      </c>
      <c r="BR1966" t="str">
        <v/>
      </c>
    </row>
    <row r="1967" spans="47:70" x14ac:dyDescent="0.2">
      <c r="AU1967"/>
      <c r="AV1967"/>
      <c r="AW1967"/>
      <c r="AX1967"/>
      <c r="AY1967"/>
      <c r="BK1967" s="42">
        <v>1966</v>
      </c>
      <c r="BL1967" s="127">
        <v>4</v>
      </c>
      <c r="BM1967" s="127">
        <v>0.11332468572476186</v>
      </c>
      <c r="BN1967" s="127" t="e">
        <v>#N/A</v>
      </c>
      <c r="BO1967" s="127" t="e">
        <v>#N/A</v>
      </c>
      <c r="BP1967" s="151" t="e">
        <v>#N/A</v>
      </c>
      <c r="BQ1967">
        <v>0.11332468572476186</v>
      </c>
      <c r="BR1967" t="str">
        <v/>
      </c>
    </row>
    <row r="1968" spans="47:70" x14ac:dyDescent="0.2">
      <c r="AU1968"/>
      <c r="AV1968"/>
      <c r="AW1968"/>
      <c r="AX1968"/>
      <c r="AY1968"/>
      <c r="BK1968" s="42">
        <v>1967</v>
      </c>
      <c r="BL1968" s="127">
        <v>4</v>
      </c>
      <c r="BM1968" s="127">
        <v>0.11332468572476186</v>
      </c>
      <c r="BN1968" s="127" t="e">
        <v>#N/A</v>
      </c>
      <c r="BO1968" s="127" t="e">
        <v>#N/A</v>
      </c>
      <c r="BP1968" s="151" t="e">
        <v>#N/A</v>
      </c>
      <c r="BQ1968">
        <v>0.11332468572476186</v>
      </c>
      <c r="BR1968" t="str">
        <v/>
      </c>
    </row>
    <row r="1969" spans="47:70" x14ac:dyDescent="0.2">
      <c r="AU1969"/>
      <c r="AV1969"/>
      <c r="AW1969"/>
      <c r="AX1969"/>
      <c r="AY1969"/>
      <c r="BK1969" s="42">
        <v>1968</v>
      </c>
      <c r="BL1969" s="127">
        <v>4</v>
      </c>
      <c r="BM1969" s="127">
        <v>0.11332468572476186</v>
      </c>
      <c r="BN1969" s="127" t="e">
        <v>#N/A</v>
      </c>
      <c r="BO1969" s="127" t="e">
        <v>#N/A</v>
      </c>
      <c r="BP1969" s="151" t="e">
        <v>#N/A</v>
      </c>
      <c r="BQ1969">
        <v>0.11332468572476186</v>
      </c>
      <c r="BR1969" t="str">
        <v/>
      </c>
    </row>
    <row r="1970" spans="47:70" x14ac:dyDescent="0.2">
      <c r="AU1970"/>
      <c r="AV1970"/>
      <c r="AW1970"/>
      <c r="AX1970"/>
      <c r="AY1970"/>
      <c r="BK1970" s="42">
        <v>1969</v>
      </c>
      <c r="BL1970" s="127">
        <v>4</v>
      </c>
      <c r="BM1970" s="127">
        <v>0.11332468572476186</v>
      </c>
      <c r="BN1970" s="127" t="e">
        <v>#N/A</v>
      </c>
      <c r="BO1970" s="127" t="e">
        <v>#N/A</v>
      </c>
      <c r="BP1970" s="151" t="e">
        <v>#N/A</v>
      </c>
      <c r="BQ1970">
        <v>0.11332468572476186</v>
      </c>
      <c r="BR1970" t="str">
        <v/>
      </c>
    </row>
    <row r="1971" spans="47:70" x14ac:dyDescent="0.2">
      <c r="AU1971"/>
      <c r="AV1971"/>
      <c r="AW1971"/>
      <c r="AX1971"/>
      <c r="AY1971"/>
      <c r="BK1971" s="42">
        <v>1970</v>
      </c>
      <c r="BL1971" s="127">
        <v>4</v>
      </c>
      <c r="BM1971" s="127">
        <v>0.11332468572476186</v>
      </c>
      <c r="BN1971" s="127" t="e">
        <v>#N/A</v>
      </c>
      <c r="BO1971" s="127" t="e">
        <v>#N/A</v>
      </c>
      <c r="BP1971" s="151" t="e">
        <v>#N/A</v>
      </c>
      <c r="BQ1971">
        <v>0.11332468572476186</v>
      </c>
      <c r="BR1971" t="str">
        <v/>
      </c>
    </row>
    <row r="1972" spans="47:70" x14ac:dyDescent="0.2">
      <c r="AU1972"/>
      <c r="AV1972"/>
      <c r="AW1972"/>
      <c r="AX1972"/>
      <c r="AY1972"/>
      <c r="BK1972" s="42">
        <v>1971</v>
      </c>
      <c r="BL1972" s="127">
        <v>4</v>
      </c>
      <c r="BM1972" s="127">
        <v>0.11332468572476186</v>
      </c>
      <c r="BN1972" s="127" t="e">
        <v>#N/A</v>
      </c>
      <c r="BO1972" s="127" t="e">
        <v>#N/A</v>
      </c>
      <c r="BP1972" s="151" t="e">
        <v>#N/A</v>
      </c>
      <c r="BQ1972">
        <v>0.11332468572476186</v>
      </c>
      <c r="BR1972" t="str">
        <v/>
      </c>
    </row>
    <row r="1973" spans="47:70" x14ac:dyDescent="0.2">
      <c r="AU1973"/>
      <c r="AV1973"/>
      <c r="AW1973"/>
      <c r="AX1973"/>
      <c r="AY1973"/>
      <c r="BK1973" s="42">
        <v>1972</v>
      </c>
      <c r="BL1973" s="127">
        <v>4</v>
      </c>
      <c r="BM1973" s="127">
        <v>0.11332468572476186</v>
      </c>
      <c r="BN1973" s="127" t="e">
        <v>#N/A</v>
      </c>
      <c r="BO1973" s="127" t="e">
        <v>#N/A</v>
      </c>
      <c r="BP1973" s="151" t="e">
        <v>#N/A</v>
      </c>
      <c r="BQ1973">
        <v>0.11332468572476186</v>
      </c>
      <c r="BR1973" t="str">
        <v/>
      </c>
    </row>
    <row r="1974" spans="47:70" x14ac:dyDescent="0.2">
      <c r="AU1974"/>
      <c r="AV1974"/>
      <c r="AW1974"/>
      <c r="AX1974"/>
      <c r="AY1974"/>
      <c r="BK1974" s="42">
        <v>1973</v>
      </c>
      <c r="BL1974" s="127">
        <v>4</v>
      </c>
      <c r="BM1974" s="127">
        <v>0.11332468572476186</v>
      </c>
      <c r="BN1974" s="127" t="e">
        <v>#N/A</v>
      </c>
      <c r="BO1974" s="127" t="e">
        <v>#N/A</v>
      </c>
      <c r="BP1974" s="151" t="e">
        <v>#N/A</v>
      </c>
      <c r="BQ1974">
        <v>0.11332468572476186</v>
      </c>
      <c r="BR1974" t="str">
        <v/>
      </c>
    </row>
    <row r="1975" spans="47:70" x14ac:dyDescent="0.2">
      <c r="AU1975"/>
      <c r="AV1975"/>
      <c r="AW1975"/>
      <c r="AX1975"/>
      <c r="AY1975"/>
      <c r="BK1975" s="42">
        <v>1974</v>
      </c>
      <c r="BL1975" s="127">
        <v>4</v>
      </c>
      <c r="BM1975" s="127">
        <v>0.11332468572476186</v>
      </c>
      <c r="BN1975" s="127" t="e">
        <v>#N/A</v>
      </c>
      <c r="BO1975" s="127" t="e">
        <v>#N/A</v>
      </c>
      <c r="BP1975" s="151" t="e">
        <v>#N/A</v>
      </c>
      <c r="BQ1975">
        <v>0.11332468572476186</v>
      </c>
      <c r="BR1975" t="str">
        <v/>
      </c>
    </row>
    <row r="1976" spans="47:70" x14ac:dyDescent="0.2">
      <c r="AU1976"/>
      <c r="AV1976"/>
      <c r="AW1976"/>
      <c r="AX1976"/>
      <c r="AY1976"/>
      <c r="BK1976" s="42">
        <v>1975</v>
      </c>
      <c r="BL1976" s="127">
        <v>4</v>
      </c>
      <c r="BM1976" s="127">
        <v>0.11332468572476186</v>
      </c>
      <c r="BN1976" s="127" t="e">
        <v>#N/A</v>
      </c>
      <c r="BO1976" s="127" t="e">
        <v>#N/A</v>
      </c>
      <c r="BP1976" s="151" t="e">
        <v>#N/A</v>
      </c>
      <c r="BQ1976">
        <v>0.11332468572476186</v>
      </c>
      <c r="BR1976" t="str">
        <v/>
      </c>
    </row>
    <row r="1977" spans="47:70" x14ac:dyDescent="0.2">
      <c r="AU1977"/>
      <c r="AV1977"/>
      <c r="AW1977"/>
      <c r="AX1977"/>
      <c r="AY1977"/>
      <c r="BK1977" s="42">
        <v>1976</v>
      </c>
      <c r="BL1977" s="127">
        <v>4</v>
      </c>
      <c r="BM1977" s="127">
        <v>0.11332468572476186</v>
      </c>
      <c r="BN1977" s="127" t="e">
        <v>#N/A</v>
      </c>
      <c r="BO1977" s="127" t="e">
        <v>#N/A</v>
      </c>
      <c r="BP1977" s="151" t="e">
        <v>#N/A</v>
      </c>
      <c r="BQ1977">
        <v>0.11332468572476186</v>
      </c>
      <c r="BR1977" t="str">
        <v/>
      </c>
    </row>
    <row r="1978" spans="47:70" x14ac:dyDescent="0.2">
      <c r="AU1978"/>
      <c r="AV1978"/>
      <c r="AW1978"/>
      <c r="AX1978"/>
      <c r="AY1978"/>
      <c r="BK1978" s="42">
        <v>1977</v>
      </c>
      <c r="BL1978" s="127">
        <v>4</v>
      </c>
      <c r="BM1978" s="127">
        <v>0.11332468572476186</v>
      </c>
      <c r="BN1978" s="127" t="e">
        <v>#N/A</v>
      </c>
      <c r="BO1978" s="127" t="e">
        <v>#N/A</v>
      </c>
      <c r="BP1978" s="151" t="e">
        <v>#N/A</v>
      </c>
      <c r="BQ1978">
        <v>0.11332468572476186</v>
      </c>
      <c r="BR1978" t="str">
        <v/>
      </c>
    </row>
    <row r="1979" spans="47:70" x14ac:dyDescent="0.2">
      <c r="AU1979"/>
      <c r="AV1979"/>
      <c r="AW1979"/>
      <c r="AX1979"/>
      <c r="AY1979"/>
      <c r="BK1979" s="42">
        <v>1978</v>
      </c>
      <c r="BL1979" s="127">
        <v>4</v>
      </c>
      <c r="BM1979" s="127">
        <v>0.11332468572476186</v>
      </c>
      <c r="BN1979" s="127" t="e">
        <v>#N/A</v>
      </c>
      <c r="BO1979" s="127" t="e">
        <v>#N/A</v>
      </c>
      <c r="BP1979" s="151" t="e">
        <v>#N/A</v>
      </c>
      <c r="BQ1979">
        <v>0.11332468572476186</v>
      </c>
      <c r="BR1979" t="str">
        <v/>
      </c>
    </row>
    <row r="1980" spans="47:70" x14ac:dyDescent="0.2">
      <c r="AU1980"/>
      <c r="AV1980"/>
      <c r="AW1980"/>
      <c r="AX1980"/>
      <c r="AY1980"/>
      <c r="BK1980" s="42">
        <v>1979</v>
      </c>
      <c r="BL1980" s="127">
        <v>4</v>
      </c>
      <c r="BM1980" s="127">
        <v>0.11332468572476186</v>
      </c>
      <c r="BN1980" s="127" t="e">
        <v>#N/A</v>
      </c>
      <c r="BO1980" s="127" t="e">
        <v>#N/A</v>
      </c>
      <c r="BP1980" s="151" t="e">
        <v>#N/A</v>
      </c>
      <c r="BQ1980">
        <v>0.11332468572476186</v>
      </c>
      <c r="BR1980" t="str">
        <v/>
      </c>
    </row>
    <row r="1981" spans="47:70" x14ac:dyDescent="0.2">
      <c r="AU1981"/>
      <c r="AV1981"/>
      <c r="AW1981"/>
      <c r="AX1981"/>
      <c r="AY1981"/>
      <c r="BK1981" s="42">
        <v>1980</v>
      </c>
      <c r="BL1981" s="127">
        <v>4</v>
      </c>
      <c r="BM1981" s="127">
        <v>0.11332468572476186</v>
      </c>
      <c r="BN1981" s="127" t="e">
        <v>#N/A</v>
      </c>
      <c r="BO1981" s="127" t="e">
        <v>#N/A</v>
      </c>
      <c r="BP1981" s="151" t="e">
        <v>#N/A</v>
      </c>
      <c r="BQ1981">
        <v>0.11332468572476186</v>
      </c>
      <c r="BR1981" t="str">
        <v/>
      </c>
    </row>
    <row r="1982" spans="47:70" x14ac:dyDescent="0.2">
      <c r="AU1982"/>
      <c r="AV1982"/>
      <c r="AW1982"/>
      <c r="AX1982"/>
      <c r="AY1982"/>
      <c r="BK1982" s="42">
        <v>1981</v>
      </c>
      <c r="BL1982" s="127">
        <v>4</v>
      </c>
      <c r="BM1982" s="127">
        <v>0.11332468572476186</v>
      </c>
      <c r="BN1982" s="127" t="e">
        <v>#N/A</v>
      </c>
      <c r="BO1982" s="127" t="e">
        <v>#N/A</v>
      </c>
      <c r="BP1982" s="151" t="e">
        <v>#N/A</v>
      </c>
      <c r="BQ1982">
        <v>0.11332468572476186</v>
      </c>
      <c r="BR1982" t="str">
        <v/>
      </c>
    </row>
    <row r="1983" spans="47:70" x14ac:dyDescent="0.2">
      <c r="AU1983"/>
      <c r="AV1983"/>
      <c r="AW1983"/>
      <c r="AX1983"/>
      <c r="AY1983"/>
      <c r="BK1983" s="42">
        <v>1982</v>
      </c>
      <c r="BL1983" s="127">
        <v>4</v>
      </c>
      <c r="BM1983" s="127">
        <v>0.11332468572476186</v>
      </c>
      <c r="BN1983" s="127" t="e">
        <v>#N/A</v>
      </c>
      <c r="BO1983" s="127" t="e">
        <v>#N/A</v>
      </c>
      <c r="BP1983" s="151" t="e">
        <v>#N/A</v>
      </c>
      <c r="BQ1983">
        <v>0.11332468572476186</v>
      </c>
      <c r="BR1983" t="str">
        <v/>
      </c>
    </row>
    <row r="1984" spans="47:70" x14ac:dyDescent="0.2">
      <c r="AU1984"/>
      <c r="AV1984"/>
      <c r="AW1984"/>
      <c r="AX1984"/>
      <c r="AY1984"/>
      <c r="BK1984" s="42">
        <v>1983</v>
      </c>
      <c r="BL1984" s="127">
        <v>4</v>
      </c>
      <c r="BM1984" s="127">
        <v>0.11332468572476186</v>
      </c>
      <c r="BN1984" s="127" t="e">
        <v>#N/A</v>
      </c>
      <c r="BO1984" s="127" t="e">
        <v>#N/A</v>
      </c>
      <c r="BP1984" s="151" t="e">
        <v>#N/A</v>
      </c>
      <c r="BQ1984">
        <v>0.11332468572476186</v>
      </c>
      <c r="BR1984" t="str">
        <v/>
      </c>
    </row>
    <row r="1985" spans="47:70" x14ac:dyDescent="0.2">
      <c r="AU1985"/>
      <c r="AV1985"/>
      <c r="AW1985"/>
      <c r="AX1985"/>
      <c r="AY1985"/>
      <c r="BK1985" s="42">
        <v>1984</v>
      </c>
      <c r="BL1985" s="127">
        <v>4</v>
      </c>
      <c r="BM1985" s="127">
        <v>0.11332468572476186</v>
      </c>
      <c r="BN1985" s="127" t="e">
        <v>#N/A</v>
      </c>
      <c r="BO1985" s="127" t="e">
        <v>#N/A</v>
      </c>
      <c r="BP1985" s="151" t="e">
        <v>#N/A</v>
      </c>
      <c r="BQ1985">
        <v>0.11332468572476186</v>
      </c>
      <c r="BR1985" t="str">
        <v/>
      </c>
    </row>
    <row r="1986" spans="47:70" x14ac:dyDescent="0.2">
      <c r="AU1986"/>
      <c r="AV1986"/>
      <c r="AW1986"/>
      <c r="AX1986"/>
      <c r="AY1986"/>
      <c r="BK1986" s="42">
        <v>1985</v>
      </c>
      <c r="BL1986" s="127">
        <v>4</v>
      </c>
      <c r="BM1986" s="127">
        <v>0.11332468572476186</v>
      </c>
      <c r="BN1986" s="127" t="e">
        <v>#N/A</v>
      </c>
      <c r="BO1986" s="127" t="e">
        <v>#N/A</v>
      </c>
      <c r="BP1986" s="151" t="e">
        <v>#N/A</v>
      </c>
      <c r="BQ1986">
        <v>0.11332468572476186</v>
      </c>
      <c r="BR1986" t="str">
        <v/>
      </c>
    </row>
    <row r="1987" spans="47:70" x14ac:dyDescent="0.2">
      <c r="AU1987"/>
      <c r="AV1987"/>
      <c r="AW1987"/>
      <c r="AX1987"/>
      <c r="AY1987"/>
      <c r="BK1987" s="42">
        <v>1986</v>
      </c>
      <c r="BL1987" s="127">
        <v>4</v>
      </c>
      <c r="BM1987" s="127">
        <v>0.11332468572476186</v>
      </c>
      <c r="BN1987" s="127" t="e">
        <v>#N/A</v>
      </c>
      <c r="BO1987" s="127" t="e">
        <v>#N/A</v>
      </c>
      <c r="BP1987" s="151" t="e">
        <v>#N/A</v>
      </c>
      <c r="BQ1987">
        <v>0.11332468572476186</v>
      </c>
      <c r="BR1987" t="str">
        <v/>
      </c>
    </row>
    <row r="1988" spans="47:70" x14ac:dyDescent="0.2">
      <c r="AU1988"/>
      <c r="AV1988"/>
      <c r="AW1988"/>
      <c r="AX1988"/>
      <c r="AY1988"/>
      <c r="BK1988" s="42">
        <v>1987</v>
      </c>
      <c r="BL1988" s="127">
        <v>4</v>
      </c>
      <c r="BM1988" s="127">
        <v>0.11332468572476186</v>
      </c>
      <c r="BN1988" s="127" t="e">
        <v>#N/A</v>
      </c>
      <c r="BO1988" s="127" t="e">
        <v>#N/A</v>
      </c>
      <c r="BP1988" s="151" t="e">
        <v>#N/A</v>
      </c>
      <c r="BQ1988">
        <v>0.11332468572476186</v>
      </c>
      <c r="BR1988" t="str">
        <v/>
      </c>
    </row>
    <row r="1989" spans="47:70" x14ac:dyDescent="0.2">
      <c r="AU1989"/>
      <c r="AV1989"/>
      <c r="AW1989"/>
      <c r="AX1989"/>
      <c r="AY1989"/>
      <c r="BK1989" s="42">
        <v>1988</v>
      </c>
      <c r="BL1989" s="127">
        <v>4</v>
      </c>
      <c r="BM1989" s="127">
        <v>0.11332468572476186</v>
      </c>
      <c r="BN1989" s="127" t="e">
        <v>#N/A</v>
      </c>
      <c r="BO1989" s="127" t="e">
        <v>#N/A</v>
      </c>
      <c r="BP1989" s="151" t="e">
        <v>#N/A</v>
      </c>
      <c r="BQ1989">
        <v>0.11332468572476186</v>
      </c>
      <c r="BR1989" t="str">
        <v/>
      </c>
    </row>
    <row r="1990" spans="47:70" x14ac:dyDescent="0.2">
      <c r="AU1990"/>
      <c r="AV1990"/>
      <c r="AW1990"/>
      <c r="AX1990"/>
      <c r="AY1990"/>
      <c r="BK1990" s="42">
        <v>1989</v>
      </c>
      <c r="BL1990" s="127">
        <v>4</v>
      </c>
      <c r="BM1990" s="127">
        <v>0.11332468572476186</v>
      </c>
      <c r="BN1990" s="127" t="e">
        <v>#N/A</v>
      </c>
      <c r="BO1990" s="127" t="e">
        <v>#N/A</v>
      </c>
      <c r="BP1990" s="151" t="e">
        <v>#N/A</v>
      </c>
      <c r="BQ1990">
        <v>0.11332468572476186</v>
      </c>
      <c r="BR1990" t="str">
        <v/>
      </c>
    </row>
    <row r="1991" spans="47:70" x14ac:dyDescent="0.2">
      <c r="AU1991"/>
      <c r="AV1991"/>
      <c r="AW1991"/>
      <c r="AX1991"/>
      <c r="AY1991"/>
      <c r="BK1991" s="42">
        <v>1990</v>
      </c>
      <c r="BL1991" s="127">
        <v>4</v>
      </c>
      <c r="BM1991" s="127">
        <v>0.11332468572476186</v>
      </c>
      <c r="BN1991" s="127" t="e">
        <v>#N/A</v>
      </c>
      <c r="BO1991" s="127" t="e">
        <v>#N/A</v>
      </c>
      <c r="BP1991" s="151" t="e">
        <v>#N/A</v>
      </c>
      <c r="BQ1991">
        <v>0.11332468572476186</v>
      </c>
      <c r="BR1991" t="str">
        <v/>
      </c>
    </row>
    <row r="1992" spans="47:70" x14ac:dyDescent="0.2">
      <c r="AU1992"/>
      <c r="AV1992"/>
      <c r="AW1992"/>
      <c r="AX1992"/>
      <c r="AY1992"/>
      <c r="BK1992" s="42">
        <v>1991</v>
      </c>
      <c r="BL1992" s="127">
        <v>4</v>
      </c>
      <c r="BM1992" s="127">
        <v>0.11332468572476186</v>
      </c>
      <c r="BN1992" s="127" t="e">
        <v>#N/A</v>
      </c>
      <c r="BO1992" s="127" t="e">
        <v>#N/A</v>
      </c>
      <c r="BP1992" s="151" t="e">
        <v>#N/A</v>
      </c>
      <c r="BQ1992">
        <v>0.11332468572476186</v>
      </c>
      <c r="BR1992" t="str">
        <v/>
      </c>
    </row>
    <row r="1993" spans="47:70" x14ac:dyDescent="0.2">
      <c r="AU1993"/>
      <c r="AV1993"/>
      <c r="AW1993"/>
      <c r="AX1993"/>
      <c r="AY1993"/>
      <c r="BK1993" s="42">
        <v>1992</v>
      </c>
      <c r="BL1993" s="127">
        <v>4</v>
      </c>
      <c r="BM1993" s="127">
        <v>0.11332468572476186</v>
      </c>
      <c r="BN1993" s="127" t="e">
        <v>#N/A</v>
      </c>
      <c r="BO1993" s="127" t="e">
        <v>#N/A</v>
      </c>
      <c r="BP1993" s="151" t="e">
        <v>#N/A</v>
      </c>
      <c r="BQ1993">
        <v>0.11332468572476186</v>
      </c>
      <c r="BR1993" t="str">
        <v/>
      </c>
    </row>
    <row r="1994" spans="47:70" x14ac:dyDescent="0.2">
      <c r="AU1994"/>
      <c r="AV1994"/>
      <c r="AW1994"/>
      <c r="AX1994"/>
      <c r="AY1994"/>
      <c r="BK1994" s="42">
        <v>1993</v>
      </c>
      <c r="BL1994" s="127">
        <v>4</v>
      </c>
      <c r="BM1994" s="127">
        <v>0.11332468572476186</v>
      </c>
      <c r="BN1994" s="127" t="e">
        <v>#N/A</v>
      </c>
      <c r="BO1994" s="127" t="e">
        <v>#N/A</v>
      </c>
      <c r="BP1994" s="151" t="e">
        <v>#N/A</v>
      </c>
      <c r="BQ1994">
        <v>0.11332468572476186</v>
      </c>
      <c r="BR1994" t="str">
        <v/>
      </c>
    </row>
    <row r="1995" spans="47:70" x14ac:dyDescent="0.2">
      <c r="AU1995"/>
      <c r="AV1995"/>
      <c r="AW1995"/>
      <c r="AX1995"/>
      <c r="AY1995"/>
      <c r="BK1995" s="42">
        <v>1994</v>
      </c>
      <c r="BL1995" s="127">
        <v>4</v>
      </c>
      <c r="BM1995" s="127">
        <v>0.11332468572476186</v>
      </c>
      <c r="BN1995" s="127" t="e">
        <v>#N/A</v>
      </c>
      <c r="BO1995" s="127" t="e">
        <v>#N/A</v>
      </c>
      <c r="BP1995" s="151" t="e">
        <v>#N/A</v>
      </c>
      <c r="BQ1995">
        <v>0.11332468572476186</v>
      </c>
      <c r="BR1995" t="str">
        <v/>
      </c>
    </row>
    <row r="1996" spans="47:70" x14ac:dyDescent="0.2">
      <c r="AU1996"/>
      <c r="AV1996"/>
      <c r="AW1996"/>
      <c r="AX1996"/>
      <c r="AY1996"/>
      <c r="BK1996" s="42">
        <v>1995</v>
      </c>
      <c r="BL1996" s="127">
        <v>4</v>
      </c>
      <c r="BM1996" s="127">
        <v>0.11332468572476186</v>
      </c>
      <c r="BN1996" s="127" t="e">
        <v>#N/A</v>
      </c>
      <c r="BO1996" s="127" t="e">
        <v>#N/A</v>
      </c>
      <c r="BP1996" s="151" t="e">
        <v>#N/A</v>
      </c>
      <c r="BQ1996">
        <v>0.11332468572476186</v>
      </c>
      <c r="BR1996" t="str">
        <v/>
      </c>
    </row>
    <row r="1997" spans="47:70" x14ac:dyDescent="0.2">
      <c r="AU1997"/>
      <c r="AV1997"/>
      <c r="AW1997"/>
      <c r="AX1997"/>
      <c r="AY1997"/>
      <c r="BK1997" s="42">
        <v>1996</v>
      </c>
      <c r="BL1997" s="127">
        <v>4</v>
      </c>
      <c r="BM1997" s="127">
        <v>0.11332468572476186</v>
      </c>
      <c r="BN1997" s="127" t="e">
        <v>#N/A</v>
      </c>
      <c r="BO1997" s="127" t="e">
        <v>#N/A</v>
      </c>
      <c r="BP1997" s="151" t="e">
        <v>#N/A</v>
      </c>
      <c r="BQ1997">
        <v>0.11332468572476186</v>
      </c>
      <c r="BR1997" t="str">
        <v/>
      </c>
    </row>
    <row r="1998" spans="47:70" x14ac:dyDescent="0.2">
      <c r="AU1998"/>
      <c r="AV1998"/>
      <c r="AW1998"/>
      <c r="AX1998"/>
      <c r="AY1998"/>
      <c r="BK1998" s="42">
        <v>1997</v>
      </c>
      <c r="BL1998" s="127">
        <v>4</v>
      </c>
      <c r="BM1998" s="127">
        <v>0.11332468572476186</v>
      </c>
      <c r="BN1998" s="127" t="e">
        <v>#N/A</v>
      </c>
      <c r="BO1998" s="127" t="e">
        <v>#N/A</v>
      </c>
      <c r="BP1998" s="151" t="e">
        <v>#N/A</v>
      </c>
      <c r="BQ1998">
        <v>0.11332468572476186</v>
      </c>
      <c r="BR1998" t="str">
        <v/>
      </c>
    </row>
    <row r="1999" spans="47:70" x14ac:dyDescent="0.2">
      <c r="AU1999"/>
      <c r="AV1999"/>
      <c r="AW1999"/>
      <c r="AX1999"/>
      <c r="AY1999"/>
      <c r="BK1999" s="42">
        <v>1998</v>
      </c>
      <c r="BL1999" s="127">
        <v>4</v>
      </c>
      <c r="BM1999" s="127">
        <v>0.11332468572476186</v>
      </c>
      <c r="BN1999" s="127" t="e">
        <v>#N/A</v>
      </c>
      <c r="BO1999" s="127" t="e">
        <v>#N/A</v>
      </c>
      <c r="BP1999" s="151" t="e">
        <v>#N/A</v>
      </c>
      <c r="BQ1999">
        <v>0.11332468572476186</v>
      </c>
      <c r="BR1999" t="str">
        <v/>
      </c>
    </row>
    <row r="2000" spans="47:70" x14ac:dyDescent="0.2">
      <c r="AU2000"/>
      <c r="AV2000"/>
      <c r="AW2000"/>
      <c r="AX2000"/>
      <c r="AY2000"/>
      <c r="BK2000" s="42">
        <v>1999</v>
      </c>
      <c r="BL2000" s="127">
        <v>4</v>
      </c>
      <c r="BM2000" s="127">
        <v>0.11332468572476186</v>
      </c>
      <c r="BN2000" s="127" t="e">
        <v>#N/A</v>
      </c>
      <c r="BO2000" s="127" t="e">
        <v>#N/A</v>
      </c>
      <c r="BP2000" s="151" t="e">
        <v>#N/A</v>
      </c>
      <c r="BQ2000">
        <v>0.11332468572476186</v>
      </c>
      <c r="BR2000" t="str">
        <v/>
      </c>
    </row>
    <row r="2001" spans="47:70" x14ac:dyDescent="0.2">
      <c r="AU2001"/>
      <c r="AV2001"/>
      <c r="AW2001"/>
      <c r="AX2001"/>
      <c r="AY2001"/>
      <c r="BK2001" s="42">
        <v>2000</v>
      </c>
      <c r="BL2001" s="127">
        <v>4</v>
      </c>
      <c r="BM2001" s="127">
        <v>0.11332468572476186</v>
      </c>
      <c r="BN2001" s="127" t="e">
        <v>#N/A</v>
      </c>
      <c r="BO2001" s="127" t="e">
        <v>#N/A</v>
      </c>
      <c r="BP2001" s="151" t="e">
        <v>#N/A</v>
      </c>
      <c r="BQ2001">
        <v>0.11332468572476186</v>
      </c>
      <c r="BR2001" t="str">
        <v/>
      </c>
    </row>
    <row r="2002" spans="47:70" x14ac:dyDescent="0.2">
      <c r="AU2002"/>
      <c r="AV2002"/>
      <c r="AW2002"/>
      <c r="AX2002"/>
      <c r="AY2002"/>
      <c r="BK2002" s="42">
        <v>2001</v>
      </c>
      <c r="BL2002" s="127">
        <v>4</v>
      </c>
      <c r="BM2002" s="127">
        <v>0.11332468572476186</v>
      </c>
      <c r="BN2002" s="127" t="e">
        <v>#N/A</v>
      </c>
      <c r="BO2002" s="127" t="e">
        <v>#N/A</v>
      </c>
      <c r="BP2002" s="151" t="e">
        <v>#N/A</v>
      </c>
      <c r="BQ2002">
        <v>0.11332468572476186</v>
      </c>
      <c r="BR2002" t="str">
        <v/>
      </c>
    </row>
    <row r="2003" spans="47:70" x14ac:dyDescent="0.2">
      <c r="AU2003"/>
      <c r="AV2003"/>
      <c r="AW2003"/>
      <c r="AX2003"/>
      <c r="AY2003"/>
      <c r="BK2003" s="42">
        <v>2002</v>
      </c>
      <c r="BL2003" s="127">
        <v>4</v>
      </c>
      <c r="BM2003" s="127">
        <v>0.11332468572476186</v>
      </c>
      <c r="BN2003" s="127" t="e">
        <v>#N/A</v>
      </c>
      <c r="BO2003" s="127" t="e">
        <v>#N/A</v>
      </c>
      <c r="BP2003" s="151" t="e">
        <v>#N/A</v>
      </c>
      <c r="BQ2003">
        <v>0.11332468572476186</v>
      </c>
      <c r="BR2003" t="str">
        <v/>
      </c>
    </row>
    <row r="2004" spans="47:70" x14ac:dyDescent="0.2">
      <c r="AU2004"/>
      <c r="AV2004"/>
      <c r="AW2004"/>
      <c r="AX2004"/>
      <c r="AY2004"/>
      <c r="BK2004" s="42">
        <v>2003</v>
      </c>
      <c r="BL2004" s="127">
        <v>4</v>
      </c>
      <c r="BM2004" s="127">
        <v>0.11332468572476186</v>
      </c>
      <c r="BN2004" s="127" t="e">
        <v>#N/A</v>
      </c>
      <c r="BO2004" s="127" t="e">
        <v>#N/A</v>
      </c>
      <c r="BP2004" s="151" t="e">
        <v>#N/A</v>
      </c>
      <c r="BQ2004">
        <v>0.11332468572476186</v>
      </c>
      <c r="BR2004" t="str">
        <v/>
      </c>
    </row>
    <row r="2005" spans="47:70" x14ac:dyDescent="0.2">
      <c r="AU2005"/>
      <c r="AV2005"/>
      <c r="AW2005"/>
      <c r="AX2005"/>
      <c r="AY2005"/>
      <c r="BK2005" s="42">
        <v>2004</v>
      </c>
      <c r="BL2005" s="127">
        <v>4</v>
      </c>
      <c r="BM2005" s="127">
        <v>0.11332468572476186</v>
      </c>
      <c r="BN2005" s="127" t="e">
        <v>#N/A</v>
      </c>
      <c r="BO2005" s="127" t="e">
        <v>#N/A</v>
      </c>
      <c r="BP2005" s="151" t="e">
        <v>#N/A</v>
      </c>
      <c r="BQ2005">
        <v>0.11332468572476186</v>
      </c>
      <c r="BR2005" t="str">
        <v/>
      </c>
    </row>
    <row r="2006" spans="47:70" x14ac:dyDescent="0.2">
      <c r="AU2006"/>
      <c r="AV2006"/>
      <c r="AW2006"/>
      <c r="AX2006"/>
      <c r="AY2006"/>
      <c r="BK2006" s="42">
        <v>2005</v>
      </c>
      <c r="BL2006" s="127">
        <v>4</v>
      </c>
      <c r="BM2006" s="127">
        <v>0.11332468572476186</v>
      </c>
      <c r="BN2006" s="127" t="e">
        <v>#N/A</v>
      </c>
      <c r="BO2006" s="127" t="e">
        <v>#N/A</v>
      </c>
      <c r="BP2006" s="151" t="e">
        <v>#N/A</v>
      </c>
      <c r="BQ2006">
        <v>0.11332468572476186</v>
      </c>
      <c r="BR2006" t="str">
        <v/>
      </c>
    </row>
    <row r="2007" spans="47:70" x14ac:dyDescent="0.2">
      <c r="AU2007"/>
      <c r="AV2007"/>
      <c r="AW2007"/>
      <c r="AX2007"/>
      <c r="AY2007"/>
      <c r="BK2007" s="42">
        <v>2006</v>
      </c>
      <c r="BL2007" s="127">
        <v>4</v>
      </c>
      <c r="BM2007" s="127">
        <v>0.11332468572476186</v>
      </c>
      <c r="BN2007" s="127" t="e">
        <v>#N/A</v>
      </c>
      <c r="BO2007" s="127" t="e">
        <v>#N/A</v>
      </c>
      <c r="BP2007" s="151" t="e">
        <v>#N/A</v>
      </c>
      <c r="BQ2007">
        <v>0.11332468572476186</v>
      </c>
      <c r="BR2007" t="str">
        <v/>
      </c>
    </row>
    <row r="2008" spans="47:70" x14ac:dyDescent="0.2">
      <c r="AU2008"/>
      <c r="AV2008"/>
      <c r="AW2008"/>
      <c r="AX2008"/>
      <c r="AY2008"/>
      <c r="BK2008" s="42">
        <v>2007</v>
      </c>
      <c r="BL2008" s="127">
        <v>4</v>
      </c>
      <c r="BM2008" s="127">
        <v>0.11332468572476186</v>
      </c>
      <c r="BN2008" s="127" t="e">
        <v>#N/A</v>
      </c>
      <c r="BO2008" s="127" t="e">
        <v>#N/A</v>
      </c>
      <c r="BP2008" s="151" t="e">
        <v>#N/A</v>
      </c>
      <c r="BQ2008">
        <v>0.11332468572476186</v>
      </c>
      <c r="BR2008" t="str">
        <v/>
      </c>
    </row>
    <row r="2009" spans="47:70" x14ac:dyDescent="0.2">
      <c r="AU2009"/>
      <c r="AV2009"/>
      <c r="AW2009"/>
      <c r="AX2009"/>
      <c r="AY2009"/>
      <c r="BK2009" s="42">
        <v>2008</v>
      </c>
      <c r="BL2009" s="127">
        <v>4</v>
      </c>
      <c r="BM2009" s="127">
        <v>0.11332468572476186</v>
      </c>
      <c r="BN2009" s="127" t="e">
        <v>#N/A</v>
      </c>
      <c r="BO2009" s="127" t="e">
        <v>#N/A</v>
      </c>
      <c r="BP2009" s="151" t="e">
        <v>#N/A</v>
      </c>
      <c r="BQ2009">
        <v>0.11332468572476186</v>
      </c>
      <c r="BR2009" t="str">
        <v/>
      </c>
    </row>
    <row r="2010" spans="47:70" x14ac:dyDescent="0.2">
      <c r="AU2010"/>
      <c r="AV2010"/>
      <c r="AW2010"/>
      <c r="AX2010"/>
      <c r="AY2010"/>
      <c r="BK2010" s="42">
        <v>2009</v>
      </c>
      <c r="BL2010" s="127">
        <v>4</v>
      </c>
      <c r="BM2010" s="127">
        <v>0.11332468572476186</v>
      </c>
      <c r="BN2010" s="127" t="e">
        <v>#N/A</v>
      </c>
      <c r="BO2010" s="127" t="e">
        <v>#N/A</v>
      </c>
      <c r="BP2010" s="151" t="e">
        <v>#N/A</v>
      </c>
      <c r="BQ2010">
        <v>0.11332468572476186</v>
      </c>
      <c r="BR2010" t="str">
        <v/>
      </c>
    </row>
    <row r="2011" spans="47:70" x14ac:dyDescent="0.2">
      <c r="AU2011"/>
      <c r="AV2011"/>
      <c r="AW2011"/>
      <c r="AX2011"/>
      <c r="AY2011"/>
      <c r="BK2011" s="42">
        <v>2010</v>
      </c>
      <c r="BL2011" s="127">
        <v>4</v>
      </c>
      <c r="BM2011" s="127">
        <v>0.11332468572476186</v>
      </c>
      <c r="BN2011" s="127" t="e">
        <v>#N/A</v>
      </c>
      <c r="BO2011" s="127" t="e">
        <v>#N/A</v>
      </c>
      <c r="BP2011" s="151" t="e">
        <v>#N/A</v>
      </c>
      <c r="BQ2011">
        <v>0.11332468572476186</v>
      </c>
      <c r="BR2011" t="str">
        <v/>
      </c>
    </row>
    <row r="2012" spans="47:70" x14ac:dyDescent="0.2">
      <c r="AU2012"/>
      <c r="AV2012"/>
      <c r="AW2012"/>
      <c r="AX2012"/>
      <c r="AY2012"/>
      <c r="BK2012" s="42">
        <v>2011</v>
      </c>
      <c r="BL2012" s="127">
        <v>4</v>
      </c>
      <c r="BM2012" s="127">
        <v>0.11332468572476186</v>
      </c>
      <c r="BN2012" s="127" t="e">
        <v>#N/A</v>
      </c>
      <c r="BO2012" s="127" t="e">
        <v>#N/A</v>
      </c>
      <c r="BP2012" s="151" t="e">
        <v>#N/A</v>
      </c>
      <c r="BQ2012">
        <v>0.11332468572476186</v>
      </c>
      <c r="BR2012" t="str">
        <v/>
      </c>
    </row>
    <row r="2013" spans="47:70" x14ac:dyDescent="0.2">
      <c r="AU2013"/>
      <c r="AV2013"/>
      <c r="AW2013"/>
      <c r="AX2013"/>
      <c r="AY2013"/>
      <c r="BK2013" s="42">
        <v>2012</v>
      </c>
      <c r="BL2013" s="127">
        <v>4</v>
      </c>
      <c r="BM2013" s="127">
        <v>0.11332468572476186</v>
      </c>
      <c r="BN2013" s="127" t="e">
        <v>#N/A</v>
      </c>
      <c r="BO2013" s="127" t="e">
        <v>#N/A</v>
      </c>
      <c r="BP2013" s="151" t="e">
        <v>#N/A</v>
      </c>
      <c r="BQ2013">
        <v>0.11332468572476186</v>
      </c>
      <c r="BR2013" t="str">
        <v/>
      </c>
    </row>
    <row r="2014" spans="47:70" x14ac:dyDescent="0.2">
      <c r="AU2014"/>
      <c r="AV2014"/>
      <c r="AW2014"/>
      <c r="AX2014"/>
      <c r="AY2014"/>
      <c r="BK2014" s="42">
        <v>2013</v>
      </c>
      <c r="BL2014" s="127">
        <v>4</v>
      </c>
      <c r="BM2014" s="127">
        <v>0.11332468572476186</v>
      </c>
      <c r="BN2014" s="127" t="e">
        <v>#N/A</v>
      </c>
      <c r="BO2014" s="127" t="e">
        <v>#N/A</v>
      </c>
      <c r="BP2014" s="151" t="e">
        <v>#N/A</v>
      </c>
      <c r="BQ2014">
        <v>0.11332468572476186</v>
      </c>
      <c r="BR2014" t="str">
        <v/>
      </c>
    </row>
    <row r="2015" spans="47:70" x14ac:dyDescent="0.2">
      <c r="AU2015"/>
      <c r="AV2015"/>
      <c r="AW2015"/>
      <c r="AX2015"/>
      <c r="AY2015"/>
      <c r="BK2015" s="42">
        <v>2014</v>
      </c>
      <c r="BL2015" s="127">
        <v>4</v>
      </c>
      <c r="BM2015" s="127">
        <v>0.11332468572476186</v>
      </c>
      <c r="BN2015" s="127" t="e">
        <v>#N/A</v>
      </c>
      <c r="BO2015" s="127" t="e">
        <v>#N/A</v>
      </c>
      <c r="BP2015" s="151" t="e">
        <v>#N/A</v>
      </c>
      <c r="BQ2015">
        <v>0.11332468572476186</v>
      </c>
      <c r="BR2015" t="str">
        <v/>
      </c>
    </row>
    <row r="2016" spans="47:70" x14ac:dyDescent="0.2">
      <c r="AU2016"/>
      <c r="AV2016"/>
      <c r="AW2016"/>
      <c r="AX2016"/>
      <c r="AY2016"/>
      <c r="BK2016" s="42">
        <v>2015</v>
      </c>
      <c r="BL2016" s="127">
        <v>4</v>
      </c>
      <c r="BM2016" s="127">
        <v>0.11332468572476186</v>
      </c>
      <c r="BN2016" s="127" t="e">
        <v>#N/A</v>
      </c>
      <c r="BO2016" s="127" t="e">
        <v>#N/A</v>
      </c>
      <c r="BP2016" s="151" t="e">
        <v>#N/A</v>
      </c>
      <c r="BQ2016">
        <v>0.11332468572476186</v>
      </c>
      <c r="BR2016" t="str">
        <v/>
      </c>
    </row>
    <row r="2017" spans="47:70" x14ac:dyDescent="0.2">
      <c r="AU2017"/>
      <c r="AV2017"/>
      <c r="AW2017"/>
      <c r="AX2017"/>
      <c r="AY2017"/>
      <c r="BK2017" s="42">
        <v>2016</v>
      </c>
      <c r="BL2017" s="127">
        <v>4</v>
      </c>
      <c r="BM2017" s="127">
        <v>0.11332468572476186</v>
      </c>
      <c r="BN2017" s="127" t="e">
        <v>#N/A</v>
      </c>
      <c r="BO2017" s="127" t="e">
        <v>#N/A</v>
      </c>
      <c r="BP2017" s="151" t="e">
        <v>#N/A</v>
      </c>
      <c r="BQ2017">
        <v>0.11332468572476186</v>
      </c>
      <c r="BR2017" t="str">
        <v/>
      </c>
    </row>
    <row r="2018" spans="47:70" x14ac:dyDescent="0.2">
      <c r="AU2018"/>
      <c r="AV2018"/>
      <c r="AW2018"/>
      <c r="AX2018"/>
      <c r="AY2018"/>
      <c r="BK2018" s="42">
        <v>2017</v>
      </c>
      <c r="BL2018" s="127">
        <v>4</v>
      </c>
      <c r="BM2018" s="127">
        <v>0.11332468572476186</v>
      </c>
      <c r="BN2018" s="127" t="e">
        <v>#N/A</v>
      </c>
      <c r="BO2018" s="127" t="e">
        <v>#N/A</v>
      </c>
      <c r="BP2018" s="151" t="e">
        <v>#N/A</v>
      </c>
      <c r="BQ2018">
        <v>0.11332468572476186</v>
      </c>
      <c r="BR2018" t="str">
        <v/>
      </c>
    </row>
    <row r="2019" spans="47:70" x14ac:dyDescent="0.2">
      <c r="AU2019"/>
      <c r="AV2019"/>
      <c r="AW2019"/>
      <c r="AX2019"/>
      <c r="AY2019"/>
      <c r="BK2019" s="42">
        <v>2018</v>
      </c>
      <c r="BL2019" s="127">
        <v>4</v>
      </c>
      <c r="BM2019" s="127">
        <v>0.11332468572476186</v>
      </c>
      <c r="BN2019" s="127" t="e">
        <v>#N/A</v>
      </c>
      <c r="BO2019" s="127" t="e">
        <v>#N/A</v>
      </c>
      <c r="BP2019" s="151" t="e">
        <v>#N/A</v>
      </c>
      <c r="BQ2019">
        <v>0.11332468572476186</v>
      </c>
      <c r="BR2019" t="str">
        <v/>
      </c>
    </row>
    <row r="2020" spans="47:70" x14ac:dyDescent="0.2">
      <c r="AU2020"/>
      <c r="AV2020"/>
      <c r="AW2020"/>
      <c r="AX2020"/>
      <c r="AY2020"/>
      <c r="BK2020" s="42">
        <v>2019</v>
      </c>
      <c r="BL2020" s="127">
        <v>4</v>
      </c>
      <c r="BM2020" s="127">
        <v>0.11332468572476186</v>
      </c>
      <c r="BN2020" s="127" t="e">
        <v>#N/A</v>
      </c>
      <c r="BO2020" s="127" t="e">
        <v>#N/A</v>
      </c>
      <c r="BP2020" s="151" t="e">
        <v>#N/A</v>
      </c>
      <c r="BQ2020">
        <v>0.11332468572476186</v>
      </c>
      <c r="BR2020" t="str">
        <v/>
      </c>
    </row>
    <row r="2021" spans="47:70" x14ac:dyDescent="0.2">
      <c r="AU2021"/>
      <c r="AV2021"/>
      <c r="AW2021"/>
      <c r="AX2021"/>
      <c r="AY2021"/>
      <c r="BK2021" s="42">
        <v>2020</v>
      </c>
      <c r="BL2021" s="127">
        <v>4</v>
      </c>
      <c r="BM2021" s="127">
        <v>0.11332468572476186</v>
      </c>
      <c r="BN2021" s="127" t="e">
        <v>#N/A</v>
      </c>
      <c r="BO2021" s="127" t="e">
        <v>#N/A</v>
      </c>
      <c r="BP2021" s="151" t="e">
        <v>#N/A</v>
      </c>
      <c r="BQ2021">
        <v>0.11332468572476186</v>
      </c>
      <c r="BR2021" t="str">
        <v/>
      </c>
    </row>
    <row r="2022" spans="47:70" x14ac:dyDescent="0.2">
      <c r="AU2022"/>
      <c r="AV2022"/>
      <c r="AW2022"/>
      <c r="AX2022"/>
      <c r="AY2022"/>
      <c r="BK2022" s="42">
        <v>2021</v>
      </c>
      <c r="BL2022" s="127">
        <v>4</v>
      </c>
      <c r="BM2022" s="127">
        <v>0.11332468572476186</v>
      </c>
      <c r="BN2022" s="127" t="e">
        <v>#N/A</v>
      </c>
      <c r="BO2022" s="127" t="e">
        <v>#N/A</v>
      </c>
      <c r="BP2022" s="151" t="e">
        <v>#N/A</v>
      </c>
      <c r="BQ2022">
        <v>0.11332468572476186</v>
      </c>
      <c r="BR2022" t="str">
        <v/>
      </c>
    </row>
    <row r="2023" spans="47:70" x14ac:dyDescent="0.2">
      <c r="AU2023"/>
      <c r="AV2023"/>
      <c r="AW2023"/>
      <c r="AX2023"/>
      <c r="AY2023"/>
      <c r="BK2023" s="42">
        <v>2022</v>
      </c>
      <c r="BL2023" s="127">
        <v>4</v>
      </c>
      <c r="BM2023" s="127">
        <v>0.11332468572476186</v>
      </c>
      <c r="BN2023" s="127" t="e">
        <v>#N/A</v>
      </c>
      <c r="BO2023" s="127" t="e">
        <v>#N/A</v>
      </c>
      <c r="BP2023" s="151" t="e">
        <v>#N/A</v>
      </c>
      <c r="BQ2023">
        <v>0.11332468572476186</v>
      </c>
      <c r="BR2023" t="str">
        <v/>
      </c>
    </row>
    <row r="2024" spans="47:70" x14ac:dyDescent="0.2">
      <c r="AU2024"/>
      <c r="AV2024"/>
      <c r="AW2024"/>
      <c r="AX2024"/>
      <c r="AY2024"/>
      <c r="BK2024" s="42">
        <v>2023</v>
      </c>
      <c r="BL2024" s="127">
        <v>4</v>
      </c>
      <c r="BM2024" s="127">
        <v>0.11332468572476186</v>
      </c>
      <c r="BN2024" s="127" t="e">
        <v>#N/A</v>
      </c>
      <c r="BO2024" s="127" t="e">
        <v>#N/A</v>
      </c>
      <c r="BP2024" s="151" t="e">
        <v>#N/A</v>
      </c>
      <c r="BQ2024">
        <v>0.11332468572476186</v>
      </c>
      <c r="BR2024" t="str">
        <v/>
      </c>
    </row>
    <row r="2025" spans="47:70" x14ac:dyDescent="0.2">
      <c r="AU2025"/>
      <c r="AV2025"/>
      <c r="AW2025"/>
      <c r="AX2025"/>
      <c r="AY2025"/>
      <c r="BK2025" s="42">
        <v>2024</v>
      </c>
      <c r="BL2025" s="127">
        <v>4</v>
      </c>
      <c r="BM2025" s="127">
        <v>0.11332468572476186</v>
      </c>
      <c r="BN2025" s="127" t="e">
        <v>#N/A</v>
      </c>
      <c r="BO2025" s="127" t="e">
        <v>#N/A</v>
      </c>
      <c r="BP2025" s="151" t="e">
        <v>#N/A</v>
      </c>
      <c r="BQ2025">
        <v>0.11332468572476186</v>
      </c>
      <c r="BR2025" t="str">
        <v/>
      </c>
    </row>
    <row r="2026" spans="47:70" x14ac:dyDescent="0.2">
      <c r="AU2026"/>
      <c r="AV2026"/>
      <c r="AW2026"/>
      <c r="AX2026"/>
      <c r="AY2026"/>
      <c r="BK2026" s="42">
        <v>2025</v>
      </c>
      <c r="BL2026" s="127">
        <v>4</v>
      </c>
      <c r="BM2026" s="127">
        <v>0.11332468572476186</v>
      </c>
      <c r="BN2026" s="127" t="e">
        <v>#N/A</v>
      </c>
      <c r="BO2026" s="127" t="e">
        <v>#N/A</v>
      </c>
      <c r="BP2026" s="151" t="e">
        <v>#N/A</v>
      </c>
      <c r="BQ2026">
        <v>0.11332468572476186</v>
      </c>
      <c r="BR2026" t="str">
        <v/>
      </c>
    </row>
    <row r="2027" spans="47:70" x14ac:dyDescent="0.2">
      <c r="AU2027"/>
      <c r="AV2027"/>
      <c r="AW2027"/>
      <c r="AX2027"/>
      <c r="AY2027"/>
      <c r="BK2027" s="42">
        <v>2026</v>
      </c>
      <c r="BL2027" s="127">
        <v>4</v>
      </c>
      <c r="BM2027" s="127">
        <v>0.11332468572476186</v>
      </c>
      <c r="BN2027" s="127" t="e">
        <v>#N/A</v>
      </c>
      <c r="BO2027" s="127" t="e">
        <v>#N/A</v>
      </c>
      <c r="BP2027" s="151" t="e">
        <v>#N/A</v>
      </c>
      <c r="BQ2027">
        <v>0.11332468572476186</v>
      </c>
      <c r="BR2027" t="str">
        <v/>
      </c>
    </row>
    <row r="2028" spans="47:70" x14ac:dyDescent="0.2">
      <c r="AU2028"/>
      <c r="AV2028"/>
      <c r="AW2028"/>
      <c r="AX2028"/>
      <c r="AY2028"/>
      <c r="BK2028" s="42">
        <v>2027</v>
      </c>
      <c r="BL2028" s="127">
        <v>4</v>
      </c>
      <c r="BM2028" s="127">
        <v>0.11332468572476186</v>
      </c>
      <c r="BN2028" s="127" t="e">
        <v>#N/A</v>
      </c>
      <c r="BO2028" s="127" t="e">
        <v>#N/A</v>
      </c>
      <c r="BP2028" s="151" t="e">
        <v>#N/A</v>
      </c>
      <c r="BQ2028">
        <v>0.11332468572476186</v>
      </c>
      <c r="BR2028" t="str">
        <v/>
      </c>
    </row>
    <row r="2029" spans="47:70" x14ac:dyDescent="0.2">
      <c r="AU2029"/>
      <c r="AV2029"/>
      <c r="AW2029"/>
      <c r="AX2029"/>
      <c r="AY2029"/>
      <c r="BK2029" s="42">
        <v>2028</v>
      </c>
      <c r="BL2029" s="127">
        <v>4</v>
      </c>
      <c r="BM2029" s="127">
        <v>0.11332468572476186</v>
      </c>
      <c r="BN2029" s="127" t="e">
        <v>#N/A</v>
      </c>
      <c r="BO2029" s="127" t="e">
        <v>#N/A</v>
      </c>
      <c r="BP2029" s="151" t="e">
        <v>#N/A</v>
      </c>
      <c r="BQ2029">
        <v>0.11332468572476186</v>
      </c>
      <c r="BR2029" t="str">
        <v/>
      </c>
    </row>
    <row r="2030" spans="47:70" x14ac:dyDescent="0.2">
      <c r="AU2030"/>
      <c r="AV2030"/>
      <c r="AW2030"/>
      <c r="AX2030"/>
      <c r="AY2030"/>
      <c r="BK2030" s="42">
        <v>2029</v>
      </c>
      <c r="BL2030" s="127">
        <v>4</v>
      </c>
      <c r="BM2030" s="127">
        <v>0.11332468572476186</v>
      </c>
      <c r="BN2030" s="127" t="e">
        <v>#N/A</v>
      </c>
      <c r="BO2030" s="127" t="e">
        <v>#N/A</v>
      </c>
      <c r="BP2030" s="151" t="e">
        <v>#N/A</v>
      </c>
      <c r="BQ2030">
        <v>0.11332468572476186</v>
      </c>
      <c r="BR2030" t="str">
        <v/>
      </c>
    </row>
    <row r="2031" spans="47:70" x14ac:dyDescent="0.2">
      <c r="AU2031"/>
      <c r="AV2031"/>
      <c r="AW2031"/>
      <c r="AX2031"/>
      <c r="AY2031"/>
      <c r="BK2031" s="42">
        <v>2030</v>
      </c>
      <c r="BL2031" s="127">
        <v>4</v>
      </c>
      <c r="BM2031" s="127">
        <v>0.11332468572476186</v>
      </c>
      <c r="BN2031" s="127" t="e">
        <v>#N/A</v>
      </c>
      <c r="BO2031" s="127" t="e">
        <v>#N/A</v>
      </c>
      <c r="BP2031" s="151" t="e">
        <v>#N/A</v>
      </c>
      <c r="BQ2031">
        <v>0.11332468572476186</v>
      </c>
      <c r="BR2031" t="str">
        <v/>
      </c>
    </row>
    <row r="2032" spans="47:70" x14ac:dyDescent="0.2">
      <c r="AU2032"/>
      <c r="AV2032"/>
      <c r="AW2032"/>
      <c r="AX2032"/>
      <c r="AY2032"/>
      <c r="BK2032" s="42">
        <v>2031</v>
      </c>
      <c r="BL2032" s="127">
        <v>4</v>
      </c>
      <c r="BM2032" s="127">
        <v>0.11332468572476186</v>
      </c>
      <c r="BN2032" s="127" t="e">
        <v>#N/A</v>
      </c>
      <c r="BO2032" s="127" t="e">
        <v>#N/A</v>
      </c>
      <c r="BP2032" s="151" t="e">
        <v>#N/A</v>
      </c>
      <c r="BQ2032">
        <v>0.11332468572476186</v>
      </c>
      <c r="BR2032" t="str">
        <v/>
      </c>
    </row>
    <row r="2033" spans="47:70" x14ac:dyDescent="0.2">
      <c r="AU2033"/>
      <c r="AV2033"/>
      <c r="AW2033"/>
      <c r="AX2033"/>
      <c r="AY2033"/>
      <c r="BK2033" s="42">
        <v>2032</v>
      </c>
      <c r="BL2033" s="127">
        <v>4</v>
      </c>
      <c r="BM2033" s="127">
        <v>0.11332468572476186</v>
      </c>
      <c r="BN2033" s="127" t="e">
        <v>#N/A</v>
      </c>
      <c r="BO2033" s="127" t="e">
        <v>#N/A</v>
      </c>
      <c r="BP2033" s="151" t="e">
        <v>#N/A</v>
      </c>
      <c r="BQ2033">
        <v>0.11332468572476186</v>
      </c>
      <c r="BR2033" t="str">
        <v/>
      </c>
    </row>
    <row r="2034" spans="47:70" x14ac:dyDescent="0.2">
      <c r="AU2034"/>
      <c r="AV2034"/>
      <c r="AW2034"/>
      <c r="AX2034"/>
      <c r="AY2034"/>
      <c r="BK2034" s="42">
        <v>2033</v>
      </c>
      <c r="BL2034" s="127">
        <v>4</v>
      </c>
      <c r="BM2034" s="127">
        <v>0.11332468572476186</v>
      </c>
      <c r="BN2034" s="127" t="e">
        <v>#N/A</v>
      </c>
      <c r="BO2034" s="127" t="e">
        <v>#N/A</v>
      </c>
      <c r="BP2034" s="151" t="e">
        <v>#N/A</v>
      </c>
      <c r="BQ2034">
        <v>0.11332468572476186</v>
      </c>
      <c r="BR2034" t="str">
        <v/>
      </c>
    </row>
    <row r="2035" spans="47:70" x14ac:dyDescent="0.2">
      <c r="AU2035"/>
      <c r="AV2035"/>
      <c r="AW2035"/>
      <c r="AX2035"/>
      <c r="AY2035"/>
      <c r="BK2035" s="42">
        <v>2034</v>
      </c>
      <c r="BL2035" s="127">
        <v>4</v>
      </c>
      <c r="BM2035" s="127">
        <v>0.11332468572476186</v>
      </c>
      <c r="BN2035" s="127" t="e">
        <v>#N/A</v>
      </c>
      <c r="BO2035" s="127" t="e">
        <v>#N/A</v>
      </c>
      <c r="BP2035" s="151" t="e">
        <v>#N/A</v>
      </c>
      <c r="BQ2035">
        <v>0.11332468572476186</v>
      </c>
      <c r="BR2035" t="str">
        <v/>
      </c>
    </row>
    <row r="2036" spans="47:70" x14ac:dyDescent="0.2">
      <c r="AU2036"/>
      <c r="AV2036"/>
      <c r="AW2036"/>
      <c r="AX2036"/>
      <c r="AY2036"/>
      <c r="BK2036" s="42">
        <v>2035</v>
      </c>
      <c r="BL2036" s="127">
        <v>4</v>
      </c>
      <c r="BM2036" s="127">
        <v>0.11332468572476186</v>
      </c>
      <c r="BN2036" s="127" t="e">
        <v>#N/A</v>
      </c>
      <c r="BO2036" s="127" t="e">
        <v>#N/A</v>
      </c>
      <c r="BP2036" s="151" t="e">
        <v>#N/A</v>
      </c>
      <c r="BQ2036">
        <v>0.11332468572476186</v>
      </c>
      <c r="BR2036" t="str">
        <v/>
      </c>
    </row>
    <row r="2037" spans="47:70" x14ac:dyDescent="0.2">
      <c r="AU2037"/>
      <c r="AV2037"/>
      <c r="AW2037"/>
      <c r="AX2037"/>
      <c r="AY2037"/>
      <c r="BK2037" s="42">
        <v>2036</v>
      </c>
      <c r="BL2037" s="127">
        <v>4</v>
      </c>
      <c r="BM2037" s="127">
        <v>0.11332468572476186</v>
      </c>
      <c r="BN2037" s="127" t="e">
        <v>#N/A</v>
      </c>
      <c r="BO2037" s="127" t="e">
        <v>#N/A</v>
      </c>
      <c r="BP2037" s="151" t="e">
        <v>#N/A</v>
      </c>
      <c r="BQ2037">
        <v>0.11332468572476186</v>
      </c>
      <c r="BR2037" t="str">
        <v/>
      </c>
    </row>
    <row r="2038" spans="47:70" x14ac:dyDescent="0.2">
      <c r="AU2038"/>
      <c r="AV2038"/>
      <c r="AW2038"/>
      <c r="AX2038"/>
      <c r="AY2038"/>
      <c r="BK2038" s="42">
        <v>2037</v>
      </c>
      <c r="BL2038" s="127">
        <v>4</v>
      </c>
      <c r="BM2038" s="127">
        <v>0.11332468572476186</v>
      </c>
      <c r="BN2038" s="127" t="e">
        <v>#N/A</v>
      </c>
      <c r="BO2038" s="127" t="e">
        <v>#N/A</v>
      </c>
      <c r="BP2038" s="151" t="e">
        <v>#N/A</v>
      </c>
      <c r="BQ2038">
        <v>0.11332468572476186</v>
      </c>
      <c r="BR2038" t="str">
        <v/>
      </c>
    </row>
    <row r="2039" spans="47:70" x14ac:dyDescent="0.2">
      <c r="AU2039"/>
      <c r="AV2039"/>
      <c r="AW2039"/>
      <c r="AX2039"/>
      <c r="AY2039"/>
      <c r="BK2039" s="42">
        <v>2038</v>
      </c>
      <c r="BL2039" s="127">
        <v>4</v>
      </c>
      <c r="BM2039" s="127">
        <v>0.11332468572476186</v>
      </c>
      <c r="BN2039" s="127" t="e">
        <v>#N/A</v>
      </c>
      <c r="BO2039" s="127" t="e">
        <v>#N/A</v>
      </c>
      <c r="BP2039" s="151" t="e">
        <v>#N/A</v>
      </c>
      <c r="BQ2039">
        <v>0.11332468572476186</v>
      </c>
      <c r="BR2039" t="str">
        <v/>
      </c>
    </row>
    <row r="2040" spans="47:70" x14ac:dyDescent="0.2">
      <c r="AU2040"/>
      <c r="AV2040"/>
      <c r="AW2040"/>
      <c r="AX2040"/>
      <c r="AY2040"/>
      <c r="BK2040" s="42">
        <v>2039</v>
      </c>
      <c r="BL2040" s="127">
        <v>4</v>
      </c>
      <c r="BM2040" s="127">
        <v>0.11332468572476186</v>
      </c>
      <c r="BN2040" s="127" t="e">
        <v>#N/A</v>
      </c>
      <c r="BO2040" s="127" t="e">
        <v>#N/A</v>
      </c>
      <c r="BP2040" s="151" t="e">
        <v>#N/A</v>
      </c>
      <c r="BQ2040">
        <v>0.11332468572476186</v>
      </c>
      <c r="BR2040" t="str">
        <v/>
      </c>
    </row>
    <row r="2041" spans="47:70" x14ac:dyDescent="0.2">
      <c r="AU2041"/>
      <c r="AV2041"/>
      <c r="AW2041"/>
      <c r="AX2041"/>
      <c r="AY2041"/>
      <c r="BK2041" s="42">
        <v>2040</v>
      </c>
      <c r="BL2041" s="127">
        <v>4</v>
      </c>
      <c r="BM2041" s="127">
        <v>0.11332468572476186</v>
      </c>
      <c r="BN2041" s="127" t="e">
        <v>#N/A</v>
      </c>
      <c r="BO2041" s="127" t="e">
        <v>#N/A</v>
      </c>
      <c r="BP2041" s="151" t="e">
        <v>#N/A</v>
      </c>
      <c r="BQ2041">
        <v>0.11332468572476186</v>
      </c>
      <c r="BR2041" t="str">
        <v/>
      </c>
    </row>
    <row r="2042" spans="47:70" x14ac:dyDescent="0.2">
      <c r="AU2042"/>
      <c r="AV2042"/>
      <c r="AW2042"/>
      <c r="AX2042"/>
      <c r="AY2042"/>
      <c r="BK2042" s="42">
        <v>2041</v>
      </c>
      <c r="BL2042" s="127">
        <v>4</v>
      </c>
      <c r="BM2042" s="127">
        <v>0.11332468572476186</v>
      </c>
      <c r="BN2042" s="127" t="e">
        <v>#N/A</v>
      </c>
      <c r="BO2042" s="127" t="e">
        <v>#N/A</v>
      </c>
      <c r="BP2042" s="151" t="e">
        <v>#N/A</v>
      </c>
      <c r="BQ2042">
        <v>0.11332468572476186</v>
      </c>
      <c r="BR2042" t="str">
        <v/>
      </c>
    </row>
    <row r="2043" spans="47:70" x14ac:dyDescent="0.2">
      <c r="AU2043"/>
      <c r="AV2043"/>
      <c r="AW2043"/>
      <c r="AX2043"/>
      <c r="AY2043"/>
      <c r="BK2043" s="42">
        <v>2042</v>
      </c>
      <c r="BL2043" s="127">
        <v>4</v>
      </c>
      <c r="BM2043" s="127">
        <v>0.11332468572476186</v>
      </c>
      <c r="BN2043" s="127" t="e">
        <v>#N/A</v>
      </c>
      <c r="BO2043" s="127" t="e">
        <v>#N/A</v>
      </c>
      <c r="BP2043" s="151" t="e">
        <v>#N/A</v>
      </c>
      <c r="BQ2043">
        <v>0.11332468572476186</v>
      </c>
      <c r="BR2043" t="str">
        <v/>
      </c>
    </row>
    <row r="2044" spans="47:70" x14ac:dyDescent="0.2">
      <c r="AU2044"/>
      <c r="AV2044"/>
      <c r="AW2044"/>
      <c r="AX2044"/>
      <c r="AY2044"/>
      <c r="BK2044" s="42">
        <v>2043</v>
      </c>
      <c r="BL2044" s="127">
        <v>4</v>
      </c>
      <c r="BM2044" s="127">
        <v>0.11332468572476186</v>
      </c>
      <c r="BN2044" s="127" t="e">
        <v>#N/A</v>
      </c>
      <c r="BO2044" s="127" t="e">
        <v>#N/A</v>
      </c>
      <c r="BP2044" s="151" t="e">
        <v>#N/A</v>
      </c>
      <c r="BQ2044">
        <v>0.11332468572476186</v>
      </c>
      <c r="BR2044" t="str">
        <v/>
      </c>
    </row>
    <row r="2045" spans="47:70" x14ac:dyDescent="0.2">
      <c r="AU2045"/>
      <c r="AV2045"/>
      <c r="AW2045"/>
      <c r="AX2045"/>
      <c r="AY2045"/>
      <c r="BK2045" s="42">
        <v>2044</v>
      </c>
      <c r="BL2045" s="127">
        <v>4</v>
      </c>
      <c r="BM2045" s="127">
        <v>0.11332468572476186</v>
      </c>
      <c r="BN2045" s="127" t="e">
        <v>#N/A</v>
      </c>
      <c r="BO2045" s="127" t="e">
        <v>#N/A</v>
      </c>
      <c r="BP2045" s="151" t="e">
        <v>#N/A</v>
      </c>
      <c r="BQ2045">
        <v>0.11332468572476186</v>
      </c>
      <c r="BR2045" t="str">
        <v/>
      </c>
    </row>
    <row r="2046" spans="47:70" x14ac:dyDescent="0.2">
      <c r="AU2046"/>
      <c r="AV2046"/>
      <c r="AW2046"/>
      <c r="AX2046"/>
      <c r="AY2046"/>
      <c r="BK2046" s="42">
        <v>2045</v>
      </c>
      <c r="BL2046" s="127">
        <v>4</v>
      </c>
      <c r="BM2046" s="127">
        <v>0.11332468572476186</v>
      </c>
      <c r="BN2046" s="127" t="e">
        <v>#N/A</v>
      </c>
      <c r="BO2046" s="127" t="e">
        <v>#N/A</v>
      </c>
      <c r="BP2046" s="151" t="e">
        <v>#N/A</v>
      </c>
      <c r="BQ2046">
        <v>0.11332468572476186</v>
      </c>
      <c r="BR2046" t="str">
        <v/>
      </c>
    </row>
    <row r="2047" spans="47:70" x14ac:dyDescent="0.2">
      <c r="AU2047"/>
      <c r="AV2047"/>
      <c r="AW2047"/>
      <c r="AX2047"/>
      <c r="AY2047"/>
      <c r="BK2047" s="42">
        <v>2046</v>
      </c>
      <c r="BL2047" s="127">
        <v>4</v>
      </c>
      <c r="BM2047" s="127">
        <v>0.11332468572476186</v>
      </c>
      <c r="BN2047" s="127" t="e">
        <v>#N/A</v>
      </c>
      <c r="BO2047" s="127" t="e">
        <v>#N/A</v>
      </c>
      <c r="BP2047" s="151" t="e">
        <v>#N/A</v>
      </c>
      <c r="BQ2047">
        <v>0.11332468572476186</v>
      </c>
      <c r="BR2047" t="str">
        <v/>
      </c>
    </row>
    <row r="2048" spans="47:70" x14ac:dyDescent="0.2">
      <c r="AU2048"/>
      <c r="AV2048"/>
      <c r="AW2048"/>
      <c r="AX2048"/>
      <c r="AY2048"/>
      <c r="BK2048" s="42">
        <v>2047</v>
      </c>
      <c r="BL2048" s="127">
        <v>4</v>
      </c>
      <c r="BM2048" s="127">
        <v>0.11332468572476186</v>
      </c>
      <c r="BN2048" s="127" t="e">
        <v>#N/A</v>
      </c>
      <c r="BO2048" s="127" t="e">
        <v>#N/A</v>
      </c>
      <c r="BP2048" s="151" t="e">
        <v>#N/A</v>
      </c>
      <c r="BQ2048">
        <v>0.11332468572476186</v>
      </c>
      <c r="BR2048" t="str">
        <v/>
      </c>
    </row>
    <row r="2049" spans="47:70" x14ac:dyDescent="0.2">
      <c r="AU2049"/>
      <c r="AV2049"/>
      <c r="AW2049"/>
      <c r="AX2049"/>
      <c r="AY2049"/>
      <c r="BK2049" s="42">
        <v>2048</v>
      </c>
      <c r="BL2049" s="127">
        <v>4</v>
      </c>
      <c r="BM2049" s="127">
        <v>0.11332468572476186</v>
      </c>
      <c r="BN2049" s="127" t="e">
        <v>#N/A</v>
      </c>
      <c r="BO2049" s="127" t="e">
        <v>#N/A</v>
      </c>
      <c r="BP2049" s="151" t="e">
        <v>#N/A</v>
      </c>
      <c r="BQ2049">
        <v>0.11332468572476186</v>
      </c>
      <c r="BR2049" t="str">
        <v/>
      </c>
    </row>
    <row r="2050" spans="47:70" x14ac:dyDescent="0.2">
      <c r="AU2050"/>
      <c r="AV2050"/>
      <c r="AW2050"/>
      <c r="AX2050"/>
      <c r="AY2050"/>
      <c r="BK2050" s="42">
        <v>2049</v>
      </c>
      <c r="BL2050" s="127">
        <v>4</v>
      </c>
      <c r="BM2050" s="127">
        <v>0.11332468572476186</v>
      </c>
      <c r="BN2050" s="127" t="e">
        <v>#N/A</v>
      </c>
      <c r="BO2050" s="127" t="e">
        <v>#N/A</v>
      </c>
      <c r="BP2050" s="151" t="e">
        <v>#N/A</v>
      </c>
      <c r="BQ2050">
        <v>0.11332468572476186</v>
      </c>
      <c r="BR2050" t="str">
        <v/>
      </c>
    </row>
    <row r="2051" spans="47:70" x14ac:dyDescent="0.2">
      <c r="AU2051"/>
      <c r="AV2051"/>
      <c r="AW2051"/>
      <c r="AX2051"/>
      <c r="AY2051"/>
      <c r="BK2051" s="42">
        <v>2050</v>
      </c>
      <c r="BL2051" s="127">
        <v>4</v>
      </c>
      <c r="BM2051" s="127">
        <v>0.11332468572476186</v>
      </c>
      <c r="BN2051" s="127" t="e">
        <v>#N/A</v>
      </c>
      <c r="BO2051" s="127" t="e">
        <v>#N/A</v>
      </c>
      <c r="BP2051" s="151" t="e">
        <v>#N/A</v>
      </c>
      <c r="BQ2051">
        <v>0.11332468572476186</v>
      </c>
      <c r="BR2051" t="str">
        <v/>
      </c>
    </row>
    <row r="2052" spans="47:70" x14ac:dyDescent="0.2">
      <c r="AU2052"/>
      <c r="AV2052"/>
      <c r="AW2052"/>
      <c r="AX2052"/>
      <c r="AY2052"/>
      <c r="BK2052" s="42">
        <v>2051</v>
      </c>
      <c r="BL2052" s="127">
        <v>4</v>
      </c>
      <c r="BM2052" s="127">
        <v>0.11332468572476186</v>
      </c>
      <c r="BN2052" s="127" t="e">
        <v>#N/A</v>
      </c>
      <c r="BO2052" s="127" t="e">
        <v>#N/A</v>
      </c>
      <c r="BP2052" s="151" t="e">
        <v>#N/A</v>
      </c>
      <c r="BQ2052">
        <v>0.11332468572476186</v>
      </c>
      <c r="BR2052" t="str">
        <v/>
      </c>
    </row>
    <row r="2053" spans="47:70" x14ac:dyDescent="0.2">
      <c r="AU2053"/>
      <c r="AV2053"/>
      <c r="AW2053"/>
      <c r="AX2053"/>
      <c r="AY2053"/>
      <c r="BK2053" s="42">
        <v>2052</v>
      </c>
      <c r="BL2053" s="127">
        <v>4</v>
      </c>
      <c r="BM2053" s="127">
        <v>0.11332468572476186</v>
      </c>
      <c r="BN2053" s="127" t="e">
        <v>#N/A</v>
      </c>
      <c r="BO2053" s="127" t="e">
        <v>#N/A</v>
      </c>
      <c r="BP2053" s="151" t="e">
        <v>#N/A</v>
      </c>
      <c r="BQ2053">
        <v>0.11332468572476186</v>
      </c>
      <c r="BR2053" t="str">
        <v/>
      </c>
    </row>
    <row r="2054" spans="47:70" x14ac:dyDescent="0.2">
      <c r="AU2054"/>
      <c r="AV2054"/>
      <c r="AW2054"/>
      <c r="AX2054"/>
      <c r="AY2054"/>
      <c r="BK2054" s="42">
        <v>2053</v>
      </c>
      <c r="BL2054" s="127">
        <v>4</v>
      </c>
      <c r="BM2054" s="127">
        <v>0.11332468572476186</v>
      </c>
      <c r="BN2054" s="127" t="e">
        <v>#N/A</v>
      </c>
      <c r="BO2054" s="127" t="e">
        <v>#N/A</v>
      </c>
      <c r="BP2054" s="151" t="e">
        <v>#N/A</v>
      </c>
      <c r="BQ2054">
        <v>0.11332468572476186</v>
      </c>
      <c r="BR2054" t="str">
        <v/>
      </c>
    </row>
    <row r="2055" spans="47:70" x14ac:dyDescent="0.2">
      <c r="AU2055"/>
      <c r="AV2055"/>
      <c r="AW2055"/>
      <c r="AX2055"/>
      <c r="AY2055"/>
      <c r="BK2055" s="42">
        <v>2054</v>
      </c>
      <c r="BL2055" s="127">
        <v>4</v>
      </c>
      <c r="BM2055" s="127">
        <v>0.11332468572476186</v>
      </c>
      <c r="BN2055" s="127" t="e">
        <v>#N/A</v>
      </c>
      <c r="BO2055" s="127" t="e">
        <v>#N/A</v>
      </c>
      <c r="BP2055" s="151" t="e">
        <v>#N/A</v>
      </c>
      <c r="BQ2055">
        <v>0.11332468572476186</v>
      </c>
      <c r="BR2055" t="str">
        <v/>
      </c>
    </row>
    <row r="2056" spans="47:70" x14ac:dyDescent="0.2">
      <c r="AU2056"/>
      <c r="AV2056"/>
      <c r="AW2056"/>
      <c r="AX2056"/>
      <c r="AY2056"/>
      <c r="BK2056" s="42">
        <v>2055</v>
      </c>
      <c r="BL2056" s="127">
        <v>4</v>
      </c>
      <c r="BM2056" s="127">
        <v>0.11332468572476186</v>
      </c>
      <c r="BN2056" s="127" t="e">
        <v>#N/A</v>
      </c>
      <c r="BO2056" s="127" t="e">
        <v>#N/A</v>
      </c>
      <c r="BP2056" s="151" t="e">
        <v>#N/A</v>
      </c>
      <c r="BQ2056">
        <v>0.11332468572476186</v>
      </c>
      <c r="BR2056" t="str">
        <v/>
      </c>
    </row>
    <row r="2057" spans="47:70" x14ac:dyDescent="0.2">
      <c r="AU2057"/>
      <c r="AV2057"/>
      <c r="AW2057"/>
      <c r="AX2057"/>
      <c r="AY2057"/>
      <c r="BK2057" s="42">
        <v>2056</v>
      </c>
      <c r="BL2057" s="127">
        <v>4</v>
      </c>
      <c r="BM2057" s="127">
        <v>0.11332468572476186</v>
      </c>
      <c r="BN2057" s="127" t="e">
        <v>#N/A</v>
      </c>
      <c r="BO2057" s="127" t="e">
        <v>#N/A</v>
      </c>
      <c r="BP2057" s="151" t="e">
        <v>#N/A</v>
      </c>
      <c r="BQ2057">
        <v>0.11332468572476186</v>
      </c>
      <c r="BR2057" t="str">
        <v/>
      </c>
    </row>
    <row r="2058" spans="47:70" x14ac:dyDescent="0.2">
      <c r="AU2058"/>
      <c r="AV2058"/>
      <c r="AW2058"/>
      <c r="AX2058"/>
      <c r="AY2058"/>
      <c r="BK2058" s="42">
        <v>2057</v>
      </c>
      <c r="BL2058" s="127">
        <v>4</v>
      </c>
      <c r="BM2058" s="127">
        <v>0.11332468572476186</v>
      </c>
      <c r="BN2058" s="127" t="e">
        <v>#N/A</v>
      </c>
      <c r="BO2058" s="127" t="e">
        <v>#N/A</v>
      </c>
      <c r="BP2058" s="151" t="e">
        <v>#N/A</v>
      </c>
      <c r="BQ2058">
        <v>0.11332468572476186</v>
      </c>
      <c r="BR2058" t="str">
        <v/>
      </c>
    </row>
    <row r="2059" spans="47:70" x14ac:dyDescent="0.2">
      <c r="AU2059"/>
      <c r="AV2059"/>
      <c r="AW2059"/>
      <c r="AX2059"/>
      <c r="AY2059"/>
      <c r="BK2059" s="42">
        <v>2058</v>
      </c>
      <c r="BL2059" s="127">
        <v>4</v>
      </c>
      <c r="BM2059" s="127">
        <v>0.11332468572476186</v>
      </c>
      <c r="BN2059" s="127" t="e">
        <v>#N/A</v>
      </c>
      <c r="BO2059" s="127" t="e">
        <v>#N/A</v>
      </c>
      <c r="BP2059" s="151" t="e">
        <v>#N/A</v>
      </c>
      <c r="BQ2059">
        <v>0.11332468572476186</v>
      </c>
      <c r="BR2059" t="str">
        <v/>
      </c>
    </row>
    <row r="2060" spans="47:70" x14ac:dyDescent="0.2">
      <c r="AU2060"/>
      <c r="AV2060"/>
      <c r="AW2060"/>
      <c r="AX2060"/>
      <c r="AY2060"/>
      <c r="BK2060" s="42">
        <v>2059</v>
      </c>
      <c r="BL2060" s="127">
        <v>4</v>
      </c>
      <c r="BM2060" s="127">
        <v>0.11332468572476186</v>
      </c>
      <c r="BN2060" s="127" t="e">
        <v>#N/A</v>
      </c>
      <c r="BO2060" s="127" t="e">
        <v>#N/A</v>
      </c>
      <c r="BP2060" s="151" t="e">
        <v>#N/A</v>
      </c>
      <c r="BQ2060">
        <v>0.11332468572476186</v>
      </c>
      <c r="BR2060" t="str">
        <v/>
      </c>
    </row>
    <row r="2061" spans="47:70" x14ac:dyDescent="0.2">
      <c r="AU2061"/>
      <c r="AV2061"/>
      <c r="AW2061"/>
      <c r="AX2061"/>
      <c r="AY2061"/>
      <c r="BK2061" s="42">
        <v>2060</v>
      </c>
      <c r="BL2061" s="127">
        <v>4</v>
      </c>
      <c r="BM2061" s="127">
        <v>0.11332468572476186</v>
      </c>
      <c r="BN2061" s="127" t="e">
        <v>#N/A</v>
      </c>
      <c r="BO2061" s="127" t="e">
        <v>#N/A</v>
      </c>
      <c r="BP2061" s="151" t="e">
        <v>#N/A</v>
      </c>
      <c r="BQ2061">
        <v>0.11332468572476186</v>
      </c>
      <c r="BR2061" t="str">
        <v/>
      </c>
    </row>
    <row r="2062" spans="47:70" x14ac:dyDescent="0.2">
      <c r="AU2062"/>
      <c r="AV2062"/>
      <c r="AW2062"/>
      <c r="AX2062"/>
      <c r="AY2062"/>
      <c r="BK2062" s="42">
        <v>2061</v>
      </c>
      <c r="BL2062" s="127">
        <v>4</v>
      </c>
      <c r="BM2062" s="127">
        <v>0.11332468572476186</v>
      </c>
      <c r="BN2062" s="127" t="e">
        <v>#N/A</v>
      </c>
      <c r="BO2062" s="127" t="e">
        <v>#N/A</v>
      </c>
      <c r="BP2062" s="151" t="e">
        <v>#N/A</v>
      </c>
      <c r="BQ2062">
        <v>0.11332468572476186</v>
      </c>
      <c r="BR2062" t="str">
        <v/>
      </c>
    </row>
    <row r="2063" spans="47:70" x14ac:dyDescent="0.2">
      <c r="AU2063"/>
      <c r="AV2063"/>
      <c r="AW2063"/>
      <c r="AX2063"/>
      <c r="AY2063"/>
      <c r="BK2063" s="42">
        <v>2062</v>
      </c>
      <c r="BL2063" s="127">
        <v>4</v>
      </c>
      <c r="BM2063" s="127">
        <v>0.11332468572476186</v>
      </c>
      <c r="BN2063" s="127" t="e">
        <v>#N/A</v>
      </c>
      <c r="BO2063" s="127" t="e">
        <v>#N/A</v>
      </c>
      <c r="BP2063" s="151" t="e">
        <v>#N/A</v>
      </c>
      <c r="BQ2063">
        <v>0.11332468572476186</v>
      </c>
      <c r="BR2063" t="str">
        <v/>
      </c>
    </row>
    <row r="2064" spans="47:70" x14ac:dyDescent="0.2">
      <c r="AU2064"/>
      <c r="AV2064"/>
      <c r="AW2064"/>
      <c r="AX2064"/>
      <c r="AY2064"/>
      <c r="BK2064" s="42">
        <v>2063</v>
      </c>
      <c r="BL2064" s="127">
        <v>4</v>
      </c>
      <c r="BM2064" s="127">
        <v>0.11332468572476186</v>
      </c>
      <c r="BN2064" s="127" t="e">
        <v>#N/A</v>
      </c>
      <c r="BO2064" s="127" t="e">
        <v>#N/A</v>
      </c>
      <c r="BP2064" s="151" t="e">
        <v>#N/A</v>
      </c>
      <c r="BQ2064">
        <v>0.11332468572476186</v>
      </c>
      <c r="BR2064" t="str">
        <v/>
      </c>
    </row>
    <row r="2065" spans="47:70" x14ac:dyDescent="0.2">
      <c r="AU2065"/>
      <c r="AV2065"/>
      <c r="AW2065"/>
      <c r="AX2065"/>
      <c r="AY2065"/>
      <c r="BK2065" s="42">
        <v>2064</v>
      </c>
      <c r="BL2065" s="127">
        <v>4</v>
      </c>
      <c r="BM2065" s="127">
        <v>0.11332468572476186</v>
      </c>
      <c r="BN2065" s="127" t="e">
        <v>#N/A</v>
      </c>
      <c r="BO2065" s="127" t="e">
        <v>#N/A</v>
      </c>
      <c r="BP2065" s="151" t="e">
        <v>#N/A</v>
      </c>
      <c r="BQ2065">
        <v>0.11332468572476186</v>
      </c>
      <c r="BR2065" t="str">
        <v/>
      </c>
    </row>
    <row r="2066" spans="47:70" x14ac:dyDescent="0.2">
      <c r="AU2066"/>
      <c r="AV2066"/>
      <c r="AW2066"/>
      <c r="AX2066"/>
      <c r="AY2066"/>
      <c r="BK2066" s="42">
        <v>2065</v>
      </c>
      <c r="BL2066" s="127">
        <v>4</v>
      </c>
      <c r="BM2066" s="127">
        <v>0.11332468572476186</v>
      </c>
      <c r="BN2066" s="127" t="e">
        <v>#N/A</v>
      </c>
      <c r="BO2066" s="127" t="e">
        <v>#N/A</v>
      </c>
      <c r="BP2066" s="151" t="e">
        <v>#N/A</v>
      </c>
      <c r="BQ2066">
        <v>0.11332468572476186</v>
      </c>
      <c r="BR2066" t="str">
        <v/>
      </c>
    </row>
    <row r="2067" spans="47:70" x14ac:dyDescent="0.2">
      <c r="AU2067"/>
      <c r="AV2067"/>
      <c r="AW2067"/>
      <c r="AX2067"/>
      <c r="AY2067"/>
      <c r="BK2067" s="42">
        <v>2066</v>
      </c>
      <c r="BL2067" s="127">
        <v>4</v>
      </c>
      <c r="BM2067" s="127">
        <v>0.11332468572476186</v>
      </c>
      <c r="BN2067" s="127" t="e">
        <v>#N/A</v>
      </c>
      <c r="BO2067" s="127" t="e">
        <v>#N/A</v>
      </c>
      <c r="BP2067" s="151" t="e">
        <v>#N/A</v>
      </c>
      <c r="BQ2067">
        <v>0.11332468572476186</v>
      </c>
      <c r="BR2067" t="str">
        <v/>
      </c>
    </row>
    <row r="2068" spans="47:70" x14ac:dyDescent="0.2">
      <c r="AU2068"/>
      <c r="AV2068"/>
      <c r="AW2068"/>
      <c r="AX2068"/>
      <c r="AY2068"/>
      <c r="BK2068" s="42">
        <v>2067</v>
      </c>
      <c r="BL2068" s="127">
        <v>4</v>
      </c>
      <c r="BM2068" s="127">
        <v>0.11332468572476186</v>
      </c>
      <c r="BN2068" s="127" t="e">
        <v>#N/A</v>
      </c>
      <c r="BO2068" s="127" t="e">
        <v>#N/A</v>
      </c>
      <c r="BP2068" s="151" t="e">
        <v>#N/A</v>
      </c>
      <c r="BQ2068">
        <v>0.11332468572476186</v>
      </c>
      <c r="BR2068" t="str">
        <v/>
      </c>
    </row>
    <row r="2069" spans="47:70" x14ac:dyDescent="0.2">
      <c r="AU2069"/>
      <c r="AV2069"/>
      <c r="AW2069"/>
      <c r="AX2069"/>
      <c r="AY2069"/>
      <c r="BK2069" s="42">
        <v>2068</v>
      </c>
      <c r="BL2069" s="127">
        <v>4</v>
      </c>
      <c r="BM2069" s="127">
        <v>0.11332468572476186</v>
      </c>
      <c r="BN2069" s="127" t="e">
        <v>#N/A</v>
      </c>
      <c r="BO2069" s="127" t="e">
        <v>#N/A</v>
      </c>
      <c r="BP2069" s="151" t="e">
        <v>#N/A</v>
      </c>
      <c r="BQ2069">
        <v>0.11332468572476186</v>
      </c>
      <c r="BR2069" t="str">
        <v/>
      </c>
    </row>
    <row r="2070" spans="47:70" x14ac:dyDescent="0.2">
      <c r="AU2070"/>
      <c r="AV2070"/>
      <c r="AW2070"/>
      <c r="AX2070"/>
      <c r="AY2070"/>
      <c r="BK2070" s="42">
        <v>2069</v>
      </c>
      <c r="BL2070" s="127">
        <v>4</v>
      </c>
      <c r="BM2070" s="127">
        <v>0.11332468572476186</v>
      </c>
      <c r="BN2070" s="127" t="e">
        <v>#N/A</v>
      </c>
      <c r="BO2070" s="127" t="e">
        <v>#N/A</v>
      </c>
      <c r="BP2070" s="151" t="e">
        <v>#N/A</v>
      </c>
      <c r="BQ2070">
        <v>0.11332468572476186</v>
      </c>
      <c r="BR2070" t="str">
        <v/>
      </c>
    </row>
    <row r="2071" spans="47:70" x14ac:dyDescent="0.2">
      <c r="AU2071"/>
      <c r="AV2071"/>
      <c r="AW2071"/>
      <c r="AX2071"/>
      <c r="AY2071"/>
      <c r="BK2071" s="42">
        <v>2070</v>
      </c>
      <c r="BL2071" s="127">
        <v>4</v>
      </c>
      <c r="BM2071" s="127">
        <v>0.11332468572476186</v>
      </c>
      <c r="BN2071" s="127" t="e">
        <v>#N/A</v>
      </c>
      <c r="BO2071" s="127" t="e">
        <v>#N/A</v>
      </c>
      <c r="BP2071" s="151" t="e">
        <v>#N/A</v>
      </c>
      <c r="BQ2071">
        <v>0.11332468572476186</v>
      </c>
      <c r="BR2071" t="str">
        <v/>
      </c>
    </row>
    <row r="2072" spans="47:70" x14ac:dyDescent="0.2">
      <c r="AU2072"/>
      <c r="AV2072"/>
      <c r="AW2072"/>
      <c r="AX2072"/>
      <c r="AY2072"/>
      <c r="BK2072" s="42">
        <v>2071</v>
      </c>
      <c r="BL2072" s="127">
        <v>4</v>
      </c>
      <c r="BM2072" s="127">
        <v>0.11332468572476186</v>
      </c>
      <c r="BN2072" s="127" t="e">
        <v>#N/A</v>
      </c>
      <c r="BO2072" s="127" t="e">
        <v>#N/A</v>
      </c>
      <c r="BP2072" s="151" t="e">
        <v>#N/A</v>
      </c>
      <c r="BQ2072">
        <v>0.11332468572476186</v>
      </c>
      <c r="BR2072" t="str">
        <v/>
      </c>
    </row>
    <row r="2073" spans="47:70" x14ac:dyDescent="0.2">
      <c r="AU2073"/>
      <c r="AV2073"/>
      <c r="AW2073"/>
      <c r="AX2073"/>
      <c r="AY2073"/>
      <c r="BK2073" s="42">
        <v>2072</v>
      </c>
      <c r="BL2073" s="127">
        <v>4</v>
      </c>
      <c r="BM2073" s="127">
        <v>0.11332468572476186</v>
      </c>
      <c r="BN2073" s="127" t="e">
        <v>#N/A</v>
      </c>
      <c r="BO2073" s="127" t="e">
        <v>#N/A</v>
      </c>
      <c r="BP2073" s="151" t="e">
        <v>#N/A</v>
      </c>
      <c r="BQ2073">
        <v>0.11332468572476186</v>
      </c>
      <c r="BR2073" t="str">
        <v/>
      </c>
    </row>
    <row r="2074" spans="47:70" x14ac:dyDescent="0.2">
      <c r="AU2074"/>
      <c r="AV2074"/>
      <c r="AW2074"/>
      <c r="AX2074"/>
      <c r="AY2074"/>
      <c r="BK2074" s="42">
        <v>2073</v>
      </c>
      <c r="BL2074" s="127">
        <v>4</v>
      </c>
      <c r="BM2074" s="127">
        <v>0.11332468572476186</v>
      </c>
      <c r="BN2074" s="127" t="e">
        <v>#N/A</v>
      </c>
      <c r="BO2074" s="127" t="e">
        <v>#N/A</v>
      </c>
      <c r="BP2074" s="151" t="e">
        <v>#N/A</v>
      </c>
      <c r="BQ2074">
        <v>0.11332468572476186</v>
      </c>
      <c r="BR2074" t="str">
        <v/>
      </c>
    </row>
    <row r="2075" spans="47:70" x14ac:dyDescent="0.2">
      <c r="AU2075"/>
      <c r="AV2075"/>
      <c r="AW2075"/>
      <c r="AX2075"/>
      <c r="AY2075"/>
      <c r="BK2075" s="42">
        <v>2074</v>
      </c>
      <c r="BL2075" s="127">
        <v>4</v>
      </c>
      <c r="BM2075" s="127">
        <v>0.11332468572476186</v>
      </c>
      <c r="BN2075" s="127" t="e">
        <v>#N/A</v>
      </c>
      <c r="BO2075" s="127" t="e">
        <v>#N/A</v>
      </c>
      <c r="BP2075" s="151" t="e">
        <v>#N/A</v>
      </c>
      <c r="BQ2075">
        <v>0.11332468572476186</v>
      </c>
      <c r="BR2075" t="str">
        <v/>
      </c>
    </row>
    <row r="2076" spans="47:70" x14ac:dyDescent="0.2">
      <c r="AU2076"/>
      <c r="AV2076"/>
      <c r="AW2076"/>
      <c r="AX2076"/>
      <c r="AY2076"/>
      <c r="BK2076" s="42">
        <v>2075</v>
      </c>
      <c r="BL2076" s="127">
        <v>4</v>
      </c>
      <c r="BM2076" s="127">
        <v>0.11332468572476186</v>
      </c>
      <c r="BN2076" s="127" t="e">
        <v>#N/A</v>
      </c>
      <c r="BO2076" s="127" t="e">
        <v>#N/A</v>
      </c>
      <c r="BP2076" s="151" t="e">
        <v>#N/A</v>
      </c>
      <c r="BQ2076">
        <v>0.11332468572476186</v>
      </c>
      <c r="BR2076" t="str">
        <v/>
      </c>
    </row>
    <row r="2077" spans="47:70" x14ac:dyDescent="0.2">
      <c r="AU2077"/>
      <c r="AV2077"/>
      <c r="AW2077"/>
      <c r="AX2077"/>
      <c r="AY2077"/>
      <c r="BK2077" s="42">
        <v>2076</v>
      </c>
      <c r="BL2077" s="127">
        <v>4</v>
      </c>
      <c r="BM2077" s="127">
        <v>0.11332468572476186</v>
      </c>
      <c r="BN2077" s="127" t="e">
        <v>#N/A</v>
      </c>
      <c r="BO2077" s="127" t="e">
        <v>#N/A</v>
      </c>
      <c r="BP2077" s="151" t="e">
        <v>#N/A</v>
      </c>
      <c r="BQ2077">
        <v>0.11332468572476186</v>
      </c>
      <c r="BR2077" t="str">
        <v/>
      </c>
    </row>
    <row r="2078" spans="47:70" x14ac:dyDescent="0.2">
      <c r="AU2078"/>
      <c r="AV2078"/>
      <c r="AW2078"/>
      <c r="AX2078"/>
      <c r="AY2078"/>
      <c r="BK2078" s="42">
        <v>2077</v>
      </c>
      <c r="BL2078" s="127">
        <v>4</v>
      </c>
      <c r="BM2078" s="127">
        <v>0.11332468572476186</v>
      </c>
      <c r="BN2078" s="127" t="e">
        <v>#N/A</v>
      </c>
      <c r="BO2078" s="127" t="e">
        <v>#N/A</v>
      </c>
      <c r="BP2078" s="151" t="e">
        <v>#N/A</v>
      </c>
      <c r="BQ2078">
        <v>0.11332468572476186</v>
      </c>
      <c r="BR2078" t="str">
        <v/>
      </c>
    </row>
    <row r="2079" spans="47:70" x14ac:dyDescent="0.2">
      <c r="AU2079"/>
      <c r="AV2079"/>
      <c r="AW2079"/>
      <c r="AX2079"/>
      <c r="AY2079"/>
      <c r="BK2079" s="42">
        <v>2078</v>
      </c>
      <c r="BL2079" s="127">
        <v>4</v>
      </c>
      <c r="BM2079" s="127">
        <v>0.11332468572476186</v>
      </c>
      <c r="BN2079" s="127" t="e">
        <v>#N/A</v>
      </c>
      <c r="BO2079" s="127" t="e">
        <v>#N/A</v>
      </c>
      <c r="BP2079" s="151" t="e">
        <v>#N/A</v>
      </c>
      <c r="BQ2079">
        <v>0.11332468572476186</v>
      </c>
      <c r="BR2079" t="str">
        <v/>
      </c>
    </row>
    <row r="2080" spans="47:70" x14ac:dyDescent="0.2">
      <c r="AU2080"/>
      <c r="AV2080"/>
      <c r="AW2080"/>
      <c r="AX2080"/>
      <c r="AY2080"/>
      <c r="BK2080" s="42">
        <v>2079</v>
      </c>
      <c r="BL2080" s="127">
        <v>4</v>
      </c>
      <c r="BM2080" s="127">
        <v>0.11332468572476186</v>
      </c>
      <c r="BN2080" s="127" t="e">
        <v>#N/A</v>
      </c>
      <c r="BO2080" s="127" t="e">
        <v>#N/A</v>
      </c>
      <c r="BP2080" s="151" t="e">
        <v>#N/A</v>
      </c>
      <c r="BQ2080">
        <v>0.11332468572476186</v>
      </c>
      <c r="BR2080" t="str">
        <v/>
      </c>
    </row>
    <row r="2081" spans="47:70" x14ac:dyDescent="0.2">
      <c r="AU2081"/>
      <c r="AV2081"/>
      <c r="AW2081"/>
      <c r="AX2081"/>
      <c r="AY2081"/>
      <c r="BK2081" s="42">
        <v>2080</v>
      </c>
      <c r="BL2081" s="127">
        <v>4</v>
      </c>
      <c r="BM2081" s="127">
        <v>0.11332468572476186</v>
      </c>
      <c r="BN2081" s="127" t="e">
        <v>#N/A</v>
      </c>
      <c r="BO2081" s="127" t="e">
        <v>#N/A</v>
      </c>
      <c r="BP2081" s="151" t="e">
        <v>#N/A</v>
      </c>
      <c r="BQ2081">
        <v>0.11332468572476186</v>
      </c>
      <c r="BR2081" t="str">
        <v/>
      </c>
    </row>
    <row r="2082" spans="47:70" x14ac:dyDescent="0.2">
      <c r="AU2082"/>
      <c r="AV2082"/>
      <c r="AW2082"/>
      <c r="AX2082"/>
      <c r="AY2082"/>
      <c r="BK2082" s="42">
        <v>2081</v>
      </c>
      <c r="BL2082" s="127">
        <v>4</v>
      </c>
      <c r="BM2082" s="127">
        <v>0.11332468572476186</v>
      </c>
      <c r="BN2082" s="127" t="e">
        <v>#N/A</v>
      </c>
      <c r="BO2082" s="127" t="e">
        <v>#N/A</v>
      </c>
      <c r="BP2082" s="151" t="e">
        <v>#N/A</v>
      </c>
      <c r="BQ2082">
        <v>0.11332468572476186</v>
      </c>
      <c r="BR2082" t="str">
        <v/>
      </c>
    </row>
    <row r="2083" spans="47:70" x14ac:dyDescent="0.2">
      <c r="AU2083"/>
      <c r="AV2083"/>
      <c r="AW2083"/>
      <c r="AX2083"/>
      <c r="AY2083"/>
      <c r="BK2083" s="42">
        <v>2082</v>
      </c>
      <c r="BL2083" s="127">
        <v>4</v>
      </c>
      <c r="BM2083" s="127">
        <v>0.11332468572476186</v>
      </c>
      <c r="BN2083" s="127" t="e">
        <v>#N/A</v>
      </c>
      <c r="BO2083" s="127" t="e">
        <v>#N/A</v>
      </c>
      <c r="BP2083" s="151" t="e">
        <v>#N/A</v>
      </c>
      <c r="BQ2083">
        <v>0.11332468572476186</v>
      </c>
      <c r="BR2083" t="str">
        <v/>
      </c>
    </row>
    <row r="2084" spans="47:70" x14ac:dyDescent="0.2">
      <c r="AU2084"/>
      <c r="AV2084"/>
      <c r="AW2084"/>
      <c r="AX2084"/>
      <c r="AY2084"/>
      <c r="BK2084" s="42">
        <v>2083</v>
      </c>
      <c r="BL2084" s="127">
        <v>4</v>
      </c>
      <c r="BM2084" s="127">
        <v>0.11332468572476186</v>
      </c>
      <c r="BN2084" s="127" t="e">
        <v>#N/A</v>
      </c>
      <c r="BO2084" s="127" t="e">
        <v>#N/A</v>
      </c>
      <c r="BP2084" s="151" t="e">
        <v>#N/A</v>
      </c>
      <c r="BQ2084">
        <v>0.11332468572476186</v>
      </c>
      <c r="BR2084" t="str">
        <v/>
      </c>
    </row>
    <row r="2085" spans="47:70" x14ac:dyDescent="0.2">
      <c r="AU2085"/>
      <c r="AV2085"/>
      <c r="AW2085"/>
      <c r="AX2085"/>
      <c r="AY2085"/>
      <c r="BK2085" s="42">
        <v>2084</v>
      </c>
      <c r="BL2085" s="127">
        <v>4</v>
      </c>
      <c r="BM2085" s="127">
        <v>0.11332468572476186</v>
      </c>
      <c r="BN2085" s="127" t="e">
        <v>#N/A</v>
      </c>
      <c r="BO2085" s="127" t="e">
        <v>#N/A</v>
      </c>
      <c r="BP2085" s="151" t="e">
        <v>#N/A</v>
      </c>
      <c r="BQ2085">
        <v>0.11332468572476186</v>
      </c>
      <c r="BR2085" t="str">
        <v/>
      </c>
    </row>
    <row r="2086" spans="47:70" x14ac:dyDescent="0.2">
      <c r="AU2086"/>
      <c r="AV2086"/>
      <c r="AW2086"/>
      <c r="AX2086"/>
      <c r="AY2086"/>
      <c r="BK2086" s="42">
        <v>2085</v>
      </c>
      <c r="BL2086" s="127">
        <v>4</v>
      </c>
      <c r="BM2086" s="127">
        <v>0.11332468572476186</v>
      </c>
      <c r="BN2086" s="127" t="e">
        <v>#N/A</v>
      </c>
      <c r="BO2086" s="127" t="e">
        <v>#N/A</v>
      </c>
      <c r="BP2086" s="151" t="e">
        <v>#N/A</v>
      </c>
      <c r="BQ2086">
        <v>0.11332468572476186</v>
      </c>
      <c r="BR2086" t="str">
        <v/>
      </c>
    </row>
    <row r="2087" spans="47:70" x14ac:dyDescent="0.2">
      <c r="AU2087"/>
      <c r="AV2087"/>
      <c r="AW2087"/>
      <c r="AX2087"/>
      <c r="AY2087"/>
      <c r="BK2087" s="42">
        <v>2086</v>
      </c>
      <c r="BL2087" s="127">
        <v>4</v>
      </c>
      <c r="BM2087" s="127">
        <v>0.11332468572476186</v>
      </c>
      <c r="BN2087" s="127" t="e">
        <v>#N/A</v>
      </c>
      <c r="BO2087" s="127" t="e">
        <v>#N/A</v>
      </c>
      <c r="BP2087" s="151" t="e">
        <v>#N/A</v>
      </c>
      <c r="BQ2087">
        <v>0.11332468572476186</v>
      </c>
      <c r="BR2087" t="str">
        <v/>
      </c>
    </row>
    <row r="2088" spans="47:70" x14ac:dyDescent="0.2">
      <c r="AU2088"/>
      <c r="AV2088"/>
      <c r="AW2088"/>
      <c r="AX2088"/>
      <c r="AY2088"/>
      <c r="BK2088" s="42">
        <v>2087</v>
      </c>
      <c r="BL2088" s="127">
        <v>4</v>
      </c>
      <c r="BM2088" s="127">
        <v>0.11332468572476186</v>
      </c>
      <c r="BN2088" s="127" t="e">
        <v>#N/A</v>
      </c>
      <c r="BO2088" s="127" t="e">
        <v>#N/A</v>
      </c>
      <c r="BP2088" s="151" t="e">
        <v>#N/A</v>
      </c>
      <c r="BQ2088">
        <v>0.11332468572476186</v>
      </c>
      <c r="BR2088" t="str">
        <v/>
      </c>
    </row>
    <row r="2089" spans="47:70" x14ac:dyDescent="0.2">
      <c r="AU2089"/>
      <c r="AV2089"/>
      <c r="AW2089"/>
      <c r="AX2089"/>
      <c r="AY2089"/>
      <c r="BK2089" s="42">
        <v>2088</v>
      </c>
      <c r="BL2089" s="127">
        <v>4</v>
      </c>
      <c r="BM2089" s="127">
        <v>0.11332468572476186</v>
      </c>
      <c r="BN2089" s="127" t="e">
        <v>#N/A</v>
      </c>
      <c r="BO2089" s="127" t="e">
        <v>#N/A</v>
      </c>
      <c r="BP2089" s="151" t="e">
        <v>#N/A</v>
      </c>
      <c r="BQ2089">
        <v>0.11332468572476186</v>
      </c>
      <c r="BR2089" t="str">
        <v/>
      </c>
    </row>
    <row r="2090" spans="47:70" x14ac:dyDescent="0.2">
      <c r="AU2090"/>
      <c r="AV2090"/>
      <c r="AW2090"/>
      <c r="AX2090"/>
      <c r="AY2090"/>
      <c r="BK2090" s="42">
        <v>2089</v>
      </c>
      <c r="BL2090" s="127">
        <v>4</v>
      </c>
      <c r="BM2090" s="127">
        <v>0.11332468572476186</v>
      </c>
      <c r="BN2090" s="127" t="e">
        <v>#N/A</v>
      </c>
      <c r="BO2090" s="127" t="e">
        <v>#N/A</v>
      </c>
      <c r="BP2090" s="151" t="e">
        <v>#N/A</v>
      </c>
      <c r="BQ2090">
        <v>0.11332468572476186</v>
      </c>
      <c r="BR2090" t="str">
        <v/>
      </c>
    </row>
    <row r="2091" spans="47:70" x14ac:dyDescent="0.2">
      <c r="AU2091"/>
      <c r="AV2091"/>
      <c r="AW2091"/>
      <c r="AX2091"/>
      <c r="AY2091"/>
      <c r="BK2091" s="42">
        <v>2090</v>
      </c>
      <c r="BL2091" s="127">
        <v>4</v>
      </c>
      <c r="BM2091" s="127">
        <v>0.11332468572476186</v>
      </c>
      <c r="BN2091" s="127" t="e">
        <v>#N/A</v>
      </c>
      <c r="BO2091" s="127" t="e">
        <v>#N/A</v>
      </c>
      <c r="BP2091" s="151" t="e">
        <v>#N/A</v>
      </c>
      <c r="BQ2091">
        <v>0.11332468572476186</v>
      </c>
      <c r="BR2091" t="str">
        <v/>
      </c>
    </row>
    <row r="2092" spans="47:70" x14ac:dyDescent="0.2">
      <c r="AU2092"/>
      <c r="AV2092"/>
      <c r="AW2092"/>
      <c r="AX2092"/>
      <c r="AY2092"/>
      <c r="BK2092" s="42">
        <v>2091</v>
      </c>
      <c r="BL2092" s="127">
        <v>4</v>
      </c>
      <c r="BM2092" s="127">
        <v>0.11332468572476186</v>
      </c>
      <c r="BN2092" s="127" t="e">
        <v>#N/A</v>
      </c>
      <c r="BO2092" s="127" t="e">
        <v>#N/A</v>
      </c>
      <c r="BP2092" s="151" t="e">
        <v>#N/A</v>
      </c>
      <c r="BQ2092">
        <v>0.11332468572476186</v>
      </c>
      <c r="BR2092" t="str">
        <v/>
      </c>
    </row>
    <row r="2093" spans="47:70" x14ac:dyDescent="0.2">
      <c r="AU2093"/>
      <c r="AV2093"/>
      <c r="AW2093"/>
      <c r="AX2093"/>
      <c r="AY2093"/>
      <c r="BK2093" s="42">
        <v>2092</v>
      </c>
      <c r="BL2093" s="127">
        <v>4</v>
      </c>
      <c r="BM2093" s="127">
        <v>0.11332468572476186</v>
      </c>
      <c r="BN2093" s="127" t="e">
        <v>#N/A</v>
      </c>
      <c r="BO2093" s="127" t="e">
        <v>#N/A</v>
      </c>
      <c r="BP2093" s="151" t="e">
        <v>#N/A</v>
      </c>
      <c r="BQ2093">
        <v>0.11332468572476186</v>
      </c>
      <c r="BR2093" t="str">
        <v/>
      </c>
    </row>
    <row r="2094" spans="47:70" x14ac:dyDescent="0.2">
      <c r="AU2094"/>
      <c r="AV2094"/>
      <c r="AW2094"/>
      <c r="AX2094"/>
      <c r="AY2094"/>
      <c r="BK2094" s="42">
        <v>2093</v>
      </c>
      <c r="BL2094" s="127">
        <v>4</v>
      </c>
      <c r="BM2094" s="127">
        <v>0.11332468572476186</v>
      </c>
      <c r="BN2094" s="127" t="e">
        <v>#N/A</v>
      </c>
      <c r="BO2094" s="127" t="e">
        <v>#N/A</v>
      </c>
      <c r="BP2094" s="151" t="e">
        <v>#N/A</v>
      </c>
      <c r="BQ2094">
        <v>0.11332468572476186</v>
      </c>
      <c r="BR2094" t="str">
        <v/>
      </c>
    </row>
    <row r="2095" spans="47:70" x14ac:dyDescent="0.2">
      <c r="AU2095"/>
      <c r="AV2095"/>
      <c r="AW2095"/>
      <c r="AX2095"/>
      <c r="AY2095"/>
      <c r="BK2095" s="42">
        <v>2094</v>
      </c>
      <c r="BL2095" s="127">
        <v>4</v>
      </c>
      <c r="BM2095" s="127">
        <v>0.11332468572476186</v>
      </c>
      <c r="BN2095" s="127" t="e">
        <v>#N/A</v>
      </c>
      <c r="BO2095" s="127" t="e">
        <v>#N/A</v>
      </c>
      <c r="BP2095" s="151" t="e">
        <v>#N/A</v>
      </c>
      <c r="BQ2095">
        <v>0.11332468572476186</v>
      </c>
      <c r="BR2095" t="str">
        <v/>
      </c>
    </row>
    <row r="2096" spans="47:70" x14ac:dyDescent="0.2">
      <c r="AU2096"/>
      <c r="AV2096"/>
      <c r="AW2096"/>
      <c r="AX2096"/>
      <c r="AY2096"/>
      <c r="BK2096" s="42">
        <v>2095</v>
      </c>
      <c r="BL2096" s="127">
        <v>4</v>
      </c>
      <c r="BM2096" s="127">
        <v>0.11332468572476186</v>
      </c>
      <c r="BN2096" s="127" t="e">
        <v>#N/A</v>
      </c>
      <c r="BO2096" s="127" t="e">
        <v>#N/A</v>
      </c>
      <c r="BP2096" s="151" t="e">
        <v>#N/A</v>
      </c>
      <c r="BQ2096">
        <v>0.11332468572476186</v>
      </c>
      <c r="BR2096" t="str">
        <v/>
      </c>
    </row>
    <row r="2097" spans="47:70" x14ac:dyDescent="0.2">
      <c r="AU2097"/>
      <c r="AV2097"/>
      <c r="AW2097"/>
      <c r="AX2097"/>
      <c r="AY2097"/>
      <c r="BK2097" s="42">
        <v>2096</v>
      </c>
      <c r="BL2097" s="127">
        <v>4</v>
      </c>
      <c r="BM2097" s="127">
        <v>0.11332468572476186</v>
      </c>
      <c r="BN2097" s="127" t="e">
        <v>#N/A</v>
      </c>
      <c r="BO2097" s="127" t="e">
        <v>#N/A</v>
      </c>
      <c r="BP2097" s="151" t="e">
        <v>#N/A</v>
      </c>
      <c r="BQ2097">
        <v>0.11332468572476186</v>
      </c>
      <c r="BR2097" t="str">
        <v/>
      </c>
    </row>
    <row r="2098" spans="47:70" x14ac:dyDescent="0.2">
      <c r="AU2098"/>
      <c r="AV2098"/>
      <c r="AW2098"/>
      <c r="AX2098"/>
      <c r="AY2098"/>
      <c r="BK2098" s="42">
        <v>2097</v>
      </c>
      <c r="BL2098" s="127">
        <v>4</v>
      </c>
      <c r="BM2098" s="127">
        <v>0.11332468572476186</v>
      </c>
      <c r="BN2098" s="127" t="e">
        <v>#N/A</v>
      </c>
      <c r="BO2098" s="127" t="e">
        <v>#N/A</v>
      </c>
      <c r="BP2098" s="151" t="e">
        <v>#N/A</v>
      </c>
      <c r="BQ2098">
        <v>0.11332468572476186</v>
      </c>
      <c r="BR2098" t="str">
        <v/>
      </c>
    </row>
    <row r="2099" spans="47:70" x14ac:dyDescent="0.2">
      <c r="AU2099"/>
      <c r="AV2099"/>
      <c r="AW2099"/>
      <c r="AX2099"/>
      <c r="AY2099"/>
      <c r="BK2099" s="42">
        <v>2098</v>
      </c>
      <c r="BL2099" s="127">
        <v>4</v>
      </c>
      <c r="BM2099" s="127">
        <v>0.11332468572476186</v>
      </c>
      <c r="BN2099" s="127" t="e">
        <v>#N/A</v>
      </c>
      <c r="BO2099" s="127" t="e">
        <v>#N/A</v>
      </c>
      <c r="BP2099" s="151" t="e">
        <v>#N/A</v>
      </c>
      <c r="BQ2099">
        <v>0.11332468572476186</v>
      </c>
      <c r="BR2099" t="str">
        <v/>
      </c>
    </row>
    <row r="2100" spans="47:70" x14ac:dyDescent="0.2">
      <c r="AU2100"/>
      <c r="AV2100"/>
      <c r="AW2100"/>
      <c r="AX2100"/>
      <c r="AY2100"/>
      <c r="BK2100" s="42">
        <v>2099</v>
      </c>
      <c r="BL2100" s="127">
        <v>4</v>
      </c>
      <c r="BM2100" s="127">
        <v>0.11332468572476186</v>
      </c>
      <c r="BN2100" s="127" t="e">
        <v>#N/A</v>
      </c>
      <c r="BO2100" s="127" t="e">
        <v>#N/A</v>
      </c>
      <c r="BP2100" s="151" t="e">
        <v>#N/A</v>
      </c>
      <c r="BQ2100">
        <v>0.11332468572476186</v>
      </c>
      <c r="BR2100" t="str">
        <v/>
      </c>
    </row>
    <row r="2101" spans="47:70" x14ac:dyDescent="0.2">
      <c r="AU2101"/>
      <c r="AV2101"/>
      <c r="AW2101"/>
      <c r="AX2101"/>
      <c r="AY2101"/>
      <c r="BK2101" s="42">
        <v>2100</v>
      </c>
      <c r="BL2101" s="127">
        <v>4</v>
      </c>
      <c r="BM2101" s="127">
        <v>0.11332468572476186</v>
      </c>
      <c r="BN2101" s="127" t="e">
        <v>#N/A</v>
      </c>
      <c r="BO2101" s="127" t="e">
        <v>#N/A</v>
      </c>
      <c r="BP2101" s="151" t="e">
        <v>#N/A</v>
      </c>
      <c r="BQ2101">
        <v>0.11332468572476186</v>
      </c>
      <c r="BR2101" t="str">
        <v/>
      </c>
    </row>
    <row r="2102" spans="47:70" x14ac:dyDescent="0.2">
      <c r="AU2102"/>
      <c r="AV2102"/>
      <c r="AW2102"/>
      <c r="AX2102"/>
      <c r="AY2102"/>
      <c r="BK2102" s="42">
        <v>2101</v>
      </c>
      <c r="BL2102" s="127">
        <v>4</v>
      </c>
      <c r="BM2102" s="127">
        <v>0.11332468572476186</v>
      </c>
      <c r="BN2102" s="127" t="e">
        <v>#N/A</v>
      </c>
      <c r="BO2102" s="127" t="e">
        <v>#N/A</v>
      </c>
      <c r="BP2102" s="151" t="e">
        <v>#N/A</v>
      </c>
      <c r="BQ2102">
        <v>0.11332468572476186</v>
      </c>
      <c r="BR2102" t="str">
        <v/>
      </c>
    </row>
    <row r="2103" spans="47:70" x14ac:dyDescent="0.2">
      <c r="AU2103"/>
      <c r="AV2103"/>
      <c r="AW2103"/>
      <c r="AX2103"/>
      <c r="AY2103"/>
      <c r="BK2103" s="42">
        <v>2102</v>
      </c>
      <c r="BL2103" s="127">
        <v>4</v>
      </c>
      <c r="BM2103" s="127">
        <v>0.11332468572476186</v>
      </c>
      <c r="BN2103" s="127" t="e">
        <v>#N/A</v>
      </c>
      <c r="BO2103" s="127" t="e">
        <v>#N/A</v>
      </c>
      <c r="BP2103" s="151" t="e">
        <v>#N/A</v>
      </c>
      <c r="BQ2103">
        <v>0.11332468572476186</v>
      </c>
      <c r="BR2103" t="str">
        <v/>
      </c>
    </row>
    <row r="2104" spans="47:70" x14ac:dyDescent="0.2">
      <c r="AU2104"/>
      <c r="AV2104"/>
      <c r="AW2104"/>
      <c r="AX2104"/>
      <c r="AY2104"/>
      <c r="BK2104" s="42">
        <v>2103</v>
      </c>
      <c r="BL2104" s="127">
        <v>4</v>
      </c>
      <c r="BM2104" s="127">
        <v>0.11332468572476186</v>
      </c>
      <c r="BN2104" s="127" t="e">
        <v>#N/A</v>
      </c>
      <c r="BO2104" s="127" t="e">
        <v>#N/A</v>
      </c>
      <c r="BP2104" s="151" t="e">
        <v>#N/A</v>
      </c>
      <c r="BQ2104">
        <v>0.11332468572476186</v>
      </c>
      <c r="BR2104" t="str">
        <v/>
      </c>
    </row>
    <row r="2105" spans="47:70" x14ac:dyDescent="0.2">
      <c r="AU2105"/>
      <c r="AV2105"/>
      <c r="AW2105"/>
      <c r="AX2105"/>
      <c r="AY2105"/>
      <c r="BK2105" s="42">
        <v>2104</v>
      </c>
      <c r="BL2105" s="127">
        <v>4</v>
      </c>
      <c r="BM2105" s="127">
        <v>0.11332468572476186</v>
      </c>
      <c r="BN2105" s="127" t="e">
        <v>#N/A</v>
      </c>
      <c r="BO2105" s="127" t="e">
        <v>#N/A</v>
      </c>
      <c r="BP2105" s="151" t="e">
        <v>#N/A</v>
      </c>
      <c r="BQ2105">
        <v>0.11332468572476186</v>
      </c>
      <c r="BR2105" t="str">
        <v/>
      </c>
    </row>
    <row r="2106" spans="47:70" x14ac:dyDescent="0.2">
      <c r="AU2106"/>
      <c r="AV2106"/>
      <c r="AW2106"/>
      <c r="AX2106"/>
      <c r="AY2106"/>
      <c r="BK2106" s="42">
        <v>2105</v>
      </c>
      <c r="BL2106" s="127">
        <v>4</v>
      </c>
      <c r="BM2106" s="127">
        <v>0.11332468572476186</v>
      </c>
      <c r="BN2106" s="127" t="e">
        <v>#N/A</v>
      </c>
      <c r="BO2106" s="127" t="e">
        <v>#N/A</v>
      </c>
      <c r="BP2106" s="151" t="e">
        <v>#N/A</v>
      </c>
      <c r="BQ2106">
        <v>0.11332468572476186</v>
      </c>
      <c r="BR2106" t="str">
        <v/>
      </c>
    </row>
    <row r="2107" spans="47:70" x14ac:dyDescent="0.2">
      <c r="AU2107"/>
      <c r="AV2107"/>
      <c r="AW2107"/>
      <c r="AX2107"/>
      <c r="AY2107"/>
      <c r="BK2107" s="42">
        <v>2106</v>
      </c>
      <c r="BL2107" s="127">
        <v>4</v>
      </c>
      <c r="BM2107" s="127">
        <v>0.11332468572476186</v>
      </c>
      <c r="BN2107" s="127" t="e">
        <v>#N/A</v>
      </c>
      <c r="BO2107" s="127" t="e">
        <v>#N/A</v>
      </c>
      <c r="BP2107" s="151" t="e">
        <v>#N/A</v>
      </c>
      <c r="BQ2107">
        <v>0.11332468572476186</v>
      </c>
      <c r="BR2107" t="str">
        <v/>
      </c>
    </row>
    <row r="2108" spans="47:70" x14ac:dyDescent="0.2">
      <c r="AU2108"/>
      <c r="AV2108"/>
      <c r="AW2108"/>
      <c r="AX2108"/>
      <c r="AY2108"/>
      <c r="BK2108" s="42">
        <v>2107</v>
      </c>
      <c r="BL2108" s="127">
        <v>4</v>
      </c>
      <c r="BM2108" s="127">
        <v>0.11332468572476186</v>
      </c>
      <c r="BN2108" s="127" t="e">
        <v>#N/A</v>
      </c>
      <c r="BO2108" s="127" t="e">
        <v>#N/A</v>
      </c>
      <c r="BP2108" s="151" t="e">
        <v>#N/A</v>
      </c>
      <c r="BQ2108">
        <v>0.11332468572476186</v>
      </c>
      <c r="BR2108" t="str">
        <v/>
      </c>
    </row>
    <row r="2109" spans="47:70" x14ac:dyDescent="0.2">
      <c r="AU2109"/>
      <c r="AV2109"/>
      <c r="AW2109"/>
      <c r="AX2109"/>
      <c r="AY2109"/>
      <c r="BK2109" s="42">
        <v>2108</v>
      </c>
      <c r="BL2109" s="127">
        <v>4</v>
      </c>
      <c r="BM2109" s="127">
        <v>0.11332468572476186</v>
      </c>
      <c r="BN2109" s="127" t="e">
        <v>#N/A</v>
      </c>
      <c r="BO2109" s="127" t="e">
        <v>#N/A</v>
      </c>
      <c r="BP2109" s="151" t="e">
        <v>#N/A</v>
      </c>
      <c r="BQ2109">
        <v>0.11332468572476186</v>
      </c>
      <c r="BR2109" t="str">
        <v/>
      </c>
    </row>
    <row r="2110" spans="47:70" x14ac:dyDescent="0.2">
      <c r="AU2110"/>
      <c r="AV2110"/>
      <c r="AW2110"/>
      <c r="AX2110"/>
      <c r="AY2110"/>
      <c r="BK2110" s="42">
        <v>2109</v>
      </c>
      <c r="BL2110" s="127">
        <v>4</v>
      </c>
      <c r="BM2110" s="127">
        <v>0.11332468572476186</v>
      </c>
      <c r="BN2110" s="127" t="e">
        <v>#N/A</v>
      </c>
      <c r="BO2110" s="127" t="e">
        <v>#N/A</v>
      </c>
      <c r="BP2110" s="151" t="e">
        <v>#N/A</v>
      </c>
      <c r="BQ2110">
        <v>0.11332468572476186</v>
      </c>
      <c r="BR2110" t="str">
        <v/>
      </c>
    </row>
    <row r="2111" spans="47:70" x14ac:dyDescent="0.2">
      <c r="AU2111"/>
      <c r="AV2111"/>
      <c r="AW2111"/>
      <c r="AX2111"/>
      <c r="AY2111"/>
      <c r="BK2111" s="42">
        <v>2110</v>
      </c>
      <c r="BL2111" s="127">
        <v>4</v>
      </c>
      <c r="BM2111" s="127">
        <v>0.11332468572476186</v>
      </c>
      <c r="BN2111" s="127" t="e">
        <v>#N/A</v>
      </c>
      <c r="BO2111" s="127" t="e">
        <v>#N/A</v>
      </c>
      <c r="BP2111" s="151" t="e">
        <v>#N/A</v>
      </c>
      <c r="BQ2111">
        <v>0.11332468572476186</v>
      </c>
      <c r="BR2111" t="str">
        <v/>
      </c>
    </row>
    <row r="2112" spans="47:70" x14ac:dyDescent="0.2">
      <c r="AU2112"/>
      <c r="AV2112"/>
      <c r="AW2112"/>
      <c r="AX2112"/>
      <c r="AY2112"/>
      <c r="BK2112" s="42">
        <v>2111</v>
      </c>
      <c r="BL2112" s="127">
        <v>4</v>
      </c>
      <c r="BM2112" s="127">
        <v>0.11332468572476186</v>
      </c>
      <c r="BN2112" s="127" t="e">
        <v>#N/A</v>
      </c>
      <c r="BO2112" s="127" t="e">
        <v>#N/A</v>
      </c>
      <c r="BP2112" s="151" t="e">
        <v>#N/A</v>
      </c>
      <c r="BQ2112">
        <v>0.11332468572476186</v>
      </c>
      <c r="BR2112" t="str">
        <v/>
      </c>
    </row>
    <row r="2113" spans="47:70" x14ac:dyDescent="0.2">
      <c r="AU2113"/>
      <c r="AV2113"/>
      <c r="AW2113"/>
      <c r="AX2113"/>
      <c r="AY2113"/>
      <c r="BK2113" s="42">
        <v>2112</v>
      </c>
      <c r="BL2113" s="127">
        <v>4</v>
      </c>
      <c r="BM2113" s="127">
        <v>0.11332468572476186</v>
      </c>
      <c r="BN2113" s="127" t="e">
        <v>#N/A</v>
      </c>
      <c r="BO2113" s="127" t="e">
        <v>#N/A</v>
      </c>
      <c r="BP2113" s="151" t="e">
        <v>#N/A</v>
      </c>
      <c r="BQ2113">
        <v>0.11332468572476186</v>
      </c>
      <c r="BR2113" t="str">
        <v/>
      </c>
    </row>
    <row r="2114" spans="47:70" x14ac:dyDescent="0.2">
      <c r="AU2114"/>
      <c r="AV2114"/>
      <c r="AW2114"/>
      <c r="AX2114"/>
      <c r="AY2114"/>
      <c r="BK2114" s="42">
        <v>2113</v>
      </c>
      <c r="BL2114" s="127">
        <v>4</v>
      </c>
      <c r="BM2114" s="127">
        <v>0.11332468572476186</v>
      </c>
      <c r="BN2114" s="127" t="e">
        <v>#N/A</v>
      </c>
      <c r="BO2114" s="127" t="e">
        <v>#N/A</v>
      </c>
      <c r="BP2114" s="151" t="e">
        <v>#N/A</v>
      </c>
      <c r="BQ2114">
        <v>0.11332468572476186</v>
      </c>
      <c r="BR2114" t="str">
        <v/>
      </c>
    </row>
    <row r="2115" spans="47:70" x14ac:dyDescent="0.2">
      <c r="AU2115"/>
      <c r="AV2115"/>
      <c r="AW2115"/>
      <c r="AX2115"/>
      <c r="AY2115"/>
      <c r="BK2115" s="42">
        <v>2114</v>
      </c>
      <c r="BL2115" s="127">
        <v>4</v>
      </c>
      <c r="BM2115" s="127">
        <v>0.11332468572476186</v>
      </c>
      <c r="BN2115" s="127" t="e">
        <v>#N/A</v>
      </c>
      <c r="BO2115" s="127" t="e">
        <v>#N/A</v>
      </c>
      <c r="BP2115" s="151" t="e">
        <v>#N/A</v>
      </c>
      <c r="BQ2115">
        <v>0.11332468572476186</v>
      </c>
      <c r="BR2115" t="str">
        <v/>
      </c>
    </row>
    <row r="2116" spans="47:70" x14ac:dyDescent="0.2">
      <c r="AU2116"/>
      <c r="AV2116"/>
      <c r="AW2116"/>
      <c r="AX2116"/>
      <c r="AY2116"/>
      <c r="BK2116" s="42">
        <v>2115</v>
      </c>
      <c r="BL2116" s="127">
        <v>4</v>
      </c>
      <c r="BM2116" s="127">
        <v>0.11332468572476186</v>
      </c>
      <c r="BN2116" s="127" t="e">
        <v>#N/A</v>
      </c>
      <c r="BO2116" s="127" t="e">
        <v>#N/A</v>
      </c>
      <c r="BP2116" s="151" t="e">
        <v>#N/A</v>
      </c>
      <c r="BQ2116">
        <v>0.11332468572476186</v>
      </c>
      <c r="BR2116" t="str">
        <v/>
      </c>
    </row>
    <row r="2117" spans="47:70" x14ac:dyDescent="0.2">
      <c r="AU2117"/>
      <c r="AV2117"/>
      <c r="AW2117"/>
      <c r="AX2117"/>
      <c r="AY2117"/>
      <c r="BK2117" s="42">
        <v>2116</v>
      </c>
      <c r="BL2117" s="127">
        <v>4</v>
      </c>
      <c r="BM2117" s="127">
        <v>0.11332468572476186</v>
      </c>
      <c r="BN2117" s="127" t="e">
        <v>#N/A</v>
      </c>
      <c r="BO2117" s="127" t="e">
        <v>#N/A</v>
      </c>
      <c r="BP2117" s="151" t="e">
        <v>#N/A</v>
      </c>
      <c r="BQ2117">
        <v>0.11332468572476186</v>
      </c>
      <c r="BR2117" t="str">
        <v/>
      </c>
    </row>
    <row r="2118" spans="47:70" x14ac:dyDescent="0.2">
      <c r="AU2118"/>
      <c r="AV2118"/>
      <c r="AW2118"/>
      <c r="AX2118"/>
      <c r="AY2118"/>
      <c r="BK2118" s="42">
        <v>2117</v>
      </c>
      <c r="BL2118" s="127">
        <v>4</v>
      </c>
      <c r="BM2118" s="127">
        <v>0.11332468572476186</v>
      </c>
      <c r="BN2118" s="127" t="e">
        <v>#N/A</v>
      </c>
      <c r="BO2118" s="127" t="e">
        <v>#N/A</v>
      </c>
      <c r="BP2118" s="151" t="e">
        <v>#N/A</v>
      </c>
      <c r="BQ2118">
        <v>0.11332468572476186</v>
      </c>
      <c r="BR2118" t="str">
        <v/>
      </c>
    </row>
    <row r="2119" spans="47:70" x14ac:dyDescent="0.2">
      <c r="AU2119"/>
      <c r="AV2119"/>
      <c r="AW2119"/>
      <c r="AX2119"/>
      <c r="AY2119"/>
      <c r="BK2119" s="42">
        <v>2118</v>
      </c>
      <c r="BL2119" s="127">
        <v>4</v>
      </c>
      <c r="BM2119" s="127">
        <v>0.11332468572476186</v>
      </c>
      <c r="BN2119" s="127" t="e">
        <v>#N/A</v>
      </c>
      <c r="BO2119" s="127" t="e">
        <v>#N/A</v>
      </c>
      <c r="BP2119" s="151" t="e">
        <v>#N/A</v>
      </c>
      <c r="BQ2119">
        <v>0.11332468572476186</v>
      </c>
      <c r="BR2119" t="str">
        <v/>
      </c>
    </row>
    <row r="2120" spans="47:70" x14ac:dyDescent="0.2">
      <c r="AU2120"/>
      <c r="AV2120"/>
      <c r="AW2120"/>
      <c r="AX2120"/>
      <c r="AY2120"/>
      <c r="BK2120" s="42">
        <v>2119</v>
      </c>
      <c r="BL2120" s="127">
        <v>4</v>
      </c>
      <c r="BM2120" s="127">
        <v>0.11332468572476186</v>
      </c>
      <c r="BN2120" s="127" t="e">
        <v>#N/A</v>
      </c>
      <c r="BO2120" s="127" t="e">
        <v>#N/A</v>
      </c>
      <c r="BP2120" s="151" t="e">
        <v>#N/A</v>
      </c>
      <c r="BQ2120">
        <v>0.11332468572476186</v>
      </c>
      <c r="BR2120" t="str">
        <v/>
      </c>
    </row>
    <row r="2121" spans="47:70" x14ac:dyDescent="0.2">
      <c r="AU2121"/>
      <c r="AV2121"/>
      <c r="AW2121"/>
      <c r="AX2121"/>
      <c r="AY2121"/>
      <c r="BK2121" s="42">
        <v>2120</v>
      </c>
      <c r="BL2121" s="127">
        <v>4</v>
      </c>
      <c r="BM2121" s="127">
        <v>0.11332468572476186</v>
      </c>
      <c r="BN2121" s="127" t="e">
        <v>#N/A</v>
      </c>
      <c r="BO2121" s="127" t="e">
        <v>#N/A</v>
      </c>
      <c r="BP2121" s="151" t="e">
        <v>#N/A</v>
      </c>
      <c r="BQ2121">
        <v>0.11332468572476186</v>
      </c>
      <c r="BR2121" t="str">
        <v/>
      </c>
    </row>
    <row r="2122" spans="47:70" x14ac:dyDescent="0.2">
      <c r="AU2122"/>
      <c r="AV2122"/>
      <c r="AW2122"/>
      <c r="AX2122"/>
      <c r="AY2122"/>
      <c r="BK2122" s="42">
        <v>2121</v>
      </c>
      <c r="BL2122" s="127">
        <v>4</v>
      </c>
      <c r="BM2122" s="127">
        <v>0.11332468572476186</v>
      </c>
      <c r="BN2122" s="127" t="e">
        <v>#N/A</v>
      </c>
      <c r="BO2122" s="127" t="e">
        <v>#N/A</v>
      </c>
      <c r="BP2122" s="151" t="e">
        <v>#N/A</v>
      </c>
      <c r="BQ2122">
        <v>0.11332468572476186</v>
      </c>
      <c r="BR2122" t="str">
        <v/>
      </c>
    </row>
    <row r="2123" spans="47:70" x14ac:dyDescent="0.2">
      <c r="AU2123"/>
      <c r="AV2123"/>
      <c r="AW2123"/>
      <c r="AX2123"/>
      <c r="AY2123"/>
      <c r="BK2123" s="42">
        <v>2122</v>
      </c>
      <c r="BL2123" s="127">
        <v>4</v>
      </c>
      <c r="BM2123" s="127">
        <v>0.11332468572476186</v>
      </c>
      <c r="BN2123" s="127" t="e">
        <v>#N/A</v>
      </c>
      <c r="BO2123" s="127" t="e">
        <v>#N/A</v>
      </c>
      <c r="BP2123" s="151" t="e">
        <v>#N/A</v>
      </c>
      <c r="BQ2123">
        <v>0.11332468572476186</v>
      </c>
      <c r="BR2123" t="str">
        <v/>
      </c>
    </row>
    <row r="2124" spans="47:70" x14ac:dyDescent="0.2">
      <c r="AU2124"/>
      <c r="AV2124"/>
      <c r="AW2124"/>
      <c r="AX2124"/>
      <c r="AY2124"/>
      <c r="BK2124" s="42">
        <v>2123</v>
      </c>
      <c r="BL2124" s="127">
        <v>4</v>
      </c>
      <c r="BM2124" s="127">
        <v>0.11332468572476186</v>
      </c>
      <c r="BN2124" s="127" t="e">
        <v>#N/A</v>
      </c>
      <c r="BO2124" s="127" t="e">
        <v>#N/A</v>
      </c>
      <c r="BP2124" s="151" t="e">
        <v>#N/A</v>
      </c>
      <c r="BQ2124">
        <v>0.11332468572476186</v>
      </c>
      <c r="BR2124" t="str">
        <v/>
      </c>
    </row>
    <row r="2125" spans="47:70" x14ac:dyDescent="0.2">
      <c r="AU2125"/>
      <c r="AV2125"/>
      <c r="AW2125"/>
      <c r="AX2125"/>
      <c r="AY2125"/>
      <c r="BK2125" s="42">
        <v>2124</v>
      </c>
      <c r="BL2125" s="127">
        <v>4</v>
      </c>
      <c r="BM2125" s="127">
        <v>0.11332468572476186</v>
      </c>
      <c r="BN2125" s="127" t="e">
        <v>#N/A</v>
      </c>
      <c r="BO2125" s="127" t="e">
        <v>#N/A</v>
      </c>
      <c r="BP2125" s="151" t="e">
        <v>#N/A</v>
      </c>
      <c r="BQ2125">
        <v>0.11332468572476186</v>
      </c>
      <c r="BR2125" t="str">
        <v/>
      </c>
    </row>
    <row r="2126" spans="47:70" x14ac:dyDescent="0.2">
      <c r="AU2126"/>
      <c r="AV2126"/>
      <c r="AW2126"/>
      <c r="AX2126"/>
      <c r="AY2126"/>
      <c r="BK2126" s="42">
        <v>2125</v>
      </c>
      <c r="BL2126" s="127">
        <v>4</v>
      </c>
      <c r="BM2126" s="127">
        <v>0.11332468572476186</v>
      </c>
      <c r="BN2126" s="127" t="e">
        <v>#N/A</v>
      </c>
      <c r="BO2126" s="127" t="e">
        <v>#N/A</v>
      </c>
      <c r="BP2126" s="151" t="e">
        <v>#N/A</v>
      </c>
      <c r="BQ2126">
        <v>0.11332468572476186</v>
      </c>
      <c r="BR2126" t="str">
        <v/>
      </c>
    </row>
    <row r="2127" spans="47:70" x14ac:dyDescent="0.2">
      <c r="AU2127"/>
      <c r="AV2127"/>
      <c r="AW2127"/>
      <c r="AX2127"/>
      <c r="AY2127"/>
      <c r="BK2127" s="42">
        <v>2126</v>
      </c>
      <c r="BL2127" s="127">
        <v>4</v>
      </c>
      <c r="BM2127" s="127">
        <v>0.11332468572476186</v>
      </c>
      <c r="BN2127" s="127" t="e">
        <v>#N/A</v>
      </c>
      <c r="BO2127" s="127" t="e">
        <v>#N/A</v>
      </c>
      <c r="BP2127" s="151" t="e">
        <v>#N/A</v>
      </c>
      <c r="BQ2127">
        <v>0.11332468572476186</v>
      </c>
      <c r="BR2127" t="str">
        <v/>
      </c>
    </row>
    <row r="2128" spans="47:70" x14ac:dyDescent="0.2">
      <c r="AU2128"/>
      <c r="AV2128"/>
      <c r="AW2128"/>
      <c r="AX2128"/>
      <c r="AY2128"/>
      <c r="BK2128" s="42">
        <v>2127</v>
      </c>
      <c r="BL2128" s="127">
        <v>4</v>
      </c>
      <c r="BM2128" s="127">
        <v>0.11332468572476186</v>
      </c>
      <c r="BN2128" s="127" t="e">
        <v>#N/A</v>
      </c>
      <c r="BO2128" s="127" t="e">
        <v>#N/A</v>
      </c>
      <c r="BP2128" s="151" t="e">
        <v>#N/A</v>
      </c>
      <c r="BQ2128">
        <v>0.11332468572476186</v>
      </c>
      <c r="BR2128" t="str">
        <v/>
      </c>
    </row>
    <row r="2129" spans="47:70" x14ac:dyDescent="0.2">
      <c r="AU2129"/>
      <c r="AV2129"/>
      <c r="AW2129"/>
      <c r="AX2129"/>
      <c r="AY2129"/>
      <c r="BK2129" s="42">
        <v>2128</v>
      </c>
      <c r="BL2129" s="127">
        <v>4</v>
      </c>
      <c r="BM2129" s="127">
        <v>0.11332468572476186</v>
      </c>
      <c r="BN2129" s="127" t="e">
        <v>#N/A</v>
      </c>
      <c r="BO2129" s="127" t="e">
        <v>#N/A</v>
      </c>
      <c r="BP2129" s="151" t="e">
        <v>#N/A</v>
      </c>
      <c r="BQ2129">
        <v>0.11332468572476186</v>
      </c>
      <c r="BR2129" t="str">
        <v/>
      </c>
    </row>
    <row r="2130" spans="47:70" x14ac:dyDescent="0.2">
      <c r="AU2130"/>
      <c r="AV2130"/>
      <c r="AW2130"/>
      <c r="AX2130"/>
      <c r="AY2130"/>
      <c r="BK2130" s="42">
        <v>2129</v>
      </c>
      <c r="BL2130" s="127">
        <v>4</v>
      </c>
      <c r="BM2130" s="127">
        <v>0.11332468572476186</v>
      </c>
      <c r="BN2130" s="127" t="e">
        <v>#N/A</v>
      </c>
      <c r="BO2130" s="127" t="e">
        <v>#N/A</v>
      </c>
      <c r="BP2130" s="151" t="e">
        <v>#N/A</v>
      </c>
      <c r="BQ2130">
        <v>0.11332468572476186</v>
      </c>
      <c r="BR2130" t="str">
        <v/>
      </c>
    </row>
    <row r="2131" spans="47:70" x14ac:dyDescent="0.2">
      <c r="AU2131"/>
      <c r="AV2131"/>
      <c r="AW2131"/>
      <c r="AX2131"/>
      <c r="AY2131"/>
      <c r="BK2131" s="42">
        <v>2130</v>
      </c>
      <c r="BL2131" s="127">
        <v>4</v>
      </c>
      <c r="BM2131" s="127">
        <v>0.11332468572476186</v>
      </c>
      <c r="BN2131" s="127" t="e">
        <v>#N/A</v>
      </c>
      <c r="BO2131" s="127" t="e">
        <v>#N/A</v>
      </c>
      <c r="BP2131" s="151" t="e">
        <v>#N/A</v>
      </c>
      <c r="BQ2131">
        <v>0.11332468572476186</v>
      </c>
      <c r="BR2131" t="str">
        <v/>
      </c>
    </row>
    <row r="2132" spans="47:70" x14ac:dyDescent="0.2">
      <c r="AU2132"/>
      <c r="AV2132"/>
      <c r="AW2132"/>
      <c r="AX2132"/>
      <c r="AY2132"/>
      <c r="BK2132" s="42">
        <v>2131</v>
      </c>
      <c r="BL2132" s="127">
        <v>4</v>
      </c>
      <c r="BM2132" s="127">
        <v>0.11332468572476186</v>
      </c>
      <c r="BN2132" s="127" t="e">
        <v>#N/A</v>
      </c>
      <c r="BO2132" s="127" t="e">
        <v>#N/A</v>
      </c>
      <c r="BP2132" s="151" t="e">
        <v>#N/A</v>
      </c>
      <c r="BQ2132">
        <v>0.11332468572476186</v>
      </c>
      <c r="BR2132" t="str">
        <v/>
      </c>
    </row>
    <row r="2133" spans="47:70" x14ac:dyDescent="0.2">
      <c r="AU2133"/>
      <c r="AV2133"/>
      <c r="AW2133"/>
      <c r="AX2133"/>
      <c r="AY2133"/>
      <c r="BK2133" s="42">
        <v>2132</v>
      </c>
      <c r="BL2133" s="127">
        <v>4</v>
      </c>
      <c r="BM2133" s="127">
        <v>0.11332468572476186</v>
      </c>
      <c r="BN2133" s="127" t="e">
        <v>#N/A</v>
      </c>
      <c r="BO2133" s="127" t="e">
        <v>#N/A</v>
      </c>
      <c r="BP2133" s="151" t="e">
        <v>#N/A</v>
      </c>
      <c r="BQ2133">
        <v>0.11332468572476186</v>
      </c>
      <c r="BR2133" t="str">
        <v/>
      </c>
    </row>
    <row r="2134" spans="47:70" x14ac:dyDescent="0.2">
      <c r="AU2134"/>
      <c r="AV2134"/>
      <c r="AW2134"/>
      <c r="AX2134"/>
      <c r="AY2134"/>
      <c r="BK2134" s="42">
        <v>2133</v>
      </c>
      <c r="BL2134" s="127">
        <v>4</v>
      </c>
      <c r="BM2134" s="127">
        <v>0.11332468572476186</v>
      </c>
      <c r="BN2134" s="127" t="e">
        <v>#N/A</v>
      </c>
      <c r="BO2134" s="127" t="e">
        <v>#N/A</v>
      </c>
      <c r="BP2134" s="151" t="e">
        <v>#N/A</v>
      </c>
      <c r="BQ2134">
        <v>0.11332468572476186</v>
      </c>
      <c r="BR2134" t="str">
        <v/>
      </c>
    </row>
    <row r="2135" spans="47:70" x14ac:dyDescent="0.2">
      <c r="AU2135"/>
      <c r="AV2135"/>
      <c r="AW2135"/>
      <c r="AX2135"/>
      <c r="AY2135"/>
      <c r="BK2135" s="42">
        <v>2134</v>
      </c>
      <c r="BL2135" s="127">
        <v>4</v>
      </c>
      <c r="BM2135" s="127">
        <v>0.11332468572476186</v>
      </c>
      <c r="BN2135" s="127" t="e">
        <v>#N/A</v>
      </c>
      <c r="BO2135" s="127" t="e">
        <v>#N/A</v>
      </c>
      <c r="BP2135" s="151" t="e">
        <v>#N/A</v>
      </c>
      <c r="BQ2135">
        <v>0.11332468572476186</v>
      </c>
      <c r="BR2135" t="str">
        <v/>
      </c>
    </row>
    <row r="2136" spans="47:70" x14ac:dyDescent="0.2">
      <c r="AU2136"/>
      <c r="AV2136"/>
      <c r="AW2136"/>
      <c r="AX2136"/>
      <c r="AY2136"/>
      <c r="BK2136" s="42">
        <v>2135</v>
      </c>
      <c r="BL2136" s="127">
        <v>4</v>
      </c>
      <c r="BM2136" s="127">
        <v>0.11332468572476186</v>
      </c>
      <c r="BN2136" s="127" t="e">
        <v>#N/A</v>
      </c>
      <c r="BO2136" s="127" t="e">
        <v>#N/A</v>
      </c>
      <c r="BP2136" s="151" t="e">
        <v>#N/A</v>
      </c>
      <c r="BQ2136">
        <v>0.11332468572476186</v>
      </c>
      <c r="BR2136" t="str">
        <v/>
      </c>
    </row>
    <row r="2137" spans="47:70" x14ac:dyDescent="0.2">
      <c r="AU2137"/>
      <c r="AV2137"/>
      <c r="AW2137"/>
      <c r="AX2137"/>
      <c r="AY2137"/>
      <c r="BK2137" s="42">
        <v>2136</v>
      </c>
      <c r="BL2137" s="127">
        <v>4</v>
      </c>
      <c r="BM2137" s="127">
        <v>0.11332468572476186</v>
      </c>
      <c r="BN2137" s="127" t="e">
        <v>#N/A</v>
      </c>
      <c r="BO2137" s="127" t="e">
        <v>#N/A</v>
      </c>
      <c r="BP2137" s="151" t="e">
        <v>#N/A</v>
      </c>
      <c r="BQ2137">
        <v>0.11332468572476186</v>
      </c>
      <c r="BR2137" t="str">
        <v/>
      </c>
    </row>
    <row r="2138" spans="47:70" x14ac:dyDescent="0.2">
      <c r="AU2138"/>
      <c r="AV2138"/>
      <c r="AW2138"/>
      <c r="AX2138"/>
      <c r="AY2138"/>
      <c r="BK2138" s="42">
        <v>2137</v>
      </c>
      <c r="BL2138" s="127">
        <v>4</v>
      </c>
      <c r="BM2138" s="127">
        <v>0.11332468572476186</v>
      </c>
      <c r="BN2138" s="127" t="e">
        <v>#N/A</v>
      </c>
      <c r="BO2138" s="127" t="e">
        <v>#N/A</v>
      </c>
      <c r="BP2138" s="151" t="e">
        <v>#N/A</v>
      </c>
      <c r="BQ2138">
        <v>0.11332468572476186</v>
      </c>
      <c r="BR2138" t="str">
        <v/>
      </c>
    </row>
    <row r="2139" spans="47:70" x14ac:dyDescent="0.2">
      <c r="AU2139"/>
      <c r="AV2139"/>
      <c r="AW2139"/>
      <c r="AX2139"/>
      <c r="AY2139"/>
      <c r="BK2139" s="42">
        <v>2138</v>
      </c>
      <c r="BL2139" s="127">
        <v>4</v>
      </c>
      <c r="BM2139" s="127">
        <v>0.11332468572476186</v>
      </c>
      <c r="BN2139" s="127" t="e">
        <v>#N/A</v>
      </c>
      <c r="BO2139" s="127" t="e">
        <v>#N/A</v>
      </c>
      <c r="BP2139" s="151" t="e">
        <v>#N/A</v>
      </c>
      <c r="BQ2139">
        <v>0.11332468572476186</v>
      </c>
      <c r="BR2139" t="str">
        <v/>
      </c>
    </row>
    <row r="2140" spans="47:70" x14ac:dyDescent="0.2">
      <c r="AU2140"/>
      <c r="AV2140"/>
      <c r="AW2140"/>
      <c r="AX2140"/>
      <c r="AY2140"/>
      <c r="BK2140" s="42">
        <v>2139</v>
      </c>
      <c r="BL2140" s="127">
        <v>4</v>
      </c>
      <c r="BM2140" s="127">
        <v>0.11332468572476186</v>
      </c>
      <c r="BN2140" s="127" t="e">
        <v>#N/A</v>
      </c>
      <c r="BO2140" s="127" t="e">
        <v>#N/A</v>
      </c>
      <c r="BP2140" s="151" t="e">
        <v>#N/A</v>
      </c>
      <c r="BQ2140">
        <v>0.11332468572476186</v>
      </c>
      <c r="BR2140" t="str">
        <v/>
      </c>
    </row>
    <row r="2141" spans="47:70" x14ac:dyDescent="0.2">
      <c r="AU2141"/>
      <c r="AV2141"/>
      <c r="AW2141"/>
      <c r="AX2141"/>
      <c r="AY2141"/>
      <c r="BK2141" s="42">
        <v>2140</v>
      </c>
      <c r="BL2141" s="127">
        <v>4</v>
      </c>
      <c r="BM2141" s="127">
        <v>0.11332468572476186</v>
      </c>
      <c r="BN2141" s="127" t="e">
        <v>#N/A</v>
      </c>
      <c r="BO2141" s="127" t="e">
        <v>#N/A</v>
      </c>
      <c r="BP2141" s="151" t="e">
        <v>#N/A</v>
      </c>
      <c r="BQ2141">
        <v>0.11332468572476186</v>
      </c>
      <c r="BR2141" t="str">
        <v/>
      </c>
    </row>
    <row r="2142" spans="47:70" x14ac:dyDescent="0.2">
      <c r="AU2142"/>
      <c r="AV2142"/>
      <c r="AW2142"/>
      <c r="AX2142"/>
      <c r="AY2142"/>
      <c r="BK2142" s="42">
        <v>2141</v>
      </c>
      <c r="BL2142" s="127">
        <v>4</v>
      </c>
      <c r="BM2142" s="127">
        <v>0.11332468572476186</v>
      </c>
      <c r="BN2142" s="127" t="e">
        <v>#N/A</v>
      </c>
      <c r="BO2142" s="127" t="e">
        <v>#N/A</v>
      </c>
      <c r="BP2142" s="151" t="e">
        <v>#N/A</v>
      </c>
      <c r="BQ2142">
        <v>0.11332468572476186</v>
      </c>
      <c r="BR2142" t="str">
        <v/>
      </c>
    </row>
    <row r="2143" spans="47:70" x14ac:dyDescent="0.2">
      <c r="AU2143"/>
      <c r="AV2143"/>
      <c r="AW2143"/>
      <c r="AX2143"/>
      <c r="AY2143"/>
      <c r="BK2143" s="42">
        <v>2142</v>
      </c>
      <c r="BL2143" s="127">
        <v>4</v>
      </c>
      <c r="BM2143" s="127">
        <v>0.11332468572476186</v>
      </c>
      <c r="BN2143" s="127" t="e">
        <v>#N/A</v>
      </c>
      <c r="BO2143" s="127" t="e">
        <v>#N/A</v>
      </c>
      <c r="BP2143" s="151" t="e">
        <v>#N/A</v>
      </c>
      <c r="BQ2143">
        <v>0.11332468572476186</v>
      </c>
      <c r="BR2143" t="str">
        <v/>
      </c>
    </row>
    <row r="2144" spans="47:70" x14ac:dyDescent="0.2">
      <c r="AU2144"/>
      <c r="AV2144"/>
      <c r="AW2144"/>
      <c r="AX2144"/>
      <c r="AY2144"/>
      <c r="BK2144" s="42">
        <v>2143</v>
      </c>
      <c r="BL2144" s="127">
        <v>4</v>
      </c>
      <c r="BM2144" s="127">
        <v>0.11332468572476186</v>
      </c>
      <c r="BN2144" s="127" t="e">
        <v>#N/A</v>
      </c>
      <c r="BO2144" s="127" t="e">
        <v>#N/A</v>
      </c>
      <c r="BP2144" s="151" t="e">
        <v>#N/A</v>
      </c>
      <c r="BQ2144">
        <v>0.11332468572476186</v>
      </c>
      <c r="BR2144" t="str">
        <v/>
      </c>
    </row>
    <row r="2145" spans="47:70" x14ac:dyDescent="0.2">
      <c r="AU2145"/>
      <c r="AV2145"/>
      <c r="AW2145"/>
      <c r="AX2145"/>
      <c r="AY2145"/>
      <c r="BK2145" s="42">
        <v>2144</v>
      </c>
      <c r="BL2145" s="127">
        <v>4</v>
      </c>
      <c r="BM2145" s="127">
        <v>0.11332468572476186</v>
      </c>
      <c r="BN2145" s="127" t="e">
        <v>#N/A</v>
      </c>
      <c r="BO2145" s="127" t="e">
        <v>#N/A</v>
      </c>
      <c r="BP2145" s="151" t="e">
        <v>#N/A</v>
      </c>
      <c r="BQ2145">
        <v>0.11332468572476186</v>
      </c>
      <c r="BR2145" t="str">
        <v/>
      </c>
    </row>
    <row r="2146" spans="47:70" x14ac:dyDescent="0.2">
      <c r="AU2146"/>
      <c r="AV2146"/>
      <c r="AW2146"/>
      <c r="AX2146"/>
      <c r="AY2146"/>
      <c r="BK2146" s="42">
        <v>2145</v>
      </c>
      <c r="BL2146" s="127">
        <v>4</v>
      </c>
      <c r="BM2146" s="127">
        <v>0.11332468572476186</v>
      </c>
      <c r="BN2146" s="127" t="e">
        <v>#N/A</v>
      </c>
      <c r="BO2146" s="127" t="e">
        <v>#N/A</v>
      </c>
      <c r="BP2146" s="151" t="e">
        <v>#N/A</v>
      </c>
      <c r="BQ2146">
        <v>0.11332468572476186</v>
      </c>
      <c r="BR2146" t="str">
        <v/>
      </c>
    </row>
    <row r="2147" spans="47:70" x14ac:dyDescent="0.2">
      <c r="AU2147"/>
      <c r="AV2147"/>
      <c r="AW2147"/>
      <c r="AX2147"/>
      <c r="AY2147"/>
      <c r="BK2147" s="42">
        <v>2146</v>
      </c>
      <c r="BL2147" s="127">
        <v>4</v>
      </c>
      <c r="BM2147" s="127">
        <v>0.11332468572476186</v>
      </c>
      <c r="BN2147" s="127" t="e">
        <v>#N/A</v>
      </c>
      <c r="BO2147" s="127" t="e">
        <v>#N/A</v>
      </c>
      <c r="BP2147" s="151" t="e">
        <v>#N/A</v>
      </c>
      <c r="BQ2147">
        <v>0.11332468572476186</v>
      </c>
      <c r="BR2147" t="str">
        <v/>
      </c>
    </row>
    <row r="2148" spans="47:70" x14ac:dyDescent="0.2">
      <c r="AU2148"/>
      <c r="AV2148"/>
      <c r="AW2148"/>
      <c r="AX2148"/>
      <c r="AY2148"/>
      <c r="BK2148" s="42">
        <v>2147</v>
      </c>
      <c r="BL2148" s="127">
        <v>4</v>
      </c>
      <c r="BM2148" s="127">
        <v>0.11332468572476186</v>
      </c>
      <c r="BN2148" s="127" t="e">
        <v>#N/A</v>
      </c>
      <c r="BO2148" s="127" t="e">
        <v>#N/A</v>
      </c>
      <c r="BP2148" s="151" t="e">
        <v>#N/A</v>
      </c>
      <c r="BQ2148">
        <v>0.11332468572476186</v>
      </c>
      <c r="BR2148" t="str">
        <v/>
      </c>
    </row>
    <row r="2149" spans="47:70" x14ac:dyDescent="0.2">
      <c r="AU2149"/>
      <c r="AV2149"/>
      <c r="AW2149"/>
      <c r="AX2149"/>
      <c r="AY2149"/>
      <c r="BK2149" s="42">
        <v>2148</v>
      </c>
      <c r="BL2149" s="127">
        <v>4</v>
      </c>
      <c r="BM2149" s="127">
        <v>0.11332468572476186</v>
      </c>
      <c r="BN2149" s="127" t="e">
        <v>#N/A</v>
      </c>
      <c r="BO2149" s="127" t="e">
        <v>#N/A</v>
      </c>
      <c r="BP2149" s="151" t="e">
        <v>#N/A</v>
      </c>
      <c r="BQ2149">
        <v>0.11332468572476186</v>
      </c>
      <c r="BR2149" t="str">
        <v/>
      </c>
    </row>
    <row r="2150" spans="47:70" x14ac:dyDescent="0.2">
      <c r="AU2150"/>
      <c r="AV2150"/>
      <c r="AW2150"/>
      <c r="AX2150"/>
      <c r="AY2150"/>
      <c r="BK2150" s="42">
        <v>2149</v>
      </c>
      <c r="BL2150" s="127">
        <v>4</v>
      </c>
      <c r="BM2150" s="127">
        <v>0.11332468572476186</v>
      </c>
      <c r="BN2150" s="127" t="e">
        <v>#N/A</v>
      </c>
      <c r="BO2150" s="127" t="e">
        <v>#N/A</v>
      </c>
      <c r="BP2150" s="151" t="e">
        <v>#N/A</v>
      </c>
      <c r="BQ2150">
        <v>0.11332468572476186</v>
      </c>
      <c r="BR2150" t="str">
        <v/>
      </c>
    </row>
    <row r="2151" spans="47:70" x14ac:dyDescent="0.2">
      <c r="AU2151"/>
      <c r="AV2151"/>
      <c r="AW2151"/>
      <c r="AX2151"/>
      <c r="AY2151"/>
      <c r="BK2151" s="42">
        <v>2150</v>
      </c>
      <c r="BL2151" s="127">
        <v>4</v>
      </c>
      <c r="BM2151" s="127">
        <v>0.11332468572476186</v>
      </c>
      <c r="BN2151" s="127" t="e">
        <v>#N/A</v>
      </c>
      <c r="BO2151" s="127" t="e">
        <v>#N/A</v>
      </c>
      <c r="BP2151" s="151" t="e">
        <v>#N/A</v>
      </c>
      <c r="BQ2151">
        <v>0.11332468572476186</v>
      </c>
      <c r="BR2151" t="str">
        <v/>
      </c>
    </row>
    <row r="2152" spans="47:70" x14ac:dyDescent="0.2">
      <c r="AU2152"/>
      <c r="AV2152"/>
      <c r="AW2152"/>
      <c r="AX2152"/>
      <c r="AY2152"/>
      <c r="BK2152" s="42">
        <v>2151</v>
      </c>
      <c r="BL2152" s="127">
        <v>4</v>
      </c>
      <c r="BM2152" s="127">
        <v>0.11332468572476186</v>
      </c>
      <c r="BN2152" s="127" t="e">
        <v>#N/A</v>
      </c>
      <c r="BO2152" s="127" t="e">
        <v>#N/A</v>
      </c>
      <c r="BP2152" s="151" t="e">
        <v>#N/A</v>
      </c>
      <c r="BQ2152">
        <v>0.11332468572476186</v>
      </c>
      <c r="BR2152" t="str">
        <v/>
      </c>
    </row>
    <row r="2153" spans="47:70" x14ac:dyDescent="0.2">
      <c r="AU2153"/>
      <c r="AV2153"/>
      <c r="AW2153"/>
      <c r="AX2153"/>
      <c r="AY2153"/>
      <c r="BK2153" s="42">
        <v>2152</v>
      </c>
      <c r="BL2153" s="127">
        <v>4</v>
      </c>
      <c r="BM2153" s="127">
        <v>0.11332468572476186</v>
      </c>
      <c r="BN2153" s="127" t="e">
        <v>#N/A</v>
      </c>
      <c r="BO2153" s="127" t="e">
        <v>#N/A</v>
      </c>
      <c r="BP2153" s="151" t="e">
        <v>#N/A</v>
      </c>
      <c r="BQ2153">
        <v>0.11332468572476186</v>
      </c>
      <c r="BR2153" t="str">
        <v/>
      </c>
    </row>
    <row r="2154" spans="47:70" x14ac:dyDescent="0.2">
      <c r="AU2154"/>
      <c r="AV2154"/>
      <c r="AW2154"/>
      <c r="AX2154"/>
      <c r="AY2154"/>
      <c r="BK2154" s="42">
        <v>2153</v>
      </c>
      <c r="BL2154" s="127">
        <v>4</v>
      </c>
      <c r="BM2154" s="127">
        <v>0.11332468572476186</v>
      </c>
      <c r="BN2154" s="127" t="e">
        <v>#N/A</v>
      </c>
      <c r="BO2154" s="127" t="e">
        <v>#N/A</v>
      </c>
      <c r="BP2154" s="151" t="e">
        <v>#N/A</v>
      </c>
      <c r="BQ2154">
        <v>0.11332468572476186</v>
      </c>
      <c r="BR2154" t="str">
        <v/>
      </c>
    </row>
    <row r="2155" spans="47:70" x14ac:dyDescent="0.2">
      <c r="AU2155"/>
      <c r="AV2155"/>
      <c r="AW2155"/>
      <c r="AX2155"/>
      <c r="AY2155"/>
      <c r="BK2155" s="42">
        <v>2154</v>
      </c>
      <c r="BL2155" s="127">
        <v>4</v>
      </c>
      <c r="BM2155" s="127">
        <v>0.11332468572476186</v>
      </c>
      <c r="BN2155" s="127" t="e">
        <v>#N/A</v>
      </c>
      <c r="BO2155" s="127" t="e">
        <v>#N/A</v>
      </c>
      <c r="BP2155" s="151" t="e">
        <v>#N/A</v>
      </c>
      <c r="BQ2155">
        <v>0.11332468572476186</v>
      </c>
      <c r="BR2155" t="str">
        <v/>
      </c>
    </row>
    <row r="2156" spans="47:70" x14ac:dyDescent="0.2">
      <c r="AU2156"/>
      <c r="AV2156"/>
      <c r="AW2156"/>
      <c r="AX2156"/>
      <c r="AY2156"/>
      <c r="BK2156" s="42">
        <v>2155</v>
      </c>
      <c r="BL2156" s="127">
        <v>4</v>
      </c>
      <c r="BM2156" s="127">
        <v>0.11332468572476186</v>
      </c>
      <c r="BN2156" s="127" t="e">
        <v>#N/A</v>
      </c>
      <c r="BO2156" s="127" t="e">
        <v>#N/A</v>
      </c>
      <c r="BP2156" s="151" t="e">
        <v>#N/A</v>
      </c>
      <c r="BQ2156">
        <v>0.11332468572476186</v>
      </c>
      <c r="BR2156" t="str">
        <v/>
      </c>
    </row>
    <row r="2157" spans="47:70" x14ac:dyDescent="0.2">
      <c r="AU2157"/>
      <c r="AV2157"/>
      <c r="AW2157"/>
      <c r="AX2157"/>
      <c r="AY2157"/>
      <c r="BK2157" s="42">
        <v>2156</v>
      </c>
      <c r="BL2157" s="127">
        <v>4</v>
      </c>
      <c r="BM2157" s="127">
        <v>0.11332468572476186</v>
      </c>
      <c r="BN2157" s="127" t="e">
        <v>#N/A</v>
      </c>
      <c r="BO2157" s="127" t="e">
        <v>#N/A</v>
      </c>
      <c r="BP2157" s="151" t="e">
        <v>#N/A</v>
      </c>
      <c r="BQ2157">
        <v>0.11332468572476186</v>
      </c>
      <c r="BR2157" t="str">
        <v/>
      </c>
    </row>
    <row r="2158" spans="47:70" x14ac:dyDescent="0.2">
      <c r="AU2158"/>
      <c r="AV2158"/>
      <c r="AW2158"/>
      <c r="AX2158"/>
      <c r="AY2158"/>
      <c r="BK2158" s="42">
        <v>2157</v>
      </c>
      <c r="BL2158" s="127">
        <v>4</v>
      </c>
      <c r="BM2158" s="127">
        <v>0.11332468572476186</v>
      </c>
      <c r="BN2158" s="127" t="e">
        <v>#N/A</v>
      </c>
      <c r="BO2158" s="127" t="e">
        <v>#N/A</v>
      </c>
      <c r="BP2158" s="151" t="e">
        <v>#N/A</v>
      </c>
      <c r="BQ2158">
        <v>0.11332468572476186</v>
      </c>
      <c r="BR2158" t="str">
        <v/>
      </c>
    </row>
    <row r="2159" spans="47:70" x14ac:dyDescent="0.2">
      <c r="AU2159"/>
      <c r="AV2159"/>
      <c r="AW2159"/>
      <c r="AX2159"/>
      <c r="AY2159"/>
      <c r="BK2159" s="42">
        <v>2158</v>
      </c>
      <c r="BL2159" s="127">
        <v>4</v>
      </c>
      <c r="BM2159" s="127">
        <v>0.11332468572476186</v>
      </c>
      <c r="BN2159" s="127" t="e">
        <v>#N/A</v>
      </c>
      <c r="BO2159" s="127" t="e">
        <v>#N/A</v>
      </c>
      <c r="BP2159" s="151" t="e">
        <v>#N/A</v>
      </c>
      <c r="BQ2159">
        <v>0.11332468572476186</v>
      </c>
      <c r="BR2159" t="str">
        <v/>
      </c>
    </row>
    <row r="2160" spans="47:70" x14ac:dyDescent="0.2">
      <c r="AU2160"/>
      <c r="AV2160"/>
      <c r="AW2160"/>
      <c r="AX2160"/>
      <c r="AY2160"/>
      <c r="BK2160" s="42">
        <v>2159</v>
      </c>
      <c r="BL2160" s="127">
        <v>4</v>
      </c>
      <c r="BM2160" s="127">
        <v>0.11332468572476186</v>
      </c>
      <c r="BN2160" s="127" t="e">
        <v>#N/A</v>
      </c>
      <c r="BO2160" s="127" t="e">
        <v>#N/A</v>
      </c>
      <c r="BP2160" s="151" t="e">
        <v>#N/A</v>
      </c>
      <c r="BQ2160">
        <v>0.11332468572476186</v>
      </c>
      <c r="BR2160" t="str">
        <v/>
      </c>
    </row>
    <row r="2161" spans="47:70" x14ac:dyDescent="0.2">
      <c r="AU2161"/>
      <c r="AV2161"/>
      <c r="AW2161"/>
      <c r="AX2161"/>
      <c r="AY2161"/>
      <c r="BK2161" s="42">
        <v>2160</v>
      </c>
      <c r="BL2161" s="127">
        <v>4</v>
      </c>
      <c r="BM2161" s="127">
        <v>0.11332468572476186</v>
      </c>
      <c r="BN2161" s="127" t="e">
        <v>#N/A</v>
      </c>
      <c r="BO2161" s="127" t="e">
        <v>#N/A</v>
      </c>
      <c r="BP2161" s="151" t="e">
        <v>#N/A</v>
      </c>
      <c r="BQ2161">
        <v>0.11332468572476186</v>
      </c>
      <c r="BR2161" t="str">
        <v/>
      </c>
    </row>
    <row r="2162" spans="47:70" x14ac:dyDescent="0.2">
      <c r="AU2162"/>
      <c r="AV2162"/>
      <c r="AW2162"/>
      <c r="AX2162"/>
      <c r="AY2162"/>
      <c r="BK2162" s="42">
        <v>2161</v>
      </c>
      <c r="BL2162" s="127">
        <v>4</v>
      </c>
      <c r="BM2162" s="127">
        <v>0.11332468572476186</v>
      </c>
      <c r="BN2162" s="127" t="e">
        <v>#N/A</v>
      </c>
      <c r="BO2162" s="127" t="e">
        <v>#N/A</v>
      </c>
      <c r="BP2162" s="151" t="e">
        <v>#N/A</v>
      </c>
      <c r="BQ2162">
        <v>0.11332468572476186</v>
      </c>
      <c r="BR2162" t="str">
        <v/>
      </c>
    </row>
    <row r="2163" spans="47:70" x14ac:dyDescent="0.2">
      <c r="AU2163"/>
      <c r="AV2163"/>
      <c r="AW2163"/>
      <c r="AX2163"/>
      <c r="AY2163"/>
      <c r="BK2163" s="42">
        <v>2162</v>
      </c>
      <c r="BL2163" s="127">
        <v>4</v>
      </c>
      <c r="BM2163" s="127">
        <v>0.11332468572476186</v>
      </c>
      <c r="BN2163" s="127" t="e">
        <v>#N/A</v>
      </c>
      <c r="BO2163" s="127" t="e">
        <v>#N/A</v>
      </c>
      <c r="BP2163" s="151" t="e">
        <v>#N/A</v>
      </c>
      <c r="BQ2163">
        <v>0.11332468572476186</v>
      </c>
      <c r="BR2163" t="str">
        <v/>
      </c>
    </row>
    <row r="2164" spans="47:70" x14ac:dyDescent="0.2">
      <c r="AU2164"/>
      <c r="AV2164"/>
      <c r="AW2164"/>
      <c r="AX2164"/>
      <c r="AY2164"/>
      <c r="BK2164" s="42">
        <v>2163</v>
      </c>
      <c r="BL2164" s="127">
        <v>4</v>
      </c>
      <c r="BM2164" s="127">
        <v>0.11332468572476186</v>
      </c>
      <c r="BN2164" s="127" t="e">
        <v>#N/A</v>
      </c>
      <c r="BO2164" s="127" t="e">
        <v>#N/A</v>
      </c>
      <c r="BP2164" s="151" t="e">
        <v>#N/A</v>
      </c>
      <c r="BQ2164">
        <v>0.11332468572476186</v>
      </c>
      <c r="BR2164" t="str">
        <v/>
      </c>
    </row>
    <row r="2165" spans="47:70" x14ac:dyDescent="0.2">
      <c r="AU2165"/>
      <c r="AV2165"/>
      <c r="AW2165"/>
      <c r="AX2165"/>
      <c r="AY2165"/>
      <c r="BK2165" s="42">
        <v>2164</v>
      </c>
      <c r="BL2165" s="127">
        <v>4</v>
      </c>
      <c r="BM2165" s="127">
        <v>0.11332468572476186</v>
      </c>
      <c r="BN2165" s="127" t="e">
        <v>#N/A</v>
      </c>
      <c r="BO2165" s="127" t="e">
        <v>#N/A</v>
      </c>
      <c r="BP2165" s="151" t="e">
        <v>#N/A</v>
      </c>
      <c r="BQ2165">
        <v>0.11332468572476186</v>
      </c>
      <c r="BR2165" t="str">
        <v/>
      </c>
    </row>
    <row r="2166" spans="47:70" x14ac:dyDescent="0.2">
      <c r="AU2166"/>
      <c r="AV2166"/>
      <c r="AW2166"/>
      <c r="AX2166"/>
      <c r="AY2166"/>
      <c r="BK2166" s="42">
        <v>2165</v>
      </c>
      <c r="BL2166" s="127">
        <v>4</v>
      </c>
      <c r="BM2166" s="127">
        <v>0.11332468572476186</v>
      </c>
      <c r="BN2166" s="127" t="e">
        <v>#N/A</v>
      </c>
      <c r="BO2166" s="127" t="e">
        <v>#N/A</v>
      </c>
      <c r="BP2166" s="151" t="e">
        <v>#N/A</v>
      </c>
      <c r="BQ2166">
        <v>0.11332468572476186</v>
      </c>
      <c r="BR2166" t="str">
        <v/>
      </c>
    </row>
    <row r="2167" spans="47:70" x14ac:dyDescent="0.2">
      <c r="AU2167"/>
      <c r="AV2167"/>
      <c r="AW2167"/>
      <c r="AX2167"/>
      <c r="AY2167"/>
      <c r="BK2167" s="42">
        <v>2166</v>
      </c>
      <c r="BL2167" s="127">
        <v>4</v>
      </c>
      <c r="BM2167" s="127">
        <v>0.11332468572476186</v>
      </c>
      <c r="BN2167" s="127" t="e">
        <v>#N/A</v>
      </c>
      <c r="BO2167" s="127" t="e">
        <v>#N/A</v>
      </c>
      <c r="BP2167" s="151" t="e">
        <v>#N/A</v>
      </c>
      <c r="BQ2167">
        <v>0.11332468572476186</v>
      </c>
      <c r="BR2167" t="str">
        <v/>
      </c>
    </row>
    <row r="2168" spans="47:70" x14ac:dyDescent="0.2">
      <c r="AU2168"/>
      <c r="AV2168"/>
      <c r="AW2168"/>
      <c r="AX2168"/>
      <c r="AY2168"/>
      <c r="BK2168" s="42">
        <v>2167</v>
      </c>
      <c r="BL2168" s="127">
        <v>4</v>
      </c>
      <c r="BM2168" s="127">
        <v>0.11332468572476186</v>
      </c>
      <c r="BN2168" s="127" t="e">
        <v>#N/A</v>
      </c>
      <c r="BO2168" s="127" t="e">
        <v>#N/A</v>
      </c>
      <c r="BP2168" s="151" t="e">
        <v>#N/A</v>
      </c>
      <c r="BQ2168">
        <v>0.11332468572476186</v>
      </c>
      <c r="BR2168" t="str">
        <v/>
      </c>
    </row>
    <row r="2169" spans="47:70" x14ac:dyDescent="0.2">
      <c r="AU2169"/>
      <c r="AV2169"/>
      <c r="AW2169"/>
      <c r="AX2169"/>
      <c r="AY2169"/>
      <c r="BK2169" s="42">
        <v>2168</v>
      </c>
      <c r="BL2169" s="127">
        <v>4</v>
      </c>
      <c r="BM2169" s="127">
        <v>0.11332468572476186</v>
      </c>
      <c r="BN2169" s="127" t="e">
        <v>#N/A</v>
      </c>
      <c r="BO2169" s="127" t="e">
        <v>#N/A</v>
      </c>
      <c r="BP2169" s="151" t="e">
        <v>#N/A</v>
      </c>
      <c r="BQ2169">
        <v>0.11332468572476186</v>
      </c>
      <c r="BR2169" t="str">
        <v/>
      </c>
    </row>
    <row r="2170" spans="47:70" x14ac:dyDescent="0.2">
      <c r="AU2170"/>
      <c r="AV2170"/>
      <c r="AW2170"/>
      <c r="AX2170"/>
      <c r="AY2170"/>
      <c r="BK2170" s="42">
        <v>2169</v>
      </c>
      <c r="BL2170" s="127">
        <v>4</v>
      </c>
      <c r="BM2170" s="127">
        <v>0.11332468572476186</v>
      </c>
      <c r="BN2170" s="127" t="e">
        <v>#N/A</v>
      </c>
      <c r="BO2170" s="127" t="e">
        <v>#N/A</v>
      </c>
      <c r="BP2170" s="151" t="e">
        <v>#N/A</v>
      </c>
      <c r="BQ2170">
        <v>0.11332468572476186</v>
      </c>
      <c r="BR2170" t="str">
        <v/>
      </c>
    </row>
    <row r="2171" spans="47:70" x14ac:dyDescent="0.2">
      <c r="AU2171"/>
      <c r="AV2171"/>
      <c r="AW2171"/>
      <c r="AX2171"/>
      <c r="AY2171"/>
      <c r="BK2171" s="42">
        <v>2170</v>
      </c>
      <c r="BL2171" s="127">
        <v>4</v>
      </c>
      <c r="BM2171" s="127">
        <v>0.11332468572476186</v>
      </c>
      <c r="BN2171" s="127" t="e">
        <v>#N/A</v>
      </c>
      <c r="BO2171" s="127" t="e">
        <v>#N/A</v>
      </c>
      <c r="BP2171" s="151" t="e">
        <v>#N/A</v>
      </c>
      <c r="BQ2171">
        <v>0.11332468572476186</v>
      </c>
      <c r="BR2171" t="str">
        <v/>
      </c>
    </row>
    <row r="2172" spans="47:70" x14ac:dyDescent="0.2">
      <c r="AU2172"/>
      <c r="AV2172"/>
      <c r="AW2172"/>
      <c r="AX2172"/>
      <c r="AY2172"/>
      <c r="BK2172" s="42">
        <v>2171</v>
      </c>
      <c r="BL2172" s="127">
        <v>4</v>
      </c>
      <c r="BM2172" s="127">
        <v>0.11332468572476186</v>
      </c>
      <c r="BN2172" s="127" t="e">
        <v>#N/A</v>
      </c>
      <c r="BO2172" s="127" t="e">
        <v>#N/A</v>
      </c>
      <c r="BP2172" s="151" t="e">
        <v>#N/A</v>
      </c>
      <c r="BQ2172">
        <v>0.11332468572476186</v>
      </c>
      <c r="BR2172" t="str">
        <v/>
      </c>
    </row>
    <row r="2173" spans="47:70" x14ac:dyDescent="0.2">
      <c r="AU2173"/>
      <c r="AV2173"/>
      <c r="AW2173"/>
      <c r="AX2173"/>
      <c r="AY2173"/>
      <c r="BK2173" s="42">
        <v>2172</v>
      </c>
      <c r="BL2173" s="127">
        <v>4</v>
      </c>
      <c r="BM2173" s="127">
        <v>0.11332468572476186</v>
      </c>
      <c r="BN2173" s="127" t="e">
        <v>#N/A</v>
      </c>
      <c r="BO2173" s="127" t="e">
        <v>#N/A</v>
      </c>
      <c r="BP2173" s="151" t="e">
        <v>#N/A</v>
      </c>
      <c r="BQ2173">
        <v>0.11332468572476186</v>
      </c>
      <c r="BR2173" t="str">
        <v/>
      </c>
    </row>
    <row r="2174" spans="47:70" x14ac:dyDescent="0.2">
      <c r="AU2174"/>
      <c r="AV2174"/>
      <c r="AW2174"/>
      <c r="AX2174"/>
      <c r="AY2174"/>
      <c r="BK2174" s="42">
        <v>2173</v>
      </c>
      <c r="BL2174" s="127">
        <v>4</v>
      </c>
      <c r="BM2174" s="127">
        <v>0.11332468572476186</v>
      </c>
      <c r="BN2174" s="127" t="e">
        <v>#N/A</v>
      </c>
      <c r="BO2174" s="127" t="e">
        <v>#N/A</v>
      </c>
      <c r="BP2174" s="151" t="e">
        <v>#N/A</v>
      </c>
      <c r="BQ2174">
        <v>0.11332468572476186</v>
      </c>
      <c r="BR2174" t="str">
        <v/>
      </c>
    </row>
    <row r="2175" spans="47:70" x14ac:dyDescent="0.2">
      <c r="AU2175"/>
      <c r="AV2175"/>
      <c r="AW2175"/>
      <c r="AX2175"/>
      <c r="AY2175"/>
      <c r="BK2175" s="42">
        <v>2174</v>
      </c>
      <c r="BL2175" s="127">
        <v>4</v>
      </c>
      <c r="BM2175" s="127">
        <v>0.11332468572476186</v>
      </c>
      <c r="BN2175" s="127" t="e">
        <v>#N/A</v>
      </c>
      <c r="BO2175" s="127" t="e">
        <v>#N/A</v>
      </c>
      <c r="BP2175" s="151" t="e">
        <v>#N/A</v>
      </c>
      <c r="BQ2175">
        <v>0.11332468572476186</v>
      </c>
      <c r="BR2175" t="str">
        <v/>
      </c>
    </row>
    <row r="2176" spans="47:70" x14ac:dyDescent="0.2">
      <c r="AU2176"/>
      <c r="AV2176"/>
      <c r="AW2176"/>
      <c r="AX2176"/>
      <c r="AY2176"/>
      <c r="BK2176" s="42">
        <v>2175</v>
      </c>
      <c r="BL2176" s="127">
        <v>4</v>
      </c>
      <c r="BM2176" s="127">
        <v>0.11332468572476186</v>
      </c>
      <c r="BN2176" s="127" t="e">
        <v>#N/A</v>
      </c>
      <c r="BO2176" s="127" t="e">
        <v>#N/A</v>
      </c>
      <c r="BP2176" s="151" t="e">
        <v>#N/A</v>
      </c>
      <c r="BQ2176">
        <v>0.11332468572476186</v>
      </c>
      <c r="BR2176" t="str">
        <v/>
      </c>
    </row>
    <row r="2177" spans="47:70" x14ac:dyDescent="0.2">
      <c r="AU2177"/>
      <c r="AV2177"/>
      <c r="AW2177"/>
      <c r="AX2177"/>
      <c r="AY2177"/>
      <c r="BK2177" s="42">
        <v>2176</v>
      </c>
      <c r="BL2177" s="127">
        <v>4</v>
      </c>
      <c r="BM2177" s="127">
        <v>0.11332468572476186</v>
      </c>
      <c r="BN2177" s="127" t="e">
        <v>#N/A</v>
      </c>
      <c r="BO2177" s="127" t="e">
        <v>#N/A</v>
      </c>
      <c r="BP2177" s="151" t="e">
        <v>#N/A</v>
      </c>
      <c r="BQ2177">
        <v>0.11332468572476186</v>
      </c>
      <c r="BR2177" t="str">
        <v/>
      </c>
    </row>
    <row r="2178" spans="47:70" x14ac:dyDescent="0.2">
      <c r="AU2178"/>
      <c r="AV2178"/>
      <c r="AW2178"/>
      <c r="AX2178"/>
      <c r="AY2178"/>
      <c r="BK2178" s="42">
        <v>2177</v>
      </c>
      <c r="BL2178" s="127">
        <v>4</v>
      </c>
      <c r="BM2178" s="127">
        <v>0.11332468572476186</v>
      </c>
      <c r="BN2178" s="127" t="e">
        <v>#N/A</v>
      </c>
      <c r="BO2178" s="127" t="e">
        <v>#N/A</v>
      </c>
      <c r="BP2178" s="151" t="e">
        <v>#N/A</v>
      </c>
      <c r="BQ2178">
        <v>0.11332468572476186</v>
      </c>
      <c r="BR2178" t="str">
        <v/>
      </c>
    </row>
    <row r="2179" spans="47:70" x14ac:dyDescent="0.2">
      <c r="AU2179"/>
      <c r="AV2179"/>
      <c r="AW2179"/>
      <c r="AX2179"/>
      <c r="AY2179"/>
      <c r="BK2179" s="42">
        <v>2178</v>
      </c>
      <c r="BL2179" s="127">
        <v>4</v>
      </c>
      <c r="BM2179" s="127">
        <v>0.11332468572476186</v>
      </c>
      <c r="BN2179" s="127" t="e">
        <v>#N/A</v>
      </c>
      <c r="BO2179" s="127" t="e">
        <v>#N/A</v>
      </c>
      <c r="BP2179" s="151" t="e">
        <v>#N/A</v>
      </c>
      <c r="BQ2179">
        <v>0.11332468572476186</v>
      </c>
      <c r="BR2179" t="str">
        <v/>
      </c>
    </row>
    <row r="2180" spans="47:70" x14ac:dyDescent="0.2">
      <c r="AU2180"/>
      <c r="AV2180"/>
      <c r="AW2180"/>
      <c r="AX2180"/>
      <c r="AY2180"/>
      <c r="BK2180" s="42">
        <v>2179</v>
      </c>
      <c r="BL2180" s="127">
        <v>4</v>
      </c>
      <c r="BM2180" s="127">
        <v>0.11332468572476186</v>
      </c>
      <c r="BN2180" s="127" t="e">
        <v>#N/A</v>
      </c>
      <c r="BO2180" s="127" t="e">
        <v>#N/A</v>
      </c>
      <c r="BP2180" s="151" t="e">
        <v>#N/A</v>
      </c>
      <c r="BQ2180">
        <v>0.11332468572476186</v>
      </c>
      <c r="BR2180" t="str">
        <v/>
      </c>
    </row>
    <row r="2181" spans="47:70" x14ac:dyDescent="0.2">
      <c r="AU2181"/>
      <c r="AV2181"/>
      <c r="AW2181"/>
      <c r="AX2181"/>
      <c r="AY2181"/>
      <c r="BK2181" s="42">
        <v>2180</v>
      </c>
      <c r="BL2181" s="127">
        <v>4</v>
      </c>
      <c r="BM2181" s="127">
        <v>0.11332468572476186</v>
      </c>
      <c r="BN2181" s="127" t="e">
        <v>#N/A</v>
      </c>
      <c r="BO2181" s="127" t="e">
        <v>#N/A</v>
      </c>
      <c r="BP2181" s="151" t="e">
        <v>#N/A</v>
      </c>
      <c r="BQ2181">
        <v>0.11332468572476186</v>
      </c>
      <c r="BR2181" t="str">
        <v/>
      </c>
    </row>
    <row r="2182" spans="47:70" x14ac:dyDescent="0.2">
      <c r="AU2182"/>
      <c r="AV2182"/>
      <c r="AW2182"/>
      <c r="AX2182"/>
      <c r="AY2182"/>
      <c r="BK2182" s="42">
        <v>2181</v>
      </c>
      <c r="BL2182" s="127">
        <v>4</v>
      </c>
      <c r="BM2182" s="127">
        <v>0.11332468572476186</v>
      </c>
      <c r="BN2182" s="127" t="e">
        <v>#N/A</v>
      </c>
      <c r="BO2182" s="127" t="e">
        <v>#N/A</v>
      </c>
      <c r="BP2182" s="151" t="e">
        <v>#N/A</v>
      </c>
      <c r="BQ2182">
        <v>0.11332468572476186</v>
      </c>
      <c r="BR2182" t="str">
        <v/>
      </c>
    </row>
    <row r="2183" spans="47:70" x14ac:dyDescent="0.2">
      <c r="AU2183"/>
      <c r="AV2183"/>
      <c r="AW2183"/>
      <c r="AX2183"/>
      <c r="AY2183"/>
      <c r="BK2183" s="42">
        <v>2182</v>
      </c>
      <c r="BL2183" s="127">
        <v>4</v>
      </c>
      <c r="BM2183" s="127">
        <v>0.11332468572476186</v>
      </c>
      <c r="BN2183" s="127" t="e">
        <v>#N/A</v>
      </c>
      <c r="BO2183" s="127" t="e">
        <v>#N/A</v>
      </c>
      <c r="BP2183" s="151" t="e">
        <v>#N/A</v>
      </c>
      <c r="BQ2183">
        <v>0.11332468572476186</v>
      </c>
      <c r="BR2183" t="str">
        <v/>
      </c>
    </row>
    <row r="2184" spans="47:70" x14ac:dyDescent="0.2">
      <c r="AU2184"/>
      <c r="AV2184"/>
      <c r="AW2184"/>
      <c r="AX2184"/>
      <c r="AY2184"/>
      <c r="BK2184" s="42">
        <v>2183</v>
      </c>
      <c r="BL2184" s="127">
        <v>4</v>
      </c>
      <c r="BM2184" s="127">
        <v>0.11332468572476186</v>
      </c>
      <c r="BN2184" s="127" t="e">
        <v>#N/A</v>
      </c>
      <c r="BO2184" s="127" t="e">
        <v>#N/A</v>
      </c>
      <c r="BP2184" s="151" t="e">
        <v>#N/A</v>
      </c>
      <c r="BQ2184">
        <v>0.11332468572476186</v>
      </c>
      <c r="BR2184" t="str">
        <v/>
      </c>
    </row>
    <row r="2185" spans="47:70" x14ac:dyDescent="0.2">
      <c r="AU2185"/>
      <c r="AV2185"/>
      <c r="AW2185"/>
      <c r="AX2185"/>
      <c r="AY2185"/>
      <c r="BK2185" s="42">
        <v>2184</v>
      </c>
      <c r="BL2185" s="127">
        <v>4</v>
      </c>
      <c r="BM2185" s="127">
        <v>0.11332468572476186</v>
      </c>
      <c r="BN2185" s="127" t="e">
        <v>#N/A</v>
      </c>
      <c r="BO2185" s="127" t="e">
        <v>#N/A</v>
      </c>
      <c r="BP2185" s="151" t="e">
        <v>#N/A</v>
      </c>
      <c r="BQ2185">
        <v>0.11332468572476186</v>
      </c>
      <c r="BR2185" t="str">
        <v/>
      </c>
    </row>
    <row r="2186" spans="47:70" x14ac:dyDescent="0.2">
      <c r="AU2186"/>
      <c r="AV2186"/>
      <c r="AW2186"/>
      <c r="AX2186"/>
      <c r="AY2186"/>
      <c r="BK2186" s="42">
        <v>2185</v>
      </c>
      <c r="BL2186" s="127">
        <v>4</v>
      </c>
      <c r="BM2186" s="127">
        <v>0.11332468572476186</v>
      </c>
      <c r="BN2186" s="127" t="e">
        <v>#N/A</v>
      </c>
      <c r="BO2186" s="127" t="e">
        <v>#N/A</v>
      </c>
      <c r="BP2186" s="151" t="e">
        <v>#N/A</v>
      </c>
      <c r="BQ2186">
        <v>0.11332468572476186</v>
      </c>
      <c r="BR2186" t="str">
        <v/>
      </c>
    </row>
    <row r="2187" spans="47:70" x14ac:dyDescent="0.2">
      <c r="AU2187"/>
      <c r="AV2187"/>
      <c r="AW2187"/>
      <c r="AX2187"/>
      <c r="AY2187"/>
      <c r="BK2187" s="42">
        <v>2186</v>
      </c>
      <c r="BL2187" s="127">
        <v>4</v>
      </c>
      <c r="BM2187" s="127">
        <v>0.11332468572476186</v>
      </c>
      <c r="BN2187" s="127" t="e">
        <v>#N/A</v>
      </c>
      <c r="BO2187" s="127" t="e">
        <v>#N/A</v>
      </c>
      <c r="BP2187" s="151" t="e">
        <v>#N/A</v>
      </c>
      <c r="BQ2187">
        <v>0.11332468572476186</v>
      </c>
      <c r="BR2187" t="str">
        <v/>
      </c>
    </row>
    <row r="2188" spans="47:70" x14ac:dyDescent="0.2">
      <c r="AU2188"/>
      <c r="AV2188"/>
      <c r="AW2188"/>
      <c r="AX2188"/>
      <c r="AY2188"/>
      <c r="BK2188" s="42">
        <v>2187</v>
      </c>
      <c r="BL2188" s="127">
        <v>4</v>
      </c>
      <c r="BM2188" s="127">
        <v>0.11332468572476186</v>
      </c>
      <c r="BN2188" s="127" t="e">
        <v>#N/A</v>
      </c>
      <c r="BO2188" s="127" t="e">
        <v>#N/A</v>
      </c>
      <c r="BP2188" s="151" t="e">
        <v>#N/A</v>
      </c>
      <c r="BQ2188">
        <v>0.11332468572476186</v>
      </c>
      <c r="BR2188" t="str">
        <v/>
      </c>
    </row>
    <row r="2189" spans="47:70" x14ac:dyDescent="0.2">
      <c r="AU2189"/>
      <c r="AV2189"/>
      <c r="AW2189"/>
      <c r="AX2189"/>
      <c r="AY2189"/>
      <c r="BK2189" s="42">
        <v>2188</v>
      </c>
      <c r="BL2189" s="127">
        <v>4</v>
      </c>
      <c r="BM2189" s="127">
        <v>0.11332468572476186</v>
      </c>
      <c r="BN2189" s="127" t="e">
        <v>#N/A</v>
      </c>
      <c r="BO2189" s="127" t="e">
        <v>#N/A</v>
      </c>
      <c r="BP2189" s="151" t="e">
        <v>#N/A</v>
      </c>
      <c r="BQ2189">
        <v>0.11332468572476186</v>
      </c>
      <c r="BR2189" t="str">
        <v/>
      </c>
    </row>
    <row r="2190" spans="47:70" x14ac:dyDescent="0.2">
      <c r="AU2190"/>
      <c r="AV2190"/>
      <c r="AW2190"/>
      <c r="AX2190"/>
      <c r="AY2190"/>
      <c r="BK2190" s="42">
        <v>2189</v>
      </c>
      <c r="BL2190" s="127">
        <v>4</v>
      </c>
      <c r="BM2190" s="127">
        <v>0.11332468572476186</v>
      </c>
      <c r="BN2190" s="127" t="e">
        <v>#N/A</v>
      </c>
      <c r="BO2190" s="127" t="e">
        <v>#N/A</v>
      </c>
      <c r="BP2190" s="151" t="e">
        <v>#N/A</v>
      </c>
      <c r="BQ2190">
        <v>0.11332468572476186</v>
      </c>
      <c r="BR2190" t="str">
        <v/>
      </c>
    </row>
    <row r="2191" spans="47:70" x14ac:dyDescent="0.2">
      <c r="AU2191"/>
      <c r="AV2191"/>
      <c r="AW2191"/>
      <c r="AX2191"/>
      <c r="AY2191"/>
      <c r="BK2191" s="42">
        <v>2190</v>
      </c>
      <c r="BL2191" s="127">
        <v>4</v>
      </c>
      <c r="BM2191" s="127">
        <v>0.11332468572476186</v>
      </c>
      <c r="BN2191" s="127" t="e">
        <v>#N/A</v>
      </c>
      <c r="BO2191" s="127" t="e">
        <v>#N/A</v>
      </c>
      <c r="BP2191" s="151" t="e">
        <v>#N/A</v>
      </c>
      <c r="BQ2191">
        <v>0.11332468572476186</v>
      </c>
      <c r="BR2191" t="str">
        <v/>
      </c>
    </row>
    <row r="2192" spans="47:70" x14ac:dyDescent="0.2">
      <c r="AU2192"/>
      <c r="AV2192"/>
      <c r="AW2192"/>
      <c r="AX2192"/>
      <c r="AY2192"/>
      <c r="BK2192" s="42">
        <v>2191</v>
      </c>
      <c r="BL2192" s="127">
        <v>4</v>
      </c>
      <c r="BM2192" s="127">
        <v>0.11332468572476186</v>
      </c>
      <c r="BN2192" s="127" t="e">
        <v>#N/A</v>
      </c>
      <c r="BO2192" s="127" t="e">
        <v>#N/A</v>
      </c>
      <c r="BP2192" s="151" t="e">
        <v>#N/A</v>
      </c>
      <c r="BQ2192">
        <v>0.11332468572476186</v>
      </c>
      <c r="BR2192" t="str">
        <v/>
      </c>
    </row>
    <row r="2193" spans="47:70" x14ac:dyDescent="0.2">
      <c r="AU2193"/>
      <c r="AV2193"/>
      <c r="AW2193"/>
      <c r="AX2193"/>
      <c r="AY2193"/>
      <c r="BK2193" s="42">
        <v>2192</v>
      </c>
      <c r="BL2193" s="127">
        <v>4</v>
      </c>
      <c r="BM2193" s="127">
        <v>0.11332468572476186</v>
      </c>
      <c r="BN2193" s="127" t="e">
        <v>#N/A</v>
      </c>
      <c r="BO2193" s="127" t="e">
        <v>#N/A</v>
      </c>
      <c r="BP2193" s="151" t="e">
        <v>#N/A</v>
      </c>
      <c r="BQ2193">
        <v>0.11332468572476186</v>
      </c>
      <c r="BR2193" t="str">
        <v/>
      </c>
    </row>
    <row r="2194" spans="47:70" x14ac:dyDescent="0.2">
      <c r="AU2194"/>
      <c r="AV2194"/>
      <c r="AW2194"/>
      <c r="AX2194"/>
      <c r="AY2194"/>
      <c r="BK2194" s="42">
        <v>2193</v>
      </c>
      <c r="BL2194" s="127">
        <v>4</v>
      </c>
      <c r="BM2194" s="127">
        <v>0.11332468572476186</v>
      </c>
      <c r="BN2194" s="127" t="e">
        <v>#N/A</v>
      </c>
      <c r="BO2194" s="127" t="e">
        <v>#N/A</v>
      </c>
      <c r="BP2194" s="151" t="e">
        <v>#N/A</v>
      </c>
      <c r="BQ2194">
        <v>0.11332468572476186</v>
      </c>
      <c r="BR2194" t="str">
        <v/>
      </c>
    </row>
    <row r="2195" spans="47:70" x14ac:dyDescent="0.2">
      <c r="AU2195"/>
      <c r="AV2195"/>
      <c r="AW2195"/>
      <c r="AX2195"/>
      <c r="AY2195"/>
      <c r="BK2195" s="42">
        <v>2194</v>
      </c>
      <c r="BL2195" s="127">
        <v>4</v>
      </c>
      <c r="BM2195" s="127">
        <v>0.11332468572476186</v>
      </c>
      <c r="BN2195" s="127" t="e">
        <v>#N/A</v>
      </c>
      <c r="BO2195" s="127" t="e">
        <v>#N/A</v>
      </c>
      <c r="BP2195" s="151" t="e">
        <v>#N/A</v>
      </c>
      <c r="BQ2195">
        <v>0.11332468572476186</v>
      </c>
      <c r="BR2195" t="str">
        <v/>
      </c>
    </row>
    <row r="2196" spans="47:70" x14ac:dyDescent="0.2">
      <c r="AU2196"/>
      <c r="AV2196"/>
      <c r="AW2196"/>
      <c r="AX2196"/>
      <c r="AY2196"/>
      <c r="BK2196" s="42">
        <v>2195</v>
      </c>
      <c r="BL2196" s="127">
        <v>4</v>
      </c>
      <c r="BM2196" s="127">
        <v>0.11332468572476186</v>
      </c>
      <c r="BN2196" s="127" t="e">
        <v>#N/A</v>
      </c>
      <c r="BO2196" s="127" t="e">
        <v>#N/A</v>
      </c>
      <c r="BP2196" s="151" t="e">
        <v>#N/A</v>
      </c>
      <c r="BQ2196">
        <v>0.11332468572476186</v>
      </c>
      <c r="BR2196" t="str">
        <v/>
      </c>
    </row>
    <row r="2197" spans="47:70" x14ac:dyDescent="0.2">
      <c r="AU2197"/>
      <c r="AV2197"/>
      <c r="AW2197"/>
      <c r="AX2197"/>
      <c r="AY2197"/>
      <c r="BK2197" s="42">
        <v>2196</v>
      </c>
      <c r="BL2197" s="127">
        <v>4</v>
      </c>
      <c r="BM2197" s="127">
        <v>0.11332468572476186</v>
      </c>
      <c r="BN2197" s="127" t="e">
        <v>#N/A</v>
      </c>
      <c r="BO2197" s="127" t="e">
        <v>#N/A</v>
      </c>
      <c r="BP2197" s="151" t="e">
        <v>#N/A</v>
      </c>
      <c r="BQ2197">
        <v>0.11332468572476186</v>
      </c>
      <c r="BR2197" t="str">
        <v/>
      </c>
    </row>
    <row r="2198" spans="47:70" x14ac:dyDescent="0.2">
      <c r="AU2198"/>
      <c r="AV2198"/>
      <c r="AW2198"/>
      <c r="AX2198"/>
      <c r="AY2198"/>
      <c r="BK2198" s="42">
        <v>2197</v>
      </c>
      <c r="BL2198" s="127">
        <v>4</v>
      </c>
      <c r="BM2198" s="127">
        <v>0.11332468572476186</v>
      </c>
      <c r="BN2198" s="127" t="e">
        <v>#N/A</v>
      </c>
      <c r="BO2198" s="127" t="e">
        <v>#N/A</v>
      </c>
      <c r="BP2198" s="151" t="e">
        <v>#N/A</v>
      </c>
      <c r="BQ2198">
        <v>0.11332468572476186</v>
      </c>
      <c r="BR2198" t="str">
        <v/>
      </c>
    </row>
    <row r="2199" spans="47:70" x14ac:dyDescent="0.2">
      <c r="AU2199"/>
      <c r="AV2199"/>
      <c r="AW2199"/>
      <c r="AX2199"/>
      <c r="AY2199"/>
      <c r="BK2199" s="42">
        <v>2198</v>
      </c>
      <c r="BL2199" s="127">
        <v>4</v>
      </c>
      <c r="BM2199" s="127">
        <v>0.11332468572476186</v>
      </c>
      <c r="BN2199" s="127" t="e">
        <v>#N/A</v>
      </c>
      <c r="BO2199" s="127" t="e">
        <v>#N/A</v>
      </c>
      <c r="BP2199" s="151" t="e">
        <v>#N/A</v>
      </c>
      <c r="BQ2199">
        <v>0.11332468572476186</v>
      </c>
      <c r="BR2199" t="str">
        <v/>
      </c>
    </row>
    <row r="2200" spans="47:70" x14ac:dyDescent="0.2">
      <c r="AU2200"/>
      <c r="AV2200"/>
      <c r="AW2200"/>
      <c r="AX2200"/>
      <c r="AY2200"/>
      <c r="BK2200" s="42">
        <v>2199</v>
      </c>
      <c r="BL2200" s="127">
        <v>4</v>
      </c>
      <c r="BM2200" s="127">
        <v>0.11332468572476186</v>
      </c>
      <c r="BN2200" s="127" t="e">
        <v>#N/A</v>
      </c>
      <c r="BO2200" s="127" t="e">
        <v>#N/A</v>
      </c>
      <c r="BP2200" s="151" t="e">
        <v>#N/A</v>
      </c>
      <c r="BQ2200">
        <v>0.11332468572476186</v>
      </c>
      <c r="BR2200" t="str">
        <v/>
      </c>
    </row>
    <row r="2201" spans="47:70" x14ac:dyDescent="0.2">
      <c r="AU2201"/>
      <c r="AV2201"/>
      <c r="AW2201"/>
      <c r="AX2201"/>
      <c r="AY2201"/>
      <c r="BK2201" s="42">
        <v>2200</v>
      </c>
      <c r="BL2201" s="127">
        <v>4</v>
      </c>
      <c r="BM2201" s="127">
        <v>0.11332468572476186</v>
      </c>
      <c r="BN2201" s="127" t="e">
        <v>#N/A</v>
      </c>
      <c r="BO2201" s="127" t="e">
        <v>#N/A</v>
      </c>
      <c r="BP2201" s="151" t="e">
        <v>#N/A</v>
      </c>
      <c r="BQ2201">
        <v>0.11332468572476186</v>
      </c>
      <c r="BR2201" t="str">
        <v/>
      </c>
    </row>
    <row r="2202" spans="47:70" x14ac:dyDescent="0.2">
      <c r="AU2202"/>
      <c r="AV2202"/>
      <c r="AW2202"/>
      <c r="AX2202"/>
      <c r="AY2202"/>
      <c r="BK2202" s="42">
        <v>2201</v>
      </c>
      <c r="BL2202" s="127">
        <v>4</v>
      </c>
      <c r="BM2202" s="127">
        <v>0.11332468572476186</v>
      </c>
      <c r="BN2202" s="127" t="e">
        <v>#N/A</v>
      </c>
      <c r="BO2202" s="127" t="e">
        <v>#N/A</v>
      </c>
      <c r="BP2202" s="151" t="e">
        <v>#N/A</v>
      </c>
      <c r="BQ2202">
        <v>0.11332468572476186</v>
      </c>
      <c r="BR2202" t="str">
        <v/>
      </c>
    </row>
    <row r="2203" spans="47:70" x14ac:dyDescent="0.2">
      <c r="AU2203"/>
      <c r="AV2203"/>
      <c r="AW2203"/>
      <c r="AX2203"/>
      <c r="AY2203"/>
      <c r="BK2203" s="42">
        <v>2202</v>
      </c>
      <c r="BL2203" s="127">
        <v>4</v>
      </c>
      <c r="BM2203" s="127">
        <v>0.11332468572476186</v>
      </c>
      <c r="BN2203" s="127" t="e">
        <v>#N/A</v>
      </c>
      <c r="BO2203" s="127" t="e">
        <v>#N/A</v>
      </c>
      <c r="BP2203" s="151" t="e">
        <v>#N/A</v>
      </c>
      <c r="BQ2203">
        <v>0.11332468572476186</v>
      </c>
      <c r="BR2203" t="str">
        <v/>
      </c>
    </row>
    <row r="2204" spans="47:70" x14ac:dyDescent="0.2">
      <c r="AU2204"/>
      <c r="AV2204"/>
      <c r="AW2204"/>
      <c r="AX2204"/>
      <c r="AY2204"/>
      <c r="BK2204" s="42">
        <v>2203</v>
      </c>
      <c r="BL2204" s="127">
        <v>4</v>
      </c>
      <c r="BM2204" s="127">
        <v>0.11332468572476186</v>
      </c>
      <c r="BN2204" s="127" t="e">
        <v>#N/A</v>
      </c>
      <c r="BO2204" s="127" t="e">
        <v>#N/A</v>
      </c>
      <c r="BP2204" s="151" t="e">
        <v>#N/A</v>
      </c>
      <c r="BQ2204">
        <v>0.11332468572476186</v>
      </c>
      <c r="BR2204" t="str">
        <v/>
      </c>
    </row>
    <row r="2205" spans="47:70" x14ac:dyDescent="0.2">
      <c r="AU2205"/>
      <c r="AV2205"/>
      <c r="AW2205"/>
      <c r="AX2205"/>
      <c r="AY2205"/>
      <c r="BK2205" s="42">
        <v>2204</v>
      </c>
      <c r="BL2205" s="127">
        <v>4</v>
      </c>
      <c r="BM2205" s="127">
        <v>0.11332468572476186</v>
      </c>
      <c r="BN2205" s="127" t="e">
        <v>#N/A</v>
      </c>
      <c r="BO2205" s="127" t="e">
        <v>#N/A</v>
      </c>
      <c r="BP2205" s="151" t="e">
        <v>#N/A</v>
      </c>
      <c r="BQ2205">
        <v>0.11332468572476186</v>
      </c>
      <c r="BR2205" t="str">
        <v/>
      </c>
    </row>
    <row r="2206" spans="47:70" x14ac:dyDescent="0.2">
      <c r="AU2206"/>
      <c r="AV2206"/>
      <c r="AW2206"/>
      <c r="AX2206"/>
      <c r="AY2206"/>
      <c r="BK2206" s="42">
        <v>2205</v>
      </c>
      <c r="BL2206" s="127">
        <v>4</v>
      </c>
      <c r="BM2206" s="127">
        <v>0.11332468572476186</v>
      </c>
      <c r="BN2206" s="127" t="e">
        <v>#N/A</v>
      </c>
      <c r="BO2206" s="127" t="e">
        <v>#N/A</v>
      </c>
      <c r="BP2206" s="151" t="e">
        <v>#N/A</v>
      </c>
      <c r="BQ2206">
        <v>0.11332468572476186</v>
      </c>
      <c r="BR2206" t="str">
        <v/>
      </c>
    </row>
    <row r="2207" spans="47:70" x14ac:dyDescent="0.2">
      <c r="AU2207"/>
      <c r="AV2207"/>
      <c r="AW2207"/>
      <c r="AX2207"/>
      <c r="AY2207"/>
      <c r="BK2207" s="42">
        <v>2206</v>
      </c>
      <c r="BL2207" s="127">
        <v>4</v>
      </c>
      <c r="BM2207" s="127">
        <v>0.11332468572476186</v>
      </c>
      <c r="BN2207" s="127" t="e">
        <v>#N/A</v>
      </c>
      <c r="BO2207" s="127" t="e">
        <v>#N/A</v>
      </c>
      <c r="BP2207" s="151" t="e">
        <v>#N/A</v>
      </c>
      <c r="BQ2207">
        <v>0.11332468572476186</v>
      </c>
      <c r="BR2207" t="str">
        <v/>
      </c>
    </row>
    <row r="2208" spans="47:70" x14ac:dyDescent="0.2">
      <c r="AU2208"/>
      <c r="AV2208"/>
      <c r="AW2208"/>
      <c r="AX2208"/>
      <c r="AY2208"/>
      <c r="BK2208" s="42">
        <v>2207</v>
      </c>
      <c r="BL2208" s="127">
        <v>4</v>
      </c>
      <c r="BM2208" s="127">
        <v>0.11332468572476186</v>
      </c>
      <c r="BN2208" s="127" t="e">
        <v>#N/A</v>
      </c>
      <c r="BO2208" s="127" t="e">
        <v>#N/A</v>
      </c>
      <c r="BP2208" s="151" t="e">
        <v>#N/A</v>
      </c>
      <c r="BQ2208">
        <v>0.11332468572476186</v>
      </c>
      <c r="BR2208" t="str">
        <v/>
      </c>
    </row>
    <row r="2209" spans="47:70" x14ac:dyDescent="0.2">
      <c r="AU2209"/>
      <c r="AV2209"/>
      <c r="AW2209"/>
      <c r="AX2209"/>
      <c r="AY2209"/>
      <c r="BK2209" s="42">
        <v>2208</v>
      </c>
      <c r="BL2209" s="127">
        <v>4</v>
      </c>
      <c r="BM2209" s="127">
        <v>0.11332468572476186</v>
      </c>
      <c r="BN2209" s="127" t="e">
        <v>#N/A</v>
      </c>
      <c r="BO2209" s="127" t="e">
        <v>#N/A</v>
      </c>
      <c r="BP2209" s="151" t="e">
        <v>#N/A</v>
      </c>
      <c r="BQ2209">
        <v>0.11332468572476186</v>
      </c>
      <c r="BR2209" t="str">
        <v/>
      </c>
    </row>
    <row r="2210" spans="47:70" x14ac:dyDescent="0.2">
      <c r="AU2210"/>
      <c r="AV2210"/>
      <c r="AW2210"/>
      <c r="AX2210"/>
      <c r="AY2210"/>
      <c r="BK2210" s="42">
        <v>2209</v>
      </c>
      <c r="BL2210" s="127">
        <v>4</v>
      </c>
      <c r="BM2210" s="127">
        <v>0.11332468572476186</v>
      </c>
      <c r="BN2210" s="127" t="e">
        <v>#N/A</v>
      </c>
      <c r="BO2210" s="127" t="e">
        <v>#N/A</v>
      </c>
      <c r="BP2210" s="151" t="e">
        <v>#N/A</v>
      </c>
      <c r="BQ2210">
        <v>0.11332468572476186</v>
      </c>
      <c r="BR2210" t="str">
        <v/>
      </c>
    </row>
    <row r="2211" spans="47:70" x14ac:dyDescent="0.2">
      <c r="AU2211"/>
      <c r="AV2211"/>
      <c r="AW2211"/>
      <c r="AX2211"/>
      <c r="AY2211"/>
      <c r="BK2211" s="42">
        <v>2210</v>
      </c>
      <c r="BL2211" s="127">
        <v>4</v>
      </c>
      <c r="BM2211" s="127">
        <v>0.11332468572476186</v>
      </c>
      <c r="BN2211" s="127" t="e">
        <v>#N/A</v>
      </c>
      <c r="BO2211" s="127" t="e">
        <v>#N/A</v>
      </c>
      <c r="BP2211" s="151" t="e">
        <v>#N/A</v>
      </c>
      <c r="BQ2211">
        <v>0.11332468572476186</v>
      </c>
      <c r="BR2211" t="str">
        <v/>
      </c>
    </row>
    <row r="2212" spans="47:70" x14ac:dyDescent="0.2">
      <c r="AU2212"/>
      <c r="AV2212"/>
      <c r="AW2212"/>
      <c r="AX2212"/>
      <c r="AY2212"/>
      <c r="BK2212" s="42">
        <v>2211</v>
      </c>
      <c r="BL2212" s="127">
        <v>4</v>
      </c>
      <c r="BM2212" s="127">
        <v>0.11332468572476186</v>
      </c>
      <c r="BN2212" s="127" t="e">
        <v>#N/A</v>
      </c>
      <c r="BO2212" s="127" t="e">
        <v>#N/A</v>
      </c>
      <c r="BP2212" s="151" t="e">
        <v>#N/A</v>
      </c>
      <c r="BQ2212">
        <v>0.11332468572476186</v>
      </c>
      <c r="BR2212" t="str">
        <v/>
      </c>
    </row>
    <row r="2213" spans="47:70" x14ac:dyDescent="0.2">
      <c r="AU2213"/>
      <c r="AV2213"/>
      <c r="AW2213"/>
      <c r="AX2213"/>
      <c r="AY2213"/>
      <c r="BK2213" s="42">
        <v>2212</v>
      </c>
      <c r="BL2213" s="127">
        <v>4</v>
      </c>
      <c r="BM2213" s="127">
        <v>0.11332468572476186</v>
      </c>
      <c r="BN2213" s="127" t="e">
        <v>#N/A</v>
      </c>
      <c r="BO2213" s="127" t="e">
        <v>#N/A</v>
      </c>
      <c r="BP2213" s="151" t="e">
        <v>#N/A</v>
      </c>
      <c r="BQ2213">
        <v>0.11332468572476186</v>
      </c>
      <c r="BR2213" t="str">
        <v/>
      </c>
    </row>
    <row r="2214" spans="47:70" x14ac:dyDescent="0.2">
      <c r="AU2214"/>
      <c r="AV2214"/>
      <c r="AW2214"/>
      <c r="AX2214"/>
      <c r="AY2214"/>
      <c r="BK2214" s="42">
        <v>2213</v>
      </c>
      <c r="BL2214" s="127">
        <v>4</v>
      </c>
      <c r="BM2214" s="127">
        <v>0.11332468572476186</v>
      </c>
      <c r="BN2214" s="127" t="e">
        <v>#N/A</v>
      </c>
      <c r="BO2214" s="127" t="e">
        <v>#N/A</v>
      </c>
      <c r="BP2214" s="151" t="e">
        <v>#N/A</v>
      </c>
      <c r="BQ2214">
        <v>0.11332468572476186</v>
      </c>
      <c r="BR2214" t="str">
        <v/>
      </c>
    </row>
    <row r="2215" spans="47:70" x14ac:dyDescent="0.2">
      <c r="AU2215"/>
      <c r="AV2215"/>
      <c r="AW2215"/>
      <c r="AX2215"/>
      <c r="AY2215"/>
      <c r="BK2215" s="42">
        <v>2214</v>
      </c>
      <c r="BL2215" s="127">
        <v>4</v>
      </c>
      <c r="BM2215" s="127">
        <v>0.11332468572476186</v>
      </c>
      <c r="BN2215" s="127" t="e">
        <v>#N/A</v>
      </c>
      <c r="BO2215" s="127" t="e">
        <v>#N/A</v>
      </c>
      <c r="BP2215" s="151" t="e">
        <v>#N/A</v>
      </c>
      <c r="BQ2215">
        <v>0.11332468572476186</v>
      </c>
      <c r="BR2215" t="str">
        <v/>
      </c>
    </row>
    <row r="2216" spans="47:70" x14ac:dyDescent="0.2">
      <c r="AU2216"/>
      <c r="AV2216"/>
      <c r="AW2216"/>
      <c r="AX2216"/>
      <c r="AY2216"/>
      <c r="BK2216" s="42">
        <v>2215</v>
      </c>
      <c r="BL2216" s="127">
        <v>4</v>
      </c>
      <c r="BM2216" s="127">
        <v>0.11332468572476186</v>
      </c>
      <c r="BN2216" s="127" t="e">
        <v>#N/A</v>
      </c>
      <c r="BO2216" s="127" t="e">
        <v>#N/A</v>
      </c>
      <c r="BP2216" s="151" t="e">
        <v>#N/A</v>
      </c>
      <c r="BQ2216">
        <v>0.11332468572476186</v>
      </c>
      <c r="BR2216" t="str">
        <v/>
      </c>
    </row>
    <row r="2217" spans="47:70" x14ac:dyDescent="0.2">
      <c r="AU2217"/>
      <c r="AV2217"/>
      <c r="AW2217"/>
      <c r="AX2217"/>
      <c r="AY2217"/>
      <c r="BK2217" s="42">
        <v>2216</v>
      </c>
      <c r="BL2217" s="127">
        <v>4</v>
      </c>
      <c r="BM2217" s="127">
        <v>0.11332468572476186</v>
      </c>
      <c r="BN2217" s="127" t="e">
        <v>#N/A</v>
      </c>
      <c r="BO2217" s="127" t="e">
        <v>#N/A</v>
      </c>
      <c r="BP2217" s="151" t="e">
        <v>#N/A</v>
      </c>
      <c r="BQ2217">
        <v>0.11332468572476186</v>
      </c>
      <c r="BR2217" t="str">
        <v/>
      </c>
    </row>
    <row r="2218" spans="47:70" x14ac:dyDescent="0.2">
      <c r="AU2218"/>
      <c r="AV2218"/>
      <c r="AW2218"/>
      <c r="AX2218"/>
      <c r="AY2218"/>
      <c r="BK2218" s="42">
        <v>2217</v>
      </c>
      <c r="BL2218" s="127">
        <v>4</v>
      </c>
      <c r="BM2218" s="127">
        <v>0.11332468572476186</v>
      </c>
      <c r="BN2218" s="127" t="e">
        <v>#N/A</v>
      </c>
      <c r="BO2218" s="127" t="e">
        <v>#N/A</v>
      </c>
      <c r="BP2218" s="151" t="e">
        <v>#N/A</v>
      </c>
      <c r="BQ2218">
        <v>0.11332468572476186</v>
      </c>
      <c r="BR2218" t="str">
        <v/>
      </c>
    </row>
    <row r="2219" spans="47:70" x14ac:dyDescent="0.2">
      <c r="AU2219"/>
      <c r="AV2219"/>
      <c r="AW2219"/>
      <c r="AX2219"/>
      <c r="AY2219"/>
      <c r="BK2219" s="42">
        <v>2218</v>
      </c>
      <c r="BL2219" s="127">
        <v>4</v>
      </c>
      <c r="BM2219" s="127">
        <v>0.11332468572476186</v>
      </c>
      <c r="BN2219" s="127" t="e">
        <v>#N/A</v>
      </c>
      <c r="BO2219" s="127" t="e">
        <v>#N/A</v>
      </c>
      <c r="BP2219" s="151" t="e">
        <v>#N/A</v>
      </c>
      <c r="BQ2219">
        <v>0.11332468572476186</v>
      </c>
      <c r="BR2219" t="str">
        <v/>
      </c>
    </row>
    <row r="2220" spans="47:70" x14ac:dyDescent="0.2">
      <c r="AU2220"/>
      <c r="AV2220"/>
      <c r="AW2220"/>
      <c r="AX2220"/>
      <c r="AY2220"/>
      <c r="BK2220" s="42">
        <v>2219</v>
      </c>
      <c r="BL2220" s="127">
        <v>4</v>
      </c>
      <c r="BM2220" s="127">
        <v>0.11332468572476186</v>
      </c>
      <c r="BN2220" s="127" t="e">
        <v>#N/A</v>
      </c>
      <c r="BO2220" s="127" t="e">
        <v>#N/A</v>
      </c>
      <c r="BP2220" s="151" t="e">
        <v>#N/A</v>
      </c>
      <c r="BQ2220">
        <v>0.11332468572476186</v>
      </c>
      <c r="BR2220" t="str">
        <v/>
      </c>
    </row>
    <row r="2221" spans="47:70" x14ac:dyDescent="0.2">
      <c r="AU2221"/>
      <c r="AV2221"/>
      <c r="AW2221"/>
      <c r="AX2221"/>
      <c r="AY2221"/>
      <c r="BK2221" s="42">
        <v>2220</v>
      </c>
      <c r="BL2221" s="127">
        <v>4</v>
      </c>
      <c r="BM2221" s="127">
        <v>0.11332468572476186</v>
      </c>
      <c r="BN2221" s="127" t="e">
        <v>#N/A</v>
      </c>
      <c r="BO2221" s="127" t="e">
        <v>#N/A</v>
      </c>
      <c r="BP2221" s="151" t="e">
        <v>#N/A</v>
      </c>
      <c r="BQ2221">
        <v>0.11332468572476186</v>
      </c>
      <c r="BR2221" t="str">
        <v/>
      </c>
    </row>
    <row r="2222" spans="47:70" x14ac:dyDescent="0.2">
      <c r="AU2222"/>
      <c r="AV2222"/>
      <c r="AW2222"/>
      <c r="AX2222"/>
      <c r="AY2222"/>
      <c r="BK2222" s="42">
        <v>2221</v>
      </c>
      <c r="BL2222" s="127">
        <v>4</v>
      </c>
      <c r="BM2222" s="127">
        <v>0.11332468572476186</v>
      </c>
      <c r="BN2222" s="127" t="e">
        <v>#N/A</v>
      </c>
      <c r="BO2222" s="127" t="e">
        <v>#N/A</v>
      </c>
      <c r="BP2222" s="151" t="e">
        <v>#N/A</v>
      </c>
      <c r="BQ2222">
        <v>0.11332468572476186</v>
      </c>
      <c r="BR2222" t="str">
        <v/>
      </c>
    </row>
    <row r="2223" spans="47:70" x14ac:dyDescent="0.2">
      <c r="AU2223"/>
      <c r="AV2223"/>
      <c r="AW2223"/>
      <c r="AX2223"/>
      <c r="AY2223"/>
      <c r="BK2223" s="42">
        <v>2222</v>
      </c>
      <c r="BL2223" s="127">
        <v>4</v>
      </c>
      <c r="BM2223" s="127">
        <v>0.11332468572476186</v>
      </c>
      <c r="BN2223" s="127" t="e">
        <v>#N/A</v>
      </c>
      <c r="BO2223" s="127" t="e">
        <v>#N/A</v>
      </c>
      <c r="BP2223" s="151" t="e">
        <v>#N/A</v>
      </c>
      <c r="BQ2223">
        <v>0.11332468572476186</v>
      </c>
      <c r="BR2223" t="str">
        <v/>
      </c>
    </row>
    <row r="2224" spans="47:70" x14ac:dyDescent="0.2">
      <c r="AU2224"/>
      <c r="AV2224"/>
      <c r="AW2224"/>
      <c r="AX2224"/>
      <c r="AY2224"/>
      <c r="BK2224" s="42">
        <v>2223</v>
      </c>
      <c r="BL2224" s="127">
        <v>4</v>
      </c>
      <c r="BM2224" s="127">
        <v>0.11332468572476186</v>
      </c>
      <c r="BN2224" s="127" t="e">
        <v>#N/A</v>
      </c>
      <c r="BO2224" s="127" t="e">
        <v>#N/A</v>
      </c>
      <c r="BP2224" s="151" t="e">
        <v>#N/A</v>
      </c>
      <c r="BQ2224">
        <v>0.11332468572476186</v>
      </c>
      <c r="BR2224" t="str">
        <v/>
      </c>
    </row>
    <row r="2225" spans="47:70" x14ac:dyDescent="0.2">
      <c r="AU2225"/>
      <c r="AV2225"/>
      <c r="AW2225"/>
      <c r="AX2225"/>
      <c r="AY2225"/>
      <c r="BK2225" s="42">
        <v>2224</v>
      </c>
      <c r="BL2225" s="127">
        <v>4</v>
      </c>
      <c r="BM2225" s="127">
        <v>0.11332468572476186</v>
      </c>
      <c r="BN2225" s="127" t="e">
        <v>#N/A</v>
      </c>
      <c r="BO2225" s="127" t="e">
        <v>#N/A</v>
      </c>
      <c r="BP2225" s="151" t="e">
        <v>#N/A</v>
      </c>
      <c r="BQ2225">
        <v>0.11332468572476186</v>
      </c>
      <c r="BR2225" t="str">
        <v/>
      </c>
    </row>
    <row r="2226" spans="47:70" x14ac:dyDescent="0.2">
      <c r="AU2226"/>
      <c r="AV2226"/>
      <c r="AW2226"/>
      <c r="AX2226"/>
      <c r="AY2226"/>
      <c r="BK2226" s="42">
        <v>2225</v>
      </c>
      <c r="BL2226" s="127">
        <v>4</v>
      </c>
      <c r="BM2226" s="127">
        <v>0.11332468572476186</v>
      </c>
      <c r="BN2226" s="127" t="e">
        <v>#N/A</v>
      </c>
      <c r="BO2226" s="127" t="e">
        <v>#N/A</v>
      </c>
      <c r="BP2226" s="151" t="e">
        <v>#N/A</v>
      </c>
      <c r="BQ2226">
        <v>0.11332468572476186</v>
      </c>
      <c r="BR2226" t="str">
        <v/>
      </c>
    </row>
    <row r="2227" spans="47:70" x14ac:dyDescent="0.2">
      <c r="AU2227"/>
      <c r="AV2227"/>
      <c r="AW2227"/>
      <c r="AX2227"/>
      <c r="AY2227"/>
      <c r="BK2227" s="42">
        <v>2226</v>
      </c>
      <c r="BL2227" s="127">
        <v>4</v>
      </c>
      <c r="BM2227" s="127">
        <v>0.11332468572476186</v>
      </c>
      <c r="BN2227" s="127" t="e">
        <v>#N/A</v>
      </c>
      <c r="BO2227" s="127" t="e">
        <v>#N/A</v>
      </c>
      <c r="BP2227" s="151" t="e">
        <v>#N/A</v>
      </c>
      <c r="BQ2227">
        <v>0.11332468572476186</v>
      </c>
      <c r="BR2227" t="str">
        <v/>
      </c>
    </row>
    <row r="2228" spans="47:70" x14ac:dyDescent="0.2">
      <c r="AU2228"/>
      <c r="AV2228"/>
      <c r="AW2228"/>
      <c r="AX2228"/>
      <c r="AY2228"/>
      <c r="BK2228" s="42">
        <v>2227</v>
      </c>
      <c r="BL2228" s="127">
        <v>4</v>
      </c>
      <c r="BM2228" s="127">
        <v>0.11332468572476186</v>
      </c>
      <c r="BN2228" s="127" t="e">
        <v>#N/A</v>
      </c>
      <c r="BO2228" s="127" t="e">
        <v>#N/A</v>
      </c>
      <c r="BP2228" s="151" t="e">
        <v>#N/A</v>
      </c>
      <c r="BQ2228">
        <v>0.11332468572476186</v>
      </c>
      <c r="BR2228" t="str">
        <v/>
      </c>
    </row>
    <row r="2229" spans="47:70" x14ac:dyDescent="0.2">
      <c r="AU2229"/>
      <c r="AV2229"/>
      <c r="AW2229"/>
      <c r="AX2229"/>
      <c r="AY2229"/>
      <c r="BK2229" s="42">
        <v>2228</v>
      </c>
      <c r="BL2229" s="127">
        <v>4</v>
      </c>
      <c r="BM2229" s="127">
        <v>0.11332468572476186</v>
      </c>
      <c r="BN2229" s="127" t="e">
        <v>#N/A</v>
      </c>
      <c r="BO2229" s="127" t="e">
        <v>#N/A</v>
      </c>
      <c r="BP2229" s="151" t="e">
        <v>#N/A</v>
      </c>
      <c r="BQ2229">
        <v>0.11332468572476186</v>
      </c>
      <c r="BR2229" t="str">
        <v/>
      </c>
    </row>
    <row r="2230" spans="47:70" x14ac:dyDescent="0.2">
      <c r="AU2230"/>
      <c r="AV2230"/>
      <c r="AW2230"/>
      <c r="AX2230"/>
      <c r="AY2230"/>
      <c r="BK2230" s="42">
        <v>2229</v>
      </c>
      <c r="BL2230" s="127">
        <v>4</v>
      </c>
      <c r="BM2230" s="127">
        <v>0.11332468572476186</v>
      </c>
      <c r="BN2230" s="127" t="e">
        <v>#N/A</v>
      </c>
      <c r="BO2230" s="127" t="e">
        <v>#N/A</v>
      </c>
      <c r="BP2230" s="151" t="e">
        <v>#N/A</v>
      </c>
      <c r="BQ2230">
        <v>0.11332468572476186</v>
      </c>
      <c r="BR2230" t="str">
        <v/>
      </c>
    </row>
    <row r="2231" spans="47:70" x14ac:dyDescent="0.2">
      <c r="AU2231"/>
      <c r="AV2231"/>
      <c r="AW2231"/>
      <c r="AX2231"/>
      <c r="AY2231"/>
      <c r="BK2231" s="42">
        <v>2230</v>
      </c>
      <c r="BL2231" s="127">
        <v>4</v>
      </c>
      <c r="BM2231" s="127">
        <v>0.11332468572476186</v>
      </c>
      <c r="BN2231" s="127" t="e">
        <v>#N/A</v>
      </c>
      <c r="BO2231" s="127" t="e">
        <v>#N/A</v>
      </c>
      <c r="BP2231" s="151" t="e">
        <v>#N/A</v>
      </c>
      <c r="BQ2231">
        <v>0.11332468572476186</v>
      </c>
      <c r="BR2231" t="str">
        <v/>
      </c>
    </row>
    <row r="2232" spans="47:70" x14ac:dyDescent="0.2">
      <c r="AU2232"/>
      <c r="AV2232"/>
      <c r="AW2232"/>
      <c r="AX2232"/>
      <c r="AY2232"/>
      <c r="BK2232" s="42">
        <v>2231</v>
      </c>
      <c r="BL2232" s="127">
        <v>4</v>
      </c>
      <c r="BM2232" s="127">
        <v>0.11332468572476186</v>
      </c>
      <c r="BN2232" s="127" t="e">
        <v>#N/A</v>
      </c>
      <c r="BO2232" s="127" t="e">
        <v>#N/A</v>
      </c>
      <c r="BP2232" s="151" t="e">
        <v>#N/A</v>
      </c>
      <c r="BQ2232">
        <v>0.11332468572476186</v>
      </c>
      <c r="BR2232" t="str">
        <v/>
      </c>
    </row>
    <row r="2233" spans="47:70" x14ac:dyDescent="0.2">
      <c r="AU2233"/>
      <c r="AV2233"/>
      <c r="AW2233"/>
      <c r="AX2233"/>
      <c r="AY2233"/>
      <c r="BK2233" s="42">
        <v>2232</v>
      </c>
      <c r="BL2233" s="127">
        <v>4</v>
      </c>
      <c r="BM2233" s="127">
        <v>0.11332468572476186</v>
      </c>
      <c r="BN2233" s="127" t="e">
        <v>#N/A</v>
      </c>
      <c r="BO2233" s="127" t="e">
        <v>#N/A</v>
      </c>
      <c r="BP2233" s="151" t="e">
        <v>#N/A</v>
      </c>
      <c r="BQ2233">
        <v>0.11332468572476186</v>
      </c>
      <c r="BR2233" t="str">
        <v/>
      </c>
    </row>
    <row r="2234" spans="47:70" x14ac:dyDescent="0.2">
      <c r="AU2234"/>
      <c r="AV2234"/>
      <c r="AW2234"/>
      <c r="AX2234"/>
      <c r="AY2234"/>
      <c r="BK2234" s="42">
        <v>2233</v>
      </c>
      <c r="BL2234" s="127">
        <v>4</v>
      </c>
      <c r="BM2234" s="127">
        <v>0.11332468572476186</v>
      </c>
      <c r="BN2234" s="127" t="e">
        <v>#N/A</v>
      </c>
      <c r="BO2234" s="127" t="e">
        <v>#N/A</v>
      </c>
      <c r="BP2234" s="151" t="e">
        <v>#N/A</v>
      </c>
      <c r="BQ2234">
        <v>0.11332468572476186</v>
      </c>
      <c r="BR2234" t="str">
        <v/>
      </c>
    </row>
    <row r="2235" spans="47:70" x14ac:dyDescent="0.2">
      <c r="AU2235"/>
      <c r="AV2235"/>
      <c r="AW2235"/>
      <c r="AX2235"/>
      <c r="AY2235"/>
      <c r="BK2235" s="42">
        <v>2234</v>
      </c>
      <c r="BL2235" s="127">
        <v>4</v>
      </c>
      <c r="BM2235" s="127">
        <v>0.11332468572476186</v>
      </c>
      <c r="BN2235" s="127" t="e">
        <v>#N/A</v>
      </c>
      <c r="BO2235" s="127" t="e">
        <v>#N/A</v>
      </c>
      <c r="BP2235" s="151" t="e">
        <v>#N/A</v>
      </c>
      <c r="BQ2235">
        <v>0.11332468572476186</v>
      </c>
      <c r="BR2235" t="str">
        <v/>
      </c>
    </row>
    <row r="2236" spans="47:70" x14ac:dyDescent="0.2">
      <c r="AU2236"/>
      <c r="AV2236"/>
      <c r="AW2236"/>
      <c r="AX2236"/>
      <c r="AY2236"/>
      <c r="BK2236" s="42">
        <v>2235</v>
      </c>
      <c r="BL2236" s="127">
        <v>4</v>
      </c>
      <c r="BM2236" s="127">
        <v>0.11332468572476186</v>
      </c>
      <c r="BN2236" s="127" t="e">
        <v>#N/A</v>
      </c>
      <c r="BO2236" s="127" t="e">
        <v>#N/A</v>
      </c>
      <c r="BP2236" s="151" t="e">
        <v>#N/A</v>
      </c>
      <c r="BQ2236">
        <v>0.11332468572476186</v>
      </c>
      <c r="BR2236" t="str">
        <v/>
      </c>
    </row>
    <row r="2237" spans="47:70" x14ac:dyDescent="0.2">
      <c r="AU2237"/>
      <c r="AV2237"/>
      <c r="AW2237"/>
      <c r="AX2237"/>
      <c r="AY2237"/>
      <c r="BK2237" s="42">
        <v>2236</v>
      </c>
      <c r="BL2237" s="127">
        <v>4</v>
      </c>
      <c r="BM2237" s="127">
        <v>0.11332468572476186</v>
      </c>
      <c r="BN2237" s="127" t="e">
        <v>#N/A</v>
      </c>
      <c r="BO2237" s="127" t="e">
        <v>#N/A</v>
      </c>
      <c r="BP2237" s="151" t="e">
        <v>#N/A</v>
      </c>
      <c r="BQ2237">
        <v>0.11332468572476186</v>
      </c>
      <c r="BR2237" t="str">
        <v/>
      </c>
    </row>
    <row r="2238" spans="47:70" x14ac:dyDescent="0.2">
      <c r="AU2238"/>
      <c r="AV2238"/>
      <c r="AW2238"/>
      <c r="AX2238"/>
      <c r="AY2238"/>
      <c r="BK2238" s="42">
        <v>2237</v>
      </c>
      <c r="BL2238" s="127">
        <v>4</v>
      </c>
      <c r="BM2238" s="127">
        <v>0.11332468572476186</v>
      </c>
      <c r="BN2238" s="127" t="e">
        <v>#N/A</v>
      </c>
      <c r="BO2238" s="127" t="e">
        <v>#N/A</v>
      </c>
      <c r="BP2238" s="151" t="e">
        <v>#N/A</v>
      </c>
      <c r="BQ2238">
        <v>0.11332468572476186</v>
      </c>
      <c r="BR2238" t="str">
        <v/>
      </c>
    </row>
    <row r="2239" spans="47:70" x14ac:dyDescent="0.2">
      <c r="AU2239"/>
      <c r="AV2239"/>
      <c r="AW2239"/>
      <c r="AX2239"/>
      <c r="AY2239"/>
      <c r="BK2239" s="42">
        <v>2238</v>
      </c>
      <c r="BL2239" s="127">
        <v>4</v>
      </c>
      <c r="BM2239" s="127">
        <v>0.11332468572476186</v>
      </c>
      <c r="BN2239" s="127" t="e">
        <v>#N/A</v>
      </c>
      <c r="BO2239" s="127" t="e">
        <v>#N/A</v>
      </c>
      <c r="BP2239" s="151" t="e">
        <v>#N/A</v>
      </c>
      <c r="BQ2239">
        <v>0.11332468572476186</v>
      </c>
      <c r="BR2239" t="str">
        <v/>
      </c>
    </row>
    <row r="2240" spans="47:70" x14ac:dyDescent="0.2">
      <c r="AU2240"/>
      <c r="AV2240"/>
      <c r="AW2240"/>
      <c r="AX2240"/>
      <c r="AY2240"/>
      <c r="BK2240" s="42">
        <v>2239</v>
      </c>
      <c r="BL2240" s="127">
        <v>4</v>
      </c>
      <c r="BM2240" s="127">
        <v>0.11332468572476186</v>
      </c>
      <c r="BN2240" s="127" t="e">
        <v>#N/A</v>
      </c>
      <c r="BO2240" s="127" t="e">
        <v>#N/A</v>
      </c>
      <c r="BP2240" s="151" t="e">
        <v>#N/A</v>
      </c>
      <c r="BQ2240">
        <v>0.11332468572476186</v>
      </c>
      <c r="BR2240" t="str">
        <v/>
      </c>
    </row>
    <row r="2241" spans="47:70" x14ac:dyDescent="0.2">
      <c r="AU2241"/>
      <c r="AV2241"/>
      <c r="AW2241"/>
      <c r="AX2241"/>
      <c r="AY2241"/>
      <c r="BK2241" s="42">
        <v>2240</v>
      </c>
      <c r="BL2241" s="127">
        <v>4</v>
      </c>
      <c r="BM2241" s="127">
        <v>0.11332468572476186</v>
      </c>
      <c r="BN2241" s="127" t="e">
        <v>#N/A</v>
      </c>
      <c r="BO2241" s="127" t="e">
        <v>#N/A</v>
      </c>
      <c r="BP2241" s="151" t="e">
        <v>#N/A</v>
      </c>
      <c r="BQ2241">
        <v>0.11332468572476186</v>
      </c>
      <c r="BR2241" t="str">
        <v/>
      </c>
    </row>
    <row r="2242" spans="47:70" x14ac:dyDescent="0.2">
      <c r="AU2242"/>
      <c r="AV2242"/>
      <c r="AW2242"/>
      <c r="AX2242"/>
      <c r="AY2242"/>
      <c r="BK2242" s="42">
        <v>2241</v>
      </c>
      <c r="BL2242" s="127">
        <v>4</v>
      </c>
      <c r="BM2242" s="127">
        <v>0.11332468572476186</v>
      </c>
      <c r="BN2242" s="127" t="e">
        <v>#N/A</v>
      </c>
      <c r="BO2242" s="127" t="e">
        <v>#N/A</v>
      </c>
      <c r="BP2242" s="151" t="e">
        <v>#N/A</v>
      </c>
      <c r="BQ2242">
        <v>0.11332468572476186</v>
      </c>
      <c r="BR2242" t="str">
        <v/>
      </c>
    </row>
    <row r="2243" spans="47:70" x14ac:dyDescent="0.2">
      <c r="AU2243"/>
      <c r="AV2243"/>
      <c r="AW2243"/>
      <c r="AX2243"/>
      <c r="AY2243"/>
      <c r="BK2243" s="42">
        <v>2242</v>
      </c>
      <c r="BL2243" s="127">
        <v>4</v>
      </c>
      <c r="BM2243" s="127">
        <v>0.11332468572476186</v>
      </c>
      <c r="BN2243" s="127" t="e">
        <v>#N/A</v>
      </c>
      <c r="BO2243" s="127" t="e">
        <v>#N/A</v>
      </c>
      <c r="BP2243" s="151" t="e">
        <v>#N/A</v>
      </c>
      <c r="BQ2243">
        <v>0.11332468572476186</v>
      </c>
      <c r="BR2243" t="str">
        <v/>
      </c>
    </row>
    <row r="2244" spans="47:70" x14ac:dyDescent="0.2">
      <c r="AU2244"/>
      <c r="AV2244"/>
      <c r="AW2244"/>
      <c r="AX2244"/>
      <c r="AY2244"/>
      <c r="BK2244" s="42">
        <v>2243</v>
      </c>
      <c r="BL2244" s="127">
        <v>4</v>
      </c>
      <c r="BM2244" s="127">
        <v>0.11332468572476186</v>
      </c>
      <c r="BN2244" s="127" t="e">
        <v>#N/A</v>
      </c>
      <c r="BO2244" s="127" t="e">
        <v>#N/A</v>
      </c>
      <c r="BP2244" s="151" t="e">
        <v>#N/A</v>
      </c>
      <c r="BQ2244">
        <v>0.11332468572476186</v>
      </c>
      <c r="BR2244" t="str">
        <v/>
      </c>
    </row>
    <row r="2245" spans="47:70" x14ac:dyDescent="0.2">
      <c r="AU2245"/>
      <c r="AV2245"/>
      <c r="AW2245"/>
      <c r="AX2245"/>
      <c r="AY2245"/>
      <c r="BK2245" s="42">
        <v>2244</v>
      </c>
      <c r="BL2245" s="127">
        <v>4</v>
      </c>
      <c r="BM2245" s="127">
        <v>0.11332468572476186</v>
      </c>
      <c r="BN2245" s="127" t="e">
        <v>#N/A</v>
      </c>
      <c r="BO2245" s="127" t="e">
        <v>#N/A</v>
      </c>
      <c r="BP2245" s="151" t="e">
        <v>#N/A</v>
      </c>
      <c r="BQ2245">
        <v>0.11332468572476186</v>
      </c>
      <c r="BR2245" t="str">
        <v/>
      </c>
    </row>
    <row r="2246" spans="47:70" x14ac:dyDescent="0.2">
      <c r="AU2246"/>
      <c r="AV2246"/>
      <c r="AW2246"/>
      <c r="AX2246"/>
      <c r="AY2246"/>
      <c r="BK2246" s="42">
        <v>2245</v>
      </c>
      <c r="BL2246" s="127">
        <v>4</v>
      </c>
      <c r="BM2246" s="127">
        <v>0.11332468572476186</v>
      </c>
      <c r="BN2246" s="127" t="e">
        <v>#N/A</v>
      </c>
      <c r="BO2246" s="127" t="e">
        <v>#N/A</v>
      </c>
      <c r="BP2246" s="151" t="e">
        <v>#N/A</v>
      </c>
      <c r="BQ2246">
        <v>0.11332468572476186</v>
      </c>
      <c r="BR2246" t="str">
        <v/>
      </c>
    </row>
    <row r="2247" spans="47:70" x14ac:dyDescent="0.2">
      <c r="AU2247"/>
      <c r="AV2247"/>
      <c r="AW2247"/>
      <c r="AX2247"/>
      <c r="AY2247"/>
      <c r="BK2247" s="42">
        <v>2246</v>
      </c>
      <c r="BL2247" s="127">
        <v>4</v>
      </c>
      <c r="BM2247" s="127">
        <v>0.11332468572476186</v>
      </c>
      <c r="BN2247" s="127" t="e">
        <v>#N/A</v>
      </c>
      <c r="BO2247" s="127" t="e">
        <v>#N/A</v>
      </c>
      <c r="BP2247" s="151" t="e">
        <v>#N/A</v>
      </c>
      <c r="BQ2247">
        <v>0.11332468572476186</v>
      </c>
      <c r="BR2247" t="str">
        <v/>
      </c>
    </row>
    <row r="2248" spans="47:70" x14ac:dyDescent="0.2">
      <c r="AU2248"/>
      <c r="AV2248"/>
      <c r="AW2248"/>
      <c r="AX2248"/>
      <c r="AY2248"/>
      <c r="BK2248" s="42">
        <v>2247</v>
      </c>
      <c r="BL2248" s="127">
        <v>4</v>
      </c>
      <c r="BM2248" s="127">
        <v>0.11332468572476186</v>
      </c>
      <c r="BN2248" s="127" t="e">
        <v>#N/A</v>
      </c>
      <c r="BO2248" s="127" t="e">
        <v>#N/A</v>
      </c>
      <c r="BP2248" s="151" t="e">
        <v>#N/A</v>
      </c>
      <c r="BQ2248">
        <v>0.11332468572476186</v>
      </c>
      <c r="BR2248" t="str">
        <v/>
      </c>
    </row>
    <row r="2249" spans="47:70" x14ac:dyDescent="0.2">
      <c r="AU2249"/>
      <c r="AV2249"/>
      <c r="AW2249"/>
      <c r="AX2249"/>
      <c r="AY2249"/>
      <c r="BK2249" s="42">
        <v>2248</v>
      </c>
      <c r="BL2249" s="127">
        <v>4</v>
      </c>
      <c r="BM2249" s="127">
        <v>0.11332468572476186</v>
      </c>
      <c r="BN2249" s="127" t="e">
        <v>#N/A</v>
      </c>
      <c r="BO2249" s="127" t="e">
        <v>#N/A</v>
      </c>
      <c r="BP2249" s="151" t="e">
        <v>#N/A</v>
      </c>
      <c r="BQ2249">
        <v>0.11332468572476186</v>
      </c>
      <c r="BR2249" t="str">
        <v/>
      </c>
    </row>
    <row r="2250" spans="47:70" x14ac:dyDescent="0.2">
      <c r="AU2250"/>
      <c r="AV2250"/>
      <c r="AW2250"/>
      <c r="AX2250"/>
      <c r="AY2250"/>
      <c r="BK2250" s="42">
        <v>2249</v>
      </c>
      <c r="BL2250" s="127">
        <v>4</v>
      </c>
      <c r="BM2250" s="127">
        <v>0.11332468572476186</v>
      </c>
      <c r="BN2250" s="127" t="e">
        <v>#N/A</v>
      </c>
      <c r="BO2250" s="127" t="e">
        <v>#N/A</v>
      </c>
      <c r="BP2250" s="151" t="e">
        <v>#N/A</v>
      </c>
      <c r="BQ2250">
        <v>0.11332468572476186</v>
      </c>
      <c r="BR2250" t="str">
        <v/>
      </c>
    </row>
    <row r="2251" spans="47:70" x14ac:dyDescent="0.2">
      <c r="AU2251"/>
      <c r="AV2251"/>
      <c r="AW2251"/>
      <c r="AX2251"/>
      <c r="AY2251"/>
      <c r="BK2251" s="42">
        <v>2250</v>
      </c>
      <c r="BL2251" s="127">
        <v>4</v>
      </c>
      <c r="BM2251" s="127">
        <v>0.11332468572476186</v>
      </c>
      <c r="BN2251" s="127" t="e">
        <v>#N/A</v>
      </c>
      <c r="BO2251" s="127" t="e">
        <v>#N/A</v>
      </c>
      <c r="BP2251" s="151" t="e">
        <v>#N/A</v>
      </c>
      <c r="BQ2251">
        <v>0.11332468572476186</v>
      </c>
      <c r="BR2251" t="str">
        <v/>
      </c>
    </row>
    <row r="2252" spans="47:70" x14ac:dyDescent="0.2">
      <c r="AU2252"/>
      <c r="AV2252"/>
      <c r="AW2252"/>
      <c r="AX2252"/>
      <c r="AY2252"/>
      <c r="BK2252" s="42">
        <v>2251</v>
      </c>
      <c r="BL2252" s="127">
        <v>4</v>
      </c>
      <c r="BM2252" s="127">
        <v>0.11332468572476186</v>
      </c>
      <c r="BN2252" s="127" t="e">
        <v>#N/A</v>
      </c>
      <c r="BO2252" s="127" t="e">
        <v>#N/A</v>
      </c>
      <c r="BP2252" s="151" t="e">
        <v>#N/A</v>
      </c>
      <c r="BQ2252">
        <v>0.11332468572476186</v>
      </c>
      <c r="BR2252" t="str">
        <v/>
      </c>
    </row>
    <row r="2253" spans="47:70" x14ac:dyDescent="0.2">
      <c r="AU2253"/>
      <c r="AV2253"/>
      <c r="AW2253"/>
      <c r="AX2253"/>
      <c r="AY2253"/>
      <c r="BK2253" s="42">
        <v>2252</v>
      </c>
      <c r="BL2253" s="127">
        <v>4</v>
      </c>
      <c r="BM2253" s="127">
        <v>0.11332468572476186</v>
      </c>
      <c r="BN2253" s="127" t="e">
        <v>#N/A</v>
      </c>
      <c r="BO2253" s="127" t="e">
        <v>#N/A</v>
      </c>
      <c r="BP2253" s="151" t="e">
        <v>#N/A</v>
      </c>
      <c r="BQ2253">
        <v>0.11332468572476186</v>
      </c>
      <c r="BR2253" t="str">
        <v/>
      </c>
    </row>
    <row r="2254" spans="47:70" x14ac:dyDescent="0.2">
      <c r="AU2254"/>
      <c r="AV2254"/>
      <c r="AW2254"/>
      <c r="AX2254"/>
      <c r="AY2254"/>
      <c r="BK2254" s="42">
        <v>2253</v>
      </c>
      <c r="BL2254" s="127">
        <v>4</v>
      </c>
      <c r="BM2254" s="127">
        <v>0.11332468572476186</v>
      </c>
      <c r="BN2254" s="127" t="e">
        <v>#N/A</v>
      </c>
      <c r="BO2254" s="127" t="e">
        <v>#N/A</v>
      </c>
      <c r="BP2254" s="151" t="e">
        <v>#N/A</v>
      </c>
      <c r="BQ2254">
        <v>0.11332468572476186</v>
      </c>
      <c r="BR2254" t="str">
        <v/>
      </c>
    </row>
    <row r="2255" spans="47:70" x14ac:dyDescent="0.2">
      <c r="AU2255"/>
      <c r="AV2255"/>
      <c r="AW2255"/>
      <c r="AX2255"/>
      <c r="AY2255"/>
      <c r="BK2255" s="42">
        <v>2254</v>
      </c>
      <c r="BL2255" s="127">
        <v>4</v>
      </c>
      <c r="BM2255" s="127">
        <v>0.11332468572476186</v>
      </c>
      <c r="BN2255" s="127" t="e">
        <v>#N/A</v>
      </c>
      <c r="BO2255" s="127" t="e">
        <v>#N/A</v>
      </c>
      <c r="BP2255" s="151" t="e">
        <v>#N/A</v>
      </c>
      <c r="BQ2255">
        <v>0.11332468572476186</v>
      </c>
      <c r="BR2255" t="str">
        <v/>
      </c>
    </row>
    <row r="2256" spans="47:70" x14ac:dyDescent="0.2">
      <c r="AU2256"/>
      <c r="AV2256"/>
      <c r="AW2256"/>
      <c r="AX2256"/>
      <c r="AY2256"/>
      <c r="BK2256" s="42">
        <v>2255</v>
      </c>
      <c r="BL2256" s="127">
        <v>4</v>
      </c>
      <c r="BM2256" s="127">
        <v>0.11332468572476186</v>
      </c>
      <c r="BN2256" s="127" t="e">
        <v>#N/A</v>
      </c>
      <c r="BO2256" s="127" t="e">
        <v>#N/A</v>
      </c>
      <c r="BP2256" s="151" t="e">
        <v>#N/A</v>
      </c>
      <c r="BQ2256">
        <v>0.11332468572476186</v>
      </c>
      <c r="BR2256" t="str">
        <v/>
      </c>
    </row>
    <row r="2257" spans="47:70" x14ac:dyDescent="0.2">
      <c r="AU2257"/>
      <c r="AV2257"/>
      <c r="AW2257"/>
      <c r="AX2257"/>
      <c r="AY2257"/>
      <c r="BK2257" s="42">
        <v>2256</v>
      </c>
      <c r="BL2257" s="127">
        <v>4</v>
      </c>
      <c r="BM2257" s="127">
        <v>0.11332468572476186</v>
      </c>
      <c r="BN2257" s="127" t="e">
        <v>#N/A</v>
      </c>
      <c r="BO2257" s="127" t="e">
        <v>#N/A</v>
      </c>
      <c r="BP2257" s="151" t="e">
        <v>#N/A</v>
      </c>
      <c r="BQ2257">
        <v>0.11332468572476186</v>
      </c>
      <c r="BR2257" t="str">
        <v/>
      </c>
    </row>
    <row r="2258" spans="47:70" x14ac:dyDescent="0.2">
      <c r="AU2258"/>
      <c r="AV2258"/>
      <c r="AW2258"/>
      <c r="AX2258"/>
      <c r="AY2258"/>
      <c r="BK2258" s="42">
        <v>2257</v>
      </c>
      <c r="BL2258" s="127">
        <v>4</v>
      </c>
      <c r="BM2258" s="127">
        <v>0.11332468572476186</v>
      </c>
      <c r="BN2258" s="127" t="e">
        <v>#N/A</v>
      </c>
      <c r="BO2258" s="127" t="e">
        <v>#N/A</v>
      </c>
      <c r="BP2258" s="151" t="e">
        <v>#N/A</v>
      </c>
      <c r="BQ2258">
        <v>0.11332468572476186</v>
      </c>
      <c r="BR2258" t="str">
        <v/>
      </c>
    </row>
    <row r="2259" spans="47:70" x14ac:dyDescent="0.2">
      <c r="AU2259"/>
      <c r="AV2259"/>
      <c r="AW2259"/>
      <c r="AX2259"/>
      <c r="AY2259"/>
      <c r="BK2259" s="42">
        <v>2258</v>
      </c>
      <c r="BL2259" s="127">
        <v>4</v>
      </c>
      <c r="BM2259" s="127">
        <v>0.11332468572476186</v>
      </c>
      <c r="BN2259" s="127" t="e">
        <v>#N/A</v>
      </c>
      <c r="BO2259" s="127" t="e">
        <v>#N/A</v>
      </c>
      <c r="BP2259" s="151" t="e">
        <v>#N/A</v>
      </c>
      <c r="BQ2259">
        <v>0.11332468572476186</v>
      </c>
      <c r="BR2259" t="str">
        <v/>
      </c>
    </row>
    <row r="2260" spans="47:70" x14ac:dyDescent="0.2">
      <c r="AU2260"/>
      <c r="AV2260"/>
      <c r="AW2260"/>
      <c r="AX2260"/>
      <c r="AY2260"/>
      <c r="BK2260" s="42">
        <v>2259</v>
      </c>
      <c r="BL2260" s="127">
        <v>4</v>
      </c>
      <c r="BM2260" s="127">
        <v>0.11332468572476186</v>
      </c>
      <c r="BN2260" s="127" t="e">
        <v>#N/A</v>
      </c>
      <c r="BO2260" s="127" t="e">
        <v>#N/A</v>
      </c>
      <c r="BP2260" s="151" t="e">
        <v>#N/A</v>
      </c>
      <c r="BQ2260">
        <v>0.11332468572476186</v>
      </c>
      <c r="BR2260" t="str">
        <v/>
      </c>
    </row>
    <row r="2261" spans="47:70" x14ac:dyDescent="0.2">
      <c r="AU2261"/>
      <c r="AV2261"/>
      <c r="AW2261"/>
      <c r="AX2261"/>
      <c r="AY2261"/>
      <c r="BK2261" s="42">
        <v>2260</v>
      </c>
      <c r="BL2261" s="127">
        <v>4</v>
      </c>
      <c r="BM2261" s="127">
        <v>0.11332468572476186</v>
      </c>
      <c r="BN2261" s="127" t="e">
        <v>#N/A</v>
      </c>
      <c r="BO2261" s="127" t="e">
        <v>#N/A</v>
      </c>
      <c r="BP2261" s="151" t="e">
        <v>#N/A</v>
      </c>
      <c r="BQ2261">
        <v>0.11332468572476186</v>
      </c>
      <c r="BR2261" t="str">
        <v/>
      </c>
    </row>
    <row r="2262" spans="47:70" x14ac:dyDescent="0.2">
      <c r="AU2262"/>
      <c r="AV2262"/>
      <c r="AW2262"/>
      <c r="AX2262"/>
      <c r="AY2262"/>
      <c r="BK2262" s="42">
        <v>2261</v>
      </c>
      <c r="BL2262" s="127">
        <v>4</v>
      </c>
      <c r="BM2262" s="127">
        <v>0.11332468572476186</v>
      </c>
      <c r="BN2262" s="127" t="e">
        <v>#N/A</v>
      </c>
      <c r="BO2262" s="127" t="e">
        <v>#N/A</v>
      </c>
      <c r="BP2262" s="151" t="e">
        <v>#N/A</v>
      </c>
      <c r="BQ2262">
        <v>0.11332468572476186</v>
      </c>
      <c r="BR2262" t="str">
        <v/>
      </c>
    </row>
    <row r="2263" spans="47:70" x14ac:dyDescent="0.2">
      <c r="AU2263"/>
      <c r="AV2263"/>
      <c r="AW2263"/>
      <c r="AX2263"/>
      <c r="AY2263"/>
      <c r="BK2263" s="42">
        <v>2262</v>
      </c>
      <c r="BL2263" s="127">
        <v>4</v>
      </c>
      <c r="BM2263" s="127">
        <v>0.11332468572476186</v>
      </c>
      <c r="BN2263" s="127" t="e">
        <v>#N/A</v>
      </c>
      <c r="BO2263" s="127" t="e">
        <v>#N/A</v>
      </c>
      <c r="BP2263" s="151" t="e">
        <v>#N/A</v>
      </c>
      <c r="BQ2263">
        <v>0.11332468572476186</v>
      </c>
      <c r="BR2263" t="str">
        <v/>
      </c>
    </row>
    <row r="2264" spans="47:70" x14ac:dyDescent="0.2">
      <c r="AU2264"/>
      <c r="AV2264"/>
      <c r="AW2264"/>
      <c r="AX2264"/>
      <c r="AY2264"/>
      <c r="BK2264" s="42">
        <v>2263</v>
      </c>
      <c r="BL2264" s="127">
        <v>4</v>
      </c>
      <c r="BM2264" s="127">
        <v>0.11332468572476186</v>
      </c>
      <c r="BN2264" s="127" t="e">
        <v>#N/A</v>
      </c>
      <c r="BO2264" s="127" t="e">
        <v>#N/A</v>
      </c>
      <c r="BP2264" s="151" t="e">
        <v>#N/A</v>
      </c>
      <c r="BQ2264">
        <v>0.11332468572476186</v>
      </c>
      <c r="BR2264" t="str">
        <v/>
      </c>
    </row>
    <row r="2265" spans="47:70" x14ac:dyDescent="0.2">
      <c r="AU2265"/>
      <c r="AV2265"/>
      <c r="AW2265"/>
      <c r="AX2265"/>
      <c r="AY2265"/>
      <c r="BK2265" s="42">
        <v>2264</v>
      </c>
      <c r="BL2265" s="127">
        <v>4</v>
      </c>
      <c r="BM2265" s="127">
        <v>0.11332468572476186</v>
      </c>
      <c r="BN2265" s="127" t="e">
        <v>#N/A</v>
      </c>
      <c r="BO2265" s="127" t="e">
        <v>#N/A</v>
      </c>
      <c r="BP2265" s="151" t="e">
        <v>#N/A</v>
      </c>
      <c r="BQ2265">
        <v>0.11332468572476186</v>
      </c>
      <c r="BR2265" t="str">
        <v/>
      </c>
    </row>
    <row r="2266" spans="47:70" x14ac:dyDescent="0.2">
      <c r="AU2266"/>
      <c r="AV2266"/>
      <c r="AW2266"/>
      <c r="AX2266"/>
      <c r="AY2266"/>
      <c r="BK2266" s="42">
        <v>2265</v>
      </c>
      <c r="BL2266" s="127">
        <v>4</v>
      </c>
      <c r="BM2266" s="127">
        <v>0.11332468572476186</v>
      </c>
      <c r="BN2266" s="127" t="e">
        <v>#N/A</v>
      </c>
      <c r="BO2266" s="127" t="e">
        <v>#N/A</v>
      </c>
      <c r="BP2266" s="151" t="e">
        <v>#N/A</v>
      </c>
      <c r="BQ2266">
        <v>0.11332468572476186</v>
      </c>
      <c r="BR2266" t="str">
        <v/>
      </c>
    </row>
    <row r="2267" spans="47:70" x14ac:dyDescent="0.2">
      <c r="AU2267"/>
      <c r="AV2267"/>
      <c r="AW2267"/>
      <c r="AX2267"/>
      <c r="AY2267"/>
      <c r="BK2267" s="42">
        <v>2266</v>
      </c>
      <c r="BL2267" s="127">
        <v>4</v>
      </c>
      <c r="BM2267" s="127">
        <v>0.11332468572476186</v>
      </c>
      <c r="BN2267" s="127" t="e">
        <v>#N/A</v>
      </c>
      <c r="BO2267" s="127" t="e">
        <v>#N/A</v>
      </c>
      <c r="BP2267" s="151" t="e">
        <v>#N/A</v>
      </c>
      <c r="BQ2267">
        <v>0.11332468572476186</v>
      </c>
      <c r="BR2267" t="str">
        <v/>
      </c>
    </row>
    <row r="2268" spans="47:70" x14ac:dyDescent="0.2">
      <c r="AU2268"/>
      <c r="AV2268"/>
      <c r="AW2268"/>
      <c r="AX2268"/>
      <c r="AY2268"/>
      <c r="BK2268" s="42">
        <v>2267</v>
      </c>
      <c r="BL2268" s="127">
        <v>4</v>
      </c>
      <c r="BM2268" s="127">
        <v>0.11332468572476186</v>
      </c>
      <c r="BN2268" s="127" t="e">
        <v>#N/A</v>
      </c>
      <c r="BO2268" s="127" t="e">
        <v>#N/A</v>
      </c>
      <c r="BP2268" s="151" t="e">
        <v>#N/A</v>
      </c>
      <c r="BQ2268">
        <v>0.11332468572476186</v>
      </c>
      <c r="BR2268" t="str">
        <v/>
      </c>
    </row>
    <row r="2269" spans="47:70" x14ac:dyDescent="0.2">
      <c r="AU2269"/>
      <c r="AV2269"/>
      <c r="AW2269"/>
      <c r="AX2269"/>
      <c r="AY2269"/>
      <c r="BK2269" s="42">
        <v>2268</v>
      </c>
      <c r="BL2269" s="127">
        <v>4</v>
      </c>
      <c r="BM2269" s="127">
        <v>0.11332468572476186</v>
      </c>
      <c r="BN2269" s="127" t="e">
        <v>#N/A</v>
      </c>
      <c r="BO2269" s="127" t="e">
        <v>#N/A</v>
      </c>
      <c r="BP2269" s="151" t="e">
        <v>#N/A</v>
      </c>
      <c r="BQ2269">
        <v>0.11332468572476186</v>
      </c>
      <c r="BR2269" t="str">
        <v/>
      </c>
    </row>
    <row r="2270" spans="47:70" x14ac:dyDescent="0.2">
      <c r="AU2270"/>
      <c r="AV2270"/>
      <c r="AW2270"/>
      <c r="AX2270"/>
      <c r="AY2270"/>
      <c r="BK2270" s="42">
        <v>2269</v>
      </c>
      <c r="BL2270" s="127">
        <v>4</v>
      </c>
      <c r="BM2270" s="127">
        <v>0.11332468572476186</v>
      </c>
      <c r="BN2270" s="127" t="e">
        <v>#N/A</v>
      </c>
      <c r="BO2270" s="127" t="e">
        <v>#N/A</v>
      </c>
      <c r="BP2270" s="151" t="e">
        <v>#N/A</v>
      </c>
      <c r="BQ2270">
        <v>0.11332468572476186</v>
      </c>
      <c r="BR2270" t="str">
        <v/>
      </c>
    </row>
    <row r="2271" spans="47:70" x14ac:dyDescent="0.2">
      <c r="AU2271"/>
      <c r="AV2271"/>
      <c r="AW2271"/>
      <c r="AX2271"/>
      <c r="AY2271"/>
      <c r="BK2271" s="42">
        <v>2270</v>
      </c>
      <c r="BL2271" s="127">
        <v>4</v>
      </c>
      <c r="BM2271" s="127">
        <v>0.11332468572476186</v>
      </c>
      <c r="BN2271" s="127" t="e">
        <v>#N/A</v>
      </c>
      <c r="BO2271" s="127" t="e">
        <v>#N/A</v>
      </c>
      <c r="BP2271" s="151" t="e">
        <v>#N/A</v>
      </c>
      <c r="BQ2271">
        <v>0.11332468572476186</v>
      </c>
      <c r="BR2271" t="str">
        <v/>
      </c>
    </row>
    <row r="2272" spans="47:70" x14ac:dyDescent="0.2">
      <c r="AU2272"/>
      <c r="AV2272"/>
      <c r="AW2272"/>
      <c r="AX2272"/>
      <c r="AY2272"/>
      <c r="BK2272" s="42">
        <v>2271</v>
      </c>
      <c r="BL2272" s="127">
        <v>4</v>
      </c>
      <c r="BM2272" s="127">
        <v>0.11332468572476186</v>
      </c>
      <c r="BN2272" s="127" t="e">
        <v>#N/A</v>
      </c>
      <c r="BO2272" s="127" t="e">
        <v>#N/A</v>
      </c>
      <c r="BP2272" s="151" t="e">
        <v>#N/A</v>
      </c>
      <c r="BQ2272">
        <v>0.11332468572476186</v>
      </c>
      <c r="BR2272" t="str">
        <v/>
      </c>
    </row>
    <row r="2273" spans="47:70" x14ac:dyDescent="0.2">
      <c r="AU2273"/>
      <c r="AV2273"/>
      <c r="AW2273"/>
      <c r="AX2273"/>
      <c r="AY2273"/>
      <c r="BK2273" s="42">
        <v>2272</v>
      </c>
      <c r="BL2273" s="127">
        <v>4</v>
      </c>
      <c r="BM2273" s="127">
        <v>0.11332468572476186</v>
      </c>
      <c r="BN2273" s="127" t="e">
        <v>#N/A</v>
      </c>
      <c r="BO2273" s="127" t="e">
        <v>#N/A</v>
      </c>
      <c r="BP2273" s="151" t="e">
        <v>#N/A</v>
      </c>
      <c r="BQ2273">
        <v>0.11332468572476186</v>
      </c>
      <c r="BR2273" t="str">
        <v/>
      </c>
    </row>
    <row r="2274" spans="47:70" x14ac:dyDescent="0.2">
      <c r="AU2274"/>
      <c r="AV2274"/>
      <c r="AW2274"/>
      <c r="AX2274"/>
      <c r="AY2274"/>
      <c r="BK2274" s="42">
        <v>2273</v>
      </c>
      <c r="BL2274" s="127">
        <v>4</v>
      </c>
      <c r="BM2274" s="127">
        <v>0.11332468572476186</v>
      </c>
      <c r="BN2274" s="127" t="e">
        <v>#N/A</v>
      </c>
      <c r="BO2274" s="127" t="e">
        <v>#N/A</v>
      </c>
      <c r="BP2274" s="151" t="e">
        <v>#N/A</v>
      </c>
      <c r="BQ2274">
        <v>0.11332468572476186</v>
      </c>
      <c r="BR2274" t="str">
        <v/>
      </c>
    </row>
    <row r="2275" spans="47:70" x14ac:dyDescent="0.2">
      <c r="AU2275"/>
      <c r="AV2275"/>
      <c r="AW2275"/>
      <c r="AX2275"/>
      <c r="AY2275"/>
      <c r="BK2275" s="42">
        <v>2274</v>
      </c>
      <c r="BL2275" s="127">
        <v>4</v>
      </c>
      <c r="BM2275" s="127">
        <v>0.11332468572476186</v>
      </c>
      <c r="BN2275" s="127" t="e">
        <v>#N/A</v>
      </c>
      <c r="BO2275" s="127" t="e">
        <v>#N/A</v>
      </c>
      <c r="BP2275" s="151" t="e">
        <v>#N/A</v>
      </c>
      <c r="BQ2275">
        <v>0.11332468572476186</v>
      </c>
      <c r="BR2275" t="str">
        <v/>
      </c>
    </row>
    <row r="2276" spans="47:70" x14ac:dyDescent="0.2">
      <c r="AU2276"/>
      <c r="AV2276"/>
      <c r="AW2276"/>
      <c r="AX2276"/>
      <c r="AY2276"/>
      <c r="BK2276" s="42">
        <v>2275</v>
      </c>
      <c r="BL2276" s="127">
        <v>4</v>
      </c>
      <c r="BM2276" s="127">
        <v>0.11332468572476186</v>
      </c>
      <c r="BN2276" s="127" t="e">
        <v>#N/A</v>
      </c>
      <c r="BO2276" s="127" t="e">
        <v>#N/A</v>
      </c>
      <c r="BP2276" s="151" t="e">
        <v>#N/A</v>
      </c>
      <c r="BQ2276">
        <v>0.11332468572476186</v>
      </c>
      <c r="BR2276" t="str">
        <v/>
      </c>
    </row>
    <row r="2277" spans="47:70" x14ac:dyDescent="0.2">
      <c r="AU2277"/>
      <c r="AV2277"/>
      <c r="AW2277"/>
      <c r="AX2277"/>
      <c r="AY2277"/>
      <c r="BK2277" s="42">
        <v>2276</v>
      </c>
      <c r="BL2277" s="127">
        <v>4</v>
      </c>
      <c r="BM2277" s="127">
        <v>0.11332468572476186</v>
      </c>
      <c r="BN2277" s="127" t="e">
        <v>#N/A</v>
      </c>
      <c r="BO2277" s="127" t="e">
        <v>#N/A</v>
      </c>
      <c r="BP2277" s="151" t="e">
        <v>#N/A</v>
      </c>
      <c r="BQ2277">
        <v>0.11332468572476186</v>
      </c>
      <c r="BR2277" t="str">
        <v/>
      </c>
    </row>
    <row r="2278" spans="47:70" x14ac:dyDescent="0.2">
      <c r="AU2278"/>
      <c r="AV2278"/>
      <c r="AW2278"/>
      <c r="AX2278"/>
      <c r="AY2278"/>
      <c r="BK2278" s="42">
        <v>2277</v>
      </c>
      <c r="BL2278" s="127">
        <v>4</v>
      </c>
      <c r="BM2278" s="127">
        <v>0.11332468572476186</v>
      </c>
      <c r="BN2278" s="127" t="e">
        <v>#N/A</v>
      </c>
      <c r="BO2278" s="127" t="e">
        <v>#N/A</v>
      </c>
      <c r="BP2278" s="151" t="e">
        <v>#N/A</v>
      </c>
      <c r="BQ2278">
        <v>0.11332468572476186</v>
      </c>
      <c r="BR2278" t="str">
        <v/>
      </c>
    </row>
    <row r="2279" spans="47:70" x14ac:dyDescent="0.2">
      <c r="AU2279"/>
      <c r="AV2279"/>
      <c r="AW2279"/>
      <c r="AX2279"/>
      <c r="AY2279"/>
      <c r="BK2279" s="42">
        <v>2278</v>
      </c>
      <c r="BL2279" s="127">
        <v>4</v>
      </c>
      <c r="BM2279" s="127">
        <v>0.11332468572476186</v>
      </c>
      <c r="BN2279" s="127" t="e">
        <v>#N/A</v>
      </c>
      <c r="BO2279" s="127" t="e">
        <v>#N/A</v>
      </c>
      <c r="BP2279" s="151" t="e">
        <v>#N/A</v>
      </c>
      <c r="BQ2279">
        <v>0.11332468572476186</v>
      </c>
      <c r="BR2279" t="str">
        <v/>
      </c>
    </row>
    <row r="2280" spans="47:70" x14ac:dyDescent="0.2">
      <c r="AU2280"/>
      <c r="AV2280"/>
      <c r="AW2280"/>
      <c r="AX2280"/>
      <c r="AY2280"/>
      <c r="BK2280" s="42">
        <v>2279</v>
      </c>
      <c r="BL2280" s="127">
        <v>4</v>
      </c>
      <c r="BM2280" s="127">
        <v>0.11332468572476186</v>
      </c>
      <c r="BN2280" s="127" t="e">
        <v>#N/A</v>
      </c>
      <c r="BO2280" s="127" t="e">
        <v>#N/A</v>
      </c>
      <c r="BP2280" s="151" t="e">
        <v>#N/A</v>
      </c>
      <c r="BQ2280">
        <v>0.11332468572476186</v>
      </c>
      <c r="BR2280" t="str">
        <v/>
      </c>
    </row>
    <row r="2281" spans="47:70" x14ac:dyDescent="0.2">
      <c r="AU2281"/>
      <c r="AV2281"/>
      <c r="AW2281"/>
      <c r="AX2281"/>
      <c r="AY2281"/>
      <c r="BK2281" s="42">
        <v>2280</v>
      </c>
      <c r="BL2281" s="127">
        <v>4</v>
      </c>
      <c r="BM2281" s="127">
        <v>0.11332468572476186</v>
      </c>
      <c r="BN2281" s="127" t="e">
        <v>#N/A</v>
      </c>
      <c r="BO2281" s="127" t="e">
        <v>#N/A</v>
      </c>
      <c r="BP2281" s="151" t="e">
        <v>#N/A</v>
      </c>
      <c r="BQ2281">
        <v>0.11332468572476186</v>
      </c>
      <c r="BR2281" t="str">
        <v/>
      </c>
    </row>
    <row r="2282" spans="47:70" x14ac:dyDescent="0.2">
      <c r="AU2282"/>
      <c r="AV2282"/>
      <c r="AW2282"/>
      <c r="AX2282"/>
      <c r="AY2282"/>
      <c r="BK2282" s="42">
        <v>2281</v>
      </c>
      <c r="BL2282" s="127">
        <v>4</v>
      </c>
      <c r="BM2282" s="127">
        <v>0.11332468572476186</v>
      </c>
      <c r="BN2282" s="127" t="e">
        <v>#N/A</v>
      </c>
      <c r="BO2282" s="127" t="e">
        <v>#N/A</v>
      </c>
      <c r="BP2282" s="151" t="e">
        <v>#N/A</v>
      </c>
      <c r="BQ2282">
        <v>0.11332468572476186</v>
      </c>
      <c r="BR2282" t="str">
        <v/>
      </c>
    </row>
    <row r="2283" spans="47:70" x14ac:dyDescent="0.2">
      <c r="AU2283"/>
      <c r="AV2283"/>
      <c r="AW2283"/>
      <c r="AX2283"/>
      <c r="AY2283"/>
      <c r="BK2283" s="42">
        <v>2282</v>
      </c>
      <c r="BL2283" s="127">
        <v>4</v>
      </c>
      <c r="BM2283" s="127">
        <v>0.11332468572476186</v>
      </c>
      <c r="BN2283" s="127" t="e">
        <v>#N/A</v>
      </c>
      <c r="BO2283" s="127" t="e">
        <v>#N/A</v>
      </c>
      <c r="BP2283" s="151" t="e">
        <v>#N/A</v>
      </c>
      <c r="BQ2283">
        <v>0.11332468572476186</v>
      </c>
      <c r="BR2283" t="str">
        <v/>
      </c>
    </row>
    <row r="2284" spans="47:70" x14ac:dyDescent="0.2">
      <c r="AU2284"/>
      <c r="AV2284"/>
      <c r="AW2284"/>
      <c r="AX2284"/>
      <c r="AY2284"/>
      <c r="BK2284" s="42">
        <v>2283</v>
      </c>
      <c r="BL2284" s="127">
        <v>4</v>
      </c>
      <c r="BM2284" s="127">
        <v>0.11332468572476186</v>
      </c>
      <c r="BN2284" s="127" t="e">
        <v>#N/A</v>
      </c>
      <c r="BO2284" s="127" t="e">
        <v>#N/A</v>
      </c>
      <c r="BP2284" s="151" t="e">
        <v>#N/A</v>
      </c>
      <c r="BQ2284">
        <v>0.11332468572476186</v>
      </c>
      <c r="BR2284" t="str">
        <v/>
      </c>
    </row>
    <row r="2285" spans="47:70" x14ac:dyDescent="0.2">
      <c r="AU2285"/>
      <c r="AV2285"/>
      <c r="AW2285"/>
      <c r="AX2285"/>
      <c r="AY2285"/>
      <c r="BK2285" s="42">
        <v>2284</v>
      </c>
      <c r="BL2285" s="127">
        <v>4</v>
      </c>
      <c r="BM2285" s="127">
        <v>0.11332468572476186</v>
      </c>
      <c r="BN2285" s="127" t="e">
        <v>#N/A</v>
      </c>
      <c r="BO2285" s="127" t="e">
        <v>#N/A</v>
      </c>
      <c r="BP2285" s="151" t="e">
        <v>#N/A</v>
      </c>
      <c r="BQ2285">
        <v>0.11332468572476186</v>
      </c>
      <c r="BR2285" t="str">
        <v/>
      </c>
    </row>
    <row r="2286" spans="47:70" x14ac:dyDescent="0.2">
      <c r="AU2286"/>
      <c r="AV2286"/>
      <c r="AW2286"/>
      <c r="AX2286"/>
      <c r="AY2286"/>
      <c r="BK2286" s="42">
        <v>2285</v>
      </c>
      <c r="BL2286" s="127">
        <v>4</v>
      </c>
      <c r="BM2286" s="127">
        <v>0.11332468572476186</v>
      </c>
      <c r="BN2286" s="127" t="e">
        <v>#N/A</v>
      </c>
      <c r="BO2286" s="127" t="e">
        <v>#N/A</v>
      </c>
      <c r="BP2286" s="151" t="e">
        <v>#N/A</v>
      </c>
      <c r="BQ2286">
        <v>0.11332468572476186</v>
      </c>
      <c r="BR2286" t="str">
        <v/>
      </c>
    </row>
    <row r="2287" spans="47:70" x14ac:dyDescent="0.2">
      <c r="AU2287"/>
      <c r="AV2287"/>
      <c r="AW2287"/>
      <c r="AX2287"/>
      <c r="AY2287"/>
      <c r="BK2287" s="42">
        <v>2286</v>
      </c>
      <c r="BL2287" s="127">
        <v>4</v>
      </c>
      <c r="BM2287" s="127">
        <v>0.11332468572476186</v>
      </c>
      <c r="BN2287" s="127" t="e">
        <v>#N/A</v>
      </c>
      <c r="BO2287" s="127" t="e">
        <v>#N/A</v>
      </c>
      <c r="BP2287" s="151" t="e">
        <v>#N/A</v>
      </c>
      <c r="BQ2287">
        <v>0.11332468572476186</v>
      </c>
      <c r="BR2287" t="str">
        <v/>
      </c>
    </row>
    <row r="2288" spans="47:70" x14ac:dyDescent="0.2">
      <c r="AU2288"/>
      <c r="AV2288"/>
      <c r="AW2288"/>
      <c r="AX2288"/>
      <c r="AY2288"/>
      <c r="BK2288" s="42">
        <v>2287</v>
      </c>
      <c r="BL2288" s="127">
        <v>4</v>
      </c>
      <c r="BM2288" s="127">
        <v>0.11332468572476186</v>
      </c>
      <c r="BN2288" s="127" t="e">
        <v>#N/A</v>
      </c>
      <c r="BO2288" s="127" t="e">
        <v>#N/A</v>
      </c>
      <c r="BP2288" s="151" t="e">
        <v>#N/A</v>
      </c>
      <c r="BQ2288">
        <v>0.11332468572476186</v>
      </c>
      <c r="BR2288" t="str">
        <v/>
      </c>
    </row>
    <row r="2289" spans="47:70" x14ac:dyDescent="0.2">
      <c r="AU2289"/>
      <c r="AV2289"/>
      <c r="AW2289"/>
      <c r="AX2289"/>
      <c r="AY2289"/>
      <c r="BK2289" s="42">
        <v>2288</v>
      </c>
      <c r="BL2289" s="127">
        <v>4</v>
      </c>
      <c r="BM2289" s="127">
        <v>0.11332468572476186</v>
      </c>
      <c r="BN2289" s="127" t="e">
        <v>#N/A</v>
      </c>
      <c r="BO2289" s="127" t="e">
        <v>#N/A</v>
      </c>
      <c r="BP2289" s="151" t="e">
        <v>#N/A</v>
      </c>
      <c r="BQ2289">
        <v>0.11332468572476186</v>
      </c>
      <c r="BR2289" t="str">
        <v/>
      </c>
    </row>
    <row r="2290" spans="47:70" x14ac:dyDescent="0.2">
      <c r="AU2290"/>
      <c r="AV2290"/>
      <c r="AW2290"/>
      <c r="AX2290"/>
      <c r="AY2290"/>
      <c r="BK2290" s="42">
        <v>2289</v>
      </c>
      <c r="BL2290" s="127">
        <v>4</v>
      </c>
      <c r="BM2290" s="127">
        <v>0.11332468572476186</v>
      </c>
      <c r="BN2290" s="127" t="e">
        <v>#N/A</v>
      </c>
      <c r="BO2290" s="127" t="e">
        <v>#N/A</v>
      </c>
      <c r="BP2290" s="151" t="e">
        <v>#N/A</v>
      </c>
      <c r="BQ2290">
        <v>0.11332468572476186</v>
      </c>
      <c r="BR2290" t="str">
        <v/>
      </c>
    </row>
    <row r="2291" spans="47:70" x14ac:dyDescent="0.2">
      <c r="AU2291"/>
      <c r="AV2291"/>
      <c r="AW2291"/>
      <c r="AX2291"/>
      <c r="AY2291"/>
      <c r="BK2291" s="42">
        <v>2290</v>
      </c>
      <c r="BL2291" s="127">
        <v>4</v>
      </c>
      <c r="BM2291" s="127">
        <v>0.11332468572476186</v>
      </c>
      <c r="BN2291" s="127" t="e">
        <v>#N/A</v>
      </c>
      <c r="BO2291" s="127" t="e">
        <v>#N/A</v>
      </c>
      <c r="BP2291" s="151" t="e">
        <v>#N/A</v>
      </c>
      <c r="BQ2291">
        <v>0.11332468572476186</v>
      </c>
      <c r="BR2291" t="str">
        <v/>
      </c>
    </row>
    <row r="2292" spans="47:70" x14ac:dyDescent="0.2">
      <c r="AU2292"/>
      <c r="AV2292"/>
      <c r="AW2292"/>
      <c r="AX2292"/>
      <c r="AY2292"/>
      <c r="BK2292" s="42">
        <v>2291</v>
      </c>
      <c r="BL2292" s="127">
        <v>4</v>
      </c>
      <c r="BM2292" s="127">
        <v>0.11332468572476186</v>
      </c>
      <c r="BN2292" s="127" t="e">
        <v>#N/A</v>
      </c>
      <c r="BO2292" s="127" t="e">
        <v>#N/A</v>
      </c>
      <c r="BP2292" s="151" t="e">
        <v>#N/A</v>
      </c>
      <c r="BQ2292">
        <v>0.11332468572476186</v>
      </c>
      <c r="BR2292" t="str">
        <v/>
      </c>
    </row>
    <row r="2293" spans="47:70" x14ac:dyDescent="0.2">
      <c r="AU2293"/>
      <c r="AV2293"/>
      <c r="AW2293"/>
      <c r="AX2293"/>
      <c r="AY2293"/>
      <c r="BK2293" s="42">
        <v>2292</v>
      </c>
      <c r="BL2293" s="127">
        <v>4</v>
      </c>
      <c r="BM2293" s="127">
        <v>0.11332468572476186</v>
      </c>
      <c r="BN2293" s="127" t="e">
        <v>#N/A</v>
      </c>
      <c r="BO2293" s="127" t="e">
        <v>#N/A</v>
      </c>
      <c r="BP2293" s="151" t="e">
        <v>#N/A</v>
      </c>
      <c r="BQ2293">
        <v>0.11332468572476186</v>
      </c>
      <c r="BR2293" t="str">
        <v/>
      </c>
    </row>
    <row r="2294" spans="47:70" x14ac:dyDescent="0.2">
      <c r="AU2294"/>
      <c r="AV2294"/>
      <c r="AW2294"/>
      <c r="AX2294"/>
      <c r="AY2294"/>
      <c r="BK2294" s="42">
        <v>2293</v>
      </c>
      <c r="BL2294" s="127">
        <v>4</v>
      </c>
      <c r="BM2294" s="127">
        <v>0.11332468572476186</v>
      </c>
      <c r="BN2294" s="127" t="e">
        <v>#N/A</v>
      </c>
      <c r="BO2294" s="127" t="e">
        <v>#N/A</v>
      </c>
      <c r="BP2294" s="151" t="e">
        <v>#N/A</v>
      </c>
      <c r="BQ2294">
        <v>0.11332468572476186</v>
      </c>
      <c r="BR2294" t="str">
        <v/>
      </c>
    </row>
    <row r="2295" spans="47:70" x14ac:dyDescent="0.2">
      <c r="AU2295"/>
      <c r="AV2295"/>
      <c r="AW2295"/>
      <c r="AX2295"/>
      <c r="AY2295"/>
      <c r="BK2295" s="42">
        <v>2294</v>
      </c>
      <c r="BL2295" s="127">
        <v>4</v>
      </c>
      <c r="BM2295" s="127">
        <v>0.11332468572476186</v>
      </c>
      <c r="BN2295" s="127" t="e">
        <v>#N/A</v>
      </c>
      <c r="BO2295" s="127" t="e">
        <v>#N/A</v>
      </c>
      <c r="BP2295" s="151" t="e">
        <v>#N/A</v>
      </c>
      <c r="BQ2295">
        <v>0.11332468572476186</v>
      </c>
      <c r="BR2295" t="str">
        <v/>
      </c>
    </row>
    <row r="2296" spans="47:70" x14ac:dyDescent="0.2">
      <c r="AU2296"/>
      <c r="AV2296"/>
      <c r="AW2296"/>
      <c r="AX2296"/>
      <c r="AY2296"/>
      <c r="BK2296" s="42">
        <v>2295</v>
      </c>
      <c r="BL2296" s="127">
        <v>4</v>
      </c>
      <c r="BM2296" s="127">
        <v>0.11332468572476186</v>
      </c>
      <c r="BN2296" s="127" t="e">
        <v>#N/A</v>
      </c>
      <c r="BO2296" s="127" t="e">
        <v>#N/A</v>
      </c>
      <c r="BP2296" s="151" t="e">
        <v>#N/A</v>
      </c>
      <c r="BQ2296">
        <v>0.11332468572476186</v>
      </c>
      <c r="BR2296" t="str">
        <v/>
      </c>
    </row>
    <row r="2297" spans="47:70" x14ac:dyDescent="0.2">
      <c r="AU2297"/>
      <c r="AV2297"/>
      <c r="AW2297"/>
      <c r="AX2297"/>
      <c r="AY2297"/>
      <c r="BK2297" s="42">
        <v>2296</v>
      </c>
      <c r="BL2297" s="127">
        <v>4</v>
      </c>
      <c r="BM2297" s="127">
        <v>0.11332468572476186</v>
      </c>
      <c r="BN2297" s="127" t="e">
        <v>#N/A</v>
      </c>
      <c r="BO2297" s="127" t="e">
        <v>#N/A</v>
      </c>
      <c r="BP2297" s="151" t="e">
        <v>#N/A</v>
      </c>
      <c r="BQ2297">
        <v>0.11332468572476186</v>
      </c>
      <c r="BR2297" t="str">
        <v/>
      </c>
    </row>
    <row r="2298" spans="47:70" x14ac:dyDescent="0.2">
      <c r="AU2298"/>
      <c r="AV2298"/>
      <c r="AW2298"/>
      <c r="AX2298"/>
      <c r="AY2298"/>
      <c r="BK2298" s="42">
        <v>2297</v>
      </c>
      <c r="BL2298" s="127">
        <v>4</v>
      </c>
      <c r="BM2298" s="127">
        <v>0.11332468572476186</v>
      </c>
      <c r="BN2298" s="127" t="e">
        <v>#N/A</v>
      </c>
      <c r="BO2298" s="127" t="e">
        <v>#N/A</v>
      </c>
      <c r="BP2298" s="151" t="e">
        <v>#N/A</v>
      </c>
      <c r="BQ2298">
        <v>0.11332468572476186</v>
      </c>
      <c r="BR2298" t="str">
        <v/>
      </c>
    </row>
    <row r="2299" spans="47:70" x14ac:dyDescent="0.2">
      <c r="AU2299"/>
      <c r="AV2299"/>
      <c r="AW2299"/>
      <c r="AX2299"/>
      <c r="AY2299"/>
      <c r="BK2299" s="42">
        <v>2298</v>
      </c>
      <c r="BL2299" s="127">
        <v>4</v>
      </c>
      <c r="BM2299" s="127">
        <v>0.11332468572476186</v>
      </c>
      <c r="BN2299" s="127" t="e">
        <v>#N/A</v>
      </c>
      <c r="BO2299" s="127" t="e">
        <v>#N/A</v>
      </c>
      <c r="BP2299" s="151" t="e">
        <v>#N/A</v>
      </c>
      <c r="BQ2299">
        <v>0.11332468572476186</v>
      </c>
      <c r="BR2299" t="str">
        <v/>
      </c>
    </row>
    <row r="2300" spans="47:70" x14ac:dyDescent="0.2">
      <c r="AU2300"/>
      <c r="AV2300"/>
      <c r="AW2300"/>
      <c r="AX2300"/>
      <c r="AY2300"/>
      <c r="BK2300" s="42">
        <v>2299</v>
      </c>
      <c r="BL2300" s="127">
        <v>4</v>
      </c>
      <c r="BM2300" s="127">
        <v>0.11332468572476186</v>
      </c>
      <c r="BN2300" s="127" t="e">
        <v>#N/A</v>
      </c>
      <c r="BO2300" s="127" t="e">
        <v>#N/A</v>
      </c>
      <c r="BP2300" s="151" t="e">
        <v>#N/A</v>
      </c>
      <c r="BQ2300">
        <v>0.11332468572476186</v>
      </c>
      <c r="BR2300" t="str">
        <v/>
      </c>
    </row>
    <row r="2301" spans="47:70" x14ac:dyDescent="0.2">
      <c r="AU2301"/>
      <c r="AV2301"/>
      <c r="AW2301"/>
      <c r="AX2301"/>
      <c r="AY2301"/>
      <c r="BK2301" s="42">
        <v>2300</v>
      </c>
      <c r="BL2301" s="127">
        <v>4</v>
      </c>
      <c r="BM2301" s="127">
        <v>0.11332468572476186</v>
      </c>
      <c r="BN2301" s="127" t="e">
        <v>#N/A</v>
      </c>
      <c r="BO2301" s="127" t="e">
        <v>#N/A</v>
      </c>
      <c r="BP2301" s="151" t="e">
        <v>#N/A</v>
      </c>
      <c r="BQ2301">
        <v>0.11332468572476186</v>
      </c>
      <c r="BR2301" t="str">
        <v/>
      </c>
    </row>
    <row r="2302" spans="47:70" x14ac:dyDescent="0.2">
      <c r="AU2302"/>
      <c r="AV2302"/>
      <c r="AW2302"/>
      <c r="AX2302"/>
      <c r="AY2302"/>
      <c r="BK2302" s="42">
        <v>2301</v>
      </c>
      <c r="BL2302" s="127">
        <v>4</v>
      </c>
      <c r="BM2302" s="127">
        <v>0.11332468572476186</v>
      </c>
      <c r="BN2302" s="127" t="e">
        <v>#N/A</v>
      </c>
      <c r="BO2302" s="127" t="e">
        <v>#N/A</v>
      </c>
      <c r="BP2302" s="151" t="e">
        <v>#N/A</v>
      </c>
      <c r="BQ2302">
        <v>0.11332468572476186</v>
      </c>
      <c r="BR2302" t="str">
        <v/>
      </c>
    </row>
    <row r="2303" spans="47:70" x14ac:dyDescent="0.2">
      <c r="AU2303"/>
      <c r="AV2303"/>
      <c r="AW2303"/>
      <c r="AX2303"/>
      <c r="AY2303"/>
      <c r="BK2303" s="42">
        <v>2302</v>
      </c>
      <c r="BL2303" s="127">
        <v>4</v>
      </c>
      <c r="BM2303" s="127">
        <v>0.11332468572476186</v>
      </c>
      <c r="BN2303" s="127" t="e">
        <v>#N/A</v>
      </c>
      <c r="BO2303" s="127" t="e">
        <v>#N/A</v>
      </c>
      <c r="BP2303" s="151" t="e">
        <v>#N/A</v>
      </c>
      <c r="BQ2303">
        <v>0.11332468572476186</v>
      </c>
      <c r="BR2303" t="str">
        <v/>
      </c>
    </row>
    <row r="2304" spans="47:70" x14ac:dyDescent="0.2">
      <c r="AU2304"/>
      <c r="AV2304"/>
      <c r="AW2304"/>
      <c r="AX2304"/>
      <c r="AY2304"/>
      <c r="BK2304" s="42">
        <v>2303</v>
      </c>
      <c r="BL2304" s="127">
        <v>4</v>
      </c>
      <c r="BM2304" s="127">
        <v>0.11332468572476186</v>
      </c>
      <c r="BN2304" s="127" t="e">
        <v>#N/A</v>
      </c>
      <c r="BO2304" s="127" t="e">
        <v>#N/A</v>
      </c>
      <c r="BP2304" s="151" t="e">
        <v>#N/A</v>
      </c>
      <c r="BQ2304">
        <v>0.11332468572476186</v>
      </c>
      <c r="BR2304" t="str">
        <v/>
      </c>
    </row>
    <row r="2305" spans="47:70" x14ac:dyDescent="0.2">
      <c r="AU2305"/>
      <c r="AV2305"/>
      <c r="AW2305"/>
      <c r="AX2305"/>
      <c r="AY2305"/>
      <c r="BK2305" s="42">
        <v>2304</v>
      </c>
      <c r="BL2305" s="127">
        <v>4</v>
      </c>
      <c r="BM2305" s="127">
        <v>0.11332468572476186</v>
      </c>
      <c r="BN2305" s="127" t="e">
        <v>#N/A</v>
      </c>
      <c r="BO2305" s="127" t="e">
        <v>#N/A</v>
      </c>
      <c r="BP2305" s="151" t="e">
        <v>#N/A</v>
      </c>
      <c r="BQ2305">
        <v>0.11332468572476186</v>
      </c>
      <c r="BR2305" t="str">
        <v/>
      </c>
    </row>
    <row r="2306" spans="47:70" x14ac:dyDescent="0.2">
      <c r="AU2306"/>
      <c r="AV2306"/>
      <c r="AW2306"/>
      <c r="AX2306"/>
      <c r="AY2306"/>
      <c r="BK2306" s="42">
        <v>2305</v>
      </c>
      <c r="BL2306" s="127">
        <v>4</v>
      </c>
      <c r="BM2306" s="127">
        <v>0.11332468572476186</v>
      </c>
      <c r="BN2306" s="127" t="e">
        <v>#N/A</v>
      </c>
      <c r="BO2306" s="127" t="e">
        <v>#N/A</v>
      </c>
      <c r="BP2306" s="151" t="e">
        <v>#N/A</v>
      </c>
      <c r="BQ2306">
        <v>0.11332468572476186</v>
      </c>
      <c r="BR2306" t="str">
        <v/>
      </c>
    </row>
    <row r="2307" spans="47:70" x14ac:dyDescent="0.2">
      <c r="AU2307"/>
      <c r="AV2307"/>
      <c r="AW2307"/>
      <c r="AX2307"/>
      <c r="AY2307"/>
      <c r="BK2307" s="42">
        <v>2306</v>
      </c>
      <c r="BL2307" s="127">
        <v>4</v>
      </c>
      <c r="BM2307" s="127">
        <v>0.11332468572476186</v>
      </c>
      <c r="BN2307" s="127" t="e">
        <v>#N/A</v>
      </c>
      <c r="BO2307" s="127" t="e">
        <v>#N/A</v>
      </c>
      <c r="BP2307" s="151" t="e">
        <v>#N/A</v>
      </c>
      <c r="BQ2307">
        <v>0.11332468572476186</v>
      </c>
      <c r="BR2307" t="str">
        <v/>
      </c>
    </row>
    <row r="2308" spans="47:70" x14ac:dyDescent="0.2">
      <c r="AU2308"/>
      <c r="AV2308"/>
      <c r="AW2308"/>
      <c r="AX2308"/>
      <c r="AY2308"/>
      <c r="BK2308" s="42">
        <v>2307</v>
      </c>
      <c r="BL2308" s="127">
        <v>4</v>
      </c>
      <c r="BM2308" s="127">
        <v>0.11332468572476186</v>
      </c>
      <c r="BN2308" s="127" t="e">
        <v>#N/A</v>
      </c>
      <c r="BO2308" s="127" t="e">
        <v>#N/A</v>
      </c>
      <c r="BP2308" s="151" t="e">
        <v>#N/A</v>
      </c>
      <c r="BQ2308">
        <v>0.11332468572476186</v>
      </c>
      <c r="BR2308" t="str">
        <v/>
      </c>
    </row>
    <row r="2309" spans="47:70" x14ac:dyDescent="0.2">
      <c r="AU2309"/>
      <c r="AV2309"/>
      <c r="AW2309"/>
      <c r="AX2309"/>
      <c r="AY2309"/>
      <c r="BK2309" s="42">
        <v>2308</v>
      </c>
      <c r="BL2309" s="127">
        <v>4</v>
      </c>
      <c r="BM2309" s="127">
        <v>0.11332468572476186</v>
      </c>
      <c r="BN2309" s="127" t="e">
        <v>#N/A</v>
      </c>
      <c r="BO2309" s="127" t="e">
        <v>#N/A</v>
      </c>
      <c r="BP2309" s="151" t="e">
        <v>#N/A</v>
      </c>
      <c r="BQ2309">
        <v>0.11332468572476186</v>
      </c>
      <c r="BR2309" t="str">
        <v/>
      </c>
    </row>
    <row r="2310" spans="47:70" x14ac:dyDescent="0.2">
      <c r="AU2310"/>
      <c r="AV2310"/>
      <c r="AW2310"/>
      <c r="AX2310"/>
      <c r="AY2310"/>
      <c r="BK2310" s="42">
        <v>2309</v>
      </c>
      <c r="BL2310" s="127">
        <v>4</v>
      </c>
      <c r="BM2310" s="127">
        <v>0.11332468572476186</v>
      </c>
      <c r="BN2310" s="127" t="e">
        <v>#N/A</v>
      </c>
      <c r="BO2310" s="127" t="e">
        <v>#N/A</v>
      </c>
      <c r="BP2310" s="151" t="e">
        <v>#N/A</v>
      </c>
      <c r="BQ2310">
        <v>0.11332468572476186</v>
      </c>
      <c r="BR2310" t="str">
        <v/>
      </c>
    </row>
    <row r="2311" spans="47:70" x14ac:dyDescent="0.2">
      <c r="AU2311"/>
      <c r="AV2311"/>
      <c r="AW2311"/>
      <c r="AX2311"/>
      <c r="AY2311"/>
      <c r="BK2311" s="42">
        <v>2310</v>
      </c>
      <c r="BL2311" s="127">
        <v>4</v>
      </c>
      <c r="BM2311" s="127">
        <v>0.11332468572476186</v>
      </c>
      <c r="BN2311" s="127" t="e">
        <v>#N/A</v>
      </c>
      <c r="BO2311" s="127" t="e">
        <v>#N/A</v>
      </c>
      <c r="BP2311" s="151" t="e">
        <v>#N/A</v>
      </c>
      <c r="BQ2311">
        <v>0.11332468572476186</v>
      </c>
      <c r="BR2311" t="str">
        <v/>
      </c>
    </row>
    <row r="2312" spans="47:70" x14ac:dyDescent="0.2">
      <c r="AU2312"/>
      <c r="AV2312"/>
      <c r="AW2312"/>
      <c r="AX2312"/>
      <c r="AY2312"/>
      <c r="BK2312" s="42">
        <v>2311</v>
      </c>
      <c r="BL2312" s="127">
        <v>4</v>
      </c>
      <c r="BM2312" s="127">
        <v>0.11332468572476186</v>
      </c>
      <c r="BN2312" s="127" t="e">
        <v>#N/A</v>
      </c>
      <c r="BO2312" s="127" t="e">
        <v>#N/A</v>
      </c>
      <c r="BP2312" s="151" t="e">
        <v>#N/A</v>
      </c>
      <c r="BQ2312">
        <v>0.11332468572476186</v>
      </c>
      <c r="BR2312" t="str">
        <v/>
      </c>
    </row>
    <row r="2313" spans="47:70" x14ac:dyDescent="0.2">
      <c r="AU2313"/>
      <c r="AV2313"/>
      <c r="AW2313"/>
      <c r="AX2313"/>
      <c r="AY2313"/>
      <c r="BK2313" s="42">
        <v>2312</v>
      </c>
      <c r="BL2313" s="127">
        <v>4</v>
      </c>
      <c r="BM2313" s="127">
        <v>0.11332468572476186</v>
      </c>
      <c r="BN2313" s="127" t="e">
        <v>#N/A</v>
      </c>
      <c r="BO2313" s="127" t="e">
        <v>#N/A</v>
      </c>
      <c r="BP2313" s="151" t="e">
        <v>#N/A</v>
      </c>
      <c r="BQ2313">
        <v>0.11332468572476186</v>
      </c>
      <c r="BR2313" t="str">
        <v/>
      </c>
    </row>
    <row r="2314" spans="47:70" x14ac:dyDescent="0.2">
      <c r="AU2314"/>
      <c r="AV2314"/>
      <c r="AW2314"/>
      <c r="AX2314"/>
      <c r="AY2314"/>
      <c r="BK2314" s="42">
        <v>2313</v>
      </c>
      <c r="BL2314" s="127">
        <v>4</v>
      </c>
      <c r="BM2314" s="127">
        <v>0.11332468572476186</v>
      </c>
      <c r="BN2314" s="127" t="e">
        <v>#N/A</v>
      </c>
      <c r="BO2314" s="127" t="e">
        <v>#N/A</v>
      </c>
      <c r="BP2314" s="151" t="e">
        <v>#N/A</v>
      </c>
      <c r="BQ2314">
        <v>0.11332468572476186</v>
      </c>
      <c r="BR2314" t="str">
        <v/>
      </c>
    </row>
    <row r="2315" spans="47:70" x14ac:dyDescent="0.2">
      <c r="AU2315"/>
      <c r="AV2315"/>
      <c r="AW2315"/>
      <c r="AX2315"/>
      <c r="AY2315"/>
      <c r="BK2315" s="42">
        <v>2314</v>
      </c>
      <c r="BL2315" s="127">
        <v>4</v>
      </c>
      <c r="BM2315" s="127">
        <v>0.11332468572476186</v>
      </c>
      <c r="BN2315" s="127" t="e">
        <v>#N/A</v>
      </c>
      <c r="BO2315" s="127" t="e">
        <v>#N/A</v>
      </c>
      <c r="BP2315" s="151" t="e">
        <v>#N/A</v>
      </c>
      <c r="BQ2315">
        <v>0.11332468572476186</v>
      </c>
      <c r="BR2315" t="str">
        <v/>
      </c>
    </row>
    <row r="2316" spans="47:70" x14ac:dyDescent="0.2">
      <c r="AU2316"/>
      <c r="AV2316"/>
      <c r="AW2316"/>
      <c r="AX2316"/>
      <c r="AY2316"/>
      <c r="BK2316" s="42">
        <v>2315</v>
      </c>
      <c r="BL2316" s="127">
        <v>4</v>
      </c>
      <c r="BM2316" s="127">
        <v>0.11332468572476186</v>
      </c>
      <c r="BN2316" s="127" t="e">
        <v>#N/A</v>
      </c>
      <c r="BO2316" s="127" t="e">
        <v>#N/A</v>
      </c>
      <c r="BP2316" s="151" t="e">
        <v>#N/A</v>
      </c>
      <c r="BQ2316">
        <v>0.11332468572476186</v>
      </c>
      <c r="BR2316" t="str">
        <v/>
      </c>
    </row>
    <row r="2317" spans="47:70" x14ac:dyDescent="0.2">
      <c r="AU2317"/>
      <c r="AV2317"/>
      <c r="AW2317"/>
      <c r="AX2317"/>
      <c r="AY2317"/>
      <c r="BK2317" s="42">
        <v>2316</v>
      </c>
      <c r="BL2317" s="127">
        <v>4</v>
      </c>
      <c r="BM2317" s="127">
        <v>0.11332468572476186</v>
      </c>
      <c r="BN2317" s="127" t="e">
        <v>#N/A</v>
      </c>
      <c r="BO2317" s="127" t="e">
        <v>#N/A</v>
      </c>
      <c r="BP2317" s="151" t="e">
        <v>#N/A</v>
      </c>
      <c r="BQ2317">
        <v>0.11332468572476186</v>
      </c>
      <c r="BR2317" t="str">
        <v/>
      </c>
    </row>
    <row r="2318" spans="47:70" x14ac:dyDescent="0.2">
      <c r="AU2318"/>
      <c r="AV2318"/>
      <c r="AW2318"/>
      <c r="AX2318"/>
      <c r="AY2318"/>
      <c r="BK2318" s="42">
        <v>2317</v>
      </c>
      <c r="BL2318" s="127">
        <v>4</v>
      </c>
      <c r="BM2318" s="127">
        <v>0.11332468572476186</v>
      </c>
      <c r="BN2318" s="127" t="e">
        <v>#N/A</v>
      </c>
      <c r="BO2318" s="127" t="e">
        <v>#N/A</v>
      </c>
      <c r="BP2318" s="151" t="e">
        <v>#N/A</v>
      </c>
      <c r="BQ2318">
        <v>0.11332468572476186</v>
      </c>
      <c r="BR2318" t="str">
        <v/>
      </c>
    </row>
    <row r="2319" spans="47:70" x14ac:dyDescent="0.2">
      <c r="AU2319"/>
      <c r="AV2319"/>
      <c r="AW2319"/>
      <c r="AX2319"/>
      <c r="AY2319"/>
      <c r="BK2319" s="42">
        <v>2318</v>
      </c>
      <c r="BL2319" s="127">
        <v>4</v>
      </c>
      <c r="BM2319" s="127">
        <v>0.11332468572476186</v>
      </c>
      <c r="BN2319" s="127" t="e">
        <v>#N/A</v>
      </c>
      <c r="BO2319" s="127" t="e">
        <v>#N/A</v>
      </c>
      <c r="BP2319" s="151" t="e">
        <v>#N/A</v>
      </c>
      <c r="BQ2319">
        <v>0.11332468572476186</v>
      </c>
      <c r="BR2319" t="str">
        <v/>
      </c>
    </row>
    <row r="2320" spans="47:70" x14ac:dyDescent="0.2">
      <c r="AU2320"/>
      <c r="AV2320"/>
      <c r="AW2320"/>
      <c r="AX2320"/>
      <c r="AY2320"/>
      <c r="BK2320" s="42">
        <v>2319</v>
      </c>
      <c r="BL2320" s="127">
        <v>4</v>
      </c>
      <c r="BM2320" s="127">
        <v>0.11332468572476186</v>
      </c>
      <c r="BN2320" s="127" t="e">
        <v>#N/A</v>
      </c>
      <c r="BO2320" s="127" t="e">
        <v>#N/A</v>
      </c>
      <c r="BP2320" s="151" t="e">
        <v>#N/A</v>
      </c>
      <c r="BQ2320">
        <v>0.11332468572476186</v>
      </c>
      <c r="BR2320" t="str">
        <v/>
      </c>
    </row>
    <row r="2321" spans="47:70" x14ac:dyDescent="0.2">
      <c r="AU2321"/>
      <c r="AV2321"/>
      <c r="AW2321"/>
      <c r="AX2321"/>
      <c r="AY2321"/>
      <c r="BK2321" s="42">
        <v>2320</v>
      </c>
      <c r="BL2321" s="127">
        <v>4</v>
      </c>
      <c r="BM2321" s="127">
        <v>0.11332468572476186</v>
      </c>
      <c r="BN2321" s="127" t="e">
        <v>#N/A</v>
      </c>
      <c r="BO2321" s="127" t="e">
        <v>#N/A</v>
      </c>
      <c r="BP2321" s="151" t="e">
        <v>#N/A</v>
      </c>
      <c r="BQ2321">
        <v>0.11332468572476186</v>
      </c>
      <c r="BR2321" t="str">
        <v/>
      </c>
    </row>
    <row r="2322" spans="47:70" x14ac:dyDescent="0.2">
      <c r="AU2322"/>
      <c r="AV2322"/>
      <c r="AW2322"/>
      <c r="AX2322"/>
      <c r="AY2322"/>
      <c r="BK2322" s="42">
        <v>2321</v>
      </c>
      <c r="BL2322" s="127">
        <v>4</v>
      </c>
      <c r="BM2322" s="127">
        <v>0.11332468572476186</v>
      </c>
      <c r="BN2322" s="127" t="e">
        <v>#N/A</v>
      </c>
      <c r="BO2322" s="127" t="e">
        <v>#N/A</v>
      </c>
      <c r="BP2322" s="151" t="e">
        <v>#N/A</v>
      </c>
      <c r="BQ2322">
        <v>0.11332468572476186</v>
      </c>
      <c r="BR2322" t="str">
        <v/>
      </c>
    </row>
    <row r="2323" spans="47:70" x14ac:dyDescent="0.2">
      <c r="AU2323"/>
      <c r="AV2323"/>
      <c r="AW2323"/>
      <c r="AX2323"/>
      <c r="AY2323"/>
      <c r="BK2323" s="42">
        <v>2322</v>
      </c>
      <c r="BL2323" s="127">
        <v>4</v>
      </c>
      <c r="BM2323" s="127">
        <v>0.11332468572476186</v>
      </c>
      <c r="BN2323" s="127" t="e">
        <v>#N/A</v>
      </c>
      <c r="BO2323" s="127" t="e">
        <v>#N/A</v>
      </c>
      <c r="BP2323" s="151" t="e">
        <v>#N/A</v>
      </c>
      <c r="BQ2323">
        <v>0.11332468572476186</v>
      </c>
      <c r="BR2323" t="str">
        <v/>
      </c>
    </row>
    <row r="2324" spans="47:70" x14ac:dyDescent="0.2">
      <c r="AU2324"/>
      <c r="AV2324"/>
      <c r="AW2324"/>
      <c r="AX2324"/>
      <c r="AY2324"/>
      <c r="BK2324" s="42">
        <v>2323</v>
      </c>
      <c r="BL2324" s="127">
        <v>4</v>
      </c>
      <c r="BM2324" s="127">
        <v>0.11332468572476186</v>
      </c>
      <c r="BN2324" s="127" t="e">
        <v>#N/A</v>
      </c>
      <c r="BO2324" s="127" t="e">
        <v>#N/A</v>
      </c>
      <c r="BP2324" s="151" t="e">
        <v>#N/A</v>
      </c>
      <c r="BQ2324">
        <v>0.11332468572476186</v>
      </c>
      <c r="BR2324" t="str">
        <v/>
      </c>
    </row>
    <row r="2325" spans="47:70" x14ac:dyDescent="0.2">
      <c r="AU2325"/>
      <c r="AV2325"/>
      <c r="AW2325"/>
      <c r="AX2325"/>
      <c r="AY2325"/>
      <c r="BK2325" s="42">
        <v>2324</v>
      </c>
      <c r="BL2325" s="127">
        <v>4</v>
      </c>
      <c r="BM2325" s="127">
        <v>0.11332468572476186</v>
      </c>
      <c r="BN2325" s="127" t="e">
        <v>#N/A</v>
      </c>
      <c r="BO2325" s="127" t="e">
        <v>#N/A</v>
      </c>
      <c r="BP2325" s="151" t="e">
        <v>#N/A</v>
      </c>
      <c r="BQ2325">
        <v>0.11332468572476186</v>
      </c>
      <c r="BR2325" t="str">
        <v/>
      </c>
    </row>
    <row r="2326" spans="47:70" x14ac:dyDescent="0.2">
      <c r="AU2326"/>
      <c r="AV2326"/>
      <c r="AW2326"/>
      <c r="AX2326"/>
      <c r="AY2326"/>
      <c r="BK2326" s="42">
        <v>2325</v>
      </c>
      <c r="BL2326" s="127">
        <v>4</v>
      </c>
      <c r="BM2326" s="127">
        <v>0.11332468572476186</v>
      </c>
      <c r="BN2326" s="127" t="e">
        <v>#N/A</v>
      </c>
      <c r="BO2326" s="127" t="e">
        <v>#N/A</v>
      </c>
      <c r="BP2326" s="151" t="e">
        <v>#N/A</v>
      </c>
      <c r="BQ2326">
        <v>0.11332468572476186</v>
      </c>
      <c r="BR2326" t="str">
        <v/>
      </c>
    </row>
    <row r="2327" spans="47:70" x14ac:dyDescent="0.2">
      <c r="AU2327"/>
      <c r="AV2327"/>
      <c r="AW2327"/>
      <c r="AX2327"/>
      <c r="AY2327"/>
      <c r="BK2327" s="42">
        <v>2326</v>
      </c>
      <c r="BL2327" s="127">
        <v>4</v>
      </c>
      <c r="BM2327" s="127">
        <v>0.11332468572476186</v>
      </c>
      <c r="BN2327" s="127" t="e">
        <v>#N/A</v>
      </c>
      <c r="BO2327" s="127" t="e">
        <v>#N/A</v>
      </c>
      <c r="BP2327" s="151" t="e">
        <v>#N/A</v>
      </c>
      <c r="BQ2327">
        <v>0.11332468572476186</v>
      </c>
      <c r="BR2327" t="str">
        <v/>
      </c>
    </row>
    <row r="2328" spans="47:70" x14ac:dyDescent="0.2">
      <c r="AU2328"/>
      <c r="AV2328"/>
      <c r="AW2328"/>
      <c r="AX2328"/>
      <c r="AY2328"/>
      <c r="BK2328" s="42">
        <v>2327</v>
      </c>
      <c r="BL2328" s="127">
        <v>4</v>
      </c>
      <c r="BM2328" s="127">
        <v>0.11332468572476186</v>
      </c>
      <c r="BN2328" s="127" t="e">
        <v>#N/A</v>
      </c>
      <c r="BO2328" s="127" t="e">
        <v>#N/A</v>
      </c>
      <c r="BP2328" s="151" t="e">
        <v>#N/A</v>
      </c>
      <c r="BQ2328">
        <v>0.11332468572476186</v>
      </c>
      <c r="BR2328" t="str">
        <v/>
      </c>
    </row>
    <row r="2329" spans="47:70" x14ac:dyDescent="0.2">
      <c r="AU2329"/>
      <c r="AV2329"/>
      <c r="AW2329"/>
      <c r="AX2329"/>
      <c r="AY2329"/>
      <c r="BK2329" s="42">
        <v>2328</v>
      </c>
      <c r="BL2329" s="127">
        <v>4</v>
      </c>
      <c r="BM2329" s="127">
        <v>0.11332468572476186</v>
      </c>
      <c r="BN2329" s="127" t="e">
        <v>#N/A</v>
      </c>
      <c r="BO2329" s="127" t="e">
        <v>#N/A</v>
      </c>
      <c r="BP2329" s="151" t="e">
        <v>#N/A</v>
      </c>
      <c r="BQ2329">
        <v>0.11332468572476186</v>
      </c>
      <c r="BR2329" t="str">
        <v/>
      </c>
    </row>
    <row r="2330" spans="47:70" x14ac:dyDescent="0.2">
      <c r="AU2330"/>
      <c r="AV2330"/>
      <c r="AW2330"/>
      <c r="AX2330"/>
      <c r="AY2330"/>
      <c r="BK2330" s="42">
        <v>2329</v>
      </c>
      <c r="BL2330" s="127">
        <v>4</v>
      </c>
      <c r="BM2330" s="127">
        <v>0.11332468572476186</v>
      </c>
      <c r="BN2330" s="127" t="e">
        <v>#N/A</v>
      </c>
      <c r="BO2330" s="127" t="e">
        <v>#N/A</v>
      </c>
      <c r="BP2330" s="151" t="e">
        <v>#N/A</v>
      </c>
      <c r="BQ2330">
        <v>0.11332468572476186</v>
      </c>
      <c r="BR2330" t="str">
        <v/>
      </c>
    </row>
    <row r="2331" spans="47:70" x14ac:dyDescent="0.2">
      <c r="AU2331"/>
      <c r="AV2331"/>
      <c r="AW2331"/>
      <c r="AX2331"/>
      <c r="AY2331"/>
      <c r="BK2331" s="42">
        <v>2330</v>
      </c>
      <c r="BL2331" s="127">
        <v>4</v>
      </c>
      <c r="BM2331" s="127">
        <v>0.11332468572476186</v>
      </c>
      <c r="BN2331" s="127" t="e">
        <v>#N/A</v>
      </c>
      <c r="BO2331" s="127" t="e">
        <v>#N/A</v>
      </c>
      <c r="BP2331" s="151" t="e">
        <v>#N/A</v>
      </c>
      <c r="BQ2331">
        <v>0.11332468572476186</v>
      </c>
      <c r="BR2331" t="str">
        <v/>
      </c>
    </row>
    <row r="2332" spans="47:70" x14ac:dyDescent="0.2">
      <c r="AU2332"/>
      <c r="AV2332"/>
      <c r="AW2332"/>
      <c r="AX2332"/>
      <c r="AY2332"/>
      <c r="BK2332" s="42">
        <v>2331</v>
      </c>
      <c r="BL2332" s="127">
        <v>4</v>
      </c>
      <c r="BM2332" s="127">
        <v>0.11332468572476186</v>
      </c>
      <c r="BN2332" s="127" t="e">
        <v>#N/A</v>
      </c>
      <c r="BO2332" s="127" t="e">
        <v>#N/A</v>
      </c>
      <c r="BP2332" s="151" t="e">
        <v>#N/A</v>
      </c>
      <c r="BQ2332">
        <v>0.11332468572476186</v>
      </c>
      <c r="BR2332" t="str">
        <v/>
      </c>
    </row>
    <row r="2333" spans="47:70" x14ac:dyDescent="0.2">
      <c r="AU2333"/>
      <c r="AV2333"/>
      <c r="AW2333"/>
      <c r="AX2333"/>
      <c r="AY2333"/>
      <c r="BK2333" s="42">
        <v>2332</v>
      </c>
      <c r="BL2333" s="127">
        <v>4</v>
      </c>
      <c r="BM2333" s="127">
        <v>0.11332468572476186</v>
      </c>
      <c r="BN2333" s="127" t="e">
        <v>#N/A</v>
      </c>
      <c r="BO2333" s="127" t="e">
        <v>#N/A</v>
      </c>
      <c r="BP2333" s="151" t="e">
        <v>#N/A</v>
      </c>
      <c r="BQ2333">
        <v>0.11332468572476186</v>
      </c>
      <c r="BR2333" t="str">
        <v/>
      </c>
    </row>
    <row r="2334" spans="47:70" x14ac:dyDescent="0.2">
      <c r="AU2334"/>
      <c r="AV2334"/>
      <c r="AW2334"/>
      <c r="AX2334"/>
      <c r="AY2334"/>
      <c r="BK2334" s="42">
        <v>2333</v>
      </c>
      <c r="BL2334" s="127">
        <v>4</v>
      </c>
      <c r="BM2334" s="127">
        <v>0.11332468572476186</v>
      </c>
      <c r="BN2334" s="127" t="e">
        <v>#N/A</v>
      </c>
      <c r="BO2334" s="127" t="e">
        <v>#N/A</v>
      </c>
      <c r="BP2334" s="151" t="e">
        <v>#N/A</v>
      </c>
      <c r="BQ2334">
        <v>0.11332468572476186</v>
      </c>
      <c r="BR2334" t="str">
        <v/>
      </c>
    </row>
    <row r="2335" spans="47:70" x14ac:dyDescent="0.2">
      <c r="AU2335"/>
      <c r="AV2335"/>
      <c r="AW2335"/>
      <c r="AX2335"/>
      <c r="AY2335"/>
      <c r="BK2335" s="42">
        <v>2334</v>
      </c>
      <c r="BL2335" s="127">
        <v>4</v>
      </c>
      <c r="BM2335" s="127">
        <v>0.11332468572476186</v>
      </c>
      <c r="BN2335" s="127" t="e">
        <v>#N/A</v>
      </c>
      <c r="BO2335" s="127" t="e">
        <v>#N/A</v>
      </c>
      <c r="BP2335" s="151" t="e">
        <v>#N/A</v>
      </c>
      <c r="BQ2335">
        <v>0.11332468572476186</v>
      </c>
      <c r="BR2335" t="str">
        <v/>
      </c>
    </row>
    <row r="2336" spans="47:70" x14ac:dyDescent="0.2">
      <c r="AU2336"/>
      <c r="AV2336"/>
      <c r="AW2336"/>
      <c r="AX2336"/>
      <c r="AY2336"/>
      <c r="BK2336" s="42">
        <v>2335</v>
      </c>
      <c r="BL2336" s="127">
        <v>4</v>
      </c>
      <c r="BM2336" s="127">
        <v>0.11332468572476186</v>
      </c>
      <c r="BN2336" s="127" t="e">
        <v>#N/A</v>
      </c>
      <c r="BO2336" s="127" t="e">
        <v>#N/A</v>
      </c>
      <c r="BP2336" s="151" t="e">
        <v>#N/A</v>
      </c>
      <c r="BQ2336">
        <v>0.11332468572476186</v>
      </c>
      <c r="BR2336" t="str">
        <v/>
      </c>
    </row>
    <row r="2337" spans="47:70" x14ac:dyDescent="0.2">
      <c r="AU2337"/>
      <c r="AV2337"/>
      <c r="AW2337"/>
      <c r="AX2337"/>
      <c r="AY2337"/>
      <c r="BK2337" s="42">
        <v>2336</v>
      </c>
      <c r="BL2337" s="127">
        <v>4</v>
      </c>
      <c r="BM2337" s="127">
        <v>0.11332468572476186</v>
      </c>
      <c r="BN2337" s="127" t="e">
        <v>#N/A</v>
      </c>
      <c r="BO2337" s="127" t="e">
        <v>#N/A</v>
      </c>
      <c r="BP2337" s="151" t="e">
        <v>#N/A</v>
      </c>
      <c r="BQ2337">
        <v>0.11332468572476186</v>
      </c>
      <c r="BR2337" t="str">
        <v/>
      </c>
    </row>
    <row r="2338" spans="47:70" x14ac:dyDescent="0.2">
      <c r="AU2338"/>
      <c r="AV2338"/>
      <c r="AW2338"/>
      <c r="AX2338"/>
      <c r="AY2338"/>
      <c r="BK2338" s="42">
        <v>2337</v>
      </c>
      <c r="BL2338" s="127">
        <v>4</v>
      </c>
      <c r="BM2338" s="127">
        <v>0.11332468572476186</v>
      </c>
      <c r="BN2338" s="127" t="e">
        <v>#N/A</v>
      </c>
      <c r="BO2338" s="127" t="e">
        <v>#N/A</v>
      </c>
      <c r="BP2338" s="151" t="e">
        <v>#N/A</v>
      </c>
      <c r="BQ2338">
        <v>0.11332468572476186</v>
      </c>
      <c r="BR2338" t="str">
        <v/>
      </c>
    </row>
    <row r="2339" spans="47:70" x14ac:dyDescent="0.2">
      <c r="AU2339"/>
      <c r="AV2339"/>
      <c r="AW2339"/>
      <c r="AX2339"/>
      <c r="AY2339"/>
      <c r="BK2339" s="42">
        <v>2338</v>
      </c>
      <c r="BL2339" s="127">
        <v>4</v>
      </c>
      <c r="BM2339" s="127">
        <v>0.11332468572476186</v>
      </c>
      <c r="BN2339" s="127" t="e">
        <v>#N/A</v>
      </c>
      <c r="BO2339" s="127" t="e">
        <v>#N/A</v>
      </c>
      <c r="BP2339" s="151" t="e">
        <v>#N/A</v>
      </c>
      <c r="BQ2339">
        <v>0.11332468572476186</v>
      </c>
      <c r="BR2339" t="str">
        <v/>
      </c>
    </row>
    <row r="2340" spans="47:70" x14ac:dyDescent="0.2">
      <c r="AU2340"/>
      <c r="AV2340"/>
      <c r="AW2340"/>
      <c r="AX2340"/>
      <c r="AY2340"/>
      <c r="BK2340" s="42">
        <v>2339</v>
      </c>
      <c r="BL2340" s="127">
        <v>4</v>
      </c>
      <c r="BM2340" s="127">
        <v>0.11332468572476186</v>
      </c>
      <c r="BN2340" s="127" t="e">
        <v>#N/A</v>
      </c>
      <c r="BO2340" s="127" t="e">
        <v>#N/A</v>
      </c>
      <c r="BP2340" s="151" t="e">
        <v>#N/A</v>
      </c>
      <c r="BQ2340">
        <v>0.11332468572476186</v>
      </c>
      <c r="BR2340" t="str">
        <v/>
      </c>
    </row>
    <row r="2341" spans="47:70" x14ac:dyDescent="0.2">
      <c r="AU2341"/>
      <c r="AV2341"/>
      <c r="AW2341"/>
      <c r="AX2341"/>
      <c r="AY2341"/>
      <c r="BK2341" s="42">
        <v>2340</v>
      </c>
      <c r="BL2341" s="127">
        <v>4</v>
      </c>
      <c r="BM2341" s="127">
        <v>0.11332468572476186</v>
      </c>
      <c r="BN2341" s="127" t="e">
        <v>#N/A</v>
      </c>
      <c r="BO2341" s="127" t="e">
        <v>#N/A</v>
      </c>
      <c r="BP2341" s="151" t="e">
        <v>#N/A</v>
      </c>
      <c r="BQ2341">
        <v>0.11332468572476186</v>
      </c>
      <c r="BR2341" t="str">
        <v/>
      </c>
    </row>
    <row r="2342" spans="47:70" x14ac:dyDescent="0.2">
      <c r="AU2342"/>
      <c r="AV2342"/>
      <c r="AW2342"/>
      <c r="AX2342"/>
      <c r="AY2342"/>
      <c r="BK2342" s="42">
        <v>2341</v>
      </c>
      <c r="BL2342" s="127">
        <v>4</v>
      </c>
      <c r="BM2342" s="127">
        <v>0.11332468572476186</v>
      </c>
      <c r="BN2342" s="127" t="e">
        <v>#N/A</v>
      </c>
      <c r="BO2342" s="127" t="e">
        <v>#N/A</v>
      </c>
      <c r="BP2342" s="151" t="e">
        <v>#N/A</v>
      </c>
      <c r="BQ2342">
        <v>0.11332468572476186</v>
      </c>
      <c r="BR2342" t="str">
        <v/>
      </c>
    </row>
    <row r="2343" spans="47:70" x14ac:dyDescent="0.2">
      <c r="AU2343"/>
      <c r="AV2343"/>
      <c r="AW2343"/>
      <c r="AX2343"/>
      <c r="AY2343"/>
      <c r="BK2343" s="42">
        <v>2342</v>
      </c>
      <c r="BL2343" s="127">
        <v>4</v>
      </c>
      <c r="BM2343" s="127">
        <v>0.11332468572476186</v>
      </c>
      <c r="BN2343" s="127" t="e">
        <v>#N/A</v>
      </c>
      <c r="BO2343" s="127" t="e">
        <v>#N/A</v>
      </c>
      <c r="BP2343" s="151" t="e">
        <v>#N/A</v>
      </c>
      <c r="BQ2343">
        <v>0.11332468572476186</v>
      </c>
      <c r="BR2343" t="str">
        <v/>
      </c>
    </row>
    <row r="2344" spans="47:70" x14ac:dyDescent="0.2">
      <c r="AU2344"/>
      <c r="AV2344"/>
      <c r="AW2344"/>
      <c r="AX2344"/>
      <c r="AY2344"/>
      <c r="BK2344" s="42">
        <v>2343</v>
      </c>
      <c r="BL2344" s="127">
        <v>4</v>
      </c>
      <c r="BM2344" s="127">
        <v>0.11332468572476186</v>
      </c>
      <c r="BN2344" s="127" t="e">
        <v>#N/A</v>
      </c>
      <c r="BO2344" s="127" t="e">
        <v>#N/A</v>
      </c>
      <c r="BP2344" s="151" t="e">
        <v>#N/A</v>
      </c>
      <c r="BQ2344">
        <v>0.11332468572476186</v>
      </c>
      <c r="BR2344" t="str">
        <v/>
      </c>
    </row>
    <row r="2345" spans="47:70" x14ac:dyDescent="0.2">
      <c r="AU2345"/>
      <c r="AV2345"/>
      <c r="AW2345"/>
      <c r="AX2345"/>
      <c r="AY2345"/>
      <c r="BK2345" s="42">
        <v>2344</v>
      </c>
      <c r="BL2345" s="127">
        <v>4</v>
      </c>
      <c r="BM2345" s="127">
        <v>0.11332468572476186</v>
      </c>
      <c r="BN2345" s="127" t="e">
        <v>#N/A</v>
      </c>
      <c r="BO2345" s="127" t="e">
        <v>#N/A</v>
      </c>
      <c r="BP2345" s="151" t="e">
        <v>#N/A</v>
      </c>
      <c r="BQ2345">
        <v>0.11332468572476186</v>
      </c>
      <c r="BR2345" t="str">
        <v/>
      </c>
    </row>
    <row r="2346" spans="47:70" x14ac:dyDescent="0.2">
      <c r="AU2346"/>
      <c r="AV2346"/>
      <c r="AW2346"/>
      <c r="AX2346"/>
      <c r="AY2346"/>
      <c r="BK2346" s="42">
        <v>2345</v>
      </c>
      <c r="BL2346" s="127">
        <v>4</v>
      </c>
      <c r="BM2346" s="127">
        <v>0.11332468572476186</v>
      </c>
      <c r="BN2346" s="127" t="e">
        <v>#N/A</v>
      </c>
      <c r="BO2346" s="127" t="e">
        <v>#N/A</v>
      </c>
      <c r="BP2346" s="151" t="e">
        <v>#N/A</v>
      </c>
      <c r="BQ2346">
        <v>0.11332468572476186</v>
      </c>
      <c r="BR2346" t="str">
        <v/>
      </c>
    </row>
    <row r="2347" spans="47:70" x14ac:dyDescent="0.2">
      <c r="AU2347"/>
      <c r="AV2347"/>
      <c r="AW2347"/>
      <c r="AX2347"/>
      <c r="AY2347"/>
      <c r="BK2347" s="42">
        <v>2346</v>
      </c>
      <c r="BL2347" s="127">
        <v>4</v>
      </c>
      <c r="BM2347" s="127">
        <v>0.11332468572476186</v>
      </c>
      <c r="BN2347" s="127" t="e">
        <v>#N/A</v>
      </c>
      <c r="BO2347" s="127" t="e">
        <v>#N/A</v>
      </c>
      <c r="BP2347" s="151" t="e">
        <v>#N/A</v>
      </c>
      <c r="BQ2347">
        <v>0.11332468572476186</v>
      </c>
      <c r="BR2347" t="str">
        <v/>
      </c>
    </row>
    <row r="2348" spans="47:70" x14ac:dyDescent="0.2">
      <c r="AU2348"/>
      <c r="AV2348"/>
      <c r="AW2348"/>
      <c r="AX2348"/>
      <c r="AY2348"/>
      <c r="BK2348" s="42">
        <v>2347</v>
      </c>
      <c r="BL2348" s="127">
        <v>4</v>
      </c>
      <c r="BM2348" s="127">
        <v>0.11332468572476186</v>
      </c>
      <c r="BN2348" s="127" t="e">
        <v>#N/A</v>
      </c>
      <c r="BO2348" s="127" t="e">
        <v>#N/A</v>
      </c>
      <c r="BP2348" s="151" t="e">
        <v>#N/A</v>
      </c>
      <c r="BQ2348">
        <v>0.11332468572476186</v>
      </c>
      <c r="BR2348" t="str">
        <v/>
      </c>
    </row>
    <row r="2349" spans="47:70" x14ac:dyDescent="0.2">
      <c r="AU2349"/>
      <c r="AV2349"/>
      <c r="AW2349"/>
      <c r="AX2349"/>
      <c r="AY2349"/>
      <c r="BK2349" s="42">
        <v>2348</v>
      </c>
      <c r="BL2349" s="127">
        <v>4</v>
      </c>
      <c r="BM2349" s="127">
        <v>0.11332468572476186</v>
      </c>
      <c r="BN2349" s="127" t="e">
        <v>#N/A</v>
      </c>
      <c r="BO2349" s="127" t="e">
        <v>#N/A</v>
      </c>
      <c r="BP2349" s="151" t="e">
        <v>#N/A</v>
      </c>
      <c r="BQ2349">
        <v>0.11332468572476186</v>
      </c>
      <c r="BR2349" t="str">
        <v/>
      </c>
    </row>
    <row r="2350" spans="47:70" x14ac:dyDescent="0.2">
      <c r="AU2350"/>
      <c r="AV2350"/>
      <c r="AW2350"/>
      <c r="AX2350"/>
      <c r="AY2350"/>
      <c r="BK2350" s="42">
        <v>2349</v>
      </c>
      <c r="BL2350" s="127">
        <v>4</v>
      </c>
      <c r="BM2350" s="127">
        <v>0.11332468572476186</v>
      </c>
      <c r="BN2350" s="127" t="e">
        <v>#N/A</v>
      </c>
      <c r="BO2350" s="127" t="e">
        <v>#N/A</v>
      </c>
      <c r="BP2350" s="151" t="e">
        <v>#N/A</v>
      </c>
      <c r="BQ2350">
        <v>0.11332468572476186</v>
      </c>
      <c r="BR2350" t="str">
        <v/>
      </c>
    </row>
    <row r="2351" spans="47:70" x14ac:dyDescent="0.2">
      <c r="AU2351"/>
      <c r="AV2351"/>
      <c r="AW2351"/>
      <c r="AX2351"/>
      <c r="AY2351"/>
      <c r="BK2351" s="42">
        <v>2350</v>
      </c>
      <c r="BL2351" s="127">
        <v>4</v>
      </c>
      <c r="BM2351" s="127">
        <v>0.11332468572476186</v>
      </c>
      <c r="BN2351" s="127" t="e">
        <v>#N/A</v>
      </c>
      <c r="BO2351" s="127" t="e">
        <v>#N/A</v>
      </c>
      <c r="BP2351" s="151" t="e">
        <v>#N/A</v>
      </c>
      <c r="BQ2351">
        <v>0.11332468572476186</v>
      </c>
      <c r="BR2351" t="str">
        <v/>
      </c>
    </row>
    <row r="2352" spans="47:70" x14ac:dyDescent="0.2">
      <c r="AU2352"/>
      <c r="AV2352"/>
      <c r="AW2352"/>
      <c r="AX2352"/>
      <c r="AY2352"/>
      <c r="BK2352" s="42">
        <v>2351</v>
      </c>
      <c r="BL2352" s="127">
        <v>4</v>
      </c>
      <c r="BM2352" s="127">
        <v>0.11332468572476186</v>
      </c>
      <c r="BN2352" s="127" t="e">
        <v>#N/A</v>
      </c>
      <c r="BO2352" s="127" t="e">
        <v>#N/A</v>
      </c>
      <c r="BP2352" s="151" t="e">
        <v>#N/A</v>
      </c>
      <c r="BQ2352">
        <v>0.11332468572476186</v>
      </c>
      <c r="BR2352" t="str">
        <v/>
      </c>
    </row>
    <row r="2353" spans="47:70" x14ac:dyDescent="0.2">
      <c r="AU2353"/>
      <c r="AV2353"/>
      <c r="AW2353"/>
      <c r="AX2353"/>
      <c r="AY2353"/>
      <c r="BK2353" s="42">
        <v>2352</v>
      </c>
      <c r="BL2353" s="127">
        <v>4</v>
      </c>
      <c r="BM2353" s="127">
        <v>0.11332468572476186</v>
      </c>
      <c r="BN2353" s="127" t="e">
        <v>#N/A</v>
      </c>
      <c r="BO2353" s="127" t="e">
        <v>#N/A</v>
      </c>
      <c r="BP2353" s="151" t="e">
        <v>#N/A</v>
      </c>
      <c r="BQ2353">
        <v>0.11332468572476186</v>
      </c>
      <c r="BR2353" t="str">
        <v/>
      </c>
    </row>
    <row r="2354" spans="47:70" x14ac:dyDescent="0.2">
      <c r="AU2354"/>
      <c r="AV2354"/>
      <c r="AW2354"/>
      <c r="AX2354"/>
      <c r="AY2354"/>
      <c r="BK2354" s="42">
        <v>2353</v>
      </c>
      <c r="BL2354" s="127">
        <v>4</v>
      </c>
      <c r="BM2354" s="127">
        <v>0.11332468572476186</v>
      </c>
      <c r="BN2354" s="127" t="e">
        <v>#N/A</v>
      </c>
      <c r="BO2354" s="127" t="e">
        <v>#N/A</v>
      </c>
      <c r="BP2354" s="151" t="e">
        <v>#N/A</v>
      </c>
      <c r="BQ2354">
        <v>0.11332468572476186</v>
      </c>
      <c r="BR2354" t="str">
        <v/>
      </c>
    </row>
    <row r="2355" spans="47:70" x14ac:dyDescent="0.2">
      <c r="AU2355"/>
      <c r="AV2355"/>
      <c r="AW2355"/>
      <c r="AX2355"/>
      <c r="AY2355"/>
      <c r="BK2355" s="42">
        <v>2354</v>
      </c>
      <c r="BL2355" s="127">
        <v>4</v>
      </c>
      <c r="BM2355" s="127">
        <v>0.11332468572476186</v>
      </c>
      <c r="BN2355" s="127" t="e">
        <v>#N/A</v>
      </c>
      <c r="BO2355" s="127" t="e">
        <v>#N/A</v>
      </c>
      <c r="BP2355" s="151" t="e">
        <v>#N/A</v>
      </c>
      <c r="BQ2355">
        <v>0.11332468572476186</v>
      </c>
      <c r="BR2355" t="str">
        <v/>
      </c>
    </row>
    <row r="2356" spans="47:70" x14ac:dyDescent="0.2">
      <c r="AU2356"/>
      <c r="AV2356"/>
      <c r="AW2356"/>
      <c r="AX2356"/>
      <c r="AY2356"/>
      <c r="BK2356" s="42">
        <v>2355</v>
      </c>
      <c r="BL2356" s="127">
        <v>4</v>
      </c>
      <c r="BM2356" s="127">
        <v>0.11332468572476186</v>
      </c>
      <c r="BN2356" s="127" t="e">
        <v>#N/A</v>
      </c>
      <c r="BO2356" s="127" t="e">
        <v>#N/A</v>
      </c>
      <c r="BP2356" s="151" t="e">
        <v>#N/A</v>
      </c>
      <c r="BQ2356">
        <v>0.11332468572476186</v>
      </c>
      <c r="BR2356" t="str">
        <v/>
      </c>
    </row>
    <row r="2357" spans="47:70" x14ac:dyDescent="0.2">
      <c r="AU2357"/>
      <c r="AV2357"/>
      <c r="AW2357"/>
      <c r="AX2357"/>
      <c r="AY2357"/>
      <c r="BK2357" s="42">
        <v>2356</v>
      </c>
      <c r="BL2357" s="127">
        <v>4</v>
      </c>
      <c r="BM2357" s="127">
        <v>0.11332468572476186</v>
      </c>
      <c r="BN2357" s="127" t="e">
        <v>#N/A</v>
      </c>
      <c r="BO2357" s="127" t="e">
        <v>#N/A</v>
      </c>
      <c r="BP2357" s="151" t="e">
        <v>#N/A</v>
      </c>
      <c r="BQ2357">
        <v>0.11332468572476186</v>
      </c>
      <c r="BR2357" t="str">
        <v/>
      </c>
    </row>
    <row r="2358" spans="47:70" x14ac:dyDescent="0.2">
      <c r="AU2358"/>
      <c r="AV2358"/>
      <c r="AW2358"/>
      <c r="AX2358"/>
      <c r="AY2358"/>
      <c r="BK2358" s="42">
        <v>2357</v>
      </c>
      <c r="BL2358" s="127">
        <v>4</v>
      </c>
      <c r="BM2358" s="127">
        <v>0.11332468572476186</v>
      </c>
      <c r="BN2358" s="127" t="e">
        <v>#N/A</v>
      </c>
      <c r="BO2358" s="127" t="e">
        <v>#N/A</v>
      </c>
      <c r="BP2358" s="151" t="e">
        <v>#N/A</v>
      </c>
      <c r="BQ2358">
        <v>0.11332468572476186</v>
      </c>
      <c r="BR2358" t="str">
        <v/>
      </c>
    </row>
    <row r="2359" spans="47:70" x14ac:dyDescent="0.2">
      <c r="AU2359"/>
      <c r="AV2359"/>
      <c r="AW2359"/>
      <c r="AX2359"/>
      <c r="AY2359"/>
      <c r="BK2359" s="42">
        <v>2358</v>
      </c>
      <c r="BL2359" s="127">
        <v>4</v>
      </c>
      <c r="BM2359" s="127">
        <v>0.11332468572476186</v>
      </c>
      <c r="BN2359" s="127" t="e">
        <v>#N/A</v>
      </c>
      <c r="BO2359" s="127" t="e">
        <v>#N/A</v>
      </c>
      <c r="BP2359" s="151" t="e">
        <v>#N/A</v>
      </c>
      <c r="BQ2359">
        <v>0.11332468572476186</v>
      </c>
      <c r="BR2359" t="str">
        <v/>
      </c>
    </row>
    <row r="2360" spans="47:70" x14ac:dyDescent="0.2">
      <c r="AU2360"/>
      <c r="AV2360"/>
      <c r="AW2360"/>
      <c r="AX2360"/>
      <c r="AY2360"/>
      <c r="BK2360" s="42">
        <v>2359</v>
      </c>
      <c r="BL2360" s="127">
        <v>4</v>
      </c>
      <c r="BM2360" s="127">
        <v>0.11332468572476186</v>
      </c>
      <c r="BN2360" s="127" t="e">
        <v>#N/A</v>
      </c>
      <c r="BO2360" s="127" t="e">
        <v>#N/A</v>
      </c>
      <c r="BP2360" s="151" t="e">
        <v>#N/A</v>
      </c>
      <c r="BQ2360">
        <v>0.11332468572476186</v>
      </c>
      <c r="BR2360" t="str">
        <v/>
      </c>
    </row>
    <row r="2361" spans="47:70" x14ac:dyDescent="0.2">
      <c r="AU2361"/>
      <c r="AV2361"/>
      <c r="AW2361"/>
      <c r="AX2361"/>
      <c r="AY2361"/>
      <c r="BK2361" s="42">
        <v>2360</v>
      </c>
      <c r="BL2361" s="127">
        <v>4</v>
      </c>
      <c r="BM2361" s="127">
        <v>0.11332468572476186</v>
      </c>
      <c r="BN2361" s="127" t="e">
        <v>#N/A</v>
      </c>
      <c r="BO2361" s="127" t="e">
        <v>#N/A</v>
      </c>
      <c r="BP2361" s="151" t="e">
        <v>#N/A</v>
      </c>
      <c r="BQ2361">
        <v>0.11332468572476186</v>
      </c>
      <c r="BR2361" t="str">
        <v/>
      </c>
    </row>
    <row r="2362" spans="47:70" x14ac:dyDescent="0.2">
      <c r="AU2362"/>
      <c r="AV2362"/>
      <c r="AW2362"/>
      <c r="AX2362"/>
      <c r="AY2362"/>
      <c r="BK2362" s="42">
        <v>2361</v>
      </c>
      <c r="BL2362" s="127">
        <v>4</v>
      </c>
      <c r="BM2362" s="127">
        <v>0.11332468572476186</v>
      </c>
      <c r="BN2362" s="127" t="e">
        <v>#N/A</v>
      </c>
      <c r="BO2362" s="127" t="e">
        <v>#N/A</v>
      </c>
      <c r="BP2362" s="151" t="e">
        <v>#N/A</v>
      </c>
      <c r="BQ2362">
        <v>0.11332468572476186</v>
      </c>
      <c r="BR2362" t="str">
        <v/>
      </c>
    </row>
    <row r="2363" spans="47:70" x14ac:dyDescent="0.2">
      <c r="AU2363"/>
      <c r="AV2363"/>
      <c r="AW2363"/>
      <c r="AX2363"/>
      <c r="AY2363"/>
      <c r="BK2363" s="42">
        <v>2362</v>
      </c>
      <c r="BL2363" s="127">
        <v>4</v>
      </c>
      <c r="BM2363" s="127">
        <v>0.11332468572476186</v>
      </c>
      <c r="BN2363" s="127" t="e">
        <v>#N/A</v>
      </c>
      <c r="BO2363" s="127" t="e">
        <v>#N/A</v>
      </c>
      <c r="BP2363" s="151" t="e">
        <v>#N/A</v>
      </c>
      <c r="BQ2363">
        <v>0.11332468572476186</v>
      </c>
      <c r="BR2363" t="str">
        <v/>
      </c>
    </row>
    <row r="2364" spans="47:70" x14ac:dyDescent="0.2">
      <c r="AU2364"/>
      <c r="AV2364"/>
      <c r="AW2364"/>
      <c r="AX2364"/>
      <c r="AY2364"/>
      <c r="BK2364" s="42">
        <v>2363</v>
      </c>
      <c r="BL2364" s="127">
        <v>4</v>
      </c>
      <c r="BM2364" s="127">
        <v>0.11332468572476186</v>
      </c>
      <c r="BN2364" s="127" t="e">
        <v>#N/A</v>
      </c>
      <c r="BO2364" s="127" t="e">
        <v>#N/A</v>
      </c>
      <c r="BP2364" s="151" t="e">
        <v>#N/A</v>
      </c>
      <c r="BQ2364">
        <v>0.11332468572476186</v>
      </c>
      <c r="BR2364" t="str">
        <v/>
      </c>
    </row>
    <row r="2365" spans="47:70" x14ac:dyDescent="0.2">
      <c r="AU2365"/>
      <c r="AV2365"/>
      <c r="AW2365"/>
      <c r="AX2365"/>
      <c r="AY2365"/>
      <c r="BK2365" s="42">
        <v>2364</v>
      </c>
      <c r="BL2365" s="127">
        <v>4</v>
      </c>
      <c r="BM2365" s="127">
        <v>0.11332468572476186</v>
      </c>
      <c r="BN2365" s="127" t="e">
        <v>#N/A</v>
      </c>
      <c r="BO2365" s="127" t="e">
        <v>#N/A</v>
      </c>
      <c r="BP2365" s="151" t="e">
        <v>#N/A</v>
      </c>
      <c r="BQ2365">
        <v>0.11332468572476186</v>
      </c>
      <c r="BR2365" t="str">
        <v/>
      </c>
    </row>
    <row r="2366" spans="47:70" x14ac:dyDescent="0.2">
      <c r="AU2366"/>
      <c r="AV2366"/>
      <c r="AW2366"/>
      <c r="AX2366"/>
      <c r="AY2366"/>
      <c r="BK2366" s="42">
        <v>2365</v>
      </c>
      <c r="BL2366" s="127">
        <v>4</v>
      </c>
      <c r="BM2366" s="127">
        <v>0.11332468572476186</v>
      </c>
      <c r="BN2366" s="127" t="e">
        <v>#N/A</v>
      </c>
      <c r="BO2366" s="127" t="e">
        <v>#N/A</v>
      </c>
      <c r="BP2366" s="151" t="e">
        <v>#N/A</v>
      </c>
      <c r="BQ2366">
        <v>0.11332468572476186</v>
      </c>
      <c r="BR2366" t="str">
        <v/>
      </c>
    </row>
    <row r="2367" spans="47:70" x14ac:dyDescent="0.2">
      <c r="AU2367"/>
      <c r="AV2367"/>
      <c r="AW2367"/>
      <c r="AX2367"/>
      <c r="AY2367"/>
      <c r="BK2367" s="42">
        <v>2366</v>
      </c>
      <c r="BL2367" s="127">
        <v>4</v>
      </c>
      <c r="BM2367" s="127">
        <v>0.11332468572476186</v>
      </c>
      <c r="BN2367" s="127" t="e">
        <v>#N/A</v>
      </c>
      <c r="BO2367" s="127" t="e">
        <v>#N/A</v>
      </c>
      <c r="BP2367" s="151" t="e">
        <v>#N/A</v>
      </c>
      <c r="BQ2367">
        <v>0.11332468572476186</v>
      </c>
      <c r="BR2367" t="str">
        <v/>
      </c>
    </row>
    <row r="2368" spans="47:70" x14ac:dyDescent="0.2">
      <c r="AU2368"/>
      <c r="AV2368"/>
      <c r="AW2368"/>
      <c r="AX2368"/>
      <c r="AY2368"/>
      <c r="BK2368" s="42">
        <v>2367</v>
      </c>
      <c r="BL2368" s="127">
        <v>4</v>
      </c>
      <c r="BM2368" s="127">
        <v>0.11332468572476186</v>
      </c>
      <c r="BN2368" s="127" t="e">
        <v>#N/A</v>
      </c>
      <c r="BO2368" s="127" t="e">
        <v>#N/A</v>
      </c>
      <c r="BP2368" s="151" t="e">
        <v>#N/A</v>
      </c>
      <c r="BQ2368">
        <v>0.11332468572476186</v>
      </c>
      <c r="BR2368" t="str">
        <v/>
      </c>
    </row>
    <row r="2369" spans="47:70" x14ac:dyDescent="0.2">
      <c r="AU2369"/>
      <c r="AV2369"/>
      <c r="AW2369"/>
      <c r="AX2369"/>
      <c r="AY2369"/>
      <c r="BK2369" s="42">
        <v>2368</v>
      </c>
      <c r="BL2369" s="127">
        <v>4</v>
      </c>
      <c r="BM2369" s="127">
        <v>0.11332468572476186</v>
      </c>
      <c r="BN2369" s="127" t="e">
        <v>#N/A</v>
      </c>
      <c r="BO2369" s="127" t="e">
        <v>#N/A</v>
      </c>
      <c r="BP2369" s="151" t="e">
        <v>#N/A</v>
      </c>
      <c r="BQ2369">
        <v>0.11332468572476186</v>
      </c>
      <c r="BR2369" t="str">
        <v/>
      </c>
    </row>
    <row r="2370" spans="47:70" x14ac:dyDescent="0.2">
      <c r="AU2370"/>
      <c r="AV2370"/>
      <c r="AW2370"/>
      <c r="AX2370"/>
      <c r="AY2370"/>
      <c r="BK2370" s="42">
        <v>2369</v>
      </c>
      <c r="BL2370" s="127">
        <v>4</v>
      </c>
      <c r="BM2370" s="127">
        <v>0.11332468572476186</v>
      </c>
      <c r="BN2370" s="127" t="e">
        <v>#N/A</v>
      </c>
      <c r="BO2370" s="127" t="e">
        <v>#N/A</v>
      </c>
      <c r="BP2370" s="151" t="e">
        <v>#N/A</v>
      </c>
      <c r="BQ2370">
        <v>0.11332468572476186</v>
      </c>
      <c r="BR2370" t="str">
        <v/>
      </c>
    </row>
    <row r="2371" spans="47:70" x14ac:dyDescent="0.2">
      <c r="AU2371"/>
      <c r="AV2371"/>
      <c r="AW2371"/>
      <c r="AX2371"/>
      <c r="AY2371"/>
      <c r="BK2371" s="42">
        <v>2370</v>
      </c>
      <c r="BL2371" s="127">
        <v>4</v>
      </c>
      <c r="BM2371" s="127">
        <v>0.11332468572476186</v>
      </c>
      <c r="BN2371" s="127" t="e">
        <v>#N/A</v>
      </c>
      <c r="BO2371" s="127" t="e">
        <v>#N/A</v>
      </c>
      <c r="BP2371" s="151" t="e">
        <v>#N/A</v>
      </c>
      <c r="BQ2371">
        <v>0.11332468572476186</v>
      </c>
      <c r="BR2371" t="str">
        <v/>
      </c>
    </row>
    <row r="2372" spans="47:70" x14ac:dyDescent="0.2">
      <c r="AU2372"/>
      <c r="AV2372"/>
      <c r="AW2372"/>
      <c r="AX2372"/>
      <c r="AY2372"/>
      <c r="BK2372" s="42">
        <v>2371</v>
      </c>
      <c r="BL2372" s="127">
        <v>4</v>
      </c>
      <c r="BM2372" s="127">
        <v>0.11332468572476186</v>
      </c>
      <c r="BN2372" s="127" t="e">
        <v>#N/A</v>
      </c>
      <c r="BO2372" s="127" t="e">
        <v>#N/A</v>
      </c>
      <c r="BP2372" s="151" t="e">
        <v>#N/A</v>
      </c>
      <c r="BQ2372">
        <v>0.11332468572476186</v>
      </c>
      <c r="BR2372" t="str">
        <v/>
      </c>
    </row>
    <row r="2373" spans="47:70" x14ac:dyDescent="0.2">
      <c r="AU2373"/>
      <c r="AV2373"/>
      <c r="AW2373"/>
      <c r="AX2373"/>
      <c r="AY2373"/>
      <c r="BK2373" s="42">
        <v>2372</v>
      </c>
      <c r="BL2373" s="127">
        <v>4</v>
      </c>
      <c r="BM2373" s="127">
        <v>0.11332468572476186</v>
      </c>
      <c r="BN2373" s="127" t="e">
        <v>#N/A</v>
      </c>
      <c r="BO2373" s="127" t="e">
        <v>#N/A</v>
      </c>
      <c r="BP2373" s="151" t="e">
        <v>#N/A</v>
      </c>
      <c r="BQ2373">
        <v>0.11332468572476186</v>
      </c>
      <c r="BR2373" t="str">
        <v/>
      </c>
    </row>
    <row r="2374" spans="47:70" x14ac:dyDescent="0.2">
      <c r="AU2374"/>
      <c r="AV2374"/>
      <c r="AW2374"/>
      <c r="AX2374"/>
      <c r="AY2374"/>
      <c r="BK2374" s="42">
        <v>2373</v>
      </c>
      <c r="BL2374" s="127">
        <v>4</v>
      </c>
      <c r="BM2374" s="127">
        <v>0.11332468572476186</v>
      </c>
      <c r="BN2374" s="127" t="e">
        <v>#N/A</v>
      </c>
      <c r="BO2374" s="127" t="e">
        <v>#N/A</v>
      </c>
      <c r="BP2374" s="151" t="e">
        <v>#N/A</v>
      </c>
      <c r="BQ2374">
        <v>0.11332468572476186</v>
      </c>
      <c r="BR2374" t="str">
        <v/>
      </c>
    </row>
    <row r="2375" spans="47:70" x14ac:dyDescent="0.2">
      <c r="AU2375"/>
      <c r="AV2375"/>
      <c r="AW2375"/>
      <c r="AX2375"/>
      <c r="AY2375"/>
      <c r="BK2375" s="42">
        <v>2374</v>
      </c>
      <c r="BL2375" s="127">
        <v>4</v>
      </c>
      <c r="BM2375" s="127">
        <v>0.11332468572476186</v>
      </c>
      <c r="BN2375" s="127" t="e">
        <v>#N/A</v>
      </c>
      <c r="BO2375" s="127" t="e">
        <v>#N/A</v>
      </c>
      <c r="BP2375" s="151" t="e">
        <v>#N/A</v>
      </c>
      <c r="BQ2375">
        <v>0.11332468572476186</v>
      </c>
      <c r="BR2375" t="str">
        <v/>
      </c>
    </row>
    <row r="2376" spans="47:70" x14ac:dyDescent="0.2">
      <c r="AU2376"/>
      <c r="AV2376"/>
      <c r="AW2376"/>
      <c r="AX2376"/>
      <c r="AY2376"/>
      <c r="BK2376" s="42">
        <v>2375</v>
      </c>
      <c r="BL2376" s="127">
        <v>4</v>
      </c>
      <c r="BM2376" s="127">
        <v>0.11332468572476186</v>
      </c>
      <c r="BN2376" s="127" t="e">
        <v>#N/A</v>
      </c>
      <c r="BO2376" s="127" t="e">
        <v>#N/A</v>
      </c>
      <c r="BP2376" s="151" t="e">
        <v>#N/A</v>
      </c>
      <c r="BQ2376">
        <v>0.11332468572476186</v>
      </c>
      <c r="BR2376" t="str">
        <v/>
      </c>
    </row>
    <row r="2377" spans="47:70" x14ac:dyDescent="0.2">
      <c r="AU2377"/>
      <c r="AV2377"/>
      <c r="AW2377"/>
      <c r="AX2377"/>
      <c r="AY2377"/>
      <c r="BK2377" s="42">
        <v>2376</v>
      </c>
      <c r="BL2377" s="127">
        <v>4</v>
      </c>
      <c r="BM2377" s="127">
        <v>0.11332468572476186</v>
      </c>
      <c r="BN2377" s="127" t="e">
        <v>#N/A</v>
      </c>
      <c r="BO2377" s="127" t="e">
        <v>#N/A</v>
      </c>
      <c r="BP2377" s="151" t="e">
        <v>#N/A</v>
      </c>
      <c r="BQ2377">
        <v>0.11332468572476186</v>
      </c>
      <c r="BR2377" t="str">
        <v/>
      </c>
    </row>
    <row r="2378" spans="47:70" x14ac:dyDescent="0.2">
      <c r="AU2378"/>
      <c r="AV2378"/>
      <c r="AW2378"/>
      <c r="AX2378"/>
      <c r="AY2378"/>
      <c r="BK2378" s="42">
        <v>2377</v>
      </c>
      <c r="BL2378" s="127">
        <v>4</v>
      </c>
      <c r="BM2378" s="127">
        <v>0.11332468572476186</v>
      </c>
      <c r="BN2378" s="127" t="e">
        <v>#N/A</v>
      </c>
      <c r="BO2378" s="127" t="e">
        <v>#N/A</v>
      </c>
      <c r="BP2378" s="151" t="e">
        <v>#N/A</v>
      </c>
      <c r="BQ2378">
        <v>0.11332468572476186</v>
      </c>
      <c r="BR2378" t="str">
        <v/>
      </c>
    </row>
    <row r="2379" spans="47:70" x14ac:dyDescent="0.2">
      <c r="AU2379"/>
      <c r="AV2379"/>
      <c r="AW2379"/>
      <c r="AX2379"/>
      <c r="AY2379"/>
      <c r="BK2379" s="42">
        <v>2378</v>
      </c>
      <c r="BL2379" s="127">
        <v>4</v>
      </c>
      <c r="BM2379" s="127">
        <v>0.11332468572476186</v>
      </c>
      <c r="BN2379" s="127" t="e">
        <v>#N/A</v>
      </c>
      <c r="BO2379" s="127" t="e">
        <v>#N/A</v>
      </c>
      <c r="BP2379" s="151" t="e">
        <v>#N/A</v>
      </c>
      <c r="BQ2379">
        <v>0.11332468572476186</v>
      </c>
      <c r="BR2379" t="str">
        <v/>
      </c>
    </row>
    <row r="2380" spans="47:70" x14ac:dyDescent="0.2">
      <c r="AU2380"/>
      <c r="AV2380"/>
      <c r="AW2380"/>
      <c r="AX2380"/>
      <c r="AY2380"/>
      <c r="BK2380" s="42">
        <v>2379</v>
      </c>
      <c r="BL2380" s="127">
        <v>4</v>
      </c>
      <c r="BM2380" s="127">
        <v>0.11332468572476186</v>
      </c>
      <c r="BN2380" s="127" t="e">
        <v>#N/A</v>
      </c>
      <c r="BO2380" s="127" t="e">
        <v>#N/A</v>
      </c>
      <c r="BP2380" s="151" t="e">
        <v>#N/A</v>
      </c>
      <c r="BQ2380">
        <v>0.11332468572476186</v>
      </c>
      <c r="BR2380" t="str">
        <v/>
      </c>
    </row>
    <row r="2381" spans="47:70" x14ac:dyDescent="0.2">
      <c r="AU2381"/>
      <c r="AV2381"/>
      <c r="AW2381"/>
      <c r="AX2381"/>
      <c r="AY2381"/>
      <c r="BK2381" s="42">
        <v>2380</v>
      </c>
      <c r="BL2381" s="127">
        <v>4</v>
      </c>
      <c r="BM2381" s="127">
        <v>0.11332468572476186</v>
      </c>
      <c r="BN2381" s="127" t="e">
        <v>#N/A</v>
      </c>
      <c r="BO2381" s="127" t="e">
        <v>#N/A</v>
      </c>
      <c r="BP2381" s="151" t="e">
        <v>#N/A</v>
      </c>
      <c r="BQ2381">
        <v>0.11332468572476186</v>
      </c>
      <c r="BR2381" t="str">
        <v/>
      </c>
    </row>
    <row r="2382" spans="47:70" x14ac:dyDescent="0.2">
      <c r="AU2382"/>
      <c r="AV2382"/>
      <c r="AW2382"/>
      <c r="AX2382"/>
      <c r="AY2382"/>
      <c r="BK2382" s="42">
        <v>2381</v>
      </c>
      <c r="BL2382" s="127">
        <v>4</v>
      </c>
      <c r="BM2382" s="127">
        <v>0.11332468572476186</v>
      </c>
      <c r="BN2382" s="127" t="e">
        <v>#N/A</v>
      </c>
      <c r="BO2382" s="127" t="e">
        <v>#N/A</v>
      </c>
      <c r="BP2382" s="151" t="e">
        <v>#N/A</v>
      </c>
      <c r="BQ2382">
        <v>0.11332468572476186</v>
      </c>
      <c r="BR2382" t="str">
        <v/>
      </c>
    </row>
    <row r="2383" spans="47:70" x14ac:dyDescent="0.2">
      <c r="AU2383"/>
      <c r="AV2383"/>
      <c r="AW2383"/>
      <c r="AX2383"/>
      <c r="AY2383"/>
      <c r="BK2383" s="42">
        <v>2382</v>
      </c>
      <c r="BL2383" s="127">
        <v>4</v>
      </c>
      <c r="BM2383" s="127">
        <v>0.11332468572476186</v>
      </c>
      <c r="BN2383" s="127" t="e">
        <v>#N/A</v>
      </c>
      <c r="BO2383" s="127" t="e">
        <v>#N/A</v>
      </c>
      <c r="BP2383" s="151" t="e">
        <v>#N/A</v>
      </c>
      <c r="BQ2383">
        <v>0.11332468572476186</v>
      </c>
      <c r="BR2383" t="str">
        <v/>
      </c>
    </row>
    <row r="2384" spans="47:70" x14ac:dyDescent="0.2">
      <c r="AU2384"/>
      <c r="AV2384"/>
      <c r="AW2384"/>
      <c r="AX2384"/>
      <c r="AY2384"/>
      <c r="BK2384" s="42">
        <v>2383</v>
      </c>
      <c r="BL2384" s="127">
        <v>4</v>
      </c>
      <c r="BM2384" s="127">
        <v>0.11332468572476186</v>
      </c>
      <c r="BN2384" s="127" t="e">
        <v>#N/A</v>
      </c>
      <c r="BO2384" s="127" t="e">
        <v>#N/A</v>
      </c>
      <c r="BP2384" s="151" t="e">
        <v>#N/A</v>
      </c>
      <c r="BQ2384">
        <v>0.11332468572476186</v>
      </c>
      <c r="BR2384" t="str">
        <v/>
      </c>
    </row>
    <row r="2385" spans="47:70" x14ac:dyDescent="0.2">
      <c r="AU2385"/>
      <c r="AV2385"/>
      <c r="AW2385"/>
      <c r="AX2385"/>
      <c r="AY2385"/>
      <c r="BK2385" s="42">
        <v>2384</v>
      </c>
      <c r="BL2385" s="127">
        <v>4</v>
      </c>
      <c r="BM2385" s="127">
        <v>0.11332468572476186</v>
      </c>
      <c r="BN2385" s="127" t="e">
        <v>#N/A</v>
      </c>
      <c r="BO2385" s="127" t="e">
        <v>#N/A</v>
      </c>
      <c r="BP2385" s="151" t="e">
        <v>#N/A</v>
      </c>
      <c r="BQ2385">
        <v>0.11332468572476186</v>
      </c>
      <c r="BR2385" t="str">
        <v/>
      </c>
    </row>
    <row r="2386" spans="47:70" x14ac:dyDescent="0.2">
      <c r="AU2386"/>
      <c r="AV2386"/>
      <c r="AW2386"/>
      <c r="AX2386"/>
      <c r="AY2386"/>
      <c r="BK2386" s="42">
        <v>2385</v>
      </c>
      <c r="BL2386" s="127">
        <v>4</v>
      </c>
      <c r="BM2386" s="127">
        <v>0.11332468572476186</v>
      </c>
      <c r="BN2386" s="127" t="e">
        <v>#N/A</v>
      </c>
      <c r="BO2386" s="127" t="e">
        <v>#N/A</v>
      </c>
      <c r="BP2386" s="151" t="e">
        <v>#N/A</v>
      </c>
      <c r="BQ2386">
        <v>0.11332468572476186</v>
      </c>
      <c r="BR2386" t="str">
        <v/>
      </c>
    </row>
    <row r="2387" spans="47:70" x14ac:dyDescent="0.2">
      <c r="AU2387"/>
      <c r="AV2387"/>
      <c r="AW2387"/>
      <c r="AX2387"/>
      <c r="AY2387"/>
      <c r="BK2387" s="42">
        <v>2386</v>
      </c>
      <c r="BL2387" s="127">
        <v>4</v>
      </c>
      <c r="BM2387" s="127">
        <v>0.11332468572476186</v>
      </c>
      <c r="BN2387" s="127" t="e">
        <v>#N/A</v>
      </c>
      <c r="BO2387" s="127" t="e">
        <v>#N/A</v>
      </c>
      <c r="BP2387" s="151" t="e">
        <v>#N/A</v>
      </c>
      <c r="BQ2387">
        <v>0.11332468572476186</v>
      </c>
      <c r="BR2387" t="str">
        <v/>
      </c>
    </row>
    <row r="2388" spans="47:70" x14ac:dyDescent="0.2">
      <c r="AU2388"/>
      <c r="AV2388"/>
      <c r="AW2388"/>
      <c r="AX2388"/>
      <c r="AY2388"/>
      <c r="BK2388" s="42">
        <v>2387</v>
      </c>
      <c r="BL2388" s="127">
        <v>4</v>
      </c>
      <c r="BM2388" s="127">
        <v>0.11332468572476186</v>
      </c>
      <c r="BN2388" s="127" t="e">
        <v>#N/A</v>
      </c>
      <c r="BO2388" s="127" t="e">
        <v>#N/A</v>
      </c>
      <c r="BP2388" s="151" t="e">
        <v>#N/A</v>
      </c>
      <c r="BQ2388">
        <v>0.11332468572476186</v>
      </c>
      <c r="BR2388" t="str">
        <v/>
      </c>
    </row>
    <row r="2389" spans="47:70" x14ac:dyDescent="0.2">
      <c r="AU2389"/>
      <c r="AV2389"/>
      <c r="AW2389"/>
      <c r="AX2389"/>
      <c r="AY2389"/>
      <c r="BK2389" s="42">
        <v>2388</v>
      </c>
      <c r="BL2389" s="127">
        <v>4</v>
      </c>
      <c r="BM2389" s="127">
        <v>0.11332468572476186</v>
      </c>
      <c r="BN2389" s="127" t="e">
        <v>#N/A</v>
      </c>
      <c r="BO2389" s="127" t="e">
        <v>#N/A</v>
      </c>
      <c r="BP2389" s="151" t="e">
        <v>#N/A</v>
      </c>
      <c r="BQ2389">
        <v>0.11332468572476186</v>
      </c>
      <c r="BR2389" t="str">
        <v/>
      </c>
    </row>
    <row r="2390" spans="47:70" x14ac:dyDescent="0.2">
      <c r="AU2390"/>
      <c r="AV2390"/>
      <c r="AW2390"/>
      <c r="AX2390"/>
      <c r="AY2390"/>
      <c r="BK2390" s="42">
        <v>2389</v>
      </c>
      <c r="BL2390" s="127">
        <v>4</v>
      </c>
      <c r="BM2390" s="127">
        <v>0.11332468572476186</v>
      </c>
      <c r="BN2390" s="127" t="e">
        <v>#N/A</v>
      </c>
      <c r="BO2390" s="127" t="e">
        <v>#N/A</v>
      </c>
      <c r="BP2390" s="151" t="e">
        <v>#N/A</v>
      </c>
      <c r="BQ2390">
        <v>0.11332468572476186</v>
      </c>
      <c r="BR2390" t="str">
        <v/>
      </c>
    </row>
    <row r="2391" spans="47:70" x14ac:dyDescent="0.2">
      <c r="AU2391"/>
      <c r="AV2391"/>
      <c r="AW2391"/>
      <c r="AX2391"/>
      <c r="AY2391"/>
      <c r="BK2391" s="42">
        <v>2390</v>
      </c>
      <c r="BL2391" s="127">
        <v>4</v>
      </c>
      <c r="BM2391" s="127">
        <v>0.11332468572476186</v>
      </c>
      <c r="BN2391" s="127" t="e">
        <v>#N/A</v>
      </c>
      <c r="BO2391" s="127" t="e">
        <v>#N/A</v>
      </c>
      <c r="BP2391" s="151" t="e">
        <v>#N/A</v>
      </c>
      <c r="BQ2391">
        <v>0.11332468572476186</v>
      </c>
      <c r="BR2391" t="str">
        <v/>
      </c>
    </row>
    <row r="2392" spans="47:70" x14ac:dyDescent="0.2">
      <c r="AU2392"/>
      <c r="AV2392"/>
      <c r="AW2392"/>
      <c r="AX2392"/>
      <c r="AY2392"/>
      <c r="BK2392" s="42">
        <v>2391</v>
      </c>
      <c r="BL2392" s="127">
        <v>4</v>
      </c>
      <c r="BM2392" s="127">
        <v>0.11332468572476186</v>
      </c>
      <c r="BN2392" s="127" t="e">
        <v>#N/A</v>
      </c>
      <c r="BO2392" s="127" t="e">
        <v>#N/A</v>
      </c>
      <c r="BP2392" s="151" t="e">
        <v>#N/A</v>
      </c>
      <c r="BQ2392">
        <v>0.11332468572476186</v>
      </c>
      <c r="BR2392" t="str">
        <v/>
      </c>
    </row>
    <row r="2393" spans="47:70" x14ac:dyDescent="0.2">
      <c r="AU2393"/>
      <c r="AV2393"/>
      <c r="AW2393"/>
      <c r="AX2393"/>
      <c r="AY2393"/>
      <c r="BK2393" s="42">
        <v>2392</v>
      </c>
      <c r="BL2393" s="127">
        <v>4</v>
      </c>
      <c r="BM2393" s="127">
        <v>0.11332468572476186</v>
      </c>
      <c r="BN2393" s="127" t="e">
        <v>#N/A</v>
      </c>
      <c r="BO2393" s="127" t="e">
        <v>#N/A</v>
      </c>
      <c r="BP2393" s="151" t="e">
        <v>#N/A</v>
      </c>
      <c r="BQ2393">
        <v>0.11332468572476186</v>
      </c>
      <c r="BR2393" t="str">
        <v/>
      </c>
    </row>
    <row r="2394" spans="47:70" x14ac:dyDescent="0.2">
      <c r="AU2394"/>
      <c r="AV2394"/>
      <c r="AW2394"/>
      <c r="AX2394"/>
      <c r="AY2394"/>
      <c r="BK2394" s="42">
        <v>2393</v>
      </c>
      <c r="BL2394" s="127">
        <v>4</v>
      </c>
      <c r="BM2394" s="127">
        <v>0.11332468572476186</v>
      </c>
      <c r="BN2394" s="127" t="e">
        <v>#N/A</v>
      </c>
      <c r="BO2394" s="127" t="e">
        <v>#N/A</v>
      </c>
      <c r="BP2394" s="151" t="e">
        <v>#N/A</v>
      </c>
      <c r="BQ2394">
        <v>0.11332468572476186</v>
      </c>
      <c r="BR2394" t="str">
        <v/>
      </c>
    </row>
    <row r="2395" spans="47:70" x14ac:dyDescent="0.2">
      <c r="AU2395"/>
      <c r="AV2395"/>
      <c r="AW2395"/>
      <c r="AX2395"/>
      <c r="AY2395"/>
      <c r="BK2395" s="42">
        <v>2394</v>
      </c>
      <c r="BL2395" s="127">
        <v>4</v>
      </c>
      <c r="BM2395" s="127">
        <v>0.11332468572476186</v>
      </c>
      <c r="BN2395" s="127" t="e">
        <v>#N/A</v>
      </c>
      <c r="BO2395" s="127" t="e">
        <v>#N/A</v>
      </c>
      <c r="BP2395" s="151" t="e">
        <v>#N/A</v>
      </c>
      <c r="BQ2395">
        <v>0.11332468572476186</v>
      </c>
      <c r="BR2395" t="str">
        <v/>
      </c>
    </row>
    <row r="2396" spans="47:70" x14ac:dyDescent="0.2">
      <c r="AU2396"/>
      <c r="AV2396"/>
      <c r="AW2396"/>
      <c r="AX2396"/>
      <c r="AY2396"/>
      <c r="BK2396" s="42">
        <v>2395</v>
      </c>
      <c r="BL2396" s="127">
        <v>4</v>
      </c>
      <c r="BM2396" s="127">
        <v>0.11332468572476186</v>
      </c>
      <c r="BN2396" s="127" t="e">
        <v>#N/A</v>
      </c>
      <c r="BO2396" s="127" t="e">
        <v>#N/A</v>
      </c>
      <c r="BP2396" s="151" t="e">
        <v>#N/A</v>
      </c>
      <c r="BQ2396">
        <v>0.11332468572476186</v>
      </c>
      <c r="BR2396" t="str">
        <v/>
      </c>
    </row>
    <row r="2397" spans="47:70" x14ac:dyDescent="0.2">
      <c r="AU2397"/>
      <c r="AV2397"/>
      <c r="AW2397"/>
      <c r="AX2397"/>
      <c r="AY2397"/>
      <c r="BK2397" s="42">
        <v>2396</v>
      </c>
      <c r="BL2397" s="127">
        <v>4</v>
      </c>
      <c r="BM2397" s="127">
        <v>0.11332468572476186</v>
      </c>
      <c r="BN2397" s="127" t="e">
        <v>#N/A</v>
      </c>
      <c r="BO2397" s="127" t="e">
        <v>#N/A</v>
      </c>
      <c r="BP2397" s="151" t="e">
        <v>#N/A</v>
      </c>
      <c r="BQ2397">
        <v>0.11332468572476186</v>
      </c>
      <c r="BR2397" t="str">
        <v/>
      </c>
    </row>
    <row r="2398" spans="47:70" x14ac:dyDescent="0.2">
      <c r="AU2398"/>
      <c r="AV2398"/>
      <c r="AW2398"/>
      <c r="AX2398"/>
      <c r="AY2398"/>
      <c r="BK2398" s="42">
        <v>2397</v>
      </c>
      <c r="BL2398" s="127">
        <v>4</v>
      </c>
      <c r="BM2398" s="127">
        <v>0.11332468572476186</v>
      </c>
      <c r="BN2398" s="127" t="e">
        <v>#N/A</v>
      </c>
      <c r="BO2398" s="127" t="e">
        <v>#N/A</v>
      </c>
      <c r="BP2398" s="151" t="e">
        <v>#N/A</v>
      </c>
      <c r="BQ2398">
        <v>0.11332468572476186</v>
      </c>
      <c r="BR2398" t="str">
        <v/>
      </c>
    </row>
    <row r="2399" spans="47:70" x14ac:dyDescent="0.2">
      <c r="AU2399"/>
      <c r="AV2399"/>
      <c r="AW2399"/>
      <c r="AX2399"/>
      <c r="AY2399"/>
      <c r="BK2399" s="42">
        <v>2398</v>
      </c>
      <c r="BL2399" s="127">
        <v>4</v>
      </c>
      <c r="BM2399" s="127">
        <v>0.11332468572476186</v>
      </c>
      <c r="BN2399" s="127" t="e">
        <v>#N/A</v>
      </c>
      <c r="BO2399" s="127" t="e">
        <v>#N/A</v>
      </c>
      <c r="BP2399" s="151" t="e">
        <v>#N/A</v>
      </c>
      <c r="BQ2399">
        <v>0.11332468572476186</v>
      </c>
      <c r="BR2399" t="str">
        <v/>
      </c>
    </row>
    <row r="2400" spans="47:70" x14ac:dyDescent="0.2">
      <c r="AU2400"/>
      <c r="AV2400"/>
      <c r="AW2400"/>
      <c r="AX2400"/>
      <c r="AY2400"/>
      <c r="BK2400" s="42">
        <v>2399</v>
      </c>
      <c r="BL2400" s="127">
        <v>4</v>
      </c>
      <c r="BM2400" s="127">
        <v>0.11332468572476186</v>
      </c>
      <c r="BN2400" s="127" t="e">
        <v>#N/A</v>
      </c>
      <c r="BO2400" s="127" t="e">
        <v>#N/A</v>
      </c>
      <c r="BP2400" s="151" t="e">
        <v>#N/A</v>
      </c>
      <c r="BQ2400">
        <v>0.11332468572476186</v>
      </c>
      <c r="BR2400" t="str">
        <v/>
      </c>
    </row>
    <row r="2401" spans="47:70" x14ac:dyDescent="0.2">
      <c r="AU2401"/>
      <c r="AV2401"/>
      <c r="AW2401"/>
      <c r="AX2401"/>
      <c r="AY2401"/>
      <c r="BK2401" s="42">
        <v>2400</v>
      </c>
      <c r="BL2401" s="127">
        <v>4</v>
      </c>
      <c r="BM2401" s="127">
        <v>0.11332468572476186</v>
      </c>
      <c r="BN2401" s="127" t="e">
        <v>#N/A</v>
      </c>
      <c r="BO2401" s="127" t="e">
        <v>#N/A</v>
      </c>
      <c r="BP2401" s="151" t="e">
        <v>#N/A</v>
      </c>
      <c r="BQ2401">
        <v>0.11332468572476186</v>
      </c>
      <c r="BR2401" t="str">
        <v/>
      </c>
    </row>
    <row r="2402" spans="47:70" x14ac:dyDescent="0.2">
      <c r="AU2402"/>
      <c r="AV2402"/>
      <c r="AW2402"/>
      <c r="AX2402"/>
      <c r="AY2402"/>
      <c r="BK2402" s="42">
        <v>2401</v>
      </c>
      <c r="BL2402" s="127">
        <v>4</v>
      </c>
      <c r="BM2402" s="127">
        <v>0.11332468572476186</v>
      </c>
      <c r="BN2402" s="127" t="e">
        <v>#N/A</v>
      </c>
      <c r="BO2402" s="127" t="e">
        <v>#N/A</v>
      </c>
      <c r="BP2402" s="151" t="e">
        <v>#N/A</v>
      </c>
      <c r="BQ2402">
        <v>0.11332468572476186</v>
      </c>
      <c r="BR2402" t="str">
        <v/>
      </c>
    </row>
    <row r="2403" spans="47:70" x14ac:dyDescent="0.2">
      <c r="AU2403"/>
      <c r="AV2403"/>
      <c r="AW2403"/>
      <c r="AX2403"/>
      <c r="AY2403"/>
      <c r="BK2403" s="42">
        <v>2402</v>
      </c>
      <c r="BL2403" s="127">
        <v>4</v>
      </c>
      <c r="BM2403" s="127">
        <v>0.11332468572476186</v>
      </c>
      <c r="BN2403" s="127" t="e">
        <v>#N/A</v>
      </c>
      <c r="BO2403" s="127" t="e">
        <v>#N/A</v>
      </c>
      <c r="BP2403" s="151" t="e">
        <v>#N/A</v>
      </c>
      <c r="BQ2403">
        <v>0.11332468572476186</v>
      </c>
      <c r="BR2403" t="str">
        <v/>
      </c>
    </row>
    <row r="2404" spans="47:70" x14ac:dyDescent="0.2">
      <c r="AU2404"/>
      <c r="AV2404"/>
      <c r="AW2404"/>
      <c r="AX2404"/>
      <c r="AY2404"/>
      <c r="BK2404" s="42">
        <v>2403</v>
      </c>
      <c r="BL2404" s="127">
        <v>4</v>
      </c>
      <c r="BM2404" s="127">
        <v>0.11332468572476186</v>
      </c>
      <c r="BN2404" s="127" t="e">
        <v>#N/A</v>
      </c>
      <c r="BO2404" s="127" t="e">
        <v>#N/A</v>
      </c>
      <c r="BP2404" s="151" t="e">
        <v>#N/A</v>
      </c>
      <c r="BQ2404">
        <v>0.11332468572476186</v>
      </c>
      <c r="BR2404" t="str">
        <v/>
      </c>
    </row>
    <row r="2405" spans="47:70" x14ac:dyDescent="0.2">
      <c r="AU2405"/>
      <c r="AV2405"/>
      <c r="AW2405"/>
      <c r="AX2405"/>
      <c r="AY2405"/>
      <c r="BK2405" s="42">
        <v>2404</v>
      </c>
      <c r="BL2405" s="127">
        <v>4</v>
      </c>
      <c r="BM2405" s="127">
        <v>0.11332468572476186</v>
      </c>
      <c r="BN2405" s="127" t="e">
        <v>#N/A</v>
      </c>
      <c r="BO2405" s="127" t="e">
        <v>#N/A</v>
      </c>
      <c r="BP2405" s="151" t="e">
        <v>#N/A</v>
      </c>
      <c r="BQ2405">
        <v>0.11332468572476186</v>
      </c>
      <c r="BR2405" t="str">
        <v/>
      </c>
    </row>
    <row r="2406" spans="47:70" x14ac:dyDescent="0.2">
      <c r="AU2406"/>
      <c r="AV2406"/>
      <c r="AW2406"/>
      <c r="AX2406"/>
      <c r="AY2406"/>
      <c r="BK2406" s="42">
        <v>2405</v>
      </c>
      <c r="BL2406" s="127">
        <v>4</v>
      </c>
      <c r="BM2406" s="127">
        <v>0.11332468572476186</v>
      </c>
      <c r="BN2406" s="127" t="e">
        <v>#N/A</v>
      </c>
      <c r="BO2406" s="127" t="e">
        <v>#N/A</v>
      </c>
      <c r="BP2406" s="151" t="e">
        <v>#N/A</v>
      </c>
      <c r="BQ2406">
        <v>0.11332468572476186</v>
      </c>
      <c r="BR2406" t="str">
        <v/>
      </c>
    </row>
    <row r="2407" spans="47:70" x14ac:dyDescent="0.2">
      <c r="AU2407"/>
      <c r="AV2407"/>
      <c r="AW2407"/>
      <c r="AX2407"/>
      <c r="AY2407"/>
      <c r="BK2407" s="42">
        <v>2406</v>
      </c>
      <c r="BL2407" s="127">
        <v>4</v>
      </c>
      <c r="BM2407" s="127">
        <v>0.11332468572476186</v>
      </c>
      <c r="BN2407" s="127" t="e">
        <v>#N/A</v>
      </c>
      <c r="BO2407" s="127" t="e">
        <v>#N/A</v>
      </c>
      <c r="BP2407" s="151" t="e">
        <v>#N/A</v>
      </c>
      <c r="BQ2407">
        <v>0.11332468572476186</v>
      </c>
      <c r="BR2407" t="str">
        <v/>
      </c>
    </row>
    <row r="2408" spans="47:70" x14ac:dyDescent="0.2">
      <c r="AU2408"/>
      <c r="AV2408"/>
      <c r="AW2408"/>
      <c r="AX2408"/>
      <c r="AY2408"/>
      <c r="BK2408" s="42">
        <v>2407</v>
      </c>
      <c r="BL2408" s="127">
        <v>4</v>
      </c>
      <c r="BM2408" s="127">
        <v>0.11332468572476186</v>
      </c>
      <c r="BN2408" s="127" t="e">
        <v>#N/A</v>
      </c>
      <c r="BO2408" s="127" t="e">
        <v>#N/A</v>
      </c>
      <c r="BP2408" s="151" t="e">
        <v>#N/A</v>
      </c>
      <c r="BQ2408">
        <v>0.11332468572476186</v>
      </c>
      <c r="BR2408" t="str">
        <v/>
      </c>
    </row>
    <row r="2409" spans="47:70" x14ac:dyDescent="0.2">
      <c r="AU2409"/>
      <c r="AV2409"/>
      <c r="AW2409"/>
      <c r="AX2409"/>
      <c r="AY2409"/>
      <c r="BK2409" s="42">
        <v>2408</v>
      </c>
      <c r="BL2409" s="127">
        <v>4</v>
      </c>
      <c r="BM2409" s="127">
        <v>0.11332468572476186</v>
      </c>
      <c r="BN2409" s="127" t="e">
        <v>#N/A</v>
      </c>
      <c r="BO2409" s="127" t="e">
        <v>#N/A</v>
      </c>
      <c r="BP2409" s="151" t="e">
        <v>#N/A</v>
      </c>
      <c r="BQ2409">
        <v>0.11332468572476186</v>
      </c>
      <c r="BR2409" t="str">
        <v/>
      </c>
    </row>
    <row r="2410" spans="47:70" x14ac:dyDescent="0.2">
      <c r="AU2410"/>
      <c r="AV2410"/>
      <c r="AW2410"/>
      <c r="AX2410"/>
      <c r="AY2410"/>
      <c r="BK2410" s="42">
        <v>2409</v>
      </c>
      <c r="BL2410" s="127">
        <v>4</v>
      </c>
      <c r="BM2410" s="127">
        <v>0.11332468572476186</v>
      </c>
      <c r="BN2410" s="127" t="e">
        <v>#N/A</v>
      </c>
      <c r="BO2410" s="127" t="e">
        <v>#N/A</v>
      </c>
      <c r="BP2410" s="151" t="e">
        <v>#N/A</v>
      </c>
      <c r="BQ2410">
        <v>0.11332468572476186</v>
      </c>
      <c r="BR2410" t="str">
        <v/>
      </c>
    </row>
    <row r="2411" spans="47:70" x14ac:dyDescent="0.2">
      <c r="AU2411"/>
      <c r="AV2411"/>
      <c r="AW2411"/>
      <c r="AX2411"/>
      <c r="AY2411"/>
      <c r="BK2411" s="42">
        <v>2410</v>
      </c>
      <c r="BL2411" s="127">
        <v>4</v>
      </c>
      <c r="BM2411" s="127">
        <v>0.11332468572476186</v>
      </c>
      <c r="BN2411" s="127" t="e">
        <v>#N/A</v>
      </c>
      <c r="BO2411" s="127" t="e">
        <v>#N/A</v>
      </c>
      <c r="BP2411" s="151" t="e">
        <v>#N/A</v>
      </c>
      <c r="BQ2411">
        <v>0.11332468572476186</v>
      </c>
      <c r="BR2411" t="str">
        <v/>
      </c>
    </row>
    <row r="2412" spans="47:70" x14ac:dyDescent="0.2">
      <c r="AU2412"/>
      <c r="AV2412"/>
      <c r="AW2412"/>
      <c r="AX2412"/>
      <c r="AY2412"/>
      <c r="BK2412" s="42">
        <v>2411</v>
      </c>
      <c r="BL2412" s="127">
        <v>4</v>
      </c>
      <c r="BM2412" s="127">
        <v>0.11332468572476186</v>
      </c>
      <c r="BN2412" s="127" t="e">
        <v>#N/A</v>
      </c>
      <c r="BO2412" s="127" t="e">
        <v>#N/A</v>
      </c>
      <c r="BP2412" s="151" t="e">
        <v>#N/A</v>
      </c>
      <c r="BQ2412">
        <v>0.11332468572476186</v>
      </c>
      <c r="BR2412" t="str">
        <v/>
      </c>
    </row>
    <row r="2413" spans="47:70" x14ac:dyDescent="0.2">
      <c r="AU2413"/>
      <c r="AV2413"/>
      <c r="AW2413"/>
      <c r="AX2413"/>
      <c r="AY2413"/>
      <c r="BK2413" s="42">
        <v>2412</v>
      </c>
      <c r="BL2413" s="127">
        <v>4</v>
      </c>
      <c r="BM2413" s="127">
        <v>0.11332468572476186</v>
      </c>
      <c r="BN2413" s="127" t="e">
        <v>#N/A</v>
      </c>
      <c r="BO2413" s="127" t="e">
        <v>#N/A</v>
      </c>
      <c r="BP2413" s="151" t="e">
        <v>#N/A</v>
      </c>
      <c r="BQ2413">
        <v>0.11332468572476186</v>
      </c>
      <c r="BR2413" t="str">
        <v/>
      </c>
    </row>
    <row r="2414" spans="47:70" x14ac:dyDescent="0.2">
      <c r="AU2414"/>
      <c r="AV2414"/>
      <c r="AW2414"/>
      <c r="AX2414"/>
      <c r="AY2414"/>
      <c r="BK2414" s="42">
        <v>2413</v>
      </c>
      <c r="BL2414" s="127">
        <v>4</v>
      </c>
      <c r="BM2414" s="127">
        <v>0.11332468572476186</v>
      </c>
      <c r="BN2414" s="127" t="e">
        <v>#N/A</v>
      </c>
      <c r="BO2414" s="127" t="e">
        <v>#N/A</v>
      </c>
      <c r="BP2414" s="151" t="e">
        <v>#N/A</v>
      </c>
      <c r="BQ2414">
        <v>0.11332468572476186</v>
      </c>
      <c r="BR2414" t="str">
        <v/>
      </c>
    </row>
    <row r="2415" spans="47:70" x14ac:dyDescent="0.2">
      <c r="AU2415"/>
      <c r="AV2415"/>
      <c r="AW2415"/>
      <c r="AX2415"/>
      <c r="AY2415"/>
      <c r="BK2415" s="42">
        <v>2414</v>
      </c>
      <c r="BL2415" s="127">
        <v>4</v>
      </c>
      <c r="BM2415" s="127">
        <v>0.11332468572476186</v>
      </c>
      <c r="BN2415" s="127" t="e">
        <v>#N/A</v>
      </c>
      <c r="BO2415" s="127" t="e">
        <v>#N/A</v>
      </c>
      <c r="BP2415" s="151" t="e">
        <v>#N/A</v>
      </c>
      <c r="BQ2415">
        <v>0.11332468572476186</v>
      </c>
      <c r="BR2415" t="str">
        <v/>
      </c>
    </row>
    <row r="2416" spans="47:70" x14ac:dyDescent="0.2">
      <c r="AU2416"/>
      <c r="AV2416"/>
      <c r="AW2416"/>
      <c r="AX2416"/>
      <c r="AY2416"/>
      <c r="BK2416" s="42">
        <v>2415</v>
      </c>
      <c r="BL2416" s="127">
        <v>4</v>
      </c>
      <c r="BM2416" s="127">
        <v>0.11332468572476186</v>
      </c>
      <c r="BN2416" s="127" t="e">
        <v>#N/A</v>
      </c>
      <c r="BO2416" s="127" t="e">
        <v>#N/A</v>
      </c>
      <c r="BP2416" s="151" t="e">
        <v>#N/A</v>
      </c>
      <c r="BQ2416">
        <v>0.11332468572476186</v>
      </c>
      <c r="BR2416" t="str">
        <v/>
      </c>
    </row>
    <row r="2417" spans="47:70" x14ac:dyDescent="0.2">
      <c r="AU2417"/>
      <c r="AV2417"/>
      <c r="AW2417"/>
      <c r="AX2417"/>
      <c r="AY2417"/>
      <c r="BK2417" s="42">
        <v>2416</v>
      </c>
      <c r="BL2417" s="127">
        <v>4</v>
      </c>
      <c r="BM2417" s="127">
        <v>0.11332468572476186</v>
      </c>
      <c r="BN2417" s="127" t="e">
        <v>#N/A</v>
      </c>
      <c r="BO2417" s="127" t="e">
        <v>#N/A</v>
      </c>
      <c r="BP2417" s="151" t="e">
        <v>#N/A</v>
      </c>
      <c r="BQ2417">
        <v>0.11332468572476186</v>
      </c>
      <c r="BR2417" t="str">
        <v/>
      </c>
    </row>
    <row r="2418" spans="47:70" x14ac:dyDescent="0.2">
      <c r="AU2418"/>
      <c r="AV2418"/>
      <c r="AW2418"/>
      <c r="AX2418"/>
      <c r="AY2418"/>
      <c r="BK2418" s="42">
        <v>2417</v>
      </c>
      <c r="BL2418" s="127">
        <v>4</v>
      </c>
      <c r="BM2418" s="127">
        <v>0.11332468572476186</v>
      </c>
      <c r="BN2418" s="127" t="e">
        <v>#N/A</v>
      </c>
      <c r="BO2418" s="127" t="e">
        <v>#N/A</v>
      </c>
      <c r="BP2418" s="151" t="e">
        <v>#N/A</v>
      </c>
      <c r="BQ2418">
        <v>0.11332468572476186</v>
      </c>
      <c r="BR2418" t="str">
        <v/>
      </c>
    </row>
    <row r="2419" spans="47:70" x14ac:dyDescent="0.2">
      <c r="AU2419"/>
      <c r="AV2419"/>
      <c r="AW2419"/>
      <c r="AX2419"/>
      <c r="AY2419"/>
      <c r="BK2419" s="42">
        <v>2418</v>
      </c>
      <c r="BL2419" s="127">
        <v>4</v>
      </c>
      <c r="BM2419" s="127">
        <v>0.11332468572476186</v>
      </c>
      <c r="BN2419" s="127" t="e">
        <v>#N/A</v>
      </c>
      <c r="BO2419" s="127" t="e">
        <v>#N/A</v>
      </c>
      <c r="BP2419" s="151" t="e">
        <v>#N/A</v>
      </c>
      <c r="BQ2419">
        <v>0.11332468572476186</v>
      </c>
      <c r="BR2419" t="str">
        <v/>
      </c>
    </row>
    <row r="2420" spans="47:70" x14ac:dyDescent="0.2">
      <c r="AU2420"/>
      <c r="AV2420"/>
      <c r="AW2420"/>
      <c r="AX2420"/>
      <c r="AY2420"/>
      <c r="BK2420" s="42">
        <v>2419</v>
      </c>
      <c r="BL2420" s="127">
        <v>4</v>
      </c>
      <c r="BM2420" s="127">
        <v>0.11332468572476186</v>
      </c>
      <c r="BN2420" s="127" t="e">
        <v>#N/A</v>
      </c>
      <c r="BO2420" s="127" t="e">
        <v>#N/A</v>
      </c>
      <c r="BP2420" s="151" t="e">
        <v>#N/A</v>
      </c>
      <c r="BQ2420">
        <v>0.11332468572476186</v>
      </c>
      <c r="BR2420" t="str">
        <v/>
      </c>
    </row>
    <row r="2421" spans="47:70" x14ac:dyDescent="0.2">
      <c r="AU2421"/>
      <c r="AV2421"/>
      <c r="AW2421"/>
      <c r="AX2421"/>
      <c r="AY2421"/>
      <c r="BK2421" s="42">
        <v>2420</v>
      </c>
      <c r="BL2421" s="127">
        <v>4</v>
      </c>
      <c r="BM2421" s="127">
        <v>0.11332468572476186</v>
      </c>
      <c r="BN2421" s="127" t="e">
        <v>#N/A</v>
      </c>
      <c r="BO2421" s="127" t="e">
        <v>#N/A</v>
      </c>
      <c r="BP2421" s="151" t="e">
        <v>#N/A</v>
      </c>
      <c r="BQ2421">
        <v>0.11332468572476186</v>
      </c>
      <c r="BR2421" t="str">
        <v/>
      </c>
    </row>
    <row r="2422" spans="47:70" x14ac:dyDescent="0.2">
      <c r="AU2422"/>
      <c r="AV2422"/>
      <c r="AW2422"/>
      <c r="AX2422"/>
      <c r="AY2422"/>
      <c r="BK2422" s="42">
        <v>2421</v>
      </c>
      <c r="BL2422" s="127">
        <v>4</v>
      </c>
      <c r="BM2422" s="127">
        <v>0.11332468572476186</v>
      </c>
      <c r="BN2422" s="127" t="e">
        <v>#N/A</v>
      </c>
      <c r="BO2422" s="127" t="e">
        <v>#N/A</v>
      </c>
      <c r="BP2422" s="151" t="e">
        <v>#N/A</v>
      </c>
      <c r="BQ2422">
        <v>0.11332468572476186</v>
      </c>
      <c r="BR2422" t="str">
        <v/>
      </c>
    </row>
    <row r="2423" spans="47:70" x14ac:dyDescent="0.2">
      <c r="AU2423"/>
      <c r="AV2423"/>
      <c r="AW2423"/>
      <c r="AX2423"/>
      <c r="AY2423"/>
      <c r="BK2423" s="42">
        <v>2422</v>
      </c>
      <c r="BL2423" s="127">
        <v>4</v>
      </c>
      <c r="BM2423" s="127">
        <v>0.11332468572476186</v>
      </c>
      <c r="BN2423" s="127" t="e">
        <v>#N/A</v>
      </c>
      <c r="BO2423" s="127" t="e">
        <v>#N/A</v>
      </c>
      <c r="BP2423" s="151" t="e">
        <v>#N/A</v>
      </c>
      <c r="BQ2423">
        <v>0.11332468572476186</v>
      </c>
      <c r="BR2423" t="str">
        <v/>
      </c>
    </row>
    <row r="2424" spans="47:70" x14ac:dyDescent="0.2">
      <c r="AU2424"/>
      <c r="AV2424"/>
      <c r="AW2424"/>
      <c r="AX2424"/>
      <c r="AY2424"/>
      <c r="BK2424" s="42">
        <v>2423</v>
      </c>
      <c r="BL2424" s="127">
        <v>4</v>
      </c>
      <c r="BM2424" s="127">
        <v>0.11332468572476186</v>
      </c>
      <c r="BN2424" s="127" t="e">
        <v>#N/A</v>
      </c>
      <c r="BO2424" s="127" t="e">
        <v>#N/A</v>
      </c>
      <c r="BP2424" s="151" t="e">
        <v>#N/A</v>
      </c>
      <c r="BQ2424">
        <v>0.11332468572476186</v>
      </c>
      <c r="BR2424" t="str">
        <v/>
      </c>
    </row>
    <row r="2425" spans="47:70" x14ac:dyDescent="0.2">
      <c r="AU2425"/>
      <c r="AV2425"/>
      <c r="AW2425"/>
      <c r="AX2425"/>
      <c r="AY2425"/>
      <c r="BK2425" s="42">
        <v>2424</v>
      </c>
      <c r="BL2425" s="127">
        <v>4</v>
      </c>
      <c r="BM2425" s="127">
        <v>0.11332468572476186</v>
      </c>
      <c r="BN2425" s="127" t="e">
        <v>#N/A</v>
      </c>
      <c r="BO2425" s="127" t="e">
        <v>#N/A</v>
      </c>
      <c r="BP2425" s="151" t="e">
        <v>#N/A</v>
      </c>
      <c r="BQ2425">
        <v>0.11332468572476186</v>
      </c>
      <c r="BR2425" t="str">
        <v/>
      </c>
    </row>
    <row r="2426" spans="47:70" x14ac:dyDescent="0.2">
      <c r="AU2426"/>
      <c r="AV2426"/>
      <c r="AW2426"/>
      <c r="AX2426"/>
      <c r="AY2426"/>
      <c r="BK2426" s="42">
        <v>2425</v>
      </c>
      <c r="BL2426" s="127">
        <v>4</v>
      </c>
      <c r="BM2426" s="127">
        <v>0.11332468572476186</v>
      </c>
      <c r="BN2426" s="127" t="e">
        <v>#N/A</v>
      </c>
      <c r="BO2426" s="127" t="e">
        <v>#N/A</v>
      </c>
      <c r="BP2426" s="151" t="e">
        <v>#N/A</v>
      </c>
      <c r="BQ2426">
        <v>0.11332468572476186</v>
      </c>
      <c r="BR2426" t="str">
        <v/>
      </c>
    </row>
    <row r="2427" spans="47:70" x14ac:dyDescent="0.2">
      <c r="AU2427"/>
      <c r="AV2427"/>
      <c r="AW2427"/>
      <c r="AX2427"/>
      <c r="AY2427"/>
      <c r="BK2427" s="42">
        <v>2426</v>
      </c>
      <c r="BL2427" s="127">
        <v>4</v>
      </c>
      <c r="BM2427" s="127">
        <v>0.11332468572476186</v>
      </c>
      <c r="BN2427" s="127" t="e">
        <v>#N/A</v>
      </c>
      <c r="BO2427" s="127" t="e">
        <v>#N/A</v>
      </c>
      <c r="BP2427" s="151" t="e">
        <v>#N/A</v>
      </c>
      <c r="BQ2427">
        <v>0.11332468572476186</v>
      </c>
      <c r="BR2427" t="str">
        <v/>
      </c>
    </row>
    <row r="2428" spans="47:70" x14ac:dyDescent="0.2">
      <c r="AU2428"/>
      <c r="AV2428"/>
      <c r="AW2428"/>
      <c r="AX2428"/>
      <c r="AY2428"/>
      <c r="BK2428" s="42">
        <v>2427</v>
      </c>
      <c r="BL2428" s="127">
        <v>4</v>
      </c>
      <c r="BM2428" s="127">
        <v>0.11332468572476186</v>
      </c>
      <c r="BN2428" s="127" t="e">
        <v>#N/A</v>
      </c>
      <c r="BO2428" s="127" t="e">
        <v>#N/A</v>
      </c>
      <c r="BP2428" s="151" t="e">
        <v>#N/A</v>
      </c>
      <c r="BQ2428">
        <v>0.11332468572476186</v>
      </c>
      <c r="BR2428" t="str">
        <v/>
      </c>
    </row>
    <row r="2429" spans="47:70" x14ac:dyDescent="0.2">
      <c r="AU2429"/>
      <c r="AV2429"/>
      <c r="AW2429"/>
      <c r="AX2429"/>
      <c r="AY2429"/>
      <c r="BK2429" s="42">
        <v>2428</v>
      </c>
      <c r="BL2429" s="127">
        <v>4</v>
      </c>
      <c r="BM2429" s="127">
        <v>0.11332468572476186</v>
      </c>
      <c r="BN2429" s="127" t="e">
        <v>#N/A</v>
      </c>
      <c r="BO2429" s="127" t="e">
        <v>#N/A</v>
      </c>
      <c r="BP2429" s="151" t="e">
        <v>#N/A</v>
      </c>
      <c r="BQ2429">
        <v>0.11332468572476186</v>
      </c>
      <c r="BR2429" t="str">
        <v/>
      </c>
    </row>
    <row r="2430" spans="47:70" x14ac:dyDescent="0.2">
      <c r="AU2430"/>
      <c r="AV2430"/>
      <c r="AW2430"/>
      <c r="AX2430"/>
      <c r="AY2430"/>
      <c r="BK2430" s="42">
        <v>2429</v>
      </c>
      <c r="BL2430" s="127">
        <v>4</v>
      </c>
      <c r="BM2430" s="127">
        <v>0.11332468572476186</v>
      </c>
      <c r="BN2430" s="127" t="e">
        <v>#N/A</v>
      </c>
      <c r="BO2430" s="127" t="e">
        <v>#N/A</v>
      </c>
      <c r="BP2430" s="151" t="e">
        <v>#N/A</v>
      </c>
      <c r="BQ2430">
        <v>0.11332468572476186</v>
      </c>
      <c r="BR2430" t="str">
        <v/>
      </c>
    </row>
    <row r="2431" spans="47:70" x14ac:dyDescent="0.2">
      <c r="AU2431"/>
      <c r="AV2431"/>
      <c r="AW2431"/>
      <c r="AX2431"/>
      <c r="AY2431"/>
      <c r="BK2431" s="42">
        <v>2430</v>
      </c>
      <c r="BL2431" s="127">
        <v>4</v>
      </c>
      <c r="BM2431" s="127">
        <v>0.11332468572476186</v>
      </c>
      <c r="BN2431" s="127" t="e">
        <v>#N/A</v>
      </c>
      <c r="BO2431" s="127" t="e">
        <v>#N/A</v>
      </c>
      <c r="BP2431" s="151" t="e">
        <v>#N/A</v>
      </c>
      <c r="BQ2431">
        <v>0.11332468572476186</v>
      </c>
      <c r="BR2431" t="str">
        <v/>
      </c>
    </row>
    <row r="2432" spans="47:70" x14ac:dyDescent="0.2">
      <c r="AU2432"/>
      <c r="AV2432"/>
      <c r="AW2432"/>
      <c r="AX2432"/>
      <c r="AY2432"/>
      <c r="BK2432" s="42">
        <v>2431</v>
      </c>
      <c r="BL2432" s="127">
        <v>4</v>
      </c>
      <c r="BM2432" s="127">
        <v>0.11332468572476186</v>
      </c>
      <c r="BN2432" s="127" t="e">
        <v>#N/A</v>
      </c>
      <c r="BO2432" s="127" t="e">
        <v>#N/A</v>
      </c>
      <c r="BP2432" s="151" t="e">
        <v>#N/A</v>
      </c>
      <c r="BQ2432">
        <v>0.11332468572476186</v>
      </c>
      <c r="BR2432" t="str">
        <v/>
      </c>
    </row>
    <row r="2433" spans="47:70" x14ac:dyDescent="0.2">
      <c r="AU2433"/>
      <c r="AV2433"/>
      <c r="AW2433"/>
      <c r="AX2433"/>
      <c r="AY2433"/>
      <c r="BK2433" s="42">
        <v>2432</v>
      </c>
      <c r="BL2433" s="127">
        <v>4</v>
      </c>
      <c r="BM2433" s="127">
        <v>0.11332468572476186</v>
      </c>
      <c r="BN2433" s="127" t="e">
        <v>#N/A</v>
      </c>
      <c r="BO2433" s="127" t="e">
        <v>#N/A</v>
      </c>
      <c r="BP2433" s="151" t="e">
        <v>#N/A</v>
      </c>
      <c r="BQ2433">
        <v>0.11332468572476186</v>
      </c>
      <c r="BR2433" t="str">
        <v/>
      </c>
    </row>
    <row r="2434" spans="47:70" x14ac:dyDescent="0.2">
      <c r="AU2434"/>
      <c r="AV2434"/>
      <c r="AW2434"/>
      <c r="AX2434"/>
      <c r="AY2434"/>
      <c r="BK2434" s="42">
        <v>2433</v>
      </c>
      <c r="BL2434" s="127">
        <v>4</v>
      </c>
      <c r="BM2434" s="127">
        <v>0.11332468572476186</v>
      </c>
      <c r="BN2434" s="127" t="e">
        <v>#N/A</v>
      </c>
      <c r="BO2434" s="127" t="e">
        <v>#N/A</v>
      </c>
      <c r="BP2434" s="151" t="e">
        <v>#N/A</v>
      </c>
      <c r="BQ2434">
        <v>0.11332468572476186</v>
      </c>
      <c r="BR2434" t="str">
        <v/>
      </c>
    </row>
    <row r="2435" spans="47:70" x14ac:dyDescent="0.2">
      <c r="AU2435"/>
      <c r="AV2435"/>
      <c r="AW2435"/>
      <c r="AX2435"/>
      <c r="AY2435"/>
      <c r="BK2435" s="42">
        <v>2434</v>
      </c>
      <c r="BL2435" s="127">
        <v>4</v>
      </c>
      <c r="BM2435" s="127">
        <v>0.11332468572476186</v>
      </c>
      <c r="BN2435" s="127" t="e">
        <v>#N/A</v>
      </c>
      <c r="BO2435" s="127" t="e">
        <v>#N/A</v>
      </c>
      <c r="BP2435" s="151" t="e">
        <v>#N/A</v>
      </c>
      <c r="BQ2435">
        <v>0.11332468572476186</v>
      </c>
      <c r="BR2435" t="str">
        <v/>
      </c>
    </row>
    <row r="2436" spans="47:70" x14ac:dyDescent="0.2">
      <c r="AU2436"/>
      <c r="AV2436"/>
      <c r="AW2436"/>
      <c r="AX2436"/>
      <c r="AY2436"/>
      <c r="BK2436" s="42">
        <v>2435</v>
      </c>
      <c r="BL2436" s="127">
        <v>4</v>
      </c>
      <c r="BM2436" s="127">
        <v>0.11332468572476186</v>
      </c>
      <c r="BN2436" s="127" t="e">
        <v>#N/A</v>
      </c>
      <c r="BO2436" s="127" t="e">
        <v>#N/A</v>
      </c>
      <c r="BP2436" s="151" t="e">
        <v>#N/A</v>
      </c>
      <c r="BQ2436">
        <v>0.11332468572476186</v>
      </c>
      <c r="BR2436" t="str">
        <v/>
      </c>
    </row>
    <row r="2437" spans="47:70" x14ac:dyDescent="0.2">
      <c r="AU2437"/>
      <c r="AV2437"/>
      <c r="AW2437"/>
      <c r="AX2437"/>
      <c r="AY2437"/>
      <c r="BK2437" s="42">
        <v>2436</v>
      </c>
      <c r="BL2437" s="127">
        <v>4</v>
      </c>
      <c r="BM2437" s="127">
        <v>0.11332468572476186</v>
      </c>
      <c r="BN2437" s="127" t="e">
        <v>#N/A</v>
      </c>
      <c r="BO2437" s="127" t="e">
        <v>#N/A</v>
      </c>
      <c r="BP2437" s="151" t="e">
        <v>#N/A</v>
      </c>
      <c r="BQ2437">
        <v>0.11332468572476186</v>
      </c>
      <c r="BR2437" t="str">
        <v/>
      </c>
    </row>
    <row r="2438" spans="47:70" x14ac:dyDescent="0.2">
      <c r="AU2438"/>
      <c r="AV2438"/>
      <c r="AW2438"/>
      <c r="AX2438"/>
      <c r="AY2438"/>
      <c r="BK2438" s="42">
        <v>2437</v>
      </c>
      <c r="BL2438" s="127">
        <v>4</v>
      </c>
      <c r="BM2438" s="127">
        <v>0.11332468572476186</v>
      </c>
      <c r="BN2438" s="127" t="e">
        <v>#N/A</v>
      </c>
      <c r="BO2438" s="127" t="e">
        <v>#N/A</v>
      </c>
      <c r="BP2438" s="151" t="e">
        <v>#N/A</v>
      </c>
      <c r="BQ2438">
        <v>0.11332468572476186</v>
      </c>
      <c r="BR2438" t="str">
        <v/>
      </c>
    </row>
    <row r="2439" spans="47:70" x14ac:dyDescent="0.2">
      <c r="AU2439"/>
      <c r="AV2439"/>
      <c r="AW2439"/>
      <c r="AX2439"/>
      <c r="AY2439"/>
      <c r="BK2439" s="42">
        <v>2438</v>
      </c>
      <c r="BL2439" s="127">
        <v>4</v>
      </c>
      <c r="BM2439" s="127">
        <v>0.11332468572476186</v>
      </c>
      <c r="BN2439" s="127" t="e">
        <v>#N/A</v>
      </c>
      <c r="BO2439" s="127" t="e">
        <v>#N/A</v>
      </c>
      <c r="BP2439" s="151" t="e">
        <v>#N/A</v>
      </c>
      <c r="BQ2439">
        <v>0.11332468572476186</v>
      </c>
      <c r="BR2439" t="str">
        <v/>
      </c>
    </row>
    <row r="2440" spans="47:70" x14ac:dyDescent="0.2">
      <c r="AU2440"/>
      <c r="AV2440"/>
      <c r="AW2440"/>
      <c r="AX2440"/>
      <c r="AY2440"/>
      <c r="BK2440" s="42">
        <v>2439</v>
      </c>
      <c r="BL2440" s="127">
        <v>4</v>
      </c>
      <c r="BM2440" s="127">
        <v>0.11332468572476186</v>
      </c>
      <c r="BN2440" s="127" t="e">
        <v>#N/A</v>
      </c>
      <c r="BO2440" s="127" t="e">
        <v>#N/A</v>
      </c>
      <c r="BP2440" s="151" t="e">
        <v>#N/A</v>
      </c>
      <c r="BQ2440">
        <v>0.11332468572476186</v>
      </c>
      <c r="BR2440" t="str">
        <v/>
      </c>
    </row>
    <row r="2441" spans="47:70" x14ac:dyDescent="0.2">
      <c r="AU2441"/>
      <c r="AV2441"/>
      <c r="AW2441"/>
      <c r="AX2441"/>
      <c r="AY2441"/>
      <c r="BK2441" s="42">
        <v>2440</v>
      </c>
      <c r="BL2441" s="127">
        <v>4</v>
      </c>
      <c r="BM2441" s="127">
        <v>0.11332468572476186</v>
      </c>
      <c r="BN2441" s="127" t="e">
        <v>#N/A</v>
      </c>
      <c r="BO2441" s="127" t="e">
        <v>#N/A</v>
      </c>
      <c r="BP2441" s="151" t="e">
        <v>#N/A</v>
      </c>
      <c r="BQ2441">
        <v>0.11332468572476186</v>
      </c>
      <c r="BR2441" t="str">
        <v/>
      </c>
    </row>
    <row r="2442" spans="47:70" x14ac:dyDescent="0.2">
      <c r="AU2442"/>
      <c r="AV2442"/>
      <c r="AW2442"/>
      <c r="AX2442"/>
      <c r="AY2442"/>
      <c r="BK2442" s="42">
        <v>2441</v>
      </c>
      <c r="BL2442" s="127">
        <v>4</v>
      </c>
      <c r="BM2442" s="127">
        <v>0.11332468572476186</v>
      </c>
      <c r="BN2442" s="127" t="e">
        <v>#N/A</v>
      </c>
      <c r="BO2442" s="127" t="e">
        <v>#N/A</v>
      </c>
      <c r="BP2442" s="151" t="e">
        <v>#N/A</v>
      </c>
      <c r="BQ2442">
        <v>0.11332468572476186</v>
      </c>
      <c r="BR2442" t="str">
        <v/>
      </c>
    </row>
    <row r="2443" spans="47:70" x14ac:dyDescent="0.2">
      <c r="AU2443"/>
      <c r="AV2443"/>
      <c r="AW2443"/>
      <c r="AX2443"/>
      <c r="AY2443"/>
      <c r="BK2443" s="42">
        <v>2442</v>
      </c>
      <c r="BL2443" s="127">
        <v>4</v>
      </c>
      <c r="BM2443" s="127">
        <v>0.11332468572476186</v>
      </c>
      <c r="BN2443" s="127" t="e">
        <v>#N/A</v>
      </c>
      <c r="BO2443" s="127" t="e">
        <v>#N/A</v>
      </c>
      <c r="BP2443" s="151" t="e">
        <v>#N/A</v>
      </c>
      <c r="BQ2443">
        <v>0.11332468572476186</v>
      </c>
      <c r="BR2443" t="str">
        <v/>
      </c>
    </row>
    <row r="2444" spans="47:70" x14ac:dyDescent="0.2">
      <c r="AU2444"/>
      <c r="AV2444"/>
      <c r="AW2444"/>
      <c r="AX2444"/>
      <c r="AY2444"/>
      <c r="BK2444" s="42">
        <v>2443</v>
      </c>
      <c r="BL2444" s="127">
        <v>4</v>
      </c>
      <c r="BM2444" s="127">
        <v>0.11332468572476186</v>
      </c>
      <c r="BN2444" s="127" t="e">
        <v>#N/A</v>
      </c>
      <c r="BO2444" s="127" t="e">
        <v>#N/A</v>
      </c>
      <c r="BP2444" s="151" t="e">
        <v>#N/A</v>
      </c>
      <c r="BQ2444">
        <v>0.11332468572476186</v>
      </c>
      <c r="BR2444" t="str">
        <v/>
      </c>
    </row>
    <row r="2445" spans="47:70" x14ac:dyDescent="0.2">
      <c r="AU2445"/>
      <c r="AV2445"/>
      <c r="AW2445"/>
      <c r="AX2445"/>
      <c r="AY2445"/>
      <c r="BK2445" s="42">
        <v>2444</v>
      </c>
      <c r="BL2445" s="127">
        <v>4</v>
      </c>
      <c r="BM2445" s="127">
        <v>0.11332468572476186</v>
      </c>
      <c r="BN2445" s="127" t="e">
        <v>#N/A</v>
      </c>
      <c r="BO2445" s="127" t="e">
        <v>#N/A</v>
      </c>
      <c r="BP2445" s="151" t="e">
        <v>#N/A</v>
      </c>
      <c r="BQ2445">
        <v>0.11332468572476186</v>
      </c>
      <c r="BR2445" t="str">
        <v/>
      </c>
    </row>
    <row r="2446" spans="47:70" x14ac:dyDescent="0.2">
      <c r="AU2446"/>
      <c r="AV2446"/>
      <c r="AW2446"/>
      <c r="AX2446"/>
      <c r="AY2446"/>
      <c r="BK2446" s="42">
        <v>2445</v>
      </c>
      <c r="BL2446" s="127">
        <v>4</v>
      </c>
      <c r="BM2446" s="127">
        <v>0.11332468572476186</v>
      </c>
      <c r="BN2446" s="127" t="e">
        <v>#N/A</v>
      </c>
      <c r="BO2446" s="127" t="e">
        <v>#N/A</v>
      </c>
      <c r="BP2446" s="151" t="e">
        <v>#N/A</v>
      </c>
      <c r="BQ2446">
        <v>0.11332468572476186</v>
      </c>
      <c r="BR2446" t="str">
        <v/>
      </c>
    </row>
    <row r="2447" spans="47:70" x14ac:dyDescent="0.2">
      <c r="AU2447"/>
      <c r="AV2447"/>
      <c r="AW2447"/>
      <c r="AX2447"/>
      <c r="AY2447"/>
      <c r="BK2447" s="42">
        <v>2446</v>
      </c>
      <c r="BL2447" s="127">
        <v>4</v>
      </c>
      <c r="BM2447" s="127">
        <v>0.11332468572476186</v>
      </c>
      <c r="BN2447" s="127" t="e">
        <v>#N/A</v>
      </c>
      <c r="BO2447" s="127" t="e">
        <v>#N/A</v>
      </c>
      <c r="BP2447" s="151" t="e">
        <v>#N/A</v>
      </c>
      <c r="BQ2447">
        <v>0.11332468572476186</v>
      </c>
      <c r="BR2447" t="str">
        <v/>
      </c>
    </row>
    <row r="2448" spans="47:70" x14ac:dyDescent="0.2">
      <c r="AU2448"/>
      <c r="AV2448"/>
      <c r="AW2448"/>
      <c r="AX2448"/>
      <c r="AY2448"/>
      <c r="BK2448" s="42">
        <v>2447</v>
      </c>
      <c r="BL2448" s="127">
        <v>4</v>
      </c>
      <c r="BM2448" s="127">
        <v>0.11332468572476186</v>
      </c>
      <c r="BN2448" s="127" t="e">
        <v>#N/A</v>
      </c>
      <c r="BO2448" s="127" t="e">
        <v>#N/A</v>
      </c>
      <c r="BP2448" s="151" t="e">
        <v>#N/A</v>
      </c>
      <c r="BQ2448">
        <v>0.11332468572476186</v>
      </c>
      <c r="BR2448" t="str">
        <v/>
      </c>
    </row>
    <row r="2449" spans="47:70" x14ac:dyDescent="0.2">
      <c r="AU2449"/>
      <c r="AV2449"/>
      <c r="AW2449"/>
      <c r="AX2449"/>
      <c r="AY2449"/>
      <c r="BK2449" s="42">
        <v>2448</v>
      </c>
      <c r="BL2449" s="127">
        <v>4</v>
      </c>
      <c r="BM2449" s="127">
        <v>0.11332468572476186</v>
      </c>
      <c r="BN2449" s="127" t="e">
        <v>#N/A</v>
      </c>
      <c r="BO2449" s="127" t="e">
        <v>#N/A</v>
      </c>
      <c r="BP2449" s="151" t="e">
        <v>#N/A</v>
      </c>
      <c r="BQ2449">
        <v>0.11332468572476186</v>
      </c>
      <c r="BR2449" t="str">
        <v/>
      </c>
    </row>
    <row r="2450" spans="47:70" x14ac:dyDescent="0.2">
      <c r="AU2450"/>
      <c r="AV2450"/>
      <c r="AW2450"/>
      <c r="AX2450"/>
      <c r="AY2450"/>
      <c r="BK2450" s="42">
        <v>2449</v>
      </c>
      <c r="BL2450" s="127">
        <v>4</v>
      </c>
      <c r="BM2450" s="127">
        <v>0.11332468572476186</v>
      </c>
      <c r="BN2450" s="127" t="e">
        <v>#N/A</v>
      </c>
      <c r="BO2450" s="127" t="e">
        <v>#N/A</v>
      </c>
      <c r="BP2450" s="151" t="e">
        <v>#N/A</v>
      </c>
      <c r="BQ2450">
        <v>0.11332468572476186</v>
      </c>
      <c r="BR2450" t="str">
        <v/>
      </c>
    </row>
    <row r="2451" spans="47:70" x14ac:dyDescent="0.2">
      <c r="AU2451"/>
      <c r="AV2451"/>
      <c r="AW2451"/>
      <c r="AX2451"/>
      <c r="AY2451"/>
      <c r="BK2451" s="42">
        <v>2450</v>
      </c>
      <c r="BL2451" s="127">
        <v>4</v>
      </c>
      <c r="BM2451" s="127">
        <v>0.11332468572476186</v>
      </c>
      <c r="BN2451" s="127" t="e">
        <v>#N/A</v>
      </c>
      <c r="BO2451" s="127" t="e">
        <v>#N/A</v>
      </c>
      <c r="BP2451" s="151" t="e">
        <v>#N/A</v>
      </c>
      <c r="BQ2451">
        <v>0.11332468572476186</v>
      </c>
      <c r="BR2451" t="str">
        <v/>
      </c>
    </row>
    <row r="2452" spans="47:70" x14ac:dyDescent="0.2">
      <c r="AU2452"/>
      <c r="AV2452"/>
      <c r="AW2452"/>
      <c r="AX2452"/>
      <c r="AY2452"/>
      <c r="BK2452" s="42">
        <v>2451</v>
      </c>
      <c r="BL2452" s="127">
        <v>4</v>
      </c>
      <c r="BM2452" s="127">
        <v>0.11332468572476186</v>
      </c>
      <c r="BN2452" s="127" t="e">
        <v>#N/A</v>
      </c>
      <c r="BO2452" s="127" t="e">
        <v>#N/A</v>
      </c>
      <c r="BP2452" s="151" t="e">
        <v>#N/A</v>
      </c>
      <c r="BQ2452">
        <v>0.11332468572476186</v>
      </c>
      <c r="BR2452" t="str">
        <v/>
      </c>
    </row>
    <row r="2453" spans="47:70" x14ac:dyDescent="0.2">
      <c r="AU2453"/>
      <c r="AV2453"/>
      <c r="AW2453"/>
      <c r="AX2453"/>
      <c r="AY2453"/>
      <c r="BK2453" s="42">
        <v>2452</v>
      </c>
      <c r="BL2453" s="127">
        <v>4</v>
      </c>
      <c r="BM2453" s="127">
        <v>0.11332468572476186</v>
      </c>
      <c r="BN2453" s="127" t="e">
        <v>#N/A</v>
      </c>
      <c r="BO2453" s="127" t="e">
        <v>#N/A</v>
      </c>
      <c r="BP2453" s="151" t="e">
        <v>#N/A</v>
      </c>
      <c r="BQ2453">
        <v>0.11332468572476186</v>
      </c>
      <c r="BR2453" t="str">
        <v/>
      </c>
    </row>
    <row r="2454" spans="47:70" x14ac:dyDescent="0.2">
      <c r="AU2454"/>
      <c r="AV2454"/>
      <c r="AW2454"/>
      <c r="AX2454"/>
      <c r="AY2454"/>
      <c r="BK2454" s="42">
        <v>2453</v>
      </c>
      <c r="BL2454" s="127">
        <v>4</v>
      </c>
      <c r="BM2454" s="127">
        <v>0.11332468572476186</v>
      </c>
      <c r="BN2454" s="127" t="e">
        <v>#N/A</v>
      </c>
      <c r="BO2454" s="127" t="e">
        <v>#N/A</v>
      </c>
      <c r="BP2454" s="151" t="e">
        <v>#N/A</v>
      </c>
      <c r="BQ2454">
        <v>0.11332468572476186</v>
      </c>
      <c r="BR2454" t="str">
        <v/>
      </c>
    </row>
    <row r="2455" spans="47:70" x14ac:dyDescent="0.2">
      <c r="AU2455"/>
      <c r="AV2455"/>
      <c r="AW2455"/>
      <c r="AX2455"/>
      <c r="AY2455"/>
      <c r="BK2455" s="42">
        <v>2454</v>
      </c>
      <c r="BL2455" s="127">
        <v>4</v>
      </c>
      <c r="BM2455" s="127">
        <v>0.11332468572476186</v>
      </c>
      <c r="BN2455" s="127" t="e">
        <v>#N/A</v>
      </c>
      <c r="BO2455" s="127" t="e">
        <v>#N/A</v>
      </c>
      <c r="BP2455" s="151" t="e">
        <v>#N/A</v>
      </c>
      <c r="BQ2455">
        <v>0.11332468572476186</v>
      </c>
      <c r="BR2455" t="str">
        <v/>
      </c>
    </row>
    <row r="2456" spans="47:70" x14ac:dyDescent="0.2">
      <c r="AU2456"/>
      <c r="AV2456"/>
      <c r="AW2456"/>
      <c r="AX2456"/>
      <c r="AY2456"/>
      <c r="BK2456" s="42">
        <v>2455</v>
      </c>
      <c r="BL2456" s="127">
        <v>4</v>
      </c>
      <c r="BM2456" s="127">
        <v>0.11332468572476186</v>
      </c>
      <c r="BN2456" s="127" t="e">
        <v>#N/A</v>
      </c>
      <c r="BO2456" s="127" t="e">
        <v>#N/A</v>
      </c>
      <c r="BP2456" s="151" t="e">
        <v>#N/A</v>
      </c>
      <c r="BQ2456">
        <v>0.11332468572476186</v>
      </c>
      <c r="BR2456" t="str">
        <v/>
      </c>
    </row>
    <row r="2457" spans="47:70" x14ac:dyDescent="0.2">
      <c r="AU2457"/>
      <c r="AV2457"/>
      <c r="AW2457"/>
      <c r="AX2457"/>
      <c r="AY2457"/>
      <c r="BK2457" s="42">
        <v>2456</v>
      </c>
      <c r="BL2457" s="127">
        <v>4</v>
      </c>
      <c r="BM2457" s="127">
        <v>0.11332468572476186</v>
      </c>
      <c r="BN2457" s="127" t="e">
        <v>#N/A</v>
      </c>
      <c r="BO2457" s="127" t="e">
        <v>#N/A</v>
      </c>
      <c r="BP2457" s="151" t="e">
        <v>#N/A</v>
      </c>
      <c r="BQ2457">
        <v>0.11332468572476186</v>
      </c>
      <c r="BR2457" t="str">
        <v/>
      </c>
    </row>
    <row r="2458" spans="47:70" x14ac:dyDescent="0.2">
      <c r="AU2458"/>
      <c r="AV2458"/>
      <c r="AW2458"/>
      <c r="AX2458"/>
      <c r="AY2458"/>
      <c r="BK2458" s="42">
        <v>2457</v>
      </c>
      <c r="BL2458" s="127">
        <v>4</v>
      </c>
      <c r="BM2458" s="127">
        <v>0.11332468572476186</v>
      </c>
      <c r="BN2458" s="127" t="e">
        <v>#N/A</v>
      </c>
      <c r="BO2458" s="127" t="e">
        <v>#N/A</v>
      </c>
      <c r="BP2458" s="151" t="e">
        <v>#N/A</v>
      </c>
      <c r="BQ2458">
        <v>0.11332468572476186</v>
      </c>
      <c r="BR2458" t="str">
        <v/>
      </c>
    </row>
    <row r="2459" spans="47:70" x14ac:dyDescent="0.2">
      <c r="AU2459"/>
      <c r="AV2459"/>
      <c r="AW2459"/>
      <c r="AX2459"/>
      <c r="AY2459"/>
      <c r="BK2459" s="42">
        <v>2458</v>
      </c>
      <c r="BL2459" s="127">
        <v>4</v>
      </c>
      <c r="BM2459" s="127">
        <v>0.11332468572476186</v>
      </c>
      <c r="BN2459" s="127" t="e">
        <v>#N/A</v>
      </c>
      <c r="BO2459" s="127" t="e">
        <v>#N/A</v>
      </c>
      <c r="BP2459" s="151" t="e">
        <v>#N/A</v>
      </c>
      <c r="BQ2459">
        <v>0.11332468572476186</v>
      </c>
      <c r="BR2459" t="str">
        <v/>
      </c>
    </row>
    <row r="2460" spans="47:70" x14ac:dyDescent="0.2">
      <c r="AU2460"/>
      <c r="AV2460"/>
      <c r="AW2460"/>
      <c r="AX2460"/>
      <c r="AY2460"/>
      <c r="BK2460" s="42">
        <v>2459</v>
      </c>
      <c r="BL2460" s="127">
        <v>4</v>
      </c>
      <c r="BM2460" s="127">
        <v>0.11332468572476186</v>
      </c>
      <c r="BN2460" s="127" t="e">
        <v>#N/A</v>
      </c>
      <c r="BO2460" s="127" t="e">
        <v>#N/A</v>
      </c>
      <c r="BP2460" s="151" t="e">
        <v>#N/A</v>
      </c>
      <c r="BQ2460">
        <v>0.11332468572476186</v>
      </c>
      <c r="BR2460" t="str">
        <v/>
      </c>
    </row>
    <row r="2461" spans="47:70" x14ac:dyDescent="0.2">
      <c r="AU2461"/>
      <c r="AV2461"/>
      <c r="AW2461"/>
      <c r="AX2461"/>
      <c r="AY2461"/>
      <c r="BK2461" s="42">
        <v>2460</v>
      </c>
      <c r="BL2461" s="127">
        <v>4</v>
      </c>
      <c r="BM2461" s="127">
        <v>0.11332468572476186</v>
      </c>
      <c r="BN2461" s="127" t="e">
        <v>#N/A</v>
      </c>
      <c r="BO2461" s="127" t="e">
        <v>#N/A</v>
      </c>
      <c r="BP2461" s="151" t="e">
        <v>#N/A</v>
      </c>
      <c r="BQ2461">
        <v>0.11332468572476186</v>
      </c>
      <c r="BR2461" t="str">
        <v/>
      </c>
    </row>
    <row r="2462" spans="47:70" x14ac:dyDescent="0.2">
      <c r="AU2462"/>
      <c r="AV2462"/>
      <c r="AW2462"/>
      <c r="AX2462"/>
      <c r="AY2462"/>
      <c r="BK2462" s="42">
        <v>2461</v>
      </c>
      <c r="BL2462" s="127">
        <v>4</v>
      </c>
      <c r="BM2462" s="127">
        <v>0.11332468572476186</v>
      </c>
      <c r="BN2462" s="127" t="e">
        <v>#N/A</v>
      </c>
      <c r="BO2462" s="127" t="e">
        <v>#N/A</v>
      </c>
      <c r="BP2462" s="151" t="e">
        <v>#N/A</v>
      </c>
      <c r="BQ2462">
        <v>0.11332468572476186</v>
      </c>
      <c r="BR2462" t="str">
        <v/>
      </c>
    </row>
    <row r="2463" spans="47:70" x14ac:dyDescent="0.2">
      <c r="AU2463"/>
      <c r="AV2463"/>
      <c r="AW2463"/>
      <c r="AX2463"/>
      <c r="AY2463"/>
      <c r="BK2463" s="42">
        <v>2462</v>
      </c>
      <c r="BL2463" s="127">
        <v>4</v>
      </c>
      <c r="BM2463" s="127">
        <v>0.11332468572476186</v>
      </c>
      <c r="BN2463" s="127" t="e">
        <v>#N/A</v>
      </c>
      <c r="BO2463" s="127" t="e">
        <v>#N/A</v>
      </c>
      <c r="BP2463" s="151" t="e">
        <v>#N/A</v>
      </c>
      <c r="BQ2463">
        <v>0.11332468572476186</v>
      </c>
      <c r="BR2463" t="str">
        <v/>
      </c>
    </row>
    <row r="2464" spans="47:70" x14ac:dyDescent="0.2">
      <c r="AU2464"/>
      <c r="AV2464"/>
      <c r="AW2464"/>
      <c r="AX2464"/>
      <c r="AY2464"/>
      <c r="BK2464" s="42">
        <v>2463</v>
      </c>
      <c r="BL2464" s="127">
        <v>4</v>
      </c>
      <c r="BM2464" s="127">
        <v>0.11332468572476186</v>
      </c>
      <c r="BN2464" s="127" t="e">
        <v>#N/A</v>
      </c>
      <c r="BO2464" s="127" t="e">
        <v>#N/A</v>
      </c>
      <c r="BP2464" s="151" t="e">
        <v>#N/A</v>
      </c>
      <c r="BQ2464">
        <v>0.11332468572476186</v>
      </c>
      <c r="BR2464" t="str">
        <v/>
      </c>
    </row>
    <row r="2465" spans="47:70" x14ac:dyDescent="0.2">
      <c r="AU2465"/>
      <c r="AV2465"/>
      <c r="AW2465"/>
      <c r="AX2465"/>
      <c r="AY2465"/>
      <c r="BK2465" s="42">
        <v>2464</v>
      </c>
      <c r="BL2465" s="127">
        <v>4</v>
      </c>
      <c r="BM2465" s="127">
        <v>0.11332468572476186</v>
      </c>
      <c r="BN2465" s="127" t="e">
        <v>#N/A</v>
      </c>
      <c r="BO2465" s="127" t="e">
        <v>#N/A</v>
      </c>
      <c r="BP2465" s="151" t="e">
        <v>#N/A</v>
      </c>
      <c r="BQ2465">
        <v>0.11332468572476186</v>
      </c>
      <c r="BR2465" t="str">
        <v/>
      </c>
    </row>
    <row r="2466" spans="47:70" x14ac:dyDescent="0.2">
      <c r="AU2466"/>
      <c r="AV2466"/>
      <c r="AW2466"/>
      <c r="AX2466"/>
      <c r="AY2466"/>
      <c r="BK2466" s="42">
        <v>2465</v>
      </c>
      <c r="BL2466" s="127">
        <v>4</v>
      </c>
      <c r="BM2466" s="127">
        <v>0.11332468572476186</v>
      </c>
      <c r="BN2466" s="127" t="e">
        <v>#N/A</v>
      </c>
      <c r="BO2466" s="127" t="e">
        <v>#N/A</v>
      </c>
      <c r="BP2466" s="151" t="e">
        <v>#N/A</v>
      </c>
      <c r="BQ2466">
        <v>0.11332468572476186</v>
      </c>
      <c r="BR2466" t="str">
        <v/>
      </c>
    </row>
    <row r="2467" spans="47:70" x14ac:dyDescent="0.2">
      <c r="AU2467"/>
      <c r="AV2467"/>
      <c r="AW2467"/>
      <c r="AX2467"/>
      <c r="AY2467"/>
      <c r="BK2467" s="42">
        <v>2466</v>
      </c>
      <c r="BL2467" s="127">
        <v>4</v>
      </c>
      <c r="BM2467" s="127">
        <v>0.11332468572476186</v>
      </c>
      <c r="BN2467" s="127" t="e">
        <v>#N/A</v>
      </c>
      <c r="BO2467" s="127" t="e">
        <v>#N/A</v>
      </c>
      <c r="BP2467" s="151" t="e">
        <v>#N/A</v>
      </c>
      <c r="BQ2467">
        <v>0.11332468572476186</v>
      </c>
      <c r="BR2467" t="str">
        <v/>
      </c>
    </row>
    <row r="2468" spans="47:70" x14ac:dyDescent="0.2">
      <c r="AU2468"/>
      <c r="AV2468"/>
      <c r="AW2468"/>
      <c r="AX2468"/>
      <c r="AY2468"/>
      <c r="BK2468" s="42">
        <v>2467</v>
      </c>
      <c r="BL2468" s="127">
        <v>4</v>
      </c>
      <c r="BM2468" s="127">
        <v>0.11332468572476186</v>
      </c>
      <c r="BN2468" s="127" t="e">
        <v>#N/A</v>
      </c>
      <c r="BO2468" s="127" t="e">
        <v>#N/A</v>
      </c>
      <c r="BP2468" s="151" t="e">
        <v>#N/A</v>
      </c>
      <c r="BQ2468">
        <v>0.11332468572476186</v>
      </c>
      <c r="BR2468" t="str">
        <v/>
      </c>
    </row>
    <row r="2469" spans="47:70" x14ac:dyDescent="0.2">
      <c r="AU2469"/>
      <c r="AV2469"/>
      <c r="AW2469"/>
      <c r="AX2469"/>
      <c r="AY2469"/>
      <c r="BK2469" s="42">
        <v>2468</v>
      </c>
      <c r="BL2469" s="127">
        <v>4</v>
      </c>
      <c r="BM2469" s="127">
        <v>0.11332468572476186</v>
      </c>
      <c r="BN2469" s="127" t="e">
        <v>#N/A</v>
      </c>
      <c r="BO2469" s="127" t="e">
        <v>#N/A</v>
      </c>
      <c r="BP2469" s="151" t="e">
        <v>#N/A</v>
      </c>
      <c r="BQ2469">
        <v>0.11332468572476186</v>
      </c>
      <c r="BR2469" t="str">
        <v/>
      </c>
    </row>
    <row r="2470" spans="47:70" x14ac:dyDescent="0.2">
      <c r="AU2470"/>
      <c r="AV2470"/>
      <c r="AW2470"/>
      <c r="AX2470"/>
      <c r="AY2470"/>
      <c r="BK2470" s="42">
        <v>2469</v>
      </c>
      <c r="BL2470" s="127">
        <v>4</v>
      </c>
      <c r="BM2470" s="127">
        <v>0.11332468572476186</v>
      </c>
      <c r="BN2470" s="127" t="e">
        <v>#N/A</v>
      </c>
      <c r="BO2470" s="127" t="e">
        <v>#N/A</v>
      </c>
      <c r="BP2470" s="151" t="e">
        <v>#N/A</v>
      </c>
      <c r="BQ2470">
        <v>0.11332468572476186</v>
      </c>
      <c r="BR2470" t="str">
        <v/>
      </c>
    </row>
    <row r="2471" spans="47:70" x14ac:dyDescent="0.2">
      <c r="AU2471"/>
      <c r="AV2471"/>
      <c r="AW2471"/>
      <c r="AX2471"/>
      <c r="AY2471"/>
      <c r="BK2471" s="42">
        <v>2470</v>
      </c>
      <c r="BL2471" s="127">
        <v>4</v>
      </c>
      <c r="BM2471" s="127">
        <v>0.11332468572476186</v>
      </c>
      <c r="BN2471" s="127" t="e">
        <v>#N/A</v>
      </c>
      <c r="BO2471" s="127" t="e">
        <v>#N/A</v>
      </c>
      <c r="BP2471" s="151" t="e">
        <v>#N/A</v>
      </c>
      <c r="BQ2471">
        <v>0.11332468572476186</v>
      </c>
      <c r="BR2471" t="str">
        <v/>
      </c>
    </row>
    <row r="2472" spans="47:70" x14ac:dyDescent="0.2">
      <c r="AU2472"/>
      <c r="AV2472"/>
      <c r="AW2472"/>
      <c r="AX2472"/>
      <c r="AY2472"/>
      <c r="BK2472" s="42">
        <v>2471</v>
      </c>
      <c r="BL2472" s="127">
        <v>4</v>
      </c>
      <c r="BM2472" s="127">
        <v>0.11332468572476186</v>
      </c>
      <c r="BN2472" s="127" t="e">
        <v>#N/A</v>
      </c>
      <c r="BO2472" s="127" t="e">
        <v>#N/A</v>
      </c>
      <c r="BP2472" s="151" t="e">
        <v>#N/A</v>
      </c>
      <c r="BQ2472">
        <v>0.11332468572476186</v>
      </c>
      <c r="BR2472" t="str">
        <v/>
      </c>
    </row>
    <row r="2473" spans="47:70" x14ac:dyDescent="0.2">
      <c r="AU2473"/>
      <c r="AV2473"/>
      <c r="AW2473"/>
      <c r="AX2473"/>
      <c r="AY2473"/>
      <c r="BK2473" s="42">
        <v>2472</v>
      </c>
      <c r="BL2473" s="127">
        <v>4</v>
      </c>
      <c r="BM2473" s="127">
        <v>0.11332468572476186</v>
      </c>
      <c r="BN2473" s="127" t="e">
        <v>#N/A</v>
      </c>
      <c r="BO2473" s="127" t="e">
        <v>#N/A</v>
      </c>
      <c r="BP2473" s="151" t="e">
        <v>#N/A</v>
      </c>
      <c r="BQ2473">
        <v>0.11332468572476186</v>
      </c>
      <c r="BR2473" t="str">
        <v/>
      </c>
    </row>
    <row r="2474" spans="47:70" x14ac:dyDescent="0.2">
      <c r="AU2474"/>
      <c r="AV2474"/>
      <c r="AW2474"/>
      <c r="AX2474"/>
      <c r="AY2474"/>
      <c r="BK2474" s="42">
        <v>2473</v>
      </c>
      <c r="BL2474" s="127">
        <v>4</v>
      </c>
      <c r="BM2474" s="127">
        <v>0.11332468572476186</v>
      </c>
      <c r="BN2474" s="127" t="e">
        <v>#N/A</v>
      </c>
      <c r="BO2474" s="127" t="e">
        <v>#N/A</v>
      </c>
      <c r="BP2474" s="151" t="e">
        <v>#N/A</v>
      </c>
      <c r="BQ2474">
        <v>0.11332468572476186</v>
      </c>
      <c r="BR2474" t="str">
        <v/>
      </c>
    </row>
    <row r="2475" spans="47:70" x14ac:dyDescent="0.2">
      <c r="AU2475"/>
      <c r="AV2475"/>
      <c r="AW2475"/>
      <c r="AX2475"/>
      <c r="AY2475"/>
      <c r="BK2475" s="42">
        <v>2474</v>
      </c>
      <c r="BL2475" s="127">
        <v>4</v>
      </c>
      <c r="BM2475" s="127">
        <v>0.11332468572476186</v>
      </c>
      <c r="BN2475" s="127" t="e">
        <v>#N/A</v>
      </c>
      <c r="BO2475" s="127" t="e">
        <v>#N/A</v>
      </c>
      <c r="BP2475" s="151" t="e">
        <v>#N/A</v>
      </c>
      <c r="BQ2475">
        <v>0.11332468572476186</v>
      </c>
      <c r="BR2475" t="str">
        <v/>
      </c>
    </row>
    <row r="2476" spans="47:70" x14ac:dyDescent="0.2">
      <c r="AU2476"/>
      <c r="AV2476"/>
      <c r="AW2476"/>
      <c r="AX2476"/>
      <c r="AY2476"/>
      <c r="BK2476" s="42">
        <v>2475</v>
      </c>
      <c r="BL2476" s="127">
        <v>4</v>
      </c>
      <c r="BM2476" s="127">
        <v>0.11332468572476186</v>
      </c>
      <c r="BN2476" s="127" t="e">
        <v>#N/A</v>
      </c>
      <c r="BO2476" s="127" t="e">
        <v>#N/A</v>
      </c>
      <c r="BP2476" s="151" t="e">
        <v>#N/A</v>
      </c>
      <c r="BQ2476">
        <v>0.11332468572476186</v>
      </c>
      <c r="BR2476" t="str">
        <v/>
      </c>
    </row>
    <row r="2477" spans="47:70" x14ac:dyDescent="0.2">
      <c r="AU2477"/>
      <c r="AV2477"/>
      <c r="AW2477"/>
      <c r="AX2477"/>
      <c r="AY2477"/>
      <c r="BK2477" s="42">
        <v>2476</v>
      </c>
      <c r="BL2477" s="127">
        <v>4</v>
      </c>
      <c r="BM2477" s="127">
        <v>0.11332468572476186</v>
      </c>
      <c r="BN2477" s="127" t="e">
        <v>#N/A</v>
      </c>
      <c r="BO2477" s="127" t="e">
        <v>#N/A</v>
      </c>
      <c r="BP2477" s="151" t="e">
        <v>#N/A</v>
      </c>
      <c r="BQ2477">
        <v>0.11332468572476186</v>
      </c>
      <c r="BR2477" t="str">
        <v/>
      </c>
    </row>
    <row r="2478" spans="47:70" x14ac:dyDescent="0.2">
      <c r="AU2478"/>
      <c r="AV2478"/>
      <c r="AW2478"/>
      <c r="AX2478"/>
      <c r="AY2478"/>
      <c r="BK2478" s="42">
        <v>2477</v>
      </c>
      <c r="BL2478" s="127">
        <v>4</v>
      </c>
      <c r="BM2478" s="127">
        <v>0.11332468572476186</v>
      </c>
      <c r="BN2478" s="127" t="e">
        <v>#N/A</v>
      </c>
      <c r="BO2478" s="127" t="e">
        <v>#N/A</v>
      </c>
      <c r="BP2478" s="151" t="e">
        <v>#N/A</v>
      </c>
      <c r="BQ2478">
        <v>0.11332468572476186</v>
      </c>
      <c r="BR2478" t="str">
        <v/>
      </c>
    </row>
    <row r="2479" spans="47:70" x14ac:dyDescent="0.2">
      <c r="AU2479"/>
      <c r="AV2479"/>
      <c r="AW2479"/>
      <c r="AX2479"/>
      <c r="AY2479"/>
      <c r="BK2479" s="42">
        <v>2478</v>
      </c>
      <c r="BL2479" s="127">
        <v>4</v>
      </c>
      <c r="BM2479" s="127">
        <v>0.11332468572476186</v>
      </c>
      <c r="BN2479" s="127" t="e">
        <v>#N/A</v>
      </c>
      <c r="BO2479" s="127" t="e">
        <v>#N/A</v>
      </c>
      <c r="BP2479" s="151" t="e">
        <v>#N/A</v>
      </c>
      <c r="BQ2479">
        <v>0.11332468572476186</v>
      </c>
      <c r="BR2479" t="str">
        <v/>
      </c>
    </row>
    <row r="2480" spans="47:70" x14ac:dyDescent="0.2">
      <c r="AU2480"/>
      <c r="AV2480"/>
      <c r="AW2480"/>
      <c r="AX2480"/>
      <c r="AY2480"/>
      <c r="BK2480" s="42">
        <v>2479</v>
      </c>
      <c r="BL2480" s="127">
        <v>4</v>
      </c>
      <c r="BM2480" s="127">
        <v>0.11332468572476186</v>
      </c>
      <c r="BN2480" s="127" t="e">
        <v>#N/A</v>
      </c>
      <c r="BO2480" s="127" t="e">
        <v>#N/A</v>
      </c>
      <c r="BP2480" s="151" t="e">
        <v>#N/A</v>
      </c>
      <c r="BQ2480">
        <v>0.11332468572476186</v>
      </c>
      <c r="BR2480" t="str">
        <v/>
      </c>
    </row>
    <row r="2481" spans="47:70" x14ac:dyDescent="0.2">
      <c r="AU2481"/>
      <c r="AV2481"/>
      <c r="AW2481"/>
      <c r="AX2481"/>
      <c r="AY2481"/>
      <c r="BK2481" s="42">
        <v>2480</v>
      </c>
      <c r="BL2481" s="127">
        <v>4</v>
      </c>
      <c r="BM2481" s="127">
        <v>0.11332468572476186</v>
      </c>
      <c r="BN2481" s="127" t="e">
        <v>#N/A</v>
      </c>
      <c r="BO2481" s="127" t="e">
        <v>#N/A</v>
      </c>
      <c r="BP2481" s="151" t="e">
        <v>#N/A</v>
      </c>
      <c r="BQ2481">
        <v>0.11332468572476186</v>
      </c>
      <c r="BR2481" t="str">
        <v/>
      </c>
    </row>
    <row r="2482" spans="47:70" x14ac:dyDescent="0.2">
      <c r="AU2482"/>
      <c r="AV2482"/>
      <c r="AW2482"/>
      <c r="AX2482"/>
      <c r="AY2482"/>
      <c r="BK2482" s="42">
        <v>2481</v>
      </c>
      <c r="BL2482" s="127">
        <v>4</v>
      </c>
      <c r="BM2482" s="127">
        <v>0.11332468572476186</v>
      </c>
      <c r="BN2482" s="127" t="e">
        <v>#N/A</v>
      </c>
      <c r="BO2482" s="127" t="e">
        <v>#N/A</v>
      </c>
      <c r="BP2482" s="151" t="e">
        <v>#N/A</v>
      </c>
      <c r="BQ2482">
        <v>0.11332468572476186</v>
      </c>
      <c r="BR2482" t="str">
        <v/>
      </c>
    </row>
    <row r="2483" spans="47:70" x14ac:dyDescent="0.2">
      <c r="AU2483"/>
      <c r="AV2483"/>
      <c r="AW2483"/>
      <c r="AX2483"/>
      <c r="AY2483"/>
      <c r="BK2483" s="42">
        <v>2482</v>
      </c>
      <c r="BL2483" s="127">
        <v>4</v>
      </c>
      <c r="BM2483" s="127">
        <v>0.11332468572476186</v>
      </c>
      <c r="BN2483" s="127" t="e">
        <v>#N/A</v>
      </c>
      <c r="BO2483" s="127" t="e">
        <v>#N/A</v>
      </c>
      <c r="BP2483" s="151" t="e">
        <v>#N/A</v>
      </c>
      <c r="BQ2483">
        <v>0.11332468572476186</v>
      </c>
      <c r="BR2483" t="str">
        <v/>
      </c>
    </row>
    <row r="2484" spans="47:70" x14ac:dyDescent="0.2">
      <c r="AU2484"/>
      <c r="AV2484"/>
      <c r="AW2484"/>
      <c r="AX2484"/>
      <c r="AY2484"/>
      <c r="BK2484" s="42">
        <v>2483</v>
      </c>
      <c r="BL2484" s="127">
        <v>4</v>
      </c>
      <c r="BM2484" s="127">
        <v>0.11332468572476186</v>
      </c>
      <c r="BN2484" s="127" t="e">
        <v>#N/A</v>
      </c>
      <c r="BO2484" s="127" t="e">
        <v>#N/A</v>
      </c>
      <c r="BP2484" s="151" t="e">
        <v>#N/A</v>
      </c>
      <c r="BQ2484">
        <v>0.11332468572476186</v>
      </c>
      <c r="BR2484" t="str">
        <v/>
      </c>
    </row>
    <row r="2485" spans="47:70" x14ac:dyDescent="0.2">
      <c r="AU2485"/>
      <c r="AV2485"/>
      <c r="AW2485"/>
      <c r="AX2485"/>
      <c r="AY2485"/>
      <c r="BK2485" s="42">
        <v>2484</v>
      </c>
      <c r="BL2485" s="127">
        <v>4</v>
      </c>
      <c r="BM2485" s="127">
        <v>0.11332468572476186</v>
      </c>
      <c r="BN2485" s="127" t="e">
        <v>#N/A</v>
      </c>
      <c r="BO2485" s="127" t="e">
        <v>#N/A</v>
      </c>
      <c r="BP2485" s="151" t="e">
        <v>#N/A</v>
      </c>
      <c r="BQ2485">
        <v>0.11332468572476186</v>
      </c>
      <c r="BR2485" t="str">
        <v/>
      </c>
    </row>
    <row r="2486" spans="47:70" x14ac:dyDescent="0.2">
      <c r="AU2486"/>
      <c r="AV2486"/>
      <c r="AW2486"/>
      <c r="AX2486"/>
      <c r="AY2486"/>
      <c r="BK2486" s="42">
        <v>2485</v>
      </c>
      <c r="BL2486" s="127">
        <v>4</v>
      </c>
      <c r="BM2486" s="127">
        <v>0.11332468572476186</v>
      </c>
      <c r="BN2486" s="127" t="e">
        <v>#N/A</v>
      </c>
      <c r="BO2486" s="127" t="e">
        <v>#N/A</v>
      </c>
      <c r="BP2486" s="151" t="e">
        <v>#N/A</v>
      </c>
      <c r="BQ2486">
        <v>0.11332468572476186</v>
      </c>
      <c r="BR2486" t="str">
        <v/>
      </c>
    </row>
    <row r="2487" spans="47:70" x14ac:dyDescent="0.2">
      <c r="AU2487"/>
      <c r="AV2487"/>
      <c r="AW2487"/>
      <c r="AX2487"/>
      <c r="AY2487"/>
      <c r="BK2487" s="42">
        <v>2486</v>
      </c>
      <c r="BL2487" s="127">
        <v>4</v>
      </c>
      <c r="BM2487" s="127">
        <v>0.11332468572476186</v>
      </c>
      <c r="BN2487" s="127" t="e">
        <v>#N/A</v>
      </c>
      <c r="BO2487" s="127" t="e">
        <v>#N/A</v>
      </c>
      <c r="BP2487" s="151" t="e">
        <v>#N/A</v>
      </c>
      <c r="BQ2487">
        <v>0.11332468572476186</v>
      </c>
      <c r="BR2487" t="str">
        <v/>
      </c>
    </row>
    <row r="2488" spans="47:70" x14ac:dyDescent="0.2">
      <c r="AU2488"/>
      <c r="AV2488"/>
      <c r="AW2488"/>
      <c r="AX2488"/>
      <c r="AY2488"/>
      <c r="BK2488" s="42">
        <v>2487</v>
      </c>
      <c r="BL2488" s="127">
        <v>4</v>
      </c>
      <c r="BM2488" s="127">
        <v>0.11332468572476186</v>
      </c>
      <c r="BN2488" s="127" t="e">
        <v>#N/A</v>
      </c>
      <c r="BO2488" s="127" t="e">
        <v>#N/A</v>
      </c>
      <c r="BP2488" s="151" t="e">
        <v>#N/A</v>
      </c>
      <c r="BQ2488">
        <v>0.11332468572476186</v>
      </c>
      <c r="BR2488" t="str">
        <v/>
      </c>
    </row>
    <row r="2489" spans="47:70" x14ac:dyDescent="0.2">
      <c r="AU2489"/>
      <c r="AV2489"/>
      <c r="AW2489"/>
      <c r="AX2489"/>
      <c r="AY2489"/>
      <c r="BK2489" s="42">
        <v>2488</v>
      </c>
      <c r="BL2489" s="127">
        <v>4</v>
      </c>
      <c r="BM2489" s="127">
        <v>0.11332468572476186</v>
      </c>
      <c r="BN2489" s="127" t="e">
        <v>#N/A</v>
      </c>
      <c r="BO2489" s="127" t="e">
        <v>#N/A</v>
      </c>
      <c r="BP2489" s="151" t="e">
        <v>#N/A</v>
      </c>
      <c r="BQ2489">
        <v>0.11332468572476186</v>
      </c>
      <c r="BR2489" t="str">
        <v/>
      </c>
    </row>
    <row r="2490" spans="47:70" x14ac:dyDescent="0.2">
      <c r="AU2490"/>
      <c r="AV2490"/>
      <c r="AW2490"/>
      <c r="AX2490"/>
      <c r="AY2490"/>
      <c r="BK2490" s="42">
        <v>2489</v>
      </c>
      <c r="BL2490" s="127">
        <v>4</v>
      </c>
      <c r="BM2490" s="127">
        <v>0.11332468572476186</v>
      </c>
      <c r="BN2490" s="127" t="e">
        <v>#N/A</v>
      </c>
      <c r="BO2490" s="127" t="e">
        <v>#N/A</v>
      </c>
      <c r="BP2490" s="151" t="e">
        <v>#N/A</v>
      </c>
      <c r="BQ2490">
        <v>0.11332468572476186</v>
      </c>
      <c r="BR2490" t="str">
        <v/>
      </c>
    </row>
    <row r="2491" spans="47:70" x14ac:dyDescent="0.2">
      <c r="AU2491"/>
      <c r="AV2491"/>
      <c r="AW2491"/>
      <c r="AX2491"/>
      <c r="AY2491"/>
      <c r="BK2491" s="42">
        <v>2490</v>
      </c>
      <c r="BL2491" s="127">
        <v>4</v>
      </c>
      <c r="BM2491" s="127">
        <v>0.11332468572476186</v>
      </c>
      <c r="BN2491" s="127" t="e">
        <v>#N/A</v>
      </c>
      <c r="BO2491" s="127" t="e">
        <v>#N/A</v>
      </c>
      <c r="BP2491" s="151" t="e">
        <v>#N/A</v>
      </c>
      <c r="BQ2491">
        <v>0.11332468572476186</v>
      </c>
      <c r="BR2491" t="str">
        <v/>
      </c>
    </row>
    <row r="2492" spans="47:70" x14ac:dyDescent="0.2">
      <c r="AU2492"/>
      <c r="AV2492"/>
      <c r="AW2492"/>
      <c r="AX2492"/>
      <c r="AY2492"/>
      <c r="BK2492" s="42">
        <v>2491</v>
      </c>
      <c r="BL2492" s="127">
        <v>4</v>
      </c>
      <c r="BM2492" s="127">
        <v>0.11332468572476186</v>
      </c>
      <c r="BN2492" s="127" t="e">
        <v>#N/A</v>
      </c>
      <c r="BO2492" s="127" t="e">
        <v>#N/A</v>
      </c>
      <c r="BP2492" s="151" t="e">
        <v>#N/A</v>
      </c>
      <c r="BQ2492">
        <v>0.11332468572476186</v>
      </c>
      <c r="BR2492" t="str">
        <v/>
      </c>
    </row>
    <row r="2493" spans="47:70" x14ac:dyDescent="0.2">
      <c r="AU2493"/>
      <c r="AV2493"/>
      <c r="AW2493"/>
      <c r="AX2493"/>
      <c r="AY2493"/>
      <c r="BK2493" s="42">
        <v>2492</v>
      </c>
      <c r="BL2493" s="127">
        <v>4</v>
      </c>
      <c r="BM2493" s="127">
        <v>0.11332468572476186</v>
      </c>
      <c r="BN2493" s="127" t="e">
        <v>#N/A</v>
      </c>
      <c r="BO2493" s="127" t="e">
        <v>#N/A</v>
      </c>
      <c r="BP2493" s="151" t="e">
        <v>#N/A</v>
      </c>
      <c r="BQ2493">
        <v>0.11332468572476186</v>
      </c>
      <c r="BR2493" t="str">
        <v/>
      </c>
    </row>
    <row r="2494" spans="47:70" x14ac:dyDescent="0.2">
      <c r="AU2494"/>
      <c r="AV2494"/>
      <c r="AW2494"/>
      <c r="AX2494"/>
      <c r="AY2494"/>
      <c r="BK2494" s="42">
        <v>2493</v>
      </c>
      <c r="BL2494" s="127">
        <v>4</v>
      </c>
      <c r="BM2494" s="127">
        <v>0.11332468572476186</v>
      </c>
      <c r="BN2494" s="127" t="e">
        <v>#N/A</v>
      </c>
      <c r="BO2494" s="127" t="e">
        <v>#N/A</v>
      </c>
      <c r="BP2494" s="151" t="e">
        <v>#N/A</v>
      </c>
      <c r="BQ2494">
        <v>0.11332468572476186</v>
      </c>
      <c r="BR2494" t="str">
        <v/>
      </c>
    </row>
    <row r="2495" spans="47:70" x14ac:dyDescent="0.2">
      <c r="AU2495"/>
      <c r="AV2495"/>
      <c r="AW2495"/>
      <c r="AX2495"/>
      <c r="AY2495"/>
      <c r="BK2495" s="42">
        <v>2494</v>
      </c>
      <c r="BL2495" s="127">
        <v>4</v>
      </c>
      <c r="BM2495" s="127">
        <v>0.11332468572476186</v>
      </c>
      <c r="BN2495" s="127" t="e">
        <v>#N/A</v>
      </c>
      <c r="BO2495" s="127" t="e">
        <v>#N/A</v>
      </c>
      <c r="BP2495" s="151" t="e">
        <v>#N/A</v>
      </c>
      <c r="BQ2495">
        <v>0.11332468572476186</v>
      </c>
      <c r="BR2495" t="str">
        <v/>
      </c>
    </row>
    <row r="2496" spans="47:70" x14ac:dyDescent="0.2">
      <c r="AU2496"/>
      <c r="AV2496"/>
      <c r="AW2496"/>
      <c r="AX2496"/>
      <c r="AY2496"/>
      <c r="BK2496" s="42">
        <v>2495</v>
      </c>
      <c r="BL2496" s="127">
        <v>4</v>
      </c>
      <c r="BM2496" s="127">
        <v>0.11332468572476186</v>
      </c>
      <c r="BN2496" s="127" t="e">
        <v>#N/A</v>
      </c>
      <c r="BO2496" s="127" t="e">
        <v>#N/A</v>
      </c>
      <c r="BP2496" s="151" t="e">
        <v>#N/A</v>
      </c>
      <c r="BQ2496">
        <v>0.11332468572476186</v>
      </c>
      <c r="BR2496" t="str">
        <v/>
      </c>
    </row>
    <row r="2497" spans="47:70" x14ac:dyDescent="0.2">
      <c r="AU2497"/>
      <c r="AV2497"/>
      <c r="AW2497"/>
      <c r="AX2497"/>
      <c r="AY2497"/>
      <c r="BK2497" s="42">
        <v>2496</v>
      </c>
      <c r="BL2497" s="127">
        <v>4</v>
      </c>
      <c r="BM2497" s="127">
        <v>0.11332468572476186</v>
      </c>
      <c r="BN2497" s="127" t="e">
        <v>#N/A</v>
      </c>
      <c r="BO2497" s="127" t="e">
        <v>#N/A</v>
      </c>
      <c r="BP2497" s="151" t="e">
        <v>#N/A</v>
      </c>
      <c r="BQ2497">
        <v>0.11332468572476186</v>
      </c>
      <c r="BR2497" t="str">
        <v/>
      </c>
    </row>
    <row r="2498" spans="47:70" x14ac:dyDescent="0.2">
      <c r="AU2498"/>
      <c r="AV2498"/>
      <c r="AW2498"/>
      <c r="AX2498"/>
      <c r="AY2498"/>
      <c r="BK2498" s="42">
        <v>2497</v>
      </c>
      <c r="BL2498" s="127">
        <v>4</v>
      </c>
      <c r="BM2498" s="127">
        <v>0.11332468572476186</v>
      </c>
      <c r="BN2498" s="127" t="e">
        <v>#N/A</v>
      </c>
      <c r="BO2498" s="127" t="e">
        <v>#N/A</v>
      </c>
      <c r="BP2498" s="151" t="e">
        <v>#N/A</v>
      </c>
      <c r="BQ2498">
        <v>0.11332468572476186</v>
      </c>
      <c r="BR2498" t="str">
        <v/>
      </c>
    </row>
    <row r="2499" spans="47:70" x14ac:dyDescent="0.2">
      <c r="AU2499"/>
      <c r="AV2499"/>
      <c r="AW2499"/>
      <c r="AX2499"/>
      <c r="AY2499"/>
      <c r="BK2499" s="42">
        <v>2498</v>
      </c>
      <c r="BL2499" s="127">
        <v>4</v>
      </c>
      <c r="BM2499" s="127">
        <v>0.11332468572476186</v>
      </c>
      <c r="BN2499" s="127" t="e">
        <v>#N/A</v>
      </c>
      <c r="BO2499" s="127" t="e">
        <v>#N/A</v>
      </c>
      <c r="BP2499" s="151" t="e">
        <v>#N/A</v>
      </c>
      <c r="BQ2499">
        <v>0.11332468572476186</v>
      </c>
      <c r="BR2499" t="str">
        <v/>
      </c>
    </row>
    <row r="2500" spans="47:70" x14ac:dyDescent="0.2">
      <c r="AU2500"/>
      <c r="AV2500"/>
      <c r="AW2500"/>
      <c r="AX2500"/>
      <c r="AY2500"/>
      <c r="BK2500" s="42">
        <v>2499</v>
      </c>
      <c r="BL2500" s="127">
        <v>4</v>
      </c>
      <c r="BM2500" s="127">
        <v>0.11332468572476186</v>
      </c>
      <c r="BN2500" s="127" t="e">
        <v>#N/A</v>
      </c>
      <c r="BO2500" s="127" t="e">
        <v>#N/A</v>
      </c>
      <c r="BP2500" s="151" t="e">
        <v>#N/A</v>
      </c>
      <c r="BQ2500">
        <v>0.11332468572476186</v>
      </c>
      <c r="BR2500" t="str">
        <v/>
      </c>
    </row>
    <row r="2501" spans="47:70" x14ac:dyDescent="0.2">
      <c r="AU2501"/>
      <c r="AV2501"/>
      <c r="AW2501"/>
      <c r="AX2501"/>
      <c r="AY2501"/>
      <c r="BK2501" s="42">
        <v>2500</v>
      </c>
      <c r="BL2501" s="127">
        <v>4</v>
      </c>
      <c r="BM2501" s="127">
        <v>0.11332468572476186</v>
      </c>
      <c r="BN2501" s="127" t="e">
        <v>#N/A</v>
      </c>
      <c r="BO2501" s="127" t="e">
        <v>#N/A</v>
      </c>
      <c r="BP2501" s="151" t="e">
        <v>#N/A</v>
      </c>
      <c r="BQ2501">
        <v>0.11332468572476186</v>
      </c>
      <c r="BR2501" t="str">
        <v/>
      </c>
    </row>
    <row r="2502" spans="47:70" x14ac:dyDescent="0.2">
      <c r="AU2502"/>
      <c r="AV2502"/>
      <c r="AW2502"/>
      <c r="AX2502"/>
      <c r="AY2502"/>
      <c r="BK2502" s="42">
        <v>2501</v>
      </c>
      <c r="BL2502" s="127">
        <v>4</v>
      </c>
      <c r="BM2502" s="127">
        <v>0.11332468572476186</v>
      </c>
      <c r="BN2502" s="127" t="e">
        <v>#N/A</v>
      </c>
      <c r="BO2502" s="127" t="e">
        <v>#N/A</v>
      </c>
      <c r="BP2502" s="151" t="e">
        <v>#N/A</v>
      </c>
      <c r="BQ2502">
        <v>0.11332468572476186</v>
      </c>
      <c r="BR2502" t="str">
        <v/>
      </c>
    </row>
    <row r="2503" spans="47:70" x14ac:dyDescent="0.2">
      <c r="AU2503"/>
      <c r="AV2503"/>
      <c r="AW2503"/>
      <c r="AX2503"/>
      <c r="AY2503"/>
      <c r="BK2503" s="42">
        <v>2502</v>
      </c>
      <c r="BL2503" s="127">
        <v>4</v>
      </c>
      <c r="BM2503" s="127">
        <v>0.11332468572476186</v>
      </c>
      <c r="BN2503" s="127" t="e">
        <v>#N/A</v>
      </c>
      <c r="BO2503" s="127" t="e">
        <v>#N/A</v>
      </c>
      <c r="BP2503" s="151" t="e">
        <v>#N/A</v>
      </c>
      <c r="BQ2503">
        <v>0.11332468572476186</v>
      </c>
      <c r="BR2503" t="str">
        <v/>
      </c>
    </row>
    <row r="2504" spans="47:70" x14ac:dyDescent="0.2">
      <c r="AU2504"/>
      <c r="AV2504"/>
      <c r="AW2504"/>
      <c r="AX2504"/>
      <c r="AY2504"/>
      <c r="BK2504" s="42">
        <v>2503</v>
      </c>
      <c r="BL2504" s="127">
        <v>4</v>
      </c>
      <c r="BM2504" s="127">
        <v>0.11332468572476186</v>
      </c>
      <c r="BN2504" s="127" t="e">
        <v>#N/A</v>
      </c>
      <c r="BO2504" s="127" t="e">
        <v>#N/A</v>
      </c>
      <c r="BP2504" s="151" t="e">
        <v>#N/A</v>
      </c>
      <c r="BQ2504">
        <v>0.11332468572476186</v>
      </c>
      <c r="BR2504" t="str">
        <v/>
      </c>
    </row>
    <row r="2505" spans="47:70" x14ac:dyDescent="0.2">
      <c r="AU2505"/>
      <c r="AV2505"/>
      <c r="AW2505"/>
      <c r="AX2505"/>
      <c r="AY2505"/>
      <c r="BK2505" s="42">
        <v>2504</v>
      </c>
      <c r="BL2505" s="127">
        <v>4</v>
      </c>
      <c r="BM2505" s="127">
        <v>0.11332468572476186</v>
      </c>
      <c r="BN2505" s="127" t="e">
        <v>#N/A</v>
      </c>
      <c r="BO2505" s="127" t="e">
        <v>#N/A</v>
      </c>
      <c r="BP2505" s="151" t="e">
        <v>#N/A</v>
      </c>
      <c r="BQ2505">
        <v>0.11332468572476186</v>
      </c>
      <c r="BR2505" t="str">
        <v/>
      </c>
    </row>
    <row r="2506" spans="47:70" x14ac:dyDescent="0.2">
      <c r="AU2506"/>
      <c r="AV2506"/>
      <c r="AW2506"/>
      <c r="AX2506"/>
      <c r="AY2506"/>
      <c r="BK2506" s="42">
        <v>2505</v>
      </c>
      <c r="BL2506" s="127">
        <v>4</v>
      </c>
      <c r="BM2506" s="127">
        <v>0.11332468572476186</v>
      </c>
      <c r="BN2506" s="127" t="e">
        <v>#N/A</v>
      </c>
      <c r="BO2506" s="127" t="e">
        <v>#N/A</v>
      </c>
      <c r="BP2506" s="151" t="e">
        <v>#N/A</v>
      </c>
      <c r="BQ2506">
        <v>0.11332468572476186</v>
      </c>
      <c r="BR2506" t="str">
        <v/>
      </c>
    </row>
    <row r="2507" spans="47:70" x14ac:dyDescent="0.2">
      <c r="AU2507"/>
      <c r="AV2507"/>
      <c r="AW2507"/>
      <c r="AX2507"/>
      <c r="AY2507"/>
      <c r="BK2507" s="42">
        <v>2506</v>
      </c>
      <c r="BL2507" s="127">
        <v>4</v>
      </c>
      <c r="BM2507" s="127">
        <v>0.11332468572476186</v>
      </c>
      <c r="BN2507" s="127" t="e">
        <v>#N/A</v>
      </c>
      <c r="BO2507" s="127" t="e">
        <v>#N/A</v>
      </c>
      <c r="BP2507" s="151" t="e">
        <v>#N/A</v>
      </c>
      <c r="BQ2507">
        <v>0.11332468572476186</v>
      </c>
      <c r="BR2507" t="str">
        <v/>
      </c>
    </row>
    <row r="2508" spans="47:70" x14ac:dyDescent="0.2">
      <c r="AU2508"/>
      <c r="AV2508"/>
      <c r="AW2508"/>
      <c r="AX2508"/>
      <c r="AY2508"/>
      <c r="BK2508" s="42">
        <v>2507</v>
      </c>
      <c r="BL2508" s="127">
        <v>4</v>
      </c>
      <c r="BM2508" s="127">
        <v>0.11332468572476186</v>
      </c>
      <c r="BN2508" s="127" t="e">
        <v>#N/A</v>
      </c>
      <c r="BO2508" s="127" t="e">
        <v>#N/A</v>
      </c>
      <c r="BP2508" s="151" t="e">
        <v>#N/A</v>
      </c>
      <c r="BQ2508">
        <v>0.11332468572476186</v>
      </c>
      <c r="BR2508" t="str">
        <v/>
      </c>
    </row>
    <row r="2509" spans="47:70" x14ac:dyDescent="0.2">
      <c r="AU2509"/>
      <c r="AV2509"/>
      <c r="AW2509"/>
      <c r="AX2509"/>
      <c r="AY2509"/>
      <c r="BK2509" s="42">
        <v>2508</v>
      </c>
      <c r="BL2509" s="127">
        <v>4</v>
      </c>
      <c r="BM2509" s="127">
        <v>0.11332468572476186</v>
      </c>
      <c r="BN2509" s="127" t="e">
        <v>#N/A</v>
      </c>
      <c r="BO2509" s="127" t="e">
        <v>#N/A</v>
      </c>
      <c r="BP2509" s="151" t="e">
        <v>#N/A</v>
      </c>
      <c r="BQ2509">
        <v>0.11332468572476186</v>
      </c>
      <c r="BR2509" t="str">
        <v/>
      </c>
    </row>
    <row r="2510" spans="47:70" x14ac:dyDescent="0.2">
      <c r="AU2510"/>
      <c r="AV2510"/>
      <c r="AW2510"/>
      <c r="AX2510"/>
      <c r="AY2510"/>
      <c r="BK2510" s="42">
        <v>2509</v>
      </c>
      <c r="BL2510" s="127">
        <v>4</v>
      </c>
      <c r="BM2510" s="127">
        <v>0.11332468572476186</v>
      </c>
      <c r="BN2510" s="127" t="e">
        <v>#N/A</v>
      </c>
      <c r="BO2510" s="127" t="e">
        <v>#N/A</v>
      </c>
      <c r="BP2510" s="151" t="e">
        <v>#N/A</v>
      </c>
      <c r="BQ2510">
        <v>0.11332468572476186</v>
      </c>
      <c r="BR2510" t="str">
        <v/>
      </c>
    </row>
    <row r="2511" spans="47:70" x14ac:dyDescent="0.2">
      <c r="AU2511"/>
      <c r="AV2511"/>
      <c r="AW2511"/>
      <c r="AX2511"/>
      <c r="AY2511"/>
      <c r="BK2511" s="42">
        <v>2510</v>
      </c>
      <c r="BL2511" s="127">
        <v>4</v>
      </c>
      <c r="BM2511" s="127">
        <v>0.11332468572476186</v>
      </c>
      <c r="BN2511" s="127" t="e">
        <v>#N/A</v>
      </c>
      <c r="BO2511" s="127" t="e">
        <v>#N/A</v>
      </c>
      <c r="BP2511" s="151" t="e">
        <v>#N/A</v>
      </c>
      <c r="BQ2511">
        <v>0.11332468572476186</v>
      </c>
      <c r="BR2511" t="str">
        <v/>
      </c>
    </row>
    <row r="2512" spans="47:70" x14ac:dyDescent="0.2">
      <c r="AU2512"/>
      <c r="AV2512"/>
      <c r="AW2512"/>
      <c r="AX2512"/>
      <c r="AY2512"/>
      <c r="BK2512" s="42">
        <v>2511</v>
      </c>
      <c r="BL2512" s="127">
        <v>4</v>
      </c>
      <c r="BM2512" s="127">
        <v>0.11332468572476186</v>
      </c>
      <c r="BN2512" s="127" t="e">
        <v>#N/A</v>
      </c>
      <c r="BO2512" s="127" t="e">
        <v>#N/A</v>
      </c>
      <c r="BP2512" s="151" t="e">
        <v>#N/A</v>
      </c>
      <c r="BQ2512">
        <v>0.11332468572476186</v>
      </c>
      <c r="BR2512" t="str">
        <v/>
      </c>
    </row>
    <row r="2513" spans="47:70" x14ac:dyDescent="0.2">
      <c r="AU2513"/>
      <c r="AV2513"/>
      <c r="AW2513"/>
      <c r="AX2513"/>
      <c r="AY2513"/>
      <c r="BK2513" s="42">
        <v>2512</v>
      </c>
      <c r="BL2513" s="127">
        <v>4</v>
      </c>
      <c r="BM2513" s="127">
        <v>0.11332468572476186</v>
      </c>
      <c r="BN2513" s="127" t="e">
        <v>#N/A</v>
      </c>
      <c r="BO2513" s="127" t="e">
        <v>#N/A</v>
      </c>
      <c r="BP2513" s="151" t="e">
        <v>#N/A</v>
      </c>
      <c r="BQ2513">
        <v>0.11332468572476186</v>
      </c>
      <c r="BR2513" t="str">
        <v/>
      </c>
    </row>
    <row r="2514" spans="47:70" x14ac:dyDescent="0.2">
      <c r="AU2514"/>
      <c r="AV2514"/>
      <c r="AW2514"/>
      <c r="AX2514"/>
      <c r="AY2514"/>
      <c r="BK2514" s="42">
        <v>2513</v>
      </c>
      <c r="BL2514" s="127">
        <v>4</v>
      </c>
      <c r="BM2514" s="127">
        <v>0.11332468572476186</v>
      </c>
      <c r="BN2514" s="127" t="e">
        <v>#N/A</v>
      </c>
      <c r="BO2514" s="127" t="e">
        <v>#N/A</v>
      </c>
      <c r="BP2514" s="151" t="e">
        <v>#N/A</v>
      </c>
      <c r="BQ2514">
        <v>0.11332468572476186</v>
      </c>
      <c r="BR2514" t="str">
        <v/>
      </c>
    </row>
    <row r="2515" spans="47:70" x14ac:dyDescent="0.2">
      <c r="AU2515"/>
      <c r="AV2515"/>
      <c r="AW2515"/>
      <c r="AX2515"/>
      <c r="AY2515"/>
      <c r="BK2515" s="42">
        <v>2514</v>
      </c>
      <c r="BL2515" s="127">
        <v>4</v>
      </c>
      <c r="BM2515" s="127">
        <v>0.11332468572476186</v>
      </c>
      <c r="BN2515" s="127" t="e">
        <v>#N/A</v>
      </c>
      <c r="BO2515" s="127" t="e">
        <v>#N/A</v>
      </c>
      <c r="BP2515" s="151" t="e">
        <v>#N/A</v>
      </c>
      <c r="BQ2515">
        <v>0.11332468572476186</v>
      </c>
      <c r="BR2515" t="str">
        <v/>
      </c>
    </row>
    <row r="2516" spans="47:70" x14ac:dyDescent="0.2">
      <c r="AU2516"/>
      <c r="AV2516"/>
      <c r="AW2516"/>
      <c r="AX2516"/>
      <c r="AY2516"/>
      <c r="BK2516" s="42">
        <v>2515</v>
      </c>
      <c r="BL2516" s="127">
        <v>4</v>
      </c>
      <c r="BM2516" s="127">
        <v>0.11332468572476186</v>
      </c>
      <c r="BN2516" s="127" t="e">
        <v>#N/A</v>
      </c>
      <c r="BO2516" s="127" t="e">
        <v>#N/A</v>
      </c>
      <c r="BP2516" s="151" t="e">
        <v>#N/A</v>
      </c>
      <c r="BQ2516">
        <v>0.11332468572476186</v>
      </c>
      <c r="BR2516" t="str">
        <v/>
      </c>
    </row>
    <row r="2517" spans="47:70" x14ac:dyDescent="0.2">
      <c r="AU2517"/>
      <c r="AV2517"/>
      <c r="AW2517"/>
      <c r="AX2517"/>
      <c r="AY2517"/>
      <c r="BK2517" s="42">
        <v>2516</v>
      </c>
      <c r="BL2517" s="127">
        <v>4</v>
      </c>
      <c r="BM2517" s="127">
        <v>0.11332468572476186</v>
      </c>
      <c r="BN2517" s="127" t="e">
        <v>#N/A</v>
      </c>
      <c r="BO2517" s="127" t="e">
        <v>#N/A</v>
      </c>
      <c r="BP2517" s="151" t="e">
        <v>#N/A</v>
      </c>
      <c r="BQ2517">
        <v>0.11332468572476186</v>
      </c>
      <c r="BR2517" t="str">
        <v/>
      </c>
    </row>
    <row r="2518" spans="47:70" x14ac:dyDescent="0.2">
      <c r="AU2518"/>
      <c r="AV2518"/>
      <c r="AW2518"/>
      <c r="AX2518"/>
      <c r="AY2518"/>
      <c r="BK2518" s="42">
        <v>2517</v>
      </c>
      <c r="BL2518" s="127">
        <v>4</v>
      </c>
      <c r="BM2518" s="127">
        <v>0.11332468572476186</v>
      </c>
      <c r="BN2518" s="127" t="e">
        <v>#N/A</v>
      </c>
      <c r="BO2518" s="127" t="e">
        <v>#N/A</v>
      </c>
      <c r="BP2518" s="151" t="e">
        <v>#N/A</v>
      </c>
      <c r="BQ2518">
        <v>0.11332468572476186</v>
      </c>
      <c r="BR2518" t="str">
        <v/>
      </c>
    </row>
    <row r="2519" spans="47:70" x14ac:dyDescent="0.2">
      <c r="AU2519"/>
      <c r="AV2519"/>
      <c r="AW2519"/>
      <c r="AX2519"/>
      <c r="AY2519"/>
      <c r="BK2519" s="42">
        <v>2518</v>
      </c>
      <c r="BL2519" s="127">
        <v>4</v>
      </c>
      <c r="BM2519" s="127">
        <v>0.11332468572476186</v>
      </c>
      <c r="BN2519" s="127" t="e">
        <v>#N/A</v>
      </c>
      <c r="BO2519" s="127" t="e">
        <v>#N/A</v>
      </c>
      <c r="BP2519" s="151" t="e">
        <v>#N/A</v>
      </c>
      <c r="BQ2519">
        <v>0.11332468572476186</v>
      </c>
      <c r="BR2519" t="str">
        <v/>
      </c>
    </row>
    <row r="2520" spans="47:70" x14ac:dyDescent="0.2">
      <c r="AU2520"/>
      <c r="AV2520"/>
      <c r="AW2520"/>
      <c r="AX2520"/>
      <c r="AY2520"/>
      <c r="BK2520" s="42">
        <v>2519</v>
      </c>
      <c r="BL2520" s="127">
        <v>4</v>
      </c>
      <c r="BM2520" s="127">
        <v>0.11332468572476186</v>
      </c>
      <c r="BN2520" s="127" t="e">
        <v>#N/A</v>
      </c>
      <c r="BO2520" s="127" t="e">
        <v>#N/A</v>
      </c>
      <c r="BP2520" s="151" t="e">
        <v>#N/A</v>
      </c>
      <c r="BQ2520">
        <v>0.11332468572476186</v>
      </c>
      <c r="BR2520" t="str">
        <v/>
      </c>
    </row>
    <row r="2521" spans="47:70" x14ac:dyDescent="0.2">
      <c r="AU2521"/>
      <c r="AV2521"/>
      <c r="AW2521"/>
      <c r="AX2521"/>
      <c r="AY2521"/>
      <c r="BK2521" s="42">
        <v>2520</v>
      </c>
      <c r="BL2521" s="127">
        <v>4</v>
      </c>
      <c r="BM2521" s="127">
        <v>0.11332468572476186</v>
      </c>
      <c r="BN2521" s="127" t="e">
        <v>#N/A</v>
      </c>
      <c r="BO2521" s="127" t="e">
        <v>#N/A</v>
      </c>
      <c r="BP2521" s="151" t="e">
        <v>#N/A</v>
      </c>
      <c r="BQ2521">
        <v>0.11332468572476186</v>
      </c>
      <c r="BR2521" t="str">
        <v/>
      </c>
    </row>
    <row r="2522" spans="47:70" x14ac:dyDescent="0.2">
      <c r="AU2522"/>
      <c r="AV2522"/>
      <c r="AW2522"/>
      <c r="AX2522"/>
      <c r="AY2522"/>
      <c r="BK2522" s="42">
        <v>2521</v>
      </c>
      <c r="BL2522" s="127">
        <v>4</v>
      </c>
      <c r="BM2522" s="127">
        <v>0.11332468572476186</v>
      </c>
      <c r="BN2522" s="127" t="e">
        <v>#N/A</v>
      </c>
      <c r="BO2522" s="127" t="e">
        <v>#N/A</v>
      </c>
      <c r="BP2522" s="151" t="e">
        <v>#N/A</v>
      </c>
      <c r="BQ2522">
        <v>0.11332468572476186</v>
      </c>
      <c r="BR2522" t="str">
        <v/>
      </c>
    </row>
    <row r="2523" spans="47:70" x14ac:dyDescent="0.2">
      <c r="AU2523"/>
      <c r="AV2523"/>
      <c r="AW2523"/>
      <c r="AX2523"/>
      <c r="AY2523"/>
      <c r="BK2523" s="42">
        <v>2522</v>
      </c>
      <c r="BL2523" s="127">
        <v>4</v>
      </c>
      <c r="BM2523" s="127">
        <v>0.11332468572476186</v>
      </c>
      <c r="BN2523" s="127" t="e">
        <v>#N/A</v>
      </c>
      <c r="BO2523" s="127" t="e">
        <v>#N/A</v>
      </c>
      <c r="BP2523" s="151" t="e">
        <v>#N/A</v>
      </c>
      <c r="BQ2523">
        <v>0.11332468572476186</v>
      </c>
      <c r="BR2523" t="str">
        <v/>
      </c>
    </row>
    <row r="2524" spans="47:70" x14ac:dyDescent="0.2">
      <c r="AU2524"/>
      <c r="AV2524"/>
      <c r="AW2524"/>
      <c r="AX2524"/>
      <c r="AY2524"/>
      <c r="BK2524" s="42">
        <v>2523</v>
      </c>
      <c r="BL2524" s="127">
        <v>4</v>
      </c>
      <c r="BM2524" s="127">
        <v>0.11332468572476186</v>
      </c>
      <c r="BN2524" s="127" t="e">
        <v>#N/A</v>
      </c>
      <c r="BO2524" s="127" t="e">
        <v>#N/A</v>
      </c>
      <c r="BP2524" s="151" t="e">
        <v>#N/A</v>
      </c>
      <c r="BQ2524">
        <v>0.11332468572476186</v>
      </c>
      <c r="BR2524" t="str">
        <v/>
      </c>
    </row>
    <row r="2525" spans="47:70" x14ac:dyDescent="0.2">
      <c r="AU2525"/>
      <c r="AV2525"/>
      <c r="AW2525"/>
      <c r="AX2525"/>
      <c r="AY2525"/>
      <c r="BK2525" s="42">
        <v>2524</v>
      </c>
      <c r="BL2525" s="127">
        <v>4</v>
      </c>
      <c r="BM2525" s="127">
        <v>0.11332468572476186</v>
      </c>
      <c r="BN2525" s="127" t="e">
        <v>#N/A</v>
      </c>
      <c r="BO2525" s="127" t="e">
        <v>#N/A</v>
      </c>
      <c r="BP2525" s="151" t="e">
        <v>#N/A</v>
      </c>
      <c r="BQ2525">
        <v>0.11332468572476186</v>
      </c>
      <c r="BR2525" t="str">
        <v/>
      </c>
    </row>
    <row r="2526" spans="47:70" x14ac:dyDescent="0.2">
      <c r="AU2526"/>
      <c r="AV2526"/>
      <c r="AW2526"/>
      <c r="AX2526"/>
      <c r="AY2526"/>
      <c r="BK2526" s="42">
        <v>2525</v>
      </c>
      <c r="BL2526" s="127">
        <v>4</v>
      </c>
      <c r="BM2526" s="127">
        <v>0.11332468572476186</v>
      </c>
      <c r="BN2526" s="127" t="e">
        <v>#N/A</v>
      </c>
      <c r="BO2526" s="127" t="e">
        <v>#N/A</v>
      </c>
      <c r="BP2526" s="151" t="e">
        <v>#N/A</v>
      </c>
      <c r="BQ2526">
        <v>0.11332468572476186</v>
      </c>
      <c r="BR2526" t="str">
        <v/>
      </c>
    </row>
    <row r="2527" spans="47:70" x14ac:dyDescent="0.2">
      <c r="AU2527"/>
      <c r="AV2527"/>
      <c r="AW2527"/>
      <c r="AX2527"/>
      <c r="AY2527"/>
      <c r="BK2527" s="42">
        <v>2526</v>
      </c>
      <c r="BL2527" s="127">
        <v>4</v>
      </c>
      <c r="BM2527" s="127">
        <v>0.11332468572476186</v>
      </c>
      <c r="BN2527" s="127" t="e">
        <v>#N/A</v>
      </c>
      <c r="BO2527" s="127" t="e">
        <v>#N/A</v>
      </c>
      <c r="BP2527" s="151" t="e">
        <v>#N/A</v>
      </c>
      <c r="BQ2527">
        <v>0.11332468572476186</v>
      </c>
      <c r="BR2527" t="str">
        <v/>
      </c>
    </row>
    <row r="2528" spans="47:70" x14ac:dyDescent="0.2">
      <c r="AU2528"/>
      <c r="AV2528"/>
      <c r="AW2528"/>
      <c r="AX2528"/>
      <c r="AY2528"/>
      <c r="BK2528" s="42">
        <v>2527</v>
      </c>
      <c r="BL2528" s="127">
        <v>4</v>
      </c>
      <c r="BM2528" s="127">
        <v>0.11332468572476186</v>
      </c>
      <c r="BN2528" s="127" t="e">
        <v>#N/A</v>
      </c>
      <c r="BO2528" s="127" t="e">
        <v>#N/A</v>
      </c>
      <c r="BP2528" s="151" t="e">
        <v>#N/A</v>
      </c>
      <c r="BQ2528">
        <v>0.11332468572476186</v>
      </c>
      <c r="BR2528" t="str">
        <v/>
      </c>
    </row>
    <row r="2529" spans="47:70" x14ac:dyDescent="0.2">
      <c r="AU2529"/>
      <c r="AV2529"/>
      <c r="AW2529"/>
      <c r="AX2529"/>
      <c r="AY2529"/>
      <c r="BK2529" s="42">
        <v>2528</v>
      </c>
      <c r="BL2529" s="127">
        <v>4</v>
      </c>
      <c r="BM2529" s="127">
        <v>0.11332468572476186</v>
      </c>
      <c r="BN2529" s="127" t="e">
        <v>#N/A</v>
      </c>
      <c r="BO2529" s="127" t="e">
        <v>#N/A</v>
      </c>
      <c r="BP2529" s="151" t="e">
        <v>#N/A</v>
      </c>
      <c r="BQ2529">
        <v>0.11332468572476186</v>
      </c>
      <c r="BR2529" t="str">
        <v/>
      </c>
    </row>
    <row r="2530" spans="47:70" x14ac:dyDescent="0.2">
      <c r="AU2530"/>
      <c r="AV2530"/>
      <c r="AW2530"/>
      <c r="AX2530"/>
      <c r="AY2530"/>
      <c r="BK2530" s="42">
        <v>2529</v>
      </c>
      <c r="BL2530" s="127">
        <v>4</v>
      </c>
      <c r="BM2530" s="127">
        <v>0.11332468572476186</v>
      </c>
      <c r="BN2530" s="127" t="e">
        <v>#N/A</v>
      </c>
      <c r="BO2530" s="127" t="e">
        <v>#N/A</v>
      </c>
      <c r="BP2530" s="151" t="e">
        <v>#N/A</v>
      </c>
      <c r="BQ2530">
        <v>0.11332468572476186</v>
      </c>
      <c r="BR2530" t="str">
        <v/>
      </c>
    </row>
    <row r="2531" spans="47:70" x14ac:dyDescent="0.2">
      <c r="AU2531"/>
      <c r="AV2531"/>
      <c r="AW2531"/>
      <c r="AX2531"/>
      <c r="AY2531"/>
      <c r="BK2531" s="42">
        <v>2530</v>
      </c>
      <c r="BL2531" s="127">
        <v>4</v>
      </c>
      <c r="BM2531" s="127">
        <v>0.11332468572476186</v>
      </c>
      <c r="BN2531" s="127" t="e">
        <v>#N/A</v>
      </c>
      <c r="BO2531" s="127" t="e">
        <v>#N/A</v>
      </c>
      <c r="BP2531" s="151" t="e">
        <v>#N/A</v>
      </c>
      <c r="BQ2531">
        <v>0.11332468572476186</v>
      </c>
      <c r="BR2531" t="str">
        <v/>
      </c>
    </row>
    <row r="2532" spans="47:70" x14ac:dyDescent="0.2">
      <c r="AU2532"/>
      <c r="AV2532"/>
      <c r="AW2532"/>
      <c r="AX2532"/>
      <c r="AY2532"/>
      <c r="BK2532" s="42">
        <v>2531</v>
      </c>
      <c r="BL2532" s="127">
        <v>4</v>
      </c>
      <c r="BM2532" s="127">
        <v>0.11332468572476186</v>
      </c>
      <c r="BN2532" s="127" t="e">
        <v>#N/A</v>
      </c>
      <c r="BO2532" s="127" t="e">
        <v>#N/A</v>
      </c>
      <c r="BP2532" s="151" t="e">
        <v>#N/A</v>
      </c>
      <c r="BQ2532">
        <v>0.11332468572476186</v>
      </c>
      <c r="BR2532" t="str">
        <v/>
      </c>
    </row>
    <row r="2533" spans="47:70" x14ac:dyDescent="0.2">
      <c r="AU2533"/>
      <c r="AV2533"/>
      <c r="AW2533"/>
      <c r="AX2533"/>
      <c r="AY2533"/>
      <c r="BK2533" s="42">
        <v>2532</v>
      </c>
      <c r="BL2533" s="127">
        <v>4</v>
      </c>
      <c r="BM2533" s="127">
        <v>0.11332468572476186</v>
      </c>
      <c r="BN2533" s="127" t="e">
        <v>#N/A</v>
      </c>
      <c r="BO2533" s="127" t="e">
        <v>#N/A</v>
      </c>
      <c r="BP2533" s="151" t="e">
        <v>#N/A</v>
      </c>
      <c r="BQ2533">
        <v>0.11332468572476186</v>
      </c>
      <c r="BR2533" t="str">
        <v/>
      </c>
    </row>
    <row r="2534" spans="47:70" x14ac:dyDescent="0.2">
      <c r="AU2534"/>
      <c r="AV2534"/>
      <c r="AW2534"/>
      <c r="AX2534"/>
      <c r="AY2534"/>
      <c r="BK2534" s="42">
        <v>2533</v>
      </c>
      <c r="BL2534" s="127">
        <v>4</v>
      </c>
      <c r="BM2534" s="127">
        <v>0.11332468572476186</v>
      </c>
      <c r="BN2534" s="127" t="e">
        <v>#N/A</v>
      </c>
      <c r="BO2534" s="127" t="e">
        <v>#N/A</v>
      </c>
      <c r="BP2534" s="151" t="e">
        <v>#N/A</v>
      </c>
      <c r="BQ2534">
        <v>0.11332468572476186</v>
      </c>
      <c r="BR2534" t="str">
        <v/>
      </c>
    </row>
    <row r="2535" spans="47:70" x14ac:dyDescent="0.2">
      <c r="AU2535"/>
      <c r="AV2535"/>
      <c r="AW2535"/>
      <c r="AX2535"/>
      <c r="AY2535"/>
      <c r="BK2535" s="42">
        <v>2534</v>
      </c>
      <c r="BL2535" s="127">
        <v>4</v>
      </c>
      <c r="BM2535" s="127">
        <v>0.11332468572476186</v>
      </c>
      <c r="BN2535" s="127" t="e">
        <v>#N/A</v>
      </c>
      <c r="BO2535" s="127" t="e">
        <v>#N/A</v>
      </c>
      <c r="BP2535" s="151" t="e">
        <v>#N/A</v>
      </c>
      <c r="BQ2535">
        <v>0.11332468572476186</v>
      </c>
      <c r="BR2535" t="str">
        <v/>
      </c>
    </row>
    <row r="2536" spans="47:70" x14ac:dyDescent="0.2">
      <c r="AU2536"/>
      <c r="AV2536"/>
      <c r="AW2536"/>
      <c r="AX2536"/>
      <c r="AY2536"/>
      <c r="BK2536" s="42">
        <v>2535</v>
      </c>
      <c r="BL2536" s="127">
        <v>4</v>
      </c>
      <c r="BM2536" s="127">
        <v>0.11332468572476186</v>
      </c>
      <c r="BN2536" s="127" t="e">
        <v>#N/A</v>
      </c>
      <c r="BO2536" s="127" t="e">
        <v>#N/A</v>
      </c>
      <c r="BP2536" s="151" t="e">
        <v>#N/A</v>
      </c>
      <c r="BQ2536">
        <v>0.11332468572476186</v>
      </c>
      <c r="BR2536" t="str">
        <v/>
      </c>
    </row>
    <row r="2537" spans="47:70" x14ac:dyDescent="0.2">
      <c r="AU2537"/>
      <c r="AV2537"/>
      <c r="AW2537"/>
      <c r="AX2537"/>
      <c r="AY2537"/>
      <c r="BK2537" s="42">
        <v>2536</v>
      </c>
      <c r="BL2537" s="127">
        <v>4</v>
      </c>
      <c r="BM2537" s="127">
        <v>0.11332468572476186</v>
      </c>
      <c r="BN2537" s="127" t="e">
        <v>#N/A</v>
      </c>
      <c r="BO2537" s="127" t="e">
        <v>#N/A</v>
      </c>
      <c r="BP2537" s="151" t="e">
        <v>#N/A</v>
      </c>
      <c r="BQ2537">
        <v>0.11332468572476186</v>
      </c>
      <c r="BR2537" t="str">
        <v/>
      </c>
    </row>
    <row r="2538" spans="47:70" x14ac:dyDescent="0.2">
      <c r="AU2538"/>
      <c r="AV2538"/>
      <c r="AW2538"/>
      <c r="AX2538"/>
      <c r="AY2538"/>
      <c r="BK2538" s="42">
        <v>2537</v>
      </c>
      <c r="BL2538" s="127">
        <v>4</v>
      </c>
      <c r="BM2538" s="127">
        <v>0.11332468572476186</v>
      </c>
      <c r="BN2538" s="127" t="e">
        <v>#N/A</v>
      </c>
      <c r="BO2538" s="127" t="e">
        <v>#N/A</v>
      </c>
      <c r="BP2538" s="151" t="e">
        <v>#N/A</v>
      </c>
      <c r="BQ2538">
        <v>0.11332468572476186</v>
      </c>
      <c r="BR2538" t="str">
        <v/>
      </c>
    </row>
    <row r="2539" spans="47:70" x14ac:dyDescent="0.2">
      <c r="AU2539"/>
      <c r="AV2539"/>
      <c r="AW2539"/>
      <c r="AX2539"/>
      <c r="AY2539"/>
      <c r="BK2539" s="42">
        <v>2538</v>
      </c>
      <c r="BL2539" s="127">
        <v>4</v>
      </c>
      <c r="BM2539" s="127">
        <v>0.11332468572476186</v>
      </c>
      <c r="BN2539" s="127" t="e">
        <v>#N/A</v>
      </c>
      <c r="BO2539" s="127" t="e">
        <v>#N/A</v>
      </c>
      <c r="BP2539" s="151" t="e">
        <v>#N/A</v>
      </c>
      <c r="BQ2539">
        <v>0.11332468572476186</v>
      </c>
      <c r="BR2539" t="str">
        <v/>
      </c>
    </row>
    <row r="2540" spans="47:70" x14ac:dyDescent="0.2">
      <c r="AU2540"/>
      <c r="AV2540"/>
      <c r="AW2540"/>
      <c r="AX2540"/>
      <c r="AY2540"/>
      <c r="BK2540" s="42">
        <v>2539</v>
      </c>
      <c r="BL2540" s="127">
        <v>4</v>
      </c>
      <c r="BM2540" s="127">
        <v>0.11332468572476186</v>
      </c>
      <c r="BN2540" s="127" t="e">
        <v>#N/A</v>
      </c>
      <c r="BO2540" s="127" t="e">
        <v>#N/A</v>
      </c>
      <c r="BP2540" s="151" t="e">
        <v>#N/A</v>
      </c>
      <c r="BQ2540">
        <v>0.11332468572476186</v>
      </c>
      <c r="BR2540" t="str">
        <v/>
      </c>
    </row>
    <row r="2541" spans="47:70" x14ac:dyDescent="0.2">
      <c r="AU2541"/>
      <c r="AV2541"/>
      <c r="AW2541"/>
      <c r="AX2541"/>
      <c r="AY2541"/>
      <c r="BK2541" s="42">
        <v>2540</v>
      </c>
      <c r="BL2541" s="127">
        <v>4</v>
      </c>
      <c r="BM2541" s="127">
        <v>0.11332468572476186</v>
      </c>
      <c r="BN2541" s="127" t="e">
        <v>#N/A</v>
      </c>
      <c r="BO2541" s="127" t="e">
        <v>#N/A</v>
      </c>
      <c r="BP2541" s="151" t="e">
        <v>#N/A</v>
      </c>
      <c r="BQ2541">
        <v>0.11332468572476186</v>
      </c>
      <c r="BR2541" t="str">
        <v/>
      </c>
    </row>
    <row r="2542" spans="47:70" x14ac:dyDescent="0.2">
      <c r="AU2542"/>
      <c r="AV2542"/>
      <c r="AW2542"/>
      <c r="AX2542"/>
      <c r="AY2542"/>
      <c r="BK2542" s="42">
        <v>2541</v>
      </c>
      <c r="BL2542" s="127">
        <v>4</v>
      </c>
      <c r="BM2542" s="127">
        <v>0.11332468572476186</v>
      </c>
      <c r="BN2542" s="127" t="e">
        <v>#N/A</v>
      </c>
      <c r="BO2542" s="127" t="e">
        <v>#N/A</v>
      </c>
      <c r="BP2542" s="151" t="e">
        <v>#N/A</v>
      </c>
      <c r="BQ2542">
        <v>0.11332468572476186</v>
      </c>
      <c r="BR2542" t="str">
        <v/>
      </c>
    </row>
    <row r="2543" spans="47:70" x14ac:dyDescent="0.2">
      <c r="AU2543"/>
      <c r="AV2543"/>
      <c r="AW2543"/>
      <c r="AX2543"/>
      <c r="AY2543"/>
      <c r="BK2543" s="42">
        <v>2542</v>
      </c>
      <c r="BL2543" s="127">
        <v>4</v>
      </c>
      <c r="BM2543" s="127">
        <v>0.11332468572476186</v>
      </c>
      <c r="BN2543" s="127" t="e">
        <v>#N/A</v>
      </c>
      <c r="BO2543" s="127" t="e">
        <v>#N/A</v>
      </c>
      <c r="BP2543" s="151" t="e">
        <v>#N/A</v>
      </c>
      <c r="BQ2543">
        <v>0.11332468572476186</v>
      </c>
      <c r="BR2543" t="str">
        <v/>
      </c>
    </row>
    <row r="2544" spans="47:70" x14ac:dyDescent="0.2">
      <c r="AU2544"/>
      <c r="AV2544"/>
      <c r="AW2544"/>
      <c r="AX2544"/>
      <c r="AY2544"/>
      <c r="BK2544" s="42">
        <v>2543</v>
      </c>
      <c r="BL2544" s="127">
        <v>4</v>
      </c>
      <c r="BM2544" s="127">
        <v>0.11332468572476186</v>
      </c>
      <c r="BN2544" s="127" t="e">
        <v>#N/A</v>
      </c>
      <c r="BO2544" s="127" t="e">
        <v>#N/A</v>
      </c>
      <c r="BP2544" s="151" t="e">
        <v>#N/A</v>
      </c>
      <c r="BQ2544">
        <v>0.11332468572476186</v>
      </c>
      <c r="BR2544" t="str">
        <v/>
      </c>
    </row>
    <row r="2545" spans="47:70" x14ac:dyDescent="0.2">
      <c r="AU2545"/>
      <c r="AV2545"/>
      <c r="AW2545"/>
      <c r="AX2545"/>
      <c r="AY2545"/>
      <c r="BK2545" s="42">
        <v>2544</v>
      </c>
      <c r="BL2545" s="127">
        <v>4</v>
      </c>
      <c r="BM2545" s="127">
        <v>0.11332468572476186</v>
      </c>
      <c r="BN2545" s="127" t="e">
        <v>#N/A</v>
      </c>
      <c r="BO2545" s="127" t="e">
        <v>#N/A</v>
      </c>
      <c r="BP2545" s="151" t="e">
        <v>#N/A</v>
      </c>
      <c r="BQ2545">
        <v>0.11332468572476186</v>
      </c>
      <c r="BR2545" t="str">
        <v/>
      </c>
    </row>
    <row r="2546" spans="47:70" x14ac:dyDescent="0.2">
      <c r="AU2546"/>
      <c r="AV2546"/>
      <c r="AW2546"/>
      <c r="AX2546"/>
      <c r="AY2546"/>
      <c r="BK2546" s="42">
        <v>2545</v>
      </c>
      <c r="BL2546" s="127">
        <v>4</v>
      </c>
      <c r="BM2546" s="127">
        <v>0.11332468572476186</v>
      </c>
      <c r="BN2546" s="127" t="e">
        <v>#N/A</v>
      </c>
      <c r="BO2546" s="127" t="e">
        <v>#N/A</v>
      </c>
      <c r="BP2546" s="151" t="e">
        <v>#N/A</v>
      </c>
      <c r="BQ2546">
        <v>0.11332468572476186</v>
      </c>
      <c r="BR2546" t="str">
        <v/>
      </c>
    </row>
    <row r="2547" spans="47:70" x14ac:dyDescent="0.2">
      <c r="AU2547"/>
      <c r="AV2547"/>
      <c r="AW2547"/>
      <c r="AX2547"/>
      <c r="AY2547"/>
      <c r="BK2547" s="42">
        <v>2546</v>
      </c>
      <c r="BL2547" s="127">
        <v>4</v>
      </c>
      <c r="BM2547" s="127">
        <v>0.11332468572476186</v>
      </c>
      <c r="BN2547" s="127" t="e">
        <v>#N/A</v>
      </c>
      <c r="BO2547" s="127" t="e">
        <v>#N/A</v>
      </c>
      <c r="BP2547" s="151" t="e">
        <v>#N/A</v>
      </c>
      <c r="BQ2547">
        <v>0.11332468572476186</v>
      </c>
      <c r="BR2547" t="str">
        <v/>
      </c>
    </row>
    <row r="2548" spans="47:70" x14ac:dyDescent="0.2">
      <c r="AU2548"/>
      <c r="AV2548"/>
      <c r="AW2548"/>
      <c r="AX2548"/>
      <c r="AY2548"/>
      <c r="BK2548" s="42">
        <v>2547</v>
      </c>
      <c r="BL2548" s="127">
        <v>4</v>
      </c>
      <c r="BM2548" s="127">
        <v>0.11332468572476186</v>
      </c>
      <c r="BN2548" s="127" t="e">
        <v>#N/A</v>
      </c>
      <c r="BO2548" s="127" t="e">
        <v>#N/A</v>
      </c>
      <c r="BP2548" s="151" t="e">
        <v>#N/A</v>
      </c>
      <c r="BQ2548">
        <v>0.11332468572476186</v>
      </c>
      <c r="BR2548" t="str">
        <v/>
      </c>
    </row>
    <row r="2549" spans="47:70" x14ac:dyDescent="0.2">
      <c r="AU2549"/>
      <c r="AV2549"/>
      <c r="AW2549"/>
      <c r="AX2549"/>
      <c r="AY2549"/>
      <c r="BK2549" s="42">
        <v>2548</v>
      </c>
      <c r="BL2549" s="127">
        <v>4</v>
      </c>
      <c r="BM2549" s="127">
        <v>0.11332468572476186</v>
      </c>
      <c r="BN2549" s="127" t="e">
        <v>#N/A</v>
      </c>
      <c r="BO2549" s="127" t="e">
        <v>#N/A</v>
      </c>
      <c r="BP2549" s="151" t="e">
        <v>#N/A</v>
      </c>
      <c r="BQ2549">
        <v>0.11332468572476186</v>
      </c>
      <c r="BR2549" t="str">
        <v/>
      </c>
    </row>
    <row r="2550" spans="47:70" x14ac:dyDescent="0.2">
      <c r="AU2550"/>
      <c r="AV2550"/>
      <c r="AW2550"/>
      <c r="AX2550"/>
      <c r="AY2550"/>
      <c r="BK2550" s="42">
        <v>2549</v>
      </c>
      <c r="BL2550" s="127">
        <v>4</v>
      </c>
      <c r="BM2550" s="127">
        <v>0.11332468572476186</v>
      </c>
      <c r="BN2550" s="127" t="e">
        <v>#N/A</v>
      </c>
      <c r="BO2550" s="127" t="e">
        <v>#N/A</v>
      </c>
      <c r="BP2550" s="151" t="e">
        <v>#N/A</v>
      </c>
      <c r="BQ2550">
        <v>0.11332468572476186</v>
      </c>
      <c r="BR2550" t="str">
        <v/>
      </c>
    </row>
    <row r="2551" spans="47:70" x14ac:dyDescent="0.2">
      <c r="AU2551"/>
      <c r="AV2551"/>
      <c r="AW2551"/>
      <c r="AX2551"/>
      <c r="AY2551"/>
      <c r="BK2551" s="42">
        <v>2550</v>
      </c>
      <c r="BL2551" s="127">
        <v>4</v>
      </c>
      <c r="BM2551" s="127">
        <v>0.11332468572476186</v>
      </c>
      <c r="BN2551" s="127" t="e">
        <v>#N/A</v>
      </c>
      <c r="BO2551" s="127" t="e">
        <v>#N/A</v>
      </c>
      <c r="BP2551" s="151" t="e">
        <v>#N/A</v>
      </c>
      <c r="BQ2551">
        <v>0.11332468572476186</v>
      </c>
      <c r="BR2551" t="str">
        <v/>
      </c>
    </row>
    <row r="2552" spans="47:70" x14ac:dyDescent="0.2">
      <c r="AU2552"/>
      <c r="AV2552"/>
      <c r="AW2552"/>
      <c r="AX2552"/>
      <c r="AY2552"/>
      <c r="BK2552" s="42">
        <v>2551</v>
      </c>
      <c r="BL2552" s="127">
        <v>4</v>
      </c>
      <c r="BM2552" s="127">
        <v>0.11332468572476186</v>
      </c>
      <c r="BN2552" s="127" t="e">
        <v>#N/A</v>
      </c>
      <c r="BO2552" s="127" t="e">
        <v>#N/A</v>
      </c>
      <c r="BP2552" s="151" t="e">
        <v>#N/A</v>
      </c>
      <c r="BQ2552">
        <v>0.11332468572476186</v>
      </c>
      <c r="BR2552" t="str">
        <v/>
      </c>
    </row>
    <row r="2553" spans="47:70" x14ac:dyDescent="0.2">
      <c r="AU2553"/>
      <c r="AV2553"/>
      <c r="AW2553"/>
      <c r="AX2553"/>
      <c r="AY2553"/>
      <c r="BK2553" s="42">
        <v>2552</v>
      </c>
      <c r="BL2553" s="127">
        <v>4</v>
      </c>
      <c r="BM2553" s="127">
        <v>0.11332468572476186</v>
      </c>
      <c r="BN2553" s="127" t="e">
        <v>#N/A</v>
      </c>
      <c r="BO2553" s="127" t="e">
        <v>#N/A</v>
      </c>
      <c r="BP2553" s="151" t="e">
        <v>#N/A</v>
      </c>
      <c r="BQ2553">
        <v>0.11332468572476186</v>
      </c>
      <c r="BR2553" t="str">
        <v/>
      </c>
    </row>
    <row r="2554" spans="47:70" x14ac:dyDescent="0.2">
      <c r="AU2554"/>
      <c r="AV2554"/>
      <c r="AW2554"/>
      <c r="AX2554"/>
      <c r="AY2554"/>
      <c r="BK2554" s="42">
        <v>2553</v>
      </c>
      <c r="BL2554" s="127">
        <v>4</v>
      </c>
      <c r="BM2554" s="127">
        <v>0.11332468572476186</v>
      </c>
      <c r="BN2554" s="127" t="e">
        <v>#N/A</v>
      </c>
      <c r="BO2554" s="127" t="e">
        <v>#N/A</v>
      </c>
      <c r="BP2554" s="151" t="e">
        <v>#N/A</v>
      </c>
      <c r="BQ2554">
        <v>0.11332468572476186</v>
      </c>
      <c r="BR2554" t="str">
        <v/>
      </c>
    </row>
    <row r="2555" spans="47:70" x14ac:dyDescent="0.2">
      <c r="AU2555"/>
      <c r="AV2555"/>
      <c r="AW2555"/>
      <c r="AX2555"/>
      <c r="AY2555"/>
      <c r="BK2555" s="42">
        <v>2554</v>
      </c>
      <c r="BL2555" s="127">
        <v>4</v>
      </c>
      <c r="BM2555" s="127">
        <v>0.11332468572476186</v>
      </c>
      <c r="BN2555" s="127" t="e">
        <v>#N/A</v>
      </c>
      <c r="BO2555" s="127" t="e">
        <v>#N/A</v>
      </c>
      <c r="BP2555" s="151" t="e">
        <v>#N/A</v>
      </c>
      <c r="BQ2555">
        <v>0.11332468572476186</v>
      </c>
      <c r="BR2555" t="str">
        <v/>
      </c>
    </row>
    <row r="2556" spans="47:70" x14ac:dyDescent="0.2">
      <c r="AU2556"/>
      <c r="AV2556"/>
      <c r="AW2556"/>
      <c r="AX2556"/>
      <c r="AY2556"/>
      <c r="BK2556" s="42">
        <v>2555</v>
      </c>
      <c r="BL2556" s="127">
        <v>4</v>
      </c>
      <c r="BM2556" s="127">
        <v>0.11332468572476186</v>
      </c>
      <c r="BN2556" s="127" t="e">
        <v>#N/A</v>
      </c>
      <c r="BO2556" s="127" t="e">
        <v>#N/A</v>
      </c>
      <c r="BP2556" s="151" t="e">
        <v>#N/A</v>
      </c>
      <c r="BQ2556">
        <v>0.11332468572476186</v>
      </c>
      <c r="BR2556" t="str">
        <v/>
      </c>
    </row>
    <row r="2557" spans="47:70" x14ac:dyDescent="0.2">
      <c r="AU2557"/>
      <c r="AV2557"/>
      <c r="AW2557"/>
      <c r="AX2557"/>
      <c r="AY2557"/>
      <c r="BK2557" s="42">
        <v>2556</v>
      </c>
      <c r="BL2557" s="127">
        <v>4</v>
      </c>
      <c r="BM2557" s="127">
        <v>0.11332468572476186</v>
      </c>
      <c r="BN2557" s="127" t="e">
        <v>#N/A</v>
      </c>
      <c r="BO2557" s="127" t="e">
        <v>#N/A</v>
      </c>
      <c r="BP2557" s="151" t="e">
        <v>#N/A</v>
      </c>
      <c r="BQ2557">
        <v>0.11332468572476186</v>
      </c>
      <c r="BR2557" t="str">
        <v/>
      </c>
    </row>
    <row r="2558" spans="47:70" x14ac:dyDescent="0.2">
      <c r="AU2558"/>
      <c r="AV2558"/>
      <c r="AW2558"/>
      <c r="AX2558"/>
      <c r="AY2558"/>
      <c r="BK2558" s="42">
        <v>2557</v>
      </c>
      <c r="BL2558" s="127">
        <v>4</v>
      </c>
      <c r="BM2558" s="127">
        <v>0.11332468572476186</v>
      </c>
      <c r="BN2558" s="127" t="e">
        <v>#N/A</v>
      </c>
      <c r="BO2558" s="127" t="e">
        <v>#N/A</v>
      </c>
      <c r="BP2558" s="151" t="e">
        <v>#N/A</v>
      </c>
      <c r="BQ2558">
        <v>0.11332468572476186</v>
      </c>
      <c r="BR2558" t="str">
        <v/>
      </c>
    </row>
    <row r="2559" spans="47:70" x14ac:dyDescent="0.2">
      <c r="AU2559"/>
      <c r="AV2559"/>
      <c r="AW2559"/>
      <c r="AX2559"/>
      <c r="AY2559"/>
      <c r="BK2559" s="42">
        <v>2558</v>
      </c>
      <c r="BL2559" s="127">
        <v>4</v>
      </c>
      <c r="BM2559" s="127">
        <v>0.11332468572476186</v>
      </c>
      <c r="BN2559" s="127" t="e">
        <v>#N/A</v>
      </c>
      <c r="BO2559" s="127" t="e">
        <v>#N/A</v>
      </c>
      <c r="BP2559" s="151" t="e">
        <v>#N/A</v>
      </c>
      <c r="BQ2559">
        <v>0.11332468572476186</v>
      </c>
      <c r="BR2559" t="str">
        <v/>
      </c>
    </row>
    <row r="2560" spans="47:70" x14ac:dyDescent="0.2">
      <c r="AU2560"/>
      <c r="AV2560"/>
      <c r="AW2560"/>
      <c r="AX2560"/>
      <c r="AY2560"/>
      <c r="BK2560" s="42">
        <v>2559</v>
      </c>
      <c r="BL2560" s="127">
        <v>4</v>
      </c>
      <c r="BM2560" s="127">
        <v>0.11332468572476186</v>
      </c>
      <c r="BN2560" s="127" t="e">
        <v>#N/A</v>
      </c>
      <c r="BO2560" s="127" t="e">
        <v>#N/A</v>
      </c>
      <c r="BP2560" s="151" t="e">
        <v>#N/A</v>
      </c>
      <c r="BQ2560">
        <v>0.11332468572476186</v>
      </c>
      <c r="BR2560" t="str">
        <v/>
      </c>
    </row>
    <row r="2561" spans="47:70" x14ac:dyDescent="0.2">
      <c r="AU2561"/>
      <c r="AV2561"/>
      <c r="AW2561"/>
      <c r="AX2561"/>
      <c r="AY2561"/>
      <c r="BK2561" s="42">
        <v>2560</v>
      </c>
      <c r="BL2561" s="127">
        <v>4</v>
      </c>
      <c r="BM2561" s="127">
        <v>0.11332468572476186</v>
      </c>
      <c r="BN2561" s="127" t="e">
        <v>#N/A</v>
      </c>
      <c r="BO2561" s="127" t="e">
        <v>#N/A</v>
      </c>
      <c r="BP2561" s="151" t="e">
        <v>#N/A</v>
      </c>
      <c r="BQ2561">
        <v>0.11332468572476186</v>
      </c>
      <c r="BR2561" t="str">
        <v/>
      </c>
    </row>
    <row r="2562" spans="47:70" x14ac:dyDescent="0.2">
      <c r="AU2562"/>
      <c r="AV2562"/>
      <c r="AW2562"/>
      <c r="AX2562"/>
      <c r="AY2562"/>
      <c r="BK2562" s="42">
        <v>2561</v>
      </c>
      <c r="BL2562" s="127">
        <v>4</v>
      </c>
      <c r="BM2562" s="127">
        <v>0.11332468572476186</v>
      </c>
      <c r="BN2562" s="127" t="e">
        <v>#N/A</v>
      </c>
      <c r="BO2562" s="127" t="e">
        <v>#N/A</v>
      </c>
      <c r="BP2562" s="151" t="e">
        <v>#N/A</v>
      </c>
      <c r="BQ2562">
        <v>0.11332468572476186</v>
      </c>
      <c r="BR2562" t="str">
        <v/>
      </c>
    </row>
    <row r="2563" spans="47:70" x14ac:dyDescent="0.2">
      <c r="AU2563"/>
      <c r="AV2563"/>
      <c r="AW2563"/>
      <c r="AX2563"/>
      <c r="AY2563"/>
      <c r="BK2563" s="42">
        <v>2562</v>
      </c>
      <c r="BL2563" s="127">
        <v>4</v>
      </c>
      <c r="BM2563" s="127">
        <v>0.11332468572476186</v>
      </c>
      <c r="BN2563" s="127" t="e">
        <v>#N/A</v>
      </c>
      <c r="BO2563" s="127" t="e">
        <v>#N/A</v>
      </c>
      <c r="BP2563" s="151" t="e">
        <v>#N/A</v>
      </c>
      <c r="BQ2563">
        <v>0.11332468572476186</v>
      </c>
      <c r="BR2563" t="str">
        <v/>
      </c>
    </row>
    <row r="2564" spans="47:70" x14ac:dyDescent="0.2">
      <c r="AU2564"/>
      <c r="AV2564"/>
      <c r="AW2564"/>
      <c r="AX2564"/>
      <c r="AY2564"/>
      <c r="BK2564" s="42">
        <v>2563</v>
      </c>
      <c r="BL2564" s="127">
        <v>4</v>
      </c>
      <c r="BM2564" s="127">
        <v>0.11332468572476186</v>
      </c>
      <c r="BN2564" s="127" t="e">
        <v>#N/A</v>
      </c>
      <c r="BO2564" s="127" t="e">
        <v>#N/A</v>
      </c>
      <c r="BP2564" s="151" t="e">
        <v>#N/A</v>
      </c>
      <c r="BQ2564">
        <v>0.11332468572476186</v>
      </c>
      <c r="BR2564" t="str">
        <v/>
      </c>
    </row>
    <row r="2565" spans="47:70" x14ac:dyDescent="0.2">
      <c r="AU2565"/>
      <c r="AV2565"/>
      <c r="AW2565"/>
      <c r="AX2565"/>
      <c r="AY2565"/>
      <c r="BK2565" s="42">
        <v>2564</v>
      </c>
      <c r="BL2565" s="127">
        <v>4</v>
      </c>
      <c r="BM2565" s="127">
        <v>0.11332468572476186</v>
      </c>
      <c r="BN2565" s="127" t="e">
        <v>#N/A</v>
      </c>
      <c r="BO2565" s="127" t="e">
        <v>#N/A</v>
      </c>
      <c r="BP2565" s="151" t="e">
        <v>#N/A</v>
      </c>
      <c r="BQ2565">
        <v>0.11332468572476186</v>
      </c>
      <c r="BR2565" t="str">
        <v/>
      </c>
    </row>
    <row r="2566" spans="47:70" x14ac:dyDescent="0.2">
      <c r="AU2566"/>
      <c r="AV2566"/>
      <c r="AW2566"/>
      <c r="AX2566"/>
      <c r="AY2566"/>
      <c r="BK2566" s="42">
        <v>2565</v>
      </c>
      <c r="BL2566" s="127">
        <v>4</v>
      </c>
      <c r="BM2566" s="127">
        <v>0.11332468572476186</v>
      </c>
      <c r="BN2566" s="127" t="e">
        <v>#N/A</v>
      </c>
      <c r="BO2566" s="127" t="e">
        <v>#N/A</v>
      </c>
      <c r="BP2566" s="151" t="e">
        <v>#N/A</v>
      </c>
      <c r="BQ2566">
        <v>0.11332468572476186</v>
      </c>
      <c r="BR2566" t="str">
        <v/>
      </c>
    </row>
    <row r="2567" spans="47:70" x14ac:dyDescent="0.2">
      <c r="AU2567"/>
      <c r="AV2567"/>
      <c r="AW2567"/>
      <c r="AX2567"/>
      <c r="AY2567"/>
      <c r="BK2567" s="42">
        <v>2566</v>
      </c>
      <c r="BL2567" s="127">
        <v>4</v>
      </c>
      <c r="BM2567" s="127">
        <v>0.11332468572476186</v>
      </c>
      <c r="BN2567" s="127" t="e">
        <v>#N/A</v>
      </c>
      <c r="BO2567" s="127" t="e">
        <v>#N/A</v>
      </c>
      <c r="BP2567" s="151" t="e">
        <v>#N/A</v>
      </c>
      <c r="BQ2567">
        <v>0.11332468572476186</v>
      </c>
      <c r="BR2567" t="str">
        <v/>
      </c>
    </row>
    <row r="2568" spans="47:70" x14ac:dyDescent="0.2">
      <c r="AU2568"/>
      <c r="AV2568"/>
      <c r="AW2568"/>
      <c r="AX2568"/>
      <c r="AY2568"/>
      <c r="BK2568" s="42">
        <v>2567</v>
      </c>
      <c r="BL2568" s="127">
        <v>4</v>
      </c>
      <c r="BM2568" s="127">
        <v>0.11332468572476186</v>
      </c>
      <c r="BN2568" s="127" t="e">
        <v>#N/A</v>
      </c>
      <c r="BO2568" s="127" t="e">
        <v>#N/A</v>
      </c>
      <c r="BP2568" s="151" t="e">
        <v>#N/A</v>
      </c>
      <c r="BQ2568">
        <v>0.11332468572476186</v>
      </c>
      <c r="BR2568" t="str">
        <v/>
      </c>
    </row>
    <row r="2569" spans="47:70" x14ac:dyDescent="0.2">
      <c r="AU2569"/>
      <c r="AV2569"/>
      <c r="AW2569"/>
      <c r="AX2569"/>
      <c r="AY2569"/>
      <c r="BK2569" s="42">
        <v>2568</v>
      </c>
      <c r="BL2569" s="127">
        <v>4</v>
      </c>
      <c r="BM2569" s="127">
        <v>0.11332468572476186</v>
      </c>
      <c r="BN2569" s="127" t="e">
        <v>#N/A</v>
      </c>
      <c r="BO2569" s="127" t="e">
        <v>#N/A</v>
      </c>
      <c r="BP2569" s="151" t="e">
        <v>#N/A</v>
      </c>
      <c r="BQ2569">
        <v>0.11332468572476186</v>
      </c>
      <c r="BR2569" t="str">
        <v/>
      </c>
    </row>
    <row r="2570" spans="47:70" x14ac:dyDescent="0.2">
      <c r="AU2570"/>
      <c r="AV2570"/>
      <c r="AW2570"/>
      <c r="AX2570"/>
      <c r="AY2570"/>
      <c r="BK2570" s="42">
        <v>2569</v>
      </c>
      <c r="BL2570" s="127">
        <v>4</v>
      </c>
      <c r="BM2570" s="127">
        <v>0.11332468572476186</v>
      </c>
      <c r="BN2570" s="127" t="e">
        <v>#N/A</v>
      </c>
      <c r="BO2570" s="127" t="e">
        <v>#N/A</v>
      </c>
      <c r="BP2570" s="151" t="e">
        <v>#N/A</v>
      </c>
      <c r="BQ2570">
        <v>0.11332468572476186</v>
      </c>
      <c r="BR2570" t="str">
        <v/>
      </c>
    </row>
    <row r="2571" spans="47:70" x14ac:dyDescent="0.2">
      <c r="AU2571"/>
      <c r="AV2571"/>
      <c r="AW2571"/>
      <c r="AX2571"/>
      <c r="AY2571"/>
      <c r="BK2571" s="42">
        <v>2570</v>
      </c>
      <c r="BL2571" s="127">
        <v>4</v>
      </c>
      <c r="BM2571" s="127">
        <v>0.11332468572476186</v>
      </c>
      <c r="BN2571" s="127" t="e">
        <v>#N/A</v>
      </c>
      <c r="BO2571" s="127" t="e">
        <v>#N/A</v>
      </c>
      <c r="BP2571" s="151" t="e">
        <v>#N/A</v>
      </c>
      <c r="BQ2571">
        <v>0.11332468572476186</v>
      </c>
      <c r="BR2571" t="str">
        <v/>
      </c>
    </row>
    <row r="2572" spans="47:70" x14ac:dyDescent="0.2">
      <c r="AU2572"/>
      <c r="AV2572"/>
      <c r="AW2572"/>
      <c r="AX2572"/>
      <c r="AY2572"/>
      <c r="BK2572" s="42">
        <v>2571</v>
      </c>
      <c r="BL2572" s="127">
        <v>4</v>
      </c>
      <c r="BM2572" s="127">
        <v>0.11332468572476186</v>
      </c>
      <c r="BN2572" s="127" t="e">
        <v>#N/A</v>
      </c>
      <c r="BO2572" s="127" t="e">
        <v>#N/A</v>
      </c>
      <c r="BP2572" s="151" t="e">
        <v>#N/A</v>
      </c>
      <c r="BQ2572">
        <v>0.11332468572476186</v>
      </c>
      <c r="BR2572" t="str">
        <v/>
      </c>
    </row>
    <row r="2573" spans="47:70" x14ac:dyDescent="0.2">
      <c r="AU2573"/>
      <c r="AV2573"/>
      <c r="AW2573"/>
      <c r="AX2573"/>
      <c r="AY2573"/>
      <c r="BK2573" s="42">
        <v>2572</v>
      </c>
      <c r="BL2573" s="127">
        <v>4</v>
      </c>
      <c r="BM2573" s="127">
        <v>0.11332468572476186</v>
      </c>
      <c r="BN2573" s="127" t="e">
        <v>#N/A</v>
      </c>
      <c r="BO2573" s="127" t="e">
        <v>#N/A</v>
      </c>
      <c r="BP2573" s="151" t="e">
        <v>#N/A</v>
      </c>
      <c r="BQ2573">
        <v>0.11332468572476186</v>
      </c>
      <c r="BR2573" t="str">
        <v/>
      </c>
    </row>
    <row r="2574" spans="47:70" x14ac:dyDescent="0.2">
      <c r="AU2574"/>
      <c r="AV2574"/>
      <c r="AW2574"/>
      <c r="AX2574"/>
      <c r="AY2574"/>
      <c r="BK2574" s="42">
        <v>2573</v>
      </c>
      <c r="BL2574" s="127">
        <v>4</v>
      </c>
      <c r="BM2574" s="127">
        <v>0.11332468572476186</v>
      </c>
      <c r="BN2574" s="127" t="e">
        <v>#N/A</v>
      </c>
      <c r="BO2574" s="127" t="e">
        <v>#N/A</v>
      </c>
      <c r="BP2574" s="151" t="e">
        <v>#N/A</v>
      </c>
      <c r="BQ2574">
        <v>0.11332468572476186</v>
      </c>
      <c r="BR2574" t="str">
        <v/>
      </c>
    </row>
    <row r="2575" spans="47:70" x14ac:dyDescent="0.2">
      <c r="AU2575"/>
      <c r="AV2575"/>
      <c r="AW2575"/>
      <c r="AX2575"/>
      <c r="AY2575"/>
      <c r="BK2575" s="42">
        <v>2574</v>
      </c>
      <c r="BL2575" s="127">
        <v>4</v>
      </c>
      <c r="BM2575" s="127">
        <v>0.11332468572476186</v>
      </c>
      <c r="BN2575" s="127" t="e">
        <v>#N/A</v>
      </c>
      <c r="BO2575" s="127" t="e">
        <v>#N/A</v>
      </c>
      <c r="BP2575" s="151" t="e">
        <v>#N/A</v>
      </c>
      <c r="BQ2575">
        <v>0.11332468572476186</v>
      </c>
      <c r="BR2575" t="str">
        <v/>
      </c>
    </row>
    <row r="2576" spans="47:70" x14ac:dyDescent="0.2">
      <c r="AU2576"/>
      <c r="AV2576"/>
      <c r="AW2576"/>
      <c r="AX2576"/>
      <c r="AY2576"/>
      <c r="BK2576" s="42">
        <v>2575</v>
      </c>
      <c r="BL2576" s="127">
        <v>4</v>
      </c>
      <c r="BM2576" s="127">
        <v>0.11332468572476186</v>
      </c>
      <c r="BN2576" s="127" t="e">
        <v>#N/A</v>
      </c>
      <c r="BO2576" s="127" t="e">
        <v>#N/A</v>
      </c>
      <c r="BP2576" s="151" t="e">
        <v>#N/A</v>
      </c>
      <c r="BQ2576">
        <v>0.11332468572476186</v>
      </c>
      <c r="BR2576" t="str">
        <v/>
      </c>
    </row>
    <row r="2577" spans="47:70" x14ac:dyDescent="0.2">
      <c r="AU2577"/>
      <c r="AV2577"/>
      <c r="AW2577"/>
      <c r="AX2577"/>
      <c r="AY2577"/>
      <c r="BK2577" s="42">
        <v>2576</v>
      </c>
      <c r="BL2577" s="127">
        <v>4</v>
      </c>
      <c r="BM2577" s="127">
        <v>0.11332468572476186</v>
      </c>
      <c r="BN2577" s="127" t="e">
        <v>#N/A</v>
      </c>
      <c r="BO2577" s="127" t="e">
        <v>#N/A</v>
      </c>
      <c r="BP2577" s="151" t="e">
        <v>#N/A</v>
      </c>
      <c r="BQ2577">
        <v>0.11332468572476186</v>
      </c>
      <c r="BR2577" t="str">
        <v/>
      </c>
    </row>
    <row r="2578" spans="47:70" x14ac:dyDescent="0.2">
      <c r="AU2578"/>
      <c r="AV2578"/>
      <c r="AW2578"/>
      <c r="AX2578"/>
      <c r="AY2578"/>
      <c r="BK2578" s="42">
        <v>2577</v>
      </c>
      <c r="BL2578" s="127">
        <v>4</v>
      </c>
      <c r="BM2578" s="127">
        <v>0.11332468572476186</v>
      </c>
      <c r="BN2578" s="127" t="e">
        <v>#N/A</v>
      </c>
      <c r="BO2578" s="127" t="e">
        <v>#N/A</v>
      </c>
      <c r="BP2578" s="151" t="e">
        <v>#N/A</v>
      </c>
      <c r="BQ2578">
        <v>0.11332468572476186</v>
      </c>
      <c r="BR2578" t="str">
        <v/>
      </c>
    </row>
    <row r="2579" spans="47:70" x14ac:dyDescent="0.2">
      <c r="AU2579"/>
      <c r="AV2579"/>
      <c r="AW2579"/>
      <c r="AX2579"/>
      <c r="AY2579"/>
      <c r="BK2579" s="42">
        <v>2578</v>
      </c>
      <c r="BL2579" s="127">
        <v>4</v>
      </c>
      <c r="BM2579" s="127">
        <v>0.11332468572476186</v>
      </c>
      <c r="BN2579" s="127" t="e">
        <v>#N/A</v>
      </c>
      <c r="BO2579" s="127" t="e">
        <v>#N/A</v>
      </c>
      <c r="BP2579" s="151" t="e">
        <v>#N/A</v>
      </c>
      <c r="BQ2579">
        <v>0.11332468572476186</v>
      </c>
      <c r="BR2579" t="str">
        <v/>
      </c>
    </row>
    <row r="2580" spans="47:70" x14ac:dyDescent="0.2">
      <c r="AU2580"/>
      <c r="AV2580"/>
      <c r="AW2580"/>
      <c r="AX2580"/>
      <c r="AY2580"/>
      <c r="BK2580" s="42">
        <v>2579</v>
      </c>
      <c r="BL2580" s="127">
        <v>4</v>
      </c>
      <c r="BM2580" s="127">
        <v>0.11332468572476186</v>
      </c>
      <c r="BN2580" s="127" t="e">
        <v>#N/A</v>
      </c>
      <c r="BO2580" s="127" t="e">
        <v>#N/A</v>
      </c>
      <c r="BP2580" s="151" t="e">
        <v>#N/A</v>
      </c>
      <c r="BQ2580">
        <v>0.11332468572476186</v>
      </c>
      <c r="BR2580" t="str">
        <v/>
      </c>
    </row>
    <row r="2581" spans="47:70" x14ac:dyDescent="0.2">
      <c r="AU2581"/>
      <c r="AV2581"/>
      <c r="AW2581"/>
      <c r="AX2581"/>
      <c r="AY2581"/>
      <c r="BK2581" s="42">
        <v>2580</v>
      </c>
      <c r="BL2581" s="127">
        <v>4</v>
      </c>
      <c r="BM2581" s="127">
        <v>0.11332468572476186</v>
      </c>
      <c r="BN2581" s="127" t="e">
        <v>#N/A</v>
      </c>
      <c r="BO2581" s="127" t="e">
        <v>#N/A</v>
      </c>
      <c r="BP2581" s="151" t="e">
        <v>#N/A</v>
      </c>
      <c r="BQ2581">
        <v>0.11332468572476186</v>
      </c>
      <c r="BR2581" t="str">
        <v/>
      </c>
    </row>
    <row r="2582" spans="47:70" x14ac:dyDescent="0.2">
      <c r="AU2582"/>
      <c r="AV2582"/>
      <c r="AW2582"/>
      <c r="AX2582"/>
      <c r="AY2582"/>
      <c r="BK2582" s="42">
        <v>2581</v>
      </c>
      <c r="BL2582" s="127">
        <v>4</v>
      </c>
      <c r="BM2582" s="127">
        <v>0.11332468572476186</v>
      </c>
      <c r="BN2582" s="127" t="e">
        <v>#N/A</v>
      </c>
      <c r="BO2582" s="127" t="e">
        <v>#N/A</v>
      </c>
      <c r="BP2582" s="151" t="e">
        <v>#N/A</v>
      </c>
      <c r="BQ2582">
        <v>0.11332468572476186</v>
      </c>
      <c r="BR2582" t="str">
        <v/>
      </c>
    </row>
    <row r="2583" spans="47:70" x14ac:dyDescent="0.2">
      <c r="AU2583"/>
      <c r="AV2583"/>
      <c r="AW2583"/>
      <c r="AX2583"/>
      <c r="AY2583"/>
      <c r="BK2583" s="42">
        <v>2582</v>
      </c>
      <c r="BL2583" s="127">
        <v>4</v>
      </c>
      <c r="BM2583" s="127">
        <v>0.11332468572476186</v>
      </c>
      <c r="BN2583" s="127" t="e">
        <v>#N/A</v>
      </c>
      <c r="BO2583" s="127" t="e">
        <v>#N/A</v>
      </c>
      <c r="BP2583" s="151" t="e">
        <v>#N/A</v>
      </c>
      <c r="BQ2583">
        <v>0.11332468572476186</v>
      </c>
      <c r="BR2583" t="str">
        <v/>
      </c>
    </row>
    <row r="2584" spans="47:70" x14ac:dyDescent="0.2">
      <c r="AU2584"/>
      <c r="AV2584"/>
      <c r="AW2584"/>
      <c r="AX2584"/>
      <c r="AY2584"/>
      <c r="BK2584" s="42">
        <v>2583</v>
      </c>
      <c r="BL2584" s="127">
        <v>4</v>
      </c>
      <c r="BM2584" s="127">
        <v>0.11332468572476186</v>
      </c>
      <c r="BN2584" s="127" t="e">
        <v>#N/A</v>
      </c>
      <c r="BO2584" s="127" t="e">
        <v>#N/A</v>
      </c>
      <c r="BP2584" s="151" t="e">
        <v>#N/A</v>
      </c>
      <c r="BQ2584">
        <v>0.11332468572476186</v>
      </c>
      <c r="BR2584" t="str">
        <v/>
      </c>
    </row>
    <row r="2585" spans="47:70" x14ac:dyDescent="0.2">
      <c r="AU2585"/>
      <c r="AV2585"/>
      <c r="AW2585"/>
      <c r="AX2585"/>
      <c r="AY2585"/>
      <c r="BK2585" s="42">
        <v>2584</v>
      </c>
      <c r="BL2585" s="127">
        <v>4</v>
      </c>
      <c r="BM2585" s="127">
        <v>0.11332468572476186</v>
      </c>
      <c r="BN2585" s="127" t="e">
        <v>#N/A</v>
      </c>
      <c r="BO2585" s="127" t="e">
        <v>#N/A</v>
      </c>
      <c r="BP2585" s="151" t="e">
        <v>#N/A</v>
      </c>
      <c r="BQ2585">
        <v>0.11332468572476186</v>
      </c>
      <c r="BR2585" t="str">
        <v/>
      </c>
    </row>
    <row r="2586" spans="47:70" x14ac:dyDescent="0.2">
      <c r="AU2586"/>
      <c r="AV2586"/>
      <c r="AW2586"/>
      <c r="AX2586"/>
      <c r="AY2586"/>
      <c r="BK2586" s="42">
        <v>2585</v>
      </c>
      <c r="BL2586" s="127">
        <v>4</v>
      </c>
      <c r="BM2586" s="127">
        <v>0.11332468572476186</v>
      </c>
      <c r="BN2586" s="127" t="e">
        <v>#N/A</v>
      </c>
      <c r="BO2586" s="127" t="e">
        <v>#N/A</v>
      </c>
      <c r="BP2586" s="151" t="e">
        <v>#N/A</v>
      </c>
      <c r="BQ2586">
        <v>0.11332468572476186</v>
      </c>
      <c r="BR2586" t="str">
        <v/>
      </c>
    </row>
    <row r="2587" spans="47:70" x14ac:dyDescent="0.2">
      <c r="AU2587"/>
      <c r="AV2587"/>
      <c r="AW2587"/>
      <c r="AX2587"/>
      <c r="AY2587"/>
      <c r="BK2587" s="42">
        <v>2586</v>
      </c>
      <c r="BL2587" s="127">
        <v>4</v>
      </c>
      <c r="BM2587" s="127">
        <v>0.11332468572476186</v>
      </c>
      <c r="BN2587" s="127" t="e">
        <v>#N/A</v>
      </c>
      <c r="BO2587" s="127" t="e">
        <v>#N/A</v>
      </c>
      <c r="BP2587" s="151" t="e">
        <v>#N/A</v>
      </c>
      <c r="BQ2587">
        <v>0.11332468572476186</v>
      </c>
      <c r="BR2587" t="str">
        <v/>
      </c>
    </row>
    <row r="2588" spans="47:70" x14ac:dyDescent="0.2">
      <c r="AU2588"/>
      <c r="AV2588"/>
      <c r="AW2588"/>
      <c r="AX2588"/>
      <c r="AY2588"/>
      <c r="BK2588" s="42">
        <v>2587</v>
      </c>
      <c r="BL2588" s="127">
        <v>4</v>
      </c>
      <c r="BM2588" s="127">
        <v>0.11332468572476186</v>
      </c>
      <c r="BN2588" s="127" t="e">
        <v>#N/A</v>
      </c>
      <c r="BO2588" s="127" t="e">
        <v>#N/A</v>
      </c>
      <c r="BP2588" s="151" t="e">
        <v>#N/A</v>
      </c>
      <c r="BQ2588">
        <v>0.11332468572476186</v>
      </c>
      <c r="BR2588" t="str">
        <v/>
      </c>
    </row>
    <row r="2589" spans="47:70" x14ac:dyDescent="0.2">
      <c r="AU2589"/>
      <c r="AV2589"/>
      <c r="AW2589"/>
      <c r="AX2589"/>
      <c r="AY2589"/>
      <c r="BK2589" s="42">
        <v>2588</v>
      </c>
      <c r="BL2589" s="127">
        <v>4</v>
      </c>
      <c r="BM2589" s="127">
        <v>0.11332468572476186</v>
      </c>
      <c r="BN2589" s="127" t="e">
        <v>#N/A</v>
      </c>
      <c r="BO2589" s="127" t="e">
        <v>#N/A</v>
      </c>
      <c r="BP2589" s="151" t="e">
        <v>#N/A</v>
      </c>
      <c r="BQ2589">
        <v>0.11332468572476186</v>
      </c>
      <c r="BR2589" t="str">
        <v/>
      </c>
    </row>
    <row r="2590" spans="47:70" x14ac:dyDescent="0.2">
      <c r="AU2590"/>
      <c r="AV2590"/>
      <c r="AW2590"/>
      <c r="AX2590"/>
      <c r="AY2590"/>
      <c r="BK2590" s="42">
        <v>2589</v>
      </c>
      <c r="BL2590" s="127">
        <v>4</v>
      </c>
      <c r="BM2590" s="127">
        <v>0.11332468572476186</v>
      </c>
      <c r="BN2590" s="127" t="e">
        <v>#N/A</v>
      </c>
      <c r="BO2590" s="127" t="e">
        <v>#N/A</v>
      </c>
      <c r="BP2590" s="151" t="e">
        <v>#N/A</v>
      </c>
      <c r="BQ2590">
        <v>0.11332468572476186</v>
      </c>
      <c r="BR2590" t="str">
        <v/>
      </c>
    </row>
    <row r="2591" spans="47:70" x14ac:dyDescent="0.2">
      <c r="AU2591"/>
      <c r="AV2591"/>
      <c r="AW2591"/>
      <c r="AX2591"/>
      <c r="AY2591"/>
      <c r="BK2591" s="42">
        <v>2590</v>
      </c>
      <c r="BL2591" s="127">
        <v>4</v>
      </c>
      <c r="BM2591" s="127">
        <v>0.11332468572476186</v>
      </c>
      <c r="BN2591" s="127" t="e">
        <v>#N/A</v>
      </c>
      <c r="BO2591" s="127" t="e">
        <v>#N/A</v>
      </c>
      <c r="BP2591" s="151" t="e">
        <v>#N/A</v>
      </c>
      <c r="BQ2591">
        <v>0.11332468572476186</v>
      </c>
      <c r="BR2591" t="str">
        <v/>
      </c>
    </row>
    <row r="2592" spans="47:70" x14ac:dyDescent="0.2">
      <c r="AU2592"/>
      <c r="AV2592"/>
      <c r="AW2592"/>
      <c r="AX2592"/>
      <c r="AY2592"/>
      <c r="BK2592" s="42">
        <v>2591</v>
      </c>
      <c r="BL2592" s="127">
        <v>4</v>
      </c>
      <c r="BM2592" s="127">
        <v>0.11332468572476186</v>
      </c>
      <c r="BN2592" s="127" t="e">
        <v>#N/A</v>
      </c>
      <c r="BO2592" s="127" t="e">
        <v>#N/A</v>
      </c>
      <c r="BP2592" s="151" t="e">
        <v>#N/A</v>
      </c>
      <c r="BQ2592">
        <v>0.11332468572476186</v>
      </c>
      <c r="BR2592" t="str">
        <v/>
      </c>
    </row>
    <row r="2593" spans="47:70" x14ac:dyDescent="0.2">
      <c r="AU2593"/>
      <c r="AV2593"/>
      <c r="AW2593"/>
      <c r="AX2593"/>
      <c r="AY2593"/>
      <c r="BK2593" s="42">
        <v>2592</v>
      </c>
      <c r="BL2593" s="127">
        <v>4</v>
      </c>
      <c r="BM2593" s="127">
        <v>0.11332468572476186</v>
      </c>
      <c r="BN2593" s="127" t="e">
        <v>#N/A</v>
      </c>
      <c r="BO2593" s="127" t="e">
        <v>#N/A</v>
      </c>
      <c r="BP2593" s="151" t="e">
        <v>#N/A</v>
      </c>
      <c r="BQ2593">
        <v>0.11332468572476186</v>
      </c>
      <c r="BR2593" t="str">
        <v/>
      </c>
    </row>
    <row r="2594" spans="47:70" x14ac:dyDescent="0.2">
      <c r="AU2594"/>
      <c r="AV2594"/>
      <c r="AW2594"/>
      <c r="AX2594"/>
      <c r="AY2594"/>
      <c r="BK2594" s="42">
        <v>2593</v>
      </c>
      <c r="BL2594" s="127">
        <v>4</v>
      </c>
      <c r="BM2594" s="127">
        <v>0.11332468572476186</v>
      </c>
      <c r="BN2594" s="127" t="e">
        <v>#N/A</v>
      </c>
      <c r="BO2594" s="127" t="e">
        <v>#N/A</v>
      </c>
      <c r="BP2594" s="151" t="e">
        <v>#N/A</v>
      </c>
      <c r="BQ2594">
        <v>0.11332468572476186</v>
      </c>
      <c r="BR2594" t="str">
        <v/>
      </c>
    </row>
    <row r="2595" spans="47:70" x14ac:dyDescent="0.2">
      <c r="AU2595"/>
      <c r="AV2595"/>
      <c r="AW2595"/>
      <c r="AX2595"/>
      <c r="AY2595"/>
      <c r="BK2595" s="42">
        <v>2594</v>
      </c>
      <c r="BL2595" s="127">
        <v>4</v>
      </c>
      <c r="BM2595" s="127">
        <v>0.11332468572476186</v>
      </c>
      <c r="BN2595" s="127" t="e">
        <v>#N/A</v>
      </c>
      <c r="BO2595" s="127" t="e">
        <v>#N/A</v>
      </c>
      <c r="BP2595" s="151" t="e">
        <v>#N/A</v>
      </c>
      <c r="BQ2595">
        <v>0.11332468572476186</v>
      </c>
      <c r="BR2595" t="str">
        <v/>
      </c>
    </row>
    <row r="2596" spans="47:70" x14ac:dyDescent="0.2">
      <c r="AU2596"/>
      <c r="AV2596"/>
      <c r="AW2596"/>
      <c r="AX2596"/>
      <c r="AY2596"/>
      <c r="BK2596" s="42">
        <v>2595</v>
      </c>
      <c r="BL2596" s="127">
        <v>4</v>
      </c>
      <c r="BM2596" s="127">
        <v>0.11332468572476186</v>
      </c>
      <c r="BN2596" s="127" t="e">
        <v>#N/A</v>
      </c>
      <c r="BO2596" s="127" t="e">
        <v>#N/A</v>
      </c>
      <c r="BP2596" s="151" t="e">
        <v>#N/A</v>
      </c>
      <c r="BQ2596">
        <v>0.11332468572476186</v>
      </c>
      <c r="BR2596" t="str">
        <v/>
      </c>
    </row>
    <row r="2597" spans="47:70" x14ac:dyDescent="0.2">
      <c r="AU2597"/>
      <c r="AV2597"/>
      <c r="AW2597"/>
      <c r="AX2597"/>
      <c r="AY2597"/>
      <c r="BK2597" s="42">
        <v>2596</v>
      </c>
      <c r="BL2597" s="127">
        <v>4</v>
      </c>
      <c r="BM2597" s="127">
        <v>0.11332468572476186</v>
      </c>
      <c r="BN2597" s="127" t="e">
        <v>#N/A</v>
      </c>
      <c r="BO2597" s="127" t="e">
        <v>#N/A</v>
      </c>
      <c r="BP2597" s="151" t="e">
        <v>#N/A</v>
      </c>
      <c r="BQ2597">
        <v>0.11332468572476186</v>
      </c>
      <c r="BR2597" t="str">
        <v/>
      </c>
    </row>
    <row r="2598" spans="47:70" x14ac:dyDescent="0.2">
      <c r="AU2598"/>
      <c r="AV2598"/>
      <c r="AW2598"/>
      <c r="AX2598"/>
      <c r="AY2598"/>
      <c r="BK2598" s="42">
        <v>2597</v>
      </c>
      <c r="BL2598" s="127">
        <v>4</v>
      </c>
      <c r="BM2598" s="127">
        <v>0.11332468572476186</v>
      </c>
      <c r="BN2598" s="127" t="e">
        <v>#N/A</v>
      </c>
      <c r="BO2598" s="127" t="e">
        <v>#N/A</v>
      </c>
      <c r="BP2598" s="151" t="e">
        <v>#N/A</v>
      </c>
      <c r="BQ2598">
        <v>0.11332468572476186</v>
      </c>
      <c r="BR2598" t="str">
        <v/>
      </c>
    </row>
    <row r="2599" spans="47:70" x14ac:dyDescent="0.2">
      <c r="AU2599"/>
      <c r="AV2599"/>
      <c r="AW2599"/>
      <c r="AX2599"/>
      <c r="AY2599"/>
      <c r="BK2599" s="42">
        <v>2598</v>
      </c>
      <c r="BL2599" s="127">
        <v>4</v>
      </c>
      <c r="BM2599" s="127">
        <v>0.11332468572476186</v>
      </c>
      <c r="BN2599" s="127" t="e">
        <v>#N/A</v>
      </c>
      <c r="BO2599" s="127" t="e">
        <v>#N/A</v>
      </c>
      <c r="BP2599" s="151" t="e">
        <v>#N/A</v>
      </c>
      <c r="BQ2599">
        <v>0.11332468572476186</v>
      </c>
      <c r="BR2599" t="str">
        <v/>
      </c>
    </row>
    <row r="2600" spans="47:70" x14ac:dyDescent="0.2">
      <c r="AU2600"/>
      <c r="AV2600"/>
      <c r="AW2600"/>
      <c r="AX2600"/>
      <c r="AY2600"/>
      <c r="BK2600" s="42">
        <v>2599</v>
      </c>
      <c r="BL2600" s="127">
        <v>4</v>
      </c>
      <c r="BM2600" s="127">
        <v>0.11332468572476186</v>
      </c>
      <c r="BN2600" s="127" t="e">
        <v>#N/A</v>
      </c>
      <c r="BO2600" s="127" t="e">
        <v>#N/A</v>
      </c>
      <c r="BP2600" s="151" t="e">
        <v>#N/A</v>
      </c>
      <c r="BQ2600">
        <v>0.11332468572476186</v>
      </c>
      <c r="BR2600" t="str">
        <v/>
      </c>
    </row>
    <row r="2601" spans="47:70" x14ac:dyDescent="0.2">
      <c r="AU2601"/>
      <c r="AV2601"/>
      <c r="AW2601"/>
      <c r="AX2601"/>
      <c r="AY2601"/>
      <c r="BK2601" s="42">
        <v>2600</v>
      </c>
      <c r="BL2601" s="127">
        <v>4</v>
      </c>
      <c r="BM2601" s="127">
        <v>0.11332468572476186</v>
      </c>
      <c r="BN2601" s="127" t="e">
        <v>#N/A</v>
      </c>
      <c r="BO2601" s="127" t="e">
        <v>#N/A</v>
      </c>
      <c r="BP2601" s="151" t="e">
        <v>#N/A</v>
      </c>
      <c r="BQ2601">
        <v>0.11332468572476186</v>
      </c>
      <c r="BR2601" t="str">
        <v/>
      </c>
    </row>
    <row r="2602" spans="47:70" x14ac:dyDescent="0.2">
      <c r="AU2602"/>
      <c r="AV2602"/>
      <c r="AW2602"/>
      <c r="AX2602"/>
      <c r="AY2602"/>
      <c r="BK2602" s="42">
        <v>2601</v>
      </c>
      <c r="BL2602" s="127">
        <v>4</v>
      </c>
      <c r="BM2602" s="127">
        <v>0.11332468572476186</v>
      </c>
      <c r="BN2602" s="127" t="e">
        <v>#N/A</v>
      </c>
      <c r="BO2602" s="127" t="e">
        <v>#N/A</v>
      </c>
      <c r="BP2602" s="151" t="e">
        <v>#N/A</v>
      </c>
      <c r="BQ2602">
        <v>0.11332468572476186</v>
      </c>
      <c r="BR2602" t="str">
        <v/>
      </c>
    </row>
    <row r="2603" spans="47:70" x14ac:dyDescent="0.2">
      <c r="AU2603"/>
      <c r="AV2603"/>
      <c r="AW2603"/>
      <c r="AX2603"/>
      <c r="AY2603"/>
      <c r="BK2603" s="42">
        <v>2602</v>
      </c>
      <c r="BL2603" s="127">
        <v>4</v>
      </c>
      <c r="BM2603" s="127">
        <v>0.11332468572476186</v>
      </c>
      <c r="BN2603" s="127" t="e">
        <v>#N/A</v>
      </c>
      <c r="BO2603" s="127" t="e">
        <v>#N/A</v>
      </c>
      <c r="BP2603" s="151" t="e">
        <v>#N/A</v>
      </c>
      <c r="BQ2603">
        <v>0.11332468572476186</v>
      </c>
      <c r="BR2603" t="str">
        <v/>
      </c>
    </row>
    <row r="2604" spans="47:70" x14ac:dyDescent="0.2">
      <c r="AU2604"/>
      <c r="AV2604"/>
      <c r="AW2604"/>
      <c r="AX2604"/>
      <c r="AY2604"/>
      <c r="BK2604" s="42">
        <v>2603</v>
      </c>
      <c r="BL2604" s="127">
        <v>4</v>
      </c>
      <c r="BM2604" s="127">
        <v>0.11332468572476186</v>
      </c>
      <c r="BN2604" s="127" t="e">
        <v>#N/A</v>
      </c>
      <c r="BO2604" s="127" t="e">
        <v>#N/A</v>
      </c>
      <c r="BP2604" s="151" t="e">
        <v>#N/A</v>
      </c>
      <c r="BQ2604">
        <v>0.11332468572476186</v>
      </c>
      <c r="BR2604" t="str">
        <v/>
      </c>
    </row>
    <row r="2605" spans="47:70" x14ac:dyDescent="0.2">
      <c r="AU2605"/>
      <c r="AV2605"/>
      <c r="AW2605"/>
      <c r="AX2605"/>
      <c r="AY2605"/>
      <c r="BK2605" s="42">
        <v>2604</v>
      </c>
      <c r="BL2605" s="127">
        <v>4</v>
      </c>
      <c r="BM2605" s="127">
        <v>0.11332468572476186</v>
      </c>
      <c r="BN2605" s="127" t="e">
        <v>#N/A</v>
      </c>
      <c r="BO2605" s="127" t="e">
        <v>#N/A</v>
      </c>
      <c r="BP2605" s="151" t="e">
        <v>#N/A</v>
      </c>
      <c r="BQ2605">
        <v>0.11332468572476186</v>
      </c>
      <c r="BR2605" t="str">
        <v/>
      </c>
    </row>
    <row r="2606" spans="47:70" x14ac:dyDescent="0.2">
      <c r="AU2606"/>
      <c r="AV2606"/>
      <c r="AW2606"/>
      <c r="AX2606"/>
      <c r="AY2606"/>
      <c r="BK2606" s="42">
        <v>2605</v>
      </c>
      <c r="BL2606" s="127">
        <v>4</v>
      </c>
      <c r="BM2606" s="127">
        <v>0.11332468572476186</v>
      </c>
      <c r="BN2606" s="127" t="e">
        <v>#N/A</v>
      </c>
      <c r="BO2606" s="127" t="e">
        <v>#N/A</v>
      </c>
      <c r="BP2606" s="151" t="e">
        <v>#N/A</v>
      </c>
      <c r="BQ2606">
        <v>0.11332468572476186</v>
      </c>
      <c r="BR2606" t="str">
        <v/>
      </c>
    </row>
    <row r="2607" spans="47:70" x14ac:dyDescent="0.2">
      <c r="AU2607"/>
      <c r="AV2607"/>
      <c r="AW2607"/>
      <c r="AX2607"/>
      <c r="AY2607"/>
      <c r="BK2607" s="42">
        <v>2606</v>
      </c>
      <c r="BL2607" s="127">
        <v>4</v>
      </c>
      <c r="BM2607" s="127">
        <v>0.11332468572476186</v>
      </c>
      <c r="BN2607" s="127" t="e">
        <v>#N/A</v>
      </c>
      <c r="BO2607" s="127" t="e">
        <v>#N/A</v>
      </c>
      <c r="BP2607" s="151" t="e">
        <v>#N/A</v>
      </c>
      <c r="BQ2607">
        <v>0.11332468572476186</v>
      </c>
      <c r="BR2607" t="str">
        <v/>
      </c>
    </row>
    <row r="2608" spans="47:70" x14ac:dyDescent="0.2">
      <c r="AU2608"/>
      <c r="AV2608"/>
      <c r="AW2608"/>
      <c r="AX2608"/>
      <c r="AY2608"/>
      <c r="BK2608" s="42">
        <v>2607</v>
      </c>
      <c r="BL2608" s="127">
        <v>4</v>
      </c>
      <c r="BM2608" s="127">
        <v>0.11332468572476186</v>
      </c>
      <c r="BN2608" s="127" t="e">
        <v>#N/A</v>
      </c>
      <c r="BO2608" s="127" t="e">
        <v>#N/A</v>
      </c>
      <c r="BP2608" s="151" t="e">
        <v>#N/A</v>
      </c>
      <c r="BQ2608">
        <v>0.11332468572476186</v>
      </c>
      <c r="BR2608" t="str">
        <v/>
      </c>
    </row>
    <row r="2609" spans="47:70" x14ac:dyDescent="0.2">
      <c r="AU2609"/>
      <c r="AV2609"/>
      <c r="AW2609"/>
      <c r="AX2609"/>
      <c r="AY2609"/>
      <c r="BK2609" s="42">
        <v>2608</v>
      </c>
      <c r="BL2609" s="127">
        <v>4</v>
      </c>
      <c r="BM2609" s="127">
        <v>0.11332468572476186</v>
      </c>
      <c r="BN2609" s="127" t="e">
        <v>#N/A</v>
      </c>
      <c r="BO2609" s="127" t="e">
        <v>#N/A</v>
      </c>
      <c r="BP2609" s="151" t="e">
        <v>#N/A</v>
      </c>
      <c r="BQ2609">
        <v>0.11332468572476186</v>
      </c>
      <c r="BR2609" t="str">
        <v/>
      </c>
    </row>
    <row r="2610" spans="47:70" x14ac:dyDescent="0.2">
      <c r="AU2610"/>
      <c r="AV2610"/>
      <c r="AW2610"/>
      <c r="AX2610"/>
      <c r="AY2610"/>
      <c r="BK2610" s="42">
        <v>2609</v>
      </c>
      <c r="BL2610" s="127">
        <v>4</v>
      </c>
      <c r="BM2610" s="127">
        <v>0.11332468572476186</v>
      </c>
      <c r="BN2610" s="127" t="e">
        <v>#N/A</v>
      </c>
      <c r="BO2610" s="127" t="e">
        <v>#N/A</v>
      </c>
      <c r="BP2610" s="151" t="e">
        <v>#N/A</v>
      </c>
      <c r="BQ2610">
        <v>0.11332468572476186</v>
      </c>
      <c r="BR2610" t="str">
        <v/>
      </c>
    </row>
    <row r="2611" spans="47:70" x14ac:dyDescent="0.2">
      <c r="AU2611"/>
      <c r="AV2611"/>
      <c r="AW2611"/>
      <c r="AX2611"/>
      <c r="AY2611"/>
      <c r="BK2611" s="42">
        <v>2610</v>
      </c>
      <c r="BL2611" s="127">
        <v>4</v>
      </c>
      <c r="BM2611" s="127">
        <v>0.11332468572476186</v>
      </c>
      <c r="BN2611" s="127" t="e">
        <v>#N/A</v>
      </c>
      <c r="BO2611" s="127" t="e">
        <v>#N/A</v>
      </c>
      <c r="BP2611" s="151" t="e">
        <v>#N/A</v>
      </c>
      <c r="BQ2611">
        <v>0.11332468572476186</v>
      </c>
      <c r="BR2611" t="str">
        <v/>
      </c>
    </row>
    <row r="2612" spans="47:70" x14ac:dyDescent="0.2">
      <c r="AU2612"/>
      <c r="AV2612"/>
      <c r="AW2612"/>
      <c r="AX2612"/>
      <c r="AY2612"/>
      <c r="BK2612" s="42">
        <v>2611</v>
      </c>
      <c r="BL2612" s="127">
        <v>4</v>
      </c>
      <c r="BM2612" s="127">
        <v>0.11332468572476186</v>
      </c>
      <c r="BN2612" s="127" t="e">
        <v>#N/A</v>
      </c>
      <c r="BO2612" s="127" t="e">
        <v>#N/A</v>
      </c>
      <c r="BP2612" s="151" t="e">
        <v>#N/A</v>
      </c>
      <c r="BQ2612">
        <v>0.11332468572476186</v>
      </c>
      <c r="BR2612" t="str">
        <v/>
      </c>
    </row>
    <row r="2613" spans="47:70" x14ac:dyDescent="0.2">
      <c r="AU2613"/>
      <c r="AV2613"/>
      <c r="AW2613"/>
      <c r="AX2613"/>
      <c r="AY2613"/>
      <c r="BK2613" s="42">
        <v>2612</v>
      </c>
      <c r="BL2613" s="127">
        <v>4</v>
      </c>
      <c r="BM2613" s="127">
        <v>0.11332468572476186</v>
      </c>
      <c r="BN2613" s="127" t="e">
        <v>#N/A</v>
      </c>
      <c r="BO2613" s="127" t="e">
        <v>#N/A</v>
      </c>
      <c r="BP2613" s="151" t="e">
        <v>#N/A</v>
      </c>
      <c r="BQ2613">
        <v>0.11332468572476186</v>
      </c>
      <c r="BR2613" t="str">
        <v/>
      </c>
    </row>
    <row r="2614" spans="47:70" x14ac:dyDescent="0.2">
      <c r="AU2614"/>
      <c r="AV2614"/>
      <c r="AW2614"/>
      <c r="AX2614"/>
      <c r="AY2614"/>
      <c r="BK2614" s="42">
        <v>2613</v>
      </c>
      <c r="BL2614" s="127">
        <v>4</v>
      </c>
      <c r="BM2614" s="127">
        <v>0.11332468572476186</v>
      </c>
      <c r="BN2614" s="127" t="e">
        <v>#N/A</v>
      </c>
      <c r="BO2614" s="127" t="e">
        <v>#N/A</v>
      </c>
      <c r="BP2614" s="151" t="e">
        <v>#N/A</v>
      </c>
      <c r="BQ2614">
        <v>0.11332468572476186</v>
      </c>
      <c r="BR2614" t="str">
        <v/>
      </c>
    </row>
    <row r="2615" spans="47:70" x14ac:dyDescent="0.2">
      <c r="AU2615"/>
      <c r="AV2615"/>
      <c r="AW2615"/>
      <c r="AX2615"/>
      <c r="AY2615"/>
      <c r="BK2615" s="42">
        <v>2614</v>
      </c>
      <c r="BL2615" s="127">
        <v>4</v>
      </c>
      <c r="BM2615" s="127">
        <v>0.11332468572476186</v>
      </c>
      <c r="BN2615" s="127" t="e">
        <v>#N/A</v>
      </c>
      <c r="BO2615" s="127" t="e">
        <v>#N/A</v>
      </c>
      <c r="BP2615" s="151" t="e">
        <v>#N/A</v>
      </c>
      <c r="BQ2615">
        <v>0.11332468572476186</v>
      </c>
      <c r="BR2615" t="str">
        <v/>
      </c>
    </row>
    <row r="2616" spans="47:70" x14ac:dyDescent="0.2">
      <c r="AU2616"/>
      <c r="AV2616"/>
      <c r="AW2616"/>
      <c r="AX2616"/>
      <c r="AY2616"/>
      <c r="BK2616" s="42">
        <v>2615</v>
      </c>
      <c r="BL2616" s="127">
        <v>4</v>
      </c>
      <c r="BM2616" s="127">
        <v>0.11332468572476186</v>
      </c>
      <c r="BN2616" s="127" t="e">
        <v>#N/A</v>
      </c>
      <c r="BO2616" s="127" t="e">
        <v>#N/A</v>
      </c>
      <c r="BP2616" s="151" t="e">
        <v>#N/A</v>
      </c>
      <c r="BQ2616">
        <v>0.11332468572476186</v>
      </c>
      <c r="BR2616" t="str">
        <v/>
      </c>
    </row>
    <row r="2617" spans="47:70" x14ac:dyDescent="0.2">
      <c r="AU2617"/>
      <c r="AV2617"/>
      <c r="AW2617"/>
      <c r="AX2617"/>
      <c r="AY2617"/>
      <c r="BK2617" s="42">
        <v>2616</v>
      </c>
      <c r="BL2617" s="127">
        <v>4</v>
      </c>
      <c r="BM2617" s="127">
        <v>0.11332468572476186</v>
      </c>
      <c r="BN2617" s="127" t="e">
        <v>#N/A</v>
      </c>
      <c r="BO2617" s="127" t="e">
        <v>#N/A</v>
      </c>
      <c r="BP2617" s="151" t="e">
        <v>#N/A</v>
      </c>
      <c r="BQ2617">
        <v>0.11332468572476186</v>
      </c>
      <c r="BR2617" t="str">
        <v/>
      </c>
    </row>
    <row r="2618" spans="47:70" x14ac:dyDescent="0.2">
      <c r="AU2618"/>
      <c r="AV2618"/>
      <c r="AW2618"/>
      <c r="AX2618"/>
      <c r="AY2618"/>
      <c r="BK2618" s="42">
        <v>2617</v>
      </c>
      <c r="BL2618" s="127">
        <v>4</v>
      </c>
      <c r="BM2618" s="127">
        <v>0.11332468572476186</v>
      </c>
      <c r="BN2618" s="127" t="e">
        <v>#N/A</v>
      </c>
      <c r="BO2618" s="127" t="e">
        <v>#N/A</v>
      </c>
      <c r="BP2618" s="151" t="e">
        <v>#N/A</v>
      </c>
      <c r="BQ2618">
        <v>0.11332468572476186</v>
      </c>
      <c r="BR2618" t="str">
        <v/>
      </c>
    </row>
    <row r="2619" spans="47:70" x14ac:dyDescent="0.2">
      <c r="AU2619"/>
      <c r="AV2619"/>
      <c r="AW2619"/>
      <c r="AX2619"/>
      <c r="AY2619"/>
      <c r="BK2619" s="42">
        <v>2618</v>
      </c>
      <c r="BL2619" s="127">
        <v>4</v>
      </c>
      <c r="BM2619" s="127">
        <v>0.11332468572476186</v>
      </c>
      <c r="BN2619" s="127" t="e">
        <v>#N/A</v>
      </c>
      <c r="BO2619" s="127" t="e">
        <v>#N/A</v>
      </c>
      <c r="BP2619" s="151" t="e">
        <v>#N/A</v>
      </c>
      <c r="BQ2619">
        <v>0.11332468572476186</v>
      </c>
      <c r="BR2619" t="str">
        <v/>
      </c>
    </row>
    <row r="2620" spans="47:70" x14ac:dyDescent="0.2">
      <c r="AU2620"/>
      <c r="AV2620"/>
      <c r="AW2620"/>
      <c r="AX2620"/>
      <c r="AY2620"/>
      <c r="BK2620" s="42">
        <v>2619</v>
      </c>
      <c r="BL2620" s="127">
        <v>4</v>
      </c>
      <c r="BM2620" s="127">
        <v>0.11332468572476186</v>
      </c>
      <c r="BN2620" s="127" t="e">
        <v>#N/A</v>
      </c>
      <c r="BO2620" s="127" t="e">
        <v>#N/A</v>
      </c>
      <c r="BP2620" s="151" t="e">
        <v>#N/A</v>
      </c>
      <c r="BQ2620">
        <v>0.11332468572476186</v>
      </c>
      <c r="BR2620" t="str">
        <v/>
      </c>
    </row>
    <row r="2621" spans="47:70" x14ac:dyDescent="0.2">
      <c r="AU2621"/>
      <c r="AV2621"/>
      <c r="AW2621"/>
      <c r="AX2621"/>
      <c r="AY2621"/>
      <c r="BK2621" s="42">
        <v>2620</v>
      </c>
      <c r="BL2621" s="127">
        <v>4</v>
      </c>
      <c r="BM2621" s="127">
        <v>0.11332468572476186</v>
      </c>
      <c r="BN2621" s="127" t="e">
        <v>#N/A</v>
      </c>
      <c r="BO2621" s="127" t="e">
        <v>#N/A</v>
      </c>
      <c r="BP2621" s="151" t="e">
        <v>#N/A</v>
      </c>
      <c r="BQ2621">
        <v>0.11332468572476186</v>
      </c>
      <c r="BR2621" t="str">
        <v/>
      </c>
    </row>
    <row r="2622" spans="47:70" x14ac:dyDescent="0.2">
      <c r="AU2622"/>
      <c r="AV2622"/>
      <c r="AW2622"/>
      <c r="AX2622"/>
      <c r="AY2622"/>
      <c r="BK2622" s="42">
        <v>2621</v>
      </c>
      <c r="BL2622" s="127">
        <v>4</v>
      </c>
      <c r="BM2622" s="127">
        <v>0.11332468572476186</v>
      </c>
      <c r="BN2622" s="127" t="e">
        <v>#N/A</v>
      </c>
      <c r="BO2622" s="127" t="e">
        <v>#N/A</v>
      </c>
      <c r="BP2622" s="151" t="e">
        <v>#N/A</v>
      </c>
      <c r="BQ2622">
        <v>0.11332468572476186</v>
      </c>
      <c r="BR2622" t="str">
        <v/>
      </c>
    </row>
    <row r="2623" spans="47:70" x14ac:dyDescent="0.2">
      <c r="AU2623"/>
      <c r="AV2623"/>
      <c r="AW2623"/>
      <c r="AX2623"/>
      <c r="AY2623"/>
      <c r="BK2623" s="42">
        <v>2622</v>
      </c>
      <c r="BL2623" s="127">
        <v>4</v>
      </c>
      <c r="BM2623" s="127">
        <v>0.11332468572476186</v>
      </c>
      <c r="BN2623" s="127" t="e">
        <v>#N/A</v>
      </c>
      <c r="BO2623" s="127" t="e">
        <v>#N/A</v>
      </c>
      <c r="BP2623" s="151" t="e">
        <v>#N/A</v>
      </c>
      <c r="BQ2623">
        <v>0.11332468572476186</v>
      </c>
      <c r="BR2623" t="str">
        <v/>
      </c>
    </row>
    <row r="2624" spans="47:70" x14ac:dyDescent="0.2">
      <c r="AU2624"/>
      <c r="AV2624"/>
      <c r="AW2624"/>
      <c r="AX2624"/>
      <c r="AY2624"/>
      <c r="BK2624" s="42">
        <v>2623</v>
      </c>
      <c r="BL2624" s="127">
        <v>4</v>
      </c>
      <c r="BM2624" s="127">
        <v>0.11332468572476186</v>
      </c>
      <c r="BN2624" s="127" t="e">
        <v>#N/A</v>
      </c>
      <c r="BO2624" s="127" t="e">
        <v>#N/A</v>
      </c>
      <c r="BP2624" s="151" t="e">
        <v>#N/A</v>
      </c>
      <c r="BQ2624">
        <v>0.11332468572476186</v>
      </c>
      <c r="BR2624" t="str">
        <v/>
      </c>
    </row>
    <row r="2625" spans="47:70" x14ac:dyDescent="0.2">
      <c r="AU2625"/>
      <c r="AV2625"/>
      <c r="AW2625"/>
      <c r="AX2625"/>
      <c r="AY2625"/>
      <c r="BK2625" s="42">
        <v>2624</v>
      </c>
      <c r="BL2625" s="127">
        <v>4</v>
      </c>
      <c r="BM2625" s="127">
        <v>0.11332468572476186</v>
      </c>
      <c r="BN2625" s="127" t="e">
        <v>#N/A</v>
      </c>
      <c r="BO2625" s="127" t="e">
        <v>#N/A</v>
      </c>
      <c r="BP2625" s="151" t="e">
        <v>#N/A</v>
      </c>
      <c r="BQ2625">
        <v>0.11332468572476186</v>
      </c>
      <c r="BR2625" t="str">
        <v/>
      </c>
    </row>
    <row r="2626" spans="47:70" x14ac:dyDescent="0.2">
      <c r="AU2626"/>
      <c r="AV2626"/>
      <c r="AW2626"/>
      <c r="AX2626"/>
      <c r="AY2626"/>
      <c r="BK2626" s="42">
        <v>2625</v>
      </c>
      <c r="BL2626" s="127">
        <v>4</v>
      </c>
      <c r="BM2626" s="127">
        <v>0.11332468572476186</v>
      </c>
      <c r="BN2626" s="127" t="e">
        <v>#N/A</v>
      </c>
      <c r="BO2626" s="127" t="e">
        <v>#N/A</v>
      </c>
      <c r="BP2626" s="151" t="e">
        <v>#N/A</v>
      </c>
      <c r="BQ2626">
        <v>0.11332468572476186</v>
      </c>
      <c r="BR2626" t="str">
        <v/>
      </c>
    </row>
    <row r="2627" spans="47:70" x14ac:dyDescent="0.2">
      <c r="AU2627"/>
      <c r="AV2627"/>
      <c r="AW2627"/>
      <c r="AX2627"/>
      <c r="AY2627"/>
      <c r="BK2627" s="42">
        <v>2626</v>
      </c>
      <c r="BL2627" s="127">
        <v>4</v>
      </c>
      <c r="BM2627" s="127">
        <v>0.11332468572476186</v>
      </c>
      <c r="BN2627" s="127" t="e">
        <v>#N/A</v>
      </c>
      <c r="BO2627" s="127" t="e">
        <v>#N/A</v>
      </c>
      <c r="BP2627" s="151" t="e">
        <v>#N/A</v>
      </c>
      <c r="BQ2627">
        <v>0.11332468572476186</v>
      </c>
      <c r="BR2627" t="str">
        <v/>
      </c>
    </row>
    <row r="2628" spans="47:70" x14ac:dyDescent="0.2">
      <c r="AU2628"/>
      <c r="AV2628"/>
      <c r="AW2628"/>
      <c r="AX2628"/>
      <c r="AY2628"/>
      <c r="BK2628" s="42">
        <v>2627</v>
      </c>
      <c r="BL2628" s="127">
        <v>4</v>
      </c>
      <c r="BM2628" s="127">
        <v>0.11332468572476186</v>
      </c>
      <c r="BN2628" s="127" t="e">
        <v>#N/A</v>
      </c>
      <c r="BO2628" s="127" t="e">
        <v>#N/A</v>
      </c>
      <c r="BP2628" s="151" t="e">
        <v>#N/A</v>
      </c>
      <c r="BQ2628">
        <v>0.11332468572476186</v>
      </c>
      <c r="BR2628" t="str">
        <v/>
      </c>
    </row>
    <row r="2629" spans="47:70" x14ac:dyDescent="0.2">
      <c r="AU2629"/>
      <c r="AV2629"/>
      <c r="AW2629"/>
      <c r="AX2629"/>
      <c r="AY2629"/>
      <c r="BK2629" s="42">
        <v>2628</v>
      </c>
      <c r="BL2629" s="127">
        <v>4</v>
      </c>
      <c r="BM2629" s="127">
        <v>0.11332468572476186</v>
      </c>
      <c r="BN2629" s="127" t="e">
        <v>#N/A</v>
      </c>
      <c r="BO2629" s="127" t="e">
        <v>#N/A</v>
      </c>
      <c r="BP2629" s="151" t="e">
        <v>#N/A</v>
      </c>
      <c r="BQ2629">
        <v>0.11332468572476186</v>
      </c>
      <c r="BR2629" t="str">
        <v/>
      </c>
    </row>
    <row r="2630" spans="47:70" x14ac:dyDescent="0.2">
      <c r="AU2630"/>
      <c r="AV2630"/>
      <c r="AW2630"/>
      <c r="AX2630"/>
      <c r="AY2630"/>
      <c r="BK2630" s="42">
        <v>2629</v>
      </c>
      <c r="BL2630" s="127">
        <v>4</v>
      </c>
      <c r="BM2630" s="127">
        <v>0.11332468572476186</v>
      </c>
      <c r="BN2630" s="127" t="e">
        <v>#N/A</v>
      </c>
      <c r="BO2630" s="127" t="e">
        <v>#N/A</v>
      </c>
      <c r="BP2630" s="151" t="e">
        <v>#N/A</v>
      </c>
      <c r="BQ2630">
        <v>0.11332468572476186</v>
      </c>
      <c r="BR2630" t="str">
        <v/>
      </c>
    </row>
    <row r="2631" spans="47:70" x14ac:dyDescent="0.2">
      <c r="AU2631"/>
      <c r="AV2631"/>
      <c r="AW2631"/>
      <c r="AX2631"/>
      <c r="AY2631"/>
      <c r="BK2631" s="42">
        <v>2630</v>
      </c>
      <c r="BL2631" s="127">
        <v>4</v>
      </c>
      <c r="BM2631" s="127">
        <v>0.11332468572476186</v>
      </c>
      <c r="BN2631" s="127" t="e">
        <v>#N/A</v>
      </c>
      <c r="BO2631" s="127" t="e">
        <v>#N/A</v>
      </c>
      <c r="BP2631" s="151" t="e">
        <v>#N/A</v>
      </c>
      <c r="BQ2631">
        <v>0.11332468572476186</v>
      </c>
      <c r="BR2631" t="str">
        <v/>
      </c>
    </row>
    <row r="2632" spans="47:70" x14ac:dyDescent="0.2">
      <c r="AU2632"/>
      <c r="AV2632"/>
      <c r="AW2632"/>
      <c r="AX2632"/>
      <c r="AY2632"/>
      <c r="BK2632" s="42">
        <v>2631</v>
      </c>
      <c r="BL2632" s="127">
        <v>4</v>
      </c>
      <c r="BM2632" s="127">
        <v>0.11332468572476186</v>
      </c>
      <c r="BN2632" s="127" t="e">
        <v>#N/A</v>
      </c>
      <c r="BO2632" s="127" t="e">
        <v>#N/A</v>
      </c>
      <c r="BP2632" s="151" t="e">
        <v>#N/A</v>
      </c>
      <c r="BQ2632">
        <v>0.11332468572476186</v>
      </c>
      <c r="BR2632" t="str">
        <v/>
      </c>
    </row>
    <row r="2633" spans="47:70" x14ac:dyDescent="0.2">
      <c r="AU2633"/>
      <c r="AV2633"/>
      <c r="AW2633"/>
      <c r="AX2633"/>
      <c r="AY2633"/>
      <c r="BK2633" s="42">
        <v>2632</v>
      </c>
      <c r="BL2633" s="127">
        <v>4</v>
      </c>
      <c r="BM2633" s="127">
        <v>0.11332468572476186</v>
      </c>
      <c r="BN2633" s="127" t="e">
        <v>#N/A</v>
      </c>
      <c r="BO2633" s="127" t="e">
        <v>#N/A</v>
      </c>
      <c r="BP2633" s="151" t="e">
        <v>#N/A</v>
      </c>
      <c r="BQ2633">
        <v>0.11332468572476186</v>
      </c>
      <c r="BR2633" t="str">
        <v/>
      </c>
    </row>
    <row r="2634" spans="47:70" x14ac:dyDescent="0.2">
      <c r="AU2634"/>
      <c r="AV2634"/>
      <c r="AW2634"/>
      <c r="AX2634"/>
      <c r="AY2634"/>
      <c r="BK2634" s="42">
        <v>2633</v>
      </c>
      <c r="BL2634" s="127">
        <v>4</v>
      </c>
      <c r="BM2634" s="127">
        <v>0.11332468572476186</v>
      </c>
      <c r="BN2634" s="127" t="e">
        <v>#N/A</v>
      </c>
      <c r="BO2634" s="127" t="e">
        <v>#N/A</v>
      </c>
      <c r="BP2634" s="151" t="e">
        <v>#N/A</v>
      </c>
      <c r="BQ2634">
        <v>0.11332468572476186</v>
      </c>
      <c r="BR2634" t="str">
        <v/>
      </c>
    </row>
    <row r="2635" spans="47:70" x14ac:dyDescent="0.2">
      <c r="AU2635"/>
      <c r="AV2635"/>
      <c r="AW2635"/>
      <c r="AX2635"/>
      <c r="AY2635"/>
      <c r="BK2635" s="42">
        <v>2634</v>
      </c>
      <c r="BL2635" s="127">
        <v>4</v>
      </c>
      <c r="BM2635" s="127">
        <v>0.11332468572476186</v>
      </c>
      <c r="BN2635" s="127" t="e">
        <v>#N/A</v>
      </c>
      <c r="BO2635" s="127" t="e">
        <v>#N/A</v>
      </c>
      <c r="BP2635" s="151" t="e">
        <v>#N/A</v>
      </c>
      <c r="BQ2635">
        <v>0.11332468572476186</v>
      </c>
      <c r="BR2635" t="str">
        <v/>
      </c>
    </row>
    <row r="2636" spans="47:70" x14ac:dyDescent="0.2">
      <c r="AU2636"/>
      <c r="AV2636"/>
      <c r="AW2636"/>
      <c r="AX2636"/>
      <c r="AY2636"/>
      <c r="BK2636" s="42">
        <v>2635</v>
      </c>
      <c r="BL2636" s="127">
        <v>4</v>
      </c>
      <c r="BM2636" s="127">
        <v>0.11332468572476186</v>
      </c>
      <c r="BN2636" s="127" t="e">
        <v>#N/A</v>
      </c>
      <c r="BO2636" s="127" t="e">
        <v>#N/A</v>
      </c>
      <c r="BP2636" s="151" t="e">
        <v>#N/A</v>
      </c>
      <c r="BQ2636">
        <v>0.11332468572476186</v>
      </c>
      <c r="BR2636" t="str">
        <v/>
      </c>
    </row>
    <row r="2637" spans="47:70" x14ac:dyDescent="0.2">
      <c r="AU2637"/>
      <c r="AV2637"/>
      <c r="AW2637"/>
      <c r="AX2637"/>
      <c r="AY2637"/>
      <c r="BK2637" s="42">
        <v>2636</v>
      </c>
      <c r="BL2637" s="127">
        <v>4</v>
      </c>
      <c r="BM2637" s="127">
        <v>0.11332468572476186</v>
      </c>
      <c r="BN2637" s="127" t="e">
        <v>#N/A</v>
      </c>
      <c r="BO2637" s="127" t="e">
        <v>#N/A</v>
      </c>
      <c r="BP2637" s="151" t="e">
        <v>#N/A</v>
      </c>
      <c r="BQ2637">
        <v>0.11332468572476186</v>
      </c>
      <c r="BR2637" t="str">
        <v/>
      </c>
    </row>
    <row r="2638" spans="47:70" x14ac:dyDescent="0.2">
      <c r="AU2638"/>
      <c r="AV2638"/>
      <c r="AW2638"/>
      <c r="AX2638"/>
      <c r="AY2638"/>
      <c r="BK2638" s="42">
        <v>2637</v>
      </c>
      <c r="BL2638" s="127">
        <v>4</v>
      </c>
      <c r="BM2638" s="127">
        <v>0.11332468572476186</v>
      </c>
      <c r="BN2638" s="127" t="e">
        <v>#N/A</v>
      </c>
      <c r="BO2638" s="127" t="e">
        <v>#N/A</v>
      </c>
      <c r="BP2638" s="151" t="e">
        <v>#N/A</v>
      </c>
      <c r="BQ2638">
        <v>0.11332468572476186</v>
      </c>
      <c r="BR2638" t="str">
        <v/>
      </c>
    </row>
    <row r="2639" spans="47:70" x14ac:dyDescent="0.2">
      <c r="AU2639"/>
      <c r="AV2639"/>
      <c r="AW2639"/>
      <c r="AX2639"/>
      <c r="AY2639"/>
      <c r="BK2639" s="42">
        <v>2638</v>
      </c>
      <c r="BL2639" s="127">
        <v>4</v>
      </c>
      <c r="BM2639" s="127">
        <v>0.11332468572476186</v>
      </c>
      <c r="BN2639" s="127" t="e">
        <v>#N/A</v>
      </c>
      <c r="BO2639" s="127" t="e">
        <v>#N/A</v>
      </c>
      <c r="BP2639" s="151" t="e">
        <v>#N/A</v>
      </c>
      <c r="BQ2639">
        <v>0.11332468572476186</v>
      </c>
      <c r="BR2639" t="str">
        <v/>
      </c>
    </row>
    <row r="2640" spans="47:70" x14ac:dyDescent="0.2">
      <c r="AU2640"/>
      <c r="AV2640"/>
      <c r="AW2640"/>
      <c r="AX2640"/>
      <c r="AY2640"/>
      <c r="BK2640" s="42">
        <v>2639</v>
      </c>
      <c r="BL2640" s="127">
        <v>4</v>
      </c>
      <c r="BM2640" s="127">
        <v>0.11332468572476186</v>
      </c>
      <c r="BN2640" s="127" t="e">
        <v>#N/A</v>
      </c>
      <c r="BO2640" s="127" t="e">
        <v>#N/A</v>
      </c>
      <c r="BP2640" s="151" t="e">
        <v>#N/A</v>
      </c>
      <c r="BQ2640">
        <v>0.11332468572476186</v>
      </c>
      <c r="BR2640" t="str">
        <v/>
      </c>
    </row>
    <row r="2641" spans="47:70" x14ac:dyDescent="0.2">
      <c r="AU2641"/>
      <c r="AV2641"/>
      <c r="AW2641"/>
      <c r="AX2641"/>
      <c r="AY2641"/>
      <c r="BK2641" s="42">
        <v>2640</v>
      </c>
      <c r="BL2641" s="127">
        <v>4</v>
      </c>
      <c r="BM2641" s="127">
        <v>0.11332468572476186</v>
      </c>
      <c r="BN2641" s="127" t="e">
        <v>#N/A</v>
      </c>
      <c r="BO2641" s="127" t="e">
        <v>#N/A</v>
      </c>
      <c r="BP2641" s="151" t="e">
        <v>#N/A</v>
      </c>
      <c r="BQ2641">
        <v>0.11332468572476186</v>
      </c>
      <c r="BR2641" t="str">
        <v/>
      </c>
    </row>
    <row r="2642" spans="47:70" x14ac:dyDescent="0.2">
      <c r="AU2642"/>
      <c r="AV2642"/>
      <c r="AW2642"/>
      <c r="AX2642"/>
      <c r="AY2642"/>
      <c r="BK2642" s="42">
        <v>2641</v>
      </c>
      <c r="BL2642" s="127">
        <v>4</v>
      </c>
      <c r="BM2642" s="127">
        <v>0.11332468572476186</v>
      </c>
      <c r="BN2642" s="127" t="e">
        <v>#N/A</v>
      </c>
      <c r="BO2642" s="127" t="e">
        <v>#N/A</v>
      </c>
      <c r="BP2642" s="151" t="e">
        <v>#N/A</v>
      </c>
      <c r="BQ2642">
        <v>0.11332468572476186</v>
      </c>
      <c r="BR2642" t="str">
        <v/>
      </c>
    </row>
    <row r="2643" spans="47:70" x14ac:dyDescent="0.2">
      <c r="AU2643"/>
      <c r="AV2643"/>
      <c r="AW2643"/>
      <c r="AX2643"/>
      <c r="AY2643"/>
      <c r="BK2643" s="42">
        <v>2642</v>
      </c>
      <c r="BL2643" s="127">
        <v>4</v>
      </c>
      <c r="BM2643" s="127">
        <v>0.11332468572476186</v>
      </c>
      <c r="BN2643" s="127" t="e">
        <v>#N/A</v>
      </c>
      <c r="BO2643" s="127" t="e">
        <v>#N/A</v>
      </c>
      <c r="BP2643" s="151" t="e">
        <v>#N/A</v>
      </c>
      <c r="BQ2643">
        <v>0.11332468572476186</v>
      </c>
      <c r="BR2643" t="str">
        <v/>
      </c>
    </row>
    <row r="2644" spans="47:70" x14ac:dyDescent="0.2">
      <c r="AU2644"/>
      <c r="AV2644"/>
      <c r="AW2644"/>
      <c r="AX2644"/>
      <c r="AY2644"/>
      <c r="BK2644" s="42">
        <v>2643</v>
      </c>
      <c r="BL2644" s="127">
        <v>4</v>
      </c>
      <c r="BM2644" s="127">
        <v>0.11332468572476186</v>
      </c>
      <c r="BN2644" s="127" t="e">
        <v>#N/A</v>
      </c>
      <c r="BO2644" s="127" t="e">
        <v>#N/A</v>
      </c>
      <c r="BP2644" s="151" t="e">
        <v>#N/A</v>
      </c>
      <c r="BQ2644">
        <v>0.11332468572476186</v>
      </c>
      <c r="BR2644" t="str">
        <v/>
      </c>
    </row>
    <row r="2645" spans="47:70" x14ac:dyDescent="0.2">
      <c r="AU2645"/>
      <c r="AV2645"/>
      <c r="AW2645"/>
      <c r="AX2645"/>
      <c r="AY2645"/>
      <c r="BK2645" s="42">
        <v>2644</v>
      </c>
      <c r="BL2645" s="127">
        <v>4</v>
      </c>
      <c r="BM2645" s="127">
        <v>0.11332468572476186</v>
      </c>
      <c r="BN2645" s="127" t="e">
        <v>#N/A</v>
      </c>
      <c r="BO2645" s="127" t="e">
        <v>#N/A</v>
      </c>
      <c r="BP2645" s="151" t="e">
        <v>#N/A</v>
      </c>
      <c r="BQ2645">
        <v>0.11332468572476186</v>
      </c>
      <c r="BR2645" t="str">
        <v/>
      </c>
    </row>
    <row r="2646" spans="47:70" x14ac:dyDescent="0.2">
      <c r="AU2646"/>
      <c r="AV2646"/>
      <c r="AW2646"/>
      <c r="AX2646"/>
      <c r="AY2646"/>
      <c r="BK2646" s="42">
        <v>2645</v>
      </c>
      <c r="BL2646" s="127">
        <v>4</v>
      </c>
      <c r="BM2646" s="127">
        <v>0.11332468572476186</v>
      </c>
      <c r="BN2646" s="127" t="e">
        <v>#N/A</v>
      </c>
      <c r="BO2646" s="127" t="e">
        <v>#N/A</v>
      </c>
      <c r="BP2646" s="151" t="e">
        <v>#N/A</v>
      </c>
      <c r="BQ2646">
        <v>0.11332468572476186</v>
      </c>
      <c r="BR2646" t="str">
        <v/>
      </c>
    </row>
    <row r="2647" spans="47:70" x14ac:dyDescent="0.2">
      <c r="AU2647"/>
      <c r="AV2647"/>
      <c r="AW2647"/>
      <c r="AX2647"/>
      <c r="AY2647"/>
      <c r="BK2647" s="42">
        <v>2646</v>
      </c>
      <c r="BL2647" s="127">
        <v>4</v>
      </c>
      <c r="BM2647" s="127">
        <v>0.11332468572476186</v>
      </c>
      <c r="BN2647" s="127" t="e">
        <v>#N/A</v>
      </c>
      <c r="BO2647" s="127" t="e">
        <v>#N/A</v>
      </c>
      <c r="BP2647" s="151" t="e">
        <v>#N/A</v>
      </c>
      <c r="BQ2647">
        <v>0.11332468572476186</v>
      </c>
      <c r="BR2647" t="str">
        <v/>
      </c>
    </row>
    <row r="2648" spans="47:70" x14ac:dyDescent="0.2">
      <c r="AU2648"/>
      <c r="AV2648"/>
      <c r="AW2648"/>
      <c r="AX2648"/>
      <c r="AY2648"/>
      <c r="BK2648" s="42">
        <v>2647</v>
      </c>
      <c r="BL2648" s="127">
        <v>4</v>
      </c>
      <c r="BM2648" s="127">
        <v>0.11332468572476186</v>
      </c>
      <c r="BN2648" s="127" t="e">
        <v>#N/A</v>
      </c>
      <c r="BO2648" s="127" t="e">
        <v>#N/A</v>
      </c>
      <c r="BP2648" s="151" t="e">
        <v>#N/A</v>
      </c>
      <c r="BQ2648">
        <v>0.11332468572476186</v>
      </c>
      <c r="BR2648" t="str">
        <v/>
      </c>
    </row>
    <row r="2649" spans="47:70" x14ac:dyDescent="0.2">
      <c r="AU2649"/>
      <c r="AV2649"/>
      <c r="AW2649"/>
      <c r="AX2649"/>
      <c r="AY2649"/>
      <c r="BK2649" s="42">
        <v>2648</v>
      </c>
      <c r="BL2649" s="127">
        <v>4</v>
      </c>
      <c r="BM2649" s="127">
        <v>0.11332468572476186</v>
      </c>
      <c r="BN2649" s="127" t="e">
        <v>#N/A</v>
      </c>
      <c r="BO2649" s="127" t="e">
        <v>#N/A</v>
      </c>
      <c r="BP2649" s="151" t="e">
        <v>#N/A</v>
      </c>
      <c r="BQ2649">
        <v>0.11332468572476186</v>
      </c>
      <c r="BR2649" t="str">
        <v/>
      </c>
    </row>
    <row r="2650" spans="47:70" x14ac:dyDescent="0.2">
      <c r="AU2650"/>
      <c r="AV2650"/>
      <c r="AW2650"/>
      <c r="AX2650"/>
      <c r="AY2650"/>
      <c r="BK2650" s="42">
        <v>2649</v>
      </c>
      <c r="BL2650" s="127">
        <v>4</v>
      </c>
      <c r="BM2650" s="127">
        <v>0.11332468572476186</v>
      </c>
      <c r="BN2650" s="127" t="e">
        <v>#N/A</v>
      </c>
      <c r="BO2650" s="127" t="e">
        <v>#N/A</v>
      </c>
      <c r="BP2650" s="151" t="e">
        <v>#N/A</v>
      </c>
      <c r="BQ2650">
        <v>0.11332468572476186</v>
      </c>
      <c r="BR2650" t="str">
        <v/>
      </c>
    </row>
    <row r="2651" spans="47:70" x14ac:dyDescent="0.2">
      <c r="AU2651"/>
      <c r="AV2651"/>
      <c r="AW2651"/>
      <c r="AX2651"/>
      <c r="AY2651"/>
      <c r="BK2651" s="42">
        <v>2650</v>
      </c>
      <c r="BL2651" s="127">
        <v>4</v>
      </c>
      <c r="BM2651" s="127">
        <v>0.11332468572476186</v>
      </c>
      <c r="BN2651" s="127" t="e">
        <v>#N/A</v>
      </c>
      <c r="BO2651" s="127" t="e">
        <v>#N/A</v>
      </c>
      <c r="BP2651" s="151" t="e">
        <v>#N/A</v>
      </c>
      <c r="BQ2651">
        <v>0.11332468572476186</v>
      </c>
      <c r="BR2651" t="str">
        <v/>
      </c>
    </row>
    <row r="2652" spans="47:70" x14ac:dyDescent="0.2">
      <c r="AU2652"/>
      <c r="AV2652"/>
      <c r="AW2652"/>
      <c r="AX2652"/>
      <c r="AY2652"/>
      <c r="BK2652" s="42">
        <v>2651</v>
      </c>
      <c r="BL2652" s="127">
        <v>4</v>
      </c>
      <c r="BM2652" s="127">
        <v>0.11332468572476186</v>
      </c>
      <c r="BN2652" s="127" t="e">
        <v>#N/A</v>
      </c>
      <c r="BO2652" s="127" t="e">
        <v>#N/A</v>
      </c>
      <c r="BP2652" s="151" t="e">
        <v>#N/A</v>
      </c>
      <c r="BQ2652">
        <v>0.11332468572476186</v>
      </c>
      <c r="BR2652" t="str">
        <v/>
      </c>
    </row>
    <row r="2653" spans="47:70" x14ac:dyDescent="0.2">
      <c r="AU2653"/>
      <c r="AV2653"/>
      <c r="AW2653"/>
      <c r="AX2653"/>
      <c r="AY2653"/>
      <c r="BK2653" s="42">
        <v>2652</v>
      </c>
      <c r="BL2653" s="127">
        <v>4</v>
      </c>
      <c r="BM2653" s="127">
        <v>0.11332468572476186</v>
      </c>
      <c r="BN2653" s="127" t="e">
        <v>#N/A</v>
      </c>
      <c r="BO2653" s="127" t="e">
        <v>#N/A</v>
      </c>
      <c r="BP2653" s="151" t="e">
        <v>#N/A</v>
      </c>
      <c r="BQ2653">
        <v>0.11332468572476186</v>
      </c>
      <c r="BR2653" t="str">
        <v/>
      </c>
    </row>
    <row r="2654" spans="47:70" x14ac:dyDescent="0.2">
      <c r="AU2654"/>
      <c r="AV2654"/>
      <c r="AW2654"/>
      <c r="AX2654"/>
      <c r="AY2654"/>
      <c r="BK2654" s="42">
        <v>2653</v>
      </c>
      <c r="BL2654" s="127">
        <v>4</v>
      </c>
      <c r="BM2654" s="127">
        <v>0.11332468572476186</v>
      </c>
      <c r="BN2654" s="127" t="e">
        <v>#N/A</v>
      </c>
      <c r="BO2654" s="127" t="e">
        <v>#N/A</v>
      </c>
      <c r="BP2654" s="151" t="e">
        <v>#N/A</v>
      </c>
      <c r="BQ2654">
        <v>0.11332468572476186</v>
      </c>
      <c r="BR2654" t="str">
        <v/>
      </c>
    </row>
    <row r="2655" spans="47:70" x14ac:dyDescent="0.2">
      <c r="AU2655"/>
      <c r="AV2655"/>
      <c r="AW2655"/>
      <c r="AX2655"/>
      <c r="AY2655"/>
      <c r="BK2655" s="42">
        <v>2654</v>
      </c>
      <c r="BL2655" s="127">
        <v>4</v>
      </c>
      <c r="BM2655" s="127">
        <v>0.11332468572476186</v>
      </c>
      <c r="BN2655" s="127" t="e">
        <v>#N/A</v>
      </c>
      <c r="BO2655" s="127" t="e">
        <v>#N/A</v>
      </c>
      <c r="BP2655" s="151" t="e">
        <v>#N/A</v>
      </c>
      <c r="BQ2655">
        <v>0.11332468572476186</v>
      </c>
      <c r="BR2655" t="str">
        <v/>
      </c>
    </row>
    <row r="2656" spans="47:70" x14ac:dyDescent="0.2">
      <c r="AU2656"/>
      <c r="AV2656"/>
      <c r="AW2656"/>
      <c r="AX2656"/>
      <c r="AY2656"/>
      <c r="BK2656" s="42">
        <v>2655</v>
      </c>
      <c r="BL2656" s="127">
        <v>4</v>
      </c>
      <c r="BM2656" s="127">
        <v>0.11332468572476186</v>
      </c>
      <c r="BN2656" s="127" t="e">
        <v>#N/A</v>
      </c>
      <c r="BO2656" s="127" t="e">
        <v>#N/A</v>
      </c>
      <c r="BP2656" s="151" t="e">
        <v>#N/A</v>
      </c>
      <c r="BQ2656">
        <v>0.11332468572476186</v>
      </c>
      <c r="BR2656" t="str">
        <v/>
      </c>
    </row>
    <row r="2657" spans="47:70" x14ac:dyDescent="0.2">
      <c r="AU2657"/>
      <c r="AV2657"/>
      <c r="AW2657"/>
      <c r="AX2657"/>
      <c r="AY2657"/>
      <c r="BK2657" s="42">
        <v>2656</v>
      </c>
      <c r="BL2657" s="127">
        <v>4</v>
      </c>
      <c r="BM2657" s="127">
        <v>0.11332468572476186</v>
      </c>
      <c r="BN2657" s="127" t="e">
        <v>#N/A</v>
      </c>
      <c r="BO2657" s="127" t="e">
        <v>#N/A</v>
      </c>
      <c r="BP2657" s="151" t="e">
        <v>#N/A</v>
      </c>
      <c r="BQ2657">
        <v>0.11332468572476186</v>
      </c>
      <c r="BR2657" t="str">
        <v/>
      </c>
    </row>
    <row r="2658" spans="47:70" x14ac:dyDescent="0.2">
      <c r="AU2658"/>
      <c r="AV2658"/>
      <c r="AW2658"/>
      <c r="AX2658"/>
      <c r="AY2658"/>
      <c r="BK2658" s="42">
        <v>2657</v>
      </c>
      <c r="BL2658" s="127">
        <v>4</v>
      </c>
      <c r="BM2658" s="127">
        <v>0.11332468572476186</v>
      </c>
      <c r="BN2658" s="127" t="e">
        <v>#N/A</v>
      </c>
      <c r="BO2658" s="127" t="e">
        <v>#N/A</v>
      </c>
      <c r="BP2658" s="151" t="e">
        <v>#N/A</v>
      </c>
      <c r="BQ2658">
        <v>0.11332468572476186</v>
      </c>
      <c r="BR2658" t="str">
        <v/>
      </c>
    </row>
    <row r="2659" spans="47:70" x14ac:dyDescent="0.2">
      <c r="AU2659"/>
      <c r="AV2659"/>
      <c r="AW2659"/>
      <c r="AX2659"/>
      <c r="AY2659"/>
      <c r="BK2659" s="42">
        <v>2658</v>
      </c>
      <c r="BL2659" s="127">
        <v>4</v>
      </c>
      <c r="BM2659" s="127">
        <v>0.11332468572476186</v>
      </c>
      <c r="BN2659" s="127" t="e">
        <v>#N/A</v>
      </c>
      <c r="BO2659" s="127" t="e">
        <v>#N/A</v>
      </c>
      <c r="BP2659" s="151" t="e">
        <v>#N/A</v>
      </c>
      <c r="BQ2659">
        <v>0.11332468572476186</v>
      </c>
      <c r="BR2659" t="str">
        <v/>
      </c>
    </row>
    <row r="2660" spans="47:70" x14ac:dyDescent="0.2">
      <c r="AU2660"/>
      <c r="AV2660"/>
      <c r="AW2660"/>
      <c r="AX2660"/>
      <c r="AY2660"/>
      <c r="BK2660" s="42">
        <v>2659</v>
      </c>
      <c r="BL2660" s="127">
        <v>4</v>
      </c>
      <c r="BM2660" s="127">
        <v>0.11332468572476186</v>
      </c>
      <c r="BN2660" s="127" t="e">
        <v>#N/A</v>
      </c>
      <c r="BO2660" s="127" t="e">
        <v>#N/A</v>
      </c>
      <c r="BP2660" s="151" t="e">
        <v>#N/A</v>
      </c>
      <c r="BQ2660">
        <v>0.11332468572476186</v>
      </c>
      <c r="BR2660" t="str">
        <v/>
      </c>
    </row>
    <row r="2661" spans="47:70" x14ac:dyDescent="0.2">
      <c r="AU2661"/>
      <c r="AV2661"/>
      <c r="AW2661"/>
      <c r="AX2661"/>
      <c r="AY2661"/>
      <c r="BK2661" s="42">
        <v>2660</v>
      </c>
      <c r="BL2661" s="127">
        <v>4</v>
      </c>
      <c r="BM2661" s="127">
        <v>0.11332468572476186</v>
      </c>
      <c r="BN2661" s="127" t="e">
        <v>#N/A</v>
      </c>
      <c r="BO2661" s="127" t="e">
        <v>#N/A</v>
      </c>
      <c r="BP2661" s="151" t="e">
        <v>#N/A</v>
      </c>
      <c r="BQ2661">
        <v>0.11332468572476186</v>
      </c>
      <c r="BR2661" t="str">
        <v/>
      </c>
    </row>
    <row r="2662" spans="47:70" x14ac:dyDescent="0.2">
      <c r="AU2662"/>
      <c r="AV2662"/>
      <c r="AW2662"/>
      <c r="AX2662"/>
      <c r="AY2662"/>
      <c r="BK2662" s="42">
        <v>2661</v>
      </c>
      <c r="BL2662" s="127">
        <v>4</v>
      </c>
      <c r="BM2662" s="127">
        <v>0.11332468572476186</v>
      </c>
      <c r="BN2662" s="127" t="e">
        <v>#N/A</v>
      </c>
      <c r="BO2662" s="127" t="e">
        <v>#N/A</v>
      </c>
      <c r="BP2662" s="151" t="e">
        <v>#N/A</v>
      </c>
      <c r="BQ2662">
        <v>0.11332468572476186</v>
      </c>
      <c r="BR2662" t="str">
        <v/>
      </c>
    </row>
    <row r="2663" spans="47:70" x14ac:dyDescent="0.2">
      <c r="AU2663"/>
      <c r="AV2663"/>
      <c r="AW2663"/>
      <c r="AX2663"/>
      <c r="AY2663"/>
      <c r="BK2663" s="42">
        <v>2662</v>
      </c>
      <c r="BL2663" s="127">
        <v>4</v>
      </c>
      <c r="BM2663" s="127">
        <v>0.11332468572476186</v>
      </c>
      <c r="BN2663" s="127" t="e">
        <v>#N/A</v>
      </c>
      <c r="BO2663" s="127" t="e">
        <v>#N/A</v>
      </c>
      <c r="BP2663" s="151" t="e">
        <v>#N/A</v>
      </c>
      <c r="BQ2663">
        <v>0.11332468572476186</v>
      </c>
      <c r="BR2663" t="str">
        <v/>
      </c>
    </row>
    <row r="2664" spans="47:70" x14ac:dyDescent="0.2">
      <c r="AU2664"/>
      <c r="AV2664"/>
      <c r="AW2664"/>
      <c r="AX2664"/>
      <c r="AY2664"/>
      <c r="BK2664" s="42">
        <v>2663</v>
      </c>
      <c r="BL2664" s="127">
        <v>4</v>
      </c>
      <c r="BM2664" s="127">
        <v>0.11332468572476186</v>
      </c>
      <c r="BN2664" s="127" t="e">
        <v>#N/A</v>
      </c>
      <c r="BO2664" s="127" t="e">
        <v>#N/A</v>
      </c>
      <c r="BP2664" s="151" t="e">
        <v>#N/A</v>
      </c>
      <c r="BQ2664">
        <v>0.11332468572476186</v>
      </c>
      <c r="BR2664" t="str">
        <v/>
      </c>
    </row>
    <row r="2665" spans="47:70" x14ac:dyDescent="0.2">
      <c r="AU2665"/>
      <c r="AV2665"/>
      <c r="AW2665"/>
      <c r="AX2665"/>
      <c r="AY2665"/>
      <c r="BK2665" s="42">
        <v>2664</v>
      </c>
      <c r="BL2665" s="127">
        <v>4</v>
      </c>
      <c r="BM2665" s="127">
        <v>0.11332468572476186</v>
      </c>
      <c r="BN2665" s="127" t="e">
        <v>#N/A</v>
      </c>
      <c r="BO2665" s="127" t="e">
        <v>#N/A</v>
      </c>
      <c r="BP2665" s="151" t="e">
        <v>#N/A</v>
      </c>
      <c r="BQ2665">
        <v>0.11332468572476186</v>
      </c>
      <c r="BR2665" t="str">
        <v/>
      </c>
    </row>
    <row r="2666" spans="47:70" x14ac:dyDescent="0.2">
      <c r="AU2666"/>
      <c r="AV2666"/>
      <c r="AW2666"/>
      <c r="AX2666"/>
      <c r="AY2666"/>
      <c r="BK2666" s="42">
        <v>2665</v>
      </c>
      <c r="BL2666" s="127">
        <v>4</v>
      </c>
      <c r="BM2666" s="127">
        <v>0.11332468572476186</v>
      </c>
      <c r="BN2666" s="127" t="e">
        <v>#N/A</v>
      </c>
      <c r="BO2666" s="127" t="e">
        <v>#N/A</v>
      </c>
      <c r="BP2666" s="151" t="e">
        <v>#N/A</v>
      </c>
      <c r="BQ2666">
        <v>0.11332468572476186</v>
      </c>
      <c r="BR2666" t="str">
        <v/>
      </c>
    </row>
    <row r="2667" spans="47:70" x14ac:dyDescent="0.2">
      <c r="AU2667"/>
      <c r="AV2667"/>
      <c r="AW2667"/>
      <c r="AX2667"/>
      <c r="AY2667"/>
      <c r="BK2667" s="42">
        <v>2666</v>
      </c>
      <c r="BL2667" s="127">
        <v>4</v>
      </c>
      <c r="BM2667" s="127">
        <v>0.11332468572476186</v>
      </c>
      <c r="BN2667" s="127" t="e">
        <v>#N/A</v>
      </c>
      <c r="BO2667" s="127" t="e">
        <v>#N/A</v>
      </c>
      <c r="BP2667" s="151" t="e">
        <v>#N/A</v>
      </c>
      <c r="BQ2667">
        <v>0.11332468572476186</v>
      </c>
      <c r="BR2667" t="str">
        <v/>
      </c>
    </row>
    <row r="2668" spans="47:70" x14ac:dyDescent="0.2">
      <c r="AU2668"/>
      <c r="AV2668"/>
      <c r="AW2668"/>
      <c r="AX2668"/>
      <c r="AY2668"/>
      <c r="BK2668" s="42">
        <v>2667</v>
      </c>
      <c r="BL2668" s="127">
        <v>4</v>
      </c>
      <c r="BM2668" s="127">
        <v>0.11332468572476186</v>
      </c>
      <c r="BN2668" s="127" t="e">
        <v>#N/A</v>
      </c>
      <c r="BO2668" s="127" t="e">
        <v>#N/A</v>
      </c>
      <c r="BP2668" s="151" t="e">
        <v>#N/A</v>
      </c>
      <c r="BQ2668">
        <v>0.11332468572476186</v>
      </c>
      <c r="BR2668" t="str">
        <v/>
      </c>
    </row>
    <row r="2669" spans="47:70" x14ac:dyDescent="0.2">
      <c r="AU2669"/>
      <c r="AV2669"/>
      <c r="AW2669"/>
      <c r="AX2669"/>
      <c r="AY2669"/>
      <c r="BK2669" s="42">
        <v>2668</v>
      </c>
      <c r="BL2669" s="127">
        <v>4</v>
      </c>
      <c r="BM2669" s="127">
        <v>0.11332468572476186</v>
      </c>
      <c r="BN2669" s="127" t="e">
        <v>#N/A</v>
      </c>
      <c r="BO2669" s="127" t="e">
        <v>#N/A</v>
      </c>
      <c r="BP2669" s="151" t="e">
        <v>#N/A</v>
      </c>
      <c r="BQ2669">
        <v>0.11332468572476186</v>
      </c>
      <c r="BR2669" t="str">
        <v/>
      </c>
    </row>
    <row r="2670" spans="47:70" x14ac:dyDescent="0.2">
      <c r="AU2670"/>
      <c r="AV2670"/>
      <c r="AW2670"/>
      <c r="AX2670"/>
      <c r="AY2670"/>
      <c r="BK2670" s="42">
        <v>2669</v>
      </c>
      <c r="BL2670" s="127">
        <v>4</v>
      </c>
      <c r="BM2670" s="127">
        <v>0.11332468572476186</v>
      </c>
      <c r="BN2670" s="127" t="e">
        <v>#N/A</v>
      </c>
      <c r="BO2670" s="127" t="e">
        <v>#N/A</v>
      </c>
      <c r="BP2670" s="151" t="e">
        <v>#N/A</v>
      </c>
      <c r="BQ2670">
        <v>0.11332468572476186</v>
      </c>
      <c r="BR2670" t="str">
        <v/>
      </c>
    </row>
    <row r="2671" spans="47:70" x14ac:dyDescent="0.2">
      <c r="AU2671"/>
      <c r="AV2671"/>
      <c r="AW2671"/>
      <c r="AX2671"/>
      <c r="AY2671"/>
      <c r="BK2671" s="42">
        <v>2670</v>
      </c>
      <c r="BL2671" s="127">
        <v>4</v>
      </c>
      <c r="BM2671" s="127">
        <v>0.11332468572476186</v>
      </c>
      <c r="BN2671" s="127" t="e">
        <v>#N/A</v>
      </c>
      <c r="BO2671" s="127" t="e">
        <v>#N/A</v>
      </c>
      <c r="BP2671" s="151" t="e">
        <v>#N/A</v>
      </c>
      <c r="BQ2671">
        <v>0.11332468572476186</v>
      </c>
      <c r="BR2671" t="str">
        <v/>
      </c>
    </row>
    <row r="2672" spans="47:70" x14ac:dyDescent="0.2">
      <c r="AU2672"/>
      <c r="AV2672"/>
      <c r="AW2672"/>
      <c r="AX2672"/>
      <c r="AY2672"/>
      <c r="BK2672" s="42">
        <v>2671</v>
      </c>
      <c r="BL2672" s="127">
        <v>4</v>
      </c>
      <c r="BM2672" s="127">
        <v>0.11332468572476186</v>
      </c>
      <c r="BN2672" s="127" t="e">
        <v>#N/A</v>
      </c>
      <c r="BO2672" s="127" t="e">
        <v>#N/A</v>
      </c>
      <c r="BP2672" s="151" t="e">
        <v>#N/A</v>
      </c>
      <c r="BQ2672">
        <v>0.11332468572476186</v>
      </c>
      <c r="BR2672" t="str">
        <v/>
      </c>
    </row>
    <row r="2673" spans="47:70" x14ac:dyDescent="0.2">
      <c r="AU2673"/>
      <c r="AV2673"/>
      <c r="AW2673"/>
      <c r="AX2673"/>
      <c r="AY2673"/>
      <c r="BK2673" s="42">
        <v>2672</v>
      </c>
      <c r="BL2673" s="127">
        <v>4</v>
      </c>
      <c r="BM2673" s="127">
        <v>0.11332468572476186</v>
      </c>
      <c r="BN2673" s="127" t="e">
        <v>#N/A</v>
      </c>
      <c r="BO2673" s="127" t="e">
        <v>#N/A</v>
      </c>
      <c r="BP2673" s="151" t="e">
        <v>#N/A</v>
      </c>
      <c r="BQ2673">
        <v>0.11332468572476186</v>
      </c>
      <c r="BR2673" t="str">
        <v/>
      </c>
    </row>
    <row r="2674" spans="47:70" x14ac:dyDescent="0.2">
      <c r="AU2674"/>
      <c r="AV2674"/>
      <c r="AW2674"/>
      <c r="AX2674"/>
      <c r="AY2674"/>
      <c r="BK2674" s="42">
        <v>2673</v>
      </c>
      <c r="BL2674" s="127">
        <v>4</v>
      </c>
      <c r="BM2674" s="127">
        <v>0.11332468572476186</v>
      </c>
      <c r="BN2674" s="127" t="e">
        <v>#N/A</v>
      </c>
      <c r="BO2674" s="127" t="e">
        <v>#N/A</v>
      </c>
      <c r="BP2674" s="151" t="e">
        <v>#N/A</v>
      </c>
      <c r="BQ2674">
        <v>0.11332468572476186</v>
      </c>
      <c r="BR2674" t="str">
        <v/>
      </c>
    </row>
    <row r="2675" spans="47:70" x14ac:dyDescent="0.2">
      <c r="AU2675"/>
      <c r="AV2675"/>
      <c r="AW2675"/>
      <c r="AX2675"/>
      <c r="AY2675"/>
      <c r="BK2675" s="42">
        <v>2674</v>
      </c>
      <c r="BL2675" s="127">
        <v>4</v>
      </c>
      <c r="BM2675" s="127">
        <v>0.11332468572476186</v>
      </c>
      <c r="BN2675" s="127" t="e">
        <v>#N/A</v>
      </c>
      <c r="BO2675" s="127" t="e">
        <v>#N/A</v>
      </c>
      <c r="BP2675" s="151" t="e">
        <v>#N/A</v>
      </c>
      <c r="BQ2675">
        <v>0.11332468572476186</v>
      </c>
      <c r="BR2675" t="str">
        <v/>
      </c>
    </row>
    <row r="2676" spans="47:70" x14ac:dyDescent="0.2">
      <c r="AU2676"/>
      <c r="AV2676"/>
      <c r="AW2676"/>
      <c r="AX2676"/>
      <c r="AY2676"/>
      <c r="BK2676" s="42">
        <v>2675</v>
      </c>
      <c r="BL2676" s="127">
        <v>4</v>
      </c>
      <c r="BM2676" s="127">
        <v>0.11332468572476186</v>
      </c>
      <c r="BN2676" s="127" t="e">
        <v>#N/A</v>
      </c>
      <c r="BO2676" s="127" t="e">
        <v>#N/A</v>
      </c>
      <c r="BP2676" s="151" t="e">
        <v>#N/A</v>
      </c>
      <c r="BQ2676">
        <v>0.11332468572476186</v>
      </c>
      <c r="BR2676" t="str">
        <v/>
      </c>
    </row>
    <row r="2677" spans="47:70" x14ac:dyDescent="0.2">
      <c r="AU2677"/>
      <c r="AV2677"/>
      <c r="AW2677"/>
      <c r="AX2677"/>
      <c r="AY2677"/>
      <c r="BK2677" s="42">
        <v>2676</v>
      </c>
      <c r="BL2677" s="127">
        <v>4</v>
      </c>
      <c r="BM2677" s="127">
        <v>0.11332468572476186</v>
      </c>
      <c r="BN2677" s="127" t="e">
        <v>#N/A</v>
      </c>
      <c r="BO2677" s="127" t="e">
        <v>#N/A</v>
      </c>
      <c r="BP2677" s="151" t="e">
        <v>#N/A</v>
      </c>
      <c r="BQ2677">
        <v>0.11332468572476186</v>
      </c>
      <c r="BR2677" t="str">
        <v/>
      </c>
    </row>
    <row r="2678" spans="47:70" x14ac:dyDescent="0.2">
      <c r="AU2678"/>
      <c r="AV2678"/>
      <c r="AW2678"/>
      <c r="AX2678"/>
      <c r="AY2678"/>
      <c r="BK2678" s="42">
        <v>2677</v>
      </c>
      <c r="BL2678" s="127">
        <v>4</v>
      </c>
      <c r="BM2678" s="127">
        <v>0.11332468572476186</v>
      </c>
      <c r="BN2678" s="127" t="e">
        <v>#N/A</v>
      </c>
      <c r="BO2678" s="127" t="e">
        <v>#N/A</v>
      </c>
      <c r="BP2678" s="151" t="e">
        <v>#N/A</v>
      </c>
      <c r="BQ2678">
        <v>0.11332468572476186</v>
      </c>
      <c r="BR2678" t="str">
        <v/>
      </c>
    </row>
    <row r="2679" spans="47:70" x14ac:dyDescent="0.2">
      <c r="AU2679"/>
      <c r="AV2679"/>
      <c r="AW2679"/>
      <c r="AX2679"/>
      <c r="AY2679"/>
      <c r="BK2679" s="42">
        <v>2678</v>
      </c>
      <c r="BL2679" s="127">
        <v>4</v>
      </c>
      <c r="BM2679" s="127">
        <v>0.11332468572476186</v>
      </c>
      <c r="BN2679" s="127" t="e">
        <v>#N/A</v>
      </c>
      <c r="BO2679" s="127" t="e">
        <v>#N/A</v>
      </c>
      <c r="BP2679" s="151" t="e">
        <v>#N/A</v>
      </c>
      <c r="BQ2679">
        <v>0.11332468572476186</v>
      </c>
      <c r="BR2679" t="str">
        <v/>
      </c>
    </row>
    <row r="2680" spans="47:70" x14ac:dyDescent="0.2">
      <c r="AU2680"/>
      <c r="AV2680"/>
      <c r="AW2680"/>
      <c r="AX2680"/>
      <c r="AY2680"/>
      <c r="BK2680" s="42">
        <v>2679</v>
      </c>
      <c r="BL2680" s="127">
        <v>4</v>
      </c>
      <c r="BM2680" s="127">
        <v>0.11332468572476186</v>
      </c>
      <c r="BN2680" s="127" t="e">
        <v>#N/A</v>
      </c>
      <c r="BO2680" s="127" t="e">
        <v>#N/A</v>
      </c>
      <c r="BP2680" s="151" t="e">
        <v>#N/A</v>
      </c>
      <c r="BQ2680">
        <v>0.11332468572476186</v>
      </c>
      <c r="BR2680" t="str">
        <v/>
      </c>
    </row>
    <row r="2681" spans="47:70" x14ac:dyDescent="0.2">
      <c r="AU2681"/>
      <c r="AV2681"/>
      <c r="AW2681"/>
      <c r="AX2681"/>
      <c r="AY2681"/>
      <c r="BK2681" s="42">
        <v>2680</v>
      </c>
      <c r="BL2681" s="127">
        <v>4</v>
      </c>
      <c r="BM2681" s="127">
        <v>0.11332468572476186</v>
      </c>
      <c r="BN2681" s="127" t="e">
        <v>#N/A</v>
      </c>
      <c r="BO2681" s="127" t="e">
        <v>#N/A</v>
      </c>
      <c r="BP2681" s="151" t="e">
        <v>#N/A</v>
      </c>
      <c r="BQ2681">
        <v>0.11332468572476186</v>
      </c>
      <c r="BR2681" t="str">
        <v/>
      </c>
    </row>
    <row r="2682" spans="47:70" x14ac:dyDescent="0.2">
      <c r="AU2682"/>
      <c r="AV2682"/>
      <c r="AW2682"/>
      <c r="AX2682"/>
      <c r="AY2682"/>
      <c r="BK2682" s="42">
        <v>2681</v>
      </c>
      <c r="BL2682" s="127">
        <v>4</v>
      </c>
      <c r="BM2682" s="127">
        <v>0.11332468572476186</v>
      </c>
      <c r="BN2682" s="127" t="e">
        <v>#N/A</v>
      </c>
      <c r="BO2682" s="127" t="e">
        <v>#N/A</v>
      </c>
      <c r="BP2682" s="151" t="e">
        <v>#N/A</v>
      </c>
      <c r="BQ2682">
        <v>0.11332468572476186</v>
      </c>
      <c r="BR2682" t="str">
        <v/>
      </c>
    </row>
    <row r="2683" spans="47:70" x14ac:dyDescent="0.2">
      <c r="AU2683"/>
      <c r="AV2683"/>
      <c r="AW2683"/>
      <c r="AX2683"/>
      <c r="AY2683"/>
      <c r="BK2683" s="42">
        <v>2682</v>
      </c>
      <c r="BL2683" s="127">
        <v>4</v>
      </c>
      <c r="BM2683" s="127">
        <v>0.11332468572476186</v>
      </c>
      <c r="BN2683" s="127" t="e">
        <v>#N/A</v>
      </c>
      <c r="BO2683" s="127" t="e">
        <v>#N/A</v>
      </c>
      <c r="BP2683" s="151" t="e">
        <v>#N/A</v>
      </c>
      <c r="BQ2683">
        <v>0.11332468572476186</v>
      </c>
      <c r="BR2683" t="str">
        <v/>
      </c>
    </row>
    <row r="2684" spans="47:70" x14ac:dyDescent="0.2">
      <c r="AU2684"/>
      <c r="AV2684"/>
      <c r="AW2684"/>
      <c r="AX2684"/>
      <c r="AY2684"/>
      <c r="BK2684" s="42">
        <v>2683</v>
      </c>
      <c r="BL2684" s="127">
        <v>4</v>
      </c>
      <c r="BM2684" s="127">
        <v>0.11332468572476186</v>
      </c>
      <c r="BN2684" s="127" t="e">
        <v>#N/A</v>
      </c>
      <c r="BO2684" s="127" t="e">
        <v>#N/A</v>
      </c>
      <c r="BP2684" s="151" t="e">
        <v>#N/A</v>
      </c>
      <c r="BQ2684">
        <v>0.11332468572476186</v>
      </c>
      <c r="BR2684" t="str">
        <v/>
      </c>
    </row>
    <row r="2685" spans="47:70" x14ac:dyDescent="0.2">
      <c r="AU2685"/>
      <c r="AV2685"/>
      <c r="AW2685"/>
      <c r="AX2685"/>
      <c r="AY2685"/>
      <c r="BK2685" s="42">
        <v>2684</v>
      </c>
      <c r="BL2685" s="127">
        <v>4</v>
      </c>
      <c r="BM2685" s="127">
        <v>0.11332468572476186</v>
      </c>
      <c r="BN2685" s="127" t="e">
        <v>#N/A</v>
      </c>
      <c r="BO2685" s="127" t="e">
        <v>#N/A</v>
      </c>
      <c r="BP2685" s="151" t="e">
        <v>#N/A</v>
      </c>
      <c r="BQ2685">
        <v>0.11332468572476186</v>
      </c>
      <c r="BR2685" t="str">
        <v/>
      </c>
    </row>
    <row r="2686" spans="47:70" x14ac:dyDescent="0.2">
      <c r="AU2686"/>
      <c r="AV2686"/>
      <c r="AW2686"/>
      <c r="AX2686"/>
      <c r="AY2686"/>
      <c r="BK2686" s="42">
        <v>2685</v>
      </c>
      <c r="BL2686" s="127">
        <v>4</v>
      </c>
      <c r="BM2686" s="127">
        <v>0.11332468572476186</v>
      </c>
      <c r="BN2686" s="127" t="e">
        <v>#N/A</v>
      </c>
      <c r="BO2686" s="127" t="e">
        <v>#N/A</v>
      </c>
      <c r="BP2686" s="151" t="e">
        <v>#N/A</v>
      </c>
      <c r="BQ2686">
        <v>0.11332468572476186</v>
      </c>
      <c r="BR2686" t="str">
        <v/>
      </c>
    </row>
    <row r="2687" spans="47:70" x14ac:dyDescent="0.2">
      <c r="AU2687"/>
      <c r="AV2687"/>
      <c r="AW2687"/>
      <c r="AX2687"/>
      <c r="AY2687"/>
      <c r="BK2687" s="42">
        <v>2686</v>
      </c>
      <c r="BL2687" s="127">
        <v>4</v>
      </c>
      <c r="BM2687" s="127">
        <v>0.11332468572476186</v>
      </c>
      <c r="BN2687" s="127" t="e">
        <v>#N/A</v>
      </c>
      <c r="BO2687" s="127" t="e">
        <v>#N/A</v>
      </c>
      <c r="BP2687" s="151" t="e">
        <v>#N/A</v>
      </c>
      <c r="BQ2687">
        <v>0.11332468572476186</v>
      </c>
      <c r="BR2687" t="str">
        <v/>
      </c>
    </row>
    <row r="2688" spans="47:70" x14ac:dyDescent="0.2">
      <c r="AU2688"/>
      <c r="AV2688"/>
      <c r="AW2688"/>
      <c r="AX2688"/>
      <c r="AY2688"/>
      <c r="BK2688" s="42">
        <v>2687</v>
      </c>
      <c r="BL2688" s="127">
        <v>4</v>
      </c>
      <c r="BM2688" s="127">
        <v>0.11332468572476186</v>
      </c>
      <c r="BN2688" s="127" t="e">
        <v>#N/A</v>
      </c>
      <c r="BO2688" s="127" t="e">
        <v>#N/A</v>
      </c>
      <c r="BP2688" s="151" t="e">
        <v>#N/A</v>
      </c>
      <c r="BQ2688">
        <v>0.11332468572476186</v>
      </c>
      <c r="BR2688" t="str">
        <v/>
      </c>
    </row>
    <row r="2689" spans="47:70" x14ac:dyDescent="0.2">
      <c r="AU2689"/>
      <c r="AV2689"/>
      <c r="AW2689"/>
      <c r="AX2689"/>
      <c r="AY2689"/>
      <c r="BK2689" s="42">
        <v>2688</v>
      </c>
      <c r="BL2689" s="127">
        <v>4</v>
      </c>
      <c r="BM2689" s="127">
        <v>0.11332468572476186</v>
      </c>
      <c r="BN2689" s="127" t="e">
        <v>#N/A</v>
      </c>
      <c r="BO2689" s="127" t="e">
        <v>#N/A</v>
      </c>
      <c r="BP2689" s="151" t="e">
        <v>#N/A</v>
      </c>
      <c r="BQ2689">
        <v>0.11332468572476186</v>
      </c>
      <c r="BR2689" t="str">
        <v/>
      </c>
    </row>
    <row r="2690" spans="47:70" x14ac:dyDescent="0.2">
      <c r="AU2690"/>
      <c r="AV2690"/>
      <c r="AW2690"/>
      <c r="AX2690"/>
      <c r="AY2690"/>
      <c r="BK2690" s="42">
        <v>2689</v>
      </c>
      <c r="BL2690" s="127">
        <v>4</v>
      </c>
      <c r="BM2690" s="127">
        <v>0.11332468572476186</v>
      </c>
      <c r="BN2690" s="127" t="e">
        <v>#N/A</v>
      </c>
      <c r="BO2690" s="127" t="e">
        <v>#N/A</v>
      </c>
      <c r="BP2690" s="151" t="e">
        <v>#N/A</v>
      </c>
      <c r="BQ2690">
        <v>0.11332468572476186</v>
      </c>
      <c r="BR2690" t="str">
        <v/>
      </c>
    </row>
    <row r="2691" spans="47:70" x14ac:dyDescent="0.2">
      <c r="AU2691"/>
      <c r="AV2691"/>
      <c r="AW2691"/>
      <c r="AX2691"/>
      <c r="AY2691"/>
      <c r="BK2691" s="42">
        <v>2690</v>
      </c>
      <c r="BL2691" s="127">
        <v>4</v>
      </c>
      <c r="BM2691" s="127">
        <v>0.11332468572476186</v>
      </c>
      <c r="BN2691" s="127" t="e">
        <v>#N/A</v>
      </c>
      <c r="BO2691" s="127" t="e">
        <v>#N/A</v>
      </c>
      <c r="BP2691" s="151" t="e">
        <v>#N/A</v>
      </c>
      <c r="BQ2691">
        <v>0.11332468572476186</v>
      </c>
      <c r="BR2691" t="str">
        <v/>
      </c>
    </row>
    <row r="2692" spans="47:70" x14ac:dyDescent="0.2">
      <c r="AU2692"/>
      <c r="AV2692"/>
      <c r="AW2692"/>
      <c r="AX2692"/>
      <c r="AY2692"/>
      <c r="BK2692" s="42">
        <v>2691</v>
      </c>
      <c r="BL2692" s="127">
        <v>4</v>
      </c>
      <c r="BM2692" s="127">
        <v>0.11332468572476186</v>
      </c>
      <c r="BN2692" s="127" t="e">
        <v>#N/A</v>
      </c>
      <c r="BO2692" s="127" t="e">
        <v>#N/A</v>
      </c>
      <c r="BP2692" s="151" t="e">
        <v>#N/A</v>
      </c>
      <c r="BQ2692">
        <v>0.11332468572476186</v>
      </c>
      <c r="BR2692" t="str">
        <v/>
      </c>
    </row>
    <row r="2693" spans="47:70" x14ac:dyDescent="0.2">
      <c r="AU2693"/>
      <c r="AV2693"/>
      <c r="AW2693"/>
      <c r="AX2693"/>
      <c r="AY2693"/>
      <c r="BK2693" s="42">
        <v>2692</v>
      </c>
      <c r="BL2693" s="127">
        <v>4</v>
      </c>
      <c r="BM2693" s="127">
        <v>0.11332468572476186</v>
      </c>
      <c r="BN2693" s="127" t="e">
        <v>#N/A</v>
      </c>
      <c r="BO2693" s="127" t="e">
        <v>#N/A</v>
      </c>
      <c r="BP2693" s="151" t="e">
        <v>#N/A</v>
      </c>
      <c r="BQ2693">
        <v>0.11332468572476186</v>
      </c>
      <c r="BR2693" t="str">
        <v/>
      </c>
    </row>
    <row r="2694" spans="47:70" x14ac:dyDescent="0.2">
      <c r="AU2694"/>
      <c r="AV2694"/>
      <c r="AW2694"/>
      <c r="AX2694"/>
      <c r="AY2694"/>
      <c r="BK2694" s="42">
        <v>2693</v>
      </c>
      <c r="BL2694" s="127">
        <v>4</v>
      </c>
      <c r="BM2694" s="127">
        <v>0.11332468572476186</v>
      </c>
      <c r="BN2694" s="127" t="e">
        <v>#N/A</v>
      </c>
      <c r="BO2694" s="127" t="e">
        <v>#N/A</v>
      </c>
      <c r="BP2694" s="151" t="e">
        <v>#N/A</v>
      </c>
      <c r="BQ2694">
        <v>0.11332468572476186</v>
      </c>
      <c r="BR2694" t="str">
        <v/>
      </c>
    </row>
    <row r="2695" spans="47:70" x14ac:dyDescent="0.2">
      <c r="AU2695"/>
      <c r="AV2695"/>
      <c r="AW2695"/>
      <c r="AX2695"/>
      <c r="AY2695"/>
      <c r="BK2695" s="42">
        <v>2694</v>
      </c>
      <c r="BL2695" s="127">
        <v>4</v>
      </c>
      <c r="BM2695" s="127">
        <v>0.11332468572476186</v>
      </c>
      <c r="BN2695" s="127" t="e">
        <v>#N/A</v>
      </c>
      <c r="BO2695" s="127" t="e">
        <v>#N/A</v>
      </c>
      <c r="BP2695" s="151" t="e">
        <v>#N/A</v>
      </c>
      <c r="BQ2695">
        <v>0.11332468572476186</v>
      </c>
      <c r="BR2695" t="str">
        <v/>
      </c>
    </row>
    <row r="2696" spans="47:70" x14ac:dyDescent="0.2">
      <c r="AU2696"/>
      <c r="AV2696"/>
      <c r="AW2696"/>
      <c r="AX2696"/>
      <c r="AY2696"/>
      <c r="BK2696" s="42">
        <v>2695</v>
      </c>
      <c r="BL2696" s="127">
        <v>4</v>
      </c>
      <c r="BM2696" s="127">
        <v>0.11332468572476186</v>
      </c>
      <c r="BN2696" s="127" t="e">
        <v>#N/A</v>
      </c>
      <c r="BO2696" s="127" t="e">
        <v>#N/A</v>
      </c>
      <c r="BP2696" s="151" t="e">
        <v>#N/A</v>
      </c>
      <c r="BQ2696">
        <v>0.11332468572476186</v>
      </c>
      <c r="BR2696" t="str">
        <v/>
      </c>
    </row>
    <row r="2697" spans="47:70" x14ac:dyDescent="0.2">
      <c r="AU2697"/>
      <c r="AV2697"/>
      <c r="AW2697"/>
      <c r="AX2697"/>
      <c r="AY2697"/>
      <c r="BK2697" s="42">
        <v>2696</v>
      </c>
      <c r="BL2697" s="127">
        <v>4</v>
      </c>
      <c r="BM2697" s="127">
        <v>0.11332468572476186</v>
      </c>
      <c r="BN2697" s="127" t="e">
        <v>#N/A</v>
      </c>
      <c r="BO2697" s="127" t="e">
        <v>#N/A</v>
      </c>
      <c r="BP2697" s="151" t="e">
        <v>#N/A</v>
      </c>
      <c r="BQ2697">
        <v>0.11332468572476186</v>
      </c>
      <c r="BR2697" t="str">
        <v/>
      </c>
    </row>
    <row r="2698" spans="47:70" x14ac:dyDescent="0.2">
      <c r="AU2698"/>
      <c r="AV2698"/>
      <c r="AW2698"/>
      <c r="AX2698"/>
      <c r="AY2698"/>
      <c r="BK2698" s="42">
        <v>2697</v>
      </c>
      <c r="BL2698" s="127">
        <v>4</v>
      </c>
      <c r="BM2698" s="127">
        <v>0.11332468572476186</v>
      </c>
      <c r="BN2698" s="127" t="e">
        <v>#N/A</v>
      </c>
      <c r="BO2698" s="127" t="e">
        <v>#N/A</v>
      </c>
      <c r="BP2698" s="151" t="e">
        <v>#N/A</v>
      </c>
      <c r="BQ2698">
        <v>0.11332468572476186</v>
      </c>
      <c r="BR2698" t="str">
        <v/>
      </c>
    </row>
    <row r="2699" spans="47:70" x14ac:dyDescent="0.2">
      <c r="AU2699"/>
      <c r="AV2699"/>
      <c r="AW2699"/>
      <c r="AX2699"/>
      <c r="AY2699"/>
      <c r="BK2699" s="42">
        <v>2698</v>
      </c>
      <c r="BL2699" s="127">
        <v>4</v>
      </c>
      <c r="BM2699" s="127">
        <v>0.11332468572476186</v>
      </c>
      <c r="BN2699" s="127" t="e">
        <v>#N/A</v>
      </c>
      <c r="BO2699" s="127" t="e">
        <v>#N/A</v>
      </c>
      <c r="BP2699" s="151" t="e">
        <v>#N/A</v>
      </c>
      <c r="BQ2699">
        <v>0.11332468572476186</v>
      </c>
      <c r="BR2699" t="str">
        <v/>
      </c>
    </row>
    <row r="2700" spans="47:70" x14ac:dyDescent="0.2">
      <c r="AU2700"/>
      <c r="AV2700"/>
      <c r="AW2700"/>
      <c r="AX2700"/>
      <c r="AY2700"/>
      <c r="BK2700" s="42">
        <v>2699</v>
      </c>
      <c r="BL2700" s="127">
        <v>4</v>
      </c>
      <c r="BM2700" s="127">
        <v>0.11332468572476186</v>
      </c>
      <c r="BN2700" s="127" t="e">
        <v>#N/A</v>
      </c>
      <c r="BO2700" s="127" t="e">
        <v>#N/A</v>
      </c>
      <c r="BP2700" s="151" t="e">
        <v>#N/A</v>
      </c>
      <c r="BQ2700">
        <v>0.11332468572476186</v>
      </c>
      <c r="BR2700" t="str">
        <v/>
      </c>
    </row>
    <row r="2701" spans="47:70" x14ac:dyDescent="0.2">
      <c r="AU2701"/>
      <c r="AV2701"/>
      <c r="AW2701"/>
      <c r="AX2701"/>
      <c r="AY2701"/>
      <c r="BK2701" s="42">
        <v>2700</v>
      </c>
      <c r="BL2701" s="127">
        <v>4</v>
      </c>
      <c r="BM2701" s="127">
        <v>0.11332468572476186</v>
      </c>
      <c r="BN2701" s="127" t="e">
        <v>#N/A</v>
      </c>
      <c r="BO2701" s="127" t="e">
        <v>#N/A</v>
      </c>
      <c r="BP2701" s="151" t="e">
        <v>#N/A</v>
      </c>
      <c r="BQ2701">
        <v>0.11332468572476186</v>
      </c>
      <c r="BR2701" t="str">
        <v/>
      </c>
    </row>
    <row r="2702" spans="47:70" x14ac:dyDescent="0.2">
      <c r="AU2702"/>
      <c r="AV2702"/>
      <c r="AW2702"/>
      <c r="AX2702"/>
      <c r="AY2702"/>
      <c r="BK2702" s="42">
        <v>2701</v>
      </c>
      <c r="BL2702" s="127">
        <v>4</v>
      </c>
      <c r="BM2702" s="127">
        <v>0.11332468572476186</v>
      </c>
      <c r="BN2702" s="127" t="e">
        <v>#N/A</v>
      </c>
      <c r="BO2702" s="127" t="e">
        <v>#N/A</v>
      </c>
      <c r="BP2702" s="151" t="e">
        <v>#N/A</v>
      </c>
      <c r="BQ2702">
        <v>0.11332468572476186</v>
      </c>
      <c r="BR2702" t="str">
        <v/>
      </c>
    </row>
    <row r="2703" spans="47:70" x14ac:dyDescent="0.2">
      <c r="AU2703"/>
      <c r="AV2703"/>
      <c r="AW2703"/>
      <c r="AX2703"/>
      <c r="AY2703"/>
      <c r="BK2703" s="42">
        <v>2702</v>
      </c>
      <c r="BL2703" s="127">
        <v>4</v>
      </c>
      <c r="BM2703" s="127">
        <v>0.11332468572476186</v>
      </c>
      <c r="BN2703" s="127" t="e">
        <v>#N/A</v>
      </c>
      <c r="BO2703" s="127" t="e">
        <v>#N/A</v>
      </c>
      <c r="BP2703" s="151" t="e">
        <v>#N/A</v>
      </c>
      <c r="BQ2703">
        <v>0.11332468572476186</v>
      </c>
      <c r="BR2703" t="str">
        <v/>
      </c>
    </row>
    <row r="2704" spans="47:70" x14ac:dyDescent="0.2">
      <c r="AU2704"/>
      <c r="AV2704"/>
      <c r="AW2704"/>
      <c r="AX2704"/>
      <c r="AY2704"/>
      <c r="BK2704" s="42">
        <v>2703</v>
      </c>
      <c r="BL2704" s="127">
        <v>4</v>
      </c>
      <c r="BM2704" s="127">
        <v>0.11332468572476186</v>
      </c>
      <c r="BN2704" s="127" t="e">
        <v>#N/A</v>
      </c>
      <c r="BO2704" s="127" t="e">
        <v>#N/A</v>
      </c>
      <c r="BP2704" s="151" t="e">
        <v>#N/A</v>
      </c>
      <c r="BQ2704">
        <v>0.11332468572476186</v>
      </c>
      <c r="BR2704" t="str">
        <v/>
      </c>
    </row>
    <row r="2705" spans="47:70" x14ac:dyDescent="0.2">
      <c r="AU2705"/>
      <c r="AV2705"/>
      <c r="AW2705"/>
      <c r="AX2705"/>
      <c r="AY2705"/>
      <c r="BK2705" s="42">
        <v>2704</v>
      </c>
      <c r="BL2705" s="127">
        <v>4</v>
      </c>
      <c r="BM2705" s="127">
        <v>0.11332468572476186</v>
      </c>
      <c r="BN2705" s="127" t="e">
        <v>#N/A</v>
      </c>
      <c r="BO2705" s="127" t="e">
        <v>#N/A</v>
      </c>
      <c r="BP2705" s="151" t="e">
        <v>#N/A</v>
      </c>
      <c r="BQ2705">
        <v>0.11332468572476186</v>
      </c>
      <c r="BR2705" t="str">
        <v/>
      </c>
    </row>
    <row r="2706" spans="47:70" x14ac:dyDescent="0.2">
      <c r="AU2706"/>
      <c r="AV2706"/>
      <c r="AW2706"/>
      <c r="AX2706"/>
      <c r="AY2706"/>
      <c r="BK2706" s="42">
        <v>2705</v>
      </c>
      <c r="BL2706" s="127">
        <v>4</v>
      </c>
      <c r="BM2706" s="127">
        <v>0.11332468572476186</v>
      </c>
      <c r="BN2706" s="127" t="e">
        <v>#N/A</v>
      </c>
      <c r="BO2706" s="127" t="e">
        <v>#N/A</v>
      </c>
      <c r="BP2706" s="151" t="e">
        <v>#N/A</v>
      </c>
      <c r="BQ2706">
        <v>0.11332468572476186</v>
      </c>
      <c r="BR2706" t="str">
        <v/>
      </c>
    </row>
    <row r="2707" spans="47:70" x14ac:dyDescent="0.2">
      <c r="AU2707"/>
      <c r="AV2707"/>
      <c r="AW2707"/>
      <c r="AX2707"/>
      <c r="AY2707"/>
      <c r="BK2707" s="42">
        <v>2706</v>
      </c>
      <c r="BL2707" s="127">
        <v>4</v>
      </c>
      <c r="BM2707" s="127">
        <v>0.11332468572476186</v>
      </c>
      <c r="BN2707" s="127" t="e">
        <v>#N/A</v>
      </c>
      <c r="BO2707" s="127" t="e">
        <v>#N/A</v>
      </c>
      <c r="BP2707" s="151" t="e">
        <v>#N/A</v>
      </c>
      <c r="BQ2707">
        <v>0.11332468572476186</v>
      </c>
      <c r="BR2707" t="str">
        <v/>
      </c>
    </row>
    <row r="2708" spans="47:70" x14ac:dyDescent="0.2">
      <c r="AU2708"/>
      <c r="AV2708"/>
      <c r="AW2708"/>
      <c r="AX2708"/>
      <c r="AY2708"/>
      <c r="BK2708" s="42">
        <v>2707</v>
      </c>
      <c r="BL2708" s="127">
        <v>4</v>
      </c>
      <c r="BM2708" s="127">
        <v>0.11332468572476186</v>
      </c>
      <c r="BN2708" s="127" t="e">
        <v>#N/A</v>
      </c>
      <c r="BO2708" s="127" t="e">
        <v>#N/A</v>
      </c>
      <c r="BP2708" s="151" t="e">
        <v>#N/A</v>
      </c>
      <c r="BQ2708">
        <v>0.11332468572476186</v>
      </c>
      <c r="BR2708" t="str">
        <v/>
      </c>
    </row>
    <row r="2709" spans="47:70" x14ac:dyDescent="0.2">
      <c r="AU2709"/>
      <c r="AV2709"/>
      <c r="AW2709"/>
      <c r="AX2709"/>
      <c r="AY2709"/>
      <c r="BK2709" s="42">
        <v>2708</v>
      </c>
      <c r="BL2709" s="127">
        <v>4</v>
      </c>
      <c r="BM2709" s="127">
        <v>0.11332468572476186</v>
      </c>
      <c r="BN2709" s="127" t="e">
        <v>#N/A</v>
      </c>
      <c r="BO2709" s="127" t="e">
        <v>#N/A</v>
      </c>
      <c r="BP2709" s="151" t="e">
        <v>#N/A</v>
      </c>
      <c r="BQ2709">
        <v>0.11332468572476186</v>
      </c>
      <c r="BR2709" t="str">
        <v/>
      </c>
    </row>
    <row r="2710" spans="47:70" x14ac:dyDescent="0.2">
      <c r="AU2710"/>
      <c r="AV2710"/>
      <c r="AW2710"/>
      <c r="AX2710"/>
      <c r="AY2710"/>
      <c r="BK2710" s="42">
        <v>2709</v>
      </c>
      <c r="BL2710" s="127">
        <v>4</v>
      </c>
      <c r="BM2710" s="127">
        <v>0.11332468572476186</v>
      </c>
      <c r="BN2710" s="127" t="e">
        <v>#N/A</v>
      </c>
      <c r="BO2710" s="127" t="e">
        <v>#N/A</v>
      </c>
      <c r="BP2710" s="151" t="e">
        <v>#N/A</v>
      </c>
      <c r="BQ2710">
        <v>0.11332468572476186</v>
      </c>
      <c r="BR2710" t="str">
        <v/>
      </c>
    </row>
    <row r="2711" spans="47:70" x14ac:dyDescent="0.2">
      <c r="AU2711"/>
      <c r="AV2711"/>
      <c r="AW2711"/>
      <c r="AX2711"/>
      <c r="AY2711"/>
      <c r="BK2711" s="42">
        <v>2710</v>
      </c>
      <c r="BL2711" s="127">
        <v>4</v>
      </c>
      <c r="BM2711" s="127">
        <v>0.11332468572476186</v>
      </c>
      <c r="BN2711" s="127" t="e">
        <v>#N/A</v>
      </c>
      <c r="BO2711" s="127" t="e">
        <v>#N/A</v>
      </c>
      <c r="BP2711" s="151" t="e">
        <v>#N/A</v>
      </c>
      <c r="BQ2711">
        <v>0.11332468572476186</v>
      </c>
      <c r="BR2711" t="str">
        <v/>
      </c>
    </row>
    <row r="2712" spans="47:70" x14ac:dyDescent="0.2">
      <c r="AU2712"/>
      <c r="AV2712"/>
      <c r="AW2712"/>
      <c r="AX2712"/>
      <c r="AY2712"/>
      <c r="BK2712" s="42">
        <v>2711</v>
      </c>
      <c r="BL2712" s="127">
        <v>4</v>
      </c>
      <c r="BM2712" s="127">
        <v>0.11332468572476186</v>
      </c>
      <c r="BN2712" s="127" t="e">
        <v>#N/A</v>
      </c>
      <c r="BO2712" s="127" t="e">
        <v>#N/A</v>
      </c>
      <c r="BP2712" s="151" t="e">
        <v>#N/A</v>
      </c>
      <c r="BQ2712">
        <v>0.11332468572476186</v>
      </c>
      <c r="BR2712" t="str">
        <v/>
      </c>
    </row>
    <row r="2713" spans="47:70" x14ac:dyDescent="0.2">
      <c r="AU2713"/>
      <c r="AV2713"/>
      <c r="AW2713"/>
      <c r="AX2713"/>
      <c r="AY2713"/>
      <c r="BK2713" s="42">
        <v>2712</v>
      </c>
      <c r="BL2713" s="127">
        <v>4</v>
      </c>
      <c r="BM2713" s="127">
        <v>0.11332468572476186</v>
      </c>
      <c r="BN2713" s="127" t="e">
        <v>#N/A</v>
      </c>
      <c r="BO2713" s="127" t="e">
        <v>#N/A</v>
      </c>
      <c r="BP2713" s="151" t="e">
        <v>#N/A</v>
      </c>
      <c r="BQ2713">
        <v>0.11332468572476186</v>
      </c>
      <c r="BR2713" t="str">
        <v/>
      </c>
    </row>
    <row r="2714" spans="47:70" x14ac:dyDescent="0.2">
      <c r="AU2714"/>
      <c r="AV2714"/>
      <c r="AW2714"/>
      <c r="AX2714"/>
      <c r="AY2714"/>
      <c r="BK2714" s="42">
        <v>2713</v>
      </c>
      <c r="BL2714" s="127">
        <v>4</v>
      </c>
      <c r="BM2714" s="127">
        <v>0.11332468572476186</v>
      </c>
      <c r="BN2714" s="127" t="e">
        <v>#N/A</v>
      </c>
      <c r="BO2714" s="127" t="e">
        <v>#N/A</v>
      </c>
      <c r="BP2714" s="151" t="e">
        <v>#N/A</v>
      </c>
      <c r="BQ2714">
        <v>0.11332468572476186</v>
      </c>
      <c r="BR2714" t="str">
        <v/>
      </c>
    </row>
    <row r="2715" spans="47:70" x14ac:dyDescent="0.2">
      <c r="AU2715"/>
      <c r="AV2715"/>
      <c r="AW2715"/>
      <c r="AX2715"/>
      <c r="AY2715"/>
      <c r="BK2715" s="42">
        <v>2714</v>
      </c>
      <c r="BL2715" s="127">
        <v>4</v>
      </c>
      <c r="BM2715" s="127">
        <v>0.11332468572476186</v>
      </c>
      <c r="BN2715" s="127" t="e">
        <v>#N/A</v>
      </c>
      <c r="BO2715" s="127" t="e">
        <v>#N/A</v>
      </c>
      <c r="BP2715" s="151" t="e">
        <v>#N/A</v>
      </c>
      <c r="BQ2715">
        <v>0.11332468572476186</v>
      </c>
      <c r="BR2715" t="str">
        <v/>
      </c>
    </row>
    <row r="2716" spans="47:70" x14ac:dyDescent="0.2">
      <c r="AU2716"/>
      <c r="AV2716"/>
      <c r="AW2716"/>
      <c r="AX2716"/>
      <c r="AY2716"/>
      <c r="BK2716" s="42">
        <v>2715</v>
      </c>
      <c r="BL2716" s="127">
        <v>4</v>
      </c>
      <c r="BM2716" s="127">
        <v>0.11332468572476186</v>
      </c>
      <c r="BN2716" s="127" t="e">
        <v>#N/A</v>
      </c>
      <c r="BO2716" s="127" t="e">
        <v>#N/A</v>
      </c>
      <c r="BP2716" s="151" t="e">
        <v>#N/A</v>
      </c>
      <c r="BQ2716">
        <v>0.11332468572476186</v>
      </c>
      <c r="BR2716" t="str">
        <v/>
      </c>
    </row>
    <row r="2717" spans="47:70" x14ac:dyDescent="0.2">
      <c r="AU2717"/>
      <c r="AV2717"/>
      <c r="AW2717"/>
      <c r="AX2717"/>
      <c r="AY2717"/>
      <c r="BK2717" s="42">
        <v>2716</v>
      </c>
      <c r="BL2717" s="127">
        <v>4</v>
      </c>
      <c r="BM2717" s="127">
        <v>0.11332468572476186</v>
      </c>
      <c r="BN2717" s="127" t="e">
        <v>#N/A</v>
      </c>
      <c r="BO2717" s="127" t="e">
        <v>#N/A</v>
      </c>
      <c r="BP2717" s="151" t="e">
        <v>#N/A</v>
      </c>
      <c r="BQ2717">
        <v>0.11332468572476186</v>
      </c>
      <c r="BR2717" t="str">
        <v/>
      </c>
    </row>
    <row r="2718" spans="47:70" x14ac:dyDescent="0.2">
      <c r="AU2718"/>
      <c r="AV2718"/>
      <c r="AW2718"/>
      <c r="AX2718"/>
      <c r="AY2718"/>
      <c r="BK2718" s="42">
        <v>2717</v>
      </c>
      <c r="BL2718" s="127">
        <v>4</v>
      </c>
      <c r="BM2718" s="127">
        <v>0.11332468572476186</v>
      </c>
      <c r="BN2718" s="127" t="e">
        <v>#N/A</v>
      </c>
      <c r="BO2718" s="127" t="e">
        <v>#N/A</v>
      </c>
      <c r="BP2718" s="151" t="e">
        <v>#N/A</v>
      </c>
      <c r="BQ2718">
        <v>0.11332468572476186</v>
      </c>
      <c r="BR2718" t="str">
        <v/>
      </c>
    </row>
    <row r="2719" spans="47:70" x14ac:dyDescent="0.2">
      <c r="AU2719"/>
      <c r="AV2719"/>
      <c r="AW2719"/>
      <c r="AX2719"/>
      <c r="AY2719"/>
      <c r="BK2719" s="42">
        <v>2718</v>
      </c>
      <c r="BL2719" s="127">
        <v>4</v>
      </c>
      <c r="BM2719" s="127">
        <v>0.11332468572476186</v>
      </c>
      <c r="BN2719" s="127" t="e">
        <v>#N/A</v>
      </c>
      <c r="BO2719" s="127" t="e">
        <v>#N/A</v>
      </c>
      <c r="BP2719" s="151" t="e">
        <v>#N/A</v>
      </c>
      <c r="BQ2719">
        <v>0.11332468572476186</v>
      </c>
      <c r="BR2719" t="str">
        <v/>
      </c>
    </row>
    <row r="2720" spans="47:70" x14ac:dyDescent="0.2">
      <c r="AU2720"/>
      <c r="AV2720"/>
      <c r="AW2720"/>
      <c r="AX2720"/>
      <c r="AY2720"/>
      <c r="BK2720" s="42">
        <v>2719</v>
      </c>
      <c r="BL2720" s="127">
        <v>4</v>
      </c>
      <c r="BM2720" s="127">
        <v>0.11332468572476186</v>
      </c>
      <c r="BN2720" s="127" t="e">
        <v>#N/A</v>
      </c>
      <c r="BO2720" s="127" t="e">
        <v>#N/A</v>
      </c>
      <c r="BP2720" s="151" t="e">
        <v>#N/A</v>
      </c>
      <c r="BQ2720">
        <v>0.11332468572476186</v>
      </c>
      <c r="BR2720" t="str">
        <v/>
      </c>
    </row>
    <row r="2721" spans="47:70" x14ac:dyDescent="0.2">
      <c r="AU2721"/>
      <c r="AV2721"/>
      <c r="AW2721"/>
      <c r="AX2721"/>
      <c r="AY2721"/>
      <c r="BK2721" s="42">
        <v>2720</v>
      </c>
      <c r="BL2721" s="127">
        <v>4</v>
      </c>
      <c r="BM2721" s="127">
        <v>0.11332468572476186</v>
      </c>
      <c r="BN2721" s="127" t="e">
        <v>#N/A</v>
      </c>
      <c r="BO2721" s="127" t="e">
        <v>#N/A</v>
      </c>
      <c r="BP2721" s="151" t="e">
        <v>#N/A</v>
      </c>
      <c r="BQ2721">
        <v>0.11332468572476186</v>
      </c>
      <c r="BR2721" t="str">
        <v/>
      </c>
    </row>
    <row r="2722" spans="47:70" x14ac:dyDescent="0.2">
      <c r="AU2722"/>
      <c r="AV2722"/>
      <c r="AW2722"/>
      <c r="AX2722"/>
      <c r="AY2722"/>
      <c r="BK2722" s="42">
        <v>2721</v>
      </c>
      <c r="BL2722" s="127">
        <v>4</v>
      </c>
      <c r="BM2722" s="127">
        <v>0.11332468572476186</v>
      </c>
      <c r="BN2722" s="127" t="e">
        <v>#N/A</v>
      </c>
      <c r="BO2722" s="127" t="e">
        <v>#N/A</v>
      </c>
      <c r="BP2722" s="151" t="e">
        <v>#N/A</v>
      </c>
      <c r="BQ2722">
        <v>0.11332468572476186</v>
      </c>
      <c r="BR2722" t="str">
        <v/>
      </c>
    </row>
    <row r="2723" spans="47:70" x14ac:dyDescent="0.2">
      <c r="AU2723"/>
      <c r="AV2723"/>
      <c r="AW2723"/>
      <c r="AX2723"/>
      <c r="AY2723"/>
      <c r="BK2723" s="42">
        <v>2722</v>
      </c>
      <c r="BL2723" s="127">
        <v>4</v>
      </c>
      <c r="BM2723" s="127">
        <v>0.11332468572476186</v>
      </c>
      <c r="BN2723" s="127" t="e">
        <v>#N/A</v>
      </c>
      <c r="BO2723" s="127" t="e">
        <v>#N/A</v>
      </c>
      <c r="BP2723" s="151" t="e">
        <v>#N/A</v>
      </c>
      <c r="BQ2723">
        <v>0.11332468572476186</v>
      </c>
      <c r="BR2723" t="str">
        <v/>
      </c>
    </row>
    <row r="2724" spans="47:70" x14ac:dyDescent="0.2">
      <c r="AU2724"/>
      <c r="AV2724"/>
      <c r="AW2724"/>
      <c r="AX2724"/>
      <c r="AY2724"/>
      <c r="BK2724" s="42">
        <v>2723</v>
      </c>
      <c r="BL2724" s="127">
        <v>4</v>
      </c>
      <c r="BM2724" s="127">
        <v>0.11332468572476186</v>
      </c>
      <c r="BN2724" s="127" t="e">
        <v>#N/A</v>
      </c>
      <c r="BO2724" s="127" t="e">
        <v>#N/A</v>
      </c>
      <c r="BP2724" s="151" t="e">
        <v>#N/A</v>
      </c>
      <c r="BQ2724">
        <v>0.11332468572476186</v>
      </c>
      <c r="BR2724" t="str">
        <v/>
      </c>
    </row>
    <row r="2725" spans="47:70" x14ac:dyDescent="0.2">
      <c r="AU2725"/>
      <c r="AV2725"/>
      <c r="AW2725"/>
      <c r="AX2725"/>
      <c r="AY2725"/>
      <c r="BK2725" s="42">
        <v>2724</v>
      </c>
      <c r="BL2725" s="127">
        <v>4</v>
      </c>
      <c r="BM2725" s="127">
        <v>0.11332468572476186</v>
      </c>
      <c r="BN2725" s="127" t="e">
        <v>#N/A</v>
      </c>
      <c r="BO2725" s="127" t="e">
        <v>#N/A</v>
      </c>
      <c r="BP2725" s="151" t="e">
        <v>#N/A</v>
      </c>
      <c r="BQ2725">
        <v>0.11332468572476186</v>
      </c>
      <c r="BR2725" t="str">
        <v/>
      </c>
    </row>
    <row r="2726" spans="47:70" x14ac:dyDescent="0.2">
      <c r="AU2726"/>
      <c r="AV2726"/>
      <c r="AW2726"/>
      <c r="AX2726"/>
      <c r="AY2726"/>
      <c r="BK2726" s="42">
        <v>2725</v>
      </c>
      <c r="BL2726" s="127">
        <v>4</v>
      </c>
      <c r="BM2726" s="127">
        <v>0.11332468572476186</v>
      </c>
      <c r="BN2726" s="127" t="e">
        <v>#N/A</v>
      </c>
      <c r="BO2726" s="127" t="e">
        <v>#N/A</v>
      </c>
      <c r="BP2726" s="151" t="e">
        <v>#N/A</v>
      </c>
      <c r="BQ2726">
        <v>0.11332468572476186</v>
      </c>
      <c r="BR2726" t="str">
        <v/>
      </c>
    </row>
    <row r="2727" spans="47:70" x14ac:dyDescent="0.2">
      <c r="AU2727"/>
      <c r="AV2727"/>
      <c r="AW2727"/>
      <c r="AX2727"/>
      <c r="AY2727"/>
      <c r="BK2727" s="42">
        <v>2726</v>
      </c>
      <c r="BL2727" s="127">
        <v>4</v>
      </c>
      <c r="BM2727" s="127">
        <v>0.11332468572476186</v>
      </c>
      <c r="BN2727" s="127" t="e">
        <v>#N/A</v>
      </c>
      <c r="BO2727" s="127" t="e">
        <v>#N/A</v>
      </c>
      <c r="BP2727" s="151" t="e">
        <v>#N/A</v>
      </c>
      <c r="BQ2727">
        <v>0.11332468572476186</v>
      </c>
      <c r="BR2727" t="str">
        <v/>
      </c>
    </row>
    <row r="2728" spans="47:70" x14ac:dyDescent="0.2">
      <c r="AU2728"/>
      <c r="AV2728"/>
      <c r="AW2728"/>
      <c r="AX2728"/>
      <c r="AY2728"/>
      <c r="BK2728" s="42">
        <v>2727</v>
      </c>
      <c r="BL2728" s="127">
        <v>4</v>
      </c>
      <c r="BM2728" s="127">
        <v>0.11332468572476186</v>
      </c>
      <c r="BN2728" s="127" t="e">
        <v>#N/A</v>
      </c>
      <c r="BO2728" s="127" t="e">
        <v>#N/A</v>
      </c>
      <c r="BP2728" s="151" t="e">
        <v>#N/A</v>
      </c>
      <c r="BQ2728">
        <v>0.11332468572476186</v>
      </c>
      <c r="BR2728" t="str">
        <v/>
      </c>
    </row>
    <row r="2729" spans="47:70" x14ac:dyDescent="0.2">
      <c r="AU2729"/>
      <c r="AV2729"/>
      <c r="AW2729"/>
      <c r="AX2729"/>
      <c r="AY2729"/>
      <c r="BK2729" s="42">
        <v>2728</v>
      </c>
      <c r="BL2729" s="127">
        <v>4</v>
      </c>
      <c r="BM2729" s="127">
        <v>0.11332468572476186</v>
      </c>
      <c r="BN2729" s="127" t="e">
        <v>#N/A</v>
      </c>
      <c r="BO2729" s="127" t="e">
        <v>#N/A</v>
      </c>
      <c r="BP2729" s="151" t="e">
        <v>#N/A</v>
      </c>
      <c r="BQ2729">
        <v>0.11332468572476186</v>
      </c>
      <c r="BR2729" t="str">
        <v/>
      </c>
    </row>
    <row r="2730" spans="47:70" x14ac:dyDescent="0.2">
      <c r="AU2730"/>
      <c r="AV2730"/>
      <c r="AW2730"/>
      <c r="AX2730"/>
      <c r="AY2730"/>
      <c r="BK2730" s="42">
        <v>2729</v>
      </c>
      <c r="BL2730" s="127">
        <v>4</v>
      </c>
      <c r="BM2730" s="127">
        <v>0.11332468572476186</v>
      </c>
      <c r="BN2730" s="127" t="e">
        <v>#N/A</v>
      </c>
      <c r="BO2730" s="127" t="e">
        <v>#N/A</v>
      </c>
      <c r="BP2730" s="151" t="e">
        <v>#N/A</v>
      </c>
      <c r="BQ2730">
        <v>0.11332468572476186</v>
      </c>
      <c r="BR2730" t="str">
        <v/>
      </c>
    </row>
    <row r="2731" spans="47:70" x14ac:dyDescent="0.2">
      <c r="AU2731"/>
      <c r="AV2731"/>
      <c r="AW2731"/>
      <c r="AX2731"/>
      <c r="AY2731"/>
      <c r="BK2731" s="42">
        <v>2730</v>
      </c>
      <c r="BL2731" s="127">
        <v>4</v>
      </c>
      <c r="BM2731" s="127">
        <v>0.11332468572476186</v>
      </c>
      <c r="BN2731" s="127" t="e">
        <v>#N/A</v>
      </c>
      <c r="BO2731" s="127" t="e">
        <v>#N/A</v>
      </c>
      <c r="BP2731" s="151" t="e">
        <v>#N/A</v>
      </c>
      <c r="BQ2731">
        <v>0.11332468572476186</v>
      </c>
      <c r="BR2731" t="str">
        <v/>
      </c>
    </row>
    <row r="2732" spans="47:70" x14ac:dyDescent="0.2">
      <c r="AU2732"/>
      <c r="AV2732"/>
      <c r="AW2732"/>
      <c r="AX2732"/>
      <c r="AY2732"/>
      <c r="BK2732" s="42">
        <v>2731</v>
      </c>
      <c r="BL2732" s="127">
        <v>4</v>
      </c>
      <c r="BM2732" s="127">
        <v>0.11332468572476186</v>
      </c>
      <c r="BN2732" s="127" t="e">
        <v>#N/A</v>
      </c>
      <c r="BO2732" s="127" t="e">
        <v>#N/A</v>
      </c>
      <c r="BP2732" s="151" t="e">
        <v>#N/A</v>
      </c>
      <c r="BQ2732">
        <v>0.11332468572476186</v>
      </c>
      <c r="BR2732" t="str">
        <v/>
      </c>
    </row>
    <row r="2733" spans="47:70" x14ac:dyDescent="0.2">
      <c r="AU2733"/>
      <c r="AV2733"/>
      <c r="AW2733"/>
      <c r="AX2733"/>
      <c r="AY2733"/>
      <c r="BK2733" s="42">
        <v>2732</v>
      </c>
      <c r="BL2733" s="127">
        <v>4</v>
      </c>
      <c r="BM2733" s="127">
        <v>0.11332468572476186</v>
      </c>
      <c r="BN2733" s="127" t="e">
        <v>#N/A</v>
      </c>
      <c r="BO2733" s="127" t="e">
        <v>#N/A</v>
      </c>
      <c r="BP2733" s="151" t="e">
        <v>#N/A</v>
      </c>
      <c r="BQ2733">
        <v>0.11332468572476186</v>
      </c>
      <c r="BR2733" t="str">
        <v/>
      </c>
    </row>
    <row r="2734" spans="47:70" x14ac:dyDescent="0.2">
      <c r="AU2734"/>
      <c r="AV2734"/>
      <c r="AW2734"/>
      <c r="AX2734"/>
      <c r="AY2734"/>
      <c r="BK2734" s="42">
        <v>2733</v>
      </c>
      <c r="BL2734" s="127">
        <v>4</v>
      </c>
      <c r="BM2734" s="127">
        <v>0.11332468572476186</v>
      </c>
      <c r="BN2734" s="127" t="e">
        <v>#N/A</v>
      </c>
      <c r="BO2734" s="127" t="e">
        <v>#N/A</v>
      </c>
      <c r="BP2734" s="151" t="e">
        <v>#N/A</v>
      </c>
      <c r="BQ2734">
        <v>0.11332468572476186</v>
      </c>
      <c r="BR2734" t="str">
        <v/>
      </c>
    </row>
    <row r="2735" spans="47:70" x14ac:dyDescent="0.2">
      <c r="AU2735"/>
      <c r="AV2735"/>
      <c r="AW2735"/>
      <c r="AX2735"/>
      <c r="AY2735"/>
      <c r="BK2735" s="42">
        <v>2734</v>
      </c>
      <c r="BL2735" s="127">
        <v>4</v>
      </c>
      <c r="BM2735" s="127">
        <v>0.11332468572476186</v>
      </c>
      <c r="BN2735" s="127" t="e">
        <v>#N/A</v>
      </c>
      <c r="BO2735" s="127" t="e">
        <v>#N/A</v>
      </c>
      <c r="BP2735" s="151" t="e">
        <v>#N/A</v>
      </c>
      <c r="BQ2735">
        <v>0.11332468572476186</v>
      </c>
      <c r="BR2735" t="str">
        <v/>
      </c>
    </row>
    <row r="2736" spans="47:70" x14ac:dyDescent="0.2">
      <c r="AU2736"/>
      <c r="AV2736"/>
      <c r="AW2736"/>
      <c r="AX2736"/>
      <c r="AY2736"/>
      <c r="BK2736" s="42">
        <v>2735</v>
      </c>
      <c r="BL2736" s="127">
        <v>4</v>
      </c>
      <c r="BM2736" s="127">
        <v>0.11332468572476186</v>
      </c>
      <c r="BN2736" s="127" t="e">
        <v>#N/A</v>
      </c>
      <c r="BO2736" s="127" t="e">
        <v>#N/A</v>
      </c>
      <c r="BP2736" s="151" t="e">
        <v>#N/A</v>
      </c>
      <c r="BQ2736">
        <v>0.11332468572476186</v>
      </c>
      <c r="BR2736" t="str">
        <v/>
      </c>
    </row>
    <row r="2737" spans="47:70" x14ac:dyDescent="0.2">
      <c r="AU2737"/>
      <c r="AV2737"/>
      <c r="AW2737"/>
      <c r="AX2737"/>
      <c r="AY2737"/>
      <c r="BK2737" s="42">
        <v>2736</v>
      </c>
      <c r="BL2737" s="127">
        <v>4</v>
      </c>
      <c r="BM2737" s="127">
        <v>0.11332468572476186</v>
      </c>
      <c r="BN2737" s="127" t="e">
        <v>#N/A</v>
      </c>
      <c r="BO2737" s="127" t="e">
        <v>#N/A</v>
      </c>
      <c r="BP2737" s="151" t="e">
        <v>#N/A</v>
      </c>
      <c r="BQ2737">
        <v>0.11332468572476186</v>
      </c>
      <c r="BR2737" t="str">
        <v/>
      </c>
    </row>
    <row r="2738" spans="47:70" x14ac:dyDescent="0.2">
      <c r="AU2738"/>
      <c r="AV2738"/>
      <c r="AW2738"/>
      <c r="AX2738"/>
      <c r="AY2738"/>
      <c r="BK2738" s="42">
        <v>2737</v>
      </c>
      <c r="BL2738" s="127">
        <v>4</v>
      </c>
      <c r="BM2738" s="127">
        <v>0.11332468572476186</v>
      </c>
      <c r="BN2738" s="127" t="e">
        <v>#N/A</v>
      </c>
      <c r="BO2738" s="127" t="e">
        <v>#N/A</v>
      </c>
      <c r="BP2738" s="151" t="e">
        <v>#N/A</v>
      </c>
      <c r="BQ2738">
        <v>0.11332468572476186</v>
      </c>
      <c r="BR2738" t="str">
        <v/>
      </c>
    </row>
    <row r="2739" spans="47:70" x14ac:dyDescent="0.2">
      <c r="AU2739"/>
      <c r="AV2739"/>
      <c r="AW2739"/>
      <c r="AX2739"/>
      <c r="AY2739"/>
      <c r="BK2739" s="42">
        <v>2738</v>
      </c>
      <c r="BL2739" s="127">
        <v>4</v>
      </c>
      <c r="BM2739" s="127">
        <v>0.11332468572476186</v>
      </c>
      <c r="BN2739" s="127" t="e">
        <v>#N/A</v>
      </c>
      <c r="BO2739" s="127" t="e">
        <v>#N/A</v>
      </c>
      <c r="BP2739" s="151" t="e">
        <v>#N/A</v>
      </c>
      <c r="BQ2739">
        <v>0.11332468572476186</v>
      </c>
      <c r="BR2739" t="str">
        <v/>
      </c>
    </row>
    <row r="2740" spans="47:70" x14ac:dyDescent="0.2">
      <c r="AU2740"/>
      <c r="AV2740"/>
      <c r="AW2740"/>
      <c r="AX2740"/>
      <c r="AY2740"/>
      <c r="BK2740" s="42">
        <v>2739</v>
      </c>
      <c r="BL2740" s="127">
        <v>4</v>
      </c>
      <c r="BM2740" s="127">
        <v>0.11332468572476186</v>
      </c>
      <c r="BN2740" s="127" t="e">
        <v>#N/A</v>
      </c>
      <c r="BO2740" s="127" t="e">
        <v>#N/A</v>
      </c>
      <c r="BP2740" s="151" t="e">
        <v>#N/A</v>
      </c>
      <c r="BQ2740">
        <v>0.11332468572476186</v>
      </c>
      <c r="BR2740" t="str">
        <v/>
      </c>
    </row>
    <row r="2741" spans="47:70" x14ac:dyDescent="0.2">
      <c r="AU2741"/>
      <c r="AV2741"/>
      <c r="AW2741"/>
      <c r="AX2741"/>
      <c r="AY2741"/>
      <c r="BK2741" s="42">
        <v>2740</v>
      </c>
      <c r="BL2741" s="127">
        <v>4</v>
      </c>
      <c r="BM2741" s="127">
        <v>0.11332468572476186</v>
      </c>
      <c r="BN2741" s="127" t="e">
        <v>#N/A</v>
      </c>
      <c r="BO2741" s="127" t="e">
        <v>#N/A</v>
      </c>
      <c r="BP2741" s="151" t="e">
        <v>#N/A</v>
      </c>
      <c r="BQ2741">
        <v>0.11332468572476186</v>
      </c>
      <c r="BR2741" t="str">
        <v/>
      </c>
    </row>
    <row r="2742" spans="47:70" x14ac:dyDescent="0.2">
      <c r="AU2742"/>
      <c r="AV2742"/>
      <c r="AW2742"/>
      <c r="AX2742"/>
      <c r="AY2742"/>
      <c r="BK2742" s="42">
        <v>2741</v>
      </c>
      <c r="BL2742" s="127">
        <v>4</v>
      </c>
      <c r="BM2742" s="127">
        <v>0.11332468572476186</v>
      </c>
      <c r="BN2742" s="127" t="e">
        <v>#N/A</v>
      </c>
      <c r="BO2742" s="127" t="e">
        <v>#N/A</v>
      </c>
      <c r="BP2742" s="151" t="e">
        <v>#N/A</v>
      </c>
      <c r="BQ2742">
        <v>0.11332468572476186</v>
      </c>
      <c r="BR2742" t="str">
        <v/>
      </c>
    </row>
    <row r="2743" spans="47:70" x14ac:dyDescent="0.2">
      <c r="AU2743"/>
      <c r="AV2743"/>
      <c r="AW2743"/>
      <c r="AX2743"/>
      <c r="AY2743"/>
      <c r="BK2743" s="42">
        <v>2742</v>
      </c>
      <c r="BL2743" s="127">
        <v>4</v>
      </c>
      <c r="BM2743" s="127">
        <v>0.11332468572476186</v>
      </c>
      <c r="BN2743" s="127" t="e">
        <v>#N/A</v>
      </c>
      <c r="BO2743" s="127" t="e">
        <v>#N/A</v>
      </c>
      <c r="BP2743" s="151" t="e">
        <v>#N/A</v>
      </c>
      <c r="BQ2743">
        <v>0.11332468572476186</v>
      </c>
      <c r="BR2743" t="str">
        <v/>
      </c>
    </row>
    <row r="2744" spans="47:70" x14ac:dyDescent="0.2">
      <c r="AU2744"/>
      <c r="AV2744"/>
      <c r="AW2744"/>
      <c r="AX2744"/>
      <c r="AY2744"/>
      <c r="BK2744" s="42">
        <v>2743</v>
      </c>
      <c r="BL2744" s="127">
        <v>4</v>
      </c>
      <c r="BM2744" s="127">
        <v>0.11332468572476186</v>
      </c>
      <c r="BN2744" s="127" t="e">
        <v>#N/A</v>
      </c>
      <c r="BO2744" s="127" t="e">
        <v>#N/A</v>
      </c>
      <c r="BP2744" s="151" t="e">
        <v>#N/A</v>
      </c>
      <c r="BQ2744">
        <v>0.11332468572476186</v>
      </c>
      <c r="BR2744" t="str">
        <v/>
      </c>
    </row>
    <row r="2745" spans="47:70" x14ac:dyDescent="0.2">
      <c r="AU2745"/>
      <c r="AV2745"/>
      <c r="AW2745"/>
      <c r="AX2745"/>
      <c r="AY2745"/>
      <c r="BK2745" s="42">
        <v>2744</v>
      </c>
      <c r="BL2745" s="127">
        <v>4</v>
      </c>
      <c r="BM2745" s="127">
        <v>0.11332468572476186</v>
      </c>
      <c r="BN2745" s="127" t="e">
        <v>#N/A</v>
      </c>
      <c r="BO2745" s="127" t="e">
        <v>#N/A</v>
      </c>
      <c r="BP2745" s="151" t="e">
        <v>#N/A</v>
      </c>
      <c r="BQ2745">
        <v>0.11332468572476186</v>
      </c>
      <c r="BR2745" t="str">
        <v/>
      </c>
    </row>
    <row r="2746" spans="47:70" x14ac:dyDescent="0.2">
      <c r="AU2746"/>
      <c r="AV2746"/>
      <c r="AW2746"/>
      <c r="AX2746"/>
      <c r="AY2746"/>
      <c r="BK2746" s="42">
        <v>2745</v>
      </c>
      <c r="BL2746" s="127">
        <v>4</v>
      </c>
      <c r="BM2746" s="127">
        <v>0.11332468572476186</v>
      </c>
      <c r="BN2746" s="127" t="e">
        <v>#N/A</v>
      </c>
      <c r="BO2746" s="127" t="e">
        <v>#N/A</v>
      </c>
      <c r="BP2746" s="151" t="e">
        <v>#N/A</v>
      </c>
      <c r="BQ2746">
        <v>0.11332468572476186</v>
      </c>
      <c r="BR2746" t="str">
        <v/>
      </c>
    </row>
    <row r="2747" spans="47:70" x14ac:dyDescent="0.2">
      <c r="AU2747"/>
      <c r="AV2747"/>
      <c r="AW2747"/>
      <c r="AX2747"/>
      <c r="AY2747"/>
      <c r="BK2747" s="42">
        <v>2746</v>
      </c>
      <c r="BL2747" s="127">
        <v>4</v>
      </c>
      <c r="BM2747" s="127">
        <v>0.11332468572476186</v>
      </c>
      <c r="BN2747" s="127" t="e">
        <v>#N/A</v>
      </c>
      <c r="BO2747" s="127" t="e">
        <v>#N/A</v>
      </c>
      <c r="BP2747" s="151" t="e">
        <v>#N/A</v>
      </c>
      <c r="BQ2747">
        <v>0.11332468572476186</v>
      </c>
      <c r="BR2747" t="str">
        <v/>
      </c>
    </row>
    <row r="2748" spans="47:70" x14ac:dyDescent="0.2">
      <c r="AU2748"/>
      <c r="AV2748"/>
      <c r="AW2748"/>
      <c r="AX2748"/>
      <c r="AY2748"/>
      <c r="BK2748" s="42">
        <v>2747</v>
      </c>
      <c r="BL2748" s="127">
        <v>4</v>
      </c>
      <c r="BM2748" s="127">
        <v>0.11332468572476186</v>
      </c>
      <c r="BN2748" s="127" t="e">
        <v>#N/A</v>
      </c>
      <c r="BO2748" s="127" t="e">
        <v>#N/A</v>
      </c>
      <c r="BP2748" s="151" t="e">
        <v>#N/A</v>
      </c>
      <c r="BQ2748">
        <v>0.11332468572476186</v>
      </c>
      <c r="BR2748" t="str">
        <v/>
      </c>
    </row>
    <row r="2749" spans="47:70" x14ac:dyDescent="0.2">
      <c r="AU2749"/>
      <c r="AV2749"/>
      <c r="AW2749"/>
      <c r="AX2749"/>
      <c r="AY2749"/>
      <c r="BK2749" s="42">
        <v>2748</v>
      </c>
      <c r="BL2749" s="127">
        <v>4</v>
      </c>
      <c r="BM2749" s="127">
        <v>0.11332468572476186</v>
      </c>
      <c r="BN2749" s="127" t="e">
        <v>#N/A</v>
      </c>
      <c r="BO2749" s="127" t="e">
        <v>#N/A</v>
      </c>
      <c r="BP2749" s="151" t="e">
        <v>#N/A</v>
      </c>
      <c r="BQ2749">
        <v>0.11332468572476186</v>
      </c>
      <c r="BR2749" t="str">
        <v/>
      </c>
    </row>
    <row r="2750" spans="47:70" x14ac:dyDescent="0.2">
      <c r="AU2750"/>
      <c r="AV2750"/>
      <c r="AW2750"/>
      <c r="AX2750"/>
      <c r="AY2750"/>
      <c r="BK2750" s="42">
        <v>2749</v>
      </c>
      <c r="BL2750" s="127">
        <v>4</v>
      </c>
      <c r="BM2750" s="127">
        <v>0.11332468572476186</v>
      </c>
      <c r="BN2750" s="127" t="e">
        <v>#N/A</v>
      </c>
      <c r="BO2750" s="127" t="e">
        <v>#N/A</v>
      </c>
      <c r="BP2750" s="151" t="e">
        <v>#N/A</v>
      </c>
      <c r="BQ2750">
        <v>0.11332468572476186</v>
      </c>
      <c r="BR2750" t="str">
        <v/>
      </c>
    </row>
    <row r="2751" spans="47:70" x14ac:dyDescent="0.2">
      <c r="AU2751"/>
      <c r="AV2751"/>
      <c r="AW2751"/>
      <c r="AX2751"/>
      <c r="AY2751"/>
      <c r="BK2751" s="42">
        <v>2750</v>
      </c>
      <c r="BL2751" s="127">
        <v>4</v>
      </c>
      <c r="BM2751" s="127">
        <v>0.11332468572476186</v>
      </c>
      <c r="BN2751" s="127" t="e">
        <v>#N/A</v>
      </c>
      <c r="BO2751" s="127" t="e">
        <v>#N/A</v>
      </c>
      <c r="BP2751" s="151" t="e">
        <v>#N/A</v>
      </c>
      <c r="BQ2751">
        <v>0.11332468572476186</v>
      </c>
      <c r="BR2751" t="str">
        <v/>
      </c>
    </row>
    <row r="2752" spans="47:70" x14ac:dyDescent="0.2">
      <c r="AU2752"/>
      <c r="AV2752"/>
      <c r="AW2752"/>
      <c r="AX2752"/>
      <c r="AY2752"/>
      <c r="BK2752" s="42">
        <v>2751</v>
      </c>
      <c r="BL2752" s="127">
        <v>4</v>
      </c>
      <c r="BM2752" s="127">
        <v>0.11332468572476186</v>
      </c>
      <c r="BN2752" s="127" t="e">
        <v>#N/A</v>
      </c>
      <c r="BO2752" s="127" t="e">
        <v>#N/A</v>
      </c>
      <c r="BP2752" s="151" t="e">
        <v>#N/A</v>
      </c>
      <c r="BQ2752">
        <v>0.11332468572476186</v>
      </c>
      <c r="BR2752" t="str">
        <v/>
      </c>
    </row>
    <row r="2753" spans="47:70" x14ac:dyDescent="0.2">
      <c r="AU2753"/>
      <c r="AV2753"/>
      <c r="AW2753"/>
      <c r="AX2753"/>
      <c r="AY2753"/>
      <c r="BK2753" s="42">
        <v>2752</v>
      </c>
      <c r="BL2753" s="127">
        <v>4</v>
      </c>
      <c r="BM2753" s="127">
        <v>0.11332468572476186</v>
      </c>
      <c r="BN2753" s="127" t="e">
        <v>#N/A</v>
      </c>
      <c r="BO2753" s="127" t="e">
        <v>#N/A</v>
      </c>
      <c r="BP2753" s="151" t="e">
        <v>#N/A</v>
      </c>
      <c r="BQ2753">
        <v>0.11332468572476186</v>
      </c>
      <c r="BR2753" t="str">
        <v/>
      </c>
    </row>
    <row r="2754" spans="47:70" x14ac:dyDescent="0.2">
      <c r="AU2754"/>
      <c r="AV2754"/>
      <c r="AW2754"/>
      <c r="AX2754"/>
      <c r="AY2754"/>
      <c r="BK2754" s="42">
        <v>2753</v>
      </c>
      <c r="BL2754" s="127">
        <v>4</v>
      </c>
      <c r="BM2754" s="127">
        <v>0.11332468572476186</v>
      </c>
      <c r="BN2754" s="127" t="e">
        <v>#N/A</v>
      </c>
      <c r="BO2754" s="127" t="e">
        <v>#N/A</v>
      </c>
      <c r="BP2754" s="151" t="e">
        <v>#N/A</v>
      </c>
      <c r="BQ2754">
        <v>0.11332468572476186</v>
      </c>
      <c r="BR2754" t="str">
        <v/>
      </c>
    </row>
    <row r="2755" spans="47:70" x14ac:dyDescent="0.2">
      <c r="AU2755"/>
      <c r="AV2755"/>
      <c r="AW2755"/>
      <c r="AX2755"/>
      <c r="AY2755"/>
      <c r="BK2755" s="42">
        <v>2754</v>
      </c>
      <c r="BL2755" s="127">
        <v>4</v>
      </c>
      <c r="BM2755" s="127">
        <v>0.11332468572476186</v>
      </c>
      <c r="BN2755" s="127" t="e">
        <v>#N/A</v>
      </c>
      <c r="BO2755" s="127" t="e">
        <v>#N/A</v>
      </c>
      <c r="BP2755" s="151" t="e">
        <v>#N/A</v>
      </c>
      <c r="BQ2755">
        <v>0.11332468572476186</v>
      </c>
      <c r="BR2755" t="str">
        <v/>
      </c>
    </row>
    <row r="2756" spans="47:70" x14ac:dyDescent="0.2">
      <c r="AU2756"/>
      <c r="AV2756"/>
      <c r="AW2756"/>
      <c r="AX2756"/>
      <c r="AY2756"/>
      <c r="BK2756" s="42">
        <v>2755</v>
      </c>
      <c r="BL2756" s="127">
        <v>4</v>
      </c>
      <c r="BM2756" s="127">
        <v>0.11332468572476186</v>
      </c>
      <c r="BN2756" s="127" t="e">
        <v>#N/A</v>
      </c>
      <c r="BO2756" s="127" t="e">
        <v>#N/A</v>
      </c>
      <c r="BP2756" s="151" t="e">
        <v>#N/A</v>
      </c>
      <c r="BQ2756">
        <v>0.11332468572476186</v>
      </c>
      <c r="BR2756" t="str">
        <v/>
      </c>
    </row>
    <row r="2757" spans="47:70" x14ac:dyDescent="0.2">
      <c r="AU2757"/>
      <c r="AV2757"/>
      <c r="AW2757"/>
      <c r="AX2757"/>
      <c r="AY2757"/>
      <c r="BK2757" s="42">
        <v>2756</v>
      </c>
      <c r="BL2757" s="127">
        <v>4</v>
      </c>
      <c r="BM2757" s="127">
        <v>0.11332468572476186</v>
      </c>
      <c r="BN2757" s="127" t="e">
        <v>#N/A</v>
      </c>
      <c r="BO2757" s="127" t="e">
        <v>#N/A</v>
      </c>
      <c r="BP2757" s="151" t="e">
        <v>#N/A</v>
      </c>
      <c r="BQ2757">
        <v>0.11332468572476186</v>
      </c>
      <c r="BR2757" t="str">
        <v/>
      </c>
    </row>
    <row r="2758" spans="47:70" x14ac:dyDescent="0.2">
      <c r="AU2758"/>
      <c r="AV2758"/>
      <c r="AW2758"/>
      <c r="AX2758"/>
      <c r="AY2758"/>
      <c r="BK2758" s="42">
        <v>2757</v>
      </c>
      <c r="BL2758" s="127">
        <v>4</v>
      </c>
      <c r="BM2758" s="127">
        <v>0.11332468572476186</v>
      </c>
      <c r="BN2758" s="127" t="e">
        <v>#N/A</v>
      </c>
      <c r="BO2758" s="127" t="e">
        <v>#N/A</v>
      </c>
      <c r="BP2758" s="151" t="e">
        <v>#N/A</v>
      </c>
      <c r="BQ2758">
        <v>0.11332468572476186</v>
      </c>
      <c r="BR2758" t="str">
        <v/>
      </c>
    </row>
    <row r="2759" spans="47:70" x14ac:dyDescent="0.2">
      <c r="AU2759"/>
      <c r="AV2759"/>
      <c r="AW2759"/>
      <c r="AX2759"/>
      <c r="AY2759"/>
      <c r="BK2759" s="42">
        <v>2758</v>
      </c>
      <c r="BL2759" s="127">
        <v>4</v>
      </c>
      <c r="BM2759" s="127">
        <v>0.11332468572476186</v>
      </c>
      <c r="BN2759" s="127" t="e">
        <v>#N/A</v>
      </c>
      <c r="BO2759" s="127" t="e">
        <v>#N/A</v>
      </c>
      <c r="BP2759" s="151" t="e">
        <v>#N/A</v>
      </c>
      <c r="BQ2759">
        <v>0.11332468572476186</v>
      </c>
      <c r="BR2759" t="str">
        <v/>
      </c>
    </row>
    <row r="2760" spans="47:70" x14ac:dyDescent="0.2">
      <c r="AU2760"/>
      <c r="AV2760"/>
      <c r="AW2760"/>
      <c r="AX2760"/>
      <c r="AY2760"/>
      <c r="BK2760" s="42">
        <v>2759</v>
      </c>
      <c r="BL2760" s="127">
        <v>4</v>
      </c>
      <c r="BM2760" s="127">
        <v>0.11332468572476186</v>
      </c>
      <c r="BN2760" s="127" t="e">
        <v>#N/A</v>
      </c>
      <c r="BO2760" s="127" t="e">
        <v>#N/A</v>
      </c>
      <c r="BP2760" s="151" t="e">
        <v>#N/A</v>
      </c>
      <c r="BQ2760">
        <v>0.11332468572476186</v>
      </c>
      <c r="BR2760" t="str">
        <v/>
      </c>
    </row>
    <row r="2761" spans="47:70" x14ac:dyDescent="0.2">
      <c r="AU2761"/>
      <c r="AV2761"/>
      <c r="AW2761"/>
      <c r="AX2761"/>
      <c r="AY2761"/>
      <c r="BK2761" s="42">
        <v>2760</v>
      </c>
      <c r="BL2761" s="127">
        <v>4</v>
      </c>
      <c r="BM2761" s="127">
        <v>0.11332468572476186</v>
      </c>
      <c r="BN2761" s="127" t="e">
        <v>#N/A</v>
      </c>
      <c r="BO2761" s="127" t="e">
        <v>#N/A</v>
      </c>
      <c r="BP2761" s="151" t="e">
        <v>#N/A</v>
      </c>
      <c r="BQ2761">
        <v>0.11332468572476186</v>
      </c>
      <c r="BR2761" t="str">
        <v/>
      </c>
    </row>
    <row r="2762" spans="47:70" x14ac:dyDescent="0.2">
      <c r="AU2762"/>
      <c r="AV2762"/>
      <c r="AW2762"/>
      <c r="AX2762"/>
      <c r="AY2762"/>
      <c r="BK2762" s="42">
        <v>2761</v>
      </c>
      <c r="BL2762" s="127">
        <v>4</v>
      </c>
      <c r="BM2762" s="127">
        <v>0.11332468572476186</v>
      </c>
      <c r="BN2762" s="127" t="e">
        <v>#N/A</v>
      </c>
      <c r="BO2762" s="127" t="e">
        <v>#N/A</v>
      </c>
      <c r="BP2762" s="151" t="e">
        <v>#N/A</v>
      </c>
      <c r="BQ2762">
        <v>0.11332468572476186</v>
      </c>
      <c r="BR2762" t="str">
        <v/>
      </c>
    </row>
    <row r="2763" spans="47:70" x14ac:dyDescent="0.2">
      <c r="AU2763"/>
      <c r="AV2763"/>
      <c r="AW2763"/>
      <c r="AX2763"/>
      <c r="AY2763"/>
      <c r="BK2763" s="42">
        <v>2762</v>
      </c>
      <c r="BL2763" s="127">
        <v>4</v>
      </c>
      <c r="BM2763" s="127">
        <v>0.11332468572476186</v>
      </c>
      <c r="BN2763" s="127" t="e">
        <v>#N/A</v>
      </c>
      <c r="BO2763" s="127" t="e">
        <v>#N/A</v>
      </c>
      <c r="BP2763" s="151" t="e">
        <v>#N/A</v>
      </c>
      <c r="BQ2763">
        <v>0.11332468572476186</v>
      </c>
      <c r="BR2763" t="str">
        <v/>
      </c>
    </row>
    <row r="2764" spans="47:70" x14ac:dyDescent="0.2">
      <c r="AU2764"/>
      <c r="AV2764"/>
      <c r="AW2764"/>
      <c r="AX2764"/>
      <c r="AY2764"/>
      <c r="BK2764" s="42">
        <v>2763</v>
      </c>
      <c r="BL2764" s="127">
        <v>4</v>
      </c>
      <c r="BM2764" s="127">
        <v>0.11332468572476186</v>
      </c>
      <c r="BN2764" s="127" t="e">
        <v>#N/A</v>
      </c>
      <c r="BO2764" s="127" t="e">
        <v>#N/A</v>
      </c>
      <c r="BP2764" s="151" t="e">
        <v>#N/A</v>
      </c>
      <c r="BQ2764">
        <v>0.11332468572476186</v>
      </c>
      <c r="BR2764" t="str">
        <v/>
      </c>
    </row>
    <row r="2765" spans="47:70" x14ac:dyDescent="0.2">
      <c r="AU2765"/>
      <c r="AV2765"/>
      <c r="AW2765"/>
      <c r="AX2765"/>
      <c r="AY2765"/>
      <c r="BK2765" s="42">
        <v>2764</v>
      </c>
      <c r="BL2765" s="127">
        <v>4</v>
      </c>
      <c r="BM2765" s="127">
        <v>0.11332468572476186</v>
      </c>
      <c r="BN2765" s="127" t="e">
        <v>#N/A</v>
      </c>
      <c r="BO2765" s="127" t="e">
        <v>#N/A</v>
      </c>
      <c r="BP2765" s="151" t="e">
        <v>#N/A</v>
      </c>
      <c r="BQ2765">
        <v>0.11332468572476186</v>
      </c>
      <c r="BR2765" t="str">
        <v/>
      </c>
    </row>
    <row r="2766" spans="47:70" x14ac:dyDescent="0.2">
      <c r="AU2766"/>
      <c r="AV2766"/>
      <c r="AW2766"/>
      <c r="AX2766"/>
      <c r="AY2766"/>
      <c r="BK2766" s="42">
        <v>2765</v>
      </c>
      <c r="BL2766" s="127">
        <v>4</v>
      </c>
      <c r="BM2766" s="127">
        <v>0.11332468572476186</v>
      </c>
      <c r="BN2766" s="127" t="e">
        <v>#N/A</v>
      </c>
      <c r="BO2766" s="127" t="e">
        <v>#N/A</v>
      </c>
      <c r="BP2766" s="151" t="e">
        <v>#N/A</v>
      </c>
      <c r="BQ2766">
        <v>0.11332468572476186</v>
      </c>
      <c r="BR2766" t="str">
        <v/>
      </c>
    </row>
    <row r="2767" spans="47:70" x14ac:dyDescent="0.2">
      <c r="AU2767"/>
      <c r="AV2767"/>
      <c r="AW2767"/>
      <c r="AX2767"/>
      <c r="AY2767"/>
      <c r="BK2767" s="42">
        <v>2766</v>
      </c>
      <c r="BL2767" s="127">
        <v>4</v>
      </c>
      <c r="BM2767" s="127">
        <v>0.11332468572476186</v>
      </c>
      <c r="BN2767" s="127" t="e">
        <v>#N/A</v>
      </c>
      <c r="BO2767" s="127" t="e">
        <v>#N/A</v>
      </c>
      <c r="BP2767" s="151" t="e">
        <v>#N/A</v>
      </c>
      <c r="BQ2767">
        <v>0.11332468572476186</v>
      </c>
      <c r="BR2767" t="str">
        <v/>
      </c>
    </row>
    <row r="2768" spans="47:70" x14ac:dyDescent="0.2">
      <c r="AU2768"/>
      <c r="AV2768"/>
      <c r="AW2768"/>
      <c r="AX2768"/>
      <c r="AY2768"/>
      <c r="BK2768" s="42">
        <v>2767</v>
      </c>
      <c r="BL2768" s="127">
        <v>4</v>
      </c>
      <c r="BM2768" s="127">
        <v>0.11332468572476186</v>
      </c>
      <c r="BN2768" s="127" t="e">
        <v>#N/A</v>
      </c>
      <c r="BO2768" s="127" t="e">
        <v>#N/A</v>
      </c>
      <c r="BP2768" s="151" t="e">
        <v>#N/A</v>
      </c>
      <c r="BQ2768">
        <v>0.11332468572476186</v>
      </c>
      <c r="BR2768" t="str">
        <v/>
      </c>
    </row>
    <row r="2769" spans="47:70" x14ac:dyDescent="0.2">
      <c r="AU2769"/>
      <c r="AV2769"/>
      <c r="AW2769"/>
      <c r="AX2769"/>
      <c r="AY2769"/>
      <c r="BK2769" s="42">
        <v>2768</v>
      </c>
      <c r="BL2769" s="127">
        <v>4</v>
      </c>
      <c r="BM2769" s="127">
        <v>0.11332468572476186</v>
      </c>
      <c r="BN2769" s="127" t="e">
        <v>#N/A</v>
      </c>
      <c r="BO2769" s="127" t="e">
        <v>#N/A</v>
      </c>
      <c r="BP2769" s="151" t="e">
        <v>#N/A</v>
      </c>
      <c r="BQ2769">
        <v>0.11332468572476186</v>
      </c>
      <c r="BR2769" t="str">
        <v/>
      </c>
    </row>
    <row r="2770" spans="47:70" x14ac:dyDescent="0.2">
      <c r="AU2770"/>
      <c r="AV2770"/>
      <c r="AW2770"/>
      <c r="AX2770"/>
      <c r="AY2770"/>
      <c r="BK2770" s="42">
        <v>2769</v>
      </c>
      <c r="BL2770" s="127">
        <v>4</v>
      </c>
      <c r="BM2770" s="127">
        <v>0.11332468572476186</v>
      </c>
      <c r="BN2770" s="127" t="e">
        <v>#N/A</v>
      </c>
      <c r="BO2770" s="127" t="e">
        <v>#N/A</v>
      </c>
      <c r="BP2770" s="151" t="e">
        <v>#N/A</v>
      </c>
      <c r="BQ2770">
        <v>0.11332468572476186</v>
      </c>
      <c r="BR2770" t="str">
        <v/>
      </c>
    </row>
    <row r="2771" spans="47:70" x14ac:dyDescent="0.2">
      <c r="AU2771"/>
      <c r="AV2771"/>
      <c r="AW2771"/>
      <c r="AX2771"/>
      <c r="AY2771"/>
      <c r="BK2771" s="42">
        <v>2770</v>
      </c>
      <c r="BL2771" s="127">
        <v>4</v>
      </c>
      <c r="BM2771" s="127">
        <v>0.11332468572476186</v>
      </c>
      <c r="BN2771" s="127" t="e">
        <v>#N/A</v>
      </c>
      <c r="BO2771" s="127" t="e">
        <v>#N/A</v>
      </c>
      <c r="BP2771" s="151" t="e">
        <v>#N/A</v>
      </c>
      <c r="BQ2771">
        <v>0.11332468572476186</v>
      </c>
      <c r="BR2771" t="str">
        <v/>
      </c>
    </row>
    <row r="2772" spans="47:70" x14ac:dyDescent="0.2">
      <c r="AU2772"/>
      <c r="AV2772"/>
      <c r="AW2772"/>
      <c r="AX2772"/>
      <c r="AY2772"/>
      <c r="BK2772" s="42">
        <v>2771</v>
      </c>
      <c r="BL2772" s="127">
        <v>4</v>
      </c>
      <c r="BM2772" s="127">
        <v>0.11332468572476186</v>
      </c>
      <c r="BN2772" s="127" t="e">
        <v>#N/A</v>
      </c>
      <c r="BO2772" s="127" t="e">
        <v>#N/A</v>
      </c>
      <c r="BP2772" s="151" t="e">
        <v>#N/A</v>
      </c>
      <c r="BQ2772">
        <v>0.11332468572476186</v>
      </c>
      <c r="BR2772" t="str">
        <v/>
      </c>
    </row>
    <row r="2773" spans="47:70" x14ac:dyDescent="0.2">
      <c r="AU2773"/>
      <c r="AV2773"/>
      <c r="AW2773"/>
      <c r="AX2773"/>
      <c r="AY2773"/>
      <c r="BK2773" s="42">
        <v>2772</v>
      </c>
      <c r="BL2773" s="127">
        <v>4</v>
      </c>
      <c r="BM2773" s="127">
        <v>0.11332468572476186</v>
      </c>
      <c r="BN2773" s="127" t="e">
        <v>#N/A</v>
      </c>
      <c r="BO2773" s="127" t="e">
        <v>#N/A</v>
      </c>
      <c r="BP2773" s="151" t="e">
        <v>#N/A</v>
      </c>
      <c r="BQ2773">
        <v>0.11332468572476186</v>
      </c>
      <c r="BR2773" t="str">
        <v/>
      </c>
    </row>
    <row r="2774" spans="47:70" x14ac:dyDescent="0.2">
      <c r="AU2774"/>
      <c r="AV2774"/>
      <c r="AW2774"/>
      <c r="AX2774"/>
      <c r="AY2774"/>
      <c r="BK2774" s="42">
        <v>2773</v>
      </c>
      <c r="BL2774" s="127">
        <v>4</v>
      </c>
      <c r="BM2774" s="127">
        <v>0.11332468572476186</v>
      </c>
      <c r="BN2774" s="127" t="e">
        <v>#N/A</v>
      </c>
      <c r="BO2774" s="127" t="e">
        <v>#N/A</v>
      </c>
      <c r="BP2774" s="151" t="e">
        <v>#N/A</v>
      </c>
      <c r="BQ2774">
        <v>0.11332468572476186</v>
      </c>
      <c r="BR2774" t="str">
        <v/>
      </c>
    </row>
    <row r="2775" spans="47:70" x14ac:dyDescent="0.2">
      <c r="AU2775"/>
      <c r="AV2775"/>
      <c r="AW2775"/>
      <c r="AX2775"/>
      <c r="AY2775"/>
      <c r="BK2775" s="42">
        <v>2774</v>
      </c>
      <c r="BL2775" s="127">
        <v>4</v>
      </c>
      <c r="BM2775" s="127">
        <v>0.11332468572476186</v>
      </c>
      <c r="BN2775" s="127" t="e">
        <v>#N/A</v>
      </c>
      <c r="BO2775" s="127" t="e">
        <v>#N/A</v>
      </c>
      <c r="BP2775" s="151" t="e">
        <v>#N/A</v>
      </c>
      <c r="BQ2775">
        <v>0.11332468572476186</v>
      </c>
      <c r="BR2775" t="str">
        <v/>
      </c>
    </row>
    <row r="2776" spans="47:70" x14ac:dyDescent="0.2">
      <c r="AU2776"/>
      <c r="AV2776"/>
      <c r="AW2776"/>
      <c r="AX2776"/>
      <c r="AY2776"/>
      <c r="BK2776" s="42">
        <v>2775</v>
      </c>
      <c r="BL2776" s="127">
        <v>4</v>
      </c>
      <c r="BM2776" s="127">
        <v>0.11332468572476186</v>
      </c>
      <c r="BN2776" s="127" t="e">
        <v>#N/A</v>
      </c>
      <c r="BO2776" s="127" t="e">
        <v>#N/A</v>
      </c>
      <c r="BP2776" s="151" t="e">
        <v>#N/A</v>
      </c>
      <c r="BQ2776">
        <v>0.11332468572476186</v>
      </c>
      <c r="BR2776" t="str">
        <v/>
      </c>
    </row>
    <row r="2777" spans="47:70" x14ac:dyDescent="0.2">
      <c r="AU2777"/>
      <c r="AV2777"/>
      <c r="AW2777"/>
      <c r="AX2777"/>
      <c r="AY2777"/>
      <c r="BK2777" s="42">
        <v>2776</v>
      </c>
      <c r="BL2777" s="127">
        <v>4</v>
      </c>
      <c r="BM2777" s="127">
        <v>0.11332468572476186</v>
      </c>
      <c r="BN2777" s="127" t="e">
        <v>#N/A</v>
      </c>
      <c r="BO2777" s="127" t="e">
        <v>#N/A</v>
      </c>
      <c r="BP2777" s="151" t="e">
        <v>#N/A</v>
      </c>
      <c r="BQ2777">
        <v>0.11332468572476186</v>
      </c>
      <c r="BR2777" t="str">
        <v/>
      </c>
    </row>
    <row r="2778" spans="47:70" x14ac:dyDescent="0.2">
      <c r="AU2778"/>
      <c r="AV2778"/>
      <c r="AW2778"/>
      <c r="AX2778"/>
      <c r="AY2778"/>
      <c r="BK2778" s="42">
        <v>2777</v>
      </c>
      <c r="BL2778" s="127">
        <v>4</v>
      </c>
      <c r="BM2778" s="127">
        <v>0.11332468572476186</v>
      </c>
      <c r="BN2778" s="127" t="e">
        <v>#N/A</v>
      </c>
      <c r="BO2778" s="127" t="e">
        <v>#N/A</v>
      </c>
      <c r="BP2778" s="151" t="e">
        <v>#N/A</v>
      </c>
      <c r="BQ2778">
        <v>0.11332468572476186</v>
      </c>
      <c r="BR2778" t="str">
        <v/>
      </c>
    </row>
    <row r="2779" spans="47:70" x14ac:dyDescent="0.2">
      <c r="AU2779"/>
      <c r="AV2779"/>
      <c r="AW2779"/>
      <c r="AX2779"/>
      <c r="AY2779"/>
      <c r="BK2779" s="42">
        <v>2778</v>
      </c>
      <c r="BL2779" s="127">
        <v>4</v>
      </c>
      <c r="BM2779" s="127">
        <v>0.11332468572476186</v>
      </c>
      <c r="BN2779" s="127" t="e">
        <v>#N/A</v>
      </c>
      <c r="BO2779" s="127" t="e">
        <v>#N/A</v>
      </c>
      <c r="BP2779" s="151" t="e">
        <v>#N/A</v>
      </c>
      <c r="BQ2779">
        <v>0.11332468572476186</v>
      </c>
      <c r="BR2779" t="str">
        <v/>
      </c>
    </row>
    <row r="2780" spans="47:70" x14ac:dyDescent="0.2">
      <c r="AU2780"/>
      <c r="AV2780"/>
      <c r="AW2780"/>
      <c r="AX2780"/>
      <c r="AY2780"/>
      <c r="BK2780" s="42">
        <v>2779</v>
      </c>
      <c r="BL2780" s="127">
        <v>4</v>
      </c>
      <c r="BM2780" s="127">
        <v>0.11332468572476186</v>
      </c>
      <c r="BN2780" s="127" t="e">
        <v>#N/A</v>
      </c>
      <c r="BO2780" s="127" t="e">
        <v>#N/A</v>
      </c>
      <c r="BP2780" s="151" t="e">
        <v>#N/A</v>
      </c>
      <c r="BQ2780">
        <v>0.11332468572476186</v>
      </c>
      <c r="BR2780" t="str">
        <v/>
      </c>
    </row>
    <row r="2781" spans="47:70" x14ac:dyDescent="0.2">
      <c r="AU2781"/>
      <c r="AV2781"/>
      <c r="AW2781"/>
      <c r="AX2781"/>
      <c r="AY2781"/>
      <c r="BK2781" s="42">
        <v>2780</v>
      </c>
      <c r="BL2781" s="127">
        <v>4</v>
      </c>
      <c r="BM2781" s="127">
        <v>0.11332468572476186</v>
      </c>
      <c r="BN2781" s="127" t="e">
        <v>#N/A</v>
      </c>
      <c r="BO2781" s="127" t="e">
        <v>#N/A</v>
      </c>
      <c r="BP2781" s="151" t="e">
        <v>#N/A</v>
      </c>
      <c r="BQ2781">
        <v>0.11332468572476186</v>
      </c>
      <c r="BR2781" t="str">
        <v/>
      </c>
    </row>
    <row r="2782" spans="47:70" x14ac:dyDescent="0.2">
      <c r="AU2782"/>
      <c r="AV2782"/>
      <c r="AW2782"/>
      <c r="AX2782"/>
      <c r="AY2782"/>
      <c r="BK2782" s="42">
        <v>2781</v>
      </c>
      <c r="BL2782" s="127">
        <v>4</v>
      </c>
      <c r="BM2782" s="127">
        <v>0.11332468572476186</v>
      </c>
      <c r="BN2782" s="127" t="e">
        <v>#N/A</v>
      </c>
      <c r="BO2782" s="127" t="e">
        <v>#N/A</v>
      </c>
      <c r="BP2782" s="151" t="e">
        <v>#N/A</v>
      </c>
      <c r="BQ2782">
        <v>0.11332468572476186</v>
      </c>
      <c r="BR2782" t="str">
        <v/>
      </c>
    </row>
    <row r="2783" spans="47:70" x14ac:dyDescent="0.2">
      <c r="AU2783"/>
      <c r="AV2783"/>
      <c r="AW2783"/>
      <c r="AX2783"/>
      <c r="AY2783"/>
      <c r="BK2783" s="42">
        <v>2782</v>
      </c>
      <c r="BL2783" s="127">
        <v>4</v>
      </c>
      <c r="BM2783" s="127">
        <v>0.11332468572476186</v>
      </c>
      <c r="BN2783" s="127" t="e">
        <v>#N/A</v>
      </c>
      <c r="BO2783" s="127" t="e">
        <v>#N/A</v>
      </c>
      <c r="BP2783" s="151" t="e">
        <v>#N/A</v>
      </c>
      <c r="BQ2783">
        <v>0.11332468572476186</v>
      </c>
      <c r="BR2783" t="str">
        <v/>
      </c>
    </row>
    <row r="2784" spans="47:70" x14ac:dyDescent="0.2">
      <c r="AU2784"/>
      <c r="AV2784"/>
      <c r="AW2784"/>
      <c r="AX2784"/>
      <c r="AY2784"/>
      <c r="BK2784" s="42">
        <v>2783</v>
      </c>
      <c r="BL2784" s="127">
        <v>4</v>
      </c>
      <c r="BM2784" s="127">
        <v>0.11332468572476186</v>
      </c>
      <c r="BN2784" s="127" t="e">
        <v>#N/A</v>
      </c>
      <c r="BO2784" s="127" t="e">
        <v>#N/A</v>
      </c>
      <c r="BP2784" s="151" t="e">
        <v>#N/A</v>
      </c>
      <c r="BQ2784">
        <v>0.11332468572476186</v>
      </c>
      <c r="BR2784" t="str">
        <v/>
      </c>
    </row>
    <row r="2785" spans="47:70" x14ac:dyDescent="0.2">
      <c r="AU2785"/>
      <c r="AV2785"/>
      <c r="AW2785"/>
      <c r="AX2785"/>
      <c r="AY2785"/>
      <c r="BK2785" s="42">
        <v>2784</v>
      </c>
      <c r="BL2785" s="127">
        <v>4</v>
      </c>
      <c r="BM2785" s="127">
        <v>0.11332468572476186</v>
      </c>
      <c r="BN2785" s="127" t="e">
        <v>#N/A</v>
      </c>
      <c r="BO2785" s="127" t="e">
        <v>#N/A</v>
      </c>
      <c r="BP2785" s="151" t="e">
        <v>#N/A</v>
      </c>
      <c r="BQ2785">
        <v>0.11332468572476186</v>
      </c>
      <c r="BR2785" t="str">
        <v/>
      </c>
    </row>
    <row r="2786" spans="47:70" x14ac:dyDescent="0.2">
      <c r="AU2786"/>
      <c r="AV2786"/>
      <c r="AW2786"/>
      <c r="AX2786"/>
      <c r="AY2786"/>
      <c r="BK2786" s="42">
        <v>2785</v>
      </c>
      <c r="BL2786" s="127">
        <v>4</v>
      </c>
      <c r="BM2786" s="127">
        <v>0.11332468572476186</v>
      </c>
      <c r="BN2786" s="127" t="e">
        <v>#N/A</v>
      </c>
      <c r="BO2786" s="127" t="e">
        <v>#N/A</v>
      </c>
      <c r="BP2786" s="151" t="e">
        <v>#N/A</v>
      </c>
      <c r="BQ2786">
        <v>0.11332468572476186</v>
      </c>
      <c r="BR2786" t="str">
        <v/>
      </c>
    </row>
    <row r="2787" spans="47:70" x14ac:dyDescent="0.2">
      <c r="AU2787"/>
      <c r="AV2787"/>
      <c r="AW2787"/>
      <c r="AX2787"/>
      <c r="AY2787"/>
      <c r="BK2787" s="42">
        <v>2786</v>
      </c>
      <c r="BL2787" s="127">
        <v>4</v>
      </c>
      <c r="BM2787" s="127">
        <v>0.11332468572476186</v>
      </c>
      <c r="BN2787" s="127" t="e">
        <v>#N/A</v>
      </c>
      <c r="BO2787" s="127" t="e">
        <v>#N/A</v>
      </c>
      <c r="BP2787" s="151" t="e">
        <v>#N/A</v>
      </c>
      <c r="BQ2787">
        <v>0.11332468572476186</v>
      </c>
      <c r="BR2787" t="str">
        <v/>
      </c>
    </row>
    <row r="2788" spans="47:70" x14ac:dyDescent="0.2">
      <c r="AU2788"/>
      <c r="AV2788"/>
      <c r="AW2788"/>
      <c r="AX2788"/>
      <c r="AY2788"/>
      <c r="BK2788" s="42">
        <v>2787</v>
      </c>
      <c r="BL2788" s="127">
        <v>4</v>
      </c>
      <c r="BM2788" s="127">
        <v>0.11332468572476186</v>
      </c>
      <c r="BN2788" s="127" t="e">
        <v>#N/A</v>
      </c>
      <c r="BO2788" s="127" t="e">
        <v>#N/A</v>
      </c>
      <c r="BP2788" s="151" t="e">
        <v>#N/A</v>
      </c>
      <c r="BQ2788">
        <v>0.11332468572476186</v>
      </c>
      <c r="BR2788" t="str">
        <v/>
      </c>
    </row>
    <row r="2789" spans="47:70" x14ac:dyDescent="0.2">
      <c r="AU2789"/>
      <c r="AV2789"/>
      <c r="AW2789"/>
      <c r="AX2789"/>
      <c r="AY2789"/>
      <c r="BK2789" s="42">
        <v>2788</v>
      </c>
      <c r="BL2789" s="127">
        <v>4</v>
      </c>
      <c r="BM2789" s="127">
        <v>0.11332468572476186</v>
      </c>
      <c r="BN2789" s="127" t="e">
        <v>#N/A</v>
      </c>
      <c r="BO2789" s="127" t="e">
        <v>#N/A</v>
      </c>
      <c r="BP2789" s="151" t="e">
        <v>#N/A</v>
      </c>
      <c r="BQ2789">
        <v>0.11332468572476186</v>
      </c>
      <c r="BR2789" t="str">
        <v/>
      </c>
    </row>
    <row r="2790" spans="47:70" x14ac:dyDescent="0.2">
      <c r="AU2790"/>
      <c r="AV2790"/>
      <c r="AW2790"/>
      <c r="AX2790"/>
      <c r="AY2790"/>
      <c r="BK2790" s="42">
        <v>2789</v>
      </c>
      <c r="BL2790" s="127">
        <v>4</v>
      </c>
      <c r="BM2790" s="127">
        <v>0.11332468572476186</v>
      </c>
      <c r="BN2790" s="127" t="e">
        <v>#N/A</v>
      </c>
      <c r="BO2790" s="127" t="e">
        <v>#N/A</v>
      </c>
      <c r="BP2790" s="151" t="e">
        <v>#N/A</v>
      </c>
      <c r="BQ2790">
        <v>0.11332468572476186</v>
      </c>
      <c r="BR2790" t="str">
        <v/>
      </c>
    </row>
    <row r="2791" spans="47:70" x14ac:dyDescent="0.2">
      <c r="AU2791"/>
      <c r="AV2791"/>
      <c r="AW2791"/>
      <c r="AX2791"/>
      <c r="AY2791"/>
      <c r="BK2791" s="42">
        <v>2790</v>
      </c>
      <c r="BL2791" s="127">
        <v>4</v>
      </c>
      <c r="BM2791" s="127">
        <v>0.11332468572476186</v>
      </c>
      <c r="BN2791" s="127" t="e">
        <v>#N/A</v>
      </c>
      <c r="BO2791" s="127" t="e">
        <v>#N/A</v>
      </c>
      <c r="BP2791" s="151" t="e">
        <v>#N/A</v>
      </c>
      <c r="BQ2791">
        <v>0.11332468572476186</v>
      </c>
      <c r="BR2791" t="str">
        <v/>
      </c>
    </row>
    <row r="2792" spans="47:70" x14ac:dyDescent="0.2">
      <c r="AU2792"/>
      <c r="AV2792"/>
      <c r="AW2792"/>
      <c r="AX2792"/>
      <c r="AY2792"/>
      <c r="BK2792" s="42">
        <v>2791</v>
      </c>
      <c r="BL2792" s="127">
        <v>4</v>
      </c>
      <c r="BM2792" s="127">
        <v>0.11332468572476186</v>
      </c>
      <c r="BN2792" s="127" t="e">
        <v>#N/A</v>
      </c>
      <c r="BO2792" s="127" t="e">
        <v>#N/A</v>
      </c>
      <c r="BP2792" s="151" t="e">
        <v>#N/A</v>
      </c>
      <c r="BQ2792">
        <v>0.11332468572476186</v>
      </c>
      <c r="BR2792" t="str">
        <v/>
      </c>
    </row>
    <row r="2793" spans="47:70" x14ac:dyDescent="0.2">
      <c r="AU2793"/>
      <c r="AV2793"/>
      <c r="AW2793"/>
      <c r="AX2793"/>
      <c r="AY2793"/>
      <c r="BK2793" s="42">
        <v>2792</v>
      </c>
      <c r="BL2793" s="127">
        <v>4</v>
      </c>
      <c r="BM2793" s="127">
        <v>0.11332468572476186</v>
      </c>
      <c r="BN2793" s="127" t="e">
        <v>#N/A</v>
      </c>
      <c r="BO2793" s="127" t="e">
        <v>#N/A</v>
      </c>
      <c r="BP2793" s="151" t="e">
        <v>#N/A</v>
      </c>
      <c r="BQ2793">
        <v>0.11332468572476186</v>
      </c>
      <c r="BR2793" t="str">
        <v/>
      </c>
    </row>
    <row r="2794" spans="47:70" x14ac:dyDescent="0.2">
      <c r="AU2794"/>
      <c r="AV2794"/>
      <c r="AW2794"/>
      <c r="AX2794"/>
      <c r="AY2794"/>
      <c r="BK2794" s="42">
        <v>2793</v>
      </c>
      <c r="BL2794" s="127">
        <v>4</v>
      </c>
      <c r="BM2794" s="127">
        <v>0.11332468572476186</v>
      </c>
      <c r="BN2794" s="127" t="e">
        <v>#N/A</v>
      </c>
      <c r="BO2794" s="127" t="e">
        <v>#N/A</v>
      </c>
      <c r="BP2794" s="151" t="e">
        <v>#N/A</v>
      </c>
      <c r="BQ2794">
        <v>0.11332468572476186</v>
      </c>
      <c r="BR2794" t="str">
        <v/>
      </c>
    </row>
    <row r="2795" spans="47:70" x14ac:dyDescent="0.2">
      <c r="AU2795"/>
      <c r="AV2795"/>
      <c r="AW2795"/>
      <c r="AX2795"/>
      <c r="AY2795"/>
      <c r="BK2795" s="42">
        <v>2794</v>
      </c>
      <c r="BL2795" s="127">
        <v>4</v>
      </c>
      <c r="BM2795" s="127">
        <v>0.11332468572476186</v>
      </c>
      <c r="BN2795" s="127" t="e">
        <v>#N/A</v>
      </c>
      <c r="BO2795" s="127" t="e">
        <v>#N/A</v>
      </c>
      <c r="BP2795" s="151" t="e">
        <v>#N/A</v>
      </c>
      <c r="BQ2795">
        <v>0.11332468572476186</v>
      </c>
      <c r="BR2795" t="str">
        <v/>
      </c>
    </row>
    <row r="2796" spans="47:70" x14ac:dyDescent="0.2">
      <c r="AU2796"/>
      <c r="AV2796"/>
      <c r="AW2796"/>
      <c r="AX2796"/>
      <c r="AY2796"/>
      <c r="BK2796" s="42">
        <v>2795</v>
      </c>
      <c r="BL2796" s="127">
        <v>4</v>
      </c>
      <c r="BM2796" s="127">
        <v>0.11332468572476186</v>
      </c>
      <c r="BN2796" s="127" t="e">
        <v>#N/A</v>
      </c>
      <c r="BO2796" s="127" t="e">
        <v>#N/A</v>
      </c>
      <c r="BP2796" s="151" t="e">
        <v>#N/A</v>
      </c>
      <c r="BQ2796">
        <v>0.11332468572476186</v>
      </c>
      <c r="BR2796" t="str">
        <v/>
      </c>
    </row>
    <row r="2797" spans="47:70" x14ac:dyDescent="0.2">
      <c r="AU2797"/>
      <c r="AV2797"/>
      <c r="AW2797"/>
      <c r="AX2797"/>
      <c r="AY2797"/>
      <c r="BK2797" s="42">
        <v>2796</v>
      </c>
      <c r="BL2797" s="127">
        <v>4</v>
      </c>
      <c r="BM2797" s="127">
        <v>0.11332468572476186</v>
      </c>
      <c r="BN2797" s="127" t="e">
        <v>#N/A</v>
      </c>
      <c r="BO2797" s="127" t="e">
        <v>#N/A</v>
      </c>
      <c r="BP2797" s="151" t="e">
        <v>#N/A</v>
      </c>
      <c r="BQ2797">
        <v>0.11332468572476186</v>
      </c>
      <c r="BR2797" t="str">
        <v/>
      </c>
    </row>
    <row r="2798" spans="47:70" x14ac:dyDescent="0.2">
      <c r="AU2798"/>
      <c r="AV2798"/>
      <c r="AW2798"/>
      <c r="AX2798"/>
      <c r="AY2798"/>
      <c r="BK2798" s="42">
        <v>2797</v>
      </c>
      <c r="BL2798" s="127">
        <v>4</v>
      </c>
      <c r="BM2798" s="127">
        <v>0.11332468572476186</v>
      </c>
      <c r="BN2798" s="127" t="e">
        <v>#N/A</v>
      </c>
      <c r="BO2798" s="127" t="e">
        <v>#N/A</v>
      </c>
      <c r="BP2798" s="151" t="e">
        <v>#N/A</v>
      </c>
      <c r="BQ2798">
        <v>0.11332468572476186</v>
      </c>
      <c r="BR2798" t="str">
        <v/>
      </c>
    </row>
    <row r="2799" spans="47:70" x14ac:dyDescent="0.2">
      <c r="AU2799"/>
      <c r="AV2799"/>
      <c r="AW2799"/>
      <c r="AX2799"/>
      <c r="AY2799"/>
      <c r="BK2799" s="42">
        <v>2798</v>
      </c>
      <c r="BL2799" s="127">
        <v>4</v>
      </c>
      <c r="BM2799" s="127">
        <v>0.11332468572476186</v>
      </c>
      <c r="BN2799" s="127" t="e">
        <v>#N/A</v>
      </c>
      <c r="BO2799" s="127" t="e">
        <v>#N/A</v>
      </c>
      <c r="BP2799" s="151" t="e">
        <v>#N/A</v>
      </c>
      <c r="BQ2799">
        <v>0.11332468572476186</v>
      </c>
      <c r="BR2799" t="str">
        <v/>
      </c>
    </row>
    <row r="2800" spans="47:70" x14ac:dyDescent="0.2">
      <c r="AU2800"/>
      <c r="AV2800"/>
      <c r="AW2800"/>
      <c r="AX2800"/>
      <c r="AY2800"/>
      <c r="BK2800" s="42">
        <v>2799</v>
      </c>
      <c r="BL2800" s="127">
        <v>4</v>
      </c>
      <c r="BM2800" s="127">
        <v>0.11332468572476186</v>
      </c>
      <c r="BN2800" s="127" t="e">
        <v>#N/A</v>
      </c>
      <c r="BO2800" s="127" t="e">
        <v>#N/A</v>
      </c>
      <c r="BP2800" s="151" t="e">
        <v>#N/A</v>
      </c>
      <c r="BQ2800">
        <v>0.11332468572476186</v>
      </c>
      <c r="BR2800" t="str">
        <v/>
      </c>
    </row>
    <row r="2801" spans="47:70" x14ac:dyDescent="0.2">
      <c r="AU2801"/>
      <c r="AV2801"/>
      <c r="AW2801"/>
      <c r="AX2801"/>
      <c r="AY2801"/>
      <c r="BK2801" s="42">
        <v>2800</v>
      </c>
      <c r="BL2801" s="127">
        <v>4</v>
      </c>
      <c r="BM2801" s="127">
        <v>0.11332468572476186</v>
      </c>
      <c r="BN2801" s="127" t="e">
        <v>#N/A</v>
      </c>
      <c r="BO2801" s="127" t="e">
        <v>#N/A</v>
      </c>
      <c r="BP2801" s="151" t="e">
        <v>#N/A</v>
      </c>
      <c r="BQ2801">
        <v>0.11332468572476186</v>
      </c>
      <c r="BR2801" t="str">
        <v/>
      </c>
    </row>
    <row r="2802" spans="47:70" x14ac:dyDescent="0.2">
      <c r="AU2802"/>
      <c r="AV2802"/>
      <c r="AW2802"/>
      <c r="AX2802"/>
      <c r="AY2802"/>
      <c r="BK2802" s="42">
        <v>2801</v>
      </c>
      <c r="BL2802" s="127">
        <v>4</v>
      </c>
      <c r="BM2802" s="127">
        <v>0.11332468572476186</v>
      </c>
      <c r="BN2802" s="127" t="e">
        <v>#N/A</v>
      </c>
      <c r="BO2802" s="127" t="e">
        <v>#N/A</v>
      </c>
      <c r="BP2802" s="151" t="e">
        <v>#N/A</v>
      </c>
      <c r="BQ2802">
        <v>0.11332468572476186</v>
      </c>
      <c r="BR2802" t="str">
        <v/>
      </c>
    </row>
    <row r="2803" spans="47:70" x14ac:dyDescent="0.2">
      <c r="AU2803"/>
      <c r="AV2803"/>
      <c r="AW2803"/>
      <c r="AX2803"/>
      <c r="AY2803"/>
      <c r="BK2803" s="42">
        <v>2802</v>
      </c>
      <c r="BL2803" s="127">
        <v>4</v>
      </c>
      <c r="BM2803" s="127">
        <v>0.11332468572476186</v>
      </c>
      <c r="BN2803" s="127" t="e">
        <v>#N/A</v>
      </c>
      <c r="BO2803" s="127" t="e">
        <v>#N/A</v>
      </c>
      <c r="BP2803" s="151" t="e">
        <v>#N/A</v>
      </c>
      <c r="BQ2803">
        <v>0.11332468572476186</v>
      </c>
      <c r="BR2803" t="str">
        <v/>
      </c>
    </row>
    <row r="2804" spans="47:70" x14ac:dyDescent="0.2">
      <c r="AU2804"/>
      <c r="AV2804"/>
      <c r="AW2804"/>
      <c r="AX2804"/>
      <c r="AY2804"/>
      <c r="BK2804" s="42">
        <v>2803</v>
      </c>
      <c r="BL2804" s="127">
        <v>4</v>
      </c>
      <c r="BM2804" s="127">
        <v>0.11332468572476186</v>
      </c>
      <c r="BN2804" s="127" t="e">
        <v>#N/A</v>
      </c>
      <c r="BO2804" s="127" t="e">
        <v>#N/A</v>
      </c>
      <c r="BP2804" s="151" t="e">
        <v>#N/A</v>
      </c>
      <c r="BQ2804">
        <v>0.11332468572476186</v>
      </c>
      <c r="BR2804" t="str">
        <v/>
      </c>
    </row>
    <row r="2805" spans="47:70" x14ac:dyDescent="0.2">
      <c r="AU2805"/>
      <c r="AV2805"/>
      <c r="AW2805"/>
      <c r="AX2805"/>
      <c r="AY2805"/>
      <c r="BK2805" s="42">
        <v>2804</v>
      </c>
      <c r="BL2805" s="127">
        <v>4</v>
      </c>
      <c r="BM2805" s="127">
        <v>0.11332468572476186</v>
      </c>
      <c r="BN2805" s="127" t="e">
        <v>#N/A</v>
      </c>
      <c r="BO2805" s="127" t="e">
        <v>#N/A</v>
      </c>
      <c r="BP2805" s="151" t="e">
        <v>#N/A</v>
      </c>
      <c r="BQ2805">
        <v>0.11332468572476186</v>
      </c>
      <c r="BR2805" t="str">
        <v/>
      </c>
    </row>
    <row r="2806" spans="47:70" x14ac:dyDescent="0.2">
      <c r="AU2806"/>
      <c r="AV2806"/>
      <c r="AW2806"/>
      <c r="AX2806"/>
      <c r="AY2806"/>
      <c r="BK2806" s="42">
        <v>2805</v>
      </c>
      <c r="BL2806" s="127">
        <v>4</v>
      </c>
      <c r="BM2806" s="127">
        <v>0.11332468572476186</v>
      </c>
      <c r="BN2806" s="127" t="e">
        <v>#N/A</v>
      </c>
      <c r="BO2806" s="127" t="e">
        <v>#N/A</v>
      </c>
      <c r="BP2806" s="151" t="e">
        <v>#N/A</v>
      </c>
      <c r="BQ2806">
        <v>0.11332468572476186</v>
      </c>
      <c r="BR2806" t="str">
        <v/>
      </c>
    </row>
    <row r="2807" spans="47:70" x14ac:dyDescent="0.2">
      <c r="AU2807"/>
      <c r="AV2807"/>
      <c r="AW2807"/>
      <c r="AX2807"/>
      <c r="AY2807"/>
      <c r="BK2807" s="42">
        <v>2806</v>
      </c>
      <c r="BL2807" s="127">
        <v>4</v>
      </c>
      <c r="BM2807" s="127">
        <v>0.11332468572476186</v>
      </c>
      <c r="BN2807" s="127" t="e">
        <v>#N/A</v>
      </c>
      <c r="BO2807" s="127" t="e">
        <v>#N/A</v>
      </c>
      <c r="BP2807" s="151" t="e">
        <v>#N/A</v>
      </c>
      <c r="BQ2807">
        <v>0.11332468572476186</v>
      </c>
      <c r="BR2807" t="str">
        <v/>
      </c>
    </row>
    <row r="2808" spans="47:70" x14ac:dyDescent="0.2">
      <c r="AU2808"/>
      <c r="AV2808"/>
      <c r="AW2808"/>
      <c r="AX2808"/>
      <c r="AY2808"/>
      <c r="BK2808" s="42">
        <v>2807</v>
      </c>
      <c r="BL2808" s="127">
        <v>4</v>
      </c>
      <c r="BM2808" s="127">
        <v>0.11332468572476186</v>
      </c>
      <c r="BN2808" s="127" t="e">
        <v>#N/A</v>
      </c>
      <c r="BO2808" s="127" t="e">
        <v>#N/A</v>
      </c>
      <c r="BP2808" s="151" t="e">
        <v>#N/A</v>
      </c>
      <c r="BQ2808">
        <v>0.11332468572476186</v>
      </c>
      <c r="BR2808" t="str">
        <v/>
      </c>
    </row>
    <row r="2809" spans="47:70" x14ac:dyDescent="0.2">
      <c r="AU2809"/>
      <c r="AV2809"/>
      <c r="AW2809"/>
      <c r="AX2809"/>
      <c r="AY2809"/>
      <c r="BK2809" s="42">
        <v>2808</v>
      </c>
      <c r="BL2809" s="127">
        <v>4</v>
      </c>
      <c r="BM2809" s="127">
        <v>0.11332468572476186</v>
      </c>
      <c r="BN2809" s="127" t="e">
        <v>#N/A</v>
      </c>
      <c r="BO2809" s="127" t="e">
        <v>#N/A</v>
      </c>
      <c r="BP2809" s="151" t="e">
        <v>#N/A</v>
      </c>
      <c r="BQ2809">
        <v>0.11332468572476186</v>
      </c>
      <c r="BR2809" t="str">
        <v/>
      </c>
    </row>
    <row r="2810" spans="47:70" x14ac:dyDescent="0.2">
      <c r="AU2810"/>
      <c r="AV2810"/>
      <c r="AW2810"/>
      <c r="AX2810"/>
      <c r="AY2810"/>
      <c r="BK2810" s="42">
        <v>2809</v>
      </c>
      <c r="BL2810" s="127">
        <v>4</v>
      </c>
      <c r="BM2810" s="127">
        <v>0.11332468572476186</v>
      </c>
      <c r="BN2810" s="127" t="e">
        <v>#N/A</v>
      </c>
      <c r="BO2810" s="127" t="e">
        <v>#N/A</v>
      </c>
      <c r="BP2810" s="151" t="e">
        <v>#N/A</v>
      </c>
      <c r="BQ2810">
        <v>0.11332468572476186</v>
      </c>
      <c r="BR2810" t="str">
        <v/>
      </c>
    </row>
    <row r="2811" spans="47:70" x14ac:dyDescent="0.2">
      <c r="AU2811"/>
      <c r="AV2811"/>
      <c r="AW2811"/>
      <c r="AX2811"/>
      <c r="AY2811"/>
      <c r="BK2811" s="42">
        <v>2810</v>
      </c>
      <c r="BL2811" s="127">
        <v>4</v>
      </c>
      <c r="BM2811" s="127">
        <v>0.11332468572476186</v>
      </c>
      <c r="BN2811" s="127" t="e">
        <v>#N/A</v>
      </c>
      <c r="BO2811" s="127" t="e">
        <v>#N/A</v>
      </c>
      <c r="BP2811" s="151" t="e">
        <v>#N/A</v>
      </c>
      <c r="BQ2811">
        <v>0.11332468572476186</v>
      </c>
      <c r="BR2811" t="str">
        <v/>
      </c>
    </row>
    <row r="2812" spans="47:70" x14ac:dyDescent="0.2">
      <c r="AU2812"/>
      <c r="AV2812"/>
      <c r="AW2812"/>
      <c r="AX2812"/>
      <c r="AY2812"/>
      <c r="BK2812" s="42">
        <v>2811</v>
      </c>
      <c r="BL2812" s="127">
        <v>4</v>
      </c>
      <c r="BM2812" s="127">
        <v>0.11332468572476186</v>
      </c>
      <c r="BN2812" s="127" t="e">
        <v>#N/A</v>
      </c>
      <c r="BO2812" s="127" t="e">
        <v>#N/A</v>
      </c>
      <c r="BP2812" s="151" t="e">
        <v>#N/A</v>
      </c>
      <c r="BQ2812">
        <v>0.11332468572476186</v>
      </c>
      <c r="BR2812" t="str">
        <v/>
      </c>
    </row>
    <row r="2813" spans="47:70" x14ac:dyDescent="0.2">
      <c r="AU2813"/>
      <c r="AV2813"/>
      <c r="AW2813"/>
      <c r="AX2813"/>
      <c r="AY2813"/>
      <c r="BK2813" s="42">
        <v>2812</v>
      </c>
      <c r="BL2813" s="127">
        <v>4</v>
      </c>
      <c r="BM2813" s="127">
        <v>0.11332468572476186</v>
      </c>
      <c r="BN2813" s="127" t="e">
        <v>#N/A</v>
      </c>
      <c r="BO2813" s="127" t="e">
        <v>#N/A</v>
      </c>
      <c r="BP2813" s="151" t="e">
        <v>#N/A</v>
      </c>
      <c r="BQ2813">
        <v>0.11332468572476186</v>
      </c>
      <c r="BR2813" t="str">
        <v/>
      </c>
    </row>
    <row r="2814" spans="47:70" x14ac:dyDescent="0.2">
      <c r="AU2814"/>
      <c r="AV2814"/>
      <c r="AW2814"/>
      <c r="AX2814"/>
      <c r="AY2814"/>
      <c r="BK2814" s="42">
        <v>2813</v>
      </c>
      <c r="BL2814" s="127">
        <v>4</v>
      </c>
      <c r="BM2814" s="127">
        <v>0.11332468572476186</v>
      </c>
      <c r="BN2814" s="127" t="e">
        <v>#N/A</v>
      </c>
      <c r="BO2814" s="127" t="e">
        <v>#N/A</v>
      </c>
      <c r="BP2814" s="151" t="e">
        <v>#N/A</v>
      </c>
      <c r="BQ2814">
        <v>0.11332468572476186</v>
      </c>
      <c r="BR2814" t="str">
        <v/>
      </c>
    </row>
    <row r="2815" spans="47:70" x14ac:dyDescent="0.2">
      <c r="AU2815"/>
      <c r="AV2815"/>
      <c r="AW2815"/>
      <c r="AX2815"/>
      <c r="AY2815"/>
      <c r="BK2815" s="42">
        <v>2814</v>
      </c>
      <c r="BL2815" s="127">
        <v>4</v>
      </c>
      <c r="BM2815" s="127">
        <v>0.11332468572476186</v>
      </c>
      <c r="BN2815" s="127" t="e">
        <v>#N/A</v>
      </c>
      <c r="BO2815" s="127" t="e">
        <v>#N/A</v>
      </c>
      <c r="BP2815" s="151" t="e">
        <v>#N/A</v>
      </c>
      <c r="BQ2815">
        <v>0.11332468572476186</v>
      </c>
      <c r="BR2815" t="str">
        <v/>
      </c>
    </row>
    <row r="2816" spans="47:70" x14ac:dyDescent="0.2">
      <c r="AU2816"/>
      <c r="AV2816"/>
      <c r="AW2816"/>
      <c r="AX2816"/>
      <c r="AY2816"/>
      <c r="BK2816" s="42">
        <v>2815</v>
      </c>
      <c r="BL2816" s="127">
        <v>4</v>
      </c>
      <c r="BM2816" s="127">
        <v>0.11332468572476186</v>
      </c>
      <c r="BN2816" s="127" t="e">
        <v>#N/A</v>
      </c>
      <c r="BO2816" s="127" t="e">
        <v>#N/A</v>
      </c>
      <c r="BP2816" s="151" t="e">
        <v>#N/A</v>
      </c>
      <c r="BQ2816">
        <v>0.11332468572476186</v>
      </c>
      <c r="BR2816" t="str">
        <v/>
      </c>
    </row>
    <row r="2817" spans="47:70" x14ac:dyDescent="0.2">
      <c r="AU2817"/>
      <c r="AV2817"/>
      <c r="AW2817"/>
      <c r="AX2817"/>
      <c r="AY2817"/>
      <c r="BK2817" s="42">
        <v>2816</v>
      </c>
      <c r="BL2817" s="127">
        <v>4</v>
      </c>
      <c r="BM2817" s="127">
        <v>0.11332468572476186</v>
      </c>
      <c r="BN2817" s="127" t="e">
        <v>#N/A</v>
      </c>
      <c r="BO2817" s="127" t="e">
        <v>#N/A</v>
      </c>
      <c r="BP2817" s="151" t="e">
        <v>#N/A</v>
      </c>
      <c r="BQ2817">
        <v>0.11332468572476186</v>
      </c>
      <c r="BR2817" t="str">
        <v/>
      </c>
    </row>
    <row r="2818" spans="47:70" x14ac:dyDescent="0.2">
      <c r="AU2818"/>
      <c r="AV2818"/>
      <c r="AW2818"/>
      <c r="AX2818"/>
      <c r="AY2818"/>
      <c r="BK2818" s="42">
        <v>2817</v>
      </c>
      <c r="BL2818" s="127">
        <v>4</v>
      </c>
      <c r="BM2818" s="127">
        <v>0.11332468572476186</v>
      </c>
      <c r="BN2818" s="127" t="e">
        <v>#N/A</v>
      </c>
      <c r="BO2818" s="127" t="e">
        <v>#N/A</v>
      </c>
      <c r="BP2818" s="151" t="e">
        <v>#N/A</v>
      </c>
      <c r="BQ2818">
        <v>0.11332468572476186</v>
      </c>
      <c r="BR2818" t="str">
        <v/>
      </c>
    </row>
    <row r="2819" spans="47:70" x14ac:dyDescent="0.2">
      <c r="AU2819"/>
      <c r="AV2819"/>
      <c r="AW2819"/>
      <c r="AX2819"/>
      <c r="AY2819"/>
      <c r="BK2819" s="42">
        <v>2818</v>
      </c>
      <c r="BL2819" s="127">
        <v>4</v>
      </c>
      <c r="BM2819" s="127">
        <v>0.11332468572476186</v>
      </c>
      <c r="BN2819" s="127" t="e">
        <v>#N/A</v>
      </c>
      <c r="BO2819" s="127" t="e">
        <v>#N/A</v>
      </c>
      <c r="BP2819" s="151" t="e">
        <v>#N/A</v>
      </c>
      <c r="BQ2819">
        <v>0.11332468572476186</v>
      </c>
      <c r="BR2819" t="str">
        <v/>
      </c>
    </row>
    <row r="2820" spans="47:70" x14ac:dyDescent="0.2">
      <c r="AU2820"/>
      <c r="AV2820"/>
      <c r="AW2820"/>
      <c r="AX2820"/>
      <c r="AY2820"/>
      <c r="BK2820" s="42">
        <v>2819</v>
      </c>
      <c r="BL2820" s="127">
        <v>4</v>
      </c>
      <c r="BM2820" s="127">
        <v>0.11332468572476186</v>
      </c>
      <c r="BN2820" s="127" t="e">
        <v>#N/A</v>
      </c>
      <c r="BO2820" s="127" t="e">
        <v>#N/A</v>
      </c>
      <c r="BP2820" s="151" t="e">
        <v>#N/A</v>
      </c>
      <c r="BQ2820">
        <v>0.11332468572476186</v>
      </c>
      <c r="BR2820" t="str">
        <v/>
      </c>
    </row>
    <row r="2821" spans="47:70" x14ac:dyDescent="0.2">
      <c r="AU2821"/>
      <c r="AV2821"/>
      <c r="AW2821"/>
      <c r="AX2821"/>
      <c r="AY2821"/>
      <c r="BK2821" s="42">
        <v>2820</v>
      </c>
      <c r="BL2821" s="127">
        <v>4</v>
      </c>
      <c r="BM2821" s="127">
        <v>0.11332468572476186</v>
      </c>
      <c r="BN2821" s="127" t="e">
        <v>#N/A</v>
      </c>
      <c r="BO2821" s="127" t="e">
        <v>#N/A</v>
      </c>
      <c r="BP2821" s="151" t="e">
        <v>#N/A</v>
      </c>
      <c r="BQ2821">
        <v>0.11332468572476186</v>
      </c>
      <c r="BR2821" t="str">
        <v/>
      </c>
    </row>
    <row r="2822" spans="47:70" x14ac:dyDescent="0.2">
      <c r="AU2822"/>
      <c r="AV2822"/>
      <c r="AW2822"/>
      <c r="AX2822"/>
      <c r="AY2822"/>
      <c r="BK2822" s="42">
        <v>2821</v>
      </c>
      <c r="BL2822" s="127">
        <v>4</v>
      </c>
      <c r="BM2822" s="127">
        <v>0.11332468572476186</v>
      </c>
      <c r="BN2822" s="127" t="e">
        <v>#N/A</v>
      </c>
      <c r="BO2822" s="127" t="e">
        <v>#N/A</v>
      </c>
      <c r="BP2822" s="151" t="e">
        <v>#N/A</v>
      </c>
      <c r="BQ2822">
        <v>0.11332468572476186</v>
      </c>
      <c r="BR2822" t="str">
        <v/>
      </c>
    </row>
    <row r="2823" spans="47:70" x14ac:dyDescent="0.2">
      <c r="AU2823"/>
      <c r="AV2823"/>
      <c r="AW2823"/>
      <c r="AX2823"/>
      <c r="AY2823"/>
      <c r="BK2823" s="42">
        <v>2822</v>
      </c>
      <c r="BL2823" s="127">
        <v>4</v>
      </c>
      <c r="BM2823" s="127">
        <v>0.11332468572476186</v>
      </c>
      <c r="BN2823" s="127" t="e">
        <v>#N/A</v>
      </c>
      <c r="BO2823" s="127" t="e">
        <v>#N/A</v>
      </c>
      <c r="BP2823" s="151" t="e">
        <v>#N/A</v>
      </c>
      <c r="BQ2823">
        <v>0.11332468572476186</v>
      </c>
      <c r="BR2823" t="str">
        <v/>
      </c>
    </row>
    <row r="2824" spans="47:70" x14ac:dyDescent="0.2">
      <c r="AU2824"/>
      <c r="AV2824"/>
      <c r="AW2824"/>
      <c r="AX2824"/>
      <c r="AY2824"/>
      <c r="BK2824" s="42">
        <v>2823</v>
      </c>
      <c r="BL2824" s="127">
        <v>4</v>
      </c>
      <c r="BM2824" s="127">
        <v>0.11332468572476186</v>
      </c>
      <c r="BN2824" s="127" t="e">
        <v>#N/A</v>
      </c>
      <c r="BO2824" s="127" t="e">
        <v>#N/A</v>
      </c>
      <c r="BP2824" s="151" t="e">
        <v>#N/A</v>
      </c>
      <c r="BQ2824">
        <v>0.11332468572476186</v>
      </c>
      <c r="BR2824" t="str">
        <v/>
      </c>
    </row>
    <row r="2825" spans="47:70" x14ac:dyDescent="0.2">
      <c r="AU2825"/>
      <c r="AV2825"/>
      <c r="AW2825"/>
      <c r="AX2825"/>
      <c r="AY2825"/>
      <c r="BK2825" s="42">
        <v>2824</v>
      </c>
      <c r="BL2825" s="127">
        <v>4</v>
      </c>
      <c r="BM2825" s="127">
        <v>0.11332468572476186</v>
      </c>
      <c r="BN2825" s="127" t="e">
        <v>#N/A</v>
      </c>
      <c r="BO2825" s="127" t="e">
        <v>#N/A</v>
      </c>
      <c r="BP2825" s="151" t="e">
        <v>#N/A</v>
      </c>
      <c r="BQ2825">
        <v>0.11332468572476186</v>
      </c>
      <c r="BR2825" t="str">
        <v/>
      </c>
    </row>
    <row r="2826" spans="47:70" x14ac:dyDescent="0.2">
      <c r="AU2826"/>
      <c r="AV2826"/>
      <c r="AW2826"/>
      <c r="AX2826"/>
      <c r="AY2826"/>
      <c r="BK2826" s="42">
        <v>2825</v>
      </c>
      <c r="BL2826" s="127">
        <v>4</v>
      </c>
      <c r="BM2826" s="127">
        <v>0.11332468572476186</v>
      </c>
      <c r="BN2826" s="127" t="e">
        <v>#N/A</v>
      </c>
      <c r="BO2826" s="127" t="e">
        <v>#N/A</v>
      </c>
      <c r="BP2826" s="151" t="e">
        <v>#N/A</v>
      </c>
      <c r="BQ2826">
        <v>0.11332468572476186</v>
      </c>
      <c r="BR2826" t="str">
        <v/>
      </c>
    </row>
    <row r="2827" spans="47:70" x14ac:dyDescent="0.2">
      <c r="AU2827"/>
      <c r="AV2827"/>
      <c r="AW2827"/>
      <c r="AX2827"/>
      <c r="AY2827"/>
      <c r="BK2827" s="42">
        <v>2826</v>
      </c>
      <c r="BL2827" s="127">
        <v>4</v>
      </c>
      <c r="BM2827" s="127">
        <v>0.11332468572476186</v>
      </c>
      <c r="BN2827" s="127" t="e">
        <v>#N/A</v>
      </c>
      <c r="BO2827" s="127" t="e">
        <v>#N/A</v>
      </c>
      <c r="BP2827" s="151" t="e">
        <v>#N/A</v>
      </c>
      <c r="BQ2827">
        <v>0.11332468572476186</v>
      </c>
      <c r="BR2827" t="str">
        <v/>
      </c>
    </row>
    <row r="2828" spans="47:70" x14ac:dyDescent="0.2">
      <c r="AU2828"/>
      <c r="AV2828"/>
      <c r="AW2828"/>
      <c r="AX2828"/>
      <c r="AY2828"/>
      <c r="BK2828" s="42">
        <v>2827</v>
      </c>
      <c r="BL2828" s="127">
        <v>4</v>
      </c>
      <c r="BM2828" s="127">
        <v>0.11332468572476186</v>
      </c>
      <c r="BN2828" s="127" t="e">
        <v>#N/A</v>
      </c>
      <c r="BO2828" s="127" t="e">
        <v>#N/A</v>
      </c>
      <c r="BP2828" s="151" t="e">
        <v>#N/A</v>
      </c>
      <c r="BQ2828">
        <v>0.11332468572476186</v>
      </c>
      <c r="BR2828" t="str">
        <v/>
      </c>
    </row>
    <row r="2829" spans="47:70" x14ac:dyDescent="0.2">
      <c r="AU2829"/>
      <c r="AV2829"/>
      <c r="AW2829"/>
      <c r="AX2829"/>
      <c r="AY2829"/>
      <c r="BK2829" s="42">
        <v>2828</v>
      </c>
      <c r="BL2829" s="127">
        <v>4</v>
      </c>
      <c r="BM2829" s="127">
        <v>0.11332468572476186</v>
      </c>
      <c r="BN2829" s="127" t="e">
        <v>#N/A</v>
      </c>
      <c r="BO2829" s="127" t="e">
        <v>#N/A</v>
      </c>
      <c r="BP2829" s="151" t="e">
        <v>#N/A</v>
      </c>
      <c r="BQ2829">
        <v>0.11332468572476186</v>
      </c>
      <c r="BR2829" t="str">
        <v/>
      </c>
    </row>
    <row r="2830" spans="47:70" x14ac:dyDescent="0.2">
      <c r="AU2830"/>
      <c r="AV2830"/>
      <c r="AW2830"/>
      <c r="AX2830"/>
      <c r="AY2830"/>
      <c r="BK2830" s="42">
        <v>2829</v>
      </c>
      <c r="BL2830" s="127">
        <v>4</v>
      </c>
      <c r="BM2830" s="127">
        <v>0.11332468572476186</v>
      </c>
      <c r="BN2830" s="127" t="e">
        <v>#N/A</v>
      </c>
      <c r="BO2830" s="127" t="e">
        <v>#N/A</v>
      </c>
      <c r="BP2830" s="151" t="e">
        <v>#N/A</v>
      </c>
      <c r="BQ2830">
        <v>0.11332468572476186</v>
      </c>
      <c r="BR2830" t="str">
        <v/>
      </c>
    </row>
    <row r="2831" spans="47:70" x14ac:dyDescent="0.2">
      <c r="AU2831"/>
      <c r="AV2831"/>
      <c r="AW2831"/>
      <c r="AX2831"/>
      <c r="AY2831"/>
      <c r="BK2831" s="42">
        <v>2830</v>
      </c>
      <c r="BL2831" s="127">
        <v>4</v>
      </c>
      <c r="BM2831" s="127">
        <v>0.11332468572476186</v>
      </c>
      <c r="BN2831" s="127" t="e">
        <v>#N/A</v>
      </c>
      <c r="BO2831" s="127" t="e">
        <v>#N/A</v>
      </c>
      <c r="BP2831" s="151" t="e">
        <v>#N/A</v>
      </c>
      <c r="BQ2831">
        <v>0.11332468572476186</v>
      </c>
      <c r="BR2831" t="str">
        <v/>
      </c>
    </row>
    <row r="2832" spans="47:70" x14ac:dyDescent="0.2">
      <c r="AU2832"/>
      <c r="AV2832"/>
      <c r="AW2832"/>
      <c r="AX2832"/>
      <c r="AY2832"/>
      <c r="BK2832" s="42">
        <v>2831</v>
      </c>
      <c r="BL2832" s="127">
        <v>4</v>
      </c>
      <c r="BM2832" s="127">
        <v>0.11332468572476186</v>
      </c>
      <c r="BN2832" s="127" t="e">
        <v>#N/A</v>
      </c>
      <c r="BO2832" s="127" t="e">
        <v>#N/A</v>
      </c>
      <c r="BP2832" s="151" t="e">
        <v>#N/A</v>
      </c>
      <c r="BQ2832">
        <v>0.11332468572476186</v>
      </c>
      <c r="BR2832" t="str">
        <v/>
      </c>
    </row>
    <row r="2833" spans="47:70" x14ac:dyDescent="0.2">
      <c r="AU2833"/>
      <c r="AV2833"/>
      <c r="AW2833"/>
      <c r="AX2833"/>
      <c r="AY2833"/>
      <c r="BK2833" s="42">
        <v>2832</v>
      </c>
      <c r="BL2833" s="127">
        <v>4</v>
      </c>
      <c r="BM2833" s="127">
        <v>0.11332468572476186</v>
      </c>
      <c r="BN2833" s="127" t="e">
        <v>#N/A</v>
      </c>
      <c r="BO2833" s="127" t="e">
        <v>#N/A</v>
      </c>
      <c r="BP2833" s="151" t="e">
        <v>#N/A</v>
      </c>
      <c r="BQ2833">
        <v>0.11332468572476186</v>
      </c>
      <c r="BR2833" t="str">
        <v/>
      </c>
    </row>
    <row r="2834" spans="47:70" x14ac:dyDescent="0.2">
      <c r="AU2834"/>
      <c r="AV2834"/>
      <c r="AW2834"/>
      <c r="AX2834"/>
      <c r="AY2834"/>
      <c r="BK2834" s="42">
        <v>2833</v>
      </c>
      <c r="BL2834" s="127">
        <v>4</v>
      </c>
      <c r="BM2834" s="127">
        <v>0.11332468572476186</v>
      </c>
      <c r="BN2834" s="127" t="e">
        <v>#N/A</v>
      </c>
      <c r="BO2834" s="127" t="e">
        <v>#N/A</v>
      </c>
      <c r="BP2834" s="151" t="e">
        <v>#N/A</v>
      </c>
      <c r="BQ2834">
        <v>0.11332468572476186</v>
      </c>
      <c r="BR2834" t="str">
        <v/>
      </c>
    </row>
    <row r="2835" spans="47:70" x14ac:dyDescent="0.2">
      <c r="AU2835"/>
      <c r="AV2835"/>
      <c r="AW2835"/>
      <c r="AX2835"/>
      <c r="AY2835"/>
      <c r="BK2835" s="42">
        <v>2834</v>
      </c>
      <c r="BL2835" s="127">
        <v>4</v>
      </c>
      <c r="BM2835" s="127">
        <v>0.11332468572476186</v>
      </c>
      <c r="BN2835" s="127" t="e">
        <v>#N/A</v>
      </c>
      <c r="BO2835" s="127" t="e">
        <v>#N/A</v>
      </c>
      <c r="BP2835" s="151" t="e">
        <v>#N/A</v>
      </c>
      <c r="BQ2835">
        <v>0.11332468572476186</v>
      </c>
      <c r="BR2835" t="str">
        <v/>
      </c>
    </row>
    <row r="2836" spans="47:70" x14ac:dyDescent="0.2">
      <c r="AU2836"/>
      <c r="AV2836"/>
      <c r="AW2836"/>
      <c r="AX2836"/>
      <c r="AY2836"/>
      <c r="BK2836" s="42">
        <v>2835</v>
      </c>
      <c r="BL2836" s="127">
        <v>4</v>
      </c>
      <c r="BM2836" s="127">
        <v>0.11332468572476186</v>
      </c>
      <c r="BN2836" s="127" t="e">
        <v>#N/A</v>
      </c>
      <c r="BO2836" s="127" t="e">
        <v>#N/A</v>
      </c>
      <c r="BP2836" s="151" t="e">
        <v>#N/A</v>
      </c>
      <c r="BQ2836">
        <v>0.11332468572476186</v>
      </c>
      <c r="BR2836" t="str">
        <v/>
      </c>
    </row>
    <row r="2837" spans="47:70" x14ac:dyDescent="0.2">
      <c r="AU2837"/>
      <c r="AV2837"/>
      <c r="AW2837"/>
      <c r="AX2837"/>
      <c r="AY2837"/>
      <c r="BK2837" s="42">
        <v>2836</v>
      </c>
      <c r="BL2837" s="127">
        <v>4</v>
      </c>
      <c r="BM2837" s="127">
        <v>0.11332468572476186</v>
      </c>
      <c r="BN2837" s="127" t="e">
        <v>#N/A</v>
      </c>
      <c r="BO2837" s="127" t="e">
        <v>#N/A</v>
      </c>
      <c r="BP2837" s="151" t="e">
        <v>#N/A</v>
      </c>
      <c r="BQ2837">
        <v>0.11332468572476186</v>
      </c>
      <c r="BR2837" t="str">
        <v/>
      </c>
    </row>
    <row r="2838" spans="47:70" x14ac:dyDescent="0.2">
      <c r="AU2838"/>
      <c r="AV2838"/>
      <c r="AW2838"/>
      <c r="AX2838"/>
      <c r="AY2838"/>
      <c r="BK2838" s="42">
        <v>2837</v>
      </c>
      <c r="BL2838" s="127">
        <v>4</v>
      </c>
      <c r="BM2838" s="127">
        <v>0.11332468572476186</v>
      </c>
      <c r="BN2838" s="127" t="e">
        <v>#N/A</v>
      </c>
      <c r="BO2838" s="127" t="e">
        <v>#N/A</v>
      </c>
      <c r="BP2838" s="151" t="e">
        <v>#N/A</v>
      </c>
      <c r="BQ2838">
        <v>0.11332468572476186</v>
      </c>
      <c r="BR2838" t="str">
        <v/>
      </c>
    </row>
    <row r="2839" spans="47:70" x14ac:dyDescent="0.2">
      <c r="AU2839"/>
      <c r="AV2839"/>
      <c r="AW2839"/>
      <c r="AX2839"/>
      <c r="AY2839"/>
      <c r="BK2839" s="42">
        <v>2838</v>
      </c>
      <c r="BL2839" s="127">
        <v>4</v>
      </c>
      <c r="BM2839" s="127">
        <v>0.11332468572476186</v>
      </c>
      <c r="BN2839" s="127" t="e">
        <v>#N/A</v>
      </c>
      <c r="BO2839" s="127" t="e">
        <v>#N/A</v>
      </c>
      <c r="BP2839" s="151" t="e">
        <v>#N/A</v>
      </c>
      <c r="BQ2839">
        <v>0.11332468572476186</v>
      </c>
      <c r="BR2839" t="str">
        <v/>
      </c>
    </row>
    <row r="2840" spans="47:70" x14ac:dyDescent="0.2">
      <c r="AU2840"/>
      <c r="AV2840"/>
      <c r="AW2840"/>
      <c r="AX2840"/>
      <c r="AY2840"/>
      <c r="BK2840" s="42">
        <v>2839</v>
      </c>
      <c r="BL2840" s="127">
        <v>4</v>
      </c>
      <c r="BM2840" s="127">
        <v>0.11332468572476186</v>
      </c>
      <c r="BN2840" s="127" t="e">
        <v>#N/A</v>
      </c>
      <c r="BO2840" s="127" t="e">
        <v>#N/A</v>
      </c>
      <c r="BP2840" s="151" t="e">
        <v>#N/A</v>
      </c>
      <c r="BQ2840">
        <v>0.11332468572476186</v>
      </c>
      <c r="BR2840" t="str">
        <v/>
      </c>
    </row>
    <row r="2841" spans="47:70" x14ac:dyDescent="0.2">
      <c r="AU2841"/>
      <c r="AV2841"/>
      <c r="AW2841"/>
      <c r="AX2841"/>
      <c r="AY2841"/>
      <c r="BK2841" s="42">
        <v>2840</v>
      </c>
      <c r="BL2841" s="127">
        <v>4</v>
      </c>
      <c r="BM2841" s="127">
        <v>0.11332468572476186</v>
      </c>
      <c r="BN2841" s="127" t="e">
        <v>#N/A</v>
      </c>
      <c r="BO2841" s="127" t="e">
        <v>#N/A</v>
      </c>
      <c r="BP2841" s="151" t="e">
        <v>#N/A</v>
      </c>
      <c r="BQ2841">
        <v>0.11332468572476186</v>
      </c>
      <c r="BR2841" t="str">
        <v/>
      </c>
    </row>
    <row r="2842" spans="47:70" x14ac:dyDescent="0.2">
      <c r="AU2842"/>
      <c r="AV2842"/>
      <c r="AW2842"/>
      <c r="AX2842"/>
      <c r="AY2842"/>
      <c r="BK2842" s="42">
        <v>2841</v>
      </c>
      <c r="BL2842" s="127">
        <v>4</v>
      </c>
      <c r="BM2842" s="127">
        <v>0.11332468572476186</v>
      </c>
      <c r="BN2842" s="127" t="e">
        <v>#N/A</v>
      </c>
      <c r="BO2842" s="127" t="e">
        <v>#N/A</v>
      </c>
      <c r="BP2842" s="151" t="e">
        <v>#N/A</v>
      </c>
      <c r="BQ2842">
        <v>0.11332468572476186</v>
      </c>
      <c r="BR2842" t="str">
        <v/>
      </c>
    </row>
    <row r="2843" spans="47:70" x14ac:dyDescent="0.2">
      <c r="AU2843"/>
      <c r="AV2843"/>
      <c r="AW2843"/>
      <c r="AX2843"/>
      <c r="AY2843"/>
      <c r="BK2843" s="42">
        <v>2842</v>
      </c>
      <c r="BL2843" s="127">
        <v>4</v>
      </c>
      <c r="BM2843" s="127">
        <v>0.11332468572476186</v>
      </c>
      <c r="BN2843" s="127" t="e">
        <v>#N/A</v>
      </c>
      <c r="BO2843" s="127" t="e">
        <v>#N/A</v>
      </c>
      <c r="BP2843" s="151" t="e">
        <v>#N/A</v>
      </c>
      <c r="BQ2843">
        <v>0.11332468572476186</v>
      </c>
      <c r="BR2843" t="str">
        <v/>
      </c>
    </row>
    <row r="2844" spans="47:70" x14ac:dyDescent="0.2">
      <c r="AU2844"/>
      <c r="AV2844"/>
      <c r="AW2844"/>
      <c r="AX2844"/>
      <c r="AY2844"/>
      <c r="BK2844" s="42">
        <v>2843</v>
      </c>
      <c r="BL2844" s="127">
        <v>4</v>
      </c>
      <c r="BM2844" s="127">
        <v>0.11332468572476186</v>
      </c>
      <c r="BN2844" s="127" t="e">
        <v>#N/A</v>
      </c>
      <c r="BO2844" s="127" t="e">
        <v>#N/A</v>
      </c>
      <c r="BP2844" s="151" t="e">
        <v>#N/A</v>
      </c>
      <c r="BQ2844">
        <v>0.11332468572476186</v>
      </c>
      <c r="BR2844" t="str">
        <v/>
      </c>
    </row>
    <row r="2845" spans="47:70" x14ac:dyDescent="0.2">
      <c r="AU2845"/>
      <c r="AV2845"/>
      <c r="AW2845"/>
      <c r="AX2845"/>
      <c r="AY2845"/>
      <c r="BK2845" s="42">
        <v>2844</v>
      </c>
      <c r="BL2845" s="127">
        <v>4</v>
      </c>
      <c r="BM2845" s="127">
        <v>0.11332468572476186</v>
      </c>
      <c r="BN2845" s="127" t="e">
        <v>#N/A</v>
      </c>
      <c r="BO2845" s="127" t="e">
        <v>#N/A</v>
      </c>
      <c r="BP2845" s="151" t="e">
        <v>#N/A</v>
      </c>
      <c r="BQ2845">
        <v>0.11332468572476186</v>
      </c>
      <c r="BR2845" t="str">
        <v/>
      </c>
    </row>
    <row r="2846" spans="47:70" x14ac:dyDescent="0.2">
      <c r="AU2846"/>
      <c r="AV2846"/>
      <c r="AW2846"/>
      <c r="AX2846"/>
      <c r="AY2846"/>
      <c r="BK2846" s="42">
        <v>2845</v>
      </c>
      <c r="BL2846" s="127">
        <v>4</v>
      </c>
      <c r="BM2846" s="127">
        <v>0.11332468572476186</v>
      </c>
      <c r="BN2846" s="127" t="e">
        <v>#N/A</v>
      </c>
      <c r="BO2846" s="127" t="e">
        <v>#N/A</v>
      </c>
      <c r="BP2846" s="151" t="e">
        <v>#N/A</v>
      </c>
      <c r="BQ2846">
        <v>0.11332468572476186</v>
      </c>
      <c r="BR2846" t="str">
        <v/>
      </c>
    </row>
    <row r="2847" spans="47:70" x14ac:dyDescent="0.2">
      <c r="AU2847"/>
      <c r="AV2847"/>
      <c r="AW2847"/>
      <c r="AX2847"/>
      <c r="AY2847"/>
      <c r="BK2847" s="42">
        <v>2846</v>
      </c>
      <c r="BL2847" s="127">
        <v>4</v>
      </c>
      <c r="BM2847" s="127">
        <v>0.11332468572476186</v>
      </c>
      <c r="BN2847" s="127" t="e">
        <v>#N/A</v>
      </c>
      <c r="BO2847" s="127" t="e">
        <v>#N/A</v>
      </c>
      <c r="BP2847" s="151" t="e">
        <v>#N/A</v>
      </c>
      <c r="BQ2847">
        <v>0.11332468572476186</v>
      </c>
      <c r="BR2847" t="str">
        <v/>
      </c>
    </row>
    <row r="2848" spans="47:70" x14ac:dyDescent="0.2">
      <c r="AU2848"/>
      <c r="AV2848"/>
      <c r="AW2848"/>
      <c r="AX2848"/>
      <c r="AY2848"/>
      <c r="BK2848" s="42">
        <v>2847</v>
      </c>
      <c r="BL2848" s="127">
        <v>4</v>
      </c>
      <c r="BM2848" s="127">
        <v>0.11332468572476186</v>
      </c>
      <c r="BN2848" s="127" t="e">
        <v>#N/A</v>
      </c>
      <c r="BO2848" s="127" t="e">
        <v>#N/A</v>
      </c>
      <c r="BP2848" s="151" t="e">
        <v>#N/A</v>
      </c>
      <c r="BQ2848">
        <v>0.11332468572476186</v>
      </c>
      <c r="BR2848" t="str">
        <v/>
      </c>
    </row>
    <row r="2849" spans="47:70" x14ac:dyDescent="0.2">
      <c r="AU2849"/>
      <c r="AV2849"/>
      <c r="AW2849"/>
      <c r="AX2849"/>
      <c r="AY2849"/>
      <c r="BK2849" s="42">
        <v>2848</v>
      </c>
      <c r="BL2849" s="127">
        <v>4</v>
      </c>
      <c r="BM2849" s="127">
        <v>0.11332468572476186</v>
      </c>
      <c r="BN2849" s="127" t="e">
        <v>#N/A</v>
      </c>
      <c r="BO2849" s="127" t="e">
        <v>#N/A</v>
      </c>
      <c r="BP2849" s="151" t="e">
        <v>#N/A</v>
      </c>
      <c r="BQ2849">
        <v>0.11332468572476186</v>
      </c>
      <c r="BR2849" t="str">
        <v/>
      </c>
    </row>
    <row r="2850" spans="47:70" x14ac:dyDescent="0.2">
      <c r="AU2850"/>
      <c r="AV2850"/>
      <c r="AW2850"/>
      <c r="AX2850"/>
      <c r="AY2850"/>
      <c r="BK2850" s="42">
        <v>2849</v>
      </c>
      <c r="BL2850" s="127">
        <v>4</v>
      </c>
      <c r="BM2850" s="127">
        <v>0.11332468572476186</v>
      </c>
      <c r="BN2850" s="127" t="e">
        <v>#N/A</v>
      </c>
      <c r="BO2850" s="127" t="e">
        <v>#N/A</v>
      </c>
      <c r="BP2850" s="151" t="e">
        <v>#N/A</v>
      </c>
      <c r="BQ2850">
        <v>0.11332468572476186</v>
      </c>
      <c r="BR2850" t="str">
        <v/>
      </c>
    </row>
    <row r="2851" spans="47:70" x14ac:dyDescent="0.2">
      <c r="AU2851"/>
      <c r="AV2851"/>
      <c r="AW2851"/>
      <c r="AX2851"/>
      <c r="AY2851"/>
      <c r="BK2851" s="42">
        <v>2850</v>
      </c>
      <c r="BL2851" s="127">
        <v>4</v>
      </c>
      <c r="BM2851" s="127">
        <v>0.11332468572476186</v>
      </c>
      <c r="BN2851" s="127" t="e">
        <v>#N/A</v>
      </c>
      <c r="BO2851" s="127" t="e">
        <v>#N/A</v>
      </c>
      <c r="BP2851" s="151" t="e">
        <v>#N/A</v>
      </c>
      <c r="BQ2851">
        <v>0.11332468572476186</v>
      </c>
      <c r="BR2851" t="str">
        <v/>
      </c>
    </row>
    <row r="2852" spans="47:70" x14ac:dyDescent="0.2">
      <c r="AU2852"/>
      <c r="AV2852"/>
      <c r="AW2852"/>
      <c r="AX2852"/>
      <c r="AY2852"/>
      <c r="BK2852" s="42">
        <v>2851</v>
      </c>
      <c r="BL2852" s="127">
        <v>4</v>
      </c>
      <c r="BM2852" s="127">
        <v>0.11332468572476186</v>
      </c>
      <c r="BN2852" s="127" t="e">
        <v>#N/A</v>
      </c>
      <c r="BO2852" s="127" t="e">
        <v>#N/A</v>
      </c>
      <c r="BP2852" s="151" t="e">
        <v>#N/A</v>
      </c>
      <c r="BQ2852">
        <v>0.11332468572476186</v>
      </c>
      <c r="BR2852" t="str">
        <v/>
      </c>
    </row>
    <row r="2853" spans="47:70" x14ac:dyDescent="0.2">
      <c r="AU2853"/>
      <c r="AV2853"/>
      <c r="AW2853"/>
      <c r="AX2853"/>
      <c r="AY2853"/>
      <c r="BK2853" s="42">
        <v>2852</v>
      </c>
      <c r="BL2853" s="127">
        <v>4</v>
      </c>
      <c r="BM2853" s="127">
        <v>0.11332468572476186</v>
      </c>
      <c r="BN2853" s="127" t="e">
        <v>#N/A</v>
      </c>
      <c r="BO2853" s="127" t="e">
        <v>#N/A</v>
      </c>
      <c r="BP2853" s="151" t="e">
        <v>#N/A</v>
      </c>
      <c r="BQ2853">
        <v>0.11332468572476186</v>
      </c>
      <c r="BR2853" t="str">
        <v/>
      </c>
    </row>
    <row r="2854" spans="47:70" x14ac:dyDescent="0.2">
      <c r="AU2854"/>
      <c r="AV2854"/>
      <c r="AW2854"/>
      <c r="AX2854"/>
      <c r="AY2854"/>
      <c r="BK2854" s="42">
        <v>2853</v>
      </c>
      <c r="BL2854" s="127">
        <v>4</v>
      </c>
      <c r="BM2854" s="127">
        <v>0.11332468572476186</v>
      </c>
      <c r="BN2854" s="127" t="e">
        <v>#N/A</v>
      </c>
      <c r="BO2854" s="127" t="e">
        <v>#N/A</v>
      </c>
      <c r="BP2854" s="151" t="e">
        <v>#N/A</v>
      </c>
      <c r="BQ2854">
        <v>0.11332468572476186</v>
      </c>
      <c r="BR2854" t="str">
        <v/>
      </c>
    </row>
    <row r="2855" spans="47:70" x14ac:dyDescent="0.2">
      <c r="AU2855"/>
      <c r="AV2855"/>
      <c r="AW2855"/>
      <c r="AX2855"/>
      <c r="AY2855"/>
      <c r="BK2855" s="42">
        <v>2854</v>
      </c>
      <c r="BL2855" s="127">
        <v>4</v>
      </c>
      <c r="BM2855" s="127">
        <v>0.11332468572476186</v>
      </c>
      <c r="BN2855" s="127" t="e">
        <v>#N/A</v>
      </c>
      <c r="BO2855" s="127" t="e">
        <v>#N/A</v>
      </c>
      <c r="BP2855" s="151" t="e">
        <v>#N/A</v>
      </c>
      <c r="BQ2855">
        <v>0.11332468572476186</v>
      </c>
      <c r="BR2855" t="str">
        <v/>
      </c>
    </row>
    <row r="2856" spans="47:70" x14ac:dyDescent="0.2">
      <c r="AU2856"/>
      <c r="AV2856"/>
      <c r="AW2856"/>
      <c r="AX2856"/>
      <c r="AY2856"/>
      <c r="BK2856" s="42">
        <v>2855</v>
      </c>
      <c r="BL2856" s="127">
        <v>4</v>
      </c>
      <c r="BM2856" s="127">
        <v>0.11332468572476186</v>
      </c>
      <c r="BN2856" s="127" t="e">
        <v>#N/A</v>
      </c>
      <c r="BO2856" s="127" t="e">
        <v>#N/A</v>
      </c>
      <c r="BP2856" s="151" t="e">
        <v>#N/A</v>
      </c>
      <c r="BQ2856">
        <v>0.11332468572476186</v>
      </c>
      <c r="BR2856" t="str">
        <v/>
      </c>
    </row>
    <row r="2857" spans="47:70" x14ac:dyDescent="0.2">
      <c r="AU2857"/>
      <c r="AV2857"/>
      <c r="AW2857"/>
      <c r="AX2857"/>
      <c r="AY2857"/>
      <c r="BK2857" s="42">
        <v>2856</v>
      </c>
      <c r="BL2857" s="127">
        <v>4</v>
      </c>
      <c r="BM2857" s="127">
        <v>0.11332468572476186</v>
      </c>
      <c r="BN2857" s="127" t="e">
        <v>#N/A</v>
      </c>
      <c r="BO2857" s="127" t="e">
        <v>#N/A</v>
      </c>
      <c r="BP2857" s="151" t="e">
        <v>#N/A</v>
      </c>
      <c r="BQ2857">
        <v>0.11332468572476186</v>
      </c>
      <c r="BR2857" t="str">
        <v/>
      </c>
    </row>
    <row r="2858" spans="47:70" x14ac:dyDescent="0.2">
      <c r="AU2858"/>
      <c r="AV2858"/>
      <c r="AW2858"/>
      <c r="AX2858"/>
      <c r="AY2858"/>
      <c r="BK2858" s="42">
        <v>2857</v>
      </c>
      <c r="BL2858" s="127">
        <v>4</v>
      </c>
      <c r="BM2858" s="127">
        <v>0.11332468572476186</v>
      </c>
      <c r="BN2858" s="127" t="e">
        <v>#N/A</v>
      </c>
      <c r="BO2858" s="127" t="e">
        <v>#N/A</v>
      </c>
      <c r="BP2858" s="151" t="e">
        <v>#N/A</v>
      </c>
      <c r="BQ2858">
        <v>0.11332468572476186</v>
      </c>
      <c r="BR2858" t="str">
        <v/>
      </c>
    </row>
    <row r="2859" spans="47:70" x14ac:dyDescent="0.2">
      <c r="AU2859"/>
      <c r="AV2859"/>
      <c r="AW2859"/>
      <c r="AX2859"/>
      <c r="AY2859"/>
      <c r="BK2859" s="42">
        <v>2858</v>
      </c>
      <c r="BL2859" s="127">
        <v>4</v>
      </c>
      <c r="BM2859" s="127">
        <v>0.11332468572476186</v>
      </c>
      <c r="BN2859" s="127" t="e">
        <v>#N/A</v>
      </c>
      <c r="BO2859" s="127" t="e">
        <v>#N/A</v>
      </c>
      <c r="BP2859" s="151" t="e">
        <v>#N/A</v>
      </c>
      <c r="BQ2859">
        <v>0.11332468572476186</v>
      </c>
      <c r="BR2859" t="str">
        <v/>
      </c>
    </row>
    <row r="2860" spans="47:70" x14ac:dyDescent="0.2">
      <c r="AU2860"/>
      <c r="AV2860"/>
      <c r="AW2860"/>
      <c r="AX2860"/>
      <c r="AY2860"/>
      <c r="BK2860" s="42">
        <v>2859</v>
      </c>
      <c r="BL2860" s="127">
        <v>4</v>
      </c>
      <c r="BM2860" s="127">
        <v>0.11332468572476186</v>
      </c>
      <c r="BN2860" s="127" t="e">
        <v>#N/A</v>
      </c>
      <c r="BO2860" s="127" t="e">
        <v>#N/A</v>
      </c>
      <c r="BP2860" s="151" t="e">
        <v>#N/A</v>
      </c>
      <c r="BQ2860">
        <v>0.11332468572476186</v>
      </c>
      <c r="BR2860" t="str">
        <v/>
      </c>
    </row>
    <row r="2861" spans="47:70" x14ac:dyDescent="0.2">
      <c r="AU2861"/>
      <c r="AV2861"/>
      <c r="AW2861"/>
      <c r="AX2861"/>
      <c r="AY2861"/>
      <c r="BK2861" s="42">
        <v>2860</v>
      </c>
      <c r="BL2861" s="127">
        <v>4</v>
      </c>
      <c r="BM2861" s="127">
        <v>0.11332468572476186</v>
      </c>
      <c r="BN2861" s="127" t="e">
        <v>#N/A</v>
      </c>
      <c r="BO2861" s="127" t="e">
        <v>#N/A</v>
      </c>
      <c r="BP2861" s="151" t="e">
        <v>#N/A</v>
      </c>
      <c r="BQ2861">
        <v>0.11332468572476186</v>
      </c>
      <c r="BR2861" t="str">
        <v/>
      </c>
    </row>
    <row r="2862" spans="47:70" x14ac:dyDescent="0.2">
      <c r="AU2862"/>
      <c r="AV2862"/>
      <c r="AW2862"/>
      <c r="AX2862"/>
      <c r="AY2862"/>
      <c r="BK2862" s="42">
        <v>2861</v>
      </c>
      <c r="BL2862" s="127">
        <v>4</v>
      </c>
      <c r="BM2862" s="127">
        <v>0.11332468572476186</v>
      </c>
      <c r="BN2862" s="127" t="e">
        <v>#N/A</v>
      </c>
      <c r="BO2862" s="127" t="e">
        <v>#N/A</v>
      </c>
      <c r="BP2862" s="151" t="e">
        <v>#N/A</v>
      </c>
      <c r="BQ2862">
        <v>0.11332468572476186</v>
      </c>
      <c r="BR2862" t="str">
        <v/>
      </c>
    </row>
    <row r="2863" spans="47:70" x14ac:dyDescent="0.2">
      <c r="AU2863"/>
      <c r="AV2863"/>
      <c r="AW2863"/>
      <c r="AX2863"/>
      <c r="AY2863"/>
      <c r="BK2863" s="42">
        <v>2862</v>
      </c>
      <c r="BL2863" s="127">
        <v>4</v>
      </c>
      <c r="BM2863" s="127">
        <v>0.11332468572476186</v>
      </c>
      <c r="BN2863" s="127" t="e">
        <v>#N/A</v>
      </c>
      <c r="BO2863" s="127" t="e">
        <v>#N/A</v>
      </c>
      <c r="BP2863" s="151" t="e">
        <v>#N/A</v>
      </c>
      <c r="BQ2863">
        <v>0.11332468572476186</v>
      </c>
      <c r="BR2863" t="str">
        <v/>
      </c>
    </row>
    <row r="2864" spans="47:70" x14ac:dyDescent="0.2">
      <c r="AU2864"/>
      <c r="AV2864"/>
      <c r="AW2864"/>
      <c r="AX2864"/>
      <c r="AY2864"/>
      <c r="BK2864" s="42">
        <v>2863</v>
      </c>
      <c r="BL2864" s="127">
        <v>4</v>
      </c>
      <c r="BM2864" s="127">
        <v>0.11332468572476186</v>
      </c>
      <c r="BN2864" s="127" t="e">
        <v>#N/A</v>
      </c>
      <c r="BO2864" s="127" t="e">
        <v>#N/A</v>
      </c>
      <c r="BP2864" s="151" t="e">
        <v>#N/A</v>
      </c>
      <c r="BQ2864">
        <v>0.11332468572476186</v>
      </c>
      <c r="BR2864" t="str">
        <v/>
      </c>
    </row>
    <row r="2865" spans="47:70" x14ac:dyDescent="0.2">
      <c r="AU2865"/>
      <c r="AV2865"/>
      <c r="AW2865"/>
      <c r="AX2865"/>
      <c r="AY2865"/>
      <c r="BK2865" s="42">
        <v>2864</v>
      </c>
      <c r="BL2865" s="127">
        <v>4</v>
      </c>
      <c r="BM2865" s="127">
        <v>0.11332468572476186</v>
      </c>
      <c r="BN2865" s="127" t="e">
        <v>#N/A</v>
      </c>
      <c r="BO2865" s="127" t="e">
        <v>#N/A</v>
      </c>
      <c r="BP2865" s="151" t="e">
        <v>#N/A</v>
      </c>
      <c r="BQ2865">
        <v>0.11332468572476186</v>
      </c>
      <c r="BR2865" t="str">
        <v/>
      </c>
    </row>
    <row r="2866" spans="47:70" x14ac:dyDescent="0.2">
      <c r="AU2866"/>
      <c r="AV2866"/>
      <c r="AW2866"/>
      <c r="AX2866"/>
      <c r="AY2866"/>
      <c r="BK2866" s="42">
        <v>2865</v>
      </c>
      <c r="BL2866" s="127">
        <v>4</v>
      </c>
      <c r="BM2866" s="127">
        <v>0.11332468572476186</v>
      </c>
      <c r="BN2866" s="127" t="e">
        <v>#N/A</v>
      </c>
      <c r="BO2866" s="127" t="e">
        <v>#N/A</v>
      </c>
      <c r="BP2866" s="151" t="e">
        <v>#N/A</v>
      </c>
      <c r="BQ2866">
        <v>0.11332468572476186</v>
      </c>
      <c r="BR2866" t="str">
        <v/>
      </c>
    </row>
    <row r="2867" spans="47:70" x14ac:dyDescent="0.2">
      <c r="AU2867"/>
      <c r="AV2867"/>
      <c r="AW2867"/>
      <c r="AX2867"/>
      <c r="AY2867"/>
      <c r="BK2867" s="42">
        <v>2866</v>
      </c>
      <c r="BL2867" s="127">
        <v>4</v>
      </c>
      <c r="BM2867" s="127">
        <v>0.11332468572476186</v>
      </c>
      <c r="BN2867" s="127" t="e">
        <v>#N/A</v>
      </c>
      <c r="BO2867" s="127" t="e">
        <v>#N/A</v>
      </c>
      <c r="BP2867" s="151" t="e">
        <v>#N/A</v>
      </c>
      <c r="BQ2867">
        <v>0.11332468572476186</v>
      </c>
      <c r="BR2867" t="str">
        <v/>
      </c>
    </row>
    <row r="2868" spans="47:70" x14ac:dyDescent="0.2">
      <c r="AU2868"/>
      <c r="AV2868"/>
      <c r="AW2868"/>
      <c r="AX2868"/>
      <c r="AY2868"/>
      <c r="BK2868" s="42">
        <v>2867</v>
      </c>
      <c r="BL2868" s="127">
        <v>4</v>
      </c>
      <c r="BM2868" s="127">
        <v>0.11332468572476186</v>
      </c>
      <c r="BN2868" s="127" t="e">
        <v>#N/A</v>
      </c>
      <c r="BO2868" s="127" t="e">
        <v>#N/A</v>
      </c>
      <c r="BP2868" s="151" t="e">
        <v>#N/A</v>
      </c>
      <c r="BQ2868">
        <v>0.11332468572476186</v>
      </c>
      <c r="BR2868" t="str">
        <v/>
      </c>
    </row>
    <row r="2869" spans="47:70" x14ac:dyDescent="0.2">
      <c r="AU2869"/>
      <c r="AV2869"/>
      <c r="AW2869"/>
      <c r="AX2869"/>
      <c r="AY2869"/>
      <c r="BK2869" s="42">
        <v>2868</v>
      </c>
      <c r="BL2869" s="127">
        <v>4</v>
      </c>
      <c r="BM2869" s="127">
        <v>0.11332468572476186</v>
      </c>
      <c r="BN2869" s="127" t="e">
        <v>#N/A</v>
      </c>
      <c r="BO2869" s="127" t="e">
        <v>#N/A</v>
      </c>
      <c r="BP2869" s="151" t="e">
        <v>#N/A</v>
      </c>
      <c r="BQ2869">
        <v>0.11332468572476186</v>
      </c>
      <c r="BR2869" t="str">
        <v/>
      </c>
    </row>
    <row r="2870" spans="47:70" x14ac:dyDescent="0.2">
      <c r="AU2870"/>
      <c r="AV2870"/>
      <c r="AW2870"/>
      <c r="AX2870"/>
      <c r="AY2870"/>
      <c r="BK2870" s="42">
        <v>2869</v>
      </c>
      <c r="BL2870" s="127">
        <v>4</v>
      </c>
      <c r="BM2870" s="127">
        <v>0.11332468572476186</v>
      </c>
      <c r="BN2870" s="127" t="e">
        <v>#N/A</v>
      </c>
      <c r="BO2870" s="127" t="e">
        <v>#N/A</v>
      </c>
      <c r="BP2870" s="151" t="e">
        <v>#N/A</v>
      </c>
      <c r="BQ2870">
        <v>0.11332468572476186</v>
      </c>
      <c r="BR2870" t="str">
        <v/>
      </c>
    </row>
    <row r="2871" spans="47:70" x14ac:dyDescent="0.2">
      <c r="AU2871"/>
      <c r="AV2871"/>
      <c r="AW2871"/>
      <c r="AX2871"/>
      <c r="AY2871"/>
      <c r="BK2871" s="42">
        <v>2870</v>
      </c>
      <c r="BL2871" s="127">
        <v>4</v>
      </c>
      <c r="BM2871" s="127">
        <v>0.11332468572476186</v>
      </c>
      <c r="BN2871" s="127" t="e">
        <v>#N/A</v>
      </c>
      <c r="BO2871" s="127" t="e">
        <v>#N/A</v>
      </c>
      <c r="BP2871" s="151" t="e">
        <v>#N/A</v>
      </c>
      <c r="BQ2871">
        <v>0.11332468572476186</v>
      </c>
      <c r="BR2871" t="str">
        <v/>
      </c>
    </row>
    <row r="2872" spans="47:70" x14ac:dyDescent="0.2">
      <c r="AU2872"/>
      <c r="AV2872"/>
      <c r="AW2872"/>
      <c r="AX2872"/>
      <c r="AY2872"/>
      <c r="BK2872" s="42">
        <v>2871</v>
      </c>
      <c r="BL2872" s="127">
        <v>4</v>
      </c>
      <c r="BM2872" s="127">
        <v>0.11332468572476186</v>
      </c>
      <c r="BN2872" s="127" t="e">
        <v>#N/A</v>
      </c>
      <c r="BO2872" s="127" t="e">
        <v>#N/A</v>
      </c>
      <c r="BP2872" s="151" t="e">
        <v>#N/A</v>
      </c>
      <c r="BQ2872">
        <v>0.11332468572476186</v>
      </c>
      <c r="BR2872" t="str">
        <v/>
      </c>
    </row>
    <row r="2873" spans="47:70" x14ac:dyDescent="0.2">
      <c r="AU2873"/>
      <c r="AV2873"/>
      <c r="AW2873"/>
      <c r="AX2873"/>
      <c r="AY2873"/>
      <c r="BK2873" s="42">
        <v>2872</v>
      </c>
      <c r="BL2873" s="127">
        <v>4</v>
      </c>
      <c r="BM2873" s="127">
        <v>0.11332468572476186</v>
      </c>
      <c r="BN2873" s="127" t="e">
        <v>#N/A</v>
      </c>
      <c r="BO2873" s="127" t="e">
        <v>#N/A</v>
      </c>
      <c r="BP2873" s="151" t="e">
        <v>#N/A</v>
      </c>
      <c r="BQ2873">
        <v>0.11332468572476186</v>
      </c>
      <c r="BR2873" t="str">
        <v/>
      </c>
    </row>
    <row r="2874" spans="47:70" x14ac:dyDescent="0.2">
      <c r="AU2874"/>
      <c r="AV2874"/>
      <c r="AW2874"/>
      <c r="AX2874"/>
      <c r="AY2874"/>
      <c r="BK2874" s="42">
        <v>2873</v>
      </c>
      <c r="BL2874" s="127">
        <v>4</v>
      </c>
      <c r="BM2874" s="127">
        <v>0.11332468572476186</v>
      </c>
      <c r="BN2874" s="127" t="e">
        <v>#N/A</v>
      </c>
      <c r="BO2874" s="127" t="e">
        <v>#N/A</v>
      </c>
      <c r="BP2874" s="151" t="e">
        <v>#N/A</v>
      </c>
      <c r="BQ2874">
        <v>0.11332468572476186</v>
      </c>
      <c r="BR2874" t="str">
        <v/>
      </c>
    </row>
    <row r="2875" spans="47:70" x14ac:dyDescent="0.2">
      <c r="AU2875"/>
      <c r="AV2875"/>
      <c r="AW2875"/>
      <c r="AX2875"/>
      <c r="AY2875"/>
      <c r="BK2875" s="42">
        <v>2874</v>
      </c>
      <c r="BL2875" s="127">
        <v>4</v>
      </c>
      <c r="BM2875" s="127">
        <v>0.11332468572476186</v>
      </c>
      <c r="BN2875" s="127" t="e">
        <v>#N/A</v>
      </c>
      <c r="BO2875" s="127" t="e">
        <v>#N/A</v>
      </c>
      <c r="BP2875" s="151" t="e">
        <v>#N/A</v>
      </c>
      <c r="BQ2875">
        <v>0.11332468572476186</v>
      </c>
      <c r="BR2875" t="str">
        <v/>
      </c>
    </row>
    <row r="2876" spans="47:70" x14ac:dyDescent="0.2">
      <c r="AU2876"/>
      <c r="AV2876"/>
      <c r="AW2876"/>
      <c r="AX2876"/>
      <c r="AY2876"/>
      <c r="BK2876" s="42">
        <v>2875</v>
      </c>
      <c r="BL2876" s="127">
        <v>4</v>
      </c>
      <c r="BM2876" s="127">
        <v>0.11332468572476186</v>
      </c>
      <c r="BN2876" s="127" t="e">
        <v>#N/A</v>
      </c>
      <c r="BO2876" s="127" t="e">
        <v>#N/A</v>
      </c>
      <c r="BP2876" s="151" t="e">
        <v>#N/A</v>
      </c>
      <c r="BQ2876">
        <v>0.11332468572476186</v>
      </c>
      <c r="BR2876" t="str">
        <v/>
      </c>
    </row>
    <row r="2877" spans="47:70" x14ac:dyDescent="0.2">
      <c r="AU2877"/>
      <c r="AV2877"/>
      <c r="AW2877"/>
      <c r="AX2877"/>
      <c r="AY2877"/>
      <c r="BK2877" s="42">
        <v>2876</v>
      </c>
      <c r="BL2877" s="127">
        <v>4</v>
      </c>
      <c r="BM2877" s="127">
        <v>0.11332468572476186</v>
      </c>
      <c r="BN2877" s="127" t="e">
        <v>#N/A</v>
      </c>
      <c r="BO2877" s="127" t="e">
        <v>#N/A</v>
      </c>
      <c r="BP2877" s="151" t="e">
        <v>#N/A</v>
      </c>
      <c r="BQ2877">
        <v>0.11332468572476186</v>
      </c>
      <c r="BR2877" t="str">
        <v/>
      </c>
    </row>
    <row r="2878" spans="47:70" x14ac:dyDescent="0.2">
      <c r="AU2878"/>
      <c r="AV2878"/>
      <c r="AW2878"/>
      <c r="AX2878"/>
      <c r="AY2878"/>
      <c r="BK2878" s="42">
        <v>2877</v>
      </c>
      <c r="BL2878" s="127">
        <v>4</v>
      </c>
      <c r="BM2878" s="127">
        <v>0.11332468572476186</v>
      </c>
      <c r="BN2878" s="127" t="e">
        <v>#N/A</v>
      </c>
      <c r="BO2878" s="127" t="e">
        <v>#N/A</v>
      </c>
      <c r="BP2878" s="151" t="e">
        <v>#N/A</v>
      </c>
      <c r="BQ2878">
        <v>0.11332468572476186</v>
      </c>
      <c r="BR2878" t="str">
        <v/>
      </c>
    </row>
    <row r="2879" spans="47:70" x14ac:dyDescent="0.2">
      <c r="AU2879"/>
      <c r="AV2879"/>
      <c r="AW2879"/>
      <c r="AX2879"/>
      <c r="AY2879"/>
      <c r="BK2879" s="42">
        <v>2878</v>
      </c>
      <c r="BL2879" s="127">
        <v>4</v>
      </c>
      <c r="BM2879" s="127">
        <v>0.11332468572476186</v>
      </c>
      <c r="BN2879" s="127" t="e">
        <v>#N/A</v>
      </c>
      <c r="BO2879" s="127" t="e">
        <v>#N/A</v>
      </c>
      <c r="BP2879" s="151" t="e">
        <v>#N/A</v>
      </c>
      <c r="BQ2879">
        <v>0.11332468572476186</v>
      </c>
      <c r="BR2879" t="str">
        <v/>
      </c>
    </row>
    <row r="2880" spans="47:70" x14ac:dyDescent="0.2">
      <c r="AU2880"/>
      <c r="AV2880"/>
      <c r="AW2880"/>
      <c r="AX2880"/>
      <c r="AY2880"/>
      <c r="BK2880" s="42">
        <v>2879</v>
      </c>
      <c r="BL2880" s="127">
        <v>4</v>
      </c>
      <c r="BM2880" s="127">
        <v>0.11332468572476186</v>
      </c>
      <c r="BN2880" s="127" t="e">
        <v>#N/A</v>
      </c>
      <c r="BO2880" s="127" t="e">
        <v>#N/A</v>
      </c>
      <c r="BP2880" s="151" t="e">
        <v>#N/A</v>
      </c>
      <c r="BQ2880">
        <v>0.11332468572476186</v>
      </c>
      <c r="BR2880" t="str">
        <v/>
      </c>
    </row>
    <row r="2881" spans="47:70" x14ac:dyDescent="0.2">
      <c r="AU2881"/>
      <c r="AV2881"/>
      <c r="AW2881"/>
      <c r="AX2881"/>
      <c r="AY2881"/>
      <c r="BK2881" s="42">
        <v>2880</v>
      </c>
      <c r="BL2881" s="127">
        <v>4</v>
      </c>
      <c r="BM2881" s="127">
        <v>0.11332468572476186</v>
      </c>
      <c r="BN2881" s="127" t="e">
        <v>#N/A</v>
      </c>
      <c r="BO2881" s="127" t="e">
        <v>#N/A</v>
      </c>
      <c r="BP2881" s="151" t="e">
        <v>#N/A</v>
      </c>
      <c r="BQ2881">
        <v>0.11332468572476186</v>
      </c>
      <c r="BR2881" t="str">
        <v/>
      </c>
    </row>
    <row r="2882" spans="47:70" x14ac:dyDescent="0.2">
      <c r="AU2882"/>
      <c r="AV2882"/>
      <c r="AW2882"/>
      <c r="AX2882"/>
      <c r="AY2882"/>
      <c r="BK2882" s="42">
        <v>2881</v>
      </c>
      <c r="BL2882" s="127">
        <v>4</v>
      </c>
      <c r="BM2882" s="127">
        <v>0.11332468572476186</v>
      </c>
      <c r="BN2882" s="127" t="e">
        <v>#N/A</v>
      </c>
      <c r="BO2882" s="127" t="e">
        <v>#N/A</v>
      </c>
      <c r="BP2882" s="151" t="e">
        <v>#N/A</v>
      </c>
      <c r="BQ2882">
        <v>0.11332468572476186</v>
      </c>
      <c r="BR2882" t="str">
        <v/>
      </c>
    </row>
    <row r="2883" spans="47:70" x14ac:dyDescent="0.2">
      <c r="AU2883"/>
      <c r="AV2883"/>
      <c r="AW2883"/>
      <c r="AX2883"/>
      <c r="AY2883"/>
      <c r="BK2883" s="42">
        <v>2882</v>
      </c>
      <c r="BL2883" s="127">
        <v>4</v>
      </c>
      <c r="BM2883" s="127">
        <v>0.11332468572476186</v>
      </c>
      <c r="BN2883" s="127" t="e">
        <v>#N/A</v>
      </c>
      <c r="BO2883" s="127" t="e">
        <v>#N/A</v>
      </c>
      <c r="BP2883" s="151" t="e">
        <v>#N/A</v>
      </c>
      <c r="BQ2883">
        <v>0.11332468572476186</v>
      </c>
      <c r="BR2883" t="str">
        <v/>
      </c>
    </row>
    <row r="2884" spans="47:70" x14ac:dyDescent="0.2">
      <c r="AU2884"/>
      <c r="AV2884"/>
      <c r="AW2884"/>
      <c r="AX2884"/>
      <c r="AY2884"/>
      <c r="BK2884" s="42">
        <v>2883</v>
      </c>
      <c r="BL2884" s="127">
        <v>4</v>
      </c>
      <c r="BM2884" s="127">
        <v>0.11332468572476186</v>
      </c>
      <c r="BN2884" s="127" t="e">
        <v>#N/A</v>
      </c>
      <c r="BO2884" s="127" t="e">
        <v>#N/A</v>
      </c>
      <c r="BP2884" s="151" t="e">
        <v>#N/A</v>
      </c>
      <c r="BQ2884">
        <v>0.11332468572476186</v>
      </c>
      <c r="BR2884" t="str">
        <v/>
      </c>
    </row>
    <row r="2885" spans="47:70" x14ac:dyDescent="0.2">
      <c r="AU2885"/>
      <c r="AV2885"/>
      <c r="AW2885"/>
      <c r="AX2885"/>
      <c r="AY2885"/>
      <c r="BK2885" s="42">
        <v>2884</v>
      </c>
      <c r="BL2885" s="127">
        <v>4</v>
      </c>
      <c r="BM2885" s="127">
        <v>0.11332468572476186</v>
      </c>
      <c r="BN2885" s="127" t="e">
        <v>#N/A</v>
      </c>
      <c r="BO2885" s="127" t="e">
        <v>#N/A</v>
      </c>
      <c r="BP2885" s="151" t="e">
        <v>#N/A</v>
      </c>
      <c r="BQ2885">
        <v>0.11332468572476186</v>
      </c>
      <c r="BR2885" t="str">
        <v/>
      </c>
    </row>
    <row r="2886" spans="47:70" x14ac:dyDescent="0.2">
      <c r="AU2886"/>
      <c r="AV2886"/>
      <c r="AW2886"/>
      <c r="AX2886"/>
      <c r="AY2886"/>
      <c r="BK2886" s="42">
        <v>2885</v>
      </c>
      <c r="BL2886" s="127">
        <v>4</v>
      </c>
      <c r="BM2886" s="127">
        <v>0.11332468572476186</v>
      </c>
      <c r="BN2886" s="127" t="e">
        <v>#N/A</v>
      </c>
      <c r="BO2886" s="127" t="e">
        <v>#N/A</v>
      </c>
      <c r="BP2886" s="151" t="e">
        <v>#N/A</v>
      </c>
      <c r="BQ2886">
        <v>0.11332468572476186</v>
      </c>
      <c r="BR2886" t="str">
        <v/>
      </c>
    </row>
    <row r="2887" spans="47:70" x14ac:dyDescent="0.2">
      <c r="AU2887"/>
      <c r="AV2887"/>
      <c r="AW2887"/>
      <c r="AX2887"/>
      <c r="AY2887"/>
      <c r="BK2887" s="42">
        <v>2886</v>
      </c>
      <c r="BL2887" s="127">
        <v>4</v>
      </c>
      <c r="BM2887" s="127">
        <v>0.11332468572476186</v>
      </c>
      <c r="BN2887" s="127" t="e">
        <v>#N/A</v>
      </c>
      <c r="BO2887" s="127" t="e">
        <v>#N/A</v>
      </c>
      <c r="BP2887" s="151" t="e">
        <v>#N/A</v>
      </c>
      <c r="BQ2887">
        <v>0.11332468572476186</v>
      </c>
      <c r="BR2887" t="str">
        <v/>
      </c>
    </row>
    <row r="2888" spans="47:70" x14ac:dyDescent="0.2">
      <c r="AU2888"/>
      <c r="AV2888"/>
      <c r="AW2888"/>
      <c r="AX2888"/>
      <c r="AY2888"/>
      <c r="BK2888" s="42">
        <v>2887</v>
      </c>
      <c r="BL2888" s="127">
        <v>4</v>
      </c>
      <c r="BM2888" s="127">
        <v>0.11332468572476186</v>
      </c>
      <c r="BN2888" s="127" t="e">
        <v>#N/A</v>
      </c>
      <c r="BO2888" s="127" t="e">
        <v>#N/A</v>
      </c>
      <c r="BP2888" s="151" t="e">
        <v>#N/A</v>
      </c>
      <c r="BQ2888">
        <v>0.11332468572476186</v>
      </c>
      <c r="BR2888" t="str">
        <v/>
      </c>
    </row>
    <row r="2889" spans="47:70" x14ac:dyDescent="0.2">
      <c r="AU2889"/>
      <c r="AV2889"/>
      <c r="AW2889"/>
      <c r="AX2889"/>
      <c r="AY2889"/>
      <c r="BK2889" s="42">
        <v>2888</v>
      </c>
      <c r="BL2889" s="127">
        <v>4</v>
      </c>
      <c r="BM2889" s="127">
        <v>0.11332468572476186</v>
      </c>
      <c r="BN2889" s="127" t="e">
        <v>#N/A</v>
      </c>
      <c r="BO2889" s="127" t="e">
        <v>#N/A</v>
      </c>
      <c r="BP2889" s="151" t="e">
        <v>#N/A</v>
      </c>
      <c r="BQ2889">
        <v>0.11332468572476186</v>
      </c>
      <c r="BR2889" t="str">
        <v/>
      </c>
    </row>
    <row r="2890" spans="47:70" x14ac:dyDescent="0.2">
      <c r="AU2890"/>
      <c r="AV2890"/>
      <c r="AW2890"/>
      <c r="AX2890"/>
      <c r="AY2890"/>
      <c r="BK2890" s="42">
        <v>2889</v>
      </c>
      <c r="BL2890" s="127">
        <v>4</v>
      </c>
      <c r="BM2890" s="127">
        <v>0.11332468572476186</v>
      </c>
      <c r="BN2890" s="127" t="e">
        <v>#N/A</v>
      </c>
      <c r="BO2890" s="127" t="e">
        <v>#N/A</v>
      </c>
      <c r="BP2890" s="151" t="e">
        <v>#N/A</v>
      </c>
      <c r="BQ2890">
        <v>0.11332468572476186</v>
      </c>
      <c r="BR2890" t="str">
        <v/>
      </c>
    </row>
    <row r="2891" spans="47:70" x14ac:dyDescent="0.2">
      <c r="AU2891"/>
      <c r="AV2891"/>
      <c r="AW2891"/>
      <c r="AX2891"/>
      <c r="AY2891"/>
      <c r="BK2891" s="42">
        <v>2890</v>
      </c>
      <c r="BL2891" s="127">
        <v>4</v>
      </c>
      <c r="BM2891" s="127">
        <v>0.11332468572476186</v>
      </c>
      <c r="BN2891" s="127" t="e">
        <v>#N/A</v>
      </c>
      <c r="BO2891" s="127" t="e">
        <v>#N/A</v>
      </c>
      <c r="BP2891" s="151" t="e">
        <v>#N/A</v>
      </c>
      <c r="BQ2891">
        <v>0.11332468572476186</v>
      </c>
      <c r="BR2891" t="str">
        <v/>
      </c>
    </row>
    <row r="2892" spans="47:70" x14ac:dyDescent="0.2">
      <c r="AU2892"/>
      <c r="AV2892"/>
      <c r="AW2892"/>
      <c r="AX2892"/>
      <c r="AY2892"/>
      <c r="BK2892" s="42">
        <v>2891</v>
      </c>
      <c r="BL2892" s="127">
        <v>4</v>
      </c>
      <c r="BM2892" s="127">
        <v>0.11332468572476186</v>
      </c>
      <c r="BN2892" s="127" t="e">
        <v>#N/A</v>
      </c>
      <c r="BO2892" s="127" t="e">
        <v>#N/A</v>
      </c>
      <c r="BP2892" s="151" t="e">
        <v>#N/A</v>
      </c>
      <c r="BQ2892">
        <v>0.11332468572476186</v>
      </c>
      <c r="BR2892" t="str">
        <v/>
      </c>
    </row>
    <row r="2893" spans="47:70" x14ac:dyDescent="0.2">
      <c r="AU2893"/>
      <c r="AV2893"/>
      <c r="AW2893"/>
      <c r="AX2893"/>
      <c r="AY2893"/>
      <c r="BK2893" s="42">
        <v>2892</v>
      </c>
      <c r="BL2893" s="127">
        <v>4</v>
      </c>
      <c r="BM2893" s="127">
        <v>0.11332468572476186</v>
      </c>
      <c r="BN2893" s="127" t="e">
        <v>#N/A</v>
      </c>
      <c r="BO2893" s="127" t="e">
        <v>#N/A</v>
      </c>
      <c r="BP2893" s="151" t="e">
        <v>#N/A</v>
      </c>
      <c r="BQ2893">
        <v>0.11332468572476186</v>
      </c>
      <c r="BR2893" t="str">
        <v/>
      </c>
    </row>
    <row r="2894" spans="47:70" x14ac:dyDescent="0.2">
      <c r="AU2894"/>
      <c r="AV2894"/>
      <c r="AW2894"/>
      <c r="AX2894"/>
      <c r="AY2894"/>
      <c r="BK2894" s="42">
        <v>2893</v>
      </c>
      <c r="BL2894" s="127">
        <v>4</v>
      </c>
      <c r="BM2894" s="127">
        <v>0.11332468572476186</v>
      </c>
      <c r="BN2894" s="127" t="e">
        <v>#N/A</v>
      </c>
      <c r="BO2894" s="127" t="e">
        <v>#N/A</v>
      </c>
      <c r="BP2894" s="151" t="e">
        <v>#N/A</v>
      </c>
      <c r="BQ2894">
        <v>0.11332468572476186</v>
      </c>
      <c r="BR2894" t="str">
        <v/>
      </c>
    </row>
    <row r="2895" spans="47:70" x14ac:dyDescent="0.2">
      <c r="AU2895"/>
      <c r="AV2895"/>
      <c r="AW2895"/>
      <c r="AX2895"/>
      <c r="AY2895"/>
      <c r="BK2895" s="42">
        <v>2894</v>
      </c>
      <c r="BL2895" s="127">
        <v>4</v>
      </c>
      <c r="BM2895" s="127">
        <v>0.11332468572476186</v>
      </c>
      <c r="BN2895" s="127" t="e">
        <v>#N/A</v>
      </c>
      <c r="BO2895" s="127" t="e">
        <v>#N/A</v>
      </c>
      <c r="BP2895" s="151" t="e">
        <v>#N/A</v>
      </c>
      <c r="BQ2895">
        <v>0.11332468572476186</v>
      </c>
      <c r="BR2895" t="str">
        <v/>
      </c>
    </row>
    <row r="2896" spans="47:70" x14ac:dyDescent="0.2">
      <c r="AU2896"/>
      <c r="AV2896"/>
      <c r="AW2896"/>
      <c r="AX2896"/>
      <c r="AY2896"/>
      <c r="BK2896" s="42">
        <v>2895</v>
      </c>
      <c r="BL2896" s="127">
        <v>4</v>
      </c>
      <c r="BM2896" s="127">
        <v>0.11332468572476186</v>
      </c>
      <c r="BN2896" s="127" t="e">
        <v>#N/A</v>
      </c>
      <c r="BO2896" s="127" t="e">
        <v>#N/A</v>
      </c>
      <c r="BP2896" s="151" t="e">
        <v>#N/A</v>
      </c>
      <c r="BQ2896">
        <v>0.11332468572476186</v>
      </c>
      <c r="BR2896" t="str">
        <v/>
      </c>
    </row>
    <row r="2897" spans="47:70" x14ac:dyDescent="0.2">
      <c r="AU2897"/>
      <c r="AV2897"/>
      <c r="AW2897"/>
      <c r="AX2897"/>
      <c r="AY2897"/>
      <c r="BK2897" s="42">
        <v>2896</v>
      </c>
      <c r="BL2897" s="127">
        <v>4</v>
      </c>
      <c r="BM2897" s="127">
        <v>0.11332468572476186</v>
      </c>
      <c r="BN2897" s="127" t="e">
        <v>#N/A</v>
      </c>
      <c r="BO2897" s="127" t="e">
        <v>#N/A</v>
      </c>
      <c r="BP2897" s="151" t="e">
        <v>#N/A</v>
      </c>
      <c r="BQ2897">
        <v>0.11332468572476186</v>
      </c>
      <c r="BR2897" t="str">
        <v/>
      </c>
    </row>
    <row r="2898" spans="47:70" x14ac:dyDescent="0.2">
      <c r="AU2898"/>
      <c r="AV2898"/>
      <c r="AW2898"/>
      <c r="AX2898"/>
      <c r="AY2898"/>
      <c r="BK2898" s="42">
        <v>2897</v>
      </c>
      <c r="BL2898" s="127">
        <v>4</v>
      </c>
      <c r="BM2898" s="127">
        <v>0.11332468572476186</v>
      </c>
      <c r="BN2898" s="127" t="e">
        <v>#N/A</v>
      </c>
      <c r="BO2898" s="127" t="e">
        <v>#N/A</v>
      </c>
      <c r="BP2898" s="151" t="e">
        <v>#N/A</v>
      </c>
      <c r="BQ2898">
        <v>0.11332468572476186</v>
      </c>
      <c r="BR2898" t="str">
        <v/>
      </c>
    </row>
    <row r="2899" spans="47:70" x14ac:dyDescent="0.2">
      <c r="AU2899"/>
      <c r="AV2899"/>
      <c r="AW2899"/>
      <c r="AX2899"/>
      <c r="AY2899"/>
      <c r="BK2899" s="42">
        <v>2898</v>
      </c>
      <c r="BL2899" s="127">
        <v>4</v>
      </c>
      <c r="BM2899" s="127">
        <v>0.11332468572476186</v>
      </c>
      <c r="BN2899" s="127" t="e">
        <v>#N/A</v>
      </c>
      <c r="BO2899" s="127" t="e">
        <v>#N/A</v>
      </c>
      <c r="BP2899" s="151" t="e">
        <v>#N/A</v>
      </c>
      <c r="BQ2899">
        <v>0.11332468572476186</v>
      </c>
      <c r="BR2899" t="str">
        <v/>
      </c>
    </row>
    <row r="2900" spans="47:70" x14ac:dyDescent="0.2">
      <c r="AU2900"/>
      <c r="AV2900"/>
      <c r="AW2900"/>
      <c r="AX2900"/>
      <c r="AY2900"/>
      <c r="BK2900" s="42">
        <v>2899</v>
      </c>
      <c r="BL2900" s="127">
        <v>4</v>
      </c>
      <c r="BM2900" s="127">
        <v>0.11332468572476186</v>
      </c>
      <c r="BN2900" s="127" t="e">
        <v>#N/A</v>
      </c>
      <c r="BO2900" s="127" t="e">
        <v>#N/A</v>
      </c>
      <c r="BP2900" s="151" t="e">
        <v>#N/A</v>
      </c>
      <c r="BQ2900">
        <v>0.11332468572476186</v>
      </c>
      <c r="BR2900" t="str">
        <v/>
      </c>
    </row>
    <row r="2901" spans="47:70" x14ac:dyDescent="0.2">
      <c r="AU2901"/>
      <c r="AV2901"/>
      <c r="AW2901"/>
      <c r="AX2901"/>
      <c r="AY2901"/>
      <c r="BK2901" s="42">
        <v>2900</v>
      </c>
      <c r="BL2901" s="127">
        <v>4</v>
      </c>
      <c r="BM2901" s="127">
        <v>0.11332468572476186</v>
      </c>
      <c r="BN2901" s="127" t="e">
        <v>#N/A</v>
      </c>
      <c r="BO2901" s="127" t="e">
        <v>#N/A</v>
      </c>
      <c r="BP2901" s="151" t="e">
        <v>#N/A</v>
      </c>
      <c r="BQ2901">
        <v>0.11332468572476186</v>
      </c>
      <c r="BR2901" t="str">
        <v/>
      </c>
    </row>
    <row r="2902" spans="47:70" x14ac:dyDescent="0.2">
      <c r="AU2902"/>
      <c r="AV2902"/>
      <c r="AW2902"/>
      <c r="AX2902"/>
      <c r="AY2902"/>
      <c r="BK2902" s="42">
        <v>2901</v>
      </c>
      <c r="BL2902" s="127">
        <v>4</v>
      </c>
      <c r="BM2902" s="127">
        <v>0.11332468572476186</v>
      </c>
      <c r="BN2902" s="127" t="e">
        <v>#N/A</v>
      </c>
      <c r="BO2902" s="127" t="e">
        <v>#N/A</v>
      </c>
      <c r="BP2902" s="151" t="e">
        <v>#N/A</v>
      </c>
      <c r="BQ2902">
        <v>0.11332468572476186</v>
      </c>
      <c r="BR2902" t="str">
        <v/>
      </c>
    </row>
    <row r="2903" spans="47:70" x14ac:dyDescent="0.2">
      <c r="AU2903"/>
      <c r="AV2903"/>
      <c r="AW2903"/>
      <c r="AX2903"/>
      <c r="AY2903"/>
      <c r="BK2903" s="42">
        <v>2902</v>
      </c>
      <c r="BL2903" s="127">
        <v>4</v>
      </c>
      <c r="BM2903" s="127">
        <v>0.11332468572476186</v>
      </c>
      <c r="BN2903" s="127" t="e">
        <v>#N/A</v>
      </c>
      <c r="BO2903" s="127" t="e">
        <v>#N/A</v>
      </c>
      <c r="BP2903" s="151" t="e">
        <v>#N/A</v>
      </c>
      <c r="BQ2903">
        <v>0.11332468572476186</v>
      </c>
      <c r="BR2903" t="str">
        <v/>
      </c>
    </row>
    <row r="2904" spans="47:70" x14ac:dyDescent="0.2">
      <c r="AU2904"/>
      <c r="AV2904"/>
      <c r="AW2904"/>
      <c r="AX2904"/>
      <c r="AY2904"/>
      <c r="BK2904" s="42">
        <v>2903</v>
      </c>
      <c r="BL2904" s="127">
        <v>4</v>
      </c>
      <c r="BM2904" s="127">
        <v>0.11332468572476186</v>
      </c>
      <c r="BN2904" s="127" t="e">
        <v>#N/A</v>
      </c>
      <c r="BO2904" s="127" t="e">
        <v>#N/A</v>
      </c>
      <c r="BP2904" s="151" t="e">
        <v>#N/A</v>
      </c>
      <c r="BQ2904">
        <v>0.11332468572476186</v>
      </c>
      <c r="BR2904" t="str">
        <v/>
      </c>
    </row>
    <row r="2905" spans="47:70" x14ac:dyDescent="0.2">
      <c r="AU2905"/>
      <c r="AV2905"/>
      <c r="AW2905"/>
      <c r="AX2905"/>
      <c r="AY2905"/>
      <c r="BK2905" s="42">
        <v>2904</v>
      </c>
      <c r="BL2905" s="127">
        <v>4</v>
      </c>
      <c r="BM2905" s="127">
        <v>0.11332468572476186</v>
      </c>
      <c r="BN2905" s="127" t="e">
        <v>#N/A</v>
      </c>
      <c r="BO2905" s="127" t="e">
        <v>#N/A</v>
      </c>
      <c r="BP2905" s="151" t="e">
        <v>#N/A</v>
      </c>
      <c r="BQ2905">
        <v>0.11332468572476186</v>
      </c>
      <c r="BR2905" t="str">
        <v/>
      </c>
    </row>
    <row r="2906" spans="47:70" x14ac:dyDescent="0.2">
      <c r="AU2906"/>
      <c r="AV2906"/>
      <c r="AW2906"/>
      <c r="AX2906"/>
      <c r="AY2906"/>
      <c r="BK2906" s="42">
        <v>2905</v>
      </c>
      <c r="BL2906" s="127">
        <v>4</v>
      </c>
      <c r="BM2906" s="127">
        <v>0.11332468572476186</v>
      </c>
      <c r="BN2906" s="127" t="e">
        <v>#N/A</v>
      </c>
      <c r="BO2906" s="127" t="e">
        <v>#N/A</v>
      </c>
      <c r="BP2906" s="151" t="e">
        <v>#N/A</v>
      </c>
      <c r="BQ2906">
        <v>0.11332468572476186</v>
      </c>
      <c r="BR2906" t="str">
        <v/>
      </c>
    </row>
    <row r="2907" spans="47:70" x14ac:dyDescent="0.2">
      <c r="AU2907"/>
      <c r="AV2907"/>
      <c r="AW2907"/>
      <c r="AX2907"/>
      <c r="AY2907"/>
      <c r="BK2907" s="42">
        <v>2906</v>
      </c>
      <c r="BL2907" s="127">
        <v>4</v>
      </c>
      <c r="BM2907" s="127">
        <v>0.11332468572476186</v>
      </c>
      <c r="BN2907" s="127" t="e">
        <v>#N/A</v>
      </c>
      <c r="BO2907" s="127" t="e">
        <v>#N/A</v>
      </c>
      <c r="BP2907" s="151" t="e">
        <v>#N/A</v>
      </c>
      <c r="BQ2907">
        <v>0.11332468572476186</v>
      </c>
      <c r="BR2907" t="str">
        <v/>
      </c>
    </row>
    <row r="2908" spans="47:70" x14ac:dyDescent="0.2">
      <c r="AU2908"/>
      <c r="AV2908"/>
      <c r="AW2908"/>
      <c r="AX2908"/>
      <c r="AY2908"/>
      <c r="BK2908" s="42">
        <v>2907</v>
      </c>
      <c r="BL2908" s="127">
        <v>4</v>
      </c>
      <c r="BM2908" s="127">
        <v>0.11332468572476186</v>
      </c>
      <c r="BN2908" s="127" t="e">
        <v>#N/A</v>
      </c>
      <c r="BO2908" s="127" t="e">
        <v>#N/A</v>
      </c>
      <c r="BP2908" s="151" t="e">
        <v>#N/A</v>
      </c>
      <c r="BQ2908">
        <v>0.11332468572476186</v>
      </c>
      <c r="BR2908" t="str">
        <v/>
      </c>
    </row>
    <row r="2909" spans="47:70" x14ac:dyDescent="0.2">
      <c r="AU2909"/>
      <c r="AV2909"/>
      <c r="AW2909"/>
      <c r="AX2909"/>
      <c r="AY2909"/>
      <c r="BK2909" s="42">
        <v>2908</v>
      </c>
      <c r="BL2909" s="127">
        <v>4</v>
      </c>
      <c r="BM2909" s="127">
        <v>0.11332468572476186</v>
      </c>
      <c r="BN2909" s="127" t="e">
        <v>#N/A</v>
      </c>
      <c r="BO2909" s="127" t="e">
        <v>#N/A</v>
      </c>
      <c r="BP2909" s="151" t="e">
        <v>#N/A</v>
      </c>
      <c r="BQ2909">
        <v>0.11332468572476186</v>
      </c>
      <c r="BR2909" t="str">
        <v/>
      </c>
    </row>
    <row r="2910" spans="47:70" x14ac:dyDescent="0.2">
      <c r="AU2910"/>
      <c r="AV2910"/>
      <c r="AW2910"/>
      <c r="AX2910"/>
      <c r="AY2910"/>
      <c r="BK2910" s="42">
        <v>2909</v>
      </c>
      <c r="BL2910" s="127">
        <v>4</v>
      </c>
      <c r="BM2910" s="127">
        <v>0.11332468572476186</v>
      </c>
      <c r="BN2910" s="127" t="e">
        <v>#N/A</v>
      </c>
      <c r="BO2910" s="127" t="e">
        <v>#N/A</v>
      </c>
      <c r="BP2910" s="151" t="e">
        <v>#N/A</v>
      </c>
      <c r="BQ2910">
        <v>0.11332468572476186</v>
      </c>
      <c r="BR2910" t="str">
        <v/>
      </c>
    </row>
    <row r="2911" spans="47:70" x14ac:dyDescent="0.2">
      <c r="AU2911"/>
      <c r="AV2911"/>
      <c r="AW2911"/>
      <c r="AX2911"/>
      <c r="AY2911"/>
      <c r="BK2911" s="42">
        <v>2910</v>
      </c>
      <c r="BL2911" s="127">
        <v>4</v>
      </c>
      <c r="BM2911" s="127">
        <v>0.11332468572476186</v>
      </c>
      <c r="BN2911" s="127" t="e">
        <v>#N/A</v>
      </c>
      <c r="BO2911" s="127" t="e">
        <v>#N/A</v>
      </c>
      <c r="BP2911" s="151" t="e">
        <v>#N/A</v>
      </c>
      <c r="BQ2911">
        <v>0.11332468572476186</v>
      </c>
      <c r="BR2911" t="str">
        <v/>
      </c>
    </row>
    <row r="2912" spans="47:70" x14ac:dyDescent="0.2">
      <c r="AU2912"/>
      <c r="AV2912"/>
      <c r="AW2912"/>
      <c r="AX2912"/>
      <c r="AY2912"/>
      <c r="BK2912" s="42">
        <v>2911</v>
      </c>
      <c r="BL2912" s="127">
        <v>4</v>
      </c>
      <c r="BM2912" s="127">
        <v>0.11332468572476186</v>
      </c>
      <c r="BN2912" s="127" t="e">
        <v>#N/A</v>
      </c>
      <c r="BO2912" s="127" t="e">
        <v>#N/A</v>
      </c>
      <c r="BP2912" s="151" t="e">
        <v>#N/A</v>
      </c>
      <c r="BQ2912">
        <v>0.11332468572476186</v>
      </c>
      <c r="BR2912" t="str">
        <v/>
      </c>
    </row>
    <row r="2913" spans="47:70" x14ac:dyDescent="0.2">
      <c r="AU2913"/>
      <c r="AV2913"/>
      <c r="AW2913"/>
      <c r="AX2913"/>
      <c r="AY2913"/>
      <c r="BK2913" s="42">
        <v>2912</v>
      </c>
      <c r="BL2913" s="127">
        <v>4</v>
      </c>
      <c r="BM2913" s="127">
        <v>0.11332468572476186</v>
      </c>
      <c r="BN2913" s="127" t="e">
        <v>#N/A</v>
      </c>
      <c r="BO2913" s="127" t="e">
        <v>#N/A</v>
      </c>
      <c r="BP2913" s="151" t="e">
        <v>#N/A</v>
      </c>
      <c r="BQ2913">
        <v>0.11332468572476186</v>
      </c>
      <c r="BR2913" t="str">
        <v/>
      </c>
    </row>
    <row r="2914" spans="47:70" x14ac:dyDescent="0.2">
      <c r="AU2914"/>
      <c r="AV2914"/>
      <c r="AW2914"/>
      <c r="AX2914"/>
      <c r="AY2914"/>
      <c r="BK2914" s="42">
        <v>2913</v>
      </c>
      <c r="BL2914" s="127">
        <v>4</v>
      </c>
      <c r="BM2914" s="127">
        <v>0.11332468572476186</v>
      </c>
      <c r="BN2914" s="127" t="e">
        <v>#N/A</v>
      </c>
      <c r="BO2914" s="127" t="e">
        <v>#N/A</v>
      </c>
      <c r="BP2914" s="151" t="e">
        <v>#N/A</v>
      </c>
      <c r="BQ2914">
        <v>0.11332468572476186</v>
      </c>
      <c r="BR2914" t="str">
        <v/>
      </c>
    </row>
    <row r="2915" spans="47:70" x14ac:dyDescent="0.2">
      <c r="AU2915"/>
      <c r="AV2915"/>
      <c r="AW2915"/>
      <c r="AX2915"/>
      <c r="AY2915"/>
      <c r="BK2915" s="42">
        <v>2914</v>
      </c>
      <c r="BL2915" s="127">
        <v>4</v>
      </c>
      <c r="BM2915" s="127">
        <v>0.11332468572476186</v>
      </c>
      <c r="BN2915" s="127" t="e">
        <v>#N/A</v>
      </c>
      <c r="BO2915" s="127" t="e">
        <v>#N/A</v>
      </c>
      <c r="BP2915" s="151" t="e">
        <v>#N/A</v>
      </c>
      <c r="BQ2915">
        <v>0.11332468572476186</v>
      </c>
      <c r="BR2915" t="str">
        <v/>
      </c>
    </row>
    <row r="2916" spans="47:70" x14ac:dyDescent="0.2">
      <c r="AU2916"/>
      <c r="AV2916"/>
      <c r="AW2916"/>
      <c r="AX2916"/>
      <c r="AY2916"/>
      <c r="BK2916" s="42">
        <v>2915</v>
      </c>
      <c r="BL2916" s="127">
        <v>4</v>
      </c>
      <c r="BM2916" s="127">
        <v>0.11332468572476186</v>
      </c>
      <c r="BN2916" s="127" t="e">
        <v>#N/A</v>
      </c>
      <c r="BO2916" s="127" t="e">
        <v>#N/A</v>
      </c>
      <c r="BP2916" s="151" t="e">
        <v>#N/A</v>
      </c>
      <c r="BQ2916">
        <v>0.11332468572476186</v>
      </c>
      <c r="BR2916" t="str">
        <v/>
      </c>
    </row>
    <row r="2917" spans="47:70" x14ac:dyDescent="0.2">
      <c r="AU2917"/>
      <c r="AV2917"/>
      <c r="AW2917"/>
      <c r="AX2917"/>
      <c r="AY2917"/>
      <c r="BK2917" s="42">
        <v>2916</v>
      </c>
      <c r="BL2917" s="127">
        <v>4</v>
      </c>
      <c r="BM2917" s="127">
        <v>0.11332468572476186</v>
      </c>
      <c r="BN2917" s="127" t="e">
        <v>#N/A</v>
      </c>
      <c r="BO2917" s="127" t="e">
        <v>#N/A</v>
      </c>
      <c r="BP2917" s="151" t="e">
        <v>#N/A</v>
      </c>
      <c r="BQ2917">
        <v>0.11332468572476186</v>
      </c>
      <c r="BR2917" t="str">
        <v/>
      </c>
    </row>
    <row r="2918" spans="47:70" x14ac:dyDescent="0.2">
      <c r="AU2918"/>
      <c r="AV2918"/>
      <c r="AW2918"/>
      <c r="AX2918"/>
      <c r="AY2918"/>
      <c r="BK2918" s="42">
        <v>2917</v>
      </c>
      <c r="BL2918" s="127">
        <v>4</v>
      </c>
      <c r="BM2918" s="127">
        <v>0.11332468572476186</v>
      </c>
      <c r="BN2918" s="127" t="e">
        <v>#N/A</v>
      </c>
      <c r="BO2918" s="127" t="e">
        <v>#N/A</v>
      </c>
      <c r="BP2918" s="151" t="e">
        <v>#N/A</v>
      </c>
      <c r="BQ2918">
        <v>0.11332468572476186</v>
      </c>
      <c r="BR2918" t="str">
        <v/>
      </c>
    </row>
    <row r="2919" spans="47:70" x14ac:dyDescent="0.2">
      <c r="AU2919"/>
      <c r="AV2919"/>
      <c r="AW2919"/>
      <c r="AX2919"/>
      <c r="AY2919"/>
      <c r="BK2919" s="42">
        <v>2918</v>
      </c>
      <c r="BL2919" s="127">
        <v>4</v>
      </c>
      <c r="BM2919" s="127">
        <v>0.11332468572476186</v>
      </c>
      <c r="BN2919" s="127" t="e">
        <v>#N/A</v>
      </c>
      <c r="BO2919" s="127" t="e">
        <v>#N/A</v>
      </c>
      <c r="BP2919" s="151" t="e">
        <v>#N/A</v>
      </c>
      <c r="BQ2919">
        <v>0.11332468572476186</v>
      </c>
      <c r="BR2919" t="str">
        <v/>
      </c>
    </row>
    <row r="2920" spans="47:70" x14ac:dyDescent="0.2">
      <c r="AU2920"/>
      <c r="AV2920"/>
      <c r="AW2920"/>
      <c r="AX2920"/>
      <c r="AY2920"/>
      <c r="BK2920" s="42">
        <v>2919</v>
      </c>
      <c r="BL2920" s="127">
        <v>4</v>
      </c>
      <c r="BM2920" s="127">
        <v>0.11332468572476186</v>
      </c>
      <c r="BN2920" s="127" t="e">
        <v>#N/A</v>
      </c>
      <c r="BO2920" s="127" t="e">
        <v>#N/A</v>
      </c>
      <c r="BP2920" s="151" t="e">
        <v>#N/A</v>
      </c>
      <c r="BQ2920">
        <v>0.11332468572476186</v>
      </c>
      <c r="BR2920" t="str">
        <v/>
      </c>
    </row>
    <row r="2921" spans="47:70" x14ac:dyDescent="0.2">
      <c r="AU2921"/>
      <c r="AV2921"/>
      <c r="AW2921"/>
      <c r="AX2921"/>
      <c r="AY2921"/>
      <c r="BK2921" s="42">
        <v>2920</v>
      </c>
      <c r="BL2921" s="127">
        <v>4</v>
      </c>
      <c r="BM2921" s="127">
        <v>0.11332468572476186</v>
      </c>
      <c r="BN2921" s="127" t="e">
        <v>#N/A</v>
      </c>
      <c r="BO2921" s="127" t="e">
        <v>#N/A</v>
      </c>
      <c r="BP2921" s="151" t="e">
        <v>#N/A</v>
      </c>
      <c r="BQ2921">
        <v>0.11332468572476186</v>
      </c>
      <c r="BR2921" t="str">
        <v/>
      </c>
    </row>
    <row r="2922" spans="47:70" x14ac:dyDescent="0.2">
      <c r="AU2922"/>
      <c r="AV2922"/>
      <c r="AW2922"/>
      <c r="AX2922"/>
      <c r="AY2922"/>
      <c r="BK2922" s="42">
        <v>2921</v>
      </c>
      <c r="BL2922" s="127">
        <v>4</v>
      </c>
      <c r="BM2922" s="127">
        <v>0.11332468572476186</v>
      </c>
      <c r="BN2922" s="127" t="e">
        <v>#N/A</v>
      </c>
      <c r="BO2922" s="127" t="e">
        <v>#N/A</v>
      </c>
      <c r="BP2922" s="151" t="e">
        <v>#N/A</v>
      </c>
      <c r="BQ2922">
        <v>0.11332468572476186</v>
      </c>
      <c r="BR2922" t="str">
        <v/>
      </c>
    </row>
    <row r="2923" spans="47:70" x14ac:dyDescent="0.2">
      <c r="AU2923"/>
      <c r="AV2923"/>
      <c r="AW2923"/>
      <c r="AX2923"/>
      <c r="AY2923"/>
      <c r="BK2923" s="42">
        <v>2922</v>
      </c>
      <c r="BL2923" s="127">
        <v>4</v>
      </c>
      <c r="BM2923" s="127">
        <v>0.11332468572476186</v>
      </c>
      <c r="BN2923" s="127" t="e">
        <v>#N/A</v>
      </c>
      <c r="BO2923" s="127" t="e">
        <v>#N/A</v>
      </c>
      <c r="BP2923" s="151" t="e">
        <v>#N/A</v>
      </c>
      <c r="BQ2923">
        <v>0.11332468572476186</v>
      </c>
      <c r="BR2923" t="str">
        <v/>
      </c>
    </row>
    <row r="2924" spans="47:70" x14ac:dyDescent="0.2">
      <c r="AU2924"/>
      <c r="AV2924"/>
      <c r="AW2924"/>
      <c r="AX2924"/>
      <c r="AY2924"/>
      <c r="BK2924" s="42">
        <v>2923</v>
      </c>
      <c r="BL2924" s="127">
        <v>4</v>
      </c>
      <c r="BM2924" s="127">
        <v>0.11332468572476186</v>
      </c>
      <c r="BN2924" s="127" t="e">
        <v>#N/A</v>
      </c>
      <c r="BO2924" s="127" t="e">
        <v>#N/A</v>
      </c>
      <c r="BP2924" s="151" t="e">
        <v>#N/A</v>
      </c>
      <c r="BQ2924">
        <v>0.11332468572476186</v>
      </c>
      <c r="BR2924" t="str">
        <v/>
      </c>
    </row>
    <row r="2925" spans="47:70" x14ac:dyDescent="0.2">
      <c r="AU2925"/>
      <c r="AV2925"/>
      <c r="AW2925"/>
      <c r="AX2925"/>
      <c r="AY2925"/>
      <c r="BK2925" s="42">
        <v>2924</v>
      </c>
      <c r="BL2925" s="127">
        <v>4</v>
      </c>
      <c r="BM2925" s="127">
        <v>0.11332468572476186</v>
      </c>
      <c r="BN2925" s="127" t="e">
        <v>#N/A</v>
      </c>
      <c r="BO2925" s="127" t="e">
        <v>#N/A</v>
      </c>
      <c r="BP2925" s="151" t="e">
        <v>#N/A</v>
      </c>
      <c r="BQ2925">
        <v>0.11332468572476186</v>
      </c>
      <c r="BR2925" t="str">
        <v/>
      </c>
    </row>
    <row r="2926" spans="47:70" x14ac:dyDescent="0.2">
      <c r="AU2926"/>
      <c r="AV2926"/>
      <c r="AW2926"/>
      <c r="AX2926"/>
      <c r="AY2926"/>
      <c r="BK2926" s="42">
        <v>2925</v>
      </c>
      <c r="BL2926" s="127">
        <v>4</v>
      </c>
      <c r="BM2926" s="127">
        <v>0.11332468572476186</v>
      </c>
      <c r="BN2926" s="127" t="e">
        <v>#N/A</v>
      </c>
      <c r="BO2926" s="127" t="e">
        <v>#N/A</v>
      </c>
      <c r="BP2926" s="151" t="e">
        <v>#N/A</v>
      </c>
      <c r="BQ2926">
        <v>0.11332468572476186</v>
      </c>
      <c r="BR2926" t="str">
        <v/>
      </c>
    </row>
    <row r="2927" spans="47:70" x14ac:dyDescent="0.2">
      <c r="AU2927"/>
      <c r="AV2927"/>
      <c r="AW2927"/>
      <c r="AX2927"/>
      <c r="AY2927"/>
      <c r="BK2927" s="42">
        <v>2926</v>
      </c>
      <c r="BL2927" s="127">
        <v>4</v>
      </c>
      <c r="BM2927" s="127">
        <v>0.11332468572476186</v>
      </c>
      <c r="BN2927" s="127" t="e">
        <v>#N/A</v>
      </c>
      <c r="BO2927" s="127" t="e">
        <v>#N/A</v>
      </c>
      <c r="BP2927" s="151" t="e">
        <v>#N/A</v>
      </c>
      <c r="BQ2927">
        <v>0.11332468572476186</v>
      </c>
      <c r="BR2927" t="str">
        <v/>
      </c>
    </row>
    <row r="2928" spans="47:70" x14ac:dyDescent="0.2">
      <c r="AU2928"/>
      <c r="AV2928"/>
      <c r="AW2928"/>
      <c r="AX2928"/>
      <c r="AY2928"/>
      <c r="BK2928" s="42">
        <v>2927</v>
      </c>
      <c r="BL2928" s="127">
        <v>4</v>
      </c>
      <c r="BM2928" s="127">
        <v>0.11332468572476186</v>
      </c>
      <c r="BN2928" s="127" t="e">
        <v>#N/A</v>
      </c>
      <c r="BO2928" s="127" t="e">
        <v>#N/A</v>
      </c>
      <c r="BP2928" s="151" t="e">
        <v>#N/A</v>
      </c>
      <c r="BQ2928">
        <v>0.11332468572476186</v>
      </c>
      <c r="BR2928" t="str">
        <v/>
      </c>
    </row>
    <row r="2929" spans="47:70" x14ac:dyDescent="0.2">
      <c r="AU2929"/>
      <c r="AV2929"/>
      <c r="AW2929"/>
      <c r="AX2929"/>
      <c r="AY2929"/>
      <c r="BK2929" s="42">
        <v>2928</v>
      </c>
      <c r="BL2929" s="127">
        <v>4</v>
      </c>
      <c r="BM2929" s="127">
        <v>0.11332468572476186</v>
      </c>
      <c r="BN2929" s="127" t="e">
        <v>#N/A</v>
      </c>
      <c r="BO2929" s="127" t="e">
        <v>#N/A</v>
      </c>
      <c r="BP2929" s="151" t="e">
        <v>#N/A</v>
      </c>
      <c r="BQ2929">
        <v>0.11332468572476186</v>
      </c>
      <c r="BR2929" t="str">
        <v/>
      </c>
    </row>
    <row r="2930" spans="47:70" x14ac:dyDescent="0.2">
      <c r="AU2930"/>
      <c r="AV2930"/>
      <c r="AW2930"/>
      <c r="AX2930"/>
      <c r="AY2930"/>
      <c r="BK2930" s="42">
        <v>2929</v>
      </c>
      <c r="BL2930" s="127">
        <v>4</v>
      </c>
      <c r="BM2930" s="127">
        <v>0.11332468572476186</v>
      </c>
      <c r="BN2930" s="127" t="e">
        <v>#N/A</v>
      </c>
      <c r="BO2930" s="127" t="e">
        <v>#N/A</v>
      </c>
      <c r="BP2930" s="151" t="e">
        <v>#N/A</v>
      </c>
      <c r="BQ2930">
        <v>0.11332468572476186</v>
      </c>
      <c r="BR2930" t="str">
        <v/>
      </c>
    </row>
    <row r="2931" spans="47:70" x14ac:dyDescent="0.2">
      <c r="AU2931"/>
      <c r="AV2931"/>
      <c r="AW2931"/>
      <c r="AX2931"/>
      <c r="AY2931"/>
      <c r="BK2931" s="42">
        <v>2930</v>
      </c>
      <c r="BL2931" s="127">
        <v>4</v>
      </c>
      <c r="BM2931" s="127">
        <v>0.11332468572476186</v>
      </c>
      <c r="BN2931" s="127" t="e">
        <v>#N/A</v>
      </c>
      <c r="BO2931" s="127" t="e">
        <v>#N/A</v>
      </c>
      <c r="BP2931" s="151" t="e">
        <v>#N/A</v>
      </c>
      <c r="BQ2931">
        <v>0.11332468572476186</v>
      </c>
      <c r="BR2931" t="str">
        <v/>
      </c>
    </row>
    <row r="2932" spans="47:70" x14ac:dyDescent="0.2">
      <c r="AU2932"/>
      <c r="AV2932"/>
      <c r="AW2932"/>
      <c r="AX2932"/>
      <c r="AY2932"/>
      <c r="BK2932" s="42">
        <v>2931</v>
      </c>
      <c r="BL2932" s="127">
        <v>4</v>
      </c>
      <c r="BM2932" s="127">
        <v>0.11332468572476186</v>
      </c>
      <c r="BN2932" s="127" t="e">
        <v>#N/A</v>
      </c>
      <c r="BO2932" s="127" t="e">
        <v>#N/A</v>
      </c>
      <c r="BP2932" s="151" t="e">
        <v>#N/A</v>
      </c>
      <c r="BQ2932">
        <v>0.11332468572476186</v>
      </c>
      <c r="BR2932" t="str">
        <v/>
      </c>
    </row>
    <row r="2933" spans="47:70" x14ac:dyDescent="0.2">
      <c r="AU2933"/>
      <c r="AV2933"/>
      <c r="AW2933"/>
      <c r="AX2933"/>
      <c r="AY2933"/>
      <c r="BK2933" s="42">
        <v>2932</v>
      </c>
      <c r="BL2933" s="127">
        <v>4</v>
      </c>
      <c r="BM2933" s="127">
        <v>0.11332468572476186</v>
      </c>
      <c r="BN2933" s="127" t="e">
        <v>#N/A</v>
      </c>
      <c r="BO2933" s="127" t="e">
        <v>#N/A</v>
      </c>
      <c r="BP2933" s="151" t="e">
        <v>#N/A</v>
      </c>
      <c r="BQ2933">
        <v>0.11332468572476186</v>
      </c>
      <c r="BR2933" t="str">
        <v/>
      </c>
    </row>
    <row r="2934" spans="47:70" x14ac:dyDescent="0.2">
      <c r="AU2934"/>
      <c r="AV2934"/>
      <c r="AW2934"/>
      <c r="AX2934"/>
      <c r="AY2934"/>
      <c r="BK2934" s="42">
        <v>2933</v>
      </c>
      <c r="BL2934" s="127">
        <v>4</v>
      </c>
      <c r="BM2934" s="127">
        <v>0.11332468572476186</v>
      </c>
      <c r="BN2934" s="127" t="e">
        <v>#N/A</v>
      </c>
      <c r="BO2934" s="127" t="e">
        <v>#N/A</v>
      </c>
      <c r="BP2934" s="151" t="e">
        <v>#N/A</v>
      </c>
      <c r="BQ2934">
        <v>0.11332468572476186</v>
      </c>
      <c r="BR2934" t="str">
        <v/>
      </c>
    </row>
    <row r="2935" spans="47:70" x14ac:dyDescent="0.2">
      <c r="AU2935"/>
      <c r="AV2935"/>
      <c r="AW2935"/>
      <c r="AX2935"/>
      <c r="AY2935"/>
      <c r="BK2935" s="42">
        <v>2934</v>
      </c>
      <c r="BL2935" s="127">
        <v>4</v>
      </c>
      <c r="BM2935" s="127">
        <v>0.11332468572476186</v>
      </c>
      <c r="BN2935" s="127" t="e">
        <v>#N/A</v>
      </c>
      <c r="BO2935" s="127" t="e">
        <v>#N/A</v>
      </c>
      <c r="BP2935" s="151" t="e">
        <v>#N/A</v>
      </c>
      <c r="BQ2935">
        <v>0.11332468572476186</v>
      </c>
      <c r="BR2935" t="str">
        <v/>
      </c>
    </row>
    <row r="2936" spans="47:70" x14ac:dyDescent="0.2">
      <c r="AU2936"/>
      <c r="AV2936"/>
      <c r="AW2936"/>
      <c r="AX2936"/>
      <c r="AY2936"/>
      <c r="BK2936" s="42">
        <v>2935</v>
      </c>
      <c r="BL2936" s="127">
        <v>4</v>
      </c>
      <c r="BM2936" s="127">
        <v>0.11332468572476186</v>
      </c>
      <c r="BN2936" s="127" t="e">
        <v>#N/A</v>
      </c>
      <c r="BO2936" s="127" t="e">
        <v>#N/A</v>
      </c>
      <c r="BP2936" s="151" t="e">
        <v>#N/A</v>
      </c>
      <c r="BQ2936">
        <v>0.11332468572476186</v>
      </c>
      <c r="BR2936" t="str">
        <v/>
      </c>
    </row>
    <row r="2937" spans="47:70" x14ac:dyDescent="0.2">
      <c r="AU2937"/>
      <c r="AV2937"/>
      <c r="AW2937"/>
      <c r="AX2937"/>
      <c r="AY2937"/>
      <c r="BK2937" s="42">
        <v>2936</v>
      </c>
      <c r="BL2937" s="127">
        <v>4</v>
      </c>
      <c r="BM2937" s="127">
        <v>0.11332468572476186</v>
      </c>
      <c r="BN2937" s="127" t="e">
        <v>#N/A</v>
      </c>
      <c r="BO2937" s="127" t="e">
        <v>#N/A</v>
      </c>
      <c r="BP2937" s="151" t="e">
        <v>#N/A</v>
      </c>
      <c r="BQ2937">
        <v>0.11332468572476186</v>
      </c>
      <c r="BR2937" t="str">
        <v/>
      </c>
    </row>
    <row r="2938" spans="47:70" x14ac:dyDescent="0.2">
      <c r="AU2938"/>
      <c r="AV2938"/>
      <c r="AW2938"/>
      <c r="AX2938"/>
      <c r="AY2938"/>
      <c r="BK2938" s="42">
        <v>2937</v>
      </c>
      <c r="BL2938" s="127">
        <v>4</v>
      </c>
      <c r="BM2938" s="127">
        <v>0.11332468572476186</v>
      </c>
      <c r="BN2938" s="127" t="e">
        <v>#N/A</v>
      </c>
      <c r="BO2938" s="127" t="e">
        <v>#N/A</v>
      </c>
      <c r="BP2938" s="151" t="e">
        <v>#N/A</v>
      </c>
      <c r="BQ2938">
        <v>0.11332468572476186</v>
      </c>
      <c r="BR2938" t="str">
        <v/>
      </c>
    </row>
    <row r="2939" spans="47:70" x14ac:dyDescent="0.2">
      <c r="AU2939"/>
      <c r="AV2939"/>
      <c r="AW2939"/>
      <c r="AX2939"/>
      <c r="AY2939"/>
      <c r="BK2939" s="42">
        <v>2938</v>
      </c>
      <c r="BL2939" s="127">
        <v>4</v>
      </c>
      <c r="BM2939" s="127">
        <v>0.11332468572476186</v>
      </c>
      <c r="BN2939" s="127" t="e">
        <v>#N/A</v>
      </c>
      <c r="BO2939" s="127" t="e">
        <v>#N/A</v>
      </c>
      <c r="BP2939" s="151" t="e">
        <v>#N/A</v>
      </c>
      <c r="BQ2939">
        <v>0.11332468572476186</v>
      </c>
      <c r="BR2939" t="str">
        <v/>
      </c>
    </row>
    <row r="2940" spans="47:70" x14ac:dyDescent="0.2">
      <c r="AU2940"/>
      <c r="AV2940"/>
      <c r="AW2940"/>
      <c r="AX2940"/>
      <c r="AY2940"/>
      <c r="BK2940" s="42">
        <v>2939</v>
      </c>
      <c r="BL2940" s="127">
        <v>4</v>
      </c>
      <c r="BM2940" s="127">
        <v>0.11332468572476186</v>
      </c>
      <c r="BN2940" s="127" t="e">
        <v>#N/A</v>
      </c>
      <c r="BO2940" s="127" t="e">
        <v>#N/A</v>
      </c>
      <c r="BP2940" s="151" t="e">
        <v>#N/A</v>
      </c>
      <c r="BQ2940">
        <v>0.11332468572476186</v>
      </c>
      <c r="BR2940" t="str">
        <v/>
      </c>
    </row>
    <row r="2941" spans="47:70" x14ac:dyDescent="0.2">
      <c r="AU2941"/>
      <c r="AV2941"/>
      <c r="AW2941"/>
      <c r="AX2941"/>
      <c r="AY2941"/>
      <c r="BK2941" s="42">
        <v>2940</v>
      </c>
      <c r="BL2941" s="127">
        <v>4</v>
      </c>
      <c r="BM2941" s="127">
        <v>0.11332468572476186</v>
      </c>
      <c r="BN2941" s="127" t="e">
        <v>#N/A</v>
      </c>
      <c r="BO2941" s="127" t="e">
        <v>#N/A</v>
      </c>
      <c r="BP2941" s="151" t="e">
        <v>#N/A</v>
      </c>
      <c r="BQ2941">
        <v>0.11332468572476186</v>
      </c>
      <c r="BR2941" t="str">
        <v/>
      </c>
    </row>
    <row r="2942" spans="47:70" x14ac:dyDescent="0.2">
      <c r="AU2942"/>
      <c r="AV2942"/>
      <c r="AW2942"/>
      <c r="AX2942"/>
      <c r="AY2942"/>
      <c r="BK2942" s="42">
        <v>2941</v>
      </c>
      <c r="BL2942" s="127">
        <v>4</v>
      </c>
      <c r="BM2942" s="127">
        <v>0.11332468572476186</v>
      </c>
      <c r="BN2942" s="127" t="e">
        <v>#N/A</v>
      </c>
      <c r="BO2942" s="127" t="e">
        <v>#N/A</v>
      </c>
      <c r="BP2942" s="151" t="e">
        <v>#N/A</v>
      </c>
      <c r="BQ2942">
        <v>0.11332468572476186</v>
      </c>
      <c r="BR2942" t="str">
        <v/>
      </c>
    </row>
    <row r="2943" spans="47:70" x14ac:dyDescent="0.2">
      <c r="AU2943"/>
      <c r="AV2943"/>
      <c r="AW2943"/>
      <c r="AX2943"/>
      <c r="AY2943"/>
      <c r="BK2943" s="42">
        <v>2942</v>
      </c>
      <c r="BL2943" s="127">
        <v>4</v>
      </c>
      <c r="BM2943" s="127">
        <v>0.11332468572476186</v>
      </c>
      <c r="BN2943" s="127" t="e">
        <v>#N/A</v>
      </c>
      <c r="BO2943" s="127" t="e">
        <v>#N/A</v>
      </c>
      <c r="BP2943" s="151" t="e">
        <v>#N/A</v>
      </c>
      <c r="BQ2943">
        <v>0.11332468572476186</v>
      </c>
      <c r="BR2943" t="str">
        <v/>
      </c>
    </row>
    <row r="2944" spans="47:70" x14ac:dyDescent="0.2">
      <c r="AU2944"/>
      <c r="AV2944"/>
      <c r="AW2944"/>
      <c r="AX2944"/>
      <c r="AY2944"/>
      <c r="BK2944" s="42">
        <v>2943</v>
      </c>
      <c r="BL2944" s="127">
        <v>4</v>
      </c>
      <c r="BM2944" s="127">
        <v>0.11332468572476186</v>
      </c>
      <c r="BN2944" s="127" t="e">
        <v>#N/A</v>
      </c>
      <c r="BO2944" s="127" t="e">
        <v>#N/A</v>
      </c>
      <c r="BP2944" s="151" t="e">
        <v>#N/A</v>
      </c>
      <c r="BQ2944">
        <v>0.11332468572476186</v>
      </c>
      <c r="BR2944" t="str">
        <v/>
      </c>
    </row>
    <row r="2945" spans="47:70" x14ac:dyDescent="0.2">
      <c r="AU2945"/>
      <c r="AV2945"/>
      <c r="AW2945"/>
      <c r="AX2945"/>
      <c r="AY2945"/>
      <c r="BK2945" s="42">
        <v>2944</v>
      </c>
      <c r="BL2945" s="127">
        <v>4</v>
      </c>
      <c r="BM2945" s="127">
        <v>0.11332468572476186</v>
      </c>
      <c r="BN2945" s="127" t="e">
        <v>#N/A</v>
      </c>
      <c r="BO2945" s="127" t="e">
        <v>#N/A</v>
      </c>
      <c r="BP2945" s="151" t="e">
        <v>#N/A</v>
      </c>
      <c r="BQ2945">
        <v>0.11332468572476186</v>
      </c>
      <c r="BR2945" t="str">
        <v/>
      </c>
    </row>
    <row r="2946" spans="47:70" x14ac:dyDescent="0.2">
      <c r="AU2946"/>
      <c r="AV2946"/>
      <c r="AW2946"/>
      <c r="AX2946"/>
      <c r="AY2946"/>
      <c r="BK2946" s="42">
        <v>2945</v>
      </c>
      <c r="BL2946" s="127">
        <v>4</v>
      </c>
      <c r="BM2946" s="127">
        <v>0.11332468572476186</v>
      </c>
      <c r="BN2946" s="127" t="e">
        <v>#N/A</v>
      </c>
      <c r="BO2946" s="127" t="e">
        <v>#N/A</v>
      </c>
      <c r="BP2946" s="151" t="e">
        <v>#N/A</v>
      </c>
      <c r="BQ2946">
        <v>0.11332468572476186</v>
      </c>
      <c r="BR2946" t="str">
        <v/>
      </c>
    </row>
    <row r="2947" spans="47:70" x14ac:dyDescent="0.2">
      <c r="AU2947"/>
      <c r="AV2947"/>
      <c r="AW2947"/>
      <c r="AX2947"/>
      <c r="AY2947"/>
      <c r="BK2947" s="42">
        <v>2946</v>
      </c>
      <c r="BL2947" s="127">
        <v>4</v>
      </c>
      <c r="BM2947" s="127">
        <v>0.11332468572476186</v>
      </c>
      <c r="BN2947" s="127" t="e">
        <v>#N/A</v>
      </c>
      <c r="BO2947" s="127" t="e">
        <v>#N/A</v>
      </c>
      <c r="BP2947" s="151" t="e">
        <v>#N/A</v>
      </c>
      <c r="BQ2947">
        <v>0.11332468572476186</v>
      </c>
      <c r="BR2947" t="str">
        <v/>
      </c>
    </row>
    <row r="2948" spans="47:70" x14ac:dyDescent="0.2">
      <c r="AU2948"/>
      <c r="AV2948"/>
      <c r="AW2948"/>
      <c r="AX2948"/>
      <c r="AY2948"/>
      <c r="BK2948" s="42">
        <v>2947</v>
      </c>
      <c r="BL2948" s="127">
        <v>4</v>
      </c>
      <c r="BM2948" s="127">
        <v>0.11332468572476186</v>
      </c>
      <c r="BN2948" s="127" t="e">
        <v>#N/A</v>
      </c>
      <c r="BO2948" s="127" t="e">
        <v>#N/A</v>
      </c>
      <c r="BP2948" s="151" t="e">
        <v>#N/A</v>
      </c>
      <c r="BQ2948">
        <v>0.11332468572476186</v>
      </c>
      <c r="BR2948" t="str">
        <v/>
      </c>
    </row>
    <row r="2949" spans="47:70" x14ac:dyDescent="0.2">
      <c r="AU2949"/>
      <c r="AV2949"/>
      <c r="AW2949"/>
      <c r="AX2949"/>
      <c r="AY2949"/>
      <c r="BK2949" s="42">
        <v>2948</v>
      </c>
      <c r="BL2949" s="127">
        <v>4</v>
      </c>
      <c r="BM2949" s="127">
        <v>0.11332468572476186</v>
      </c>
      <c r="BN2949" s="127" t="e">
        <v>#N/A</v>
      </c>
      <c r="BO2949" s="127" t="e">
        <v>#N/A</v>
      </c>
      <c r="BP2949" s="151" t="e">
        <v>#N/A</v>
      </c>
      <c r="BQ2949">
        <v>0.11332468572476186</v>
      </c>
      <c r="BR2949" t="str">
        <v/>
      </c>
    </row>
    <row r="2950" spans="47:70" x14ac:dyDescent="0.2">
      <c r="AU2950"/>
      <c r="AV2950"/>
      <c r="AW2950"/>
      <c r="AX2950"/>
      <c r="AY2950"/>
      <c r="BK2950" s="42">
        <v>2949</v>
      </c>
      <c r="BL2950" s="127">
        <v>4</v>
      </c>
      <c r="BM2950" s="127">
        <v>0.11332468572476186</v>
      </c>
      <c r="BN2950" s="127" t="e">
        <v>#N/A</v>
      </c>
      <c r="BO2950" s="127" t="e">
        <v>#N/A</v>
      </c>
      <c r="BP2950" s="151" t="e">
        <v>#N/A</v>
      </c>
      <c r="BQ2950">
        <v>0.11332468572476186</v>
      </c>
      <c r="BR2950" t="str">
        <v/>
      </c>
    </row>
    <row r="2951" spans="47:70" x14ac:dyDescent="0.2">
      <c r="AU2951"/>
      <c r="AV2951"/>
      <c r="AW2951"/>
      <c r="AX2951"/>
      <c r="AY2951"/>
      <c r="BK2951" s="42">
        <v>2950</v>
      </c>
      <c r="BL2951" s="127">
        <v>4</v>
      </c>
      <c r="BM2951" s="127">
        <v>0.11332468572476186</v>
      </c>
      <c r="BN2951" s="127" t="e">
        <v>#N/A</v>
      </c>
      <c r="BO2951" s="127" t="e">
        <v>#N/A</v>
      </c>
      <c r="BP2951" s="151" t="e">
        <v>#N/A</v>
      </c>
      <c r="BQ2951">
        <v>0.11332468572476186</v>
      </c>
      <c r="BR2951" t="str">
        <v/>
      </c>
    </row>
    <row r="2952" spans="47:70" x14ac:dyDescent="0.2">
      <c r="AU2952"/>
      <c r="AV2952"/>
      <c r="AW2952"/>
      <c r="AX2952"/>
      <c r="AY2952"/>
      <c r="BK2952" s="42">
        <v>2951</v>
      </c>
      <c r="BL2952" s="127">
        <v>4</v>
      </c>
      <c r="BM2952" s="127">
        <v>0.11332468572476186</v>
      </c>
      <c r="BN2952" s="127" t="e">
        <v>#N/A</v>
      </c>
      <c r="BO2952" s="127" t="e">
        <v>#N/A</v>
      </c>
      <c r="BP2952" s="151" t="e">
        <v>#N/A</v>
      </c>
      <c r="BQ2952">
        <v>0.11332468572476186</v>
      </c>
      <c r="BR2952" t="str">
        <v/>
      </c>
    </row>
    <row r="2953" spans="47:70" x14ac:dyDescent="0.2">
      <c r="AU2953"/>
      <c r="AV2953"/>
      <c r="AW2953"/>
      <c r="AX2953"/>
      <c r="AY2953"/>
      <c r="BK2953" s="42">
        <v>2952</v>
      </c>
      <c r="BL2953" s="127">
        <v>4</v>
      </c>
      <c r="BM2953" s="127">
        <v>0.11332468572476186</v>
      </c>
      <c r="BN2953" s="127" t="e">
        <v>#N/A</v>
      </c>
      <c r="BO2953" s="127" t="e">
        <v>#N/A</v>
      </c>
      <c r="BP2953" s="151" t="e">
        <v>#N/A</v>
      </c>
      <c r="BQ2953">
        <v>0.11332468572476186</v>
      </c>
      <c r="BR2953" t="str">
        <v/>
      </c>
    </row>
    <row r="2954" spans="47:70" x14ac:dyDescent="0.2">
      <c r="AU2954"/>
      <c r="AV2954"/>
      <c r="AW2954"/>
      <c r="AX2954"/>
      <c r="AY2954"/>
      <c r="BK2954" s="42">
        <v>2953</v>
      </c>
      <c r="BL2954" s="127">
        <v>4</v>
      </c>
      <c r="BM2954" s="127">
        <v>0.11332468572476186</v>
      </c>
      <c r="BN2954" s="127" t="e">
        <v>#N/A</v>
      </c>
      <c r="BO2954" s="127" t="e">
        <v>#N/A</v>
      </c>
      <c r="BP2954" s="151" t="e">
        <v>#N/A</v>
      </c>
      <c r="BQ2954">
        <v>0.11332468572476186</v>
      </c>
      <c r="BR2954" t="str">
        <v/>
      </c>
    </row>
    <row r="2955" spans="47:70" x14ac:dyDescent="0.2">
      <c r="AU2955"/>
      <c r="AV2955"/>
      <c r="AW2955"/>
      <c r="AX2955"/>
      <c r="AY2955"/>
      <c r="BK2955" s="42">
        <v>2954</v>
      </c>
      <c r="BL2955" s="127">
        <v>4</v>
      </c>
      <c r="BM2955" s="127">
        <v>0.11332468572476186</v>
      </c>
      <c r="BN2955" s="127" t="e">
        <v>#N/A</v>
      </c>
      <c r="BO2955" s="127" t="e">
        <v>#N/A</v>
      </c>
      <c r="BP2955" s="151" t="e">
        <v>#N/A</v>
      </c>
      <c r="BQ2955">
        <v>0.11332468572476186</v>
      </c>
      <c r="BR2955" t="str">
        <v/>
      </c>
    </row>
    <row r="2956" spans="47:70" x14ac:dyDescent="0.2">
      <c r="AU2956"/>
      <c r="AV2956"/>
      <c r="AW2956"/>
      <c r="AX2956"/>
      <c r="AY2956"/>
      <c r="BK2956" s="42">
        <v>2955</v>
      </c>
      <c r="BL2956" s="127">
        <v>4</v>
      </c>
      <c r="BM2956" s="127">
        <v>0.11332468572476186</v>
      </c>
      <c r="BN2956" s="127" t="e">
        <v>#N/A</v>
      </c>
      <c r="BO2956" s="127" t="e">
        <v>#N/A</v>
      </c>
      <c r="BP2956" s="151" t="e">
        <v>#N/A</v>
      </c>
      <c r="BQ2956">
        <v>0.11332468572476186</v>
      </c>
      <c r="BR2956" t="str">
        <v/>
      </c>
    </row>
    <row r="2957" spans="47:70" x14ac:dyDescent="0.2">
      <c r="AU2957"/>
      <c r="AV2957"/>
      <c r="AW2957"/>
      <c r="AX2957"/>
      <c r="AY2957"/>
      <c r="BK2957" s="42">
        <v>2956</v>
      </c>
      <c r="BL2957" s="127">
        <v>4</v>
      </c>
      <c r="BM2957" s="127">
        <v>0.11332468572476186</v>
      </c>
      <c r="BN2957" s="127" t="e">
        <v>#N/A</v>
      </c>
      <c r="BO2957" s="127" t="e">
        <v>#N/A</v>
      </c>
      <c r="BP2957" s="151" t="e">
        <v>#N/A</v>
      </c>
      <c r="BQ2957">
        <v>0.11332468572476186</v>
      </c>
      <c r="BR2957" t="str">
        <v/>
      </c>
    </row>
    <row r="2958" spans="47:70" x14ac:dyDescent="0.2">
      <c r="AU2958"/>
      <c r="AV2958"/>
      <c r="AW2958"/>
      <c r="AX2958"/>
      <c r="AY2958"/>
      <c r="BK2958" s="42">
        <v>2957</v>
      </c>
      <c r="BL2958" s="127">
        <v>4</v>
      </c>
      <c r="BM2958" s="127">
        <v>0.11332468572476186</v>
      </c>
      <c r="BN2958" s="127" t="e">
        <v>#N/A</v>
      </c>
      <c r="BO2958" s="127" t="e">
        <v>#N/A</v>
      </c>
      <c r="BP2958" s="151" t="e">
        <v>#N/A</v>
      </c>
      <c r="BQ2958">
        <v>0.11332468572476186</v>
      </c>
      <c r="BR2958" t="str">
        <v/>
      </c>
    </row>
    <row r="2959" spans="47:70" x14ac:dyDescent="0.2">
      <c r="AU2959"/>
      <c r="AV2959"/>
      <c r="AW2959"/>
      <c r="AX2959"/>
      <c r="AY2959"/>
      <c r="BK2959" s="42">
        <v>2958</v>
      </c>
      <c r="BL2959" s="127">
        <v>4</v>
      </c>
      <c r="BM2959" s="127">
        <v>0.11332468572476186</v>
      </c>
      <c r="BN2959" s="127" t="e">
        <v>#N/A</v>
      </c>
      <c r="BO2959" s="127" t="e">
        <v>#N/A</v>
      </c>
      <c r="BP2959" s="151" t="e">
        <v>#N/A</v>
      </c>
      <c r="BQ2959">
        <v>0.11332468572476186</v>
      </c>
      <c r="BR2959" t="str">
        <v/>
      </c>
    </row>
    <row r="2960" spans="47:70" x14ac:dyDescent="0.2">
      <c r="AU2960"/>
      <c r="AV2960"/>
      <c r="AW2960"/>
      <c r="AX2960"/>
      <c r="AY2960"/>
      <c r="BK2960" s="42">
        <v>2959</v>
      </c>
      <c r="BL2960" s="127">
        <v>4</v>
      </c>
      <c r="BM2960" s="127">
        <v>0.11332468572476186</v>
      </c>
      <c r="BN2960" s="127" t="e">
        <v>#N/A</v>
      </c>
      <c r="BO2960" s="127" t="e">
        <v>#N/A</v>
      </c>
      <c r="BP2960" s="151" t="e">
        <v>#N/A</v>
      </c>
      <c r="BQ2960">
        <v>0.11332468572476186</v>
      </c>
      <c r="BR2960" t="str">
        <v/>
      </c>
    </row>
    <row r="2961" spans="47:70" x14ac:dyDescent="0.2">
      <c r="AU2961"/>
      <c r="AV2961"/>
      <c r="AW2961"/>
      <c r="AX2961"/>
      <c r="AY2961"/>
      <c r="BK2961" s="42">
        <v>2960</v>
      </c>
      <c r="BL2961" s="127">
        <v>4</v>
      </c>
      <c r="BM2961" s="127">
        <v>0.11332468572476186</v>
      </c>
      <c r="BN2961" s="127" t="e">
        <v>#N/A</v>
      </c>
      <c r="BO2961" s="127" t="e">
        <v>#N/A</v>
      </c>
      <c r="BP2961" s="151" t="e">
        <v>#N/A</v>
      </c>
      <c r="BQ2961">
        <v>0.11332468572476186</v>
      </c>
      <c r="BR2961" t="str">
        <v/>
      </c>
    </row>
    <row r="2962" spans="47:70" x14ac:dyDescent="0.2">
      <c r="AU2962"/>
      <c r="AV2962"/>
      <c r="AW2962"/>
      <c r="AX2962"/>
      <c r="AY2962"/>
      <c r="BK2962" s="42">
        <v>2961</v>
      </c>
      <c r="BL2962" s="127">
        <v>4</v>
      </c>
      <c r="BM2962" s="127">
        <v>0.11332468572476186</v>
      </c>
      <c r="BN2962" s="127" t="e">
        <v>#N/A</v>
      </c>
      <c r="BO2962" s="127" t="e">
        <v>#N/A</v>
      </c>
      <c r="BP2962" s="151" t="e">
        <v>#N/A</v>
      </c>
      <c r="BQ2962">
        <v>0.11332468572476186</v>
      </c>
      <c r="BR2962" t="str">
        <v/>
      </c>
    </row>
    <row r="2963" spans="47:70" x14ac:dyDescent="0.2">
      <c r="AU2963"/>
      <c r="AV2963"/>
      <c r="AW2963"/>
      <c r="AX2963"/>
      <c r="AY2963"/>
      <c r="BK2963" s="42">
        <v>2962</v>
      </c>
      <c r="BL2963" s="127">
        <v>4</v>
      </c>
      <c r="BM2963" s="127">
        <v>0.11332468572476186</v>
      </c>
      <c r="BN2963" s="127" t="e">
        <v>#N/A</v>
      </c>
      <c r="BO2963" s="127" t="e">
        <v>#N/A</v>
      </c>
      <c r="BP2963" s="151" t="e">
        <v>#N/A</v>
      </c>
      <c r="BQ2963">
        <v>0.11332468572476186</v>
      </c>
      <c r="BR2963" t="str">
        <v/>
      </c>
    </row>
    <row r="2964" spans="47:70" x14ac:dyDescent="0.2">
      <c r="AU2964"/>
      <c r="AV2964"/>
      <c r="AW2964"/>
      <c r="AX2964"/>
      <c r="AY2964"/>
      <c r="BK2964" s="42">
        <v>2963</v>
      </c>
      <c r="BL2964" s="127">
        <v>4</v>
      </c>
      <c r="BM2964" s="127">
        <v>0.11332468572476186</v>
      </c>
      <c r="BN2964" s="127" t="e">
        <v>#N/A</v>
      </c>
      <c r="BO2964" s="127" t="e">
        <v>#N/A</v>
      </c>
      <c r="BP2964" s="151" t="e">
        <v>#N/A</v>
      </c>
      <c r="BQ2964">
        <v>0.11332468572476186</v>
      </c>
      <c r="BR2964" t="str">
        <v/>
      </c>
    </row>
    <row r="2965" spans="47:70" x14ac:dyDescent="0.2">
      <c r="AU2965"/>
      <c r="AV2965"/>
      <c r="AW2965"/>
      <c r="AX2965"/>
      <c r="AY2965"/>
      <c r="BK2965" s="42">
        <v>2964</v>
      </c>
      <c r="BL2965" s="127">
        <v>4</v>
      </c>
      <c r="BM2965" s="127">
        <v>0.11332468572476186</v>
      </c>
      <c r="BN2965" s="127" t="e">
        <v>#N/A</v>
      </c>
      <c r="BO2965" s="127" t="e">
        <v>#N/A</v>
      </c>
      <c r="BP2965" s="151" t="e">
        <v>#N/A</v>
      </c>
      <c r="BQ2965">
        <v>0.11332468572476186</v>
      </c>
      <c r="BR2965" t="str">
        <v/>
      </c>
    </row>
    <row r="2966" spans="47:70" x14ac:dyDescent="0.2">
      <c r="AU2966"/>
      <c r="AV2966"/>
      <c r="AW2966"/>
      <c r="AX2966"/>
      <c r="AY2966"/>
      <c r="BK2966" s="42">
        <v>2965</v>
      </c>
      <c r="BL2966" s="127">
        <v>4</v>
      </c>
      <c r="BM2966" s="127">
        <v>0.11332468572476186</v>
      </c>
      <c r="BN2966" s="127" t="e">
        <v>#N/A</v>
      </c>
      <c r="BO2966" s="127" t="e">
        <v>#N/A</v>
      </c>
      <c r="BP2966" s="151" t="e">
        <v>#N/A</v>
      </c>
      <c r="BQ2966">
        <v>0.11332468572476186</v>
      </c>
      <c r="BR2966" t="str">
        <v/>
      </c>
    </row>
    <row r="2967" spans="47:70" x14ac:dyDescent="0.2">
      <c r="AU2967"/>
      <c r="AV2967"/>
      <c r="AW2967"/>
      <c r="AX2967"/>
      <c r="AY2967"/>
      <c r="BK2967" s="42">
        <v>2966</v>
      </c>
      <c r="BL2967" s="127">
        <v>4</v>
      </c>
      <c r="BM2967" s="127">
        <v>0.11332468572476186</v>
      </c>
      <c r="BN2967" s="127" t="e">
        <v>#N/A</v>
      </c>
      <c r="BO2967" s="127" t="e">
        <v>#N/A</v>
      </c>
      <c r="BP2967" s="151" t="e">
        <v>#N/A</v>
      </c>
      <c r="BQ2967">
        <v>0.11332468572476186</v>
      </c>
      <c r="BR2967" t="str">
        <v/>
      </c>
    </row>
    <row r="2968" spans="47:70" x14ac:dyDescent="0.2">
      <c r="AU2968"/>
      <c r="AV2968"/>
      <c r="AW2968"/>
      <c r="AX2968"/>
      <c r="AY2968"/>
      <c r="BK2968" s="42">
        <v>2967</v>
      </c>
      <c r="BL2968" s="127">
        <v>4</v>
      </c>
      <c r="BM2968" s="127">
        <v>0.11332468572476186</v>
      </c>
      <c r="BN2968" s="127" t="e">
        <v>#N/A</v>
      </c>
      <c r="BO2968" s="127" t="e">
        <v>#N/A</v>
      </c>
      <c r="BP2968" s="151" t="e">
        <v>#N/A</v>
      </c>
      <c r="BQ2968">
        <v>0.11332468572476186</v>
      </c>
      <c r="BR2968" t="str">
        <v/>
      </c>
    </row>
    <row r="2969" spans="47:70" x14ac:dyDescent="0.2">
      <c r="AU2969"/>
      <c r="AV2969"/>
      <c r="AW2969"/>
      <c r="AX2969"/>
      <c r="AY2969"/>
      <c r="BK2969" s="42">
        <v>2968</v>
      </c>
      <c r="BL2969" s="127">
        <v>4</v>
      </c>
      <c r="BM2969" s="127">
        <v>0.11332468572476186</v>
      </c>
      <c r="BN2969" s="127" t="e">
        <v>#N/A</v>
      </c>
      <c r="BO2969" s="127" t="e">
        <v>#N/A</v>
      </c>
      <c r="BP2969" s="151" t="e">
        <v>#N/A</v>
      </c>
      <c r="BQ2969">
        <v>0.11332468572476186</v>
      </c>
      <c r="BR2969" t="str">
        <v/>
      </c>
    </row>
    <row r="2970" spans="47:70" x14ac:dyDescent="0.2">
      <c r="AU2970"/>
      <c r="AV2970"/>
      <c r="AW2970"/>
      <c r="AX2970"/>
      <c r="AY2970"/>
      <c r="BK2970" s="42">
        <v>2969</v>
      </c>
      <c r="BL2970" s="127">
        <v>4</v>
      </c>
      <c r="BM2970" s="127">
        <v>0.11332468572476186</v>
      </c>
      <c r="BN2970" s="127" t="e">
        <v>#N/A</v>
      </c>
      <c r="BO2970" s="127" t="e">
        <v>#N/A</v>
      </c>
      <c r="BP2970" s="151" t="e">
        <v>#N/A</v>
      </c>
      <c r="BQ2970">
        <v>0.11332468572476186</v>
      </c>
      <c r="BR2970" t="str">
        <v/>
      </c>
    </row>
    <row r="2971" spans="47:70" x14ac:dyDescent="0.2">
      <c r="AU2971"/>
      <c r="AV2971"/>
      <c r="AW2971"/>
      <c r="AX2971"/>
      <c r="AY2971"/>
      <c r="BK2971" s="42">
        <v>2970</v>
      </c>
      <c r="BL2971" s="127">
        <v>4</v>
      </c>
      <c r="BM2971" s="127">
        <v>0.11332468572476186</v>
      </c>
      <c r="BN2971" s="127" t="e">
        <v>#N/A</v>
      </c>
      <c r="BO2971" s="127" t="e">
        <v>#N/A</v>
      </c>
      <c r="BP2971" s="151" t="e">
        <v>#N/A</v>
      </c>
      <c r="BQ2971">
        <v>0.11332468572476186</v>
      </c>
      <c r="BR2971" t="str">
        <v/>
      </c>
    </row>
    <row r="2972" spans="47:70" x14ac:dyDescent="0.2">
      <c r="AU2972"/>
      <c r="AV2972"/>
      <c r="AW2972"/>
      <c r="AX2972"/>
      <c r="AY2972"/>
      <c r="BK2972" s="42">
        <v>2971</v>
      </c>
      <c r="BL2972" s="127">
        <v>4</v>
      </c>
      <c r="BM2972" s="127">
        <v>0.11332468572476186</v>
      </c>
      <c r="BN2972" s="127" t="e">
        <v>#N/A</v>
      </c>
      <c r="BO2972" s="127" t="e">
        <v>#N/A</v>
      </c>
      <c r="BP2972" s="151" t="e">
        <v>#N/A</v>
      </c>
      <c r="BQ2972">
        <v>0.11332468572476186</v>
      </c>
      <c r="BR2972" t="str">
        <v/>
      </c>
    </row>
    <row r="2973" spans="47:70" x14ac:dyDescent="0.2">
      <c r="AU2973"/>
      <c r="AV2973"/>
      <c r="AW2973"/>
      <c r="AX2973"/>
      <c r="AY2973"/>
      <c r="BK2973" s="42">
        <v>2972</v>
      </c>
      <c r="BL2973" s="127">
        <v>4</v>
      </c>
      <c r="BM2973" s="127">
        <v>0.11332468572476186</v>
      </c>
      <c r="BN2973" s="127" t="e">
        <v>#N/A</v>
      </c>
      <c r="BO2973" s="127" t="e">
        <v>#N/A</v>
      </c>
      <c r="BP2973" s="151" t="e">
        <v>#N/A</v>
      </c>
      <c r="BQ2973">
        <v>0.11332468572476186</v>
      </c>
      <c r="BR2973" t="str">
        <v/>
      </c>
    </row>
    <row r="2974" spans="47:70" x14ac:dyDescent="0.2">
      <c r="AU2974"/>
      <c r="AV2974"/>
      <c r="AW2974"/>
      <c r="AX2974"/>
      <c r="AY2974"/>
      <c r="BK2974" s="42">
        <v>2973</v>
      </c>
      <c r="BL2974" s="127">
        <v>4</v>
      </c>
      <c r="BM2974" s="127">
        <v>0.11332468572476186</v>
      </c>
      <c r="BN2974" s="127" t="e">
        <v>#N/A</v>
      </c>
      <c r="BO2974" s="127" t="e">
        <v>#N/A</v>
      </c>
      <c r="BP2974" s="151" t="e">
        <v>#N/A</v>
      </c>
      <c r="BQ2974">
        <v>0.11332468572476186</v>
      </c>
      <c r="BR2974" t="str">
        <v/>
      </c>
    </row>
    <row r="2975" spans="47:70" x14ac:dyDescent="0.2">
      <c r="AU2975"/>
      <c r="AV2975"/>
      <c r="AW2975"/>
      <c r="AX2975"/>
      <c r="AY2975"/>
      <c r="BK2975" s="42">
        <v>2974</v>
      </c>
      <c r="BL2975" s="127">
        <v>4</v>
      </c>
      <c r="BM2975" s="127">
        <v>0.11332468572476186</v>
      </c>
      <c r="BN2975" s="127" t="e">
        <v>#N/A</v>
      </c>
      <c r="BO2975" s="127" t="e">
        <v>#N/A</v>
      </c>
      <c r="BP2975" s="151" t="e">
        <v>#N/A</v>
      </c>
      <c r="BQ2975">
        <v>0.11332468572476186</v>
      </c>
      <c r="BR2975" t="str">
        <v/>
      </c>
    </row>
    <row r="2976" spans="47:70" x14ac:dyDescent="0.2">
      <c r="AU2976"/>
      <c r="AV2976"/>
      <c r="AW2976"/>
      <c r="AX2976"/>
      <c r="AY2976"/>
      <c r="BK2976" s="42">
        <v>2975</v>
      </c>
      <c r="BL2976" s="127">
        <v>4</v>
      </c>
      <c r="BM2976" s="127">
        <v>0.11332468572476186</v>
      </c>
      <c r="BN2976" s="127" t="e">
        <v>#N/A</v>
      </c>
      <c r="BO2976" s="127" t="e">
        <v>#N/A</v>
      </c>
      <c r="BP2976" s="151" t="e">
        <v>#N/A</v>
      </c>
      <c r="BQ2976">
        <v>0.11332468572476186</v>
      </c>
      <c r="BR2976" t="str">
        <v/>
      </c>
    </row>
    <row r="2977" spans="47:70" x14ac:dyDescent="0.2">
      <c r="AU2977"/>
      <c r="AV2977"/>
      <c r="AW2977"/>
      <c r="AX2977"/>
      <c r="AY2977"/>
      <c r="BK2977" s="42">
        <v>2976</v>
      </c>
      <c r="BL2977" s="127">
        <v>4</v>
      </c>
      <c r="BM2977" s="127">
        <v>0.11332468572476186</v>
      </c>
      <c r="BN2977" s="127" t="e">
        <v>#N/A</v>
      </c>
      <c r="BO2977" s="127" t="e">
        <v>#N/A</v>
      </c>
      <c r="BP2977" s="151" t="e">
        <v>#N/A</v>
      </c>
      <c r="BQ2977">
        <v>0.11332468572476186</v>
      </c>
      <c r="BR2977" t="str">
        <v/>
      </c>
    </row>
    <row r="2978" spans="47:70" x14ac:dyDescent="0.2">
      <c r="AU2978"/>
      <c r="AV2978"/>
      <c r="AW2978"/>
      <c r="AX2978"/>
      <c r="AY2978"/>
      <c r="BK2978" s="42">
        <v>2977</v>
      </c>
      <c r="BL2978" s="127">
        <v>4</v>
      </c>
      <c r="BM2978" s="127">
        <v>0.11332468572476186</v>
      </c>
      <c r="BN2978" s="127" t="e">
        <v>#N/A</v>
      </c>
      <c r="BO2978" s="127" t="e">
        <v>#N/A</v>
      </c>
      <c r="BP2978" s="151" t="e">
        <v>#N/A</v>
      </c>
      <c r="BQ2978">
        <v>0.11332468572476186</v>
      </c>
      <c r="BR2978" t="str">
        <v/>
      </c>
    </row>
    <row r="2979" spans="47:70" x14ac:dyDescent="0.2">
      <c r="AU2979"/>
      <c r="AV2979"/>
      <c r="AW2979"/>
      <c r="AX2979"/>
      <c r="AY2979"/>
      <c r="BK2979" s="42">
        <v>2978</v>
      </c>
      <c r="BL2979" s="127">
        <v>4</v>
      </c>
      <c r="BM2979" s="127">
        <v>0.11332468572476186</v>
      </c>
      <c r="BN2979" s="127" t="e">
        <v>#N/A</v>
      </c>
      <c r="BO2979" s="127" t="e">
        <v>#N/A</v>
      </c>
      <c r="BP2979" s="151" t="e">
        <v>#N/A</v>
      </c>
      <c r="BQ2979">
        <v>0.11332468572476186</v>
      </c>
      <c r="BR2979" t="str">
        <v/>
      </c>
    </row>
    <row r="2980" spans="47:70" x14ac:dyDescent="0.2">
      <c r="AU2980"/>
      <c r="AV2980"/>
      <c r="AW2980"/>
      <c r="AX2980"/>
      <c r="AY2980"/>
      <c r="BK2980" s="42">
        <v>2979</v>
      </c>
      <c r="BL2980" s="127">
        <v>4</v>
      </c>
      <c r="BM2980" s="127">
        <v>0.11332468572476186</v>
      </c>
      <c r="BN2980" s="127" t="e">
        <v>#N/A</v>
      </c>
      <c r="BO2980" s="127" t="e">
        <v>#N/A</v>
      </c>
      <c r="BP2980" s="151" t="e">
        <v>#N/A</v>
      </c>
      <c r="BQ2980">
        <v>0.11332468572476186</v>
      </c>
      <c r="BR2980" t="str">
        <v/>
      </c>
    </row>
    <row r="2981" spans="47:70" x14ac:dyDescent="0.2">
      <c r="AU2981"/>
      <c r="AV2981"/>
      <c r="AW2981"/>
      <c r="AX2981"/>
      <c r="AY2981"/>
      <c r="BK2981" s="42">
        <v>2980</v>
      </c>
      <c r="BL2981" s="127">
        <v>4</v>
      </c>
      <c r="BM2981" s="127">
        <v>0.11332468572476186</v>
      </c>
      <c r="BN2981" s="127" t="e">
        <v>#N/A</v>
      </c>
      <c r="BO2981" s="127" t="e">
        <v>#N/A</v>
      </c>
      <c r="BP2981" s="151" t="e">
        <v>#N/A</v>
      </c>
      <c r="BQ2981">
        <v>0.11332468572476186</v>
      </c>
      <c r="BR2981" t="str">
        <v/>
      </c>
    </row>
    <row r="2982" spans="47:70" x14ac:dyDescent="0.2">
      <c r="AU2982"/>
      <c r="AV2982"/>
      <c r="AW2982"/>
      <c r="AX2982"/>
      <c r="AY2982"/>
      <c r="BK2982" s="42">
        <v>2981</v>
      </c>
      <c r="BL2982" s="127">
        <v>4</v>
      </c>
      <c r="BM2982" s="127">
        <v>0.11332468572476186</v>
      </c>
      <c r="BN2982" s="127" t="e">
        <v>#N/A</v>
      </c>
      <c r="BO2982" s="127" t="e">
        <v>#N/A</v>
      </c>
      <c r="BP2982" s="151" t="e">
        <v>#N/A</v>
      </c>
      <c r="BQ2982">
        <v>0.11332468572476186</v>
      </c>
      <c r="BR2982" t="str">
        <v/>
      </c>
    </row>
    <row r="2983" spans="47:70" x14ac:dyDescent="0.2">
      <c r="AU2983"/>
      <c r="AV2983"/>
      <c r="AW2983"/>
      <c r="AX2983"/>
      <c r="AY2983"/>
      <c r="BK2983" s="42">
        <v>2982</v>
      </c>
      <c r="BL2983" s="127">
        <v>4</v>
      </c>
      <c r="BM2983" s="127">
        <v>0.11332468572476186</v>
      </c>
      <c r="BN2983" s="127" t="e">
        <v>#N/A</v>
      </c>
      <c r="BO2983" s="127" t="e">
        <v>#N/A</v>
      </c>
      <c r="BP2983" s="151" t="e">
        <v>#N/A</v>
      </c>
      <c r="BQ2983">
        <v>0.11332468572476186</v>
      </c>
      <c r="BR2983" t="str">
        <v/>
      </c>
    </row>
    <row r="2984" spans="47:70" x14ac:dyDescent="0.2">
      <c r="AU2984"/>
      <c r="AV2984"/>
      <c r="AW2984"/>
      <c r="AX2984"/>
      <c r="AY2984"/>
      <c r="BK2984" s="42">
        <v>2983</v>
      </c>
      <c r="BL2984" s="127">
        <v>4</v>
      </c>
      <c r="BM2984" s="127">
        <v>0.11332468572476186</v>
      </c>
      <c r="BN2984" s="127" t="e">
        <v>#N/A</v>
      </c>
      <c r="BO2984" s="127" t="e">
        <v>#N/A</v>
      </c>
      <c r="BP2984" s="151" t="e">
        <v>#N/A</v>
      </c>
      <c r="BQ2984">
        <v>0.11332468572476186</v>
      </c>
      <c r="BR2984" t="str">
        <v/>
      </c>
    </row>
    <row r="2985" spans="47:70" x14ac:dyDescent="0.2">
      <c r="AU2985"/>
      <c r="AV2985"/>
      <c r="AW2985"/>
      <c r="AX2985"/>
      <c r="AY2985"/>
      <c r="BK2985" s="42">
        <v>2984</v>
      </c>
      <c r="BL2985" s="127">
        <v>4</v>
      </c>
      <c r="BM2985" s="127">
        <v>0.11332468572476186</v>
      </c>
      <c r="BN2985" s="127" t="e">
        <v>#N/A</v>
      </c>
      <c r="BO2985" s="127" t="e">
        <v>#N/A</v>
      </c>
      <c r="BP2985" s="151" t="e">
        <v>#N/A</v>
      </c>
      <c r="BQ2985">
        <v>0.11332468572476186</v>
      </c>
      <c r="BR2985" t="str">
        <v/>
      </c>
    </row>
    <row r="2986" spans="47:70" x14ac:dyDescent="0.2">
      <c r="AU2986"/>
      <c r="AV2986"/>
      <c r="AW2986"/>
      <c r="AX2986"/>
      <c r="AY2986"/>
      <c r="BK2986" s="42">
        <v>2985</v>
      </c>
      <c r="BL2986" s="127">
        <v>4</v>
      </c>
      <c r="BM2986" s="127">
        <v>0.11332468572476186</v>
      </c>
      <c r="BN2986" s="127" t="e">
        <v>#N/A</v>
      </c>
      <c r="BO2986" s="127" t="e">
        <v>#N/A</v>
      </c>
      <c r="BP2986" s="151" t="e">
        <v>#N/A</v>
      </c>
      <c r="BQ2986">
        <v>0.11332468572476186</v>
      </c>
      <c r="BR2986" t="str">
        <v/>
      </c>
    </row>
    <row r="2987" spans="47:70" x14ac:dyDescent="0.2">
      <c r="AU2987"/>
      <c r="AV2987"/>
      <c r="AW2987"/>
      <c r="AX2987"/>
      <c r="AY2987"/>
      <c r="BK2987" s="42">
        <v>2986</v>
      </c>
      <c r="BL2987" s="127">
        <v>4</v>
      </c>
      <c r="BM2987" s="127">
        <v>0.11332468572476186</v>
      </c>
      <c r="BN2987" s="127" t="e">
        <v>#N/A</v>
      </c>
      <c r="BO2987" s="127" t="e">
        <v>#N/A</v>
      </c>
      <c r="BP2987" s="151" t="e">
        <v>#N/A</v>
      </c>
      <c r="BQ2987">
        <v>0.11332468572476186</v>
      </c>
      <c r="BR2987" t="str">
        <v/>
      </c>
    </row>
    <row r="2988" spans="47:70" x14ac:dyDescent="0.2">
      <c r="AU2988"/>
      <c r="AV2988"/>
      <c r="AW2988"/>
      <c r="AX2988"/>
      <c r="AY2988"/>
      <c r="BK2988" s="42">
        <v>2987</v>
      </c>
      <c r="BL2988" s="127">
        <v>4</v>
      </c>
      <c r="BM2988" s="127">
        <v>0.11332468572476186</v>
      </c>
      <c r="BN2988" s="127" t="e">
        <v>#N/A</v>
      </c>
      <c r="BO2988" s="127" t="e">
        <v>#N/A</v>
      </c>
      <c r="BP2988" s="151" t="e">
        <v>#N/A</v>
      </c>
      <c r="BQ2988">
        <v>0.11332468572476186</v>
      </c>
      <c r="BR2988" t="str">
        <v/>
      </c>
    </row>
    <row r="2989" spans="47:70" x14ac:dyDescent="0.2">
      <c r="AU2989"/>
      <c r="AV2989"/>
      <c r="AW2989"/>
      <c r="AX2989"/>
      <c r="AY2989"/>
      <c r="BK2989" s="42">
        <v>2988</v>
      </c>
      <c r="BL2989" s="127">
        <v>4</v>
      </c>
      <c r="BM2989" s="127">
        <v>0.11332468572476186</v>
      </c>
      <c r="BN2989" s="127" t="e">
        <v>#N/A</v>
      </c>
      <c r="BO2989" s="127" t="e">
        <v>#N/A</v>
      </c>
      <c r="BP2989" s="151" t="e">
        <v>#N/A</v>
      </c>
      <c r="BQ2989">
        <v>0.11332468572476186</v>
      </c>
      <c r="BR2989" t="str">
        <v/>
      </c>
    </row>
    <row r="2990" spans="47:70" x14ac:dyDescent="0.2">
      <c r="AU2990"/>
      <c r="AV2990"/>
      <c r="AW2990"/>
      <c r="AX2990"/>
      <c r="AY2990"/>
      <c r="BK2990" s="42">
        <v>2989</v>
      </c>
      <c r="BL2990" s="127">
        <v>4</v>
      </c>
      <c r="BM2990" s="127">
        <v>0.11332468572476186</v>
      </c>
      <c r="BN2990" s="127" t="e">
        <v>#N/A</v>
      </c>
      <c r="BO2990" s="127" t="e">
        <v>#N/A</v>
      </c>
      <c r="BP2990" s="151" t="e">
        <v>#N/A</v>
      </c>
      <c r="BQ2990">
        <v>0.11332468572476186</v>
      </c>
      <c r="BR2990" t="str">
        <v/>
      </c>
    </row>
    <row r="2991" spans="47:70" x14ac:dyDescent="0.2">
      <c r="AU2991"/>
      <c r="AV2991"/>
      <c r="AW2991"/>
      <c r="AX2991"/>
      <c r="AY2991"/>
      <c r="BK2991" s="42">
        <v>2990</v>
      </c>
      <c r="BL2991" s="127">
        <v>4</v>
      </c>
      <c r="BM2991" s="127">
        <v>0.11332468572476186</v>
      </c>
      <c r="BN2991" s="127" t="e">
        <v>#N/A</v>
      </c>
      <c r="BO2991" s="127" t="e">
        <v>#N/A</v>
      </c>
      <c r="BP2991" s="151" t="e">
        <v>#N/A</v>
      </c>
      <c r="BQ2991">
        <v>0.11332468572476186</v>
      </c>
      <c r="BR2991" t="str">
        <v/>
      </c>
    </row>
    <row r="2992" spans="47:70" x14ac:dyDescent="0.2">
      <c r="AU2992"/>
      <c r="AV2992"/>
      <c r="AW2992"/>
      <c r="AX2992"/>
      <c r="AY2992"/>
      <c r="BK2992" s="42">
        <v>2991</v>
      </c>
      <c r="BL2992" s="127">
        <v>4</v>
      </c>
      <c r="BM2992" s="127">
        <v>0.11332468572476186</v>
      </c>
      <c r="BN2992" s="127" t="e">
        <v>#N/A</v>
      </c>
      <c r="BO2992" s="127" t="e">
        <v>#N/A</v>
      </c>
      <c r="BP2992" s="151" t="e">
        <v>#N/A</v>
      </c>
      <c r="BQ2992">
        <v>0.11332468572476186</v>
      </c>
      <c r="BR2992" t="str">
        <v/>
      </c>
    </row>
    <row r="2993" spans="47:70" x14ac:dyDescent="0.2">
      <c r="AU2993"/>
      <c r="AV2993"/>
      <c r="AW2993"/>
      <c r="AX2993"/>
      <c r="AY2993"/>
      <c r="BK2993" s="42">
        <v>2992</v>
      </c>
      <c r="BL2993" s="127">
        <v>4</v>
      </c>
      <c r="BM2993" s="127">
        <v>0.11332468572476186</v>
      </c>
      <c r="BN2993" s="127" t="e">
        <v>#N/A</v>
      </c>
      <c r="BO2993" s="127" t="e">
        <v>#N/A</v>
      </c>
      <c r="BP2993" s="151" t="e">
        <v>#N/A</v>
      </c>
      <c r="BQ2993">
        <v>0.11332468572476186</v>
      </c>
      <c r="BR2993" t="str">
        <v/>
      </c>
    </row>
    <row r="2994" spans="47:70" x14ac:dyDescent="0.2">
      <c r="AU2994"/>
      <c r="AV2994"/>
      <c r="AW2994"/>
      <c r="AX2994"/>
      <c r="AY2994"/>
      <c r="BK2994" s="42">
        <v>2993</v>
      </c>
      <c r="BL2994" s="127">
        <v>4</v>
      </c>
      <c r="BM2994" s="127">
        <v>0.11332468572476186</v>
      </c>
      <c r="BN2994" s="127" t="e">
        <v>#N/A</v>
      </c>
      <c r="BO2994" s="127" t="e">
        <v>#N/A</v>
      </c>
      <c r="BP2994" s="151" t="e">
        <v>#N/A</v>
      </c>
      <c r="BQ2994">
        <v>0.11332468572476186</v>
      </c>
      <c r="BR2994" t="str">
        <v/>
      </c>
    </row>
    <row r="2995" spans="47:70" x14ac:dyDescent="0.2">
      <c r="AU2995"/>
      <c r="AV2995"/>
      <c r="AW2995"/>
      <c r="AX2995"/>
      <c r="AY2995"/>
      <c r="BK2995" s="42">
        <v>2994</v>
      </c>
      <c r="BL2995" s="127">
        <v>4</v>
      </c>
      <c r="BM2995" s="127">
        <v>0.11332468572476186</v>
      </c>
      <c r="BN2995" s="127" t="e">
        <v>#N/A</v>
      </c>
      <c r="BO2995" s="127" t="e">
        <v>#N/A</v>
      </c>
      <c r="BP2995" s="151" t="e">
        <v>#N/A</v>
      </c>
      <c r="BQ2995">
        <v>0.11332468572476186</v>
      </c>
      <c r="BR2995" t="str">
        <v/>
      </c>
    </row>
    <row r="2996" spans="47:70" x14ac:dyDescent="0.2">
      <c r="AU2996"/>
      <c r="AV2996"/>
      <c r="AW2996"/>
      <c r="AX2996"/>
      <c r="AY2996"/>
      <c r="BK2996" s="42">
        <v>2995</v>
      </c>
      <c r="BL2996" s="127">
        <v>4</v>
      </c>
      <c r="BM2996" s="127">
        <v>0.11332468572476186</v>
      </c>
      <c r="BN2996" s="127" t="e">
        <v>#N/A</v>
      </c>
      <c r="BO2996" s="127" t="e">
        <v>#N/A</v>
      </c>
      <c r="BP2996" s="151" t="e">
        <v>#N/A</v>
      </c>
      <c r="BQ2996">
        <v>0.11332468572476186</v>
      </c>
      <c r="BR2996" t="str">
        <v/>
      </c>
    </row>
    <row r="2997" spans="47:70" x14ac:dyDescent="0.2">
      <c r="AU2997"/>
      <c r="AV2997"/>
      <c r="AW2997"/>
      <c r="AX2997"/>
      <c r="AY2997"/>
      <c r="BK2997" s="42">
        <v>2996</v>
      </c>
      <c r="BL2997" s="127">
        <v>4</v>
      </c>
      <c r="BM2997" s="127">
        <v>0.11332468572476186</v>
      </c>
      <c r="BN2997" s="127" t="e">
        <v>#N/A</v>
      </c>
      <c r="BO2997" s="127" t="e">
        <v>#N/A</v>
      </c>
      <c r="BP2997" s="151" t="e">
        <v>#N/A</v>
      </c>
      <c r="BQ2997">
        <v>0.11332468572476186</v>
      </c>
      <c r="BR2997" t="str">
        <v/>
      </c>
    </row>
    <row r="2998" spans="47:70" x14ac:dyDescent="0.2">
      <c r="AU2998"/>
      <c r="AV2998"/>
      <c r="AW2998"/>
      <c r="AX2998"/>
      <c r="AY2998"/>
      <c r="BK2998" s="42">
        <v>2997</v>
      </c>
      <c r="BL2998" s="127">
        <v>4</v>
      </c>
      <c r="BM2998" s="127">
        <v>0.11332468572476186</v>
      </c>
      <c r="BN2998" s="127" t="e">
        <v>#N/A</v>
      </c>
      <c r="BO2998" s="127" t="e">
        <v>#N/A</v>
      </c>
      <c r="BP2998" s="151" t="e">
        <v>#N/A</v>
      </c>
      <c r="BQ2998">
        <v>0.11332468572476186</v>
      </c>
      <c r="BR2998" t="str">
        <v/>
      </c>
    </row>
    <row r="2999" spans="47:70" x14ac:dyDescent="0.2">
      <c r="AU2999"/>
      <c r="AV2999"/>
      <c r="AW2999"/>
      <c r="AX2999"/>
      <c r="AY2999"/>
      <c r="BK2999" s="42">
        <v>2998</v>
      </c>
      <c r="BL2999" s="127">
        <v>4</v>
      </c>
      <c r="BM2999" s="127">
        <v>0.11332468572476186</v>
      </c>
      <c r="BN2999" s="127" t="e">
        <v>#N/A</v>
      </c>
      <c r="BO2999" s="127" t="e">
        <v>#N/A</v>
      </c>
      <c r="BP2999" s="151" t="e">
        <v>#N/A</v>
      </c>
      <c r="BQ2999">
        <v>0.11332468572476186</v>
      </c>
      <c r="BR2999" t="str">
        <v/>
      </c>
    </row>
    <row r="3000" spans="47:70" x14ac:dyDescent="0.2">
      <c r="AU3000"/>
      <c r="AV3000"/>
      <c r="AW3000"/>
      <c r="AX3000"/>
      <c r="AY3000"/>
      <c r="BK3000" s="42">
        <v>2999</v>
      </c>
      <c r="BL3000" s="127">
        <v>4</v>
      </c>
      <c r="BM3000" s="127">
        <v>0.11332468572476186</v>
      </c>
      <c r="BN3000" s="127" t="e">
        <v>#N/A</v>
      </c>
      <c r="BO3000" s="127" t="e">
        <v>#N/A</v>
      </c>
      <c r="BP3000" s="151" t="e">
        <v>#N/A</v>
      </c>
      <c r="BQ3000">
        <v>0.11332468572476186</v>
      </c>
      <c r="BR3000" t="str">
        <v/>
      </c>
    </row>
    <row r="3001" spans="47:70" x14ac:dyDescent="0.2">
      <c r="AU3001"/>
      <c r="AV3001"/>
      <c r="AW3001"/>
      <c r="AX3001"/>
      <c r="AY3001"/>
      <c r="BK3001" s="42">
        <v>3000</v>
      </c>
      <c r="BL3001" s="127">
        <v>4</v>
      </c>
      <c r="BM3001" s="127">
        <v>0.11332468572476186</v>
      </c>
      <c r="BN3001" s="127" t="e">
        <v>#N/A</v>
      </c>
      <c r="BO3001" s="127" t="e">
        <v>#N/A</v>
      </c>
      <c r="BP3001" s="151" t="e">
        <v>#N/A</v>
      </c>
      <c r="BQ3001">
        <v>0.11332468572476186</v>
      </c>
      <c r="BR3001" t="str">
        <v/>
      </c>
    </row>
    <row r="3002" spans="47:70" x14ac:dyDescent="0.2">
      <c r="AU3002"/>
      <c r="AV3002"/>
      <c r="AW3002"/>
      <c r="AX3002"/>
      <c r="AY3002"/>
      <c r="BK3002" s="42">
        <v>3001</v>
      </c>
      <c r="BL3002" s="127">
        <v>4</v>
      </c>
      <c r="BM3002" s="127">
        <v>0.11332468572476186</v>
      </c>
      <c r="BN3002" s="127" t="e">
        <v>#N/A</v>
      </c>
      <c r="BO3002" s="127" t="e">
        <v>#N/A</v>
      </c>
      <c r="BP3002" s="151" t="e">
        <v>#N/A</v>
      </c>
      <c r="BQ3002">
        <v>0.11332468572476186</v>
      </c>
      <c r="BR3002" t="str">
        <v/>
      </c>
    </row>
    <row r="3003" spans="47:70" x14ac:dyDescent="0.2">
      <c r="AU3003"/>
      <c r="AV3003"/>
      <c r="AW3003"/>
      <c r="AX3003"/>
      <c r="AY3003"/>
      <c r="BK3003" s="42">
        <v>3002</v>
      </c>
      <c r="BL3003" s="127">
        <v>4</v>
      </c>
      <c r="BM3003" s="127">
        <v>0.11332468572476186</v>
      </c>
      <c r="BN3003" s="127" t="e">
        <v>#N/A</v>
      </c>
      <c r="BO3003" s="127" t="e">
        <v>#N/A</v>
      </c>
      <c r="BP3003" s="151" t="e">
        <v>#N/A</v>
      </c>
      <c r="BQ3003">
        <v>0.11332468572476186</v>
      </c>
      <c r="BR3003" t="str">
        <v/>
      </c>
    </row>
    <row r="3004" spans="47:70" x14ac:dyDescent="0.2">
      <c r="AU3004"/>
      <c r="AV3004"/>
      <c r="AW3004"/>
      <c r="AX3004"/>
      <c r="AY3004"/>
      <c r="BK3004" s="42">
        <v>3003</v>
      </c>
      <c r="BL3004" s="127">
        <v>4</v>
      </c>
      <c r="BM3004" s="127">
        <v>0.11332468572476186</v>
      </c>
      <c r="BN3004" s="127" t="e">
        <v>#N/A</v>
      </c>
      <c r="BO3004" s="127" t="e">
        <v>#N/A</v>
      </c>
      <c r="BP3004" s="151" t="e">
        <v>#N/A</v>
      </c>
      <c r="BQ3004">
        <v>0.11332468572476186</v>
      </c>
      <c r="BR3004" t="str">
        <v/>
      </c>
    </row>
    <row r="3005" spans="47:70" x14ac:dyDescent="0.2">
      <c r="AU3005"/>
      <c r="AV3005"/>
      <c r="AW3005"/>
      <c r="AX3005"/>
      <c r="AY3005"/>
      <c r="BK3005" s="42">
        <v>3004</v>
      </c>
      <c r="BL3005" s="127">
        <v>4</v>
      </c>
      <c r="BM3005" s="127">
        <v>0.11332468572476186</v>
      </c>
      <c r="BN3005" s="127" t="e">
        <v>#N/A</v>
      </c>
      <c r="BO3005" s="127" t="e">
        <v>#N/A</v>
      </c>
      <c r="BP3005" s="151" t="e">
        <v>#N/A</v>
      </c>
      <c r="BQ3005">
        <v>0.11332468572476186</v>
      </c>
      <c r="BR3005" t="str">
        <v/>
      </c>
    </row>
    <row r="3006" spans="47:70" x14ac:dyDescent="0.2">
      <c r="AU3006"/>
      <c r="AV3006"/>
      <c r="AW3006"/>
      <c r="AX3006"/>
      <c r="AY3006"/>
      <c r="BK3006" s="42">
        <v>3005</v>
      </c>
      <c r="BL3006" s="127">
        <v>4</v>
      </c>
      <c r="BM3006" s="127">
        <v>0.11332468572476186</v>
      </c>
      <c r="BN3006" s="127" t="e">
        <v>#N/A</v>
      </c>
      <c r="BO3006" s="127" t="e">
        <v>#N/A</v>
      </c>
      <c r="BP3006" s="151" t="e">
        <v>#N/A</v>
      </c>
      <c r="BQ3006">
        <v>0.11332468572476186</v>
      </c>
      <c r="BR3006" t="str">
        <v/>
      </c>
    </row>
    <row r="3007" spans="47:70" x14ac:dyDescent="0.2">
      <c r="AU3007"/>
      <c r="AV3007"/>
      <c r="AW3007"/>
      <c r="AX3007"/>
      <c r="AY3007"/>
      <c r="BK3007" s="42">
        <v>3006</v>
      </c>
      <c r="BL3007" s="127">
        <v>4</v>
      </c>
      <c r="BM3007" s="127">
        <v>0.11332468572476186</v>
      </c>
      <c r="BN3007" s="127" t="e">
        <v>#N/A</v>
      </c>
      <c r="BO3007" s="127" t="e">
        <v>#N/A</v>
      </c>
      <c r="BP3007" s="151" t="e">
        <v>#N/A</v>
      </c>
      <c r="BQ3007">
        <v>0.11332468572476186</v>
      </c>
      <c r="BR3007" t="str">
        <v/>
      </c>
    </row>
    <row r="3008" spans="47:70" x14ac:dyDescent="0.2">
      <c r="AU3008"/>
      <c r="AV3008"/>
      <c r="AW3008"/>
      <c r="AX3008"/>
      <c r="AY3008"/>
      <c r="BK3008" s="42">
        <v>3007</v>
      </c>
      <c r="BL3008" s="127">
        <v>4</v>
      </c>
      <c r="BM3008" s="127">
        <v>0.11332468572476186</v>
      </c>
      <c r="BN3008" s="127" t="e">
        <v>#N/A</v>
      </c>
      <c r="BO3008" s="127" t="e">
        <v>#N/A</v>
      </c>
      <c r="BP3008" s="151" t="e">
        <v>#N/A</v>
      </c>
      <c r="BQ3008">
        <v>0.11332468572476186</v>
      </c>
      <c r="BR3008" t="str">
        <v/>
      </c>
    </row>
    <row r="3009" spans="47:70" x14ac:dyDescent="0.2">
      <c r="AU3009"/>
      <c r="AV3009"/>
      <c r="AW3009"/>
      <c r="AX3009"/>
      <c r="AY3009"/>
      <c r="BK3009" s="42">
        <v>3008</v>
      </c>
      <c r="BL3009" s="127">
        <v>4</v>
      </c>
      <c r="BM3009" s="127">
        <v>0.11332468572476186</v>
      </c>
      <c r="BN3009" s="127" t="e">
        <v>#N/A</v>
      </c>
      <c r="BO3009" s="127" t="e">
        <v>#N/A</v>
      </c>
      <c r="BP3009" s="151" t="e">
        <v>#N/A</v>
      </c>
      <c r="BQ3009">
        <v>0.11332468572476186</v>
      </c>
      <c r="BR3009" t="str">
        <v/>
      </c>
    </row>
    <row r="3010" spans="47:70" x14ac:dyDescent="0.2">
      <c r="AU3010"/>
      <c r="AV3010"/>
      <c r="AW3010"/>
      <c r="AX3010"/>
      <c r="AY3010"/>
      <c r="BK3010" s="42">
        <v>3009</v>
      </c>
      <c r="BL3010" s="127">
        <v>4</v>
      </c>
      <c r="BM3010" s="127">
        <v>0.11332468572476186</v>
      </c>
      <c r="BN3010" s="127" t="e">
        <v>#N/A</v>
      </c>
      <c r="BO3010" s="127" t="e">
        <v>#N/A</v>
      </c>
      <c r="BP3010" s="151" t="e">
        <v>#N/A</v>
      </c>
      <c r="BQ3010">
        <v>0.11332468572476186</v>
      </c>
      <c r="BR3010" t="str">
        <v/>
      </c>
    </row>
    <row r="3011" spans="47:70" x14ac:dyDescent="0.2">
      <c r="AU3011"/>
      <c r="AV3011"/>
      <c r="AW3011"/>
      <c r="AX3011"/>
      <c r="AY3011"/>
      <c r="BK3011" s="42">
        <v>3010</v>
      </c>
      <c r="BL3011" s="127">
        <v>4</v>
      </c>
      <c r="BM3011" s="127">
        <v>0.11332468572476186</v>
      </c>
      <c r="BN3011" s="127" t="e">
        <v>#N/A</v>
      </c>
      <c r="BO3011" s="127" t="e">
        <v>#N/A</v>
      </c>
      <c r="BP3011" s="151" t="e">
        <v>#N/A</v>
      </c>
      <c r="BQ3011">
        <v>0.11332468572476186</v>
      </c>
      <c r="BR3011" t="str">
        <v/>
      </c>
    </row>
    <row r="3012" spans="47:70" x14ac:dyDescent="0.2">
      <c r="AU3012"/>
      <c r="AV3012"/>
      <c r="AW3012"/>
      <c r="AX3012"/>
      <c r="AY3012"/>
      <c r="BK3012" s="42">
        <v>3011</v>
      </c>
      <c r="BL3012" s="127">
        <v>4</v>
      </c>
      <c r="BM3012" s="127">
        <v>0.11332468572476186</v>
      </c>
      <c r="BN3012" s="127" t="e">
        <v>#N/A</v>
      </c>
      <c r="BO3012" s="127" t="e">
        <v>#N/A</v>
      </c>
      <c r="BP3012" s="151" t="e">
        <v>#N/A</v>
      </c>
      <c r="BQ3012">
        <v>0.11332468572476186</v>
      </c>
      <c r="BR3012" t="str">
        <v/>
      </c>
    </row>
    <row r="3013" spans="47:70" x14ac:dyDescent="0.2">
      <c r="AU3013"/>
      <c r="AV3013"/>
      <c r="AW3013"/>
      <c r="AX3013"/>
      <c r="AY3013"/>
      <c r="BK3013" s="42">
        <v>3012</v>
      </c>
      <c r="BL3013" s="127">
        <v>4</v>
      </c>
      <c r="BM3013" s="127">
        <v>0.11332468572476186</v>
      </c>
      <c r="BN3013" s="127" t="e">
        <v>#N/A</v>
      </c>
      <c r="BO3013" s="127" t="e">
        <v>#N/A</v>
      </c>
      <c r="BP3013" s="151" t="e">
        <v>#N/A</v>
      </c>
      <c r="BQ3013">
        <v>0.11332468572476186</v>
      </c>
      <c r="BR3013" t="str">
        <v/>
      </c>
    </row>
    <row r="3014" spans="47:70" x14ac:dyDescent="0.2">
      <c r="AU3014"/>
      <c r="AV3014"/>
      <c r="AW3014"/>
      <c r="AX3014"/>
      <c r="AY3014"/>
      <c r="BK3014" s="42">
        <v>3013</v>
      </c>
      <c r="BL3014" s="127">
        <v>4</v>
      </c>
      <c r="BM3014" s="127">
        <v>0.11332468572476186</v>
      </c>
      <c r="BN3014" s="127" t="e">
        <v>#N/A</v>
      </c>
      <c r="BO3014" s="127" t="e">
        <v>#N/A</v>
      </c>
      <c r="BP3014" s="151" t="e">
        <v>#N/A</v>
      </c>
      <c r="BQ3014">
        <v>0.11332468572476186</v>
      </c>
      <c r="BR3014" t="str">
        <v/>
      </c>
    </row>
    <row r="3015" spans="47:70" x14ac:dyDescent="0.2">
      <c r="AU3015"/>
      <c r="AV3015"/>
      <c r="AW3015"/>
      <c r="AX3015"/>
      <c r="AY3015"/>
      <c r="BK3015" s="42">
        <v>3014</v>
      </c>
      <c r="BL3015" s="127">
        <v>4</v>
      </c>
      <c r="BM3015" s="127">
        <v>0.11332468572476186</v>
      </c>
      <c r="BN3015" s="127" t="e">
        <v>#N/A</v>
      </c>
      <c r="BO3015" s="127" t="e">
        <v>#N/A</v>
      </c>
      <c r="BP3015" s="151" t="e">
        <v>#N/A</v>
      </c>
      <c r="BQ3015">
        <v>0.11332468572476186</v>
      </c>
      <c r="BR3015" t="str">
        <v/>
      </c>
    </row>
    <row r="3016" spans="47:70" x14ac:dyDescent="0.2">
      <c r="AU3016"/>
      <c r="AV3016"/>
      <c r="AW3016"/>
      <c r="AX3016"/>
      <c r="AY3016"/>
      <c r="BK3016" s="42">
        <v>3015</v>
      </c>
      <c r="BL3016" s="127">
        <v>4</v>
      </c>
      <c r="BM3016" s="127">
        <v>0.11332468572476186</v>
      </c>
      <c r="BN3016" s="127" t="e">
        <v>#N/A</v>
      </c>
      <c r="BO3016" s="127" t="e">
        <v>#N/A</v>
      </c>
      <c r="BP3016" s="151" t="e">
        <v>#N/A</v>
      </c>
      <c r="BQ3016">
        <v>0.11332468572476186</v>
      </c>
      <c r="BR3016" t="str">
        <v/>
      </c>
    </row>
    <row r="3017" spans="47:70" x14ac:dyDescent="0.2">
      <c r="AU3017"/>
      <c r="AV3017"/>
      <c r="AW3017"/>
      <c r="AX3017"/>
      <c r="AY3017"/>
      <c r="BK3017" s="42">
        <v>3016</v>
      </c>
      <c r="BL3017" s="127">
        <v>4</v>
      </c>
      <c r="BM3017" s="127">
        <v>0.11332468572476186</v>
      </c>
      <c r="BN3017" s="127" t="e">
        <v>#N/A</v>
      </c>
      <c r="BO3017" s="127" t="e">
        <v>#N/A</v>
      </c>
      <c r="BP3017" s="151" t="e">
        <v>#N/A</v>
      </c>
      <c r="BQ3017">
        <v>0.11332468572476186</v>
      </c>
      <c r="BR3017" t="str">
        <v/>
      </c>
    </row>
    <row r="3018" spans="47:70" x14ac:dyDescent="0.2">
      <c r="AU3018"/>
      <c r="AV3018"/>
      <c r="AW3018"/>
      <c r="AX3018"/>
      <c r="AY3018"/>
      <c r="BK3018" s="42">
        <v>3017</v>
      </c>
      <c r="BL3018" s="127">
        <v>4</v>
      </c>
      <c r="BM3018" s="127">
        <v>0.11332468572476186</v>
      </c>
      <c r="BN3018" s="127" t="e">
        <v>#N/A</v>
      </c>
      <c r="BO3018" s="127" t="e">
        <v>#N/A</v>
      </c>
      <c r="BP3018" s="151" t="e">
        <v>#N/A</v>
      </c>
      <c r="BQ3018">
        <v>0.11332468572476186</v>
      </c>
      <c r="BR3018" t="str">
        <v/>
      </c>
    </row>
    <row r="3019" spans="47:70" x14ac:dyDescent="0.2">
      <c r="AU3019"/>
      <c r="AV3019"/>
      <c r="AW3019"/>
      <c r="AX3019"/>
      <c r="AY3019"/>
      <c r="BK3019" s="42">
        <v>3018</v>
      </c>
      <c r="BL3019" s="127">
        <v>4</v>
      </c>
      <c r="BM3019" s="127">
        <v>0.11332468572476186</v>
      </c>
      <c r="BN3019" s="127" t="e">
        <v>#N/A</v>
      </c>
      <c r="BO3019" s="127" t="e">
        <v>#N/A</v>
      </c>
      <c r="BP3019" s="151" t="e">
        <v>#N/A</v>
      </c>
      <c r="BQ3019">
        <v>0.11332468572476186</v>
      </c>
      <c r="BR3019" t="str">
        <v/>
      </c>
    </row>
    <row r="3020" spans="47:70" x14ac:dyDescent="0.2">
      <c r="AU3020"/>
      <c r="AV3020"/>
      <c r="AW3020"/>
      <c r="AX3020"/>
      <c r="AY3020"/>
      <c r="BK3020" s="42">
        <v>3019</v>
      </c>
      <c r="BL3020" s="127">
        <v>4</v>
      </c>
      <c r="BM3020" s="127">
        <v>0.11332468572476186</v>
      </c>
      <c r="BN3020" s="127" t="e">
        <v>#N/A</v>
      </c>
      <c r="BO3020" s="127" t="e">
        <v>#N/A</v>
      </c>
      <c r="BP3020" s="151" t="e">
        <v>#N/A</v>
      </c>
      <c r="BQ3020">
        <v>0.11332468572476186</v>
      </c>
      <c r="BR3020" t="str">
        <v/>
      </c>
    </row>
    <row r="3021" spans="47:70" x14ac:dyDescent="0.2">
      <c r="AU3021"/>
      <c r="AV3021"/>
      <c r="AW3021"/>
      <c r="AX3021"/>
      <c r="AY3021"/>
      <c r="BK3021" s="42">
        <v>3020</v>
      </c>
      <c r="BL3021" s="127">
        <v>4</v>
      </c>
      <c r="BM3021" s="127">
        <v>0.11332468572476186</v>
      </c>
      <c r="BN3021" s="127" t="e">
        <v>#N/A</v>
      </c>
      <c r="BO3021" s="127" t="e">
        <v>#N/A</v>
      </c>
      <c r="BP3021" s="151" t="e">
        <v>#N/A</v>
      </c>
      <c r="BQ3021">
        <v>0.11332468572476186</v>
      </c>
      <c r="BR3021" t="str">
        <v/>
      </c>
    </row>
    <row r="3022" spans="47:70" x14ac:dyDescent="0.2">
      <c r="AU3022"/>
      <c r="AV3022"/>
      <c r="AW3022"/>
      <c r="AX3022"/>
      <c r="AY3022"/>
      <c r="BK3022" s="42">
        <v>3021</v>
      </c>
      <c r="BL3022" s="127">
        <v>4</v>
      </c>
      <c r="BM3022" s="127">
        <v>0.11332468572476186</v>
      </c>
      <c r="BN3022" s="127" t="e">
        <v>#N/A</v>
      </c>
      <c r="BO3022" s="127" t="e">
        <v>#N/A</v>
      </c>
      <c r="BP3022" s="151" t="e">
        <v>#N/A</v>
      </c>
      <c r="BQ3022">
        <v>0.11332468572476186</v>
      </c>
      <c r="BR3022" t="str">
        <v/>
      </c>
    </row>
    <row r="3023" spans="47:70" x14ac:dyDescent="0.2">
      <c r="AU3023"/>
      <c r="AV3023"/>
      <c r="AW3023"/>
      <c r="AX3023"/>
      <c r="AY3023"/>
      <c r="BK3023" s="42">
        <v>3022</v>
      </c>
      <c r="BL3023" s="127">
        <v>4</v>
      </c>
      <c r="BM3023" s="127">
        <v>0.11332468572476186</v>
      </c>
      <c r="BN3023" s="127" t="e">
        <v>#N/A</v>
      </c>
      <c r="BO3023" s="127" t="e">
        <v>#N/A</v>
      </c>
      <c r="BP3023" s="151" t="e">
        <v>#N/A</v>
      </c>
      <c r="BQ3023">
        <v>0.11332468572476186</v>
      </c>
      <c r="BR3023" t="str">
        <v/>
      </c>
    </row>
    <row r="3024" spans="47:70" x14ac:dyDescent="0.2">
      <c r="AU3024"/>
      <c r="AV3024"/>
      <c r="AW3024"/>
      <c r="AX3024"/>
      <c r="AY3024"/>
      <c r="BK3024" s="42">
        <v>3023</v>
      </c>
      <c r="BL3024" s="127">
        <v>4</v>
      </c>
      <c r="BM3024" s="127">
        <v>0.11332468572476186</v>
      </c>
      <c r="BN3024" s="127" t="e">
        <v>#N/A</v>
      </c>
      <c r="BO3024" s="127" t="e">
        <v>#N/A</v>
      </c>
      <c r="BP3024" s="151" t="e">
        <v>#N/A</v>
      </c>
      <c r="BQ3024">
        <v>0.11332468572476186</v>
      </c>
      <c r="BR3024" t="str">
        <v/>
      </c>
    </row>
    <row r="3025" spans="47:70" x14ac:dyDescent="0.2">
      <c r="AU3025"/>
      <c r="AV3025"/>
      <c r="AW3025"/>
      <c r="AX3025"/>
      <c r="AY3025"/>
      <c r="BK3025" s="42">
        <v>3024</v>
      </c>
      <c r="BL3025" s="127">
        <v>4</v>
      </c>
      <c r="BM3025" s="127">
        <v>0.11332468572476186</v>
      </c>
      <c r="BN3025" s="127" t="e">
        <v>#N/A</v>
      </c>
      <c r="BO3025" s="127" t="e">
        <v>#N/A</v>
      </c>
      <c r="BP3025" s="151" t="e">
        <v>#N/A</v>
      </c>
      <c r="BQ3025">
        <v>0.11332468572476186</v>
      </c>
      <c r="BR3025" t="str">
        <v/>
      </c>
    </row>
    <row r="3026" spans="47:70" x14ac:dyDescent="0.2">
      <c r="AU3026"/>
      <c r="AV3026"/>
      <c r="AW3026"/>
      <c r="AX3026"/>
      <c r="AY3026"/>
      <c r="BK3026" s="42">
        <v>3025</v>
      </c>
      <c r="BL3026" s="127">
        <v>4</v>
      </c>
      <c r="BM3026" s="127">
        <v>0.11332468572476186</v>
      </c>
      <c r="BN3026" s="127" t="e">
        <v>#N/A</v>
      </c>
      <c r="BO3026" s="127" t="e">
        <v>#N/A</v>
      </c>
      <c r="BP3026" s="151" t="e">
        <v>#N/A</v>
      </c>
      <c r="BQ3026">
        <v>0.11332468572476186</v>
      </c>
      <c r="BR3026" t="str">
        <v/>
      </c>
    </row>
    <row r="3027" spans="47:70" x14ac:dyDescent="0.2">
      <c r="AU3027"/>
      <c r="AV3027"/>
      <c r="AW3027"/>
      <c r="AX3027"/>
      <c r="AY3027"/>
      <c r="BK3027" s="42">
        <v>3026</v>
      </c>
      <c r="BL3027" s="127">
        <v>4</v>
      </c>
      <c r="BM3027" s="127">
        <v>0.11332468572476186</v>
      </c>
      <c r="BN3027" s="127" t="e">
        <v>#N/A</v>
      </c>
      <c r="BO3027" s="127" t="e">
        <v>#N/A</v>
      </c>
      <c r="BP3027" s="151" t="e">
        <v>#N/A</v>
      </c>
      <c r="BQ3027">
        <v>0.11332468572476186</v>
      </c>
      <c r="BR3027" t="str">
        <v/>
      </c>
    </row>
    <row r="3028" spans="47:70" x14ac:dyDescent="0.2">
      <c r="AU3028"/>
      <c r="AV3028"/>
      <c r="AW3028"/>
      <c r="AX3028"/>
      <c r="AY3028"/>
      <c r="BK3028" s="42">
        <v>3027</v>
      </c>
      <c r="BL3028" s="127">
        <v>4</v>
      </c>
      <c r="BM3028" s="127">
        <v>0.11332468572476186</v>
      </c>
      <c r="BN3028" s="127" t="e">
        <v>#N/A</v>
      </c>
      <c r="BO3028" s="127" t="e">
        <v>#N/A</v>
      </c>
      <c r="BP3028" s="151" t="e">
        <v>#N/A</v>
      </c>
      <c r="BQ3028">
        <v>0.11332468572476186</v>
      </c>
      <c r="BR3028" t="str">
        <v/>
      </c>
    </row>
    <row r="3029" spans="47:70" x14ac:dyDescent="0.2">
      <c r="AU3029"/>
      <c r="AV3029"/>
      <c r="AW3029"/>
      <c r="AX3029"/>
      <c r="AY3029"/>
      <c r="BK3029" s="42">
        <v>3028</v>
      </c>
      <c r="BL3029" s="127">
        <v>4</v>
      </c>
      <c r="BM3029" s="127">
        <v>0.11332468572476186</v>
      </c>
      <c r="BN3029" s="127" t="e">
        <v>#N/A</v>
      </c>
      <c r="BO3029" s="127" t="e">
        <v>#N/A</v>
      </c>
      <c r="BP3029" s="151" t="e">
        <v>#N/A</v>
      </c>
      <c r="BQ3029">
        <v>0.11332468572476186</v>
      </c>
      <c r="BR3029" t="str">
        <v/>
      </c>
    </row>
    <row r="3030" spans="47:70" x14ac:dyDescent="0.2">
      <c r="AU3030"/>
      <c r="AV3030"/>
      <c r="AW3030"/>
      <c r="AX3030"/>
      <c r="AY3030"/>
      <c r="BK3030" s="42">
        <v>3029</v>
      </c>
      <c r="BL3030" s="127">
        <v>4</v>
      </c>
      <c r="BM3030" s="127">
        <v>0.11332468572476186</v>
      </c>
      <c r="BN3030" s="127" t="e">
        <v>#N/A</v>
      </c>
      <c r="BO3030" s="127" t="e">
        <v>#N/A</v>
      </c>
      <c r="BP3030" s="151" t="e">
        <v>#N/A</v>
      </c>
      <c r="BQ3030">
        <v>0.11332468572476186</v>
      </c>
      <c r="BR3030" t="str">
        <v/>
      </c>
    </row>
    <row r="3031" spans="47:70" x14ac:dyDescent="0.2">
      <c r="AU3031"/>
      <c r="AV3031"/>
      <c r="AW3031"/>
      <c r="AX3031"/>
      <c r="AY3031"/>
      <c r="BK3031" s="42">
        <v>3030</v>
      </c>
      <c r="BL3031" s="127">
        <v>4</v>
      </c>
      <c r="BM3031" s="127">
        <v>0.11332468572476186</v>
      </c>
      <c r="BN3031" s="127" t="e">
        <v>#N/A</v>
      </c>
      <c r="BO3031" s="127" t="e">
        <v>#N/A</v>
      </c>
      <c r="BP3031" s="151" t="e">
        <v>#N/A</v>
      </c>
      <c r="BQ3031">
        <v>0.11332468572476186</v>
      </c>
      <c r="BR3031" t="str">
        <v/>
      </c>
    </row>
    <row r="3032" spans="47:70" x14ac:dyDescent="0.2">
      <c r="AU3032"/>
      <c r="AV3032"/>
      <c r="AW3032"/>
      <c r="AX3032"/>
      <c r="AY3032"/>
      <c r="BK3032" s="42">
        <v>3031</v>
      </c>
      <c r="BL3032" s="127">
        <v>4</v>
      </c>
      <c r="BM3032" s="127">
        <v>0.11332468572476186</v>
      </c>
      <c r="BN3032" s="127" t="e">
        <v>#N/A</v>
      </c>
      <c r="BO3032" s="127" t="e">
        <v>#N/A</v>
      </c>
      <c r="BP3032" s="151" t="e">
        <v>#N/A</v>
      </c>
      <c r="BQ3032">
        <v>0.11332468572476186</v>
      </c>
      <c r="BR3032" t="str">
        <v/>
      </c>
    </row>
    <row r="3033" spans="47:70" x14ac:dyDescent="0.2">
      <c r="AU3033"/>
      <c r="AV3033"/>
      <c r="AW3033"/>
      <c r="AX3033"/>
      <c r="AY3033"/>
      <c r="BK3033" s="42">
        <v>3032</v>
      </c>
      <c r="BL3033" s="127">
        <v>4</v>
      </c>
      <c r="BM3033" s="127">
        <v>0.11332468572476186</v>
      </c>
      <c r="BN3033" s="127" t="e">
        <v>#N/A</v>
      </c>
      <c r="BO3033" s="127" t="e">
        <v>#N/A</v>
      </c>
      <c r="BP3033" s="151" t="e">
        <v>#N/A</v>
      </c>
      <c r="BQ3033">
        <v>0.11332468572476186</v>
      </c>
      <c r="BR3033" t="str">
        <v/>
      </c>
    </row>
    <row r="3034" spans="47:70" x14ac:dyDescent="0.2">
      <c r="AU3034"/>
      <c r="AV3034"/>
      <c r="AW3034"/>
      <c r="AX3034"/>
      <c r="AY3034"/>
      <c r="BK3034" s="42">
        <v>3033</v>
      </c>
      <c r="BL3034" s="127">
        <v>4</v>
      </c>
      <c r="BM3034" s="127">
        <v>0.11332468572476186</v>
      </c>
      <c r="BN3034" s="127" t="e">
        <v>#N/A</v>
      </c>
      <c r="BO3034" s="127" t="e">
        <v>#N/A</v>
      </c>
      <c r="BP3034" s="151" t="e">
        <v>#N/A</v>
      </c>
      <c r="BQ3034">
        <v>0.11332468572476186</v>
      </c>
      <c r="BR3034" t="str">
        <v/>
      </c>
    </row>
    <row r="3035" spans="47:70" x14ac:dyDescent="0.2">
      <c r="AU3035"/>
      <c r="AV3035"/>
      <c r="AW3035"/>
      <c r="AX3035"/>
      <c r="AY3035"/>
      <c r="BK3035" s="42">
        <v>3034</v>
      </c>
      <c r="BL3035" s="127">
        <v>4</v>
      </c>
      <c r="BM3035" s="127">
        <v>0.11332468572476186</v>
      </c>
      <c r="BN3035" s="127" t="e">
        <v>#N/A</v>
      </c>
      <c r="BO3035" s="127" t="e">
        <v>#N/A</v>
      </c>
      <c r="BP3035" s="151" t="e">
        <v>#N/A</v>
      </c>
      <c r="BQ3035">
        <v>0.11332468572476186</v>
      </c>
      <c r="BR3035" t="str">
        <v/>
      </c>
    </row>
    <row r="3036" spans="47:70" x14ac:dyDescent="0.2">
      <c r="AU3036"/>
      <c r="AV3036"/>
      <c r="AW3036"/>
      <c r="AX3036"/>
      <c r="AY3036"/>
      <c r="BK3036" s="42">
        <v>3035</v>
      </c>
      <c r="BL3036" s="127">
        <v>4</v>
      </c>
      <c r="BM3036" s="127">
        <v>0.11332468572476186</v>
      </c>
      <c r="BN3036" s="127" t="e">
        <v>#N/A</v>
      </c>
      <c r="BO3036" s="127" t="e">
        <v>#N/A</v>
      </c>
      <c r="BP3036" s="151" t="e">
        <v>#N/A</v>
      </c>
      <c r="BQ3036">
        <v>0.11332468572476186</v>
      </c>
      <c r="BR3036" t="str">
        <v/>
      </c>
    </row>
    <row r="3037" spans="47:70" x14ac:dyDescent="0.2">
      <c r="AU3037"/>
      <c r="AV3037"/>
      <c r="AW3037"/>
      <c r="AX3037"/>
      <c r="AY3037"/>
      <c r="BK3037" s="42">
        <v>3036</v>
      </c>
      <c r="BL3037" s="127">
        <v>4</v>
      </c>
      <c r="BM3037" s="127">
        <v>0.11332468572476186</v>
      </c>
      <c r="BN3037" s="127" t="e">
        <v>#N/A</v>
      </c>
      <c r="BO3037" s="127" t="e">
        <v>#N/A</v>
      </c>
      <c r="BP3037" s="151" t="e">
        <v>#N/A</v>
      </c>
      <c r="BQ3037">
        <v>0.11332468572476186</v>
      </c>
      <c r="BR3037" t="str">
        <v/>
      </c>
    </row>
    <row r="3038" spans="47:70" x14ac:dyDescent="0.2">
      <c r="AU3038"/>
      <c r="AV3038"/>
      <c r="AW3038"/>
      <c r="AX3038"/>
      <c r="AY3038"/>
      <c r="BK3038" s="42">
        <v>3037</v>
      </c>
      <c r="BL3038" s="127">
        <v>4</v>
      </c>
      <c r="BM3038" s="127">
        <v>0.11332468572476186</v>
      </c>
      <c r="BN3038" s="127" t="e">
        <v>#N/A</v>
      </c>
      <c r="BO3038" s="127" t="e">
        <v>#N/A</v>
      </c>
      <c r="BP3038" s="151" t="e">
        <v>#N/A</v>
      </c>
      <c r="BQ3038">
        <v>0.11332468572476186</v>
      </c>
      <c r="BR3038" t="str">
        <v/>
      </c>
    </row>
    <row r="3039" spans="47:70" x14ac:dyDescent="0.2">
      <c r="AU3039"/>
      <c r="AV3039"/>
      <c r="AW3039"/>
      <c r="AX3039"/>
      <c r="AY3039"/>
      <c r="BK3039" s="42">
        <v>3038</v>
      </c>
      <c r="BL3039" s="127">
        <v>4</v>
      </c>
      <c r="BM3039" s="127">
        <v>0.11332468572476186</v>
      </c>
      <c r="BN3039" s="127" t="e">
        <v>#N/A</v>
      </c>
      <c r="BO3039" s="127" t="e">
        <v>#N/A</v>
      </c>
      <c r="BP3039" s="151" t="e">
        <v>#N/A</v>
      </c>
      <c r="BQ3039">
        <v>0.11332468572476186</v>
      </c>
      <c r="BR3039" t="str">
        <v/>
      </c>
    </row>
    <row r="3040" spans="47:70" x14ac:dyDescent="0.2">
      <c r="AU3040"/>
      <c r="AV3040"/>
      <c r="AW3040"/>
      <c r="AX3040"/>
      <c r="AY3040"/>
      <c r="BK3040" s="42">
        <v>3039</v>
      </c>
      <c r="BL3040" s="127">
        <v>4</v>
      </c>
      <c r="BM3040" s="127">
        <v>0.11332468572476186</v>
      </c>
      <c r="BN3040" s="127" t="e">
        <v>#N/A</v>
      </c>
      <c r="BO3040" s="127" t="e">
        <v>#N/A</v>
      </c>
      <c r="BP3040" s="151" t="e">
        <v>#N/A</v>
      </c>
      <c r="BQ3040">
        <v>0.11332468572476186</v>
      </c>
      <c r="BR3040" t="str">
        <v/>
      </c>
    </row>
    <row r="3041" spans="47:70" x14ac:dyDescent="0.2">
      <c r="AU3041"/>
      <c r="AV3041"/>
      <c r="AW3041"/>
      <c r="AX3041"/>
      <c r="AY3041"/>
      <c r="BK3041" s="42">
        <v>3040</v>
      </c>
      <c r="BL3041" s="127">
        <v>4</v>
      </c>
      <c r="BM3041" s="127">
        <v>0.11332468572476186</v>
      </c>
      <c r="BN3041" s="127" t="e">
        <v>#N/A</v>
      </c>
      <c r="BO3041" s="127" t="e">
        <v>#N/A</v>
      </c>
      <c r="BP3041" s="151" t="e">
        <v>#N/A</v>
      </c>
      <c r="BQ3041">
        <v>0.11332468572476186</v>
      </c>
      <c r="BR3041" t="str">
        <v/>
      </c>
    </row>
    <row r="3042" spans="47:70" x14ac:dyDescent="0.2">
      <c r="AU3042"/>
      <c r="AV3042"/>
      <c r="AW3042"/>
      <c r="AX3042"/>
      <c r="AY3042"/>
      <c r="BK3042" s="42">
        <v>3041</v>
      </c>
      <c r="BL3042" s="127">
        <v>4</v>
      </c>
      <c r="BM3042" s="127">
        <v>0.11332468572476186</v>
      </c>
      <c r="BN3042" s="127" t="e">
        <v>#N/A</v>
      </c>
      <c r="BO3042" s="127" t="e">
        <v>#N/A</v>
      </c>
      <c r="BP3042" s="151" t="e">
        <v>#N/A</v>
      </c>
      <c r="BQ3042">
        <v>0.11332468572476186</v>
      </c>
      <c r="BR3042" t="str">
        <v/>
      </c>
    </row>
    <row r="3043" spans="47:70" x14ac:dyDescent="0.2">
      <c r="AU3043"/>
      <c r="AV3043"/>
      <c r="AW3043"/>
      <c r="AX3043"/>
      <c r="AY3043"/>
      <c r="BK3043" s="42">
        <v>3042</v>
      </c>
      <c r="BL3043" s="127">
        <v>4</v>
      </c>
      <c r="BM3043" s="127">
        <v>0.11332468572476186</v>
      </c>
      <c r="BN3043" s="127" t="e">
        <v>#N/A</v>
      </c>
      <c r="BO3043" s="127" t="e">
        <v>#N/A</v>
      </c>
      <c r="BP3043" s="151" t="e">
        <v>#N/A</v>
      </c>
      <c r="BQ3043">
        <v>0.11332468572476186</v>
      </c>
      <c r="BR3043" t="str">
        <v/>
      </c>
    </row>
    <row r="3044" spans="47:70" x14ac:dyDescent="0.2">
      <c r="AU3044"/>
      <c r="AV3044"/>
      <c r="AW3044"/>
      <c r="AX3044"/>
      <c r="AY3044"/>
      <c r="BK3044" s="42">
        <v>3043</v>
      </c>
      <c r="BL3044" s="127">
        <v>4</v>
      </c>
      <c r="BM3044" s="127">
        <v>0.11332468572476186</v>
      </c>
      <c r="BN3044" s="127" t="e">
        <v>#N/A</v>
      </c>
      <c r="BO3044" s="127" t="e">
        <v>#N/A</v>
      </c>
      <c r="BP3044" s="151" t="e">
        <v>#N/A</v>
      </c>
      <c r="BQ3044">
        <v>0.11332468572476186</v>
      </c>
      <c r="BR3044" t="str">
        <v/>
      </c>
    </row>
    <row r="3045" spans="47:70" x14ac:dyDescent="0.2">
      <c r="AU3045"/>
      <c r="AV3045"/>
      <c r="AW3045"/>
      <c r="AX3045"/>
      <c r="AY3045"/>
      <c r="BK3045" s="42">
        <v>3044</v>
      </c>
      <c r="BL3045" s="127">
        <v>4</v>
      </c>
      <c r="BM3045" s="127">
        <v>0.11332468572476186</v>
      </c>
      <c r="BN3045" s="127" t="e">
        <v>#N/A</v>
      </c>
      <c r="BO3045" s="127" t="e">
        <v>#N/A</v>
      </c>
      <c r="BP3045" s="151" t="e">
        <v>#N/A</v>
      </c>
      <c r="BQ3045">
        <v>0.11332468572476186</v>
      </c>
      <c r="BR3045" t="str">
        <v/>
      </c>
    </row>
    <row r="3046" spans="47:70" x14ac:dyDescent="0.2">
      <c r="AU3046"/>
      <c r="AV3046"/>
      <c r="AW3046"/>
      <c r="AX3046"/>
      <c r="AY3046"/>
      <c r="BK3046" s="42">
        <v>3045</v>
      </c>
      <c r="BL3046" s="127">
        <v>4</v>
      </c>
      <c r="BM3046" s="127">
        <v>0.11332468572476186</v>
      </c>
      <c r="BN3046" s="127" t="e">
        <v>#N/A</v>
      </c>
      <c r="BO3046" s="127" t="e">
        <v>#N/A</v>
      </c>
      <c r="BP3046" s="151" t="e">
        <v>#N/A</v>
      </c>
      <c r="BQ3046">
        <v>0.11332468572476186</v>
      </c>
      <c r="BR3046" t="str">
        <v/>
      </c>
    </row>
    <row r="3047" spans="47:70" x14ac:dyDescent="0.2">
      <c r="AU3047"/>
      <c r="AV3047"/>
      <c r="AW3047"/>
      <c r="AX3047"/>
      <c r="AY3047"/>
      <c r="BK3047" s="42">
        <v>3046</v>
      </c>
      <c r="BL3047" s="127">
        <v>4</v>
      </c>
      <c r="BM3047" s="127">
        <v>0.11332468572476186</v>
      </c>
      <c r="BN3047" s="127" t="e">
        <v>#N/A</v>
      </c>
      <c r="BO3047" s="127" t="e">
        <v>#N/A</v>
      </c>
      <c r="BP3047" s="151" t="e">
        <v>#N/A</v>
      </c>
      <c r="BQ3047">
        <v>0.11332468572476186</v>
      </c>
      <c r="BR3047" t="str">
        <v/>
      </c>
    </row>
    <row r="3048" spans="47:70" x14ac:dyDescent="0.2">
      <c r="AU3048"/>
      <c r="AV3048"/>
      <c r="AW3048"/>
      <c r="AX3048"/>
      <c r="AY3048"/>
      <c r="BK3048" s="42">
        <v>3047</v>
      </c>
      <c r="BL3048" s="127">
        <v>4</v>
      </c>
      <c r="BM3048" s="127">
        <v>0.11332468572476186</v>
      </c>
      <c r="BN3048" s="127" t="e">
        <v>#N/A</v>
      </c>
      <c r="BO3048" s="127" t="e">
        <v>#N/A</v>
      </c>
      <c r="BP3048" s="151" t="e">
        <v>#N/A</v>
      </c>
      <c r="BQ3048">
        <v>0.11332468572476186</v>
      </c>
      <c r="BR3048" t="str">
        <v/>
      </c>
    </row>
    <row r="3049" spans="47:70" x14ac:dyDescent="0.2">
      <c r="AU3049"/>
      <c r="AV3049"/>
      <c r="AW3049"/>
      <c r="AX3049"/>
      <c r="AY3049"/>
      <c r="BK3049" s="42">
        <v>3048</v>
      </c>
      <c r="BL3049" s="127">
        <v>4</v>
      </c>
      <c r="BM3049" s="127">
        <v>0.11332468572476186</v>
      </c>
      <c r="BN3049" s="127" t="e">
        <v>#N/A</v>
      </c>
      <c r="BO3049" s="127" t="e">
        <v>#N/A</v>
      </c>
      <c r="BP3049" s="151" t="e">
        <v>#N/A</v>
      </c>
      <c r="BQ3049">
        <v>0.11332468572476186</v>
      </c>
      <c r="BR3049" t="str">
        <v/>
      </c>
    </row>
    <row r="3050" spans="47:70" x14ac:dyDescent="0.2">
      <c r="AU3050"/>
      <c r="AV3050"/>
      <c r="AW3050"/>
      <c r="AX3050"/>
      <c r="AY3050"/>
      <c r="BK3050" s="42">
        <v>3049</v>
      </c>
      <c r="BL3050" s="127">
        <v>4</v>
      </c>
      <c r="BM3050" s="127">
        <v>0.11332468572476186</v>
      </c>
      <c r="BN3050" s="127" t="e">
        <v>#N/A</v>
      </c>
      <c r="BO3050" s="127" t="e">
        <v>#N/A</v>
      </c>
      <c r="BP3050" s="151" t="e">
        <v>#N/A</v>
      </c>
      <c r="BQ3050">
        <v>0.11332468572476186</v>
      </c>
      <c r="BR3050" t="str">
        <v/>
      </c>
    </row>
    <row r="3051" spans="47:70" x14ac:dyDescent="0.2">
      <c r="AU3051"/>
      <c r="AV3051"/>
      <c r="AW3051"/>
      <c r="AX3051"/>
      <c r="AY3051"/>
      <c r="BK3051" s="42">
        <v>3050</v>
      </c>
      <c r="BL3051" s="127">
        <v>4</v>
      </c>
      <c r="BM3051" s="127">
        <v>0.11332468572476186</v>
      </c>
      <c r="BN3051" s="127" t="e">
        <v>#N/A</v>
      </c>
      <c r="BO3051" s="127" t="e">
        <v>#N/A</v>
      </c>
      <c r="BP3051" s="151" t="e">
        <v>#N/A</v>
      </c>
      <c r="BQ3051">
        <v>0.11332468572476186</v>
      </c>
      <c r="BR3051" t="str">
        <v/>
      </c>
    </row>
    <row r="3052" spans="47:70" x14ac:dyDescent="0.2">
      <c r="AU3052"/>
      <c r="AV3052"/>
      <c r="AW3052"/>
      <c r="AX3052"/>
      <c r="AY3052"/>
      <c r="BK3052" s="42">
        <v>3051</v>
      </c>
      <c r="BL3052" s="127">
        <v>4</v>
      </c>
      <c r="BM3052" s="127">
        <v>0.11332468572476186</v>
      </c>
      <c r="BN3052" s="127" t="e">
        <v>#N/A</v>
      </c>
      <c r="BO3052" s="127" t="e">
        <v>#N/A</v>
      </c>
      <c r="BP3052" s="151" t="e">
        <v>#N/A</v>
      </c>
      <c r="BQ3052">
        <v>0.11332468572476186</v>
      </c>
      <c r="BR3052" t="str">
        <v/>
      </c>
    </row>
    <row r="3053" spans="47:70" x14ac:dyDescent="0.2">
      <c r="AU3053"/>
      <c r="AV3053"/>
      <c r="AW3053"/>
      <c r="AX3053"/>
      <c r="AY3053"/>
      <c r="BK3053" s="42">
        <v>3052</v>
      </c>
      <c r="BL3053" s="127">
        <v>4</v>
      </c>
      <c r="BM3053" s="127">
        <v>0.11332468572476186</v>
      </c>
      <c r="BN3053" s="127" t="e">
        <v>#N/A</v>
      </c>
      <c r="BO3053" s="127" t="e">
        <v>#N/A</v>
      </c>
      <c r="BP3053" s="151" t="e">
        <v>#N/A</v>
      </c>
      <c r="BQ3053">
        <v>0.11332468572476186</v>
      </c>
      <c r="BR3053" t="str">
        <v/>
      </c>
    </row>
    <row r="3054" spans="47:70" x14ac:dyDescent="0.2">
      <c r="AU3054"/>
      <c r="AV3054"/>
      <c r="AW3054"/>
      <c r="AX3054"/>
      <c r="AY3054"/>
      <c r="BK3054" s="42">
        <v>3053</v>
      </c>
      <c r="BL3054" s="127">
        <v>4</v>
      </c>
      <c r="BM3054" s="127">
        <v>0.11332468572476186</v>
      </c>
      <c r="BN3054" s="127" t="e">
        <v>#N/A</v>
      </c>
      <c r="BO3054" s="127" t="e">
        <v>#N/A</v>
      </c>
      <c r="BP3054" s="151" t="e">
        <v>#N/A</v>
      </c>
      <c r="BQ3054">
        <v>0.11332468572476186</v>
      </c>
      <c r="BR3054" t="str">
        <v/>
      </c>
    </row>
    <row r="3055" spans="47:70" x14ac:dyDescent="0.2">
      <c r="AU3055"/>
      <c r="AV3055"/>
      <c r="AW3055"/>
      <c r="AX3055"/>
      <c r="AY3055"/>
      <c r="BK3055" s="42">
        <v>3054</v>
      </c>
      <c r="BL3055" s="127">
        <v>4</v>
      </c>
      <c r="BM3055" s="127">
        <v>0.11332468572476186</v>
      </c>
      <c r="BN3055" s="127" t="e">
        <v>#N/A</v>
      </c>
      <c r="BO3055" s="127" t="e">
        <v>#N/A</v>
      </c>
      <c r="BP3055" s="151" t="e">
        <v>#N/A</v>
      </c>
      <c r="BQ3055">
        <v>0.11332468572476186</v>
      </c>
      <c r="BR3055" t="str">
        <v/>
      </c>
    </row>
    <row r="3056" spans="47:70" x14ac:dyDescent="0.2">
      <c r="AU3056"/>
      <c r="AV3056"/>
      <c r="AW3056"/>
      <c r="AX3056"/>
      <c r="AY3056"/>
      <c r="BK3056" s="42">
        <v>3055</v>
      </c>
      <c r="BL3056" s="127">
        <v>4</v>
      </c>
      <c r="BM3056" s="127">
        <v>0.11332468572476186</v>
      </c>
      <c r="BN3056" s="127" t="e">
        <v>#N/A</v>
      </c>
      <c r="BO3056" s="127" t="e">
        <v>#N/A</v>
      </c>
      <c r="BP3056" s="151" t="e">
        <v>#N/A</v>
      </c>
      <c r="BQ3056">
        <v>0.11332468572476186</v>
      </c>
      <c r="BR3056" t="str">
        <v/>
      </c>
    </row>
    <row r="3057" spans="47:70" x14ac:dyDescent="0.2">
      <c r="AU3057"/>
      <c r="AV3057"/>
      <c r="AW3057"/>
      <c r="AX3057"/>
      <c r="AY3057"/>
      <c r="BK3057" s="42">
        <v>3056</v>
      </c>
      <c r="BL3057" s="127">
        <v>4</v>
      </c>
      <c r="BM3057" s="127">
        <v>0.11332468572476186</v>
      </c>
      <c r="BN3057" s="127" t="e">
        <v>#N/A</v>
      </c>
      <c r="BO3057" s="127" t="e">
        <v>#N/A</v>
      </c>
      <c r="BP3057" s="151" t="e">
        <v>#N/A</v>
      </c>
      <c r="BQ3057">
        <v>0.11332468572476186</v>
      </c>
      <c r="BR3057" t="str">
        <v/>
      </c>
    </row>
    <row r="3058" spans="47:70" x14ac:dyDescent="0.2">
      <c r="AU3058"/>
      <c r="AV3058"/>
      <c r="AW3058"/>
      <c r="AX3058"/>
      <c r="AY3058"/>
      <c r="BK3058" s="42">
        <v>3057</v>
      </c>
      <c r="BL3058" s="127">
        <v>4</v>
      </c>
      <c r="BM3058" s="127">
        <v>0.11332468572476186</v>
      </c>
      <c r="BN3058" s="127" t="e">
        <v>#N/A</v>
      </c>
      <c r="BO3058" s="127" t="e">
        <v>#N/A</v>
      </c>
      <c r="BP3058" s="151" t="e">
        <v>#N/A</v>
      </c>
      <c r="BQ3058">
        <v>0.11332468572476186</v>
      </c>
      <c r="BR3058" t="str">
        <v/>
      </c>
    </row>
    <row r="3059" spans="47:70" x14ac:dyDescent="0.2">
      <c r="AU3059"/>
      <c r="AV3059"/>
      <c r="AW3059"/>
      <c r="AX3059"/>
      <c r="AY3059"/>
      <c r="BK3059" s="42">
        <v>3058</v>
      </c>
      <c r="BL3059" s="127">
        <v>4</v>
      </c>
      <c r="BM3059" s="127">
        <v>0.11332468572476186</v>
      </c>
      <c r="BN3059" s="127" t="e">
        <v>#N/A</v>
      </c>
      <c r="BO3059" s="127" t="e">
        <v>#N/A</v>
      </c>
      <c r="BP3059" s="151" t="e">
        <v>#N/A</v>
      </c>
      <c r="BQ3059">
        <v>0.11332468572476186</v>
      </c>
      <c r="BR3059" t="str">
        <v/>
      </c>
    </row>
    <row r="3060" spans="47:70" x14ac:dyDescent="0.2">
      <c r="AU3060"/>
      <c r="AV3060"/>
      <c r="AW3060"/>
      <c r="AX3060"/>
      <c r="AY3060"/>
      <c r="BK3060" s="42">
        <v>3059</v>
      </c>
      <c r="BL3060" s="127">
        <v>4</v>
      </c>
      <c r="BM3060" s="127">
        <v>0.11332468572476186</v>
      </c>
      <c r="BN3060" s="127" t="e">
        <v>#N/A</v>
      </c>
      <c r="BO3060" s="127" t="e">
        <v>#N/A</v>
      </c>
      <c r="BP3060" s="151" t="e">
        <v>#N/A</v>
      </c>
      <c r="BQ3060">
        <v>0.11332468572476186</v>
      </c>
      <c r="BR3060" t="str">
        <v/>
      </c>
    </row>
    <row r="3061" spans="47:70" x14ac:dyDescent="0.2">
      <c r="AU3061"/>
      <c r="AV3061"/>
      <c r="AW3061"/>
      <c r="AX3061"/>
      <c r="AY3061"/>
      <c r="BK3061" s="42">
        <v>3060</v>
      </c>
      <c r="BL3061" s="127">
        <v>4</v>
      </c>
      <c r="BM3061" s="127">
        <v>0.11332468572476186</v>
      </c>
      <c r="BN3061" s="127" t="e">
        <v>#N/A</v>
      </c>
      <c r="BO3061" s="127" t="e">
        <v>#N/A</v>
      </c>
      <c r="BP3061" s="151" t="e">
        <v>#N/A</v>
      </c>
      <c r="BQ3061">
        <v>0.11332468572476186</v>
      </c>
      <c r="BR3061" t="str">
        <v/>
      </c>
    </row>
    <row r="3062" spans="47:70" x14ac:dyDescent="0.2">
      <c r="AU3062"/>
      <c r="AV3062"/>
      <c r="AW3062"/>
      <c r="AX3062"/>
      <c r="AY3062"/>
      <c r="BK3062" s="42">
        <v>3061</v>
      </c>
      <c r="BL3062" s="127">
        <v>4</v>
      </c>
      <c r="BM3062" s="127">
        <v>0.11332468572476186</v>
      </c>
      <c r="BN3062" s="127" t="e">
        <v>#N/A</v>
      </c>
      <c r="BO3062" s="127" t="e">
        <v>#N/A</v>
      </c>
      <c r="BP3062" s="151" t="e">
        <v>#N/A</v>
      </c>
      <c r="BQ3062">
        <v>0.11332468572476186</v>
      </c>
      <c r="BR3062" t="str">
        <v/>
      </c>
    </row>
    <row r="3063" spans="47:70" x14ac:dyDescent="0.2">
      <c r="AU3063"/>
      <c r="AV3063"/>
      <c r="AW3063"/>
      <c r="AX3063"/>
      <c r="AY3063"/>
      <c r="BK3063" s="42">
        <v>3062</v>
      </c>
      <c r="BL3063" s="127">
        <v>4</v>
      </c>
      <c r="BM3063" s="127">
        <v>0.11332468572476186</v>
      </c>
      <c r="BN3063" s="127" t="e">
        <v>#N/A</v>
      </c>
      <c r="BO3063" s="127" t="e">
        <v>#N/A</v>
      </c>
      <c r="BP3063" s="151" t="e">
        <v>#N/A</v>
      </c>
      <c r="BQ3063">
        <v>0.11332468572476186</v>
      </c>
      <c r="BR3063" t="str">
        <v/>
      </c>
    </row>
    <row r="3064" spans="47:70" x14ac:dyDescent="0.2">
      <c r="AU3064"/>
      <c r="AV3064"/>
      <c r="AW3064"/>
      <c r="AX3064"/>
      <c r="AY3064"/>
      <c r="BK3064" s="42">
        <v>3063</v>
      </c>
      <c r="BL3064" s="127">
        <v>4</v>
      </c>
      <c r="BM3064" s="127">
        <v>0.11332468572476186</v>
      </c>
      <c r="BN3064" s="127" t="e">
        <v>#N/A</v>
      </c>
      <c r="BO3064" s="127" t="e">
        <v>#N/A</v>
      </c>
      <c r="BP3064" s="151" t="e">
        <v>#N/A</v>
      </c>
      <c r="BQ3064">
        <v>0.11332468572476186</v>
      </c>
      <c r="BR3064" t="str">
        <v/>
      </c>
    </row>
    <row r="3065" spans="47:70" x14ac:dyDescent="0.2">
      <c r="AU3065"/>
      <c r="AV3065"/>
      <c r="AW3065"/>
      <c r="AX3065"/>
      <c r="AY3065"/>
      <c r="BK3065" s="42">
        <v>3064</v>
      </c>
      <c r="BL3065" s="127">
        <v>4</v>
      </c>
      <c r="BM3065" s="127">
        <v>0.11332468572476186</v>
      </c>
      <c r="BN3065" s="127" t="e">
        <v>#N/A</v>
      </c>
      <c r="BO3065" s="127" t="e">
        <v>#N/A</v>
      </c>
      <c r="BP3065" s="151" t="e">
        <v>#N/A</v>
      </c>
      <c r="BQ3065">
        <v>0.11332468572476186</v>
      </c>
      <c r="BR3065" t="str">
        <v/>
      </c>
    </row>
    <row r="3066" spans="47:70" x14ac:dyDescent="0.2">
      <c r="AU3066"/>
      <c r="AV3066"/>
      <c r="AW3066"/>
      <c r="AX3066"/>
      <c r="AY3066"/>
      <c r="BK3066" s="42">
        <v>3065</v>
      </c>
      <c r="BL3066" s="127">
        <v>4</v>
      </c>
      <c r="BM3066" s="127">
        <v>0.11332468572476186</v>
      </c>
      <c r="BN3066" s="127" t="e">
        <v>#N/A</v>
      </c>
      <c r="BO3066" s="127" t="e">
        <v>#N/A</v>
      </c>
      <c r="BP3066" s="151" t="e">
        <v>#N/A</v>
      </c>
      <c r="BQ3066">
        <v>0.11332468572476186</v>
      </c>
      <c r="BR3066" t="str">
        <v/>
      </c>
    </row>
    <row r="3067" spans="47:70" x14ac:dyDescent="0.2">
      <c r="AU3067"/>
      <c r="AV3067"/>
      <c r="AW3067"/>
      <c r="AX3067"/>
      <c r="AY3067"/>
      <c r="BK3067" s="42">
        <v>3066</v>
      </c>
      <c r="BL3067" s="127">
        <v>4</v>
      </c>
      <c r="BM3067" s="127">
        <v>0.11332468572476186</v>
      </c>
      <c r="BN3067" s="127" t="e">
        <v>#N/A</v>
      </c>
      <c r="BO3067" s="127" t="e">
        <v>#N/A</v>
      </c>
      <c r="BP3067" s="151" t="e">
        <v>#N/A</v>
      </c>
      <c r="BQ3067">
        <v>0.11332468572476186</v>
      </c>
      <c r="BR3067" t="str">
        <v/>
      </c>
    </row>
    <row r="3068" spans="47:70" x14ac:dyDescent="0.2">
      <c r="AU3068"/>
      <c r="AV3068"/>
      <c r="AW3068"/>
      <c r="AX3068"/>
      <c r="AY3068"/>
      <c r="BK3068" s="42">
        <v>3067</v>
      </c>
      <c r="BL3068" s="127">
        <v>4</v>
      </c>
      <c r="BM3068" s="127">
        <v>0.11332468572476186</v>
      </c>
      <c r="BN3068" s="127" t="e">
        <v>#N/A</v>
      </c>
      <c r="BO3068" s="127" t="e">
        <v>#N/A</v>
      </c>
      <c r="BP3068" s="151" t="e">
        <v>#N/A</v>
      </c>
      <c r="BQ3068">
        <v>0.11332468572476186</v>
      </c>
      <c r="BR3068" t="str">
        <v/>
      </c>
    </row>
    <row r="3069" spans="47:70" x14ac:dyDescent="0.2">
      <c r="AU3069"/>
      <c r="AV3069"/>
      <c r="AW3069"/>
      <c r="AX3069"/>
      <c r="AY3069"/>
      <c r="BK3069" s="42">
        <v>3068</v>
      </c>
      <c r="BL3069" s="127">
        <v>4</v>
      </c>
      <c r="BM3069" s="127">
        <v>0.11332468572476186</v>
      </c>
      <c r="BN3069" s="127" t="e">
        <v>#N/A</v>
      </c>
      <c r="BO3069" s="127" t="e">
        <v>#N/A</v>
      </c>
      <c r="BP3069" s="151" t="e">
        <v>#N/A</v>
      </c>
      <c r="BQ3069">
        <v>0.11332468572476186</v>
      </c>
      <c r="BR3069" t="str">
        <v/>
      </c>
    </row>
    <row r="3070" spans="47:70" x14ac:dyDescent="0.2">
      <c r="AU3070"/>
      <c r="AV3070"/>
      <c r="AW3070"/>
      <c r="AX3070"/>
      <c r="AY3070"/>
      <c r="BK3070" s="42">
        <v>3069</v>
      </c>
      <c r="BL3070" s="127">
        <v>4</v>
      </c>
      <c r="BM3070" s="127">
        <v>0.11332468572476186</v>
      </c>
      <c r="BN3070" s="127" t="e">
        <v>#N/A</v>
      </c>
      <c r="BO3070" s="127" t="e">
        <v>#N/A</v>
      </c>
      <c r="BP3070" s="151" t="e">
        <v>#N/A</v>
      </c>
      <c r="BQ3070">
        <v>0.11332468572476186</v>
      </c>
      <c r="BR3070" t="str">
        <v/>
      </c>
    </row>
    <row r="3071" spans="47:70" x14ac:dyDescent="0.2">
      <c r="AU3071"/>
      <c r="AV3071"/>
      <c r="AW3071"/>
      <c r="AX3071"/>
      <c r="AY3071"/>
      <c r="BK3071" s="42">
        <v>3070</v>
      </c>
      <c r="BL3071" s="127">
        <v>4</v>
      </c>
      <c r="BM3071" s="127">
        <v>0.11332468572476186</v>
      </c>
      <c r="BN3071" s="127" t="e">
        <v>#N/A</v>
      </c>
      <c r="BO3071" s="127" t="e">
        <v>#N/A</v>
      </c>
      <c r="BP3071" s="151" t="e">
        <v>#N/A</v>
      </c>
      <c r="BQ3071">
        <v>0.11332468572476186</v>
      </c>
      <c r="BR3071" t="str">
        <v/>
      </c>
    </row>
    <row r="3072" spans="47:70" x14ac:dyDescent="0.2">
      <c r="AU3072"/>
      <c r="AV3072"/>
      <c r="AW3072"/>
      <c r="AX3072"/>
      <c r="AY3072"/>
      <c r="BK3072" s="42">
        <v>3071</v>
      </c>
      <c r="BL3072" s="127">
        <v>4</v>
      </c>
      <c r="BM3072" s="127">
        <v>0.11332468572476186</v>
      </c>
      <c r="BN3072" s="127" t="e">
        <v>#N/A</v>
      </c>
      <c r="BO3072" s="127" t="e">
        <v>#N/A</v>
      </c>
      <c r="BP3072" s="151" t="e">
        <v>#N/A</v>
      </c>
      <c r="BQ3072">
        <v>0.11332468572476186</v>
      </c>
      <c r="BR3072" t="str">
        <v/>
      </c>
    </row>
    <row r="3073" spans="47:70" x14ac:dyDescent="0.2">
      <c r="AU3073"/>
      <c r="AV3073"/>
      <c r="AW3073"/>
      <c r="AX3073"/>
      <c r="AY3073"/>
      <c r="BK3073" s="42">
        <v>3072</v>
      </c>
      <c r="BL3073" s="127">
        <v>4</v>
      </c>
      <c r="BM3073" s="127">
        <v>0.11332468572476186</v>
      </c>
      <c r="BN3073" s="127" t="e">
        <v>#N/A</v>
      </c>
      <c r="BO3073" s="127" t="e">
        <v>#N/A</v>
      </c>
      <c r="BP3073" s="151" t="e">
        <v>#N/A</v>
      </c>
      <c r="BQ3073">
        <v>0.11332468572476186</v>
      </c>
      <c r="BR3073" t="str">
        <v/>
      </c>
    </row>
    <row r="3074" spans="47:70" x14ac:dyDescent="0.2">
      <c r="AU3074"/>
      <c r="AV3074"/>
      <c r="AW3074"/>
      <c r="AX3074"/>
      <c r="AY3074"/>
      <c r="BK3074" s="42">
        <v>3073</v>
      </c>
      <c r="BL3074" s="127">
        <v>4</v>
      </c>
      <c r="BM3074" s="127">
        <v>0.11332468572476186</v>
      </c>
      <c r="BN3074" s="127" t="e">
        <v>#N/A</v>
      </c>
      <c r="BO3074" s="127" t="e">
        <v>#N/A</v>
      </c>
      <c r="BP3074" s="151" t="e">
        <v>#N/A</v>
      </c>
      <c r="BQ3074">
        <v>0.11332468572476186</v>
      </c>
      <c r="BR3074" t="str">
        <v/>
      </c>
    </row>
    <row r="3075" spans="47:70" x14ac:dyDescent="0.2">
      <c r="AU3075"/>
      <c r="AV3075"/>
      <c r="AW3075"/>
      <c r="AX3075"/>
      <c r="AY3075"/>
      <c r="BK3075" s="42">
        <v>3074</v>
      </c>
      <c r="BL3075" s="127">
        <v>4</v>
      </c>
      <c r="BM3075" s="127">
        <v>0.11332468572476186</v>
      </c>
      <c r="BN3075" s="127" t="e">
        <v>#N/A</v>
      </c>
      <c r="BO3075" s="127" t="e">
        <v>#N/A</v>
      </c>
      <c r="BP3075" s="151" t="e">
        <v>#N/A</v>
      </c>
      <c r="BQ3075">
        <v>0.11332468572476186</v>
      </c>
      <c r="BR3075" t="str">
        <v/>
      </c>
    </row>
    <row r="3076" spans="47:70" x14ac:dyDescent="0.2">
      <c r="AU3076"/>
      <c r="AV3076"/>
      <c r="AW3076"/>
      <c r="AX3076"/>
      <c r="AY3076"/>
      <c r="BK3076" s="42">
        <v>3075</v>
      </c>
      <c r="BL3076" s="127">
        <v>4</v>
      </c>
      <c r="BM3076" s="127">
        <v>0.11332468572476186</v>
      </c>
      <c r="BN3076" s="127" t="e">
        <v>#N/A</v>
      </c>
      <c r="BO3076" s="127" t="e">
        <v>#N/A</v>
      </c>
      <c r="BP3076" s="151" t="e">
        <v>#N/A</v>
      </c>
      <c r="BQ3076">
        <v>0.11332468572476186</v>
      </c>
      <c r="BR3076" t="str">
        <v/>
      </c>
    </row>
    <row r="3077" spans="47:70" x14ac:dyDescent="0.2">
      <c r="AU3077"/>
      <c r="AV3077"/>
      <c r="AW3077"/>
      <c r="AX3077"/>
      <c r="AY3077"/>
      <c r="BK3077" s="42">
        <v>3076</v>
      </c>
      <c r="BL3077" s="127">
        <v>4</v>
      </c>
      <c r="BM3077" s="127">
        <v>0.11332468572476186</v>
      </c>
      <c r="BN3077" s="127" t="e">
        <v>#N/A</v>
      </c>
      <c r="BO3077" s="127" t="e">
        <v>#N/A</v>
      </c>
      <c r="BP3077" s="151" t="e">
        <v>#N/A</v>
      </c>
      <c r="BQ3077">
        <v>0.11332468572476186</v>
      </c>
      <c r="BR3077" t="str">
        <v/>
      </c>
    </row>
    <row r="3078" spans="47:70" x14ac:dyDescent="0.2">
      <c r="AU3078"/>
      <c r="AV3078"/>
      <c r="AW3078"/>
      <c r="AX3078"/>
      <c r="AY3078"/>
      <c r="BK3078" s="42">
        <v>3077</v>
      </c>
      <c r="BL3078" s="127">
        <v>4</v>
      </c>
      <c r="BM3078" s="127">
        <v>0.11332468572476186</v>
      </c>
      <c r="BN3078" s="127" t="e">
        <v>#N/A</v>
      </c>
      <c r="BO3078" s="127" t="e">
        <v>#N/A</v>
      </c>
      <c r="BP3078" s="151" t="e">
        <v>#N/A</v>
      </c>
      <c r="BQ3078">
        <v>0.11332468572476186</v>
      </c>
      <c r="BR3078" t="str">
        <v/>
      </c>
    </row>
    <row r="3079" spans="47:70" x14ac:dyDescent="0.2">
      <c r="AU3079"/>
      <c r="AV3079"/>
      <c r="AW3079"/>
      <c r="AX3079"/>
      <c r="AY3079"/>
      <c r="BK3079" s="42">
        <v>3078</v>
      </c>
      <c r="BL3079" s="127">
        <v>4</v>
      </c>
      <c r="BM3079" s="127">
        <v>0.11332468572476186</v>
      </c>
      <c r="BN3079" s="127" t="e">
        <v>#N/A</v>
      </c>
      <c r="BO3079" s="127" t="e">
        <v>#N/A</v>
      </c>
      <c r="BP3079" s="151" t="e">
        <v>#N/A</v>
      </c>
      <c r="BQ3079">
        <v>0.11332468572476186</v>
      </c>
      <c r="BR3079" t="str">
        <v/>
      </c>
    </row>
    <row r="3080" spans="47:70" x14ac:dyDescent="0.2">
      <c r="AU3080"/>
      <c r="AV3080"/>
      <c r="AW3080"/>
      <c r="AX3080"/>
      <c r="AY3080"/>
      <c r="BK3080" s="42">
        <v>3079</v>
      </c>
      <c r="BL3080" s="127">
        <v>4</v>
      </c>
      <c r="BM3080" s="127">
        <v>0.11332468572476186</v>
      </c>
      <c r="BN3080" s="127" t="e">
        <v>#N/A</v>
      </c>
      <c r="BO3080" s="127" t="e">
        <v>#N/A</v>
      </c>
      <c r="BP3080" s="151" t="e">
        <v>#N/A</v>
      </c>
      <c r="BQ3080">
        <v>0.11332468572476186</v>
      </c>
      <c r="BR3080" t="str">
        <v/>
      </c>
    </row>
    <row r="3081" spans="47:70" x14ac:dyDescent="0.2">
      <c r="AU3081"/>
      <c r="AV3081"/>
      <c r="AW3081"/>
      <c r="AX3081"/>
      <c r="AY3081"/>
      <c r="BK3081" s="42">
        <v>3080</v>
      </c>
      <c r="BL3081" s="127">
        <v>4</v>
      </c>
      <c r="BM3081" s="127">
        <v>0.11332468572476186</v>
      </c>
      <c r="BN3081" s="127" t="e">
        <v>#N/A</v>
      </c>
      <c r="BO3081" s="127" t="e">
        <v>#N/A</v>
      </c>
      <c r="BP3081" s="151" t="e">
        <v>#N/A</v>
      </c>
      <c r="BQ3081">
        <v>0.11332468572476186</v>
      </c>
      <c r="BR3081" t="str">
        <v/>
      </c>
    </row>
    <row r="3082" spans="47:70" x14ac:dyDescent="0.2">
      <c r="AU3082"/>
      <c r="AV3082"/>
      <c r="AW3082"/>
      <c r="AX3082"/>
      <c r="AY3082"/>
      <c r="BK3082" s="42">
        <v>3081</v>
      </c>
      <c r="BL3082" s="127">
        <v>4</v>
      </c>
      <c r="BM3082" s="127">
        <v>0.11332468572476186</v>
      </c>
      <c r="BN3082" s="127" t="e">
        <v>#N/A</v>
      </c>
      <c r="BO3082" s="127" t="e">
        <v>#N/A</v>
      </c>
      <c r="BP3082" s="151" t="e">
        <v>#N/A</v>
      </c>
      <c r="BQ3082">
        <v>0.11332468572476186</v>
      </c>
      <c r="BR3082" t="str">
        <v/>
      </c>
    </row>
    <row r="3083" spans="47:70" x14ac:dyDescent="0.2">
      <c r="AU3083"/>
      <c r="AV3083"/>
      <c r="AW3083"/>
      <c r="AX3083"/>
      <c r="AY3083"/>
      <c r="BK3083" s="42">
        <v>3082</v>
      </c>
      <c r="BL3083" s="127">
        <v>4</v>
      </c>
      <c r="BM3083" s="127">
        <v>0.11332468572476186</v>
      </c>
      <c r="BN3083" s="127" t="e">
        <v>#N/A</v>
      </c>
      <c r="BO3083" s="127" t="e">
        <v>#N/A</v>
      </c>
      <c r="BP3083" s="151" t="e">
        <v>#N/A</v>
      </c>
      <c r="BQ3083">
        <v>0.11332468572476186</v>
      </c>
      <c r="BR3083" t="str">
        <v/>
      </c>
    </row>
    <row r="3084" spans="47:70" x14ac:dyDescent="0.2">
      <c r="AU3084"/>
      <c r="AV3084"/>
      <c r="AW3084"/>
      <c r="AX3084"/>
      <c r="AY3084"/>
      <c r="BK3084" s="42">
        <v>3083</v>
      </c>
      <c r="BL3084" s="127">
        <v>4</v>
      </c>
      <c r="BM3084" s="127">
        <v>0.11332468572476186</v>
      </c>
      <c r="BN3084" s="127" t="e">
        <v>#N/A</v>
      </c>
      <c r="BO3084" s="127" t="e">
        <v>#N/A</v>
      </c>
      <c r="BP3084" s="151" t="e">
        <v>#N/A</v>
      </c>
      <c r="BQ3084">
        <v>0.11332468572476186</v>
      </c>
      <c r="BR3084" t="str">
        <v/>
      </c>
    </row>
    <row r="3085" spans="47:70" x14ac:dyDescent="0.2">
      <c r="AU3085"/>
      <c r="AV3085"/>
      <c r="AW3085"/>
      <c r="AX3085"/>
      <c r="AY3085"/>
      <c r="BK3085" s="42">
        <v>3084</v>
      </c>
      <c r="BL3085" s="127">
        <v>4</v>
      </c>
      <c r="BM3085" s="127">
        <v>0.11332468572476186</v>
      </c>
      <c r="BN3085" s="127" t="e">
        <v>#N/A</v>
      </c>
      <c r="BO3085" s="127" t="e">
        <v>#N/A</v>
      </c>
      <c r="BP3085" s="151" t="e">
        <v>#N/A</v>
      </c>
      <c r="BQ3085">
        <v>0.11332468572476186</v>
      </c>
      <c r="BR3085" t="str">
        <v/>
      </c>
    </row>
    <row r="3086" spans="47:70" x14ac:dyDescent="0.2">
      <c r="AU3086"/>
      <c r="AV3086"/>
      <c r="AW3086"/>
      <c r="AX3086"/>
      <c r="AY3086"/>
      <c r="BK3086" s="42">
        <v>3085</v>
      </c>
      <c r="BL3086" s="127">
        <v>4</v>
      </c>
      <c r="BM3086" s="127">
        <v>0.11332468572476186</v>
      </c>
      <c r="BN3086" s="127" t="e">
        <v>#N/A</v>
      </c>
      <c r="BO3086" s="127" t="e">
        <v>#N/A</v>
      </c>
      <c r="BP3086" s="151" t="e">
        <v>#N/A</v>
      </c>
      <c r="BQ3086">
        <v>0.11332468572476186</v>
      </c>
      <c r="BR3086" t="str">
        <v/>
      </c>
    </row>
    <row r="3087" spans="47:70" x14ac:dyDescent="0.2">
      <c r="AU3087"/>
      <c r="AV3087"/>
      <c r="AW3087"/>
      <c r="AX3087"/>
      <c r="AY3087"/>
      <c r="BK3087" s="42">
        <v>3086</v>
      </c>
      <c r="BL3087" s="127">
        <v>4</v>
      </c>
      <c r="BM3087" s="127">
        <v>0.11332468572476186</v>
      </c>
      <c r="BN3087" s="127" t="e">
        <v>#N/A</v>
      </c>
      <c r="BO3087" s="127" t="e">
        <v>#N/A</v>
      </c>
      <c r="BP3087" s="151" t="e">
        <v>#N/A</v>
      </c>
      <c r="BQ3087">
        <v>0.11332468572476186</v>
      </c>
      <c r="BR3087" t="str">
        <v/>
      </c>
    </row>
    <row r="3088" spans="47:70" x14ac:dyDescent="0.2">
      <c r="AU3088"/>
      <c r="AV3088"/>
      <c r="AW3088"/>
      <c r="AX3088"/>
      <c r="AY3088"/>
      <c r="BK3088" s="42">
        <v>3087</v>
      </c>
      <c r="BL3088" s="127">
        <v>4</v>
      </c>
      <c r="BM3088" s="127">
        <v>0.11332468572476186</v>
      </c>
      <c r="BN3088" s="127" t="e">
        <v>#N/A</v>
      </c>
      <c r="BO3088" s="127" t="e">
        <v>#N/A</v>
      </c>
      <c r="BP3088" s="151" t="e">
        <v>#N/A</v>
      </c>
      <c r="BQ3088">
        <v>0.11332468572476186</v>
      </c>
      <c r="BR3088" t="str">
        <v/>
      </c>
    </row>
    <row r="3089" spans="47:70" x14ac:dyDescent="0.2">
      <c r="AU3089"/>
      <c r="AV3089"/>
      <c r="AW3089"/>
      <c r="AX3089"/>
      <c r="AY3089"/>
      <c r="BK3089" s="42">
        <v>3088</v>
      </c>
      <c r="BL3089" s="127">
        <v>4</v>
      </c>
      <c r="BM3089" s="127">
        <v>0.11332468572476186</v>
      </c>
      <c r="BN3089" s="127" t="e">
        <v>#N/A</v>
      </c>
      <c r="BO3089" s="127" t="e">
        <v>#N/A</v>
      </c>
      <c r="BP3089" s="151" t="e">
        <v>#N/A</v>
      </c>
      <c r="BQ3089">
        <v>0.11332468572476186</v>
      </c>
      <c r="BR3089" t="str">
        <v/>
      </c>
    </row>
    <row r="3090" spans="47:70" x14ac:dyDescent="0.2">
      <c r="AU3090"/>
      <c r="AV3090"/>
      <c r="AW3090"/>
      <c r="AX3090"/>
      <c r="AY3090"/>
      <c r="BK3090" s="42">
        <v>3089</v>
      </c>
      <c r="BL3090" s="127">
        <v>4</v>
      </c>
      <c r="BM3090" s="127">
        <v>0.11332468572476186</v>
      </c>
      <c r="BN3090" s="127" t="e">
        <v>#N/A</v>
      </c>
      <c r="BO3090" s="127" t="e">
        <v>#N/A</v>
      </c>
      <c r="BP3090" s="151" t="e">
        <v>#N/A</v>
      </c>
      <c r="BQ3090">
        <v>0.11332468572476186</v>
      </c>
      <c r="BR3090" t="str">
        <v/>
      </c>
    </row>
    <row r="3091" spans="47:70" x14ac:dyDescent="0.2">
      <c r="AU3091"/>
      <c r="AV3091"/>
      <c r="AW3091"/>
      <c r="AX3091"/>
      <c r="AY3091"/>
      <c r="BK3091" s="42">
        <v>3090</v>
      </c>
      <c r="BL3091" s="127">
        <v>4</v>
      </c>
      <c r="BM3091" s="127">
        <v>0.11332468572476186</v>
      </c>
      <c r="BN3091" s="127" t="e">
        <v>#N/A</v>
      </c>
      <c r="BO3091" s="127" t="e">
        <v>#N/A</v>
      </c>
      <c r="BP3091" s="151" t="e">
        <v>#N/A</v>
      </c>
      <c r="BQ3091">
        <v>0.11332468572476186</v>
      </c>
      <c r="BR3091" t="str">
        <v/>
      </c>
    </row>
    <row r="3092" spans="47:70" x14ac:dyDescent="0.2">
      <c r="AU3092"/>
      <c r="AV3092"/>
      <c r="AW3092"/>
      <c r="AX3092"/>
      <c r="AY3092"/>
      <c r="BK3092" s="42">
        <v>3091</v>
      </c>
      <c r="BL3092" s="127">
        <v>4</v>
      </c>
      <c r="BM3092" s="127">
        <v>0.11332468572476186</v>
      </c>
      <c r="BN3092" s="127" t="e">
        <v>#N/A</v>
      </c>
      <c r="BO3092" s="127" t="e">
        <v>#N/A</v>
      </c>
      <c r="BP3092" s="151" t="e">
        <v>#N/A</v>
      </c>
      <c r="BQ3092">
        <v>0.11332468572476186</v>
      </c>
      <c r="BR3092" t="str">
        <v/>
      </c>
    </row>
    <row r="3093" spans="47:70" x14ac:dyDescent="0.2">
      <c r="AU3093"/>
      <c r="AV3093"/>
      <c r="AW3093"/>
      <c r="AX3093"/>
      <c r="AY3093"/>
      <c r="BK3093" s="42">
        <v>3092</v>
      </c>
      <c r="BL3093" s="127">
        <v>4</v>
      </c>
      <c r="BM3093" s="127">
        <v>0.11332468572476186</v>
      </c>
      <c r="BN3093" s="127" t="e">
        <v>#N/A</v>
      </c>
      <c r="BO3093" s="127" t="e">
        <v>#N/A</v>
      </c>
      <c r="BP3093" s="151" t="e">
        <v>#N/A</v>
      </c>
      <c r="BQ3093">
        <v>0.11332468572476186</v>
      </c>
      <c r="BR3093" t="str">
        <v/>
      </c>
    </row>
    <row r="3094" spans="47:70" x14ac:dyDescent="0.2">
      <c r="AU3094"/>
      <c r="AV3094"/>
      <c r="AW3094"/>
      <c r="AX3094"/>
      <c r="AY3094"/>
      <c r="BK3094" s="42">
        <v>3093</v>
      </c>
      <c r="BL3094" s="127">
        <v>4</v>
      </c>
      <c r="BM3094" s="127">
        <v>0.11332468572476186</v>
      </c>
      <c r="BN3094" s="127" t="e">
        <v>#N/A</v>
      </c>
      <c r="BO3094" s="127" t="e">
        <v>#N/A</v>
      </c>
      <c r="BP3094" s="151" t="e">
        <v>#N/A</v>
      </c>
      <c r="BQ3094">
        <v>0.11332468572476186</v>
      </c>
      <c r="BR3094" t="str">
        <v/>
      </c>
    </row>
    <row r="3095" spans="47:70" x14ac:dyDescent="0.2">
      <c r="AU3095"/>
      <c r="AV3095"/>
      <c r="AW3095"/>
      <c r="AX3095"/>
      <c r="AY3095"/>
      <c r="BK3095" s="42">
        <v>3094</v>
      </c>
      <c r="BL3095" s="127">
        <v>4</v>
      </c>
      <c r="BM3095" s="127">
        <v>0.11332468572476186</v>
      </c>
      <c r="BN3095" s="127" t="e">
        <v>#N/A</v>
      </c>
      <c r="BO3095" s="127" t="e">
        <v>#N/A</v>
      </c>
      <c r="BP3095" s="151" t="e">
        <v>#N/A</v>
      </c>
      <c r="BQ3095">
        <v>0.11332468572476186</v>
      </c>
      <c r="BR3095" t="str">
        <v/>
      </c>
    </row>
    <row r="3096" spans="47:70" x14ac:dyDescent="0.2">
      <c r="AU3096"/>
      <c r="AV3096"/>
      <c r="AW3096"/>
      <c r="AX3096"/>
      <c r="AY3096"/>
      <c r="BK3096" s="42">
        <v>3095</v>
      </c>
      <c r="BL3096" s="127">
        <v>4</v>
      </c>
      <c r="BM3096" s="127">
        <v>0.11332468572476186</v>
      </c>
      <c r="BN3096" s="127" t="e">
        <v>#N/A</v>
      </c>
      <c r="BO3096" s="127" t="e">
        <v>#N/A</v>
      </c>
      <c r="BP3096" s="151" t="e">
        <v>#N/A</v>
      </c>
      <c r="BQ3096">
        <v>0.11332468572476186</v>
      </c>
      <c r="BR3096" t="str">
        <v/>
      </c>
    </row>
    <row r="3097" spans="47:70" x14ac:dyDescent="0.2">
      <c r="AU3097"/>
      <c r="AV3097"/>
      <c r="AW3097"/>
      <c r="AX3097"/>
      <c r="AY3097"/>
      <c r="BK3097" s="42">
        <v>3096</v>
      </c>
      <c r="BL3097" s="127">
        <v>4</v>
      </c>
      <c r="BM3097" s="127">
        <v>0.11332468572476186</v>
      </c>
      <c r="BN3097" s="127" t="e">
        <v>#N/A</v>
      </c>
      <c r="BO3097" s="127" t="e">
        <v>#N/A</v>
      </c>
      <c r="BP3097" s="151" t="e">
        <v>#N/A</v>
      </c>
      <c r="BQ3097">
        <v>0.11332468572476186</v>
      </c>
      <c r="BR3097" t="str">
        <v/>
      </c>
    </row>
    <row r="3098" spans="47:70" x14ac:dyDescent="0.2">
      <c r="AU3098"/>
      <c r="AV3098"/>
      <c r="AW3098"/>
      <c r="AX3098"/>
      <c r="AY3098"/>
      <c r="BK3098" s="42">
        <v>3097</v>
      </c>
      <c r="BL3098" s="127">
        <v>4</v>
      </c>
      <c r="BM3098" s="127">
        <v>0.11332468572476186</v>
      </c>
      <c r="BN3098" s="127" t="e">
        <v>#N/A</v>
      </c>
      <c r="BO3098" s="127" t="e">
        <v>#N/A</v>
      </c>
      <c r="BP3098" s="151" t="e">
        <v>#N/A</v>
      </c>
      <c r="BQ3098">
        <v>0.11332468572476186</v>
      </c>
      <c r="BR3098" t="str">
        <v/>
      </c>
    </row>
    <row r="3099" spans="47:70" x14ac:dyDescent="0.2">
      <c r="AU3099"/>
      <c r="AV3099"/>
      <c r="AW3099"/>
      <c r="AX3099"/>
      <c r="AY3099"/>
      <c r="BK3099" s="42">
        <v>3098</v>
      </c>
      <c r="BL3099" s="127">
        <v>4</v>
      </c>
      <c r="BM3099" s="127">
        <v>0.11332468572476186</v>
      </c>
      <c r="BN3099" s="127" t="e">
        <v>#N/A</v>
      </c>
      <c r="BO3099" s="127" t="e">
        <v>#N/A</v>
      </c>
      <c r="BP3099" s="151" t="e">
        <v>#N/A</v>
      </c>
      <c r="BQ3099">
        <v>0.11332468572476186</v>
      </c>
      <c r="BR3099" t="str">
        <v/>
      </c>
    </row>
    <row r="3100" spans="47:70" x14ac:dyDescent="0.2">
      <c r="AU3100"/>
      <c r="AV3100"/>
      <c r="AW3100"/>
      <c r="AX3100"/>
      <c r="AY3100"/>
      <c r="BK3100" s="42">
        <v>3099</v>
      </c>
      <c r="BL3100" s="127">
        <v>4</v>
      </c>
      <c r="BM3100" s="127">
        <v>0.11332468572476186</v>
      </c>
      <c r="BN3100" s="127" t="e">
        <v>#N/A</v>
      </c>
      <c r="BO3100" s="127" t="e">
        <v>#N/A</v>
      </c>
      <c r="BP3100" s="151" t="e">
        <v>#N/A</v>
      </c>
      <c r="BQ3100">
        <v>0.11332468572476186</v>
      </c>
      <c r="BR3100" t="str">
        <v/>
      </c>
    </row>
    <row r="3101" spans="47:70" x14ac:dyDescent="0.2">
      <c r="AU3101"/>
      <c r="AV3101"/>
      <c r="AW3101"/>
      <c r="AX3101"/>
      <c r="AY3101"/>
      <c r="BK3101" s="42">
        <v>3100</v>
      </c>
      <c r="BL3101" s="127">
        <v>4</v>
      </c>
      <c r="BM3101" s="127">
        <v>0.11332468572476186</v>
      </c>
      <c r="BN3101" s="127" t="e">
        <v>#N/A</v>
      </c>
      <c r="BO3101" s="127" t="e">
        <v>#N/A</v>
      </c>
      <c r="BP3101" s="151" t="e">
        <v>#N/A</v>
      </c>
      <c r="BQ3101">
        <v>0.11332468572476186</v>
      </c>
      <c r="BR3101" t="str">
        <v/>
      </c>
    </row>
    <row r="3102" spans="47:70" x14ac:dyDescent="0.2">
      <c r="AU3102"/>
      <c r="AV3102"/>
      <c r="AW3102"/>
      <c r="AX3102"/>
      <c r="AY3102"/>
      <c r="BK3102" s="42">
        <v>3101</v>
      </c>
      <c r="BL3102" s="127">
        <v>4</v>
      </c>
      <c r="BM3102" s="127">
        <v>0.11332468572476186</v>
      </c>
      <c r="BN3102" s="127" t="e">
        <v>#N/A</v>
      </c>
      <c r="BO3102" s="127" t="e">
        <v>#N/A</v>
      </c>
      <c r="BP3102" s="151" t="e">
        <v>#N/A</v>
      </c>
      <c r="BQ3102">
        <v>0.11332468572476186</v>
      </c>
      <c r="BR3102" t="str">
        <v/>
      </c>
    </row>
    <row r="3103" spans="47:70" x14ac:dyDescent="0.2">
      <c r="AU3103"/>
      <c r="AV3103"/>
      <c r="AW3103"/>
      <c r="AX3103"/>
      <c r="AY3103"/>
      <c r="BK3103" s="42">
        <v>3102</v>
      </c>
      <c r="BL3103" s="127">
        <v>4</v>
      </c>
      <c r="BM3103" s="127">
        <v>0.11332468572476186</v>
      </c>
      <c r="BN3103" s="127" t="e">
        <v>#N/A</v>
      </c>
      <c r="BO3103" s="127" t="e">
        <v>#N/A</v>
      </c>
      <c r="BP3103" s="151" t="e">
        <v>#N/A</v>
      </c>
      <c r="BQ3103">
        <v>0.11332468572476186</v>
      </c>
      <c r="BR3103" t="str">
        <v/>
      </c>
    </row>
    <row r="3104" spans="47:70" x14ac:dyDescent="0.2">
      <c r="AU3104"/>
      <c r="AV3104"/>
      <c r="AW3104"/>
      <c r="AX3104"/>
      <c r="AY3104"/>
      <c r="BK3104" s="42">
        <v>3103</v>
      </c>
      <c r="BL3104" s="127">
        <v>4</v>
      </c>
      <c r="BM3104" s="127">
        <v>0.11332468572476186</v>
      </c>
      <c r="BN3104" s="127" t="e">
        <v>#N/A</v>
      </c>
      <c r="BO3104" s="127" t="e">
        <v>#N/A</v>
      </c>
      <c r="BP3104" s="151" t="e">
        <v>#N/A</v>
      </c>
      <c r="BQ3104">
        <v>0.11332468572476186</v>
      </c>
      <c r="BR3104" t="str">
        <v/>
      </c>
    </row>
    <row r="3105" spans="47:70" x14ac:dyDescent="0.2">
      <c r="AU3105"/>
      <c r="AV3105"/>
      <c r="AW3105"/>
      <c r="AX3105"/>
      <c r="AY3105"/>
      <c r="BK3105" s="42">
        <v>3104</v>
      </c>
      <c r="BL3105" s="127">
        <v>4</v>
      </c>
      <c r="BM3105" s="127">
        <v>0.11332468572476186</v>
      </c>
      <c r="BN3105" s="127" t="e">
        <v>#N/A</v>
      </c>
      <c r="BO3105" s="127" t="e">
        <v>#N/A</v>
      </c>
      <c r="BP3105" s="151" t="e">
        <v>#N/A</v>
      </c>
      <c r="BQ3105">
        <v>0.11332468572476186</v>
      </c>
      <c r="BR3105" t="str">
        <v/>
      </c>
    </row>
    <row r="3106" spans="47:70" x14ac:dyDescent="0.2">
      <c r="AU3106"/>
      <c r="AV3106"/>
      <c r="AW3106"/>
      <c r="AX3106"/>
      <c r="AY3106"/>
      <c r="BK3106" s="42">
        <v>3105</v>
      </c>
      <c r="BL3106" s="127">
        <v>4</v>
      </c>
      <c r="BM3106" s="127">
        <v>0.11332468572476186</v>
      </c>
      <c r="BN3106" s="127" t="e">
        <v>#N/A</v>
      </c>
      <c r="BO3106" s="127" t="e">
        <v>#N/A</v>
      </c>
      <c r="BP3106" s="151" t="e">
        <v>#N/A</v>
      </c>
      <c r="BQ3106">
        <v>0.11332468572476186</v>
      </c>
      <c r="BR3106" t="str">
        <v/>
      </c>
    </row>
    <row r="3107" spans="47:70" x14ac:dyDescent="0.2">
      <c r="AU3107"/>
      <c r="AV3107"/>
      <c r="AW3107"/>
      <c r="AX3107"/>
      <c r="AY3107"/>
      <c r="BK3107" s="42">
        <v>3106</v>
      </c>
      <c r="BL3107" s="127">
        <v>4</v>
      </c>
      <c r="BM3107" s="127">
        <v>0.11332468572476186</v>
      </c>
      <c r="BN3107" s="127" t="e">
        <v>#N/A</v>
      </c>
      <c r="BO3107" s="127" t="e">
        <v>#N/A</v>
      </c>
      <c r="BP3107" s="151" t="e">
        <v>#N/A</v>
      </c>
      <c r="BQ3107">
        <v>0.11332468572476186</v>
      </c>
      <c r="BR3107" t="str">
        <v/>
      </c>
    </row>
    <row r="3108" spans="47:70" x14ac:dyDescent="0.2">
      <c r="AU3108"/>
      <c r="AV3108"/>
      <c r="AW3108"/>
      <c r="AX3108"/>
      <c r="AY3108"/>
      <c r="BK3108" s="42">
        <v>3107</v>
      </c>
      <c r="BL3108" s="127">
        <v>4</v>
      </c>
      <c r="BM3108" s="127">
        <v>0.11332468572476186</v>
      </c>
      <c r="BN3108" s="127" t="e">
        <v>#N/A</v>
      </c>
      <c r="BO3108" s="127" t="e">
        <v>#N/A</v>
      </c>
      <c r="BP3108" s="151" t="e">
        <v>#N/A</v>
      </c>
      <c r="BQ3108">
        <v>0.11332468572476186</v>
      </c>
      <c r="BR3108" t="str">
        <v/>
      </c>
    </row>
    <row r="3109" spans="47:70" x14ac:dyDescent="0.2">
      <c r="AU3109"/>
      <c r="AV3109"/>
      <c r="AW3109"/>
      <c r="AX3109"/>
      <c r="AY3109"/>
      <c r="BK3109" s="42">
        <v>3108</v>
      </c>
      <c r="BL3109" s="127">
        <v>4</v>
      </c>
      <c r="BM3109" s="127">
        <v>0.11332468572476186</v>
      </c>
      <c r="BN3109" s="127" t="e">
        <v>#N/A</v>
      </c>
      <c r="BO3109" s="127" t="e">
        <v>#N/A</v>
      </c>
      <c r="BP3109" s="151" t="e">
        <v>#N/A</v>
      </c>
      <c r="BQ3109">
        <v>0.11332468572476186</v>
      </c>
      <c r="BR3109" t="str">
        <v/>
      </c>
    </row>
    <row r="3110" spans="47:70" x14ac:dyDescent="0.2">
      <c r="AU3110"/>
      <c r="AV3110"/>
      <c r="AW3110"/>
      <c r="AX3110"/>
      <c r="AY3110"/>
      <c r="BK3110" s="42">
        <v>3109</v>
      </c>
      <c r="BL3110" s="127">
        <v>4</v>
      </c>
      <c r="BM3110" s="127">
        <v>0.11332468572476186</v>
      </c>
      <c r="BN3110" s="127" t="e">
        <v>#N/A</v>
      </c>
      <c r="BO3110" s="127" t="e">
        <v>#N/A</v>
      </c>
      <c r="BP3110" s="151" t="e">
        <v>#N/A</v>
      </c>
      <c r="BQ3110">
        <v>0.11332468572476186</v>
      </c>
      <c r="BR3110" t="str">
        <v/>
      </c>
    </row>
    <row r="3111" spans="47:70" x14ac:dyDescent="0.2">
      <c r="AU3111"/>
      <c r="AV3111"/>
      <c r="AW3111"/>
      <c r="AX3111"/>
      <c r="AY3111"/>
      <c r="BK3111" s="42">
        <v>3110</v>
      </c>
      <c r="BL3111" s="127">
        <v>4</v>
      </c>
      <c r="BM3111" s="127">
        <v>0.11332468572476186</v>
      </c>
      <c r="BN3111" s="127" t="e">
        <v>#N/A</v>
      </c>
      <c r="BO3111" s="127" t="e">
        <v>#N/A</v>
      </c>
      <c r="BP3111" s="151" t="e">
        <v>#N/A</v>
      </c>
      <c r="BQ3111">
        <v>0.11332468572476186</v>
      </c>
      <c r="BR3111" t="str">
        <v/>
      </c>
    </row>
    <row r="3112" spans="47:70" x14ac:dyDescent="0.2">
      <c r="AU3112"/>
      <c r="AV3112"/>
      <c r="AW3112"/>
      <c r="AX3112"/>
      <c r="AY3112"/>
      <c r="BK3112" s="42">
        <v>3111</v>
      </c>
      <c r="BL3112" s="127">
        <v>4</v>
      </c>
      <c r="BM3112" s="127">
        <v>0.11332468572476186</v>
      </c>
      <c r="BN3112" s="127" t="e">
        <v>#N/A</v>
      </c>
      <c r="BO3112" s="127" t="e">
        <v>#N/A</v>
      </c>
      <c r="BP3112" s="151" t="e">
        <v>#N/A</v>
      </c>
      <c r="BQ3112">
        <v>0.11332468572476186</v>
      </c>
      <c r="BR3112" t="str">
        <v/>
      </c>
    </row>
    <row r="3113" spans="47:70" x14ac:dyDescent="0.2">
      <c r="AU3113"/>
      <c r="AV3113"/>
      <c r="AW3113"/>
      <c r="AX3113"/>
      <c r="AY3113"/>
      <c r="BK3113" s="42">
        <v>3112</v>
      </c>
      <c r="BL3113" s="127">
        <v>4</v>
      </c>
      <c r="BM3113" s="127">
        <v>0.11332468572476186</v>
      </c>
      <c r="BN3113" s="127" t="e">
        <v>#N/A</v>
      </c>
      <c r="BO3113" s="127" t="e">
        <v>#N/A</v>
      </c>
      <c r="BP3113" s="151" t="e">
        <v>#N/A</v>
      </c>
      <c r="BQ3113">
        <v>0.11332468572476186</v>
      </c>
      <c r="BR3113" t="str">
        <v/>
      </c>
    </row>
    <row r="3114" spans="47:70" x14ac:dyDescent="0.2">
      <c r="AU3114"/>
      <c r="AV3114"/>
      <c r="AW3114"/>
      <c r="AX3114"/>
      <c r="AY3114"/>
      <c r="BK3114" s="42">
        <v>3113</v>
      </c>
      <c r="BL3114" s="127">
        <v>4</v>
      </c>
      <c r="BM3114" s="127">
        <v>0.11332468572476186</v>
      </c>
      <c r="BN3114" s="127" t="e">
        <v>#N/A</v>
      </c>
      <c r="BO3114" s="127" t="e">
        <v>#N/A</v>
      </c>
      <c r="BP3114" s="151" t="e">
        <v>#N/A</v>
      </c>
      <c r="BQ3114">
        <v>0.11332468572476186</v>
      </c>
      <c r="BR3114" t="str">
        <v/>
      </c>
    </row>
    <row r="3115" spans="47:70" x14ac:dyDescent="0.2">
      <c r="AU3115"/>
      <c r="AV3115"/>
      <c r="AW3115"/>
      <c r="AX3115"/>
      <c r="AY3115"/>
      <c r="BK3115" s="42">
        <v>3114</v>
      </c>
      <c r="BL3115" s="127">
        <v>4</v>
      </c>
      <c r="BM3115" s="127">
        <v>0.11332468572476186</v>
      </c>
      <c r="BN3115" s="127" t="e">
        <v>#N/A</v>
      </c>
      <c r="BO3115" s="127" t="e">
        <v>#N/A</v>
      </c>
      <c r="BP3115" s="151" t="e">
        <v>#N/A</v>
      </c>
      <c r="BQ3115">
        <v>0.11332468572476186</v>
      </c>
      <c r="BR3115" t="str">
        <v/>
      </c>
    </row>
    <row r="3116" spans="47:70" x14ac:dyDescent="0.2">
      <c r="AU3116"/>
      <c r="AV3116"/>
      <c r="AW3116"/>
      <c r="AX3116"/>
      <c r="AY3116"/>
      <c r="BK3116" s="42">
        <v>3115</v>
      </c>
      <c r="BL3116" s="127">
        <v>4</v>
      </c>
      <c r="BM3116" s="127">
        <v>0.11332468572476186</v>
      </c>
      <c r="BN3116" s="127" t="e">
        <v>#N/A</v>
      </c>
      <c r="BO3116" s="127" t="e">
        <v>#N/A</v>
      </c>
      <c r="BP3116" s="151" t="e">
        <v>#N/A</v>
      </c>
      <c r="BQ3116">
        <v>0.11332468572476186</v>
      </c>
      <c r="BR3116" t="str">
        <v/>
      </c>
    </row>
    <row r="3117" spans="47:70" x14ac:dyDescent="0.2">
      <c r="AU3117"/>
      <c r="AV3117"/>
      <c r="AW3117"/>
      <c r="AX3117"/>
      <c r="AY3117"/>
      <c r="BK3117" s="42">
        <v>3116</v>
      </c>
      <c r="BL3117" s="127">
        <v>4</v>
      </c>
      <c r="BM3117" s="127">
        <v>0.11332468572476186</v>
      </c>
      <c r="BN3117" s="127" t="e">
        <v>#N/A</v>
      </c>
      <c r="BO3117" s="127" t="e">
        <v>#N/A</v>
      </c>
      <c r="BP3117" s="151" t="e">
        <v>#N/A</v>
      </c>
      <c r="BQ3117">
        <v>0.11332468572476186</v>
      </c>
      <c r="BR3117" t="str">
        <v/>
      </c>
    </row>
    <row r="3118" spans="47:70" x14ac:dyDescent="0.2">
      <c r="AU3118"/>
      <c r="AV3118"/>
      <c r="AW3118"/>
      <c r="AX3118"/>
      <c r="AY3118"/>
      <c r="BK3118" s="42">
        <v>3117</v>
      </c>
      <c r="BL3118" s="127">
        <v>4</v>
      </c>
      <c r="BM3118" s="127">
        <v>0.11332468572476186</v>
      </c>
      <c r="BN3118" s="127" t="e">
        <v>#N/A</v>
      </c>
      <c r="BO3118" s="127" t="e">
        <v>#N/A</v>
      </c>
      <c r="BP3118" s="151" t="e">
        <v>#N/A</v>
      </c>
      <c r="BQ3118">
        <v>0.11332468572476186</v>
      </c>
      <c r="BR3118" t="str">
        <v/>
      </c>
    </row>
    <row r="3119" spans="47:70" x14ac:dyDescent="0.2">
      <c r="AU3119"/>
      <c r="AV3119"/>
      <c r="AW3119"/>
      <c r="AX3119"/>
      <c r="AY3119"/>
      <c r="BK3119" s="42">
        <v>3118</v>
      </c>
      <c r="BL3119" s="127">
        <v>4</v>
      </c>
      <c r="BM3119" s="127">
        <v>0.11332468572476186</v>
      </c>
      <c r="BN3119" s="127" t="e">
        <v>#N/A</v>
      </c>
      <c r="BO3119" s="127" t="e">
        <v>#N/A</v>
      </c>
      <c r="BP3119" s="151" t="e">
        <v>#N/A</v>
      </c>
      <c r="BQ3119">
        <v>0.11332468572476186</v>
      </c>
      <c r="BR3119" t="str">
        <v/>
      </c>
    </row>
    <row r="3120" spans="47:70" x14ac:dyDescent="0.2">
      <c r="AU3120"/>
      <c r="AV3120"/>
      <c r="AW3120"/>
      <c r="AX3120"/>
      <c r="AY3120"/>
      <c r="BK3120" s="42">
        <v>3119</v>
      </c>
      <c r="BL3120" s="127">
        <v>4</v>
      </c>
      <c r="BM3120" s="127">
        <v>0.11332468572476186</v>
      </c>
      <c r="BN3120" s="127" t="e">
        <v>#N/A</v>
      </c>
      <c r="BO3120" s="127" t="e">
        <v>#N/A</v>
      </c>
      <c r="BP3120" s="151" t="e">
        <v>#N/A</v>
      </c>
      <c r="BQ3120">
        <v>0.11332468572476186</v>
      </c>
      <c r="BR3120" t="str">
        <v/>
      </c>
    </row>
    <row r="3121" spans="47:70" x14ac:dyDescent="0.2">
      <c r="AU3121"/>
      <c r="AV3121"/>
      <c r="AW3121"/>
      <c r="AX3121"/>
      <c r="AY3121"/>
      <c r="BK3121" s="42">
        <v>3120</v>
      </c>
      <c r="BL3121" s="127">
        <v>4</v>
      </c>
      <c r="BM3121" s="127">
        <v>0.11332468572476186</v>
      </c>
      <c r="BN3121" s="127" t="e">
        <v>#N/A</v>
      </c>
      <c r="BO3121" s="127" t="e">
        <v>#N/A</v>
      </c>
      <c r="BP3121" s="151" t="e">
        <v>#N/A</v>
      </c>
      <c r="BQ3121">
        <v>0.11332468572476186</v>
      </c>
      <c r="BR3121" t="str">
        <v/>
      </c>
    </row>
    <row r="3122" spans="47:70" x14ac:dyDescent="0.2">
      <c r="AU3122"/>
      <c r="AV3122"/>
      <c r="AW3122"/>
      <c r="AX3122"/>
      <c r="AY3122"/>
      <c r="BK3122" s="42">
        <v>3121</v>
      </c>
      <c r="BL3122" s="127">
        <v>4</v>
      </c>
      <c r="BM3122" s="127">
        <v>0.11332468572476186</v>
      </c>
      <c r="BN3122" s="127" t="e">
        <v>#N/A</v>
      </c>
      <c r="BO3122" s="127" t="e">
        <v>#N/A</v>
      </c>
      <c r="BP3122" s="151" t="e">
        <v>#N/A</v>
      </c>
      <c r="BQ3122">
        <v>0.11332468572476186</v>
      </c>
      <c r="BR3122" t="str">
        <v/>
      </c>
    </row>
    <row r="3123" spans="47:70" x14ac:dyDescent="0.2">
      <c r="AU3123"/>
      <c r="AV3123"/>
      <c r="AW3123"/>
      <c r="AX3123"/>
      <c r="AY3123"/>
      <c r="BK3123" s="42">
        <v>3122</v>
      </c>
      <c r="BL3123" s="127">
        <v>4</v>
      </c>
      <c r="BM3123" s="127">
        <v>0.11332468572476186</v>
      </c>
      <c r="BN3123" s="127" t="e">
        <v>#N/A</v>
      </c>
      <c r="BO3123" s="127" t="e">
        <v>#N/A</v>
      </c>
      <c r="BP3123" s="151" t="e">
        <v>#N/A</v>
      </c>
      <c r="BQ3123">
        <v>0.11332468572476186</v>
      </c>
      <c r="BR3123" t="str">
        <v/>
      </c>
    </row>
    <row r="3124" spans="47:70" x14ac:dyDescent="0.2">
      <c r="AU3124"/>
      <c r="AV3124"/>
      <c r="AW3124"/>
      <c r="AX3124"/>
      <c r="AY3124"/>
      <c r="BK3124" s="42">
        <v>3123</v>
      </c>
      <c r="BL3124" s="127">
        <v>4</v>
      </c>
      <c r="BM3124" s="127">
        <v>0.11332468572476186</v>
      </c>
      <c r="BN3124" s="127" t="e">
        <v>#N/A</v>
      </c>
      <c r="BO3124" s="127" t="e">
        <v>#N/A</v>
      </c>
      <c r="BP3124" s="151" t="e">
        <v>#N/A</v>
      </c>
      <c r="BQ3124">
        <v>0.11332468572476186</v>
      </c>
      <c r="BR3124" t="str">
        <v/>
      </c>
    </row>
    <row r="3125" spans="47:70" x14ac:dyDescent="0.2">
      <c r="AU3125"/>
      <c r="AV3125"/>
      <c r="AW3125"/>
      <c r="AX3125"/>
      <c r="AY3125"/>
      <c r="BK3125" s="42">
        <v>3124</v>
      </c>
      <c r="BL3125" s="127">
        <v>4</v>
      </c>
      <c r="BM3125" s="127">
        <v>0.11332468572476186</v>
      </c>
      <c r="BN3125" s="127" t="e">
        <v>#N/A</v>
      </c>
      <c r="BO3125" s="127" t="e">
        <v>#N/A</v>
      </c>
      <c r="BP3125" s="151" t="e">
        <v>#N/A</v>
      </c>
      <c r="BQ3125">
        <v>0.11332468572476186</v>
      </c>
      <c r="BR3125" t="str">
        <v/>
      </c>
    </row>
    <row r="3126" spans="47:70" x14ac:dyDescent="0.2">
      <c r="AU3126"/>
      <c r="AV3126"/>
      <c r="AW3126"/>
      <c r="AX3126"/>
      <c r="AY3126"/>
      <c r="BK3126" s="42">
        <v>3125</v>
      </c>
      <c r="BL3126" s="127">
        <v>4</v>
      </c>
      <c r="BM3126" s="127">
        <v>0.11332468572476186</v>
      </c>
      <c r="BN3126" s="127" t="e">
        <v>#N/A</v>
      </c>
      <c r="BO3126" s="127" t="e">
        <v>#N/A</v>
      </c>
      <c r="BP3126" s="151" t="e">
        <v>#N/A</v>
      </c>
      <c r="BQ3126">
        <v>0.11332468572476186</v>
      </c>
      <c r="BR3126" t="str">
        <v/>
      </c>
    </row>
    <row r="3127" spans="47:70" x14ac:dyDescent="0.2">
      <c r="AU3127"/>
      <c r="AV3127"/>
      <c r="AW3127"/>
      <c r="AX3127"/>
      <c r="AY3127"/>
      <c r="BK3127" s="42">
        <v>3126</v>
      </c>
      <c r="BL3127" s="127">
        <v>4</v>
      </c>
      <c r="BM3127" s="127">
        <v>0.11332468572476186</v>
      </c>
      <c r="BN3127" s="127" t="e">
        <v>#N/A</v>
      </c>
      <c r="BO3127" s="127" t="e">
        <v>#N/A</v>
      </c>
      <c r="BP3127" s="151" t="e">
        <v>#N/A</v>
      </c>
      <c r="BQ3127">
        <v>0.11332468572476186</v>
      </c>
      <c r="BR3127" t="str">
        <v/>
      </c>
    </row>
    <row r="3128" spans="47:70" x14ac:dyDescent="0.2">
      <c r="AU3128"/>
      <c r="AV3128"/>
      <c r="AW3128"/>
      <c r="AX3128"/>
      <c r="AY3128"/>
      <c r="BK3128" s="42">
        <v>3127</v>
      </c>
      <c r="BL3128" s="127">
        <v>4</v>
      </c>
      <c r="BM3128" s="127">
        <v>0.11332468572476186</v>
      </c>
      <c r="BN3128" s="127" t="e">
        <v>#N/A</v>
      </c>
      <c r="BO3128" s="127" t="e">
        <v>#N/A</v>
      </c>
      <c r="BP3128" s="151" t="e">
        <v>#N/A</v>
      </c>
      <c r="BQ3128">
        <v>0.11332468572476186</v>
      </c>
      <c r="BR3128" t="str">
        <v/>
      </c>
    </row>
    <row r="3129" spans="47:70" x14ac:dyDescent="0.2">
      <c r="AU3129"/>
      <c r="AV3129"/>
      <c r="AW3129"/>
      <c r="AX3129"/>
      <c r="AY3129"/>
      <c r="BK3129" s="42">
        <v>3128</v>
      </c>
      <c r="BL3129" s="127">
        <v>4</v>
      </c>
      <c r="BM3129" s="127">
        <v>0.11332468572476186</v>
      </c>
      <c r="BN3129" s="127" t="e">
        <v>#N/A</v>
      </c>
      <c r="BO3129" s="127" t="e">
        <v>#N/A</v>
      </c>
      <c r="BP3129" s="151" t="e">
        <v>#N/A</v>
      </c>
      <c r="BQ3129">
        <v>0.11332468572476186</v>
      </c>
      <c r="BR3129" t="str">
        <v/>
      </c>
    </row>
    <row r="3130" spans="47:70" x14ac:dyDescent="0.2">
      <c r="AU3130"/>
      <c r="AV3130"/>
      <c r="AW3130"/>
      <c r="AX3130"/>
      <c r="AY3130"/>
      <c r="BK3130" s="42">
        <v>3129</v>
      </c>
      <c r="BL3130" s="127">
        <v>4</v>
      </c>
      <c r="BM3130" s="127">
        <v>0.11332468572476186</v>
      </c>
      <c r="BN3130" s="127" t="e">
        <v>#N/A</v>
      </c>
      <c r="BO3130" s="127" t="e">
        <v>#N/A</v>
      </c>
      <c r="BP3130" s="151" t="e">
        <v>#N/A</v>
      </c>
      <c r="BQ3130">
        <v>0.11332468572476186</v>
      </c>
      <c r="BR3130" t="str">
        <v/>
      </c>
    </row>
    <row r="3131" spans="47:70" x14ac:dyDescent="0.2">
      <c r="AU3131"/>
      <c r="AV3131"/>
      <c r="AW3131"/>
      <c r="AX3131"/>
      <c r="AY3131"/>
      <c r="BK3131" s="42">
        <v>3130</v>
      </c>
      <c r="BL3131" s="127">
        <v>4</v>
      </c>
      <c r="BM3131" s="127">
        <v>0.11332468572476186</v>
      </c>
      <c r="BN3131" s="127" t="e">
        <v>#N/A</v>
      </c>
      <c r="BO3131" s="127" t="e">
        <v>#N/A</v>
      </c>
      <c r="BP3131" s="151" t="e">
        <v>#N/A</v>
      </c>
      <c r="BQ3131">
        <v>0.11332468572476186</v>
      </c>
      <c r="BR3131" t="str">
        <v/>
      </c>
    </row>
    <row r="3132" spans="47:70" x14ac:dyDescent="0.2">
      <c r="AU3132"/>
      <c r="AV3132"/>
      <c r="AW3132"/>
      <c r="AX3132"/>
      <c r="AY3132"/>
      <c r="BK3132" s="42">
        <v>3131</v>
      </c>
      <c r="BL3132" s="127">
        <v>4</v>
      </c>
      <c r="BM3132" s="127">
        <v>0.11332468572476186</v>
      </c>
      <c r="BN3132" s="127" t="e">
        <v>#N/A</v>
      </c>
      <c r="BO3132" s="127" t="e">
        <v>#N/A</v>
      </c>
      <c r="BP3132" s="151" t="e">
        <v>#N/A</v>
      </c>
      <c r="BQ3132">
        <v>0.11332468572476186</v>
      </c>
      <c r="BR3132" t="str">
        <v/>
      </c>
    </row>
    <row r="3133" spans="47:70" x14ac:dyDescent="0.2">
      <c r="AU3133"/>
      <c r="AV3133"/>
      <c r="AW3133"/>
      <c r="AX3133"/>
      <c r="AY3133"/>
      <c r="BK3133" s="42">
        <v>3132</v>
      </c>
      <c r="BL3133" s="127">
        <v>4</v>
      </c>
      <c r="BM3133" s="127">
        <v>0.11332468572476186</v>
      </c>
      <c r="BN3133" s="127" t="e">
        <v>#N/A</v>
      </c>
      <c r="BO3133" s="127" t="e">
        <v>#N/A</v>
      </c>
      <c r="BP3133" s="151" t="e">
        <v>#N/A</v>
      </c>
      <c r="BQ3133">
        <v>0.11332468572476186</v>
      </c>
      <c r="BR3133" t="str">
        <v/>
      </c>
    </row>
    <row r="3134" spans="47:70" x14ac:dyDescent="0.2">
      <c r="AU3134"/>
      <c r="AV3134"/>
      <c r="AW3134"/>
      <c r="AX3134"/>
      <c r="AY3134"/>
      <c r="BK3134" s="42">
        <v>3133</v>
      </c>
      <c r="BL3134" s="127">
        <v>4</v>
      </c>
      <c r="BM3134" s="127">
        <v>0.11332468572476186</v>
      </c>
      <c r="BN3134" s="127" t="e">
        <v>#N/A</v>
      </c>
      <c r="BO3134" s="127" t="e">
        <v>#N/A</v>
      </c>
      <c r="BP3134" s="151" t="e">
        <v>#N/A</v>
      </c>
      <c r="BQ3134">
        <v>0.11332468572476186</v>
      </c>
      <c r="BR3134" t="str">
        <v/>
      </c>
    </row>
    <row r="3135" spans="47:70" x14ac:dyDescent="0.2">
      <c r="AU3135"/>
      <c r="AV3135"/>
      <c r="AW3135"/>
      <c r="AX3135"/>
      <c r="AY3135"/>
      <c r="BK3135" s="42">
        <v>3134</v>
      </c>
      <c r="BL3135" s="127">
        <v>4</v>
      </c>
      <c r="BM3135" s="127">
        <v>0.11332468572476186</v>
      </c>
      <c r="BN3135" s="127" t="e">
        <v>#N/A</v>
      </c>
      <c r="BO3135" s="127" t="e">
        <v>#N/A</v>
      </c>
      <c r="BP3135" s="151" t="e">
        <v>#N/A</v>
      </c>
      <c r="BQ3135">
        <v>0.11332468572476186</v>
      </c>
      <c r="BR3135" t="str">
        <v/>
      </c>
    </row>
    <row r="3136" spans="47:70" x14ac:dyDescent="0.2">
      <c r="AU3136"/>
      <c r="AV3136"/>
      <c r="AW3136"/>
      <c r="AX3136"/>
      <c r="AY3136"/>
      <c r="BK3136" s="42">
        <v>3135</v>
      </c>
      <c r="BL3136" s="127">
        <v>4</v>
      </c>
      <c r="BM3136" s="127">
        <v>0.11332468572476186</v>
      </c>
      <c r="BN3136" s="127" t="e">
        <v>#N/A</v>
      </c>
      <c r="BO3136" s="127" t="e">
        <v>#N/A</v>
      </c>
      <c r="BP3136" s="151" t="e">
        <v>#N/A</v>
      </c>
      <c r="BQ3136">
        <v>0.11332468572476186</v>
      </c>
      <c r="BR3136" t="str">
        <v/>
      </c>
    </row>
    <row r="3137" spans="47:70" x14ac:dyDescent="0.2">
      <c r="AU3137"/>
      <c r="AV3137"/>
      <c r="AW3137"/>
      <c r="AX3137"/>
      <c r="AY3137"/>
      <c r="BK3137" s="42">
        <v>3136</v>
      </c>
      <c r="BL3137" s="127">
        <v>4</v>
      </c>
      <c r="BM3137" s="127">
        <v>0.11332468572476186</v>
      </c>
      <c r="BN3137" s="127" t="e">
        <v>#N/A</v>
      </c>
      <c r="BO3137" s="127" t="e">
        <v>#N/A</v>
      </c>
      <c r="BP3137" s="151" t="e">
        <v>#N/A</v>
      </c>
      <c r="BQ3137">
        <v>0.11332468572476186</v>
      </c>
      <c r="BR3137" t="str">
        <v/>
      </c>
    </row>
    <row r="3138" spans="47:70" x14ac:dyDescent="0.2">
      <c r="AU3138"/>
      <c r="AV3138"/>
      <c r="AW3138"/>
      <c r="AX3138"/>
      <c r="AY3138"/>
      <c r="BK3138" s="42">
        <v>3137</v>
      </c>
      <c r="BL3138" s="127">
        <v>4</v>
      </c>
      <c r="BM3138" s="127">
        <v>0.11332468572476186</v>
      </c>
      <c r="BN3138" s="127" t="e">
        <v>#N/A</v>
      </c>
      <c r="BO3138" s="127" t="e">
        <v>#N/A</v>
      </c>
      <c r="BP3138" s="151" t="e">
        <v>#N/A</v>
      </c>
      <c r="BQ3138">
        <v>0.11332468572476186</v>
      </c>
      <c r="BR3138" t="str">
        <v/>
      </c>
    </row>
    <row r="3139" spans="47:70" x14ac:dyDescent="0.2">
      <c r="AU3139"/>
      <c r="AV3139"/>
      <c r="AW3139"/>
      <c r="AX3139"/>
      <c r="AY3139"/>
      <c r="BK3139" s="42">
        <v>3138</v>
      </c>
      <c r="BL3139" s="127">
        <v>4</v>
      </c>
      <c r="BM3139" s="127">
        <v>0.11332468572476186</v>
      </c>
      <c r="BN3139" s="127" t="e">
        <v>#N/A</v>
      </c>
      <c r="BO3139" s="127" t="e">
        <v>#N/A</v>
      </c>
      <c r="BP3139" s="151" t="e">
        <v>#N/A</v>
      </c>
      <c r="BQ3139">
        <v>0.11332468572476186</v>
      </c>
      <c r="BR3139" t="str">
        <v/>
      </c>
    </row>
    <row r="3140" spans="47:70" x14ac:dyDescent="0.2">
      <c r="AU3140"/>
      <c r="AV3140"/>
      <c r="AW3140"/>
      <c r="AX3140"/>
      <c r="AY3140"/>
      <c r="BK3140" s="42">
        <v>3139</v>
      </c>
      <c r="BL3140" s="127">
        <v>4</v>
      </c>
      <c r="BM3140" s="127">
        <v>0.11332468572476186</v>
      </c>
      <c r="BN3140" s="127" t="e">
        <v>#N/A</v>
      </c>
      <c r="BO3140" s="127" t="e">
        <v>#N/A</v>
      </c>
      <c r="BP3140" s="151" t="e">
        <v>#N/A</v>
      </c>
      <c r="BQ3140">
        <v>0.11332468572476186</v>
      </c>
      <c r="BR3140" t="str">
        <v/>
      </c>
    </row>
    <row r="3141" spans="47:70" x14ac:dyDescent="0.2">
      <c r="AU3141"/>
      <c r="AV3141"/>
      <c r="AW3141"/>
      <c r="AX3141"/>
      <c r="AY3141"/>
      <c r="BK3141" s="42">
        <v>3140</v>
      </c>
      <c r="BL3141" s="127">
        <v>4</v>
      </c>
      <c r="BM3141" s="127">
        <v>0.11332468572476186</v>
      </c>
      <c r="BN3141" s="127" t="e">
        <v>#N/A</v>
      </c>
      <c r="BO3141" s="127" t="e">
        <v>#N/A</v>
      </c>
      <c r="BP3141" s="151" t="e">
        <v>#N/A</v>
      </c>
      <c r="BQ3141">
        <v>0.11332468572476186</v>
      </c>
      <c r="BR3141" t="str">
        <v/>
      </c>
    </row>
    <row r="3142" spans="47:70" x14ac:dyDescent="0.2">
      <c r="AU3142"/>
      <c r="AV3142"/>
      <c r="AW3142"/>
      <c r="AX3142"/>
      <c r="AY3142"/>
      <c r="BK3142" s="42">
        <v>3141</v>
      </c>
      <c r="BL3142" s="127">
        <v>4</v>
      </c>
      <c r="BM3142" s="127">
        <v>0.11332468572476186</v>
      </c>
      <c r="BN3142" s="127" t="e">
        <v>#N/A</v>
      </c>
      <c r="BO3142" s="127" t="e">
        <v>#N/A</v>
      </c>
      <c r="BP3142" s="151" t="e">
        <v>#N/A</v>
      </c>
      <c r="BQ3142">
        <v>0.11332468572476186</v>
      </c>
      <c r="BR3142" t="str">
        <v/>
      </c>
    </row>
    <row r="3143" spans="47:70" x14ac:dyDescent="0.2">
      <c r="AU3143"/>
      <c r="AV3143"/>
      <c r="AW3143"/>
      <c r="AX3143"/>
      <c r="AY3143"/>
      <c r="BK3143" s="42">
        <v>3142</v>
      </c>
      <c r="BL3143" s="127">
        <v>4</v>
      </c>
      <c r="BM3143" s="127">
        <v>0.11332468572476186</v>
      </c>
      <c r="BN3143" s="127" t="e">
        <v>#N/A</v>
      </c>
      <c r="BO3143" s="127" t="e">
        <v>#N/A</v>
      </c>
      <c r="BP3143" s="151" t="e">
        <v>#N/A</v>
      </c>
      <c r="BQ3143">
        <v>0.11332468572476186</v>
      </c>
      <c r="BR3143" t="str">
        <v/>
      </c>
    </row>
    <row r="3144" spans="47:70" x14ac:dyDescent="0.2">
      <c r="AU3144"/>
      <c r="AV3144"/>
      <c r="AW3144"/>
      <c r="AX3144"/>
      <c r="AY3144"/>
      <c r="BK3144" s="42">
        <v>3143</v>
      </c>
      <c r="BL3144" s="127">
        <v>4</v>
      </c>
      <c r="BM3144" s="127">
        <v>0.11332468572476186</v>
      </c>
      <c r="BN3144" s="127" t="e">
        <v>#N/A</v>
      </c>
      <c r="BO3144" s="127" t="e">
        <v>#N/A</v>
      </c>
      <c r="BP3144" s="151" t="e">
        <v>#N/A</v>
      </c>
      <c r="BQ3144">
        <v>0.11332468572476186</v>
      </c>
      <c r="BR3144" t="str">
        <v/>
      </c>
    </row>
    <row r="3145" spans="47:70" x14ac:dyDescent="0.2">
      <c r="AU3145"/>
      <c r="AV3145"/>
      <c r="AW3145"/>
      <c r="AX3145"/>
      <c r="AY3145"/>
      <c r="BK3145" s="42">
        <v>3144</v>
      </c>
      <c r="BL3145" s="127">
        <v>4</v>
      </c>
      <c r="BM3145" s="127">
        <v>0.11332468572476186</v>
      </c>
      <c r="BN3145" s="127" t="e">
        <v>#N/A</v>
      </c>
      <c r="BO3145" s="127" t="e">
        <v>#N/A</v>
      </c>
      <c r="BP3145" s="151" t="e">
        <v>#N/A</v>
      </c>
      <c r="BQ3145">
        <v>0.11332468572476186</v>
      </c>
      <c r="BR3145" t="str">
        <v/>
      </c>
    </row>
    <row r="3146" spans="47:70" x14ac:dyDescent="0.2">
      <c r="AU3146"/>
      <c r="AV3146"/>
      <c r="AW3146"/>
      <c r="AX3146"/>
      <c r="AY3146"/>
      <c r="BK3146" s="42">
        <v>3145</v>
      </c>
      <c r="BL3146" s="127">
        <v>4</v>
      </c>
      <c r="BM3146" s="127">
        <v>0.11332468572476186</v>
      </c>
      <c r="BN3146" s="127" t="e">
        <v>#N/A</v>
      </c>
      <c r="BO3146" s="127" t="e">
        <v>#N/A</v>
      </c>
      <c r="BP3146" s="151" t="e">
        <v>#N/A</v>
      </c>
      <c r="BQ3146">
        <v>0.11332468572476186</v>
      </c>
      <c r="BR3146" t="str">
        <v/>
      </c>
    </row>
    <row r="3147" spans="47:70" x14ac:dyDescent="0.2">
      <c r="AU3147"/>
      <c r="AV3147"/>
      <c r="AW3147"/>
      <c r="AX3147"/>
      <c r="AY3147"/>
      <c r="BK3147" s="42">
        <v>3146</v>
      </c>
      <c r="BL3147" s="127">
        <v>4</v>
      </c>
      <c r="BM3147" s="127">
        <v>0.11332468572476186</v>
      </c>
      <c r="BN3147" s="127" t="e">
        <v>#N/A</v>
      </c>
      <c r="BO3147" s="127" t="e">
        <v>#N/A</v>
      </c>
      <c r="BP3147" s="151" t="e">
        <v>#N/A</v>
      </c>
      <c r="BQ3147">
        <v>0.11332468572476186</v>
      </c>
      <c r="BR3147" t="str">
        <v/>
      </c>
    </row>
    <row r="3148" spans="47:70" x14ac:dyDescent="0.2">
      <c r="AU3148"/>
      <c r="AV3148"/>
      <c r="AW3148"/>
      <c r="AX3148"/>
      <c r="AY3148"/>
      <c r="BK3148" s="42">
        <v>3147</v>
      </c>
      <c r="BL3148" s="127">
        <v>4</v>
      </c>
      <c r="BM3148" s="127">
        <v>0.11332468572476186</v>
      </c>
      <c r="BN3148" s="127" t="e">
        <v>#N/A</v>
      </c>
      <c r="BO3148" s="127" t="e">
        <v>#N/A</v>
      </c>
      <c r="BP3148" s="151" t="e">
        <v>#N/A</v>
      </c>
      <c r="BQ3148">
        <v>0.11332468572476186</v>
      </c>
      <c r="BR3148" t="str">
        <v/>
      </c>
    </row>
    <row r="3149" spans="47:70" x14ac:dyDescent="0.2">
      <c r="AU3149"/>
      <c r="AV3149"/>
      <c r="AW3149"/>
      <c r="AX3149"/>
      <c r="AY3149"/>
      <c r="BK3149" s="42">
        <v>3148</v>
      </c>
      <c r="BL3149" s="127">
        <v>4</v>
      </c>
      <c r="BM3149" s="127">
        <v>0.11332468572476186</v>
      </c>
      <c r="BN3149" s="127" t="e">
        <v>#N/A</v>
      </c>
      <c r="BO3149" s="127" t="e">
        <v>#N/A</v>
      </c>
      <c r="BP3149" s="151" t="e">
        <v>#N/A</v>
      </c>
      <c r="BQ3149">
        <v>0.11332468572476186</v>
      </c>
      <c r="BR3149" t="str">
        <v/>
      </c>
    </row>
    <row r="3150" spans="47:70" x14ac:dyDescent="0.2">
      <c r="AU3150"/>
      <c r="AV3150"/>
      <c r="AW3150"/>
      <c r="AX3150"/>
      <c r="AY3150"/>
      <c r="BK3150" s="42">
        <v>3149</v>
      </c>
      <c r="BL3150" s="127">
        <v>4</v>
      </c>
      <c r="BM3150" s="127">
        <v>0.11332468572476186</v>
      </c>
      <c r="BN3150" s="127" t="e">
        <v>#N/A</v>
      </c>
      <c r="BO3150" s="127" t="e">
        <v>#N/A</v>
      </c>
      <c r="BP3150" s="151" t="e">
        <v>#N/A</v>
      </c>
      <c r="BQ3150">
        <v>0.11332468572476186</v>
      </c>
      <c r="BR3150" t="str">
        <v/>
      </c>
    </row>
    <row r="3151" spans="47:70" x14ac:dyDescent="0.2">
      <c r="AU3151"/>
      <c r="AV3151"/>
      <c r="AW3151"/>
      <c r="AX3151"/>
      <c r="AY3151"/>
      <c r="BK3151" s="42">
        <v>3150</v>
      </c>
      <c r="BL3151" s="127">
        <v>4</v>
      </c>
      <c r="BM3151" s="127">
        <v>0.11332468572476186</v>
      </c>
      <c r="BN3151" s="127" t="e">
        <v>#N/A</v>
      </c>
      <c r="BO3151" s="127" t="e">
        <v>#N/A</v>
      </c>
      <c r="BP3151" s="151" t="e">
        <v>#N/A</v>
      </c>
      <c r="BQ3151">
        <v>0.11332468572476186</v>
      </c>
      <c r="BR3151" t="str">
        <v/>
      </c>
    </row>
    <row r="3152" spans="47:70" x14ac:dyDescent="0.2">
      <c r="AU3152"/>
      <c r="AV3152"/>
      <c r="AW3152"/>
      <c r="AX3152"/>
      <c r="AY3152"/>
      <c r="BK3152" s="42">
        <v>3151</v>
      </c>
      <c r="BL3152" s="127">
        <v>4</v>
      </c>
      <c r="BM3152" s="127">
        <v>0.11332468572476186</v>
      </c>
      <c r="BN3152" s="127" t="e">
        <v>#N/A</v>
      </c>
      <c r="BO3152" s="127" t="e">
        <v>#N/A</v>
      </c>
      <c r="BP3152" s="151" t="e">
        <v>#N/A</v>
      </c>
      <c r="BQ3152">
        <v>0.11332468572476186</v>
      </c>
      <c r="BR3152" t="str">
        <v/>
      </c>
    </row>
    <row r="3153" spans="47:70" x14ac:dyDescent="0.2">
      <c r="AU3153"/>
      <c r="AV3153"/>
      <c r="AW3153"/>
      <c r="AX3153"/>
      <c r="AY3153"/>
      <c r="BK3153" s="42">
        <v>3152</v>
      </c>
      <c r="BL3153" s="127">
        <v>4</v>
      </c>
      <c r="BM3153" s="127">
        <v>0.11332468572476186</v>
      </c>
      <c r="BN3153" s="127" t="e">
        <v>#N/A</v>
      </c>
      <c r="BO3153" s="127" t="e">
        <v>#N/A</v>
      </c>
      <c r="BP3153" s="151" t="e">
        <v>#N/A</v>
      </c>
      <c r="BQ3153">
        <v>0.11332468572476186</v>
      </c>
      <c r="BR3153" t="str">
        <v/>
      </c>
    </row>
    <row r="3154" spans="47:70" x14ac:dyDescent="0.2">
      <c r="AU3154"/>
      <c r="AV3154"/>
      <c r="AW3154"/>
      <c r="AX3154"/>
      <c r="AY3154"/>
      <c r="BK3154" s="42">
        <v>3153</v>
      </c>
      <c r="BL3154" s="127">
        <v>4</v>
      </c>
      <c r="BM3154" s="127">
        <v>0.11332468572476186</v>
      </c>
      <c r="BN3154" s="127" t="e">
        <v>#N/A</v>
      </c>
      <c r="BO3154" s="127" t="e">
        <v>#N/A</v>
      </c>
      <c r="BP3154" s="151" t="e">
        <v>#N/A</v>
      </c>
      <c r="BQ3154">
        <v>0.11332468572476186</v>
      </c>
      <c r="BR3154" t="str">
        <v/>
      </c>
    </row>
    <row r="3155" spans="47:70" x14ac:dyDescent="0.2">
      <c r="AU3155"/>
      <c r="AV3155"/>
      <c r="AW3155"/>
      <c r="AX3155"/>
      <c r="AY3155"/>
      <c r="BK3155" s="42">
        <v>3154</v>
      </c>
      <c r="BL3155" s="127">
        <v>4</v>
      </c>
      <c r="BM3155" s="127">
        <v>0.11332468572476186</v>
      </c>
      <c r="BN3155" s="127" t="e">
        <v>#N/A</v>
      </c>
      <c r="BO3155" s="127" t="e">
        <v>#N/A</v>
      </c>
      <c r="BP3155" s="151" t="e">
        <v>#N/A</v>
      </c>
      <c r="BQ3155">
        <v>0.11332468572476186</v>
      </c>
      <c r="BR3155" t="str">
        <v/>
      </c>
    </row>
    <row r="3156" spans="47:70" x14ac:dyDescent="0.2">
      <c r="AU3156"/>
      <c r="AV3156"/>
      <c r="AW3156"/>
      <c r="AX3156"/>
      <c r="AY3156"/>
      <c r="BK3156" s="42">
        <v>3155</v>
      </c>
      <c r="BL3156" s="127">
        <v>4</v>
      </c>
      <c r="BM3156" s="127">
        <v>0.11332468572476186</v>
      </c>
      <c r="BN3156" s="127" t="e">
        <v>#N/A</v>
      </c>
      <c r="BO3156" s="127" t="e">
        <v>#N/A</v>
      </c>
      <c r="BP3156" s="151" t="e">
        <v>#N/A</v>
      </c>
      <c r="BQ3156">
        <v>0.11332468572476186</v>
      </c>
      <c r="BR3156" t="str">
        <v/>
      </c>
    </row>
    <row r="3157" spans="47:70" x14ac:dyDescent="0.2">
      <c r="AU3157"/>
      <c r="AV3157"/>
      <c r="AW3157"/>
      <c r="AX3157"/>
      <c r="AY3157"/>
      <c r="BK3157" s="42">
        <v>3156</v>
      </c>
      <c r="BL3157" s="127">
        <v>4</v>
      </c>
      <c r="BM3157" s="127">
        <v>0.11332468572476186</v>
      </c>
      <c r="BN3157" s="127" t="e">
        <v>#N/A</v>
      </c>
      <c r="BO3157" s="127" t="e">
        <v>#N/A</v>
      </c>
      <c r="BP3157" s="151" t="e">
        <v>#N/A</v>
      </c>
      <c r="BQ3157">
        <v>0.11332468572476186</v>
      </c>
      <c r="BR3157" t="str">
        <v/>
      </c>
    </row>
    <row r="3158" spans="47:70" x14ac:dyDescent="0.2">
      <c r="AU3158"/>
      <c r="AV3158"/>
      <c r="AW3158"/>
      <c r="AX3158"/>
      <c r="AY3158"/>
      <c r="BK3158" s="42">
        <v>3157</v>
      </c>
      <c r="BL3158" s="127">
        <v>4</v>
      </c>
      <c r="BM3158" s="127">
        <v>0.11332468572476186</v>
      </c>
      <c r="BN3158" s="127" t="e">
        <v>#N/A</v>
      </c>
      <c r="BO3158" s="127" t="e">
        <v>#N/A</v>
      </c>
      <c r="BP3158" s="151" t="e">
        <v>#N/A</v>
      </c>
      <c r="BQ3158">
        <v>0.11332468572476186</v>
      </c>
      <c r="BR3158" t="str">
        <v/>
      </c>
    </row>
    <row r="3159" spans="47:70" x14ac:dyDescent="0.2">
      <c r="AU3159"/>
      <c r="AV3159"/>
      <c r="AW3159"/>
      <c r="AX3159"/>
      <c r="AY3159"/>
      <c r="BK3159" s="42">
        <v>3158</v>
      </c>
      <c r="BL3159" s="127">
        <v>4</v>
      </c>
      <c r="BM3159" s="127">
        <v>0.11332468572476186</v>
      </c>
      <c r="BN3159" s="127" t="e">
        <v>#N/A</v>
      </c>
      <c r="BO3159" s="127" t="e">
        <v>#N/A</v>
      </c>
      <c r="BP3159" s="151" t="e">
        <v>#N/A</v>
      </c>
      <c r="BQ3159">
        <v>0.11332468572476186</v>
      </c>
      <c r="BR3159" t="str">
        <v/>
      </c>
    </row>
    <row r="3160" spans="47:70" x14ac:dyDescent="0.2">
      <c r="AU3160"/>
      <c r="AV3160"/>
      <c r="AW3160"/>
      <c r="AX3160"/>
      <c r="AY3160"/>
      <c r="BK3160" s="42">
        <v>3159</v>
      </c>
      <c r="BL3160" s="127">
        <v>4</v>
      </c>
      <c r="BM3160" s="127">
        <v>0.11332468572476186</v>
      </c>
      <c r="BN3160" s="127" t="e">
        <v>#N/A</v>
      </c>
      <c r="BO3160" s="127" t="e">
        <v>#N/A</v>
      </c>
      <c r="BP3160" s="151" t="e">
        <v>#N/A</v>
      </c>
      <c r="BQ3160">
        <v>0.11332468572476186</v>
      </c>
      <c r="BR3160" t="str">
        <v/>
      </c>
    </row>
    <row r="3161" spans="47:70" x14ac:dyDescent="0.2">
      <c r="AU3161"/>
      <c r="AV3161"/>
      <c r="AW3161"/>
      <c r="AX3161"/>
      <c r="AY3161"/>
      <c r="BK3161" s="42">
        <v>3160</v>
      </c>
      <c r="BL3161" s="127">
        <v>4</v>
      </c>
      <c r="BM3161" s="127">
        <v>0.11332468572476186</v>
      </c>
      <c r="BN3161" s="127" t="e">
        <v>#N/A</v>
      </c>
      <c r="BO3161" s="127" t="e">
        <v>#N/A</v>
      </c>
      <c r="BP3161" s="151" t="e">
        <v>#N/A</v>
      </c>
      <c r="BQ3161">
        <v>0.11332468572476186</v>
      </c>
      <c r="BR3161" t="str">
        <v/>
      </c>
    </row>
    <row r="3162" spans="47:70" x14ac:dyDescent="0.2">
      <c r="AU3162"/>
      <c r="AV3162"/>
      <c r="AW3162"/>
      <c r="AX3162"/>
      <c r="AY3162"/>
      <c r="BK3162" s="42">
        <v>3161</v>
      </c>
      <c r="BL3162" s="127">
        <v>4</v>
      </c>
      <c r="BM3162" s="127">
        <v>0.11332468572476186</v>
      </c>
      <c r="BN3162" s="127" t="e">
        <v>#N/A</v>
      </c>
      <c r="BO3162" s="127" t="e">
        <v>#N/A</v>
      </c>
      <c r="BP3162" s="151" t="e">
        <v>#N/A</v>
      </c>
      <c r="BQ3162">
        <v>0.11332468572476186</v>
      </c>
      <c r="BR3162" t="str">
        <v/>
      </c>
    </row>
    <row r="3163" spans="47:70" x14ac:dyDescent="0.2">
      <c r="AU3163"/>
      <c r="AV3163"/>
      <c r="AW3163"/>
      <c r="AX3163"/>
      <c r="AY3163"/>
      <c r="BK3163" s="42">
        <v>3162</v>
      </c>
      <c r="BL3163" s="127">
        <v>4</v>
      </c>
      <c r="BM3163" s="127">
        <v>0.11332468572476186</v>
      </c>
      <c r="BN3163" s="127" t="e">
        <v>#N/A</v>
      </c>
      <c r="BO3163" s="127" t="e">
        <v>#N/A</v>
      </c>
      <c r="BP3163" s="151" t="e">
        <v>#N/A</v>
      </c>
      <c r="BQ3163">
        <v>0.11332468572476186</v>
      </c>
      <c r="BR3163" t="str">
        <v/>
      </c>
    </row>
    <row r="3164" spans="47:70" x14ac:dyDescent="0.2">
      <c r="AU3164"/>
      <c r="AV3164"/>
      <c r="AW3164"/>
      <c r="AX3164"/>
      <c r="AY3164"/>
      <c r="BK3164" s="42">
        <v>3163</v>
      </c>
      <c r="BL3164" s="127">
        <v>4</v>
      </c>
      <c r="BM3164" s="127">
        <v>0.11332468572476186</v>
      </c>
      <c r="BN3164" s="127" t="e">
        <v>#N/A</v>
      </c>
      <c r="BO3164" s="127" t="e">
        <v>#N/A</v>
      </c>
      <c r="BP3164" s="151" t="e">
        <v>#N/A</v>
      </c>
      <c r="BQ3164">
        <v>0.11332468572476186</v>
      </c>
      <c r="BR3164" t="str">
        <v/>
      </c>
    </row>
    <row r="3165" spans="47:70" x14ac:dyDescent="0.2">
      <c r="AU3165"/>
      <c r="AV3165"/>
      <c r="AW3165"/>
      <c r="AX3165"/>
      <c r="AY3165"/>
      <c r="BK3165" s="42">
        <v>3164</v>
      </c>
      <c r="BL3165" s="127">
        <v>4</v>
      </c>
      <c r="BM3165" s="127">
        <v>0.11332468572476186</v>
      </c>
      <c r="BN3165" s="127" t="e">
        <v>#N/A</v>
      </c>
      <c r="BO3165" s="127" t="e">
        <v>#N/A</v>
      </c>
      <c r="BP3165" s="151" t="e">
        <v>#N/A</v>
      </c>
      <c r="BQ3165">
        <v>0.11332468572476186</v>
      </c>
      <c r="BR3165" t="str">
        <v/>
      </c>
    </row>
    <row r="3166" spans="47:70" x14ac:dyDescent="0.2">
      <c r="AU3166"/>
      <c r="AV3166"/>
      <c r="AW3166"/>
      <c r="AX3166"/>
      <c r="AY3166"/>
      <c r="BK3166" s="42">
        <v>3165</v>
      </c>
      <c r="BL3166" s="127">
        <v>4</v>
      </c>
      <c r="BM3166" s="127">
        <v>0.11332468572476186</v>
      </c>
      <c r="BN3166" s="127" t="e">
        <v>#N/A</v>
      </c>
      <c r="BO3166" s="127" t="e">
        <v>#N/A</v>
      </c>
      <c r="BP3166" s="151" t="e">
        <v>#N/A</v>
      </c>
      <c r="BQ3166">
        <v>0.11332468572476186</v>
      </c>
      <c r="BR3166" t="str">
        <v/>
      </c>
    </row>
    <row r="3167" spans="47:70" x14ac:dyDescent="0.2">
      <c r="AU3167"/>
      <c r="AV3167"/>
      <c r="AW3167"/>
      <c r="AX3167"/>
      <c r="AY3167"/>
      <c r="BK3167" s="42">
        <v>3166</v>
      </c>
      <c r="BL3167" s="127">
        <v>4</v>
      </c>
      <c r="BM3167" s="127">
        <v>0.11332468572476186</v>
      </c>
      <c r="BN3167" s="127" t="e">
        <v>#N/A</v>
      </c>
      <c r="BO3167" s="127" t="e">
        <v>#N/A</v>
      </c>
      <c r="BP3167" s="151" t="e">
        <v>#N/A</v>
      </c>
      <c r="BQ3167">
        <v>0.11332468572476186</v>
      </c>
      <c r="BR3167" t="str">
        <v/>
      </c>
    </row>
    <row r="3168" spans="47:70" x14ac:dyDescent="0.2">
      <c r="AU3168"/>
      <c r="AV3168"/>
      <c r="AW3168"/>
      <c r="AX3168"/>
      <c r="AY3168"/>
      <c r="BK3168" s="42">
        <v>3167</v>
      </c>
      <c r="BL3168" s="127">
        <v>4</v>
      </c>
      <c r="BM3168" s="127">
        <v>0.11332468572476186</v>
      </c>
      <c r="BN3168" s="127" t="e">
        <v>#N/A</v>
      </c>
      <c r="BO3168" s="127" t="e">
        <v>#N/A</v>
      </c>
      <c r="BP3168" s="151" t="e">
        <v>#N/A</v>
      </c>
      <c r="BQ3168">
        <v>0.11332468572476186</v>
      </c>
      <c r="BR3168" t="str">
        <v/>
      </c>
    </row>
    <row r="3169" spans="47:70" x14ac:dyDescent="0.2">
      <c r="AU3169"/>
      <c r="AV3169"/>
      <c r="AW3169"/>
      <c r="AX3169"/>
      <c r="AY3169"/>
      <c r="BK3169" s="42">
        <v>3168</v>
      </c>
      <c r="BL3169" s="127">
        <v>4</v>
      </c>
      <c r="BM3169" s="127">
        <v>0.11332468572476186</v>
      </c>
      <c r="BN3169" s="127" t="e">
        <v>#N/A</v>
      </c>
      <c r="BO3169" s="127" t="e">
        <v>#N/A</v>
      </c>
      <c r="BP3169" s="151" t="e">
        <v>#N/A</v>
      </c>
      <c r="BQ3169">
        <v>0.11332468572476186</v>
      </c>
      <c r="BR3169" t="str">
        <v/>
      </c>
    </row>
    <row r="3170" spans="47:70" x14ac:dyDescent="0.2">
      <c r="AU3170"/>
      <c r="AV3170"/>
      <c r="AW3170"/>
      <c r="AX3170"/>
      <c r="AY3170"/>
      <c r="BK3170" s="42">
        <v>3169</v>
      </c>
      <c r="BL3170" s="127">
        <v>4</v>
      </c>
      <c r="BM3170" s="127">
        <v>0.11332468572476186</v>
      </c>
      <c r="BN3170" s="127" t="e">
        <v>#N/A</v>
      </c>
      <c r="BO3170" s="127" t="e">
        <v>#N/A</v>
      </c>
      <c r="BP3170" s="151" t="e">
        <v>#N/A</v>
      </c>
      <c r="BQ3170">
        <v>0.11332468572476186</v>
      </c>
      <c r="BR3170" t="str">
        <v/>
      </c>
    </row>
    <row r="3171" spans="47:70" x14ac:dyDescent="0.2">
      <c r="AU3171"/>
      <c r="AV3171"/>
      <c r="AW3171"/>
      <c r="AX3171"/>
      <c r="AY3171"/>
      <c r="BK3171" s="42">
        <v>3170</v>
      </c>
      <c r="BL3171" s="127">
        <v>4</v>
      </c>
      <c r="BM3171" s="127">
        <v>0.11332468572476186</v>
      </c>
      <c r="BN3171" s="127" t="e">
        <v>#N/A</v>
      </c>
      <c r="BO3171" s="127" t="e">
        <v>#N/A</v>
      </c>
      <c r="BP3171" s="151" t="e">
        <v>#N/A</v>
      </c>
      <c r="BQ3171">
        <v>0.11332468572476186</v>
      </c>
      <c r="BR3171" t="str">
        <v/>
      </c>
    </row>
    <row r="3172" spans="47:70" x14ac:dyDescent="0.2">
      <c r="AU3172"/>
      <c r="AV3172"/>
      <c r="AW3172"/>
      <c r="AX3172"/>
      <c r="AY3172"/>
      <c r="BK3172" s="42">
        <v>3171</v>
      </c>
      <c r="BL3172" s="127">
        <v>4</v>
      </c>
      <c r="BM3172" s="127">
        <v>0.11332468572476186</v>
      </c>
      <c r="BN3172" s="127" t="e">
        <v>#N/A</v>
      </c>
      <c r="BO3172" s="127" t="e">
        <v>#N/A</v>
      </c>
      <c r="BP3172" s="151" t="e">
        <v>#N/A</v>
      </c>
      <c r="BQ3172">
        <v>0.11332468572476186</v>
      </c>
      <c r="BR3172" t="str">
        <v/>
      </c>
    </row>
    <row r="3173" spans="47:70" x14ac:dyDescent="0.2">
      <c r="AU3173"/>
      <c r="AV3173"/>
      <c r="AW3173"/>
      <c r="AX3173"/>
      <c r="AY3173"/>
      <c r="BK3173" s="42">
        <v>3172</v>
      </c>
      <c r="BL3173" s="127">
        <v>4</v>
      </c>
      <c r="BM3173" s="127">
        <v>0.11332468572476186</v>
      </c>
      <c r="BN3173" s="127" t="e">
        <v>#N/A</v>
      </c>
      <c r="BO3173" s="127" t="e">
        <v>#N/A</v>
      </c>
      <c r="BP3173" s="151" t="e">
        <v>#N/A</v>
      </c>
      <c r="BQ3173">
        <v>0.11332468572476186</v>
      </c>
      <c r="BR3173" t="str">
        <v/>
      </c>
    </row>
    <row r="3174" spans="47:70" x14ac:dyDescent="0.2">
      <c r="AU3174"/>
      <c r="AV3174"/>
      <c r="AW3174"/>
      <c r="AX3174"/>
      <c r="AY3174"/>
      <c r="BK3174" s="42">
        <v>3173</v>
      </c>
      <c r="BL3174" s="127">
        <v>4</v>
      </c>
      <c r="BM3174" s="127">
        <v>0.11332468572476186</v>
      </c>
      <c r="BN3174" s="127" t="e">
        <v>#N/A</v>
      </c>
      <c r="BO3174" s="127" t="e">
        <v>#N/A</v>
      </c>
      <c r="BP3174" s="151" t="e">
        <v>#N/A</v>
      </c>
      <c r="BQ3174">
        <v>0.11332468572476186</v>
      </c>
      <c r="BR3174" t="str">
        <v/>
      </c>
    </row>
    <row r="3175" spans="47:70" x14ac:dyDescent="0.2">
      <c r="AU3175"/>
      <c r="AV3175"/>
      <c r="AW3175"/>
      <c r="AX3175"/>
      <c r="AY3175"/>
      <c r="BK3175" s="42">
        <v>3174</v>
      </c>
      <c r="BL3175" s="127">
        <v>4</v>
      </c>
      <c r="BM3175" s="127">
        <v>0.11332468572476186</v>
      </c>
      <c r="BN3175" s="127" t="e">
        <v>#N/A</v>
      </c>
      <c r="BO3175" s="127" t="e">
        <v>#N/A</v>
      </c>
      <c r="BP3175" s="151" t="e">
        <v>#N/A</v>
      </c>
      <c r="BQ3175">
        <v>0.11332468572476186</v>
      </c>
      <c r="BR3175" t="str">
        <v/>
      </c>
    </row>
    <row r="3176" spans="47:70" x14ac:dyDescent="0.2">
      <c r="AU3176"/>
      <c r="AV3176"/>
      <c r="AW3176"/>
      <c r="AX3176"/>
      <c r="AY3176"/>
      <c r="BK3176" s="42">
        <v>3175</v>
      </c>
      <c r="BL3176" s="127">
        <v>4</v>
      </c>
      <c r="BM3176" s="127">
        <v>0.11332468572476186</v>
      </c>
      <c r="BN3176" s="127" t="e">
        <v>#N/A</v>
      </c>
      <c r="BO3176" s="127" t="e">
        <v>#N/A</v>
      </c>
      <c r="BP3176" s="151" t="e">
        <v>#N/A</v>
      </c>
      <c r="BQ3176">
        <v>0.11332468572476186</v>
      </c>
      <c r="BR3176" t="str">
        <v/>
      </c>
    </row>
    <row r="3177" spans="47:70" x14ac:dyDescent="0.2">
      <c r="AU3177"/>
      <c r="AV3177"/>
      <c r="AW3177"/>
      <c r="AX3177"/>
      <c r="AY3177"/>
      <c r="BK3177" s="42">
        <v>3176</v>
      </c>
      <c r="BL3177" s="127">
        <v>4</v>
      </c>
      <c r="BM3177" s="127">
        <v>0.11332468572476186</v>
      </c>
      <c r="BN3177" s="127" t="e">
        <v>#N/A</v>
      </c>
      <c r="BO3177" s="127" t="e">
        <v>#N/A</v>
      </c>
      <c r="BP3177" s="151" t="e">
        <v>#N/A</v>
      </c>
      <c r="BQ3177">
        <v>0.11332468572476186</v>
      </c>
      <c r="BR3177" t="str">
        <v/>
      </c>
    </row>
    <row r="3178" spans="47:70" x14ac:dyDescent="0.2">
      <c r="AU3178"/>
      <c r="AV3178"/>
      <c r="AW3178"/>
      <c r="AX3178"/>
      <c r="AY3178"/>
      <c r="BK3178" s="42">
        <v>3177</v>
      </c>
      <c r="BL3178" s="127">
        <v>4</v>
      </c>
      <c r="BM3178" s="127">
        <v>0.11332468572476186</v>
      </c>
      <c r="BN3178" s="127" t="e">
        <v>#N/A</v>
      </c>
      <c r="BO3178" s="127" t="e">
        <v>#N/A</v>
      </c>
      <c r="BP3178" s="151" t="e">
        <v>#N/A</v>
      </c>
      <c r="BQ3178">
        <v>0.11332468572476186</v>
      </c>
      <c r="BR3178" t="str">
        <v/>
      </c>
    </row>
    <row r="3179" spans="47:70" x14ac:dyDescent="0.2">
      <c r="AU3179"/>
      <c r="AV3179"/>
      <c r="AW3179"/>
      <c r="AX3179"/>
      <c r="AY3179"/>
      <c r="BK3179" s="42">
        <v>3178</v>
      </c>
      <c r="BL3179" s="127">
        <v>4</v>
      </c>
      <c r="BM3179" s="127">
        <v>0.11332468572476186</v>
      </c>
      <c r="BN3179" s="127" t="e">
        <v>#N/A</v>
      </c>
      <c r="BO3179" s="127" t="e">
        <v>#N/A</v>
      </c>
      <c r="BP3179" s="151" t="e">
        <v>#N/A</v>
      </c>
      <c r="BQ3179">
        <v>0.11332468572476186</v>
      </c>
      <c r="BR3179" t="str">
        <v/>
      </c>
    </row>
    <row r="3180" spans="47:70" x14ac:dyDescent="0.2">
      <c r="AU3180"/>
      <c r="AV3180"/>
      <c r="AW3180"/>
      <c r="AX3180"/>
      <c r="AY3180"/>
      <c r="BK3180" s="42">
        <v>3179</v>
      </c>
      <c r="BL3180" s="127">
        <v>4</v>
      </c>
      <c r="BM3180" s="127">
        <v>0.11332468572476186</v>
      </c>
      <c r="BN3180" s="127" t="e">
        <v>#N/A</v>
      </c>
      <c r="BO3180" s="127" t="e">
        <v>#N/A</v>
      </c>
      <c r="BP3180" s="151" t="e">
        <v>#N/A</v>
      </c>
      <c r="BQ3180">
        <v>0.11332468572476186</v>
      </c>
      <c r="BR3180" t="str">
        <v/>
      </c>
    </row>
    <row r="3181" spans="47:70" x14ac:dyDescent="0.2">
      <c r="AU3181"/>
      <c r="AV3181"/>
      <c r="AW3181"/>
      <c r="AX3181"/>
      <c r="AY3181"/>
      <c r="BK3181" s="42">
        <v>3180</v>
      </c>
      <c r="BL3181" s="127">
        <v>4</v>
      </c>
      <c r="BM3181" s="127">
        <v>0.11332468572476186</v>
      </c>
      <c r="BN3181" s="127" t="e">
        <v>#N/A</v>
      </c>
      <c r="BO3181" s="127" t="e">
        <v>#N/A</v>
      </c>
      <c r="BP3181" s="151" t="e">
        <v>#N/A</v>
      </c>
      <c r="BQ3181">
        <v>0.11332468572476186</v>
      </c>
      <c r="BR3181" t="str">
        <v/>
      </c>
    </row>
    <row r="3182" spans="47:70" x14ac:dyDescent="0.2">
      <c r="AU3182"/>
      <c r="AV3182"/>
      <c r="AW3182"/>
      <c r="AX3182"/>
      <c r="AY3182"/>
      <c r="BK3182" s="42">
        <v>3181</v>
      </c>
      <c r="BL3182" s="127">
        <v>4</v>
      </c>
      <c r="BM3182" s="127">
        <v>0.11332468572476186</v>
      </c>
      <c r="BN3182" s="127" t="e">
        <v>#N/A</v>
      </c>
      <c r="BO3182" s="127" t="e">
        <v>#N/A</v>
      </c>
      <c r="BP3182" s="151" t="e">
        <v>#N/A</v>
      </c>
      <c r="BQ3182">
        <v>0.11332468572476186</v>
      </c>
      <c r="BR3182" t="str">
        <v/>
      </c>
    </row>
    <row r="3183" spans="47:70" x14ac:dyDescent="0.2">
      <c r="AU3183"/>
      <c r="AV3183"/>
      <c r="AW3183"/>
      <c r="AX3183"/>
      <c r="AY3183"/>
      <c r="BK3183" s="42">
        <v>3182</v>
      </c>
      <c r="BL3183" s="127">
        <v>4</v>
      </c>
      <c r="BM3183" s="127">
        <v>0.11332468572476186</v>
      </c>
      <c r="BN3183" s="127" t="e">
        <v>#N/A</v>
      </c>
      <c r="BO3183" s="127" t="e">
        <v>#N/A</v>
      </c>
      <c r="BP3183" s="151" t="e">
        <v>#N/A</v>
      </c>
      <c r="BQ3183">
        <v>0.11332468572476186</v>
      </c>
      <c r="BR3183" t="str">
        <v/>
      </c>
    </row>
    <row r="3184" spans="47:70" x14ac:dyDescent="0.2">
      <c r="AU3184"/>
      <c r="AV3184"/>
      <c r="AW3184"/>
      <c r="AX3184"/>
      <c r="AY3184"/>
      <c r="BK3184" s="42">
        <v>3183</v>
      </c>
      <c r="BL3184" s="127">
        <v>4</v>
      </c>
      <c r="BM3184" s="127">
        <v>0.11332468572476186</v>
      </c>
      <c r="BN3184" s="127" t="e">
        <v>#N/A</v>
      </c>
      <c r="BO3184" s="127" t="e">
        <v>#N/A</v>
      </c>
      <c r="BP3184" s="151" t="e">
        <v>#N/A</v>
      </c>
      <c r="BQ3184">
        <v>0.11332468572476186</v>
      </c>
      <c r="BR3184" t="str">
        <v/>
      </c>
    </row>
    <row r="3185" spans="47:70" x14ac:dyDescent="0.2">
      <c r="AU3185"/>
      <c r="AV3185"/>
      <c r="AW3185"/>
      <c r="AX3185"/>
      <c r="AY3185"/>
      <c r="BK3185" s="42">
        <v>3184</v>
      </c>
      <c r="BL3185" s="127">
        <v>4</v>
      </c>
      <c r="BM3185" s="127">
        <v>0.11332468572476186</v>
      </c>
      <c r="BN3185" s="127" t="e">
        <v>#N/A</v>
      </c>
      <c r="BO3185" s="127" t="e">
        <v>#N/A</v>
      </c>
      <c r="BP3185" s="151" t="e">
        <v>#N/A</v>
      </c>
      <c r="BQ3185">
        <v>0.11332468572476186</v>
      </c>
      <c r="BR3185" t="str">
        <v/>
      </c>
    </row>
    <row r="3186" spans="47:70" x14ac:dyDescent="0.2">
      <c r="AU3186"/>
      <c r="AV3186"/>
      <c r="AW3186"/>
      <c r="AX3186"/>
      <c r="AY3186"/>
      <c r="BK3186" s="42">
        <v>3185</v>
      </c>
      <c r="BL3186" s="127">
        <v>4</v>
      </c>
      <c r="BM3186" s="127">
        <v>0.11332468572476186</v>
      </c>
      <c r="BN3186" s="127" t="e">
        <v>#N/A</v>
      </c>
      <c r="BO3186" s="127" t="e">
        <v>#N/A</v>
      </c>
      <c r="BP3186" s="151" t="e">
        <v>#N/A</v>
      </c>
      <c r="BQ3186">
        <v>0.11332468572476186</v>
      </c>
      <c r="BR3186" t="str">
        <v/>
      </c>
    </row>
    <row r="3187" spans="47:70" x14ac:dyDescent="0.2">
      <c r="AU3187"/>
      <c r="AV3187"/>
      <c r="AW3187"/>
      <c r="AX3187"/>
      <c r="AY3187"/>
      <c r="BK3187" s="42">
        <v>3186</v>
      </c>
      <c r="BL3187" s="127">
        <v>4</v>
      </c>
      <c r="BM3187" s="127">
        <v>0.11332468572476186</v>
      </c>
      <c r="BN3187" s="127" t="e">
        <v>#N/A</v>
      </c>
      <c r="BO3187" s="127" t="e">
        <v>#N/A</v>
      </c>
      <c r="BP3187" s="151" t="e">
        <v>#N/A</v>
      </c>
      <c r="BQ3187">
        <v>0.11332468572476186</v>
      </c>
      <c r="BR3187" t="str">
        <v/>
      </c>
    </row>
    <row r="3188" spans="47:70" x14ac:dyDescent="0.2">
      <c r="AU3188"/>
      <c r="AV3188"/>
      <c r="AW3188"/>
      <c r="AX3188"/>
      <c r="AY3188"/>
      <c r="BK3188" s="42">
        <v>3187</v>
      </c>
      <c r="BL3188" s="127">
        <v>4</v>
      </c>
      <c r="BM3188" s="127">
        <v>0.11332468572476186</v>
      </c>
      <c r="BN3188" s="127" t="e">
        <v>#N/A</v>
      </c>
      <c r="BO3188" s="127" t="e">
        <v>#N/A</v>
      </c>
      <c r="BP3188" s="151" t="e">
        <v>#N/A</v>
      </c>
      <c r="BQ3188">
        <v>0.11332468572476186</v>
      </c>
      <c r="BR3188" t="str">
        <v/>
      </c>
    </row>
    <row r="3189" spans="47:70" x14ac:dyDescent="0.2">
      <c r="AU3189"/>
      <c r="AV3189"/>
      <c r="AW3189"/>
      <c r="AX3189"/>
      <c r="AY3189"/>
      <c r="BK3189" s="42">
        <v>3188</v>
      </c>
      <c r="BL3189" s="127">
        <v>4</v>
      </c>
      <c r="BM3189" s="127">
        <v>0.11332468572476186</v>
      </c>
      <c r="BN3189" s="127" t="e">
        <v>#N/A</v>
      </c>
      <c r="BO3189" s="127" t="e">
        <v>#N/A</v>
      </c>
      <c r="BP3189" s="151" t="e">
        <v>#N/A</v>
      </c>
      <c r="BQ3189">
        <v>0.11332468572476186</v>
      </c>
      <c r="BR3189" t="str">
        <v/>
      </c>
    </row>
    <row r="3190" spans="47:70" x14ac:dyDescent="0.2">
      <c r="AU3190"/>
      <c r="AV3190"/>
      <c r="AW3190"/>
      <c r="AX3190"/>
      <c r="AY3190"/>
      <c r="BK3190" s="42">
        <v>3189</v>
      </c>
      <c r="BL3190" s="127">
        <v>4</v>
      </c>
      <c r="BM3190" s="127">
        <v>0.11332468572476186</v>
      </c>
      <c r="BN3190" s="127" t="e">
        <v>#N/A</v>
      </c>
      <c r="BO3190" s="127" t="e">
        <v>#N/A</v>
      </c>
      <c r="BP3190" s="151" t="e">
        <v>#N/A</v>
      </c>
      <c r="BQ3190">
        <v>0.11332468572476186</v>
      </c>
      <c r="BR3190" t="str">
        <v/>
      </c>
    </row>
    <row r="3191" spans="47:70" x14ac:dyDescent="0.2">
      <c r="AU3191"/>
      <c r="AV3191"/>
      <c r="AW3191"/>
      <c r="AX3191"/>
      <c r="AY3191"/>
      <c r="BK3191" s="42">
        <v>3190</v>
      </c>
      <c r="BL3191" s="127">
        <v>4</v>
      </c>
      <c r="BM3191" s="127">
        <v>0.11332468572476186</v>
      </c>
      <c r="BN3191" s="127" t="e">
        <v>#N/A</v>
      </c>
      <c r="BO3191" s="127" t="e">
        <v>#N/A</v>
      </c>
      <c r="BP3191" s="151" t="e">
        <v>#N/A</v>
      </c>
      <c r="BQ3191">
        <v>0.11332468572476186</v>
      </c>
      <c r="BR3191" t="str">
        <v/>
      </c>
    </row>
    <row r="3192" spans="47:70" x14ac:dyDescent="0.2">
      <c r="AU3192"/>
      <c r="AV3192"/>
      <c r="AW3192"/>
      <c r="AX3192"/>
      <c r="AY3192"/>
      <c r="BK3192" s="42">
        <v>3191</v>
      </c>
      <c r="BL3192" s="127">
        <v>4</v>
      </c>
      <c r="BM3192" s="127">
        <v>0.11332468572476186</v>
      </c>
      <c r="BN3192" s="127" t="e">
        <v>#N/A</v>
      </c>
      <c r="BO3192" s="127" t="e">
        <v>#N/A</v>
      </c>
      <c r="BP3192" s="151" t="e">
        <v>#N/A</v>
      </c>
      <c r="BQ3192">
        <v>0.11332468572476186</v>
      </c>
      <c r="BR3192" t="str">
        <v/>
      </c>
    </row>
    <row r="3193" spans="47:70" x14ac:dyDescent="0.2">
      <c r="AU3193"/>
      <c r="AV3193"/>
      <c r="AW3193"/>
      <c r="AX3193"/>
      <c r="AY3193"/>
      <c r="BK3193" s="42">
        <v>3192</v>
      </c>
      <c r="BL3193" s="127">
        <v>4</v>
      </c>
      <c r="BM3193" s="127">
        <v>0.11332468572476186</v>
      </c>
      <c r="BN3193" s="127" t="e">
        <v>#N/A</v>
      </c>
      <c r="BO3193" s="127" t="e">
        <v>#N/A</v>
      </c>
      <c r="BP3193" s="151" t="e">
        <v>#N/A</v>
      </c>
      <c r="BQ3193">
        <v>0.11332468572476186</v>
      </c>
      <c r="BR3193" t="str">
        <v/>
      </c>
    </row>
    <row r="3194" spans="47:70" x14ac:dyDescent="0.2">
      <c r="AU3194"/>
      <c r="AV3194"/>
      <c r="AW3194"/>
      <c r="AX3194"/>
      <c r="AY3194"/>
      <c r="BK3194" s="42">
        <v>3193</v>
      </c>
      <c r="BL3194" s="127">
        <v>4</v>
      </c>
      <c r="BM3194" s="127">
        <v>0.11332468572476186</v>
      </c>
      <c r="BN3194" s="127" t="e">
        <v>#N/A</v>
      </c>
      <c r="BO3194" s="127" t="e">
        <v>#N/A</v>
      </c>
      <c r="BP3194" s="151" t="e">
        <v>#N/A</v>
      </c>
      <c r="BQ3194">
        <v>0.11332468572476186</v>
      </c>
      <c r="BR3194" t="str">
        <v/>
      </c>
    </row>
    <row r="3195" spans="47:70" x14ac:dyDescent="0.2">
      <c r="AU3195"/>
      <c r="AV3195"/>
      <c r="AW3195"/>
      <c r="AX3195"/>
      <c r="AY3195"/>
      <c r="BK3195" s="42">
        <v>3194</v>
      </c>
      <c r="BL3195" s="127">
        <v>4</v>
      </c>
      <c r="BM3195" s="127">
        <v>0.11332468572476186</v>
      </c>
      <c r="BN3195" s="127" t="e">
        <v>#N/A</v>
      </c>
      <c r="BO3195" s="127" t="e">
        <v>#N/A</v>
      </c>
      <c r="BP3195" s="151" t="e">
        <v>#N/A</v>
      </c>
      <c r="BQ3195">
        <v>0.11332468572476186</v>
      </c>
      <c r="BR3195" t="str">
        <v/>
      </c>
    </row>
    <row r="3196" spans="47:70" x14ac:dyDescent="0.2">
      <c r="AU3196"/>
      <c r="AV3196"/>
      <c r="AW3196"/>
      <c r="AX3196"/>
      <c r="AY3196"/>
      <c r="BK3196" s="42">
        <v>3195</v>
      </c>
      <c r="BL3196" s="127">
        <v>4</v>
      </c>
      <c r="BM3196" s="127">
        <v>0.11332468572476186</v>
      </c>
      <c r="BN3196" s="127" t="e">
        <v>#N/A</v>
      </c>
      <c r="BO3196" s="127" t="e">
        <v>#N/A</v>
      </c>
      <c r="BP3196" s="151" t="e">
        <v>#N/A</v>
      </c>
      <c r="BQ3196">
        <v>0.11332468572476186</v>
      </c>
      <c r="BR3196" t="str">
        <v/>
      </c>
    </row>
    <row r="3197" spans="47:70" x14ac:dyDescent="0.2">
      <c r="AU3197"/>
      <c r="AV3197"/>
      <c r="AW3197"/>
      <c r="AX3197"/>
      <c r="AY3197"/>
      <c r="BK3197" s="42">
        <v>3196</v>
      </c>
      <c r="BL3197" s="127">
        <v>4</v>
      </c>
      <c r="BM3197" s="127">
        <v>0.11332468572476186</v>
      </c>
      <c r="BN3197" s="127" t="e">
        <v>#N/A</v>
      </c>
      <c r="BO3197" s="127" t="e">
        <v>#N/A</v>
      </c>
      <c r="BP3197" s="151" t="e">
        <v>#N/A</v>
      </c>
      <c r="BQ3197">
        <v>0.11332468572476186</v>
      </c>
      <c r="BR3197" t="str">
        <v/>
      </c>
    </row>
    <row r="3198" spans="47:70" x14ac:dyDescent="0.2">
      <c r="AU3198"/>
      <c r="AV3198"/>
      <c r="AW3198"/>
      <c r="AX3198"/>
      <c r="AY3198"/>
      <c r="BK3198" s="42">
        <v>3197</v>
      </c>
      <c r="BL3198" s="127">
        <v>4</v>
      </c>
      <c r="BM3198" s="127">
        <v>0.11332468572476186</v>
      </c>
      <c r="BN3198" s="127" t="e">
        <v>#N/A</v>
      </c>
      <c r="BO3198" s="127" t="e">
        <v>#N/A</v>
      </c>
      <c r="BP3198" s="151" t="e">
        <v>#N/A</v>
      </c>
      <c r="BQ3198">
        <v>0.11332468572476186</v>
      </c>
      <c r="BR3198" t="str">
        <v/>
      </c>
    </row>
    <row r="3199" spans="47:70" x14ac:dyDescent="0.2">
      <c r="AU3199"/>
      <c r="AV3199"/>
      <c r="AW3199"/>
      <c r="AX3199"/>
      <c r="AY3199"/>
      <c r="BK3199" s="42">
        <v>3198</v>
      </c>
      <c r="BL3199" s="127">
        <v>4</v>
      </c>
      <c r="BM3199" s="127">
        <v>0.11332468572476186</v>
      </c>
      <c r="BN3199" s="127" t="e">
        <v>#N/A</v>
      </c>
      <c r="BO3199" s="127" t="e">
        <v>#N/A</v>
      </c>
      <c r="BP3199" s="151" t="e">
        <v>#N/A</v>
      </c>
      <c r="BQ3199">
        <v>0.11332468572476186</v>
      </c>
      <c r="BR3199" t="str">
        <v/>
      </c>
    </row>
    <row r="3200" spans="47:70" x14ac:dyDescent="0.2">
      <c r="AU3200"/>
      <c r="AV3200"/>
      <c r="AW3200"/>
      <c r="AX3200"/>
      <c r="AY3200"/>
      <c r="BK3200" s="42">
        <v>3199</v>
      </c>
      <c r="BL3200" s="127">
        <v>4</v>
      </c>
      <c r="BM3200" s="127">
        <v>0.11332468572476186</v>
      </c>
      <c r="BN3200" s="127" t="e">
        <v>#N/A</v>
      </c>
      <c r="BO3200" s="127" t="e">
        <v>#N/A</v>
      </c>
      <c r="BP3200" s="151" t="e">
        <v>#N/A</v>
      </c>
      <c r="BQ3200">
        <v>0.11332468572476186</v>
      </c>
      <c r="BR3200" t="str">
        <v/>
      </c>
    </row>
    <row r="3201" spans="47:70" x14ac:dyDescent="0.2">
      <c r="AU3201"/>
      <c r="AV3201"/>
      <c r="AW3201"/>
      <c r="AX3201"/>
      <c r="AY3201"/>
      <c r="BK3201" s="42">
        <v>3200</v>
      </c>
      <c r="BL3201" s="127">
        <v>4</v>
      </c>
      <c r="BM3201" s="127">
        <v>0.11332468572476186</v>
      </c>
      <c r="BN3201" s="127" t="e">
        <v>#N/A</v>
      </c>
      <c r="BO3201" s="127" t="e">
        <v>#N/A</v>
      </c>
      <c r="BP3201" s="151" t="e">
        <v>#N/A</v>
      </c>
      <c r="BQ3201">
        <v>0.11332468572476186</v>
      </c>
      <c r="BR3201" t="str">
        <v/>
      </c>
    </row>
    <row r="3202" spans="47:70" x14ac:dyDescent="0.2">
      <c r="AU3202"/>
      <c r="AV3202"/>
      <c r="AW3202"/>
      <c r="AX3202"/>
      <c r="AY3202"/>
      <c r="BK3202" s="42">
        <v>3201</v>
      </c>
      <c r="BL3202" s="127">
        <v>4</v>
      </c>
      <c r="BM3202" s="127">
        <v>0.11332468572476186</v>
      </c>
      <c r="BN3202" s="127" t="e">
        <v>#N/A</v>
      </c>
      <c r="BO3202" s="127" t="e">
        <v>#N/A</v>
      </c>
      <c r="BP3202" s="151" t="e">
        <v>#N/A</v>
      </c>
      <c r="BQ3202">
        <v>0.11332468572476186</v>
      </c>
      <c r="BR3202" t="str">
        <v/>
      </c>
    </row>
    <row r="3203" spans="47:70" x14ac:dyDescent="0.2">
      <c r="AU3203"/>
      <c r="AV3203"/>
      <c r="AW3203"/>
      <c r="AX3203"/>
      <c r="AY3203"/>
      <c r="BK3203" s="42">
        <v>3202</v>
      </c>
      <c r="BL3203" s="127">
        <v>4</v>
      </c>
      <c r="BM3203" s="127">
        <v>0.11332468572476186</v>
      </c>
      <c r="BN3203" s="127" t="e">
        <v>#N/A</v>
      </c>
      <c r="BO3203" s="127" t="e">
        <v>#N/A</v>
      </c>
      <c r="BP3203" s="151" t="e">
        <v>#N/A</v>
      </c>
      <c r="BQ3203">
        <v>0.11332468572476186</v>
      </c>
      <c r="BR3203" t="str">
        <v/>
      </c>
    </row>
    <row r="3204" spans="47:70" x14ac:dyDescent="0.2">
      <c r="AU3204"/>
      <c r="AV3204"/>
      <c r="AW3204"/>
      <c r="AX3204"/>
      <c r="AY3204"/>
      <c r="BK3204" s="42">
        <v>3203</v>
      </c>
      <c r="BL3204" s="127">
        <v>4</v>
      </c>
      <c r="BM3204" s="127">
        <v>0.11332468572476186</v>
      </c>
      <c r="BN3204" s="127" t="e">
        <v>#N/A</v>
      </c>
      <c r="BO3204" s="127" t="e">
        <v>#N/A</v>
      </c>
      <c r="BP3204" s="151" t="e">
        <v>#N/A</v>
      </c>
      <c r="BQ3204">
        <v>0.11332468572476186</v>
      </c>
      <c r="BR3204" t="str">
        <v/>
      </c>
    </row>
    <row r="3205" spans="47:70" x14ac:dyDescent="0.2">
      <c r="AU3205"/>
      <c r="AV3205"/>
      <c r="AW3205"/>
      <c r="AX3205"/>
      <c r="AY3205"/>
      <c r="BK3205" s="42">
        <v>3204</v>
      </c>
      <c r="BL3205" s="127">
        <v>4</v>
      </c>
      <c r="BM3205" s="127">
        <v>0.11332468572476186</v>
      </c>
      <c r="BN3205" s="127" t="e">
        <v>#N/A</v>
      </c>
      <c r="BO3205" s="127" t="e">
        <v>#N/A</v>
      </c>
      <c r="BP3205" s="151" t="e">
        <v>#N/A</v>
      </c>
      <c r="BQ3205">
        <v>0.11332468572476186</v>
      </c>
      <c r="BR3205" t="str">
        <v/>
      </c>
    </row>
    <row r="3206" spans="47:70" x14ac:dyDescent="0.2">
      <c r="AU3206"/>
      <c r="AV3206"/>
      <c r="AW3206"/>
      <c r="AX3206"/>
      <c r="AY3206"/>
      <c r="BK3206" s="42">
        <v>3205</v>
      </c>
      <c r="BL3206" s="127">
        <v>4</v>
      </c>
      <c r="BM3206" s="127">
        <v>0.11332468572476186</v>
      </c>
      <c r="BN3206" s="127" t="e">
        <v>#N/A</v>
      </c>
      <c r="BO3206" s="127" t="e">
        <v>#N/A</v>
      </c>
      <c r="BP3206" s="151" t="e">
        <v>#N/A</v>
      </c>
      <c r="BQ3206">
        <v>0.11332468572476186</v>
      </c>
      <c r="BR3206" t="str">
        <v/>
      </c>
    </row>
    <row r="3207" spans="47:70" x14ac:dyDescent="0.2">
      <c r="AU3207"/>
      <c r="AV3207"/>
      <c r="AW3207"/>
      <c r="AX3207"/>
      <c r="AY3207"/>
      <c r="BK3207" s="42">
        <v>3206</v>
      </c>
      <c r="BL3207" s="127">
        <v>4</v>
      </c>
      <c r="BM3207" s="127">
        <v>0.11332468572476186</v>
      </c>
      <c r="BN3207" s="127" t="e">
        <v>#N/A</v>
      </c>
      <c r="BO3207" s="127" t="e">
        <v>#N/A</v>
      </c>
      <c r="BP3207" s="151" t="e">
        <v>#N/A</v>
      </c>
      <c r="BQ3207">
        <v>0.11332468572476186</v>
      </c>
      <c r="BR3207" t="str">
        <v/>
      </c>
    </row>
    <row r="3208" spans="47:70" x14ac:dyDescent="0.2">
      <c r="AU3208"/>
      <c r="AV3208"/>
      <c r="AW3208"/>
      <c r="AX3208"/>
      <c r="AY3208"/>
      <c r="BK3208" s="42">
        <v>3207</v>
      </c>
      <c r="BL3208" s="127">
        <v>4</v>
      </c>
      <c r="BM3208" s="127">
        <v>0.11332468572476186</v>
      </c>
      <c r="BN3208" s="127" t="e">
        <v>#N/A</v>
      </c>
      <c r="BO3208" s="127" t="e">
        <v>#N/A</v>
      </c>
      <c r="BP3208" s="151" t="e">
        <v>#N/A</v>
      </c>
      <c r="BQ3208">
        <v>0.11332468572476186</v>
      </c>
      <c r="BR3208" t="str">
        <v/>
      </c>
    </row>
    <row r="3209" spans="47:70" x14ac:dyDescent="0.2">
      <c r="AU3209"/>
      <c r="AV3209"/>
      <c r="AW3209"/>
      <c r="AX3209"/>
      <c r="AY3209"/>
      <c r="BK3209" s="42">
        <v>3208</v>
      </c>
      <c r="BL3209" s="127">
        <v>4</v>
      </c>
      <c r="BM3209" s="127">
        <v>0.11332468572476186</v>
      </c>
      <c r="BN3209" s="127" t="e">
        <v>#N/A</v>
      </c>
      <c r="BO3209" s="127" t="e">
        <v>#N/A</v>
      </c>
      <c r="BP3209" s="151" t="e">
        <v>#N/A</v>
      </c>
      <c r="BQ3209">
        <v>0.11332468572476186</v>
      </c>
      <c r="BR3209" t="str">
        <v/>
      </c>
    </row>
    <row r="3210" spans="47:70" x14ac:dyDescent="0.2">
      <c r="AU3210"/>
      <c r="AV3210"/>
      <c r="AW3210"/>
      <c r="AX3210"/>
      <c r="AY3210"/>
      <c r="BK3210" s="42">
        <v>3209</v>
      </c>
      <c r="BL3210" s="127">
        <v>4</v>
      </c>
      <c r="BM3210" s="127">
        <v>0.11332468572476186</v>
      </c>
      <c r="BN3210" s="127" t="e">
        <v>#N/A</v>
      </c>
      <c r="BO3210" s="127" t="e">
        <v>#N/A</v>
      </c>
      <c r="BP3210" s="151" t="e">
        <v>#N/A</v>
      </c>
      <c r="BQ3210">
        <v>0.11332468572476186</v>
      </c>
      <c r="BR3210" t="str">
        <v/>
      </c>
    </row>
    <row r="3211" spans="47:70" x14ac:dyDescent="0.2">
      <c r="AU3211"/>
      <c r="AV3211"/>
      <c r="AW3211"/>
      <c r="AX3211"/>
      <c r="AY3211"/>
      <c r="BK3211" s="42">
        <v>3210</v>
      </c>
      <c r="BL3211" s="127">
        <v>4</v>
      </c>
      <c r="BM3211" s="127">
        <v>0.11332468572476186</v>
      </c>
      <c r="BN3211" s="127" t="e">
        <v>#N/A</v>
      </c>
      <c r="BO3211" s="127" t="e">
        <v>#N/A</v>
      </c>
      <c r="BP3211" s="151" t="e">
        <v>#N/A</v>
      </c>
      <c r="BQ3211">
        <v>0.11332468572476186</v>
      </c>
      <c r="BR3211" t="str">
        <v/>
      </c>
    </row>
    <row r="3212" spans="47:70" x14ac:dyDescent="0.2">
      <c r="AU3212"/>
      <c r="AV3212"/>
      <c r="AW3212"/>
      <c r="AX3212"/>
      <c r="AY3212"/>
      <c r="BK3212" s="42">
        <v>3211</v>
      </c>
      <c r="BL3212" s="127">
        <v>4</v>
      </c>
      <c r="BM3212" s="127">
        <v>0.11332468572476186</v>
      </c>
      <c r="BN3212" s="127" t="e">
        <v>#N/A</v>
      </c>
      <c r="BO3212" s="127" t="e">
        <v>#N/A</v>
      </c>
      <c r="BP3212" s="151" t="e">
        <v>#N/A</v>
      </c>
      <c r="BQ3212">
        <v>0.11332468572476186</v>
      </c>
      <c r="BR3212" t="str">
        <v/>
      </c>
    </row>
    <row r="3213" spans="47:70" x14ac:dyDescent="0.2">
      <c r="AU3213"/>
      <c r="AV3213"/>
      <c r="AW3213"/>
      <c r="AX3213"/>
      <c r="AY3213"/>
      <c r="BK3213" s="42">
        <v>3212</v>
      </c>
      <c r="BL3213" s="127">
        <v>4</v>
      </c>
      <c r="BM3213" s="127">
        <v>0.11332468572476186</v>
      </c>
      <c r="BN3213" s="127" t="e">
        <v>#N/A</v>
      </c>
      <c r="BO3213" s="127" t="e">
        <v>#N/A</v>
      </c>
      <c r="BP3213" s="151" t="e">
        <v>#N/A</v>
      </c>
      <c r="BQ3213">
        <v>0.11332468572476186</v>
      </c>
      <c r="BR3213" t="str">
        <v/>
      </c>
    </row>
    <row r="3214" spans="47:70" x14ac:dyDescent="0.2">
      <c r="AU3214"/>
      <c r="AV3214"/>
      <c r="AW3214"/>
      <c r="AX3214"/>
      <c r="AY3214"/>
      <c r="BK3214" s="42">
        <v>3213</v>
      </c>
      <c r="BL3214" s="127">
        <v>4</v>
      </c>
      <c r="BM3214" s="127">
        <v>0.11332468572476186</v>
      </c>
      <c r="BN3214" s="127" t="e">
        <v>#N/A</v>
      </c>
      <c r="BO3214" s="127" t="e">
        <v>#N/A</v>
      </c>
      <c r="BP3214" s="151" t="e">
        <v>#N/A</v>
      </c>
      <c r="BQ3214">
        <v>0.11332468572476186</v>
      </c>
      <c r="BR3214" t="str">
        <v/>
      </c>
    </row>
    <row r="3215" spans="47:70" x14ac:dyDescent="0.2">
      <c r="AU3215"/>
      <c r="AV3215"/>
      <c r="AW3215"/>
      <c r="AX3215"/>
      <c r="AY3215"/>
      <c r="BK3215" s="42">
        <v>3214</v>
      </c>
      <c r="BL3215" s="127">
        <v>4</v>
      </c>
      <c r="BM3215" s="127">
        <v>0.11332468572476186</v>
      </c>
      <c r="BN3215" s="127" t="e">
        <v>#N/A</v>
      </c>
      <c r="BO3215" s="127" t="e">
        <v>#N/A</v>
      </c>
      <c r="BP3215" s="151" t="e">
        <v>#N/A</v>
      </c>
      <c r="BQ3215">
        <v>0.11332468572476186</v>
      </c>
      <c r="BR3215" t="str">
        <v/>
      </c>
    </row>
    <row r="3216" spans="47:70" x14ac:dyDescent="0.2">
      <c r="AU3216"/>
      <c r="AV3216"/>
      <c r="AW3216"/>
      <c r="AX3216"/>
      <c r="AY3216"/>
      <c r="BK3216" s="42">
        <v>3215</v>
      </c>
      <c r="BL3216" s="127">
        <v>4</v>
      </c>
      <c r="BM3216" s="127">
        <v>0.11332468572476186</v>
      </c>
      <c r="BN3216" s="127" t="e">
        <v>#N/A</v>
      </c>
      <c r="BO3216" s="127" t="e">
        <v>#N/A</v>
      </c>
      <c r="BP3216" s="151" t="e">
        <v>#N/A</v>
      </c>
      <c r="BQ3216">
        <v>0.11332468572476186</v>
      </c>
      <c r="BR3216" t="str">
        <v/>
      </c>
    </row>
    <row r="3217" spans="47:70" x14ac:dyDescent="0.2">
      <c r="AU3217"/>
      <c r="AV3217"/>
      <c r="AW3217"/>
      <c r="AX3217"/>
      <c r="AY3217"/>
      <c r="BK3217" s="42">
        <v>3216</v>
      </c>
      <c r="BL3217" s="127">
        <v>4</v>
      </c>
      <c r="BM3217" s="127">
        <v>0.11332468572476186</v>
      </c>
      <c r="BN3217" s="127" t="e">
        <v>#N/A</v>
      </c>
      <c r="BO3217" s="127" t="e">
        <v>#N/A</v>
      </c>
      <c r="BP3217" s="151" t="e">
        <v>#N/A</v>
      </c>
      <c r="BQ3217">
        <v>0.11332468572476186</v>
      </c>
      <c r="BR3217" t="str">
        <v/>
      </c>
    </row>
    <row r="3218" spans="47:70" x14ac:dyDescent="0.2">
      <c r="AU3218"/>
      <c r="AV3218"/>
      <c r="AW3218"/>
      <c r="AX3218"/>
      <c r="AY3218"/>
      <c r="BK3218" s="42">
        <v>3217</v>
      </c>
      <c r="BL3218" s="127">
        <v>4</v>
      </c>
      <c r="BM3218" s="127">
        <v>0.11332468572476186</v>
      </c>
      <c r="BN3218" s="127" t="e">
        <v>#N/A</v>
      </c>
      <c r="BO3218" s="127" t="e">
        <v>#N/A</v>
      </c>
      <c r="BP3218" s="151" t="e">
        <v>#N/A</v>
      </c>
      <c r="BQ3218">
        <v>0.11332468572476186</v>
      </c>
      <c r="BR3218" t="str">
        <v/>
      </c>
    </row>
    <row r="3219" spans="47:70" x14ac:dyDescent="0.2">
      <c r="AU3219"/>
      <c r="AV3219"/>
      <c r="AW3219"/>
      <c r="AX3219"/>
      <c r="AY3219"/>
      <c r="BK3219" s="42">
        <v>3218</v>
      </c>
      <c r="BL3219" s="127">
        <v>4</v>
      </c>
      <c r="BM3219" s="127">
        <v>0.11332468572476186</v>
      </c>
      <c r="BN3219" s="127" t="e">
        <v>#N/A</v>
      </c>
      <c r="BO3219" s="127" t="e">
        <v>#N/A</v>
      </c>
      <c r="BP3219" s="151" t="e">
        <v>#N/A</v>
      </c>
      <c r="BQ3219">
        <v>0.11332468572476186</v>
      </c>
      <c r="BR3219" t="str">
        <v/>
      </c>
    </row>
    <row r="3220" spans="47:70" x14ac:dyDescent="0.2">
      <c r="AU3220"/>
      <c r="AV3220"/>
      <c r="AW3220"/>
      <c r="AX3220"/>
      <c r="AY3220"/>
      <c r="BK3220" s="42">
        <v>3219</v>
      </c>
      <c r="BL3220" s="127">
        <v>4</v>
      </c>
      <c r="BM3220" s="127">
        <v>0.11332468572476186</v>
      </c>
      <c r="BN3220" s="127" t="e">
        <v>#N/A</v>
      </c>
      <c r="BO3220" s="127" t="e">
        <v>#N/A</v>
      </c>
      <c r="BP3220" s="151" t="e">
        <v>#N/A</v>
      </c>
      <c r="BQ3220">
        <v>0.11332468572476186</v>
      </c>
      <c r="BR3220" t="str">
        <v/>
      </c>
    </row>
    <row r="3221" spans="47:70" x14ac:dyDescent="0.2">
      <c r="AU3221"/>
      <c r="AV3221"/>
      <c r="AW3221"/>
      <c r="AX3221"/>
      <c r="AY3221"/>
      <c r="BK3221" s="42">
        <v>3220</v>
      </c>
      <c r="BL3221" s="127">
        <v>4</v>
      </c>
      <c r="BM3221" s="127">
        <v>0.11332468572476186</v>
      </c>
      <c r="BN3221" s="127" t="e">
        <v>#N/A</v>
      </c>
      <c r="BO3221" s="127" t="e">
        <v>#N/A</v>
      </c>
      <c r="BP3221" s="151" t="e">
        <v>#N/A</v>
      </c>
      <c r="BQ3221">
        <v>0.11332468572476186</v>
      </c>
      <c r="BR3221" t="str">
        <v/>
      </c>
    </row>
    <row r="3222" spans="47:70" x14ac:dyDescent="0.2">
      <c r="AU3222"/>
      <c r="AV3222"/>
      <c r="AW3222"/>
      <c r="AX3222"/>
      <c r="AY3222"/>
      <c r="BK3222" s="42">
        <v>3221</v>
      </c>
      <c r="BL3222" s="127">
        <v>4</v>
      </c>
      <c r="BM3222" s="127">
        <v>0.11332468572476186</v>
      </c>
      <c r="BN3222" s="127" t="e">
        <v>#N/A</v>
      </c>
      <c r="BO3222" s="127" t="e">
        <v>#N/A</v>
      </c>
      <c r="BP3222" s="151" t="e">
        <v>#N/A</v>
      </c>
      <c r="BQ3222">
        <v>0.11332468572476186</v>
      </c>
      <c r="BR3222" t="str">
        <v/>
      </c>
    </row>
    <row r="3223" spans="47:70" x14ac:dyDescent="0.2">
      <c r="AU3223"/>
      <c r="AV3223"/>
      <c r="AW3223"/>
      <c r="AX3223"/>
      <c r="AY3223"/>
      <c r="BK3223" s="42">
        <v>3222</v>
      </c>
      <c r="BL3223" s="127">
        <v>4</v>
      </c>
      <c r="BM3223" s="127">
        <v>0.11332468572476186</v>
      </c>
      <c r="BN3223" s="127" t="e">
        <v>#N/A</v>
      </c>
      <c r="BO3223" s="127" t="e">
        <v>#N/A</v>
      </c>
      <c r="BP3223" s="151" t="e">
        <v>#N/A</v>
      </c>
      <c r="BQ3223">
        <v>0.11332468572476186</v>
      </c>
      <c r="BR3223" t="str">
        <v/>
      </c>
    </row>
    <row r="3224" spans="47:70" x14ac:dyDescent="0.2">
      <c r="AU3224"/>
      <c r="AV3224"/>
      <c r="AW3224"/>
      <c r="AX3224"/>
      <c r="AY3224"/>
      <c r="BK3224" s="42">
        <v>3223</v>
      </c>
      <c r="BL3224" s="127">
        <v>4</v>
      </c>
      <c r="BM3224" s="127">
        <v>0.11332468572476186</v>
      </c>
      <c r="BN3224" s="127" t="e">
        <v>#N/A</v>
      </c>
      <c r="BO3224" s="127" t="e">
        <v>#N/A</v>
      </c>
      <c r="BP3224" s="151" t="e">
        <v>#N/A</v>
      </c>
      <c r="BQ3224">
        <v>0.11332468572476186</v>
      </c>
      <c r="BR3224" t="str">
        <v/>
      </c>
    </row>
    <row r="3225" spans="47:70" x14ac:dyDescent="0.2">
      <c r="AU3225"/>
      <c r="AV3225"/>
      <c r="AW3225"/>
      <c r="AX3225"/>
      <c r="AY3225"/>
      <c r="BK3225" s="42">
        <v>3224</v>
      </c>
      <c r="BL3225" s="127">
        <v>4</v>
      </c>
      <c r="BM3225" s="127">
        <v>0.11332468572476186</v>
      </c>
      <c r="BN3225" s="127" t="e">
        <v>#N/A</v>
      </c>
      <c r="BO3225" s="127" t="e">
        <v>#N/A</v>
      </c>
      <c r="BP3225" s="151" t="e">
        <v>#N/A</v>
      </c>
      <c r="BQ3225">
        <v>0.11332468572476186</v>
      </c>
      <c r="BR3225" t="str">
        <v/>
      </c>
    </row>
    <row r="3226" spans="47:70" x14ac:dyDescent="0.2">
      <c r="AU3226"/>
      <c r="AV3226"/>
      <c r="AW3226"/>
      <c r="AX3226"/>
      <c r="AY3226"/>
      <c r="BK3226" s="42">
        <v>3225</v>
      </c>
      <c r="BL3226" s="127">
        <v>4</v>
      </c>
      <c r="BM3226" s="127">
        <v>0.11332468572476186</v>
      </c>
      <c r="BN3226" s="127" t="e">
        <v>#N/A</v>
      </c>
      <c r="BO3226" s="127" t="e">
        <v>#N/A</v>
      </c>
      <c r="BP3226" s="151" t="e">
        <v>#N/A</v>
      </c>
      <c r="BQ3226">
        <v>0.11332468572476186</v>
      </c>
      <c r="BR3226" t="str">
        <v/>
      </c>
    </row>
    <row r="3227" spans="47:70" x14ac:dyDescent="0.2">
      <c r="AU3227"/>
      <c r="AV3227"/>
      <c r="AW3227"/>
      <c r="AX3227"/>
      <c r="AY3227"/>
      <c r="BK3227" s="42">
        <v>3226</v>
      </c>
      <c r="BL3227" s="127">
        <v>4</v>
      </c>
      <c r="BM3227" s="127">
        <v>0.11332468572476186</v>
      </c>
      <c r="BN3227" s="127" t="e">
        <v>#N/A</v>
      </c>
      <c r="BO3227" s="127" t="e">
        <v>#N/A</v>
      </c>
      <c r="BP3227" s="151" t="e">
        <v>#N/A</v>
      </c>
      <c r="BQ3227">
        <v>0.11332468572476186</v>
      </c>
      <c r="BR3227" t="str">
        <v/>
      </c>
    </row>
    <row r="3228" spans="47:70" x14ac:dyDescent="0.2">
      <c r="AU3228"/>
      <c r="AV3228"/>
      <c r="AW3228"/>
      <c r="AX3228"/>
      <c r="AY3228"/>
      <c r="BK3228" s="42">
        <v>3227</v>
      </c>
      <c r="BL3228" s="127">
        <v>4</v>
      </c>
      <c r="BM3228" s="127">
        <v>0.11332468572476186</v>
      </c>
      <c r="BN3228" s="127" t="e">
        <v>#N/A</v>
      </c>
      <c r="BO3228" s="127" t="e">
        <v>#N/A</v>
      </c>
      <c r="BP3228" s="151" t="e">
        <v>#N/A</v>
      </c>
      <c r="BQ3228">
        <v>0.11332468572476186</v>
      </c>
      <c r="BR3228" t="str">
        <v/>
      </c>
    </row>
    <row r="3229" spans="47:70" x14ac:dyDescent="0.2">
      <c r="AU3229"/>
      <c r="AV3229"/>
      <c r="AW3229"/>
      <c r="AX3229"/>
      <c r="AY3229"/>
      <c r="BK3229" s="42">
        <v>3228</v>
      </c>
      <c r="BL3229" s="127">
        <v>4</v>
      </c>
      <c r="BM3229" s="127">
        <v>0.11332468572476186</v>
      </c>
      <c r="BN3229" s="127" t="e">
        <v>#N/A</v>
      </c>
      <c r="BO3229" s="127" t="e">
        <v>#N/A</v>
      </c>
      <c r="BP3229" s="151" t="e">
        <v>#N/A</v>
      </c>
      <c r="BQ3229">
        <v>0.11332468572476186</v>
      </c>
      <c r="BR3229" t="str">
        <v/>
      </c>
    </row>
    <row r="3230" spans="47:70" x14ac:dyDescent="0.2">
      <c r="AU3230"/>
      <c r="AV3230"/>
      <c r="AW3230"/>
      <c r="AX3230"/>
      <c r="AY3230"/>
      <c r="BK3230" s="42">
        <v>3229</v>
      </c>
      <c r="BL3230" s="127">
        <v>4</v>
      </c>
      <c r="BM3230" s="127">
        <v>0.11332468572476186</v>
      </c>
      <c r="BN3230" s="127" t="e">
        <v>#N/A</v>
      </c>
      <c r="BO3230" s="127" t="e">
        <v>#N/A</v>
      </c>
      <c r="BP3230" s="151" t="e">
        <v>#N/A</v>
      </c>
      <c r="BQ3230">
        <v>0.11332468572476186</v>
      </c>
      <c r="BR3230" t="str">
        <v/>
      </c>
    </row>
    <row r="3231" spans="47:70" x14ac:dyDescent="0.2">
      <c r="AU3231"/>
      <c r="AV3231"/>
      <c r="AW3231"/>
      <c r="AX3231"/>
      <c r="AY3231"/>
      <c r="BK3231" s="42">
        <v>3230</v>
      </c>
      <c r="BL3231" s="127">
        <v>4</v>
      </c>
      <c r="BM3231" s="127">
        <v>0.11332468572476186</v>
      </c>
      <c r="BN3231" s="127" t="e">
        <v>#N/A</v>
      </c>
      <c r="BO3231" s="127" t="e">
        <v>#N/A</v>
      </c>
      <c r="BP3231" s="151" t="e">
        <v>#N/A</v>
      </c>
      <c r="BQ3231">
        <v>0.11332468572476186</v>
      </c>
      <c r="BR3231" t="str">
        <v/>
      </c>
    </row>
    <row r="3232" spans="47:70" x14ac:dyDescent="0.2">
      <c r="AU3232"/>
      <c r="AV3232"/>
      <c r="AW3232"/>
      <c r="AX3232"/>
      <c r="AY3232"/>
      <c r="BK3232" s="42">
        <v>3231</v>
      </c>
      <c r="BL3232" s="127">
        <v>4</v>
      </c>
      <c r="BM3232" s="127">
        <v>0.11332468572476186</v>
      </c>
      <c r="BN3232" s="127" t="e">
        <v>#N/A</v>
      </c>
      <c r="BO3232" s="127" t="e">
        <v>#N/A</v>
      </c>
      <c r="BP3232" s="151" t="e">
        <v>#N/A</v>
      </c>
      <c r="BQ3232">
        <v>0.11332468572476186</v>
      </c>
      <c r="BR3232" t="str">
        <v/>
      </c>
    </row>
    <row r="3233" spans="47:70" x14ac:dyDescent="0.2">
      <c r="AU3233"/>
      <c r="AV3233"/>
      <c r="AW3233"/>
      <c r="AX3233"/>
      <c r="AY3233"/>
      <c r="BK3233" s="42">
        <v>3232</v>
      </c>
      <c r="BL3233" s="127">
        <v>4</v>
      </c>
      <c r="BM3233" s="127">
        <v>0.11332468572476186</v>
      </c>
      <c r="BN3233" s="127" t="e">
        <v>#N/A</v>
      </c>
      <c r="BO3233" s="127" t="e">
        <v>#N/A</v>
      </c>
      <c r="BP3233" s="151" t="e">
        <v>#N/A</v>
      </c>
      <c r="BQ3233">
        <v>0.11332468572476186</v>
      </c>
      <c r="BR3233" t="str">
        <v/>
      </c>
    </row>
    <row r="3234" spans="47:70" x14ac:dyDescent="0.2">
      <c r="AU3234"/>
      <c r="AV3234"/>
      <c r="AW3234"/>
      <c r="AX3234"/>
      <c r="AY3234"/>
      <c r="BK3234" s="42">
        <v>3233</v>
      </c>
      <c r="BL3234" s="127">
        <v>4</v>
      </c>
      <c r="BM3234" s="127">
        <v>0.11332468572476186</v>
      </c>
      <c r="BN3234" s="127" t="e">
        <v>#N/A</v>
      </c>
      <c r="BO3234" s="127" t="e">
        <v>#N/A</v>
      </c>
      <c r="BP3234" s="151" t="e">
        <v>#N/A</v>
      </c>
      <c r="BQ3234">
        <v>0.11332468572476186</v>
      </c>
      <c r="BR3234" t="str">
        <v/>
      </c>
    </row>
    <row r="3235" spans="47:70" x14ac:dyDescent="0.2">
      <c r="AU3235"/>
      <c r="AV3235"/>
      <c r="AW3235"/>
      <c r="AX3235"/>
      <c r="AY3235"/>
      <c r="BK3235" s="42">
        <v>3234</v>
      </c>
      <c r="BL3235" s="127">
        <v>4</v>
      </c>
      <c r="BM3235" s="127">
        <v>0.11332468572476186</v>
      </c>
      <c r="BN3235" s="127" t="e">
        <v>#N/A</v>
      </c>
      <c r="BO3235" s="127" t="e">
        <v>#N/A</v>
      </c>
      <c r="BP3235" s="151" t="e">
        <v>#N/A</v>
      </c>
      <c r="BQ3235">
        <v>0.11332468572476186</v>
      </c>
      <c r="BR3235" t="str">
        <v/>
      </c>
    </row>
    <row r="3236" spans="47:70" x14ac:dyDescent="0.2">
      <c r="AU3236"/>
      <c r="AV3236"/>
      <c r="AW3236"/>
      <c r="AX3236"/>
      <c r="AY3236"/>
      <c r="BK3236" s="42">
        <v>3235</v>
      </c>
      <c r="BL3236" s="127">
        <v>4</v>
      </c>
      <c r="BM3236" s="127">
        <v>0.11332468572476186</v>
      </c>
      <c r="BN3236" s="127" t="e">
        <v>#N/A</v>
      </c>
      <c r="BO3236" s="127" t="e">
        <v>#N/A</v>
      </c>
      <c r="BP3236" s="151" t="e">
        <v>#N/A</v>
      </c>
      <c r="BQ3236">
        <v>0.11332468572476186</v>
      </c>
      <c r="BR3236" t="str">
        <v/>
      </c>
    </row>
    <row r="3237" spans="47:70" x14ac:dyDescent="0.2">
      <c r="AU3237"/>
      <c r="AV3237"/>
      <c r="AW3237"/>
      <c r="AX3237"/>
      <c r="AY3237"/>
      <c r="BK3237" s="42">
        <v>3236</v>
      </c>
      <c r="BL3237" s="127">
        <v>4</v>
      </c>
      <c r="BM3237" s="127">
        <v>0.11332468572476186</v>
      </c>
      <c r="BN3237" s="127" t="e">
        <v>#N/A</v>
      </c>
      <c r="BO3237" s="127" t="e">
        <v>#N/A</v>
      </c>
      <c r="BP3237" s="151" t="e">
        <v>#N/A</v>
      </c>
      <c r="BQ3237">
        <v>0.11332468572476186</v>
      </c>
      <c r="BR3237" t="str">
        <v/>
      </c>
    </row>
    <row r="3238" spans="47:70" x14ac:dyDescent="0.2">
      <c r="AU3238"/>
      <c r="AV3238"/>
      <c r="AW3238"/>
      <c r="AX3238"/>
      <c r="AY3238"/>
      <c r="BK3238" s="42">
        <v>3237</v>
      </c>
      <c r="BL3238" s="127">
        <v>4</v>
      </c>
      <c r="BM3238" s="127">
        <v>0.11332468572476186</v>
      </c>
      <c r="BN3238" s="127" t="e">
        <v>#N/A</v>
      </c>
      <c r="BO3238" s="127" t="e">
        <v>#N/A</v>
      </c>
      <c r="BP3238" s="151" t="e">
        <v>#N/A</v>
      </c>
      <c r="BQ3238">
        <v>0.11332468572476186</v>
      </c>
      <c r="BR3238" t="str">
        <v/>
      </c>
    </row>
    <row r="3239" spans="47:70" x14ac:dyDescent="0.2">
      <c r="AU3239"/>
      <c r="AV3239"/>
      <c r="AW3239"/>
      <c r="AX3239"/>
      <c r="AY3239"/>
      <c r="BK3239" s="42">
        <v>3238</v>
      </c>
      <c r="BL3239" s="127">
        <v>4</v>
      </c>
      <c r="BM3239" s="127">
        <v>0.11332468572476186</v>
      </c>
      <c r="BN3239" s="127" t="e">
        <v>#N/A</v>
      </c>
      <c r="BO3239" s="127" t="e">
        <v>#N/A</v>
      </c>
      <c r="BP3239" s="151" t="e">
        <v>#N/A</v>
      </c>
      <c r="BQ3239">
        <v>0.11332468572476186</v>
      </c>
      <c r="BR3239" t="str">
        <v/>
      </c>
    </row>
    <row r="3240" spans="47:70" x14ac:dyDescent="0.2">
      <c r="AU3240"/>
      <c r="AV3240"/>
      <c r="AW3240"/>
      <c r="AX3240"/>
      <c r="AY3240"/>
      <c r="BK3240" s="42">
        <v>3239</v>
      </c>
      <c r="BL3240" s="127">
        <v>4</v>
      </c>
      <c r="BM3240" s="127">
        <v>0.11332468572476186</v>
      </c>
      <c r="BN3240" s="127" t="e">
        <v>#N/A</v>
      </c>
      <c r="BO3240" s="127" t="e">
        <v>#N/A</v>
      </c>
      <c r="BP3240" s="151" t="e">
        <v>#N/A</v>
      </c>
      <c r="BQ3240">
        <v>0.11332468572476186</v>
      </c>
      <c r="BR3240" t="str">
        <v/>
      </c>
    </row>
    <row r="3241" spans="47:70" x14ac:dyDescent="0.2">
      <c r="AU3241"/>
      <c r="AV3241"/>
      <c r="AW3241"/>
      <c r="AX3241"/>
      <c r="AY3241"/>
      <c r="BK3241" s="42">
        <v>3240</v>
      </c>
      <c r="BL3241" s="127">
        <v>4</v>
      </c>
      <c r="BM3241" s="127">
        <v>0.11332468572476186</v>
      </c>
      <c r="BN3241" s="127" t="e">
        <v>#N/A</v>
      </c>
      <c r="BO3241" s="127" t="e">
        <v>#N/A</v>
      </c>
      <c r="BP3241" s="151" t="e">
        <v>#N/A</v>
      </c>
      <c r="BQ3241">
        <v>0.11332468572476186</v>
      </c>
      <c r="BR3241" t="str">
        <v/>
      </c>
    </row>
    <row r="3242" spans="47:70" x14ac:dyDescent="0.2">
      <c r="AU3242"/>
      <c r="AV3242"/>
      <c r="AW3242"/>
      <c r="AX3242"/>
      <c r="AY3242"/>
      <c r="BK3242" s="42">
        <v>3241</v>
      </c>
      <c r="BL3242" s="127">
        <v>4</v>
      </c>
      <c r="BM3242" s="127">
        <v>0.11332468572476186</v>
      </c>
      <c r="BN3242" s="127" t="e">
        <v>#N/A</v>
      </c>
      <c r="BO3242" s="127" t="e">
        <v>#N/A</v>
      </c>
      <c r="BP3242" s="151" t="e">
        <v>#N/A</v>
      </c>
      <c r="BQ3242">
        <v>0.11332468572476186</v>
      </c>
      <c r="BR3242" t="str">
        <v/>
      </c>
    </row>
    <row r="3243" spans="47:70" x14ac:dyDescent="0.2">
      <c r="AU3243"/>
      <c r="AV3243"/>
      <c r="AW3243"/>
      <c r="AX3243"/>
      <c r="AY3243"/>
      <c r="BK3243" s="42">
        <v>3242</v>
      </c>
      <c r="BL3243" s="127">
        <v>4</v>
      </c>
      <c r="BM3243" s="127">
        <v>0.11332468572476186</v>
      </c>
      <c r="BN3243" s="127" t="e">
        <v>#N/A</v>
      </c>
      <c r="BO3243" s="127" t="e">
        <v>#N/A</v>
      </c>
      <c r="BP3243" s="151" t="e">
        <v>#N/A</v>
      </c>
      <c r="BQ3243">
        <v>0.11332468572476186</v>
      </c>
      <c r="BR3243" t="str">
        <v/>
      </c>
    </row>
    <row r="3244" spans="47:70" x14ac:dyDescent="0.2">
      <c r="AU3244"/>
      <c r="AV3244"/>
      <c r="AW3244"/>
      <c r="AX3244"/>
      <c r="AY3244"/>
      <c r="BK3244" s="42">
        <v>3243</v>
      </c>
      <c r="BL3244" s="127">
        <v>4</v>
      </c>
      <c r="BM3244" s="127">
        <v>0.11332468572476186</v>
      </c>
      <c r="BN3244" s="127" t="e">
        <v>#N/A</v>
      </c>
      <c r="BO3244" s="127" t="e">
        <v>#N/A</v>
      </c>
      <c r="BP3244" s="151" t="e">
        <v>#N/A</v>
      </c>
      <c r="BQ3244">
        <v>0.11332468572476186</v>
      </c>
      <c r="BR3244" t="str">
        <v/>
      </c>
    </row>
    <row r="3245" spans="47:70" x14ac:dyDescent="0.2">
      <c r="AU3245"/>
      <c r="AV3245"/>
      <c r="AW3245"/>
      <c r="AX3245"/>
      <c r="AY3245"/>
      <c r="BK3245" s="42">
        <v>3244</v>
      </c>
      <c r="BL3245" s="127">
        <v>4</v>
      </c>
      <c r="BM3245" s="127">
        <v>0.11332468572476186</v>
      </c>
      <c r="BN3245" s="127" t="e">
        <v>#N/A</v>
      </c>
      <c r="BO3245" s="127" t="e">
        <v>#N/A</v>
      </c>
      <c r="BP3245" s="151" t="e">
        <v>#N/A</v>
      </c>
      <c r="BQ3245">
        <v>0.11332468572476186</v>
      </c>
      <c r="BR3245" t="str">
        <v/>
      </c>
    </row>
    <row r="3246" spans="47:70" x14ac:dyDescent="0.2">
      <c r="AU3246"/>
      <c r="AV3246"/>
      <c r="AW3246"/>
      <c r="AX3246"/>
      <c r="AY3246"/>
      <c r="BK3246" s="42">
        <v>3245</v>
      </c>
      <c r="BL3246" s="127">
        <v>4</v>
      </c>
      <c r="BM3246" s="127">
        <v>0.11332468572476186</v>
      </c>
      <c r="BN3246" s="127" t="e">
        <v>#N/A</v>
      </c>
      <c r="BO3246" s="127" t="e">
        <v>#N/A</v>
      </c>
      <c r="BP3246" s="151" t="e">
        <v>#N/A</v>
      </c>
      <c r="BQ3246">
        <v>0.11332468572476186</v>
      </c>
      <c r="BR3246" t="str">
        <v/>
      </c>
    </row>
    <row r="3247" spans="47:70" x14ac:dyDescent="0.2">
      <c r="AU3247"/>
      <c r="AV3247"/>
      <c r="AW3247"/>
      <c r="AX3247"/>
      <c r="AY3247"/>
      <c r="BK3247" s="42">
        <v>3246</v>
      </c>
      <c r="BL3247" s="127">
        <v>4</v>
      </c>
      <c r="BM3247" s="127">
        <v>0.11332468572476186</v>
      </c>
      <c r="BN3247" s="127" t="e">
        <v>#N/A</v>
      </c>
      <c r="BO3247" s="127" t="e">
        <v>#N/A</v>
      </c>
      <c r="BP3247" s="151" t="e">
        <v>#N/A</v>
      </c>
      <c r="BQ3247">
        <v>0.11332468572476186</v>
      </c>
      <c r="BR3247" t="str">
        <v/>
      </c>
    </row>
    <row r="3248" spans="47:70" x14ac:dyDescent="0.2">
      <c r="AU3248"/>
      <c r="AV3248"/>
      <c r="AW3248"/>
      <c r="AX3248"/>
      <c r="AY3248"/>
      <c r="BK3248" s="42">
        <v>3247</v>
      </c>
      <c r="BL3248" s="127">
        <v>4</v>
      </c>
      <c r="BM3248" s="127">
        <v>0.11332468572476186</v>
      </c>
      <c r="BN3248" s="127" t="e">
        <v>#N/A</v>
      </c>
      <c r="BO3248" s="127" t="e">
        <v>#N/A</v>
      </c>
      <c r="BP3248" s="151" t="e">
        <v>#N/A</v>
      </c>
      <c r="BQ3248">
        <v>0.11332468572476186</v>
      </c>
      <c r="BR3248" t="str">
        <v/>
      </c>
    </row>
    <row r="3249" spans="47:70" x14ac:dyDescent="0.2">
      <c r="AU3249"/>
      <c r="AV3249"/>
      <c r="AW3249"/>
      <c r="AX3249"/>
      <c r="AY3249"/>
      <c r="BK3249" s="42">
        <v>3248</v>
      </c>
      <c r="BL3249" s="127">
        <v>4</v>
      </c>
      <c r="BM3249" s="127">
        <v>0.11332468572476186</v>
      </c>
      <c r="BN3249" s="127" t="e">
        <v>#N/A</v>
      </c>
      <c r="BO3249" s="127" t="e">
        <v>#N/A</v>
      </c>
      <c r="BP3249" s="151" t="e">
        <v>#N/A</v>
      </c>
      <c r="BQ3249">
        <v>0.11332468572476186</v>
      </c>
      <c r="BR3249" t="str">
        <v/>
      </c>
    </row>
    <row r="3250" spans="47:70" x14ac:dyDescent="0.2">
      <c r="AU3250"/>
      <c r="AV3250"/>
      <c r="AW3250"/>
      <c r="AX3250"/>
      <c r="AY3250"/>
      <c r="BK3250" s="42">
        <v>3249</v>
      </c>
      <c r="BL3250" s="127">
        <v>4</v>
      </c>
      <c r="BM3250" s="127">
        <v>0.11332468572476186</v>
      </c>
      <c r="BN3250" s="127" t="e">
        <v>#N/A</v>
      </c>
      <c r="BO3250" s="127" t="e">
        <v>#N/A</v>
      </c>
      <c r="BP3250" s="151" t="e">
        <v>#N/A</v>
      </c>
      <c r="BQ3250">
        <v>0.11332468572476186</v>
      </c>
      <c r="BR3250" t="str">
        <v/>
      </c>
    </row>
    <row r="3251" spans="47:70" x14ac:dyDescent="0.2">
      <c r="AU3251"/>
      <c r="AV3251"/>
      <c r="AW3251"/>
      <c r="AX3251"/>
      <c r="AY3251"/>
      <c r="BK3251" s="42">
        <v>3250</v>
      </c>
      <c r="BL3251" s="127">
        <v>4</v>
      </c>
      <c r="BM3251" s="127">
        <v>0.11332468572476186</v>
      </c>
      <c r="BN3251" s="127" t="e">
        <v>#N/A</v>
      </c>
      <c r="BO3251" s="127" t="e">
        <v>#N/A</v>
      </c>
      <c r="BP3251" s="151" t="e">
        <v>#N/A</v>
      </c>
      <c r="BQ3251">
        <v>0.11332468572476186</v>
      </c>
      <c r="BR3251" t="str">
        <v/>
      </c>
    </row>
    <row r="3252" spans="47:70" x14ac:dyDescent="0.2">
      <c r="AU3252"/>
      <c r="AV3252"/>
      <c r="AW3252"/>
      <c r="AX3252"/>
      <c r="AY3252"/>
      <c r="BK3252" s="42">
        <v>3251</v>
      </c>
      <c r="BL3252" s="127">
        <v>4</v>
      </c>
      <c r="BM3252" s="127">
        <v>0.11332468572476186</v>
      </c>
      <c r="BN3252" s="127" t="e">
        <v>#N/A</v>
      </c>
      <c r="BO3252" s="127" t="e">
        <v>#N/A</v>
      </c>
      <c r="BP3252" s="151" t="e">
        <v>#N/A</v>
      </c>
      <c r="BQ3252">
        <v>0.11332468572476186</v>
      </c>
      <c r="BR3252" t="str">
        <v/>
      </c>
    </row>
    <row r="3253" spans="47:70" x14ac:dyDescent="0.2">
      <c r="AU3253"/>
      <c r="AV3253"/>
      <c r="AW3253"/>
      <c r="AX3253"/>
      <c r="AY3253"/>
      <c r="BK3253" s="42">
        <v>3252</v>
      </c>
      <c r="BL3253" s="127">
        <v>4</v>
      </c>
      <c r="BM3253" s="127">
        <v>0.11332468572476186</v>
      </c>
      <c r="BN3253" s="127" t="e">
        <v>#N/A</v>
      </c>
      <c r="BO3253" s="127" t="e">
        <v>#N/A</v>
      </c>
      <c r="BP3253" s="151" t="e">
        <v>#N/A</v>
      </c>
      <c r="BQ3253">
        <v>0.11332468572476186</v>
      </c>
      <c r="BR3253" t="str">
        <v/>
      </c>
    </row>
    <row r="3254" spans="47:70" x14ac:dyDescent="0.2">
      <c r="AU3254"/>
      <c r="AV3254"/>
      <c r="AW3254"/>
      <c r="AX3254"/>
      <c r="AY3254"/>
      <c r="BK3254" s="42">
        <v>3253</v>
      </c>
      <c r="BL3254" s="127">
        <v>4</v>
      </c>
      <c r="BM3254" s="127">
        <v>0.11332468572476186</v>
      </c>
      <c r="BN3254" s="127" t="e">
        <v>#N/A</v>
      </c>
      <c r="BO3254" s="127" t="e">
        <v>#N/A</v>
      </c>
      <c r="BP3254" s="151" t="e">
        <v>#N/A</v>
      </c>
      <c r="BQ3254">
        <v>0.11332468572476186</v>
      </c>
      <c r="BR3254" t="str">
        <v/>
      </c>
    </row>
    <row r="3255" spans="47:70" x14ac:dyDescent="0.2">
      <c r="AU3255"/>
      <c r="AV3255"/>
      <c r="AW3255"/>
      <c r="AX3255"/>
      <c r="AY3255"/>
      <c r="BK3255" s="42">
        <v>3254</v>
      </c>
      <c r="BL3255" s="127">
        <v>4</v>
      </c>
      <c r="BM3255" s="127">
        <v>0.11332468572476186</v>
      </c>
      <c r="BN3255" s="127" t="e">
        <v>#N/A</v>
      </c>
      <c r="BO3255" s="127" t="e">
        <v>#N/A</v>
      </c>
      <c r="BP3255" s="151" t="e">
        <v>#N/A</v>
      </c>
      <c r="BQ3255">
        <v>0.11332468572476186</v>
      </c>
      <c r="BR3255" t="str">
        <v/>
      </c>
    </row>
    <row r="3256" spans="47:70" x14ac:dyDescent="0.2">
      <c r="AU3256"/>
      <c r="AV3256"/>
      <c r="AW3256"/>
      <c r="AX3256"/>
      <c r="AY3256"/>
      <c r="BK3256" s="42">
        <v>3255</v>
      </c>
      <c r="BL3256" s="127">
        <v>4</v>
      </c>
      <c r="BM3256" s="127">
        <v>0.11332468572476186</v>
      </c>
      <c r="BN3256" s="127" t="e">
        <v>#N/A</v>
      </c>
      <c r="BO3256" s="127" t="e">
        <v>#N/A</v>
      </c>
      <c r="BP3256" s="151" t="e">
        <v>#N/A</v>
      </c>
      <c r="BQ3256">
        <v>0.11332468572476186</v>
      </c>
      <c r="BR3256" t="str">
        <v/>
      </c>
    </row>
    <row r="3257" spans="47:70" x14ac:dyDescent="0.2">
      <c r="AU3257"/>
      <c r="AV3257"/>
      <c r="AW3257"/>
      <c r="AX3257"/>
      <c r="AY3257"/>
      <c r="BK3257" s="42">
        <v>3256</v>
      </c>
      <c r="BL3257" s="127">
        <v>4</v>
      </c>
      <c r="BM3257" s="127">
        <v>0.11332468572476186</v>
      </c>
      <c r="BN3257" s="127" t="e">
        <v>#N/A</v>
      </c>
      <c r="BO3257" s="127" t="e">
        <v>#N/A</v>
      </c>
      <c r="BP3257" s="151" t="e">
        <v>#N/A</v>
      </c>
      <c r="BQ3257">
        <v>0.11332468572476186</v>
      </c>
      <c r="BR3257" t="str">
        <v/>
      </c>
    </row>
    <row r="3258" spans="47:70" x14ac:dyDescent="0.2">
      <c r="AU3258"/>
      <c r="AV3258"/>
      <c r="AW3258"/>
      <c r="AX3258"/>
      <c r="AY3258"/>
      <c r="BK3258" s="42">
        <v>3257</v>
      </c>
      <c r="BL3258" s="127">
        <v>4</v>
      </c>
      <c r="BM3258" s="127">
        <v>0.11332468572476186</v>
      </c>
      <c r="BN3258" s="127" t="e">
        <v>#N/A</v>
      </c>
      <c r="BO3258" s="127" t="e">
        <v>#N/A</v>
      </c>
      <c r="BP3258" s="151" t="e">
        <v>#N/A</v>
      </c>
      <c r="BQ3258">
        <v>0.11332468572476186</v>
      </c>
      <c r="BR3258" t="str">
        <v/>
      </c>
    </row>
    <row r="3259" spans="47:70" x14ac:dyDescent="0.2">
      <c r="AU3259"/>
      <c r="AV3259"/>
      <c r="AW3259"/>
      <c r="AX3259"/>
      <c r="AY3259"/>
      <c r="BK3259" s="42">
        <v>3258</v>
      </c>
      <c r="BL3259" s="127">
        <v>4</v>
      </c>
      <c r="BM3259" s="127">
        <v>0.11332468572476186</v>
      </c>
      <c r="BN3259" s="127" t="e">
        <v>#N/A</v>
      </c>
      <c r="BO3259" s="127" t="e">
        <v>#N/A</v>
      </c>
      <c r="BP3259" s="151" t="e">
        <v>#N/A</v>
      </c>
      <c r="BQ3259">
        <v>0.11332468572476186</v>
      </c>
      <c r="BR3259" t="str">
        <v/>
      </c>
    </row>
    <row r="3260" spans="47:70" x14ac:dyDescent="0.2">
      <c r="AU3260"/>
      <c r="AV3260"/>
      <c r="AW3260"/>
      <c r="AX3260"/>
      <c r="AY3260"/>
      <c r="BK3260" s="42">
        <v>3259</v>
      </c>
      <c r="BL3260" s="127">
        <v>4</v>
      </c>
      <c r="BM3260" s="127">
        <v>0.11332468572476186</v>
      </c>
      <c r="BN3260" s="127" t="e">
        <v>#N/A</v>
      </c>
      <c r="BO3260" s="127" t="e">
        <v>#N/A</v>
      </c>
      <c r="BP3260" s="151" t="e">
        <v>#N/A</v>
      </c>
      <c r="BQ3260">
        <v>0.11332468572476186</v>
      </c>
      <c r="BR3260" t="str">
        <v/>
      </c>
    </row>
    <row r="3261" spans="47:70" x14ac:dyDescent="0.2">
      <c r="AU3261"/>
      <c r="AV3261"/>
      <c r="AW3261"/>
      <c r="AX3261"/>
      <c r="AY3261"/>
      <c r="BK3261" s="42">
        <v>3260</v>
      </c>
      <c r="BL3261" s="127">
        <v>4</v>
      </c>
      <c r="BM3261" s="127">
        <v>0.11332468572476186</v>
      </c>
      <c r="BN3261" s="127" t="e">
        <v>#N/A</v>
      </c>
      <c r="BO3261" s="127" t="e">
        <v>#N/A</v>
      </c>
      <c r="BP3261" s="151" t="e">
        <v>#N/A</v>
      </c>
      <c r="BQ3261">
        <v>0.11332468572476186</v>
      </c>
      <c r="BR3261" t="str">
        <v/>
      </c>
    </row>
    <row r="3262" spans="47:70" x14ac:dyDescent="0.2">
      <c r="AU3262"/>
      <c r="AV3262"/>
      <c r="AW3262"/>
      <c r="AX3262"/>
      <c r="AY3262"/>
      <c r="BK3262" s="42">
        <v>3261</v>
      </c>
      <c r="BL3262" s="127">
        <v>4</v>
      </c>
      <c r="BM3262" s="127">
        <v>0.11332468572476186</v>
      </c>
      <c r="BN3262" s="127" t="e">
        <v>#N/A</v>
      </c>
      <c r="BO3262" s="127" t="e">
        <v>#N/A</v>
      </c>
      <c r="BP3262" s="151" t="e">
        <v>#N/A</v>
      </c>
      <c r="BQ3262">
        <v>0.11332468572476186</v>
      </c>
      <c r="BR3262" t="str">
        <v/>
      </c>
    </row>
    <row r="3263" spans="47:70" x14ac:dyDescent="0.2">
      <c r="AU3263"/>
      <c r="AV3263"/>
      <c r="AW3263"/>
      <c r="AX3263"/>
      <c r="AY3263"/>
      <c r="BK3263" s="42">
        <v>3262</v>
      </c>
      <c r="BL3263" s="127">
        <v>4</v>
      </c>
      <c r="BM3263" s="127">
        <v>0.11332468572476186</v>
      </c>
      <c r="BN3263" s="127" t="e">
        <v>#N/A</v>
      </c>
      <c r="BO3263" s="127" t="e">
        <v>#N/A</v>
      </c>
      <c r="BP3263" s="151" t="e">
        <v>#N/A</v>
      </c>
      <c r="BQ3263">
        <v>0.11332468572476186</v>
      </c>
      <c r="BR3263" t="str">
        <v/>
      </c>
    </row>
    <row r="3264" spans="47:70" x14ac:dyDescent="0.2">
      <c r="AU3264"/>
      <c r="AV3264"/>
      <c r="AW3264"/>
      <c r="AX3264"/>
      <c r="AY3264"/>
      <c r="BK3264" s="42">
        <v>3263</v>
      </c>
      <c r="BL3264" s="127">
        <v>4</v>
      </c>
      <c r="BM3264" s="127">
        <v>0.11332468572476186</v>
      </c>
      <c r="BN3264" s="127" t="e">
        <v>#N/A</v>
      </c>
      <c r="BO3264" s="127" t="e">
        <v>#N/A</v>
      </c>
      <c r="BP3264" s="151" t="e">
        <v>#N/A</v>
      </c>
      <c r="BQ3264">
        <v>0.11332468572476186</v>
      </c>
      <c r="BR3264" t="str">
        <v/>
      </c>
    </row>
    <row r="3265" spans="47:70" x14ac:dyDescent="0.2">
      <c r="AU3265"/>
      <c r="AV3265"/>
      <c r="AW3265"/>
      <c r="AX3265"/>
      <c r="AY3265"/>
      <c r="BK3265" s="42">
        <v>3264</v>
      </c>
      <c r="BL3265" s="127">
        <v>4</v>
      </c>
      <c r="BM3265" s="127">
        <v>0.11332468572476186</v>
      </c>
      <c r="BN3265" s="127" t="e">
        <v>#N/A</v>
      </c>
      <c r="BO3265" s="127" t="e">
        <v>#N/A</v>
      </c>
      <c r="BP3265" s="151" t="e">
        <v>#N/A</v>
      </c>
      <c r="BQ3265">
        <v>0.11332468572476186</v>
      </c>
      <c r="BR3265" t="str">
        <v/>
      </c>
    </row>
    <row r="3266" spans="47:70" x14ac:dyDescent="0.2">
      <c r="AU3266"/>
      <c r="AV3266"/>
      <c r="AW3266"/>
      <c r="AX3266"/>
      <c r="AY3266"/>
      <c r="BK3266" s="42">
        <v>3265</v>
      </c>
      <c r="BL3266" s="127">
        <v>4</v>
      </c>
      <c r="BM3266" s="127">
        <v>0.11332468572476186</v>
      </c>
      <c r="BN3266" s="127" t="e">
        <v>#N/A</v>
      </c>
      <c r="BO3266" s="127" t="e">
        <v>#N/A</v>
      </c>
      <c r="BP3266" s="151" t="e">
        <v>#N/A</v>
      </c>
      <c r="BQ3266">
        <v>0.11332468572476186</v>
      </c>
      <c r="BR3266" t="str">
        <v/>
      </c>
    </row>
    <row r="3267" spans="47:70" x14ac:dyDescent="0.2">
      <c r="AU3267"/>
      <c r="AV3267"/>
      <c r="AW3267"/>
      <c r="AX3267"/>
      <c r="AY3267"/>
      <c r="BK3267" s="42">
        <v>3266</v>
      </c>
      <c r="BL3267" s="127">
        <v>4</v>
      </c>
      <c r="BM3267" s="127">
        <v>0.11332468572476186</v>
      </c>
      <c r="BN3267" s="127" t="e">
        <v>#N/A</v>
      </c>
      <c r="BO3267" s="127" t="e">
        <v>#N/A</v>
      </c>
      <c r="BP3267" s="151" t="e">
        <v>#N/A</v>
      </c>
      <c r="BQ3267">
        <v>0.11332468572476186</v>
      </c>
      <c r="BR3267" t="str">
        <v/>
      </c>
    </row>
    <row r="3268" spans="47:70" x14ac:dyDescent="0.2">
      <c r="AU3268"/>
      <c r="AV3268"/>
      <c r="AW3268"/>
      <c r="AX3268"/>
      <c r="AY3268"/>
      <c r="BK3268" s="42">
        <v>3267</v>
      </c>
      <c r="BL3268" s="127">
        <v>4</v>
      </c>
      <c r="BM3268" s="127">
        <v>0.11332468572476186</v>
      </c>
      <c r="BN3268" s="127" t="e">
        <v>#N/A</v>
      </c>
      <c r="BO3268" s="127" t="e">
        <v>#N/A</v>
      </c>
      <c r="BP3268" s="151" t="e">
        <v>#N/A</v>
      </c>
      <c r="BQ3268">
        <v>0.11332468572476186</v>
      </c>
      <c r="BR3268" t="str">
        <v/>
      </c>
    </row>
    <row r="3269" spans="47:70" x14ac:dyDescent="0.2">
      <c r="AU3269"/>
      <c r="AV3269"/>
      <c r="AW3269"/>
      <c r="AX3269"/>
      <c r="AY3269"/>
      <c r="BK3269" s="42">
        <v>3268</v>
      </c>
      <c r="BL3269" s="127">
        <v>4</v>
      </c>
      <c r="BM3269" s="127">
        <v>0.11332468572476186</v>
      </c>
      <c r="BN3269" s="127" t="e">
        <v>#N/A</v>
      </c>
      <c r="BO3269" s="127" t="e">
        <v>#N/A</v>
      </c>
      <c r="BP3269" s="151" t="e">
        <v>#N/A</v>
      </c>
      <c r="BQ3269">
        <v>0.11332468572476186</v>
      </c>
      <c r="BR3269" t="str">
        <v/>
      </c>
    </row>
    <row r="3270" spans="47:70" x14ac:dyDescent="0.2">
      <c r="AU3270"/>
      <c r="AV3270"/>
      <c r="AW3270"/>
      <c r="AX3270"/>
      <c r="AY3270"/>
      <c r="BK3270" s="42">
        <v>3269</v>
      </c>
      <c r="BL3270" s="127">
        <v>4</v>
      </c>
      <c r="BM3270" s="127">
        <v>0.11332468572476186</v>
      </c>
      <c r="BN3270" s="127" t="e">
        <v>#N/A</v>
      </c>
      <c r="BO3270" s="127" t="e">
        <v>#N/A</v>
      </c>
      <c r="BP3270" s="151" t="e">
        <v>#N/A</v>
      </c>
      <c r="BQ3270">
        <v>0.11332468572476186</v>
      </c>
      <c r="BR3270" t="str">
        <v/>
      </c>
    </row>
    <row r="3271" spans="47:70" x14ac:dyDescent="0.2">
      <c r="AU3271"/>
      <c r="AV3271"/>
      <c r="AW3271"/>
      <c r="AX3271"/>
      <c r="AY3271"/>
      <c r="BK3271" s="42">
        <v>3270</v>
      </c>
      <c r="BL3271" s="127">
        <v>4</v>
      </c>
      <c r="BM3271" s="127">
        <v>0.11332468572476186</v>
      </c>
      <c r="BN3271" s="127" t="e">
        <v>#N/A</v>
      </c>
      <c r="BO3271" s="127" t="e">
        <v>#N/A</v>
      </c>
      <c r="BP3271" s="151" t="e">
        <v>#N/A</v>
      </c>
      <c r="BQ3271">
        <v>0.11332468572476186</v>
      </c>
      <c r="BR3271" t="str">
        <v/>
      </c>
    </row>
    <row r="3272" spans="47:70" x14ac:dyDescent="0.2">
      <c r="AU3272"/>
      <c r="AV3272"/>
      <c r="AW3272"/>
      <c r="AX3272"/>
      <c r="AY3272"/>
      <c r="BK3272" s="42">
        <v>3271</v>
      </c>
      <c r="BL3272" s="127">
        <v>4</v>
      </c>
      <c r="BM3272" s="127">
        <v>0.11332468572476186</v>
      </c>
      <c r="BN3272" s="127" t="e">
        <v>#N/A</v>
      </c>
      <c r="BO3272" s="127" t="e">
        <v>#N/A</v>
      </c>
      <c r="BP3272" s="151" t="e">
        <v>#N/A</v>
      </c>
      <c r="BQ3272">
        <v>0.11332468572476186</v>
      </c>
      <c r="BR3272" t="str">
        <v/>
      </c>
    </row>
    <row r="3273" spans="47:70" x14ac:dyDescent="0.2">
      <c r="AU3273"/>
      <c r="AV3273"/>
      <c r="AW3273"/>
      <c r="AX3273"/>
      <c r="AY3273"/>
      <c r="BK3273" s="42">
        <v>3272</v>
      </c>
      <c r="BL3273" s="127">
        <v>4</v>
      </c>
      <c r="BM3273" s="127">
        <v>0.11332468572476186</v>
      </c>
      <c r="BN3273" s="127" t="e">
        <v>#N/A</v>
      </c>
      <c r="BO3273" s="127" t="e">
        <v>#N/A</v>
      </c>
      <c r="BP3273" s="151" t="e">
        <v>#N/A</v>
      </c>
      <c r="BQ3273">
        <v>0.11332468572476186</v>
      </c>
      <c r="BR3273" t="str">
        <v/>
      </c>
    </row>
    <row r="3274" spans="47:70" x14ac:dyDescent="0.2">
      <c r="AU3274"/>
      <c r="AV3274"/>
      <c r="AW3274"/>
      <c r="AX3274"/>
      <c r="AY3274"/>
      <c r="BK3274" s="42">
        <v>3273</v>
      </c>
      <c r="BL3274" s="127">
        <v>4</v>
      </c>
      <c r="BM3274" s="127">
        <v>0.11332468572476186</v>
      </c>
      <c r="BN3274" s="127" t="e">
        <v>#N/A</v>
      </c>
      <c r="BO3274" s="127" t="e">
        <v>#N/A</v>
      </c>
      <c r="BP3274" s="151" t="e">
        <v>#N/A</v>
      </c>
      <c r="BQ3274">
        <v>0.11332468572476186</v>
      </c>
      <c r="BR3274" t="str">
        <v/>
      </c>
    </row>
    <row r="3275" spans="47:70" x14ac:dyDescent="0.2">
      <c r="AU3275"/>
      <c r="AV3275"/>
      <c r="AW3275"/>
      <c r="AX3275"/>
      <c r="AY3275"/>
      <c r="BK3275" s="42">
        <v>3274</v>
      </c>
      <c r="BL3275" s="127">
        <v>4</v>
      </c>
      <c r="BM3275" s="127">
        <v>0.11332468572476186</v>
      </c>
      <c r="BN3275" s="127" t="e">
        <v>#N/A</v>
      </c>
      <c r="BO3275" s="127" t="e">
        <v>#N/A</v>
      </c>
      <c r="BP3275" s="151" t="e">
        <v>#N/A</v>
      </c>
      <c r="BQ3275">
        <v>0.11332468572476186</v>
      </c>
      <c r="BR3275" t="str">
        <v/>
      </c>
    </row>
    <row r="3276" spans="47:70" x14ac:dyDescent="0.2">
      <c r="AU3276"/>
      <c r="AV3276"/>
      <c r="AW3276"/>
      <c r="AX3276"/>
      <c r="AY3276"/>
      <c r="BK3276" s="42">
        <v>3275</v>
      </c>
      <c r="BL3276" s="127">
        <v>4</v>
      </c>
      <c r="BM3276" s="127">
        <v>0.11332468572476186</v>
      </c>
      <c r="BN3276" s="127" t="e">
        <v>#N/A</v>
      </c>
      <c r="BO3276" s="127" t="e">
        <v>#N/A</v>
      </c>
      <c r="BP3276" s="151" t="e">
        <v>#N/A</v>
      </c>
      <c r="BQ3276">
        <v>0.11332468572476186</v>
      </c>
      <c r="BR3276" t="str">
        <v/>
      </c>
    </row>
    <row r="3277" spans="47:70" x14ac:dyDescent="0.2">
      <c r="AU3277"/>
      <c r="AV3277"/>
      <c r="AW3277"/>
      <c r="AX3277"/>
      <c r="AY3277"/>
      <c r="BK3277" s="42">
        <v>3276</v>
      </c>
      <c r="BL3277" s="127">
        <v>4</v>
      </c>
      <c r="BM3277" s="127">
        <v>0.11332468572476186</v>
      </c>
      <c r="BN3277" s="127" t="e">
        <v>#N/A</v>
      </c>
      <c r="BO3277" s="127" t="e">
        <v>#N/A</v>
      </c>
      <c r="BP3277" s="151" t="e">
        <v>#N/A</v>
      </c>
      <c r="BQ3277">
        <v>0.11332468572476186</v>
      </c>
      <c r="BR3277" t="str">
        <v/>
      </c>
    </row>
    <row r="3278" spans="47:70" x14ac:dyDescent="0.2">
      <c r="AU3278"/>
      <c r="AV3278"/>
      <c r="AW3278"/>
      <c r="AX3278"/>
      <c r="AY3278"/>
      <c r="BK3278" s="42">
        <v>3277</v>
      </c>
      <c r="BL3278" s="127">
        <v>4</v>
      </c>
      <c r="BM3278" s="127">
        <v>0.11332468572476186</v>
      </c>
      <c r="BN3278" s="127" t="e">
        <v>#N/A</v>
      </c>
      <c r="BO3278" s="127" t="e">
        <v>#N/A</v>
      </c>
      <c r="BP3278" s="151" t="e">
        <v>#N/A</v>
      </c>
      <c r="BQ3278">
        <v>0.11332468572476186</v>
      </c>
      <c r="BR3278" t="str">
        <v/>
      </c>
    </row>
    <row r="3279" spans="47:70" x14ac:dyDescent="0.2">
      <c r="AU3279"/>
      <c r="AV3279"/>
      <c r="AW3279"/>
      <c r="AX3279"/>
      <c r="AY3279"/>
      <c r="BK3279" s="42">
        <v>3278</v>
      </c>
      <c r="BL3279" s="127">
        <v>4</v>
      </c>
      <c r="BM3279" s="127">
        <v>0.11332468572476186</v>
      </c>
      <c r="BN3279" s="127" t="e">
        <v>#N/A</v>
      </c>
      <c r="BO3279" s="127" t="e">
        <v>#N/A</v>
      </c>
      <c r="BP3279" s="151" t="e">
        <v>#N/A</v>
      </c>
      <c r="BQ3279">
        <v>0.11332468572476186</v>
      </c>
      <c r="BR3279" t="str">
        <v/>
      </c>
    </row>
    <row r="3280" spans="47:70" x14ac:dyDescent="0.2">
      <c r="AU3280"/>
      <c r="AV3280"/>
      <c r="AW3280"/>
      <c r="AX3280"/>
      <c r="AY3280"/>
      <c r="BK3280" s="42">
        <v>3279</v>
      </c>
      <c r="BL3280" s="127">
        <v>4</v>
      </c>
      <c r="BM3280" s="127">
        <v>0.11332468572476186</v>
      </c>
      <c r="BN3280" s="127" t="e">
        <v>#N/A</v>
      </c>
      <c r="BO3280" s="127" t="e">
        <v>#N/A</v>
      </c>
      <c r="BP3280" s="151" t="e">
        <v>#N/A</v>
      </c>
      <c r="BQ3280">
        <v>0.11332468572476186</v>
      </c>
      <c r="BR3280" t="str">
        <v/>
      </c>
    </row>
    <row r="3281" spans="47:70" x14ac:dyDescent="0.2">
      <c r="AU3281"/>
      <c r="AV3281"/>
      <c r="AW3281"/>
      <c r="AX3281"/>
      <c r="AY3281"/>
      <c r="BK3281" s="42">
        <v>3280</v>
      </c>
      <c r="BL3281" s="127">
        <v>4</v>
      </c>
      <c r="BM3281" s="127">
        <v>0.11332468572476186</v>
      </c>
      <c r="BN3281" s="127" t="e">
        <v>#N/A</v>
      </c>
      <c r="BO3281" s="127" t="e">
        <v>#N/A</v>
      </c>
      <c r="BP3281" s="151" t="e">
        <v>#N/A</v>
      </c>
      <c r="BQ3281">
        <v>0.11332468572476186</v>
      </c>
      <c r="BR3281" t="str">
        <v/>
      </c>
    </row>
    <row r="3282" spans="47:70" x14ac:dyDescent="0.2">
      <c r="AU3282"/>
      <c r="AV3282"/>
      <c r="AW3282"/>
      <c r="AX3282"/>
      <c r="AY3282"/>
      <c r="BK3282" s="42">
        <v>3281</v>
      </c>
      <c r="BL3282" s="127">
        <v>4</v>
      </c>
      <c r="BM3282" s="127">
        <v>0.11332468572476186</v>
      </c>
      <c r="BN3282" s="127" t="e">
        <v>#N/A</v>
      </c>
      <c r="BO3282" s="127" t="e">
        <v>#N/A</v>
      </c>
      <c r="BP3282" s="151" t="e">
        <v>#N/A</v>
      </c>
      <c r="BQ3282">
        <v>0.11332468572476186</v>
      </c>
      <c r="BR3282" t="str">
        <v/>
      </c>
    </row>
    <row r="3283" spans="47:70" x14ac:dyDescent="0.2">
      <c r="AU3283"/>
      <c r="AV3283"/>
      <c r="AW3283"/>
      <c r="AX3283"/>
      <c r="AY3283"/>
      <c r="BK3283" s="42">
        <v>3282</v>
      </c>
      <c r="BL3283" s="127">
        <v>4</v>
      </c>
      <c r="BM3283" s="127">
        <v>0.11332468572476186</v>
      </c>
      <c r="BN3283" s="127" t="e">
        <v>#N/A</v>
      </c>
      <c r="BO3283" s="127" t="e">
        <v>#N/A</v>
      </c>
      <c r="BP3283" s="151" t="e">
        <v>#N/A</v>
      </c>
      <c r="BQ3283">
        <v>0.11332468572476186</v>
      </c>
      <c r="BR3283" t="str">
        <v/>
      </c>
    </row>
    <row r="3284" spans="47:70" x14ac:dyDescent="0.2">
      <c r="AU3284"/>
      <c r="AV3284"/>
      <c r="AW3284"/>
      <c r="AX3284"/>
      <c r="AY3284"/>
      <c r="BK3284" s="42">
        <v>3283</v>
      </c>
      <c r="BL3284" s="127">
        <v>4</v>
      </c>
      <c r="BM3284" s="127">
        <v>0.11332468572476186</v>
      </c>
      <c r="BN3284" s="127" t="e">
        <v>#N/A</v>
      </c>
      <c r="BO3284" s="127" t="e">
        <v>#N/A</v>
      </c>
      <c r="BP3284" s="151" t="e">
        <v>#N/A</v>
      </c>
      <c r="BQ3284">
        <v>0.11332468572476186</v>
      </c>
      <c r="BR3284" t="str">
        <v/>
      </c>
    </row>
    <row r="3285" spans="47:70" x14ac:dyDescent="0.2">
      <c r="AU3285"/>
      <c r="AV3285"/>
      <c r="AW3285"/>
      <c r="AX3285"/>
      <c r="AY3285"/>
      <c r="BK3285" s="42">
        <v>3284</v>
      </c>
      <c r="BL3285" s="127">
        <v>4</v>
      </c>
      <c r="BM3285" s="127">
        <v>0.11332468572476186</v>
      </c>
      <c r="BN3285" s="127" t="e">
        <v>#N/A</v>
      </c>
      <c r="BO3285" s="127" t="e">
        <v>#N/A</v>
      </c>
      <c r="BP3285" s="151" t="e">
        <v>#N/A</v>
      </c>
      <c r="BQ3285">
        <v>0.11332468572476186</v>
      </c>
      <c r="BR3285" t="str">
        <v/>
      </c>
    </row>
    <row r="3286" spans="47:70" x14ac:dyDescent="0.2">
      <c r="AU3286"/>
      <c r="AV3286"/>
      <c r="AW3286"/>
      <c r="AX3286"/>
      <c r="AY3286"/>
      <c r="BK3286" s="42">
        <v>3285</v>
      </c>
      <c r="BL3286" s="127">
        <v>4</v>
      </c>
      <c r="BM3286" s="127">
        <v>0.11332468572476186</v>
      </c>
      <c r="BN3286" s="127" t="e">
        <v>#N/A</v>
      </c>
      <c r="BO3286" s="127" t="e">
        <v>#N/A</v>
      </c>
      <c r="BP3286" s="151" t="e">
        <v>#N/A</v>
      </c>
      <c r="BQ3286">
        <v>0.11332468572476186</v>
      </c>
      <c r="BR3286" t="str">
        <v/>
      </c>
    </row>
    <row r="3287" spans="47:70" x14ac:dyDescent="0.2">
      <c r="AU3287"/>
      <c r="AV3287"/>
      <c r="AW3287"/>
      <c r="AX3287"/>
      <c r="AY3287"/>
      <c r="BK3287" s="42">
        <v>3286</v>
      </c>
      <c r="BL3287" s="127">
        <v>4</v>
      </c>
      <c r="BM3287" s="127">
        <v>0.11332468572476186</v>
      </c>
      <c r="BN3287" s="127" t="e">
        <v>#N/A</v>
      </c>
      <c r="BO3287" s="127" t="e">
        <v>#N/A</v>
      </c>
      <c r="BP3287" s="151" t="e">
        <v>#N/A</v>
      </c>
      <c r="BQ3287">
        <v>0.11332468572476186</v>
      </c>
      <c r="BR3287" t="str">
        <v/>
      </c>
    </row>
    <row r="3288" spans="47:70" x14ac:dyDescent="0.2">
      <c r="AU3288"/>
      <c r="AV3288"/>
      <c r="AW3288"/>
      <c r="AX3288"/>
      <c r="AY3288"/>
      <c r="BK3288" s="42">
        <v>3287</v>
      </c>
      <c r="BL3288" s="127">
        <v>4</v>
      </c>
      <c r="BM3288" s="127">
        <v>0.11332468572476186</v>
      </c>
      <c r="BN3288" s="127" t="e">
        <v>#N/A</v>
      </c>
      <c r="BO3288" s="127" t="e">
        <v>#N/A</v>
      </c>
      <c r="BP3288" s="151" t="e">
        <v>#N/A</v>
      </c>
      <c r="BQ3288">
        <v>0.11332468572476186</v>
      </c>
      <c r="BR3288" t="str">
        <v/>
      </c>
    </row>
    <row r="3289" spans="47:70" x14ac:dyDescent="0.2">
      <c r="AU3289"/>
      <c r="AV3289"/>
      <c r="AW3289"/>
      <c r="AX3289"/>
      <c r="AY3289"/>
      <c r="BK3289" s="42">
        <v>3288</v>
      </c>
      <c r="BL3289" s="127">
        <v>4</v>
      </c>
      <c r="BM3289" s="127">
        <v>0.11332468572476186</v>
      </c>
      <c r="BN3289" s="127" t="e">
        <v>#N/A</v>
      </c>
      <c r="BO3289" s="127" t="e">
        <v>#N/A</v>
      </c>
      <c r="BP3289" s="151" t="e">
        <v>#N/A</v>
      </c>
      <c r="BQ3289">
        <v>0.11332468572476186</v>
      </c>
      <c r="BR3289" t="str">
        <v/>
      </c>
    </row>
    <row r="3290" spans="47:70" x14ac:dyDescent="0.2">
      <c r="AU3290"/>
      <c r="AV3290"/>
      <c r="AW3290"/>
      <c r="AX3290"/>
      <c r="AY3290"/>
      <c r="BK3290" s="42">
        <v>3289</v>
      </c>
      <c r="BL3290" s="127">
        <v>4</v>
      </c>
      <c r="BM3290" s="127">
        <v>0.11332468572476186</v>
      </c>
      <c r="BN3290" s="127" t="e">
        <v>#N/A</v>
      </c>
      <c r="BO3290" s="127" t="e">
        <v>#N/A</v>
      </c>
      <c r="BP3290" s="151" t="e">
        <v>#N/A</v>
      </c>
      <c r="BQ3290">
        <v>0.11332468572476186</v>
      </c>
      <c r="BR3290" t="str">
        <v/>
      </c>
    </row>
    <row r="3291" spans="47:70" x14ac:dyDescent="0.2">
      <c r="AU3291"/>
      <c r="AV3291"/>
      <c r="AW3291"/>
      <c r="AX3291"/>
      <c r="AY3291"/>
      <c r="BK3291" s="42">
        <v>3290</v>
      </c>
      <c r="BL3291" s="127">
        <v>4</v>
      </c>
      <c r="BM3291" s="127">
        <v>0.11332468572476186</v>
      </c>
      <c r="BN3291" s="127" t="e">
        <v>#N/A</v>
      </c>
      <c r="BO3291" s="127" t="e">
        <v>#N/A</v>
      </c>
      <c r="BP3291" s="151" t="e">
        <v>#N/A</v>
      </c>
      <c r="BQ3291">
        <v>0.11332468572476186</v>
      </c>
      <c r="BR3291" t="str">
        <v/>
      </c>
    </row>
    <row r="3292" spans="47:70" x14ac:dyDescent="0.2">
      <c r="AU3292"/>
      <c r="AV3292"/>
      <c r="AW3292"/>
      <c r="AX3292"/>
      <c r="AY3292"/>
      <c r="BK3292" s="42">
        <v>3291</v>
      </c>
      <c r="BL3292" s="127">
        <v>4</v>
      </c>
      <c r="BM3292" s="127">
        <v>0.11332468572476186</v>
      </c>
      <c r="BN3292" s="127" t="e">
        <v>#N/A</v>
      </c>
      <c r="BO3292" s="127" t="e">
        <v>#N/A</v>
      </c>
      <c r="BP3292" s="151" t="e">
        <v>#N/A</v>
      </c>
      <c r="BQ3292">
        <v>0.11332468572476186</v>
      </c>
      <c r="BR3292" t="str">
        <v/>
      </c>
    </row>
    <row r="3293" spans="47:70" x14ac:dyDescent="0.2">
      <c r="AU3293"/>
      <c r="AV3293"/>
      <c r="AW3293"/>
      <c r="AX3293"/>
      <c r="AY3293"/>
      <c r="BK3293" s="42">
        <v>3292</v>
      </c>
      <c r="BL3293" s="127">
        <v>4</v>
      </c>
      <c r="BM3293" s="127">
        <v>0.11332468572476186</v>
      </c>
      <c r="BN3293" s="127" t="e">
        <v>#N/A</v>
      </c>
      <c r="BO3293" s="127" t="e">
        <v>#N/A</v>
      </c>
      <c r="BP3293" s="151" t="e">
        <v>#N/A</v>
      </c>
      <c r="BQ3293">
        <v>0.11332468572476186</v>
      </c>
      <c r="BR3293" t="str">
        <v/>
      </c>
    </row>
    <row r="3294" spans="47:70" x14ac:dyDescent="0.2">
      <c r="AU3294"/>
      <c r="AV3294"/>
      <c r="AW3294"/>
      <c r="AX3294"/>
      <c r="AY3294"/>
      <c r="BK3294" s="42">
        <v>3293</v>
      </c>
      <c r="BL3294" s="127">
        <v>4</v>
      </c>
      <c r="BM3294" s="127">
        <v>0.11332468572476186</v>
      </c>
      <c r="BN3294" s="127" t="e">
        <v>#N/A</v>
      </c>
      <c r="BO3294" s="127" t="e">
        <v>#N/A</v>
      </c>
      <c r="BP3294" s="151" t="e">
        <v>#N/A</v>
      </c>
      <c r="BQ3294">
        <v>0.11332468572476186</v>
      </c>
      <c r="BR3294" t="str">
        <v/>
      </c>
    </row>
    <row r="3295" spans="47:70" x14ac:dyDescent="0.2">
      <c r="AU3295"/>
      <c r="AV3295"/>
      <c r="AW3295"/>
      <c r="AX3295"/>
      <c r="AY3295"/>
      <c r="BK3295" s="42">
        <v>3294</v>
      </c>
      <c r="BL3295" s="127">
        <v>4</v>
      </c>
      <c r="BM3295" s="127">
        <v>0.11332468572476186</v>
      </c>
      <c r="BN3295" s="127" t="e">
        <v>#N/A</v>
      </c>
      <c r="BO3295" s="127" t="e">
        <v>#N/A</v>
      </c>
      <c r="BP3295" s="151" t="e">
        <v>#N/A</v>
      </c>
      <c r="BQ3295">
        <v>0.11332468572476186</v>
      </c>
      <c r="BR3295" t="str">
        <v/>
      </c>
    </row>
    <row r="3296" spans="47:70" x14ac:dyDescent="0.2">
      <c r="AU3296"/>
      <c r="AV3296"/>
      <c r="AW3296"/>
      <c r="AX3296"/>
      <c r="AY3296"/>
      <c r="BK3296" s="42">
        <v>3295</v>
      </c>
      <c r="BL3296" s="127">
        <v>4</v>
      </c>
      <c r="BM3296" s="127">
        <v>0.11332468572476186</v>
      </c>
      <c r="BN3296" s="127" t="e">
        <v>#N/A</v>
      </c>
      <c r="BO3296" s="127" t="e">
        <v>#N/A</v>
      </c>
      <c r="BP3296" s="151" t="e">
        <v>#N/A</v>
      </c>
      <c r="BQ3296">
        <v>0.11332468572476186</v>
      </c>
      <c r="BR3296" t="str">
        <v/>
      </c>
    </row>
    <row r="3297" spans="47:70" x14ac:dyDescent="0.2">
      <c r="AU3297"/>
      <c r="AV3297"/>
      <c r="AW3297"/>
      <c r="AX3297"/>
      <c r="AY3297"/>
      <c r="BK3297" s="42">
        <v>3296</v>
      </c>
      <c r="BL3297" s="127">
        <v>4</v>
      </c>
      <c r="BM3297" s="127">
        <v>0.11332468572476186</v>
      </c>
      <c r="BN3297" s="127" t="e">
        <v>#N/A</v>
      </c>
      <c r="BO3297" s="127" t="e">
        <v>#N/A</v>
      </c>
      <c r="BP3297" s="151" t="e">
        <v>#N/A</v>
      </c>
      <c r="BQ3297">
        <v>0.11332468572476186</v>
      </c>
      <c r="BR3297" t="str">
        <v/>
      </c>
    </row>
    <row r="3298" spans="47:70" x14ac:dyDescent="0.2">
      <c r="AU3298"/>
      <c r="AV3298"/>
      <c r="AW3298"/>
      <c r="AX3298"/>
      <c r="AY3298"/>
      <c r="BK3298" s="42">
        <v>3297</v>
      </c>
      <c r="BL3298" s="127">
        <v>4</v>
      </c>
      <c r="BM3298" s="127">
        <v>0.11332468572476186</v>
      </c>
      <c r="BN3298" s="127" t="e">
        <v>#N/A</v>
      </c>
      <c r="BO3298" s="127" t="e">
        <v>#N/A</v>
      </c>
      <c r="BP3298" s="151" t="e">
        <v>#N/A</v>
      </c>
      <c r="BQ3298">
        <v>0.11332468572476186</v>
      </c>
      <c r="BR3298" t="str">
        <v/>
      </c>
    </row>
    <row r="3299" spans="47:70" x14ac:dyDescent="0.2">
      <c r="AU3299"/>
      <c r="AV3299"/>
      <c r="AW3299"/>
      <c r="AX3299"/>
      <c r="AY3299"/>
      <c r="BK3299" s="42">
        <v>3298</v>
      </c>
      <c r="BL3299" s="127">
        <v>4</v>
      </c>
      <c r="BM3299" s="127">
        <v>0.11332468572476186</v>
      </c>
      <c r="BN3299" s="127" t="e">
        <v>#N/A</v>
      </c>
      <c r="BO3299" s="127" t="e">
        <v>#N/A</v>
      </c>
      <c r="BP3299" s="151" t="e">
        <v>#N/A</v>
      </c>
      <c r="BQ3299">
        <v>0.11332468572476186</v>
      </c>
      <c r="BR3299" t="str">
        <v/>
      </c>
    </row>
    <row r="3300" spans="47:70" x14ac:dyDescent="0.2">
      <c r="AU3300"/>
      <c r="AV3300"/>
      <c r="AW3300"/>
      <c r="AX3300"/>
      <c r="AY3300"/>
      <c r="BK3300" s="42">
        <v>3299</v>
      </c>
      <c r="BL3300" s="127">
        <v>4</v>
      </c>
      <c r="BM3300" s="127">
        <v>0.11332468572476186</v>
      </c>
      <c r="BN3300" s="127" t="e">
        <v>#N/A</v>
      </c>
      <c r="BO3300" s="127" t="e">
        <v>#N/A</v>
      </c>
      <c r="BP3300" s="151" t="e">
        <v>#N/A</v>
      </c>
      <c r="BQ3300">
        <v>0.11332468572476186</v>
      </c>
      <c r="BR3300" t="str">
        <v/>
      </c>
    </row>
    <row r="3301" spans="47:70" x14ac:dyDescent="0.2">
      <c r="AU3301"/>
      <c r="AV3301"/>
      <c r="AW3301"/>
      <c r="AX3301"/>
      <c r="AY3301"/>
      <c r="BK3301" s="42">
        <v>3300</v>
      </c>
      <c r="BL3301" s="127">
        <v>4</v>
      </c>
      <c r="BM3301" s="127">
        <v>0.11332468572476186</v>
      </c>
      <c r="BN3301" s="127" t="e">
        <v>#N/A</v>
      </c>
      <c r="BO3301" s="127" t="e">
        <v>#N/A</v>
      </c>
      <c r="BP3301" s="151" t="e">
        <v>#N/A</v>
      </c>
      <c r="BQ3301">
        <v>0.11332468572476186</v>
      </c>
      <c r="BR3301" t="str">
        <v/>
      </c>
    </row>
    <row r="3302" spans="47:70" x14ac:dyDescent="0.2">
      <c r="AU3302"/>
      <c r="AV3302"/>
      <c r="AW3302"/>
      <c r="AX3302"/>
      <c r="AY3302"/>
      <c r="BK3302" s="42">
        <v>3301</v>
      </c>
      <c r="BL3302" s="127">
        <v>4</v>
      </c>
      <c r="BM3302" s="127">
        <v>0.11332468572476186</v>
      </c>
      <c r="BN3302" s="127" t="e">
        <v>#N/A</v>
      </c>
      <c r="BO3302" s="127" t="e">
        <v>#N/A</v>
      </c>
      <c r="BP3302" s="151" t="e">
        <v>#N/A</v>
      </c>
      <c r="BQ3302">
        <v>0.11332468572476186</v>
      </c>
      <c r="BR3302" t="str">
        <v/>
      </c>
    </row>
    <row r="3303" spans="47:70" x14ac:dyDescent="0.2">
      <c r="AU3303"/>
      <c r="AV3303"/>
      <c r="AW3303"/>
      <c r="AX3303"/>
      <c r="AY3303"/>
      <c r="BK3303" s="42">
        <v>3302</v>
      </c>
      <c r="BL3303" s="127">
        <v>4</v>
      </c>
      <c r="BM3303" s="127">
        <v>0.11332468572476186</v>
      </c>
      <c r="BN3303" s="127" t="e">
        <v>#N/A</v>
      </c>
      <c r="BO3303" s="127" t="e">
        <v>#N/A</v>
      </c>
      <c r="BP3303" s="151" t="e">
        <v>#N/A</v>
      </c>
      <c r="BQ3303">
        <v>0.11332468572476186</v>
      </c>
      <c r="BR3303" t="str">
        <v/>
      </c>
    </row>
    <row r="3304" spans="47:70" x14ac:dyDescent="0.2">
      <c r="AU3304"/>
      <c r="AV3304"/>
      <c r="AW3304"/>
      <c r="AX3304"/>
      <c r="AY3304"/>
      <c r="BK3304" s="42">
        <v>3303</v>
      </c>
      <c r="BL3304" s="127">
        <v>4</v>
      </c>
      <c r="BM3304" s="127">
        <v>0.11332468572476186</v>
      </c>
      <c r="BN3304" s="127" t="e">
        <v>#N/A</v>
      </c>
      <c r="BO3304" s="127" t="e">
        <v>#N/A</v>
      </c>
      <c r="BP3304" s="151" t="e">
        <v>#N/A</v>
      </c>
      <c r="BQ3304">
        <v>0.11332468572476186</v>
      </c>
      <c r="BR3304" t="str">
        <v/>
      </c>
    </row>
    <row r="3305" spans="47:70" x14ac:dyDescent="0.2">
      <c r="AU3305"/>
      <c r="AV3305"/>
      <c r="AW3305"/>
      <c r="AX3305"/>
      <c r="AY3305"/>
      <c r="BK3305" s="42">
        <v>3304</v>
      </c>
      <c r="BL3305" s="127">
        <v>4</v>
      </c>
      <c r="BM3305" s="127">
        <v>0.11332468572476186</v>
      </c>
      <c r="BN3305" s="127" t="e">
        <v>#N/A</v>
      </c>
      <c r="BO3305" s="127" t="e">
        <v>#N/A</v>
      </c>
      <c r="BP3305" s="151" t="e">
        <v>#N/A</v>
      </c>
      <c r="BQ3305">
        <v>0.11332468572476186</v>
      </c>
      <c r="BR3305" t="str">
        <v/>
      </c>
    </row>
    <row r="3306" spans="47:70" x14ac:dyDescent="0.2">
      <c r="AU3306"/>
      <c r="AV3306"/>
      <c r="AW3306"/>
      <c r="AX3306"/>
      <c r="AY3306"/>
      <c r="BK3306" s="42">
        <v>3305</v>
      </c>
      <c r="BL3306" s="127">
        <v>4</v>
      </c>
      <c r="BM3306" s="127">
        <v>0.11332468572476186</v>
      </c>
      <c r="BN3306" s="127" t="e">
        <v>#N/A</v>
      </c>
      <c r="BO3306" s="127" t="e">
        <v>#N/A</v>
      </c>
      <c r="BP3306" s="151" t="e">
        <v>#N/A</v>
      </c>
      <c r="BQ3306">
        <v>0.11332468572476186</v>
      </c>
      <c r="BR3306" t="str">
        <v/>
      </c>
    </row>
    <row r="3307" spans="47:70" x14ac:dyDescent="0.2">
      <c r="AU3307"/>
      <c r="AV3307"/>
      <c r="AW3307"/>
      <c r="AX3307"/>
      <c r="AY3307"/>
      <c r="BK3307" s="42">
        <v>3306</v>
      </c>
      <c r="BL3307" s="127">
        <v>4</v>
      </c>
      <c r="BM3307" s="127">
        <v>0.11332468572476186</v>
      </c>
      <c r="BN3307" s="127" t="e">
        <v>#N/A</v>
      </c>
      <c r="BO3307" s="127" t="e">
        <v>#N/A</v>
      </c>
      <c r="BP3307" s="151" t="e">
        <v>#N/A</v>
      </c>
      <c r="BQ3307">
        <v>0.11332468572476186</v>
      </c>
      <c r="BR3307" t="str">
        <v/>
      </c>
    </row>
    <row r="3308" spans="47:70" x14ac:dyDescent="0.2">
      <c r="AU3308"/>
      <c r="AV3308"/>
      <c r="AW3308"/>
      <c r="AX3308"/>
      <c r="AY3308"/>
      <c r="BK3308" s="42">
        <v>3307</v>
      </c>
      <c r="BL3308" s="127">
        <v>4</v>
      </c>
      <c r="BM3308" s="127">
        <v>0.11332468572476186</v>
      </c>
      <c r="BN3308" s="127" t="e">
        <v>#N/A</v>
      </c>
      <c r="BO3308" s="127" t="e">
        <v>#N/A</v>
      </c>
      <c r="BP3308" s="151" t="e">
        <v>#N/A</v>
      </c>
      <c r="BQ3308">
        <v>0.11332468572476186</v>
      </c>
      <c r="BR3308" t="str">
        <v/>
      </c>
    </row>
    <row r="3309" spans="47:70" x14ac:dyDescent="0.2">
      <c r="AU3309"/>
      <c r="AV3309"/>
      <c r="AW3309"/>
      <c r="AX3309"/>
      <c r="AY3309"/>
      <c r="BK3309" s="42">
        <v>3308</v>
      </c>
      <c r="BL3309" s="127">
        <v>4</v>
      </c>
      <c r="BM3309" s="127">
        <v>0.11332468572476186</v>
      </c>
      <c r="BN3309" s="127" t="e">
        <v>#N/A</v>
      </c>
      <c r="BO3309" s="127" t="e">
        <v>#N/A</v>
      </c>
      <c r="BP3309" s="151" t="e">
        <v>#N/A</v>
      </c>
      <c r="BQ3309">
        <v>0.11332468572476186</v>
      </c>
      <c r="BR3309" t="str">
        <v/>
      </c>
    </row>
    <row r="3310" spans="47:70" x14ac:dyDescent="0.2">
      <c r="AU3310"/>
      <c r="AV3310"/>
      <c r="AW3310"/>
      <c r="AX3310"/>
      <c r="AY3310"/>
      <c r="BK3310" s="42">
        <v>3309</v>
      </c>
      <c r="BL3310" s="127">
        <v>4</v>
      </c>
      <c r="BM3310" s="127">
        <v>0.11332468572476186</v>
      </c>
      <c r="BN3310" s="127" t="e">
        <v>#N/A</v>
      </c>
      <c r="BO3310" s="127" t="e">
        <v>#N/A</v>
      </c>
      <c r="BP3310" s="151" t="e">
        <v>#N/A</v>
      </c>
      <c r="BQ3310">
        <v>0.11332468572476186</v>
      </c>
      <c r="BR3310" t="str">
        <v/>
      </c>
    </row>
    <row r="3311" spans="47:70" x14ac:dyDescent="0.2">
      <c r="AU3311"/>
      <c r="AV3311"/>
      <c r="AW3311"/>
      <c r="AX3311"/>
      <c r="AY3311"/>
      <c r="BK3311" s="42">
        <v>3310</v>
      </c>
      <c r="BL3311" s="127">
        <v>4</v>
      </c>
      <c r="BM3311" s="127">
        <v>0.11332468572476186</v>
      </c>
      <c r="BN3311" s="127" t="e">
        <v>#N/A</v>
      </c>
      <c r="BO3311" s="127" t="e">
        <v>#N/A</v>
      </c>
      <c r="BP3311" s="151" t="e">
        <v>#N/A</v>
      </c>
      <c r="BQ3311">
        <v>0.11332468572476186</v>
      </c>
      <c r="BR3311" t="str">
        <v/>
      </c>
    </row>
    <row r="3312" spans="47:70" x14ac:dyDescent="0.2">
      <c r="AU3312"/>
      <c r="AV3312"/>
      <c r="AW3312"/>
      <c r="AX3312"/>
      <c r="AY3312"/>
      <c r="BK3312" s="42">
        <v>3311</v>
      </c>
      <c r="BL3312" s="127">
        <v>4</v>
      </c>
      <c r="BM3312" s="127">
        <v>0.11332468572476186</v>
      </c>
      <c r="BN3312" s="127" t="e">
        <v>#N/A</v>
      </c>
      <c r="BO3312" s="127" t="e">
        <v>#N/A</v>
      </c>
      <c r="BP3312" s="151" t="e">
        <v>#N/A</v>
      </c>
      <c r="BQ3312">
        <v>0.11332468572476186</v>
      </c>
      <c r="BR3312" t="str">
        <v/>
      </c>
    </row>
    <row r="3313" spans="47:70" x14ac:dyDescent="0.2">
      <c r="AU3313"/>
      <c r="AV3313"/>
      <c r="AW3313"/>
      <c r="AX3313"/>
      <c r="AY3313"/>
      <c r="BK3313" s="42">
        <v>3312</v>
      </c>
      <c r="BL3313" s="127">
        <v>4</v>
      </c>
      <c r="BM3313" s="127">
        <v>0.11332468572476186</v>
      </c>
      <c r="BN3313" s="127" t="e">
        <v>#N/A</v>
      </c>
      <c r="BO3313" s="127" t="e">
        <v>#N/A</v>
      </c>
      <c r="BP3313" s="151" t="e">
        <v>#N/A</v>
      </c>
      <c r="BQ3313">
        <v>0.11332468572476186</v>
      </c>
      <c r="BR3313" t="str">
        <v/>
      </c>
    </row>
    <row r="3314" spans="47:70" x14ac:dyDescent="0.2">
      <c r="AU3314"/>
      <c r="AV3314"/>
      <c r="AW3314"/>
      <c r="AX3314"/>
      <c r="AY3314"/>
      <c r="BK3314" s="42">
        <v>3313</v>
      </c>
      <c r="BL3314" s="127">
        <v>4</v>
      </c>
      <c r="BM3314" s="127">
        <v>0.11332468572476186</v>
      </c>
      <c r="BN3314" s="127" t="e">
        <v>#N/A</v>
      </c>
      <c r="BO3314" s="127" t="e">
        <v>#N/A</v>
      </c>
      <c r="BP3314" s="151" t="e">
        <v>#N/A</v>
      </c>
      <c r="BQ3314">
        <v>0.11332468572476186</v>
      </c>
      <c r="BR3314" t="str">
        <v/>
      </c>
    </row>
    <row r="3315" spans="47:70" x14ac:dyDescent="0.2">
      <c r="AU3315"/>
      <c r="AV3315"/>
      <c r="AW3315"/>
      <c r="AX3315"/>
      <c r="AY3315"/>
      <c r="BK3315" s="42">
        <v>3314</v>
      </c>
      <c r="BL3315" s="127">
        <v>4</v>
      </c>
      <c r="BM3315" s="127">
        <v>0.11332468572476186</v>
      </c>
      <c r="BN3315" s="127" t="e">
        <v>#N/A</v>
      </c>
      <c r="BO3315" s="127" t="e">
        <v>#N/A</v>
      </c>
      <c r="BP3315" s="151" t="e">
        <v>#N/A</v>
      </c>
      <c r="BQ3315">
        <v>0.11332468572476186</v>
      </c>
      <c r="BR3315" t="str">
        <v/>
      </c>
    </row>
    <row r="3316" spans="47:70" x14ac:dyDescent="0.2">
      <c r="AU3316"/>
      <c r="AV3316"/>
      <c r="AW3316"/>
      <c r="AX3316"/>
      <c r="AY3316"/>
      <c r="BK3316" s="42">
        <v>3315</v>
      </c>
      <c r="BL3316" s="127">
        <v>4</v>
      </c>
      <c r="BM3316" s="127">
        <v>0.11332468572476186</v>
      </c>
      <c r="BN3316" s="127" t="e">
        <v>#N/A</v>
      </c>
      <c r="BO3316" s="127" t="e">
        <v>#N/A</v>
      </c>
      <c r="BP3316" s="151" t="e">
        <v>#N/A</v>
      </c>
      <c r="BQ3316">
        <v>0.11332468572476186</v>
      </c>
      <c r="BR3316" t="str">
        <v/>
      </c>
    </row>
    <row r="3317" spans="47:70" x14ac:dyDescent="0.2">
      <c r="AU3317"/>
      <c r="AV3317"/>
      <c r="AW3317"/>
      <c r="AX3317"/>
      <c r="AY3317"/>
      <c r="BK3317" s="42">
        <v>3316</v>
      </c>
      <c r="BL3317" s="127">
        <v>4</v>
      </c>
      <c r="BM3317" s="127">
        <v>0.11332468572476186</v>
      </c>
      <c r="BN3317" s="127" t="e">
        <v>#N/A</v>
      </c>
      <c r="BO3317" s="127" t="e">
        <v>#N/A</v>
      </c>
      <c r="BP3317" s="151" t="e">
        <v>#N/A</v>
      </c>
      <c r="BQ3317">
        <v>0.11332468572476186</v>
      </c>
      <c r="BR3317" t="str">
        <v/>
      </c>
    </row>
    <row r="3318" spans="47:70" x14ac:dyDescent="0.2">
      <c r="AU3318"/>
      <c r="AV3318"/>
      <c r="AW3318"/>
      <c r="AX3318"/>
      <c r="AY3318"/>
      <c r="BK3318" s="42">
        <v>3317</v>
      </c>
      <c r="BL3318" s="127">
        <v>4</v>
      </c>
      <c r="BM3318" s="127">
        <v>0.11332468572476186</v>
      </c>
      <c r="BN3318" s="127" t="e">
        <v>#N/A</v>
      </c>
      <c r="BO3318" s="127" t="e">
        <v>#N/A</v>
      </c>
      <c r="BP3318" s="151" t="e">
        <v>#N/A</v>
      </c>
      <c r="BQ3318">
        <v>0.11332468572476186</v>
      </c>
      <c r="BR3318" t="str">
        <v/>
      </c>
    </row>
    <row r="3319" spans="47:70" x14ac:dyDescent="0.2">
      <c r="AU3319"/>
      <c r="AV3319"/>
      <c r="AW3319"/>
      <c r="AX3319"/>
      <c r="AY3319"/>
      <c r="BK3319" s="42">
        <v>3318</v>
      </c>
      <c r="BL3319" s="127">
        <v>4</v>
      </c>
      <c r="BM3319" s="127">
        <v>0.11332468572476186</v>
      </c>
      <c r="BN3319" s="127" t="e">
        <v>#N/A</v>
      </c>
      <c r="BO3319" s="127" t="e">
        <v>#N/A</v>
      </c>
      <c r="BP3319" s="151" t="e">
        <v>#N/A</v>
      </c>
      <c r="BQ3319">
        <v>0.11332468572476186</v>
      </c>
      <c r="BR3319" t="str">
        <v/>
      </c>
    </row>
    <row r="3320" spans="47:70" x14ac:dyDescent="0.2">
      <c r="AU3320"/>
      <c r="AV3320"/>
      <c r="AW3320"/>
      <c r="AX3320"/>
      <c r="AY3320"/>
      <c r="BK3320" s="42">
        <v>3319</v>
      </c>
      <c r="BL3320" s="127">
        <v>4</v>
      </c>
      <c r="BM3320" s="127">
        <v>0.11332468572476186</v>
      </c>
      <c r="BN3320" s="127" t="e">
        <v>#N/A</v>
      </c>
      <c r="BO3320" s="127" t="e">
        <v>#N/A</v>
      </c>
      <c r="BP3320" s="151" t="e">
        <v>#N/A</v>
      </c>
      <c r="BQ3320">
        <v>0.11332468572476186</v>
      </c>
      <c r="BR3320" t="str">
        <v/>
      </c>
    </row>
    <row r="3321" spans="47:70" x14ac:dyDescent="0.2">
      <c r="AU3321"/>
      <c r="AV3321"/>
      <c r="AW3321"/>
      <c r="AX3321"/>
      <c r="AY3321"/>
      <c r="BK3321" s="42">
        <v>3320</v>
      </c>
      <c r="BL3321" s="127">
        <v>4</v>
      </c>
      <c r="BM3321" s="127">
        <v>0.11332468572476186</v>
      </c>
      <c r="BN3321" s="127" t="e">
        <v>#N/A</v>
      </c>
      <c r="BO3321" s="127" t="e">
        <v>#N/A</v>
      </c>
      <c r="BP3321" s="151" t="e">
        <v>#N/A</v>
      </c>
      <c r="BQ3321">
        <v>0.11332468572476186</v>
      </c>
      <c r="BR3321" t="str">
        <v/>
      </c>
    </row>
    <row r="3322" spans="47:70" x14ac:dyDescent="0.2">
      <c r="AU3322"/>
      <c r="AV3322"/>
      <c r="AW3322"/>
      <c r="AX3322"/>
      <c r="AY3322"/>
      <c r="BK3322" s="42">
        <v>3321</v>
      </c>
      <c r="BL3322" s="127">
        <v>4</v>
      </c>
      <c r="BM3322" s="127">
        <v>0.11332468572476186</v>
      </c>
      <c r="BN3322" s="127" t="e">
        <v>#N/A</v>
      </c>
      <c r="BO3322" s="127" t="e">
        <v>#N/A</v>
      </c>
      <c r="BP3322" s="151" t="e">
        <v>#N/A</v>
      </c>
      <c r="BQ3322">
        <v>0.11332468572476186</v>
      </c>
      <c r="BR3322" t="str">
        <v/>
      </c>
    </row>
    <row r="3323" spans="47:70" x14ac:dyDescent="0.2">
      <c r="AU3323"/>
      <c r="AV3323"/>
      <c r="AW3323"/>
      <c r="AX3323"/>
      <c r="AY3323"/>
      <c r="BK3323" s="42">
        <v>3322</v>
      </c>
      <c r="BL3323" s="127">
        <v>4</v>
      </c>
      <c r="BM3323" s="127">
        <v>0.11332468572476186</v>
      </c>
      <c r="BN3323" s="127" t="e">
        <v>#N/A</v>
      </c>
      <c r="BO3323" s="127" t="e">
        <v>#N/A</v>
      </c>
      <c r="BP3323" s="151" t="e">
        <v>#N/A</v>
      </c>
      <c r="BQ3323">
        <v>0.11332468572476186</v>
      </c>
      <c r="BR3323" t="str">
        <v/>
      </c>
    </row>
    <row r="3324" spans="47:70" x14ac:dyDescent="0.2">
      <c r="AU3324"/>
      <c r="AV3324"/>
      <c r="AW3324"/>
      <c r="AX3324"/>
      <c r="AY3324"/>
      <c r="BK3324" s="42">
        <v>3323</v>
      </c>
      <c r="BL3324" s="127">
        <v>4</v>
      </c>
      <c r="BM3324" s="127">
        <v>0.11332468572476186</v>
      </c>
      <c r="BN3324" s="127" t="e">
        <v>#N/A</v>
      </c>
      <c r="BO3324" s="127" t="e">
        <v>#N/A</v>
      </c>
      <c r="BP3324" s="151" t="e">
        <v>#N/A</v>
      </c>
      <c r="BQ3324">
        <v>0.11332468572476186</v>
      </c>
      <c r="BR3324" t="str">
        <v/>
      </c>
    </row>
    <row r="3325" spans="47:70" x14ac:dyDescent="0.2">
      <c r="AU3325"/>
      <c r="AV3325"/>
      <c r="AW3325"/>
      <c r="AX3325"/>
      <c r="AY3325"/>
      <c r="BK3325" s="42">
        <v>3324</v>
      </c>
      <c r="BL3325" s="127">
        <v>4</v>
      </c>
      <c r="BM3325" s="127">
        <v>0.11332468572476186</v>
      </c>
      <c r="BN3325" s="127" t="e">
        <v>#N/A</v>
      </c>
      <c r="BO3325" s="127" t="e">
        <v>#N/A</v>
      </c>
      <c r="BP3325" s="151" t="e">
        <v>#N/A</v>
      </c>
      <c r="BQ3325">
        <v>0.11332468572476186</v>
      </c>
      <c r="BR3325" t="str">
        <v/>
      </c>
    </row>
    <row r="3326" spans="47:70" x14ac:dyDescent="0.2">
      <c r="AU3326"/>
      <c r="AV3326"/>
      <c r="AW3326"/>
      <c r="AX3326"/>
      <c r="AY3326"/>
      <c r="BK3326" s="42">
        <v>3325</v>
      </c>
      <c r="BL3326" s="127">
        <v>4</v>
      </c>
      <c r="BM3326" s="127">
        <v>0.11332468572476186</v>
      </c>
      <c r="BN3326" s="127" t="e">
        <v>#N/A</v>
      </c>
      <c r="BO3326" s="127" t="e">
        <v>#N/A</v>
      </c>
      <c r="BP3326" s="151" t="e">
        <v>#N/A</v>
      </c>
      <c r="BQ3326">
        <v>0.11332468572476186</v>
      </c>
      <c r="BR3326" t="str">
        <v/>
      </c>
    </row>
    <row r="3327" spans="47:70" x14ac:dyDescent="0.2">
      <c r="AU3327"/>
      <c r="AV3327"/>
      <c r="AW3327"/>
      <c r="AX3327"/>
      <c r="AY3327"/>
      <c r="BK3327" s="42">
        <v>3326</v>
      </c>
      <c r="BL3327" s="127">
        <v>4</v>
      </c>
      <c r="BM3327" s="127">
        <v>0.11332468572476186</v>
      </c>
      <c r="BN3327" s="127" t="e">
        <v>#N/A</v>
      </c>
      <c r="BO3327" s="127" t="e">
        <v>#N/A</v>
      </c>
      <c r="BP3327" s="151" t="e">
        <v>#N/A</v>
      </c>
      <c r="BQ3327">
        <v>0.11332468572476186</v>
      </c>
      <c r="BR3327" t="str">
        <v/>
      </c>
    </row>
    <row r="3328" spans="47:70" x14ac:dyDescent="0.2">
      <c r="AU3328"/>
      <c r="AV3328"/>
      <c r="AW3328"/>
      <c r="AX3328"/>
      <c r="AY3328"/>
      <c r="BK3328" s="42">
        <v>3327</v>
      </c>
      <c r="BL3328" s="127">
        <v>4</v>
      </c>
      <c r="BM3328" s="127">
        <v>0.11332468572476186</v>
      </c>
      <c r="BN3328" s="127" t="e">
        <v>#N/A</v>
      </c>
      <c r="BO3328" s="127" t="e">
        <v>#N/A</v>
      </c>
      <c r="BP3328" s="151" t="e">
        <v>#N/A</v>
      </c>
      <c r="BQ3328">
        <v>0.11332468572476186</v>
      </c>
      <c r="BR3328" t="str">
        <v/>
      </c>
    </row>
    <row r="3329" spans="47:70" x14ac:dyDescent="0.2">
      <c r="AU3329"/>
      <c r="AV3329"/>
      <c r="AW3329"/>
      <c r="AX3329"/>
      <c r="AY3329"/>
      <c r="BK3329" s="42">
        <v>3328</v>
      </c>
      <c r="BL3329" s="127">
        <v>4</v>
      </c>
      <c r="BM3329" s="127">
        <v>0.11332468572476186</v>
      </c>
      <c r="BN3329" s="127" t="e">
        <v>#N/A</v>
      </c>
      <c r="BO3329" s="127" t="e">
        <v>#N/A</v>
      </c>
      <c r="BP3329" s="151" t="e">
        <v>#N/A</v>
      </c>
      <c r="BQ3329">
        <v>0.11332468572476186</v>
      </c>
      <c r="BR3329" t="str">
        <v/>
      </c>
    </row>
    <row r="3330" spans="47:70" x14ac:dyDescent="0.2">
      <c r="AU3330"/>
      <c r="AV3330"/>
      <c r="AW3330"/>
      <c r="AX3330"/>
      <c r="AY3330"/>
      <c r="BK3330" s="42">
        <v>3329</v>
      </c>
      <c r="BL3330" s="127">
        <v>4</v>
      </c>
      <c r="BM3330" s="127">
        <v>0.11332468572476186</v>
      </c>
      <c r="BN3330" s="127" t="e">
        <v>#N/A</v>
      </c>
      <c r="BO3330" s="127" t="e">
        <v>#N/A</v>
      </c>
      <c r="BP3330" s="151" t="e">
        <v>#N/A</v>
      </c>
      <c r="BQ3330">
        <v>0.11332468572476186</v>
      </c>
      <c r="BR3330" t="str">
        <v/>
      </c>
    </row>
    <row r="3331" spans="47:70" x14ac:dyDescent="0.2">
      <c r="AU3331"/>
      <c r="AV3331"/>
      <c r="AW3331"/>
      <c r="AX3331"/>
      <c r="AY3331"/>
      <c r="BK3331" s="42">
        <v>3330</v>
      </c>
      <c r="BL3331" s="127">
        <v>4</v>
      </c>
      <c r="BM3331" s="127">
        <v>0.11332468572476186</v>
      </c>
      <c r="BN3331" s="127" t="e">
        <v>#N/A</v>
      </c>
      <c r="BO3331" s="127" t="e">
        <v>#N/A</v>
      </c>
      <c r="BP3331" s="151" t="e">
        <v>#N/A</v>
      </c>
      <c r="BQ3331">
        <v>0.11332468572476186</v>
      </c>
      <c r="BR3331" t="str">
        <v/>
      </c>
    </row>
    <row r="3332" spans="47:70" x14ac:dyDescent="0.2">
      <c r="AU3332"/>
      <c r="AV3332"/>
      <c r="AW3332"/>
      <c r="AX3332"/>
      <c r="AY3332"/>
      <c r="BK3332" s="42">
        <v>3331</v>
      </c>
      <c r="BL3332" s="127">
        <v>4</v>
      </c>
      <c r="BM3332" s="127">
        <v>0.11332468572476186</v>
      </c>
      <c r="BN3332" s="127" t="e">
        <v>#N/A</v>
      </c>
      <c r="BO3332" s="127" t="e">
        <v>#N/A</v>
      </c>
      <c r="BP3332" s="151" t="e">
        <v>#N/A</v>
      </c>
      <c r="BQ3332">
        <v>0.11332468572476186</v>
      </c>
      <c r="BR3332" t="str">
        <v/>
      </c>
    </row>
    <row r="3333" spans="47:70" x14ac:dyDescent="0.2">
      <c r="AU3333"/>
      <c r="AV3333"/>
      <c r="AW3333"/>
      <c r="AX3333"/>
      <c r="AY3333"/>
      <c r="BK3333" s="42">
        <v>3332</v>
      </c>
      <c r="BL3333" s="127">
        <v>4</v>
      </c>
      <c r="BM3333" s="127">
        <v>0.11332468572476186</v>
      </c>
      <c r="BN3333" s="127" t="e">
        <v>#N/A</v>
      </c>
      <c r="BO3333" s="127" t="e">
        <v>#N/A</v>
      </c>
      <c r="BP3333" s="151" t="e">
        <v>#N/A</v>
      </c>
      <c r="BQ3333">
        <v>0.11332468572476186</v>
      </c>
      <c r="BR3333" t="str">
        <v/>
      </c>
    </row>
    <row r="3334" spans="47:70" x14ac:dyDescent="0.2">
      <c r="AU3334"/>
      <c r="AV3334"/>
      <c r="AW3334"/>
      <c r="AX3334"/>
      <c r="AY3334"/>
      <c r="BK3334" s="42">
        <v>3333</v>
      </c>
      <c r="BL3334" s="127">
        <v>4</v>
      </c>
      <c r="BM3334" s="127">
        <v>0.11332468572476186</v>
      </c>
      <c r="BN3334" s="127" t="e">
        <v>#N/A</v>
      </c>
      <c r="BO3334" s="127" t="e">
        <v>#N/A</v>
      </c>
      <c r="BP3334" s="151" t="e">
        <v>#N/A</v>
      </c>
      <c r="BQ3334">
        <v>0.11332468572476186</v>
      </c>
      <c r="BR3334" t="str">
        <v/>
      </c>
    </row>
    <row r="3335" spans="47:70" x14ac:dyDescent="0.2">
      <c r="AU3335"/>
      <c r="AV3335"/>
      <c r="AW3335"/>
      <c r="AX3335"/>
      <c r="AY3335"/>
      <c r="BK3335" s="42">
        <v>3334</v>
      </c>
      <c r="BL3335" s="127">
        <v>4</v>
      </c>
      <c r="BM3335" s="127">
        <v>0.11332468572476186</v>
      </c>
      <c r="BN3335" s="127" t="e">
        <v>#N/A</v>
      </c>
      <c r="BO3335" s="127" t="e">
        <v>#N/A</v>
      </c>
      <c r="BP3335" s="151" t="e">
        <v>#N/A</v>
      </c>
      <c r="BQ3335">
        <v>0.11332468572476186</v>
      </c>
      <c r="BR3335" t="str">
        <v/>
      </c>
    </row>
    <row r="3336" spans="47:70" x14ac:dyDescent="0.2">
      <c r="AU3336"/>
      <c r="AV3336"/>
      <c r="AW3336"/>
      <c r="AX3336"/>
      <c r="AY3336"/>
      <c r="BK3336" s="42">
        <v>3335</v>
      </c>
      <c r="BL3336" s="127">
        <v>4</v>
      </c>
      <c r="BM3336" s="127">
        <v>0.11332468572476186</v>
      </c>
      <c r="BN3336" s="127" t="e">
        <v>#N/A</v>
      </c>
      <c r="BO3336" s="127" t="e">
        <v>#N/A</v>
      </c>
      <c r="BP3336" s="151" t="e">
        <v>#N/A</v>
      </c>
      <c r="BQ3336">
        <v>0.11332468572476186</v>
      </c>
      <c r="BR3336" t="str">
        <v/>
      </c>
    </row>
    <row r="3337" spans="47:70" x14ac:dyDescent="0.2">
      <c r="AU3337"/>
      <c r="AV3337"/>
      <c r="AW3337"/>
      <c r="AX3337"/>
      <c r="AY3337"/>
      <c r="BK3337" s="42">
        <v>3336</v>
      </c>
      <c r="BL3337" s="127">
        <v>4</v>
      </c>
      <c r="BM3337" s="127">
        <v>0.11332468572476186</v>
      </c>
      <c r="BN3337" s="127" t="e">
        <v>#N/A</v>
      </c>
      <c r="BO3337" s="127" t="e">
        <v>#N/A</v>
      </c>
      <c r="BP3337" s="151" t="e">
        <v>#N/A</v>
      </c>
      <c r="BQ3337">
        <v>0.11332468572476186</v>
      </c>
      <c r="BR3337" t="str">
        <v/>
      </c>
    </row>
    <row r="3338" spans="47:70" x14ac:dyDescent="0.2">
      <c r="AU3338"/>
      <c r="AV3338"/>
      <c r="AW3338"/>
      <c r="AX3338"/>
      <c r="AY3338"/>
      <c r="BK3338" s="42">
        <v>3337</v>
      </c>
      <c r="BL3338" s="127">
        <v>4</v>
      </c>
      <c r="BM3338" s="127">
        <v>0.11332468572476186</v>
      </c>
      <c r="BN3338" s="127" t="e">
        <v>#N/A</v>
      </c>
      <c r="BO3338" s="127" t="e">
        <v>#N/A</v>
      </c>
      <c r="BP3338" s="151" t="e">
        <v>#N/A</v>
      </c>
      <c r="BQ3338">
        <v>0.11332468572476186</v>
      </c>
      <c r="BR3338" t="str">
        <v/>
      </c>
    </row>
    <row r="3339" spans="47:70" x14ac:dyDescent="0.2">
      <c r="AU3339"/>
      <c r="AV3339"/>
      <c r="AW3339"/>
      <c r="AX3339"/>
      <c r="AY3339"/>
      <c r="BK3339" s="42">
        <v>3338</v>
      </c>
      <c r="BL3339" s="127">
        <v>4</v>
      </c>
      <c r="BM3339" s="127">
        <v>0.11332468572476186</v>
      </c>
      <c r="BN3339" s="127" t="e">
        <v>#N/A</v>
      </c>
      <c r="BO3339" s="127" t="e">
        <v>#N/A</v>
      </c>
      <c r="BP3339" s="151" t="e">
        <v>#N/A</v>
      </c>
      <c r="BQ3339">
        <v>0.11332468572476186</v>
      </c>
      <c r="BR3339" t="str">
        <v/>
      </c>
    </row>
    <row r="3340" spans="47:70" x14ac:dyDescent="0.2">
      <c r="AU3340"/>
      <c r="AV3340"/>
      <c r="AW3340"/>
      <c r="AX3340"/>
      <c r="AY3340"/>
      <c r="BK3340" s="42">
        <v>3339</v>
      </c>
      <c r="BL3340" s="127">
        <v>4</v>
      </c>
      <c r="BM3340" s="127">
        <v>0.11332468572476186</v>
      </c>
      <c r="BN3340" s="127" t="e">
        <v>#N/A</v>
      </c>
      <c r="BO3340" s="127" t="e">
        <v>#N/A</v>
      </c>
      <c r="BP3340" s="151" t="e">
        <v>#N/A</v>
      </c>
      <c r="BQ3340">
        <v>0.11332468572476186</v>
      </c>
      <c r="BR3340" t="str">
        <v/>
      </c>
    </row>
    <row r="3341" spans="47:70" x14ac:dyDescent="0.2">
      <c r="AU3341"/>
      <c r="AV3341"/>
      <c r="AW3341"/>
      <c r="AX3341"/>
      <c r="AY3341"/>
      <c r="BK3341" s="42">
        <v>3340</v>
      </c>
      <c r="BL3341" s="127">
        <v>4</v>
      </c>
      <c r="BM3341" s="127">
        <v>0.11332468572476186</v>
      </c>
      <c r="BN3341" s="127" t="e">
        <v>#N/A</v>
      </c>
      <c r="BO3341" s="127" t="e">
        <v>#N/A</v>
      </c>
      <c r="BP3341" s="151" t="e">
        <v>#N/A</v>
      </c>
      <c r="BQ3341">
        <v>0.11332468572476186</v>
      </c>
      <c r="BR3341" t="str">
        <v/>
      </c>
    </row>
    <row r="3342" spans="47:70" x14ac:dyDescent="0.2">
      <c r="AU3342"/>
      <c r="AV3342"/>
      <c r="AW3342"/>
      <c r="AX3342"/>
      <c r="AY3342"/>
      <c r="BK3342" s="42">
        <v>3341</v>
      </c>
      <c r="BL3342" s="127">
        <v>4</v>
      </c>
      <c r="BM3342" s="127">
        <v>0.11332468572476186</v>
      </c>
      <c r="BN3342" s="127" t="e">
        <v>#N/A</v>
      </c>
      <c r="BO3342" s="127" t="e">
        <v>#N/A</v>
      </c>
      <c r="BP3342" s="151" t="e">
        <v>#N/A</v>
      </c>
      <c r="BQ3342">
        <v>0.11332468572476186</v>
      </c>
      <c r="BR3342" t="str">
        <v/>
      </c>
    </row>
    <row r="3343" spans="47:70" x14ac:dyDescent="0.2">
      <c r="AU3343"/>
      <c r="AV3343"/>
      <c r="AW3343"/>
      <c r="AX3343"/>
      <c r="AY3343"/>
      <c r="BK3343" s="42">
        <v>3342</v>
      </c>
      <c r="BL3343" s="127">
        <v>4</v>
      </c>
      <c r="BM3343" s="127">
        <v>0.11332468572476186</v>
      </c>
      <c r="BN3343" s="127" t="e">
        <v>#N/A</v>
      </c>
      <c r="BO3343" s="127" t="e">
        <v>#N/A</v>
      </c>
      <c r="BP3343" s="151" t="e">
        <v>#N/A</v>
      </c>
      <c r="BQ3343">
        <v>0.11332468572476186</v>
      </c>
      <c r="BR3343" t="str">
        <v/>
      </c>
    </row>
    <row r="3344" spans="47:70" x14ac:dyDescent="0.2">
      <c r="AU3344"/>
      <c r="AV3344"/>
      <c r="AW3344"/>
      <c r="AX3344"/>
      <c r="AY3344"/>
      <c r="BK3344" s="42">
        <v>3343</v>
      </c>
      <c r="BL3344" s="127">
        <v>4</v>
      </c>
      <c r="BM3344" s="127">
        <v>0.11332468572476186</v>
      </c>
      <c r="BN3344" s="127" t="e">
        <v>#N/A</v>
      </c>
      <c r="BO3344" s="127" t="e">
        <v>#N/A</v>
      </c>
      <c r="BP3344" s="151" t="e">
        <v>#N/A</v>
      </c>
      <c r="BQ3344">
        <v>0.11332468572476186</v>
      </c>
      <c r="BR3344" t="str">
        <v/>
      </c>
    </row>
    <row r="3345" spans="47:70" x14ac:dyDescent="0.2">
      <c r="AU3345"/>
      <c r="AV3345"/>
      <c r="AW3345"/>
      <c r="AX3345"/>
      <c r="AY3345"/>
      <c r="BK3345" s="42">
        <v>3344</v>
      </c>
      <c r="BL3345" s="127">
        <v>4</v>
      </c>
      <c r="BM3345" s="127">
        <v>0.11332468572476186</v>
      </c>
      <c r="BN3345" s="127" t="e">
        <v>#N/A</v>
      </c>
      <c r="BO3345" s="127" t="e">
        <v>#N/A</v>
      </c>
      <c r="BP3345" s="151" t="e">
        <v>#N/A</v>
      </c>
      <c r="BQ3345">
        <v>0.11332468572476186</v>
      </c>
      <c r="BR3345" t="str">
        <v/>
      </c>
    </row>
    <row r="3346" spans="47:70" x14ac:dyDescent="0.2">
      <c r="AU3346"/>
      <c r="AV3346"/>
      <c r="AW3346"/>
      <c r="AX3346"/>
      <c r="AY3346"/>
      <c r="BK3346" s="42">
        <v>3345</v>
      </c>
      <c r="BL3346" s="127">
        <v>4</v>
      </c>
      <c r="BM3346" s="127">
        <v>0.11332468572476186</v>
      </c>
      <c r="BN3346" s="127" t="e">
        <v>#N/A</v>
      </c>
      <c r="BO3346" s="127" t="e">
        <v>#N/A</v>
      </c>
      <c r="BP3346" s="151" t="e">
        <v>#N/A</v>
      </c>
      <c r="BQ3346">
        <v>0.11332468572476186</v>
      </c>
      <c r="BR3346" t="str">
        <v/>
      </c>
    </row>
    <row r="3347" spans="47:70" x14ac:dyDescent="0.2">
      <c r="AU3347"/>
      <c r="AV3347"/>
      <c r="AW3347"/>
      <c r="AX3347"/>
      <c r="AY3347"/>
      <c r="BK3347" s="42">
        <v>3346</v>
      </c>
      <c r="BL3347" s="127">
        <v>4</v>
      </c>
      <c r="BM3347" s="127">
        <v>0.11332468572476186</v>
      </c>
      <c r="BN3347" s="127" t="e">
        <v>#N/A</v>
      </c>
      <c r="BO3347" s="127" t="e">
        <v>#N/A</v>
      </c>
      <c r="BP3347" s="151" t="e">
        <v>#N/A</v>
      </c>
      <c r="BQ3347">
        <v>0.11332468572476186</v>
      </c>
      <c r="BR3347" t="str">
        <v/>
      </c>
    </row>
    <row r="3348" spans="47:70" x14ac:dyDescent="0.2">
      <c r="AU3348"/>
      <c r="AV3348"/>
      <c r="AW3348"/>
      <c r="AX3348"/>
      <c r="AY3348"/>
      <c r="BK3348" s="42">
        <v>3347</v>
      </c>
      <c r="BL3348" s="127">
        <v>4</v>
      </c>
      <c r="BM3348" s="127">
        <v>0.11332468572476186</v>
      </c>
      <c r="BN3348" s="127" t="e">
        <v>#N/A</v>
      </c>
      <c r="BO3348" s="127" t="e">
        <v>#N/A</v>
      </c>
      <c r="BP3348" s="151" t="e">
        <v>#N/A</v>
      </c>
      <c r="BQ3348">
        <v>0.11332468572476186</v>
      </c>
      <c r="BR3348" t="str">
        <v/>
      </c>
    </row>
    <row r="3349" spans="47:70" x14ac:dyDescent="0.2">
      <c r="AU3349"/>
      <c r="AV3349"/>
      <c r="AW3349"/>
      <c r="AX3349"/>
      <c r="AY3349"/>
      <c r="BK3349" s="42">
        <v>3348</v>
      </c>
      <c r="BL3349" s="127">
        <v>4</v>
      </c>
      <c r="BM3349" s="127">
        <v>0.11332468572476186</v>
      </c>
      <c r="BN3349" s="127" t="e">
        <v>#N/A</v>
      </c>
      <c r="BO3349" s="127" t="e">
        <v>#N/A</v>
      </c>
      <c r="BP3349" s="151" t="e">
        <v>#N/A</v>
      </c>
      <c r="BQ3349">
        <v>0.11332468572476186</v>
      </c>
      <c r="BR3349" t="str">
        <v/>
      </c>
    </row>
    <row r="3350" spans="47:70" x14ac:dyDescent="0.2">
      <c r="AU3350"/>
      <c r="AV3350"/>
      <c r="AW3350"/>
      <c r="AX3350"/>
      <c r="AY3350"/>
      <c r="BK3350" s="42">
        <v>3349</v>
      </c>
      <c r="BL3350" s="127">
        <v>4</v>
      </c>
      <c r="BM3350" s="127">
        <v>0.11332468572476186</v>
      </c>
      <c r="BN3350" s="127" t="e">
        <v>#N/A</v>
      </c>
      <c r="BO3350" s="127" t="e">
        <v>#N/A</v>
      </c>
      <c r="BP3350" s="151" t="e">
        <v>#N/A</v>
      </c>
      <c r="BQ3350">
        <v>0.11332468572476186</v>
      </c>
      <c r="BR3350" t="str">
        <v/>
      </c>
    </row>
    <row r="3351" spans="47:70" x14ac:dyDescent="0.2">
      <c r="AU3351"/>
      <c r="AV3351"/>
      <c r="AW3351"/>
      <c r="AX3351"/>
      <c r="AY3351"/>
      <c r="BK3351" s="42">
        <v>3350</v>
      </c>
      <c r="BL3351" s="127">
        <v>4</v>
      </c>
      <c r="BM3351" s="127">
        <v>0.11332468572476186</v>
      </c>
      <c r="BN3351" s="127" t="e">
        <v>#N/A</v>
      </c>
      <c r="BO3351" s="127" t="e">
        <v>#N/A</v>
      </c>
      <c r="BP3351" s="151" t="e">
        <v>#N/A</v>
      </c>
      <c r="BQ3351">
        <v>0.11332468572476186</v>
      </c>
      <c r="BR3351" t="str">
        <v/>
      </c>
    </row>
    <row r="3352" spans="47:70" x14ac:dyDescent="0.2">
      <c r="AU3352"/>
      <c r="AV3352"/>
      <c r="AW3352"/>
      <c r="AX3352"/>
      <c r="AY3352"/>
      <c r="BK3352" s="42">
        <v>3351</v>
      </c>
      <c r="BL3352" s="127">
        <v>4</v>
      </c>
      <c r="BM3352" s="127">
        <v>0.11332468572476186</v>
      </c>
      <c r="BN3352" s="127" t="e">
        <v>#N/A</v>
      </c>
      <c r="BO3352" s="127" t="e">
        <v>#N/A</v>
      </c>
      <c r="BP3352" s="151" t="e">
        <v>#N/A</v>
      </c>
      <c r="BQ3352">
        <v>0.11332468572476186</v>
      </c>
      <c r="BR3352" t="str">
        <v/>
      </c>
    </row>
    <row r="3353" spans="47:70" x14ac:dyDescent="0.2">
      <c r="AU3353"/>
      <c r="AV3353"/>
      <c r="AW3353"/>
      <c r="AX3353"/>
      <c r="AY3353"/>
      <c r="BK3353" s="42">
        <v>3352</v>
      </c>
      <c r="BL3353" s="127">
        <v>4</v>
      </c>
      <c r="BM3353" s="127">
        <v>0.11332468572476186</v>
      </c>
      <c r="BN3353" s="127" t="e">
        <v>#N/A</v>
      </c>
      <c r="BO3353" s="127" t="e">
        <v>#N/A</v>
      </c>
      <c r="BP3353" s="151" t="e">
        <v>#N/A</v>
      </c>
      <c r="BQ3353">
        <v>0.11332468572476186</v>
      </c>
      <c r="BR3353" t="str">
        <v/>
      </c>
    </row>
    <row r="3354" spans="47:70" x14ac:dyDescent="0.2">
      <c r="AU3354"/>
      <c r="AV3354"/>
      <c r="AW3354"/>
      <c r="AX3354"/>
      <c r="AY3354"/>
      <c r="BK3354" s="42">
        <v>3353</v>
      </c>
      <c r="BL3354" s="127">
        <v>4</v>
      </c>
      <c r="BM3354" s="127">
        <v>0.11332468572476186</v>
      </c>
      <c r="BN3354" s="127" t="e">
        <v>#N/A</v>
      </c>
      <c r="BO3354" s="127" t="e">
        <v>#N/A</v>
      </c>
      <c r="BP3354" s="151" t="e">
        <v>#N/A</v>
      </c>
      <c r="BQ3354">
        <v>0.11332468572476186</v>
      </c>
      <c r="BR3354" t="str">
        <v/>
      </c>
    </row>
    <row r="3355" spans="47:70" x14ac:dyDescent="0.2">
      <c r="AU3355"/>
      <c r="AV3355"/>
      <c r="AW3355"/>
      <c r="AX3355"/>
      <c r="AY3355"/>
      <c r="BK3355" s="42">
        <v>3354</v>
      </c>
      <c r="BL3355" s="127">
        <v>4</v>
      </c>
      <c r="BM3355" s="127">
        <v>0.11332468572476186</v>
      </c>
      <c r="BN3355" s="127" t="e">
        <v>#N/A</v>
      </c>
      <c r="BO3355" s="127" t="e">
        <v>#N/A</v>
      </c>
      <c r="BP3355" s="151" t="e">
        <v>#N/A</v>
      </c>
      <c r="BQ3355">
        <v>0.11332468572476186</v>
      </c>
      <c r="BR3355" t="str">
        <v/>
      </c>
    </row>
    <row r="3356" spans="47:70" x14ac:dyDescent="0.2">
      <c r="AU3356"/>
      <c r="AV3356"/>
      <c r="AW3356"/>
      <c r="AX3356"/>
      <c r="AY3356"/>
      <c r="BK3356" s="42">
        <v>3355</v>
      </c>
      <c r="BL3356" s="127">
        <v>4</v>
      </c>
      <c r="BM3356" s="127">
        <v>0.11332468572476186</v>
      </c>
      <c r="BN3356" s="127" t="e">
        <v>#N/A</v>
      </c>
      <c r="BO3356" s="127" t="e">
        <v>#N/A</v>
      </c>
      <c r="BP3356" s="151" t="e">
        <v>#N/A</v>
      </c>
      <c r="BQ3356">
        <v>0.11332468572476186</v>
      </c>
      <c r="BR3356" t="str">
        <v/>
      </c>
    </row>
    <row r="3357" spans="47:70" x14ac:dyDescent="0.2">
      <c r="AU3357"/>
      <c r="AV3357"/>
      <c r="AW3357"/>
      <c r="AX3357"/>
      <c r="AY3357"/>
      <c r="BK3357" s="42">
        <v>3356</v>
      </c>
      <c r="BL3357" s="127">
        <v>4</v>
      </c>
      <c r="BM3357" s="127">
        <v>0.11332468572476186</v>
      </c>
      <c r="BN3357" s="127" t="e">
        <v>#N/A</v>
      </c>
      <c r="BO3357" s="127" t="e">
        <v>#N/A</v>
      </c>
      <c r="BP3357" s="151" t="e">
        <v>#N/A</v>
      </c>
      <c r="BQ3357">
        <v>0.11332468572476186</v>
      </c>
      <c r="BR3357" t="str">
        <v/>
      </c>
    </row>
    <row r="3358" spans="47:70" x14ac:dyDescent="0.2">
      <c r="AU3358"/>
      <c r="AV3358"/>
      <c r="AW3358"/>
      <c r="AX3358"/>
      <c r="AY3358"/>
      <c r="BK3358" s="42">
        <v>3357</v>
      </c>
      <c r="BL3358" s="127">
        <v>4</v>
      </c>
      <c r="BM3358" s="127">
        <v>0.11332468572476186</v>
      </c>
      <c r="BN3358" s="127" t="e">
        <v>#N/A</v>
      </c>
      <c r="BO3358" s="127" t="e">
        <v>#N/A</v>
      </c>
      <c r="BP3358" s="151" t="e">
        <v>#N/A</v>
      </c>
      <c r="BQ3358">
        <v>0.11332468572476186</v>
      </c>
      <c r="BR3358" t="str">
        <v/>
      </c>
    </row>
    <row r="3359" spans="47:70" x14ac:dyDescent="0.2">
      <c r="AU3359"/>
      <c r="AV3359"/>
      <c r="AW3359"/>
      <c r="AX3359"/>
      <c r="AY3359"/>
      <c r="BK3359" s="42">
        <v>3358</v>
      </c>
      <c r="BL3359" s="127">
        <v>4</v>
      </c>
      <c r="BM3359" s="127">
        <v>0.11332468572476186</v>
      </c>
      <c r="BN3359" s="127" t="e">
        <v>#N/A</v>
      </c>
      <c r="BO3359" s="127" t="e">
        <v>#N/A</v>
      </c>
      <c r="BP3359" s="151" t="e">
        <v>#N/A</v>
      </c>
      <c r="BQ3359">
        <v>0.11332468572476186</v>
      </c>
      <c r="BR3359" t="str">
        <v/>
      </c>
    </row>
    <row r="3360" spans="47:70" x14ac:dyDescent="0.2">
      <c r="AU3360"/>
      <c r="AV3360"/>
      <c r="AW3360"/>
      <c r="AX3360"/>
      <c r="AY3360"/>
      <c r="BK3360" s="42">
        <v>3359</v>
      </c>
      <c r="BL3360" s="127">
        <v>4</v>
      </c>
      <c r="BM3360" s="127">
        <v>0.11332468572476186</v>
      </c>
      <c r="BN3360" s="127" t="e">
        <v>#N/A</v>
      </c>
      <c r="BO3360" s="127" t="e">
        <v>#N/A</v>
      </c>
      <c r="BP3360" s="151" t="e">
        <v>#N/A</v>
      </c>
      <c r="BQ3360">
        <v>0.11332468572476186</v>
      </c>
      <c r="BR3360" t="str">
        <v/>
      </c>
    </row>
    <row r="3361" spans="47:70" x14ac:dyDescent="0.2">
      <c r="AU3361"/>
      <c r="AV3361"/>
      <c r="AW3361"/>
      <c r="AX3361"/>
      <c r="AY3361"/>
      <c r="BK3361" s="42">
        <v>3360</v>
      </c>
      <c r="BL3361" s="127">
        <v>4</v>
      </c>
      <c r="BM3361" s="127">
        <v>0.11332468572476186</v>
      </c>
      <c r="BN3361" s="127" t="e">
        <v>#N/A</v>
      </c>
      <c r="BO3361" s="127" t="e">
        <v>#N/A</v>
      </c>
      <c r="BP3361" s="151" t="e">
        <v>#N/A</v>
      </c>
      <c r="BQ3361">
        <v>0.11332468572476186</v>
      </c>
      <c r="BR3361" t="str">
        <v/>
      </c>
    </row>
    <row r="3362" spans="47:70" x14ac:dyDescent="0.2">
      <c r="AU3362"/>
      <c r="AV3362"/>
      <c r="AW3362"/>
      <c r="AX3362"/>
      <c r="AY3362"/>
      <c r="BK3362" s="42">
        <v>3361</v>
      </c>
      <c r="BL3362" s="127">
        <v>4</v>
      </c>
      <c r="BM3362" s="127">
        <v>0.11332468572476186</v>
      </c>
      <c r="BN3362" s="127" t="e">
        <v>#N/A</v>
      </c>
      <c r="BO3362" s="127" t="e">
        <v>#N/A</v>
      </c>
      <c r="BP3362" s="151" t="e">
        <v>#N/A</v>
      </c>
      <c r="BQ3362">
        <v>0.11332468572476186</v>
      </c>
      <c r="BR3362" t="str">
        <v/>
      </c>
    </row>
    <row r="3363" spans="47:70" x14ac:dyDescent="0.2">
      <c r="AU3363"/>
      <c r="AV3363"/>
      <c r="AW3363"/>
      <c r="AX3363"/>
      <c r="AY3363"/>
      <c r="BK3363" s="42">
        <v>3362</v>
      </c>
      <c r="BL3363" s="127">
        <v>4</v>
      </c>
      <c r="BM3363" s="127">
        <v>0.11332468572476186</v>
      </c>
      <c r="BN3363" s="127" t="e">
        <v>#N/A</v>
      </c>
      <c r="BO3363" s="127" t="e">
        <v>#N/A</v>
      </c>
      <c r="BP3363" s="151" t="e">
        <v>#N/A</v>
      </c>
      <c r="BQ3363">
        <v>0.11332468572476186</v>
      </c>
      <c r="BR3363" t="str">
        <v/>
      </c>
    </row>
    <row r="3364" spans="47:70" x14ac:dyDescent="0.2">
      <c r="AU3364"/>
      <c r="AV3364"/>
      <c r="AW3364"/>
      <c r="AX3364"/>
      <c r="AY3364"/>
      <c r="BK3364" s="42">
        <v>3363</v>
      </c>
      <c r="BL3364" s="127">
        <v>4</v>
      </c>
      <c r="BM3364" s="127">
        <v>0.11332468572476186</v>
      </c>
      <c r="BN3364" s="127" t="e">
        <v>#N/A</v>
      </c>
      <c r="BO3364" s="127" t="e">
        <v>#N/A</v>
      </c>
      <c r="BP3364" s="151" t="e">
        <v>#N/A</v>
      </c>
      <c r="BQ3364">
        <v>0.11332468572476186</v>
      </c>
      <c r="BR3364" t="str">
        <v/>
      </c>
    </row>
    <row r="3365" spans="47:70" x14ac:dyDescent="0.2">
      <c r="AU3365"/>
      <c r="AV3365"/>
      <c r="AW3365"/>
      <c r="AX3365"/>
      <c r="AY3365"/>
      <c r="BK3365" s="42">
        <v>3364</v>
      </c>
      <c r="BL3365" s="127">
        <v>4</v>
      </c>
      <c r="BM3365" s="127">
        <v>0.11332468572476186</v>
      </c>
      <c r="BN3365" s="127" t="e">
        <v>#N/A</v>
      </c>
      <c r="BO3365" s="127" t="e">
        <v>#N/A</v>
      </c>
      <c r="BP3365" s="151" t="e">
        <v>#N/A</v>
      </c>
      <c r="BQ3365">
        <v>0.11332468572476186</v>
      </c>
      <c r="BR3365" t="str">
        <v/>
      </c>
    </row>
    <row r="3366" spans="47:70" x14ac:dyDescent="0.2">
      <c r="AU3366"/>
      <c r="AV3366"/>
      <c r="AW3366"/>
      <c r="AX3366"/>
      <c r="AY3366"/>
      <c r="BK3366" s="42">
        <v>3365</v>
      </c>
      <c r="BL3366" s="127">
        <v>4</v>
      </c>
      <c r="BM3366" s="127">
        <v>0.11332468572476186</v>
      </c>
      <c r="BN3366" s="127" t="e">
        <v>#N/A</v>
      </c>
      <c r="BO3366" s="127" t="e">
        <v>#N/A</v>
      </c>
      <c r="BP3366" s="151" t="e">
        <v>#N/A</v>
      </c>
      <c r="BQ3366">
        <v>0.11332468572476186</v>
      </c>
      <c r="BR3366" t="str">
        <v/>
      </c>
    </row>
    <row r="3367" spans="47:70" x14ac:dyDescent="0.2">
      <c r="AU3367"/>
      <c r="AV3367"/>
      <c r="AW3367"/>
      <c r="AX3367"/>
      <c r="AY3367"/>
      <c r="BK3367" s="42">
        <v>3366</v>
      </c>
      <c r="BL3367" s="127">
        <v>4</v>
      </c>
      <c r="BM3367" s="127">
        <v>0.11332468572476186</v>
      </c>
      <c r="BN3367" s="127" t="e">
        <v>#N/A</v>
      </c>
      <c r="BO3367" s="127" t="e">
        <v>#N/A</v>
      </c>
      <c r="BP3367" s="151" t="e">
        <v>#N/A</v>
      </c>
      <c r="BQ3367">
        <v>0.11332468572476186</v>
      </c>
      <c r="BR3367" t="str">
        <v/>
      </c>
    </row>
    <row r="3368" spans="47:70" x14ac:dyDescent="0.2">
      <c r="AU3368"/>
      <c r="AV3368"/>
      <c r="AW3368"/>
      <c r="AX3368"/>
      <c r="AY3368"/>
      <c r="BK3368" s="42">
        <v>3367</v>
      </c>
      <c r="BL3368" s="127">
        <v>4</v>
      </c>
      <c r="BM3368" s="127">
        <v>0.11332468572476186</v>
      </c>
      <c r="BN3368" s="127" t="e">
        <v>#N/A</v>
      </c>
      <c r="BO3368" s="127" t="e">
        <v>#N/A</v>
      </c>
      <c r="BP3368" s="151" t="e">
        <v>#N/A</v>
      </c>
      <c r="BQ3368">
        <v>0.11332468572476186</v>
      </c>
      <c r="BR3368" t="str">
        <v/>
      </c>
    </row>
    <row r="3369" spans="47:70" x14ac:dyDescent="0.2">
      <c r="AU3369"/>
      <c r="AV3369"/>
      <c r="AW3369"/>
      <c r="AX3369"/>
      <c r="AY3369"/>
      <c r="BK3369" s="42">
        <v>3368</v>
      </c>
      <c r="BL3369" s="127">
        <v>4</v>
      </c>
      <c r="BM3369" s="127">
        <v>0.11332468572476186</v>
      </c>
      <c r="BN3369" s="127" t="e">
        <v>#N/A</v>
      </c>
      <c r="BO3369" s="127" t="e">
        <v>#N/A</v>
      </c>
      <c r="BP3369" s="151" t="e">
        <v>#N/A</v>
      </c>
      <c r="BQ3369">
        <v>0.11332468572476186</v>
      </c>
      <c r="BR3369" t="str">
        <v/>
      </c>
    </row>
    <row r="3370" spans="47:70" x14ac:dyDescent="0.2">
      <c r="AU3370"/>
      <c r="AV3370"/>
      <c r="AW3370"/>
      <c r="AX3370"/>
      <c r="AY3370"/>
      <c r="BK3370" s="42">
        <v>3369</v>
      </c>
      <c r="BL3370" s="127">
        <v>4</v>
      </c>
      <c r="BM3370" s="127">
        <v>0.11332468572476186</v>
      </c>
      <c r="BN3370" s="127" t="e">
        <v>#N/A</v>
      </c>
      <c r="BO3370" s="127" t="e">
        <v>#N/A</v>
      </c>
      <c r="BP3370" s="151" t="e">
        <v>#N/A</v>
      </c>
      <c r="BQ3370">
        <v>0.11332468572476186</v>
      </c>
      <c r="BR3370" t="str">
        <v/>
      </c>
    </row>
    <row r="3371" spans="47:70" x14ac:dyDescent="0.2">
      <c r="AU3371"/>
      <c r="AV3371"/>
      <c r="AW3371"/>
      <c r="AX3371"/>
      <c r="AY3371"/>
      <c r="BK3371" s="42">
        <v>3370</v>
      </c>
      <c r="BL3371" s="127">
        <v>4</v>
      </c>
      <c r="BM3371" s="127">
        <v>0.11332468572476186</v>
      </c>
      <c r="BN3371" s="127" t="e">
        <v>#N/A</v>
      </c>
      <c r="BO3371" s="127" t="e">
        <v>#N/A</v>
      </c>
      <c r="BP3371" s="151" t="e">
        <v>#N/A</v>
      </c>
      <c r="BQ3371">
        <v>0.11332468572476186</v>
      </c>
      <c r="BR3371" t="str">
        <v/>
      </c>
    </row>
    <row r="3372" spans="47:70" x14ac:dyDescent="0.2">
      <c r="AU3372"/>
      <c r="AV3372"/>
      <c r="AW3372"/>
      <c r="AX3372"/>
      <c r="AY3372"/>
      <c r="BK3372" s="42">
        <v>3371</v>
      </c>
      <c r="BL3372" s="127">
        <v>4</v>
      </c>
      <c r="BM3372" s="127">
        <v>0.11332468572476186</v>
      </c>
      <c r="BN3372" s="127" t="e">
        <v>#N/A</v>
      </c>
      <c r="BO3372" s="127" t="e">
        <v>#N/A</v>
      </c>
      <c r="BP3372" s="151" t="e">
        <v>#N/A</v>
      </c>
      <c r="BQ3372">
        <v>0.11332468572476186</v>
      </c>
      <c r="BR3372" t="str">
        <v/>
      </c>
    </row>
    <row r="3373" spans="47:70" x14ac:dyDescent="0.2">
      <c r="AU3373"/>
      <c r="AV3373"/>
      <c r="AW3373"/>
      <c r="AX3373"/>
      <c r="AY3373"/>
      <c r="BK3373" s="42">
        <v>3372</v>
      </c>
      <c r="BL3373" s="127">
        <v>4</v>
      </c>
      <c r="BM3373" s="127">
        <v>0.11332468572476186</v>
      </c>
      <c r="BN3373" s="127" t="e">
        <v>#N/A</v>
      </c>
      <c r="BO3373" s="127" t="e">
        <v>#N/A</v>
      </c>
      <c r="BP3373" s="151" t="e">
        <v>#N/A</v>
      </c>
      <c r="BQ3373">
        <v>0.11332468572476186</v>
      </c>
      <c r="BR3373" t="str">
        <v/>
      </c>
    </row>
    <row r="3374" spans="47:70" x14ac:dyDescent="0.2">
      <c r="AU3374"/>
      <c r="AV3374"/>
      <c r="AW3374"/>
      <c r="AX3374"/>
      <c r="AY3374"/>
      <c r="BK3374" s="42">
        <v>3373</v>
      </c>
      <c r="BL3374" s="127">
        <v>4</v>
      </c>
      <c r="BM3374" s="127">
        <v>0.11332468572476186</v>
      </c>
      <c r="BN3374" s="127" t="e">
        <v>#N/A</v>
      </c>
      <c r="BO3374" s="127" t="e">
        <v>#N/A</v>
      </c>
      <c r="BP3374" s="151" t="e">
        <v>#N/A</v>
      </c>
      <c r="BQ3374">
        <v>0.11332468572476186</v>
      </c>
      <c r="BR3374" t="str">
        <v/>
      </c>
    </row>
    <row r="3375" spans="47:70" x14ac:dyDescent="0.2">
      <c r="AU3375"/>
      <c r="AV3375"/>
      <c r="AW3375"/>
      <c r="AX3375"/>
      <c r="AY3375"/>
      <c r="BK3375" s="42">
        <v>3374</v>
      </c>
      <c r="BL3375" s="127">
        <v>4</v>
      </c>
      <c r="BM3375" s="127">
        <v>0.11332468572476186</v>
      </c>
      <c r="BN3375" s="127" t="e">
        <v>#N/A</v>
      </c>
      <c r="BO3375" s="127" t="e">
        <v>#N/A</v>
      </c>
      <c r="BP3375" s="151" t="e">
        <v>#N/A</v>
      </c>
      <c r="BQ3375">
        <v>0.11332468572476186</v>
      </c>
      <c r="BR3375" t="str">
        <v/>
      </c>
    </row>
    <row r="3376" spans="47:70" x14ac:dyDescent="0.2">
      <c r="AU3376"/>
      <c r="AV3376"/>
      <c r="AW3376"/>
      <c r="AX3376"/>
      <c r="AY3376"/>
      <c r="BK3376" s="42">
        <v>3375</v>
      </c>
      <c r="BL3376" s="127">
        <v>4</v>
      </c>
      <c r="BM3376" s="127">
        <v>0.11332468572476186</v>
      </c>
      <c r="BN3376" s="127" t="e">
        <v>#N/A</v>
      </c>
      <c r="BO3376" s="127" t="e">
        <v>#N/A</v>
      </c>
      <c r="BP3376" s="151" t="e">
        <v>#N/A</v>
      </c>
      <c r="BQ3376">
        <v>0.11332468572476186</v>
      </c>
      <c r="BR3376" t="str">
        <v/>
      </c>
    </row>
    <row r="3377" spans="47:70" x14ac:dyDescent="0.2">
      <c r="AU3377"/>
      <c r="AV3377"/>
      <c r="AW3377"/>
      <c r="AX3377"/>
      <c r="AY3377"/>
      <c r="BK3377" s="42">
        <v>3376</v>
      </c>
      <c r="BL3377" s="127">
        <v>4</v>
      </c>
      <c r="BM3377" s="127">
        <v>0.11332468572476186</v>
      </c>
      <c r="BN3377" s="127" t="e">
        <v>#N/A</v>
      </c>
      <c r="BO3377" s="127" t="e">
        <v>#N/A</v>
      </c>
      <c r="BP3377" s="151" t="e">
        <v>#N/A</v>
      </c>
      <c r="BQ3377">
        <v>0.11332468572476186</v>
      </c>
      <c r="BR3377" t="str">
        <v/>
      </c>
    </row>
    <row r="3378" spans="47:70" x14ac:dyDescent="0.2">
      <c r="AU3378"/>
      <c r="AV3378"/>
      <c r="AW3378"/>
      <c r="AX3378"/>
      <c r="AY3378"/>
      <c r="BK3378" s="42">
        <v>3377</v>
      </c>
      <c r="BL3378" s="127">
        <v>4</v>
      </c>
      <c r="BM3378" s="127">
        <v>0.11332468572476186</v>
      </c>
      <c r="BN3378" s="127" t="e">
        <v>#N/A</v>
      </c>
      <c r="BO3378" s="127" t="e">
        <v>#N/A</v>
      </c>
      <c r="BP3378" s="151" t="e">
        <v>#N/A</v>
      </c>
      <c r="BQ3378">
        <v>0.11332468572476186</v>
      </c>
      <c r="BR3378" t="str">
        <v/>
      </c>
    </row>
    <row r="3379" spans="47:70" x14ac:dyDescent="0.2">
      <c r="AU3379"/>
      <c r="AV3379"/>
      <c r="AW3379"/>
      <c r="AX3379"/>
      <c r="AY3379"/>
      <c r="BK3379" s="42">
        <v>3378</v>
      </c>
      <c r="BL3379" s="127">
        <v>4</v>
      </c>
      <c r="BM3379" s="127">
        <v>0.11332468572476186</v>
      </c>
      <c r="BN3379" s="127" t="e">
        <v>#N/A</v>
      </c>
      <c r="BO3379" s="127" t="e">
        <v>#N/A</v>
      </c>
      <c r="BP3379" s="151" t="e">
        <v>#N/A</v>
      </c>
      <c r="BQ3379">
        <v>0.11332468572476186</v>
      </c>
      <c r="BR3379" t="str">
        <v/>
      </c>
    </row>
    <row r="3380" spans="47:70" x14ac:dyDescent="0.2">
      <c r="AU3380"/>
      <c r="AV3380"/>
      <c r="AW3380"/>
      <c r="AX3380"/>
      <c r="AY3380"/>
      <c r="BK3380" s="42">
        <v>3379</v>
      </c>
      <c r="BL3380" s="127">
        <v>4</v>
      </c>
      <c r="BM3380" s="127">
        <v>0.11332468572476186</v>
      </c>
      <c r="BN3380" s="127" t="e">
        <v>#N/A</v>
      </c>
      <c r="BO3380" s="127" t="e">
        <v>#N/A</v>
      </c>
      <c r="BP3380" s="151" t="e">
        <v>#N/A</v>
      </c>
      <c r="BQ3380">
        <v>0.11332468572476186</v>
      </c>
      <c r="BR3380" t="str">
        <v/>
      </c>
    </row>
    <row r="3381" spans="47:70" x14ac:dyDescent="0.2">
      <c r="AU3381"/>
      <c r="AV3381"/>
      <c r="AW3381"/>
      <c r="AX3381"/>
      <c r="AY3381"/>
      <c r="BK3381" s="42">
        <v>3380</v>
      </c>
      <c r="BL3381" s="127">
        <v>4</v>
      </c>
      <c r="BM3381" s="127">
        <v>0.11332468572476186</v>
      </c>
      <c r="BN3381" s="127" t="e">
        <v>#N/A</v>
      </c>
      <c r="BO3381" s="127" t="e">
        <v>#N/A</v>
      </c>
      <c r="BP3381" s="151" t="e">
        <v>#N/A</v>
      </c>
      <c r="BQ3381">
        <v>0.11332468572476186</v>
      </c>
      <c r="BR3381" t="str">
        <v/>
      </c>
    </row>
    <row r="3382" spans="47:70" x14ac:dyDescent="0.2">
      <c r="AU3382"/>
      <c r="AV3382"/>
      <c r="AW3382"/>
      <c r="AX3382"/>
      <c r="AY3382"/>
      <c r="BK3382" s="42">
        <v>3381</v>
      </c>
      <c r="BL3382" s="127">
        <v>4</v>
      </c>
      <c r="BM3382" s="127">
        <v>0.11332468572476186</v>
      </c>
      <c r="BN3382" s="127" t="e">
        <v>#N/A</v>
      </c>
      <c r="BO3382" s="127" t="e">
        <v>#N/A</v>
      </c>
      <c r="BP3382" s="151" t="e">
        <v>#N/A</v>
      </c>
      <c r="BQ3382">
        <v>0.11332468572476186</v>
      </c>
      <c r="BR3382" t="str">
        <v/>
      </c>
    </row>
    <row r="3383" spans="47:70" x14ac:dyDescent="0.2">
      <c r="AU3383"/>
      <c r="AV3383"/>
      <c r="AW3383"/>
      <c r="AX3383"/>
      <c r="AY3383"/>
      <c r="BK3383" s="42">
        <v>3382</v>
      </c>
      <c r="BL3383" s="127">
        <v>4</v>
      </c>
      <c r="BM3383" s="127">
        <v>0.11332468572476186</v>
      </c>
      <c r="BN3383" s="127" t="e">
        <v>#N/A</v>
      </c>
      <c r="BO3383" s="127" t="e">
        <v>#N/A</v>
      </c>
      <c r="BP3383" s="151" t="e">
        <v>#N/A</v>
      </c>
      <c r="BQ3383">
        <v>0.11332468572476186</v>
      </c>
      <c r="BR3383" t="str">
        <v/>
      </c>
    </row>
    <row r="3384" spans="47:70" x14ac:dyDescent="0.2">
      <c r="AU3384"/>
      <c r="AV3384"/>
      <c r="AW3384"/>
      <c r="AX3384"/>
      <c r="AY3384"/>
      <c r="BK3384" s="42">
        <v>3383</v>
      </c>
      <c r="BL3384" s="127">
        <v>4</v>
      </c>
      <c r="BM3384" s="127">
        <v>0.11332468572476186</v>
      </c>
      <c r="BN3384" s="127" t="e">
        <v>#N/A</v>
      </c>
      <c r="BO3384" s="127" t="e">
        <v>#N/A</v>
      </c>
      <c r="BP3384" s="151" t="e">
        <v>#N/A</v>
      </c>
      <c r="BQ3384">
        <v>0.11332468572476186</v>
      </c>
      <c r="BR3384" t="str">
        <v/>
      </c>
    </row>
    <row r="3385" spans="47:70" x14ac:dyDescent="0.2">
      <c r="AU3385"/>
      <c r="AV3385"/>
      <c r="AW3385"/>
      <c r="AX3385"/>
      <c r="AY3385"/>
      <c r="BK3385" s="42">
        <v>3384</v>
      </c>
      <c r="BL3385" s="127">
        <v>4</v>
      </c>
      <c r="BM3385" s="127">
        <v>0.11332468572476186</v>
      </c>
      <c r="BN3385" s="127" t="e">
        <v>#N/A</v>
      </c>
      <c r="BO3385" s="127" t="e">
        <v>#N/A</v>
      </c>
      <c r="BP3385" s="151" t="e">
        <v>#N/A</v>
      </c>
      <c r="BQ3385">
        <v>0.11332468572476186</v>
      </c>
      <c r="BR3385" t="str">
        <v/>
      </c>
    </row>
    <row r="3386" spans="47:70" x14ac:dyDescent="0.2">
      <c r="AU3386"/>
      <c r="AV3386"/>
      <c r="AW3386"/>
      <c r="AX3386"/>
      <c r="AY3386"/>
      <c r="BK3386" s="42">
        <v>3385</v>
      </c>
      <c r="BL3386" s="127">
        <v>4</v>
      </c>
      <c r="BM3386" s="127">
        <v>0.11332468572476186</v>
      </c>
      <c r="BN3386" s="127" t="e">
        <v>#N/A</v>
      </c>
      <c r="BO3386" s="127" t="e">
        <v>#N/A</v>
      </c>
      <c r="BP3386" s="151" t="e">
        <v>#N/A</v>
      </c>
      <c r="BQ3386">
        <v>0.11332468572476186</v>
      </c>
      <c r="BR3386" t="str">
        <v/>
      </c>
    </row>
    <row r="3387" spans="47:70" x14ac:dyDescent="0.2">
      <c r="AU3387"/>
      <c r="AV3387"/>
      <c r="AW3387"/>
      <c r="AX3387"/>
      <c r="AY3387"/>
      <c r="BK3387" s="42">
        <v>3386</v>
      </c>
      <c r="BL3387" s="127">
        <v>4</v>
      </c>
      <c r="BM3387" s="127">
        <v>0.11332468572476186</v>
      </c>
      <c r="BN3387" s="127" t="e">
        <v>#N/A</v>
      </c>
      <c r="BO3387" s="127" t="e">
        <v>#N/A</v>
      </c>
      <c r="BP3387" s="151" t="e">
        <v>#N/A</v>
      </c>
      <c r="BQ3387">
        <v>0.11332468572476186</v>
      </c>
      <c r="BR3387" t="str">
        <v/>
      </c>
    </row>
    <row r="3388" spans="47:70" x14ac:dyDescent="0.2">
      <c r="AU3388"/>
      <c r="AV3388"/>
      <c r="AW3388"/>
      <c r="AX3388"/>
      <c r="AY3388"/>
      <c r="BK3388" s="42">
        <v>3387</v>
      </c>
      <c r="BL3388" s="127">
        <v>4</v>
      </c>
      <c r="BM3388" s="127">
        <v>0.11332468572476186</v>
      </c>
      <c r="BN3388" s="127" t="e">
        <v>#N/A</v>
      </c>
      <c r="BO3388" s="127" t="e">
        <v>#N/A</v>
      </c>
      <c r="BP3388" s="151" t="e">
        <v>#N/A</v>
      </c>
      <c r="BQ3388">
        <v>0.11332468572476186</v>
      </c>
      <c r="BR3388" t="str">
        <v/>
      </c>
    </row>
    <row r="3389" spans="47:70" x14ac:dyDescent="0.2">
      <c r="AU3389"/>
      <c r="AV3389"/>
      <c r="AW3389"/>
      <c r="AX3389"/>
      <c r="AY3389"/>
      <c r="BK3389" s="42">
        <v>3388</v>
      </c>
      <c r="BL3389" s="127">
        <v>4</v>
      </c>
      <c r="BM3389" s="127">
        <v>0.11332468572476186</v>
      </c>
      <c r="BN3389" s="127" t="e">
        <v>#N/A</v>
      </c>
      <c r="BO3389" s="127" t="e">
        <v>#N/A</v>
      </c>
      <c r="BP3389" s="151" t="e">
        <v>#N/A</v>
      </c>
      <c r="BQ3389">
        <v>0.11332468572476186</v>
      </c>
      <c r="BR3389" t="str">
        <v/>
      </c>
    </row>
    <row r="3390" spans="47:70" x14ac:dyDescent="0.2">
      <c r="AU3390"/>
      <c r="AV3390"/>
      <c r="AW3390"/>
      <c r="AX3390"/>
      <c r="AY3390"/>
      <c r="BK3390" s="42">
        <v>3389</v>
      </c>
      <c r="BL3390" s="127">
        <v>4</v>
      </c>
      <c r="BM3390" s="127">
        <v>0.11332468572476186</v>
      </c>
      <c r="BN3390" s="127" t="e">
        <v>#N/A</v>
      </c>
      <c r="BO3390" s="127" t="e">
        <v>#N/A</v>
      </c>
      <c r="BP3390" s="151" t="e">
        <v>#N/A</v>
      </c>
      <c r="BQ3390">
        <v>0.11332468572476186</v>
      </c>
      <c r="BR3390" t="str">
        <v/>
      </c>
    </row>
    <row r="3391" spans="47:70" x14ac:dyDescent="0.2">
      <c r="AU3391"/>
      <c r="AV3391"/>
      <c r="AW3391"/>
      <c r="AX3391"/>
      <c r="AY3391"/>
      <c r="BK3391" s="42">
        <v>3390</v>
      </c>
      <c r="BL3391" s="127">
        <v>4</v>
      </c>
      <c r="BM3391" s="127">
        <v>0.11332468572476186</v>
      </c>
      <c r="BN3391" s="127" t="e">
        <v>#N/A</v>
      </c>
      <c r="BO3391" s="127" t="e">
        <v>#N/A</v>
      </c>
      <c r="BP3391" s="151" t="e">
        <v>#N/A</v>
      </c>
      <c r="BQ3391">
        <v>0.11332468572476186</v>
      </c>
      <c r="BR3391" t="str">
        <v/>
      </c>
    </row>
    <row r="3392" spans="47:70" x14ac:dyDescent="0.2">
      <c r="AU3392"/>
      <c r="AV3392"/>
      <c r="AW3392"/>
      <c r="AX3392"/>
      <c r="AY3392"/>
      <c r="BK3392" s="42">
        <v>3391</v>
      </c>
      <c r="BL3392" s="127">
        <v>4</v>
      </c>
      <c r="BM3392" s="127">
        <v>0.11332468572476186</v>
      </c>
      <c r="BN3392" s="127" t="e">
        <v>#N/A</v>
      </c>
      <c r="BO3392" s="127" t="e">
        <v>#N/A</v>
      </c>
      <c r="BP3392" s="151" t="e">
        <v>#N/A</v>
      </c>
      <c r="BQ3392">
        <v>0.11332468572476186</v>
      </c>
      <c r="BR3392" t="str">
        <v/>
      </c>
    </row>
    <row r="3393" spans="47:70" x14ac:dyDescent="0.2">
      <c r="AU3393"/>
      <c r="AV3393"/>
      <c r="AW3393"/>
      <c r="AX3393"/>
      <c r="AY3393"/>
      <c r="BK3393" s="42">
        <v>3392</v>
      </c>
      <c r="BL3393" s="127">
        <v>4</v>
      </c>
      <c r="BM3393" s="127">
        <v>0.11332468572476186</v>
      </c>
      <c r="BN3393" s="127" t="e">
        <v>#N/A</v>
      </c>
      <c r="BO3393" s="127" t="e">
        <v>#N/A</v>
      </c>
      <c r="BP3393" s="151" t="e">
        <v>#N/A</v>
      </c>
      <c r="BQ3393">
        <v>0.11332468572476186</v>
      </c>
      <c r="BR3393" t="str">
        <v/>
      </c>
    </row>
    <row r="3394" spans="47:70" x14ac:dyDescent="0.2">
      <c r="AU3394"/>
      <c r="AV3394"/>
      <c r="AW3394"/>
      <c r="AX3394"/>
      <c r="AY3394"/>
      <c r="BK3394" s="42">
        <v>3393</v>
      </c>
      <c r="BL3394" s="127">
        <v>4</v>
      </c>
      <c r="BM3394" s="127">
        <v>0.11332468572476186</v>
      </c>
      <c r="BN3394" s="127" t="e">
        <v>#N/A</v>
      </c>
      <c r="BO3394" s="127" t="e">
        <v>#N/A</v>
      </c>
      <c r="BP3394" s="151" t="e">
        <v>#N/A</v>
      </c>
      <c r="BQ3394">
        <v>0.11332468572476186</v>
      </c>
      <c r="BR3394" t="str">
        <v/>
      </c>
    </row>
    <row r="3395" spans="47:70" x14ac:dyDescent="0.2">
      <c r="AU3395"/>
      <c r="AV3395"/>
      <c r="AW3395"/>
      <c r="AX3395"/>
      <c r="AY3395"/>
      <c r="BK3395" s="42">
        <v>3394</v>
      </c>
      <c r="BL3395" s="127">
        <v>4</v>
      </c>
      <c r="BM3395" s="127">
        <v>0.11332468572476186</v>
      </c>
      <c r="BN3395" s="127" t="e">
        <v>#N/A</v>
      </c>
      <c r="BO3395" s="127" t="e">
        <v>#N/A</v>
      </c>
      <c r="BP3395" s="151" t="e">
        <v>#N/A</v>
      </c>
      <c r="BQ3395">
        <v>0.11332468572476186</v>
      </c>
      <c r="BR3395" t="str">
        <v/>
      </c>
    </row>
    <row r="3396" spans="47:70" x14ac:dyDescent="0.2">
      <c r="AU3396"/>
      <c r="AV3396"/>
      <c r="AW3396"/>
      <c r="AX3396"/>
      <c r="AY3396"/>
      <c r="BK3396" s="42">
        <v>3395</v>
      </c>
      <c r="BL3396" s="127">
        <v>4</v>
      </c>
      <c r="BM3396" s="127">
        <v>0.11332468572476186</v>
      </c>
      <c r="BN3396" s="127" t="e">
        <v>#N/A</v>
      </c>
      <c r="BO3396" s="127" t="e">
        <v>#N/A</v>
      </c>
      <c r="BP3396" s="151" t="e">
        <v>#N/A</v>
      </c>
      <c r="BQ3396">
        <v>0.11332468572476186</v>
      </c>
      <c r="BR3396" t="str">
        <v/>
      </c>
    </row>
    <row r="3397" spans="47:70" x14ac:dyDescent="0.2">
      <c r="AU3397"/>
      <c r="AV3397"/>
      <c r="AW3397"/>
      <c r="AX3397"/>
      <c r="AY3397"/>
      <c r="BK3397" s="42">
        <v>3396</v>
      </c>
      <c r="BL3397" s="127">
        <v>4</v>
      </c>
      <c r="BM3397" s="127">
        <v>0.11332468572476186</v>
      </c>
      <c r="BN3397" s="127" t="e">
        <v>#N/A</v>
      </c>
      <c r="BO3397" s="127" t="e">
        <v>#N/A</v>
      </c>
      <c r="BP3397" s="151" t="e">
        <v>#N/A</v>
      </c>
      <c r="BQ3397">
        <v>0.11332468572476186</v>
      </c>
      <c r="BR3397" t="str">
        <v/>
      </c>
    </row>
    <row r="3398" spans="47:70" x14ac:dyDescent="0.2">
      <c r="AU3398"/>
      <c r="AV3398"/>
      <c r="AW3398"/>
      <c r="AX3398"/>
      <c r="AY3398"/>
      <c r="BK3398" s="42">
        <v>3397</v>
      </c>
      <c r="BL3398" s="127">
        <v>4</v>
      </c>
      <c r="BM3398" s="127">
        <v>0.11332468572476186</v>
      </c>
      <c r="BN3398" s="127" t="e">
        <v>#N/A</v>
      </c>
      <c r="BO3398" s="127" t="e">
        <v>#N/A</v>
      </c>
      <c r="BP3398" s="151" t="e">
        <v>#N/A</v>
      </c>
      <c r="BQ3398">
        <v>0.11332468572476186</v>
      </c>
      <c r="BR3398" t="str">
        <v/>
      </c>
    </row>
    <row r="3399" spans="47:70" x14ac:dyDescent="0.2">
      <c r="AU3399"/>
      <c r="AV3399"/>
      <c r="AW3399"/>
      <c r="AX3399"/>
      <c r="AY3399"/>
      <c r="BK3399" s="42">
        <v>3398</v>
      </c>
      <c r="BL3399" s="127">
        <v>4</v>
      </c>
      <c r="BM3399" s="127">
        <v>0.11332468572476186</v>
      </c>
      <c r="BN3399" s="127" t="e">
        <v>#N/A</v>
      </c>
      <c r="BO3399" s="127" t="e">
        <v>#N/A</v>
      </c>
      <c r="BP3399" s="151" t="e">
        <v>#N/A</v>
      </c>
      <c r="BQ3399">
        <v>0.11332468572476186</v>
      </c>
      <c r="BR3399" t="str">
        <v/>
      </c>
    </row>
    <row r="3400" spans="47:70" x14ac:dyDescent="0.2">
      <c r="AU3400"/>
      <c r="AV3400"/>
      <c r="AW3400"/>
      <c r="AX3400"/>
      <c r="AY3400"/>
      <c r="BK3400" s="42">
        <v>3399</v>
      </c>
      <c r="BL3400" s="127">
        <v>4</v>
      </c>
      <c r="BM3400" s="127">
        <v>0.11332468572476186</v>
      </c>
      <c r="BN3400" s="127" t="e">
        <v>#N/A</v>
      </c>
      <c r="BO3400" s="127" t="e">
        <v>#N/A</v>
      </c>
      <c r="BP3400" s="151" t="e">
        <v>#N/A</v>
      </c>
      <c r="BQ3400">
        <v>0.11332468572476186</v>
      </c>
      <c r="BR3400" t="str">
        <v/>
      </c>
    </row>
    <row r="3401" spans="47:70" x14ac:dyDescent="0.2">
      <c r="AU3401"/>
      <c r="AV3401"/>
      <c r="AW3401"/>
      <c r="AX3401"/>
      <c r="AY3401"/>
      <c r="BK3401" s="42">
        <v>3400</v>
      </c>
      <c r="BL3401" s="127">
        <v>4</v>
      </c>
      <c r="BM3401" s="127">
        <v>0.11332468572476186</v>
      </c>
      <c r="BN3401" s="127" t="e">
        <v>#N/A</v>
      </c>
      <c r="BO3401" s="127" t="e">
        <v>#N/A</v>
      </c>
      <c r="BP3401" s="151" t="e">
        <v>#N/A</v>
      </c>
      <c r="BQ3401">
        <v>0.11332468572476186</v>
      </c>
      <c r="BR3401" t="str">
        <v/>
      </c>
    </row>
    <row r="3402" spans="47:70" x14ac:dyDescent="0.2">
      <c r="AU3402"/>
      <c r="AV3402"/>
      <c r="AW3402"/>
      <c r="AX3402"/>
      <c r="AY3402"/>
      <c r="BK3402" s="42">
        <v>3401</v>
      </c>
      <c r="BL3402" s="127">
        <v>4</v>
      </c>
      <c r="BM3402" s="127">
        <v>0.11332468572476186</v>
      </c>
      <c r="BN3402" s="127" t="e">
        <v>#N/A</v>
      </c>
      <c r="BO3402" s="127" t="e">
        <v>#N/A</v>
      </c>
      <c r="BP3402" s="151" t="e">
        <v>#N/A</v>
      </c>
      <c r="BQ3402">
        <v>0.11332468572476186</v>
      </c>
      <c r="BR3402" t="str">
        <v/>
      </c>
    </row>
    <row r="3403" spans="47:70" x14ac:dyDescent="0.2">
      <c r="AU3403"/>
      <c r="AV3403"/>
      <c r="AW3403"/>
      <c r="AX3403"/>
      <c r="AY3403"/>
      <c r="BK3403" s="42">
        <v>3402</v>
      </c>
      <c r="BL3403" s="127">
        <v>4</v>
      </c>
      <c r="BM3403" s="127">
        <v>0.11332468572476186</v>
      </c>
      <c r="BN3403" s="127" t="e">
        <v>#N/A</v>
      </c>
      <c r="BO3403" s="127" t="e">
        <v>#N/A</v>
      </c>
      <c r="BP3403" s="151" t="e">
        <v>#N/A</v>
      </c>
      <c r="BQ3403">
        <v>0.11332468572476186</v>
      </c>
      <c r="BR3403" t="str">
        <v/>
      </c>
    </row>
    <row r="3404" spans="47:70" x14ac:dyDescent="0.2">
      <c r="AU3404"/>
      <c r="AV3404"/>
      <c r="AW3404"/>
      <c r="AX3404"/>
      <c r="AY3404"/>
      <c r="BK3404" s="42">
        <v>3403</v>
      </c>
      <c r="BL3404" s="127">
        <v>4</v>
      </c>
      <c r="BM3404" s="127">
        <v>0.11332468572476186</v>
      </c>
      <c r="BN3404" s="127" t="e">
        <v>#N/A</v>
      </c>
      <c r="BO3404" s="127" t="e">
        <v>#N/A</v>
      </c>
      <c r="BP3404" s="151" t="e">
        <v>#N/A</v>
      </c>
      <c r="BQ3404">
        <v>0.11332468572476186</v>
      </c>
      <c r="BR3404" t="str">
        <v/>
      </c>
    </row>
    <row r="3405" spans="47:70" x14ac:dyDescent="0.2">
      <c r="AU3405"/>
      <c r="AV3405"/>
      <c r="AW3405"/>
      <c r="AX3405"/>
      <c r="AY3405"/>
      <c r="BK3405" s="42">
        <v>3404</v>
      </c>
      <c r="BL3405" s="127">
        <v>4</v>
      </c>
      <c r="BM3405" s="127">
        <v>0.11332468572476186</v>
      </c>
      <c r="BN3405" s="127" t="e">
        <v>#N/A</v>
      </c>
      <c r="BO3405" s="127" t="e">
        <v>#N/A</v>
      </c>
      <c r="BP3405" s="151" t="e">
        <v>#N/A</v>
      </c>
      <c r="BQ3405">
        <v>0.11332468572476186</v>
      </c>
      <c r="BR3405" t="str">
        <v/>
      </c>
    </row>
    <row r="3406" spans="47:70" x14ac:dyDescent="0.2">
      <c r="AU3406"/>
      <c r="AV3406"/>
      <c r="AW3406"/>
      <c r="AX3406"/>
      <c r="AY3406"/>
      <c r="BK3406" s="42">
        <v>3405</v>
      </c>
      <c r="BL3406" s="127">
        <v>4</v>
      </c>
      <c r="BM3406" s="127">
        <v>0.11332468572476186</v>
      </c>
      <c r="BN3406" s="127" t="e">
        <v>#N/A</v>
      </c>
      <c r="BO3406" s="127" t="e">
        <v>#N/A</v>
      </c>
      <c r="BP3406" s="151" t="e">
        <v>#N/A</v>
      </c>
      <c r="BQ3406">
        <v>0.11332468572476186</v>
      </c>
      <c r="BR3406" t="str">
        <v/>
      </c>
    </row>
    <row r="3407" spans="47:70" x14ac:dyDescent="0.2">
      <c r="AU3407"/>
      <c r="AV3407"/>
      <c r="AW3407"/>
      <c r="AX3407"/>
      <c r="AY3407"/>
      <c r="BK3407" s="42">
        <v>3406</v>
      </c>
      <c r="BL3407" s="127">
        <v>4</v>
      </c>
      <c r="BM3407" s="127">
        <v>0.11332468572476186</v>
      </c>
      <c r="BN3407" s="127" t="e">
        <v>#N/A</v>
      </c>
      <c r="BO3407" s="127" t="e">
        <v>#N/A</v>
      </c>
      <c r="BP3407" s="151" t="e">
        <v>#N/A</v>
      </c>
      <c r="BQ3407">
        <v>0.11332468572476186</v>
      </c>
      <c r="BR3407" t="str">
        <v/>
      </c>
    </row>
    <row r="3408" spans="47:70" x14ac:dyDescent="0.2">
      <c r="AU3408"/>
      <c r="AV3408"/>
      <c r="AW3408"/>
      <c r="AX3408"/>
      <c r="AY3408"/>
      <c r="BK3408" s="42">
        <v>3407</v>
      </c>
      <c r="BL3408" s="127">
        <v>4</v>
      </c>
      <c r="BM3408" s="127">
        <v>0.11332468572476186</v>
      </c>
      <c r="BN3408" s="127" t="e">
        <v>#N/A</v>
      </c>
      <c r="BO3408" s="127" t="e">
        <v>#N/A</v>
      </c>
      <c r="BP3408" s="151" t="e">
        <v>#N/A</v>
      </c>
      <c r="BQ3408">
        <v>0.11332468572476186</v>
      </c>
      <c r="BR3408" t="str">
        <v/>
      </c>
    </row>
    <row r="3409" spans="47:70" x14ac:dyDescent="0.2">
      <c r="AU3409"/>
      <c r="AV3409"/>
      <c r="AW3409"/>
      <c r="AX3409"/>
      <c r="AY3409"/>
      <c r="BK3409" s="42">
        <v>3408</v>
      </c>
      <c r="BL3409" s="127">
        <v>4</v>
      </c>
      <c r="BM3409" s="127">
        <v>0.11332468572476186</v>
      </c>
      <c r="BN3409" s="127" t="e">
        <v>#N/A</v>
      </c>
      <c r="BO3409" s="127" t="e">
        <v>#N/A</v>
      </c>
      <c r="BP3409" s="151" t="e">
        <v>#N/A</v>
      </c>
      <c r="BQ3409">
        <v>0.11332468572476186</v>
      </c>
      <c r="BR3409" t="str">
        <v/>
      </c>
    </row>
    <row r="3410" spans="47:70" x14ac:dyDescent="0.2">
      <c r="AU3410"/>
      <c r="AV3410"/>
      <c r="AW3410"/>
      <c r="AX3410"/>
      <c r="AY3410"/>
      <c r="BK3410" s="42">
        <v>3409</v>
      </c>
      <c r="BL3410" s="127">
        <v>4</v>
      </c>
      <c r="BM3410" s="127">
        <v>0.11332468572476186</v>
      </c>
      <c r="BN3410" s="127" t="e">
        <v>#N/A</v>
      </c>
      <c r="BO3410" s="127" t="e">
        <v>#N/A</v>
      </c>
      <c r="BP3410" s="151" t="e">
        <v>#N/A</v>
      </c>
      <c r="BQ3410">
        <v>0.11332468572476186</v>
      </c>
      <c r="BR3410" t="str">
        <v/>
      </c>
    </row>
    <row r="3411" spans="47:70" x14ac:dyDescent="0.2">
      <c r="AU3411"/>
      <c r="AV3411"/>
      <c r="AW3411"/>
      <c r="AX3411"/>
      <c r="AY3411"/>
      <c r="BK3411" s="42">
        <v>3410</v>
      </c>
      <c r="BL3411" s="127">
        <v>4</v>
      </c>
      <c r="BM3411" s="127">
        <v>0.11332468572476186</v>
      </c>
      <c r="BN3411" s="127" t="e">
        <v>#N/A</v>
      </c>
      <c r="BO3411" s="127" t="e">
        <v>#N/A</v>
      </c>
      <c r="BP3411" s="151" t="e">
        <v>#N/A</v>
      </c>
      <c r="BQ3411">
        <v>0.11332468572476186</v>
      </c>
      <c r="BR3411" t="str">
        <v/>
      </c>
    </row>
    <row r="3412" spans="47:70" x14ac:dyDescent="0.2">
      <c r="AU3412"/>
      <c r="AV3412"/>
      <c r="AW3412"/>
      <c r="AX3412"/>
      <c r="AY3412"/>
      <c r="BK3412" s="42">
        <v>3411</v>
      </c>
      <c r="BL3412" s="127">
        <v>4</v>
      </c>
      <c r="BM3412" s="127">
        <v>0.11332468572476186</v>
      </c>
      <c r="BN3412" s="127" t="e">
        <v>#N/A</v>
      </c>
      <c r="BO3412" s="127" t="e">
        <v>#N/A</v>
      </c>
      <c r="BP3412" s="151" t="e">
        <v>#N/A</v>
      </c>
      <c r="BQ3412">
        <v>0.11332468572476186</v>
      </c>
      <c r="BR3412" t="str">
        <v/>
      </c>
    </row>
    <row r="3413" spans="47:70" x14ac:dyDescent="0.2">
      <c r="AU3413"/>
      <c r="AV3413"/>
      <c r="AW3413"/>
      <c r="AX3413"/>
      <c r="AY3413"/>
      <c r="BK3413" s="42">
        <v>3412</v>
      </c>
      <c r="BL3413" s="127">
        <v>4</v>
      </c>
      <c r="BM3413" s="127">
        <v>0.11332468572476186</v>
      </c>
      <c r="BN3413" s="127" t="e">
        <v>#N/A</v>
      </c>
      <c r="BO3413" s="127" t="e">
        <v>#N/A</v>
      </c>
      <c r="BP3413" s="151" t="e">
        <v>#N/A</v>
      </c>
      <c r="BQ3413">
        <v>0.11332468572476186</v>
      </c>
      <c r="BR3413" t="str">
        <v/>
      </c>
    </row>
    <row r="3414" spans="47:70" x14ac:dyDescent="0.2">
      <c r="AU3414"/>
      <c r="AV3414"/>
      <c r="AW3414"/>
      <c r="AX3414"/>
      <c r="AY3414"/>
      <c r="BK3414" s="42">
        <v>3413</v>
      </c>
      <c r="BL3414" s="127">
        <v>4</v>
      </c>
      <c r="BM3414" s="127">
        <v>0.11332468572476186</v>
      </c>
      <c r="BN3414" s="127" t="e">
        <v>#N/A</v>
      </c>
      <c r="BO3414" s="127" t="e">
        <v>#N/A</v>
      </c>
      <c r="BP3414" s="151" t="e">
        <v>#N/A</v>
      </c>
      <c r="BQ3414">
        <v>0.11332468572476186</v>
      </c>
      <c r="BR3414" t="str">
        <v/>
      </c>
    </row>
    <row r="3415" spans="47:70" x14ac:dyDescent="0.2">
      <c r="AU3415"/>
      <c r="AV3415"/>
      <c r="AW3415"/>
      <c r="AX3415"/>
      <c r="AY3415"/>
      <c r="BK3415" s="42">
        <v>3414</v>
      </c>
      <c r="BL3415" s="127">
        <v>4</v>
      </c>
      <c r="BM3415" s="127">
        <v>0.11332468572476186</v>
      </c>
      <c r="BN3415" s="127" t="e">
        <v>#N/A</v>
      </c>
      <c r="BO3415" s="127" t="e">
        <v>#N/A</v>
      </c>
      <c r="BP3415" s="151" t="e">
        <v>#N/A</v>
      </c>
      <c r="BQ3415">
        <v>0.11332468572476186</v>
      </c>
      <c r="BR3415" t="str">
        <v/>
      </c>
    </row>
    <row r="3416" spans="47:70" x14ac:dyDescent="0.2">
      <c r="AU3416"/>
      <c r="AV3416"/>
      <c r="AW3416"/>
      <c r="AX3416"/>
      <c r="AY3416"/>
      <c r="BK3416" s="42">
        <v>3415</v>
      </c>
      <c r="BL3416" s="127">
        <v>4</v>
      </c>
      <c r="BM3416" s="127">
        <v>0.11332468572476186</v>
      </c>
      <c r="BN3416" s="127" t="e">
        <v>#N/A</v>
      </c>
      <c r="BO3416" s="127" t="e">
        <v>#N/A</v>
      </c>
      <c r="BP3416" s="151" t="e">
        <v>#N/A</v>
      </c>
      <c r="BQ3416">
        <v>0.11332468572476186</v>
      </c>
      <c r="BR3416" t="str">
        <v/>
      </c>
    </row>
    <row r="3417" spans="47:70" x14ac:dyDescent="0.2">
      <c r="AU3417"/>
      <c r="AV3417"/>
      <c r="AW3417"/>
      <c r="AX3417"/>
      <c r="AY3417"/>
      <c r="BK3417" s="42">
        <v>3416</v>
      </c>
      <c r="BL3417" s="127">
        <v>4</v>
      </c>
      <c r="BM3417" s="127">
        <v>0.11332468572476186</v>
      </c>
      <c r="BN3417" s="127" t="e">
        <v>#N/A</v>
      </c>
      <c r="BO3417" s="127" t="e">
        <v>#N/A</v>
      </c>
      <c r="BP3417" s="151" t="e">
        <v>#N/A</v>
      </c>
      <c r="BQ3417">
        <v>0.11332468572476186</v>
      </c>
      <c r="BR3417" t="str">
        <v/>
      </c>
    </row>
    <row r="3418" spans="47:70" x14ac:dyDescent="0.2">
      <c r="AU3418"/>
      <c r="AV3418"/>
      <c r="AW3418"/>
      <c r="AX3418"/>
      <c r="AY3418"/>
      <c r="BK3418" s="42">
        <v>3417</v>
      </c>
      <c r="BL3418" s="127">
        <v>4</v>
      </c>
      <c r="BM3418" s="127">
        <v>0.11332468572476186</v>
      </c>
      <c r="BN3418" s="127" t="e">
        <v>#N/A</v>
      </c>
      <c r="BO3418" s="127" t="e">
        <v>#N/A</v>
      </c>
      <c r="BP3418" s="151" t="e">
        <v>#N/A</v>
      </c>
      <c r="BQ3418">
        <v>0.11332468572476186</v>
      </c>
      <c r="BR3418" t="str">
        <v/>
      </c>
    </row>
    <row r="3419" spans="47:70" x14ac:dyDescent="0.2">
      <c r="AU3419"/>
      <c r="AV3419"/>
      <c r="AW3419"/>
      <c r="AX3419"/>
      <c r="AY3419"/>
      <c r="BK3419" s="42">
        <v>3418</v>
      </c>
      <c r="BL3419" s="127">
        <v>4</v>
      </c>
      <c r="BM3419" s="127">
        <v>0.11332468572476186</v>
      </c>
      <c r="BN3419" s="127" t="e">
        <v>#N/A</v>
      </c>
      <c r="BO3419" s="127" t="e">
        <v>#N/A</v>
      </c>
      <c r="BP3419" s="151" t="e">
        <v>#N/A</v>
      </c>
      <c r="BQ3419">
        <v>0.11332468572476186</v>
      </c>
      <c r="BR3419" t="str">
        <v/>
      </c>
    </row>
    <row r="3420" spans="47:70" x14ac:dyDescent="0.2">
      <c r="AU3420"/>
      <c r="AV3420"/>
      <c r="AW3420"/>
      <c r="AX3420"/>
      <c r="AY3420"/>
      <c r="BK3420" s="42">
        <v>3419</v>
      </c>
      <c r="BL3420" s="127">
        <v>4</v>
      </c>
      <c r="BM3420" s="127">
        <v>0.11332468572476186</v>
      </c>
      <c r="BN3420" s="127" t="e">
        <v>#N/A</v>
      </c>
      <c r="BO3420" s="127" t="e">
        <v>#N/A</v>
      </c>
      <c r="BP3420" s="151" t="e">
        <v>#N/A</v>
      </c>
      <c r="BQ3420">
        <v>0.11332468572476186</v>
      </c>
      <c r="BR3420" t="str">
        <v/>
      </c>
    </row>
    <row r="3421" spans="47:70" x14ac:dyDescent="0.2">
      <c r="AU3421"/>
      <c r="AV3421"/>
      <c r="AW3421"/>
      <c r="AX3421"/>
      <c r="AY3421"/>
      <c r="BK3421" s="42">
        <v>3420</v>
      </c>
      <c r="BL3421" s="127">
        <v>4</v>
      </c>
      <c r="BM3421" s="127">
        <v>0.11332468572476186</v>
      </c>
      <c r="BN3421" s="127" t="e">
        <v>#N/A</v>
      </c>
      <c r="BO3421" s="127" t="e">
        <v>#N/A</v>
      </c>
      <c r="BP3421" s="151" t="e">
        <v>#N/A</v>
      </c>
      <c r="BQ3421">
        <v>0.11332468572476186</v>
      </c>
      <c r="BR3421" t="str">
        <v/>
      </c>
    </row>
    <row r="3422" spans="47:70" x14ac:dyDescent="0.2">
      <c r="AU3422"/>
      <c r="AV3422"/>
      <c r="AW3422"/>
      <c r="AX3422"/>
      <c r="AY3422"/>
      <c r="BK3422" s="42">
        <v>3421</v>
      </c>
      <c r="BL3422" s="127">
        <v>4</v>
      </c>
      <c r="BM3422" s="127">
        <v>0.11332468572476186</v>
      </c>
      <c r="BN3422" s="127" t="e">
        <v>#N/A</v>
      </c>
      <c r="BO3422" s="127" t="e">
        <v>#N/A</v>
      </c>
      <c r="BP3422" s="151" t="e">
        <v>#N/A</v>
      </c>
      <c r="BQ3422">
        <v>0.11332468572476186</v>
      </c>
      <c r="BR3422" t="str">
        <v/>
      </c>
    </row>
    <row r="3423" spans="47:70" x14ac:dyDescent="0.2">
      <c r="AU3423"/>
      <c r="AV3423"/>
      <c r="AW3423"/>
      <c r="AX3423"/>
      <c r="AY3423"/>
      <c r="BK3423" s="42">
        <v>3422</v>
      </c>
      <c r="BL3423" s="127">
        <v>4</v>
      </c>
      <c r="BM3423" s="127">
        <v>0.11332468572476186</v>
      </c>
      <c r="BN3423" s="127" t="e">
        <v>#N/A</v>
      </c>
      <c r="BO3423" s="127" t="e">
        <v>#N/A</v>
      </c>
      <c r="BP3423" s="151" t="e">
        <v>#N/A</v>
      </c>
      <c r="BQ3423">
        <v>0.11332468572476186</v>
      </c>
      <c r="BR3423" t="str">
        <v/>
      </c>
    </row>
    <row r="3424" spans="47:70" x14ac:dyDescent="0.2">
      <c r="AU3424"/>
      <c r="AV3424"/>
      <c r="AW3424"/>
      <c r="AX3424"/>
      <c r="AY3424"/>
      <c r="BK3424" s="42">
        <v>3423</v>
      </c>
      <c r="BL3424" s="127">
        <v>4</v>
      </c>
      <c r="BM3424" s="127">
        <v>0.11332468572476186</v>
      </c>
      <c r="BN3424" s="127" t="e">
        <v>#N/A</v>
      </c>
      <c r="BO3424" s="127" t="e">
        <v>#N/A</v>
      </c>
      <c r="BP3424" s="151" t="e">
        <v>#N/A</v>
      </c>
      <c r="BQ3424">
        <v>0.11332468572476186</v>
      </c>
      <c r="BR3424" t="str">
        <v/>
      </c>
    </row>
    <row r="3425" spans="47:70" x14ac:dyDescent="0.2">
      <c r="AU3425"/>
      <c r="AV3425"/>
      <c r="AW3425"/>
      <c r="AX3425"/>
      <c r="AY3425"/>
      <c r="BK3425" s="42">
        <v>3424</v>
      </c>
      <c r="BL3425" s="127">
        <v>4</v>
      </c>
      <c r="BM3425" s="127">
        <v>0.11332468572476186</v>
      </c>
      <c r="BN3425" s="127" t="e">
        <v>#N/A</v>
      </c>
      <c r="BO3425" s="127" t="e">
        <v>#N/A</v>
      </c>
      <c r="BP3425" s="151" t="e">
        <v>#N/A</v>
      </c>
      <c r="BQ3425">
        <v>0.11332468572476186</v>
      </c>
      <c r="BR3425" t="str">
        <v/>
      </c>
    </row>
    <row r="3426" spans="47:70" x14ac:dyDescent="0.2">
      <c r="AU3426"/>
      <c r="AV3426"/>
      <c r="AW3426"/>
      <c r="AX3426"/>
      <c r="AY3426"/>
      <c r="BK3426" s="42">
        <v>3425</v>
      </c>
      <c r="BL3426" s="127">
        <v>4</v>
      </c>
      <c r="BM3426" s="127">
        <v>0.11332468572476186</v>
      </c>
      <c r="BN3426" s="127" t="e">
        <v>#N/A</v>
      </c>
      <c r="BO3426" s="127" t="e">
        <v>#N/A</v>
      </c>
      <c r="BP3426" s="151" t="e">
        <v>#N/A</v>
      </c>
      <c r="BQ3426">
        <v>0.11332468572476186</v>
      </c>
      <c r="BR3426" t="str">
        <v/>
      </c>
    </row>
    <row r="3427" spans="47:70" x14ac:dyDescent="0.2">
      <c r="AU3427"/>
      <c r="AV3427"/>
      <c r="AW3427"/>
      <c r="AX3427"/>
      <c r="AY3427"/>
      <c r="BK3427" s="42">
        <v>3426</v>
      </c>
      <c r="BL3427" s="127">
        <v>4</v>
      </c>
      <c r="BM3427" s="127">
        <v>0.11332468572476186</v>
      </c>
      <c r="BN3427" s="127" t="e">
        <v>#N/A</v>
      </c>
      <c r="BO3427" s="127" t="e">
        <v>#N/A</v>
      </c>
      <c r="BP3427" s="151" t="e">
        <v>#N/A</v>
      </c>
      <c r="BQ3427">
        <v>0.11332468572476186</v>
      </c>
      <c r="BR3427" t="str">
        <v/>
      </c>
    </row>
    <row r="3428" spans="47:70" x14ac:dyDescent="0.2">
      <c r="AU3428"/>
      <c r="AV3428"/>
      <c r="AW3428"/>
      <c r="AX3428"/>
      <c r="AY3428"/>
      <c r="BK3428" s="42">
        <v>3427</v>
      </c>
      <c r="BL3428" s="127">
        <v>4</v>
      </c>
      <c r="BM3428" s="127">
        <v>0.11332468572476186</v>
      </c>
      <c r="BN3428" s="127" t="e">
        <v>#N/A</v>
      </c>
      <c r="BO3428" s="127" t="e">
        <v>#N/A</v>
      </c>
      <c r="BP3428" s="151" t="e">
        <v>#N/A</v>
      </c>
      <c r="BQ3428">
        <v>0.11332468572476186</v>
      </c>
      <c r="BR3428" t="str">
        <v/>
      </c>
    </row>
    <row r="3429" spans="47:70" x14ac:dyDescent="0.2">
      <c r="AU3429"/>
      <c r="AV3429"/>
      <c r="AW3429"/>
      <c r="AX3429"/>
      <c r="AY3429"/>
      <c r="BK3429" s="42">
        <v>3428</v>
      </c>
      <c r="BL3429" s="127">
        <v>4</v>
      </c>
      <c r="BM3429" s="127">
        <v>0.11332468572476186</v>
      </c>
      <c r="BN3429" s="127" t="e">
        <v>#N/A</v>
      </c>
      <c r="BO3429" s="127" t="e">
        <v>#N/A</v>
      </c>
      <c r="BP3429" s="151" t="e">
        <v>#N/A</v>
      </c>
      <c r="BQ3429">
        <v>0.11332468572476186</v>
      </c>
      <c r="BR3429" t="str">
        <v/>
      </c>
    </row>
    <row r="3430" spans="47:70" x14ac:dyDescent="0.2">
      <c r="AU3430"/>
      <c r="AV3430"/>
      <c r="AW3430"/>
      <c r="AX3430"/>
      <c r="AY3430"/>
      <c r="BK3430" s="42">
        <v>3429</v>
      </c>
      <c r="BL3430" s="127">
        <v>4</v>
      </c>
      <c r="BM3430" s="127">
        <v>0.11332468572476186</v>
      </c>
      <c r="BN3430" s="127" t="e">
        <v>#N/A</v>
      </c>
      <c r="BO3430" s="127" t="e">
        <v>#N/A</v>
      </c>
      <c r="BP3430" s="151" t="e">
        <v>#N/A</v>
      </c>
      <c r="BQ3430">
        <v>0.11332468572476186</v>
      </c>
      <c r="BR3430" t="str">
        <v/>
      </c>
    </row>
    <row r="3431" spans="47:70" x14ac:dyDescent="0.2">
      <c r="AU3431"/>
      <c r="AV3431"/>
      <c r="AW3431"/>
      <c r="AX3431"/>
      <c r="AY3431"/>
      <c r="BK3431" s="42">
        <v>3430</v>
      </c>
      <c r="BL3431" s="127">
        <v>4</v>
      </c>
      <c r="BM3431" s="127">
        <v>0.11332468572476186</v>
      </c>
      <c r="BN3431" s="127" t="e">
        <v>#N/A</v>
      </c>
      <c r="BO3431" s="127" t="e">
        <v>#N/A</v>
      </c>
      <c r="BP3431" s="151" t="e">
        <v>#N/A</v>
      </c>
      <c r="BQ3431">
        <v>0.11332468572476186</v>
      </c>
      <c r="BR3431" t="str">
        <v/>
      </c>
    </row>
    <row r="3432" spans="47:70" x14ac:dyDescent="0.2">
      <c r="AU3432"/>
      <c r="AV3432"/>
      <c r="AW3432"/>
      <c r="AX3432"/>
      <c r="AY3432"/>
      <c r="BK3432" s="42">
        <v>3431</v>
      </c>
      <c r="BL3432" s="127">
        <v>4</v>
      </c>
      <c r="BM3432" s="127">
        <v>0.11332468572476186</v>
      </c>
      <c r="BN3432" s="127" t="e">
        <v>#N/A</v>
      </c>
      <c r="BO3432" s="127" t="e">
        <v>#N/A</v>
      </c>
      <c r="BP3432" s="151" t="e">
        <v>#N/A</v>
      </c>
      <c r="BQ3432">
        <v>0.11332468572476186</v>
      </c>
      <c r="BR3432" t="str">
        <v/>
      </c>
    </row>
    <row r="3433" spans="47:70" x14ac:dyDescent="0.2">
      <c r="AU3433"/>
      <c r="AV3433"/>
      <c r="AW3433"/>
      <c r="AX3433"/>
      <c r="AY3433"/>
      <c r="BK3433" s="42">
        <v>3432</v>
      </c>
      <c r="BL3433" s="127">
        <v>4</v>
      </c>
      <c r="BM3433" s="127">
        <v>0.11332468572476186</v>
      </c>
      <c r="BN3433" s="127" t="e">
        <v>#N/A</v>
      </c>
      <c r="BO3433" s="127" t="e">
        <v>#N/A</v>
      </c>
      <c r="BP3433" s="151" t="e">
        <v>#N/A</v>
      </c>
      <c r="BQ3433">
        <v>0.11332468572476186</v>
      </c>
      <c r="BR3433" t="str">
        <v/>
      </c>
    </row>
    <row r="3434" spans="47:70" x14ac:dyDescent="0.2">
      <c r="AU3434"/>
      <c r="AV3434"/>
      <c r="AW3434"/>
      <c r="AX3434"/>
      <c r="AY3434"/>
      <c r="BK3434" s="42">
        <v>3433</v>
      </c>
      <c r="BL3434" s="127">
        <v>4</v>
      </c>
      <c r="BM3434" s="127">
        <v>0.11332468572476186</v>
      </c>
      <c r="BN3434" s="127" t="e">
        <v>#N/A</v>
      </c>
      <c r="BO3434" s="127" t="e">
        <v>#N/A</v>
      </c>
      <c r="BP3434" s="151" t="e">
        <v>#N/A</v>
      </c>
      <c r="BQ3434">
        <v>0.11332468572476186</v>
      </c>
      <c r="BR3434" t="str">
        <v/>
      </c>
    </row>
    <row r="3435" spans="47:70" x14ac:dyDescent="0.2">
      <c r="AU3435"/>
      <c r="AV3435"/>
      <c r="AW3435"/>
      <c r="AX3435"/>
      <c r="AY3435"/>
      <c r="BK3435" s="42">
        <v>3434</v>
      </c>
      <c r="BL3435" s="127">
        <v>4</v>
      </c>
      <c r="BM3435" s="127">
        <v>0.11332468572476186</v>
      </c>
      <c r="BN3435" s="127" t="e">
        <v>#N/A</v>
      </c>
      <c r="BO3435" s="127" t="e">
        <v>#N/A</v>
      </c>
      <c r="BP3435" s="151" t="e">
        <v>#N/A</v>
      </c>
      <c r="BQ3435">
        <v>0.11332468572476186</v>
      </c>
      <c r="BR3435" t="str">
        <v/>
      </c>
    </row>
    <row r="3436" spans="47:70" x14ac:dyDescent="0.2">
      <c r="AU3436"/>
      <c r="AV3436"/>
      <c r="AW3436"/>
      <c r="AX3436"/>
      <c r="AY3436"/>
      <c r="BK3436" s="42">
        <v>3435</v>
      </c>
      <c r="BL3436" s="127">
        <v>4</v>
      </c>
      <c r="BM3436" s="127">
        <v>0.11332468572476186</v>
      </c>
      <c r="BN3436" s="127" t="e">
        <v>#N/A</v>
      </c>
      <c r="BO3436" s="127" t="e">
        <v>#N/A</v>
      </c>
      <c r="BP3436" s="151" t="e">
        <v>#N/A</v>
      </c>
      <c r="BQ3436">
        <v>0.11332468572476186</v>
      </c>
      <c r="BR3436" t="str">
        <v/>
      </c>
    </row>
    <row r="3437" spans="47:70" x14ac:dyDescent="0.2">
      <c r="AU3437"/>
      <c r="AV3437"/>
      <c r="AW3437"/>
      <c r="AX3437"/>
      <c r="AY3437"/>
      <c r="BK3437" s="42">
        <v>3436</v>
      </c>
      <c r="BL3437" s="127">
        <v>4</v>
      </c>
      <c r="BM3437" s="127">
        <v>0.11332468572476186</v>
      </c>
      <c r="BN3437" s="127" t="e">
        <v>#N/A</v>
      </c>
      <c r="BO3437" s="127" t="e">
        <v>#N/A</v>
      </c>
      <c r="BP3437" s="151" t="e">
        <v>#N/A</v>
      </c>
      <c r="BQ3437">
        <v>0.11332468572476186</v>
      </c>
      <c r="BR3437" t="str">
        <v/>
      </c>
    </row>
    <row r="3438" spans="47:70" x14ac:dyDescent="0.2">
      <c r="AU3438"/>
      <c r="AV3438"/>
      <c r="AW3438"/>
      <c r="AX3438"/>
      <c r="AY3438"/>
      <c r="BK3438" s="42">
        <v>3437</v>
      </c>
      <c r="BL3438" s="127">
        <v>4</v>
      </c>
      <c r="BM3438" s="127">
        <v>0.11332468572476186</v>
      </c>
      <c r="BN3438" s="127" t="e">
        <v>#N/A</v>
      </c>
      <c r="BO3438" s="127" t="e">
        <v>#N/A</v>
      </c>
      <c r="BP3438" s="151" t="e">
        <v>#N/A</v>
      </c>
      <c r="BQ3438">
        <v>0.11332468572476186</v>
      </c>
      <c r="BR3438" t="str">
        <v/>
      </c>
    </row>
    <row r="3439" spans="47:70" x14ac:dyDescent="0.2">
      <c r="AU3439"/>
      <c r="AV3439"/>
      <c r="AW3439"/>
      <c r="AX3439"/>
      <c r="AY3439"/>
      <c r="BK3439" s="42">
        <v>3438</v>
      </c>
      <c r="BL3439" s="127">
        <v>4</v>
      </c>
      <c r="BM3439" s="127">
        <v>0.11332468572476186</v>
      </c>
      <c r="BN3439" s="127" t="e">
        <v>#N/A</v>
      </c>
      <c r="BO3439" s="127" t="e">
        <v>#N/A</v>
      </c>
      <c r="BP3439" s="151" t="e">
        <v>#N/A</v>
      </c>
      <c r="BQ3439">
        <v>0.11332468572476186</v>
      </c>
      <c r="BR3439" t="str">
        <v/>
      </c>
    </row>
    <row r="3440" spans="47:70" x14ac:dyDescent="0.2">
      <c r="AU3440"/>
      <c r="AV3440"/>
      <c r="AW3440"/>
      <c r="AX3440"/>
      <c r="AY3440"/>
      <c r="BK3440" s="42">
        <v>3439</v>
      </c>
      <c r="BL3440" s="127">
        <v>4</v>
      </c>
      <c r="BM3440" s="127">
        <v>0.11332468572476186</v>
      </c>
      <c r="BN3440" s="127" t="e">
        <v>#N/A</v>
      </c>
      <c r="BO3440" s="127" t="e">
        <v>#N/A</v>
      </c>
      <c r="BP3440" s="151" t="e">
        <v>#N/A</v>
      </c>
      <c r="BQ3440">
        <v>0.11332468572476186</v>
      </c>
      <c r="BR3440" t="str">
        <v/>
      </c>
    </row>
    <row r="3441" spans="47:70" x14ac:dyDescent="0.2">
      <c r="AU3441"/>
      <c r="AV3441"/>
      <c r="AW3441"/>
      <c r="AX3441"/>
      <c r="AY3441"/>
      <c r="BK3441" s="42">
        <v>3440</v>
      </c>
      <c r="BL3441" s="127">
        <v>4</v>
      </c>
      <c r="BM3441" s="127">
        <v>0.11332468572476186</v>
      </c>
      <c r="BN3441" s="127" t="e">
        <v>#N/A</v>
      </c>
      <c r="BO3441" s="127" t="e">
        <v>#N/A</v>
      </c>
      <c r="BP3441" s="151" t="e">
        <v>#N/A</v>
      </c>
      <c r="BQ3441">
        <v>0.11332468572476186</v>
      </c>
      <c r="BR3441" t="str">
        <v/>
      </c>
    </row>
    <row r="3442" spans="47:70" x14ac:dyDescent="0.2">
      <c r="AU3442"/>
      <c r="AV3442"/>
      <c r="AW3442"/>
      <c r="AX3442"/>
      <c r="AY3442"/>
      <c r="BK3442" s="42">
        <v>3441</v>
      </c>
      <c r="BL3442" s="127">
        <v>4</v>
      </c>
      <c r="BM3442" s="127">
        <v>0.11332468572476186</v>
      </c>
      <c r="BN3442" s="127" t="e">
        <v>#N/A</v>
      </c>
      <c r="BO3442" s="127" t="e">
        <v>#N/A</v>
      </c>
      <c r="BP3442" s="151" t="e">
        <v>#N/A</v>
      </c>
      <c r="BQ3442">
        <v>0.11332468572476186</v>
      </c>
      <c r="BR3442" t="str">
        <v/>
      </c>
    </row>
    <row r="3443" spans="47:70" x14ac:dyDescent="0.2">
      <c r="AU3443"/>
      <c r="AV3443"/>
      <c r="AW3443"/>
      <c r="AX3443"/>
      <c r="AY3443"/>
      <c r="BK3443" s="42">
        <v>3442</v>
      </c>
      <c r="BL3443" s="127">
        <v>4</v>
      </c>
      <c r="BM3443" s="127">
        <v>0.11332468572476186</v>
      </c>
      <c r="BN3443" s="127" t="e">
        <v>#N/A</v>
      </c>
      <c r="BO3443" s="127" t="e">
        <v>#N/A</v>
      </c>
      <c r="BP3443" s="151" t="e">
        <v>#N/A</v>
      </c>
      <c r="BQ3443">
        <v>0.11332468572476186</v>
      </c>
      <c r="BR3443" t="str">
        <v/>
      </c>
    </row>
    <row r="3444" spans="47:70" x14ac:dyDescent="0.2">
      <c r="AU3444"/>
      <c r="AV3444"/>
      <c r="AW3444"/>
      <c r="AX3444"/>
      <c r="AY3444"/>
      <c r="BK3444" s="42">
        <v>3443</v>
      </c>
      <c r="BL3444" s="127">
        <v>4</v>
      </c>
      <c r="BM3444" s="127">
        <v>0.11332468572476186</v>
      </c>
      <c r="BN3444" s="127" t="e">
        <v>#N/A</v>
      </c>
      <c r="BO3444" s="127" t="e">
        <v>#N/A</v>
      </c>
      <c r="BP3444" s="151" t="e">
        <v>#N/A</v>
      </c>
      <c r="BQ3444">
        <v>0.11332468572476186</v>
      </c>
      <c r="BR3444" t="str">
        <v/>
      </c>
    </row>
    <row r="3445" spans="47:70" x14ac:dyDescent="0.2">
      <c r="AU3445"/>
      <c r="AV3445"/>
      <c r="AW3445"/>
      <c r="AX3445"/>
      <c r="AY3445"/>
      <c r="BK3445" s="42">
        <v>3444</v>
      </c>
      <c r="BL3445" s="127">
        <v>4</v>
      </c>
      <c r="BM3445" s="127">
        <v>0.11332468572476186</v>
      </c>
      <c r="BN3445" s="127" t="e">
        <v>#N/A</v>
      </c>
      <c r="BO3445" s="127" t="e">
        <v>#N/A</v>
      </c>
      <c r="BP3445" s="151" t="e">
        <v>#N/A</v>
      </c>
      <c r="BQ3445">
        <v>0.11332468572476186</v>
      </c>
      <c r="BR3445" t="str">
        <v/>
      </c>
    </row>
    <row r="3446" spans="47:70" x14ac:dyDescent="0.2">
      <c r="AU3446"/>
      <c r="AV3446"/>
      <c r="AW3446"/>
      <c r="AX3446"/>
      <c r="AY3446"/>
      <c r="BK3446" s="42">
        <v>3445</v>
      </c>
      <c r="BL3446" s="127">
        <v>4</v>
      </c>
      <c r="BM3446" s="127">
        <v>0.11332468572476186</v>
      </c>
      <c r="BN3446" s="127" t="e">
        <v>#N/A</v>
      </c>
      <c r="BO3446" s="127" t="e">
        <v>#N/A</v>
      </c>
      <c r="BP3446" s="151" t="e">
        <v>#N/A</v>
      </c>
      <c r="BQ3446">
        <v>0.11332468572476186</v>
      </c>
      <c r="BR3446" t="str">
        <v/>
      </c>
    </row>
    <row r="3447" spans="47:70" x14ac:dyDescent="0.2">
      <c r="AU3447"/>
      <c r="AV3447"/>
      <c r="AW3447"/>
      <c r="AX3447"/>
      <c r="AY3447"/>
      <c r="BK3447" s="42">
        <v>3446</v>
      </c>
      <c r="BL3447" s="127">
        <v>4</v>
      </c>
      <c r="BM3447" s="127">
        <v>0.11332468572476186</v>
      </c>
      <c r="BN3447" s="127" t="e">
        <v>#N/A</v>
      </c>
      <c r="BO3447" s="127" t="e">
        <v>#N/A</v>
      </c>
      <c r="BP3447" s="151" t="e">
        <v>#N/A</v>
      </c>
      <c r="BQ3447">
        <v>0.11332468572476186</v>
      </c>
      <c r="BR3447" t="str">
        <v/>
      </c>
    </row>
    <row r="3448" spans="47:70" x14ac:dyDescent="0.2">
      <c r="AU3448"/>
      <c r="AV3448"/>
      <c r="AW3448"/>
      <c r="AX3448"/>
      <c r="AY3448"/>
      <c r="BK3448" s="42">
        <v>3447</v>
      </c>
      <c r="BL3448" s="127">
        <v>4</v>
      </c>
      <c r="BM3448" s="127">
        <v>0.11332468572476186</v>
      </c>
      <c r="BN3448" s="127" t="e">
        <v>#N/A</v>
      </c>
      <c r="BO3448" s="127" t="e">
        <v>#N/A</v>
      </c>
      <c r="BP3448" s="151" t="e">
        <v>#N/A</v>
      </c>
      <c r="BQ3448">
        <v>0.11332468572476186</v>
      </c>
      <c r="BR3448" t="str">
        <v/>
      </c>
    </row>
    <row r="3449" spans="47:70" x14ac:dyDescent="0.2">
      <c r="AU3449"/>
      <c r="AV3449"/>
      <c r="AW3449"/>
      <c r="AX3449"/>
      <c r="AY3449"/>
      <c r="BK3449" s="42">
        <v>3448</v>
      </c>
      <c r="BL3449" s="127">
        <v>4</v>
      </c>
      <c r="BM3449" s="127">
        <v>0.11332468572476186</v>
      </c>
      <c r="BN3449" s="127" t="e">
        <v>#N/A</v>
      </c>
      <c r="BO3449" s="127" t="e">
        <v>#N/A</v>
      </c>
      <c r="BP3449" s="151" t="e">
        <v>#N/A</v>
      </c>
      <c r="BQ3449">
        <v>0.11332468572476186</v>
      </c>
      <c r="BR3449" t="str">
        <v/>
      </c>
    </row>
    <row r="3450" spans="47:70" x14ac:dyDescent="0.2">
      <c r="AU3450"/>
      <c r="AV3450"/>
      <c r="AW3450"/>
      <c r="AX3450"/>
      <c r="AY3450"/>
      <c r="BK3450" s="42">
        <v>3449</v>
      </c>
      <c r="BL3450" s="127">
        <v>4</v>
      </c>
      <c r="BM3450" s="127">
        <v>0.11332468572476186</v>
      </c>
      <c r="BN3450" s="127" t="e">
        <v>#N/A</v>
      </c>
      <c r="BO3450" s="127" t="e">
        <v>#N/A</v>
      </c>
      <c r="BP3450" s="151" t="e">
        <v>#N/A</v>
      </c>
      <c r="BQ3450">
        <v>0.11332468572476186</v>
      </c>
      <c r="BR3450" t="str">
        <v/>
      </c>
    </row>
    <row r="3451" spans="47:70" x14ac:dyDescent="0.2">
      <c r="AU3451"/>
      <c r="AV3451"/>
      <c r="AW3451"/>
      <c r="AX3451"/>
      <c r="AY3451"/>
      <c r="BK3451" s="42">
        <v>3450</v>
      </c>
      <c r="BL3451" s="127">
        <v>4</v>
      </c>
      <c r="BM3451" s="127">
        <v>0.11332468572476186</v>
      </c>
      <c r="BN3451" s="127" t="e">
        <v>#N/A</v>
      </c>
      <c r="BO3451" s="127" t="e">
        <v>#N/A</v>
      </c>
      <c r="BP3451" s="151" t="e">
        <v>#N/A</v>
      </c>
      <c r="BQ3451">
        <v>0.11332468572476186</v>
      </c>
      <c r="BR3451" t="str">
        <v/>
      </c>
    </row>
    <row r="3452" spans="47:70" x14ac:dyDescent="0.2">
      <c r="AU3452"/>
      <c r="AV3452"/>
      <c r="AW3452"/>
      <c r="AX3452"/>
      <c r="AY3452"/>
      <c r="BK3452" s="42">
        <v>3451</v>
      </c>
      <c r="BL3452" s="127">
        <v>4</v>
      </c>
      <c r="BM3452" s="127">
        <v>0.11332468572476186</v>
      </c>
      <c r="BN3452" s="127" t="e">
        <v>#N/A</v>
      </c>
      <c r="BO3452" s="127" t="e">
        <v>#N/A</v>
      </c>
      <c r="BP3452" s="151" t="e">
        <v>#N/A</v>
      </c>
      <c r="BQ3452">
        <v>0.11332468572476186</v>
      </c>
      <c r="BR3452" t="str">
        <v/>
      </c>
    </row>
    <row r="3453" spans="47:70" x14ac:dyDescent="0.2">
      <c r="AU3453"/>
      <c r="AV3453"/>
      <c r="AW3453"/>
      <c r="AX3453"/>
      <c r="AY3453"/>
      <c r="BK3453" s="42">
        <v>3452</v>
      </c>
      <c r="BL3453" s="127">
        <v>4</v>
      </c>
      <c r="BM3453" s="127">
        <v>0.11332468572476186</v>
      </c>
      <c r="BN3453" s="127" t="e">
        <v>#N/A</v>
      </c>
      <c r="BO3453" s="127" t="e">
        <v>#N/A</v>
      </c>
      <c r="BP3453" s="151" t="e">
        <v>#N/A</v>
      </c>
      <c r="BQ3453">
        <v>0.11332468572476186</v>
      </c>
      <c r="BR3453" t="str">
        <v/>
      </c>
    </row>
    <row r="3454" spans="47:70" x14ac:dyDescent="0.2">
      <c r="AU3454"/>
      <c r="AV3454"/>
      <c r="AW3454"/>
      <c r="AX3454"/>
      <c r="AY3454"/>
      <c r="BK3454" s="42">
        <v>3453</v>
      </c>
      <c r="BL3454" s="127">
        <v>4</v>
      </c>
      <c r="BM3454" s="127">
        <v>0.11332468572476186</v>
      </c>
      <c r="BN3454" s="127" t="e">
        <v>#N/A</v>
      </c>
      <c r="BO3454" s="127" t="e">
        <v>#N/A</v>
      </c>
      <c r="BP3454" s="151" t="e">
        <v>#N/A</v>
      </c>
      <c r="BQ3454">
        <v>0.11332468572476186</v>
      </c>
      <c r="BR3454" t="str">
        <v/>
      </c>
    </row>
    <row r="3455" spans="47:70" x14ac:dyDescent="0.2">
      <c r="AU3455"/>
      <c r="AV3455"/>
      <c r="AW3455"/>
      <c r="AX3455"/>
      <c r="AY3455"/>
      <c r="BK3455" s="42">
        <v>3454</v>
      </c>
      <c r="BL3455" s="127">
        <v>4</v>
      </c>
      <c r="BM3455" s="127">
        <v>0.11332468572476186</v>
      </c>
      <c r="BN3455" s="127" t="e">
        <v>#N/A</v>
      </c>
      <c r="BO3455" s="127" t="e">
        <v>#N/A</v>
      </c>
      <c r="BP3455" s="151" t="e">
        <v>#N/A</v>
      </c>
      <c r="BQ3455">
        <v>0.11332468572476186</v>
      </c>
      <c r="BR3455" t="str">
        <v/>
      </c>
    </row>
    <row r="3456" spans="47:70" x14ac:dyDescent="0.2">
      <c r="AU3456"/>
      <c r="AV3456"/>
      <c r="AW3456"/>
      <c r="AX3456"/>
      <c r="AY3456"/>
      <c r="BK3456" s="42">
        <v>3455</v>
      </c>
      <c r="BL3456" s="127">
        <v>4</v>
      </c>
      <c r="BM3456" s="127">
        <v>0.11332468572476186</v>
      </c>
      <c r="BN3456" s="127" t="e">
        <v>#N/A</v>
      </c>
      <c r="BO3456" s="127" t="e">
        <v>#N/A</v>
      </c>
      <c r="BP3456" s="151" t="e">
        <v>#N/A</v>
      </c>
      <c r="BQ3456">
        <v>0.11332468572476186</v>
      </c>
      <c r="BR3456" t="str">
        <v/>
      </c>
    </row>
    <row r="3457" spans="47:70" x14ac:dyDescent="0.2">
      <c r="AU3457"/>
      <c r="AV3457"/>
      <c r="AW3457"/>
      <c r="AX3457"/>
      <c r="AY3457"/>
      <c r="BK3457" s="42">
        <v>3456</v>
      </c>
      <c r="BL3457" s="127">
        <v>4</v>
      </c>
      <c r="BM3457" s="127">
        <v>0.11332468572476186</v>
      </c>
      <c r="BN3457" s="127" t="e">
        <v>#N/A</v>
      </c>
      <c r="BO3457" s="127" t="e">
        <v>#N/A</v>
      </c>
      <c r="BP3457" s="151" t="e">
        <v>#N/A</v>
      </c>
      <c r="BQ3457">
        <v>0.11332468572476186</v>
      </c>
      <c r="BR3457" t="str">
        <v/>
      </c>
    </row>
    <row r="3458" spans="47:70" x14ac:dyDescent="0.2">
      <c r="AU3458"/>
      <c r="AV3458"/>
      <c r="AW3458"/>
      <c r="AX3458"/>
      <c r="AY3458"/>
      <c r="BK3458" s="42">
        <v>3457</v>
      </c>
      <c r="BL3458" s="127">
        <v>4</v>
      </c>
      <c r="BM3458" s="127">
        <v>0.11332468572476186</v>
      </c>
      <c r="BN3458" s="127" t="e">
        <v>#N/A</v>
      </c>
      <c r="BO3458" s="127" t="e">
        <v>#N/A</v>
      </c>
      <c r="BP3458" s="151" t="e">
        <v>#N/A</v>
      </c>
      <c r="BQ3458">
        <v>0.11332468572476186</v>
      </c>
      <c r="BR3458" t="str">
        <v/>
      </c>
    </row>
    <row r="3459" spans="47:70" x14ac:dyDescent="0.2">
      <c r="AU3459"/>
      <c r="AV3459"/>
      <c r="AW3459"/>
      <c r="AX3459"/>
      <c r="AY3459"/>
      <c r="BK3459" s="42">
        <v>3458</v>
      </c>
      <c r="BL3459" s="127">
        <v>4</v>
      </c>
      <c r="BM3459" s="127">
        <v>0.11332468572476186</v>
      </c>
      <c r="BN3459" s="127" t="e">
        <v>#N/A</v>
      </c>
      <c r="BO3459" s="127" t="e">
        <v>#N/A</v>
      </c>
      <c r="BP3459" s="151" t="e">
        <v>#N/A</v>
      </c>
      <c r="BQ3459">
        <v>0.11332468572476186</v>
      </c>
      <c r="BR3459" t="str">
        <v/>
      </c>
    </row>
    <row r="3460" spans="47:70" x14ac:dyDescent="0.2">
      <c r="AU3460"/>
      <c r="AV3460"/>
      <c r="AW3460"/>
      <c r="AX3460"/>
      <c r="AY3460"/>
      <c r="BK3460" s="42">
        <v>3459</v>
      </c>
      <c r="BL3460" s="127">
        <v>4</v>
      </c>
      <c r="BM3460" s="127">
        <v>0.11332468572476186</v>
      </c>
      <c r="BN3460" s="127" t="e">
        <v>#N/A</v>
      </c>
      <c r="BO3460" s="127" t="e">
        <v>#N/A</v>
      </c>
      <c r="BP3460" s="151" t="e">
        <v>#N/A</v>
      </c>
      <c r="BQ3460">
        <v>0.11332468572476186</v>
      </c>
      <c r="BR3460" t="str">
        <v/>
      </c>
    </row>
    <row r="3461" spans="47:70" x14ac:dyDescent="0.2">
      <c r="AU3461"/>
      <c r="AV3461"/>
      <c r="AW3461"/>
      <c r="AX3461"/>
      <c r="AY3461"/>
      <c r="BK3461" s="42">
        <v>3460</v>
      </c>
      <c r="BL3461" s="127">
        <v>4</v>
      </c>
      <c r="BM3461" s="127">
        <v>0.11332468572476186</v>
      </c>
      <c r="BN3461" s="127" t="e">
        <v>#N/A</v>
      </c>
      <c r="BO3461" s="127" t="e">
        <v>#N/A</v>
      </c>
      <c r="BP3461" s="151" t="e">
        <v>#N/A</v>
      </c>
      <c r="BQ3461">
        <v>0.11332468572476186</v>
      </c>
      <c r="BR3461" t="str">
        <v/>
      </c>
    </row>
    <row r="3462" spans="47:70" x14ac:dyDescent="0.2">
      <c r="AU3462"/>
      <c r="AV3462"/>
      <c r="AW3462"/>
      <c r="AX3462"/>
      <c r="AY3462"/>
      <c r="BK3462" s="42">
        <v>3461</v>
      </c>
      <c r="BL3462" s="127">
        <v>4</v>
      </c>
      <c r="BM3462" s="127">
        <v>0.11332468572476186</v>
      </c>
      <c r="BN3462" s="127" t="e">
        <v>#N/A</v>
      </c>
      <c r="BO3462" s="127" t="e">
        <v>#N/A</v>
      </c>
      <c r="BP3462" s="151" t="e">
        <v>#N/A</v>
      </c>
      <c r="BQ3462">
        <v>0.11332468572476186</v>
      </c>
      <c r="BR3462" t="str">
        <v/>
      </c>
    </row>
    <row r="3463" spans="47:70" x14ac:dyDescent="0.2">
      <c r="AU3463"/>
      <c r="AV3463"/>
      <c r="AW3463"/>
      <c r="AX3463"/>
      <c r="AY3463"/>
      <c r="BK3463" s="42">
        <v>3462</v>
      </c>
      <c r="BL3463" s="127">
        <v>4</v>
      </c>
      <c r="BM3463" s="127">
        <v>0.11332468572476186</v>
      </c>
      <c r="BN3463" s="127" t="e">
        <v>#N/A</v>
      </c>
      <c r="BO3463" s="127" t="e">
        <v>#N/A</v>
      </c>
      <c r="BP3463" s="151" t="e">
        <v>#N/A</v>
      </c>
      <c r="BQ3463">
        <v>0.11332468572476186</v>
      </c>
      <c r="BR3463" t="str">
        <v/>
      </c>
    </row>
    <row r="3464" spans="47:70" x14ac:dyDescent="0.2">
      <c r="AU3464"/>
      <c r="AV3464"/>
      <c r="AW3464"/>
      <c r="AX3464"/>
      <c r="AY3464"/>
      <c r="BK3464" s="42">
        <v>3463</v>
      </c>
      <c r="BL3464" s="127">
        <v>4</v>
      </c>
      <c r="BM3464" s="127">
        <v>0.11332468572476186</v>
      </c>
      <c r="BN3464" s="127" t="e">
        <v>#N/A</v>
      </c>
      <c r="BO3464" s="127" t="e">
        <v>#N/A</v>
      </c>
      <c r="BP3464" s="151" t="e">
        <v>#N/A</v>
      </c>
      <c r="BQ3464">
        <v>0.11332468572476186</v>
      </c>
      <c r="BR3464" t="str">
        <v/>
      </c>
    </row>
    <row r="3465" spans="47:70" x14ac:dyDescent="0.2">
      <c r="AU3465"/>
      <c r="AV3465"/>
      <c r="AW3465"/>
      <c r="AX3465"/>
      <c r="AY3465"/>
      <c r="BK3465" s="42">
        <v>3464</v>
      </c>
      <c r="BL3465" s="127">
        <v>4</v>
      </c>
      <c r="BM3465" s="127">
        <v>0.11332468572476186</v>
      </c>
      <c r="BN3465" s="127" t="e">
        <v>#N/A</v>
      </c>
      <c r="BO3465" s="127" t="e">
        <v>#N/A</v>
      </c>
      <c r="BP3465" s="151" t="e">
        <v>#N/A</v>
      </c>
      <c r="BQ3465">
        <v>0.11332468572476186</v>
      </c>
      <c r="BR3465" t="str">
        <v/>
      </c>
    </row>
    <row r="3466" spans="47:70" x14ac:dyDescent="0.2">
      <c r="AU3466"/>
      <c r="AV3466"/>
      <c r="AW3466"/>
      <c r="AX3466"/>
      <c r="AY3466"/>
      <c r="BK3466" s="42">
        <v>3465</v>
      </c>
      <c r="BL3466" s="127">
        <v>4</v>
      </c>
      <c r="BM3466" s="127">
        <v>0.11332468572476186</v>
      </c>
      <c r="BN3466" s="127" t="e">
        <v>#N/A</v>
      </c>
      <c r="BO3466" s="127" t="e">
        <v>#N/A</v>
      </c>
      <c r="BP3466" s="151" t="e">
        <v>#N/A</v>
      </c>
      <c r="BQ3466">
        <v>0.11332468572476186</v>
      </c>
      <c r="BR3466" t="str">
        <v/>
      </c>
    </row>
    <row r="3467" spans="47:70" x14ac:dyDescent="0.2">
      <c r="AU3467"/>
      <c r="AV3467"/>
      <c r="AW3467"/>
      <c r="AX3467"/>
      <c r="AY3467"/>
      <c r="BK3467" s="42">
        <v>3466</v>
      </c>
      <c r="BL3467" s="127">
        <v>4</v>
      </c>
      <c r="BM3467" s="127">
        <v>0.11332468572476186</v>
      </c>
      <c r="BN3467" s="127" t="e">
        <v>#N/A</v>
      </c>
      <c r="BO3467" s="127" t="e">
        <v>#N/A</v>
      </c>
      <c r="BP3467" s="151" t="e">
        <v>#N/A</v>
      </c>
      <c r="BQ3467">
        <v>0.11332468572476186</v>
      </c>
      <c r="BR3467" t="str">
        <v/>
      </c>
    </row>
    <row r="3468" spans="47:70" x14ac:dyDescent="0.2">
      <c r="AU3468"/>
      <c r="AV3468"/>
      <c r="AW3468"/>
      <c r="AX3468"/>
      <c r="AY3468"/>
      <c r="BK3468" s="42">
        <v>3467</v>
      </c>
      <c r="BL3468" s="127">
        <v>4</v>
      </c>
      <c r="BM3468" s="127">
        <v>0.11332468572476186</v>
      </c>
      <c r="BN3468" s="127" t="e">
        <v>#N/A</v>
      </c>
      <c r="BO3468" s="127" t="e">
        <v>#N/A</v>
      </c>
      <c r="BP3468" s="151" t="e">
        <v>#N/A</v>
      </c>
      <c r="BQ3468">
        <v>0.11332468572476186</v>
      </c>
      <c r="BR3468" t="str">
        <v/>
      </c>
    </row>
    <row r="3469" spans="47:70" x14ac:dyDescent="0.2">
      <c r="AU3469"/>
      <c r="AV3469"/>
      <c r="AW3469"/>
      <c r="AX3469"/>
      <c r="AY3469"/>
      <c r="BK3469" s="42">
        <v>3468</v>
      </c>
      <c r="BL3469" s="127">
        <v>4</v>
      </c>
      <c r="BM3469" s="127">
        <v>0.11332468572476186</v>
      </c>
      <c r="BN3469" s="127" t="e">
        <v>#N/A</v>
      </c>
      <c r="BO3469" s="127" t="e">
        <v>#N/A</v>
      </c>
      <c r="BP3469" s="151" t="e">
        <v>#N/A</v>
      </c>
      <c r="BQ3469">
        <v>0.11332468572476186</v>
      </c>
      <c r="BR3469" t="str">
        <v/>
      </c>
    </row>
    <row r="3470" spans="47:70" x14ac:dyDescent="0.2">
      <c r="AU3470"/>
      <c r="AV3470"/>
      <c r="AW3470"/>
      <c r="AX3470"/>
      <c r="AY3470"/>
      <c r="BK3470" s="42">
        <v>3469</v>
      </c>
      <c r="BL3470" s="127">
        <v>4</v>
      </c>
      <c r="BM3470" s="127">
        <v>0.11332468572476186</v>
      </c>
      <c r="BN3470" s="127" t="e">
        <v>#N/A</v>
      </c>
      <c r="BO3470" s="127" t="e">
        <v>#N/A</v>
      </c>
      <c r="BP3470" s="151" t="e">
        <v>#N/A</v>
      </c>
      <c r="BQ3470">
        <v>0.11332468572476186</v>
      </c>
      <c r="BR3470" t="str">
        <v/>
      </c>
    </row>
    <row r="3471" spans="47:70" x14ac:dyDescent="0.2">
      <c r="AU3471"/>
      <c r="AV3471"/>
      <c r="AW3471"/>
      <c r="AX3471"/>
      <c r="AY3471"/>
      <c r="BK3471" s="42">
        <v>3470</v>
      </c>
      <c r="BL3471" s="127">
        <v>4</v>
      </c>
      <c r="BM3471" s="127">
        <v>0.11332468572476186</v>
      </c>
      <c r="BN3471" s="127" t="e">
        <v>#N/A</v>
      </c>
      <c r="BO3471" s="127" t="e">
        <v>#N/A</v>
      </c>
      <c r="BP3471" s="151" t="e">
        <v>#N/A</v>
      </c>
      <c r="BQ3471">
        <v>0.11332468572476186</v>
      </c>
      <c r="BR3471" t="str">
        <v/>
      </c>
    </row>
    <row r="3472" spans="47:70" x14ac:dyDescent="0.2">
      <c r="AU3472"/>
      <c r="AV3472"/>
      <c r="AW3472"/>
      <c r="AX3472"/>
      <c r="AY3472"/>
      <c r="BK3472" s="42">
        <v>3471</v>
      </c>
      <c r="BL3472" s="127">
        <v>4</v>
      </c>
      <c r="BM3472" s="127">
        <v>0.11332468572476186</v>
      </c>
      <c r="BN3472" s="127" t="e">
        <v>#N/A</v>
      </c>
      <c r="BO3472" s="127" t="e">
        <v>#N/A</v>
      </c>
      <c r="BP3472" s="151" t="e">
        <v>#N/A</v>
      </c>
      <c r="BQ3472">
        <v>0.11332468572476186</v>
      </c>
      <c r="BR3472" t="str">
        <v/>
      </c>
    </row>
    <row r="3473" spans="47:70" x14ac:dyDescent="0.2">
      <c r="AU3473"/>
      <c r="AV3473"/>
      <c r="AW3473"/>
      <c r="AX3473"/>
      <c r="AY3473"/>
      <c r="BK3473" s="42">
        <v>3472</v>
      </c>
      <c r="BL3473" s="127">
        <v>4</v>
      </c>
      <c r="BM3473" s="127">
        <v>0.11332468572476186</v>
      </c>
      <c r="BN3473" s="127" t="e">
        <v>#N/A</v>
      </c>
      <c r="BO3473" s="127" t="e">
        <v>#N/A</v>
      </c>
      <c r="BP3473" s="151" t="e">
        <v>#N/A</v>
      </c>
      <c r="BQ3473">
        <v>0.11332468572476186</v>
      </c>
      <c r="BR3473" t="str">
        <v/>
      </c>
    </row>
    <row r="3474" spans="47:70" x14ac:dyDescent="0.2">
      <c r="AU3474"/>
      <c r="AV3474"/>
      <c r="AW3474"/>
      <c r="AX3474"/>
      <c r="AY3474"/>
      <c r="BK3474" s="42">
        <v>3473</v>
      </c>
      <c r="BL3474" s="127">
        <v>4</v>
      </c>
      <c r="BM3474" s="127">
        <v>0.11332468572476186</v>
      </c>
      <c r="BN3474" s="127" t="e">
        <v>#N/A</v>
      </c>
      <c r="BO3474" s="127" t="e">
        <v>#N/A</v>
      </c>
      <c r="BP3474" s="151" t="e">
        <v>#N/A</v>
      </c>
      <c r="BQ3474">
        <v>0.11332468572476186</v>
      </c>
      <c r="BR3474" t="str">
        <v/>
      </c>
    </row>
    <row r="3475" spans="47:70" x14ac:dyDescent="0.2">
      <c r="AU3475"/>
      <c r="AV3475"/>
      <c r="AW3475"/>
      <c r="AX3475"/>
      <c r="AY3475"/>
      <c r="BK3475" s="42">
        <v>3474</v>
      </c>
      <c r="BL3475" s="127">
        <v>4</v>
      </c>
      <c r="BM3475" s="127">
        <v>0.11332468572476186</v>
      </c>
      <c r="BN3475" s="127" t="e">
        <v>#N/A</v>
      </c>
      <c r="BO3475" s="127" t="e">
        <v>#N/A</v>
      </c>
      <c r="BP3475" s="151" t="e">
        <v>#N/A</v>
      </c>
      <c r="BQ3475">
        <v>0.11332468572476186</v>
      </c>
      <c r="BR3475" t="str">
        <v/>
      </c>
    </row>
    <row r="3476" spans="47:70" x14ac:dyDescent="0.2">
      <c r="AU3476"/>
      <c r="AV3476"/>
      <c r="AW3476"/>
      <c r="AX3476"/>
      <c r="AY3476"/>
      <c r="BK3476" s="42">
        <v>3475</v>
      </c>
      <c r="BL3476" s="127">
        <v>4</v>
      </c>
      <c r="BM3476" s="127">
        <v>0.11332468572476186</v>
      </c>
      <c r="BN3476" s="127" t="e">
        <v>#N/A</v>
      </c>
      <c r="BO3476" s="127" t="e">
        <v>#N/A</v>
      </c>
      <c r="BP3476" s="151" t="e">
        <v>#N/A</v>
      </c>
      <c r="BQ3476">
        <v>0.11332468572476186</v>
      </c>
      <c r="BR3476" t="str">
        <v/>
      </c>
    </row>
    <row r="3477" spans="47:70" x14ac:dyDescent="0.2">
      <c r="AU3477"/>
      <c r="AV3477"/>
      <c r="AW3477"/>
      <c r="AX3477"/>
      <c r="AY3477"/>
      <c r="BK3477" s="42">
        <v>3476</v>
      </c>
      <c r="BL3477" s="127">
        <v>4</v>
      </c>
      <c r="BM3477" s="127">
        <v>0.11332468572476186</v>
      </c>
      <c r="BN3477" s="127" t="e">
        <v>#N/A</v>
      </c>
      <c r="BO3477" s="127" t="e">
        <v>#N/A</v>
      </c>
      <c r="BP3477" s="151" t="e">
        <v>#N/A</v>
      </c>
      <c r="BQ3477">
        <v>0.11332468572476186</v>
      </c>
      <c r="BR3477" t="str">
        <v/>
      </c>
    </row>
    <row r="3478" spans="47:70" x14ac:dyDescent="0.2">
      <c r="AU3478"/>
      <c r="AV3478"/>
      <c r="AW3478"/>
      <c r="AX3478"/>
      <c r="AY3478"/>
      <c r="BK3478" s="42">
        <v>3477</v>
      </c>
      <c r="BL3478" s="127">
        <v>4</v>
      </c>
      <c r="BM3478" s="127">
        <v>0.11332468572476186</v>
      </c>
      <c r="BN3478" s="127" t="e">
        <v>#N/A</v>
      </c>
      <c r="BO3478" s="127" t="e">
        <v>#N/A</v>
      </c>
      <c r="BP3478" s="151" t="e">
        <v>#N/A</v>
      </c>
      <c r="BQ3478">
        <v>0.11332468572476186</v>
      </c>
      <c r="BR3478" t="str">
        <v/>
      </c>
    </row>
    <row r="3479" spans="47:70" x14ac:dyDescent="0.2">
      <c r="AU3479"/>
      <c r="AV3479"/>
      <c r="AW3479"/>
      <c r="AX3479"/>
      <c r="AY3479"/>
      <c r="BK3479" s="42">
        <v>3478</v>
      </c>
      <c r="BL3479" s="127">
        <v>4</v>
      </c>
      <c r="BM3479" s="127">
        <v>0.11332468572476186</v>
      </c>
      <c r="BN3479" s="127" t="e">
        <v>#N/A</v>
      </c>
      <c r="BO3479" s="127" t="e">
        <v>#N/A</v>
      </c>
      <c r="BP3479" s="151" t="e">
        <v>#N/A</v>
      </c>
      <c r="BQ3479">
        <v>0.11332468572476186</v>
      </c>
      <c r="BR3479" t="str">
        <v/>
      </c>
    </row>
    <row r="3480" spans="47:70" x14ac:dyDescent="0.2">
      <c r="AU3480"/>
      <c r="AV3480"/>
      <c r="AW3480"/>
      <c r="AX3480"/>
      <c r="AY3480"/>
      <c r="BK3480" s="42">
        <v>3479</v>
      </c>
      <c r="BL3480" s="127">
        <v>4</v>
      </c>
      <c r="BM3480" s="127">
        <v>0.11332468572476186</v>
      </c>
      <c r="BN3480" s="127" t="e">
        <v>#N/A</v>
      </c>
      <c r="BO3480" s="127" t="e">
        <v>#N/A</v>
      </c>
      <c r="BP3480" s="151" t="e">
        <v>#N/A</v>
      </c>
      <c r="BQ3480">
        <v>0.11332468572476186</v>
      </c>
      <c r="BR3480" t="str">
        <v/>
      </c>
    </row>
    <row r="3481" spans="47:70" x14ac:dyDescent="0.2">
      <c r="AU3481"/>
      <c r="AV3481"/>
      <c r="AW3481"/>
      <c r="AX3481"/>
      <c r="AY3481"/>
      <c r="BK3481" s="42">
        <v>3480</v>
      </c>
      <c r="BL3481" s="127">
        <v>4</v>
      </c>
      <c r="BM3481" s="127">
        <v>0.11332468572476186</v>
      </c>
      <c r="BN3481" s="127" t="e">
        <v>#N/A</v>
      </c>
      <c r="BO3481" s="127" t="e">
        <v>#N/A</v>
      </c>
      <c r="BP3481" s="151" t="e">
        <v>#N/A</v>
      </c>
      <c r="BQ3481">
        <v>0.11332468572476186</v>
      </c>
      <c r="BR3481" t="str">
        <v/>
      </c>
    </row>
    <row r="3482" spans="47:70" x14ac:dyDescent="0.2">
      <c r="AU3482"/>
      <c r="AV3482"/>
      <c r="AW3482"/>
      <c r="AX3482"/>
      <c r="AY3482"/>
      <c r="BK3482" s="42">
        <v>3481</v>
      </c>
      <c r="BL3482" s="127">
        <v>4</v>
      </c>
      <c r="BM3482" s="127">
        <v>0.11332468572476186</v>
      </c>
      <c r="BN3482" s="127" t="e">
        <v>#N/A</v>
      </c>
      <c r="BO3482" s="127" t="e">
        <v>#N/A</v>
      </c>
      <c r="BP3482" s="151" t="e">
        <v>#N/A</v>
      </c>
      <c r="BQ3482">
        <v>0.11332468572476186</v>
      </c>
      <c r="BR3482" t="str">
        <v/>
      </c>
    </row>
    <row r="3483" spans="47:70" x14ac:dyDescent="0.2">
      <c r="AU3483"/>
      <c r="AV3483"/>
      <c r="AW3483"/>
      <c r="AX3483"/>
      <c r="AY3483"/>
      <c r="BK3483" s="42">
        <v>3482</v>
      </c>
      <c r="BL3483" s="127">
        <v>4</v>
      </c>
      <c r="BM3483" s="127">
        <v>0.11332468572476186</v>
      </c>
      <c r="BN3483" s="127" t="e">
        <v>#N/A</v>
      </c>
      <c r="BO3483" s="127" t="e">
        <v>#N/A</v>
      </c>
      <c r="BP3483" s="151" t="e">
        <v>#N/A</v>
      </c>
      <c r="BQ3483">
        <v>0.11332468572476186</v>
      </c>
      <c r="BR3483" t="str">
        <v/>
      </c>
    </row>
    <row r="3484" spans="47:70" x14ac:dyDescent="0.2">
      <c r="AU3484"/>
      <c r="AV3484"/>
      <c r="AW3484"/>
      <c r="AX3484"/>
      <c r="AY3484"/>
      <c r="BK3484" s="42">
        <v>3483</v>
      </c>
      <c r="BL3484" s="127">
        <v>4</v>
      </c>
      <c r="BM3484" s="127">
        <v>0.11332468572476186</v>
      </c>
      <c r="BN3484" s="127" t="e">
        <v>#N/A</v>
      </c>
      <c r="BO3484" s="127" t="e">
        <v>#N/A</v>
      </c>
      <c r="BP3484" s="151" t="e">
        <v>#N/A</v>
      </c>
      <c r="BQ3484">
        <v>0.11332468572476186</v>
      </c>
      <c r="BR3484" t="str">
        <v/>
      </c>
    </row>
    <row r="3485" spans="47:70" x14ac:dyDescent="0.2">
      <c r="AU3485"/>
      <c r="AV3485"/>
      <c r="AW3485"/>
      <c r="AX3485"/>
      <c r="AY3485"/>
      <c r="BK3485" s="42">
        <v>3484</v>
      </c>
      <c r="BL3485" s="127">
        <v>4</v>
      </c>
      <c r="BM3485" s="127">
        <v>0.11332468572476186</v>
      </c>
      <c r="BN3485" s="127" t="e">
        <v>#N/A</v>
      </c>
      <c r="BO3485" s="127" t="e">
        <v>#N/A</v>
      </c>
      <c r="BP3485" s="151" t="e">
        <v>#N/A</v>
      </c>
      <c r="BQ3485">
        <v>0.11332468572476186</v>
      </c>
      <c r="BR3485" t="str">
        <v/>
      </c>
    </row>
    <row r="3486" spans="47:70" x14ac:dyDescent="0.2">
      <c r="AU3486"/>
      <c r="AV3486"/>
      <c r="AW3486"/>
      <c r="AX3486"/>
      <c r="AY3486"/>
      <c r="BK3486" s="42">
        <v>3485</v>
      </c>
      <c r="BL3486" s="127">
        <v>4</v>
      </c>
      <c r="BM3486" s="127">
        <v>0.11332468572476186</v>
      </c>
      <c r="BN3486" s="127" t="e">
        <v>#N/A</v>
      </c>
      <c r="BO3486" s="127" t="e">
        <v>#N/A</v>
      </c>
      <c r="BP3486" s="151" t="e">
        <v>#N/A</v>
      </c>
      <c r="BQ3486">
        <v>0.11332468572476186</v>
      </c>
      <c r="BR3486" t="str">
        <v/>
      </c>
    </row>
    <row r="3487" spans="47:70" x14ac:dyDescent="0.2">
      <c r="AU3487"/>
      <c r="AV3487"/>
      <c r="AW3487"/>
      <c r="AX3487"/>
      <c r="AY3487"/>
      <c r="BK3487" s="42">
        <v>3486</v>
      </c>
      <c r="BL3487" s="127">
        <v>4</v>
      </c>
      <c r="BM3487" s="127">
        <v>0.11332468572476186</v>
      </c>
      <c r="BN3487" s="127" t="e">
        <v>#N/A</v>
      </c>
      <c r="BO3487" s="127" t="e">
        <v>#N/A</v>
      </c>
      <c r="BP3487" s="151" t="e">
        <v>#N/A</v>
      </c>
      <c r="BQ3487">
        <v>0.11332468572476186</v>
      </c>
      <c r="BR3487" t="str">
        <v/>
      </c>
    </row>
    <row r="3488" spans="47:70" x14ac:dyDescent="0.2">
      <c r="AU3488"/>
      <c r="AV3488"/>
      <c r="AW3488"/>
      <c r="AX3488"/>
      <c r="AY3488"/>
      <c r="BK3488" s="42">
        <v>3487</v>
      </c>
      <c r="BL3488" s="127">
        <v>4</v>
      </c>
      <c r="BM3488" s="127">
        <v>0.11332468572476186</v>
      </c>
      <c r="BN3488" s="127" t="e">
        <v>#N/A</v>
      </c>
      <c r="BO3488" s="127" t="e">
        <v>#N/A</v>
      </c>
      <c r="BP3488" s="151" t="e">
        <v>#N/A</v>
      </c>
      <c r="BQ3488">
        <v>0.11332468572476186</v>
      </c>
      <c r="BR3488" t="str">
        <v/>
      </c>
    </row>
    <row r="3489" spans="47:70" x14ac:dyDescent="0.2">
      <c r="AU3489"/>
      <c r="AV3489"/>
      <c r="AW3489"/>
      <c r="AX3489"/>
      <c r="AY3489"/>
      <c r="BK3489" s="42">
        <v>3488</v>
      </c>
      <c r="BL3489" s="127">
        <v>4</v>
      </c>
      <c r="BM3489" s="127">
        <v>0.11332468572476186</v>
      </c>
      <c r="BN3489" s="127" t="e">
        <v>#N/A</v>
      </c>
      <c r="BO3489" s="127" t="e">
        <v>#N/A</v>
      </c>
      <c r="BP3489" s="151" t="e">
        <v>#N/A</v>
      </c>
      <c r="BQ3489">
        <v>0.11332468572476186</v>
      </c>
      <c r="BR3489" t="str">
        <v/>
      </c>
    </row>
    <row r="3490" spans="47:70" x14ac:dyDescent="0.2">
      <c r="AU3490"/>
      <c r="AV3490"/>
      <c r="AW3490"/>
      <c r="AX3490"/>
      <c r="AY3490"/>
      <c r="BK3490" s="42">
        <v>3489</v>
      </c>
      <c r="BL3490" s="127">
        <v>4</v>
      </c>
      <c r="BM3490" s="127">
        <v>0.11332468572476186</v>
      </c>
      <c r="BN3490" s="127" t="e">
        <v>#N/A</v>
      </c>
      <c r="BO3490" s="127" t="e">
        <v>#N/A</v>
      </c>
      <c r="BP3490" s="151" t="e">
        <v>#N/A</v>
      </c>
      <c r="BQ3490">
        <v>0.11332468572476186</v>
      </c>
      <c r="BR3490" t="str">
        <v/>
      </c>
    </row>
    <row r="3491" spans="47:70" x14ac:dyDescent="0.2">
      <c r="AU3491"/>
      <c r="AV3491"/>
      <c r="AW3491"/>
      <c r="AX3491"/>
      <c r="AY3491"/>
      <c r="BK3491" s="42">
        <v>3490</v>
      </c>
      <c r="BL3491" s="127">
        <v>4</v>
      </c>
      <c r="BM3491" s="127">
        <v>0.11332468572476186</v>
      </c>
      <c r="BN3491" s="127" t="e">
        <v>#N/A</v>
      </c>
      <c r="BO3491" s="127" t="e">
        <v>#N/A</v>
      </c>
      <c r="BP3491" s="151" t="e">
        <v>#N/A</v>
      </c>
      <c r="BQ3491">
        <v>0.11332468572476186</v>
      </c>
      <c r="BR3491" t="str">
        <v/>
      </c>
    </row>
    <row r="3492" spans="47:70" x14ac:dyDescent="0.2">
      <c r="AU3492"/>
      <c r="AV3492"/>
      <c r="AW3492"/>
      <c r="AX3492"/>
      <c r="AY3492"/>
      <c r="BK3492" s="42">
        <v>3491</v>
      </c>
      <c r="BL3492" s="127">
        <v>4</v>
      </c>
      <c r="BM3492" s="127">
        <v>0.11332468572476186</v>
      </c>
      <c r="BN3492" s="127" t="e">
        <v>#N/A</v>
      </c>
      <c r="BO3492" s="127" t="e">
        <v>#N/A</v>
      </c>
      <c r="BP3492" s="151" t="e">
        <v>#N/A</v>
      </c>
      <c r="BQ3492">
        <v>0.11332468572476186</v>
      </c>
      <c r="BR3492" t="str">
        <v/>
      </c>
    </row>
    <row r="3493" spans="47:70" x14ac:dyDescent="0.2">
      <c r="AU3493"/>
      <c r="AV3493"/>
      <c r="AW3493"/>
      <c r="AX3493"/>
      <c r="AY3493"/>
      <c r="BK3493" s="42">
        <v>3492</v>
      </c>
      <c r="BL3493" s="127">
        <v>4</v>
      </c>
      <c r="BM3493" s="127">
        <v>0.11332468572476186</v>
      </c>
      <c r="BN3493" s="127" t="e">
        <v>#N/A</v>
      </c>
      <c r="BO3493" s="127" t="e">
        <v>#N/A</v>
      </c>
      <c r="BP3493" s="151" t="e">
        <v>#N/A</v>
      </c>
      <c r="BQ3493">
        <v>0.11332468572476186</v>
      </c>
      <c r="BR3493" t="str">
        <v/>
      </c>
    </row>
    <row r="3494" spans="47:70" x14ac:dyDescent="0.2">
      <c r="AU3494"/>
      <c r="AV3494"/>
      <c r="AW3494"/>
      <c r="AX3494"/>
      <c r="AY3494"/>
      <c r="BK3494" s="42">
        <v>3493</v>
      </c>
      <c r="BL3494" s="127">
        <v>4</v>
      </c>
      <c r="BM3494" s="127">
        <v>0.11332468572476186</v>
      </c>
      <c r="BN3494" s="127" t="e">
        <v>#N/A</v>
      </c>
      <c r="BO3494" s="127" t="e">
        <v>#N/A</v>
      </c>
      <c r="BP3494" s="151" t="e">
        <v>#N/A</v>
      </c>
      <c r="BQ3494">
        <v>0.11332468572476186</v>
      </c>
      <c r="BR3494" t="str">
        <v/>
      </c>
    </row>
    <row r="3495" spans="47:70" x14ac:dyDescent="0.2">
      <c r="AU3495"/>
      <c r="AV3495"/>
      <c r="AW3495"/>
      <c r="AX3495"/>
      <c r="AY3495"/>
      <c r="BK3495" s="42">
        <v>3494</v>
      </c>
      <c r="BL3495" s="127">
        <v>4</v>
      </c>
      <c r="BM3495" s="127">
        <v>0.11332468572476186</v>
      </c>
      <c r="BN3495" s="127" t="e">
        <v>#N/A</v>
      </c>
      <c r="BO3495" s="127" t="e">
        <v>#N/A</v>
      </c>
      <c r="BP3495" s="151" t="e">
        <v>#N/A</v>
      </c>
      <c r="BQ3495">
        <v>0.11332468572476186</v>
      </c>
      <c r="BR3495" t="str">
        <v/>
      </c>
    </row>
    <row r="3496" spans="47:70" x14ac:dyDescent="0.2">
      <c r="AU3496"/>
      <c r="AV3496"/>
      <c r="AW3496"/>
      <c r="AX3496"/>
      <c r="AY3496"/>
      <c r="BK3496" s="42">
        <v>3495</v>
      </c>
      <c r="BL3496" s="127">
        <v>4</v>
      </c>
      <c r="BM3496" s="127">
        <v>0.11332468572476186</v>
      </c>
      <c r="BN3496" s="127" t="e">
        <v>#N/A</v>
      </c>
      <c r="BO3496" s="127" t="e">
        <v>#N/A</v>
      </c>
      <c r="BP3496" s="151" t="e">
        <v>#N/A</v>
      </c>
      <c r="BQ3496">
        <v>0.11332468572476186</v>
      </c>
      <c r="BR3496" t="str">
        <v/>
      </c>
    </row>
    <row r="3497" spans="47:70" x14ac:dyDescent="0.2">
      <c r="AU3497"/>
      <c r="AV3497"/>
      <c r="AW3497"/>
      <c r="AX3497"/>
      <c r="AY3497"/>
      <c r="BK3497" s="42">
        <v>3496</v>
      </c>
      <c r="BL3497" s="127">
        <v>4</v>
      </c>
      <c r="BM3497" s="127">
        <v>0.11332468572476186</v>
      </c>
      <c r="BN3497" s="127" t="e">
        <v>#N/A</v>
      </c>
      <c r="BO3497" s="127" t="e">
        <v>#N/A</v>
      </c>
      <c r="BP3497" s="151" t="e">
        <v>#N/A</v>
      </c>
      <c r="BQ3497">
        <v>0.11332468572476186</v>
      </c>
      <c r="BR3497" t="str">
        <v/>
      </c>
    </row>
    <row r="3498" spans="47:70" x14ac:dyDescent="0.2">
      <c r="AU3498"/>
      <c r="AV3498"/>
      <c r="AW3498"/>
      <c r="AX3498"/>
      <c r="AY3498"/>
      <c r="BK3498" s="42">
        <v>3497</v>
      </c>
      <c r="BL3498" s="127">
        <v>4</v>
      </c>
      <c r="BM3498" s="127">
        <v>0.11332468572476186</v>
      </c>
      <c r="BN3498" s="127" t="e">
        <v>#N/A</v>
      </c>
      <c r="BO3498" s="127" t="e">
        <v>#N/A</v>
      </c>
      <c r="BP3498" s="151" t="e">
        <v>#N/A</v>
      </c>
      <c r="BQ3498">
        <v>0.11332468572476186</v>
      </c>
      <c r="BR3498" t="str">
        <v/>
      </c>
    </row>
    <row r="3499" spans="47:70" x14ac:dyDescent="0.2">
      <c r="AU3499"/>
      <c r="AV3499"/>
      <c r="AW3499"/>
      <c r="AX3499"/>
      <c r="AY3499"/>
      <c r="BK3499" s="42">
        <v>3498</v>
      </c>
      <c r="BL3499" s="127">
        <v>4</v>
      </c>
      <c r="BM3499" s="127">
        <v>0.11332468572476186</v>
      </c>
      <c r="BN3499" s="127" t="e">
        <v>#N/A</v>
      </c>
      <c r="BO3499" s="127" t="e">
        <v>#N/A</v>
      </c>
      <c r="BP3499" s="151" t="e">
        <v>#N/A</v>
      </c>
      <c r="BQ3499">
        <v>0.11332468572476186</v>
      </c>
      <c r="BR3499" t="str">
        <v/>
      </c>
    </row>
    <row r="3500" spans="47:70" x14ac:dyDescent="0.2">
      <c r="AU3500"/>
      <c r="AV3500"/>
      <c r="AW3500"/>
      <c r="AX3500"/>
      <c r="AY3500"/>
      <c r="BK3500" s="42">
        <v>3499</v>
      </c>
      <c r="BL3500" s="127">
        <v>4</v>
      </c>
      <c r="BM3500" s="127">
        <v>0.11332468572476186</v>
      </c>
      <c r="BN3500" s="127" t="e">
        <v>#N/A</v>
      </c>
      <c r="BO3500" s="127" t="e">
        <v>#N/A</v>
      </c>
      <c r="BP3500" s="151" t="e">
        <v>#N/A</v>
      </c>
      <c r="BQ3500">
        <v>0.11332468572476186</v>
      </c>
      <c r="BR3500" t="str">
        <v/>
      </c>
    </row>
    <row r="3501" spans="47:70" x14ac:dyDescent="0.2">
      <c r="AU3501"/>
      <c r="AV3501"/>
      <c r="AW3501"/>
      <c r="AX3501"/>
      <c r="AY3501"/>
      <c r="BK3501" s="42">
        <v>3500</v>
      </c>
      <c r="BL3501" s="127">
        <v>4</v>
      </c>
      <c r="BM3501" s="127">
        <v>0.11332468572476186</v>
      </c>
      <c r="BN3501" s="127" t="e">
        <v>#N/A</v>
      </c>
      <c r="BO3501" s="127" t="e">
        <v>#N/A</v>
      </c>
      <c r="BP3501" s="151" t="e">
        <v>#N/A</v>
      </c>
      <c r="BQ3501">
        <v>0.11332468572476186</v>
      </c>
      <c r="BR3501" t="str">
        <v/>
      </c>
    </row>
    <row r="3502" spans="47:70" x14ac:dyDescent="0.2">
      <c r="AU3502"/>
      <c r="AV3502"/>
      <c r="AW3502"/>
      <c r="AX3502"/>
      <c r="AY3502"/>
      <c r="BK3502" s="42">
        <v>3501</v>
      </c>
      <c r="BL3502" s="127">
        <v>4</v>
      </c>
      <c r="BM3502" s="127">
        <v>0.11332468572476186</v>
      </c>
      <c r="BN3502" s="127" t="e">
        <v>#N/A</v>
      </c>
      <c r="BO3502" s="127" t="e">
        <v>#N/A</v>
      </c>
      <c r="BP3502" s="151" t="e">
        <v>#N/A</v>
      </c>
      <c r="BQ3502">
        <v>0.11332468572476186</v>
      </c>
      <c r="BR3502" t="str">
        <v/>
      </c>
    </row>
    <row r="3503" spans="47:70" x14ac:dyDescent="0.2">
      <c r="AU3503"/>
      <c r="AV3503"/>
      <c r="AW3503"/>
      <c r="AX3503"/>
      <c r="AY3503"/>
      <c r="BK3503" s="42">
        <v>3502</v>
      </c>
      <c r="BL3503" s="127">
        <v>4</v>
      </c>
      <c r="BM3503" s="127">
        <v>0.11332468572476186</v>
      </c>
      <c r="BN3503" s="127" t="e">
        <v>#N/A</v>
      </c>
      <c r="BO3503" s="127" t="e">
        <v>#N/A</v>
      </c>
      <c r="BP3503" s="151" t="e">
        <v>#N/A</v>
      </c>
      <c r="BQ3503">
        <v>0.11332468572476186</v>
      </c>
      <c r="BR3503" t="str">
        <v/>
      </c>
    </row>
    <row r="3504" spans="47:70" x14ac:dyDescent="0.2">
      <c r="AU3504"/>
      <c r="AV3504"/>
      <c r="AW3504"/>
      <c r="AX3504"/>
      <c r="AY3504"/>
      <c r="BK3504" s="42">
        <v>3503</v>
      </c>
      <c r="BL3504" s="127">
        <v>4</v>
      </c>
      <c r="BM3504" s="127">
        <v>0.11332468572476186</v>
      </c>
      <c r="BN3504" s="127" t="e">
        <v>#N/A</v>
      </c>
      <c r="BO3504" s="127" t="e">
        <v>#N/A</v>
      </c>
      <c r="BP3504" s="151" t="e">
        <v>#N/A</v>
      </c>
      <c r="BQ3504">
        <v>0.11332468572476186</v>
      </c>
      <c r="BR3504" t="str">
        <v/>
      </c>
    </row>
    <row r="3505" spans="47:70" x14ac:dyDescent="0.2">
      <c r="AU3505"/>
      <c r="AV3505"/>
      <c r="AW3505"/>
      <c r="AX3505"/>
      <c r="AY3505"/>
      <c r="BK3505" s="42">
        <v>3504</v>
      </c>
      <c r="BL3505" s="127">
        <v>4</v>
      </c>
      <c r="BM3505" s="127">
        <v>0.11332468572476186</v>
      </c>
      <c r="BN3505" s="127" t="e">
        <v>#N/A</v>
      </c>
      <c r="BO3505" s="127" t="e">
        <v>#N/A</v>
      </c>
      <c r="BP3505" s="151" t="e">
        <v>#N/A</v>
      </c>
      <c r="BQ3505">
        <v>0.11332468572476186</v>
      </c>
      <c r="BR3505" t="str">
        <v/>
      </c>
    </row>
    <row r="3506" spans="47:70" x14ac:dyDescent="0.2">
      <c r="AU3506"/>
      <c r="AV3506"/>
      <c r="AW3506"/>
      <c r="AX3506"/>
      <c r="AY3506"/>
      <c r="BK3506" s="42">
        <v>3505</v>
      </c>
      <c r="BL3506" s="127">
        <v>4</v>
      </c>
      <c r="BM3506" s="127">
        <v>0.11332468572476186</v>
      </c>
      <c r="BN3506" s="127" t="e">
        <v>#N/A</v>
      </c>
      <c r="BO3506" s="127" t="e">
        <v>#N/A</v>
      </c>
      <c r="BP3506" s="151" t="e">
        <v>#N/A</v>
      </c>
      <c r="BQ3506">
        <v>0.11332468572476186</v>
      </c>
      <c r="BR3506" t="str">
        <v/>
      </c>
    </row>
    <row r="3507" spans="47:70" x14ac:dyDescent="0.2">
      <c r="AU3507"/>
      <c r="AV3507"/>
      <c r="AW3507"/>
      <c r="AX3507"/>
      <c r="AY3507"/>
      <c r="BK3507" s="42">
        <v>3506</v>
      </c>
      <c r="BL3507" s="127">
        <v>4</v>
      </c>
      <c r="BM3507" s="127">
        <v>0.11332468572476186</v>
      </c>
      <c r="BN3507" s="127" t="e">
        <v>#N/A</v>
      </c>
      <c r="BO3507" s="127" t="e">
        <v>#N/A</v>
      </c>
      <c r="BP3507" s="151" t="e">
        <v>#N/A</v>
      </c>
      <c r="BQ3507">
        <v>0.11332468572476186</v>
      </c>
      <c r="BR3507" t="str">
        <v/>
      </c>
    </row>
    <row r="3508" spans="47:70" x14ac:dyDescent="0.2">
      <c r="AU3508"/>
      <c r="AV3508"/>
      <c r="AW3508"/>
      <c r="AX3508"/>
      <c r="AY3508"/>
      <c r="BK3508" s="42">
        <v>3507</v>
      </c>
      <c r="BL3508" s="127">
        <v>4</v>
      </c>
      <c r="BM3508" s="127">
        <v>0.11332468572476186</v>
      </c>
      <c r="BN3508" s="127" t="e">
        <v>#N/A</v>
      </c>
      <c r="BO3508" s="127" t="e">
        <v>#N/A</v>
      </c>
      <c r="BP3508" s="151" t="e">
        <v>#N/A</v>
      </c>
      <c r="BQ3508">
        <v>0.11332468572476186</v>
      </c>
      <c r="BR3508" t="str">
        <v/>
      </c>
    </row>
    <row r="3509" spans="47:70" x14ac:dyDescent="0.2">
      <c r="AU3509"/>
      <c r="AV3509"/>
      <c r="AW3509"/>
      <c r="AX3509"/>
      <c r="AY3509"/>
      <c r="BK3509" s="42">
        <v>3508</v>
      </c>
      <c r="BL3509" s="127">
        <v>4</v>
      </c>
      <c r="BM3509" s="127">
        <v>0.11332468572476186</v>
      </c>
      <c r="BN3509" s="127" t="e">
        <v>#N/A</v>
      </c>
      <c r="BO3509" s="127" t="e">
        <v>#N/A</v>
      </c>
      <c r="BP3509" s="151" t="e">
        <v>#N/A</v>
      </c>
      <c r="BQ3509">
        <v>0.11332468572476186</v>
      </c>
      <c r="BR3509" t="str">
        <v/>
      </c>
    </row>
    <row r="3510" spans="47:70" x14ac:dyDescent="0.2">
      <c r="AU3510"/>
      <c r="AV3510"/>
      <c r="AW3510"/>
      <c r="AX3510"/>
      <c r="AY3510"/>
      <c r="BK3510" s="42">
        <v>3509</v>
      </c>
      <c r="BL3510" s="127">
        <v>4</v>
      </c>
      <c r="BM3510" s="127">
        <v>0.11332468572476186</v>
      </c>
      <c r="BN3510" s="127" t="e">
        <v>#N/A</v>
      </c>
      <c r="BO3510" s="127" t="e">
        <v>#N/A</v>
      </c>
      <c r="BP3510" s="151" t="e">
        <v>#N/A</v>
      </c>
      <c r="BQ3510">
        <v>0.11332468572476186</v>
      </c>
      <c r="BR3510" t="str">
        <v/>
      </c>
    </row>
    <row r="3511" spans="47:70" x14ac:dyDescent="0.2">
      <c r="AU3511"/>
      <c r="AV3511"/>
      <c r="AW3511"/>
      <c r="AX3511"/>
      <c r="AY3511"/>
      <c r="BK3511" s="42">
        <v>3510</v>
      </c>
      <c r="BL3511" s="127">
        <v>4</v>
      </c>
      <c r="BM3511" s="127">
        <v>0.11332468572476186</v>
      </c>
      <c r="BN3511" s="127" t="e">
        <v>#N/A</v>
      </c>
      <c r="BO3511" s="127" t="e">
        <v>#N/A</v>
      </c>
      <c r="BP3511" s="151" t="e">
        <v>#N/A</v>
      </c>
      <c r="BQ3511">
        <v>0.11332468572476186</v>
      </c>
      <c r="BR3511" t="str">
        <v/>
      </c>
    </row>
    <row r="3512" spans="47:70" x14ac:dyDescent="0.2">
      <c r="AU3512"/>
      <c r="AV3512"/>
      <c r="AW3512"/>
      <c r="AX3512"/>
      <c r="AY3512"/>
      <c r="BK3512" s="42">
        <v>3511</v>
      </c>
      <c r="BL3512" s="127">
        <v>4</v>
      </c>
      <c r="BM3512" s="127">
        <v>0.11332468572476186</v>
      </c>
      <c r="BN3512" s="127" t="e">
        <v>#N/A</v>
      </c>
      <c r="BO3512" s="127" t="e">
        <v>#N/A</v>
      </c>
      <c r="BP3512" s="151" t="e">
        <v>#N/A</v>
      </c>
      <c r="BQ3512">
        <v>0.11332468572476186</v>
      </c>
      <c r="BR3512" t="str">
        <v/>
      </c>
    </row>
    <row r="3513" spans="47:70" x14ac:dyDescent="0.2">
      <c r="AU3513"/>
      <c r="AV3513"/>
      <c r="AW3513"/>
      <c r="AX3513"/>
      <c r="AY3513"/>
      <c r="BK3513" s="42">
        <v>3512</v>
      </c>
      <c r="BL3513" s="127">
        <v>4</v>
      </c>
      <c r="BM3513" s="127">
        <v>0.11332468572476186</v>
      </c>
      <c r="BN3513" s="127" t="e">
        <v>#N/A</v>
      </c>
      <c r="BO3513" s="127" t="e">
        <v>#N/A</v>
      </c>
      <c r="BP3513" s="151" t="e">
        <v>#N/A</v>
      </c>
      <c r="BQ3513">
        <v>0.11332468572476186</v>
      </c>
      <c r="BR3513" t="str">
        <v/>
      </c>
    </row>
    <row r="3514" spans="47:70" x14ac:dyDescent="0.2">
      <c r="AU3514"/>
      <c r="AV3514"/>
      <c r="AW3514"/>
      <c r="AX3514"/>
      <c r="AY3514"/>
      <c r="BK3514" s="42">
        <v>3513</v>
      </c>
      <c r="BL3514" s="127">
        <v>4</v>
      </c>
      <c r="BM3514" s="127">
        <v>0.11332468572476186</v>
      </c>
      <c r="BN3514" s="127" t="e">
        <v>#N/A</v>
      </c>
      <c r="BO3514" s="127" t="e">
        <v>#N/A</v>
      </c>
      <c r="BP3514" s="151" t="e">
        <v>#N/A</v>
      </c>
      <c r="BQ3514">
        <v>0.11332468572476186</v>
      </c>
      <c r="BR3514" t="str">
        <v/>
      </c>
    </row>
    <row r="3515" spans="47:70" x14ac:dyDescent="0.2">
      <c r="AU3515"/>
      <c r="AV3515"/>
      <c r="AW3515"/>
      <c r="AX3515"/>
      <c r="AY3515"/>
      <c r="BK3515" s="42">
        <v>3514</v>
      </c>
      <c r="BL3515" s="127">
        <v>4</v>
      </c>
      <c r="BM3515" s="127">
        <v>0.11332468572476186</v>
      </c>
      <c r="BN3515" s="127" t="e">
        <v>#N/A</v>
      </c>
      <c r="BO3515" s="127" t="e">
        <v>#N/A</v>
      </c>
      <c r="BP3515" s="151" t="e">
        <v>#N/A</v>
      </c>
      <c r="BQ3515">
        <v>0.11332468572476186</v>
      </c>
      <c r="BR3515" t="str">
        <v/>
      </c>
    </row>
    <row r="3516" spans="47:70" x14ac:dyDescent="0.2">
      <c r="AU3516"/>
      <c r="AV3516"/>
      <c r="AW3516"/>
      <c r="AX3516"/>
      <c r="AY3516"/>
      <c r="BK3516" s="42">
        <v>3515</v>
      </c>
      <c r="BL3516" s="127">
        <v>4</v>
      </c>
      <c r="BM3516" s="127">
        <v>0.11332468572476186</v>
      </c>
      <c r="BN3516" s="127" t="e">
        <v>#N/A</v>
      </c>
      <c r="BO3516" s="127" t="e">
        <v>#N/A</v>
      </c>
      <c r="BP3516" s="151" t="e">
        <v>#N/A</v>
      </c>
      <c r="BQ3516">
        <v>0.11332468572476186</v>
      </c>
      <c r="BR3516" t="str">
        <v/>
      </c>
    </row>
    <row r="3517" spans="47:70" x14ac:dyDescent="0.2">
      <c r="AU3517"/>
      <c r="AV3517"/>
      <c r="AW3517"/>
      <c r="AX3517"/>
      <c r="AY3517"/>
      <c r="BK3517" s="42">
        <v>3516</v>
      </c>
      <c r="BL3517" s="127">
        <v>4</v>
      </c>
      <c r="BM3517" s="127">
        <v>0.11332468572476186</v>
      </c>
      <c r="BN3517" s="127" t="e">
        <v>#N/A</v>
      </c>
      <c r="BO3517" s="127" t="e">
        <v>#N/A</v>
      </c>
      <c r="BP3517" s="151" t="e">
        <v>#N/A</v>
      </c>
      <c r="BQ3517">
        <v>0.11332468572476186</v>
      </c>
      <c r="BR3517" t="str">
        <v/>
      </c>
    </row>
    <row r="3518" spans="47:70" x14ac:dyDescent="0.2">
      <c r="AU3518"/>
      <c r="AV3518"/>
      <c r="AW3518"/>
      <c r="AX3518"/>
      <c r="AY3518"/>
      <c r="BK3518" s="42">
        <v>3517</v>
      </c>
      <c r="BL3518" s="127">
        <v>4</v>
      </c>
      <c r="BM3518" s="127">
        <v>0.11332468572476186</v>
      </c>
      <c r="BN3518" s="127" t="e">
        <v>#N/A</v>
      </c>
      <c r="BO3518" s="127" t="e">
        <v>#N/A</v>
      </c>
      <c r="BP3518" s="151" t="e">
        <v>#N/A</v>
      </c>
      <c r="BQ3518">
        <v>0.11332468572476186</v>
      </c>
      <c r="BR3518" t="str">
        <v/>
      </c>
    </row>
    <row r="3519" spans="47:70" x14ac:dyDescent="0.2">
      <c r="AU3519"/>
      <c r="AV3519"/>
      <c r="AW3519"/>
      <c r="AX3519"/>
      <c r="AY3519"/>
      <c r="BK3519" s="42">
        <v>3518</v>
      </c>
      <c r="BL3519" s="127">
        <v>4</v>
      </c>
      <c r="BM3519" s="127">
        <v>0.11332468572476186</v>
      </c>
      <c r="BN3519" s="127" t="e">
        <v>#N/A</v>
      </c>
      <c r="BO3519" s="127" t="e">
        <v>#N/A</v>
      </c>
      <c r="BP3519" s="151" t="e">
        <v>#N/A</v>
      </c>
      <c r="BQ3519">
        <v>0.11332468572476186</v>
      </c>
      <c r="BR3519" t="str">
        <v/>
      </c>
    </row>
    <row r="3520" spans="47:70" x14ac:dyDescent="0.2">
      <c r="AU3520"/>
      <c r="AV3520"/>
      <c r="AW3520"/>
      <c r="AX3520"/>
      <c r="AY3520"/>
      <c r="BK3520" s="42">
        <v>3519</v>
      </c>
      <c r="BL3520" s="127">
        <v>4</v>
      </c>
      <c r="BM3520" s="127">
        <v>0.11332468572476186</v>
      </c>
      <c r="BN3520" s="127" t="e">
        <v>#N/A</v>
      </c>
      <c r="BO3520" s="127" t="e">
        <v>#N/A</v>
      </c>
      <c r="BP3520" s="151" t="e">
        <v>#N/A</v>
      </c>
      <c r="BQ3520">
        <v>0.11332468572476186</v>
      </c>
      <c r="BR3520" t="str">
        <v/>
      </c>
    </row>
    <row r="3521" spans="47:70" x14ac:dyDescent="0.2">
      <c r="AU3521"/>
      <c r="AV3521"/>
      <c r="AW3521"/>
      <c r="AX3521"/>
      <c r="AY3521"/>
      <c r="BK3521" s="42">
        <v>3520</v>
      </c>
      <c r="BL3521" s="127">
        <v>4</v>
      </c>
      <c r="BM3521" s="127">
        <v>0.11332468572476186</v>
      </c>
      <c r="BN3521" s="127" t="e">
        <v>#N/A</v>
      </c>
      <c r="BO3521" s="127" t="e">
        <v>#N/A</v>
      </c>
      <c r="BP3521" s="151" t="e">
        <v>#N/A</v>
      </c>
      <c r="BQ3521">
        <v>0.11332468572476186</v>
      </c>
      <c r="BR3521" t="str">
        <v/>
      </c>
    </row>
    <row r="3522" spans="47:70" x14ac:dyDescent="0.2">
      <c r="AU3522"/>
      <c r="AV3522"/>
      <c r="AW3522"/>
      <c r="AX3522"/>
      <c r="AY3522"/>
      <c r="BK3522" s="42">
        <v>3521</v>
      </c>
      <c r="BL3522" s="127">
        <v>4</v>
      </c>
      <c r="BM3522" s="127">
        <v>0.11332468572476186</v>
      </c>
      <c r="BN3522" s="127" t="e">
        <v>#N/A</v>
      </c>
      <c r="BO3522" s="127" t="e">
        <v>#N/A</v>
      </c>
      <c r="BP3522" s="151" t="e">
        <v>#N/A</v>
      </c>
      <c r="BQ3522">
        <v>0.11332468572476186</v>
      </c>
      <c r="BR3522" t="str">
        <v/>
      </c>
    </row>
    <row r="3523" spans="47:70" x14ac:dyDescent="0.2">
      <c r="AU3523"/>
      <c r="AV3523"/>
      <c r="AW3523"/>
      <c r="AX3523"/>
      <c r="AY3523"/>
      <c r="BK3523" s="42">
        <v>3522</v>
      </c>
      <c r="BL3523" s="127">
        <v>4</v>
      </c>
      <c r="BM3523" s="127">
        <v>0.11332468572476186</v>
      </c>
      <c r="BN3523" s="127" t="e">
        <v>#N/A</v>
      </c>
      <c r="BO3523" s="127" t="e">
        <v>#N/A</v>
      </c>
      <c r="BP3523" s="151" t="e">
        <v>#N/A</v>
      </c>
      <c r="BQ3523">
        <v>0.11332468572476186</v>
      </c>
      <c r="BR3523" t="str">
        <v/>
      </c>
    </row>
    <row r="3524" spans="47:70" x14ac:dyDescent="0.2">
      <c r="AU3524"/>
      <c r="AV3524"/>
      <c r="AW3524"/>
      <c r="AX3524"/>
      <c r="AY3524"/>
      <c r="BK3524" s="42">
        <v>3523</v>
      </c>
      <c r="BL3524" s="127">
        <v>4</v>
      </c>
      <c r="BM3524" s="127">
        <v>0.11332468572476186</v>
      </c>
      <c r="BN3524" s="127" t="e">
        <v>#N/A</v>
      </c>
      <c r="BO3524" s="127" t="e">
        <v>#N/A</v>
      </c>
      <c r="BP3524" s="151" t="e">
        <v>#N/A</v>
      </c>
      <c r="BQ3524">
        <v>0.11332468572476186</v>
      </c>
      <c r="BR3524" t="str">
        <v/>
      </c>
    </row>
    <row r="3525" spans="47:70" x14ac:dyDescent="0.2">
      <c r="AU3525"/>
      <c r="AV3525"/>
      <c r="AW3525"/>
      <c r="AX3525"/>
      <c r="AY3525"/>
      <c r="BK3525" s="42">
        <v>3524</v>
      </c>
      <c r="BL3525" s="127">
        <v>4</v>
      </c>
      <c r="BM3525" s="127">
        <v>0.11332468572476186</v>
      </c>
      <c r="BN3525" s="127" t="e">
        <v>#N/A</v>
      </c>
      <c r="BO3525" s="127" t="e">
        <v>#N/A</v>
      </c>
      <c r="BP3525" s="151" t="e">
        <v>#N/A</v>
      </c>
      <c r="BQ3525">
        <v>0.11332468572476186</v>
      </c>
      <c r="BR3525" t="str">
        <v/>
      </c>
    </row>
    <row r="3526" spans="47:70" x14ac:dyDescent="0.2">
      <c r="AU3526"/>
      <c r="AV3526"/>
      <c r="AW3526"/>
      <c r="AX3526"/>
      <c r="AY3526"/>
      <c r="BK3526" s="42">
        <v>3525</v>
      </c>
      <c r="BL3526" s="127">
        <v>4</v>
      </c>
      <c r="BM3526" s="127">
        <v>0.11332468572476186</v>
      </c>
      <c r="BN3526" s="127" t="e">
        <v>#N/A</v>
      </c>
      <c r="BO3526" s="127" t="e">
        <v>#N/A</v>
      </c>
      <c r="BP3526" s="151" t="e">
        <v>#N/A</v>
      </c>
      <c r="BQ3526">
        <v>0.11332468572476186</v>
      </c>
      <c r="BR3526" t="str">
        <v/>
      </c>
    </row>
    <row r="3527" spans="47:70" x14ac:dyDescent="0.2">
      <c r="AU3527"/>
      <c r="AV3527"/>
      <c r="AW3527"/>
      <c r="AX3527"/>
      <c r="AY3527"/>
      <c r="BK3527" s="42">
        <v>3526</v>
      </c>
      <c r="BL3527" s="127">
        <v>4</v>
      </c>
      <c r="BM3527" s="127">
        <v>0.11332468572476186</v>
      </c>
      <c r="BN3527" s="127" t="e">
        <v>#N/A</v>
      </c>
      <c r="BO3527" s="127" t="e">
        <v>#N/A</v>
      </c>
      <c r="BP3527" s="151" t="e">
        <v>#N/A</v>
      </c>
      <c r="BQ3527">
        <v>0.11332468572476186</v>
      </c>
      <c r="BR3527" t="str">
        <v/>
      </c>
    </row>
    <row r="3528" spans="47:70" x14ac:dyDescent="0.2">
      <c r="AU3528"/>
      <c r="AV3528"/>
      <c r="AW3528"/>
      <c r="AX3528"/>
      <c r="AY3528"/>
      <c r="BK3528" s="42">
        <v>3527</v>
      </c>
      <c r="BL3528" s="127">
        <v>4</v>
      </c>
      <c r="BM3528" s="127">
        <v>0.11332468572476186</v>
      </c>
      <c r="BN3528" s="127" t="e">
        <v>#N/A</v>
      </c>
      <c r="BO3528" s="127" t="e">
        <v>#N/A</v>
      </c>
      <c r="BP3528" s="151" t="e">
        <v>#N/A</v>
      </c>
      <c r="BQ3528">
        <v>0.11332468572476186</v>
      </c>
      <c r="BR3528" t="str">
        <v/>
      </c>
    </row>
    <row r="3529" spans="47:70" x14ac:dyDescent="0.2">
      <c r="AU3529"/>
      <c r="AV3529"/>
      <c r="AW3529"/>
      <c r="AX3529"/>
      <c r="AY3529"/>
      <c r="BK3529" s="42">
        <v>3528</v>
      </c>
      <c r="BL3529" s="127">
        <v>4</v>
      </c>
      <c r="BM3529" s="127">
        <v>0.11332468572476186</v>
      </c>
      <c r="BN3529" s="127" t="e">
        <v>#N/A</v>
      </c>
      <c r="BO3529" s="127" t="e">
        <v>#N/A</v>
      </c>
      <c r="BP3529" s="151" t="e">
        <v>#N/A</v>
      </c>
      <c r="BQ3529">
        <v>0.11332468572476186</v>
      </c>
      <c r="BR3529" t="str">
        <v/>
      </c>
    </row>
    <row r="3530" spans="47:70" x14ac:dyDescent="0.2">
      <c r="AU3530"/>
      <c r="AV3530"/>
      <c r="AW3530"/>
      <c r="AX3530"/>
      <c r="AY3530"/>
      <c r="BK3530" s="42">
        <v>3529</v>
      </c>
      <c r="BL3530" s="127">
        <v>4</v>
      </c>
      <c r="BM3530" s="127">
        <v>0.11332468572476186</v>
      </c>
      <c r="BN3530" s="127" t="e">
        <v>#N/A</v>
      </c>
      <c r="BO3530" s="127" t="e">
        <v>#N/A</v>
      </c>
      <c r="BP3530" s="151" t="e">
        <v>#N/A</v>
      </c>
      <c r="BQ3530">
        <v>0.11332468572476186</v>
      </c>
      <c r="BR3530" t="str">
        <v/>
      </c>
    </row>
    <row r="3531" spans="47:70" x14ac:dyDescent="0.2">
      <c r="AU3531"/>
      <c r="AV3531"/>
      <c r="AW3531"/>
      <c r="AX3531"/>
      <c r="AY3531"/>
      <c r="BK3531" s="42">
        <v>3530</v>
      </c>
      <c r="BL3531" s="127">
        <v>4</v>
      </c>
      <c r="BM3531" s="127">
        <v>0.11332468572476186</v>
      </c>
      <c r="BN3531" s="127" t="e">
        <v>#N/A</v>
      </c>
      <c r="BO3531" s="127" t="e">
        <v>#N/A</v>
      </c>
      <c r="BP3531" s="151" t="e">
        <v>#N/A</v>
      </c>
      <c r="BQ3531">
        <v>0.11332468572476186</v>
      </c>
      <c r="BR3531" t="str">
        <v/>
      </c>
    </row>
    <row r="3532" spans="47:70" x14ac:dyDescent="0.2">
      <c r="AU3532"/>
      <c r="AV3532"/>
      <c r="AW3532"/>
      <c r="AX3532"/>
      <c r="AY3532"/>
      <c r="BK3532" s="42">
        <v>3531</v>
      </c>
      <c r="BL3532" s="127">
        <v>4</v>
      </c>
      <c r="BM3532" s="127">
        <v>0.11332468572476186</v>
      </c>
      <c r="BN3532" s="127" t="e">
        <v>#N/A</v>
      </c>
      <c r="BO3532" s="127" t="e">
        <v>#N/A</v>
      </c>
      <c r="BP3532" s="151" t="e">
        <v>#N/A</v>
      </c>
      <c r="BQ3532">
        <v>0.11332468572476186</v>
      </c>
      <c r="BR3532" t="str">
        <v/>
      </c>
    </row>
    <row r="3533" spans="47:70" x14ac:dyDescent="0.2">
      <c r="AU3533"/>
      <c r="AV3533"/>
      <c r="AW3533"/>
      <c r="AX3533"/>
      <c r="AY3533"/>
      <c r="BK3533" s="42">
        <v>3532</v>
      </c>
      <c r="BL3533" s="127">
        <v>4</v>
      </c>
      <c r="BM3533" s="127">
        <v>0.11332468572476186</v>
      </c>
      <c r="BN3533" s="127" t="e">
        <v>#N/A</v>
      </c>
      <c r="BO3533" s="127" t="e">
        <v>#N/A</v>
      </c>
      <c r="BP3533" s="151" t="e">
        <v>#N/A</v>
      </c>
      <c r="BQ3533">
        <v>0.11332468572476186</v>
      </c>
      <c r="BR3533" t="str">
        <v/>
      </c>
    </row>
    <row r="3534" spans="47:70" x14ac:dyDescent="0.2">
      <c r="AU3534"/>
      <c r="AV3534"/>
      <c r="AW3534"/>
      <c r="AX3534"/>
      <c r="AY3534"/>
      <c r="BK3534" s="42">
        <v>3533</v>
      </c>
      <c r="BL3534" s="127">
        <v>4</v>
      </c>
      <c r="BM3534" s="127">
        <v>0.11332468572476186</v>
      </c>
      <c r="BN3534" s="127" t="e">
        <v>#N/A</v>
      </c>
      <c r="BO3534" s="127" t="e">
        <v>#N/A</v>
      </c>
      <c r="BP3534" s="151" t="e">
        <v>#N/A</v>
      </c>
      <c r="BQ3534">
        <v>0.11332468572476186</v>
      </c>
      <c r="BR3534" t="str">
        <v/>
      </c>
    </row>
    <row r="3535" spans="47:70" x14ac:dyDescent="0.2">
      <c r="AU3535"/>
      <c r="AV3535"/>
      <c r="AW3535"/>
      <c r="AX3535"/>
      <c r="AY3535"/>
      <c r="BK3535" s="42">
        <v>3534</v>
      </c>
      <c r="BL3535" s="127">
        <v>4</v>
      </c>
      <c r="BM3535" s="127">
        <v>0.11332468572476186</v>
      </c>
      <c r="BN3535" s="127" t="e">
        <v>#N/A</v>
      </c>
      <c r="BO3535" s="127" t="e">
        <v>#N/A</v>
      </c>
      <c r="BP3535" s="151" t="e">
        <v>#N/A</v>
      </c>
      <c r="BQ3535">
        <v>0.11332468572476186</v>
      </c>
      <c r="BR3535" t="str">
        <v/>
      </c>
    </row>
    <row r="3536" spans="47:70" x14ac:dyDescent="0.2">
      <c r="AU3536"/>
      <c r="AV3536"/>
      <c r="AW3536"/>
      <c r="AX3536"/>
      <c r="AY3536"/>
      <c r="BK3536" s="42">
        <v>3535</v>
      </c>
      <c r="BL3536" s="127">
        <v>4</v>
      </c>
      <c r="BM3536" s="127">
        <v>0.11332468572476186</v>
      </c>
      <c r="BN3536" s="127" t="e">
        <v>#N/A</v>
      </c>
      <c r="BO3536" s="127" t="e">
        <v>#N/A</v>
      </c>
      <c r="BP3536" s="151" t="e">
        <v>#N/A</v>
      </c>
      <c r="BQ3536">
        <v>0.11332468572476186</v>
      </c>
      <c r="BR3536" t="str">
        <v/>
      </c>
    </row>
    <row r="3537" spans="47:70" x14ac:dyDescent="0.2">
      <c r="AU3537"/>
      <c r="AV3537"/>
      <c r="AW3537"/>
      <c r="AX3537"/>
      <c r="AY3537"/>
      <c r="BK3537" s="42">
        <v>3536</v>
      </c>
      <c r="BL3537" s="127">
        <v>4</v>
      </c>
      <c r="BM3537" s="127">
        <v>0.11332468572476186</v>
      </c>
      <c r="BN3537" s="127" t="e">
        <v>#N/A</v>
      </c>
      <c r="BO3537" s="127" t="e">
        <v>#N/A</v>
      </c>
      <c r="BP3537" s="151" t="e">
        <v>#N/A</v>
      </c>
      <c r="BQ3537">
        <v>0.11332468572476186</v>
      </c>
      <c r="BR3537" t="str">
        <v/>
      </c>
    </row>
    <row r="3538" spans="47:70" x14ac:dyDescent="0.2">
      <c r="AU3538"/>
      <c r="AV3538"/>
      <c r="AW3538"/>
      <c r="AX3538"/>
      <c r="AY3538"/>
      <c r="BK3538" s="42">
        <v>3537</v>
      </c>
      <c r="BL3538" s="127">
        <v>4</v>
      </c>
      <c r="BM3538" s="127">
        <v>0.11332468572476186</v>
      </c>
      <c r="BN3538" s="127" t="e">
        <v>#N/A</v>
      </c>
      <c r="BO3538" s="127" t="e">
        <v>#N/A</v>
      </c>
      <c r="BP3538" s="151" t="e">
        <v>#N/A</v>
      </c>
      <c r="BQ3538">
        <v>0.11332468572476186</v>
      </c>
      <c r="BR3538" t="str">
        <v/>
      </c>
    </row>
    <row r="3539" spans="47:70" x14ac:dyDescent="0.2">
      <c r="AU3539"/>
      <c r="AV3539"/>
      <c r="AW3539"/>
      <c r="AX3539"/>
      <c r="AY3539"/>
      <c r="BK3539" s="42">
        <v>3538</v>
      </c>
      <c r="BL3539" s="127">
        <v>4</v>
      </c>
      <c r="BM3539" s="127">
        <v>0.11332468572476186</v>
      </c>
      <c r="BN3539" s="127" t="e">
        <v>#N/A</v>
      </c>
      <c r="BO3539" s="127" t="e">
        <v>#N/A</v>
      </c>
      <c r="BP3539" s="151" t="e">
        <v>#N/A</v>
      </c>
      <c r="BQ3539">
        <v>0.11332468572476186</v>
      </c>
      <c r="BR3539" t="str">
        <v/>
      </c>
    </row>
    <row r="3540" spans="47:70" x14ac:dyDescent="0.2">
      <c r="AU3540"/>
      <c r="AV3540"/>
      <c r="AW3540"/>
      <c r="AX3540"/>
      <c r="AY3540"/>
      <c r="BK3540" s="42">
        <v>3539</v>
      </c>
      <c r="BL3540" s="127">
        <v>4</v>
      </c>
      <c r="BM3540" s="127">
        <v>0.11332468572476186</v>
      </c>
      <c r="BN3540" s="127" t="e">
        <v>#N/A</v>
      </c>
      <c r="BO3540" s="127" t="e">
        <v>#N/A</v>
      </c>
      <c r="BP3540" s="151" t="e">
        <v>#N/A</v>
      </c>
      <c r="BQ3540">
        <v>0.11332468572476186</v>
      </c>
      <c r="BR3540" t="str">
        <v/>
      </c>
    </row>
    <row r="3541" spans="47:70" x14ac:dyDescent="0.2">
      <c r="AU3541"/>
      <c r="AV3541"/>
      <c r="AW3541"/>
      <c r="AX3541"/>
      <c r="AY3541"/>
      <c r="BK3541" s="42">
        <v>3540</v>
      </c>
      <c r="BL3541" s="127">
        <v>4</v>
      </c>
      <c r="BM3541" s="127">
        <v>0.11332468572476186</v>
      </c>
      <c r="BN3541" s="127" t="e">
        <v>#N/A</v>
      </c>
      <c r="BO3541" s="127" t="e">
        <v>#N/A</v>
      </c>
      <c r="BP3541" s="151" t="e">
        <v>#N/A</v>
      </c>
      <c r="BQ3541">
        <v>0.11332468572476186</v>
      </c>
      <c r="BR3541" t="str">
        <v/>
      </c>
    </row>
    <row r="3542" spans="47:70" x14ac:dyDescent="0.2">
      <c r="AU3542"/>
      <c r="AV3542"/>
      <c r="AW3542"/>
      <c r="AX3542"/>
      <c r="AY3542"/>
      <c r="BK3542" s="42">
        <v>3541</v>
      </c>
      <c r="BL3542" s="127">
        <v>4</v>
      </c>
      <c r="BM3542" s="127">
        <v>0.11332468572476186</v>
      </c>
      <c r="BN3542" s="127" t="e">
        <v>#N/A</v>
      </c>
      <c r="BO3542" s="127" t="e">
        <v>#N/A</v>
      </c>
      <c r="BP3542" s="151" t="e">
        <v>#N/A</v>
      </c>
      <c r="BQ3542">
        <v>0.11332468572476186</v>
      </c>
      <c r="BR3542" t="str">
        <v/>
      </c>
    </row>
    <row r="3543" spans="47:70" x14ac:dyDescent="0.2">
      <c r="AU3543"/>
      <c r="AV3543"/>
      <c r="AW3543"/>
      <c r="AX3543"/>
      <c r="AY3543"/>
      <c r="BK3543" s="42">
        <v>3542</v>
      </c>
      <c r="BL3543" s="127">
        <v>4</v>
      </c>
      <c r="BM3543" s="127">
        <v>0.11332468572476186</v>
      </c>
      <c r="BN3543" s="127" t="e">
        <v>#N/A</v>
      </c>
      <c r="BO3543" s="127" t="e">
        <v>#N/A</v>
      </c>
      <c r="BP3543" s="151" t="e">
        <v>#N/A</v>
      </c>
      <c r="BQ3543">
        <v>0.11332468572476186</v>
      </c>
      <c r="BR3543" t="str">
        <v/>
      </c>
    </row>
    <row r="3544" spans="47:70" x14ac:dyDescent="0.2">
      <c r="AU3544"/>
      <c r="AV3544"/>
      <c r="AW3544"/>
      <c r="AX3544"/>
      <c r="AY3544"/>
      <c r="BK3544" s="42">
        <v>3543</v>
      </c>
      <c r="BL3544" s="127">
        <v>4</v>
      </c>
      <c r="BM3544" s="127">
        <v>0.11332468572476186</v>
      </c>
      <c r="BN3544" s="127" t="e">
        <v>#N/A</v>
      </c>
      <c r="BO3544" s="127" t="e">
        <v>#N/A</v>
      </c>
      <c r="BP3544" s="151" t="e">
        <v>#N/A</v>
      </c>
      <c r="BQ3544">
        <v>0.11332468572476186</v>
      </c>
      <c r="BR3544" t="str">
        <v/>
      </c>
    </row>
    <row r="3545" spans="47:70" x14ac:dyDescent="0.2">
      <c r="AU3545"/>
      <c r="AV3545"/>
      <c r="AW3545"/>
      <c r="AX3545"/>
      <c r="AY3545"/>
      <c r="BK3545" s="42">
        <v>3544</v>
      </c>
      <c r="BL3545" s="127">
        <v>4</v>
      </c>
      <c r="BM3545" s="127">
        <v>0.11332468572476186</v>
      </c>
      <c r="BN3545" s="127" t="e">
        <v>#N/A</v>
      </c>
      <c r="BO3545" s="127" t="e">
        <v>#N/A</v>
      </c>
      <c r="BP3545" s="151" t="e">
        <v>#N/A</v>
      </c>
      <c r="BQ3545">
        <v>0.11332468572476186</v>
      </c>
      <c r="BR3545" t="str">
        <v/>
      </c>
    </row>
    <row r="3546" spans="47:70" x14ac:dyDescent="0.2">
      <c r="AU3546"/>
      <c r="AV3546"/>
      <c r="AW3546"/>
      <c r="AX3546"/>
      <c r="AY3546"/>
      <c r="BK3546" s="42">
        <v>3545</v>
      </c>
      <c r="BL3546" s="127">
        <v>4</v>
      </c>
      <c r="BM3546" s="127">
        <v>0.11332468572476186</v>
      </c>
      <c r="BN3546" s="127" t="e">
        <v>#N/A</v>
      </c>
      <c r="BO3546" s="127" t="e">
        <v>#N/A</v>
      </c>
      <c r="BP3546" s="151" t="e">
        <v>#N/A</v>
      </c>
      <c r="BQ3546">
        <v>0.11332468572476186</v>
      </c>
      <c r="BR3546" t="str">
        <v/>
      </c>
    </row>
    <row r="3547" spans="47:70" x14ac:dyDescent="0.2">
      <c r="AU3547"/>
      <c r="AV3547"/>
      <c r="AW3547"/>
      <c r="AX3547"/>
      <c r="AY3547"/>
      <c r="BK3547" s="42">
        <v>3546</v>
      </c>
      <c r="BL3547" s="127">
        <v>4</v>
      </c>
      <c r="BM3547" s="127">
        <v>0.11332468572476186</v>
      </c>
      <c r="BN3547" s="127" t="e">
        <v>#N/A</v>
      </c>
      <c r="BO3547" s="127" t="e">
        <v>#N/A</v>
      </c>
      <c r="BP3547" s="151" t="e">
        <v>#N/A</v>
      </c>
      <c r="BQ3547">
        <v>0.11332468572476186</v>
      </c>
      <c r="BR3547" t="str">
        <v/>
      </c>
    </row>
    <row r="3548" spans="47:70" x14ac:dyDescent="0.2">
      <c r="AU3548"/>
      <c r="AV3548"/>
      <c r="AW3548"/>
      <c r="AX3548"/>
      <c r="AY3548"/>
      <c r="BK3548" s="42">
        <v>3547</v>
      </c>
      <c r="BL3548" s="127">
        <v>4</v>
      </c>
      <c r="BM3548" s="127">
        <v>0.11332468572476186</v>
      </c>
      <c r="BN3548" s="127" t="e">
        <v>#N/A</v>
      </c>
      <c r="BO3548" s="127" t="e">
        <v>#N/A</v>
      </c>
      <c r="BP3548" s="151" t="e">
        <v>#N/A</v>
      </c>
      <c r="BQ3548">
        <v>0.11332468572476186</v>
      </c>
      <c r="BR3548" t="str">
        <v/>
      </c>
    </row>
    <row r="3549" spans="47:70" x14ac:dyDescent="0.2">
      <c r="AU3549"/>
      <c r="AV3549"/>
      <c r="AW3549"/>
      <c r="AX3549"/>
      <c r="AY3549"/>
      <c r="BK3549" s="42">
        <v>3548</v>
      </c>
      <c r="BL3549" s="127">
        <v>4</v>
      </c>
      <c r="BM3549" s="127">
        <v>0.11332468572476186</v>
      </c>
      <c r="BN3549" s="127" t="e">
        <v>#N/A</v>
      </c>
      <c r="BO3549" s="127" t="e">
        <v>#N/A</v>
      </c>
      <c r="BP3549" s="151" t="e">
        <v>#N/A</v>
      </c>
      <c r="BQ3549">
        <v>0.11332468572476186</v>
      </c>
      <c r="BR3549" t="str">
        <v/>
      </c>
    </row>
    <row r="3550" spans="47:70" x14ac:dyDescent="0.2">
      <c r="AU3550"/>
      <c r="AV3550"/>
      <c r="AW3550"/>
      <c r="AX3550"/>
      <c r="AY3550"/>
      <c r="BK3550" s="42">
        <v>3549</v>
      </c>
      <c r="BL3550" s="127">
        <v>4</v>
      </c>
      <c r="BM3550" s="127">
        <v>0.11332468572476186</v>
      </c>
      <c r="BN3550" s="127" t="e">
        <v>#N/A</v>
      </c>
      <c r="BO3550" s="127" t="e">
        <v>#N/A</v>
      </c>
      <c r="BP3550" s="151" t="e">
        <v>#N/A</v>
      </c>
      <c r="BQ3550">
        <v>0.11332468572476186</v>
      </c>
      <c r="BR3550" t="str">
        <v/>
      </c>
    </row>
    <row r="3551" spans="47:70" x14ac:dyDescent="0.2">
      <c r="AU3551"/>
      <c r="AV3551"/>
      <c r="AW3551"/>
      <c r="AX3551"/>
      <c r="AY3551"/>
      <c r="BK3551" s="42">
        <v>3550</v>
      </c>
      <c r="BL3551" s="127">
        <v>4</v>
      </c>
      <c r="BM3551" s="127">
        <v>0.11332468572476186</v>
      </c>
      <c r="BN3551" s="127" t="e">
        <v>#N/A</v>
      </c>
      <c r="BO3551" s="127" t="e">
        <v>#N/A</v>
      </c>
      <c r="BP3551" s="151" t="e">
        <v>#N/A</v>
      </c>
      <c r="BQ3551">
        <v>0.11332468572476186</v>
      </c>
      <c r="BR3551" t="str">
        <v/>
      </c>
    </row>
    <row r="3552" spans="47:70" x14ac:dyDescent="0.2">
      <c r="AU3552"/>
      <c r="AV3552"/>
      <c r="AW3552"/>
      <c r="AX3552"/>
      <c r="AY3552"/>
      <c r="BK3552" s="42">
        <v>3551</v>
      </c>
      <c r="BL3552" s="127">
        <v>4</v>
      </c>
      <c r="BM3552" s="127">
        <v>0.11332468572476186</v>
      </c>
      <c r="BN3552" s="127" t="e">
        <v>#N/A</v>
      </c>
      <c r="BO3552" s="127" t="e">
        <v>#N/A</v>
      </c>
      <c r="BP3552" s="151" t="e">
        <v>#N/A</v>
      </c>
      <c r="BQ3552">
        <v>0.11332468572476186</v>
      </c>
      <c r="BR3552" t="str">
        <v/>
      </c>
    </row>
    <row r="3553" spans="47:70" x14ac:dyDescent="0.2">
      <c r="AU3553"/>
      <c r="AV3553"/>
      <c r="AW3553"/>
      <c r="AX3553"/>
      <c r="AY3553"/>
      <c r="BK3553" s="42">
        <v>3552</v>
      </c>
      <c r="BL3553" s="127">
        <v>4</v>
      </c>
      <c r="BM3553" s="127">
        <v>0.11332468572476186</v>
      </c>
      <c r="BN3553" s="127" t="e">
        <v>#N/A</v>
      </c>
      <c r="BO3553" s="127" t="e">
        <v>#N/A</v>
      </c>
      <c r="BP3553" s="151" t="e">
        <v>#N/A</v>
      </c>
      <c r="BQ3553">
        <v>0.11332468572476186</v>
      </c>
      <c r="BR3553" t="str">
        <v/>
      </c>
    </row>
    <row r="3554" spans="47:70" x14ac:dyDescent="0.2">
      <c r="AU3554"/>
      <c r="AV3554"/>
      <c r="AW3554"/>
      <c r="AX3554"/>
      <c r="AY3554"/>
      <c r="BK3554" s="42">
        <v>3553</v>
      </c>
      <c r="BL3554" s="127">
        <v>4</v>
      </c>
      <c r="BM3554" s="127">
        <v>0.11332468572476186</v>
      </c>
      <c r="BN3554" s="127" t="e">
        <v>#N/A</v>
      </c>
      <c r="BO3554" s="127" t="e">
        <v>#N/A</v>
      </c>
      <c r="BP3554" s="151" t="e">
        <v>#N/A</v>
      </c>
      <c r="BQ3554">
        <v>0.11332468572476186</v>
      </c>
      <c r="BR3554" t="str">
        <v/>
      </c>
    </row>
    <row r="3555" spans="47:70" x14ac:dyDescent="0.2">
      <c r="AU3555"/>
      <c r="AV3555"/>
      <c r="AW3555"/>
      <c r="AX3555"/>
      <c r="AY3555"/>
      <c r="BK3555" s="42">
        <v>3554</v>
      </c>
      <c r="BL3555" s="127">
        <v>4</v>
      </c>
      <c r="BM3555" s="127">
        <v>0.11332468572476186</v>
      </c>
      <c r="BN3555" s="127" t="e">
        <v>#N/A</v>
      </c>
      <c r="BO3555" s="127" t="e">
        <v>#N/A</v>
      </c>
      <c r="BP3555" s="151" t="e">
        <v>#N/A</v>
      </c>
      <c r="BQ3555">
        <v>0.11332468572476186</v>
      </c>
      <c r="BR3555" t="str">
        <v/>
      </c>
    </row>
    <row r="3556" spans="47:70" x14ac:dyDescent="0.2">
      <c r="AU3556"/>
      <c r="AV3556"/>
      <c r="AW3556"/>
      <c r="AX3556"/>
      <c r="AY3556"/>
      <c r="BK3556" s="42">
        <v>3555</v>
      </c>
      <c r="BL3556" s="127">
        <v>4</v>
      </c>
      <c r="BM3556" s="127">
        <v>0.11332468572476186</v>
      </c>
      <c r="BN3556" s="127" t="e">
        <v>#N/A</v>
      </c>
      <c r="BO3556" s="127" t="e">
        <v>#N/A</v>
      </c>
      <c r="BP3556" s="151" t="e">
        <v>#N/A</v>
      </c>
      <c r="BQ3556">
        <v>0.11332468572476186</v>
      </c>
      <c r="BR3556" t="str">
        <v/>
      </c>
    </row>
    <row r="3557" spans="47:70" x14ac:dyDescent="0.2">
      <c r="AU3557"/>
      <c r="AV3557"/>
      <c r="AW3557"/>
      <c r="AX3557"/>
      <c r="AY3557"/>
      <c r="BK3557" s="42">
        <v>3556</v>
      </c>
      <c r="BL3557" s="127">
        <v>4</v>
      </c>
      <c r="BM3557" s="127">
        <v>0.11332468572476186</v>
      </c>
      <c r="BN3557" s="127" t="e">
        <v>#N/A</v>
      </c>
      <c r="BO3557" s="127" t="e">
        <v>#N/A</v>
      </c>
      <c r="BP3557" s="151" t="e">
        <v>#N/A</v>
      </c>
      <c r="BQ3557">
        <v>0.11332468572476186</v>
      </c>
      <c r="BR3557" t="str">
        <v/>
      </c>
    </row>
    <row r="3558" spans="47:70" x14ac:dyDescent="0.2">
      <c r="AU3558"/>
      <c r="AV3558"/>
      <c r="AW3558"/>
      <c r="AX3558"/>
      <c r="AY3558"/>
      <c r="BK3558" s="42">
        <v>3557</v>
      </c>
      <c r="BL3558" s="127">
        <v>4</v>
      </c>
      <c r="BM3558" s="127">
        <v>0.11332468572476186</v>
      </c>
      <c r="BN3558" s="127" t="e">
        <v>#N/A</v>
      </c>
      <c r="BO3558" s="127" t="e">
        <v>#N/A</v>
      </c>
      <c r="BP3558" s="151" t="e">
        <v>#N/A</v>
      </c>
      <c r="BQ3558">
        <v>0.11332468572476186</v>
      </c>
      <c r="BR3558" t="str">
        <v/>
      </c>
    </row>
    <row r="3559" spans="47:70" x14ac:dyDescent="0.2">
      <c r="AU3559"/>
      <c r="AV3559"/>
      <c r="AW3559"/>
      <c r="AX3559"/>
      <c r="AY3559"/>
      <c r="BK3559" s="42">
        <v>3558</v>
      </c>
      <c r="BL3559" s="127">
        <v>4</v>
      </c>
      <c r="BM3559" s="127">
        <v>0.11332468572476186</v>
      </c>
      <c r="BN3559" s="127" t="e">
        <v>#N/A</v>
      </c>
      <c r="BO3559" s="127" t="e">
        <v>#N/A</v>
      </c>
      <c r="BP3559" s="151" t="e">
        <v>#N/A</v>
      </c>
      <c r="BQ3559">
        <v>0.11332468572476186</v>
      </c>
      <c r="BR3559" t="str">
        <v/>
      </c>
    </row>
    <row r="3560" spans="47:70" x14ac:dyDescent="0.2">
      <c r="AU3560"/>
      <c r="AV3560"/>
      <c r="AW3560"/>
      <c r="AX3560"/>
      <c r="AY3560"/>
      <c r="BK3560" s="42">
        <v>3559</v>
      </c>
      <c r="BL3560" s="127">
        <v>4</v>
      </c>
      <c r="BM3560" s="127">
        <v>0.11332468572476186</v>
      </c>
      <c r="BN3560" s="127" t="e">
        <v>#N/A</v>
      </c>
      <c r="BO3560" s="127" t="e">
        <v>#N/A</v>
      </c>
      <c r="BP3560" s="151" t="e">
        <v>#N/A</v>
      </c>
      <c r="BQ3560">
        <v>0.11332468572476186</v>
      </c>
      <c r="BR3560" t="str">
        <v/>
      </c>
    </row>
    <row r="3561" spans="47:70" x14ac:dyDescent="0.2">
      <c r="AU3561"/>
      <c r="AV3561"/>
      <c r="AW3561"/>
      <c r="AX3561"/>
      <c r="AY3561"/>
      <c r="BK3561" s="42">
        <v>3560</v>
      </c>
      <c r="BL3561" s="127">
        <v>4</v>
      </c>
      <c r="BM3561" s="127">
        <v>0.11332468572476186</v>
      </c>
      <c r="BN3561" s="127" t="e">
        <v>#N/A</v>
      </c>
      <c r="BO3561" s="127" t="e">
        <v>#N/A</v>
      </c>
      <c r="BP3561" s="151" t="e">
        <v>#N/A</v>
      </c>
      <c r="BQ3561">
        <v>0.11332468572476186</v>
      </c>
      <c r="BR3561" t="str">
        <v/>
      </c>
    </row>
    <row r="3562" spans="47:70" x14ac:dyDescent="0.2">
      <c r="AU3562"/>
      <c r="AV3562"/>
      <c r="AW3562"/>
      <c r="AX3562"/>
      <c r="AY3562"/>
      <c r="BK3562" s="42">
        <v>3561</v>
      </c>
      <c r="BL3562" s="127">
        <v>4</v>
      </c>
      <c r="BM3562" s="127">
        <v>0.11332468572476186</v>
      </c>
      <c r="BN3562" s="127" t="e">
        <v>#N/A</v>
      </c>
      <c r="BO3562" s="127" t="e">
        <v>#N/A</v>
      </c>
      <c r="BP3562" s="151" t="e">
        <v>#N/A</v>
      </c>
      <c r="BQ3562">
        <v>0.11332468572476186</v>
      </c>
      <c r="BR3562" t="str">
        <v/>
      </c>
    </row>
    <row r="3563" spans="47:70" x14ac:dyDescent="0.2">
      <c r="AU3563"/>
      <c r="AV3563"/>
      <c r="AW3563"/>
      <c r="AX3563"/>
      <c r="AY3563"/>
      <c r="BK3563" s="42">
        <v>3562</v>
      </c>
      <c r="BL3563" s="127">
        <v>4</v>
      </c>
      <c r="BM3563" s="127">
        <v>0.11332468572476186</v>
      </c>
      <c r="BN3563" s="127" t="e">
        <v>#N/A</v>
      </c>
      <c r="BO3563" s="127" t="e">
        <v>#N/A</v>
      </c>
      <c r="BP3563" s="151" t="e">
        <v>#N/A</v>
      </c>
      <c r="BQ3563">
        <v>0.11332468572476186</v>
      </c>
      <c r="BR3563" t="str">
        <v/>
      </c>
    </row>
    <row r="3564" spans="47:70" x14ac:dyDescent="0.2">
      <c r="AU3564"/>
      <c r="AV3564"/>
      <c r="AW3564"/>
      <c r="AX3564"/>
      <c r="AY3564"/>
      <c r="BK3564" s="42">
        <v>3563</v>
      </c>
      <c r="BL3564" s="127">
        <v>4</v>
      </c>
      <c r="BM3564" s="127">
        <v>0.11332468572476186</v>
      </c>
      <c r="BN3564" s="127" t="e">
        <v>#N/A</v>
      </c>
      <c r="BO3564" s="127" t="e">
        <v>#N/A</v>
      </c>
      <c r="BP3564" s="151" t="e">
        <v>#N/A</v>
      </c>
      <c r="BQ3564">
        <v>0.11332468572476186</v>
      </c>
      <c r="BR3564" t="str">
        <v/>
      </c>
    </row>
    <row r="3565" spans="47:70" x14ac:dyDescent="0.2">
      <c r="AU3565"/>
      <c r="AV3565"/>
      <c r="AW3565"/>
      <c r="AX3565"/>
      <c r="AY3565"/>
      <c r="BK3565" s="42">
        <v>3564</v>
      </c>
      <c r="BL3565" s="127">
        <v>4</v>
      </c>
      <c r="BM3565" s="127">
        <v>0.11332468572476186</v>
      </c>
      <c r="BN3565" s="127" t="e">
        <v>#N/A</v>
      </c>
      <c r="BO3565" s="127" t="e">
        <v>#N/A</v>
      </c>
      <c r="BP3565" s="151" t="e">
        <v>#N/A</v>
      </c>
      <c r="BQ3565">
        <v>0.11332468572476186</v>
      </c>
      <c r="BR3565" t="str">
        <v/>
      </c>
    </row>
    <row r="3566" spans="47:70" x14ac:dyDescent="0.2">
      <c r="AU3566"/>
      <c r="AV3566"/>
      <c r="AW3566"/>
      <c r="AX3566"/>
      <c r="AY3566"/>
      <c r="BK3566" s="42">
        <v>3565</v>
      </c>
      <c r="BL3566" s="127">
        <v>4</v>
      </c>
      <c r="BM3566" s="127">
        <v>0.11332468572476186</v>
      </c>
      <c r="BN3566" s="127" t="e">
        <v>#N/A</v>
      </c>
      <c r="BO3566" s="127" t="e">
        <v>#N/A</v>
      </c>
      <c r="BP3566" s="151" t="e">
        <v>#N/A</v>
      </c>
      <c r="BQ3566">
        <v>0.11332468572476186</v>
      </c>
      <c r="BR3566" t="str">
        <v/>
      </c>
    </row>
    <row r="3567" spans="47:70" x14ac:dyDescent="0.2">
      <c r="AU3567"/>
      <c r="AV3567"/>
      <c r="AW3567"/>
      <c r="AX3567"/>
      <c r="AY3567"/>
      <c r="BK3567" s="42">
        <v>3566</v>
      </c>
      <c r="BL3567" s="127">
        <v>4</v>
      </c>
      <c r="BM3567" s="127">
        <v>0.11332468572476186</v>
      </c>
      <c r="BN3567" s="127" t="e">
        <v>#N/A</v>
      </c>
      <c r="BO3567" s="127" t="e">
        <v>#N/A</v>
      </c>
      <c r="BP3567" s="151" t="e">
        <v>#N/A</v>
      </c>
      <c r="BQ3567">
        <v>0.11332468572476186</v>
      </c>
      <c r="BR3567" t="str">
        <v/>
      </c>
    </row>
    <row r="3568" spans="47:70" x14ac:dyDescent="0.2">
      <c r="AU3568"/>
      <c r="AV3568"/>
      <c r="AW3568"/>
      <c r="AX3568"/>
      <c r="AY3568"/>
      <c r="BK3568" s="42">
        <v>3567</v>
      </c>
      <c r="BL3568" s="127">
        <v>4</v>
      </c>
      <c r="BM3568" s="127">
        <v>0.11332468572476186</v>
      </c>
      <c r="BN3568" s="127" t="e">
        <v>#N/A</v>
      </c>
      <c r="BO3568" s="127" t="e">
        <v>#N/A</v>
      </c>
      <c r="BP3568" s="151" t="e">
        <v>#N/A</v>
      </c>
      <c r="BQ3568">
        <v>0.11332468572476186</v>
      </c>
      <c r="BR3568" t="str">
        <v/>
      </c>
    </row>
    <row r="3569" spans="47:70" x14ac:dyDescent="0.2">
      <c r="AU3569"/>
      <c r="AV3569"/>
      <c r="AW3569"/>
      <c r="AX3569"/>
      <c r="AY3569"/>
      <c r="BK3569" s="42">
        <v>3568</v>
      </c>
      <c r="BL3569" s="127">
        <v>4</v>
      </c>
      <c r="BM3569" s="127">
        <v>0.11332468572476186</v>
      </c>
      <c r="BN3569" s="127" t="e">
        <v>#N/A</v>
      </c>
      <c r="BO3569" s="127" t="e">
        <v>#N/A</v>
      </c>
      <c r="BP3569" s="151" t="e">
        <v>#N/A</v>
      </c>
      <c r="BQ3569">
        <v>0.11332468572476186</v>
      </c>
      <c r="BR3569" t="str">
        <v/>
      </c>
    </row>
    <row r="3570" spans="47:70" x14ac:dyDescent="0.2">
      <c r="AU3570"/>
      <c r="AV3570"/>
      <c r="AW3570"/>
      <c r="AX3570"/>
      <c r="AY3570"/>
      <c r="BK3570" s="42">
        <v>3569</v>
      </c>
      <c r="BL3570" s="127">
        <v>4</v>
      </c>
      <c r="BM3570" s="127">
        <v>0.11332468572476186</v>
      </c>
      <c r="BN3570" s="127" t="e">
        <v>#N/A</v>
      </c>
      <c r="BO3570" s="127" t="e">
        <v>#N/A</v>
      </c>
      <c r="BP3570" s="151" t="e">
        <v>#N/A</v>
      </c>
      <c r="BQ3570">
        <v>0.11332468572476186</v>
      </c>
      <c r="BR3570" t="str">
        <v/>
      </c>
    </row>
    <row r="3571" spans="47:70" x14ac:dyDescent="0.2">
      <c r="AU3571"/>
      <c r="AV3571"/>
      <c r="AW3571"/>
      <c r="AX3571"/>
      <c r="AY3571"/>
      <c r="BK3571" s="42">
        <v>3570</v>
      </c>
      <c r="BL3571" s="127">
        <v>4</v>
      </c>
      <c r="BM3571" s="127">
        <v>0.11332468572476186</v>
      </c>
      <c r="BN3571" s="127" t="e">
        <v>#N/A</v>
      </c>
      <c r="BO3571" s="127" t="e">
        <v>#N/A</v>
      </c>
      <c r="BP3571" s="151" t="e">
        <v>#N/A</v>
      </c>
      <c r="BQ3571">
        <v>0.11332468572476186</v>
      </c>
      <c r="BR3571" t="str">
        <v/>
      </c>
    </row>
    <row r="3572" spans="47:70" x14ac:dyDescent="0.2">
      <c r="AU3572"/>
      <c r="AV3572"/>
      <c r="AW3572"/>
      <c r="AX3572"/>
      <c r="AY3572"/>
      <c r="BK3572" s="42">
        <v>3571</v>
      </c>
      <c r="BL3572" s="127">
        <v>4</v>
      </c>
      <c r="BM3572" s="127">
        <v>0.11332468572476186</v>
      </c>
      <c r="BN3572" s="127" t="e">
        <v>#N/A</v>
      </c>
      <c r="BO3572" s="127" t="e">
        <v>#N/A</v>
      </c>
      <c r="BP3572" s="151" t="e">
        <v>#N/A</v>
      </c>
      <c r="BQ3572">
        <v>0.11332468572476186</v>
      </c>
      <c r="BR3572" t="str">
        <v/>
      </c>
    </row>
    <row r="3573" spans="47:70" x14ac:dyDescent="0.2">
      <c r="AU3573"/>
      <c r="AV3573"/>
      <c r="AW3573"/>
      <c r="AX3573"/>
      <c r="AY3573"/>
      <c r="BK3573" s="42">
        <v>3572</v>
      </c>
      <c r="BL3573" s="127">
        <v>4</v>
      </c>
      <c r="BM3573" s="127">
        <v>0.11332468572476186</v>
      </c>
      <c r="BN3573" s="127" t="e">
        <v>#N/A</v>
      </c>
      <c r="BO3573" s="127" t="e">
        <v>#N/A</v>
      </c>
      <c r="BP3573" s="151" t="e">
        <v>#N/A</v>
      </c>
      <c r="BQ3573">
        <v>0.11332468572476186</v>
      </c>
      <c r="BR3573" t="str">
        <v/>
      </c>
    </row>
    <row r="3574" spans="47:70" x14ac:dyDescent="0.2">
      <c r="AU3574"/>
      <c r="AV3574"/>
      <c r="AW3574"/>
      <c r="AX3574"/>
      <c r="AY3574"/>
      <c r="BK3574" s="42">
        <v>3573</v>
      </c>
      <c r="BL3574" s="127">
        <v>4</v>
      </c>
      <c r="BM3574" s="127">
        <v>0.11332468572476186</v>
      </c>
      <c r="BN3574" s="127" t="e">
        <v>#N/A</v>
      </c>
      <c r="BO3574" s="127" t="e">
        <v>#N/A</v>
      </c>
      <c r="BP3574" s="151" t="e">
        <v>#N/A</v>
      </c>
      <c r="BQ3574">
        <v>0.11332468572476186</v>
      </c>
      <c r="BR3574" t="str">
        <v/>
      </c>
    </row>
    <row r="3575" spans="47:70" x14ac:dyDescent="0.2">
      <c r="AU3575"/>
      <c r="AV3575"/>
      <c r="AW3575"/>
      <c r="AX3575"/>
      <c r="AY3575"/>
      <c r="BK3575" s="42">
        <v>3574</v>
      </c>
      <c r="BL3575" s="127">
        <v>4</v>
      </c>
      <c r="BM3575" s="127">
        <v>0.11332468572476186</v>
      </c>
      <c r="BN3575" s="127" t="e">
        <v>#N/A</v>
      </c>
      <c r="BO3575" s="127" t="e">
        <v>#N/A</v>
      </c>
      <c r="BP3575" s="151" t="e">
        <v>#N/A</v>
      </c>
      <c r="BQ3575">
        <v>0.11332468572476186</v>
      </c>
      <c r="BR3575" t="str">
        <v/>
      </c>
    </row>
    <row r="3576" spans="47:70" x14ac:dyDescent="0.2">
      <c r="AU3576"/>
      <c r="AV3576"/>
      <c r="AW3576"/>
      <c r="AX3576"/>
      <c r="AY3576"/>
      <c r="BK3576" s="42">
        <v>3575</v>
      </c>
      <c r="BL3576" s="127">
        <v>4</v>
      </c>
      <c r="BM3576" s="127">
        <v>0.11332468572476186</v>
      </c>
      <c r="BN3576" s="127" t="e">
        <v>#N/A</v>
      </c>
      <c r="BO3576" s="127" t="e">
        <v>#N/A</v>
      </c>
      <c r="BP3576" s="151" t="e">
        <v>#N/A</v>
      </c>
      <c r="BQ3576">
        <v>0.11332468572476186</v>
      </c>
      <c r="BR3576" t="str">
        <v/>
      </c>
    </row>
    <row r="3577" spans="47:70" x14ac:dyDescent="0.2">
      <c r="AU3577"/>
      <c r="AV3577"/>
      <c r="AW3577"/>
      <c r="AX3577"/>
      <c r="AY3577"/>
      <c r="BK3577" s="42">
        <v>3576</v>
      </c>
      <c r="BL3577" s="127">
        <v>4</v>
      </c>
      <c r="BM3577" s="127">
        <v>0.11332468572476186</v>
      </c>
      <c r="BN3577" s="127" t="e">
        <v>#N/A</v>
      </c>
      <c r="BO3577" s="127" t="e">
        <v>#N/A</v>
      </c>
      <c r="BP3577" s="151" t="e">
        <v>#N/A</v>
      </c>
      <c r="BQ3577">
        <v>0.11332468572476186</v>
      </c>
      <c r="BR3577" t="str">
        <v/>
      </c>
    </row>
    <row r="3578" spans="47:70" x14ac:dyDescent="0.2">
      <c r="AU3578"/>
      <c r="AV3578"/>
      <c r="AW3578"/>
      <c r="AX3578"/>
      <c r="AY3578"/>
      <c r="BK3578" s="42">
        <v>3577</v>
      </c>
      <c r="BL3578" s="127">
        <v>4</v>
      </c>
      <c r="BM3578" s="127">
        <v>0.11332468572476186</v>
      </c>
      <c r="BN3578" s="127" t="e">
        <v>#N/A</v>
      </c>
      <c r="BO3578" s="127" t="e">
        <v>#N/A</v>
      </c>
      <c r="BP3578" s="151" t="e">
        <v>#N/A</v>
      </c>
      <c r="BQ3578">
        <v>0.11332468572476186</v>
      </c>
      <c r="BR3578" t="str">
        <v/>
      </c>
    </row>
    <row r="3579" spans="47:70" x14ac:dyDescent="0.2">
      <c r="AU3579"/>
      <c r="AV3579"/>
      <c r="AW3579"/>
      <c r="AX3579"/>
      <c r="AY3579"/>
      <c r="BK3579" s="42">
        <v>3578</v>
      </c>
      <c r="BL3579" s="127">
        <v>4</v>
      </c>
      <c r="BM3579" s="127">
        <v>0.11332468572476186</v>
      </c>
      <c r="BN3579" s="127" t="e">
        <v>#N/A</v>
      </c>
      <c r="BO3579" s="127" t="e">
        <v>#N/A</v>
      </c>
      <c r="BP3579" s="151" t="e">
        <v>#N/A</v>
      </c>
      <c r="BQ3579">
        <v>0.11332468572476186</v>
      </c>
      <c r="BR3579" t="str">
        <v/>
      </c>
    </row>
    <row r="3580" spans="47:70" x14ac:dyDescent="0.2">
      <c r="AU3580"/>
      <c r="AV3580"/>
      <c r="AW3580"/>
      <c r="AX3580"/>
      <c r="AY3580"/>
      <c r="BK3580" s="42">
        <v>3579</v>
      </c>
      <c r="BL3580" s="127">
        <v>4</v>
      </c>
      <c r="BM3580" s="127">
        <v>0.11332468572476186</v>
      </c>
      <c r="BN3580" s="127" t="e">
        <v>#N/A</v>
      </c>
      <c r="BO3580" s="127" t="e">
        <v>#N/A</v>
      </c>
      <c r="BP3580" s="151" t="e">
        <v>#N/A</v>
      </c>
      <c r="BQ3580">
        <v>0.11332468572476186</v>
      </c>
      <c r="BR3580" t="str">
        <v/>
      </c>
    </row>
    <row r="3581" spans="47:70" x14ac:dyDescent="0.2">
      <c r="AU3581"/>
      <c r="AV3581"/>
      <c r="AW3581"/>
      <c r="AX3581"/>
      <c r="AY3581"/>
      <c r="BK3581" s="42">
        <v>3580</v>
      </c>
      <c r="BL3581" s="127">
        <v>4</v>
      </c>
      <c r="BM3581" s="127">
        <v>0.11332468572476186</v>
      </c>
      <c r="BN3581" s="127" t="e">
        <v>#N/A</v>
      </c>
      <c r="BO3581" s="127" t="e">
        <v>#N/A</v>
      </c>
      <c r="BP3581" s="151" t="e">
        <v>#N/A</v>
      </c>
      <c r="BQ3581">
        <v>0.11332468572476186</v>
      </c>
      <c r="BR3581" t="str">
        <v/>
      </c>
    </row>
    <row r="3582" spans="47:70" x14ac:dyDescent="0.2">
      <c r="AU3582"/>
      <c r="AV3582"/>
      <c r="AW3582"/>
      <c r="AX3582"/>
      <c r="AY3582"/>
      <c r="BK3582" s="42">
        <v>3581</v>
      </c>
      <c r="BL3582" s="127">
        <v>4</v>
      </c>
      <c r="BM3582" s="127">
        <v>0.11332468572476186</v>
      </c>
      <c r="BN3582" s="127" t="e">
        <v>#N/A</v>
      </c>
      <c r="BO3582" s="127" t="e">
        <v>#N/A</v>
      </c>
      <c r="BP3582" s="151" t="e">
        <v>#N/A</v>
      </c>
      <c r="BQ3582">
        <v>0.11332468572476186</v>
      </c>
      <c r="BR3582" t="str">
        <v/>
      </c>
    </row>
    <row r="3583" spans="47:70" x14ac:dyDescent="0.2">
      <c r="AU3583"/>
      <c r="AV3583"/>
      <c r="AW3583"/>
      <c r="AX3583"/>
      <c r="AY3583"/>
      <c r="BK3583" s="42">
        <v>3582</v>
      </c>
      <c r="BL3583" s="127">
        <v>4</v>
      </c>
      <c r="BM3583" s="127">
        <v>0.11332468572476186</v>
      </c>
      <c r="BN3583" s="127" t="e">
        <v>#N/A</v>
      </c>
      <c r="BO3583" s="127" t="e">
        <v>#N/A</v>
      </c>
      <c r="BP3583" s="151" t="e">
        <v>#N/A</v>
      </c>
      <c r="BQ3583">
        <v>0.11332468572476186</v>
      </c>
      <c r="BR3583" t="str">
        <v/>
      </c>
    </row>
    <row r="3584" spans="47:70" x14ac:dyDescent="0.2">
      <c r="AU3584"/>
      <c r="AV3584"/>
      <c r="AW3584"/>
      <c r="AX3584"/>
      <c r="AY3584"/>
      <c r="BK3584" s="42">
        <v>3583</v>
      </c>
      <c r="BL3584" s="127">
        <v>4</v>
      </c>
      <c r="BM3584" s="127">
        <v>0.11332468572476186</v>
      </c>
      <c r="BN3584" s="127" t="e">
        <v>#N/A</v>
      </c>
      <c r="BO3584" s="127" t="e">
        <v>#N/A</v>
      </c>
      <c r="BP3584" s="151" t="e">
        <v>#N/A</v>
      </c>
      <c r="BQ3584">
        <v>0.11332468572476186</v>
      </c>
      <c r="BR3584" t="str">
        <v/>
      </c>
    </row>
    <row r="3585" spans="47:70" x14ac:dyDescent="0.2">
      <c r="AU3585"/>
      <c r="AV3585"/>
      <c r="AW3585"/>
      <c r="AX3585"/>
      <c r="AY3585"/>
      <c r="BK3585" s="42">
        <v>3584</v>
      </c>
      <c r="BL3585" s="127">
        <v>4</v>
      </c>
      <c r="BM3585" s="127">
        <v>0.11332468572476186</v>
      </c>
      <c r="BN3585" s="127" t="e">
        <v>#N/A</v>
      </c>
      <c r="BO3585" s="127" t="e">
        <v>#N/A</v>
      </c>
      <c r="BP3585" s="151" t="e">
        <v>#N/A</v>
      </c>
      <c r="BQ3585">
        <v>0.11332468572476186</v>
      </c>
      <c r="BR3585" t="str">
        <v/>
      </c>
    </row>
    <row r="3586" spans="47:70" x14ac:dyDescent="0.2">
      <c r="AU3586"/>
      <c r="AV3586"/>
      <c r="AW3586"/>
      <c r="AX3586"/>
      <c r="AY3586"/>
      <c r="BK3586" s="42">
        <v>3585</v>
      </c>
      <c r="BL3586" s="127">
        <v>4</v>
      </c>
      <c r="BM3586" s="127">
        <v>0.11332468572476186</v>
      </c>
      <c r="BN3586" s="127" t="e">
        <v>#N/A</v>
      </c>
      <c r="BO3586" s="127" t="e">
        <v>#N/A</v>
      </c>
      <c r="BP3586" s="151" t="e">
        <v>#N/A</v>
      </c>
      <c r="BQ3586">
        <v>0.11332468572476186</v>
      </c>
      <c r="BR3586" t="str">
        <v/>
      </c>
    </row>
    <row r="3587" spans="47:70" x14ac:dyDescent="0.2">
      <c r="AU3587"/>
      <c r="AV3587"/>
      <c r="AW3587"/>
      <c r="AX3587"/>
      <c r="AY3587"/>
      <c r="BK3587" s="42">
        <v>3586</v>
      </c>
      <c r="BL3587" s="127">
        <v>4</v>
      </c>
      <c r="BM3587" s="127">
        <v>0.11332468572476186</v>
      </c>
      <c r="BN3587" s="127" t="e">
        <v>#N/A</v>
      </c>
      <c r="BO3587" s="127" t="e">
        <v>#N/A</v>
      </c>
      <c r="BP3587" s="151" t="e">
        <v>#N/A</v>
      </c>
      <c r="BQ3587">
        <v>0.11332468572476186</v>
      </c>
      <c r="BR3587" t="str">
        <v/>
      </c>
    </row>
    <row r="3588" spans="47:70" x14ac:dyDescent="0.2">
      <c r="AU3588"/>
      <c r="AV3588"/>
      <c r="AW3588"/>
      <c r="AX3588"/>
      <c r="AY3588"/>
      <c r="BK3588" s="42">
        <v>3587</v>
      </c>
      <c r="BL3588" s="127">
        <v>4</v>
      </c>
      <c r="BM3588" s="127">
        <v>0.11332468572476186</v>
      </c>
      <c r="BN3588" s="127" t="e">
        <v>#N/A</v>
      </c>
      <c r="BO3588" s="127" t="e">
        <v>#N/A</v>
      </c>
      <c r="BP3588" s="151" t="e">
        <v>#N/A</v>
      </c>
      <c r="BQ3588">
        <v>0.11332468572476186</v>
      </c>
      <c r="BR3588" t="str">
        <v/>
      </c>
    </row>
    <row r="3589" spans="47:70" x14ac:dyDescent="0.2">
      <c r="AU3589"/>
      <c r="AV3589"/>
      <c r="AW3589"/>
      <c r="AX3589"/>
      <c r="AY3589"/>
      <c r="BK3589" s="42">
        <v>3588</v>
      </c>
      <c r="BL3589" s="127">
        <v>4</v>
      </c>
      <c r="BM3589" s="127">
        <v>0.11332468572476186</v>
      </c>
      <c r="BN3589" s="127" t="e">
        <v>#N/A</v>
      </c>
      <c r="BO3589" s="127" t="e">
        <v>#N/A</v>
      </c>
      <c r="BP3589" s="151" t="e">
        <v>#N/A</v>
      </c>
      <c r="BQ3589">
        <v>0.11332468572476186</v>
      </c>
      <c r="BR3589" t="str">
        <v/>
      </c>
    </row>
    <row r="3590" spans="47:70" x14ac:dyDescent="0.2">
      <c r="AU3590"/>
      <c r="AV3590"/>
      <c r="AW3590"/>
      <c r="AX3590"/>
      <c r="AY3590"/>
      <c r="BK3590" s="42">
        <v>3589</v>
      </c>
      <c r="BL3590" s="127">
        <v>4</v>
      </c>
      <c r="BM3590" s="127">
        <v>0.11332468572476186</v>
      </c>
      <c r="BN3590" s="127" t="e">
        <v>#N/A</v>
      </c>
      <c r="BO3590" s="127" t="e">
        <v>#N/A</v>
      </c>
      <c r="BP3590" s="151" t="e">
        <v>#N/A</v>
      </c>
      <c r="BQ3590">
        <v>0.11332468572476186</v>
      </c>
      <c r="BR3590" t="str">
        <v/>
      </c>
    </row>
    <row r="3591" spans="47:70" x14ac:dyDescent="0.2">
      <c r="AU3591"/>
      <c r="AV3591"/>
      <c r="AW3591"/>
      <c r="AX3591"/>
      <c r="AY3591"/>
      <c r="BK3591" s="42">
        <v>3590</v>
      </c>
      <c r="BL3591" s="127">
        <v>4</v>
      </c>
      <c r="BM3591" s="127">
        <v>0.11332468572476186</v>
      </c>
      <c r="BN3591" s="127" t="e">
        <v>#N/A</v>
      </c>
      <c r="BO3591" s="127" t="e">
        <v>#N/A</v>
      </c>
      <c r="BP3591" s="151" t="e">
        <v>#N/A</v>
      </c>
      <c r="BQ3591">
        <v>0.11332468572476186</v>
      </c>
      <c r="BR3591" t="str">
        <v/>
      </c>
    </row>
    <row r="3592" spans="47:70" x14ac:dyDescent="0.2">
      <c r="AU3592"/>
      <c r="AV3592"/>
      <c r="AW3592"/>
      <c r="AX3592"/>
      <c r="AY3592"/>
      <c r="BK3592" s="42">
        <v>3591</v>
      </c>
      <c r="BL3592" s="127">
        <v>4</v>
      </c>
      <c r="BM3592" s="127">
        <v>0.11332468572476186</v>
      </c>
      <c r="BN3592" s="127" t="e">
        <v>#N/A</v>
      </c>
      <c r="BO3592" s="127" t="e">
        <v>#N/A</v>
      </c>
      <c r="BP3592" s="151" t="e">
        <v>#N/A</v>
      </c>
      <c r="BQ3592">
        <v>0.11332468572476186</v>
      </c>
      <c r="BR3592" t="str">
        <v/>
      </c>
    </row>
    <row r="3593" spans="47:70" x14ac:dyDescent="0.2">
      <c r="AU3593"/>
      <c r="AV3593"/>
      <c r="AW3593"/>
      <c r="AX3593"/>
      <c r="AY3593"/>
      <c r="BK3593" s="42">
        <v>3592</v>
      </c>
      <c r="BL3593" s="127">
        <v>4</v>
      </c>
      <c r="BM3593" s="127">
        <v>0.11332468572476186</v>
      </c>
      <c r="BN3593" s="127" t="e">
        <v>#N/A</v>
      </c>
      <c r="BO3593" s="127" t="e">
        <v>#N/A</v>
      </c>
      <c r="BP3593" s="151" t="e">
        <v>#N/A</v>
      </c>
      <c r="BQ3593">
        <v>0.11332468572476186</v>
      </c>
      <c r="BR3593" t="str">
        <v/>
      </c>
    </row>
    <row r="3594" spans="47:70" x14ac:dyDescent="0.2">
      <c r="AU3594"/>
      <c r="AV3594"/>
      <c r="AW3594"/>
      <c r="AX3594"/>
      <c r="AY3594"/>
      <c r="BK3594" s="42">
        <v>3593</v>
      </c>
      <c r="BL3594" s="127">
        <v>4</v>
      </c>
      <c r="BM3594" s="127">
        <v>0.11332468572476186</v>
      </c>
      <c r="BN3594" s="127" t="e">
        <v>#N/A</v>
      </c>
      <c r="BO3594" s="127" t="e">
        <v>#N/A</v>
      </c>
      <c r="BP3594" s="151" t="e">
        <v>#N/A</v>
      </c>
      <c r="BQ3594">
        <v>0.11332468572476186</v>
      </c>
      <c r="BR3594" t="str">
        <v/>
      </c>
    </row>
    <row r="3595" spans="47:70" x14ac:dyDescent="0.2">
      <c r="AU3595"/>
      <c r="AV3595"/>
      <c r="AW3595"/>
      <c r="AX3595"/>
      <c r="AY3595"/>
      <c r="BK3595" s="42">
        <v>3594</v>
      </c>
      <c r="BL3595" s="127">
        <v>4</v>
      </c>
      <c r="BM3595" s="127">
        <v>0.11332468572476186</v>
      </c>
      <c r="BN3595" s="127" t="e">
        <v>#N/A</v>
      </c>
      <c r="BO3595" s="127" t="e">
        <v>#N/A</v>
      </c>
      <c r="BP3595" s="151" t="e">
        <v>#N/A</v>
      </c>
      <c r="BQ3595">
        <v>0.11332468572476186</v>
      </c>
      <c r="BR3595" t="str">
        <v/>
      </c>
    </row>
    <row r="3596" spans="47:70" x14ac:dyDescent="0.2">
      <c r="AU3596"/>
      <c r="AV3596"/>
      <c r="AW3596"/>
      <c r="AX3596"/>
      <c r="AY3596"/>
      <c r="BK3596" s="42">
        <v>3595</v>
      </c>
      <c r="BL3596" s="127">
        <v>4</v>
      </c>
      <c r="BM3596" s="127">
        <v>0.11332468572476186</v>
      </c>
      <c r="BN3596" s="127" t="e">
        <v>#N/A</v>
      </c>
      <c r="BO3596" s="127" t="e">
        <v>#N/A</v>
      </c>
      <c r="BP3596" s="151" t="e">
        <v>#N/A</v>
      </c>
      <c r="BQ3596">
        <v>0.11332468572476186</v>
      </c>
      <c r="BR3596" t="str">
        <v/>
      </c>
    </row>
    <row r="3597" spans="47:70" x14ac:dyDescent="0.2">
      <c r="AU3597"/>
      <c r="AV3597"/>
      <c r="AW3597"/>
      <c r="AX3597"/>
      <c r="AY3597"/>
      <c r="BK3597" s="42">
        <v>3596</v>
      </c>
      <c r="BL3597" s="127">
        <v>4</v>
      </c>
      <c r="BM3597" s="127">
        <v>0.11332468572476186</v>
      </c>
      <c r="BN3597" s="127" t="e">
        <v>#N/A</v>
      </c>
      <c r="BO3597" s="127" t="e">
        <v>#N/A</v>
      </c>
      <c r="BP3597" s="151" t="e">
        <v>#N/A</v>
      </c>
      <c r="BQ3597">
        <v>0.11332468572476186</v>
      </c>
      <c r="BR3597" t="str">
        <v/>
      </c>
    </row>
    <row r="3598" spans="47:70" x14ac:dyDescent="0.2">
      <c r="AU3598"/>
      <c r="AV3598"/>
      <c r="AW3598"/>
      <c r="AX3598"/>
      <c r="AY3598"/>
      <c r="BK3598" s="42">
        <v>3597</v>
      </c>
      <c r="BL3598" s="127">
        <v>4</v>
      </c>
      <c r="BM3598" s="127">
        <v>0.11332468572476186</v>
      </c>
      <c r="BN3598" s="127" t="e">
        <v>#N/A</v>
      </c>
      <c r="BO3598" s="127" t="e">
        <v>#N/A</v>
      </c>
      <c r="BP3598" s="151" t="e">
        <v>#N/A</v>
      </c>
      <c r="BQ3598">
        <v>0.11332468572476186</v>
      </c>
      <c r="BR3598" t="str">
        <v/>
      </c>
    </row>
    <row r="3599" spans="47:70" x14ac:dyDescent="0.2">
      <c r="AU3599"/>
      <c r="AV3599"/>
      <c r="AW3599"/>
      <c r="AX3599"/>
      <c r="AY3599"/>
      <c r="BK3599" s="42">
        <v>3598</v>
      </c>
      <c r="BL3599" s="127">
        <v>4</v>
      </c>
      <c r="BM3599" s="127">
        <v>0.11332468572476186</v>
      </c>
      <c r="BN3599" s="127" t="e">
        <v>#N/A</v>
      </c>
      <c r="BO3599" s="127" t="e">
        <v>#N/A</v>
      </c>
      <c r="BP3599" s="151" t="e">
        <v>#N/A</v>
      </c>
      <c r="BQ3599">
        <v>0.11332468572476186</v>
      </c>
      <c r="BR3599" t="str">
        <v/>
      </c>
    </row>
    <row r="3600" spans="47:70" x14ac:dyDescent="0.2">
      <c r="AU3600"/>
      <c r="AV3600"/>
      <c r="AW3600"/>
      <c r="AX3600"/>
      <c r="AY3600"/>
      <c r="BK3600" s="42">
        <v>3599</v>
      </c>
      <c r="BL3600" s="127">
        <v>4</v>
      </c>
      <c r="BM3600" s="127">
        <v>0.11332468572476186</v>
      </c>
      <c r="BN3600" s="127" t="e">
        <v>#N/A</v>
      </c>
      <c r="BO3600" s="127" t="e">
        <v>#N/A</v>
      </c>
      <c r="BP3600" s="151" t="e">
        <v>#N/A</v>
      </c>
      <c r="BQ3600">
        <v>0.11332468572476186</v>
      </c>
      <c r="BR3600" t="str">
        <v/>
      </c>
    </row>
    <row r="3601" spans="47:70" x14ac:dyDescent="0.2">
      <c r="AU3601"/>
      <c r="AV3601"/>
      <c r="AW3601"/>
      <c r="AX3601"/>
      <c r="AY3601"/>
      <c r="BK3601" s="42">
        <v>3600</v>
      </c>
      <c r="BL3601" s="127">
        <v>4</v>
      </c>
      <c r="BM3601" s="127">
        <v>0.11332468572476186</v>
      </c>
      <c r="BN3601" s="127" t="e">
        <v>#N/A</v>
      </c>
      <c r="BO3601" s="127" t="e">
        <v>#N/A</v>
      </c>
      <c r="BP3601" s="151" t="e">
        <v>#N/A</v>
      </c>
      <c r="BQ3601">
        <v>0.11332468572476186</v>
      </c>
      <c r="BR3601" t="str">
        <v/>
      </c>
    </row>
    <row r="3602" spans="47:70" x14ac:dyDescent="0.2">
      <c r="AU3602"/>
      <c r="AV3602"/>
      <c r="AW3602"/>
      <c r="AX3602"/>
      <c r="AY3602"/>
      <c r="BK3602" s="42">
        <v>3601</v>
      </c>
      <c r="BL3602" s="127">
        <v>4</v>
      </c>
      <c r="BM3602" s="127">
        <v>0.11332468572476186</v>
      </c>
      <c r="BN3602" s="127" t="e">
        <v>#N/A</v>
      </c>
      <c r="BO3602" s="127" t="e">
        <v>#N/A</v>
      </c>
      <c r="BP3602" s="151" t="e">
        <v>#N/A</v>
      </c>
      <c r="BQ3602">
        <v>0.11332468572476186</v>
      </c>
      <c r="BR3602" t="str">
        <v/>
      </c>
    </row>
    <row r="3603" spans="47:70" x14ac:dyDescent="0.2">
      <c r="AU3603"/>
      <c r="AV3603"/>
      <c r="AW3603"/>
      <c r="AX3603"/>
      <c r="AY3603"/>
      <c r="BK3603" s="42">
        <v>3602</v>
      </c>
      <c r="BL3603" s="127">
        <v>4</v>
      </c>
      <c r="BM3603" s="127">
        <v>0.11332468572476186</v>
      </c>
      <c r="BN3603" s="127" t="e">
        <v>#N/A</v>
      </c>
      <c r="BO3603" s="127" t="e">
        <v>#N/A</v>
      </c>
      <c r="BP3603" s="151" t="e">
        <v>#N/A</v>
      </c>
      <c r="BQ3603">
        <v>0.11332468572476186</v>
      </c>
      <c r="BR3603" t="str">
        <v/>
      </c>
    </row>
    <row r="3604" spans="47:70" x14ac:dyDescent="0.2">
      <c r="AU3604"/>
      <c r="AV3604"/>
      <c r="AW3604"/>
      <c r="AX3604"/>
      <c r="AY3604"/>
      <c r="BK3604" s="42">
        <v>3603</v>
      </c>
      <c r="BL3604" s="127">
        <v>4</v>
      </c>
      <c r="BM3604" s="127">
        <v>0.11332468572476186</v>
      </c>
      <c r="BN3604" s="127" t="e">
        <v>#N/A</v>
      </c>
      <c r="BO3604" s="127" t="e">
        <v>#N/A</v>
      </c>
      <c r="BP3604" s="151" t="e">
        <v>#N/A</v>
      </c>
      <c r="BQ3604">
        <v>0.11332468572476186</v>
      </c>
      <c r="BR3604" t="str">
        <v/>
      </c>
    </row>
    <row r="3605" spans="47:70" x14ac:dyDescent="0.2">
      <c r="AU3605"/>
      <c r="AV3605"/>
      <c r="AW3605"/>
      <c r="AX3605"/>
      <c r="AY3605"/>
      <c r="BK3605" s="42">
        <v>3604</v>
      </c>
      <c r="BL3605" s="127">
        <v>4</v>
      </c>
      <c r="BM3605" s="127">
        <v>0.11332468572476186</v>
      </c>
      <c r="BN3605" s="127" t="e">
        <v>#N/A</v>
      </c>
      <c r="BO3605" s="127" t="e">
        <v>#N/A</v>
      </c>
      <c r="BP3605" s="151" t="e">
        <v>#N/A</v>
      </c>
      <c r="BQ3605">
        <v>0.11332468572476186</v>
      </c>
      <c r="BR3605" t="str">
        <v/>
      </c>
    </row>
    <row r="3606" spans="47:70" x14ac:dyDescent="0.2">
      <c r="AU3606"/>
      <c r="AV3606"/>
      <c r="AW3606"/>
      <c r="AX3606"/>
      <c r="AY3606"/>
      <c r="BK3606" s="42">
        <v>3605</v>
      </c>
      <c r="BL3606" s="127">
        <v>4</v>
      </c>
      <c r="BM3606" s="127">
        <v>0.11332468572476186</v>
      </c>
      <c r="BN3606" s="127" t="e">
        <v>#N/A</v>
      </c>
      <c r="BO3606" s="127" t="e">
        <v>#N/A</v>
      </c>
      <c r="BP3606" s="151" t="e">
        <v>#N/A</v>
      </c>
      <c r="BQ3606">
        <v>0.11332468572476186</v>
      </c>
      <c r="BR3606" t="str">
        <v/>
      </c>
    </row>
    <row r="3607" spans="47:70" x14ac:dyDescent="0.2">
      <c r="AU3607"/>
      <c r="AV3607"/>
      <c r="AW3607"/>
      <c r="AX3607"/>
      <c r="AY3607"/>
      <c r="BK3607" s="42">
        <v>3606</v>
      </c>
      <c r="BL3607" s="127">
        <v>4</v>
      </c>
      <c r="BM3607" s="127">
        <v>0.11332468572476186</v>
      </c>
      <c r="BN3607" s="127" t="e">
        <v>#N/A</v>
      </c>
      <c r="BO3607" s="127" t="e">
        <v>#N/A</v>
      </c>
      <c r="BP3607" s="151" t="e">
        <v>#N/A</v>
      </c>
      <c r="BQ3607">
        <v>0.11332468572476186</v>
      </c>
      <c r="BR3607" t="str">
        <v/>
      </c>
    </row>
    <row r="3608" spans="47:70" x14ac:dyDescent="0.2">
      <c r="AU3608"/>
      <c r="AV3608"/>
      <c r="AW3608"/>
      <c r="AX3608"/>
      <c r="AY3608"/>
      <c r="BK3608" s="42">
        <v>3607</v>
      </c>
      <c r="BL3608" s="127">
        <v>4</v>
      </c>
      <c r="BM3608" s="127">
        <v>0.11332468572476186</v>
      </c>
      <c r="BN3608" s="127" t="e">
        <v>#N/A</v>
      </c>
      <c r="BO3608" s="127" t="e">
        <v>#N/A</v>
      </c>
      <c r="BP3608" s="151" t="e">
        <v>#N/A</v>
      </c>
      <c r="BQ3608">
        <v>0.11332468572476186</v>
      </c>
      <c r="BR3608" t="str">
        <v/>
      </c>
    </row>
    <row r="3609" spans="47:70" x14ac:dyDescent="0.2">
      <c r="AU3609"/>
      <c r="AV3609"/>
      <c r="AW3609"/>
      <c r="AX3609"/>
      <c r="AY3609"/>
      <c r="BK3609" s="42">
        <v>3608</v>
      </c>
      <c r="BL3609" s="127">
        <v>4</v>
      </c>
      <c r="BM3609" s="127">
        <v>0.11332468572476186</v>
      </c>
      <c r="BN3609" s="127" t="e">
        <v>#N/A</v>
      </c>
      <c r="BO3609" s="127" t="e">
        <v>#N/A</v>
      </c>
      <c r="BP3609" s="151" t="e">
        <v>#N/A</v>
      </c>
      <c r="BQ3609">
        <v>0.11332468572476186</v>
      </c>
      <c r="BR3609" t="str">
        <v/>
      </c>
    </row>
    <row r="3610" spans="47:70" x14ac:dyDescent="0.2">
      <c r="AU3610"/>
      <c r="AV3610"/>
      <c r="AW3610"/>
      <c r="AX3610"/>
      <c r="AY3610"/>
      <c r="BK3610" s="42">
        <v>3609</v>
      </c>
      <c r="BL3610" s="127">
        <v>4</v>
      </c>
      <c r="BM3610" s="127">
        <v>0.11332468572476186</v>
      </c>
      <c r="BN3610" s="127" t="e">
        <v>#N/A</v>
      </c>
      <c r="BO3610" s="127" t="e">
        <v>#N/A</v>
      </c>
      <c r="BP3610" s="151" t="e">
        <v>#N/A</v>
      </c>
      <c r="BQ3610">
        <v>0.11332468572476186</v>
      </c>
      <c r="BR3610" t="str">
        <v/>
      </c>
    </row>
    <row r="3611" spans="47:70" x14ac:dyDescent="0.2">
      <c r="AU3611"/>
      <c r="AV3611"/>
      <c r="AW3611"/>
      <c r="AX3611"/>
      <c r="AY3611"/>
      <c r="BK3611" s="42">
        <v>3610</v>
      </c>
      <c r="BL3611" s="127">
        <v>4</v>
      </c>
      <c r="BM3611" s="127">
        <v>0.11332468572476186</v>
      </c>
      <c r="BN3611" s="127" t="e">
        <v>#N/A</v>
      </c>
      <c r="BO3611" s="127" t="e">
        <v>#N/A</v>
      </c>
      <c r="BP3611" s="151" t="e">
        <v>#N/A</v>
      </c>
      <c r="BQ3611">
        <v>0.11332468572476186</v>
      </c>
      <c r="BR3611" t="str">
        <v/>
      </c>
    </row>
    <row r="3612" spans="47:70" x14ac:dyDescent="0.2">
      <c r="AU3612"/>
      <c r="AV3612"/>
      <c r="AW3612"/>
      <c r="AX3612"/>
      <c r="AY3612"/>
      <c r="BK3612" s="42">
        <v>3611</v>
      </c>
      <c r="BL3612" s="127">
        <v>4</v>
      </c>
      <c r="BM3612" s="127">
        <v>0.11332468572476186</v>
      </c>
      <c r="BN3612" s="127" t="e">
        <v>#N/A</v>
      </c>
      <c r="BO3612" s="127" t="e">
        <v>#N/A</v>
      </c>
      <c r="BP3612" s="151" t="e">
        <v>#N/A</v>
      </c>
      <c r="BQ3612">
        <v>0.11332468572476186</v>
      </c>
      <c r="BR3612" t="str">
        <v/>
      </c>
    </row>
    <row r="3613" spans="47:70" x14ac:dyDescent="0.2">
      <c r="AU3613"/>
      <c r="AV3613"/>
      <c r="AW3613"/>
      <c r="AX3613"/>
      <c r="AY3613"/>
      <c r="BK3613" s="42">
        <v>3612</v>
      </c>
      <c r="BL3613" s="127">
        <v>4</v>
      </c>
      <c r="BM3613" s="127">
        <v>0.11332468572476186</v>
      </c>
      <c r="BN3613" s="127" t="e">
        <v>#N/A</v>
      </c>
      <c r="BO3613" s="127" t="e">
        <v>#N/A</v>
      </c>
      <c r="BP3613" s="151" t="e">
        <v>#N/A</v>
      </c>
      <c r="BQ3613">
        <v>0.11332468572476186</v>
      </c>
      <c r="BR3613" t="str">
        <v/>
      </c>
    </row>
    <row r="3614" spans="47:70" x14ac:dyDescent="0.2">
      <c r="AU3614"/>
      <c r="AV3614"/>
      <c r="AW3614"/>
      <c r="AX3614"/>
      <c r="AY3614"/>
      <c r="BK3614" s="42">
        <v>3613</v>
      </c>
      <c r="BL3614" s="127">
        <v>4</v>
      </c>
      <c r="BM3614" s="127">
        <v>0.11332468572476186</v>
      </c>
      <c r="BN3614" s="127" t="e">
        <v>#N/A</v>
      </c>
      <c r="BO3614" s="127" t="e">
        <v>#N/A</v>
      </c>
      <c r="BP3614" s="151" t="e">
        <v>#N/A</v>
      </c>
      <c r="BQ3614">
        <v>0.11332468572476186</v>
      </c>
      <c r="BR3614" t="str">
        <v/>
      </c>
    </row>
    <row r="3615" spans="47:70" x14ac:dyDescent="0.2">
      <c r="AU3615"/>
      <c r="AV3615"/>
      <c r="AW3615"/>
      <c r="AX3615"/>
      <c r="AY3615"/>
      <c r="BK3615" s="42">
        <v>3614</v>
      </c>
      <c r="BL3615" s="127">
        <v>4</v>
      </c>
      <c r="BM3615" s="127">
        <v>0.11332468572476186</v>
      </c>
      <c r="BN3615" s="127" t="e">
        <v>#N/A</v>
      </c>
      <c r="BO3615" s="127" t="e">
        <v>#N/A</v>
      </c>
      <c r="BP3615" s="151" t="e">
        <v>#N/A</v>
      </c>
      <c r="BQ3615">
        <v>0.11332468572476186</v>
      </c>
      <c r="BR3615" t="str">
        <v/>
      </c>
    </row>
    <row r="3616" spans="47:70" x14ac:dyDescent="0.2">
      <c r="AU3616"/>
      <c r="AV3616"/>
      <c r="AW3616"/>
      <c r="AX3616"/>
      <c r="AY3616"/>
      <c r="BK3616" s="42">
        <v>3615</v>
      </c>
      <c r="BL3616" s="127">
        <v>4</v>
      </c>
      <c r="BM3616" s="127">
        <v>0.11332468572476186</v>
      </c>
      <c r="BN3616" s="127" t="e">
        <v>#N/A</v>
      </c>
      <c r="BO3616" s="127" t="e">
        <v>#N/A</v>
      </c>
      <c r="BP3616" s="151" t="e">
        <v>#N/A</v>
      </c>
      <c r="BQ3616">
        <v>0.11332468572476186</v>
      </c>
      <c r="BR3616" t="str">
        <v/>
      </c>
    </row>
    <row r="3617" spans="47:70" x14ac:dyDescent="0.2">
      <c r="AU3617"/>
      <c r="AV3617"/>
      <c r="AW3617"/>
      <c r="AX3617"/>
      <c r="AY3617"/>
      <c r="BK3617" s="42">
        <v>3616</v>
      </c>
      <c r="BL3617" s="127">
        <v>4</v>
      </c>
      <c r="BM3617" s="127">
        <v>0.11332468572476186</v>
      </c>
      <c r="BN3617" s="127" t="e">
        <v>#N/A</v>
      </c>
      <c r="BO3617" s="127" t="e">
        <v>#N/A</v>
      </c>
      <c r="BP3617" s="151" t="e">
        <v>#N/A</v>
      </c>
      <c r="BQ3617">
        <v>0.11332468572476186</v>
      </c>
      <c r="BR3617" t="str">
        <v/>
      </c>
    </row>
    <row r="3618" spans="47:70" x14ac:dyDescent="0.2">
      <c r="AU3618"/>
      <c r="AV3618"/>
      <c r="AW3618"/>
      <c r="AX3618"/>
      <c r="AY3618"/>
      <c r="BK3618" s="42">
        <v>3617</v>
      </c>
      <c r="BL3618" s="127">
        <v>4</v>
      </c>
      <c r="BM3618" s="127">
        <v>0.11332468572476186</v>
      </c>
      <c r="BN3618" s="127" t="e">
        <v>#N/A</v>
      </c>
      <c r="BO3618" s="127" t="e">
        <v>#N/A</v>
      </c>
      <c r="BP3618" s="151" t="e">
        <v>#N/A</v>
      </c>
      <c r="BQ3618">
        <v>0.11332468572476186</v>
      </c>
      <c r="BR3618" t="str">
        <v/>
      </c>
    </row>
    <row r="3619" spans="47:70" x14ac:dyDescent="0.2">
      <c r="AU3619"/>
      <c r="AV3619"/>
      <c r="AW3619"/>
      <c r="AX3619"/>
      <c r="AY3619"/>
      <c r="BK3619" s="42">
        <v>3618</v>
      </c>
      <c r="BL3619" s="127">
        <v>4</v>
      </c>
      <c r="BM3619" s="127">
        <v>0.11332468572476186</v>
      </c>
      <c r="BN3619" s="127" t="e">
        <v>#N/A</v>
      </c>
      <c r="BO3619" s="127" t="e">
        <v>#N/A</v>
      </c>
      <c r="BP3619" s="151" t="e">
        <v>#N/A</v>
      </c>
      <c r="BQ3619">
        <v>0.11332468572476186</v>
      </c>
      <c r="BR3619" t="str">
        <v/>
      </c>
    </row>
    <row r="3620" spans="47:70" x14ac:dyDescent="0.2">
      <c r="AU3620"/>
      <c r="AV3620"/>
      <c r="AW3620"/>
      <c r="AX3620"/>
      <c r="AY3620"/>
      <c r="BK3620" s="42">
        <v>3619</v>
      </c>
      <c r="BL3620" s="127">
        <v>4</v>
      </c>
      <c r="BM3620" s="127">
        <v>0.11332468572476186</v>
      </c>
      <c r="BN3620" s="127" t="e">
        <v>#N/A</v>
      </c>
      <c r="BO3620" s="127" t="e">
        <v>#N/A</v>
      </c>
      <c r="BP3620" s="151" t="e">
        <v>#N/A</v>
      </c>
      <c r="BQ3620">
        <v>0.11332468572476186</v>
      </c>
      <c r="BR3620" t="str">
        <v/>
      </c>
    </row>
    <row r="3621" spans="47:70" x14ac:dyDescent="0.2">
      <c r="AU3621"/>
      <c r="AV3621"/>
      <c r="AW3621"/>
      <c r="AX3621"/>
      <c r="AY3621"/>
      <c r="BK3621" s="42">
        <v>3620</v>
      </c>
      <c r="BL3621" s="127">
        <v>4</v>
      </c>
      <c r="BM3621" s="127">
        <v>0.11332468572476186</v>
      </c>
      <c r="BN3621" s="127" t="e">
        <v>#N/A</v>
      </c>
      <c r="BO3621" s="127" t="e">
        <v>#N/A</v>
      </c>
      <c r="BP3621" s="151" t="e">
        <v>#N/A</v>
      </c>
      <c r="BQ3621">
        <v>0.11332468572476186</v>
      </c>
      <c r="BR3621" t="str">
        <v/>
      </c>
    </row>
    <row r="3622" spans="47:70" x14ac:dyDescent="0.2">
      <c r="AU3622"/>
      <c r="AV3622"/>
      <c r="AW3622"/>
      <c r="AX3622"/>
      <c r="AY3622"/>
      <c r="BK3622" s="42">
        <v>3621</v>
      </c>
      <c r="BL3622" s="127">
        <v>4</v>
      </c>
      <c r="BM3622" s="127">
        <v>0.11332468572476186</v>
      </c>
      <c r="BN3622" s="127" t="e">
        <v>#N/A</v>
      </c>
      <c r="BO3622" s="127" t="e">
        <v>#N/A</v>
      </c>
      <c r="BP3622" s="151" t="e">
        <v>#N/A</v>
      </c>
      <c r="BQ3622">
        <v>0.11332468572476186</v>
      </c>
      <c r="BR3622" t="str">
        <v/>
      </c>
    </row>
    <row r="3623" spans="47:70" x14ac:dyDescent="0.2">
      <c r="AU3623"/>
      <c r="AV3623"/>
      <c r="AW3623"/>
      <c r="AX3623"/>
      <c r="AY3623"/>
      <c r="BK3623" s="42">
        <v>3622</v>
      </c>
      <c r="BL3623" s="127">
        <v>4</v>
      </c>
      <c r="BM3623" s="127">
        <v>0.11332468572476186</v>
      </c>
      <c r="BN3623" s="127" t="e">
        <v>#N/A</v>
      </c>
      <c r="BO3623" s="127" t="e">
        <v>#N/A</v>
      </c>
      <c r="BP3623" s="151" t="e">
        <v>#N/A</v>
      </c>
      <c r="BQ3623">
        <v>0.11332468572476186</v>
      </c>
      <c r="BR3623" t="str">
        <v/>
      </c>
    </row>
    <row r="3624" spans="47:70" x14ac:dyDescent="0.2">
      <c r="AU3624"/>
      <c r="AV3624"/>
      <c r="AW3624"/>
      <c r="AX3624"/>
      <c r="AY3624"/>
      <c r="BK3624" s="42">
        <v>3623</v>
      </c>
      <c r="BL3624" s="127">
        <v>4</v>
      </c>
      <c r="BM3624" s="127">
        <v>0.11332468572476186</v>
      </c>
      <c r="BN3624" s="127" t="e">
        <v>#N/A</v>
      </c>
      <c r="BO3624" s="127" t="e">
        <v>#N/A</v>
      </c>
      <c r="BP3624" s="151" t="e">
        <v>#N/A</v>
      </c>
      <c r="BQ3624">
        <v>0.11332468572476186</v>
      </c>
      <c r="BR3624" t="str">
        <v/>
      </c>
    </row>
    <row r="3625" spans="47:70" x14ac:dyDescent="0.2">
      <c r="AU3625"/>
      <c r="AV3625"/>
      <c r="AW3625"/>
      <c r="AX3625"/>
      <c r="AY3625"/>
      <c r="BK3625" s="42">
        <v>3624</v>
      </c>
      <c r="BL3625" s="127">
        <v>4</v>
      </c>
      <c r="BM3625" s="127">
        <v>0.11332468572476186</v>
      </c>
      <c r="BN3625" s="127" t="e">
        <v>#N/A</v>
      </c>
      <c r="BO3625" s="127" t="e">
        <v>#N/A</v>
      </c>
      <c r="BP3625" s="151" t="e">
        <v>#N/A</v>
      </c>
      <c r="BQ3625">
        <v>0.11332468572476186</v>
      </c>
      <c r="BR3625" t="str">
        <v/>
      </c>
    </row>
    <row r="3626" spans="47:70" x14ac:dyDescent="0.2">
      <c r="AU3626"/>
      <c r="AV3626"/>
      <c r="AW3626"/>
      <c r="AX3626"/>
      <c r="AY3626"/>
      <c r="BK3626" s="42">
        <v>3625</v>
      </c>
      <c r="BL3626" s="127">
        <v>4</v>
      </c>
      <c r="BM3626" s="127">
        <v>0.11332468572476186</v>
      </c>
      <c r="BN3626" s="127" t="e">
        <v>#N/A</v>
      </c>
      <c r="BO3626" s="127" t="e">
        <v>#N/A</v>
      </c>
      <c r="BP3626" s="151" t="e">
        <v>#N/A</v>
      </c>
      <c r="BQ3626">
        <v>0.11332468572476186</v>
      </c>
      <c r="BR3626" t="str">
        <v/>
      </c>
    </row>
    <row r="3627" spans="47:70" x14ac:dyDescent="0.2">
      <c r="AU3627"/>
      <c r="AV3627"/>
      <c r="AW3627"/>
      <c r="AX3627"/>
      <c r="AY3627"/>
      <c r="BK3627" s="42">
        <v>3626</v>
      </c>
      <c r="BL3627" s="127">
        <v>4</v>
      </c>
      <c r="BM3627" s="127">
        <v>0.11332468572476186</v>
      </c>
      <c r="BN3627" s="127" t="e">
        <v>#N/A</v>
      </c>
      <c r="BO3627" s="127" t="e">
        <v>#N/A</v>
      </c>
      <c r="BP3627" s="151" t="e">
        <v>#N/A</v>
      </c>
      <c r="BQ3627">
        <v>0.11332468572476186</v>
      </c>
      <c r="BR3627" t="str">
        <v/>
      </c>
    </row>
    <row r="3628" spans="47:70" x14ac:dyDescent="0.2">
      <c r="AU3628"/>
      <c r="AV3628"/>
      <c r="AW3628"/>
      <c r="AX3628"/>
      <c r="AY3628"/>
      <c r="BK3628" s="42">
        <v>3627</v>
      </c>
      <c r="BL3628" s="127">
        <v>4</v>
      </c>
      <c r="BM3628" s="127">
        <v>0.11332468572476186</v>
      </c>
      <c r="BN3628" s="127" t="e">
        <v>#N/A</v>
      </c>
      <c r="BO3628" s="127" t="e">
        <v>#N/A</v>
      </c>
      <c r="BP3628" s="151" t="e">
        <v>#N/A</v>
      </c>
      <c r="BQ3628">
        <v>0.11332468572476186</v>
      </c>
      <c r="BR3628" t="str">
        <v/>
      </c>
    </row>
    <row r="3629" spans="47:70" x14ac:dyDescent="0.2">
      <c r="AU3629"/>
      <c r="AV3629"/>
      <c r="AW3629"/>
      <c r="AX3629"/>
      <c r="AY3629"/>
      <c r="BK3629" s="42">
        <v>3628</v>
      </c>
      <c r="BL3629" s="127">
        <v>4</v>
      </c>
      <c r="BM3629" s="127">
        <v>0.11332468572476186</v>
      </c>
      <c r="BN3629" s="127" t="e">
        <v>#N/A</v>
      </c>
      <c r="BO3629" s="127" t="e">
        <v>#N/A</v>
      </c>
      <c r="BP3629" s="151" t="e">
        <v>#N/A</v>
      </c>
      <c r="BQ3629">
        <v>0.11332468572476186</v>
      </c>
      <c r="BR3629" t="str">
        <v/>
      </c>
    </row>
    <row r="3630" spans="47:70" x14ac:dyDescent="0.2">
      <c r="AU3630"/>
      <c r="AV3630"/>
      <c r="AW3630"/>
      <c r="AX3630"/>
      <c r="AY3630"/>
      <c r="BK3630" s="42">
        <v>3629</v>
      </c>
      <c r="BL3630" s="127">
        <v>4</v>
      </c>
      <c r="BM3630" s="127">
        <v>0.11332468572476186</v>
      </c>
      <c r="BN3630" s="127" t="e">
        <v>#N/A</v>
      </c>
      <c r="BO3630" s="127" t="e">
        <v>#N/A</v>
      </c>
      <c r="BP3630" s="151" t="e">
        <v>#N/A</v>
      </c>
      <c r="BQ3630">
        <v>0.11332468572476186</v>
      </c>
      <c r="BR3630" t="str">
        <v/>
      </c>
    </row>
    <row r="3631" spans="47:70" x14ac:dyDescent="0.2">
      <c r="AU3631"/>
      <c r="AV3631"/>
      <c r="AW3631"/>
      <c r="AX3631"/>
      <c r="AY3631"/>
      <c r="BK3631" s="42">
        <v>3630</v>
      </c>
      <c r="BL3631" s="127">
        <v>4</v>
      </c>
      <c r="BM3631" s="127">
        <v>0.11332468572476186</v>
      </c>
      <c r="BN3631" s="127" t="e">
        <v>#N/A</v>
      </c>
      <c r="BO3631" s="127" t="e">
        <v>#N/A</v>
      </c>
      <c r="BP3631" s="151" t="e">
        <v>#N/A</v>
      </c>
      <c r="BQ3631">
        <v>0.11332468572476186</v>
      </c>
      <c r="BR3631" t="str">
        <v/>
      </c>
    </row>
    <row r="3632" spans="47:70" x14ac:dyDescent="0.2">
      <c r="AU3632"/>
      <c r="AV3632"/>
      <c r="AW3632"/>
      <c r="AX3632"/>
      <c r="AY3632"/>
      <c r="BK3632" s="42">
        <v>3631</v>
      </c>
      <c r="BL3632" s="127">
        <v>4</v>
      </c>
      <c r="BM3632" s="127">
        <v>0.11332468572476186</v>
      </c>
      <c r="BN3632" s="127" t="e">
        <v>#N/A</v>
      </c>
      <c r="BO3632" s="127" t="e">
        <v>#N/A</v>
      </c>
      <c r="BP3632" s="151" t="e">
        <v>#N/A</v>
      </c>
      <c r="BQ3632">
        <v>0.11332468572476186</v>
      </c>
      <c r="BR3632" t="str">
        <v/>
      </c>
    </row>
    <row r="3633" spans="47:70" x14ac:dyDescent="0.2">
      <c r="AU3633"/>
      <c r="AV3633"/>
      <c r="AW3633"/>
      <c r="AX3633"/>
      <c r="AY3633"/>
      <c r="BK3633" s="42">
        <v>3632</v>
      </c>
      <c r="BL3633" s="127">
        <v>4</v>
      </c>
      <c r="BM3633" s="127">
        <v>0.11332468572476186</v>
      </c>
      <c r="BN3633" s="127" t="e">
        <v>#N/A</v>
      </c>
      <c r="BO3633" s="127" t="e">
        <v>#N/A</v>
      </c>
      <c r="BP3633" s="151" t="e">
        <v>#N/A</v>
      </c>
      <c r="BQ3633">
        <v>0.11332468572476186</v>
      </c>
      <c r="BR3633" t="str">
        <v/>
      </c>
    </row>
    <row r="3634" spans="47:70" x14ac:dyDescent="0.2">
      <c r="AU3634"/>
      <c r="AV3634"/>
      <c r="AW3634"/>
      <c r="AX3634"/>
      <c r="AY3634"/>
      <c r="BK3634" s="42">
        <v>3633</v>
      </c>
      <c r="BL3634" s="127">
        <v>4</v>
      </c>
      <c r="BM3634" s="127">
        <v>0.11332468572476186</v>
      </c>
      <c r="BN3634" s="127" t="e">
        <v>#N/A</v>
      </c>
      <c r="BO3634" s="127" t="e">
        <v>#N/A</v>
      </c>
      <c r="BP3634" s="151" t="e">
        <v>#N/A</v>
      </c>
      <c r="BQ3634">
        <v>0.11332468572476186</v>
      </c>
      <c r="BR3634" t="str">
        <v/>
      </c>
    </row>
    <row r="3635" spans="47:70" x14ac:dyDescent="0.2">
      <c r="AU3635"/>
      <c r="AV3635"/>
      <c r="AW3635"/>
      <c r="AX3635"/>
      <c r="AY3635"/>
      <c r="BK3635" s="42">
        <v>3634</v>
      </c>
      <c r="BL3635" s="127">
        <v>4</v>
      </c>
      <c r="BM3635" s="127">
        <v>0.11332468572476186</v>
      </c>
      <c r="BN3635" s="127" t="e">
        <v>#N/A</v>
      </c>
      <c r="BO3635" s="127" t="e">
        <v>#N/A</v>
      </c>
      <c r="BP3635" s="151" t="e">
        <v>#N/A</v>
      </c>
      <c r="BQ3635">
        <v>0.11332468572476186</v>
      </c>
      <c r="BR3635" t="str">
        <v/>
      </c>
    </row>
    <row r="3636" spans="47:70" x14ac:dyDescent="0.2">
      <c r="AU3636"/>
      <c r="AV3636"/>
      <c r="AW3636"/>
      <c r="AX3636"/>
      <c r="AY3636"/>
      <c r="BK3636" s="42">
        <v>3635</v>
      </c>
      <c r="BL3636" s="127">
        <v>4</v>
      </c>
      <c r="BM3636" s="127">
        <v>0.11332468572476186</v>
      </c>
      <c r="BN3636" s="127" t="e">
        <v>#N/A</v>
      </c>
      <c r="BO3636" s="127" t="e">
        <v>#N/A</v>
      </c>
      <c r="BP3636" s="151" t="e">
        <v>#N/A</v>
      </c>
      <c r="BQ3636">
        <v>0.11332468572476186</v>
      </c>
      <c r="BR3636" t="str">
        <v/>
      </c>
    </row>
    <row r="3637" spans="47:70" x14ac:dyDescent="0.2">
      <c r="AU3637"/>
      <c r="AV3637"/>
      <c r="AW3637"/>
      <c r="AX3637"/>
      <c r="AY3637"/>
      <c r="BK3637" s="42">
        <v>3636</v>
      </c>
      <c r="BL3637" s="127">
        <v>4</v>
      </c>
      <c r="BM3637" s="127">
        <v>0.11332468572476186</v>
      </c>
      <c r="BN3637" s="127" t="e">
        <v>#N/A</v>
      </c>
      <c r="BO3637" s="127" t="e">
        <v>#N/A</v>
      </c>
      <c r="BP3637" s="151" t="e">
        <v>#N/A</v>
      </c>
      <c r="BQ3637">
        <v>0.11332468572476186</v>
      </c>
      <c r="BR3637" t="str">
        <v/>
      </c>
    </row>
    <row r="3638" spans="47:70" x14ac:dyDescent="0.2">
      <c r="AU3638"/>
      <c r="AV3638"/>
      <c r="AW3638"/>
      <c r="AX3638"/>
      <c r="AY3638"/>
      <c r="BK3638" s="42">
        <v>3637</v>
      </c>
      <c r="BL3638" s="127">
        <v>4</v>
      </c>
      <c r="BM3638" s="127">
        <v>0.11332468572476186</v>
      </c>
      <c r="BN3638" s="127" t="e">
        <v>#N/A</v>
      </c>
      <c r="BO3638" s="127" t="e">
        <v>#N/A</v>
      </c>
      <c r="BP3638" s="151" t="e">
        <v>#N/A</v>
      </c>
      <c r="BQ3638">
        <v>0.11332468572476186</v>
      </c>
      <c r="BR3638" t="str">
        <v/>
      </c>
    </row>
    <row r="3639" spans="47:70" x14ac:dyDescent="0.2">
      <c r="AU3639"/>
      <c r="AV3639"/>
      <c r="AW3639"/>
      <c r="AX3639"/>
      <c r="AY3639"/>
      <c r="BK3639" s="42">
        <v>3638</v>
      </c>
      <c r="BL3639" s="127">
        <v>4</v>
      </c>
      <c r="BM3639" s="127">
        <v>0.11332468572476186</v>
      </c>
      <c r="BN3639" s="127" t="e">
        <v>#N/A</v>
      </c>
      <c r="BO3639" s="127" t="e">
        <v>#N/A</v>
      </c>
      <c r="BP3639" s="151" t="e">
        <v>#N/A</v>
      </c>
      <c r="BQ3639">
        <v>0.11332468572476186</v>
      </c>
      <c r="BR3639" t="str">
        <v/>
      </c>
    </row>
    <row r="3640" spans="47:70" x14ac:dyDescent="0.2">
      <c r="AU3640"/>
      <c r="AV3640"/>
      <c r="AW3640"/>
      <c r="AX3640"/>
      <c r="AY3640"/>
      <c r="BK3640" s="42">
        <v>3639</v>
      </c>
      <c r="BL3640" s="127">
        <v>4</v>
      </c>
      <c r="BM3640" s="127">
        <v>0.11332468572476186</v>
      </c>
      <c r="BN3640" s="127" t="e">
        <v>#N/A</v>
      </c>
      <c r="BO3640" s="127" t="e">
        <v>#N/A</v>
      </c>
      <c r="BP3640" s="151" t="e">
        <v>#N/A</v>
      </c>
      <c r="BQ3640">
        <v>0.11332468572476186</v>
      </c>
      <c r="BR3640" t="str">
        <v/>
      </c>
    </row>
    <row r="3641" spans="47:70" x14ac:dyDescent="0.2">
      <c r="AU3641"/>
      <c r="AV3641"/>
      <c r="AW3641"/>
      <c r="AX3641"/>
      <c r="AY3641"/>
      <c r="BK3641" s="42">
        <v>3640</v>
      </c>
      <c r="BL3641" s="127">
        <v>4</v>
      </c>
      <c r="BM3641" s="127">
        <v>0.11332468572476186</v>
      </c>
      <c r="BN3641" s="127" t="e">
        <v>#N/A</v>
      </c>
      <c r="BO3641" s="127" t="e">
        <v>#N/A</v>
      </c>
      <c r="BP3641" s="151" t="e">
        <v>#N/A</v>
      </c>
      <c r="BQ3641">
        <v>0.11332468572476186</v>
      </c>
      <c r="BR3641" t="str">
        <v/>
      </c>
    </row>
    <row r="3642" spans="47:70" x14ac:dyDescent="0.2">
      <c r="AU3642"/>
      <c r="AV3642"/>
      <c r="AW3642"/>
      <c r="AX3642"/>
      <c r="AY3642"/>
      <c r="BK3642" s="42">
        <v>3641</v>
      </c>
      <c r="BL3642" s="127">
        <v>4</v>
      </c>
      <c r="BM3642" s="127">
        <v>0.11332468572476186</v>
      </c>
      <c r="BN3642" s="127" t="e">
        <v>#N/A</v>
      </c>
      <c r="BO3642" s="127" t="e">
        <v>#N/A</v>
      </c>
      <c r="BP3642" s="151" t="e">
        <v>#N/A</v>
      </c>
      <c r="BQ3642">
        <v>0.11332468572476186</v>
      </c>
      <c r="BR3642" t="str">
        <v/>
      </c>
    </row>
    <row r="3643" spans="47:70" x14ac:dyDescent="0.2">
      <c r="AU3643"/>
      <c r="AV3643"/>
      <c r="AW3643"/>
      <c r="AX3643"/>
      <c r="AY3643"/>
      <c r="BK3643" s="42">
        <v>3642</v>
      </c>
      <c r="BL3643" s="127">
        <v>4</v>
      </c>
      <c r="BM3643" s="127">
        <v>0.11332468572476186</v>
      </c>
      <c r="BN3643" s="127" t="e">
        <v>#N/A</v>
      </c>
      <c r="BO3643" s="127" t="e">
        <v>#N/A</v>
      </c>
      <c r="BP3643" s="151" t="e">
        <v>#N/A</v>
      </c>
      <c r="BQ3643">
        <v>0.11332468572476186</v>
      </c>
      <c r="BR3643" t="str">
        <v/>
      </c>
    </row>
    <row r="3644" spans="47:70" x14ac:dyDescent="0.2">
      <c r="AU3644"/>
      <c r="AV3644"/>
      <c r="AW3644"/>
      <c r="AX3644"/>
      <c r="AY3644"/>
      <c r="BK3644" s="42">
        <v>3643</v>
      </c>
      <c r="BL3644" s="127">
        <v>4</v>
      </c>
      <c r="BM3644" s="127">
        <v>0.11332468572476186</v>
      </c>
      <c r="BN3644" s="127" t="e">
        <v>#N/A</v>
      </c>
      <c r="BO3644" s="127" t="e">
        <v>#N/A</v>
      </c>
      <c r="BP3644" s="151" t="e">
        <v>#N/A</v>
      </c>
      <c r="BQ3644">
        <v>0.11332468572476186</v>
      </c>
      <c r="BR3644" t="str">
        <v/>
      </c>
    </row>
    <row r="3645" spans="47:70" x14ac:dyDescent="0.2">
      <c r="AU3645"/>
      <c r="AV3645"/>
      <c r="AW3645"/>
      <c r="AX3645"/>
      <c r="AY3645"/>
      <c r="BK3645" s="42">
        <v>3644</v>
      </c>
      <c r="BL3645" s="127">
        <v>4</v>
      </c>
      <c r="BM3645" s="127">
        <v>0.11332468572476186</v>
      </c>
      <c r="BN3645" s="127" t="e">
        <v>#N/A</v>
      </c>
      <c r="BO3645" s="127" t="e">
        <v>#N/A</v>
      </c>
      <c r="BP3645" s="151" t="e">
        <v>#N/A</v>
      </c>
      <c r="BQ3645">
        <v>0.11332468572476186</v>
      </c>
      <c r="BR3645" t="str">
        <v/>
      </c>
    </row>
    <row r="3646" spans="47:70" x14ac:dyDescent="0.2">
      <c r="AU3646"/>
      <c r="AV3646"/>
      <c r="AW3646"/>
      <c r="AX3646"/>
      <c r="AY3646"/>
      <c r="BK3646" s="42">
        <v>3645</v>
      </c>
      <c r="BL3646" s="127">
        <v>4</v>
      </c>
      <c r="BM3646" s="127">
        <v>0.11332468572476186</v>
      </c>
      <c r="BN3646" s="127" t="e">
        <v>#N/A</v>
      </c>
      <c r="BO3646" s="127" t="e">
        <v>#N/A</v>
      </c>
      <c r="BP3646" s="151" t="e">
        <v>#N/A</v>
      </c>
      <c r="BQ3646">
        <v>0.11332468572476186</v>
      </c>
      <c r="BR3646" t="str">
        <v/>
      </c>
    </row>
    <row r="3647" spans="47:70" x14ac:dyDescent="0.2">
      <c r="AU3647"/>
      <c r="AV3647"/>
      <c r="AW3647"/>
      <c r="AX3647"/>
      <c r="AY3647"/>
      <c r="BK3647" s="42">
        <v>3646</v>
      </c>
      <c r="BL3647" s="127">
        <v>4</v>
      </c>
      <c r="BM3647" s="127">
        <v>0.11332468572476186</v>
      </c>
      <c r="BN3647" s="127" t="e">
        <v>#N/A</v>
      </c>
      <c r="BO3647" s="127" t="e">
        <v>#N/A</v>
      </c>
      <c r="BP3647" s="151" t="e">
        <v>#N/A</v>
      </c>
      <c r="BQ3647">
        <v>0.11332468572476186</v>
      </c>
      <c r="BR3647" t="str">
        <v/>
      </c>
    </row>
    <row r="3648" spans="47:70" x14ac:dyDescent="0.2">
      <c r="AU3648"/>
      <c r="AV3648"/>
      <c r="AW3648"/>
      <c r="AX3648"/>
      <c r="AY3648"/>
      <c r="BK3648" s="42">
        <v>3647</v>
      </c>
      <c r="BL3648" s="127">
        <v>4</v>
      </c>
      <c r="BM3648" s="127">
        <v>0.11332468572476186</v>
      </c>
      <c r="BN3648" s="127" t="e">
        <v>#N/A</v>
      </c>
      <c r="BO3648" s="127" t="e">
        <v>#N/A</v>
      </c>
      <c r="BP3648" s="151" t="e">
        <v>#N/A</v>
      </c>
      <c r="BQ3648">
        <v>0.11332468572476186</v>
      </c>
      <c r="BR3648" t="str">
        <v/>
      </c>
    </row>
    <row r="3649" spans="47:70" x14ac:dyDescent="0.2">
      <c r="AU3649"/>
      <c r="AV3649"/>
      <c r="AW3649"/>
      <c r="AX3649"/>
      <c r="AY3649"/>
      <c r="BK3649" s="42">
        <v>3648</v>
      </c>
      <c r="BL3649" s="127">
        <v>4</v>
      </c>
      <c r="BM3649" s="127">
        <v>0.11332468572476186</v>
      </c>
      <c r="BN3649" s="127" t="e">
        <v>#N/A</v>
      </c>
      <c r="BO3649" s="127" t="e">
        <v>#N/A</v>
      </c>
      <c r="BP3649" s="151" t="e">
        <v>#N/A</v>
      </c>
      <c r="BQ3649">
        <v>0.11332468572476186</v>
      </c>
      <c r="BR3649" t="str">
        <v/>
      </c>
    </row>
    <row r="3650" spans="47:70" x14ac:dyDescent="0.2">
      <c r="AU3650"/>
      <c r="AV3650"/>
      <c r="AW3650"/>
      <c r="AX3650"/>
      <c r="AY3650"/>
      <c r="BK3650" s="42">
        <v>3649</v>
      </c>
      <c r="BL3650" s="127">
        <v>4</v>
      </c>
      <c r="BM3650" s="127">
        <v>0.11332468572476186</v>
      </c>
      <c r="BN3650" s="127" t="e">
        <v>#N/A</v>
      </c>
      <c r="BO3650" s="127" t="e">
        <v>#N/A</v>
      </c>
      <c r="BP3650" s="151" t="e">
        <v>#N/A</v>
      </c>
      <c r="BQ3650">
        <v>0.11332468572476186</v>
      </c>
      <c r="BR3650" t="str">
        <v/>
      </c>
    </row>
    <row r="3651" spans="47:70" x14ac:dyDescent="0.2">
      <c r="AU3651"/>
      <c r="AV3651"/>
      <c r="AW3651"/>
      <c r="AX3651"/>
      <c r="AY3651"/>
      <c r="BK3651" s="42">
        <v>3650</v>
      </c>
      <c r="BL3651" s="127">
        <v>4</v>
      </c>
      <c r="BM3651" s="127">
        <v>0.11332468572476186</v>
      </c>
      <c r="BN3651" s="127" t="e">
        <v>#N/A</v>
      </c>
      <c r="BO3651" s="127" t="e">
        <v>#N/A</v>
      </c>
      <c r="BP3651" s="151" t="e">
        <v>#N/A</v>
      </c>
      <c r="BQ3651">
        <v>0.11332468572476186</v>
      </c>
      <c r="BR3651" t="str">
        <v/>
      </c>
    </row>
    <row r="3652" spans="47:70" x14ac:dyDescent="0.2">
      <c r="AU3652"/>
      <c r="AV3652"/>
      <c r="AW3652"/>
      <c r="AX3652"/>
      <c r="AY3652"/>
      <c r="BK3652" s="42">
        <v>3651</v>
      </c>
      <c r="BL3652" s="127">
        <v>4</v>
      </c>
      <c r="BM3652" s="127">
        <v>0.11332468572476186</v>
      </c>
      <c r="BN3652" s="127" t="e">
        <v>#N/A</v>
      </c>
      <c r="BO3652" s="127" t="e">
        <v>#N/A</v>
      </c>
      <c r="BP3652" s="151" t="e">
        <v>#N/A</v>
      </c>
      <c r="BQ3652">
        <v>0.11332468572476186</v>
      </c>
      <c r="BR3652" t="str">
        <v/>
      </c>
    </row>
    <row r="3653" spans="47:70" x14ac:dyDescent="0.2">
      <c r="AU3653"/>
      <c r="AV3653"/>
      <c r="AW3653"/>
      <c r="AX3653"/>
      <c r="AY3653"/>
      <c r="BK3653" s="42">
        <v>3652</v>
      </c>
      <c r="BL3653" s="127">
        <v>4</v>
      </c>
      <c r="BM3653" s="127">
        <v>0.11332468572476186</v>
      </c>
      <c r="BN3653" s="127" t="e">
        <v>#N/A</v>
      </c>
      <c r="BO3653" s="127" t="e">
        <v>#N/A</v>
      </c>
      <c r="BP3653" s="151" t="e">
        <v>#N/A</v>
      </c>
      <c r="BQ3653">
        <v>0.11332468572476186</v>
      </c>
      <c r="BR3653" t="str">
        <v/>
      </c>
    </row>
    <row r="3654" spans="47:70" x14ac:dyDescent="0.2">
      <c r="AU3654"/>
      <c r="AV3654"/>
      <c r="AW3654"/>
      <c r="AX3654"/>
      <c r="AY3654"/>
      <c r="BK3654" s="42">
        <v>3653</v>
      </c>
      <c r="BL3654" s="127">
        <v>4</v>
      </c>
      <c r="BM3654" s="127">
        <v>0.11332468572476186</v>
      </c>
      <c r="BN3654" s="127" t="e">
        <v>#N/A</v>
      </c>
      <c r="BO3654" s="127" t="e">
        <v>#N/A</v>
      </c>
      <c r="BP3654" s="151" t="e">
        <v>#N/A</v>
      </c>
      <c r="BQ3654">
        <v>0.11332468572476186</v>
      </c>
      <c r="BR3654" t="str">
        <v/>
      </c>
    </row>
    <row r="3655" spans="47:70" x14ac:dyDescent="0.2">
      <c r="AU3655"/>
      <c r="AV3655"/>
      <c r="AW3655"/>
      <c r="AX3655"/>
      <c r="AY3655"/>
      <c r="BK3655" s="42">
        <v>3654</v>
      </c>
      <c r="BL3655" s="127">
        <v>4</v>
      </c>
      <c r="BM3655" s="127">
        <v>0.11332468572476186</v>
      </c>
      <c r="BN3655" s="127" t="e">
        <v>#N/A</v>
      </c>
      <c r="BO3655" s="127" t="e">
        <v>#N/A</v>
      </c>
      <c r="BP3655" s="151" t="e">
        <v>#N/A</v>
      </c>
      <c r="BQ3655">
        <v>0.11332468572476186</v>
      </c>
      <c r="BR3655" t="str">
        <v/>
      </c>
    </row>
    <row r="3656" spans="47:70" x14ac:dyDescent="0.2">
      <c r="AU3656"/>
      <c r="AV3656"/>
      <c r="AW3656"/>
      <c r="AX3656"/>
      <c r="AY3656"/>
      <c r="BK3656" s="42">
        <v>3655</v>
      </c>
      <c r="BL3656" s="127">
        <v>4</v>
      </c>
      <c r="BM3656" s="127">
        <v>0.11332468572476186</v>
      </c>
      <c r="BN3656" s="127" t="e">
        <v>#N/A</v>
      </c>
      <c r="BO3656" s="127" t="e">
        <v>#N/A</v>
      </c>
      <c r="BP3656" s="151" t="e">
        <v>#N/A</v>
      </c>
      <c r="BQ3656">
        <v>0.11332468572476186</v>
      </c>
      <c r="BR3656" t="str">
        <v/>
      </c>
    </row>
    <row r="3657" spans="47:70" x14ac:dyDescent="0.2">
      <c r="AU3657"/>
      <c r="AV3657"/>
      <c r="AW3657"/>
      <c r="AX3657"/>
      <c r="AY3657"/>
      <c r="BK3657" s="42">
        <v>3656</v>
      </c>
      <c r="BL3657" s="127">
        <v>4</v>
      </c>
      <c r="BM3657" s="127">
        <v>0.11332468572476186</v>
      </c>
      <c r="BN3657" s="127" t="e">
        <v>#N/A</v>
      </c>
      <c r="BO3657" s="127" t="e">
        <v>#N/A</v>
      </c>
      <c r="BP3657" s="151" t="e">
        <v>#N/A</v>
      </c>
      <c r="BQ3657">
        <v>0.11332468572476186</v>
      </c>
      <c r="BR3657" t="str">
        <v/>
      </c>
    </row>
    <row r="3658" spans="47:70" x14ac:dyDescent="0.2">
      <c r="AU3658"/>
      <c r="AV3658"/>
      <c r="AW3658"/>
      <c r="AX3658"/>
      <c r="AY3658"/>
      <c r="BK3658" s="42">
        <v>3657</v>
      </c>
      <c r="BL3658" s="127">
        <v>4</v>
      </c>
      <c r="BM3658" s="127">
        <v>0.11332468572476186</v>
      </c>
      <c r="BN3658" s="127" t="e">
        <v>#N/A</v>
      </c>
      <c r="BO3658" s="127" t="e">
        <v>#N/A</v>
      </c>
      <c r="BP3658" s="151" t="e">
        <v>#N/A</v>
      </c>
      <c r="BQ3658">
        <v>0.11332468572476186</v>
      </c>
      <c r="BR3658" t="str">
        <v/>
      </c>
    </row>
    <row r="3659" spans="47:70" x14ac:dyDescent="0.2">
      <c r="AU3659"/>
      <c r="AV3659"/>
      <c r="AW3659"/>
      <c r="AX3659"/>
      <c r="AY3659"/>
      <c r="BK3659" s="42">
        <v>3658</v>
      </c>
      <c r="BL3659" s="127">
        <v>4</v>
      </c>
      <c r="BM3659" s="127">
        <v>0.11332468572476186</v>
      </c>
      <c r="BN3659" s="127" t="e">
        <v>#N/A</v>
      </c>
      <c r="BO3659" s="127" t="e">
        <v>#N/A</v>
      </c>
      <c r="BP3659" s="151" t="e">
        <v>#N/A</v>
      </c>
      <c r="BQ3659">
        <v>0.11332468572476186</v>
      </c>
      <c r="BR3659" t="str">
        <v/>
      </c>
    </row>
    <row r="3660" spans="47:70" x14ac:dyDescent="0.2">
      <c r="AU3660"/>
      <c r="AV3660"/>
      <c r="AW3660"/>
      <c r="AX3660"/>
      <c r="AY3660"/>
      <c r="BK3660" s="42">
        <v>3659</v>
      </c>
      <c r="BL3660" s="127">
        <v>4</v>
      </c>
      <c r="BM3660" s="127">
        <v>0.11332468572476186</v>
      </c>
      <c r="BN3660" s="127" t="e">
        <v>#N/A</v>
      </c>
      <c r="BO3660" s="127" t="e">
        <v>#N/A</v>
      </c>
      <c r="BP3660" s="151" t="e">
        <v>#N/A</v>
      </c>
      <c r="BQ3660">
        <v>0.11332468572476186</v>
      </c>
      <c r="BR3660" t="str">
        <v/>
      </c>
    </row>
    <row r="3661" spans="47:70" x14ac:dyDescent="0.2">
      <c r="AU3661"/>
      <c r="AV3661"/>
      <c r="AW3661"/>
      <c r="AX3661"/>
      <c r="AY3661"/>
      <c r="BK3661" s="42">
        <v>3660</v>
      </c>
      <c r="BL3661" s="127">
        <v>4</v>
      </c>
      <c r="BM3661" s="127">
        <v>0.11332468572476186</v>
      </c>
      <c r="BN3661" s="127" t="e">
        <v>#N/A</v>
      </c>
      <c r="BO3661" s="127" t="e">
        <v>#N/A</v>
      </c>
      <c r="BP3661" s="151" t="e">
        <v>#N/A</v>
      </c>
      <c r="BQ3661">
        <v>0.11332468572476186</v>
      </c>
      <c r="BR3661" t="str">
        <v/>
      </c>
    </row>
    <row r="3662" spans="47:70" x14ac:dyDescent="0.2">
      <c r="AU3662"/>
      <c r="AV3662"/>
      <c r="AW3662"/>
      <c r="AX3662"/>
      <c r="AY3662"/>
      <c r="BK3662" s="42">
        <v>3661</v>
      </c>
      <c r="BL3662" s="127">
        <v>4</v>
      </c>
      <c r="BM3662" s="127">
        <v>0.11332468572476186</v>
      </c>
      <c r="BN3662" s="127" t="e">
        <v>#N/A</v>
      </c>
      <c r="BO3662" s="127" t="e">
        <v>#N/A</v>
      </c>
      <c r="BP3662" s="151" t="e">
        <v>#N/A</v>
      </c>
      <c r="BQ3662">
        <v>0.11332468572476186</v>
      </c>
      <c r="BR3662" t="str">
        <v/>
      </c>
    </row>
    <row r="3663" spans="47:70" x14ac:dyDescent="0.2">
      <c r="AU3663"/>
      <c r="AV3663"/>
      <c r="AW3663"/>
      <c r="AX3663"/>
      <c r="AY3663"/>
      <c r="BK3663" s="42">
        <v>3662</v>
      </c>
      <c r="BL3663" s="127">
        <v>4</v>
      </c>
      <c r="BM3663" s="127">
        <v>0.11332468572476186</v>
      </c>
      <c r="BN3663" s="127" t="e">
        <v>#N/A</v>
      </c>
      <c r="BO3663" s="127" t="e">
        <v>#N/A</v>
      </c>
      <c r="BP3663" s="151" t="e">
        <v>#N/A</v>
      </c>
      <c r="BQ3663">
        <v>0.11332468572476186</v>
      </c>
      <c r="BR3663" t="str">
        <v/>
      </c>
    </row>
    <row r="3664" spans="47:70" x14ac:dyDescent="0.2">
      <c r="AU3664"/>
      <c r="AV3664"/>
      <c r="AW3664"/>
      <c r="AX3664"/>
      <c r="AY3664"/>
      <c r="BK3664" s="42">
        <v>3663</v>
      </c>
      <c r="BL3664" s="127">
        <v>4</v>
      </c>
      <c r="BM3664" s="127">
        <v>0.11332468572476186</v>
      </c>
      <c r="BN3664" s="127" t="e">
        <v>#N/A</v>
      </c>
      <c r="BO3664" s="127" t="e">
        <v>#N/A</v>
      </c>
      <c r="BP3664" s="151" t="e">
        <v>#N/A</v>
      </c>
      <c r="BQ3664">
        <v>0.11332468572476186</v>
      </c>
      <c r="BR3664" t="str">
        <v/>
      </c>
    </row>
    <row r="3665" spans="47:70" x14ac:dyDescent="0.2">
      <c r="AU3665"/>
      <c r="AV3665"/>
      <c r="AW3665"/>
      <c r="AX3665"/>
      <c r="AY3665"/>
      <c r="BK3665" s="42">
        <v>3664</v>
      </c>
      <c r="BL3665" s="127">
        <v>4</v>
      </c>
      <c r="BM3665" s="127">
        <v>0.11332468572476186</v>
      </c>
      <c r="BN3665" s="127" t="e">
        <v>#N/A</v>
      </c>
      <c r="BO3665" s="127" t="e">
        <v>#N/A</v>
      </c>
      <c r="BP3665" s="151" t="e">
        <v>#N/A</v>
      </c>
      <c r="BQ3665">
        <v>0.11332468572476186</v>
      </c>
      <c r="BR3665" t="str">
        <v/>
      </c>
    </row>
    <row r="3666" spans="47:70" x14ac:dyDescent="0.2">
      <c r="AU3666"/>
      <c r="AV3666"/>
      <c r="AW3666"/>
      <c r="AX3666"/>
      <c r="AY3666"/>
      <c r="BK3666" s="42">
        <v>3665</v>
      </c>
      <c r="BL3666" s="127">
        <v>4</v>
      </c>
      <c r="BM3666" s="127">
        <v>0.11332468572476186</v>
      </c>
      <c r="BN3666" s="127" t="e">
        <v>#N/A</v>
      </c>
      <c r="BO3666" s="127" t="e">
        <v>#N/A</v>
      </c>
      <c r="BP3666" s="151" t="e">
        <v>#N/A</v>
      </c>
      <c r="BQ3666">
        <v>0.11332468572476186</v>
      </c>
      <c r="BR3666" t="str">
        <v/>
      </c>
    </row>
    <row r="3667" spans="47:70" x14ac:dyDescent="0.2">
      <c r="AU3667"/>
      <c r="AV3667"/>
      <c r="AW3667"/>
      <c r="AX3667"/>
      <c r="AY3667"/>
      <c r="BK3667" s="42">
        <v>3666</v>
      </c>
      <c r="BL3667" s="127">
        <v>4</v>
      </c>
      <c r="BM3667" s="127">
        <v>0.11332468572476186</v>
      </c>
      <c r="BN3667" s="127" t="e">
        <v>#N/A</v>
      </c>
      <c r="BO3667" s="127" t="e">
        <v>#N/A</v>
      </c>
      <c r="BP3667" s="151" t="e">
        <v>#N/A</v>
      </c>
      <c r="BQ3667">
        <v>0.11332468572476186</v>
      </c>
      <c r="BR3667" t="str">
        <v/>
      </c>
    </row>
    <row r="3668" spans="47:70" x14ac:dyDescent="0.2">
      <c r="AU3668"/>
      <c r="AV3668"/>
      <c r="AW3668"/>
      <c r="AX3668"/>
      <c r="AY3668"/>
      <c r="BK3668" s="42">
        <v>3667</v>
      </c>
      <c r="BL3668" s="127">
        <v>4</v>
      </c>
      <c r="BM3668" s="127">
        <v>0.11332468572476186</v>
      </c>
      <c r="BN3668" s="127" t="e">
        <v>#N/A</v>
      </c>
      <c r="BO3668" s="127" t="e">
        <v>#N/A</v>
      </c>
      <c r="BP3668" s="151" t="e">
        <v>#N/A</v>
      </c>
      <c r="BQ3668">
        <v>0.11332468572476186</v>
      </c>
      <c r="BR3668" t="str">
        <v/>
      </c>
    </row>
    <row r="3669" spans="47:70" x14ac:dyDescent="0.2">
      <c r="AU3669"/>
      <c r="AV3669"/>
      <c r="AW3669"/>
      <c r="AX3669"/>
      <c r="AY3669"/>
      <c r="BK3669" s="42">
        <v>3668</v>
      </c>
      <c r="BL3669" s="127">
        <v>4</v>
      </c>
      <c r="BM3669" s="127">
        <v>0.11332468572476186</v>
      </c>
      <c r="BN3669" s="127" t="e">
        <v>#N/A</v>
      </c>
      <c r="BO3669" s="127" t="e">
        <v>#N/A</v>
      </c>
      <c r="BP3669" s="151" t="e">
        <v>#N/A</v>
      </c>
      <c r="BQ3669">
        <v>0.11332468572476186</v>
      </c>
      <c r="BR3669" t="str">
        <v/>
      </c>
    </row>
    <row r="3670" spans="47:70" x14ac:dyDescent="0.2">
      <c r="AU3670"/>
      <c r="AV3670"/>
      <c r="AW3670"/>
      <c r="AX3670"/>
      <c r="AY3670"/>
      <c r="BK3670" s="42">
        <v>3669</v>
      </c>
      <c r="BL3670" s="127">
        <v>4</v>
      </c>
      <c r="BM3670" s="127">
        <v>0.11332468572476186</v>
      </c>
      <c r="BN3670" s="127" t="e">
        <v>#N/A</v>
      </c>
      <c r="BO3670" s="127" t="e">
        <v>#N/A</v>
      </c>
      <c r="BP3670" s="151" t="e">
        <v>#N/A</v>
      </c>
      <c r="BQ3670">
        <v>0.11332468572476186</v>
      </c>
      <c r="BR3670" t="str">
        <v/>
      </c>
    </row>
    <row r="3671" spans="47:70" x14ac:dyDescent="0.2">
      <c r="AU3671"/>
      <c r="AV3671"/>
      <c r="AW3671"/>
      <c r="AX3671"/>
      <c r="AY3671"/>
      <c r="BK3671" s="42">
        <v>3670</v>
      </c>
      <c r="BL3671" s="127">
        <v>4</v>
      </c>
      <c r="BM3671" s="127">
        <v>0.11332468572476186</v>
      </c>
      <c r="BN3671" s="127" t="e">
        <v>#N/A</v>
      </c>
      <c r="BO3671" s="127" t="e">
        <v>#N/A</v>
      </c>
      <c r="BP3671" s="151" t="e">
        <v>#N/A</v>
      </c>
      <c r="BQ3671">
        <v>0.11332468572476186</v>
      </c>
      <c r="BR3671" t="str">
        <v/>
      </c>
    </row>
    <row r="3672" spans="47:70" x14ac:dyDescent="0.2">
      <c r="AU3672"/>
      <c r="AV3672"/>
      <c r="AW3672"/>
      <c r="AX3672"/>
      <c r="AY3672"/>
      <c r="BK3672" s="42">
        <v>3671</v>
      </c>
      <c r="BL3672" s="127">
        <v>4</v>
      </c>
      <c r="BM3672" s="127">
        <v>0.11332468572476186</v>
      </c>
      <c r="BN3672" s="127" t="e">
        <v>#N/A</v>
      </c>
      <c r="BO3672" s="127" t="e">
        <v>#N/A</v>
      </c>
      <c r="BP3672" s="151" t="e">
        <v>#N/A</v>
      </c>
      <c r="BQ3672">
        <v>0.11332468572476186</v>
      </c>
      <c r="BR3672" t="str">
        <v/>
      </c>
    </row>
    <row r="3673" spans="47:70" x14ac:dyDescent="0.2">
      <c r="AU3673"/>
      <c r="AV3673"/>
      <c r="AW3673"/>
      <c r="AX3673"/>
      <c r="AY3673"/>
      <c r="BK3673" s="42">
        <v>3672</v>
      </c>
      <c r="BL3673" s="127">
        <v>4</v>
      </c>
      <c r="BM3673" s="127">
        <v>0.11332468572476186</v>
      </c>
      <c r="BN3673" s="127" t="e">
        <v>#N/A</v>
      </c>
      <c r="BO3673" s="127" t="e">
        <v>#N/A</v>
      </c>
      <c r="BP3673" s="151" t="e">
        <v>#N/A</v>
      </c>
      <c r="BQ3673">
        <v>0.11332468572476186</v>
      </c>
      <c r="BR3673" t="str">
        <v/>
      </c>
    </row>
    <row r="3674" spans="47:70" x14ac:dyDescent="0.2">
      <c r="AU3674"/>
      <c r="AV3674"/>
      <c r="AW3674"/>
      <c r="AX3674"/>
      <c r="AY3674"/>
      <c r="BK3674" s="42">
        <v>3673</v>
      </c>
      <c r="BL3674" s="127">
        <v>4</v>
      </c>
      <c r="BM3674" s="127">
        <v>0.11332468572476186</v>
      </c>
      <c r="BN3674" s="127" t="e">
        <v>#N/A</v>
      </c>
      <c r="BO3674" s="127" t="e">
        <v>#N/A</v>
      </c>
      <c r="BP3674" s="151" t="e">
        <v>#N/A</v>
      </c>
      <c r="BQ3674">
        <v>0.11332468572476186</v>
      </c>
      <c r="BR3674" t="str">
        <v/>
      </c>
    </row>
    <row r="3675" spans="47:70" x14ac:dyDescent="0.2">
      <c r="AU3675"/>
      <c r="AV3675"/>
      <c r="AW3675"/>
      <c r="AX3675"/>
      <c r="AY3675"/>
      <c r="BK3675" s="42">
        <v>3674</v>
      </c>
      <c r="BL3675" s="127">
        <v>4</v>
      </c>
      <c r="BM3675" s="127">
        <v>0.11332468572476186</v>
      </c>
      <c r="BN3675" s="127" t="e">
        <v>#N/A</v>
      </c>
      <c r="BO3675" s="127" t="e">
        <v>#N/A</v>
      </c>
      <c r="BP3675" s="151" t="e">
        <v>#N/A</v>
      </c>
      <c r="BQ3675">
        <v>0.11332468572476186</v>
      </c>
      <c r="BR3675" t="str">
        <v/>
      </c>
    </row>
    <row r="3676" spans="47:70" x14ac:dyDescent="0.2">
      <c r="AU3676"/>
      <c r="AV3676"/>
      <c r="AW3676"/>
      <c r="AX3676"/>
      <c r="AY3676"/>
      <c r="BK3676" s="42">
        <v>3675</v>
      </c>
      <c r="BL3676" s="127">
        <v>4</v>
      </c>
      <c r="BM3676" s="127">
        <v>0.11332468572476186</v>
      </c>
      <c r="BN3676" s="127" t="e">
        <v>#N/A</v>
      </c>
      <c r="BO3676" s="127" t="e">
        <v>#N/A</v>
      </c>
      <c r="BP3676" s="151" t="e">
        <v>#N/A</v>
      </c>
      <c r="BQ3676">
        <v>0.11332468572476186</v>
      </c>
      <c r="BR3676" t="str">
        <v/>
      </c>
    </row>
    <row r="3677" spans="47:70" x14ac:dyDescent="0.2">
      <c r="AU3677"/>
      <c r="AV3677"/>
      <c r="AW3677"/>
      <c r="AX3677"/>
      <c r="AY3677"/>
      <c r="BK3677" s="42">
        <v>3676</v>
      </c>
      <c r="BL3677" s="127">
        <v>4</v>
      </c>
      <c r="BM3677" s="127">
        <v>0.11332468572476186</v>
      </c>
      <c r="BN3677" s="127" t="e">
        <v>#N/A</v>
      </c>
      <c r="BO3677" s="127" t="e">
        <v>#N/A</v>
      </c>
      <c r="BP3677" s="151" t="e">
        <v>#N/A</v>
      </c>
      <c r="BQ3677">
        <v>0.11332468572476186</v>
      </c>
      <c r="BR3677" t="str">
        <v/>
      </c>
    </row>
    <row r="3678" spans="47:70" x14ac:dyDescent="0.2">
      <c r="AU3678"/>
      <c r="AV3678"/>
      <c r="AW3678"/>
      <c r="AX3678"/>
      <c r="AY3678"/>
      <c r="BK3678" s="42">
        <v>3677</v>
      </c>
      <c r="BL3678" s="127">
        <v>4</v>
      </c>
      <c r="BM3678" s="127">
        <v>0.11332468572476186</v>
      </c>
      <c r="BN3678" s="127" t="e">
        <v>#N/A</v>
      </c>
      <c r="BO3678" s="127" t="e">
        <v>#N/A</v>
      </c>
      <c r="BP3678" s="151" t="e">
        <v>#N/A</v>
      </c>
      <c r="BQ3678">
        <v>0.11332468572476186</v>
      </c>
      <c r="BR3678" t="str">
        <v/>
      </c>
    </row>
    <row r="3679" spans="47:70" x14ac:dyDescent="0.2">
      <c r="AU3679"/>
      <c r="AV3679"/>
      <c r="AW3679"/>
      <c r="AX3679"/>
      <c r="AY3679"/>
      <c r="BK3679" s="42">
        <v>3678</v>
      </c>
      <c r="BL3679" s="127">
        <v>4</v>
      </c>
      <c r="BM3679" s="127">
        <v>0.11332468572476186</v>
      </c>
      <c r="BN3679" s="127" t="e">
        <v>#N/A</v>
      </c>
      <c r="BO3679" s="127" t="e">
        <v>#N/A</v>
      </c>
      <c r="BP3679" s="151" t="e">
        <v>#N/A</v>
      </c>
      <c r="BQ3679">
        <v>0.11332468572476186</v>
      </c>
      <c r="BR3679" t="str">
        <v/>
      </c>
    </row>
    <row r="3680" spans="47:70" x14ac:dyDescent="0.2">
      <c r="AU3680"/>
      <c r="AV3680"/>
      <c r="AW3680"/>
      <c r="AX3680"/>
      <c r="AY3680"/>
      <c r="BK3680" s="42">
        <v>3679</v>
      </c>
      <c r="BL3680" s="127">
        <v>4</v>
      </c>
      <c r="BM3680" s="127">
        <v>0.11332468572476186</v>
      </c>
      <c r="BN3680" s="127" t="e">
        <v>#N/A</v>
      </c>
      <c r="BO3680" s="127" t="e">
        <v>#N/A</v>
      </c>
      <c r="BP3680" s="151" t="e">
        <v>#N/A</v>
      </c>
      <c r="BQ3680">
        <v>0.11332468572476186</v>
      </c>
      <c r="BR3680" t="str">
        <v/>
      </c>
    </row>
    <row r="3681" spans="47:70" x14ac:dyDescent="0.2">
      <c r="AU3681"/>
      <c r="AV3681"/>
      <c r="AW3681"/>
      <c r="AX3681"/>
      <c r="AY3681"/>
      <c r="BK3681" s="42">
        <v>3680</v>
      </c>
      <c r="BL3681" s="127">
        <v>4</v>
      </c>
      <c r="BM3681" s="127">
        <v>0.11332468572476186</v>
      </c>
      <c r="BN3681" s="127" t="e">
        <v>#N/A</v>
      </c>
      <c r="BO3681" s="127" t="e">
        <v>#N/A</v>
      </c>
      <c r="BP3681" s="151" t="e">
        <v>#N/A</v>
      </c>
      <c r="BQ3681">
        <v>0.11332468572476186</v>
      </c>
      <c r="BR3681" t="str">
        <v/>
      </c>
    </row>
    <row r="3682" spans="47:70" x14ac:dyDescent="0.2">
      <c r="AU3682"/>
      <c r="AV3682"/>
      <c r="AW3682"/>
      <c r="AX3682"/>
      <c r="AY3682"/>
      <c r="BK3682" s="42">
        <v>3681</v>
      </c>
      <c r="BL3682" s="127">
        <v>4</v>
      </c>
      <c r="BM3682" s="127">
        <v>0.11332468572476186</v>
      </c>
      <c r="BN3682" s="127" t="e">
        <v>#N/A</v>
      </c>
      <c r="BO3682" s="127" t="e">
        <v>#N/A</v>
      </c>
      <c r="BP3682" s="151" t="e">
        <v>#N/A</v>
      </c>
      <c r="BQ3682">
        <v>0.11332468572476186</v>
      </c>
      <c r="BR3682" t="str">
        <v/>
      </c>
    </row>
    <row r="3683" spans="47:70" x14ac:dyDescent="0.2">
      <c r="AU3683"/>
      <c r="AV3683"/>
      <c r="AW3683"/>
      <c r="AX3683"/>
      <c r="AY3683"/>
      <c r="BK3683" s="42">
        <v>3682</v>
      </c>
      <c r="BL3683" s="127">
        <v>4</v>
      </c>
      <c r="BM3683" s="127">
        <v>0.11332468572476186</v>
      </c>
      <c r="BN3683" s="127" t="e">
        <v>#N/A</v>
      </c>
      <c r="BO3683" s="127" t="e">
        <v>#N/A</v>
      </c>
      <c r="BP3683" s="151" t="e">
        <v>#N/A</v>
      </c>
      <c r="BQ3683">
        <v>0.11332468572476186</v>
      </c>
      <c r="BR3683" t="str">
        <v/>
      </c>
    </row>
    <row r="3684" spans="47:70" x14ac:dyDescent="0.2">
      <c r="AU3684"/>
      <c r="AV3684"/>
      <c r="AW3684"/>
      <c r="AX3684"/>
      <c r="AY3684"/>
      <c r="BK3684" s="42">
        <v>3683</v>
      </c>
      <c r="BL3684" s="127">
        <v>4</v>
      </c>
      <c r="BM3684" s="127">
        <v>0.11332468572476186</v>
      </c>
      <c r="BN3684" s="127" t="e">
        <v>#N/A</v>
      </c>
      <c r="BO3684" s="127" t="e">
        <v>#N/A</v>
      </c>
      <c r="BP3684" s="151" t="e">
        <v>#N/A</v>
      </c>
      <c r="BQ3684">
        <v>0.11332468572476186</v>
      </c>
      <c r="BR3684" t="str">
        <v/>
      </c>
    </row>
    <row r="3685" spans="47:70" x14ac:dyDescent="0.2">
      <c r="AU3685"/>
      <c r="AV3685"/>
      <c r="AW3685"/>
      <c r="AX3685"/>
      <c r="AY3685"/>
      <c r="BK3685" s="42">
        <v>3684</v>
      </c>
      <c r="BL3685" s="127">
        <v>4</v>
      </c>
      <c r="BM3685" s="127">
        <v>0.11332468572476186</v>
      </c>
      <c r="BN3685" s="127" t="e">
        <v>#N/A</v>
      </c>
      <c r="BO3685" s="127" t="e">
        <v>#N/A</v>
      </c>
      <c r="BP3685" s="151" t="e">
        <v>#N/A</v>
      </c>
      <c r="BQ3685">
        <v>0.11332468572476186</v>
      </c>
      <c r="BR3685" t="str">
        <v/>
      </c>
    </row>
    <row r="3686" spans="47:70" x14ac:dyDescent="0.2">
      <c r="AU3686"/>
      <c r="AV3686"/>
      <c r="AW3686"/>
      <c r="AX3686"/>
      <c r="AY3686"/>
      <c r="BK3686" s="42">
        <v>3685</v>
      </c>
      <c r="BL3686" s="127">
        <v>4</v>
      </c>
      <c r="BM3686" s="127">
        <v>0.11332468572476186</v>
      </c>
      <c r="BN3686" s="127" t="e">
        <v>#N/A</v>
      </c>
      <c r="BO3686" s="127" t="e">
        <v>#N/A</v>
      </c>
      <c r="BP3686" s="151" t="e">
        <v>#N/A</v>
      </c>
      <c r="BQ3686">
        <v>0.11332468572476186</v>
      </c>
      <c r="BR3686" t="str">
        <v/>
      </c>
    </row>
    <row r="3687" spans="47:70" x14ac:dyDescent="0.2">
      <c r="AU3687"/>
      <c r="AV3687"/>
      <c r="AW3687"/>
      <c r="AX3687"/>
      <c r="AY3687"/>
      <c r="BK3687" s="42">
        <v>3686</v>
      </c>
      <c r="BL3687" s="127">
        <v>4</v>
      </c>
      <c r="BM3687" s="127">
        <v>0.11332468572476186</v>
      </c>
      <c r="BN3687" s="127" t="e">
        <v>#N/A</v>
      </c>
      <c r="BO3687" s="127" t="e">
        <v>#N/A</v>
      </c>
      <c r="BP3687" s="151" t="e">
        <v>#N/A</v>
      </c>
      <c r="BQ3687">
        <v>0.11332468572476186</v>
      </c>
      <c r="BR3687" t="str">
        <v/>
      </c>
    </row>
    <row r="3688" spans="47:70" x14ac:dyDescent="0.2">
      <c r="AU3688"/>
      <c r="AV3688"/>
      <c r="AW3688"/>
      <c r="AX3688"/>
      <c r="AY3688"/>
      <c r="BK3688" s="42">
        <v>3687</v>
      </c>
      <c r="BL3688" s="127">
        <v>4</v>
      </c>
      <c r="BM3688" s="127">
        <v>0.11332468572476186</v>
      </c>
      <c r="BN3688" s="127" t="e">
        <v>#N/A</v>
      </c>
      <c r="BO3688" s="127" t="e">
        <v>#N/A</v>
      </c>
      <c r="BP3688" s="151" t="e">
        <v>#N/A</v>
      </c>
      <c r="BQ3688">
        <v>0.11332468572476186</v>
      </c>
      <c r="BR3688" t="str">
        <v/>
      </c>
    </row>
    <row r="3689" spans="47:70" x14ac:dyDescent="0.2">
      <c r="AU3689"/>
      <c r="AV3689"/>
      <c r="AW3689"/>
      <c r="AX3689"/>
      <c r="AY3689"/>
      <c r="BK3689" s="42">
        <v>3688</v>
      </c>
      <c r="BL3689" s="127">
        <v>4</v>
      </c>
      <c r="BM3689" s="127">
        <v>0.11332468572476186</v>
      </c>
      <c r="BN3689" s="127" t="e">
        <v>#N/A</v>
      </c>
      <c r="BO3689" s="127" t="e">
        <v>#N/A</v>
      </c>
      <c r="BP3689" s="151" t="e">
        <v>#N/A</v>
      </c>
      <c r="BQ3689">
        <v>0.11332468572476186</v>
      </c>
      <c r="BR3689" t="str">
        <v/>
      </c>
    </row>
    <row r="3690" spans="47:70" x14ac:dyDescent="0.2">
      <c r="AU3690"/>
      <c r="AV3690"/>
      <c r="AW3690"/>
      <c r="AX3690"/>
      <c r="AY3690"/>
      <c r="BK3690" s="42">
        <v>3689</v>
      </c>
      <c r="BL3690" s="127">
        <v>4</v>
      </c>
      <c r="BM3690" s="127">
        <v>0.11332468572476186</v>
      </c>
      <c r="BN3690" s="127" t="e">
        <v>#N/A</v>
      </c>
      <c r="BO3690" s="127" t="e">
        <v>#N/A</v>
      </c>
      <c r="BP3690" s="151" t="e">
        <v>#N/A</v>
      </c>
      <c r="BQ3690">
        <v>0.11332468572476186</v>
      </c>
      <c r="BR3690" t="str">
        <v/>
      </c>
    </row>
    <row r="3691" spans="47:70" x14ac:dyDescent="0.2">
      <c r="AU3691"/>
      <c r="AV3691"/>
      <c r="AW3691"/>
      <c r="AX3691"/>
      <c r="AY3691"/>
      <c r="BK3691" s="42">
        <v>3690</v>
      </c>
      <c r="BL3691" s="127">
        <v>4</v>
      </c>
      <c r="BM3691" s="127">
        <v>0.11332468572476186</v>
      </c>
      <c r="BN3691" s="127" t="e">
        <v>#N/A</v>
      </c>
      <c r="BO3691" s="127" t="e">
        <v>#N/A</v>
      </c>
      <c r="BP3691" s="151" t="e">
        <v>#N/A</v>
      </c>
      <c r="BQ3691">
        <v>0.11332468572476186</v>
      </c>
      <c r="BR3691" t="str">
        <v/>
      </c>
    </row>
    <row r="3692" spans="47:70" x14ac:dyDescent="0.2">
      <c r="AU3692"/>
      <c r="AV3692"/>
      <c r="AW3692"/>
      <c r="AX3692"/>
      <c r="AY3692"/>
      <c r="BK3692" s="42">
        <v>3691</v>
      </c>
      <c r="BL3692" s="127">
        <v>4</v>
      </c>
      <c r="BM3692" s="127">
        <v>0.11332468572476186</v>
      </c>
      <c r="BN3692" s="127" t="e">
        <v>#N/A</v>
      </c>
      <c r="BO3692" s="127" t="e">
        <v>#N/A</v>
      </c>
      <c r="BP3692" s="151" t="e">
        <v>#N/A</v>
      </c>
      <c r="BQ3692">
        <v>0.11332468572476186</v>
      </c>
      <c r="BR3692" t="str">
        <v/>
      </c>
    </row>
    <row r="3693" spans="47:70" x14ac:dyDescent="0.2">
      <c r="AU3693"/>
      <c r="AV3693"/>
      <c r="AW3693"/>
      <c r="AX3693"/>
      <c r="AY3693"/>
      <c r="BK3693" s="42">
        <v>3692</v>
      </c>
      <c r="BL3693" s="127">
        <v>4</v>
      </c>
      <c r="BM3693" s="127">
        <v>0.11332468572476186</v>
      </c>
      <c r="BN3693" s="127" t="e">
        <v>#N/A</v>
      </c>
      <c r="BO3693" s="127" t="e">
        <v>#N/A</v>
      </c>
      <c r="BP3693" s="151" t="e">
        <v>#N/A</v>
      </c>
      <c r="BQ3693">
        <v>0.11332468572476186</v>
      </c>
      <c r="BR3693" t="str">
        <v/>
      </c>
    </row>
    <row r="3694" spans="47:70" x14ac:dyDescent="0.2">
      <c r="AU3694"/>
      <c r="AV3694"/>
      <c r="AW3694"/>
      <c r="AX3694"/>
      <c r="AY3694"/>
      <c r="BK3694" s="42">
        <v>3693</v>
      </c>
      <c r="BL3694" s="127">
        <v>4</v>
      </c>
      <c r="BM3694" s="127">
        <v>0.11332468572476186</v>
      </c>
      <c r="BN3694" s="127" t="e">
        <v>#N/A</v>
      </c>
      <c r="BO3694" s="127" t="e">
        <v>#N/A</v>
      </c>
      <c r="BP3694" s="151" t="e">
        <v>#N/A</v>
      </c>
      <c r="BQ3694">
        <v>0.11332468572476186</v>
      </c>
      <c r="BR3694" t="str">
        <v/>
      </c>
    </row>
    <row r="3695" spans="47:70" x14ac:dyDescent="0.2">
      <c r="AU3695"/>
      <c r="AV3695"/>
      <c r="AW3695"/>
      <c r="AX3695"/>
      <c r="AY3695"/>
      <c r="BK3695" s="42">
        <v>3694</v>
      </c>
      <c r="BL3695" s="127">
        <v>4</v>
      </c>
      <c r="BM3695" s="127">
        <v>0.11332468572476186</v>
      </c>
      <c r="BN3695" s="127" t="e">
        <v>#N/A</v>
      </c>
      <c r="BO3695" s="127" t="e">
        <v>#N/A</v>
      </c>
      <c r="BP3695" s="151" t="e">
        <v>#N/A</v>
      </c>
      <c r="BQ3695">
        <v>0.11332468572476186</v>
      </c>
      <c r="BR3695" t="str">
        <v/>
      </c>
    </row>
    <row r="3696" spans="47:70" x14ac:dyDescent="0.2">
      <c r="AU3696"/>
      <c r="AV3696"/>
      <c r="AW3696"/>
      <c r="AX3696"/>
      <c r="AY3696"/>
      <c r="BK3696" s="42">
        <v>3695</v>
      </c>
      <c r="BL3696" s="127">
        <v>4</v>
      </c>
      <c r="BM3696" s="127">
        <v>0.11332468572476186</v>
      </c>
      <c r="BN3696" s="127" t="e">
        <v>#N/A</v>
      </c>
      <c r="BO3696" s="127" t="e">
        <v>#N/A</v>
      </c>
      <c r="BP3696" s="151" t="e">
        <v>#N/A</v>
      </c>
      <c r="BQ3696">
        <v>0.11332468572476186</v>
      </c>
      <c r="BR3696" t="str">
        <v/>
      </c>
    </row>
    <row r="3697" spans="47:70" x14ac:dyDescent="0.2">
      <c r="AU3697"/>
      <c r="AV3697"/>
      <c r="AW3697"/>
      <c r="AX3697"/>
      <c r="AY3697"/>
      <c r="BK3697" s="42">
        <v>3696</v>
      </c>
      <c r="BL3697" s="127">
        <v>4</v>
      </c>
      <c r="BM3697" s="127">
        <v>0.11332468572476186</v>
      </c>
      <c r="BN3697" s="127" t="e">
        <v>#N/A</v>
      </c>
      <c r="BO3697" s="127" t="e">
        <v>#N/A</v>
      </c>
      <c r="BP3697" s="151" t="e">
        <v>#N/A</v>
      </c>
      <c r="BQ3697">
        <v>0.11332468572476186</v>
      </c>
      <c r="BR3697" t="str">
        <v/>
      </c>
    </row>
    <row r="3698" spans="47:70" x14ac:dyDescent="0.2">
      <c r="AU3698"/>
      <c r="AV3698"/>
      <c r="AW3698"/>
      <c r="AX3698"/>
      <c r="AY3698"/>
      <c r="BK3698" s="42">
        <v>3697</v>
      </c>
      <c r="BL3698" s="127">
        <v>4</v>
      </c>
      <c r="BM3698" s="127">
        <v>0.11332468572476186</v>
      </c>
      <c r="BN3698" s="127" t="e">
        <v>#N/A</v>
      </c>
      <c r="BO3698" s="127" t="e">
        <v>#N/A</v>
      </c>
      <c r="BP3698" s="151" t="e">
        <v>#N/A</v>
      </c>
      <c r="BQ3698">
        <v>0.11332468572476186</v>
      </c>
      <c r="BR3698" t="str">
        <v/>
      </c>
    </row>
    <row r="3699" spans="47:70" x14ac:dyDescent="0.2">
      <c r="AU3699"/>
      <c r="AV3699"/>
      <c r="AW3699"/>
      <c r="AX3699"/>
      <c r="AY3699"/>
      <c r="BK3699" s="42">
        <v>3698</v>
      </c>
      <c r="BL3699" s="127">
        <v>4</v>
      </c>
      <c r="BM3699" s="127">
        <v>0.11332468572476186</v>
      </c>
      <c r="BN3699" s="127" t="e">
        <v>#N/A</v>
      </c>
      <c r="BO3699" s="127" t="e">
        <v>#N/A</v>
      </c>
      <c r="BP3699" s="151" t="e">
        <v>#N/A</v>
      </c>
      <c r="BQ3699">
        <v>0.11332468572476186</v>
      </c>
      <c r="BR3699" t="str">
        <v/>
      </c>
    </row>
    <row r="3700" spans="47:70" x14ac:dyDescent="0.2">
      <c r="AU3700"/>
      <c r="AV3700"/>
      <c r="AW3700"/>
      <c r="AX3700"/>
      <c r="AY3700"/>
      <c r="BK3700" s="42">
        <v>3699</v>
      </c>
      <c r="BL3700" s="127">
        <v>4</v>
      </c>
      <c r="BM3700" s="127">
        <v>0.11332468572476186</v>
      </c>
      <c r="BN3700" s="127" t="e">
        <v>#N/A</v>
      </c>
      <c r="BO3700" s="127" t="e">
        <v>#N/A</v>
      </c>
      <c r="BP3700" s="151" t="e">
        <v>#N/A</v>
      </c>
      <c r="BQ3700">
        <v>0.11332468572476186</v>
      </c>
      <c r="BR3700" t="str">
        <v/>
      </c>
    </row>
    <row r="3701" spans="47:70" x14ac:dyDescent="0.2">
      <c r="AU3701"/>
      <c r="AV3701"/>
      <c r="AW3701"/>
      <c r="AX3701"/>
      <c r="AY3701"/>
      <c r="BK3701" s="42">
        <v>3700</v>
      </c>
      <c r="BL3701" s="127">
        <v>4</v>
      </c>
      <c r="BM3701" s="127">
        <v>0.11332468572476186</v>
      </c>
      <c r="BN3701" s="127" t="e">
        <v>#N/A</v>
      </c>
      <c r="BO3701" s="127" t="e">
        <v>#N/A</v>
      </c>
      <c r="BP3701" s="151" t="e">
        <v>#N/A</v>
      </c>
      <c r="BQ3701">
        <v>0.11332468572476186</v>
      </c>
      <c r="BR3701" t="str">
        <v/>
      </c>
    </row>
    <row r="3702" spans="47:70" x14ac:dyDescent="0.2">
      <c r="AU3702"/>
      <c r="AV3702"/>
      <c r="AW3702"/>
      <c r="AX3702"/>
      <c r="AY3702"/>
      <c r="BK3702" s="42">
        <v>3701</v>
      </c>
      <c r="BL3702" s="127">
        <v>4</v>
      </c>
      <c r="BM3702" s="127">
        <v>0.11332468572476186</v>
      </c>
      <c r="BN3702" s="127" t="e">
        <v>#N/A</v>
      </c>
      <c r="BO3702" s="127" t="e">
        <v>#N/A</v>
      </c>
      <c r="BP3702" s="151" t="e">
        <v>#N/A</v>
      </c>
      <c r="BQ3702">
        <v>0.11332468572476186</v>
      </c>
      <c r="BR3702" t="str">
        <v/>
      </c>
    </row>
    <row r="3703" spans="47:70" x14ac:dyDescent="0.2">
      <c r="AU3703"/>
      <c r="AV3703"/>
      <c r="AW3703"/>
      <c r="AX3703"/>
      <c r="AY3703"/>
      <c r="BK3703" s="42">
        <v>3702</v>
      </c>
      <c r="BL3703" s="127">
        <v>4</v>
      </c>
      <c r="BM3703" s="127">
        <v>0.11332468572476186</v>
      </c>
      <c r="BN3703" s="127" t="e">
        <v>#N/A</v>
      </c>
      <c r="BO3703" s="127" t="e">
        <v>#N/A</v>
      </c>
      <c r="BP3703" s="151" t="e">
        <v>#N/A</v>
      </c>
      <c r="BQ3703">
        <v>0.11332468572476186</v>
      </c>
      <c r="BR3703" t="str">
        <v/>
      </c>
    </row>
    <row r="3704" spans="47:70" x14ac:dyDescent="0.2">
      <c r="AU3704"/>
      <c r="AV3704"/>
      <c r="AW3704"/>
      <c r="AX3704"/>
      <c r="AY3704"/>
      <c r="BK3704" s="42">
        <v>3703</v>
      </c>
      <c r="BL3704" s="127">
        <v>4</v>
      </c>
      <c r="BM3704" s="127">
        <v>0.11332468572476186</v>
      </c>
      <c r="BN3704" s="127" t="e">
        <v>#N/A</v>
      </c>
      <c r="BO3704" s="127" t="e">
        <v>#N/A</v>
      </c>
      <c r="BP3704" s="151" t="e">
        <v>#N/A</v>
      </c>
      <c r="BQ3704">
        <v>0.11332468572476186</v>
      </c>
      <c r="BR3704" t="str">
        <v/>
      </c>
    </row>
    <row r="3705" spans="47:70" x14ac:dyDescent="0.2">
      <c r="AU3705"/>
      <c r="AV3705"/>
      <c r="AW3705"/>
      <c r="AX3705"/>
      <c r="AY3705"/>
      <c r="BK3705" s="42">
        <v>3704</v>
      </c>
      <c r="BL3705" s="127">
        <v>4</v>
      </c>
      <c r="BM3705" s="127">
        <v>0.11332468572476186</v>
      </c>
      <c r="BN3705" s="127" t="e">
        <v>#N/A</v>
      </c>
      <c r="BO3705" s="127" t="e">
        <v>#N/A</v>
      </c>
      <c r="BP3705" s="151" t="e">
        <v>#N/A</v>
      </c>
      <c r="BQ3705">
        <v>0.11332468572476186</v>
      </c>
      <c r="BR3705" t="str">
        <v/>
      </c>
    </row>
    <row r="3706" spans="47:70" x14ac:dyDescent="0.2">
      <c r="AU3706"/>
      <c r="AV3706"/>
      <c r="AW3706"/>
      <c r="AX3706"/>
      <c r="AY3706"/>
      <c r="BK3706" s="42">
        <v>3705</v>
      </c>
      <c r="BL3706" s="127">
        <v>4</v>
      </c>
      <c r="BM3706" s="127">
        <v>0.11332468572476186</v>
      </c>
      <c r="BN3706" s="127" t="e">
        <v>#N/A</v>
      </c>
      <c r="BO3706" s="127" t="e">
        <v>#N/A</v>
      </c>
      <c r="BP3706" s="151" t="e">
        <v>#N/A</v>
      </c>
      <c r="BQ3706">
        <v>0.11332468572476186</v>
      </c>
      <c r="BR3706" t="str">
        <v/>
      </c>
    </row>
    <row r="3707" spans="47:70" x14ac:dyDescent="0.2">
      <c r="AU3707"/>
      <c r="AV3707"/>
      <c r="AW3707"/>
      <c r="AX3707"/>
      <c r="AY3707"/>
      <c r="BK3707" s="42">
        <v>3706</v>
      </c>
      <c r="BL3707" s="127">
        <v>4</v>
      </c>
      <c r="BM3707" s="127">
        <v>0.11332468572476186</v>
      </c>
      <c r="BN3707" s="127" t="e">
        <v>#N/A</v>
      </c>
      <c r="BO3707" s="127" t="e">
        <v>#N/A</v>
      </c>
      <c r="BP3707" s="151" t="e">
        <v>#N/A</v>
      </c>
      <c r="BQ3707">
        <v>0.11332468572476186</v>
      </c>
      <c r="BR3707" t="str">
        <v/>
      </c>
    </row>
    <row r="3708" spans="47:70" x14ac:dyDescent="0.2">
      <c r="AU3708"/>
      <c r="AV3708"/>
      <c r="AW3708"/>
      <c r="AX3708"/>
      <c r="AY3708"/>
      <c r="BK3708" s="42">
        <v>3707</v>
      </c>
      <c r="BL3708" s="127">
        <v>4</v>
      </c>
      <c r="BM3708" s="127">
        <v>0.11332468572476186</v>
      </c>
      <c r="BN3708" s="127" t="e">
        <v>#N/A</v>
      </c>
      <c r="BO3708" s="127" t="e">
        <v>#N/A</v>
      </c>
      <c r="BP3708" s="151" t="e">
        <v>#N/A</v>
      </c>
      <c r="BQ3708">
        <v>0.11332468572476186</v>
      </c>
      <c r="BR3708" t="str">
        <v/>
      </c>
    </row>
    <row r="3709" spans="47:70" x14ac:dyDescent="0.2">
      <c r="AU3709"/>
      <c r="AV3709"/>
      <c r="AW3709"/>
      <c r="AX3709"/>
      <c r="AY3709"/>
      <c r="BK3709" s="42">
        <v>3708</v>
      </c>
      <c r="BL3709" s="127">
        <v>4</v>
      </c>
      <c r="BM3709" s="127">
        <v>0.11332468572476186</v>
      </c>
      <c r="BN3709" s="127" t="e">
        <v>#N/A</v>
      </c>
      <c r="BO3709" s="127" t="e">
        <v>#N/A</v>
      </c>
      <c r="BP3709" s="151" t="e">
        <v>#N/A</v>
      </c>
      <c r="BQ3709">
        <v>0.11332468572476186</v>
      </c>
      <c r="BR3709" t="str">
        <v/>
      </c>
    </row>
    <row r="3710" spans="47:70" x14ac:dyDescent="0.2">
      <c r="AU3710"/>
      <c r="AV3710"/>
      <c r="AW3710"/>
      <c r="AX3710"/>
      <c r="AY3710"/>
      <c r="BK3710" s="42">
        <v>3709</v>
      </c>
      <c r="BL3710" s="127">
        <v>4</v>
      </c>
      <c r="BM3710" s="127">
        <v>0.11332468572476186</v>
      </c>
      <c r="BN3710" s="127" t="e">
        <v>#N/A</v>
      </c>
      <c r="BO3710" s="127" t="e">
        <v>#N/A</v>
      </c>
      <c r="BP3710" s="151" t="e">
        <v>#N/A</v>
      </c>
      <c r="BQ3710">
        <v>0.11332468572476186</v>
      </c>
      <c r="BR3710" t="str">
        <v/>
      </c>
    </row>
    <row r="3711" spans="47:70" x14ac:dyDescent="0.2">
      <c r="AU3711"/>
      <c r="AV3711"/>
      <c r="AW3711"/>
      <c r="AX3711"/>
      <c r="AY3711"/>
      <c r="BK3711" s="42">
        <v>3710</v>
      </c>
      <c r="BL3711" s="127">
        <v>4</v>
      </c>
      <c r="BM3711" s="127">
        <v>0.11332468572476186</v>
      </c>
      <c r="BN3711" s="127" t="e">
        <v>#N/A</v>
      </c>
      <c r="BO3711" s="127" t="e">
        <v>#N/A</v>
      </c>
      <c r="BP3711" s="151" t="e">
        <v>#N/A</v>
      </c>
      <c r="BQ3711">
        <v>0.11332468572476186</v>
      </c>
      <c r="BR3711" t="str">
        <v/>
      </c>
    </row>
    <row r="3712" spans="47:70" x14ac:dyDescent="0.2">
      <c r="AU3712"/>
      <c r="AV3712"/>
      <c r="AW3712"/>
      <c r="AX3712"/>
      <c r="AY3712"/>
      <c r="BK3712" s="42">
        <v>3711</v>
      </c>
      <c r="BL3712" s="127">
        <v>4</v>
      </c>
      <c r="BM3712" s="127">
        <v>0.11332468572476186</v>
      </c>
      <c r="BN3712" s="127" t="e">
        <v>#N/A</v>
      </c>
      <c r="BO3712" s="127" t="e">
        <v>#N/A</v>
      </c>
      <c r="BP3712" s="151" t="e">
        <v>#N/A</v>
      </c>
      <c r="BQ3712">
        <v>0.11332468572476186</v>
      </c>
      <c r="BR3712" t="str">
        <v/>
      </c>
    </row>
    <row r="3713" spans="47:70" x14ac:dyDescent="0.2">
      <c r="AU3713"/>
      <c r="AV3713"/>
      <c r="AW3713"/>
      <c r="AX3713"/>
      <c r="AY3713"/>
      <c r="BK3713" s="42">
        <v>3712</v>
      </c>
      <c r="BL3713" s="127">
        <v>4</v>
      </c>
      <c r="BM3713" s="127">
        <v>0.11332468572476186</v>
      </c>
      <c r="BN3713" s="127" t="e">
        <v>#N/A</v>
      </c>
      <c r="BO3713" s="127" t="e">
        <v>#N/A</v>
      </c>
      <c r="BP3713" s="151" t="e">
        <v>#N/A</v>
      </c>
      <c r="BQ3713">
        <v>0.11332468572476186</v>
      </c>
      <c r="BR3713" t="str">
        <v/>
      </c>
    </row>
    <row r="3714" spans="47:70" x14ac:dyDescent="0.2">
      <c r="AU3714"/>
      <c r="AV3714"/>
      <c r="AW3714"/>
      <c r="AX3714"/>
      <c r="AY3714"/>
      <c r="BK3714" s="42">
        <v>3713</v>
      </c>
      <c r="BL3714" s="127">
        <v>4</v>
      </c>
      <c r="BM3714" s="127">
        <v>0.11332468572476186</v>
      </c>
      <c r="BN3714" s="127" t="e">
        <v>#N/A</v>
      </c>
      <c r="BO3714" s="127" t="e">
        <v>#N/A</v>
      </c>
      <c r="BP3714" s="151" t="e">
        <v>#N/A</v>
      </c>
      <c r="BQ3714">
        <v>0.11332468572476186</v>
      </c>
      <c r="BR3714" t="str">
        <v/>
      </c>
    </row>
    <row r="3715" spans="47:70" x14ac:dyDescent="0.2">
      <c r="AU3715"/>
      <c r="AV3715"/>
      <c r="AW3715"/>
      <c r="AX3715"/>
      <c r="AY3715"/>
      <c r="BK3715" s="42">
        <v>3714</v>
      </c>
      <c r="BL3715" s="127">
        <v>4</v>
      </c>
      <c r="BM3715" s="127">
        <v>0.11332468572476186</v>
      </c>
      <c r="BN3715" s="127" t="e">
        <v>#N/A</v>
      </c>
      <c r="BO3715" s="127" t="e">
        <v>#N/A</v>
      </c>
      <c r="BP3715" s="151" t="e">
        <v>#N/A</v>
      </c>
      <c r="BQ3715">
        <v>0.11332468572476186</v>
      </c>
      <c r="BR3715" t="str">
        <v/>
      </c>
    </row>
    <row r="3716" spans="47:70" x14ac:dyDescent="0.2">
      <c r="AU3716"/>
      <c r="AV3716"/>
      <c r="AW3716"/>
      <c r="AX3716"/>
      <c r="AY3716"/>
      <c r="BK3716" s="42">
        <v>3715</v>
      </c>
      <c r="BL3716" s="127">
        <v>4</v>
      </c>
      <c r="BM3716" s="127">
        <v>0.11332468572476186</v>
      </c>
      <c r="BN3716" s="127" t="e">
        <v>#N/A</v>
      </c>
      <c r="BO3716" s="127" t="e">
        <v>#N/A</v>
      </c>
      <c r="BP3716" s="151" t="e">
        <v>#N/A</v>
      </c>
      <c r="BQ3716">
        <v>0.11332468572476186</v>
      </c>
      <c r="BR3716" t="str">
        <v/>
      </c>
    </row>
    <row r="3717" spans="47:70" x14ac:dyDescent="0.2">
      <c r="AU3717"/>
      <c r="AV3717"/>
      <c r="AW3717"/>
      <c r="AX3717"/>
      <c r="AY3717"/>
      <c r="BK3717" s="42">
        <v>3716</v>
      </c>
      <c r="BL3717" s="127">
        <v>4</v>
      </c>
      <c r="BM3717" s="127">
        <v>0.11332468572476186</v>
      </c>
      <c r="BN3717" s="127" t="e">
        <v>#N/A</v>
      </c>
      <c r="BO3717" s="127" t="e">
        <v>#N/A</v>
      </c>
      <c r="BP3717" s="151" t="e">
        <v>#N/A</v>
      </c>
      <c r="BQ3717">
        <v>0.11332468572476186</v>
      </c>
      <c r="BR3717" t="str">
        <v/>
      </c>
    </row>
    <row r="3718" spans="47:70" x14ac:dyDescent="0.2">
      <c r="AU3718"/>
      <c r="AV3718"/>
      <c r="AW3718"/>
      <c r="AX3718"/>
      <c r="AY3718"/>
      <c r="BK3718" s="42">
        <v>3717</v>
      </c>
      <c r="BL3718" s="127">
        <v>4</v>
      </c>
      <c r="BM3718" s="127">
        <v>0.11332468572476186</v>
      </c>
      <c r="BN3718" s="127" t="e">
        <v>#N/A</v>
      </c>
      <c r="BO3718" s="127" t="e">
        <v>#N/A</v>
      </c>
      <c r="BP3718" s="151" t="e">
        <v>#N/A</v>
      </c>
      <c r="BQ3718">
        <v>0.11332468572476186</v>
      </c>
      <c r="BR3718" t="str">
        <v/>
      </c>
    </row>
    <row r="3719" spans="47:70" x14ac:dyDescent="0.2">
      <c r="AU3719"/>
      <c r="AV3719"/>
      <c r="AW3719"/>
      <c r="AX3719"/>
      <c r="AY3719"/>
      <c r="BK3719" s="42">
        <v>3718</v>
      </c>
      <c r="BL3719" s="127">
        <v>4</v>
      </c>
      <c r="BM3719" s="127">
        <v>0.11332468572476186</v>
      </c>
      <c r="BN3719" s="127" t="e">
        <v>#N/A</v>
      </c>
      <c r="BO3719" s="127" t="e">
        <v>#N/A</v>
      </c>
      <c r="BP3719" s="151" t="e">
        <v>#N/A</v>
      </c>
      <c r="BQ3719">
        <v>0.11332468572476186</v>
      </c>
      <c r="BR3719" t="str">
        <v/>
      </c>
    </row>
    <row r="3720" spans="47:70" x14ac:dyDescent="0.2">
      <c r="AU3720"/>
      <c r="AV3720"/>
      <c r="AW3720"/>
      <c r="AX3720"/>
      <c r="AY3720"/>
      <c r="BK3720" s="42">
        <v>3719</v>
      </c>
      <c r="BL3720" s="127">
        <v>4</v>
      </c>
      <c r="BM3720" s="127">
        <v>0.11332468572476186</v>
      </c>
      <c r="BN3720" s="127" t="e">
        <v>#N/A</v>
      </c>
      <c r="BO3720" s="127" t="e">
        <v>#N/A</v>
      </c>
      <c r="BP3720" s="151" t="e">
        <v>#N/A</v>
      </c>
      <c r="BQ3720">
        <v>0.11332468572476186</v>
      </c>
      <c r="BR3720" t="str">
        <v/>
      </c>
    </row>
    <row r="3721" spans="47:70" x14ac:dyDescent="0.2">
      <c r="AU3721"/>
      <c r="AV3721"/>
      <c r="AW3721"/>
      <c r="AX3721"/>
      <c r="AY3721"/>
      <c r="BK3721" s="42">
        <v>3720</v>
      </c>
      <c r="BL3721" s="127">
        <v>4</v>
      </c>
      <c r="BM3721" s="127">
        <v>0.11332468572476186</v>
      </c>
      <c r="BN3721" s="127" t="e">
        <v>#N/A</v>
      </c>
      <c r="BO3721" s="127" t="e">
        <v>#N/A</v>
      </c>
      <c r="BP3721" s="151" t="e">
        <v>#N/A</v>
      </c>
      <c r="BQ3721">
        <v>0.11332468572476186</v>
      </c>
      <c r="BR3721" t="str">
        <v/>
      </c>
    </row>
    <row r="3722" spans="47:70" x14ac:dyDescent="0.2">
      <c r="AU3722"/>
      <c r="AV3722"/>
      <c r="AW3722"/>
      <c r="AX3722"/>
      <c r="AY3722"/>
      <c r="BK3722" s="42">
        <v>3721</v>
      </c>
      <c r="BL3722" s="127">
        <v>4</v>
      </c>
      <c r="BM3722" s="127">
        <v>0.11332468572476186</v>
      </c>
      <c r="BN3722" s="127" t="e">
        <v>#N/A</v>
      </c>
      <c r="BO3722" s="127" t="e">
        <v>#N/A</v>
      </c>
      <c r="BP3722" s="151" t="e">
        <v>#N/A</v>
      </c>
      <c r="BQ3722">
        <v>0.11332468572476186</v>
      </c>
      <c r="BR3722" t="str">
        <v/>
      </c>
    </row>
    <row r="3723" spans="47:70" x14ac:dyDescent="0.2">
      <c r="AU3723"/>
      <c r="AV3723"/>
      <c r="AW3723"/>
      <c r="AX3723"/>
      <c r="AY3723"/>
      <c r="BK3723" s="42">
        <v>3722</v>
      </c>
      <c r="BL3723" s="127">
        <v>4</v>
      </c>
      <c r="BM3723" s="127">
        <v>0.11332468572476186</v>
      </c>
      <c r="BN3723" s="127" t="e">
        <v>#N/A</v>
      </c>
      <c r="BO3723" s="127" t="e">
        <v>#N/A</v>
      </c>
      <c r="BP3723" s="151" t="e">
        <v>#N/A</v>
      </c>
      <c r="BQ3723">
        <v>0.11332468572476186</v>
      </c>
      <c r="BR3723" t="str">
        <v/>
      </c>
    </row>
    <row r="3724" spans="47:70" x14ac:dyDescent="0.2">
      <c r="AU3724"/>
      <c r="AV3724"/>
      <c r="AW3724"/>
      <c r="AX3724"/>
      <c r="AY3724"/>
      <c r="BK3724" s="42">
        <v>3723</v>
      </c>
      <c r="BL3724" s="127">
        <v>4</v>
      </c>
      <c r="BM3724" s="127">
        <v>0.11332468572476186</v>
      </c>
      <c r="BN3724" s="127" t="e">
        <v>#N/A</v>
      </c>
      <c r="BO3724" s="127" t="e">
        <v>#N/A</v>
      </c>
      <c r="BP3724" s="151" t="e">
        <v>#N/A</v>
      </c>
      <c r="BQ3724">
        <v>0.11332468572476186</v>
      </c>
      <c r="BR3724" t="str">
        <v/>
      </c>
    </row>
    <row r="3725" spans="47:70" x14ac:dyDescent="0.2">
      <c r="AU3725"/>
      <c r="AV3725"/>
      <c r="AW3725"/>
      <c r="AX3725"/>
      <c r="AY3725"/>
      <c r="BK3725" s="42">
        <v>3724</v>
      </c>
      <c r="BL3725" s="127">
        <v>4</v>
      </c>
      <c r="BM3725" s="127">
        <v>0.11332468572476186</v>
      </c>
      <c r="BN3725" s="127" t="e">
        <v>#N/A</v>
      </c>
      <c r="BO3725" s="127" t="e">
        <v>#N/A</v>
      </c>
      <c r="BP3725" s="151" t="e">
        <v>#N/A</v>
      </c>
      <c r="BQ3725">
        <v>0.11332468572476186</v>
      </c>
      <c r="BR3725" t="str">
        <v/>
      </c>
    </row>
    <row r="3726" spans="47:70" x14ac:dyDescent="0.2">
      <c r="AU3726"/>
      <c r="AV3726"/>
      <c r="AW3726"/>
      <c r="AX3726"/>
      <c r="AY3726"/>
      <c r="BK3726" s="42">
        <v>3725</v>
      </c>
      <c r="BL3726" s="127">
        <v>4</v>
      </c>
      <c r="BM3726" s="127">
        <v>0.11332468572476186</v>
      </c>
      <c r="BN3726" s="127" t="e">
        <v>#N/A</v>
      </c>
      <c r="BO3726" s="127" t="e">
        <v>#N/A</v>
      </c>
      <c r="BP3726" s="151" t="e">
        <v>#N/A</v>
      </c>
      <c r="BQ3726">
        <v>0.11332468572476186</v>
      </c>
      <c r="BR3726" t="str">
        <v/>
      </c>
    </row>
    <row r="3727" spans="47:70" x14ac:dyDescent="0.2">
      <c r="AU3727"/>
      <c r="AV3727"/>
      <c r="AW3727"/>
      <c r="AX3727"/>
      <c r="AY3727"/>
      <c r="BK3727" s="42">
        <v>3726</v>
      </c>
      <c r="BL3727" s="127">
        <v>4</v>
      </c>
      <c r="BM3727" s="127">
        <v>0.11332468572476186</v>
      </c>
      <c r="BN3727" s="127" t="e">
        <v>#N/A</v>
      </c>
      <c r="BO3727" s="127" t="e">
        <v>#N/A</v>
      </c>
      <c r="BP3727" s="151" t="e">
        <v>#N/A</v>
      </c>
      <c r="BQ3727">
        <v>0.11332468572476186</v>
      </c>
      <c r="BR3727" t="str">
        <v/>
      </c>
    </row>
    <row r="3728" spans="47:70" x14ac:dyDescent="0.2">
      <c r="AU3728"/>
      <c r="AV3728"/>
      <c r="AW3728"/>
      <c r="AX3728"/>
      <c r="AY3728"/>
      <c r="BK3728" s="42">
        <v>3727</v>
      </c>
      <c r="BL3728" s="127">
        <v>4</v>
      </c>
      <c r="BM3728" s="127">
        <v>0.11332468572476186</v>
      </c>
      <c r="BN3728" s="127" t="e">
        <v>#N/A</v>
      </c>
      <c r="BO3728" s="127" t="e">
        <v>#N/A</v>
      </c>
      <c r="BP3728" s="151" t="e">
        <v>#N/A</v>
      </c>
      <c r="BQ3728">
        <v>0.11332468572476186</v>
      </c>
      <c r="BR3728" t="str">
        <v/>
      </c>
    </row>
    <row r="3729" spans="47:70" x14ac:dyDescent="0.2">
      <c r="AU3729"/>
      <c r="AV3729"/>
      <c r="AW3729"/>
      <c r="AX3729"/>
      <c r="AY3729"/>
      <c r="BK3729" s="42">
        <v>3728</v>
      </c>
      <c r="BL3729" s="127">
        <v>4</v>
      </c>
      <c r="BM3729" s="127">
        <v>0.11332468572476186</v>
      </c>
      <c r="BN3729" s="127" t="e">
        <v>#N/A</v>
      </c>
      <c r="BO3729" s="127" t="e">
        <v>#N/A</v>
      </c>
      <c r="BP3729" s="151" t="e">
        <v>#N/A</v>
      </c>
      <c r="BQ3729">
        <v>0.11332468572476186</v>
      </c>
      <c r="BR3729" t="str">
        <v/>
      </c>
    </row>
    <row r="3730" spans="47:70" x14ac:dyDescent="0.2">
      <c r="AU3730"/>
      <c r="AV3730"/>
      <c r="AW3730"/>
      <c r="AX3730"/>
      <c r="AY3730"/>
      <c r="BK3730" s="42">
        <v>3729</v>
      </c>
      <c r="BL3730" s="127">
        <v>4</v>
      </c>
      <c r="BM3730" s="127">
        <v>0.11332468572476186</v>
      </c>
      <c r="BN3730" s="127" t="e">
        <v>#N/A</v>
      </c>
      <c r="BO3730" s="127" t="e">
        <v>#N/A</v>
      </c>
      <c r="BP3730" s="151" t="e">
        <v>#N/A</v>
      </c>
      <c r="BQ3730">
        <v>0.11332468572476186</v>
      </c>
      <c r="BR3730" t="str">
        <v/>
      </c>
    </row>
    <row r="3731" spans="47:70" x14ac:dyDescent="0.2">
      <c r="AU3731"/>
      <c r="AV3731"/>
      <c r="AW3731"/>
      <c r="AX3731"/>
      <c r="AY3731"/>
      <c r="BK3731" s="42">
        <v>3730</v>
      </c>
      <c r="BL3731" s="127">
        <v>4</v>
      </c>
      <c r="BM3731" s="127">
        <v>0.11332468572476186</v>
      </c>
      <c r="BN3731" s="127" t="e">
        <v>#N/A</v>
      </c>
      <c r="BO3731" s="127" t="e">
        <v>#N/A</v>
      </c>
      <c r="BP3731" s="151" t="e">
        <v>#N/A</v>
      </c>
      <c r="BQ3731">
        <v>0.11332468572476186</v>
      </c>
      <c r="BR3731" t="str">
        <v/>
      </c>
    </row>
    <row r="3732" spans="47:70" x14ac:dyDescent="0.2">
      <c r="AU3732"/>
      <c r="AV3732"/>
      <c r="AW3732"/>
      <c r="AX3732"/>
      <c r="AY3732"/>
      <c r="BK3732" s="42">
        <v>3731</v>
      </c>
      <c r="BL3732" s="127">
        <v>4</v>
      </c>
      <c r="BM3732" s="127">
        <v>0.11332468572476186</v>
      </c>
      <c r="BN3732" s="127" t="e">
        <v>#N/A</v>
      </c>
      <c r="BO3732" s="127" t="e">
        <v>#N/A</v>
      </c>
      <c r="BP3732" s="151" t="e">
        <v>#N/A</v>
      </c>
      <c r="BQ3732">
        <v>0.11332468572476186</v>
      </c>
      <c r="BR3732" t="str">
        <v/>
      </c>
    </row>
    <row r="3733" spans="47:70" x14ac:dyDescent="0.2">
      <c r="AU3733"/>
      <c r="AV3733"/>
      <c r="AW3733"/>
      <c r="AX3733"/>
      <c r="AY3733"/>
      <c r="BK3733" s="42">
        <v>3732</v>
      </c>
      <c r="BL3733" s="127">
        <v>4</v>
      </c>
      <c r="BM3733" s="127">
        <v>0.11332468572476186</v>
      </c>
      <c r="BN3733" s="127" t="e">
        <v>#N/A</v>
      </c>
      <c r="BO3733" s="127" t="e">
        <v>#N/A</v>
      </c>
      <c r="BP3733" s="151" t="e">
        <v>#N/A</v>
      </c>
      <c r="BQ3733">
        <v>0.11332468572476186</v>
      </c>
      <c r="BR3733" t="str">
        <v/>
      </c>
    </row>
    <row r="3734" spans="47:70" x14ac:dyDescent="0.2">
      <c r="AU3734"/>
      <c r="AV3734"/>
      <c r="AW3734"/>
      <c r="AX3734"/>
      <c r="AY3734"/>
      <c r="BK3734" s="42">
        <v>3733</v>
      </c>
      <c r="BL3734" s="127">
        <v>4</v>
      </c>
      <c r="BM3734" s="127">
        <v>0.11332468572476186</v>
      </c>
      <c r="BN3734" s="127" t="e">
        <v>#N/A</v>
      </c>
      <c r="BO3734" s="127" t="e">
        <v>#N/A</v>
      </c>
      <c r="BP3734" s="151" t="e">
        <v>#N/A</v>
      </c>
      <c r="BQ3734">
        <v>0.11332468572476186</v>
      </c>
      <c r="BR3734" t="str">
        <v/>
      </c>
    </row>
    <row r="3735" spans="47:70" x14ac:dyDescent="0.2">
      <c r="AU3735"/>
      <c r="AV3735"/>
      <c r="AW3735"/>
      <c r="AX3735"/>
      <c r="AY3735"/>
      <c r="BK3735" s="42">
        <v>3734</v>
      </c>
      <c r="BL3735" s="127">
        <v>4</v>
      </c>
      <c r="BM3735" s="127">
        <v>0.11332468572476186</v>
      </c>
      <c r="BN3735" s="127" t="e">
        <v>#N/A</v>
      </c>
      <c r="BO3735" s="127" t="e">
        <v>#N/A</v>
      </c>
      <c r="BP3735" s="151" t="e">
        <v>#N/A</v>
      </c>
      <c r="BQ3735">
        <v>0.11332468572476186</v>
      </c>
      <c r="BR3735" t="str">
        <v/>
      </c>
    </row>
    <row r="3736" spans="47:70" x14ac:dyDescent="0.2">
      <c r="AU3736"/>
      <c r="AV3736"/>
      <c r="AW3736"/>
      <c r="AX3736"/>
      <c r="AY3736"/>
      <c r="BK3736" s="42">
        <v>3735</v>
      </c>
      <c r="BL3736" s="127">
        <v>4</v>
      </c>
      <c r="BM3736" s="127">
        <v>0.11332468572476186</v>
      </c>
      <c r="BN3736" s="127" t="e">
        <v>#N/A</v>
      </c>
      <c r="BO3736" s="127" t="e">
        <v>#N/A</v>
      </c>
      <c r="BP3736" s="151" t="e">
        <v>#N/A</v>
      </c>
      <c r="BQ3736">
        <v>0.11332468572476186</v>
      </c>
      <c r="BR3736" t="str">
        <v/>
      </c>
    </row>
    <row r="3737" spans="47:70" x14ac:dyDescent="0.2">
      <c r="AU3737"/>
      <c r="AV3737"/>
      <c r="AW3737"/>
      <c r="AX3737"/>
      <c r="AY3737"/>
      <c r="BK3737" s="42">
        <v>3736</v>
      </c>
      <c r="BL3737" s="127">
        <v>4</v>
      </c>
      <c r="BM3737" s="127">
        <v>0.11332468572476186</v>
      </c>
      <c r="BN3737" s="127" t="e">
        <v>#N/A</v>
      </c>
      <c r="BO3737" s="127" t="e">
        <v>#N/A</v>
      </c>
      <c r="BP3737" s="151" t="e">
        <v>#N/A</v>
      </c>
      <c r="BQ3737">
        <v>0.11332468572476186</v>
      </c>
      <c r="BR3737" t="str">
        <v/>
      </c>
    </row>
    <row r="3738" spans="47:70" x14ac:dyDescent="0.2">
      <c r="AU3738"/>
      <c r="AV3738"/>
      <c r="AW3738"/>
      <c r="AX3738"/>
      <c r="AY3738"/>
      <c r="BK3738" s="42">
        <v>3737</v>
      </c>
      <c r="BL3738" s="127">
        <v>4</v>
      </c>
      <c r="BM3738" s="127">
        <v>0.11332468572476186</v>
      </c>
      <c r="BN3738" s="127" t="e">
        <v>#N/A</v>
      </c>
      <c r="BO3738" s="127" t="e">
        <v>#N/A</v>
      </c>
      <c r="BP3738" s="151" t="e">
        <v>#N/A</v>
      </c>
      <c r="BQ3738">
        <v>0.11332468572476186</v>
      </c>
      <c r="BR3738" t="str">
        <v/>
      </c>
    </row>
    <row r="3739" spans="47:70" x14ac:dyDescent="0.2">
      <c r="AU3739"/>
      <c r="AV3739"/>
      <c r="AW3739"/>
      <c r="AX3739"/>
      <c r="AY3739"/>
      <c r="BK3739" s="42">
        <v>3738</v>
      </c>
      <c r="BL3739" s="127">
        <v>4</v>
      </c>
      <c r="BM3739" s="127">
        <v>0.11332468572476186</v>
      </c>
      <c r="BN3739" s="127" t="e">
        <v>#N/A</v>
      </c>
      <c r="BO3739" s="127" t="e">
        <v>#N/A</v>
      </c>
      <c r="BP3739" s="151" t="e">
        <v>#N/A</v>
      </c>
      <c r="BQ3739">
        <v>0.11332468572476186</v>
      </c>
      <c r="BR3739" t="str">
        <v/>
      </c>
    </row>
    <row r="3740" spans="47:70" x14ac:dyDescent="0.2">
      <c r="AU3740"/>
      <c r="AV3740"/>
      <c r="AW3740"/>
      <c r="AX3740"/>
      <c r="AY3740"/>
      <c r="BK3740" s="42">
        <v>3739</v>
      </c>
      <c r="BL3740" s="127">
        <v>4</v>
      </c>
      <c r="BM3740" s="127">
        <v>0.11332468572476186</v>
      </c>
      <c r="BN3740" s="127" t="e">
        <v>#N/A</v>
      </c>
      <c r="BO3740" s="127" t="e">
        <v>#N/A</v>
      </c>
      <c r="BP3740" s="151" t="e">
        <v>#N/A</v>
      </c>
      <c r="BQ3740">
        <v>0.11332468572476186</v>
      </c>
      <c r="BR3740" t="str">
        <v/>
      </c>
    </row>
    <row r="3741" spans="47:70" x14ac:dyDescent="0.2">
      <c r="AU3741"/>
      <c r="AV3741"/>
      <c r="AW3741"/>
      <c r="AX3741"/>
      <c r="AY3741"/>
      <c r="BK3741" s="42">
        <v>3740</v>
      </c>
      <c r="BL3741" s="127">
        <v>4</v>
      </c>
      <c r="BM3741" s="127">
        <v>0.11332468572476186</v>
      </c>
      <c r="BN3741" s="127" t="e">
        <v>#N/A</v>
      </c>
      <c r="BO3741" s="127" t="e">
        <v>#N/A</v>
      </c>
      <c r="BP3741" s="151" t="e">
        <v>#N/A</v>
      </c>
      <c r="BQ3741">
        <v>0.11332468572476186</v>
      </c>
      <c r="BR3741" t="str">
        <v/>
      </c>
    </row>
    <row r="3742" spans="47:70" x14ac:dyDescent="0.2">
      <c r="AU3742"/>
      <c r="AV3742"/>
      <c r="AW3742"/>
      <c r="AX3742"/>
      <c r="AY3742"/>
      <c r="BK3742" s="42">
        <v>3741</v>
      </c>
      <c r="BL3742" s="127">
        <v>4</v>
      </c>
      <c r="BM3742" s="127">
        <v>0.11332468572476186</v>
      </c>
      <c r="BN3742" s="127" t="e">
        <v>#N/A</v>
      </c>
      <c r="BO3742" s="127" t="e">
        <v>#N/A</v>
      </c>
      <c r="BP3742" s="151" t="e">
        <v>#N/A</v>
      </c>
      <c r="BQ3742">
        <v>0.11332468572476186</v>
      </c>
      <c r="BR3742" t="str">
        <v/>
      </c>
    </row>
    <row r="3743" spans="47:70" x14ac:dyDescent="0.2">
      <c r="AU3743"/>
      <c r="AV3743"/>
      <c r="AW3743"/>
      <c r="AX3743"/>
      <c r="AY3743"/>
      <c r="BK3743" s="42">
        <v>3742</v>
      </c>
      <c r="BL3743" s="127">
        <v>4</v>
      </c>
      <c r="BM3743" s="127">
        <v>0.11332468572476186</v>
      </c>
      <c r="BN3743" s="127" t="e">
        <v>#N/A</v>
      </c>
      <c r="BO3743" s="127" t="e">
        <v>#N/A</v>
      </c>
      <c r="BP3743" s="151" t="e">
        <v>#N/A</v>
      </c>
      <c r="BQ3743">
        <v>0.11332468572476186</v>
      </c>
      <c r="BR3743" t="str">
        <v/>
      </c>
    </row>
    <row r="3744" spans="47:70" x14ac:dyDescent="0.2">
      <c r="AU3744"/>
      <c r="AV3744"/>
      <c r="AW3744"/>
      <c r="AX3744"/>
      <c r="AY3744"/>
      <c r="BK3744" s="42">
        <v>3743</v>
      </c>
      <c r="BL3744" s="127">
        <v>4</v>
      </c>
      <c r="BM3744" s="127">
        <v>0.11332468572476186</v>
      </c>
      <c r="BN3744" s="127" t="e">
        <v>#N/A</v>
      </c>
      <c r="BO3744" s="127" t="e">
        <v>#N/A</v>
      </c>
      <c r="BP3744" s="151" t="e">
        <v>#N/A</v>
      </c>
      <c r="BQ3744">
        <v>0.11332468572476186</v>
      </c>
      <c r="BR3744" t="str">
        <v/>
      </c>
    </row>
    <row r="3745" spans="47:70" x14ac:dyDescent="0.2">
      <c r="AU3745"/>
      <c r="AV3745"/>
      <c r="AW3745"/>
      <c r="AX3745"/>
      <c r="AY3745"/>
      <c r="BK3745" s="42">
        <v>3744</v>
      </c>
      <c r="BL3745" s="127">
        <v>4</v>
      </c>
      <c r="BM3745" s="127">
        <v>0.11332468572476186</v>
      </c>
      <c r="BN3745" s="127" t="e">
        <v>#N/A</v>
      </c>
      <c r="BO3745" s="127" t="e">
        <v>#N/A</v>
      </c>
      <c r="BP3745" s="151" t="e">
        <v>#N/A</v>
      </c>
      <c r="BQ3745">
        <v>0.11332468572476186</v>
      </c>
      <c r="BR3745" t="str">
        <v/>
      </c>
    </row>
    <row r="3746" spans="47:70" x14ac:dyDescent="0.2">
      <c r="AU3746"/>
      <c r="AV3746"/>
      <c r="AW3746"/>
      <c r="AX3746"/>
      <c r="AY3746"/>
      <c r="BK3746" s="42">
        <v>3745</v>
      </c>
      <c r="BL3746" s="127">
        <v>4</v>
      </c>
      <c r="BM3746" s="127">
        <v>0.11332468572476186</v>
      </c>
      <c r="BN3746" s="127" t="e">
        <v>#N/A</v>
      </c>
      <c r="BO3746" s="127" t="e">
        <v>#N/A</v>
      </c>
      <c r="BP3746" s="151" t="e">
        <v>#N/A</v>
      </c>
      <c r="BQ3746">
        <v>0.11332468572476186</v>
      </c>
      <c r="BR3746" t="str">
        <v/>
      </c>
    </row>
    <row r="3747" spans="47:70" x14ac:dyDescent="0.2">
      <c r="AU3747"/>
      <c r="AV3747"/>
      <c r="AW3747"/>
      <c r="AX3747"/>
      <c r="AY3747"/>
      <c r="BK3747" s="42">
        <v>3746</v>
      </c>
      <c r="BL3747" s="127">
        <v>4</v>
      </c>
      <c r="BM3747" s="127">
        <v>0.11332468572476186</v>
      </c>
      <c r="BN3747" s="127" t="e">
        <v>#N/A</v>
      </c>
      <c r="BO3747" s="127" t="e">
        <v>#N/A</v>
      </c>
      <c r="BP3747" s="151" t="e">
        <v>#N/A</v>
      </c>
      <c r="BQ3747">
        <v>0.11332468572476186</v>
      </c>
      <c r="BR3747" t="str">
        <v/>
      </c>
    </row>
    <row r="3748" spans="47:70" x14ac:dyDescent="0.2">
      <c r="AU3748"/>
      <c r="AV3748"/>
      <c r="AW3748"/>
      <c r="AX3748"/>
      <c r="AY3748"/>
      <c r="BK3748" s="42">
        <v>3747</v>
      </c>
      <c r="BL3748" s="127">
        <v>4</v>
      </c>
      <c r="BM3748" s="127">
        <v>0.11332468572476186</v>
      </c>
      <c r="BN3748" s="127" t="e">
        <v>#N/A</v>
      </c>
      <c r="BO3748" s="127" t="e">
        <v>#N/A</v>
      </c>
      <c r="BP3748" s="151" t="e">
        <v>#N/A</v>
      </c>
      <c r="BQ3748">
        <v>0.11332468572476186</v>
      </c>
      <c r="BR3748" t="str">
        <v/>
      </c>
    </row>
    <row r="3749" spans="47:70" x14ac:dyDescent="0.2">
      <c r="AU3749"/>
      <c r="AV3749"/>
      <c r="AW3749"/>
      <c r="AX3749"/>
      <c r="AY3749"/>
      <c r="BK3749" s="42">
        <v>3748</v>
      </c>
      <c r="BL3749" s="127">
        <v>4</v>
      </c>
      <c r="BM3749" s="127">
        <v>0.11332468572476186</v>
      </c>
      <c r="BN3749" s="127" t="e">
        <v>#N/A</v>
      </c>
      <c r="BO3749" s="127" t="e">
        <v>#N/A</v>
      </c>
      <c r="BP3749" s="151" t="e">
        <v>#N/A</v>
      </c>
      <c r="BQ3749">
        <v>0.11332468572476186</v>
      </c>
      <c r="BR3749" t="str">
        <v/>
      </c>
    </row>
    <row r="3750" spans="47:70" x14ac:dyDescent="0.2">
      <c r="AU3750"/>
      <c r="AV3750"/>
      <c r="AW3750"/>
      <c r="AX3750"/>
      <c r="AY3750"/>
      <c r="BK3750" s="42">
        <v>3749</v>
      </c>
      <c r="BL3750" s="127">
        <v>4</v>
      </c>
      <c r="BM3750" s="127">
        <v>0.11332468572476186</v>
      </c>
      <c r="BN3750" s="127" t="e">
        <v>#N/A</v>
      </c>
      <c r="BO3750" s="127" t="e">
        <v>#N/A</v>
      </c>
      <c r="BP3750" s="151" t="e">
        <v>#N/A</v>
      </c>
      <c r="BQ3750">
        <v>0.11332468572476186</v>
      </c>
      <c r="BR3750" t="str">
        <v/>
      </c>
    </row>
    <row r="3751" spans="47:70" x14ac:dyDescent="0.2">
      <c r="AU3751"/>
      <c r="AV3751"/>
      <c r="AW3751"/>
      <c r="AX3751"/>
      <c r="AY3751"/>
      <c r="BK3751" s="42">
        <v>3750</v>
      </c>
      <c r="BL3751" s="127">
        <v>4</v>
      </c>
      <c r="BM3751" s="127">
        <v>0.11332468572476186</v>
      </c>
      <c r="BN3751" s="127" t="e">
        <v>#N/A</v>
      </c>
      <c r="BO3751" s="127" t="e">
        <v>#N/A</v>
      </c>
      <c r="BP3751" s="151" t="e">
        <v>#N/A</v>
      </c>
      <c r="BQ3751">
        <v>0.11332468572476186</v>
      </c>
      <c r="BR3751" t="str">
        <v/>
      </c>
    </row>
    <row r="3752" spans="47:70" x14ac:dyDescent="0.2">
      <c r="AU3752"/>
      <c r="AV3752"/>
      <c r="AW3752"/>
      <c r="AX3752"/>
      <c r="AY3752"/>
      <c r="BK3752" s="42">
        <v>3751</v>
      </c>
      <c r="BL3752" s="127">
        <v>4</v>
      </c>
      <c r="BM3752" s="127">
        <v>0.11332468572476186</v>
      </c>
      <c r="BN3752" s="127" t="e">
        <v>#N/A</v>
      </c>
      <c r="BO3752" s="127" t="e">
        <v>#N/A</v>
      </c>
      <c r="BP3752" s="151" t="e">
        <v>#N/A</v>
      </c>
      <c r="BQ3752">
        <v>0.11332468572476186</v>
      </c>
      <c r="BR3752" t="str">
        <v/>
      </c>
    </row>
    <row r="3753" spans="47:70" x14ac:dyDescent="0.2">
      <c r="AU3753"/>
      <c r="AV3753"/>
      <c r="AW3753"/>
      <c r="AX3753"/>
      <c r="AY3753"/>
      <c r="BK3753" s="42">
        <v>3752</v>
      </c>
      <c r="BL3753" s="127">
        <v>4</v>
      </c>
      <c r="BM3753" s="127">
        <v>0.11332468572476186</v>
      </c>
      <c r="BN3753" s="127" t="e">
        <v>#N/A</v>
      </c>
      <c r="BO3753" s="127" t="e">
        <v>#N/A</v>
      </c>
      <c r="BP3753" s="151" t="e">
        <v>#N/A</v>
      </c>
      <c r="BQ3753">
        <v>0.11332468572476186</v>
      </c>
      <c r="BR3753" t="str">
        <v/>
      </c>
    </row>
    <row r="3754" spans="47:70" x14ac:dyDescent="0.2">
      <c r="AU3754"/>
      <c r="AV3754"/>
      <c r="AW3754"/>
      <c r="AX3754"/>
      <c r="AY3754"/>
      <c r="BK3754" s="42">
        <v>3753</v>
      </c>
      <c r="BL3754" s="127">
        <v>4</v>
      </c>
      <c r="BM3754" s="127">
        <v>0.11332468572476186</v>
      </c>
      <c r="BN3754" s="127" t="e">
        <v>#N/A</v>
      </c>
      <c r="BO3754" s="127" t="e">
        <v>#N/A</v>
      </c>
      <c r="BP3754" s="151" t="e">
        <v>#N/A</v>
      </c>
      <c r="BQ3754">
        <v>0.11332468572476186</v>
      </c>
      <c r="BR3754" t="str">
        <v/>
      </c>
    </row>
    <row r="3755" spans="47:70" x14ac:dyDescent="0.2">
      <c r="AU3755"/>
      <c r="AV3755"/>
      <c r="AW3755"/>
      <c r="AX3755"/>
      <c r="AY3755"/>
      <c r="BK3755" s="42">
        <v>3754</v>
      </c>
      <c r="BL3755" s="127">
        <v>4</v>
      </c>
      <c r="BM3755" s="127">
        <v>0.11332468572476186</v>
      </c>
      <c r="BN3755" s="127" t="e">
        <v>#N/A</v>
      </c>
      <c r="BO3755" s="127" t="e">
        <v>#N/A</v>
      </c>
      <c r="BP3755" s="151" t="e">
        <v>#N/A</v>
      </c>
      <c r="BQ3755">
        <v>0.11332468572476186</v>
      </c>
      <c r="BR3755" t="str">
        <v/>
      </c>
    </row>
    <row r="3756" spans="47:70" x14ac:dyDescent="0.2">
      <c r="AU3756"/>
      <c r="AV3756"/>
      <c r="AW3756"/>
      <c r="AX3756"/>
      <c r="AY3756"/>
      <c r="BK3756" s="42">
        <v>3755</v>
      </c>
      <c r="BL3756" s="127">
        <v>4</v>
      </c>
      <c r="BM3756" s="127">
        <v>0.11332468572476186</v>
      </c>
      <c r="BN3756" s="127" t="e">
        <v>#N/A</v>
      </c>
      <c r="BO3756" s="127" t="e">
        <v>#N/A</v>
      </c>
      <c r="BP3756" s="151" t="e">
        <v>#N/A</v>
      </c>
      <c r="BQ3756">
        <v>0.11332468572476186</v>
      </c>
      <c r="BR3756" t="str">
        <v/>
      </c>
    </row>
    <row r="3757" spans="47:70" x14ac:dyDescent="0.2">
      <c r="AU3757"/>
      <c r="AV3757"/>
      <c r="AW3757"/>
      <c r="AX3757"/>
      <c r="AY3757"/>
      <c r="BK3757" s="42">
        <v>3756</v>
      </c>
      <c r="BL3757" s="127">
        <v>4</v>
      </c>
      <c r="BM3757" s="127">
        <v>0.11332468572476186</v>
      </c>
      <c r="BN3757" s="127" t="e">
        <v>#N/A</v>
      </c>
      <c r="BO3757" s="127" t="e">
        <v>#N/A</v>
      </c>
      <c r="BP3757" s="151" t="e">
        <v>#N/A</v>
      </c>
      <c r="BQ3757">
        <v>0.11332468572476186</v>
      </c>
      <c r="BR3757" t="str">
        <v/>
      </c>
    </row>
    <row r="3758" spans="47:70" x14ac:dyDescent="0.2">
      <c r="AU3758"/>
      <c r="AV3758"/>
      <c r="AW3758"/>
      <c r="AX3758"/>
      <c r="AY3758"/>
      <c r="BK3758" s="42">
        <v>3757</v>
      </c>
      <c r="BL3758" s="127">
        <v>4</v>
      </c>
      <c r="BM3758" s="127">
        <v>0.11332468572476186</v>
      </c>
      <c r="BN3758" s="127" t="e">
        <v>#N/A</v>
      </c>
      <c r="BO3758" s="127" t="e">
        <v>#N/A</v>
      </c>
      <c r="BP3758" s="151" t="e">
        <v>#N/A</v>
      </c>
      <c r="BQ3758">
        <v>0.11332468572476186</v>
      </c>
      <c r="BR3758" t="str">
        <v/>
      </c>
    </row>
    <row r="3759" spans="47:70" x14ac:dyDescent="0.2">
      <c r="AU3759"/>
      <c r="AV3759"/>
      <c r="AW3759"/>
      <c r="AX3759"/>
      <c r="AY3759"/>
      <c r="BK3759" s="42">
        <v>3758</v>
      </c>
      <c r="BL3759" s="127">
        <v>4</v>
      </c>
      <c r="BM3759" s="127">
        <v>0.11332468572476186</v>
      </c>
      <c r="BN3759" s="127" t="e">
        <v>#N/A</v>
      </c>
      <c r="BO3759" s="127" t="e">
        <v>#N/A</v>
      </c>
      <c r="BP3759" s="151" t="e">
        <v>#N/A</v>
      </c>
      <c r="BQ3759">
        <v>0.11332468572476186</v>
      </c>
      <c r="BR3759" t="str">
        <v/>
      </c>
    </row>
    <row r="3760" spans="47:70" x14ac:dyDescent="0.2">
      <c r="AU3760"/>
      <c r="AV3760"/>
      <c r="AW3760"/>
      <c r="AX3760"/>
      <c r="AY3760"/>
      <c r="BK3760" s="42">
        <v>3759</v>
      </c>
      <c r="BL3760" s="127">
        <v>4</v>
      </c>
      <c r="BM3760" s="127">
        <v>0.11332468572476186</v>
      </c>
      <c r="BN3760" s="127" t="e">
        <v>#N/A</v>
      </c>
      <c r="BO3760" s="127" t="e">
        <v>#N/A</v>
      </c>
      <c r="BP3760" s="151" t="e">
        <v>#N/A</v>
      </c>
      <c r="BQ3760">
        <v>0.11332468572476186</v>
      </c>
      <c r="BR3760" t="str">
        <v/>
      </c>
    </row>
    <row r="3761" spans="47:70" x14ac:dyDescent="0.2">
      <c r="AU3761"/>
      <c r="AV3761"/>
      <c r="AW3761"/>
      <c r="AX3761"/>
      <c r="AY3761"/>
      <c r="BK3761" s="42">
        <v>3760</v>
      </c>
      <c r="BL3761" s="127">
        <v>4</v>
      </c>
      <c r="BM3761" s="127">
        <v>0.11332468572476186</v>
      </c>
      <c r="BN3761" s="127" t="e">
        <v>#N/A</v>
      </c>
      <c r="BO3761" s="127" t="e">
        <v>#N/A</v>
      </c>
      <c r="BP3761" s="151" t="e">
        <v>#N/A</v>
      </c>
      <c r="BQ3761">
        <v>0.11332468572476186</v>
      </c>
      <c r="BR3761" t="str">
        <v/>
      </c>
    </row>
    <row r="3762" spans="47:70" x14ac:dyDescent="0.2">
      <c r="AU3762"/>
      <c r="AV3762"/>
      <c r="AW3762"/>
      <c r="AX3762"/>
      <c r="AY3762"/>
      <c r="BK3762" s="42">
        <v>3761</v>
      </c>
      <c r="BL3762" s="127">
        <v>4</v>
      </c>
      <c r="BM3762" s="127">
        <v>0.11332468572476186</v>
      </c>
      <c r="BN3762" s="127" t="e">
        <v>#N/A</v>
      </c>
      <c r="BO3762" s="127" t="e">
        <v>#N/A</v>
      </c>
      <c r="BP3762" s="151" t="e">
        <v>#N/A</v>
      </c>
      <c r="BQ3762">
        <v>0.11332468572476186</v>
      </c>
      <c r="BR3762" t="str">
        <v/>
      </c>
    </row>
    <row r="3763" spans="47:70" x14ac:dyDescent="0.2">
      <c r="AU3763"/>
      <c r="AV3763"/>
      <c r="AW3763"/>
      <c r="AX3763"/>
      <c r="AY3763"/>
      <c r="BK3763" s="42">
        <v>3762</v>
      </c>
      <c r="BL3763" s="127">
        <v>4</v>
      </c>
      <c r="BM3763" s="127">
        <v>0.11332468572476186</v>
      </c>
      <c r="BN3763" s="127" t="e">
        <v>#N/A</v>
      </c>
      <c r="BO3763" s="127" t="e">
        <v>#N/A</v>
      </c>
      <c r="BP3763" s="151" t="e">
        <v>#N/A</v>
      </c>
      <c r="BQ3763">
        <v>0.11332468572476186</v>
      </c>
      <c r="BR3763" t="str">
        <v/>
      </c>
    </row>
    <row r="3764" spans="47:70" x14ac:dyDescent="0.2">
      <c r="AU3764"/>
      <c r="AV3764"/>
      <c r="AW3764"/>
      <c r="AX3764"/>
      <c r="AY3764"/>
      <c r="BK3764" s="42">
        <v>3763</v>
      </c>
      <c r="BL3764" s="127">
        <v>4</v>
      </c>
      <c r="BM3764" s="127">
        <v>0.11332468572476186</v>
      </c>
      <c r="BN3764" s="127" t="e">
        <v>#N/A</v>
      </c>
      <c r="BO3764" s="127" t="e">
        <v>#N/A</v>
      </c>
      <c r="BP3764" s="151" t="e">
        <v>#N/A</v>
      </c>
      <c r="BQ3764">
        <v>0.11332468572476186</v>
      </c>
      <c r="BR3764" t="str">
        <v/>
      </c>
    </row>
    <row r="3765" spans="47:70" x14ac:dyDescent="0.2">
      <c r="AU3765"/>
      <c r="AV3765"/>
      <c r="AW3765"/>
      <c r="AX3765"/>
      <c r="AY3765"/>
      <c r="BK3765" s="42">
        <v>3764</v>
      </c>
      <c r="BL3765" s="127">
        <v>4</v>
      </c>
      <c r="BM3765" s="127">
        <v>0.11332468572476186</v>
      </c>
      <c r="BN3765" s="127" t="e">
        <v>#N/A</v>
      </c>
      <c r="BO3765" s="127" t="e">
        <v>#N/A</v>
      </c>
      <c r="BP3765" s="151" t="e">
        <v>#N/A</v>
      </c>
      <c r="BQ3765">
        <v>0.11332468572476186</v>
      </c>
      <c r="BR3765" t="str">
        <v/>
      </c>
    </row>
    <row r="3766" spans="47:70" x14ac:dyDescent="0.2">
      <c r="AU3766"/>
      <c r="AV3766"/>
      <c r="AW3766"/>
      <c r="AX3766"/>
      <c r="AY3766"/>
      <c r="BK3766" s="42">
        <v>3765</v>
      </c>
      <c r="BL3766" s="127">
        <v>4</v>
      </c>
      <c r="BM3766" s="127">
        <v>0.11332468572476186</v>
      </c>
      <c r="BN3766" s="127" t="e">
        <v>#N/A</v>
      </c>
      <c r="BO3766" s="127" t="e">
        <v>#N/A</v>
      </c>
      <c r="BP3766" s="151" t="e">
        <v>#N/A</v>
      </c>
      <c r="BQ3766">
        <v>0.11332468572476186</v>
      </c>
      <c r="BR3766" t="str">
        <v/>
      </c>
    </row>
    <row r="3767" spans="47:70" x14ac:dyDescent="0.2">
      <c r="AU3767"/>
      <c r="AV3767"/>
      <c r="AW3767"/>
      <c r="AX3767"/>
      <c r="AY3767"/>
      <c r="BK3767" s="42">
        <v>3766</v>
      </c>
      <c r="BL3767" s="127">
        <v>4</v>
      </c>
      <c r="BM3767" s="127">
        <v>0.11332468572476186</v>
      </c>
      <c r="BN3767" s="127" t="e">
        <v>#N/A</v>
      </c>
      <c r="BO3767" s="127" t="e">
        <v>#N/A</v>
      </c>
      <c r="BP3767" s="151" t="e">
        <v>#N/A</v>
      </c>
      <c r="BQ3767">
        <v>0.11332468572476186</v>
      </c>
      <c r="BR3767" t="str">
        <v/>
      </c>
    </row>
    <row r="3768" spans="47:70" x14ac:dyDescent="0.2">
      <c r="AU3768"/>
      <c r="AV3768"/>
      <c r="AW3768"/>
      <c r="AX3768"/>
      <c r="AY3768"/>
      <c r="BK3768" s="42">
        <v>3767</v>
      </c>
      <c r="BL3768" s="127">
        <v>4</v>
      </c>
      <c r="BM3768" s="127">
        <v>0.11332468572476186</v>
      </c>
      <c r="BN3768" s="127" t="e">
        <v>#N/A</v>
      </c>
      <c r="BO3768" s="127" t="e">
        <v>#N/A</v>
      </c>
      <c r="BP3768" s="151" t="e">
        <v>#N/A</v>
      </c>
      <c r="BQ3768">
        <v>0.11332468572476186</v>
      </c>
      <c r="BR3768" t="str">
        <v/>
      </c>
    </row>
    <row r="3769" spans="47:70" x14ac:dyDescent="0.2">
      <c r="AU3769"/>
      <c r="AV3769"/>
      <c r="AW3769"/>
      <c r="AX3769"/>
      <c r="AY3769"/>
      <c r="BK3769" s="42">
        <v>3768</v>
      </c>
      <c r="BL3769" s="127">
        <v>4</v>
      </c>
      <c r="BM3769" s="127">
        <v>0.11332468572476186</v>
      </c>
      <c r="BN3769" s="127" t="e">
        <v>#N/A</v>
      </c>
      <c r="BO3769" s="127" t="e">
        <v>#N/A</v>
      </c>
      <c r="BP3769" s="151" t="e">
        <v>#N/A</v>
      </c>
      <c r="BQ3769">
        <v>0.11332468572476186</v>
      </c>
      <c r="BR3769" t="str">
        <v/>
      </c>
    </row>
    <row r="3770" spans="47:70" x14ac:dyDescent="0.2">
      <c r="AU3770"/>
      <c r="AV3770"/>
      <c r="AW3770"/>
      <c r="AX3770"/>
      <c r="AY3770"/>
      <c r="BK3770" s="42">
        <v>3769</v>
      </c>
      <c r="BL3770" s="127">
        <v>4</v>
      </c>
      <c r="BM3770" s="127">
        <v>0.11332468572476186</v>
      </c>
      <c r="BN3770" s="127" t="e">
        <v>#N/A</v>
      </c>
      <c r="BO3770" s="127" t="e">
        <v>#N/A</v>
      </c>
      <c r="BP3770" s="151" t="e">
        <v>#N/A</v>
      </c>
      <c r="BQ3770">
        <v>0.11332468572476186</v>
      </c>
      <c r="BR3770" t="str">
        <v/>
      </c>
    </row>
    <row r="3771" spans="47:70" x14ac:dyDescent="0.2">
      <c r="AU3771"/>
      <c r="AV3771"/>
      <c r="AW3771"/>
      <c r="AX3771"/>
      <c r="AY3771"/>
      <c r="BK3771" s="42">
        <v>3770</v>
      </c>
      <c r="BL3771" s="127">
        <v>4</v>
      </c>
      <c r="BM3771" s="127">
        <v>0.11332468572476186</v>
      </c>
      <c r="BN3771" s="127" t="e">
        <v>#N/A</v>
      </c>
      <c r="BO3771" s="127" t="e">
        <v>#N/A</v>
      </c>
      <c r="BP3771" s="151" t="e">
        <v>#N/A</v>
      </c>
      <c r="BQ3771">
        <v>0.11332468572476186</v>
      </c>
      <c r="BR3771" t="str">
        <v/>
      </c>
    </row>
    <row r="3772" spans="47:70" x14ac:dyDescent="0.2">
      <c r="AU3772"/>
      <c r="AV3772"/>
      <c r="AW3772"/>
      <c r="AX3772"/>
      <c r="AY3772"/>
      <c r="BK3772" s="42">
        <v>3771</v>
      </c>
      <c r="BL3772" s="127">
        <v>4</v>
      </c>
      <c r="BM3772" s="127">
        <v>0.11332468572476186</v>
      </c>
      <c r="BN3772" s="127" t="e">
        <v>#N/A</v>
      </c>
      <c r="BO3772" s="127" t="e">
        <v>#N/A</v>
      </c>
      <c r="BP3772" s="151" t="e">
        <v>#N/A</v>
      </c>
      <c r="BQ3772">
        <v>0.11332468572476186</v>
      </c>
      <c r="BR3772" t="str">
        <v/>
      </c>
    </row>
    <row r="3773" spans="47:70" x14ac:dyDescent="0.2">
      <c r="AU3773"/>
      <c r="AV3773"/>
      <c r="AW3773"/>
      <c r="AX3773"/>
      <c r="AY3773"/>
      <c r="BK3773" s="42">
        <v>3772</v>
      </c>
      <c r="BL3773" s="127">
        <v>4</v>
      </c>
      <c r="BM3773" s="127">
        <v>0.11332468572476186</v>
      </c>
      <c r="BN3773" s="127" t="e">
        <v>#N/A</v>
      </c>
      <c r="BO3773" s="127" t="e">
        <v>#N/A</v>
      </c>
      <c r="BP3773" s="151" t="e">
        <v>#N/A</v>
      </c>
      <c r="BQ3773">
        <v>0.11332468572476186</v>
      </c>
      <c r="BR3773" t="str">
        <v/>
      </c>
    </row>
    <row r="3774" spans="47:70" x14ac:dyDescent="0.2">
      <c r="AU3774"/>
      <c r="AV3774"/>
      <c r="AW3774"/>
      <c r="AX3774"/>
      <c r="AY3774"/>
      <c r="BK3774" s="42">
        <v>3773</v>
      </c>
      <c r="BL3774" s="127">
        <v>4</v>
      </c>
      <c r="BM3774" s="127">
        <v>0.11332468572476186</v>
      </c>
      <c r="BN3774" s="127" t="e">
        <v>#N/A</v>
      </c>
      <c r="BO3774" s="127" t="e">
        <v>#N/A</v>
      </c>
      <c r="BP3774" s="151" t="e">
        <v>#N/A</v>
      </c>
      <c r="BQ3774">
        <v>0.11332468572476186</v>
      </c>
      <c r="BR3774" t="str">
        <v/>
      </c>
    </row>
    <row r="3775" spans="47:70" x14ac:dyDescent="0.2">
      <c r="AU3775"/>
      <c r="AV3775"/>
      <c r="AW3775"/>
      <c r="AX3775"/>
      <c r="AY3775"/>
      <c r="BK3775" s="42">
        <v>3774</v>
      </c>
      <c r="BL3775" s="127">
        <v>4</v>
      </c>
      <c r="BM3775" s="127">
        <v>0.11332468572476186</v>
      </c>
      <c r="BN3775" s="127" t="e">
        <v>#N/A</v>
      </c>
      <c r="BO3775" s="127" t="e">
        <v>#N/A</v>
      </c>
      <c r="BP3775" s="151" t="e">
        <v>#N/A</v>
      </c>
      <c r="BQ3775">
        <v>0.11332468572476186</v>
      </c>
      <c r="BR3775" t="str">
        <v/>
      </c>
    </row>
    <row r="3776" spans="47:70" x14ac:dyDescent="0.2">
      <c r="AU3776"/>
      <c r="AV3776"/>
      <c r="AW3776"/>
      <c r="AX3776"/>
      <c r="AY3776"/>
      <c r="BK3776" s="42">
        <v>3775</v>
      </c>
      <c r="BL3776" s="127">
        <v>4</v>
      </c>
      <c r="BM3776" s="127">
        <v>0.11332468572476186</v>
      </c>
      <c r="BN3776" s="127" t="e">
        <v>#N/A</v>
      </c>
      <c r="BO3776" s="127" t="e">
        <v>#N/A</v>
      </c>
      <c r="BP3776" s="151" t="e">
        <v>#N/A</v>
      </c>
      <c r="BQ3776">
        <v>0.11332468572476186</v>
      </c>
      <c r="BR3776" t="str">
        <v/>
      </c>
    </row>
    <row r="3777" spans="47:70" x14ac:dyDescent="0.2">
      <c r="AU3777"/>
      <c r="AV3777"/>
      <c r="AW3777"/>
      <c r="AX3777"/>
      <c r="AY3777"/>
      <c r="BK3777" s="42">
        <v>3776</v>
      </c>
      <c r="BL3777" s="127">
        <v>4</v>
      </c>
      <c r="BM3777" s="127">
        <v>0.11332468572476186</v>
      </c>
      <c r="BN3777" s="127" t="e">
        <v>#N/A</v>
      </c>
      <c r="BO3777" s="127" t="e">
        <v>#N/A</v>
      </c>
      <c r="BP3777" s="151" t="e">
        <v>#N/A</v>
      </c>
      <c r="BQ3777">
        <v>0.11332468572476186</v>
      </c>
      <c r="BR3777" t="str">
        <v/>
      </c>
    </row>
    <row r="3778" spans="47:70" x14ac:dyDescent="0.2">
      <c r="AU3778"/>
      <c r="AV3778"/>
      <c r="AW3778"/>
      <c r="AX3778"/>
      <c r="AY3778"/>
      <c r="BK3778" s="42">
        <v>3777</v>
      </c>
      <c r="BL3778" s="127">
        <v>4</v>
      </c>
      <c r="BM3778" s="127">
        <v>0.11332468572476186</v>
      </c>
      <c r="BN3778" s="127" t="e">
        <v>#N/A</v>
      </c>
      <c r="BO3778" s="127" t="e">
        <v>#N/A</v>
      </c>
      <c r="BP3778" s="151" t="e">
        <v>#N/A</v>
      </c>
      <c r="BQ3778">
        <v>0.11332468572476186</v>
      </c>
      <c r="BR3778" t="str">
        <v/>
      </c>
    </row>
    <row r="3779" spans="47:70" x14ac:dyDescent="0.2">
      <c r="AU3779"/>
      <c r="AV3779"/>
      <c r="AW3779"/>
      <c r="AX3779"/>
      <c r="AY3779"/>
      <c r="BK3779" s="42">
        <v>3778</v>
      </c>
      <c r="BL3779" s="127">
        <v>4</v>
      </c>
      <c r="BM3779" s="127">
        <v>0.11332468572476186</v>
      </c>
      <c r="BN3779" s="127" t="e">
        <v>#N/A</v>
      </c>
      <c r="BO3779" s="127" t="e">
        <v>#N/A</v>
      </c>
      <c r="BP3779" s="151" t="e">
        <v>#N/A</v>
      </c>
      <c r="BQ3779">
        <v>0.11332468572476186</v>
      </c>
      <c r="BR3779" t="str">
        <v/>
      </c>
    </row>
    <row r="3780" spans="47:70" x14ac:dyDescent="0.2">
      <c r="AU3780"/>
      <c r="AV3780"/>
      <c r="AW3780"/>
      <c r="AX3780"/>
      <c r="AY3780"/>
      <c r="BK3780" s="42">
        <v>3779</v>
      </c>
      <c r="BL3780" s="127">
        <v>4</v>
      </c>
      <c r="BM3780" s="127">
        <v>0.11332468572476186</v>
      </c>
      <c r="BN3780" s="127" t="e">
        <v>#N/A</v>
      </c>
      <c r="BO3780" s="127" t="e">
        <v>#N/A</v>
      </c>
      <c r="BP3780" s="151" t="e">
        <v>#N/A</v>
      </c>
      <c r="BQ3780">
        <v>0.11332468572476186</v>
      </c>
      <c r="BR3780" t="str">
        <v/>
      </c>
    </row>
    <row r="3781" spans="47:70" x14ac:dyDescent="0.2">
      <c r="AU3781"/>
      <c r="AV3781"/>
      <c r="AW3781"/>
      <c r="AX3781"/>
      <c r="AY3781"/>
      <c r="BK3781" s="42">
        <v>3780</v>
      </c>
      <c r="BL3781" s="127">
        <v>4</v>
      </c>
      <c r="BM3781" s="127">
        <v>0.11332468572476186</v>
      </c>
      <c r="BN3781" s="127" t="e">
        <v>#N/A</v>
      </c>
      <c r="BO3781" s="127" t="e">
        <v>#N/A</v>
      </c>
      <c r="BP3781" s="151" t="e">
        <v>#N/A</v>
      </c>
      <c r="BQ3781">
        <v>0.11332468572476186</v>
      </c>
      <c r="BR3781" t="str">
        <v/>
      </c>
    </row>
    <row r="3782" spans="47:70" x14ac:dyDescent="0.2">
      <c r="AU3782"/>
      <c r="AV3782"/>
      <c r="AW3782"/>
      <c r="AX3782"/>
      <c r="AY3782"/>
      <c r="BK3782" s="42">
        <v>3781</v>
      </c>
      <c r="BL3782" s="127">
        <v>4</v>
      </c>
      <c r="BM3782" s="127">
        <v>0.11332468572476186</v>
      </c>
      <c r="BN3782" s="127" t="e">
        <v>#N/A</v>
      </c>
      <c r="BO3782" s="127" t="e">
        <v>#N/A</v>
      </c>
      <c r="BP3782" s="151" t="e">
        <v>#N/A</v>
      </c>
      <c r="BQ3782">
        <v>0.11332468572476186</v>
      </c>
      <c r="BR3782" t="str">
        <v/>
      </c>
    </row>
    <row r="3783" spans="47:70" x14ac:dyDescent="0.2">
      <c r="AU3783"/>
      <c r="AV3783"/>
      <c r="AW3783"/>
      <c r="AX3783"/>
      <c r="AY3783"/>
      <c r="BK3783" s="42">
        <v>3782</v>
      </c>
      <c r="BL3783" s="127">
        <v>4</v>
      </c>
      <c r="BM3783" s="127">
        <v>0.11332468572476186</v>
      </c>
      <c r="BN3783" s="127" t="e">
        <v>#N/A</v>
      </c>
      <c r="BO3783" s="127" t="e">
        <v>#N/A</v>
      </c>
      <c r="BP3783" s="151" t="e">
        <v>#N/A</v>
      </c>
      <c r="BQ3783">
        <v>0.11332468572476186</v>
      </c>
      <c r="BR3783" t="str">
        <v/>
      </c>
    </row>
    <row r="3784" spans="47:70" x14ac:dyDescent="0.2">
      <c r="AU3784"/>
      <c r="AV3784"/>
      <c r="AW3784"/>
      <c r="AX3784"/>
      <c r="AY3784"/>
      <c r="BK3784" s="42">
        <v>3783</v>
      </c>
      <c r="BL3784" s="127">
        <v>4</v>
      </c>
      <c r="BM3784" s="127">
        <v>0.11332468572476186</v>
      </c>
      <c r="BN3784" s="127" t="e">
        <v>#N/A</v>
      </c>
      <c r="BO3784" s="127" t="e">
        <v>#N/A</v>
      </c>
      <c r="BP3784" s="151" t="e">
        <v>#N/A</v>
      </c>
      <c r="BQ3784">
        <v>0.11332468572476186</v>
      </c>
      <c r="BR3784" t="str">
        <v/>
      </c>
    </row>
    <row r="3785" spans="47:70" x14ac:dyDescent="0.2">
      <c r="AU3785"/>
      <c r="AV3785"/>
      <c r="AW3785"/>
      <c r="AX3785"/>
      <c r="AY3785"/>
      <c r="BK3785" s="42">
        <v>3784</v>
      </c>
      <c r="BL3785" s="127">
        <v>4</v>
      </c>
      <c r="BM3785" s="127">
        <v>0.11332468572476186</v>
      </c>
      <c r="BN3785" s="127" t="e">
        <v>#N/A</v>
      </c>
      <c r="BO3785" s="127" t="e">
        <v>#N/A</v>
      </c>
      <c r="BP3785" s="151" t="e">
        <v>#N/A</v>
      </c>
      <c r="BQ3785">
        <v>0.11332468572476186</v>
      </c>
      <c r="BR3785" t="str">
        <v/>
      </c>
    </row>
    <row r="3786" spans="47:70" x14ac:dyDescent="0.2">
      <c r="AU3786"/>
      <c r="AV3786"/>
      <c r="AW3786"/>
      <c r="AX3786"/>
      <c r="AY3786"/>
      <c r="BK3786" s="42">
        <v>3785</v>
      </c>
      <c r="BL3786" s="127">
        <v>4</v>
      </c>
      <c r="BM3786" s="127">
        <v>0.11332468572476186</v>
      </c>
      <c r="BN3786" s="127" t="e">
        <v>#N/A</v>
      </c>
      <c r="BO3786" s="127" t="e">
        <v>#N/A</v>
      </c>
      <c r="BP3786" s="151" t="e">
        <v>#N/A</v>
      </c>
      <c r="BQ3786">
        <v>0.11332468572476186</v>
      </c>
      <c r="BR3786" t="str">
        <v/>
      </c>
    </row>
    <row r="3787" spans="47:70" x14ac:dyDescent="0.2">
      <c r="AU3787"/>
      <c r="AV3787"/>
      <c r="AW3787"/>
      <c r="AX3787"/>
      <c r="AY3787"/>
      <c r="BK3787" s="42">
        <v>3786</v>
      </c>
      <c r="BL3787" s="127">
        <v>4</v>
      </c>
      <c r="BM3787" s="127">
        <v>0.11332468572476186</v>
      </c>
      <c r="BN3787" s="127" t="e">
        <v>#N/A</v>
      </c>
      <c r="BO3787" s="127" t="e">
        <v>#N/A</v>
      </c>
      <c r="BP3787" s="151" t="e">
        <v>#N/A</v>
      </c>
      <c r="BQ3787">
        <v>0.11332468572476186</v>
      </c>
      <c r="BR3787" t="str">
        <v/>
      </c>
    </row>
    <row r="3788" spans="47:70" x14ac:dyDescent="0.2">
      <c r="AU3788"/>
      <c r="AV3788"/>
      <c r="AW3788"/>
      <c r="AX3788"/>
      <c r="AY3788"/>
      <c r="BK3788" s="42">
        <v>3787</v>
      </c>
      <c r="BL3788" s="127">
        <v>4</v>
      </c>
      <c r="BM3788" s="127">
        <v>0.11332468572476186</v>
      </c>
      <c r="BN3788" s="127" t="e">
        <v>#N/A</v>
      </c>
      <c r="BO3788" s="127" t="e">
        <v>#N/A</v>
      </c>
      <c r="BP3788" s="151" t="e">
        <v>#N/A</v>
      </c>
      <c r="BQ3788">
        <v>0.11332468572476186</v>
      </c>
      <c r="BR3788" t="str">
        <v/>
      </c>
    </row>
    <row r="3789" spans="47:70" x14ac:dyDescent="0.2">
      <c r="AU3789"/>
      <c r="AV3789"/>
      <c r="AW3789"/>
      <c r="AX3789"/>
      <c r="AY3789"/>
      <c r="BK3789" s="42">
        <v>3788</v>
      </c>
      <c r="BL3789" s="127">
        <v>4</v>
      </c>
      <c r="BM3789" s="127">
        <v>0.11332468572476186</v>
      </c>
      <c r="BN3789" s="127" t="e">
        <v>#N/A</v>
      </c>
      <c r="BO3789" s="127" t="e">
        <v>#N/A</v>
      </c>
      <c r="BP3789" s="151" t="e">
        <v>#N/A</v>
      </c>
      <c r="BQ3789">
        <v>0.11332468572476186</v>
      </c>
      <c r="BR3789" t="str">
        <v/>
      </c>
    </row>
    <row r="3790" spans="47:70" x14ac:dyDescent="0.2">
      <c r="AU3790"/>
      <c r="AV3790"/>
      <c r="AW3790"/>
      <c r="AX3790"/>
      <c r="AY3790"/>
      <c r="BK3790" s="42">
        <v>3789</v>
      </c>
      <c r="BL3790" s="127">
        <v>4</v>
      </c>
      <c r="BM3790" s="127">
        <v>0.11332468572476186</v>
      </c>
      <c r="BN3790" s="127" t="e">
        <v>#N/A</v>
      </c>
      <c r="BO3790" s="127" t="e">
        <v>#N/A</v>
      </c>
      <c r="BP3790" s="151" t="e">
        <v>#N/A</v>
      </c>
      <c r="BQ3790">
        <v>0.11332468572476186</v>
      </c>
      <c r="BR3790" t="str">
        <v/>
      </c>
    </row>
    <row r="3791" spans="47:70" x14ac:dyDescent="0.2">
      <c r="AU3791"/>
      <c r="AV3791"/>
      <c r="AW3791"/>
      <c r="AX3791"/>
      <c r="AY3791"/>
      <c r="BK3791" s="42">
        <v>3790</v>
      </c>
      <c r="BL3791" s="127">
        <v>4</v>
      </c>
      <c r="BM3791" s="127">
        <v>0.11332468572476186</v>
      </c>
      <c r="BN3791" s="127" t="e">
        <v>#N/A</v>
      </c>
      <c r="BO3791" s="127" t="e">
        <v>#N/A</v>
      </c>
      <c r="BP3791" s="151" t="e">
        <v>#N/A</v>
      </c>
      <c r="BQ3791">
        <v>0.11332468572476186</v>
      </c>
      <c r="BR3791" t="str">
        <v/>
      </c>
    </row>
    <row r="3792" spans="47:70" x14ac:dyDescent="0.2">
      <c r="AU3792"/>
      <c r="AV3792"/>
      <c r="AW3792"/>
      <c r="AX3792"/>
      <c r="AY3792"/>
      <c r="BK3792" s="42">
        <v>3791</v>
      </c>
      <c r="BL3792" s="127">
        <v>4</v>
      </c>
      <c r="BM3792" s="127">
        <v>0.11332468572476186</v>
      </c>
      <c r="BN3792" s="127" t="e">
        <v>#N/A</v>
      </c>
      <c r="BO3792" s="127" t="e">
        <v>#N/A</v>
      </c>
      <c r="BP3792" s="151" t="e">
        <v>#N/A</v>
      </c>
      <c r="BQ3792">
        <v>0.11332468572476186</v>
      </c>
      <c r="BR3792" t="str">
        <v/>
      </c>
    </row>
    <row r="3793" spans="47:70" x14ac:dyDescent="0.2">
      <c r="AU3793"/>
      <c r="AV3793"/>
      <c r="AW3793"/>
      <c r="AX3793"/>
      <c r="AY3793"/>
      <c r="BK3793" s="42">
        <v>3792</v>
      </c>
      <c r="BL3793" s="127">
        <v>4</v>
      </c>
      <c r="BM3793" s="127">
        <v>0.11332468572476186</v>
      </c>
      <c r="BN3793" s="127" t="e">
        <v>#N/A</v>
      </c>
      <c r="BO3793" s="127" t="e">
        <v>#N/A</v>
      </c>
      <c r="BP3793" s="151" t="e">
        <v>#N/A</v>
      </c>
      <c r="BQ3793">
        <v>0.11332468572476186</v>
      </c>
      <c r="BR3793" t="str">
        <v/>
      </c>
    </row>
    <row r="3794" spans="47:70" x14ac:dyDescent="0.2">
      <c r="AU3794"/>
      <c r="AV3794"/>
      <c r="AW3794"/>
      <c r="AX3794"/>
      <c r="AY3794"/>
      <c r="BK3794" s="42">
        <v>3793</v>
      </c>
      <c r="BL3794" s="127">
        <v>4</v>
      </c>
      <c r="BM3794" s="127">
        <v>0.11332468572476186</v>
      </c>
      <c r="BN3794" s="127" t="e">
        <v>#N/A</v>
      </c>
      <c r="BO3794" s="127" t="e">
        <v>#N/A</v>
      </c>
      <c r="BP3794" s="151" t="e">
        <v>#N/A</v>
      </c>
      <c r="BQ3794">
        <v>0.11332468572476186</v>
      </c>
      <c r="BR3794" t="str">
        <v/>
      </c>
    </row>
    <row r="3795" spans="47:70" x14ac:dyDescent="0.2">
      <c r="AU3795"/>
      <c r="AV3795"/>
      <c r="AW3795"/>
      <c r="AX3795"/>
      <c r="AY3795"/>
      <c r="BK3795" s="42">
        <v>3794</v>
      </c>
      <c r="BL3795" s="127">
        <v>4</v>
      </c>
      <c r="BM3795" s="127">
        <v>0.11332468572476186</v>
      </c>
      <c r="BN3795" s="127" t="e">
        <v>#N/A</v>
      </c>
      <c r="BO3795" s="127" t="e">
        <v>#N/A</v>
      </c>
      <c r="BP3795" s="151" t="e">
        <v>#N/A</v>
      </c>
      <c r="BQ3795">
        <v>0.11332468572476186</v>
      </c>
      <c r="BR3795" t="str">
        <v/>
      </c>
    </row>
    <row r="3796" spans="47:70" x14ac:dyDescent="0.2">
      <c r="AU3796"/>
      <c r="AV3796"/>
      <c r="AW3796"/>
      <c r="AX3796"/>
      <c r="AY3796"/>
      <c r="BK3796" s="42">
        <v>3795</v>
      </c>
      <c r="BL3796" s="127">
        <v>4</v>
      </c>
      <c r="BM3796" s="127">
        <v>0.11332468572476186</v>
      </c>
      <c r="BN3796" s="127" t="e">
        <v>#N/A</v>
      </c>
      <c r="BO3796" s="127" t="e">
        <v>#N/A</v>
      </c>
      <c r="BP3796" s="151" t="e">
        <v>#N/A</v>
      </c>
      <c r="BQ3796">
        <v>0.11332468572476186</v>
      </c>
      <c r="BR3796" t="str">
        <v/>
      </c>
    </row>
    <row r="3797" spans="47:70" x14ac:dyDescent="0.2">
      <c r="AU3797"/>
      <c r="AV3797"/>
      <c r="AW3797"/>
      <c r="AX3797"/>
      <c r="AY3797"/>
      <c r="BK3797" s="42">
        <v>3796</v>
      </c>
      <c r="BL3797" s="127">
        <v>4</v>
      </c>
      <c r="BM3797" s="127">
        <v>0.11332468572476186</v>
      </c>
      <c r="BN3797" s="127" t="e">
        <v>#N/A</v>
      </c>
      <c r="BO3797" s="127" t="e">
        <v>#N/A</v>
      </c>
      <c r="BP3797" s="151" t="e">
        <v>#N/A</v>
      </c>
      <c r="BQ3797">
        <v>0.11332468572476186</v>
      </c>
      <c r="BR3797" t="str">
        <v/>
      </c>
    </row>
    <row r="3798" spans="47:70" x14ac:dyDescent="0.2">
      <c r="AU3798"/>
      <c r="AV3798"/>
      <c r="AW3798"/>
      <c r="AX3798"/>
      <c r="AY3798"/>
      <c r="BK3798" s="42">
        <v>3797</v>
      </c>
      <c r="BL3798" s="127">
        <v>4</v>
      </c>
      <c r="BM3798" s="127">
        <v>0.11332468572476186</v>
      </c>
      <c r="BN3798" s="127" t="e">
        <v>#N/A</v>
      </c>
      <c r="BO3798" s="127" t="e">
        <v>#N/A</v>
      </c>
      <c r="BP3798" s="151" t="e">
        <v>#N/A</v>
      </c>
      <c r="BQ3798">
        <v>0.11332468572476186</v>
      </c>
      <c r="BR3798" t="str">
        <v/>
      </c>
    </row>
    <row r="3799" spans="47:70" x14ac:dyDescent="0.2">
      <c r="AU3799"/>
      <c r="AV3799"/>
      <c r="AW3799"/>
      <c r="AX3799"/>
      <c r="AY3799"/>
      <c r="BK3799" s="42">
        <v>3798</v>
      </c>
      <c r="BL3799" s="127">
        <v>4</v>
      </c>
      <c r="BM3799" s="127">
        <v>0.11332468572476186</v>
      </c>
      <c r="BN3799" s="127" t="e">
        <v>#N/A</v>
      </c>
      <c r="BO3799" s="127" t="e">
        <v>#N/A</v>
      </c>
      <c r="BP3799" s="151" t="e">
        <v>#N/A</v>
      </c>
      <c r="BQ3799">
        <v>0.11332468572476186</v>
      </c>
      <c r="BR3799" t="str">
        <v/>
      </c>
    </row>
    <row r="3800" spans="47:70" x14ac:dyDescent="0.2">
      <c r="AU3800"/>
      <c r="AV3800"/>
      <c r="AW3800"/>
      <c r="AX3800"/>
      <c r="AY3800"/>
      <c r="BK3800" s="42">
        <v>3799</v>
      </c>
      <c r="BL3800" s="127">
        <v>4</v>
      </c>
      <c r="BM3800" s="127">
        <v>0.11332468572476186</v>
      </c>
      <c r="BN3800" s="127" t="e">
        <v>#N/A</v>
      </c>
      <c r="BO3800" s="127" t="e">
        <v>#N/A</v>
      </c>
      <c r="BP3800" s="151" t="e">
        <v>#N/A</v>
      </c>
      <c r="BQ3800">
        <v>0.11332468572476186</v>
      </c>
      <c r="BR3800" t="str">
        <v/>
      </c>
    </row>
    <row r="3801" spans="47:70" x14ac:dyDescent="0.2">
      <c r="AU3801"/>
      <c r="AV3801"/>
      <c r="AW3801"/>
      <c r="AX3801"/>
      <c r="AY3801"/>
      <c r="BK3801" s="42">
        <v>3800</v>
      </c>
      <c r="BL3801" s="127">
        <v>4</v>
      </c>
      <c r="BM3801" s="127">
        <v>0.11332468572476186</v>
      </c>
      <c r="BN3801" s="127" t="e">
        <v>#N/A</v>
      </c>
      <c r="BO3801" s="127" t="e">
        <v>#N/A</v>
      </c>
      <c r="BP3801" s="151" t="e">
        <v>#N/A</v>
      </c>
      <c r="BQ3801">
        <v>0.11332468572476186</v>
      </c>
      <c r="BR3801" t="str">
        <v/>
      </c>
    </row>
    <row r="3802" spans="47:70" x14ac:dyDescent="0.2">
      <c r="AU3802"/>
      <c r="AV3802"/>
      <c r="AW3802"/>
      <c r="AX3802"/>
      <c r="AY3802"/>
      <c r="BK3802" s="42">
        <v>3801</v>
      </c>
      <c r="BL3802" s="127">
        <v>4</v>
      </c>
      <c r="BM3802" s="127">
        <v>0.11332468572476186</v>
      </c>
      <c r="BN3802" s="127" t="e">
        <v>#N/A</v>
      </c>
      <c r="BO3802" s="127" t="e">
        <v>#N/A</v>
      </c>
      <c r="BP3802" s="151" t="e">
        <v>#N/A</v>
      </c>
      <c r="BQ3802">
        <v>0.11332468572476186</v>
      </c>
      <c r="BR3802" t="str">
        <v/>
      </c>
    </row>
    <row r="3803" spans="47:70" x14ac:dyDescent="0.2">
      <c r="AU3803"/>
      <c r="AV3803"/>
      <c r="AW3803"/>
      <c r="AX3803"/>
      <c r="AY3803"/>
      <c r="BK3803" s="42">
        <v>3802</v>
      </c>
      <c r="BL3803" s="127">
        <v>4</v>
      </c>
      <c r="BM3803" s="127">
        <v>0.11332468572476186</v>
      </c>
      <c r="BN3803" s="127" t="e">
        <v>#N/A</v>
      </c>
      <c r="BO3803" s="127" t="e">
        <v>#N/A</v>
      </c>
      <c r="BP3803" s="151" t="e">
        <v>#N/A</v>
      </c>
      <c r="BQ3803">
        <v>0.11332468572476186</v>
      </c>
      <c r="BR3803" t="str">
        <v/>
      </c>
    </row>
    <row r="3804" spans="47:70" x14ac:dyDescent="0.2">
      <c r="AU3804"/>
      <c r="AV3804"/>
      <c r="AW3804"/>
      <c r="AX3804"/>
      <c r="AY3804"/>
      <c r="BK3804" s="42">
        <v>3803</v>
      </c>
      <c r="BL3804" s="127">
        <v>4</v>
      </c>
      <c r="BM3804" s="127">
        <v>0.11332468572476186</v>
      </c>
      <c r="BN3804" s="127" t="e">
        <v>#N/A</v>
      </c>
      <c r="BO3804" s="127" t="e">
        <v>#N/A</v>
      </c>
      <c r="BP3804" s="151" t="e">
        <v>#N/A</v>
      </c>
      <c r="BQ3804">
        <v>0.11332468572476186</v>
      </c>
      <c r="BR3804" t="str">
        <v/>
      </c>
    </row>
    <row r="3805" spans="47:70" x14ac:dyDescent="0.2">
      <c r="AU3805"/>
      <c r="AV3805"/>
      <c r="AW3805"/>
      <c r="AX3805"/>
      <c r="AY3805"/>
      <c r="BK3805" s="42">
        <v>3804</v>
      </c>
      <c r="BL3805" s="127">
        <v>4</v>
      </c>
      <c r="BM3805" s="127">
        <v>0.11332468572476186</v>
      </c>
      <c r="BN3805" s="127" t="e">
        <v>#N/A</v>
      </c>
      <c r="BO3805" s="127" t="e">
        <v>#N/A</v>
      </c>
      <c r="BP3805" s="151" t="e">
        <v>#N/A</v>
      </c>
      <c r="BQ3805">
        <v>0.11332468572476186</v>
      </c>
      <c r="BR3805" t="str">
        <v/>
      </c>
    </row>
    <row r="3806" spans="47:70" x14ac:dyDescent="0.2">
      <c r="AU3806"/>
      <c r="AV3806"/>
      <c r="AW3806"/>
      <c r="AX3806"/>
      <c r="AY3806"/>
      <c r="BK3806" s="42">
        <v>3805</v>
      </c>
      <c r="BL3806" s="127">
        <v>4</v>
      </c>
      <c r="BM3806" s="127">
        <v>0.11332468572476186</v>
      </c>
      <c r="BN3806" s="127" t="e">
        <v>#N/A</v>
      </c>
      <c r="BO3806" s="127" t="e">
        <v>#N/A</v>
      </c>
      <c r="BP3806" s="151" t="e">
        <v>#N/A</v>
      </c>
      <c r="BQ3806">
        <v>0.11332468572476186</v>
      </c>
      <c r="BR3806" t="str">
        <v/>
      </c>
    </row>
    <row r="3807" spans="47:70" x14ac:dyDescent="0.2">
      <c r="AU3807"/>
      <c r="AV3807"/>
      <c r="AW3807"/>
      <c r="AX3807"/>
      <c r="AY3807"/>
      <c r="BK3807" s="42">
        <v>3806</v>
      </c>
      <c r="BL3807" s="127">
        <v>4</v>
      </c>
      <c r="BM3807" s="127">
        <v>0.11332468572476186</v>
      </c>
      <c r="BN3807" s="127" t="e">
        <v>#N/A</v>
      </c>
      <c r="BO3807" s="127" t="e">
        <v>#N/A</v>
      </c>
      <c r="BP3807" s="151" t="e">
        <v>#N/A</v>
      </c>
      <c r="BQ3807">
        <v>0.11332468572476186</v>
      </c>
      <c r="BR3807" t="str">
        <v/>
      </c>
    </row>
    <row r="3808" spans="47:70" x14ac:dyDescent="0.2">
      <c r="AU3808"/>
      <c r="AV3808"/>
      <c r="AW3808"/>
      <c r="AX3808"/>
      <c r="AY3808"/>
      <c r="BK3808" s="42">
        <v>3807</v>
      </c>
      <c r="BL3808" s="127">
        <v>4</v>
      </c>
      <c r="BM3808" s="127">
        <v>0.11332468572476186</v>
      </c>
      <c r="BN3808" s="127" t="e">
        <v>#N/A</v>
      </c>
      <c r="BO3808" s="127" t="e">
        <v>#N/A</v>
      </c>
      <c r="BP3808" s="151" t="e">
        <v>#N/A</v>
      </c>
      <c r="BQ3808">
        <v>0.11332468572476186</v>
      </c>
      <c r="BR3808" t="str">
        <v/>
      </c>
    </row>
    <row r="3809" spans="47:70" x14ac:dyDescent="0.2">
      <c r="AU3809"/>
      <c r="AV3809"/>
      <c r="AW3809"/>
      <c r="AX3809"/>
      <c r="AY3809"/>
      <c r="BK3809" s="42">
        <v>3808</v>
      </c>
      <c r="BL3809" s="127">
        <v>4</v>
      </c>
      <c r="BM3809" s="127">
        <v>0.11332468572476186</v>
      </c>
      <c r="BN3809" s="127" t="e">
        <v>#N/A</v>
      </c>
      <c r="BO3809" s="127" t="e">
        <v>#N/A</v>
      </c>
      <c r="BP3809" s="151" t="e">
        <v>#N/A</v>
      </c>
      <c r="BQ3809">
        <v>0.11332468572476186</v>
      </c>
      <c r="BR3809" t="str">
        <v/>
      </c>
    </row>
    <row r="3810" spans="47:70" x14ac:dyDescent="0.2">
      <c r="AU3810"/>
      <c r="AV3810"/>
      <c r="AW3810"/>
      <c r="AX3810"/>
      <c r="AY3810"/>
      <c r="BK3810" s="42">
        <v>3809</v>
      </c>
      <c r="BL3810" s="127">
        <v>4</v>
      </c>
      <c r="BM3810" s="127">
        <v>0.11332468572476186</v>
      </c>
      <c r="BN3810" s="127" t="e">
        <v>#N/A</v>
      </c>
      <c r="BO3810" s="127" t="e">
        <v>#N/A</v>
      </c>
      <c r="BP3810" s="151" t="e">
        <v>#N/A</v>
      </c>
      <c r="BQ3810">
        <v>0.11332468572476186</v>
      </c>
      <c r="BR3810" t="str">
        <v/>
      </c>
    </row>
    <row r="3811" spans="47:70" x14ac:dyDescent="0.2">
      <c r="AU3811"/>
      <c r="AV3811"/>
      <c r="AW3811"/>
      <c r="AX3811"/>
      <c r="AY3811"/>
      <c r="BK3811" s="42">
        <v>3810</v>
      </c>
      <c r="BL3811" s="127">
        <v>4</v>
      </c>
      <c r="BM3811" s="127">
        <v>0.11332468572476186</v>
      </c>
      <c r="BN3811" s="127" t="e">
        <v>#N/A</v>
      </c>
      <c r="BO3811" s="127" t="e">
        <v>#N/A</v>
      </c>
      <c r="BP3811" s="151" t="e">
        <v>#N/A</v>
      </c>
      <c r="BQ3811">
        <v>0.11332468572476186</v>
      </c>
      <c r="BR3811" t="str">
        <v/>
      </c>
    </row>
    <row r="3812" spans="47:70" x14ac:dyDescent="0.2">
      <c r="AU3812"/>
      <c r="AV3812"/>
      <c r="AW3812"/>
      <c r="AX3812"/>
      <c r="AY3812"/>
      <c r="BK3812" s="42">
        <v>3811</v>
      </c>
      <c r="BL3812" s="127">
        <v>4</v>
      </c>
      <c r="BM3812" s="127">
        <v>0.11332468572476186</v>
      </c>
      <c r="BN3812" s="127" t="e">
        <v>#N/A</v>
      </c>
      <c r="BO3812" s="127" t="e">
        <v>#N/A</v>
      </c>
      <c r="BP3812" s="151" t="e">
        <v>#N/A</v>
      </c>
      <c r="BQ3812">
        <v>0.11332468572476186</v>
      </c>
      <c r="BR3812" t="str">
        <v/>
      </c>
    </row>
    <row r="3813" spans="47:70" x14ac:dyDescent="0.2">
      <c r="AU3813"/>
      <c r="AV3813"/>
      <c r="AW3813"/>
      <c r="AX3813"/>
      <c r="AY3813"/>
      <c r="BK3813" s="42">
        <v>3812</v>
      </c>
      <c r="BL3813" s="127">
        <v>4</v>
      </c>
      <c r="BM3813" s="127">
        <v>0.11332468572476186</v>
      </c>
      <c r="BN3813" s="127" t="e">
        <v>#N/A</v>
      </c>
      <c r="BO3813" s="127" t="e">
        <v>#N/A</v>
      </c>
      <c r="BP3813" s="151" t="e">
        <v>#N/A</v>
      </c>
      <c r="BQ3813">
        <v>0.11332468572476186</v>
      </c>
      <c r="BR3813" t="str">
        <v/>
      </c>
    </row>
    <row r="3814" spans="47:70" x14ac:dyDescent="0.2">
      <c r="AU3814"/>
      <c r="AV3814"/>
      <c r="AW3814"/>
      <c r="AX3814"/>
      <c r="AY3814"/>
      <c r="BK3814" s="42">
        <v>3813</v>
      </c>
      <c r="BL3814" s="127">
        <v>4</v>
      </c>
      <c r="BM3814" s="127">
        <v>0.11332468572476186</v>
      </c>
      <c r="BN3814" s="127" t="e">
        <v>#N/A</v>
      </c>
      <c r="BO3814" s="127" t="e">
        <v>#N/A</v>
      </c>
      <c r="BP3814" s="151" t="e">
        <v>#N/A</v>
      </c>
      <c r="BQ3814">
        <v>0.11332468572476186</v>
      </c>
      <c r="BR3814" t="str">
        <v/>
      </c>
    </row>
    <row r="3815" spans="47:70" x14ac:dyDescent="0.2">
      <c r="AU3815"/>
      <c r="AV3815"/>
      <c r="AW3815"/>
      <c r="AX3815"/>
      <c r="AY3815"/>
      <c r="BK3815" s="42">
        <v>3814</v>
      </c>
      <c r="BL3815" s="127">
        <v>4</v>
      </c>
      <c r="BM3815" s="127">
        <v>0.11332468572476186</v>
      </c>
      <c r="BN3815" s="127" t="e">
        <v>#N/A</v>
      </c>
      <c r="BO3815" s="127" t="e">
        <v>#N/A</v>
      </c>
      <c r="BP3815" s="151" t="e">
        <v>#N/A</v>
      </c>
      <c r="BQ3815">
        <v>0.11332468572476186</v>
      </c>
      <c r="BR3815" t="str">
        <v/>
      </c>
    </row>
    <row r="3816" spans="47:70" x14ac:dyDescent="0.2">
      <c r="AU3816"/>
      <c r="AV3816"/>
      <c r="AW3816"/>
      <c r="AX3816"/>
      <c r="AY3816"/>
      <c r="BK3816" s="42">
        <v>3815</v>
      </c>
      <c r="BL3816" s="127">
        <v>4</v>
      </c>
      <c r="BM3816" s="127">
        <v>0.11332468572476186</v>
      </c>
      <c r="BN3816" s="127" t="e">
        <v>#N/A</v>
      </c>
      <c r="BO3816" s="127" t="e">
        <v>#N/A</v>
      </c>
      <c r="BP3816" s="151" t="e">
        <v>#N/A</v>
      </c>
      <c r="BQ3816">
        <v>0.11332468572476186</v>
      </c>
      <c r="BR3816" t="str">
        <v/>
      </c>
    </row>
    <row r="3817" spans="47:70" x14ac:dyDescent="0.2">
      <c r="AU3817"/>
      <c r="AV3817"/>
      <c r="AW3817"/>
      <c r="AX3817"/>
      <c r="AY3817"/>
      <c r="BK3817" s="42">
        <v>3816</v>
      </c>
      <c r="BL3817" s="127">
        <v>4</v>
      </c>
      <c r="BM3817" s="127">
        <v>0.11332468572476186</v>
      </c>
      <c r="BN3817" s="127" t="e">
        <v>#N/A</v>
      </c>
      <c r="BO3817" s="127" t="e">
        <v>#N/A</v>
      </c>
      <c r="BP3817" s="151" t="e">
        <v>#N/A</v>
      </c>
      <c r="BQ3817">
        <v>0.11332468572476186</v>
      </c>
      <c r="BR3817" t="str">
        <v/>
      </c>
    </row>
    <row r="3818" spans="47:70" x14ac:dyDescent="0.2">
      <c r="AU3818"/>
      <c r="AV3818"/>
      <c r="AW3818"/>
      <c r="AX3818"/>
      <c r="AY3818"/>
      <c r="BK3818" s="42">
        <v>3817</v>
      </c>
      <c r="BL3818" s="127">
        <v>4</v>
      </c>
      <c r="BM3818" s="127">
        <v>0.11332468572476186</v>
      </c>
      <c r="BN3818" s="127" t="e">
        <v>#N/A</v>
      </c>
      <c r="BO3818" s="127" t="e">
        <v>#N/A</v>
      </c>
      <c r="BP3818" s="151" t="e">
        <v>#N/A</v>
      </c>
      <c r="BQ3818">
        <v>0.11332468572476186</v>
      </c>
      <c r="BR3818" t="str">
        <v/>
      </c>
    </row>
    <row r="3819" spans="47:70" x14ac:dyDescent="0.2">
      <c r="AU3819"/>
      <c r="AV3819"/>
      <c r="AW3819"/>
      <c r="AX3819"/>
      <c r="AY3819"/>
      <c r="BK3819" s="42">
        <v>3818</v>
      </c>
      <c r="BL3819" s="127">
        <v>4</v>
      </c>
      <c r="BM3819" s="127">
        <v>0.11332468572476186</v>
      </c>
      <c r="BN3819" s="127" t="e">
        <v>#N/A</v>
      </c>
      <c r="BO3819" s="127" t="e">
        <v>#N/A</v>
      </c>
      <c r="BP3819" s="151" t="e">
        <v>#N/A</v>
      </c>
      <c r="BQ3819">
        <v>0.11332468572476186</v>
      </c>
      <c r="BR3819" t="str">
        <v/>
      </c>
    </row>
    <row r="3820" spans="47:70" x14ac:dyDescent="0.2">
      <c r="AU3820"/>
      <c r="AV3820"/>
      <c r="AW3820"/>
      <c r="AX3820"/>
      <c r="AY3820"/>
      <c r="BK3820" s="42">
        <v>3819</v>
      </c>
      <c r="BL3820" s="127">
        <v>4</v>
      </c>
      <c r="BM3820" s="127">
        <v>0.11332468572476186</v>
      </c>
      <c r="BN3820" s="127" t="e">
        <v>#N/A</v>
      </c>
      <c r="BO3820" s="127" t="e">
        <v>#N/A</v>
      </c>
      <c r="BP3820" s="151" t="e">
        <v>#N/A</v>
      </c>
      <c r="BQ3820">
        <v>0.11332468572476186</v>
      </c>
      <c r="BR3820" t="str">
        <v/>
      </c>
    </row>
    <row r="3821" spans="47:70" x14ac:dyDescent="0.2">
      <c r="AU3821"/>
      <c r="AV3821"/>
      <c r="AW3821"/>
      <c r="AX3821"/>
      <c r="AY3821"/>
      <c r="BK3821" s="42">
        <v>3820</v>
      </c>
      <c r="BL3821" s="127">
        <v>4</v>
      </c>
      <c r="BM3821" s="127">
        <v>0.11332468572476186</v>
      </c>
      <c r="BN3821" s="127" t="e">
        <v>#N/A</v>
      </c>
      <c r="BO3821" s="127" t="e">
        <v>#N/A</v>
      </c>
      <c r="BP3821" s="151" t="e">
        <v>#N/A</v>
      </c>
      <c r="BQ3821">
        <v>0.11332468572476186</v>
      </c>
      <c r="BR3821" t="str">
        <v/>
      </c>
    </row>
    <row r="3822" spans="47:70" x14ac:dyDescent="0.2">
      <c r="AU3822"/>
      <c r="AV3822"/>
      <c r="AW3822"/>
      <c r="AX3822"/>
      <c r="AY3822"/>
      <c r="BK3822" s="42">
        <v>3821</v>
      </c>
      <c r="BL3822" s="127">
        <v>4</v>
      </c>
      <c r="BM3822" s="127">
        <v>0.11332468572476186</v>
      </c>
      <c r="BN3822" s="127" t="e">
        <v>#N/A</v>
      </c>
      <c r="BO3822" s="127" t="e">
        <v>#N/A</v>
      </c>
      <c r="BP3822" s="151" t="e">
        <v>#N/A</v>
      </c>
      <c r="BQ3822">
        <v>0.11332468572476186</v>
      </c>
      <c r="BR3822" t="str">
        <v/>
      </c>
    </row>
    <row r="3823" spans="47:70" x14ac:dyDescent="0.2">
      <c r="AU3823"/>
      <c r="AV3823"/>
      <c r="AW3823"/>
      <c r="AX3823"/>
      <c r="AY3823"/>
      <c r="BK3823" s="42">
        <v>3822</v>
      </c>
      <c r="BL3823" s="127">
        <v>4</v>
      </c>
      <c r="BM3823" s="127">
        <v>0.11332468572476186</v>
      </c>
      <c r="BN3823" s="127" t="e">
        <v>#N/A</v>
      </c>
      <c r="BO3823" s="127" t="e">
        <v>#N/A</v>
      </c>
      <c r="BP3823" s="151" t="e">
        <v>#N/A</v>
      </c>
      <c r="BQ3823">
        <v>0.11332468572476186</v>
      </c>
      <c r="BR3823" t="str">
        <v/>
      </c>
    </row>
    <row r="3824" spans="47:70" x14ac:dyDescent="0.2">
      <c r="AU3824"/>
      <c r="AV3824"/>
      <c r="AW3824"/>
      <c r="AX3824"/>
      <c r="AY3824"/>
      <c r="BK3824" s="42">
        <v>3823</v>
      </c>
      <c r="BL3824" s="127">
        <v>4</v>
      </c>
      <c r="BM3824" s="127">
        <v>0.11332468572476186</v>
      </c>
      <c r="BN3824" s="127" t="e">
        <v>#N/A</v>
      </c>
      <c r="BO3824" s="127" t="e">
        <v>#N/A</v>
      </c>
      <c r="BP3824" s="151" t="e">
        <v>#N/A</v>
      </c>
      <c r="BQ3824">
        <v>0.11332468572476186</v>
      </c>
      <c r="BR3824" t="str">
        <v/>
      </c>
    </row>
    <row r="3825" spans="47:70" x14ac:dyDescent="0.2">
      <c r="AU3825"/>
      <c r="AV3825"/>
      <c r="AW3825"/>
      <c r="AX3825"/>
      <c r="AY3825"/>
      <c r="BK3825" s="42">
        <v>3824</v>
      </c>
      <c r="BL3825" s="127">
        <v>4</v>
      </c>
      <c r="BM3825" s="127">
        <v>0.11332468572476186</v>
      </c>
      <c r="BN3825" s="127" t="e">
        <v>#N/A</v>
      </c>
      <c r="BO3825" s="127" t="e">
        <v>#N/A</v>
      </c>
      <c r="BP3825" s="151" t="e">
        <v>#N/A</v>
      </c>
      <c r="BQ3825">
        <v>0.11332468572476186</v>
      </c>
      <c r="BR3825" t="str">
        <v/>
      </c>
    </row>
    <row r="3826" spans="47:70" x14ac:dyDescent="0.2">
      <c r="AU3826"/>
      <c r="AV3826"/>
      <c r="AW3826"/>
      <c r="AX3826"/>
      <c r="AY3826"/>
      <c r="BK3826" s="42">
        <v>3825</v>
      </c>
      <c r="BL3826" s="127">
        <v>4</v>
      </c>
      <c r="BM3826" s="127">
        <v>0.11332468572476186</v>
      </c>
      <c r="BN3826" s="127" t="e">
        <v>#N/A</v>
      </c>
      <c r="BO3826" s="127" t="e">
        <v>#N/A</v>
      </c>
      <c r="BP3826" s="151" t="e">
        <v>#N/A</v>
      </c>
      <c r="BQ3826">
        <v>0.11332468572476186</v>
      </c>
      <c r="BR3826" t="str">
        <v/>
      </c>
    </row>
    <row r="3827" spans="47:70" x14ac:dyDescent="0.2">
      <c r="AU3827"/>
      <c r="AV3827"/>
      <c r="AW3827"/>
      <c r="AX3827"/>
      <c r="AY3827"/>
      <c r="BK3827" s="42">
        <v>3826</v>
      </c>
      <c r="BL3827" s="127">
        <v>4</v>
      </c>
      <c r="BM3827" s="127">
        <v>0.11332468572476186</v>
      </c>
      <c r="BN3827" s="127" t="e">
        <v>#N/A</v>
      </c>
      <c r="BO3827" s="127" t="e">
        <v>#N/A</v>
      </c>
      <c r="BP3827" s="151" t="e">
        <v>#N/A</v>
      </c>
      <c r="BQ3827">
        <v>0.11332468572476186</v>
      </c>
      <c r="BR3827" t="str">
        <v/>
      </c>
    </row>
    <row r="3828" spans="47:70" x14ac:dyDescent="0.2">
      <c r="AU3828"/>
      <c r="AV3828"/>
      <c r="AW3828"/>
      <c r="AX3828"/>
      <c r="AY3828"/>
      <c r="BK3828" s="42">
        <v>3827</v>
      </c>
      <c r="BL3828" s="127">
        <v>4</v>
      </c>
      <c r="BM3828" s="127">
        <v>0.11332468572476186</v>
      </c>
      <c r="BN3828" s="127" t="e">
        <v>#N/A</v>
      </c>
      <c r="BO3828" s="127" t="e">
        <v>#N/A</v>
      </c>
      <c r="BP3828" s="151" t="e">
        <v>#N/A</v>
      </c>
      <c r="BQ3828">
        <v>0.11332468572476186</v>
      </c>
      <c r="BR3828" t="str">
        <v/>
      </c>
    </row>
    <row r="3829" spans="47:70" x14ac:dyDescent="0.2">
      <c r="AU3829"/>
      <c r="AV3829"/>
      <c r="AW3829"/>
      <c r="AX3829"/>
      <c r="AY3829"/>
      <c r="BK3829" s="42">
        <v>3828</v>
      </c>
      <c r="BL3829" s="127">
        <v>4</v>
      </c>
      <c r="BM3829" s="127">
        <v>0.11332468572476186</v>
      </c>
      <c r="BN3829" s="127" t="e">
        <v>#N/A</v>
      </c>
      <c r="BO3829" s="127" t="e">
        <v>#N/A</v>
      </c>
      <c r="BP3829" s="151" t="e">
        <v>#N/A</v>
      </c>
      <c r="BQ3829">
        <v>0.11332468572476186</v>
      </c>
      <c r="BR3829" t="str">
        <v/>
      </c>
    </row>
    <row r="3830" spans="47:70" x14ac:dyDescent="0.2">
      <c r="AU3830"/>
      <c r="AV3830"/>
      <c r="AW3830"/>
      <c r="AX3830"/>
      <c r="AY3830"/>
      <c r="BK3830" s="42">
        <v>3829</v>
      </c>
      <c r="BL3830" s="127">
        <v>4</v>
      </c>
      <c r="BM3830" s="127">
        <v>0.11332468572476186</v>
      </c>
      <c r="BN3830" s="127" t="e">
        <v>#N/A</v>
      </c>
      <c r="BO3830" s="127" t="e">
        <v>#N/A</v>
      </c>
      <c r="BP3830" s="151" t="e">
        <v>#N/A</v>
      </c>
      <c r="BQ3830">
        <v>0.11332468572476186</v>
      </c>
      <c r="BR3830" t="str">
        <v/>
      </c>
    </row>
    <row r="3831" spans="47:70" x14ac:dyDescent="0.2">
      <c r="AU3831"/>
      <c r="AV3831"/>
      <c r="AW3831"/>
      <c r="AX3831"/>
      <c r="AY3831"/>
      <c r="BK3831" s="42">
        <v>3830</v>
      </c>
      <c r="BL3831" s="127">
        <v>4</v>
      </c>
      <c r="BM3831" s="127">
        <v>0.11332468572476186</v>
      </c>
      <c r="BN3831" s="127" t="e">
        <v>#N/A</v>
      </c>
      <c r="BO3831" s="127" t="e">
        <v>#N/A</v>
      </c>
      <c r="BP3831" s="151" t="e">
        <v>#N/A</v>
      </c>
      <c r="BQ3831">
        <v>0.11332468572476186</v>
      </c>
      <c r="BR3831" t="str">
        <v/>
      </c>
    </row>
    <row r="3832" spans="47:70" x14ac:dyDescent="0.2">
      <c r="AU3832"/>
      <c r="AV3832"/>
      <c r="AW3832"/>
      <c r="AX3832"/>
      <c r="AY3832"/>
      <c r="BK3832" s="42">
        <v>3831</v>
      </c>
      <c r="BL3832" s="127">
        <v>4</v>
      </c>
      <c r="BM3832" s="127">
        <v>0.11332468572476186</v>
      </c>
      <c r="BN3832" s="127" t="e">
        <v>#N/A</v>
      </c>
      <c r="BO3832" s="127" t="e">
        <v>#N/A</v>
      </c>
      <c r="BP3832" s="151" t="e">
        <v>#N/A</v>
      </c>
      <c r="BQ3832">
        <v>0.11332468572476186</v>
      </c>
      <c r="BR3832" t="str">
        <v/>
      </c>
    </row>
    <row r="3833" spans="47:70" x14ac:dyDescent="0.2">
      <c r="AU3833"/>
      <c r="AV3833"/>
      <c r="AW3833"/>
      <c r="AX3833"/>
      <c r="AY3833"/>
      <c r="BK3833" s="42">
        <v>3832</v>
      </c>
      <c r="BL3833" s="127">
        <v>4</v>
      </c>
      <c r="BM3833" s="127">
        <v>0.11332468572476186</v>
      </c>
      <c r="BN3833" s="127" t="e">
        <v>#N/A</v>
      </c>
      <c r="BO3833" s="127" t="e">
        <v>#N/A</v>
      </c>
      <c r="BP3833" s="151" t="e">
        <v>#N/A</v>
      </c>
      <c r="BQ3833">
        <v>0.11332468572476186</v>
      </c>
      <c r="BR3833" t="str">
        <v/>
      </c>
    </row>
    <row r="3834" spans="47:70" x14ac:dyDescent="0.2">
      <c r="AU3834"/>
      <c r="AV3834"/>
      <c r="AW3834"/>
      <c r="AX3834"/>
      <c r="AY3834"/>
      <c r="BK3834" s="42">
        <v>3833</v>
      </c>
      <c r="BL3834" s="127">
        <v>4</v>
      </c>
      <c r="BM3834" s="127">
        <v>0.11332468572476186</v>
      </c>
      <c r="BN3834" s="127" t="e">
        <v>#N/A</v>
      </c>
      <c r="BO3834" s="127" t="e">
        <v>#N/A</v>
      </c>
      <c r="BP3834" s="151" t="e">
        <v>#N/A</v>
      </c>
      <c r="BQ3834">
        <v>0.11332468572476186</v>
      </c>
      <c r="BR3834" t="str">
        <v/>
      </c>
    </row>
    <row r="3835" spans="47:70" x14ac:dyDescent="0.2">
      <c r="AU3835"/>
      <c r="AV3835"/>
      <c r="AW3835"/>
      <c r="AX3835"/>
      <c r="AY3835"/>
      <c r="BK3835" s="42">
        <v>3834</v>
      </c>
      <c r="BL3835" s="127">
        <v>4</v>
      </c>
      <c r="BM3835" s="127">
        <v>0.11332468572476186</v>
      </c>
      <c r="BN3835" s="127" t="e">
        <v>#N/A</v>
      </c>
      <c r="BO3835" s="127" t="e">
        <v>#N/A</v>
      </c>
      <c r="BP3835" s="151" t="e">
        <v>#N/A</v>
      </c>
      <c r="BQ3835">
        <v>0.11332468572476186</v>
      </c>
      <c r="BR3835" t="str">
        <v/>
      </c>
    </row>
    <row r="3836" spans="47:70" x14ac:dyDescent="0.2">
      <c r="AU3836"/>
      <c r="AV3836"/>
      <c r="AW3836"/>
      <c r="AX3836"/>
      <c r="AY3836"/>
      <c r="BK3836" s="42">
        <v>3835</v>
      </c>
      <c r="BL3836" s="127">
        <v>4</v>
      </c>
      <c r="BM3836" s="127">
        <v>0.11332468572476186</v>
      </c>
      <c r="BN3836" s="127" t="e">
        <v>#N/A</v>
      </c>
      <c r="BO3836" s="127" t="e">
        <v>#N/A</v>
      </c>
      <c r="BP3836" s="151" t="e">
        <v>#N/A</v>
      </c>
      <c r="BQ3836">
        <v>0.11332468572476186</v>
      </c>
      <c r="BR3836" t="str">
        <v/>
      </c>
    </row>
    <row r="3837" spans="47:70" x14ac:dyDescent="0.2">
      <c r="AU3837"/>
      <c r="AV3837"/>
      <c r="AW3837"/>
      <c r="AX3837"/>
      <c r="AY3837"/>
      <c r="BK3837" s="42">
        <v>3836</v>
      </c>
      <c r="BL3837" s="127">
        <v>4</v>
      </c>
      <c r="BM3837" s="127">
        <v>0.11332468572476186</v>
      </c>
      <c r="BN3837" s="127" t="e">
        <v>#N/A</v>
      </c>
      <c r="BO3837" s="127" t="e">
        <v>#N/A</v>
      </c>
      <c r="BP3837" s="151" t="e">
        <v>#N/A</v>
      </c>
      <c r="BQ3837">
        <v>0.11332468572476186</v>
      </c>
      <c r="BR3837" t="str">
        <v/>
      </c>
    </row>
    <row r="3838" spans="47:70" x14ac:dyDescent="0.2">
      <c r="AU3838"/>
      <c r="AV3838"/>
      <c r="AW3838"/>
      <c r="AX3838"/>
      <c r="AY3838"/>
      <c r="BK3838" s="42">
        <v>3837</v>
      </c>
      <c r="BL3838" s="127">
        <v>4</v>
      </c>
      <c r="BM3838" s="127">
        <v>0.11332468572476186</v>
      </c>
      <c r="BN3838" s="127" t="e">
        <v>#N/A</v>
      </c>
      <c r="BO3838" s="127" t="e">
        <v>#N/A</v>
      </c>
      <c r="BP3838" s="151" t="e">
        <v>#N/A</v>
      </c>
      <c r="BQ3838">
        <v>0.11332468572476186</v>
      </c>
      <c r="BR3838" t="str">
        <v/>
      </c>
    </row>
    <row r="3839" spans="47:70" x14ac:dyDescent="0.2">
      <c r="AU3839"/>
      <c r="AV3839"/>
      <c r="AW3839"/>
      <c r="AX3839"/>
      <c r="AY3839"/>
      <c r="BK3839" s="42">
        <v>3838</v>
      </c>
      <c r="BL3839" s="127">
        <v>4</v>
      </c>
      <c r="BM3839" s="127">
        <v>0.11332468572476186</v>
      </c>
      <c r="BN3839" s="127" t="e">
        <v>#N/A</v>
      </c>
      <c r="BO3839" s="127" t="e">
        <v>#N/A</v>
      </c>
      <c r="BP3839" s="151" t="e">
        <v>#N/A</v>
      </c>
      <c r="BQ3839">
        <v>0.11332468572476186</v>
      </c>
      <c r="BR3839" t="str">
        <v/>
      </c>
    </row>
    <row r="3840" spans="47:70" x14ac:dyDescent="0.2">
      <c r="AU3840"/>
      <c r="AV3840"/>
      <c r="AW3840"/>
      <c r="AX3840"/>
      <c r="AY3840"/>
      <c r="BK3840" s="42">
        <v>3839</v>
      </c>
      <c r="BL3840" s="127">
        <v>4</v>
      </c>
      <c r="BM3840" s="127">
        <v>0.11332468572476186</v>
      </c>
      <c r="BN3840" s="127" t="e">
        <v>#N/A</v>
      </c>
      <c r="BO3840" s="127" t="e">
        <v>#N/A</v>
      </c>
      <c r="BP3840" s="151" t="e">
        <v>#N/A</v>
      </c>
      <c r="BQ3840">
        <v>0.11332468572476186</v>
      </c>
      <c r="BR3840" t="str">
        <v/>
      </c>
    </row>
    <row r="3841" spans="47:70" x14ac:dyDescent="0.2">
      <c r="AU3841"/>
      <c r="AV3841"/>
      <c r="AW3841"/>
      <c r="AX3841"/>
      <c r="AY3841"/>
      <c r="BK3841" s="42">
        <v>3840</v>
      </c>
      <c r="BL3841" s="127">
        <v>4</v>
      </c>
      <c r="BM3841" s="127">
        <v>0.11332468572476186</v>
      </c>
      <c r="BN3841" s="127" t="e">
        <v>#N/A</v>
      </c>
      <c r="BO3841" s="127" t="e">
        <v>#N/A</v>
      </c>
      <c r="BP3841" s="151" t="e">
        <v>#N/A</v>
      </c>
      <c r="BQ3841">
        <v>0.11332468572476186</v>
      </c>
      <c r="BR3841" t="str">
        <v/>
      </c>
    </row>
    <row r="3842" spans="47:70" x14ac:dyDescent="0.2">
      <c r="AU3842"/>
      <c r="AV3842"/>
      <c r="AW3842"/>
      <c r="AX3842"/>
      <c r="AY3842"/>
      <c r="BK3842" s="42">
        <v>3841</v>
      </c>
      <c r="BL3842" s="127">
        <v>4</v>
      </c>
      <c r="BM3842" s="127">
        <v>0.11332468572476186</v>
      </c>
      <c r="BN3842" s="127" t="e">
        <v>#N/A</v>
      </c>
      <c r="BO3842" s="127" t="e">
        <v>#N/A</v>
      </c>
      <c r="BP3842" s="151" t="e">
        <v>#N/A</v>
      </c>
      <c r="BQ3842">
        <v>0.11332468572476186</v>
      </c>
      <c r="BR3842" t="str">
        <v/>
      </c>
    </row>
    <row r="3843" spans="47:70" x14ac:dyDescent="0.2">
      <c r="AU3843"/>
      <c r="AV3843"/>
      <c r="AW3843"/>
      <c r="AX3843"/>
      <c r="AY3843"/>
      <c r="BK3843" s="42">
        <v>3842</v>
      </c>
      <c r="BL3843" s="127">
        <v>4</v>
      </c>
      <c r="BM3843" s="127">
        <v>0.11332468572476186</v>
      </c>
      <c r="BN3843" s="127" t="e">
        <v>#N/A</v>
      </c>
      <c r="BO3843" s="127" t="e">
        <v>#N/A</v>
      </c>
      <c r="BP3843" s="151" t="e">
        <v>#N/A</v>
      </c>
      <c r="BQ3843">
        <v>0.11332468572476186</v>
      </c>
      <c r="BR3843" t="str">
        <v/>
      </c>
    </row>
    <row r="3844" spans="47:70" x14ac:dyDescent="0.2">
      <c r="AU3844"/>
      <c r="AV3844"/>
      <c r="AW3844"/>
      <c r="AX3844"/>
      <c r="AY3844"/>
      <c r="BK3844" s="42">
        <v>3843</v>
      </c>
      <c r="BL3844" s="127">
        <v>4</v>
      </c>
      <c r="BM3844" s="127">
        <v>0.11332468572476186</v>
      </c>
      <c r="BN3844" s="127" t="e">
        <v>#N/A</v>
      </c>
      <c r="BO3844" s="127" t="e">
        <v>#N/A</v>
      </c>
      <c r="BP3844" s="151" t="e">
        <v>#N/A</v>
      </c>
      <c r="BQ3844">
        <v>0.11332468572476186</v>
      </c>
      <c r="BR3844" t="str">
        <v/>
      </c>
    </row>
    <row r="3845" spans="47:70" x14ac:dyDescent="0.2">
      <c r="AU3845"/>
      <c r="AV3845"/>
      <c r="AW3845"/>
      <c r="AX3845"/>
      <c r="AY3845"/>
      <c r="BK3845" s="42">
        <v>3844</v>
      </c>
      <c r="BL3845" s="127">
        <v>4</v>
      </c>
      <c r="BM3845" s="127">
        <v>0.11332468572476186</v>
      </c>
      <c r="BN3845" s="127" t="e">
        <v>#N/A</v>
      </c>
      <c r="BO3845" s="127" t="e">
        <v>#N/A</v>
      </c>
      <c r="BP3845" s="151" t="e">
        <v>#N/A</v>
      </c>
      <c r="BQ3845">
        <v>0.11332468572476186</v>
      </c>
      <c r="BR3845" t="str">
        <v/>
      </c>
    </row>
    <row r="3846" spans="47:70" x14ac:dyDescent="0.2">
      <c r="AU3846"/>
      <c r="AV3846"/>
      <c r="AW3846"/>
      <c r="AX3846"/>
      <c r="AY3846"/>
      <c r="BK3846" s="42">
        <v>3845</v>
      </c>
      <c r="BL3846" s="127">
        <v>4</v>
      </c>
      <c r="BM3846" s="127">
        <v>0.11332468572476186</v>
      </c>
      <c r="BN3846" s="127" t="e">
        <v>#N/A</v>
      </c>
      <c r="BO3846" s="127" t="e">
        <v>#N/A</v>
      </c>
      <c r="BP3846" s="151" t="e">
        <v>#N/A</v>
      </c>
      <c r="BQ3846">
        <v>0.11332468572476186</v>
      </c>
      <c r="BR3846" t="str">
        <v/>
      </c>
    </row>
    <row r="3847" spans="47:70" x14ac:dyDescent="0.2">
      <c r="AU3847"/>
      <c r="AV3847"/>
      <c r="AW3847"/>
      <c r="AX3847"/>
      <c r="AY3847"/>
      <c r="BK3847" s="42">
        <v>3846</v>
      </c>
      <c r="BL3847" s="127">
        <v>4</v>
      </c>
      <c r="BM3847" s="127">
        <v>0.11332468572476186</v>
      </c>
      <c r="BN3847" s="127" t="e">
        <v>#N/A</v>
      </c>
      <c r="BO3847" s="127" t="e">
        <v>#N/A</v>
      </c>
      <c r="BP3847" s="151" t="e">
        <v>#N/A</v>
      </c>
      <c r="BQ3847">
        <v>0.11332468572476186</v>
      </c>
      <c r="BR3847" t="str">
        <v/>
      </c>
    </row>
    <row r="3848" spans="47:70" x14ac:dyDescent="0.2">
      <c r="AU3848"/>
      <c r="AV3848"/>
      <c r="AW3848"/>
      <c r="AX3848"/>
      <c r="AY3848"/>
      <c r="BK3848" s="42">
        <v>3847</v>
      </c>
      <c r="BL3848" s="127">
        <v>4</v>
      </c>
      <c r="BM3848" s="127">
        <v>0.11332468572476186</v>
      </c>
      <c r="BN3848" s="127" t="e">
        <v>#N/A</v>
      </c>
      <c r="BO3848" s="127" t="e">
        <v>#N/A</v>
      </c>
      <c r="BP3848" s="151" t="e">
        <v>#N/A</v>
      </c>
      <c r="BQ3848">
        <v>0.11332468572476186</v>
      </c>
      <c r="BR3848" t="str">
        <v/>
      </c>
    </row>
    <row r="3849" spans="47:70" x14ac:dyDescent="0.2">
      <c r="AU3849"/>
      <c r="AV3849"/>
      <c r="AW3849"/>
      <c r="AX3849"/>
      <c r="AY3849"/>
      <c r="BK3849" s="42">
        <v>3848</v>
      </c>
      <c r="BL3849" s="127">
        <v>4</v>
      </c>
      <c r="BM3849" s="127">
        <v>0.11332468572476186</v>
      </c>
      <c r="BN3849" s="127" t="e">
        <v>#N/A</v>
      </c>
      <c r="BO3849" s="127" t="e">
        <v>#N/A</v>
      </c>
      <c r="BP3849" s="151" t="e">
        <v>#N/A</v>
      </c>
      <c r="BQ3849">
        <v>0.11332468572476186</v>
      </c>
      <c r="BR3849" t="str">
        <v/>
      </c>
    </row>
    <row r="3850" spans="47:70" x14ac:dyDescent="0.2">
      <c r="AU3850"/>
      <c r="AV3850"/>
      <c r="AW3850"/>
      <c r="AX3850"/>
      <c r="AY3850"/>
      <c r="BK3850" s="42">
        <v>3849</v>
      </c>
      <c r="BL3850" s="127">
        <v>4</v>
      </c>
      <c r="BM3850" s="127">
        <v>0.11332468572476186</v>
      </c>
      <c r="BN3850" s="127" t="e">
        <v>#N/A</v>
      </c>
      <c r="BO3850" s="127" t="e">
        <v>#N/A</v>
      </c>
      <c r="BP3850" s="151" t="e">
        <v>#N/A</v>
      </c>
      <c r="BQ3850">
        <v>0.11332468572476186</v>
      </c>
      <c r="BR3850" t="str">
        <v/>
      </c>
    </row>
    <row r="3851" spans="47:70" x14ac:dyDescent="0.2">
      <c r="AU3851"/>
      <c r="AV3851"/>
      <c r="AW3851"/>
      <c r="AX3851"/>
      <c r="AY3851"/>
      <c r="BK3851" s="42">
        <v>3850</v>
      </c>
      <c r="BL3851" s="127">
        <v>4</v>
      </c>
      <c r="BM3851" s="127">
        <v>0.11332468572476186</v>
      </c>
      <c r="BN3851" s="127" t="e">
        <v>#N/A</v>
      </c>
      <c r="BO3851" s="127" t="e">
        <v>#N/A</v>
      </c>
      <c r="BP3851" s="151" t="e">
        <v>#N/A</v>
      </c>
      <c r="BQ3851">
        <v>0.11332468572476186</v>
      </c>
      <c r="BR3851" t="str">
        <v/>
      </c>
    </row>
    <row r="3852" spans="47:70" x14ac:dyDescent="0.2">
      <c r="AU3852"/>
      <c r="AV3852"/>
      <c r="AW3852"/>
      <c r="AX3852"/>
      <c r="AY3852"/>
      <c r="BK3852" s="42">
        <v>3851</v>
      </c>
      <c r="BL3852" s="127">
        <v>4</v>
      </c>
      <c r="BM3852" s="127">
        <v>0.11332468572476186</v>
      </c>
      <c r="BN3852" s="127" t="e">
        <v>#N/A</v>
      </c>
      <c r="BO3852" s="127" t="e">
        <v>#N/A</v>
      </c>
      <c r="BP3852" s="151" t="e">
        <v>#N/A</v>
      </c>
      <c r="BQ3852">
        <v>0.11332468572476186</v>
      </c>
      <c r="BR3852" t="str">
        <v/>
      </c>
    </row>
    <row r="3853" spans="47:70" x14ac:dyDescent="0.2">
      <c r="AU3853"/>
      <c r="AV3853"/>
      <c r="AW3853"/>
      <c r="AX3853"/>
      <c r="AY3853"/>
      <c r="BK3853" s="42">
        <v>3852</v>
      </c>
      <c r="BL3853" s="127">
        <v>4</v>
      </c>
      <c r="BM3853" s="127">
        <v>0.11332468572476186</v>
      </c>
      <c r="BN3853" s="127" t="e">
        <v>#N/A</v>
      </c>
      <c r="BO3853" s="127" t="e">
        <v>#N/A</v>
      </c>
      <c r="BP3853" s="151" t="e">
        <v>#N/A</v>
      </c>
      <c r="BQ3853">
        <v>0.11332468572476186</v>
      </c>
      <c r="BR3853" t="str">
        <v/>
      </c>
    </row>
    <row r="3854" spans="47:70" x14ac:dyDescent="0.2">
      <c r="AU3854"/>
      <c r="AV3854"/>
      <c r="AW3854"/>
      <c r="AX3854"/>
      <c r="AY3854"/>
      <c r="BK3854" s="42">
        <v>3853</v>
      </c>
      <c r="BL3854" s="127">
        <v>4</v>
      </c>
      <c r="BM3854" s="127">
        <v>0.11332468572476186</v>
      </c>
      <c r="BN3854" s="127" t="e">
        <v>#N/A</v>
      </c>
      <c r="BO3854" s="127" t="e">
        <v>#N/A</v>
      </c>
      <c r="BP3854" s="151" t="e">
        <v>#N/A</v>
      </c>
      <c r="BQ3854">
        <v>0.11332468572476186</v>
      </c>
      <c r="BR3854" t="str">
        <v/>
      </c>
    </row>
    <row r="3855" spans="47:70" x14ac:dyDescent="0.2">
      <c r="AU3855"/>
      <c r="AV3855"/>
      <c r="AW3855"/>
      <c r="AX3855"/>
      <c r="AY3855"/>
      <c r="BK3855" s="42">
        <v>3854</v>
      </c>
      <c r="BL3855" s="127">
        <v>4</v>
      </c>
      <c r="BM3855" s="127">
        <v>0.11332468572476186</v>
      </c>
      <c r="BN3855" s="127" t="e">
        <v>#N/A</v>
      </c>
      <c r="BO3855" s="127" t="e">
        <v>#N/A</v>
      </c>
      <c r="BP3855" s="151" t="e">
        <v>#N/A</v>
      </c>
      <c r="BQ3855">
        <v>0.11332468572476186</v>
      </c>
      <c r="BR3855" t="str">
        <v/>
      </c>
    </row>
    <row r="3856" spans="47:70" x14ac:dyDescent="0.2">
      <c r="AU3856"/>
      <c r="AV3856"/>
      <c r="AW3856"/>
      <c r="AX3856"/>
      <c r="AY3856"/>
      <c r="BK3856" s="42">
        <v>3855</v>
      </c>
      <c r="BL3856" s="127">
        <v>4</v>
      </c>
      <c r="BM3856" s="127">
        <v>0.11332468572476186</v>
      </c>
      <c r="BN3856" s="127" t="e">
        <v>#N/A</v>
      </c>
      <c r="BO3856" s="127" t="e">
        <v>#N/A</v>
      </c>
      <c r="BP3856" s="151" t="e">
        <v>#N/A</v>
      </c>
      <c r="BQ3856">
        <v>0.11332468572476186</v>
      </c>
      <c r="BR3856" t="str">
        <v/>
      </c>
    </row>
    <row r="3857" spans="47:70" x14ac:dyDescent="0.2">
      <c r="AU3857"/>
      <c r="AV3857"/>
      <c r="AW3857"/>
      <c r="AX3857"/>
      <c r="AY3857"/>
      <c r="BK3857" s="42">
        <v>3856</v>
      </c>
      <c r="BL3857" s="127">
        <v>4</v>
      </c>
      <c r="BM3857" s="127">
        <v>0.11332468572476186</v>
      </c>
      <c r="BN3857" s="127" t="e">
        <v>#N/A</v>
      </c>
      <c r="BO3857" s="127" t="e">
        <v>#N/A</v>
      </c>
      <c r="BP3857" s="151" t="e">
        <v>#N/A</v>
      </c>
      <c r="BQ3857">
        <v>0.11332468572476186</v>
      </c>
      <c r="BR3857" t="str">
        <v/>
      </c>
    </row>
    <row r="3858" spans="47:70" x14ac:dyDescent="0.2">
      <c r="AU3858"/>
      <c r="AV3858"/>
      <c r="AW3858"/>
      <c r="AX3858"/>
      <c r="AY3858"/>
      <c r="BK3858" s="42">
        <v>3857</v>
      </c>
      <c r="BL3858" s="127">
        <v>4</v>
      </c>
      <c r="BM3858" s="127">
        <v>0.11332468572476186</v>
      </c>
      <c r="BN3858" s="127" t="e">
        <v>#N/A</v>
      </c>
      <c r="BO3858" s="127" t="e">
        <v>#N/A</v>
      </c>
      <c r="BP3858" s="151" t="e">
        <v>#N/A</v>
      </c>
      <c r="BQ3858">
        <v>0.11332468572476186</v>
      </c>
      <c r="BR3858" t="str">
        <v/>
      </c>
    </row>
    <row r="3859" spans="47:70" x14ac:dyDescent="0.2">
      <c r="AU3859"/>
      <c r="AV3859"/>
      <c r="AW3859"/>
      <c r="AX3859"/>
      <c r="AY3859"/>
      <c r="BK3859" s="42">
        <v>3858</v>
      </c>
      <c r="BL3859" s="127">
        <v>4</v>
      </c>
      <c r="BM3859" s="127">
        <v>0.11332468572476186</v>
      </c>
      <c r="BN3859" s="127" t="e">
        <v>#N/A</v>
      </c>
      <c r="BO3859" s="127" t="e">
        <v>#N/A</v>
      </c>
      <c r="BP3859" s="151" t="e">
        <v>#N/A</v>
      </c>
      <c r="BQ3859">
        <v>0.11332468572476186</v>
      </c>
      <c r="BR3859" t="str">
        <v/>
      </c>
    </row>
    <row r="3860" spans="47:70" x14ac:dyDescent="0.2">
      <c r="AU3860"/>
      <c r="AV3860"/>
      <c r="AW3860"/>
      <c r="AX3860"/>
      <c r="AY3860"/>
      <c r="BK3860" s="42">
        <v>3859</v>
      </c>
      <c r="BL3860" s="127">
        <v>4</v>
      </c>
      <c r="BM3860" s="127">
        <v>0.11332468572476186</v>
      </c>
      <c r="BN3860" s="127" t="e">
        <v>#N/A</v>
      </c>
      <c r="BO3860" s="127" t="e">
        <v>#N/A</v>
      </c>
      <c r="BP3860" s="151" t="e">
        <v>#N/A</v>
      </c>
      <c r="BQ3860">
        <v>0.11332468572476186</v>
      </c>
      <c r="BR3860" t="str">
        <v/>
      </c>
    </row>
    <row r="3861" spans="47:70" x14ac:dyDescent="0.2">
      <c r="AU3861"/>
      <c r="AV3861"/>
      <c r="AW3861"/>
      <c r="AX3861"/>
      <c r="AY3861"/>
      <c r="BK3861" s="42">
        <v>3860</v>
      </c>
      <c r="BL3861" s="127">
        <v>4</v>
      </c>
      <c r="BM3861" s="127">
        <v>0.11332468572476186</v>
      </c>
      <c r="BN3861" s="127" t="e">
        <v>#N/A</v>
      </c>
      <c r="BO3861" s="127" t="e">
        <v>#N/A</v>
      </c>
      <c r="BP3861" s="151" t="e">
        <v>#N/A</v>
      </c>
      <c r="BQ3861">
        <v>0.11332468572476186</v>
      </c>
      <c r="BR3861" t="str">
        <v/>
      </c>
    </row>
    <row r="3862" spans="47:70" x14ac:dyDescent="0.2">
      <c r="AU3862"/>
      <c r="AV3862"/>
      <c r="AW3862"/>
      <c r="AX3862"/>
      <c r="AY3862"/>
      <c r="BK3862" s="42">
        <v>3861</v>
      </c>
      <c r="BL3862" s="127">
        <v>4</v>
      </c>
      <c r="BM3862" s="127">
        <v>0.11332468572476186</v>
      </c>
      <c r="BN3862" s="127" t="e">
        <v>#N/A</v>
      </c>
      <c r="BO3862" s="127" t="e">
        <v>#N/A</v>
      </c>
      <c r="BP3862" s="151" t="e">
        <v>#N/A</v>
      </c>
      <c r="BQ3862">
        <v>0.11332468572476186</v>
      </c>
      <c r="BR3862" t="str">
        <v/>
      </c>
    </row>
    <row r="3863" spans="47:70" x14ac:dyDescent="0.2">
      <c r="AU3863"/>
      <c r="AV3863"/>
      <c r="AW3863"/>
      <c r="AX3863"/>
      <c r="AY3863"/>
      <c r="BK3863" s="42">
        <v>3862</v>
      </c>
      <c r="BL3863" s="127">
        <v>4</v>
      </c>
      <c r="BM3863" s="127">
        <v>0.11332468572476186</v>
      </c>
      <c r="BN3863" s="127" t="e">
        <v>#N/A</v>
      </c>
      <c r="BO3863" s="127" t="e">
        <v>#N/A</v>
      </c>
      <c r="BP3863" s="151" t="e">
        <v>#N/A</v>
      </c>
      <c r="BQ3863">
        <v>0.11332468572476186</v>
      </c>
      <c r="BR3863" t="str">
        <v/>
      </c>
    </row>
    <row r="3864" spans="47:70" x14ac:dyDescent="0.2">
      <c r="AU3864"/>
      <c r="AV3864"/>
      <c r="AW3864"/>
      <c r="AX3864"/>
      <c r="AY3864"/>
      <c r="BK3864" s="42">
        <v>3863</v>
      </c>
      <c r="BL3864" s="127">
        <v>4</v>
      </c>
      <c r="BM3864" s="127">
        <v>0.11332468572476186</v>
      </c>
      <c r="BN3864" s="127" t="e">
        <v>#N/A</v>
      </c>
      <c r="BO3864" s="127" t="e">
        <v>#N/A</v>
      </c>
      <c r="BP3864" s="151" t="e">
        <v>#N/A</v>
      </c>
      <c r="BQ3864">
        <v>0.11332468572476186</v>
      </c>
      <c r="BR3864" t="str">
        <v/>
      </c>
    </row>
    <row r="3865" spans="47:70" x14ac:dyDescent="0.2">
      <c r="AU3865"/>
      <c r="AV3865"/>
      <c r="AW3865"/>
      <c r="AX3865"/>
      <c r="AY3865"/>
      <c r="BK3865" s="42">
        <v>3864</v>
      </c>
      <c r="BL3865" s="127">
        <v>4</v>
      </c>
      <c r="BM3865" s="127">
        <v>0.11332468572476186</v>
      </c>
      <c r="BN3865" s="127" t="e">
        <v>#N/A</v>
      </c>
      <c r="BO3865" s="127" t="e">
        <v>#N/A</v>
      </c>
      <c r="BP3865" s="151" t="e">
        <v>#N/A</v>
      </c>
      <c r="BQ3865">
        <v>0.11332468572476186</v>
      </c>
      <c r="BR3865" t="str">
        <v/>
      </c>
    </row>
    <row r="3866" spans="47:70" x14ac:dyDescent="0.2">
      <c r="AU3866"/>
      <c r="AV3866"/>
      <c r="AW3866"/>
      <c r="AX3866"/>
      <c r="AY3866"/>
      <c r="BK3866" s="42">
        <v>3865</v>
      </c>
      <c r="BL3866" s="127">
        <v>4</v>
      </c>
      <c r="BM3866" s="127">
        <v>0.11332468572476186</v>
      </c>
      <c r="BN3866" s="127" t="e">
        <v>#N/A</v>
      </c>
      <c r="BO3866" s="127" t="e">
        <v>#N/A</v>
      </c>
      <c r="BP3866" s="151" t="e">
        <v>#N/A</v>
      </c>
      <c r="BQ3866">
        <v>0.11332468572476186</v>
      </c>
      <c r="BR3866" t="str">
        <v/>
      </c>
    </row>
    <row r="3867" spans="47:70" x14ac:dyDescent="0.2">
      <c r="AU3867"/>
      <c r="AV3867"/>
      <c r="AW3867"/>
      <c r="AX3867"/>
      <c r="AY3867"/>
      <c r="BK3867" s="42">
        <v>3866</v>
      </c>
      <c r="BL3867" s="127">
        <v>4</v>
      </c>
      <c r="BM3867" s="127">
        <v>0.11332468572476186</v>
      </c>
      <c r="BN3867" s="127" t="e">
        <v>#N/A</v>
      </c>
      <c r="BO3867" s="127" t="e">
        <v>#N/A</v>
      </c>
      <c r="BP3867" s="151" t="e">
        <v>#N/A</v>
      </c>
      <c r="BQ3867">
        <v>0.11332468572476186</v>
      </c>
      <c r="BR3867" t="str">
        <v/>
      </c>
    </row>
    <row r="3868" spans="47:70" x14ac:dyDescent="0.2">
      <c r="AU3868"/>
      <c r="AV3868"/>
      <c r="AW3868"/>
      <c r="AX3868"/>
      <c r="AY3868"/>
      <c r="BK3868" s="42">
        <v>3867</v>
      </c>
      <c r="BL3868" s="127">
        <v>4</v>
      </c>
      <c r="BM3868" s="127">
        <v>0.11332468572476186</v>
      </c>
      <c r="BN3868" s="127" t="e">
        <v>#N/A</v>
      </c>
      <c r="BO3868" s="127" t="e">
        <v>#N/A</v>
      </c>
      <c r="BP3868" s="151" t="e">
        <v>#N/A</v>
      </c>
      <c r="BQ3868">
        <v>0.11332468572476186</v>
      </c>
      <c r="BR3868" t="str">
        <v/>
      </c>
    </row>
    <row r="3869" spans="47:70" x14ac:dyDescent="0.2">
      <c r="AU3869"/>
      <c r="AV3869"/>
      <c r="AW3869"/>
      <c r="AX3869"/>
      <c r="AY3869"/>
      <c r="BK3869" s="42">
        <v>3868</v>
      </c>
      <c r="BL3869" s="127">
        <v>4</v>
      </c>
      <c r="BM3869" s="127">
        <v>0.11332468572476186</v>
      </c>
      <c r="BN3869" s="127" t="e">
        <v>#N/A</v>
      </c>
      <c r="BO3869" s="127" t="e">
        <v>#N/A</v>
      </c>
      <c r="BP3869" s="151" t="e">
        <v>#N/A</v>
      </c>
      <c r="BQ3869">
        <v>0.11332468572476186</v>
      </c>
      <c r="BR3869" t="str">
        <v/>
      </c>
    </row>
    <row r="3870" spans="47:70" x14ac:dyDescent="0.2">
      <c r="AU3870"/>
      <c r="AV3870"/>
      <c r="AW3870"/>
      <c r="AX3870"/>
      <c r="AY3870"/>
      <c r="BK3870" s="42">
        <v>3869</v>
      </c>
      <c r="BL3870" s="127">
        <v>4</v>
      </c>
      <c r="BM3870" s="127">
        <v>0.11332468572476186</v>
      </c>
      <c r="BN3870" s="127" t="e">
        <v>#N/A</v>
      </c>
      <c r="BO3870" s="127" t="e">
        <v>#N/A</v>
      </c>
      <c r="BP3870" s="151" t="e">
        <v>#N/A</v>
      </c>
      <c r="BQ3870">
        <v>0.11332468572476186</v>
      </c>
      <c r="BR3870" t="str">
        <v/>
      </c>
    </row>
    <row r="3871" spans="47:70" x14ac:dyDescent="0.2">
      <c r="AU3871"/>
      <c r="AV3871"/>
      <c r="AW3871"/>
      <c r="AX3871"/>
      <c r="AY3871"/>
      <c r="BK3871" s="42">
        <v>3870</v>
      </c>
      <c r="BL3871" s="127">
        <v>4</v>
      </c>
      <c r="BM3871" s="127">
        <v>0.11332468572476186</v>
      </c>
      <c r="BN3871" s="127" t="e">
        <v>#N/A</v>
      </c>
      <c r="BO3871" s="127" t="e">
        <v>#N/A</v>
      </c>
      <c r="BP3871" s="151" t="e">
        <v>#N/A</v>
      </c>
      <c r="BQ3871">
        <v>0.11332468572476186</v>
      </c>
      <c r="BR3871" t="str">
        <v/>
      </c>
    </row>
    <row r="3872" spans="47:70" x14ac:dyDescent="0.2">
      <c r="AU3872"/>
      <c r="AV3872"/>
      <c r="AW3872"/>
      <c r="AX3872"/>
      <c r="AY3872"/>
      <c r="BK3872" s="42">
        <v>3871</v>
      </c>
      <c r="BL3872" s="127">
        <v>4</v>
      </c>
      <c r="BM3872" s="127">
        <v>0.11332468572476186</v>
      </c>
      <c r="BN3872" s="127" t="e">
        <v>#N/A</v>
      </c>
      <c r="BO3872" s="127" t="e">
        <v>#N/A</v>
      </c>
      <c r="BP3872" s="151" t="e">
        <v>#N/A</v>
      </c>
      <c r="BQ3872">
        <v>0.11332468572476186</v>
      </c>
      <c r="BR3872" t="str">
        <v/>
      </c>
    </row>
    <row r="3873" spans="47:70" x14ac:dyDescent="0.2">
      <c r="AU3873"/>
      <c r="AV3873"/>
      <c r="AW3873"/>
      <c r="AX3873"/>
      <c r="AY3873"/>
      <c r="BK3873" s="42">
        <v>3872</v>
      </c>
      <c r="BL3873" s="127">
        <v>4</v>
      </c>
      <c r="BM3873" s="127">
        <v>0.11332468572476186</v>
      </c>
      <c r="BN3873" s="127" t="e">
        <v>#N/A</v>
      </c>
      <c r="BO3873" s="127" t="e">
        <v>#N/A</v>
      </c>
      <c r="BP3873" s="151" t="e">
        <v>#N/A</v>
      </c>
      <c r="BQ3873">
        <v>0.11332468572476186</v>
      </c>
      <c r="BR3873" t="str">
        <v/>
      </c>
    </row>
    <row r="3874" spans="47:70" x14ac:dyDescent="0.2">
      <c r="AU3874"/>
      <c r="AV3874"/>
      <c r="AW3874"/>
      <c r="AX3874"/>
      <c r="AY3874"/>
      <c r="BK3874" s="42">
        <v>3873</v>
      </c>
      <c r="BL3874" s="127">
        <v>4</v>
      </c>
      <c r="BM3874" s="127">
        <v>0.11332468572476186</v>
      </c>
      <c r="BN3874" s="127" t="e">
        <v>#N/A</v>
      </c>
      <c r="BO3874" s="127" t="e">
        <v>#N/A</v>
      </c>
      <c r="BP3874" s="151" t="e">
        <v>#N/A</v>
      </c>
      <c r="BQ3874">
        <v>0.11332468572476186</v>
      </c>
      <c r="BR3874" t="str">
        <v/>
      </c>
    </row>
    <row r="3875" spans="47:70" x14ac:dyDescent="0.2">
      <c r="AU3875"/>
      <c r="AV3875"/>
      <c r="AW3875"/>
      <c r="AX3875"/>
      <c r="AY3875"/>
      <c r="BK3875" s="42">
        <v>3874</v>
      </c>
      <c r="BL3875" s="127">
        <v>4</v>
      </c>
      <c r="BM3875" s="127">
        <v>0.11332468572476186</v>
      </c>
      <c r="BN3875" s="127" t="e">
        <v>#N/A</v>
      </c>
      <c r="BO3875" s="127" t="e">
        <v>#N/A</v>
      </c>
      <c r="BP3875" s="151" t="e">
        <v>#N/A</v>
      </c>
      <c r="BQ3875">
        <v>0.11332468572476186</v>
      </c>
      <c r="BR3875" t="str">
        <v/>
      </c>
    </row>
    <row r="3876" spans="47:70" x14ac:dyDescent="0.2">
      <c r="AU3876"/>
      <c r="AV3876"/>
      <c r="AW3876"/>
      <c r="AX3876"/>
      <c r="AY3876"/>
      <c r="BK3876" s="42">
        <v>3875</v>
      </c>
      <c r="BL3876" s="127">
        <v>4</v>
      </c>
      <c r="BM3876" s="127">
        <v>0.11332468572476186</v>
      </c>
      <c r="BN3876" s="127" t="e">
        <v>#N/A</v>
      </c>
      <c r="BO3876" s="127" t="e">
        <v>#N/A</v>
      </c>
      <c r="BP3876" s="151" t="e">
        <v>#N/A</v>
      </c>
      <c r="BQ3876">
        <v>0.11332468572476186</v>
      </c>
      <c r="BR3876" t="str">
        <v/>
      </c>
    </row>
    <row r="3877" spans="47:70" x14ac:dyDescent="0.2">
      <c r="AU3877"/>
      <c r="AV3877"/>
      <c r="AW3877"/>
      <c r="AX3877"/>
      <c r="AY3877"/>
      <c r="BK3877" s="42">
        <v>3876</v>
      </c>
      <c r="BL3877" s="127">
        <v>4</v>
      </c>
      <c r="BM3877" s="127">
        <v>0.11332468572476186</v>
      </c>
      <c r="BN3877" s="127" t="e">
        <v>#N/A</v>
      </c>
      <c r="BO3877" s="127" t="e">
        <v>#N/A</v>
      </c>
      <c r="BP3877" s="151" t="e">
        <v>#N/A</v>
      </c>
      <c r="BQ3877">
        <v>0.11332468572476186</v>
      </c>
      <c r="BR3877" t="str">
        <v/>
      </c>
    </row>
    <row r="3878" spans="47:70" x14ac:dyDescent="0.2">
      <c r="AU3878"/>
      <c r="AV3878"/>
      <c r="AW3878"/>
      <c r="AX3878"/>
      <c r="AY3878"/>
      <c r="BK3878" s="42">
        <v>3877</v>
      </c>
      <c r="BL3878" s="127">
        <v>4</v>
      </c>
      <c r="BM3878" s="127">
        <v>0.11332468572476186</v>
      </c>
      <c r="BN3878" s="127" t="e">
        <v>#N/A</v>
      </c>
      <c r="BO3878" s="127" t="e">
        <v>#N/A</v>
      </c>
      <c r="BP3878" s="151" t="e">
        <v>#N/A</v>
      </c>
      <c r="BQ3878">
        <v>0.11332468572476186</v>
      </c>
      <c r="BR3878" t="str">
        <v/>
      </c>
    </row>
    <row r="3879" spans="47:70" x14ac:dyDescent="0.2">
      <c r="AU3879"/>
      <c r="AV3879"/>
      <c r="AW3879"/>
      <c r="AX3879"/>
      <c r="AY3879"/>
      <c r="BK3879" s="42">
        <v>3878</v>
      </c>
      <c r="BL3879" s="127">
        <v>4</v>
      </c>
      <c r="BM3879" s="127">
        <v>0.11332468572476186</v>
      </c>
      <c r="BN3879" s="127" t="e">
        <v>#N/A</v>
      </c>
      <c r="BO3879" s="127" t="e">
        <v>#N/A</v>
      </c>
      <c r="BP3879" s="151" t="e">
        <v>#N/A</v>
      </c>
      <c r="BQ3879">
        <v>0.11332468572476186</v>
      </c>
      <c r="BR3879" t="str">
        <v/>
      </c>
    </row>
    <row r="3880" spans="47:70" x14ac:dyDescent="0.2">
      <c r="AU3880"/>
      <c r="AV3880"/>
      <c r="AW3880"/>
      <c r="AX3880"/>
      <c r="AY3880"/>
      <c r="BK3880" s="42">
        <v>3879</v>
      </c>
      <c r="BL3880" s="127">
        <v>4</v>
      </c>
      <c r="BM3880" s="127">
        <v>0.11332468572476186</v>
      </c>
      <c r="BN3880" s="127" t="e">
        <v>#N/A</v>
      </c>
      <c r="BO3880" s="127" t="e">
        <v>#N/A</v>
      </c>
      <c r="BP3880" s="151" t="e">
        <v>#N/A</v>
      </c>
      <c r="BQ3880">
        <v>0.11332468572476186</v>
      </c>
      <c r="BR3880" t="str">
        <v/>
      </c>
    </row>
    <row r="3881" spans="47:70" x14ac:dyDescent="0.2">
      <c r="AU3881"/>
      <c r="AV3881"/>
      <c r="AW3881"/>
      <c r="AX3881"/>
      <c r="AY3881"/>
      <c r="BK3881" s="42">
        <v>3880</v>
      </c>
      <c r="BL3881" s="127">
        <v>4</v>
      </c>
      <c r="BM3881" s="127">
        <v>0.11332468572476186</v>
      </c>
      <c r="BN3881" s="127" t="e">
        <v>#N/A</v>
      </c>
      <c r="BO3881" s="127" t="e">
        <v>#N/A</v>
      </c>
      <c r="BP3881" s="151" t="e">
        <v>#N/A</v>
      </c>
      <c r="BQ3881">
        <v>0.11332468572476186</v>
      </c>
      <c r="BR3881" t="str">
        <v/>
      </c>
    </row>
    <row r="3882" spans="47:70" x14ac:dyDescent="0.2">
      <c r="AU3882"/>
      <c r="AV3882"/>
      <c r="AW3882"/>
      <c r="AX3882"/>
      <c r="AY3882"/>
      <c r="BK3882" s="42">
        <v>3881</v>
      </c>
      <c r="BL3882" s="127">
        <v>4</v>
      </c>
      <c r="BM3882" s="127">
        <v>0.11332468572476186</v>
      </c>
      <c r="BN3882" s="127" t="e">
        <v>#N/A</v>
      </c>
      <c r="BO3882" s="127" t="e">
        <v>#N/A</v>
      </c>
      <c r="BP3882" s="151" t="e">
        <v>#N/A</v>
      </c>
      <c r="BQ3882">
        <v>0.11332468572476186</v>
      </c>
      <c r="BR3882" t="str">
        <v/>
      </c>
    </row>
    <row r="3883" spans="47:70" x14ac:dyDescent="0.2">
      <c r="AU3883"/>
      <c r="AV3883"/>
      <c r="AW3883"/>
      <c r="AX3883"/>
      <c r="AY3883"/>
      <c r="BK3883" s="42">
        <v>3882</v>
      </c>
      <c r="BL3883" s="127">
        <v>4</v>
      </c>
      <c r="BM3883" s="127">
        <v>0.11332468572476186</v>
      </c>
      <c r="BN3883" s="127" t="e">
        <v>#N/A</v>
      </c>
      <c r="BO3883" s="127" t="e">
        <v>#N/A</v>
      </c>
      <c r="BP3883" s="151" t="e">
        <v>#N/A</v>
      </c>
      <c r="BQ3883">
        <v>0.11332468572476186</v>
      </c>
      <c r="BR3883" t="str">
        <v/>
      </c>
    </row>
    <row r="3884" spans="47:70" x14ac:dyDescent="0.2">
      <c r="AU3884"/>
      <c r="AV3884"/>
      <c r="AW3884"/>
      <c r="AX3884"/>
      <c r="AY3884"/>
      <c r="BK3884" s="42">
        <v>3883</v>
      </c>
      <c r="BL3884" s="127">
        <v>4</v>
      </c>
      <c r="BM3884" s="127">
        <v>0.11332468572476186</v>
      </c>
      <c r="BN3884" s="127" t="e">
        <v>#N/A</v>
      </c>
      <c r="BO3884" s="127" t="e">
        <v>#N/A</v>
      </c>
      <c r="BP3884" s="151" t="e">
        <v>#N/A</v>
      </c>
      <c r="BQ3884">
        <v>0.11332468572476186</v>
      </c>
      <c r="BR3884" t="str">
        <v/>
      </c>
    </row>
    <row r="3885" spans="47:70" x14ac:dyDescent="0.2">
      <c r="AU3885"/>
      <c r="AV3885"/>
      <c r="AW3885"/>
      <c r="AX3885"/>
      <c r="AY3885"/>
      <c r="BK3885" s="42">
        <v>3884</v>
      </c>
      <c r="BL3885" s="127">
        <v>4</v>
      </c>
      <c r="BM3885" s="127">
        <v>0.11332468572476186</v>
      </c>
      <c r="BN3885" s="127" t="e">
        <v>#N/A</v>
      </c>
      <c r="BO3885" s="127" t="e">
        <v>#N/A</v>
      </c>
      <c r="BP3885" s="151" t="e">
        <v>#N/A</v>
      </c>
      <c r="BQ3885">
        <v>0.11332468572476186</v>
      </c>
      <c r="BR3885" t="str">
        <v/>
      </c>
    </row>
    <row r="3886" spans="47:70" x14ac:dyDescent="0.2">
      <c r="AU3886"/>
      <c r="AV3886"/>
      <c r="AW3886"/>
      <c r="AX3886"/>
      <c r="AY3886"/>
      <c r="BK3886" s="42">
        <v>3885</v>
      </c>
      <c r="BL3886" s="127">
        <v>4</v>
      </c>
      <c r="BM3886" s="127">
        <v>0.11332468572476186</v>
      </c>
      <c r="BN3886" s="127" t="e">
        <v>#N/A</v>
      </c>
      <c r="BO3886" s="127" t="e">
        <v>#N/A</v>
      </c>
      <c r="BP3886" s="151" t="e">
        <v>#N/A</v>
      </c>
      <c r="BQ3886">
        <v>0.11332468572476186</v>
      </c>
      <c r="BR3886" t="str">
        <v/>
      </c>
    </row>
    <row r="3887" spans="47:70" x14ac:dyDescent="0.2">
      <c r="AU3887"/>
      <c r="AV3887"/>
      <c r="AW3887"/>
      <c r="AX3887"/>
      <c r="AY3887"/>
      <c r="BK3887" s="42">
        <v>3886</v>
      </c>
      <c r="BL3887" s="127">
        <v>4</v>
      </c>
      <c r="BM3887" s="127">
        <v>0.11332468572476186</v>
      </c>
      <c r="BN3887" s="127" t="e">
        <v>#N/A</v>
      </c>
      <c r="BO3887" s="127" t="e">
        <v>#N/A</v>
      </c>
      <c r="BP3887" s="151" t="e">
        <v>#N/A</v>
      </c>
      <c r="BQ3887">
        <v>0.11332468572476186</v>
      </c>
      <c r="BR3887" t="str">
        <v/>
      </c>
    </row>
    <row r="3888" spans="47:70" x14ac:dyDescent="0.2">
      <c r="AU3888"/>
      <c r="AV3888"/>
      <c r="AW3888"/>
      <c r="AX3888"/>
      <c r="AY3888"/>
      <c r="BK3888" s="42">
        <v>3887</v>
      </c>
      <c r="BL3888" s="127">
        <v>4</v>
      </c>
      <c r="BM3888" s="127">
        <v>0.11332468572476186</v>
      </c>
      <c r="BN3888" s="127" t="e">
        <v>#N/A</v>
      </c>
      <c r="BO3888" s="127" t="e">
        <v>#N/A</v>
      </c>
      <c r="BP3888" s="151" t="e">
        <v>#N/A</v>
      </c>
      <c r="BQ3888">
        <v>0.11332468572476186</v>
      </c>
      <c r="BR3888" t="str">
        <v/>
      </c>
    </row>
    <row r="3889" spans="47:70" x14ac:dyDescent="0.2">
      <c r="AU3889"/>
      <c r="AV3889"/>
      <c r="AW3889"/>
      <c r="AX3889"/>
      <c r="AY3889"/>
      <c r="BK3889" s="42">
        <v>3888</v>
      </c>
      <c r="BL3889" s="127">
        <v>4</v>
      </c>
      <c r="BM3889" s="127">
        <v>0.11332468572476186</v>
      </c>
      <c r="BN3889" s="127" t="e">
        <v>#N/A</v>
      </c>
      <c r="BO3889" s="127" t="e">
        <v>#N/A</v>
      </c>
      <c r="BP3889" s="151" t="e">
        <v>#N/A</v>
      </c>
      <c r="BQ3889">
        <v>0.11332468572476186</v>
      </c>
      <c r="BR3889" t="str">
        <v/>
      </c>
    </row>
    <row r="3890" spans="47:70" x14ac:dyDescent="0.2">
      <c r="AU3890"/>
      <c r="AV3890"/>
      <c r="AW3890"/>
      <c r="AX3890"/>
      <c r="AY3890"/>
      <c r="BK3890" s="42">
        <v>3889</v>
      </c>
      <c r="BL3890" s="127">
        <v>4</v>
      </c>
      <c r="BM3890" s="127">
        <v>0.11332468572476186</v>
      </c>
      <c r="BN3890" s="127" t="e">
        <v>#N/A</v>
      </c>
      <c r="BO3890" s="127" t="e">
        <v>#N/A</v>
      </c>
      <c r="BP3890" s="151" t="e">
        <v>#N/A</v>
      </c>
      <c r="BQ3890">
        <v>0.11332468572476186</v>
      </c>
      <c r="BR3890" t="str">
        <v/>
      </c>
    </row>
    <row r="3891" spans="47:70" x14ac:dyDescent="0.2">
      <c r="AU3891"/>
      <c r="AV3891"/>
      <c r="AW3891"/>
      <c r="AX3891"/>
      <c r="AY3891"/>
      <c r="BK3891" s="42">
        <v>3890</v>
      </c>
      <c r="BL3891" s="127">
        <v>4</v>
      </c>
      <c r="BM3891" s="127">
        <v>0.11332468572476186</v>
      </c>
      <c r="BN3891" s="127" t="e">
        <v>#N/A</v>
      </c>
      <c r="BO3891" s="127" t="e">
        <v>#N/A</v>
      </c>
      <c r="BP3891" s="151" t="e">
        <v>#N/A</v>
      </c>
      <c r="BQ3891">
        <v>0.11332468572476186</v>
      </c>
      <c r="BR3891" t="str">
        <v/>
      </c>
    </row>
    <row r="3892" spans="47:70" x14ac:dyDescent="0.2">
      <c r="AU3892"/>
      <c r="AV3892"/>
      <c r="AW3892"/>
      <c r="AX3892"/>
      <c r="AY3892"/>
      <c r="BK3892" s="42">
        <v>3891</v>
      </c>
      <c r="BL3892" s="127">
        <v>4</v>
      </c>
      <c r="BM3892" s="127">
        <v>0.11332468572476186</v>
      </c>
      <c r="BN3892" s="127" t="e">
        <v>#N/A</v>
      </c>
      <c r="BO3892" s="127" t="e">
        <v>#N/A</v>
      </c>
      <c r="BP3892" s="151" t="e">
        <v>#N/A</v>
      </c>
      <c r="BQ3892">
        <v>0.11332468572476186</v>
      </c>
      <c r="BR3892" t="str">
        <v/>
      </c>
    </row>
    <row r="3893" spans="47:70" x14ac:dyDescent="0.2">
      <c r="AU3893"/>
      <c r="AV3893"/>
      <c r="AW3893"/>
      <c r="AX3893"/>
      <c r="AY3893"/>
      <c r="BK3893" s="42">
        <v>3892</v>
      </c>
      <c r="BL3893" s="127">
        <v>4</v>
      </c>
      <c r="BM3893" s="127">
        <v>0.11332468572476186</v>
      </c>
      <c r="BN3893" s="127" t="e">
        <v>#N/A</v>
      </c>
      <c r="BO3893" s="127" t="e">
        <v>#N/A</v>
      </c>
      <c r="BP3893" s="151" t="e">
        <v>#N/A</v>
      </c>
      <c r="BQ3893">
        <v>0.11332468572476186</v>
      </c>
      <c r="BR3893" t="str">
        <v/>
      </c>
    </row>
    <row r="3894" spans="47:70" x14ac:dyDescent="0.2">
      <c r="AU3894"/>
      <c r="AV3894"/>
      <c r="AW3894"/>
      <c r="AX3894"/>
      <c r="AY3894"/>
      <c r="BK3894" s="42">
        <v>3893</v>
      </c>
      <c r="BL3894" s="127">
        <v>4</v>
      </c>
      <c r="BM3894" s="127">
        <v>0.11332468572476186</v>
      </c>
      <c r="BN3894" s="127" t="e">
        <v>#N/A</v>
      </c>
      <c r="BO3894" s="127" t="e">
        <v>#N/A</v>
      </c>
      <c r="BP3894" s="151" t="e">
        <v>#N/A</v>
      </c>
      <c r="BQ3894">
        <v>0.11332468572476186</v>
      </c>
      <c r="BR3894" t="str">
        <v/>
      </c>
    </row>
    <row r="3895" spans="47:70" x14ac:dyDescent="0.2">
      <c r="AU3895"/>
      <c r="AV3895"/>
      <c r="AW3895"/>
      <c r="AX3895"/>
      <c r="AY3895"/>
      <c r="BK3895" s="42">
        <v>3894</v>
      </c>
      <c r="BL3895" s="127">
        <v>4</v>
      </c>
      <c r="BM3895" s="127">
        <v>0.11332468572476186</v>
      </c>
      <c r="BN3895" s="127" t="e">
        <v>#N/A</v>
      </c>
      <c r="BO3895" s="127" t="e">
        <v>#N/A</v>
      </c>
      <c r="BP3895" s="151" t="e">
        <v>#N/A</v>
      </c>
      <c r="BQ3895">
        <v>0.11332468572476186</v>
      </c>
      <c r="BR3895" t="str">
        <v/>
      </c>
    </row>
    <row r="3896" spans="47:70" x14ac:dyDescent="0.2">
      <c r="AU3896"/>
      <c r="AV3896"/>
      <c r="AW3896"/>
      <c r="AX3896"/>
      <c r="AY3896"/>
      <c r="BK3896" s="42">
        <v>3895</v>
      </c>
      <c r="BL3896" s="127">
        <v>4</v>
      </c>
      <c r="BM3896" s="127">
        <v>0.11332468572476186</v>
      </c>
      <c r="BN3896" s="127" t="e">
        <v>#N/A</v>
      </c>
      <c r="BO3896" s="127" t="e">
        <v>#N/A</v>
      </c>
      <c r="BP3896" s="151" t="e">
        <v>#N/A</v>
      </c>
      <c r="BQ3896">
        <v>0.11332468572476186</v>
      </c>
      <c r="BR3896" t="str">
        <v/>
      </c>
    </row>
    <row r="3897" spans="47:70" x14ac:dyDescent="0.2">
      <c r="AU3897"/>
      <c r="AV3897"/>
      <c r="AW3897"/>
      <c r="AX3897"/>
      <c r="AY3897"/>
      <c r="BK3897" s="42">
        <v>3896</v>
      </c>
      <c r="BL3897" s="127">
        <v>4</v>
      </c>
      <c r="BM3897" s="127">
        <v>0.11332468572476186</v>
      </c>
      <c r="BN3897" s="127" t="e">
        <v>#N/A</v>
      </c>
      <c r="BO3897" s="127" t="e">
        <v>#N/A</v>
      </c>
      <c r="BP3897" s="151" t="e">
        <v>#N/A</v>
      </c>
      <c r="BQ3897">
        <v>0.11332468572476186</v>
      </c>
      <c r="BR3897" t="str">
        <v/>
      </c>
    </row>
    <row r="3898" spans="47:70" x14ac:dyDescent="0.2">
      <c r="AU3898"/>
      <c r="AV3898"/>
      <c r="AW3898"/>
      <c r="AX3898"/>
      <c r="AY3898"/>
      <c r="BK3898" s="42">
        <v>3897</v>
      </c>
      <c r="BL3898" s="127">
        <v>4</v>
      </c>
      <c r="BM3898" s="127">
        <v>0.11332468572476186</v>
      </c>
      <c r="BN3898" s="127" t="e">
        <v>#N/A</v>
      </c>
      <c r="BO3898" s="127" t="e">
        <v>#N/A</v>
      </c>
      <c r="BP3898" s="151" t="e">
        <v>#N/A</v>
      </c>
      <c r="BQ3898">
        <v>0.11332468572476186</v>
      </c>
      <c r="BR3898" t="str">
        <v/>
      </c>
    </row>
    <row r="3899" spans="47:70" x14ac:dyDescent="0.2">
      <c r="AU3899"/>
      <c r="AV3899"/>
      <c r="AW3899"/>
      <c r="AX3899"/>
      <c r="AY3899"/>
      <c r="BK3899" s="42">
        <v>3898</v>
      </c>
      <c r="BL3899" s="127">
        <v>4</v>
      </c>
      <c r="BM3899" s="127">
        <v>0.11332468572476186</v>
      </c>
      <c r="BN3899" s="127" t="e">
        <v>#N/A</v>
      </c>
      <c r="BO3899" s="127" t="e">
        <v>#N/A</v>
      </c>
      <c r="BP3899" s="151" t="e">
        <v>#N/A</v>
      </c>
      <c r="BQ3899">
        <v>0.11332468572476186</v>
      </c>
      <c r="BR3899" t="str">
        <v/>
      </c>
    </row>
    <row r="3900" spans="47:70" x14ac:dyDescent="0.2">
      <c r="AU3900"/>
      <c r="AV3900"/>
      <c r="AW3900"/>
      <c r="AX3900"/>
      <c r="AY3900"/>
      <c r="BK3900" s="42">
        <v>3899</v>
      </c>
      <c r="BL3900" s="127">
        <v>4</v>
      </c>
      <c r="BM3900" s="127">
        <v>0.11332468572476186</v>
      </c>
      <c r="BN3900" s="127" t="e">
        <v>#N/A</v>
      </c>
      <c r="BO3900" s="127" t="e">
        <v>#N/A</v>
      </c>
      <c r="BP3900" s="151" t="e">
        <v>#N/A</v>
      </c>
      <c r="BQ3900">
        <v>0.11332468572476186</v>
      </c>
      <c r="BR3900" t="str">
        <v/>
      </c>
    </row>
    <row r="3901" spans="47:70" x14ac:dyDescent="0.2">
      <c r="AU3901"/>
      <c r="AV3901"/>
      <c r="AW3901"/>
      <c r="AX3901"/>
      <c r="AY3901"/>
      <c r="BK3901" s="42">
        <v>3900</v>
      </c>
      <c r="BL3901" s="127">
        <v>4</v>
      </c>
      <c r="BM3901" s="127">
        <v>0.11332468572476186</v>
      </c>
      <c r="BN3901" s="127" t="e">
        <v>#N/A</v>
      </c>
      <c r="BO3901" s="127" t="e">
        <v>#N/A</v>
      </c>
      <c r="BP3901" s="151" t="e">
        <v>#N/A</v>
      </c>
      <c r="BQ3901">
        <v>0.11332468572476186</v>
      </c>
      <c r="BR3901" t="str">
        <v/>
      </c>
    </row>
    <row r="3902" spans="47:70" x14ac:dyDescent="0.2">
      <c r="AU3902"/>
      <c r="AV3902"/>
      <c r="AW3902"/>
      <c r="AX3902"/>
      <c r="AY3902"/>
      <c r="BK3902" s="42">
        <v>3901</v>
      </c>
      <c r="BL3902" s="127">
        <v>4</v>
      </c>
      <c r="BM3902" s="127">
        <v>0.11332468572476186</v>
      </c>
      <c r="BN3902" s="127" t="e">
        <v>#N/A</v>
      </c>
      <c r="BO3902" s="127" t="e">
        <v>#N/A</v>
      </c>
      <c r="BP3902" s="151" t="e">
        <v>#N/A</v>
      </c>
      <c r="BQ3902">
        <v>0.11332468572476186</v>
      </c>
      <c r="BR3902" t="str">
        <v/>
      </c>
    </row>
    <row r="3903" spans="47:70" x14ac:dyDescent="0.2">
      <c r="AU3903"/>
      <c r="AV3903"/>
      <c r="AW3903"/>
      <c r="AX3903"/>
      <c r="AY3903"/>
      <c r="BK3903" s="42">
        <v>3902</v>
      </c>
      <c r="BL3903" s="127">
        <v>4</v>
      </c>
      <c r="BM3903" s="127">
        <v>0.11332468572476186</v>
      </c>
      <c r="BN3903" s="127" t="e">
        <v>#N/A</v>
      </c>
      <c r="BO3903" s="127" t="e">
        <v>#N/A</v>
      </c>
      <c r="BP3903" s="151" t="e">
        <v>#N/A</v>
      </c>
      <c r="BQ3903">
        <v>0.11332468572476186</v>
      </c>
      <c r="BR3903" t="str">
        <v/>
      </c>
    </row>
    <row r="3904" spans="47:70" x14ac:dyDescent="0.2">
      <c r="AU3904"/>
      <c r="AV3904"/>
      <c r="AW3904"/>
      <c r="AX3904"/>
      <c r="AY3904"/>
      <c r="BK3904" s="42">
        <v>3903</v>
      </c>
      <c r="BL3904" s="127">
        <v>4</v>
      </c>
      <c r="BM3904" s="127">
        <v>0.11332468572476186</v>
      </c>
      <c r="BN3904" s="127" t="e">
        <v>#N/A</v>
      </c>
      <c r="BO3904" s="127" t="e">
        <v>#N/A</v>
      </c>
      <c r="BP3904" s="151" t="e">
        <v>#N/A</v>
      </c>
      <c r="BQ3904">
        <v>0.11332468572476186</v>
      </c>
      <c r="BR3904" t="str">
        <v/>
      </c>
    </row>
    <row r="3905" spans="47:70" x14ac:dyDescent="0.2">
      <c r="AU3905"/>
      <c r="AV3905"/>
      <c r="AW3905"/>
      <c r="AX3905"/>
      <c r="AY3905"/>
      <c r="BK3905" s="42">
        <v>3904</v>
      </c>
      <c r="BL3905" s="127">
        <v>4</v>
      </c>
      <c r="BM3905" s="127">
        <v>0.11332468572476186</v>
      </c>
      <c r="BN3905" s="127" t="e">
        <v>#N/A</v>
      </c>
      <c r="BO3905" s="127" t="e">
        <v>#N/A</v>
      </c>
      <c r="BP3905" s="151" t="e">
        <v>#N/A</v>
      </c>
      <c r="BQ3905">
        <v>0.11332468572476186</v>
      </c>
      <c r="BR3905" t="str">
        <v/>
      </c>
    </row>
    <row r="3906" spans="47:70" x14ac:dyDescent="0.2">
      <c r="AU3906"/>
      <c r="AV3906"/>
      <c r="AW3906"/>
      <c r="AX3906"/>
      <c r="AY3906"/>
      <c r="BK3906" s="42">
        <v>3905</v>
      </c>
      <c r="BL3906" s="127">
        <v>4</v>
      </c>
      <c r="BM3906" s="127">
        <v>0.11332468572476186</v>
      </c>
      <c r="BN3906" s="127" t="e">
        <v>#N/A</v>
      </c>
      <c r="BO3906" s="127" t="e">
        <v>#N/A</v>
      </c>
      <c r="BP3906" s="151" t="e">
        <v>#N/A</v>
      </c>
      <c r="BQ3906">
        <v>0.11332468572476186</v>
      </c>
      <c r="BR3906" t="str">
        <v/>
      </c>
    </row>
    <row r="3907" spans="47:70" x14ac:dyDescent="0.2">
      <c r="AU3907"/>
      <c r="AV3907"/>
      <c r="AW3907"/>
      <c r="AX3907"/>
      <c r="AY3907"/>
      <c r="BK3907" s="42">
        <v>3906</v>
      </c>
      <c r="BL3907" s="127">
        <v>4</v>
      </c>
      <c r="BM3907" s="127">
        <v>0.11332468572476186</v>
      </c>
      <c r="BN3907" s="127" t="e">
        <v>#N/A</v>
      </c>
      <c r="BO3907" s="127" t="e">
        <v>#N/A</v>
      </c>
      <c r="BP3907" s="151" t="e">
        <v>#N/A</v>
      </c>
      <c r="BQ3907">
        <v>0.11332468572476186</v>
      </c>
      <c r="BR3907" t="str">
        <v/>
      </c>
    </row>
    <row r="3908" spans="47:70" x14ac:dyDescent="0.2">
      <c r="AU3908"/>
      <c r="AV3908"/>
      <c r="AW3908"/>
      <c r="AX3908"/>
      <c r="AY3908"/>
      <c r="BK3908" s="42">
        <v>3907</v>
      </c>
      <c r="BL3908" s="127">
        <v>4</v>
      </c>
      <c r="BM3908" s="127">
        <v>0.11332468572476186</v>
      </c>
      <c r="BN3908" s="127" t="e">
        <v>#N/A</v>
      </c>
      <c r="BO3908" s="127" t="e">
        <v>#N/A</v>
      </c>
      <c r="BP3908" s="151" t="e">
        <v>#N/A</v>
      </c>
      <c r="BQ3908">
        <v>0.11332468572476186</v>
      </c>
      <c r="BR3908" t="str">
        <v/>
      </c>
    </row>
    <row r="3909" spans="47:70" x14ac:dyDescent="0.2">
      <c r="AU3909"/>
      <c r="AV3909"/>
      <c r="AW3909"/>
      <c r="AX3909"/>
      <c r="AY3909"/>
      <c r="BK3909" s="42">
        <v>3908</v>
      </c>
      <c r="BL3909" s="127">
        <v>4</v>
      </c>
      <c r="BM3909" s="127">
        <v>0.11332468572476186</v>
      </c>
      <c r="BN3909" s="127" t="e">
        <v>#N/A</v>
      </c>
      <c r="BO3909" s="127" t="e">
        <v>#N/A</v>
      </c>
      <c r="BP3909" s="151" t="e">
        <v>#N/A</v>
      </c>
      <c r="BQ3909">
        <v>0.11332468572476186</v>
      </c>
      <c r="BR3909" t="str">
        <v/>
      </c>
    </row>
    <row r="3910" spans="47:70" x14ac:dyDescent="0.2">
      <c r="AU3910"/>
      <c r="AV3910"/>
      <c r="AW3910"/>
      <c r="AX3910"/>
      <c r="AY3910"/>
      <c r="BK3910" s="42">
        <v>3909</v>
      </c>
      <c r="BL3910" s="127">
        <v>4</v>
      </c>
      <c r="BM3910" s="127">
        <v>0.11332468572476186</v>
      </c>
      <c r="BN3910" s="127" t="e">
        <v>#N/A</v>
      </c>
      <c r="BO3910" s="127" t="e">
        <v>#N/A</v>
      </c>
      <c r="BP3910" s="151" t="e">
        <v>#N/A</v>
      </c>
      <c r="BQ3910">
        <v>0.11332468572476186</v>
      </c>
      <c r="BR3910" t="str">
        <v/>
      </c>
    </row>
    <row r="3911" spans="47:70" x14ac:dyDescent="0.2">
      <c r="AU3911"/>
      <c r="AV3911"/>
      <c r="AW3911"/>
      <c r="AX3911"/>
      <c r="AY3911"/>
      <c r="BK3911" s="42">
        <v>3910</v>
      </c>
      <c r="BL3911" s="127">
        <v>4</v>
      </c>
      <c r="BM3911" s="127">
        <v>0.11332468572476186</v>
      </c>
      <c r="BN3911" s="127" t="e">
        <v>#N/A</v>
      </c>
      <c r="BO3911" s="127" t="e">
        <v>#N/A</v>
      </c>
      <c r="BP3911" s="151" t="e">
        <v>#N/A</v>
      </c>
      <c r="BQ3911">
        <v>0.11332468572476186</v>
      </c>
      <c r="BR3911" t="str">
        <v/>
      </c>
    </row>
    <row r="3912" spans="47:70" x14ac:dyDescent="0.2">
      <c r="AU3912"/>
      <c r="AV3912"/>
      <c r="AW3912"/>
      <c r="AX3912"/>
      <c r="AY3912"/>
      <c r="BK3912" s="42">
        <v>3911</v>
      </c>
      <c r="BL3912" s="127">
        <v>4</v>
      </c>
      <c r="BM3912" s="127">
        <v>0.11332468572476186</v>
      </c>
      <c r="BN3912" s="127" t="e">
        <v>#N/A</v>
      </c>
      <c r="BO3912" s="127" t="e">
        <v>#N/A</v>
      </c>
      <c r="BP3912" s="151" t="e">
        <v>#N/A</v>
      </c>
      <c r="BQ3912">
        <v>0.11332468572476186</v>
      </c>
      <c r="BR3912" t="str">
        <v/>
      </c>
    </row>
    <row r="3913" spans="47:70" x14ac:dyDescent="0.2">
      <c r="AU3913"/>
      <c r="AV3913"/>
      <c r="AW3913"/>
      <c r="AX3913"/>
      <c r="AY3913"/>
      <c r="BK3913" s="42">
        <v>3912</v>
      </c>
      <c r="BL3913" s="127">
        <v>4</v>
      </c>
      <c r="BM3913" s="127">
        <v>0.11332468572476186</v>
      </c>
      <c r="BN3913" s="127" t="e">
        <v>#N/A</v>
      </c>
      <c r="BO3913" s="127" t="e">
        <v>#N/A</v>
      </c>
      <c r="BP3913" s="151" t="e">
        <v>#N/A</v>
      </c>
      <c r="BQ3913">
        <v>0.11332468572476186</v>
      </c>
      <c r="BR3913" t="str">
        <v/>
      </c>
    </row>
    <row r="3914" spans="47:70" x14ac:dyDescent="0.2">
      <c r="AU3914"/>
      <c r="AV3914"/>
      <c r="AW3914"/>
      <c r="AX3914"/>
      <c r="AY3914"/>
      <c r="BK3914" s="42">
        <v>3913</v>
      </c>
      <c r="BL3914" s="127">
        <v>4</v>
      </c>
      <c r="BM3914" s="127">
        <v>0.11332468572476186</v>
      </c>
      <c r="BN3914" s="127" t="e">
        <v>#N/A</v>
      </c>
      <c r="BO3914" s="127" t="e">
        <v>#N/A</v>
      </c>
      <c r="BP3914" s="151" t="e">
        <v>#N/A</v>
      </c>
      <c r="BQ3914">
        <v>0.11332468572476186</v>
      </c>
      <c r="BR3914" t="str">
        <v/>
      </c>
    </row>
    <row r="3915" spans="47:70" x14ac:dyDescent="0.2">
      <c r="AU3915"/>
      <c r="AV3915"/>
      <c r="AW3915"/>
      <c r="AX3915"/>
      <c r="AY3915"/>
      <c r="BK3915" s="42">
        <v>3914</v>
      </c>
      <c r="BL3915" s="127">
        <v>4</v>
      </c>
      <c r="BM3915" s="127">
        <v>0.11332468572476186</v>
      </c>
      <c r="BN3915" s="127" t="e">
        <v>#N/A</v>
      </c>
      <c r="BO3915" s="127" t="e">
        <v>#N/A</v>
      </c>
      <c r="BP3915" s="151" t="e">
        <v>#N/A</v>
      </c>
      <c r="BQ3915">
        <v>0.11332468572476186</v>
      </c>
      <c r="BR3915" t="str">
        <v/>
      </c>
    </row>
    <row r="3916" spans="47:70" x14ac:dyDescent="0.2">
      <c r="AU3916"/>
      <c r="AV3916"/>
      <c r="AW3916"/>
      <c r="AX3916"/>
      <c r="AY3916"/>
      <c r="BK3916" s="42">
        <v>3915</v>
      </c>
      <c r="BL3916" s="127">
        <v>4</v>
      </c>
      <c r="BM3916" s="127">
        <v>0.11332468572476186</v>
      </c>
      <c r="BN3916" s="127" t="e">
        <v>#N/A</v>
      </c>
      <c r="BO3916" s="127" t="e">
        <v>#N/A</v>
      </c>
      <c r="BP3916" s="151" t="e">
        <v>#N/A</v>
      </c>
      <c r="BQ3916">
        <v>0.11332468572476186</v>
      </c>
      <c r="BR3916" t="str">
        <v/>
      </c>
    </row>
    <row r="3917" spans="47:70" x14ac:dyDescent="0.2">
      <c r="AU3917"/>
      <c r="AV3917"/>
      <c r="AW3917"/>
      <c r="AX3917"/>
      <c r="AY3917"/>
      <c r="BK3917" s="42">
        <v>3916</v>
      </c>
      <c r="BL3917" s="127">
        <v>4</v>
      </c>
      <c r="BM3917" s="127">
        <v>0.11332468572476186</v>
      </c>
      <c r="BN3917" s="127" t="e">
        <v>#N/A</v>
      </c>
      <c r="BO3917" s="127" t="e">
        <v>#N/A</v>
      </c>
      <c r="BP3917" s="151" t="e">
        <v>#N/A</v>
      </c>
      <c r="BQ3917">
        <v>0.11332468572476186</v>
      </c>
      <c r="BR3917" t="str">
        <v/>
      </c>
    </row>
    <row r="3918" spans="47:70" x14ac:dyDescent="0.2">
      <c r="AU3918"/>
      <c r="AV3918"/>
      <c r="AW3918"/>
      <c r="AX3918"/>
      <c r="AY3918"/>
      <c r="BK3918" s="42">
        <v>3917</v>
      </c>
      <c r="BL3918" s="127">
        <v>4</v>
      </c>
      <c r="BM3918" s="127">
        <v>0.11332468572476186</v>
      </c>
      <c r="BN3918" s="127" t="e">
        <v>#N/A</v>
      </c>
      <c r="BO3918" s="127" t="e">
        <v>#N/A</v>
      </c>
      <c r="BP3918" s="151" t="e">
        <v>#N/A</v>
      </c>
      <c r="BQ3918">
        <v>0.11332468572476186</v>
      </c>
      <c r="BR3918" t="str">
        <v/>
      </c>
    </row>
    <row r="3919" spans="47:70" x14ac:dyDescent="0.2">
      <c r="AU3919"/>
      <c r="AV3919"/>
      <c r="AW3919"/>
      <c r="AX3919"/>
      <c r="AY3919"/>
      <c r="BK3919" s="42">
        <v>3918</v>
      </c>
      <c r="BL3919" s="127">
        <v>4</v>
      </c>
      <c r="BM3919" s="127">
        <v>0.11332468572476186</v>
      </c>
      <c r="BN3919" s="127" t="e">
        <v>#N/A</v>
      </c>
      <c r="BO3919" s="127" t="e">
        <v>#N/A</v>
      </c>
      <c r="BP3919" s="151" t="e">
        <v>#N/A</v>
      </c>
      <c r="BQ3919">
        <v>0.11332468572476186</v>
      </c>
      <c r="BR3919" t="str">
        <v/>
      </c>
    </row>
    <row r="3920" spans="47:70" x14ac:dyDescent="0.2">
      <c r="AU3920"/>
      <c r="AV3920"/>
      <c r="AW3920"/>
      <c r="AX3920"/>
      <c r="AY3920"/>
      <c r="BK3920" s="42">
        <v>3919</v>
      </c>
      <c r="BL3920" s="127">
        <v>4</v>
      </c>
      <c r="BM3920" s="127">
        <v>0.11332468572476186</v>
      </c>
      <c r="BN3920" s="127" t="e">
        <v>#N/A</v>
      </c>
      <c r="BO3920" s="127" t="e">
        <v>#N/A</v>
      </c>
      <c r="BP3920" s="151" t="e">
        <v>#N/A</v>
      </c>
      <c r="BQ3920">
        <v>0.11332468572476186</v>
      </c>
      <c r="BR3920" t="str">
        <v/>
      </c>
    </row>
    <row r="3921" spans="47:70" x14ac:dyDescent="0.2">
      <c r="AU3921"/>
      <c r="AV3921"/>
      <c r="AW3921"/>
      <c r="AX3921"/>
      <c r="AY3921"/>
      <c r="BK3921" s="42">
        <v>3920</v>
      </c>
      <c r="BL3921" s="127">
        <v>4</v>
      </c>
      <c r="BM3921" s="127">
        <v>0.11332468572476186</v>
      </c>
      <c r="BN3921" s="127" t="e">
        <v>#N/A</v>
      </c>
      <c r="BO3921" s="127" t="e">
        <v>#N/A</v>
      </c>
      <c r="BP3921" s="151" t="e">
        <v>#N/A</v>
      </c>
      <c r="BQ3921">
        <v>0.11332468572476186</v>
      </c>
      <c r="BR3921" t="str">
        <v/>
      </c>
    </row>
    <row r="3922" spans="47:70" x14ac:dyDescent="0.2">
      <c r="AU3922"/>
      <c r="AV3922"/>
      <c r="AW3922"/>
      <c r="AX3922"/>
      <c r="AY3922"/>
      <c r="BK3922" s="42">
        <v>3921</v>
      </c>
      <c r="BL3922" s="127">
        <v>4</v>
      </c>
      <c r="BM3922" s="127">
        <v>0.11332468572476186</v>
      </c>
      <c r="BN3922" s="127" t="e">
        <v>#N/A</v>
      </c>
      <c r="BO3922" s="127" t="e">
        <v>#N/A</v>
      </c>
      <c r="BP3922" s="151" t="e">
        <v>#N/A</v>
      </c>
      <c r="BQ3922">
        <v>0.11332468572476186</v>
      </c>
      <c r="BR3922" t="str">
        <v/>
      </c>
    </row>
    <row r="3923" spans="47:70" x14ac:dyDescent="0.2">
      <c r="AU3923"/>
      <c r="AV3923"/>
      <c r="AW3923"/>
      <c r="AX3923"/>
      <c r="AY3923"/>
      <c r="BK3923" s="42">
        <v>3922</v>
      </c>
      <c r="BL3923" s="127">
        <v>4</v>
      </c>
      <c r="BM3923" s="127">
        <v>0.11332468572476186</v>
      </c>
      <c r="BN3923" s="127" t="e">
        <v>#N/A</v>
      </c>
      <c r="BO3923" s="127" t="e">
        <v>#N/A</v>
      </c>
      <c r="BP3923" s="151" t="e">
        <v>#N/A</v>
      </c>
      <c r="BQ3923">
        <v>0.11332468572476186</v>
      </c>
      <c r="BR3923" t="str">
        <v/>
      </c>
    </row>
    <row r="3924" spans="47:70" x14ac:dyDescent="0.2">
      <c r="AU3924"/>
      <c r="AV3924"/>
      <c r="AW3924"/>
      <c r="AX3924"/>
      <c r="AY3924"/>
      <c r="BK3924" s="42">
        <v>3923</v>
      </c>
      <c r="BL3924" s="127">
        <v>4</v>
      </c>
      <c r="BM3924" s="127">
        <v>0.11332468572476186</v>
      </c>
      <c r="BN3924" s="127" t="e">
        <v>#N/A</v>
      </c>
      <c r="BO3924" s="127" t="e">
        <v>#N/A</v>
      </c>
      <c r="BP3924" s="151" t="e">
        <v>#N/A</v>
      </c>
      <c r="BQ3924">
        <v>0.11332468572476186</v>
      </c>
      <c r="BR3924" t="str">
        <v/>
      </c>
    </row>
    <row r="3925" spans="47:70" x14ac:dyDescent="0.2">
      <c r="AU3925"/>
      <c r="AV3925"/>
      <c r="AW3925"/>
      <c r="AX3925"/>
      <c r="AY3925"/>
      <c r="BK3925" s="42">
        <v>3924</v>
      </c>
      <c r="BL3925" s="127">
        <v>4</v>
      </c>
      <c r="BM3925" s="127">
        <v>0.11332468572476186</v>
      </c>
      <c r="BN3925" s="127" t="e">
        <v>#N/A</v>
      </c>
      <c r="BO3925" s="127" t="e">
        <v>#N/A</v>
      </c>
      <c r="BP3925" s="151" t="e">
        <v>#N/A</v>
      </c>
      <c r="BQ3925">
        <v>0.11332468572476186</v>
      </c>
      <c r="BR3925" t="str">
        <v/>
      </c>
    </row>
    <row r="3926" spans="47:70" x14ac:dyDescent="0.2">
      <c r="AU3926"/>
      <c r="AV3926"/>
      <c r="AW3926"/>
      <c r="AX3926"/>
      <c r="AY3926"/>
      <c r="BK3926" s="42">
        <v>3925</v>
      </c>
      <c r="BL3926" s="127">
        <v>4</v>
      </c>
      <c r="BM3926" s="127">
        <v>0.11332468572476186</v>
      </c>
      <c r="BN3926" s="127" t="e">
        <v>#N/A</v>
      </c>
      <c r="BO3926" s="127" t="e">
        <v>#N/A</v>
      </c>
      <c r="BP3926" s="151" t="e">
        <v>#N/A</v>
      </c>
      <c r="BQ3926">
        <v>0.11332468572476186</v>
      </c>
      <c r="BR3926" t="str">
        <v/>
      </c>
    </row>
    <row r="3927" spans="47:70" x14ac:dyDescent="0.2">
      <c r="AU3927"/>
      <c r="AV3927"/>
      <c r="AW3927"/>
      <c r="AX3927"/>
      <c r="AY3927"/>
      <c r="BK3927" s="42">
        <v>3926</v>
      </c>
      <c r="BL3927" s="127">
        <v>4</v>
      </c>
      <c r="BM3927" s="127">
        <v>0.11332468572476186</v>
      </c>
      <c r="BN3927" s="127" t="e">
        <v>#N/A</v>
      </c>
      <c r="BO3927" s="127" t="e">
        <v>#N/A</v>
      </c>
      <c r="BP3927" s="151" t="e">
        <v>#N/A</v>
      </c>
      <c r="BQ3927">
        <v>0.11332468572476186</v>
      </c>
      <c r="BR3927" t="str">
        <v/>
      </c>
    </row>
    <row r="3928" spans="47:70" x14ac:dyDescent="0.2">
      <c r="AU3928"/>
      <c r="AV3928"/>
      <c r="AW3928"/>
      <c r="AX3928"/>
      <c r="AY3928"/>
      <c r="BK3928" s="42">
        <v>3927</v>
      </c>
      <c r="BL3928" s="127">
        <v>4</v>
      </c>
      <c r="BM3928" s="127">
        <v>0.11332468572476186</v>
      </c>
      <c r="BN3928" s="127" t="e">
        <v>#N/A</v>
      </c>
      <c r="BO3928" s="127" t="e">
        <v>#N/A</v>
      </c>
      <c r="BP3928" s="151" t="e">
        <v>#N/A</v>
      </c>
      <c r="BQ3928">
        <v>0.11332468572476186</v>
      </c>
      <c r="BR3928" t="str">
        <v/>
      </c>
    </row>
    <row r="3929" spans="47:70" x14ac:dyDescent="0.2">
      <c r="AU3929"/>
      <c r="AV3929"/>
      <c r="AW3929"/>
      <c r="AX3929"/>
      <c r="AY3929"/>
      <c r="BK3929" s="42">
        <v>3928</v>
      </c>
      <c r="BL3929" s="127">
        <v>4</v>
      </c>
      <c r="BM3929" s="127">
        <v>0.11332468572476186</v>
      </c>
      <c r="BN3929" s="127" t="e">
        <v>#N/A</v>
      </c>
      <c r="BO3929" s="127" t="e">
        <v>#N/A</v>
      </c>
      <c r="BP3929" s="151" t="e">
        <v>#N/A</v>
      </c>
      <c r="BQ3929">
        <v>0.11332468572476186</v>
      </c>
      <c r="BR3929" t="str">
        <v/>
      </c>
    </row>
    <row r="3930" spans="47:70" x14ac:dyDescent="0.2">
      <c r="AU3930"/>
      <c r="AV3930"/>
      <c r="AW3930"/>
      <c r="AX3930"/>
      <c r="AY3930"/>
      <c r="BK3930" s="42">
        <v>3929</v>
      </c>
      <c r="BL3930" s="127">
        <v>4</v>
      </c>
      <c r="BM3930" s="127">
        <v>0.11332468572476186</v>
      </c>
      <c r="BN3930" s="127" t="e">
        <v>#N/A</v>
      </c>
      <c r="BO3930" s="127" t="e">
        <v>#N/A</v>
      </c>
      <c r="BP3930" s="151" t="e">
        <v>#N/A</v>
      </c>
      <c r="BQ3930">
        <v>0.11332468572476186</v>
      </c>
      <c r="BR3930" t="str">
        <v/>
      </c>
    </row>
    <row r="3931" spans="47:70" x14ac:dyDescent="0.2">
      <c r="AU3931"/>
      <c r="AV3931"/>
      <c r="AW3931"/>
      <c r="AX3931"/>
      <c r="AY3931"/>
      <c r="BK3931" s="42">
        <v>3930</v>
      </c>
      <c r="BL3931" s="127">
        <v>4</v>
      </c>
      <c r="BM3931" s="127">
        <v>0.11332468572476186</v>
      </c>
      <c r="BN3931" s="127" t="e">
        <v>#N/A</v>
      </c>
      <c r="BO3931" s="127" t="e">
        <v>#N/A</v>
      </c>
      <c r="BP3931" s="151" t="e">
        <v>#N/A</v>
      </c>
      <c r="BQ3931">
        <v>0.11332468572476186</v>
      </c>
      <c r="BR3931" t="str">
        <v/>
      </c>
    </row>
    <row r="3932" spans="47:70" x14ac:dyDescent="0.2">
      <c r="AU3932"/>
      <c r="AV3932"/>
      <c r="AW3932"/>
      <c r="AX3932"/>
      <c r="AY3932"/>
      <c r="BK3932" s="42">
        <v>3931</v>
      </c>
      <c r="BL3932" s="127">
        <v>4</v>
      </c>
      <c r="BM3932" s="127">
        <v>0.11332468572476186</v>
      </c>
      <c r="BN3932" s="127" t="e">
        <v>#N/A</v>
      </c>
      <c r="BO3932" s="127" t="e">
        <v>#N/A</v>
      </c>
      <c r="BP3932" s="151" t="e">
        <v>#N/A</v>
      </c>
      <c r="BQ3932">
        <v>0.11332468572476186</v>
      </c>
      <c r="BR3932" t="str">
        <v/>
      </c>
    </row>
    <row r="3933" spans="47:70" x14ac:dyDescent="0.2">
      <c r="AU3933"/>
      <c r="AV3933"/>
      <c r="AW3933"/>
      <c r="AX3933"/>
      <c r="AY3933"/>
      <c r="BK3933" s="42">
        <v>3932</v>
      </c>
      <c r="BL3933" s="127">
        <v>4</v>
      </c>
      <c r="BM3933" s="127">
        <v>0.11332468572476186</v>
      </c>
      <c r="BN3933" s="127" t="e">
        <v>#N/A</v>
      </c>
      <c r="BO3933" s="127" t="e">
        <v>#N/A</v>
      </c>
      <c r="BP3933" s="151" t="e">
        <v>#N/A</v>
      </c>
      <c r="BQ3933">
        <v>0.11332468572476186</v>
      </c>
      <c r="BR3933" t="str">
        <v/>
      </c>
    </row>
    <row r="3934" spans="47:70" x14ac:dyDescent="0.2">
      <c r="AU3934"/>
      <c r="AV3934"/>
      <c r="AW3934"/>
      <c r="AX3934"/>
      <c r="AY3934"/>
      <c r="BK3934" s="42">
        <v>3933</v>
      </c>
      <c r="BL3934" s="127">
        <v>4</v>
      </c>
      <c r="BM3934" s="127">
        <v>0.11332468572476186</v>
      </c>
      <c r="BN3934" s="127" t="e">
        <v>#N/A</v>
      </c>
      <c r="BO3934" s="127" t="e">
        <v>#N/A</v>
      </c>
      <c r="BP3934" s="151" t="e">
        <v>#N/A</v>
      </c>
      <c r="BQ3934">
        <v>0.11332468572476186</v>
      </c>
      <c r="BR3934" t="str">
        <v/>
      </c>
    </row>
    <row r="3935" spans="47:70" x14ac:dyDescent="0.2">
      <c r="AU3935"/>
      <c r="AV3935"/>
      <c r="AW3935"/>
      <c r="AX3935"/>
      <c r="AY3935"/>
      <c r="BK3935" s="42">
        <v>3934</v>
      </c>
      <c r="BL3935" s="127">
        <v>4</v>
      </c>
      <c r="BM3935" s="127">
        <v>0.11332468572476186</v>
      </c>
      <c r="BN3935" s="127" t="e">
        <v>#N/A</v>
      </c>
      <c r="BO3935" s="127" t="e">
        <v>#N/A</v>
      </c>
      <c r="BP3935" s="151" t="e">
        <v>#N/A</v>
      </c>
      <c r="BQ3935">
        <v>0.11332468572476186</v>
      </c>
      <c r="BR3935" t="str">
        <v/>
      </c>
    </row>
    <row r="3936" spans="47:70" x14ac:dyDescent="0.2">
      <c r="AU3936"/>
      <c r="AV3936"/>
      <c r="AW3936"/>
      <c r="AX3936"/>
      <c r="AY3936"/>
      <c r="BK3936" s="42">
        <v>3935</v>
      </c>
      <c r="BL3936" s="127">
        <v>4</v>
      </c>
      <c r="BM3936" s="127">
        <v>0.11332468572476186</v>
      </c>
      <c r="BN3936" s="127" t="e">
        <v>#N/A</v>
      </c>
      <c r="BO3936" s="127" t="e">
        <v>#N/A</v>
      </c>
      <c r="BP3936" s="151" t="e">
        <v>#N/A</v>
      </c>
      <c r="BQ3936">
        <v>0.11332468572476186</v>
      </c>
      <c r="BR3936" t="str">
        <v/>
      </c>
    </row>
    <row r="3937" spans="47:70" x14ac:dyDescent="0.2">
      <c r="AU3937"/>
      <c r="AV3937"/>
      <c r="AW3937"/>
      <c r="AX3937"/>
      <c r="AY3937"/>
      <c r="BK3937" s="42">
        <v>3936</v>
      </c>
      <c r="BL3937" s="127">
        <v>4</v>
      </c>
      <c r="BM3937" s="127">
        <v>0.11332468572476186</v>
      </c>
      <c r="BN3937" s="127" t="e">
        <v>#N/A</v>
      </c>
      <c r="BO3937" s="127" t="e">
        <v>#N/A</v>
      </c>
      <c r="BP3937" s="151" t="e">
        <v>#N/A</v>
      </c>
      <c r="BQ3937">
        <v>0.11332468572476186</v>
      </c>
      <c r="BR3937" t="str">
        <v/>
      </c>
    </row>
    <row r="3938" spans="47:70" x14ac:dyDescent="0.2">
      <c r="AU3938"/>
      <c r="AV3938"/>
      <c r="AW3938"/>
      <c r="AX3938"/>
      <c r="AY3938"/>
      <c r="BK3938" s="42">
        <v>3937</v>
      </c>
      <c r="BL3938" s="127">
        <v>4</v>
      </c>
      <c r="BM3938" s="127">
        <v>0.11332468572476186</v>
      </c>
      <c r="BN3938" s="127" t="e">
        <v>#N/A</v>
      </c>
      <c r="BO3938" s="127" t="e">
        <v>#N/A</v>
      </c>
      <c r="BP3938" s="151" t="e">
        <v>#N/A</v>
      </c>
      <c r="BQ3938">
        <v>0.11332468572476186</v>
      </c>
      <c r="BR3938" t="str">
        <v/>
      </c>
    </row>
    <row r="3939" spans="47:70" x14ac:dyDescent="0.2">
      <c r="AU3939"/>
      <c r="AV3939"/>
      <c r="AW3939"/>
      <c r="AX3939"/>
      <c r="AY3939"/>
      <c r="BK3939" s="42">
        <v>3938</v>
      </c>
      <c r="BL3939" s="127">
        <v>4</v>
      </c>
      <c r="BM3939" s="127">
        <v>0.11332468572476186</v>
      </c>
      <c r="BN3939" s="127" t="e">
        <v>#N/A</v>
      </c>
      <c r="BO3939" s="127" t="e">
        <v>#N/A</v>
      </c>
      <c r="BP3939" s="151" t="e">
        <v>#N/A</v>
      </c>
      <c r="BQ3939">
        <v>0.11332468572476186</v>
      </c>
      <c r="BR3939" t="str">
        <v/>
      </c>
    </row>
    <row r="3940" spans="47:70" x14ac:dyDescent="0.2">
      <c r="AU3940"/>
      <c r="AV3940"/>
      <c r="AW3940"/>
      <c r="AX3940"/>
      <c r="AY3940"/>
      <c r="BK3940" s="42">
        <v>3939</v>
      </c>
      <c r="BL3940" s="127">
        <v>4</v>
      </c>
      <c r="BM3940" s="127">
        <v>0.11332468572476186</v>
      </c>
      <c r="BN3940" s="127" t="e">
        <v>#N/A</v>
      </c>
      <c r="BO3940" s="127" t="e">
        <v>#N/A</v>
      </c>
      <c r="BP3940" s="151" t="e">
        <v>#N/A</v>
      </c>
      <c r="BQ3940">
        <v>0.11332468572476186</v>
      </c>
      <c r="BR3940" t="str">
        <v/>
      </c>
    </row>
    <row r="3941" spans="47:70" x14ac:dyDescent="0.2">
      <c r="AU3941"/>
      <c r="AV3941"/>
      <c r="AW3941"/>
      <c r="AX3941"/>
      <c r="AY3941"/>
      <c r="BK3941" s="42">
        <v>3940</v>
      </c>
      <c r="BL3941" s="127">
        <v>4</v>
      </c>
      <c r="BM3941" s="127">
        <v>0.11332468572476186</v>
      </c>
      <c r="BN3941" s="127" t="e">
        <v>#N/A</v>
      </c>
      <c r="BO3941" s="127" t="e">
        <v>#N/A</v>
      </c>
      <c r="BP3941" s="151" t="e">
        <v>#N/A</v>
      </c>
      <c r="BQ3941">
        <v>0.11332468572476186</v>
      </c>
      <c r="BR3941" t="str">
        <v/>
      </c>
    </row>
    <row r="3942" spans="47:70" x14ac:dyDescent="0.2">
      <c r="AU3942"/>
      <c r="AV3942"/>
      <c r="AW3942"/>
      <c r="AX3942"/>
      <c r="AY3942"/>
      <c r="BK3942" s="42">
        <v>3941</v>
      </c>
      <c r="BL3942" s="127">
        <v>4</v>
      </c>
      <c r="BM3942" s="127">
        <v>0.11332468572476186</v>
      </c>
      <c r="BN3942" s="127" t="e">
        <v>#N/A</v>
      </c>
      <c r="BO3942" s="127" t="e">
        <v>#N/A</v>
      </c>
      <c r="BP3942" s="151" t="e">
        <v>#N/A</v>
      </c>
      <c r="BQ3942">
        <v>0.11332468572476186</v>
      </c>
      <c r="BR3942" t="str">
        <v/>
      </c>
    </row>
    <row r="3943" spans="47:70" x14ac:dyDescent="0.2">
      <c r="AU3943"/>
      <c r="AV3943"/>
      <c r="AW3943"/>
      <c r="AX3943"/>
      <c r="AY3943"/>
      <c r="BK3943" s="42">
        <v>3942</v>
      </c>
      <c r="BL3943" s="127">
        <v>4</v>
      </c>
      <c r="BM3943" s="127">
        <v>0.11332468572476186</v>
      </c>
      <c r="BN3943" s="127" t="e">
        <v>#N/A</v>
      </c>
      <c r="BO3943" s="127" t="e">
        <v>#N/A</v>
      </c>
      <c r="BP3943" s="151" t="e">
        <v>#N/A</v>
      </c>
      <c r="BQ3943">
        <v>0.11332468572476186</v>
      </c>
      <c r="BR3943" t="str">
        <v/>
      </c>
    </row>
    <row r="3944" spans="47:70" x14ac:dyDescent="0.2">
      <c r="AU3944"/>
      <c r="AV3944"/>
      <c r="AW3944"/>
      <c r="AX3944"/>
      <c r="AY3944"/>
      <c r="BK3944" s="42">
        <v>3943</v>
      </c>
      <c r="BL3944" s="127">
        <v>4</v>
      </c>
      <c r="BM3944" s="127">
        <v>0.11332468572476186</v>
      </c>
      <c r="BN3944" s="127" t="e">
        <v>#N/A</v>
      </c>
      <c r="BO3944" s="127" t="e">
        <v>#N/A</v>
      </c>
      <c r="BP3944" s="151" t="e">
        <v>#N/A</v>
      </c>
      <c r="BQ3944">
        <v>0.11332468572476186</v>
      </c>
      <c r="BR3944" t="str">
        <v/>
      </c>
    </row>
    <row r="3945" spans="47:70" x14ac:dyDescent="0.2">
      <c r="AU3945"/>
      <c r="AV3945"/>
      <c r="AW3945"/>
      <c r="AX3945"/>
      <c r="AY3945"/>
      <c r="BK3945" s="42">
        <v>3944</v>
      </c>
      <c r="BL3945" s="127">
        <v>4</v>
      </c>
      <c r="BM3945" s="127">
        <v>0.11332468572476186</v>
      </c>
      <c r="BN3945" s="127" t="e">
        <v>#N/A</v>
      </c>
      <c r="BO3945" s="127" t="e">
        <v>#N/A</v>
      </c>
      <c r="BP3945" s="151" t="e">
        <v>#N/A</v>
      </c>
      <c r="BQ3945">
        <v>0.11332468572476186</v>
      </c>
      <c r="BR3945" t="str">
        <v/>
      </c>
    </row>
    <row r="3946" spans="47:70" x14ac:dyDescent="0.2">
      <c r="AU3946"/>
      <c r="AV3946"/>
      <c r="AW3946"/>
      <c r="AX3946"/>
      <c r="AY3946"/>
      <c r="BK3946" s="42">
        <v>3945</v>
      </c>
      <c r="BL3946" s="127">
        <v>4</v>
      </c>
      <c r="BM3946" s="127">
        <v>0.11332468572476186</v>
      </c>
      <c r="BN3946" s="127" t="e">
        <v>#N/A</v>
      </c>
      <c r="BO3946" s="127" t="e">
        <v>#N/A</v>
      </c>
      <c r="BP3946" s="151" t="e">
        <v>#N/A</v>
      </c>
      <c r="BQ3946">
        <v>0.11332468572476186</v>
      </c>
      <c r="BR3946" t="str">
        <v/>
      </c>
    </row>
    <row r="3947" spans="47:70" x14ac:dyDescent="0.2">
      <c r="AU3947"/>
      <c r="AV3947"/>
      <c r="AW3947"/>
      <c r="AX3947"/>
      <c r="AY3947"/>
      <c r="BK3947" s="42">
        <v>3946</v>
      </c>
      <c r="BL3947" s="127">
        <v>4</v>
      </c>
      <c r="BM3947" s="127">
        <v>0.11332468572476186</v>
      </c>
      <c r="BN3947" s="127" t="e">
        <v>#N/A</v>
      </c>
      <c r="BO3947" s="127" t="e">
        <v>#N/A</v>
      </c>
      <c r="BP3947" s="151" t="e">
        <v>#N/A</v>
      </c>
      <c r="BQ3947">
        <v>0.11332468572476186</v>
      </c>
      <c r="BR3947" t="str">
        <v/>
      </c>
    </row>
    <row r="3948" spans="47:70" x14ac:dyDescent="0.2">
      <c r="AU3948"/>
      <c r="AV3948"/>
      <c r="AW3948"/>
      <c r="AX3948"/>
      <c r="AY3948"/>
      <c r="BK3948" s="42">
        <v>3947</v>
      </c>
      <c r="BL3948" s="127">
        <v>4</v>
      </c>
      <c r="BM3948" s="127">
        <v>0.11332468572476186</v>
      </c>
      <c r="BN3948" s="127" t="e">
        <v>#N/A</v>
      </c>
      <c r="BO3948" s="127" t="e">
        <v>#N/A</v>
      </c>
      <c r="BP3948" s="151" t="e">
        <v>#N/A</v>
      </c>
      <c r="BQ3948">
        <v>0.11332468572476186</v>
      </c>
      <c r="BR3948" t="str">
        <v/>
      </c>
    </row>
    <row r="3949" spans="47:70" x14ac:dyDescent="0.2">
      <c r="AU3949"/>
      <c r="AV3949"/>
      <c r="AW3949"/>
      <c r="AX3949"/>
      <c r="AY3949"/>
      <c r="BK3949" s="42">
        <v>3948</v>
      </c>
      <c r="BL3949" s="127">
        <v>4</v>
      </c>
      <c r="BM3949" s="127">
        <v>0.11332468572476186</v>
      </c>
      <c r="BN3949" s="127" t="e">
        <v>#N/A</v>
      </c>
      <c r="BO3949" s="127" t="e">
        <v>#N/A</v>
      </c>
      <c r="BP3949" s="151" t="e">
        <v>#N/A</v>
      </c>
      <c r="BQ3949">
        <v>0.11332468572476186</v>
      </c>
      <c r="BR3949" t="str">
        <v/>
      </c>
    </row>
    <row r="3950" spans="47:70" x14ac:dyDescent="0.2">
      <c r="AU3950"/>
      <c r="AV3950"/>
      <c r="AW3950"/>
      <c r="AX3950"/>
      <c r="AY3950"/>
      <c r="BK3950" s="42">
        <v>3949</v>
      </c>
      <c r="BL3950" s="127">
        <v>4</v>
      </c>
      <c r="BM3950" s="127">
        <v>0.11332468572476186</v>
      </c>
      <c r="BN3950" s="127" t="e">
        <v>#N/A</v>
      </c>
      <c r="BO3950" s="127" t="e">
        <v>#N/A</v>
      </c>
      <c r="BP3950" s="151" t="e">
        <v>#N/A</v>
      </c>
      <c r="BQ3950">
        <v>0.11332468572476186</v>
      </c>
      <c r="BR3950" t="str">
        <v/>
      </c>
    </row>
    <row r="3951" spans="47:70" x14ac:dyDescent="0.2">
      <c r="AU3951"/>
      <c r="AV3951"/>
      <c r="AW3951"/>
      <c r="AX3951"/>
      <c r="AY3951"/>
      <c r="BK3951" s="42">
        <v>3950</v>
      </c>
      <c r="BL3951" s="127">
        <v>4</v>
      </c>
      <c r="BM3951" s="127">
        <v>0.11332468572476186</v>
      </c>
      <c r="BN3951" s="127" t="e">
        <v>#N/A</v>
      </c>
      <c r="BO3951" s="127" t="e">
        <v>#N/A</v>
      </c>
      <c r="BP3951" s="151" t="e">
        <v>#N/A</v>
      </c>
      <c r="BQ3951">
        <v>0.11332468572476186</v>
      </c>
      <c r="BR3951" t="str">
        <v/>
      </c>
    </row>
    <row r="3952" spans="47:70" x14ac:dyDescent="0.2">
      <c r="AU3952"/>
      <c r="AV3952"/>
      <c r="AW3952"/>
      <c r="AX3952"/>
      <c r="AY3952"/>
      <c r="BK3952" s="42">
        <v>3951</v>
      </c>
      <c r="BL3952" s="127">
        <v>4</v>
      </c>
      <c r="BM3952" s="127">
        <v>0.11332468572476186</v>
      </c>
      <c r="BN3952" s="127" t="e">
        <v>#N/A</v>
      </c>
      <c r="BO3952" s="127" t="e">
        <v>#N/A</v>
      </c>
      <c r="BP3952" s="151" t="e">
        <v>#N/A</v>
      </c>
      <c r="BQ3952">
        <v>0.11332468572476186</v>
      </c>
      <c r="BR3952" t="str">
        <v/>
      </c>
    </row>
    <row r="3953" spans="47:70" x14ac:dyDescent="0.2">
      <c r="AU3953"/>
      <c r="AV3953"/>
      <c r="AW3953"/>
      <c r="AX3953"/>
      <c r="AY3953"/>
      <c r="BK3953" s="42">
        <v>3952</v>
      </c>
      <c r="BL3953" s="127">
        <v>4</v>
      </c>
      <c r="BM3953" s="127">
        <v>0.11332468572476186</v>
      </c>
      <c r="BN3953" s="127" t="e">
        <v>#N/A</v>
      </c>
      <c r="BO3953" s="127" t="e">
        <v>#N/A</v>
      </c>
      <c r="BP3953" s="151" t="e">
        <v>#N/A</v>
      </c>
      <c r="BQ3953">
        <v>0.11332468572476186</v>
      </c>
      <c r="BR3953" t="str">
        <v/>
      </c>
    </row>
    <row r="3954" spans="47:70" x14ac:dyDescent="0.2">
      <c r="AU3954"/>
      <c r="AV3954"/>
      <c r="AW3954"/>
      <c r="AX3954"/>
      <c r="AY3954"/>
      <c r="BK3954" s="42">
        <v>3953</v>
      </c>
      <c r="BL3954" s="127">
        <v>4</v>
      </c>
      <c r="BM3954" s="127">
        <v>0.11332468572476186</v>
      </c>
      <c r="BN3954" s="127" t="e">
        <v>#N/A</v>
      </c>
      <c r="BO3954" s="127" t="e">
        <v>#N/A</v>
      </c>
      <c r="BP3954" s="151" t="e">
        <v>#N/A</v>
      </c>
      <c r="BQ3954">
        <v>0.11332468572476186</v>
      </c>
      <c r="BR3954" t="str">
        <v/>
      </c>
    </row>
    <row r="3955" spans="47:70" x14ac:dyDescent="0.2">
      <c r="AU3955"/>
      <c r="AV3955"/>
      <c r="AW3955"/>
      <c r="AX3955"/>
      <c r="AY3955"/>
      <c r="BK3955" s="42">
        <v>3954</v>
      </c>
      <c r="BL3955" s="127">
        <v>4</v>
      </c>
      <c r="BM3955" s="127">
        <v>0.11332468572476186</v>
      </c>
      <c r="BN3955" s="127" t="e">
        <v>#N/A</v>
      </c>
      <c r="BO3955" s="127" t="e">
        <v>#N/A</v>
      </c>
      <c r="BP3955" s="151" t="e">
        <v>#N/A</v>
      </c>
      <c r="BQ3955">
        <v>0.11332468572476186</v>
      </c>
      <c r="BR3955" t="str">
        <v/>
      </c>
    </row>
    <row r="3956" spans="47:70" x14ac:dyDescent="0.2">
      <c r="AU3956"/>
      <c r="AV3956"/>
      <c r="AW3956"/>
      <c r="AX3956"/>
      <c r="AY3956"/>
      <c r="BK3956" s="42">
        <v>3955</v>
      </c>
      <c r="BL3956" s="127">
        <v>4</v>
      </c>
      <c r="BM3956" s="127">
        <v>0.11332468572476186</v>
      </c>
      <c r="BN3956" s="127" t="e">
        <v>#N/A</v>
      </c>
      <c r="BO3956" s="127" t="e">
        <v>#N/A</v>
      </c>
      <c r="BP3956" s="151" t="e">
        <v>#N/A</v>
      </c>
      <c r="BQ3956">
        <v>0.11332468572476186</v>
      </c>
      <c r="BR3956" t="str">
        <v/>
      </c>
    </row>
    <row r="3957" spans="47:70" x14ac:dyDescent="0.2">
      <c r="AU3957"/>
      <c r="AV3957"/>
      <c r="AW3957"/>
      <c r="AX3957"/>
      <c r="AY3957"/>
      <c r="BK3957" s="42">
        <v>3956</v>
      </c>
      <c r="BL3957" s="127">
        <v>4</v>
      </c>
      <c r="BM3957" s="127">
        <v>0.11332468572476186</v>
      </c>
      <c r="BN3957" s="127" t="e">
        <v>#N/A</v>
      </c>
      <c r="BO3957" s="127" t="e">
        <v>#N/A</v>
      </c>
      <c r="BP3957" s="151" t="e">
        <v>#N/A</v>
      </c>
      <c r="BQ3957">
        <v>0.11332468572476186</v>
      </c>
      <c r="BR3957" t="str">
        <v/>
      </c>
    </row>
    <row r="3958" spans="47:70" x14ac:dyDescent="0.2">
      <c r="AU3958"/>
      <c r="AV3958"/>
      <c r="AW3958"/>
      <c r="AX3958"/>
      <c r="AY3958"/>
      <c r="BK3958" s="42">
        <v>3957</v>
      </c>
      <c r="BL3958" s="127">
        <v>4</v>
      </c>
      <c r="BM3958" s="127">
        <v>0.11332468572476186</v>
      </c>
      <c r="BN3958" s="127" t="e">
        <v>#N/A</v>
      </c>
      <c r="BO3958" s="127" t="e">
        <v>#N/A</v>
      </c>
      <c r="BP3958" s="151" t="e">
        <v>#N/A</v>
      </c>
      <c r="BQ3958">
        <v>0.11332468572476186</v>
      </c>
      <c r="BR3958" t="str">
        <v/>
      </c>
    </row>
    <row r="3959" spans="47:70" x14ac:dyDescent="0.2">
      <c r="AU3959"/>
      <c r="AV3959"/>
      <c r="AW3959"/>
      <c r="AX3959"/>
      <c r="AY3959"/>
      <c r="BK3959" s="42">
        <v>3958</v>
      </c>
      <c r="BL3959" s="127">
        <v>4</v>
      </c>
      <c r="BM3959" s="127">
        <v>0.11332468572476186</v>
      </c>
      <c r="BN3959" s="127" t="e">
        <v>#N/A</v>
      </c>
      <c r="BO3959" s="127" t="e">
        <v>#N/A</v>
      </c>
      <c r="BP3959" s="151" t="e">
        <v>#N/A</v>
      </c>
      <c r="BQ3959">
        <v>0.11332468572476186</v>
      </c>
      <c r="BR3959" t="str">
        <v/>
      </c>
    </row>
    <row r="3960" spans="47:70" x14ac:dyDescent="0.2">
      <c r="AU3960"/>
      <c r="AV3960"/>
      <c r="AW3960"/>
      <c r="AX3960"/>
      <c r="AY3960"/>
      <c r="BK3960" s="42">
        <v>3959</v>
      </c>
      <c r="BL3960" s="127">
        <v>4</v>
      </c>
      <c r="BM3960" s="127">
        <v>0.11332468572476186</v>
      </c>
      <c r="BN3960" s="127" t="e">
        <v>#N/A</v>
      </c>
      <c r="BO3960" s="127" t="e">
        <v>#N/A</v>
      </c>
      <c r="BP3960" s="151" t="e">
        <v>#N/A</v>
      </c>
      <c r="BQ3960">
        <v>0.11332468572476186</v>
      </c>
      <c r="BR3960" t="str">
        <v/>
      </c>
    </row>
    <row r="3961" spans="47:70" x14ac:dyDescent="0.2">
      <c r="AU3961"/>
      <c r="AV3961"/>
      <c r="AW3961"/>
      <c r="AX3961"/>
      <c r="AY3961"/>
      <c r="BK3961" s="42">
        <v>3960</v>
      </c>
      <c r="BL3961" s="127">
        <v>4</v>
      </c>
      <c r="BM3961" s="127">
        <v>0.11332468572476186</v>
      </c>
      <c r="BN3961" s="127" t="e">
        <v>#N/A</v>
      </c>
      <c r="BO3961" s="127" t="e">
        <v>#N/A</v>
      </c>
      <c r="BP3961" s="151" t="e">
        <v>#N/A</v>
      </c>
      <c r="BQ3961">
        <v>0.11332468572476186</v>
      </c>
      <c r="BR3961" t="str">
        <v/>
      </c>
    </row>
    <row r="3962" spans="47:70" x14ac:dyDescent="0.2">
      <c r="AU3962"/>
      <c r="AV3962"/>
      <c r="AW3962"/>
      <c r="AX3962"/>
      <c r="AY3962"/>
      <c r="BK3962" s="42">
        <v>3961</v>
      </c>
      <c r="BL3962" s="127">
        <v>4</v>
      </c>
      <c r="BM3962" s="127">
        <v>0.11332468572476186</v>
      </c>
      <c r="BN3962" s="127" t="e">
        <v>#N/A</v>
      </c>
      <c r="BO3962" s="127" t="e">
        <v>#N/A</v>
      </c>
      <c r="BP3962" s="151" t="e">
        <v>#N/A</v>
      </c>
      <c r="BQ3962">
        <v>0.11332468572476186</v>
      </c>
      <c r="BR3962" t="str">
        <v/>
      </c>
    </row>
    <row r="3963" spans="47:70" x14ac:dyDescent="0.2">
      <c r="AU3963"/>
      <c r="AV3963"/>
      <c r="AW3963"/>
      <c r="AX3963"/>
      <c r="AY3963"/>
      <c r="BK3963" s="42">
        <v>3962</v>
      </c>
      <c r="BL3963" s="127">
        <v>4</v>
      </c>
      <c r="BM3963" s="127">
        <v>0.11332468572476186</v>
      </c>
      <c r="BN3963" s="127" t="e">
        <v>#N/A</v>
      </c>
      <c r="BO3963" s="127" t="e">
        <v>#N/A</v>
      </c>
      <c r="BP3963" s="151" t="e">
        <v>#N/A</v>
      </c>
      <c r="BQ3963">
        <v>0.11332468572476186</v>
      </c>
      <c r="BR3963" t="str">
        <v/>
      </c>
    </row>
    <row r="3964" spans="47:70" x14ac:dyDescent="0.2">
      <c r="AU3964"/>
      <c r="AV3964"/>
      <c r="AW3964"/>
      <c r="AX3964"/>
      <c r="AY3964"/>
      <c r="BK3964" s="42">
        <v>3963</v>
      </c>
      <c r="BL3964" s="127">
        <v>4</v>
      </c>
      <c r="BM3964" s="127">
        <v>0.11332468572476186</v>
      </c>
      <c r="BN3964" s="127" t="e">
        <v>#N/A</v>
      </c>
      <c r="BO3964" s="127" t="e">
        <v>#N/A</v>
      </c>
      <c r="BP3964" s="151" t="e">
        <v>#N/A</v>
      </c>
      <c r="BQ3964">
        <v>0.11332468572476186</v>
      </c>
      <c r="BR3964" t="str">
        <v/>
      </c>
    </row>
    <row r="3965" spans="47:70" x14ac:dyDescent="0.2">
      <c r="AU3965"/>
      <c r="AV3965"/>
      <c r="AW3965"/>
      <c r="AX3965"/>
      <c r="AY3965"/>
      <c r="BK3965" s="42">
        <v>3964</v>
      </c>
      <c r="BL3965" s="127">
        <v>4</v>
      </c>
      <c r="BM3965" s="127">
        <v>0.11332468572476186</v>
      </c>
      <c r="BN3965" s="127" t="e">
        <v>#N/A</v>
      </c>
      <c r="BO3965" s="127" t="e">
        <v>#N/A</v>
      </c>
      <c r="BP3965" s="151" t="e">
        <v>#N/A</v>
      </c>
      <c r="BQ3965">
        <v>0.11332468572476186</v>
      </c>
      <c r="BR3965" t="str">
        <v/>
      </c>
    </row>
    <row r="3966" spans="47:70" x14ac:dyDescent="0.2">
      <c r="AU3966"/>
      <c r="AV3966"/>
      <c r="AW3966"/>
      <c r="AX3966"/>
      <c r="AY3966"/>
      <c r="BK3966" s="42">
        <v>3965</v>
      </c>
      <c r="BL3966" s="127">
        <v>4</v>
      </c>
      <c r="BM3966" s="127">
        <v>0.11332468572476186</v>
      </c>
      <c r="BN3966" s="127" t="e">
        <v>#N/A</v>
      </c>
      <c r="BO3966" s="127" t="e">
        <v>#N/A</v>
      </c>
      <c r="BP3966" s="151" t="e">
        <v>#N/A</v>
      </c>
      <c r="BQ3966">
        <v>0.11332468572476186</v>
      </c>
      <c r="BR3966" t="str">
        <v/>
      </c>
    </row>
    <row r="3967" spans="47:70" x14ac:dyDescent="0.2">
      <c r="AU3967"/>
      <c r="AV3967"/>
      <c r="AW3967"/>
      <c r="AX3967"/>
      <c r="AY3967"/>
      <c r="BK3967" s="42">
        <v>3966</v>
      </c>
      <c r="BL3967" s="127">
        <v>4</v>
      </c>
      <c r="BM3967" s="127">
        <v>0.11332468572476186</v>
      </c>
      <c r="BN3967" s="127" t="e">
        <v>#N/A</v>
      </c>
      <c r="BO3967" s="127" t="e">
        <v>#N/A</v>
      </c>
      <c r="BP3967" s="151" t="e">
        <v>#N/A</v>
      </c>
      <c r="BQ3967">
        <v>0.11332468572476186</v>
      </c>
      <c r="BR3967" t="str">
        <v/>
      </c>
    </row>
    <row r="3968" spans="47:70" x14ac:dyDescent="0.2">
      <c r="AU3968"/>
      <c r="AV3968"/>
      <c r="AW3968"/>
      <c r="AX3968"/>
      <c r="AY3968"/>
      <c r="BK3968" s="42">
        <v>3967</v>
      </c>
      <c r="BL3968" s="127">
        <v>4</v>
      </c>
      <c r="BM3968" s="127">
        <v>0.11332468572476186</v>
      </c>
      <c r="BN3968" s="127" t="e">
        <v>#N/A</v>
      </c>
      <c r="BO3968" s="127" t="e">
        <v>#N/A</v>
      </c>
      <c r="BP3968" s="151" t="e">
        <v>#N/A</v>
      </c>
      <c r="BQ3968">
        <v>0.11332468572476186</v>
      </c>
      <c r="BR3968" t="str">
        <v/>
      </c>
    </row>
    <row r="3969" spans="47:70" x14ac:dyDescent="0.2">
      <c r="AU3969"/>
      <c r="AV3969"/>
      <c r="AW3969"/>
      <c r="AX3969"/>
      <c r="AY3969"/>
      <c r="BK3969" s="42">
        <v>3968</v>
      </c>
      <c r="BL3969" s="127">
        <v>4</v>
      </c>
      <c r="BM3969" s="127">
        <v>0.11332468572476186</v>
      </c>
      <c r="BN3969" s="127" t="e">
        <v>#N/A</v>
      </c>
      <c r="BO3969" s="127" t="e">
        <v>#N/A</v>
      </c>
      <c r="BP3969" s="151" t="e">
        <v>#N/A</v>
      </c>
      <c r="BQ3969">
        <v>0.11332468572476186</v>
      </c>
      <c r="BR3969" t="str">
        <v/>
      </c>
    </row>
    <row r="3970" spans="47:70" x14ac:dyDescent="0.2">
      <c r="AU3970"/>
      <c r="AV3970"/>
      <c r="AW3970"/>
      <c r="AX3970"/>
      <c r="AY3970"/>
      <c r="BK3970" s="42">
        <v>3969</v>
      </c>
      <c r="BL3970" s="127">
        <v>4</v>
      </c>
      <c r="BM3970" s="127">
        <v>0.11332468572476186</v>
      </c>
      <c r="BN3970" s="127" t="e">
        <v>#N/A</v>
      </c>
      <c r="BO3970" s="127" t="e">
        <v>#N/A</v>
      </c>
      <c r="BP3970" s="151" t="e">
        <v>#N/A</v>
      </c>
      <c r="BQ3970">
        <v>0.11332468572476186</v>
      </c>
      <c r="BR3970" t="str">
        <v/>
      </c>
    </row>
    <row r="3971" spans="47:70" x14ac:dyDescent="0.2">
      <c r="AU3971"/>
      <c r="AV3971"/>
      <c r="AW3971"/>
      <c r="AX3971"/>
      <c r="AY3971"/>
      <c r="BK3971" s="42">
        <v>3970</v>
      </c>
      <c r="BL3971" s="127">
        <v>4</v>
      </c>
      <c r="BM3971" s="127">
        <v>0.11332468572476186</v>
      </c>
      <c r="BN3971" s="127" t="e">
        <v>#N/A</v>
      </c>
      <c r="BO3971" s="127" t="e">
        <v>#N/A</v>
      </c>
      <c r="BP3971" s="151" t="e">
        <v>#N/A</v>
      </c>
      <c r="BQ3971">
        <v>0.11332468572476186</v>
      </c>
      <c r="BR3971" t="str">
        <v/>
      </c>
    </row>
    <row r="3972" spans="47:70" x14ac:dyDescent="0.2">
      <c r="AU3972"/>
      <c r="AV3972"/>
      <c r="AW3972"/>
      <c r="AX3972"/>
      <c r="AY3972"/>
      <c r="BK3972" s="42">
        <v>3971</v>
      </c>
      <c r="BL3972" s="127">
        <v>4</v>
      </c>
      <c r="BM3972" s="127">
        <v>0.11332468572476186</v>
      </c>
      <c r="BN3972" s="127" t="e">
        <v>#N/A</v>
      </c>
      <c r="BO3972" s="127" t="e">
        <v>#N/A</v>
      </c>
      <c r="BP3972" s="151" t="e">
        <v>#N/A</v>
      </c>
      <c r="BQ3972">
        <v>0.11332468572476186</v>
      </c>
      <c r="BR3972" t="str">
        <v/>
      </c>
    </row>
    <row r="3973" spans="47:70" x14ac:dyDescent="0.2">
      <c r="AU3973"/>
      <c r="AV3973"/>
      <c r="AW3973"/>
      <c r="AX3973"/>
      <c r="AY3973"/>
      <c r="BK3973" s="42">
        <v>3972</v>
      </c>
      <c r="BL3973" s="127">
        <v>4</v>
      </c>
      <c r="BM3973" s="127">
        <v>0.11332468572476186</v>
      </c>
      <c r="BN3973" s="127" t="e">
        <v>#N/A</v>
      </c>
      <c r="BO3973" s="127" t="e">
        <v>#N/A</v>
      </c>
      <c r="BP3973" s="151" t="e">
        <v>#N/A</v>
      </c>
      <c r="BQ3973">
        <v>0.11332468572476186</v>
      </c>
      <c r="BR3973" t="str">
        <v/>
      </c>
    </row>
    <row r="3974" spans="47:70" x14ac:dyDescent="0.2">
      <c r="AU3974"/>
      <c r="AV3974"/>
      <c r="AW3974"/>
      <c r="AX3974"/>
      <c r="AY3974"/>
      <c r="BK3974" s="42">
        <v>3973</v>
      </c>
      <c r="BL3974" s="127">
        <v>4</v>
      </c>
      <c r="BM3974" s="127">
        <v>0.11332468572476186</v>
      </c>
      <c r="BN3974" s="127" t="e">
        <v>#N/A</v>
      </c>
      <c r="BO3974" s="127" t="e">
        <v>#N/A</v>
      </c>
      <c r="BP3974" s="151" t="e">
        <v>#N/A</v>
      </c>
      <c r="BQ3974">
        <v>0.11332468572476186</v>
      </c>
      <c r="BR3974" t="str">
        <v/>
      </c>
    </row>
    <row r="3975" spans="47:70" x14ac:dyDescent="0.2">
      <c r="AU3975"/>
      <c r="AV3975"/>
      <c r="AW3975"/>
      <c r="AX3975"/>
      <c r="AY3975"/>
      <c r="BK3975" s="42">
        <v>3974</v>
      </c>
      <c r="BL3975" s="127">
        <v>4</v>
      </c>
      <c r="BM3975" s="127">
        <v>0.11332468572476186</v>
      </c>
      <c r="BN3975" s="127" t="e">
        <v>#N/A</v>
      </c>
      <c r="BO3975" s="127" t="e">
        <v>#N/A</v>
      </c>
      <c r="BP3975" s="151" t="e">
        <v>#N/A</v>
      </c>
      <c r="BQ3975">
        <v>0.11332468572476186</v>
      </c>
      <c r="BR3975" t="str">
        <v/>
      </c>
    </row>
    <row r="3976" spans="47:70" x14ac:dyDescent="0.2">
      <c r="AU3976"/>
      <c r="AV3976"/>
      <c r="AW3976"/>
      <c r="AX3976"/>
      <c r="AY3976"/>
      <c r="BK3976" s="42">
        <v>3975</v>
      </c>
      <c r="BL3976" s="127">
        <v>4</v>
      </c>
      <c r="BM3976" s="127">
        <v>0.11332468572476186</v>
      </c>
      <c r="BN3976" s="127" t="e">
        <v>#N/A</v>
      </c>
      <c r="BO3976" s="127" t="e">
        <v>#N/A</v>
      </c>
      <c r="BP3976" s="151" t="e">
        <v>#N/A</v>
      </c>
      <c r="BQ3976">
        <v>0.11332468572476186</v>
      </c>
      <c r="BR3976" t="str">
        <v/>
      </c>
    </row>
    <row r="3977" spans="47:70" x14ac:dyDescent="0.2">
      <c r="AU3977"/>
      <c r="AV3977"/>
      <c r="AW3977"/>
      <c r="AX3977"/>
      <c r="AY3977"/>
      <c r="BK3977" s="42">
        <v>3976</v>
      </c>
      <c r="BL3977" s="127">
        <v>4</v>
      </c>
      <c r="BM3977" s="127">
        <v>0.11332468572476186</v>
      </c>
      <c r="BN3977" s="127" t="e">
        <v>#N/A</v>
      </c>
      <c r="BO3977" s="127" t="e">
        <v>#N/A</v>
      </c>
      <c r="BP3977" s="151" t="e">
        <v>#N/A</v>
      </c>
      <c r="BQ3977">
        <v>0.11332468572476186</v>
      </c>
      <c r="BR3977" t="str">
        <v/>
      </c>
    </row>
    <row r="3978" spans="47:70" x14ac:dyDescent="0.2">
      <c r="AU3978"/>
      <c r="AV3978"/>
      <c r="AW3978"/>
      <c r="AX3978"/>
      <c r="AY3978"/>
      <c r="BK3978" s="42">
        <v>3977</v>
      </c>
      <c r="BL3978" s="127">
        <v>4</v>
      </c>
      <c r="BM3978" s="127">
        <v>0.11332468572476186</v>
      </c>
      <c r="BN3978" s="127" t="e">
        <v>#N/A</v>
      </c>
      <c r="BO3978" s="127" t="e">
        <v>#N/A</v>
      </c>
      <c r="BP3978" s="151" t="e">
        <v>#N/A</v>
      </c>
      <c r="BQ3978">
        <v>0.11332468572476186</v>
      </c>
      <c r="BR3978" t="str">
        <v/>
      </c>
    </row>
    <row r="3979" spans="47:70" x14ac:dyDescent="0.2">
      <c r="AU3979"/>
      <c r="AV3979"/>
      <c r="AW3979"/>
      <c r="AX3979"/>
      <c r="AY3979"/>
      <c r="BK3979" s="42">
        <v>3978</v>
      </c>
      <c r="BL3979" s="127">
        <v>4</v>
      </c>
      <c r="BM3979" s="127">
        <v>0.11332468572476186</v>
      </c>
      <c r="BN3979" s="127" t="e">
        <v>#N/A</v>
      </c>
      <c r="BO3979" s="127" t="e">
        <v>#N/A</v>
      </c>
      <c r="BP3979" s="151" t="e">
        <v>#N/A</v>
      </c>
      <c r="BQ3979">
        <v>0.11332468572476186</v>
      </c>
      <c r="BR3979" t="str">
        <v/>
      </c>
    </row>
    <row r="3980" spans="47:70" x14ac:dyDescent="0.2">
      <c r="AU3980"/>
      <c r="AV3980"/>
      <c r="AW3980"/>
      <c r="AX3980"/>
      <c r="AY3980"/>
      <c r="BK3980" s="42">
        <v>3979</v>
      </c>
      <c r="BL3980" s="127">
        <v>4</v>
      </c>
      <c r="BM3980" s="127">
        <v>0.11332468572476186</v>
      </c>
      <c r="BN3980" s="127" t="e">
        <v>#N/A</v>
      </c>
      <c r="BO3980" s="127" t="e">
        <v>#N/A</v>
      </c>
      <c r="BP3980" s="151" t="e">
        <v>#N/A</v>
      </c>
      <c r="BQ3980">
        <v>0.11332468572476186</v>
      </c>
      <c r="BR3980" t="str">
        <v/>
      </c>
    </row>
    <row r="3981" spans="47:70" x14ac:dyDescent="0.2">
      <c r="AU3981"/>
      <c r="AV3981"/>
      <c r="AW3981"/>
      <c r="AX3981"/>
      <c r="AY3981"/>
      <c r="BK3981" s="42">
        <v>3980</v>
      </c>
      <c r="BL3981" s="127">
        <v>4</v>
      </c>
      <c r="BM3981" s="127">
        <v>0.11332468572476186</v>
      </c>
      <c r="BN3981" s="127" t="e">
        <v>#N/A</v>
      </c>
      <c r="BO3981" s="127" t="e">
        <v>#N/A</v>
      </c>
      <c r="BP3981" s="151" t="e">
        <v>#N/A</v>
      </c>
      <c r="BQ3981">
        <v>0.11332468572476186</v>
      </c>
      <c r="BR3981" t="str">
        <v/>
      </c>
    </row>
    <row r="3982" spans="47:70" x14ac:dyDescent="0.2">
      <c r="AU3982"/>
      <c r="AV3982"/>
      <c r="AW3982"/>
      <c r="AX3982"/>
      <c r="AY3982"/>
      <c r="BK3982" s="42">
        <v>3981</v>
      </c>
      <c r="BL3982" s="127">
        <v>4</v>
      </c>
      <c r="BM3982" s="127">
        <v>0.11332468572476186</v>
      </c>
      <c r="BN3982" s="127" t="e">
        <v>#N/A</v>
      </c>
      <c r="BO3982" s="127" t="e">
        <v>#N/A</v>
      </c>
      <c r="BP3982" s="151" t="e">
        <v>#N/A</v>
      </c>
      <c r="BQ3982">
        <v>0.11332468572476186</v>
      </c>
      <c r="BR3982" t="str">
        <v/>
      </c>
    </row>
    <row r="3983" spans="47:70" x14ac:dyDescent="0.2">
      <c r="AU3983"/>
      <c r="AV3983"/>
      <c r="AW3983"/>
      <c r="AX3983"/>
      <c r="AY3983"/>
      <c r="BK3983" s="42">
        <v>3982</v>
      </c>
      <c r="BL3983" s="127">
        <v>4</v>
      </c>
      <c r="BM3983" s="127">
        <v>0.11332468572476186</v>
      </c>
      <c r="BN3983" s="127" t="e">
        <v>#N/A</v>
      </c>
      <c r="BO3983" s="127" t="e">
        <v>#N/A</v>
      </c>
      <c r="BP3983" s="151" t="e">
        <v>#N/A</v>
      </c>
      <c r="BQ3983">
        <v>0.11332468572476186</v>
      </c>
      <c r="BR3983" t="str">
        <v/>
      </c>
    </row>
    <row r="3984" spans="47:70" x14ac:dyDescent="0.2">
      <c r="AU3984"/>
      <c r="AV3984"/>
      <c r="AW3984"/>
      <c r="AX3984"/>
      <c r="AY3984"/>
      <c r="BK3984" s="42">
        <v>3983</v>
      </c>
      <c r="BL3984" s="127">
        <v>4</v>
      </c>
      <c r="BM3984" s="127">
        <v>0.11332468572476186</v>
      </c>
      <c r="BN3984" s="127" t="e">
        <v>#N/A</v>
      </c>
      <c r="BO3984" s="127" t="e">
        <v>#N/A</v>
      </c>
      <c r="BP3984" s="151" t="e">
        <v>#N/A</v>
      </c>
      <c r="BQ3984">
        <v>0.11332468572476186</v>
      </c>
      <c r="BR3984" t="str">
        <v/>
      </c>
    </row>
    <row r="3985" spans="47:70" x14ac:dyDescent="0.2">
      <c r="AU3985"/>
      <c r="AV3985"/>
      <c r="AW3985"/>
      <c r="AX3985"/>
      <c r="AY3985"/>
      <c r="BK3985" s="42">
        <v>3984</v>
      </c>
      <c r="BL3985" s="127">
        <v>4</v>
      </c>
      <c r="BM3985" s="127">
        <v>0.11332468572476186</v>
      </c>
      <c r="BN3985" s="127" t="e">
        <v>#N/A</v>
      </c>
      <c r="BO3985" s="127" t="e">
        <v>#N/A</v>
      </c>
      <c r="BP3985" s="151" t="e">
        <v>#N/A</v>
      </c>
      <c r="BQ3985">
        <v>0.11332468572476186</v>
      </c>
      <c r="BR3985" t="str">
        <v/>
      </c>
    </row>
    <row r="3986" spans="47:70" x14ac:dyDescent="0.2">
      <c r="AU3986"/>
      <c r="AV3986"/>
      <c r="AW3986"/>
      <c r="AX3986"/>
      <c r="AY3986"/>
      <c r="BK3986" s="42">
        <v>3985</v>
      </c>
      <c r="BL3986" s="127">
        <v>4</v>
      </c>
      <c r="BM3986" s="127">
        <v>0.11332468572476186</v>
      </c>
      <c r="BN3986" s="127" t="e">
        <v>#N/A</v>
      </c>
      <c r="BO3986" s="127" t="e">
        <v>#N/A</v>
      </c>
      <c r="BP3986" s="151" t="e">
        <v>#N/A</v>
      </c>
      <c r="BQ3986">
        <v>0.11332468572476186</v>
      </c>
      <c r="BR3986" t="str">
        <v/>
      </c>
    </row>
    <row r="3987" spans="47:70" x14ac:dyDescent="0.2">
      <c r="AU3987"/>
      <c r="AV3987"/>
      <c r="AW3987"/>
      <c r="AX3987"/>
      <c r="AY3987"/>
      <c r="BK3987" s="42">
        <v>3986</v>
      </c>
      <c r="BL3987" s="127">
        <v>4</v>
      </c>
      <c r="BM3987" s="127">
        <v>0.11332468572476186</v>
      </c>
      <c r="BN3987" s="127" t="e">
        <v>#N/A</v>
      </c>
      <c r="BO3987" s="127" t="e">
        <v>#N/A</v>
      </c>
      <c r="BP3987" s="151" t="e">
        <v>#N/A</v>
      </c>
      <c r="BQ3987">
        <v>0.11332468572476186</v>
      </c>
      <c r="BR3987" t="str">
        <v/>
      </c>
    </row>
    <row r="3988" spans="47:70" x14ac:dyDescent="0.2">
      <c r="AU3988"/>
      <c r="AV3988"/>
      <c r="AW3988"/>
      <c r="AX3988"/>
      <c r="AY3988"/>
      <c r="BK3988" s="42">
        <v>3987</v>
      </c>
      <c r="BL3988" s="127">
        <v>4</v>
      </c>
      <c r="BM3988" s="127">
        <v>0.11332468572476186</v>
      </c>
      <c r="BN3988" s="127" t="e">
        <v>#N/A</v>
      </c>
      <c r="BO3988" s="127" t="e">
        <v>#N/A</v>
      </c>
      <c r="BP3988" s="151" t="e">
        <v>#N/A</v>
      </c>
      <c r="BQ3988">
        <v>0.11332468572476186</v>
      </c>
      <c r="BR3988" t="str">
        <v/>
      </c>
    </row>
    <row r="3989" spans="47:70" x14ac:dyDescent="0.2">
      <c r="AU3989"/>
      <c r="AV3989"/>
      <c r="AW3989"/>
      <c r="AX3989"/>
      <c r="AY3989"/>
      <c r="BK3989" s="42">
        <v>3988</v>
      </c>
      <c r="BL3989" s="127">
        <v>4</v>
      </c>
      <c r="BM3989" s="127">
        <v>0.11332468572476186</v>
      </c>
      <c r="BN3989" s="127" t="e">
        <v>#N/A</v>
      </c>
      <c r="BO3989" s="127" t="e">
        <v>#N/A</v>
      </c>
      <c r="BP3989" s="151" t="e">
        <v>#N/A</v>
      </c>
      <c r="BQ3989">
        <v>0.11332468572476186</v>
      </c>
      <c r="BR3989" t="str">
        <v/>
      </c>
    </row>
    <row r="3990" spans="47:70" x14ac:dyDescent="0.2">
      <c r="AU3990"/>
      <c r="AV3990"/>
      <c r="AW3990"/>
      <c r="AX3990"/>
      <c r="AY3990"/>
      <c r="BK3990" s="42">
        <v>3989</v>
      </c>
      <c r="BL3990" s="127">
        <v>4</v>
      </c>
      <c r="BM3990" s="127">
        <v>0.11332468572476186</v>
      </c>
      <c r="BN3990" s="127" t="e">
        <v>#N/A</v>
      </c>
      <c r="BO3990" s="127" t="e">
        <v>#N/A</v>
      </c>
      <c r="BP3990" s="151" t="e">
        <v>#N/A</v>
      </c>
      <c r="BQ3990">
        <v>0.11332468572476186</v>
      </c>
      <c r="BR3990" t="str">
        <v/>
      </c>
    </row>
    <row r="3991" spans="47:70" x14ac:dyDescent="0.2">
      <c r="AU3991"/>
      <c r="AV3991"/>
      <c r="AW3991"/>
      <c r="AX3991"/>
      <c r="AY3991"/>
      <c r="BK3991" s="42">
        <v>3990</v>
      </c>
      <c r="BL3991" s="127">
        <v>4</v>
      </c>
      <c r="BM3991" s="127">
        <v>0.11332468572476186</v>
      </c>
      <c r="BN3991" s="127" t="e">
        <v>#N/A</v>
      </c>
      <c r="BO3991" s="127" t="e">
        <v>#N/A</v>
      </c>
      <c r="BP3991" s="151" t="e">
        <v>#N/A</v>
      </c>
      <c r="BQ3991">
        <v>0.11332468572476186</v>
      </c>
      <c r="BR3991" t="str">
        <v/>
      </c>
    </row>
    <row r="3992" spans="47:70" x14ac:dyDescent="0.2">
      <c r="AU3992"/>
      <c r="AV3992"/>
      <c r="AW3992"/>
      <c r="AX3992"/>
      <c r="AY3992"/>
      <c r="BK3992" s="42">
        <v>3991</v>
      </c>
      <c r="BL3992" s="127">
        <v>4</v>
      </c>
      <c r="BM3992" s="127">
        <v>0.11332468572476186</v>
      </c>
      <c r="BN3992" s="127" t="e">
        <v>#N/A</v>
      </c>
      <c r="BO3992" s="127" t="e">
        <v>#N/A</v>
      </c>
      <c r="BP3992" s="151" t="e">
        <v>#N/A</v>
      </c>
      <c r="BQ3992">
        <v>0.11332468572476186</v>
      </c>
      <c r="BR3992" t="str">
        <v/>
      </c>
    </row>
    <row r="3993" spans="47:70" x14ac:dyDescent="0.2">
      <c r="AU3993"/>
      <c r="AV3993"/>
      <c r="AW3993"/>
      <c r="AX3993"/>
      <c r="AY3993"/>
      <c r="BK3993" s="42">
        <v>3992</v>
      </c>
      <c r="BL3993" s="127">
        <v>4</v>
      </c>
      <c r="BM3993" s="127">
        <v>0.11332468572476186</v>
      </c>
      <c r="BN3993" s="127" t="e">
        <v>#N/A</v>
      </c>
      <c r="BO3993" s="127" t="e">
        <v>#N/A</v>
      </c>
      <c r="BP3993" s="151" t="e">
        <v>#N/A</v>
      </c>
      <c r="BQ3993">
        <v>0.11332468572476186</v>
      </c>
      <c r="BR3993" t="str">
        <v/>
      </c>
    </row>
    <row r="3994" spans="47:70" x14ac:dyDescent="0.2">
      <c r="AU3994"/>
      <c r="AV3994"/>
      <c r="AW3994"/>
      <c r="AX3994"/>
      <c r="AY3994"/>
      <c r="BK3994" s="42">
        <v>3993</v>
      </c>
      <c r="BL3994" s="127">
        <v>4</v>
      </c>
      <c r="BM3994" s="127">
        <v>0.11332468572476186</v>
      </c>
      <c r="BN3994" s="127" t="e">
        <v>#N/A</v>
      </c>
      <c r="BO3994" s="127" t="e">
        <v>#N/A</v>
      </c>
      <c r="BP3994" s="151" t="e">
        <v>#N/A</v>
      </c>
      <c r="BQ3994">
        <v>0.11332468572476186</v>
      </c>
      <c r="BR3994" t="str">
        <v/>
      </c>
    </row>
    <row r="3995" spans="47:70" x14ac:dyDescent="0.2">
      <c r="AU3995"/>
      <c r="AV3995"/>
      <c r="AW3995"/>
      <c r="AX3995"/>
      <c r="AY3995"/>
      <c r="BK3995" s="42">
        <v>3994</v>
      </c>
      <c r="BL3995" s="127">
        <v>4</v>
      </c>
      <c r="BM3995" s="127">
        <v>0.11332468572476186</v>
      </c>
      <c r="BN3995" s="127" t="e">
        <v>#N/A</v>
      </c>
      <c r="BO3995" s="127" t="e">
        <v>#N/A</v>
      </c>
      <c r="BP3995" s="151" t="e">
        <v>#N/A</v>
      </c>
      <c r="BQ3995">
        <v>0.11332468572476186</v>
      </c>
      <c r="BR3995" t="str">
        <v/>
      </c>
    </row>
    <row r="3996" spans="47:70" x14ac:dyDescent="0.2">
      <c r="AU3996"/>
      <c r="AV3996"/>
      <c r="AW3996"/>
      <c r="AX3996"/>
      <c r="AY3996"/>
      <c r="BK3996" s="42">
        <v>3995</v>
      </c>
      <c r="BL3996" s="127">
        <v>4</v>
      </c>
      <c r="BM3996" s="127">
        <v>0.11332468572476186</v>
      </c>
      <c r="BN3996" s="127" t="e">
        <v>#N/A</v>
      </c>
      <c r="BO3996" s="127" t="e">
        <v>#N/A</v>
      </c>
      <c r="BP3996" s="151" t="e">
        <v>#N/A</v>
      </c>
      <c r="BQ3996">
        <v>0.11332468572476186</v>
      </c>
      <c r="BR3996" t="str">
        <v/>
      </c>
    </row>
    <row r="3997" spans="47:70" x14ac:dyDescent="0.2">
      <c r="AU3997"/>
      <c r="AV3997"/>
      <c r="AW3997"/>
      <c r="AX3997"/>
      <c r="AY3997"/>
      <c r="BK3997" s="42">
        <v>3996</v>
      </c>
      <c r="BL3997" s="127">
        <v>4</v>
      </c>
      <c r="BM3997" s="127">
        <v>0.11332468572476186</v>
      </c>
      <c r="BN3997" s="127" t="e">
        <v>#N/A</v>
      </c>
      <c r="BO3997" s="127" t="e">
        <v>#N/A</v>
      </c>
      <c r="BP3997" s="151" t="e">
        <v>#N/A</v>
      </c>
      <c r="BQ3997">
        <v>0.11332468572476186</v>
      </c>
      <c r="BR3997" t="str">
        <v/>
      </c>
    </row>
    <row r="3998" spans="47:70" x14ac:dyDescent="0.2">
      <c r="AU3998"/>
      <c r="AV3998"/>
      <c r="AW3998"/>
      <c r="AX3998"/>
      <c r="AY3998"/>
      <c r="BK3998" s="42">
        <v>3997</v>
      </c>
      <c r="BL3998" s="127">
        <v>4</v>
      </c>
      <c r="BM3998" s="127">
        <v>0.11332468572476186</v>
      </c>
      <c r="BN3998" s="127" t="e">
        <v>#N/A</v>
      </c>
      <c r="BO3998" s="127" t="e">
        <v>#N/A</v>
      </c>
      <c r="BP3998" s="151" t="e">
        <v>#N/A</v>
      </c>
      <c r="BQ3998">
        <v>0.11332468572476186</v>
      </c>
      <c r="BR3998" t="str">
        <v/>
      </c>
    </row>
    <row r="3999" spans="47:70" x14ac:dyDescent="0.2">
      <c r="AU3999"/>
      <c r="AV3999"/>
      <c r="AW3999"/>
      <c r="AX3999"/>
      <c r="AY3999"/>
      <c r="BK3999" s="42">
        <v>3998</v>
      </c>
      <c r="BL3999" s="127">
        <v>4</v>
      </c>
      <c r="BM3999" s="127">
        <v>0.11332468572476186</v>
      </c>
      <c r="BN3999" s="127" t="e">
        <v>#N/A</v>
      </c>
      <c r="BO3999" s="127" t="e">
        <v>#N/A</v>
      </c>
      <c r="BP3999" s="151" t="e">
        <v>#N/A</v>
      </c>
      <c r="BQ3999">
        <v>0.11332468572476186</v>
      </c>
      <c r="BR3999" t="str">
        <v/>
      </c>
    </row>
    <row r="4000" spans="47:70" x14ac:dyDescent="0.2">
      <c r="AU4000"/>
      <c r="AV4000"/>
      <c r="AW4000"/>
      <c r="AX4000"/>
      <c r="AY4000"/>
      <c r="BK4000" s="42">
        <v>3999</v>
      </c>
      <c r="BL4000" s="127">
        <v>4</v>
      </c>
      <c r="BM4000" s="127">
        <v>0.11332468572476186</v>
      </c>
      <c r="BN4000" s="127" t="e">
        <v>#N/A</v>
      </c>
      <c r="BO4000" s="127" t="e">
        <v>#N/A</v>
      </c>
      <c r="BP4000" s="151" t="e">
        <v>#N/A</v>
      </c>
      <c r="BQ4000">
        <v>0.11332468572476186</v>
      </c>
      <c r="BR4000" t="str">
        <v/>
      </c>
    </row>
    <row r="4001" spans="47:70" x14ac:dyDescent="0.2">
      <c r="AU4001"/>
      <c r="AV4001"/>
      <c r="AW4001"/>
      <c r="AX4001"/>
      <c r="AY4001"/>
      <c r="BK4001" s="42">
        <v>4000</v>
      </c>
      <c r="BL4001" s="127">
        <v>4</v>
      </c>
      <c r="BM4001" s="127">
        <v>0.11332468572476186</v>
      </c>
      <c r="BN4001" s="127" t="e">
        <v>#N/A</v>
      </c>
      <c r="BO4001" s="127" t="e">
        <v>#N/A</v>
      </c>
      <c r="BP4001" s="151" t="e">
        <v>#N/A</v>
      </c>
      <c r="BQ4001">
        <v>0.11332468572476186</v>
      </c>
      <c r="BR4001" t="str">
        <v/>
      </c>
    </row>
    <row r="4002" spans="47:70" x14ac:dyDescent="0.2">
      <c r="AU4002"/>
      <c r="AV4002"/>
      <c r="AW4002"/>
      <c r="AX4002"/>
      <c r="AY4002"/>
      <c r="BK4002" s="42">
        <v>4001</v>
      </c>
      <c r="BL4002" s="127">
        <v>4</v>
      </c>
      <c r="BM4002" s="127">
        <v>0.11332468572476186</v>
      </c>
      <c r="BN4002" s="127" t="e">
        <v>#N/A</v>
      </c>
      <c r="BO4002" s="127" t="e">
        <v>#N/A</v>
      </c>
      <c r="BP4002" s="151" t="e">
        <v>#N/A</v>
      </c>
      <c r="BQ4002">
        <v>0.11332468572476186</v>
      </c>
      <c r="BR4002" t="str">
        <v/>
      </c>
    </row>
    <row r="4003" spans="47:70" x14ac:dyDescent="0.2">
      <c r="AU4003"/>
      <c r="AV4003"/>
      <c r="AW4003"/>
      <c r="AX4003"/>
      <c r="AY4003"/>
      <c r="BK4003" s="42">
        <v>4002</v>
      </c>
      <c r="BL4003" s="127">
        <v>4</v>
      </c>
      <c r="BM4003" s="127">
        <v>0.11332468572476186</v>
      </c>
      <c r="BN4003" s="127" t="e">
        <v>#N/A</v>
      </c>
      <c r="BO4003" s="127" t="e">
        <v>#N/A</v>
      </c>
      <c r="BP4003" s="151" t="e">
        <v>#N/A</v>
      </c>
      <c r="BQ4003">
        <v>0.11332468572476186</v>
      </c>
      <c r="BR4003" t="str">
        <v/>
      </c>
    </row>
    <row r="4004" spans="47:70" x14ac:dyDescent="0.2">
      <c r="AU4004"/>
      <c r="AV4004"/>
      <c r="AW4004"/>
      <c r="AX4004"/>
      <c r="AY4004"/>
      <c r="BK4004" s="42">
        <v>4003</v>
      </c>
      <c r="BL4004" s="127">
        <v>4</v>
      </c>
      <c r="BM4004" s="127">
        <v>0.11332468572476186</v>
      </c>
      <c r="BN4004" s="127" t="e">
        <v>#N/A</v>
      </c>
      <c r="BO4004" s="127" t="e">
        <v>#N/A</v>
      </c>
      <c r="BP4004" s="151" t="e">
        <v>#N/A</v>
      </c>
      <c r="BQ4004">
        <v>0.11332468572476186</v>
      </c>
      <c r="BR4004" t="str">
        <v/>
      </c>
    </row>
    <row r="4005" spans="47:70" x14ac:dyDescent="0.2">
      <c r="AU4005"/>
      <c r="AV4005"/>
      <c r="AW4005"/>
      <c r="AX4005"/>
      <c r="AY4005"/>
      <c r="BK4005" s="42">
        <v>4004</v>
      </c>
      <c r="BL4005" s="127">
        <v>4</v>
      </c>
      <c r="BM4005" s="127">
        <v>0.11332468572476186</v>
      </c>
      <c r="BN4005" s="127" t="e">
        <v>#N/A</v>
      </c>
      <c r="BO4005" s="127" t="e">
        <v>#N/A</v>
      </c>
      <c r="BP4005" s="151" t="e">
        <v>#N/A</v>
      </c>
      <c r="BQ4005">
        <v>0.11332468572476186</v>
      </c>
      <c r="BR4005" t="str">
        <v/>
      </c>
    </row>
    <row r="4006" spans="47:70" x14ac:dyDescent="0.2">
      <c r="AU4006"/>
      <c r="AV4006"/>
      <c r="AW4006"/>
      <c r="AX4006"/>
      <c r="AY4006"/>
      <c r="BK4006" s="42">
        <v>4005</v>
      </c>
      <c r="BL4006" s="127">
        <v>4</v>
      </c>
      <c r="BM4006" s="127">
        <v>0.11332468572476186</v>
      </c>
      <c r="BN4006" s="127" t="e">
        <v>#N/A</v>
      </c>
      <c r="BO4006" s="127" t="e">
        <v>#N/A</v>
      </c>
      <c r="BP4006" s="151" t="e">
        <v>#N/A</v>
      </c>
      <c r="BQ4006">
        <v>0.11332468572476186</v>
      </c>
      <c r="BR4006" t="str">
        <v/>
      </c>
    </row>
    <row r="4007" spans="47:70" x14ac:dyDescent="0.2">
      <c r="AU4007"/>
      <c r="AV4007"/>
      <c r="AW4007"/>
      <c r="AX4007"/>
      <c r="AY4007"/>
      <c r="BK4007" s="42">
        <v>4006</v>
      </c>
      <c r="BL4007" s="127">
        <v>4</v>
      </c>
      <c r="BM4007" s="127">
        <v>0.11332468572476186</v>
      </c>
      <c r="BN4007" s="127" t="e">
        <v>#N/A</v>
      </c>
      <c r="BO4007" s="127" t="e">
        <v>#N/A</v>
      </c>
      <c r="BP4007" s="151" t="e">
        <v>#N/A</v>
      </c>
      <c r="BQ4007">
        <v>0.11332468572476186</v>
      </c>
      <c r="BR4007" t="str">
        <v/>
      </c>
    </row>
    <row r="4008" spans="47:70" x14ac:dyDescent="0.2">
      <c r="AU4008"/>
      <c r="AV4008"/>
      <c r="AW4008"/>
      <c r="AX4008"/>
      <c r="AY4008"/>
      <c r="BK4008" s="42">
        <v>4007</v>
      </c>
      <c r="BL4008" s="127">
        <v>4</v>
      </c>
      <c r="BM4008" s="127">
        <v>0.11332468572476186</v>
      </c>
      <c r="BN4008" s="127" t="e">
        <v>#N/A</v>
      </c>
      <c r="BO4008" s="127" t="e">
        <v>#N/A</v>
      </c>
      <c r="BP4008" s="151" t="e">
        <v>#N/A</v>
      </c>
      <c r="BQ4008">
        <v>0.11332468572476186</v>
      </c>
      <c r="BR4008" t="str">
        <v/>
      </c>
    </row>
    <row r="4009" spans="47:70" x14ac:dyDescent="0.2">
      <c r="AU4009"/>
      <c r="AV4009"/>
      <c r="AW4009"/>
      <c r="AX4009"/>
      <c r="AY4009"/>
      <c r="BK4009" s="42">
        <v>4008</v>
      </c>
      <c r="BL4009" s="127">
        <v>4</v>
      </c>
      <c r="BM4009" s="127">
        <v>0.11332468572476186</v>
      </c>
      <c r="BN4009" s="127" t="e">
        <v>#N/A</v>
      </c>
      <c r="BO4009" s="127" t="e">
        <v>#N/A</v>
      </c>
      <c r="BP4009" s="151" t="e">
        <v>#N/A</v>
      </c>
      <c r="BQ4009">
        <v>0.11332468572476186</v>
      </c>
      <c r="BR4009" t="str">
        <v/>
      </c>
    </row>
    <row r="4010" spans="47:70" x14ac:dyDescent="0.2">
      <c r="AU4010"/>
      <c r="AV4010"/>
      <c r="AW4010"/>
      <c r="AX4010"/>
      <c r="AY4010"/>
      <c r="BK4010" s="42">
        <v>4009</v>
      </c>
      <c r="BL4010" s="127">
        <v>4</v>
      </c>
      <c r="BM4010" s="127">
        <v>0.11332468572476186</v>
      </c>
      <c r="BN4010" s="127" t="e">
        <v>#N/A</v>
      </c>
      <c r="BO4010" s="127" t="e">
        <v>#N/A</v>
      </c>
      <c r="BP4010" s="151" t="e">
        <v>#N/A</v>
      </c>
      <c r="BQ4010">
        <v>0.11332468572476186</v>
      </c>
      <c r="BR4010" t="str">
        <v/>
      </c>
    </row>
    <row r="4011" spans="47:70" x14ac:dyDescent="0.2">
      <c r="AU4011"/>
      <c r="AV4011"/>
      <c r="AW4011"/>
      <c r="AX4011"/>
      <c r="AY4011"/>
      <c r="BK4011" s="42">
        <v>4010</v>
      </c>
      <c r="BL4011" s="127">
        <v>4</v>
      </c>
      <c r="BM4011" s="127">
        <v>0.11332468572476186</v>
      </c>
      <c r="BN4011" s="127" t="e">
        <v>#N/A</v>
      </c>
      <c r="BO4011" s="127" t="e">
        <v>#N/A</v>
      </c>
      <c r="BP4011" s="151" t="e">
        <v>#N/A</v>
      </c>
      <c r="BQ4011">
        <v>0.11332468572476186</v>
      </c>
      <c r="BR4011" t="str">
        <v/>
      </c>
    </row>
    <row r="4012" spans="47:70" x14ac:dyDescent="0.2">
      <c r="AU4012"/>
      <c r="AV4012"/>
      <c r="AW4012"/>
      <c r="AX4012"/>
      <c r="AY4012"/>
      <c r="BK4012" s="42">
        <v>4011</v>
      </c>
      <c r="BL4012" s="127">
        <v>4</v>
      </c>
      <c r="BM4012" s="127">
        <v>0.11332468572476186</v>
      </c>
      <c r="BN4012" s="127" t="e">
        <v>#N/A</v>
      </c>
      <c r="BO4012" s="127" t="e">
        <v>#N/A</v>
      </c>
      <c r="BP4012" s="151" t="e">
        <v>#N/A</v>
      </c>
      <c r="BQ4012">
        <v>0.11332468572476186</v>
      </c>
      <c r="BR4012" t="str">
        <v/>
      </c>
    </row>
    <row r="4013" spans="47:70" x14ac:dyDescent="0.2">
      <c r="AU4013"/>
      <c r="AV4013"/>
      <c r="AW4013"/>
      <c r="AX4013"/>
      <c r="AY4013"/>
      <c r="BK4013" s="42">
        <v>4012</v>
      </c>
      <c r="BL4013" s="127">
        <v>4</v>
      </c>
      <c r="BM4013" s="127">
        <v>0.11332468572476186</v>
      </c>
      <c r="BN4013" s="127" t="e">
        <v>#N/A</v>
      </c>
      <c r="BO4013" s="127" t="e">
        <v>#N/A</v>
      </c>
      <c r="BP4013" s="151" t="e">
        <v>#N/A</v>
      </c>
      <c r="BQ4013">
        <v>0.11332468572476186</v>
      </c>
      <c r="BR4013" t="str">
        <v/>
      </c>
    </row>
    <row r="4014" spans="47:70" x14ac:dyDescent="0.2">
      <c r="AU4014"/>
      <c r="AV4014"/>
      <c r="AW4014"/>
      <c r="AX4014"/>
      <c r="AY4014"/>
      <c r="BK4014" s="42">
        <v>4013</v>
      </c>
      <c r="BL4014" s="127">
        <v>4</v>
      </c>
      <c r="BM4014" s="127">
        <v>0.11332468572476186</v>
      </c>
      <c r="BN4014" s="127" t="e">
        <v>#N/A</v>
      </c>
      <c r="BO4014" s="127" t="e">
        <v>#N/A</v>
      </c>
      <c r="BP4014" s="151" t="e">
        <v>#N/A</v>
      </c>
      <c r="BQ4014">
        <v>0.11332468572476186</v>
      </c>
      <c r="BR4014" t="str">
        <v/>
      </c>
    </row>
    <row r="4015" spans="47:70" x14ac:dyDescent="0.2">
      <c r="AU4015"/>
      <c r="AV4015"/>
      <c r="AW4015"/>
      <c r="AX4015"/>
      <c r="AY4015"/>
      <c r="BK4015" s="42">
        <v>4014</v>
      </c>
      <c r="BL4015" s="127">
        <v>4</v>
      </c>
      <c r="BM4015" s="127">
        <v>0.11332468572476186</v>
      </c>
      <c r="BN4015" s="127" t="e">
        <v>#N/A</v>
      </c>
      <c r="BO4015" s="127" t="e">
        <v>#N/A</v>
      </c>
      <c r="BP4015" s="151" t="e">
        <v>#N/A</v>
      </c>
      <c r="BQ4015">
        <v>0.11332468572476186</v>
      </c>
      <c r="BR4015" t="str">
        <v/>
      </c>
    </row>
    <row r="4016" spans="47:70" x14ac:dyDescent="0.2">
      <c r="AU4016"/>
      <c r="AV4016"/>
      <c r="AW4016"/>
      <c r="AX4016"/>
      <c r="AY4016"/>
      <c r="BK4016" s="42">
        <v>4015</v>
      </c>
      <c r="BL4016" s="127">
        <v>4</v>
      </c>
      <c r="BM4016" s="127">
        <v>0.11332468572476186</v>
      </c>
      <c r="BN4016" s="127" t="e">
        <v>#N/A</v>
      </c>
      <c r="BO4016" s="127" t="e">
        <v>#N/A</v>
      </c>
      <c r="BP4016" s="151" t="e">
        <v>#N/A</v>
      </c>
      <c r="BQ4016">
        <v>0.11332468572476186</v>
      </c>
      <c r="BR4016" t="str">
        <v/>
      </c>
    </row>
    <row r="4017" spans="47:70" x14ac:dyDescent="0.2">
      <c r="AU4017"/>
      <c r="AV4017"/>
      <c r="AW4017"/>
      <c r="AX4017"/>
      <c r="AY4017"/>
      <c r="BK4017" s="42">
        <v>4016</v>
      </c>
      <c r="BL4017" s="127">
        <v>4</v>
      </c>
      <c r="BM4017" s="127">
        <v>0.11332468572476186</v>
      </c>
      <c r="BN4017" s="127" t="e">
        <v>#N/A</v>
      </c>
      <c r="BO4017" s="127" t="e">
        <v>#N/A</v>
      </c>
      <c r="BP4017" s="151" t="e">
        <v>#N/A</v>
      </c>
      <c r="BQ4017">
        <v>0.11332468572476186</v>
      </c>
      <c r="BR4017" t="str">
        <v/>
      </c>
    </row>
    <row r="4018" spans="47:70" x14ac:dyDescent="0.2">
      <c r="AU4018"/>
      <c r="AV4018"/>
      <c r="AW4018"/>
      <c r="AX4018"/>
      <c r="AY4018"/>
      <c r="BK4018" s="42">
        <v>4017</v>
      </c>
      <c r="BL4018" s="127">
        <v>4</v>
      </c>
      <c r="BM4018" s="127">
        <v>0.11332468572476186</v>
      </c>
      <c r="BN4018" s="127" t="e">
        <v>#N/A</v>
      </c>
      <c r="BO4018" s="127" t="e">
        <v>#N/A</v>
      </c>
      <c r="BP4018" s="151" t="e">
        <v>#N/A</v>
      </c>
      <c r="BQ4018">
        <v>0.11332468572476186</v>
      </c>
      <c r="BR4018" t="str">
        <v/>
      </c>
    </row>
    <row r="4019" spans="47:70" x14ac:dyDescent="0.2">
      <c r="AU4019"/>
      <c r="AV4019"/>
      <c r="AW4019"/>
      <c r="AX4019"/>
      <c r="AY4019"/>
      <c r="BK4019" s="42">
        <v>4018</v>
      </c>
      <c r="BL4019" s="127">
        <v>4</v>
      </c>
      <c r="BM4019" s="127">
        <v>0.11332468572476186</v>
      </c>
      <c r="BN4019" s="127" t="e">
        <v>#N/A</v>
      </c>
      <c r="BO4019" s="127" t="e">
        <v>#N/A</v>
      </c>
      <c r="BP4019" s="151" t="e">
        <v>#N/A</v>
      </c>
      <c r="BQ4019">
        <v>0.11332468572476186</v>
      </c>
      <c r="BR4019" t="str">
        <v/>
      </c>
    </row>
    <row r="4020" spans="47:70" x14ac:dyDescent="0.2">
      <c r="AU4020"/>
      <c r="AV4020"/>
      <c r="AW4020"/>
      <c r="AX4020"/>
      <c r="AY4020"/>
      <c r="BK4020" s="42">
        <v>4019</v>
      </c>
      <c r="BL4020" s="127">
        <v>4</v>
      </c>
      <c r="BM4020" s="127">
        <v>0.11332468572476186</v>
      </c>
      <c r="BN4020" s="127" t="e">
        <v>#N/A</v>
      </c>
      <c r="BO4020" s="127" t="e">
        <v>#N/A</v>
      </c>
      <c r="BP4020" s="151" t="e">
        <v>#N/A</v>
      </c>
      <c r="BQ4020">
        <v>0.11332468572476186</v>
      </c>
      <c r="BR4020" t="str">
        <v/>
      </c>
    </row>
    <row r="4021" spans="47:70" x14ac:dyDescent="0.2">
      <c r="AU4021"/>
      <c r="AV4021"/>
      <c r="AW4021"/>
      <c r="AX4021"/>
      <c r="AY4021"/>
      <c r="BK4021" s="42">
        <v>4020</v>
      </c>
      <c r="BL4021" s="127">
        <v>4</v>
      </c>
      <c r="BM4021" s="127">
        <v>0.11332468572476186</v>
      </c>
      <c r="BN4021" s="127" t="e">
        <v>#N/A</v>
      </c>
      <c r="BO4021" s="127" t="e">
        <v>#N/A</v>
      </c>
      <c r="BP4021" s="151" t="e">
        <v>#N/A</v>
      </c>
      <c r="BQ4021">
        <v>0.11332468572476186</v>
      </c>
      <c r="BR4021" t="str">
        <v/>
      </c>
    </row>
    <row r="4022" spans="47:70" x14ac:dyDescent="0.2">
      <c r="AU4022"/>
      <c r="AV4022"/>
      <c r="AW4022"/>
      <c r="AX4022"/>
      <c r="AY4022"/>
      <c r="BK4022" s="42">
        <v>4021</v>
      </c>
      <c r="BL4022" s="127">
        <v>4</v>
      </c>
      <c r="BM4022" s="127">
        <v>0.11332468572476186</v>
      </c>
      <c r="BN4022" s="127" t="e">
        <v>#N/A</v>
      </c>
      <c r="BO4022" s="127" t="e">
        <v>#N/A</v>
      </c>
      <c r="BP4022" s="151" t="e">
        <v>#N/A</v>
      </c>
      <c r="BQ4022">
        <v>0.11332468572476186</v>
      </c>
      <c r="BR4022" t="str">
        <v/>
      </c>
    </row>
    <row r="4023" spans="47:70" x14ac:dyDescent="0.2">
      <c r="AU4023"/>
      <c r="AV4023"/>
      <c r="AW4023"/>
      <c r="AX4023"/>
      <c r="AY4023"/>
      <c r="BK4023" s="42">
        <v>4022</v>
      </c>
      <c r="BL4023" s="127">
        <v>4</v>
      </c>
      <c r="BM4023" s="127">
        <v>0.11332468572476186</v>
      </c>
      <c r="BN4023" s="127" t="e">
        <v>#N/A</v>
      </c>
      <c r="BO4023" s="127" t="e">
        <v>#N/A</v>
      </c>
      <c r="BP4023" s="151" t="e">
        <v>#N/A</v>
      </c>
      <c r="BQ4023">
        <v>0.11332468572476186</v>
      </c>
      <c r="BR4023" t="str">
        <v/>
      </c>
    </row>
    <row r="4024" spans="47:70" x14ac:dyDescent="0.2">
      <c r="AU4024"/>
      <c r="AV4024"/>
      <c r="AW4024"/>
      <c r="AX4024"/>
      <c r="AY4024"/>
      <c r="BK4024" s="42">
        <v>4023</v>
      </c>
      <c r="BL4024" s="127">
        <v>4</v>
      </c>
      <c r="BM4024" s="127">
        <v>0.11332468572476186</v>
      </c>
      <c r="BN4024" s="127" t="e">
        <v>#N/A</v>
      </c>
      <c r="BO4024" s="127" t="e">
        <v>#N/A</v>
      </c>
      <c r="BP4024" s="151" t="e">
        <v>#N/A</v>
      </c>
      <c r="BQ4024">
        <v>0.11332468572476186</v>
      </c>
      <c r="BR4024" t="str">
        <v/>
      </c>
    </row>
    <row r="4025" spans="47:70" x14ac:dyDescent="0.2">
      <c r="AU4025"/>
      <c r="AV4025"/>
      <c r="AW4025"/>
      <c r="AX4025"/>
      <c r="AY4025"/>
      <c r="BK4025" s="42">
        <v>4024</v>
      </c>
      <c r="BL4025" s="127">
        <v>4</v>
      </c>
      <c r="BM4025" s="127">
        <v>0.11332468572476186</v>
      </c>
      <c r="BN4025" s="127" t="e">
        <v>#N/A</v>
      </c>
      <c r="BO4025" s="127" t="e">
        <v>#N/A</v>
      </c>
      <c r="BP4025" s="151" t="e">
        <v>#N/A</v>
      </c>
      <c r="BQ4025">
        <v>0.11332468572476186</v>
      </c>
      <c r="BR4025" t="str">
        <v/>
      </c>
    </row>
    <row r="4026" spans="47:70" x14ac:dyDescent="0.2">
      <c r="AU4026"/>
      <c r="AV4026"/>
      <c r="AW4026"/>
      <c r="AX4026"/>
      <c r="AY4026"/>
      <c r="BK4026" s="42">
        <v>4025</v>
      </c>
      <c r="BL4026" s="127">
        <v>4</v>
      </c>
      <c r="BM4026" s="127">
        <v>0.11332468572476186</v>
      </c>
      <c r="BN4026" s="127" t="e">
        <v>#N/A</v>
      </c>
      <c r="BO4026" s="127" t="e">
        <v>#N/A</v>
      </c>
      <c r="BP4026" s="151" t="e">
        <v>#N/A</v>
      </c>
      <c r="BQ4026">
        <v>0.11332468572476186</v>
      </c>
      <c r="BR4026" t="str">
        <v/>
      </c>
    </row>
    <row r="4027" spans="47:70" x14ac:dyDescent="0.2">
      <c r="AU4027"/>
      <c r="AV4027"/>
      <c r="AW4027"/>
      <c r="AX4027"/>
      <c r="AY4027"/>
      <c r="BK4027" s="42">
        <v>4026</v>
      </c>
      <c r="BL4027" s="127">
        <v>4</v>
      </c>
      <c r="BM4027" s="127">
        <v>0.11332468572476186</v>
      </c>
      <c r="BN4027" s="127" t="e">
        <v>#N/A</v>
      </c>
      <c r="BO4027" s="127" t="e">
        <v>#N/A</v>
      </c>
      <c r="BP4027" s="151" t="e">
        <v>#N/A</v>
      </c>
      <c r="BQ4027">
        <v>0.11332468572476186</v>
      </c>
      <c r="BR4027" t="str">
        <v/>
      </c>
    </row>
    <row r="4028" spans="47:70" x14ac:dyDescent="0.2">
      <c r="AU4028"/>
      <c r="AV4028"/>
      <c r="AW4028"/>
      <c r="AX4028"/>
      <c r="AY4028"/>
      <c r="BK4028" s="42">
        <v>4027</v>
      </c>
      <c r="BL4028" s="127">
        <v>4</v>
      </c>
      <c r="BM4028" s="127">
        <v>0.11332468572476186</v>
      </c>
      <c r="BN4028" s="127" t="e">
        <v>#N/A</v>
      </c>
      <c r="BO4028" s="127" t="e">
        <v>#N/A</v>
      </c>
      <c r="BP4028" s="151" t="e">
        <v>#N/A</v>
      </c>
      <c r="BQ4028">
        <v>0.11332468572476186</v>
      </c>
      <c r="BR4028" t="str">
        <v/>
      </c>
    </row>
    <row r="4029" spans="47:70" x14ac:dyDescent="0.2">
      <c r="AU4029"/>
      <c r="AV4029"/>
      <c r="AW4029"/>
      <c r="AX4029"/>
      <c r="AY4029"/>
      <c r="BK4029" s="42">
        <v>4028</v>
      </c>
      <c r="BL4029" s="127">
        <v>4</v>
      </c>
      <c r="BM4029" s="127">
        <v>0.11332468572476186</v>
      </c>
      <c r="BN4029" s="127" t="e">
        <v>#N/A</v>
      </c>
      <c r="BO4029" s="127" t="e">
        <v>#N/A</v>
      </c>
      <c r="BP4029" s="151" t="e">
        <v>#N/A</v>
      </c>
      <c r="BQ4029">
        <v>0.11332468572476186</v>
      </c>
      <c r="BR4029" t="str">
        <v/>
      </c>
    </row>
    <row r="4030" spans="47:70" x14ac:dyDescent="0.2">
      <c r="AU4030"/>
      <c r="AV4030"/>
      <c r="AW4030"/>
      <c r="AX4030"/>
      <c r="AY4030"/>
      <c r="BK4030" s="42">
        <v>4029</v>
      </c>
      <c r="BL4030" s="127">
        <v>4</v>
      </c>
      <c r="BM4030" s="127">
        <v>0.11332468572476186</v>
      </c>
      <c r="BN4030" s="127" t="e">
        <v>#N/A</v>
      </c>
      <c r="BO4030" s="127" t="e">
        <v>#N/A</v>
      </c>
      <c r="BP4030" s="151" t="e">
        <v>#N/A</v>
      </c>
      <c r="BQ4030">
        <v>0.11332468572476186</v>
      </c>
      <c r="BR4030" t="str">
        <v/>
      </c>
    </row>
    <row r="4031" spans="47:70" x14ac:dyDescent="0.2">
      <c r="AU4031"/>
      <c r="AV4031"/>
      <c r="AW4031"/>
      <c r="AX4031"/>
      <c r="AY4031"/>
      <c r="BK4031" s="42">
        <v>4030</v>
      </c>
      <c r="BL4031" s="127">
        <v>4</v>
      </c>
      <c r="BM4031" s="127">
        <v>0.11332468572476186</v>
      </c>
      <c r="BN4031" s="127" t="e">
        <v>#N/A</v>
      </c>
      <c r="BO4031" s="127" t="e">
        <v>#N/A</v>
      </c>
      <c r="BP4031" s="151" t="e">
        <v>#N/A</v>
      </c>
      <c r="BQ4031">
        <v>0.11332468572476186</v>
      </c>
      <c r="BR4031" t="str">
        <v/>
      </c>
    </row>
    <row r="4032" spans="47:70" x14ac:dyDescent="0.2">
      <c r="AU4032"/>
      <c r="AV4032"/>
      <c r="AW4032"/>
      <c r="AX4032"/>
      <c r="AY4032"/>
      <c r="BK4032" s="42">
        <v>4031</v>
      </c>
      <c r="BL4032" s="127">
        <v>4</v>
      </c>
      <c r="BM4032" s="127">
        <v>0.11332468572476186</v>
      </c>
      <c r="BN4032" s="127" t="e">
        <v>#N/A</v>
      </c>
      <c r="BO4032" s="127" t="e">
        <v>#N/A</v>
      </c>
      <c r="BP4032" s="151" t="e">
        <v>#N/A</v>
      </c>
      <c r="BQ4032">
        <v>0.11332468572476186</v>
      </c>
      <c r="BR4032" t="str">
        <v/>
      </c>
    </row>
    <row r="4033" spans="47:70" x14ac:dyDescent="0.2">
      <c r="AU4033"/>
      <c r="AV4033"/>
      <c r="AW4033"/>
      <c r="AX4033"/>
      <c r="AY4033"/>
      <c r="BK4033" s="42">
        <v>4032</v>
      </c>
      <c r="BL4033" s="127">
        <v>4</v>
      </c>
      <c r="BM4033" s="127">
        <v>0.11332468572476186</v>
      </c>
      <c r="BN4033" s="127" t="e">
        <v>#N/A</v>
      </c>
      <c r="BO4033" s="127" t="e">
        <v>#N/A</v>
      </c>
      <c r="BP4033" s="151" t="e">
        <v>#N/A</v>
      </c>
      <c r="BQ4033">
        <v>0.11332468572476186</v>
      </c>
      <c r="BR4033" t="str">
        <v/>
      </c>
    </row>
    <row r="4034" spans="47:70" x14ac:dyDescent="0.2">
      <c r="AU4034"/>
      <c r="AV4034"/>
      <c r="AW4034"/>
      <c r="AX4034"/>
      <c r="AY4034"/>
      <c r="BK4034" s="42">
        <v>4033</v>
      </c>
      <c r="BL4034" s="127">
        <v>4</v>
      </c>
      <c r="BM4034" s="127">
        <v>0.11332468572476186</v>
      </c>
      <c r="BN4034" s="127" t="e">
        <v>#N/A</v>
      </c>
      <c r="BO4034" s="127" t="e">
        <v>#N/A</v>
      </c>
      <c r="BP4034" s="151" t="e">
        <v>#N/A</v>
      </c>
      <c r="BQ4034">
        <v>0.11332468572476186</v>
      </c>
      <c r="BR4034" t="str">
        <v/>
      </c>
    </row>
    <row r="4035" spans="47:70" x14ac:dyDescent="0.2">
      <c r="AU4035"/>
      <c r="AV4035"/>
      <c r="AW4035"/>
      <c r="AX4035"/>
      <c r="AY4035"/>
      <c r="BK4035" s="42">
        <v>4034</v>
      </c>
      <c r="BL4035" s="127">
        <v>4</v>
      </c>
      <c r="BM4035" s="127">
        <v>0.11332468572476186</v>
      </c>
      <c r="BN4035" s="127" t="e">
        <v>#N/A</v>
      </c>
      <c r="BO4035" s="127" t="e">
        <v>#N/A</v>
      </c>
      <c r="BP4035" s="151" t="e">
        <v>#N/A</v>
      </c>
      <c r="BQ4035">
        <v>0.11332468572476186</v>
      </c>
      <c r="BR4035" t="str">
        <v/>
      </c>
    </row>
    <row r="4036" spans="47:70" x14ac:dyDescent="0.2">
      <c r="AU4036"/>
      <c r="AV4036"/>
      <c r="AW4036"/>
      <c r="AX4036"/>
      <c r="AY4036"/>
      <c r="BK4036" s="42">
        <v>4035</v>
      </c>
      <c r="BL4036" s="127">
        <v>4</v>
      </c>
      <c r="BM4036" s="127">
        <v>0.11332468572476186</v>
      </c>
      <c r="BN4036" s="127" t="e">
        <v>#N/A</v>
      </c>
      <c r="BO4036" s="127" t="e">
        <v>#N/A</v>
      </c>
      <c r="BP4036" s="151" t="e">
        <v>#N/A</v>
      </c>
      <c r="BQ4036">
        <v>0.11332468572476186</v>
      </c>
      <c r="BR4036" t="str">
        <v/>
      </c>
    </row>
    <row r="4037" spans="47:70" x14ac:dyDescent="0.2">
      <c r="AU4037"/>
      <c r="AV4037"/>
      <c r="AW4037"/>
      <c r="AX4037"/>
      <c r="AY4037"/>
      <c r="BK4037" s="42">
        <v>4036</v>
      </c>
      <c r="BL4037" s="127">
        <v>4</v>
      </c>
      <c r="BM4037" s="127">
        <v>0.11332468572476186</v>
      </c>
      <c r="BN4037" s="127" t="e">
        <v>#N/A</v>
      </c>
      <c r="BO4037" s="127" t="e">
        <v>#N/A</v>
      </c>
      <c r="BP4037" s="151" t="e">
        <v>#N/A</v>
      </c>
      <c r="BQ4037">
        <v>0.11332468572476186</v>
      </c>
      <c r="BR4037" t="str">
        <v/>
      </c>
    </row>
    <row r="4038" spans="47:70" x14ac:dyDescent="0.2">
      <c r="AU4038"/>
      <c r="AV4038"/>
      <c r="AW4038"/>
      <c r="AX4038"/>
      <c r="AY4038"/>
      <c r="BK4038" s="42">
        <v>4037</v>
      </c>
      <c r="BL4038" s="127">
        <v>4</v>
      </c>
      <c r="BM4038" s="127">
        <v>0.11332468572476186</v>
      </c>
      <c r="BN4038" s="127" t="e">
        <v>#N/A</v>
      </c>
      <c r="BO4038" s="127" t="e">
        <v>#N/A</v>
      </c>
      <c r="BP4038" s="151" t="e">
        <v>#N/A</v>
      </c>
      <c r="BQ4038">
        <v>0.11332468572476186</v>
      </c>
      <c r="BR4038" t="str">
        <v/>
      </c>
    </row>
    <row r="4039" spans="47:70" x14ac:dyDescent="0.2">
      <c r="AU4039"/>
      <c r="AV4039"/>
      <c r="AW4039"/>
      <c r="AX4039"/>
      <c r="AY4039"/>
      <c r="BK4039" s="42">
        <v>4038</v>
      </c>
      <c r="BL4039" s="127">
        <v>4</v>
      </c>
      <c r="BM4039" s="127">
        <v>0.11332468572476186</v>
      </c>
      <c r="BN4039" s="127" t="e">
        <v>#N/A</v>
      </c>
      <c r="BO4039" s="127" t="e">
        <v>#N/A</v>
      </c>
      <c r="BP4039" s="151" t="e">
        <v>#N/A</v>
      </c>
      <c r="BQ4039">
        <v>0.11332468572476186</v>
      </c>
      <c r="BR4039" t="str">
        <v/>
      </c>
    </row>
    <row r="4040" spans="47:70" x14ac:dyDescent="0.2">
      <c r="AU4040"/>
      <c r="AV4040"/>
      <c r="AW4040"/>
      <c r="AX4040"/>
      <c r="AY4040"/>
      <c r="BK4040" s="42">
        <v>4039</v>
      </c>
      <c r="BL4040" s="127">
        <v>4</v>
      </c>
      <c r="BM4040" s="127">
        <v>0.11332468572476186</v>
      </c>
      <c r="BN4040" s="127" t="e">
        <v>#N/A</v>
      </c>
      <c r="BO4040" s="127" t="e">
        <v>#N/A</v>
      </c>
      <c r="BP4040" s="151" t="e">
        <v>#N/A</v>
      </c>
      <c r="BQ4040">
        <v>0.11332468572476186</v>
      </c>
      <c r="BR4040" t="str">
        <v/>
      </c>
    </row>
    <row r="4041" spans="47:70" x14ac:dyDescent="0.2">
      <c r="AU4041"/>
      <c r="AV4041"/>
      <c r="AW4041"/>
      <c r="AX4041"/>
      <c r="AY4041"/>
      <c r="BK4041" s="42">
        <v>4040</v>
      </c>
      <c r="BL4041" s="127">
        <v>4</v>
      </c>
      <c r="BM4041" s="127">
        <v>0.11332468572476186</v>
      </c>
      <c r="BN4041" s="127" t="e">
        <v>#N/A</v>
      </c>
      <c r="BO4041" s="127" t="e">
        <v>#N/A</v>
      </c>
      <c r="BP4041" s="151" t="e">
        <v>#N/A</v>
      </c>
      <c r="BQ4041">
        <v>0.11332468572476186</v>
      </c>
      <c r="BR4041" t="str">
        <v/>
      </c>
    </row>
    <row r="4042" spans="47:70" x14ac:dyDescent="0.2">
      <c r="AU4042"/>
      <c r="AV4042"/>
      <c r="AW4042"/>
      <c r="AX4042"/>
      <c r="AY4042"/>
      <c r="BK4042" s="42">
        <v>4041</v>
      </c>
      <c r="BL4042" s="127">
        <v>4</v>
      </c>
      <c r="BM4042" s="127">
        <v>0.11332468572476186</v>
      </c>
      <c r="BN4042" s="127" t="e">
        <v>#N/A</v>
      </c>
      <c r="BO4042" s="127" t="e">
        <v>#N/A</v>
      </c>
      <c r="BP4042" s="151" t="e">
        <v>#N/A</v>
      </c>
      <c r="BQ4042">
        <v>0.11332468572476186</v>
      </c>
      <c r="BR4042" t="str">
        <v/>
      </c>
    </row>
    <row r="4043" spans="47:70" x14ac:dyDescent="0.2">
      <c r="AU4043"/>
      <c r="AV4043"/>
      <c r="AW4043"/>
      <c r="AX4043"/>
      <c r="AY4043"/>
      <c r="BK4043" s="42">
        <v>4042</v>
      </c>
      <c r="BL4043" s="127">
        <v>4</v>
      </c>
      <c r="BM4043" s="127">
        <v>0.11332468572476186</v>
      </c>
      <c r="BN4043" s="127" t="e">
        <v>#N/A</v>
      </c>
      <c r="BO4043" s="127" t="e">
        <v>#N/A</v>
      </c>
      <c r="BP4043" s="151" t="e">
        <v>#N/A</v>
      </c>
      <c r="BQ4043">
        <v>0.11332468572476186</v>
      </c>
      <c r="BR4043" t="str">
        <v/>
      </c>
    </row>
    <row r="4044" spans="47:70" x14ac:dyDescent="0.2">
      <c r="AU4044"/>
      <c r="AV4044"/>
      <c r="AW4044"/>
      <c r="AX4044"/>
      <c r="AY4044"/>
      <c r="BK4044" s="42">
        <v>4043</v>
      </c>
      <c r="BL4044" s="127">
        <v>4</v>
      </c>
      <c r="BM4044" s="127">
        <v>0.11332468572476186</v>
      </c>
      <c r="BN4044" s="127" t="e">
        <v>#N/A</v>
      </c>
      <c r="BO4044" s="127" t="e">
        <v>#N/A</v>
      </c>
      <c r="BP4044" s="151" t="e">
        <v>#N/A</v>
      </c>
      <c r="BQ4044">
        <v>0.11332468572476186</v>
      </c>
      <c r="BR4044" t="str">
        <v/>
      </c>
    </row>
    <row r="4045" spans="47:70" x14ac:dyDescent="0.2">
      <c r="AU4045"/>
      <c r="AV4045"/>
      <c r="AW4045"/>
      <c r="AX4045"/>
      <c r="AY4045"/>
      <c r="BK4045" s="42">
        <v>4044</v>
      </c>
      <c r="BL4045" s="127">
        <v>4</v>
      </c>
      <c r="BM4045" s="127">
        <v>0.11332468572476186</v>
      </c>
      <c r="BN4045" s="127" t="e">
        <v>#N/A</v>
      </c>
      <c r="BO4045" s="127" t="e">
        <v>#N/A</v>
      </c>
      <c r="BP4045" s="151" t="e">
        <v>#N/A</v>
      </c>
      <c r="BQ4045">
        <v>0.11332468572476186</v>
      </c>
      <c r="BR4045" t="str">
        <v/>
      </c>
    </row>
    <row r="4046" spans="47:70" x14ac:dyDescent="0.2">
      <c r="AU4046"/>
      <c r="AV4046"/>
      <c r="AW4046"/>
      <c r="AX4046"/>
      <c r="AY4046"/>
      <c r="BK4046" s="42">
        <v>4045</v>
      </c>
      <c r="BL4046" s="127">
        <v>4</v>
      </c>
      <c r="BM4046" s="127">
        <v>0.11332468572476186</v>
      </c>
      <c r="BN4046" s="127" t="e">
        <v>#N/A</v>
      </c>
      <c r="BO4046" s="127" t="e">
        <v>#N/A</v>
      </c>
      <c r="BP4046" s="151" t="e">
        <v>#N/A</v>
      </c>
      <c r="BQ4046">
        <v>0.11332468572476186</v>
      </c>
      <c r="BR4046" t="str">
        <v/>
      </c>
    </row>
    <row r="4047" spans="47:70" x14ac:dyDescent="0.2">
      <c r="AU4047"/>
      <c r="AV4047"/>
      <c r="AW4047"/>
      <c r="AX4047"/>
      <c r="AY4047"/>
      <c r="BK4047" s="42">
        <v>4046</v>
      </c>
      <c r="BL4047" s="127">
        <v>4</v>
      </c>
      <c r="BM4047" s="127">
        <v>0.11332468572476186</v>
      </c>
      <c r="BN4047" s="127" t="e">
        <v>#N/A</v>
      </c>
      <c r="BO4047" s="127" t="e">
        <v>#N/A</v>
      </c>
      <c r="BP4047" s="151" t="e">
        <v>#N/A</v>
      </c>
      <c r="BQ4047">
        <v>0.11332468572476186</v>
      </c>
      <c r="BR4047" t="str">
        <v/>
      </c>
    </row>
    <row r="4048" spans="47:70" x14ac:dyDescent="0.2">
      <c r="AU4048"/>
      <c r="AV4048"/>
      <c r="AW4048"/>
      <c r="AX4048"/>
      <c r="AY4048"/>
      <c r="BK4048" s="42">
        <v>4047</v>
      </c>
      <c r="BL4048" s="127">
        <v>4</v>
      </c>
      <c r="BM4048" s="127">
        <v>0.11332468572476186</v>
      </c>
      <c r="BN4048" s="127" t="e">
        <v>#N/A</v>
      </c>
      <c r="BO4048" s="127" t="e">
        <v>#N/A</v>
      </c>
      <c r="BP4048" s="151" t="e">
        <v>#N/A</v>
      </c>
      <c r="BQ4048">
        <v>0.11332468572476186</v>
      </c>
      <c r="BR4048" t="str">
        <v/>
      </c>
    </row>
    <row r="4049" spans="47:70" x14ac:dyDescent="0.2">
      <c r="AU4049"/>
      <c r="AV4049"/>
      <c r="AW4049"/>
      <c r="AX4049"/>
      <c r="AY4049"/>
      <c r="BK4049" s="42">
        <v>4048</v>
      </c>
      <c r="BL4049" s="127">
        <v>4</v>
      </c>
      <c r="BM4049" s="127">
        <v>0.11332468572476186</v>
      </c>
      <c r="BN4049" s="127" t="e">
        <v>#N/A</v>
      </c>
      <c r="BO4049" s="127" t="e">
        <v>#N/A</v>
      </c>
      <c r="BP4049" s="151" t="e">
        <v>#N/A</v>
      </c>
      <c r="BQ4049">
        <v>0.11332468572476186</v>
      </c>
      <c r="BR4049" t="str">
        <v/>
      </c>
    </row>
    <row r="4050" spans="47:70" x14ac:dyDescent="0.2">
      <c r="AU4050"/>
      <c r="AV4050"/>
      <c r="AW4050"/>
      <c r="AX4050"/>
      <c r="AY4050"/>
      <c r="BK4050" s="42">
        <v>4049</v>
      </c>
      <c r="BL4050" s="127">
        <v>4</v>
      </c>
      <c r="BM4050" s="127">
        <v>0.11332468572476186</v>
      </c>
      <c r="BN4050" s="127" t="e">
        <v>#N/A</v>
      </c>
      <c r="BO4050" s="127" t="e">
        <v>#N/A</v>
      </c>
      <c r="BP4050" s="151" t="e">
        <v>#N/A</v>
      </c>
      <c r="BQ4050">
        <v>0.11332468572476186</v>
      </c>
      <c r="BR4050" t="str">
        <v/>
      </c>
    </row>
    <row r="4051" spans="47:70" x14ac:dyDescent="0.2">
      <c r="AU4051"/>
      <c r="AV4051"/>
      <c r="AW4051"/>
      <c r="AX4051"/>
      <c r="AY4051"/>
      <c r="BK4051" s="42">
        <v>4050</v>
      </c>
      <c r="BL4051" s="127">
        <v>4</v>
      </c>
      <c r="BM4051" s="127">
        <v>0.11332468572476186</v>
      </c>
      <c r="BN4051" s="127" t="e">
        <v>#N/A</v>
      </c>
      <c r="BO4051" s="127" t="e">
        <v>#N/A</v>
      </c>
      <c r="BP4051" s="151" t="e">
        <v>#N/A</v>
      </c>
      <c r="BQ4051">
        <v>0.11332468572476186</v>
      </c>
      <c r="BR4051" t="str">
        <v/>
      </c>
    </row>
    <row r="4052" spans="47:70" x14ac:dyDescent="0.2">
      <c r="AU4052"/>
      <c r="AV4052"/>
      <c r="AW4052"/>
      <c r="AX4052"/>
      <c r="AY4052"/>
      <c r="BK4052" s="42">
        <v>4051</v>
      </c>
      <c r="BL4052" s="127">
        <v>4</v>
      </c>
      <c r="BM4052" s="127">
        <v>0.11332468572476186</v>
      </c>
      <c r="BN4052" s="127" t="e">
        <v>#N/A</v>
      </c>
      <c r="BO4052" s="127" t="e">
        <v>#N/A</v>
      </c>
      <c r="BP4052" s="151" t="e">
        <v>#N/A</v>
      </c>
      <c r="BQ4052">
        <v>0.11332468572476186</v>
      </c>
      <c r="BR4052" t="str">
        <v/>
      </c>
    </row>
    <row r="4053" spans="47:70" x14ac:dyDescent="0.2">
      <c r="AU4053"/>
      <c r="AV4053"/>
      <c r="AW4053"/>
      <c r="AX4053"/>
      <c r="AY4053"/>
      <c r="BK4053" s="42">
        <v>4052</v>
      </c>
      <c r="BL4053" s="127">
        <v>4</v>
      </c>
      <c r="BM4053" s="127">
        <v>0.11332468572476186</v>
      </c>
      <c r="BN4053" s="127" t="e">
        <v>#N/A</v>
      </c>
      <c r="BO4053" s="127" t="e">
        <v>#N/A</v>
      </c>
      <c r="BP4053" s="151" t="e">
        <v>#N/A</v>
      </c>
      <c r="BQ4053">
        <v>0.11332468572476186</v>
      </c>
      <c r="BR4053" t="str">
        <v/>
      </c>
    </row>
    <row r="4054" spans="47:70" x14ac:dyDescent="0.2">
      <c r="AU4054"/>
      <c r="AV4054"/>
      <c r="AW4054"/>
      <c r="AX4054"/>
      <c r="AY4054"/>
      <c r="BK4054" s="42">
        <v>4053</v>
      </c>
      <c r="BL4054" s="127">
        <v>4</v>
      </c>
      <c r="BM4054" s="127">
        <v>0.11332468572476186</v>
      </c>
      <c r="BN4054" s="127" t="e">
        <v>#N/A</v>
      </c>
      <c r="BO4054" s="127" t="e">
        <v>#N/A</v>
      </c>
      <c r="BP4054" s="151" t="e">
        <v>#N/A</v>
      </c>
      <c r="BQ4054">
        <v>0.11332468572476186</v>
      </c>
      <c r="BR4054" t="str">
        <v/>
      </c>
    </row>
    <row r="4055" spans="47:70" x14ac:dyDescent="0.2">
      <c r="AU4055"/>
      <c r="AV4055"/>
      <c r="AW4055"/>
      <c r="AX4055"/>
      <c r="AY4055"/>
      <c r="BK4055" s="42">
        <v>4054</v>
      </c>
      <c r="BL4055" s="127">
        <v>4</v>
      </c>
      <c r="BM4055" s="127">
        <v>0.11332468572476186</v>
      </c>
      <c r="BN4055" s="127" t="e">
        <v>#N/A</v>
      </c>
      <c r="BO4055" s="127" t="e">
        <v>#N/A</v>
      </c>
      <c r="BP4055" s="151" t="e">
        <v>#N/A</v>
      </c>
      <c r="BQ4055">
        <v>0.11332468572476186</v>
      </c>
      <c r="BR4055" t="str">
        <v/>
      </c>
    </row>
    <row r="4056" spans="47:70" x14ac:dyDescent="0.2">
      <c r="AU4056"/>
      <c r="AV4056"/>
      <c r="AW4056"/>
      <c r="AX4056"/>
      <c r="AY4056"/>
      <c r="BK4056" s="42">
        <v>4055</v>
      </c>
      <c r="BL4056" s="127">
        <v>4</v>
      </c>
      <c r="BM4056" s="127">
        <v>0.11332468572476186</v>
      </c>
      <c r="BN4056" s="127" t="e">
        <v>#N/A</v>
      </c>
      <c r="BO4056" s="127" t="e">
        <v>#N/A</v>
      </c>
      <c r="BP4056" s="151" t="e">
        <v>#N/A</v>
      </c>
      <c r="BQ4056">
        <v>0.11332468572476186</v>
      </c>
      <c r="BR4056" t="str">
        <v/>
      </c>
    </row>
    <row r="4057" spans="47:70" x14ac:dyDescent="0.2">
      <c r="AU4057"/>
      <c r="AV4057"/>
      <c r="AW4057"/>
      <c r="AX4057"/>
      <c r="AY4057"/>
      <c r="BK4057" s="42">
        <v>4056</v>
      </c>
      <c r="BL4057" s="127">
        <v>4</v>
      </c>
      <c r="BM4057" s="127">
        <v>0.11332468572476186</v>
      </c>
      <c r="BN4057" s="127" t="e">
        <v>#N/A</v>
      </c>
      <c r="BO4057" s="127" t="e">
        <v>#N/A</v>
      </c>
      <c r="BP4057" s="151" t="e">
        <v>#N/A</v>
      </c>
      <c r="BQ4057">
        <v>0.11332468572476186</v>
      </c>
      <c r="BR4057" t="str">
        <v/>
      </c>
    </row>
    <row r="4058" spans="47:70" x14ac:dyDescent="0.2">
      <c r="AU4058"/>
      <c r="AV4058"/>
      <c r="AW4058"/>
      <c r="AX4058"/>
      <c r="AY4058"/>
      <c r="BK4058" s="42">
        <v>4057</v>
      </c>
      <c r="BL4058" s="127">
        <v>4</v>
      </c>
      <c r="BM4058" s="127">
        <v>0.11332468572476186</v>
      </c>
      <c r="BN4058" s="127" t="e">
        <v>#N/A</v>
      </c>
      <c r="BO4058" s="127" t="e">
        <v>#N/A</v>
      </c>
      <c r="BP4058" s="151" t="e">
        <v>#N/A</v>
      </c>
      <c r="BQ4058">
        <v>0.11332468572476186</v>
      </c>
      <c r="BR4058" t="str">
        <v/>
      </c>
    </row>
    <row r="4059" spans="47:70" x14ac:dyDescent="0.2">
      <c r="AU4059"/>
      <c r="AV4059"/>
      <c r="AW4059"/>
      <c r="AX4059"/>
      <c r="AY4059"/>
      <c r="BK4059" s="42">
        <v>4058</v>
      </c>
      <c r="BL4059" s="127">
        <v>4</v>
      </c>
      <c r="BM4059" s="127">
        <v>0.11332468572476186</v>
      </c>
      <c r="BN4059" s="127" t="e">
        <v>#N/A</v>
      </c>
      <c r="BO4059" s="127" t="e">
        <v>#N/A</v>
      </c>
      <c r="BP4059" s="151" t="e">
        <v>#N/A</v>
      </c>
      <c r="BQ4059">
        <v>0.11332468572476186</v>
      </c>
      <c r="BR4059" t="str">
        <v/>
      </c>
    </row>
    <row r="4060" spans="47:70" x14ac:dyDescent="0.2">
      <c r="AU4060"/>
      <c r="AV4060"/>
      <c r="AW4060"/>
      <c r="AX4060"/>
      <c r="AY4060"/>
      <c r="BK4060" s="42">
        <v>4059</v>
      </c>
      <c r="BL4060" s="127">
        <v>4</v>
      </c>
      <c r="BM4060" s="127">
        <v>0.11332468572476186</v>
      </c>
      <c r="BN4060" s="127" t="e">
        <v>#N/A</v>
      </c>
      <c r="BO4060" s="127" t="e">
        <v>#N/A</v>
      </c>
      <c r="BP4060" s="151" t="e">
        <v>#N/A</v>
      </c>
      <c r="BQ4060">
        <v>0.11332468572476186</v>
      </c>
      <c r="BR4060" t="str">
        <v/>
      </c>
    </row>
    <row r="4061" spans="47:70" x14ac:dyDescent="0.2">
      <c r="AU4061"/>
      <c r="AV4061"/>
      <c r="AW4061"/>
      <c r="AX4061"/>
      <c r="AY4061"/>
      <c r="BK4061" s="42">
        <v>4060</v>
      </c>
      <c r="BL4061" s="127">
        <v>4</v>
      </c>
      <c r="BM4061" s="127">
        <v>0.11332468572476186</v>
      </c>
      <c r="BN4061" s="127" t="e">
        <v>#N/A</v>
      </c>
      <c r="BO4061" s="127" t="e">
        <v>#N/A</v>
      </c>
      <c r="BP4061" s="151" t="e">
        <v>#N/A</v>
      </c>
      <c r="BQ4061">
        <v>0.11332468572476186</v>
      </c>
      <c r="BR4061" t="str">
        <v/>
      </c>
    </row>
    <row r="4062" spans="47:70" x14ac:dyDescent="0.2">
      <c r="AU4062"/>
      <c r="AV4062"/>
      <c r="AW4062"/>
      <c r="AX4062"/>
      <c r="AY4062"/>
      <c r="BK4062" s="42">
        <v>4061</v>
      </c>
      <c r="BL4062" s="127">
        <v>4</v>
      </c>
      <c r="BM4062" s="127">
        <v>0.11332468572476186</v>
      </c>
      <c r="BN4062" s="127" t="e">
        <v>#N/A</v>
      </c>
      <c r="BO4062" s="127" t="e">
        <v>#N/A</v>
      </c>
      <c r="BP4062" s="151" t="e">
        <v>#N/A</v>
      </c>
      <c r="BQ4062">
        <v>0.11332468572476186</v>
      </c>
      <c r="BR4062" t="str">
        <v/>
      </c>
    </row>
    <row r="4063" spans="47:70" x14ac:dyDescent="0.2">
      <c r="AU4063"/>
      <c r="AV4063"/>
      <c r="AW4063"/>
      <c r="AX4063"/>
      <c r="AY4063"/>
      <c r="BK4063" s="42">
        <v>4062</v>
      </c>
      <c r="BL4063" s="127">
        <v>4</v>
      </c>
      <c r="BM4063" s="127">
        <v>0.11332468572476186</v>
      </c>
      <c r="BN4063" s="127" t="e">
        <v>#N/A</v>
      </c>
      <c r="BO4063" s="127" t="e">
        <v>#N/A</v>
      </c>
      <c r="BP4063" s="151" t="e">
        <v>#N/A</v>
      </c>
      <c r="BQ4063">
        <v>0.11332468572476186</v>
      </c>
      <c r="BR4063" t="str">
        <v/>
      </c>
    </row>
    <row r="4064" spans="47:70" x14ac:dyDescent="0.2">
      <c r="AU4064"/>
      <c r="AV4064"/>
      <c r="AW4064"/>
      <c r="AX4064"/>
      <c r="AY4064"/>
      <c r="BK4064" s="42">
        <v>4063</v>
      </c>
      <c r="BL4064" s="127">
        <v>4</v>
      </c>
      <c r="BM4064" s="127">
        <v>0.11332468572476186</v>
      </c>
      <c r="BN4064" s="127" t="e">
        <v>#N/A</v>
      </c>
      <c r="BO4064" s="127" t="e">
        <v>#N/A</v>
      </c>
      <c r="BP4064" s="151" t="e">
        <v>#N/A</v>
      </c>
      <c r="BQ4064">
        <v>0.11332468572476186</v>
      </c>
      <c r="BR4064" t="str">
        <v/>
      </c>
    </row>
    <row r="4065" spans="47:70" x14ac:dyDescent="0.2">
      <c r="AU4065"/>
      <c r="AV4065"/>
      <c r="AW4065"/>
      <c r="AX4065"/>
      <c r="AY4065"/>
      <c r="BK4065" s="42">
        <v>4064</v>
      </c>
      <c r="BL4065" s="127">
        <v>4</v>
      </c>
      <c r="BM4065" s="127">
        <v>0.11332468572476186</v>
      </c>
      <c r="BN4065" s="127" t="e">
        <v>#N/A</v>
      </c>
      <c r="BO4065" s="127" t="e">
        <v>#N/A</v>
      </c>
      <c r="BP4065" s="151" t="e">
        <v>#N/A</v>
      </c>
      <c r="BQ4065">
        <v>0.11332468572476186</v>
      </c>
      <c r="BR4065" t="str">
        <v/>
      </c>
    </row>
    <row r="4066" spans="47:70" x14ac:dyDescent="0.2">
      <c r="AU4066"/>
      <c r="AV4066"/>
      <c r="AW4066"/>
      <c r="AX4066"/>
      <c r="AY4066"/>
      <c r="BK4066" s="42">
        <v>4065</v>
      </c>
      <c r="BL4066" s="127">
        <v>4</v>
      </c>
      <c r="BM4066" s="127">
        <v>0.11332468572476186</v>
      </c>
      <c r="BN4066" s="127" t="e">
        <v>#N/A</v>
      </c>
      <c r="BO4066" s="127" t="e">
        <v>#N/A</v>
      </c>
      <c r="BP4066" s="151" t="e">
        <v>#N/A</v>
      </c>
      <c r="BQ4066">
        <v>0.11332468572476186</v>
      </c>
      <c r="BR4066" t="str">
        <v/>
      </c>
    </row>
    <row r="4067" spans="47:70" x14ac:dyDescent="0.2">
      <c r="AU4067"/>
      <c r="AV4067"/>
      <c r="AW4067"/>
      <c r="AX4067"/>
      <c r="AY4067"/>
      <c r="BK4067" s="42">
        <v>4066</v>
      </c>
      <c r="BL4067" s="127">
        <v>4</v>
      </c>
      <c r="BM4067" s="127">
        <v>0.11332468572476186</v>
      </c>
      <c r="BN4067" s="127" t="e">
        <v>#N/A</v>
      </c>
      <c r="BO4067" s="127" t="e">
        <v>#N/A</v>
      </c>
      <c r="BP4067" s="151" t="e">
        <v>#N/A</v>
      </c>
      <c r="BQ4067">
        <v>0.11332468572476186</v>
      </c>
      <c r="BR4067" t="str">
        <v/>
      </c>
    </row>
    <row r="4068" spans="47:70" x14ac:dyDescent="0.2">
      <c r="AU4068"/>
      <c r="AV4068"/>
      <c r="AW4068"/>
      <c r="AX4068"/>
      <c r="AY4068"/>
      <c r="BK4068" s="42">
        <v>4067</v>
      </c>
      <c r="BL4068" s="127">
        <v>4</v>
      </c>
      <c r="BM4068" s="127">
        <v>0.11332468572476186</v>
      </c>
      <c r="BN4068" s="127" t="e">
        <v>#N/A</v>
      </c>
      <c r="BO4068" s="127" t="e">
        <v>#N/A</v>
      </c>
      <c r="BP4068" s="151" t="e">
        <v>#N/A</v>
      </c>
      <c r="BQ4068">
        <v>0.11332468572476186</v>
      </c>
      <c r="BR4068" t="str">
        <v/>
      </c>
    </row>
    <row r="4069" spans="47:70" x14ac:dyDescent="0.2">
      <c r="AU4069"/>
      <c r="AV4069"/>
      <c r="AW4069"/>
      <c r="AX4069"/>
      <c r="AY4069"/>
      <c r="BK4069" s="42">
        <v>4068</v>
      </c>
      <c r="BL4069" s="127">
        <v>4</v>
      </c>
      <c r="BM4069" s="127">
        <v>0.11332468572476186</v>
      </c>
      <c r="BN4069" s="127" t="e">
        <v>#N/A</v>
      </c>
      <c r="BO4069" s="127" t="e">
        <v>#N/A</v>
      </c>
      <c r="BP4069" s="151" t="e">
        <v>#N/A</v>
      </c>
      <c r="BQ4069">
        <v>0.11332468572476186</v>
      </c>
      <c r="BR4069" t="str">
        <v/>
      </c>
    </row>
    <row r="4070" spans="47:70" x14ac:dyDescent="0.2">
      <c r="AU4070"/>
      <c r="AV4070"/>
      <c r="AW4070"/>
      <c r="AX4070"/>
      <c r="AY4070"/>
      <c r="BK4070" s="42">
        <v>4069</v>
      </c>
      <c r="BL4070" s="127">
        <v>4</v>
      </c>
      <c r="BM4070" s="127">
        <v>0.11332468572476186</v>
      </c>
      <c r="BN4070" s="127" t="e">
        <v>#N/A</v>
      </c>
      <c r="BO4070" s="127" t="e">
        <v>#N/A</v>
      </c>
      <c r="BP4070" s="151" t="e">
        <v>#N/A</v>
      </c>
      <c r="BQ4070">
        <v>0.11332468572476186</v>
      </c>
      <c r="BR4070" t="str">
        <v/>
      </c>
    </row>
    <row r="4071" spans="47:70" x14ac:dyDescent="0.2">
      <c r="AU4071"/>
      <c r="AV4071"/>
      <c r="AW4071"/>
      <c r="AX4071"/>
      <c r="AY4071"/>
      <c r="BK4071" s="42">
        <v>4070</v>
      </c>
      <c r="BL4071" s="127">
        <v>4</v>
      </c>
      <c r="BM4071" s="127">
        <v>0.11332468572476186</v>
      </c>
      <c r="BN4071" s="127" t="e">
        <v>#N/A</v>
      </c>
      <c r="BO4071" s="127" t="e">
        <v>#N/A</v>
      </c>
      <c r="BP4071" s="151" t="e">
        <v>#N/A</v>
      </c>
      <c r="BQ4071">
        <v>0.11332468572476186</v>
      </c>
      <c r="BR4071" t="str">
        <v/>
      </c>
    </row>
    <row r="4072" spans="47:70" x14ac:dyDescent="0.2">
      <c r="AU4072"/>
      <c r="AV4072"/>
      <c r="AW4072"/>
      <c r="AX4072"/>
      <c r="AY4072"/>
      <c r="BK4072" s="42">
        <v>4071</v>
      </c>
      <c r="BL4072" s="127">
        <v>4</v>
      </c>
      <c r="BM4072" s="127">
        <v>0.11332468572476186</v>
      </c>
      <c r="BN4072" s="127" t="e">
        <v>#N/A</v>
      </c>
      <c r="BO4072" s="127" t="e">
        <v>#N/A</v>
      </c>
      <c r="BP4072" s="151" t="e">
        <v>#N/A</v>
      </c>
      <c r="BQ4072">
        <v>0.11332468572476186</v>
      </c>
      <c r="BR4072" t="str">
        <v/>
      </c>
    </row>
    <row r="4073" spans="47:70" x14ac:dyDescent="0.2">
      <c r="AU4073"/>
      <c r="AV4073"/>
      <c r="AW4073"/>
      <c r="AX4073"/>
      <c r="AY4073"/>
      <c r="BK4073" s="42">
        <v>4072</v>
      </c>
      <c r="BL4073" s="127">
        <v>4</v>
      </c>
      <c r="BM4073" s="127">
        <v>0.11332468572476186</v>
      </c>
      <c r="BN4073" s="127" t="e">
        <v>#N/A</v>
      </c>
      <c r="BO4073" s="127" t="e">
        <v>#N/A</v>
      </c>
      <c r="BP4073" s="151" t="e">
        <v>#N/A</v>
      </c>
      <c r="BQ4073">
        <v>0.11332468572476186</v>
      </c>
      <c r="BR4073" t="str">
        <v/>
      </c>
    </row>
    <row r="4074" spans="47:70" x14ac:dyDescent="0.2">
      <c r="AU4074"/>
      <c r="AV4074"/>
      <c r="AW4074"/>
      <c r="AX4074"/>
      <c r="AY4074"/>
      <c r="BK4074" s="42">
        <v>4073</v>
      </c>
      <c r="BL4074" s="127">
        <v>4</v>
      </c>
      <c r="BM4074" s="127">
        <v>0.11332468572476186</v>
      </c>
      <c r="BN4074" s="127" t="e">
        <v>#N/A</v>
      </c>
      <c r="BO4074" s="127" t="e">
        <v>#N/A</v>
      </c>
      <c r="BP4074" s="151" t="e">
        <v>#N/A</v>
      </c>
      <c r="BQ4074">
        <v>0.11332468572476186</v>
      </c>
      <c r="BR4074" t="str">
        <v/>
      </c>
    </row>
    <row r="4075" spans="47:70" x14ac:dyDescent="0.2">
      <c r="AU4075"/>
      <c r="AV4075"/>
      <c r="AW4075"/>
      <c r="AX4075"/>
      <c r="AY4075"/>
      <c r="BK4075" s="42">
        <v>4074</v>
      </c>
      <c r="BL4075" s="127">
        <v>4</v>
      </c>
      <c r="BM4075" s="127">
        <v>0.11332468572476186</v>
      </c>
      <c r="BN4075" s="127" t="e">
        <v>#N/A</v>
      </c>
      <c r="BO4075" s="127" t="e">
        <v>#N/A</v>
      </c>
      <c r="BP4075" s="151" t="e">
        <v>#N/A</v>
      </c>
      <c r="BQ4075">
        <v>0.11332468572476186</v>
      </c>
      <c r="BR4075" t="str">
        <v/>
      </c>
    </row>
    <row r="4076" spans="47:70" x14ac:dyDescent="0.2">
      <c r="AU4076"/>
      <c r="AV4076"/>
      <c r="AW4076"/>
      <c r="AX4076"/>
      <c r="AY4076"/>
      <c r="BK4076" s="42">
        <v>4075</v>
      </c>
      <c r="BL4076" s="127">
        <v>4</v>
      </c>
      <c r="BM4076" s="127">
        <v>0.11332468572476186</v>
      </c>
      <c r="BN4076" s="127" t="e">
        <v>#N/A</v>
      </c>
      <c r="BO4076" s="127" t="e">
        <v>#N/A</v>
      </c>
      <c r="BP4076" s="151" t="e">
        <v>#N/A</v>
      </c>
      <c r="BQ4076">
        <v>0.11332468572476186</v>
      </c>
      <c r="BR4076" t="str">
        <v/>
      </c>
    </row>
    <row r="4077" spans="47:70" x14ac:dyDescent="0.2">
      <c r="AU4077"/>
      <c r="AV4077"/>
      <c r="AW4077"/>
      <c r="AX4077"/>
      <c r="AY4077"/>
      <c r="BK4077" s="42">
        <v>4076</v>
      </c>
      <c r="BL4077" s="127">
        <v>4</v>
      </c>
      <c r="BM4077" s="127">
        <v>0.11332468572476186</v>
      </c>
      <c r="BN4077" s="127" t="e">
        <v>#N/A</v>
      </c>
      <c r="BO4077" s="127" t="e">
        <v>#N/A</v>
      </c>
      <c r="BP4077" s="151" t="e">
        <v>#N/A</v>
      </c>
      <c r="BQ4077">
        <v>0.11332468572476186</v>
      </c>
      <c r="BR4077" t="str">
        <v/>
      </c>
    </row>
    <row r="4078" spans="47:70" x14ac:dyDescent="0.2">
      <c r="AU4078"/>
      <c r="AV4078"/>
      <c r="AW4078"/>
      <c r="AX4078"/>
      <c r="AY4078"/>
      <c r="BK4078" s="42">
        <v>4077</v>
      </c>
      <c r="BL4078" s="127">
        <v>4</v>
      </c>
      <c r="BM4078" s="127">
        <v>0.11332468572476186</v>
      </c>
      <c r="BN4078" s="127" t="e">
        <v>#N/A</v>
      </c>
      <c r="BO4078" s="127" t="e">
        <v>#N/A</v>
      </c>
      <c r="BP4078" s="151" t="e">
        <v>#N/A</v>
      </c>
      <c r="BQ4078">
        <v>0.11332468572476186</v>
      </c>
      <c r="BR4078" t="str">
        <v/>
      </c>
    </row>
    <row r="4079" spans="47:70" x14ac:dyDescent="0.2">
      <c r="AU4079"/>
      <c r="AV4079"/>
      <c r="AW4079"/>
      <c r="AX4079"/>
      <c r="AY4079"/>
      <c r="BK4079" s="42">
        <v>4078</v>
      </c>
      <c r="BL4079" s="127">
        <v>4</v>
      </c>
      <c r="BM4079" s="127">
        <v>0.11332468572476186</v>
      </c>
      <c r="BN4079" s="127" t="e">
        <v>#N/A</v>
      </c>
      <c r="BO4079" s="127" t="e">
        <v>#N/A</v>
      </c>
      <c r="BP4079" s="151" t="e">
        <v>#N/A</v>
      </c>
      <c r="BQ4079">
        <v>0.11332468572476186</v>
      </c>
      <c r="BR4079" t="str">
        <v/>
      </c>
    </row>
    <row r="4080" spans="47:70" x14ac:dyDescent="0.2">
      <c r="AU4080"/>
      <c r="AV4080"/>
      <c r="AW4080"/>
      <c r="AX4080"/>
      <c r="AY4080"/>
      <c r="BK4080" s="42">
        <v>4079</v>
      </c>
      <c r="BL4080" s="127">
        <v>4</v>
      </c>
      <c r="BM4080" s="127">
        <v>0.11332468572476186</v>
      </c>
      <c r="BN4080" s="127" t="e">
        <v>#N/A</v>
      </c>
      <c r="BO4080" s="127" t="e">
        <v>#N/A</v>
      </c>
      <c r="BP4080" s="151" t="e">
        <v>#N/A</v>
      </c>
      <c r="BQ4080">
        <v>0.11332468572476186</v>
      </c>
      <c r="BR4080" t="str">
        <v/>
      </c>
    </row>
    <row r="4081" spans="47:70" x14ac:dyDescent="0.2">
      <c r="AU4081"/>
      <c r="AV4081"/>
      <c r="AW4081"/>
      <c r="AX4081"/>
      <c r="AY4081"/>
      <c r="BK4081" s="42">
        <v>4080</v>
      </c>
      <c r="BL4081" s="127">
        <v>4</v>
      </c>
      <c r="BM4081" s="127">
        <v>0.11332468572476186</v>
      </c>
      <c r="BN4081" s="127" t="e">
        <v>#N/A</v>
      </c>
      <c r="BO4081" s="127" t="e">
        <v>#N/A</v>
      </c>
      <c r="BP4081" s="151" t="e">
        <v>#N/A</v>
      </c>
      <c r="BQ4081">
        <v>0.11332468572476186</v>
      </c>
      <c r="BR4081" t="str">
        <v/>
      </c>
    </row>
    <row r="4082" spans="47:70" x14ac:dyDescent="0.2">
      <c r="AU4082"/>
      <c r="AV4082"/>
      <c r="AW4082"/>
      <c r="AX4082"/>
      <c r="AY4082"/>
      <c r="BK4082" s="42">
        <v>4081</v>
      </c>
      <c r="BL4082" s="127">
        <v>4</v>
      </c>
      <c r="BM4082" s="127">
        <v>0.11332468572476186</v>
      </c>
      <c r="BN4082" s="127" t="e">
        <v>#N/A</v>
      </c>
      <c r="BO4082" s="127" t="e">
        <v>#N/A</v>
      </c>
      <c r="BP4082" s="151" t="e">
        <v>#N/A</v>
      </c>
      <c r="BQ4082">
        <v>0.11332468572476186</v>
      </c>
      <c r="BR4082" t="str">
        <v/>
      </c>
    </row>
    <row r="4083" spans="47:70" x14ac:dyDescent="0.2">
      <c r="AU4083"/>
      <c r="AV4083"/>
      <c r="AW4083"/>
      <c r="AX4083"/>
      <c r="AY4083"/>
      <c r="BK4083" s="42">
        <v>4082</v>
      </c>
      <c r="BL4083" s="127">
        <v>4</v>
      </c>
      <c r="BM4083" s="127">
        <v>0.11332468572476186</v>
      </c>
      <c r="BN4083" s="127" t="e">
        <v>#N/A</v>
      </c>
      <c r="BO4083" s="127" t="e">
        <v>#N/A</v>
      </c>
      <c r="BP4083" s="151" t="e">
        <v>#N/A</v>
      </c>
      <c r="BQ4083">
        <v>0.11332468572476186</v>
      </c>
      <c r="BR4083" t="str">
        <v/>
      </c>
    </row>
    <row r="4084" spans="47:70" x14ac:dyDescent="0.2">
      <c r="AU4084"/>
      <c r="AV4084"/>
      <c r="AW4084"/>
      <c r="AX4084"/>
      <c r="AY4084"/>
      <c r="BK4084" s="42">
        <v>4083</v>
      </c>
      <c r="BL4084" s="127">
        <v>4</v>
      </c>
      <c r="BM4084" s="127">
        <v>0.11332468572476186</v>
      </c>
      <c r="BN4084" s="127" t="e">
        <v>#N/A</v>
      </c>
      <c r="BO4084" s="127" t="e">
        <v>#N/A</v>
      </c>
      <c r="BP4084" s="151" t="e">
        <v>#N/A</v>
      </c>
      <c r="BQ4084">
        <v>0.11332468572476186</v>
      </c>
      <c r="BR4084" t="str">
        <v/>
      </c>
    </row>
    <row r="4085" spans="47:70" x14ac:dyDescent="0.2">
      <c r="AU4085"/>
      <c r="AV4085"/>
      <c r="AW4085"/>
      <c r="AX4085"/>
      <c r="AY4085"/>
      <c r="BK4085" s="42">
        <v>4084</v>
      </c>
      <c r="BL4085" s="127">
        <v>4</v>
      </c>
      <c r="BM4085" s="127">
        <v>0.11332468572476186</v>
      </c>
      <c r="BN4085" s="127" t="e">
        <v>#N/A</v>
      </c>
      <c r="BO4085" s="127" t="e">
        <v>#N/A</v>
      </c>
      <c r="BP4085" s="151" t="e">
        <v>#N/A</v>
      </c>
      <c r="BQ4085">
        <v>0.11332468572476186</v>
      </c>
      <c r="BR4085" t="str">
        <v/>
      </c>
    </row>
    <row r="4086" spans="47:70" x14ac:dyDescent="0.2">
      <c r="AU4086"/>
      <c r="AV4086"/>
      <c r="AW4086"/>
      <c r="AX4086"/>
      <c r="AY4086"/>
      <c r="BK4086" s="42">
        <v>4085</v>
      </c>
      <c r="BL4086" s="127">
        <v>4</v>
      </c>
      <c r="BM4086" s="127">
        <v>0.11332468572476186</v>
      </c>
      <c r="BN4086" s="127" t="e">
        <v>#N/A</v>
      </c>
      <c r="BO4086" s="127" t="e">
        <v>#N/A</v>
      </c>
      <c r="BP4086" s="151" t="e">
        <v>#N/A</v>
      </c>
      <c r="BQ4086">
        <v>0.11332468572476186</v>
      </c>
      <c r="BR4086" t="str">
        <v/>
      </c>
    </row>
    <row r="4087" spans="47:70" x14ac:dyDescent="0.2">
      <c r="AU4087"/>
      <c r="AV4087"/>
      <c r="AW4087"/>
      <c r="AX4087"/>
      <c r="AY4087"/>
      <c r="BK4087" s="42">
        <v>4086</v>
      </c>
      <c r="BL4087" s="127">
        <v>4</v>
      </c>
      <c r="BM4087" s="127">
        <v>0.11332468572476186</v>
      </c>
      <c r="BN4087" s="127" t="e">
        <v>#N/A</v>
      </c>
      <c r="BO4087" s="127" t="e">
        <v>#N/A</v>
      </c>
      <c r="BP4087" s="151" t="e">
        <v>#N/A</v>
      </c>
      <c r="BQ4087">
        <v>0.11332468572476186</v>
      </c>
      <c r="BR4087" t="str">
        <v/>
      </c>
    </row>
    <row r="4088" spans="47:70" x14ac:dyDescent="0.2">
      <c r="AU4088"/>
      <c r="AV4088"/>
      <c r="AW4088"/>
      <c r="AX4088"/>
      <c r="AY4088"/>
      <c r="BK4088" s="42">
        <v>4087</v>
      </c>
      <c r="BL4088" s="127">
        <v>4</v>
      </c>
      <c r="BM4088" s="127">
        <v>0.11332468572476186</v>
      </c>
      <c r="BN4088" s="127" t="e">
        <v>#N/A</v>
      </c>
      <c r="BO4088" s="127" t="e">
        <v>#N/A</v>
      </c>
      <c r="BP4088" s="151" t="e">
        <v>#N/A</v>
      </c>
      <c r="BQ4088">
        <v>0.11332468572476186</v>
      </c>
      <c r="BR4088" t="str">
        <v/>
      </c>
    </row>
    <row r="4089" spans="47:70" x14ac:dyDescent="0.2">
      <c r="AU4089"/>
      <c r="AV4089"/>
      <c r="AW4089"/>
      <c r="AX4089"/>
      <c r="AY4089"/>
      <c r="BK4089" s="42">
        <v>4088</v>
      </c>
      <c r="BL4089" s="127">
        <v>4</v>
      </c>
      <c r="BM4089" s="127">
        <v>0.11332468572476186</v>
      </c>
      <c r="BN4089" s="127" t="e">
        <v>#N/A</v>
      </c>
      <c r="BO4089" s="127" t="e">
        <v>#N/A</v>
      </c>
      <c r="BP4089" s="151" t="e">
        <v>#N/A</v>
      </c>
      <c r="BQ4089">
        <v>0.11332468572476186</v>
      </c>
      <c r="BR4089" t="str">
        <v/>
      </c>
    </row>
    <row r="4090" spans="47:70" x14ac:dyDescent="0.2">
      <c r="AU4090"/>
      <c r="AV4090"/>
      <c r="AW4090"/>
      <c r="AX4090"/>
      <c r="AY4090"/>
      <c r="BK4090" s="42">
        <v>4089</v>
      </c>
      <c r="BL4090" s="127">
        <v>4</v>
      </c>
      <c r="BM4090" s="127">
        <v>0.11332468572476186</v>
      </c>
      <c r="BN4090" s="127" t="e">
        <v>#N/A</v>
      </c>
      <c r="BO4090" s="127" t="e">
        <v>#N/A</v>
      </c>
      <c r="BP4090" s="151" t="e">
        <v>#N/A</v>
      </c>
      <c r="BQ4090">
        <v>0.11332468572476186</v>
      </c>
      <c r="BR4090" t="str">
        <v/>
      </c>
    </row>
    <row r="4091" spans="47:70" x14ac:dyDescent="0.2">
      <c r="AU4091"/>
      <c r="AV4091"/>
      <c r="AW4091"/>
      <c r="AX4091"/>
      <c r="AY4091"/>
      <c r="BK4091" s="42">
        <v>4090</v>
      </c>
      <c r="BL4091" s="127">
        <v>4</v>
      </c>
      <c r="BM4091" s="127">
        <v>0.11332468572476186</v>
      </c>
      <c r="BN4091" s="127" t="e">
        <v>#N/A</v>
      </c>
      <c r="BO4091" s="127" t="e">
        <v>#N/A</v>
      </c>
      <c r="BP4091" s="151" t="e">
        <v>#N/A</v>
      </c>
      <c r="BQ4091">
        <v>0.11332468572476186</v>
      </c>
      <c r="BR4091" t="str">
        <v/>
      </c>
    </row>
    <row r="4092" spans="47:70" x14ac:dyDescent="0.2">
      <c r="AU4092"/>
      <c r="AV4092"/>
      <c r="AW4092"/>
      <c r="AX4092"/>
      <c r="AY4092"/>
      <c r="BK4092" s="42">
        <v>4091</v>
      </c>
      <c r="BL4092" s="127">
        <v>4</v>
      </c>
      <c r="BM4092" s="127">
        <v>0.11332468572476186</v>
      </c>
      <c r="BN4092" s="127" t="e">
        <v>#N/A</v>
      </c>
      <c r="BO4092" s="127" t="e">
        <v>#N/A</v>
      </c>
      <c r="BP4092" s="151" t="e">
        <v>#N/A</v>
      </c>
      <c r="BQ4092">
        <v>0.11332468572476186</v>
      </c>
      <c r="BR4092" t="str">
        <v/>
      </c>
    </row>
    <row r="4093" spans="47:70" x14ac:dyDescent="0.2">
      <c r="AU4093"/>
      <c r="AV4093"/>
      <c r="AW4093"/>
      <c r="AX4093"/>
      <c r="AY4093"/>
      <c r="BK4093" s="42">
        <v>4092</v>
      </c>
      <c r="BL4093" s="127">
        <v>4</v>
      </c>
      <c r="BM4093" s="127">
        <v>0.11332468572476186</v>
      </c>
      <c r="BN4093" s="127" t="e">
        <v>#N/A</v>
      </c>
      <c r="BO4093" s="127" t="e">
        <v>#N/A</v>
      </c>
      <c r="BP4093" s="151" t="e">
        <v>#N/A</v>
      </c>
      <c r="BQ4093">
        <v>0.11332468572476186</v>
      </c>
      <c r="BR4093" t="str">
        <v/>
      </c>
    </row>
    <row r="4094" spans="47:70" x14ac:dyDescent="0.2">
      <c r="AU4094"/>
      <c r="AV4094"/>
      <c r="AW4094"/>
      <c r="AX4094"/>
      <c r="AY4094"/>
      <c r="BK4094" s="42">
        <v>4093</v>
      </c>
      <c r="BL4094" s="127">
        <v>4</v>
      </c>
      <c r="BM4094" s="127">
        <v>0.11332468572476186</v>
      </c>
      <c r="BN4094" s="127" t="e">
        <v>#N/A</v>
      </c>
      <c r="BO4094" s="127" t="e">
        <v>#N/A</v>
      </c>
      <c r="BP4094" s="151" t="e">
        <v>#N/A</v>
      </c>
      <c r="BQ4094">
        <v>0.11332468572476186</v>
      </c>
      <c r="BR4094" t="str">
        <v/>
      </c>
    </row>
    <row r="4095" spans="47:70" x14ac:dyDescent="0.2">
      <c r="AU4095"/>
      <c r="AV4095"/>
      <c r="AW4095"/>
      <c r="AX4095"/>
      <c r="AY4095"/>
      <c r="BK4095" s="42">
        <v>4094</v>
      </c>
      <c r="BL4095" s="127">
        <v>4</v>
      </c>
      <c r="BM4095" s="127">
        <v>0.11332468572476186</v>
      </c>
      <c r="BN4095" s="127" t="e">
        <v>#N/A</v>
      </c>
      <c r="BO4095" s="127" t="e">
        <v>#N/A</v>
      </c>
      <c r="BP4095" s="151" t="e">
        <v>#N/A</v>
      </c>
      <c r="BQ4095">
        <v>0.11332468572476186</v>
      </c>
      <c r="BR4095" t="str">
        <v/>
      </c>
    </row>
    <row r="4096" spans="47:70" x14ac:dyDescent="0.2">
      <c r="AU4096"/>
      <c r="AV4096"/>
      <c r="AW4096"/>
      <c r="AX4096"/>
      <c r="AY4096"/>
      <c r="BK4096" s="42">
        <v>4095</v>
      </c>
      <c r="BL4096" s="127">
        <v>4</v>
      </c>
      <c r="BM4096" s="127">
        <v>0.11332468572476186</v>
      </c>
      <c r="BN4096" s="127" t="e">
        <v>#N/A</v>
      </c>
      <c r="BO4096" s="127" t="e">
        <v>#N/A</v>
      </c>
      <c r="BP4096" s="151" t="e">
        <v>#N/A</v>
      </c>
      <c r="BQ4096">
        <v>0.11332468572476186</v>
      </c>
      <c r="BR4096" t="str">
        <v/>
      </c>
    </row>
    <row r="4097" spans="47:70" x14ac:dyDescent="0.2">
      <c r="AU4097"/>
      <c r="AV4097"/>
      <c r="AW4097"/>
      <c r="AX4097"/>
      <c r="AY4097"/>
      <c r="BK4097" s="42">
        <v>4096</v>
      </c>
      <c r="BL4097" s="127">
        <v>4</v>
      </c>
      <c r="BM4097" s="127">
        <v>0.11332468572476186</v>
      </c>
      <c r="BN4097" s="127" t="e">
        <v>#N/A</v>
      </c>
      <c r="BO4097" s="127" t="e">
        <v>#N/A</v>
      </c>
      <c r="BP4097" s="151" t="e">
        <v>#N/A</v>
      </c>
      <c r="BQ4097">
        <v>0.11332468572476186</v>
      </c>
      <c r="BR4097" t="str">
        <v/>
      </c>
    </row>
    <row r="4098" spans="47:70" x14ac:dyDescent="0.2">
      <c r="AU4098"/>
      <c r="AV4098"/>
      <c r="AW4098"/>
      <c r="AX4098"/>
      <c r="AY4098"/>
      <c r="BK4098" s="42">
        <v>4097</v>
      </c>
      <c r="BL4098" s="127">
        <v>4</v>
      </c>
      <c r="BM4098" s="127">
        <v>0.11332468572476186</v>
      </c>
      <c r="BN4098" s="127" t="e">
        <v>#N/A</v>
      </c>
      <c r="BO4098" s="127" t="e">
        <v>#N/A</v>
      </c>
      <c r="BP4098" s="151" t="e">
        <v>#N/A</v>
      </c>
      <c r="BQ4098">
        <v>0.11332468572476186</v>
      </c>
      <c r="BR4098" t="str">
        <v/>
      </c>
    </row>
    <row r="4099" spans="47:70" x14ac:dyDescent="0.2">
      <c r="AU4099"/>
      <c r="AV4099"/>
      <c r="AW4099"/>
      <c r="AX4099"/>
      <c r="AY4099"/>
      <c r="BK4099" s="42">
        <v>4098</v>
      </c>
      <c r="BL4099" s="127">
        <v>4</v>
      </c>
      <c r="BM4099" s="127">
        <v>0.11332468572476186</v>
      </c>
      <c r="BN4099" s="127" t="e">
        <v>#N/A</v>
      </c>
      <c r="BO4099" s="127" t="e">
        <v>#N/A</v>
      </c>
      <c r="BP4099" s="151" t="e">
        <v>#N/A</v>
      </c>
      <c r="BQ4099">
        <v>0.11332468572476186</v>
      </c>
      <c r="BR4099" t="str">
        <v/>
      </c>
    </row>
    <row r="4100" spans="47:70" x14ac:dyDescent="0.2">
      <c r="AU4100"/>
      <c r="AV4100"/>
      <c r="AW4100"/>
      <c r="AX4100"/>
      <c r="AY4100"/>
      <c r="BK4100" s="42">
        <v>4099</v>
      </c>
      <c r="BL4100" s="127">
        <v>4</v>
      </c>
      <c r="BM4100" s="127">
        <v>0.11332468572476186</v>
      </c>
      <c r="BN4100" s="127" t="e">
        <v>#N/A</v>
      </c>
      <c r="BO4100" s="127" t="e">
        <v>#N/A</v>
      </c>
      <c r="BP4100" s="151" t="e">
        <v>#N/A</v>
      </c>
      <c r="BQ4100">
        <v>0.11332468572476186</v>
      </c>
      <c r="BR4100" t="str">
        <v/>
      </c>
    </row>
    <row r="4101" spans="47:70" x14ac:dyDescent="0.2">
      <c r="AU4101"/>
      <c r="AV4101"/>
      <c r="AW4101"/>
      <c r="AX4101"/>
      <c r="AY4101"/>
      <c r="BK4101" s="42">
        <v>4100</v>
      </c>
      <c r="BL4101" s="127">
        <v>4</v>
      </c>
      <c r="BM4101" s="127">
        <v>0.11332468572476186</v>
      </c>
      <c r="BN4101" s="127" t="e">
        <v>#N/A</v>
      </c>
      <c r="BO4101" s="127" t="e">
        <v>#N/A</v>
      </c>
      <c r="BP4101" s="151" t="e">
        <v>#N/A</v>
      </c>
      <c r="BQ4101">
        <v>0.11332468572476186</v>
      </c>
      <c r="BR4101" t="str">
        <v/>
      </c>
    </row>
    <row r="4102" spans="47:70" x14ac:dyDescent="0.2">
      <c r="AU4102"/>
      <c r="AV4102"/>
      <c r="AW4102"/>
      <c r="AX4102"/>
      <c r="AY4102"/>
      <c r="BK4102" s="42">
        <v>4101</v>
      </c>
      <c r="BL4102" s="127">
        <v>4</v>
      </c>
      <c r="BM4102" s="127">
        <v>0.11332468572476186</v>
      </c>
      <c r="BN4102" s="127" t="e">
        <v>#N/A</v>
      </c>
      <c r="BO4102" s="127" t="e">
        <v>#N/A</v>
      </c>
      <c r="BP4102" s="151" t="e">
        <v>#N/A</v>
      </c>
      <c r="BQ4102">
        <v>0.11332468572476186</v>
      </c>
      <c r="BR4102" t="str">
        <v/>
      </c>
    </row>
    <row r="4103" spans="47:70" x14ac:dyDescent="0.2">
      <c r="AU4103"/>
      <c r="AV4103"/>
      <c r="AW4103"/>
      <c r="AX4103"/>
      <c r="AY4103"/>
      <c r="BK4103" s="42">
        <v>4102</v>
      </c>
      <c r="BL4103" s="127">
        <v>4</v>
      </c>
      <c r="BM4103" s="127">
        <v>0.11332468572476186</v>
      </c>
      <c r="BN4103" s="127" t="e">
        <v>#N/A</v>
      </c>
      <c r="BO4103" s="127" t="e">
        <v>#N/A</v>
      </c>
      <c r="BP4103" s="151" t="e">
        <v>#N/A</v>
      </c>
      <c r="BQ4103">
        <v>0.11332468572476186</v>
      </c>
      <c r="BR4103" t="str">
        <v/>
      </c>
    </row>
    <row r="4104" spans="47:70" x14ac:dyDescent="0.2">
      <c r="AU4104"/>
      <c r="AV4104"/>
      <c r="AW4104"/>
      <c r="AX4104"/>
      <c r="AY4104"/>
      <c r="BK4104" s="42">
        <v>4103</v>
      </c>
      <c r="BL4104" s="127">
        <v>4</v>
      </c>
      <c r="BM4104" s="127">
        <v>0.11332468572476186</v>
      </c>
      <c r="BN4104" s="127" t="e">
        <v>#N/A</v>
      </c>
      <c r="BO4104" s="127" t="e">
        <v>#N/A</v>
      </c>
      <c r="BP4104" s="151" t="e">
        <v>#N/A</v>
      </c>
      <c r="BQ4104">
        <v>0.11332468572476186</v>
      </c>
      <c r="BR4104" t="str">
        <v/>
      </c>
    </row>
    <row r="4105" spans="47:70" x14ac:dyDescent="0.2">
      <c r="AU4105"/>
      <c r="AV4105"/>
      <c r="AW4105"/>
      <c r="AX4105"/>
      <c r="AY4105"/>
      <c r="BK4105" s="42">
        <v>4104</v>
      </c>
      <c r="BL4105" s="127">
        <v>4</v>
      </c>
      <c r="BM4105" s="127">
        <v>0.11332468572476186</v>
      </c>
      <c r="BN4105" s="127" t="e">
        <v>#N/A</v>
      </c>
      <c r="BO4105" s="127" t="e">
        <v>#N/A</v>
      </c>
      <c r="BP4105" s="151" t="e">
        <v>#N/A</v>
      </c>
      <c r="BQ4105">
        <v>0.11332468572476186</v>
      </c>
      <c r="BR4105" t="str">
        <v/>
      </c>
    </row>
    <row r="4106" spans="47:70" x14ac:dyDescent="0.2">
      <c r="AU4106"/>
      <c r="AV4106"/>
      <c r="AW4106"/>
      <c r="AX4106"/>
      <c r="AY4106"/>
      <c r="BK4106" s="42">
        <v>4105</v>
      </c>
      <c r="BL4106" s="127">
        <v>4</v>
      </c>
      <c r="BM4106" s="127">
        <v>0.11332468572476186</v>
      </c>
      <c r="BN4106" s="127" t="e">
        <v>#N/A</v>
      </c>
      <c r="BO4106" s="127" t="e">
        <v>#N/A</v>
      </c>
      <c r="BP4106" s="151" t="e">
        <v>#N/A</v>
      </c>
      <c r="BQ4106">
        <v>0.11332468572476186</v>
      </c>
      <c r="BR4106" t="str">
        <v/>
      </c>
    </row>
    <row r="4107" spans="47:70" x14ac:dyDescent="0.2">
      <c r="AU4107"/>
      <c r="AV4107"/>
      <c r="AW4107"/>
      <c r="AX4107"/>
      <c r="AY4107"/>
      <c r="BK4107" s="42">
        <v>4106</v>
      </c>
      <c r="BL4107" s="127">
        <v>4</v>
      </c>
      <c r="BM4107" s="127">
        <v>0.11332468572476186</v>
      </c>
      <c r="BN4107" s="127" t="e">
        <v>#N/A</v>
      </c>
      <c r="BO4107" s="127" t="e">
        <v>#N/A</v>
      </c>
      <c r="BP4107" s="151" t="e">
        <v>#N/A</v>
      </c>
      <c r="BQ4107">
        <v>0.11332468572476186</v>
      </c>
      <c r="BR4107" t="str">
        <v/>
      </c>
    </row>
    <row r="4108" spans="47:70" x14ac:dyDescent="0.2">
      <c r="AU4108"/>
      <c r="AV4108"/>
      <c r="AW4108"/>
      <c r="AX4108"/>
      <c r="AY4108"/>
      <c r="BK4108" s="42">
        <v>4107</v>
      </c>
      <c r="BL4108" s="127">
        <v>4</v>
      </c>
      <c r="BM4108" s="127">
        <v>0.11332468572476186</v>
      </c>
      <c r="BN4108" s="127" t="e">
        <v>#N/A</v>
      </c>
      <c r="BO4108" s="127" t="e">
        <v>#N/A</v>
      </c>
      <c r="BP4108" s="151" t="e">
        <v>#N/A</v>
      </c>
      <c r="BQ4108">
        <v>0.11332468572476186</v>
      </c>
      <c r="BR4108" t="str">
        <v/>
      </c>
    </row>
    <row r="4109" spans="47:70" x14ac:dyDescent="0.2">
      <c r="AU4109"/>
      <c r="AV4109"/>
      <c r="AW4109"/>
      <c r="AX4109"/>
      <c r="AY4109"/>
      <c r="BK4109" s="42">
        <v>4108</v>
      </c>
      <c r="BL4109" s="127">
        <v>4</v>
      </c>
      <c r="BM4109" s="127">
        <v>0.11332468572476186</v>
      </c>
      <c r="BN4109" s="127" t="e">
        <v>#N/A</v>
      </c>
      <c r="BO4109" s="127" t="e">
        <v>#N/A</v>
      </c>
      <c r="BP4109" s="151" t="e">
        <v>#N/A</v>
      </c>
      <c r="BQ4109">
        <v>0.11332468572476186</v>
      </c>
      <c r="BR4109" t="str">
        <v/>
      </c>
    </row>
    <row r="4110" spans="47:70" x14ac:dyDescent="0.2">
      <c r="AU4110"/>
      <c r="AV4110"/>
      <c r="AW4110"/>
      <c r="AX4110"/>
      <c r="AY4110"/>
      <c r="BK4110" s="42">
        <v>4109</v>
      </c>
      <c r="BL4110" s="127">
        <v>4</v>
      </c>
      <c r="BM4110" s="127">
        <v>0.11332468572476186</v>
      </c>
      <c r="BN4110" s="127" t="e">
        <v>#N/A</v>
      </c>
      <c r="BO4110" s="127" t="e">
        <v>#N/A</v>
      </c>
      <c r="BP4110" s="151" t="e">
        <v>#N/A</v>
      </c>
      <c r="BQ4110">
        <v>0.11332468572476186</v>
      </c>
      <c r="BR4110" t="str">
        <v/>
      </c>
    </row>
    <row r="4111" spans="47:70" x14ac:dyDescent="0.2">
      <c r="AU4111"/>
      <c r="AV4111"/>
      <c r="AW4111"/>
      <c r="AX4111"/>
      <c r="AY4111"/>
      <c r="BK4111" s="42">
        <v>4110</v>
      </c>
      <c r="BL4111" s="127">
        <v>4</v>
      </c>
      <c r="BM4111" s="127">
        <v>0.11332468572476186</v>
      </c>
      <c r="BN4111" s="127" t="e">
        <v>#N/A</v>
      </c>
      <c r="BO4111" s="127" t="e">
        <v>#N/A</v>
      </c>
      <c r="BP4111" s="151" t="e">
        <v>#N/A</v>
      </c>
      <c r="BQ4111">
        <v>0.11332468572476186</v>
      </c>
      <c r="BR4111" t="str">
        <v/>
      </c>
    </row>
    <row r="4112" spans="47:70" x14ac:dyDescent="0.2">
      <c r="AU4112"/>
      <c r="AV4112"/>
      <c r="AW4112"/>
      <c r="AX4112"/>
      <c r="AY4112"/>
      <c r="BK4112" s="42">
        <v>4111</v>
      </c>
      <c r="BL4112" s="127">
        <v>4</v>
      </c>
      <c r="BM4112" s="127">
        <v>0.11332468572476186</v>
      </c>
      <c r="BN4112" s="127" t="e">
        <v>#N/A</v>
      </c>
      <c r="BO4112" s="127" t="e">
        <v>#N/A</v>
      </c>
      <c r="BP4112" s="151" t="e">
        <v>#N/A</v>
      </c>
      <c r="BQ4112">
        <v>0.11332468572476186</v>
      </c>
      <c r="BR4112" t="str">
        <v/>
      </c>
    </row>
    <row r="4113" spans="47:70" x14ac:dyDescent="0.2">
      <c r="AU4113"/>
      <c r="AV4113"/>
      <c r="AW4113"/>
      <c r="AX4113"/>
      <c r="AY4113"/>
      <c r="BK4113" s="42">
        <v>4112</v>
      </c>
      <c r="BL4113" s="127">
        <v>4</v>
      </c>
      <c r="BM4113" s="127">
        <v>0.11332468572476186</v>
      </c>
      <c r="BN4113" s="127" t="e">
        <v>#N/A</v>
      </c>
      <c r="BO4113" s="127" t="e">
        <v>#N/A</v>
      </c>
      <c r="BP4113" s="151" t="e">
        <v>#N/A</v>
      </c>
      <c r="BQ4113">
        <v>0.11332468572476186</v>
      </c>
      <c r="BR4113" t="str">
        <v/>
      </c>
    </row>
    <row r="4114" spans="47:70" x14ac:dyDescent="0.2">
      <c r="AU4114"/>
      <c r="AV4114"/>
      <c r="AW4114"/>
      <c r="AX4114"/>
      <c r="AY4114"/>
      <c r="BK4114" s="42">
        <v>4113</v>
      </c>
      <c r="BL4114" s="127">
        <v>4</v>
      </c>
      <c r="BM4114" s="127">
        <v>0.11332468572476186</v>
      </c>
      <c r="BN4114" s="127" t="e">
        <v>#N/A</v>
      </c>
      <c r="BO4114" s="127" t="e">
        <v>#N/A</v>
      </c>
      <c r="BP4114" s="151" t="e">
        <v>#N/A</v>
      </c>
      <c r="BQ4114">
        <v>0.11332468572476186</v>
      </c>
      <c r="BR4114" t="str">
        <v/>
      </c>
    </row>
    <row r="4115" spans="47:70" x14ac:dyDescent="0.2">
      <c r="AU4115"/>
      <c r="AV4115"/>
      <c r="AW4115"/>
      <c r="AX4115"/>
      <c r="AY4115"/>
      <c r="BK4115" s="42">
        <v>4114</v>
      </c>
      <c r="BL4115" s="127">
        <v>4</v>
      </c>
      <c r="BM4115" s="127">
        <v>0.11332468572476186</v>
      </c>
      <c r="BN4115" s="127" t="e">
        <v>#N/A</v>
      </c>
      <c r="BO4115" s="127" t="e">
        <v>#N/A</v>
      </c>
      <c r="BP4115" s="151" t="e">
        <v>#N/A</v>
      </c>
      <c r="BQ4115">
        <v>0.11332468572476186</v>
      </c>
      <c r="BR4115" t="str">
        <v/>
      </c>
    </row>
    <row r="4116" spans="47:70" x14ac:dyDescent="0.2">
      <c r="AU4116"/>
      <c r="AV4116"/>
      <c r="AW4116"/>
      <c r="AX4116"/>
      <c r="AY4116"/>
      <c r="BK4116" s="42">
        <v>4115</v>
      </c>
      <c r="BL4116" s="127">
        <v>4</v>
      </c>
      <c r="BM4116" s="127">
        <v>0.11332468572476186</v>
      </c>
      <c r="BN4116" s="127" t="e">
        <v>#N/A</v>
      </c>
      <c r="BO4116" s="127" t="e">
        <v>#N/A</v>
      </c>
      <c r="BP4116" s="151" t="e">
        <v>#N/A</v>
      </c>
      <c r="BQ4116">
        <v>0.11332468572476186</v>
      </c>
      <c r="BR4116" t="str">
        <v/>
      </c>
    </row>
    <row r="4117" spans="47:70" x14ac:dyDescent="0.2">
      <c r="AU4117"/>
      <c r="AV4117"/>
      <c r="AW4117"/>
      <c r="AX4117"/>
      <c r="AY4117"/>
      <c r="BK4117" s="42">
        <v>4116</v>
      </c>
      <c r="BL4117" s="127">
        <v>4</v>
      </c>
      <c r="BM4117" s="127">
        <v>0.11332468572476186</v>
      </c>
      <c r="BN4117" s="127" t="e">
        <v>#N/A</v>
      </c>
      <c r="BO4117" s="127" t="e">
        <v>#N/A</v>
      </c>
      <c r="BP4117" s="151" t="e">
        <v>#N/A</v>
      </c>
      <c r="BQ4117">
        <v>0.11332468572476186</v>
      </c>
      <c r="BR4117" t="str">
        <v/>
      </c>
    </row>
    <row r="4118" spans="47:70" x14ac:dyDescent="0.2">
      <c r="AU4118"/>
      <c r="AV4118"/>
      <c r="AW4118"/>
      <c r="AX4118"/>
      <c r="AY4118"/>
      <c r="BK4118" s="42">
        <v>4117</v>
      </c>
      <c r="BL4118" s="127">
        <v>4</v>
      </c>
      <c r="BM4118" s="127">
        <v>0.11332468572476186</v>
      </c>
      <c r="BN4118" s="127" t="e">
        <v>#N/A</v>
      </c>
      <c r="BO4118" s="127" t="e">
        <v>#N/A</v>
      </c>
      <c r="BP4118" s="151" t="e">
        <v>#N/A</v>
      </c>
      <c r="BQ4118">
        <v>0.11332468572476186</v>
      </c>
      <c r="BR4118" t="str">
        <v/>
      </c>
    </row>
    <row r="4119" spans="47:70" x14ac:dyDescent="0.2">
      <c r="AU4119"/>
      <c r="AV4119"/>
      <c r="AW4119"/>
      <c r="AX4119"/>
      <c r="AY4119"/>
      <c r="BK4119" s="42">
        <v>4118</v>
      </c>
      <c r="BL4119" s="127">
        <v>4</v>
      </c>
      <c r="BM4119" s="127">
        <v>0.11332468572476186</v>
      </c>
      <c r="BN4119" s="127" t="e">
        <v>#N/A</v>
      </c>
      <c r="BO4119" s="127" t="e">
        <v>#N/A</v>
      </c>
      <c r="BP4119" s="151" t="e">
        <v>#N/A</v>
      </c>
      <c r="BQ4119">
        <v>0.11332468572476186</v>
      </c>
      <c r="BR4119" t="str">
        <v/>
      </c>
    </row>
    <row r="4120" spans="47:70" x14ac:dyDescent="0.2">
      <c r="AU4120"/>
      <c r="AV4120"/>
      <c r="AW4120"/>
      <c r="AX4120"/>
      <c r="AY4120"/>
      <c r="BK4120" s="42">
        <v>4119</v>
      </c>
      <c r="BL4120" s="127">
        <v>4</v>
      </c>
      <c r="BM4120" s="127">
        <v>0.11332468572476186</v>
      </c>
      <c r="BN4120" s="127" t="e">
        <v>#N/A</v>
      </c>
      <c r="BO4120" s="127" t="e">
        <v>#N/A</v>
      </c>
      <c r="BP4120" s="151" t="e">
        <v>#N/A</v>
      </c>
      <c r="BQ4120">
        <v>0.11332468572476186</v>
      </c>
      <c r="BR4120" t="str">
        <v/>
      </c>
    </row>
    <row r="4121" spans="47:70" x14ac:dyDescent="0.2">
      <c r="AU4121"/>
      <c r="AV4121"/>
      <c r="AW4121"/>
      <c r="AX4121"/>
      <c r="AY4121"/>
      <c r="BK4121" s="42">
        <v>4120</v>
      </c>
      <c r="BL4121" s="127">
        <v>4</v>
      </c>
      <c r="BM4121" s="127">
        <v>0.11332468572476186</v>
      </c>
      <c r="BN4121" s="127" t="e">
        <v>#N/A</v>
      </c>
      <c r="BO4121" s="127" t="e">
        <v>#N/A</v>
      </c>
      <c r="BP4121" s="151" t="e">
        <v>#N/A</v>
      </c>
      <c r="BQ4121">
        <v>0.11332468572476186</v>
      </c>
      <c r="BR4121" t="str">
        <v/>
      </c>
    </row>
    <row r="4122" spans="47:70" x14ac:dyDescent="0.2">
      <c r="AU4122"/>
      <c r="AV4122"/>
      <c r="AW4122"/>
      <c r="AX4122"/>
      <c r="AY4122"/>
      <c r="BK4122" s="42">
        <v>4121</v>
      </c>
      <c r="BL4122" s="127">
        <v>4</v>
      </c>
      <c r="BM4122" s="127">
        <v>0.11332468572476186</v>
      </c>
      <c r="BN4122" s="127" t="e">
        <v>#N/A</v>
      </c>
      <c r="BO4122" s="127" t="e">
        <v>#N/A</v>
      </c>
      <c r="BP4122" s="151" t="e">
        <v>#N/A</v>
      </c>
      <c r="BQ4122">
        <v>0.11332468572476186</v>
      </c>
      <c r="BR4122" t="str">
        <v/>
      </c>
    </row>
    <row r="4123" spans="47:70" x14ac:dyDescent="0.2">
      <c r="AU4123"/>
      <c r="AV4123"/>
      <c r="AW4123"/>
      <c r="AX4123"/>
      <c r="AY4123"/>
      <c r="BK4123" s="42">
        <v>4122</v>
      </c>
      <c r="BL4123" s="127">
        <v>4</v>
      </c>
      <c r="BM4123" s="127">
        <v>0.11332468572476186</v>
      </c>
      <c r="BN4123" s="127" t="e">
        <v>#N/A</v>
      </c>
      <c r="BO4123" s="127" t="e">
        <v>#N/A</v>
      </c>
      <c r="BP4123" s="151" t="e">
        <v>#N/A</v>
      </c>
      <c r="BQ4123">
        <v>0.11332468572476186</v>
      </c>
      <c r="BR4123" t="str">
        <v/>
      </c>
    </row>
    <row r="4124" spans="47:70" x14ac:dyDescent="0.2">
      <c r="AU4124"/>
      <c r="AV4124"/>
      <c r="AW4124"/>
      <c r="AX4124"/>
      <c r="AY4124"/>
      <c r="BK4124" s="42">
        <v>4123</v>
      </c>
      <c r="BL4124" s="127">
        <v>4</v>
      </c>
      <c r="BM4124" s="127">
        <v>0.11332468572476186</v>
      </c>
      <c r="BN4124" s="127" t="e">
        <v>#N/A</v>
      </c>
      <c r="BO4124" s="127" t="e">
        <v>#N/A</v>
      </c>
      <c r="BP4124" s="151" t="e">
        <v>#N/A</v>
      </c>
      <c r="BQ4124">
        <v>0.11332468572476186</v>
      </c>
      <c r="BR4124" t="str">
        <v/>
      </c>
    </row>
    <row r="4125" spans="47:70" x14ac:dyDescent="0.2">
      <c r="AU4125"/>
      <c r="AV4125"/>
      <c r="AW4125"/>
      <c r="AX4125"/>
      <c r="AY4125"/>
      <c r="BK4125" s="42">
        <v>4124</v>
      </c>
      <c r="BL4125" s="127">
        <v>4</v>
      </c>
      <c r="BM4125" s="127">
        <v>0.11332468572476186</v>
      </c>
      <c r="BN4125" s="127" t="e">
        <v>#N/A</v>
      </c>
      <c r="BO4125" s="127" t="e">
        <v>#N/A</v>
      </c>
      <c r="BP4125" s="151" t="e">
        <v>#N/A</v>
      </c>
      <c r="BQ4125">
        <v>0.11332468572476186</v>
      </c>
      <c r="BR4125" t="str">
        <v/>
      </c>
    </row>
    <row r="4126" spans="47:70" x14ac:dyDescent="0.2">
      <c r="AU4126"/>
      <c r="AV4126"/>
      <c r="AW4126"/>
      <c r="AX4126"/>
      <c r="AY4126"/>
      <c r="BK4126" s="42">
        <v>4125</v>
      </c>
      <c r="BL4126" s="127">
        <v>4</v>
      </c>
      <c r="BM4126" s="127">
        <v>0.11332468572476186</v>
      </c>
      <c r="BN4126" s="127" t="e">
        <v>#N/A</v>
      </c>
      <c r="BO4126" s="127" t="e">
        <v>#N/A</v>
      </c>
      <c r="BP4126" s="151" t="e">
        <v>#N/A</v>
      </c>
      <c r="BQ4126">
        <v>0.11332468572476186</v>
      </c>
      <c r="BR4126" t="str">
        <v/>
      </c>
    </row>
    <row r="4127" spans="47:70" x14ac:dyDescent="0.2">
      <c r="AU4127"/>
      <c r="AV4127"/>
      <c r="AW4127"/>
      <c r="AX4127"/>
      <c r="AY4127"/>
      <c r="BK4127" s="42">
        <v>4126</v>
      </c>
      <c r="BL4127" s="127">
        <v>4</v>
      </c>
      <c r="BM4127" s="127">
        <v>0.11332468572476186</v>
      </c>
      <c r="BN4127" s="127" t="e">
        <v>#N/A</v>
      </c>
      <c r="BO4127" s="127" t="e">
        <v>#N/A</v>
      </c>
      <c r="BP4127" s="151" t="e">
        <v>#N/A</v>
      </c>
      <c r="BQ4127">
        <v>0.11332468572476186</v>
      </c>
      <c r="BR4127" t="str">
        <v/>
      </c>
    </row>
    <row r="4128" spans="47:70" x14ac:dyDescent="0.2">
      <c r="AU4128"/>
      <c r="AV4128"/>
      <c r="AW4128"/>
      <c r="AX4128"/>
      <c r="AY4128"/>
      <c r="BK4128" s="42">
        <v>4127</v>
      </c>
      <c r="BL4128" s="127">
        <v>4</v>
      </c>
      <c r="BM4128" s="127">
        <v>0.11332468572476186</v>
      </c>
      <c r="BN4128" s="127" t="e">
        <v>#N/A</v>
      </c>
      <c r="BO4128" s="127" t="e">
        <v>#N/A</v>
      </c>
      <c r="BP4128" s="151" t="e">
        <v>#N/A</v>
      </c>
      <c r="BQ4128">
        <v>0.11332468572476186</v>
      </c>
      <c r="BR4128" t="str">
        <v/>
      </c>
    </row>
    <row r="4129" spans="47:70" x14ac:dyDescent="0.2">
      <c r="AU4129"/>
      <c r="AV4129"/>
      <c r="AW4129"/>
      <c r="AX4129"/>
      <c r="AY4129"/>
      <c r="BK4129" s="42">
        <v>4128</v>
      </c>
      <c r="BL4129" s="127">
        <v>4</v>
      </c>
      <c r="BM4129" s="127">
        <v>0.11332468572476186</v>
      </c>
      <c r="BN4129" s="127" t="e">
        <v>#N/A</v>
      </c>
      <c r="BO4129" s="127" t="e">
        <v>#N/A</v>
      </c>
      <c r="BP4129" s="151" t="e">
        <v>#N/A</v>
      </c>
      <c r="BQ4129">
        <v>0.11332468572476186</v>
      </c>
      <c r="BR4129" t="str">
        <v/>
      </c>
    </row>
    <row r="4130" spans="47:70" x14ac:dyDescent="0.2">
      <c r="AU4130"/>
      <c r="AV4130"/>
      <c r="AW4130"/>
      <c r="AX4130"/>
      <c r="AY4130"/>
      <c r="BK4130" s="42">
        <v>4129</v>
      </c>
      <c r="BL4130" s="127">
        <v>4</v>
      </c>
      <c r="BM4130" s="127">
        <v>0.11332468572476186</v>
      </c>
      <c r="BN4130" s="127" t="e">
        <v>#N/A</v>
      </c>
      <c r="BO4130" s="127" t="e">
        <v>#N/A</v>
      </c>
      <c r="BP4130" s="151" t="e">
        <v>#N/A</v>
      </c>
      <c r="BQ4130">
        <v>0.11332468572476186</v>
      </c>
      <c r="BR4130" t="str">
        <v/>
      </c>
    </row>
    <row r="4131" spans="47:70" x14ac:dyDescent="0.2">
      <c r="AU4131"/>
      <c r="AV4131"/>
      <c r="AW4131"/>
      <c r="AX4131"/>
      <c r="AY4131"/>
      <c r="BK4131" s="42">
        <v>4130</v>
      </c>
      <c r="BL4131" s="127">
        <v>4</v>
      </c>
      <c r="BM4131" s="127">
        <v>0.11332468572476186</v>
      </c>
      <c r="BN4131" s="127" t="e">
        <v>#N/A</v>
      </c>
      <c r="BO4131" s="127" t="e">
        <v>#N/A</v>
      </c>
      <c r="BP4131" s="151" t="e">
        <v>#N/A</v>
      </c>
      <c r="BQ4131">
        <v>0.11332468572476186</v>
      </c>
      <c r="BR4131" t="str">
        <v/>
      </c>
    </row>
    <row r="4132" spans="47:70" x14ac:dyDescent="0.2">
      <c r="AU4132"/>
      <c r="AV4132"/>
      <c r="AW4132"/>
      <c r="AX4132"/>
      <c r="AY4132"/>
      <c r="BK4132" s="42">
        <v>4131</v>
      </c>
      <c r="BL4132" s="127">
        <v>4</v>
      </c>
      <c r="BM4132" s="127">
        <v>0.11332468572476186</v>
      </c>
      <c r="BN4132" s="127" t="e">
        <v>#N/A</v>
      </c>
      <c r="BO4132" s="127" t="e">
        <v>#N/A</v>
      </c>
      <c r="BP4132" s="151" t="e">
        <v>#N/A</v>
      </c>
      <c r="BQ4132">
        <v>0.11332468572476186</v>
      </c>
      <c r="BR4132" t="str">
        <v/>
      </c>
    </row>
    <row r="4133" spans="47:70" x14ac:dyDescent="0.2">
      <c r="AU4133"/>
      <c r="AV4133"/>
      <c r="AW4133"/>
      <c r="AX4133"/>
      <c r="AY4133"/>
      <c r="BK4133" s="42">
        <v>4132</v>
      </c>
      <c r="BL4133" s="127">
        <v>4</v>
      </c>
      <c r="BM4133" s="127">
        <v>0.11332468572476186</v>
      </c>
      <c r="BN4133" s="127" t="e">
        <v>#N/A</v>
      </c>
      <c r="BO4133" s="127" t="e">
        <v>#N/A</v>
      </c>
      <c r="BP4133" s="151" t="e">
        <v>#N/A</v>
      </c>
      <c r="BQ4133">
        <v>0.11332468572476186</v>
      </c>
      <c r="BR4133" t="str">
        <v/>
      </c>
    </row>
    <row r="4134" spans="47:70" x14ac:dyDescent="0.2">
      <c r="AU4134"/>
      <c r="AV4134"/>
      <c r="AW4134"/>
      <c r="AX4134"/>
      <c r="AY4134"/>
      <c r="BK4134" s="42">
        <v>4133</v>
      </c>
      <c r="BL4134" s="127">
        <v>4</v>
      </c>
      <c r="BM4134" s="127">
        <v>0.11332468572476186</v>
      </c>
      <c r="BN4134" s="127" t="e">
        <v>#N/A</v>
      </c>
      <c r="BO4134" s="127" t="e">
        <v>#N/A</v>
      </c>
      <c r="BP4134" s="151" t="e">
        <v>#N/A</v>
      </c>
      <c r="BQ4134">
        <v>0.11332468572476186</v>
      </c>
      <c r="BR4134" t="str">
        <v/>
      </c>
    </row>
    <row r="4135" spans="47:70" x14ac:dyDescent="0.2">
      <c r="AU4135"/>
      <c r="AV4135"/>
      <c r="AW4135"/>
      <c r="AX4135"/>
      <c r="AY4135"/>
      <c r="BK4135" s="42">
        <v>4134</v>
      </c>
      <c r="BL4135" s="127">
        <v>4</v>
      </c>
      <c r="BM4135" s="127">
        <v>0.11332468572476186</v>
      </c>
      <c r="BN4135" s="127" t="e">
        <v>#N/A</v>
      </c>
      <c r="BO4135" s="127" t="e">
        <v>#N/A</v>
      </c>
      <c r="BP4135" s="151" t="e">
        <v>#N/A</v>
      </c>
      <c r="BQ4135">
        <v>0.11332468572476186</v>
      </c>
      <c r="BR4135" t="str">
        <v/>
      </c>
    </row>
    <row r="4136" spans="47:70" x14ac:dyDescent="0.2">
      <c r="AU4136"/>
      <c r="AV4136"/>
      <c r="AW4136"/>
      <c r="AX4136"/>
      <c r="AY4136"/>
      <c r="BK4136" s="42">
        <v>4135</v>
      </c>
      <c r="BL4136" s="127">
        <v>4</v>
      </c>
      <c r="BM4136" s="127">
        <v>0.11332468572476186</v>
      </c>
      <c r="BN4136" s="127" t="e">
        <v>#N/A</v>
      </c>
      <c r="BO4136" s="127" t="e">
        <v>#N/A</v>
      </c>
      <c r="BP4136" s="151" t="e">
        <v>#N/A</v>
      </c>
      <c r="BQ4136">
        <v>0.11332468572476186</v>
      </c>
      <c r="BR4136" t="str">
        <v/>
      </c>
    </row>
    <row r="4137" spans="47:70" x14ac:dyDescent="0.2">
      <c r="AU4137"/>
      <c r="AV4137"/>
      <c r="AW4137"/>
      <c r="AX4137"/>
      <c r="AY4137"/>
      <c r="BK4137" s="42">
        <v>4136</v>
      </c>
      <c r="BL4137" s="127">
        <v>4</v>
      </c>
      <c r="BM4137" s="127">
        <v>0.11332468572476186</v>
      </c>
      <c r="BN4137" s="127" t="e">
        <v>#N/A</v>
      </c>
      <c r="BO4137" s="127" t="e">
        <v>#N/A</v>
      </c>
      <c r="BP4137" s="151" t="e">
        <v>#N/A</v>
      </c>
      <c r="BQ4137">
        <v>0.11332468572476186</v>
      </c>
      <c r="BR4137" t="str">
        <v/>
      </c>
    </row>
    <row r="4138" spans="47:70" x14ac:dyDescent="0.2">
      <c r="AU4138"/>
      <c r="AV4138"/>
      <c r="AW4138"/>
      <c r="AX4138"/>
      <c r="AY4138"/>
      <c r="BK4138" s="42">
        <v>4137</v>
      </c>
      <c r="BL4138" s="127">
        <v>4</v>
      </c>
      <c r="BM4138" s="127">
        <v>0.11332468572476186</v>
      </c>
      <c r="BN4138" s="127" t="e">
        <v>#N/A</v>
      </c>
      <c r="BO4138" s="127" t="e">
        <v>#N/A</v>
      </c>
      <c r="BP4138" s="151" t="e">
        <v>#N/A</v>
      </c>
      <c r="BQ4138">
        <v>0.11332468572476186</v>
      </c>
      <c r="BR4138" t="str">
        <v/>
      </c>
    </row>
    <row r="4139" spans="47:70" x14ac:dyDescent="0.2">
      <c r="AU4139"/>
      <c r="AV4139"/>
      <c r="AW4139"/>
      <c r="AX4139"/>
      <c r="AY4139"/>
      <c r="BK4139" s="42">
        <v>4138</v>
      </c>
      <c r="BL4139" s="127">
        <v>4</v>
      </c>
      <c r="BM4139" s="127">
        <v>0.11332468572476186</v>
      </c>
      <c r="BN4139" s="127" t="e">
        <v>#N/A</v>
      </c>
      <c r="BO4139" s="127" t="e">
        <v>#N/A</v>
      </c>
      <c r="BP4139" s="151" t="e">
        <v>#N/A</v>
      </c>
      <c r="BQ4139">
        <v>0.11332468572476186</v>
      </c>
      <c r="BR4139" t="str">
        <v/>
      </c>
    </row>
    <row r="4140" spans="47:70" x14ac:dyDescent="0.2">
      <c r="AU4140"/>
      <c r="AV4140"/>
      <c r="AW4140"/>
      <c r="AX4140"/>
      <c r="AY4140"/>
      <c r="BK4140" s="42">
        <v>4139</v>
      </c>
      <c r="BL4140" s="127">
        <v>4</v>
      </c>
      <c r="BM4140" s="127">
        <v>0.11332468572476186</v>
      </c>
      <c r="BN4140" s="127" t="e">
        <v>#N/A</v>
      </c>
      <c r="BO4140" s="127" t="e">
        <v>#N/A</v>
      </c>
      <c r="BP4140" s="151" t="e">
        <v>#N/A</v>
      </c>
      <c r="BQ4140">
        <v>0.11332468572476186</v>
      </c>
      <c r="BR4140" t="str">
        <v/>
      </c>
    </row>
    <row r="4141" spans="47:70" x14ac:dyDescent="0.2">
      <c r="AU4141"/>
      <c r="AV4141"/>
      <c r="AW4141"/>
      <c r="AX4141"/>
      <c r="AY4141"/>
      <c r="BK4141" s="42">
        <v>4140</v>
      </c>
      <c r="BL4141" s="127">
        <v>4</v>
      </c>
      <c r="BM4141" s="127">
        <v>0.11332468572476186</v>
      </c>
      <c r="BN4141" s="127" t="e">
        <v>#N/A</v>
      </c>
      <c r="BO4141" s="127" t="e">
        <v>#N/A</v>
      </c>
      <c r="BP4141" s="151" t="e">
        <v>#N/A</v>
      </c>
      <c r="BQ4141">
        <v>0.11332468572476186</v>
      </c>
      <c r="BR4141" t="str">
        <v/>
      </c>
    </row>
    <row r="4142" spans="47:70" x14ac:dyDescent="0.2">
      <c r="AU4142"/>
      <c r="AV4142"/>
      <c r="AW4142"/>
      <c r="AX4142"/>
      <c r="AY4142"/>
      <c r="BK4142" s="42">
        <v>4141</v>
      </c>
      <c r="BL4142" s="127">
        <v>4</v>
      </c>
      <c r="BM4142" s="127">
        <v>0.11332468572476186</v>
      </c>
      <c r="BN4142" s="127" t="e">
        <v>#N/A</v>
      </c>
      <c r="BO4142" s="127" t="e">
        <v>#N/A</v>
      </c>
      <c r="BP4142" s="151" t="e">
        <v>#N/A</v>
      </c>
      <c r="BQ4142">
        <v>0.11332468572476186</v>
      </c>
      <c r="BR4142" t="str">
        <v/>
      </c>
    </row>
    <row r="4143" spans="47:70" x14ac:dyDescent="0.2">
      <c r="AU4143"/>
      <c r="AV4143"/>
      <c r="AW4143"/>
      <c r="AX4143"/>
      <c r="AY4143"/>
      <c r="BK4143" s="42">
        <v>4142</v>
      </c>
      <c r="BL4143" s="127">
        <v>4</v>
      </c>
      <c r="BM4143" s="127">
        <v>0.11332468572476186</v>
      </c>
      <c r="BN4143" s="127" t="e">
        <v>#N/A</v>
      </c>
      <c r="BO4143" s="127" t="e">
        <v>#N/A</v>
      </c>
      <c r="BP4143" s="151" t="e">
        <v>#N/A</v>
      </c>
      <c r="BQ4143">
        <v>0.11332468572476186</v>
      </c>
      <c r="BR4143" t="str">
        <v/>
      </c>
    </row>
    <row r="4144" spans="47:70" x14ac:dyDescent="0.2">
      <c r="AU4144"/>
      <c r="AV4144"/>
      <c r="AW4144"/>
      <c r="AX4144"/>
      <c r="AY4144"/>
      <c r="BK4144" s="42">
        <v>4143</v>
      </c>
      <c r="BL4144" s="127">
        <v>4</v>
      </c>
      <c r="BM4144" s="127">
        <v>0.11332468572476186</v>
      </c>
      <c r="BN4144" s="127" t="e">
        <v>#N/A</v>
      </c>
      <c r="BO4144" s="127" t="e">
        <v>#N/A</v>
      </c>
      <c r="BP4144" s="151" t="e">
        <v>#N/A</v>
      </c>
      <c r="BQ4144">
        <v>0.11332468572476186</v>
      </c>
      <c r="BR4144" t="str">
        <v/>
      </c>
    </row>
    <row r="4145" spans="47:70" x14ac:dyDescent="0.2">
      <c r="AU4145"/>
      <c r="AV4145"/>
      <c r="AW4145"/>
      <c r="AX4145"/>
      <c r="AY4145"/>
      <c r="BK4145" s="42">
        <v>4144</v>
      </c>
      <c r="BL4145" s="127">
        <v>4</v>
      </c>
      <c r="BM4145" s="127">
        <v>0.11332468572476186</v>
      </c>
      <c r="BN4145" s="127" t="e">
        <v>#N/A</v>
      </c>
      <c r="BO4145" s="127" t="e">
        <v>#N/A</v>
      </c>
      <c r="BP4145" s="151" t="e">
        <v>#N/A</v>
      </c>
      <c r="BQ4145">
        <v>0.11332468572476186</v>
      </c>
      <c r="BR4145" t="str">
        <v/>
      </c>
    </row>
    <row r="4146" spans="47:70" x14ac:dyDescent="0.2">
      <c r="AU4146"/>
      <c r="AV4146"/>
      <c r="AW4146"/>
      <c r="AX4146"/>
      <c r="AY4146"/>
      <c r="BK4146" s="42">
        <v>4145</v>
      </c>
      <c r="BL4146" s="127">
        <v>4</v>
      </c>
      <c r="BM4146" s="127">
        <v>0.11332468572476186</v>
      </c>
      <c r="BN4146" s="127" t="e">
        <v>#N/A</v>
      </c>
      <c r="BO4146" s="127" t="e">
        <v>#N/A</v>
      </c>
      <c r="BP4146" s="151" t="e">
        <v>#N/A</v>
      </c>
      <c r="BQ4146">
        <v>0.11332468572476186</v>
      </c>
      <c r="BR4146" t="str">
        <v/>
      </c>
    </row>
    <row r="4147" spans="47:70" x14ac:dyDescent="0.2">
      <c r="AU4147"/>
      <c r="AV4147"/>
      <c r="AW4147"/>
      <c r="AX4147"/>
      <c r="AY4147"/>
      <c r="BK4147" s="42">
        <v>4146</v>
      </c>
      <c r="BL4147" s="127">
        <v>4</v>
      </c>
      <c r="BM4147" s="127">
        <v>0.11332468572476186</v>
      </c>
      <c r="BN4147" s="127" t="e">
        <v>#N/A</v>
      </c>
      <c r="BO4147" s="127" t="e">
        <v>#N/A</v>
      </c>
      <c r="BP4147" s="151" t="e">
        <v>#N/A</v>
      </c>
      <c r="BQ4147">
        <v>0.11332468572476186</v>
      </c>
      <c r="BR4147" t="str">
        <v/>
      </c>
    </row>
    <row r="4148" spans="47:70" x14ac:dyDescent="0.2">
      <c r="AU4148"/>
      <c r="AV4148"/>
      <c r="AW4148"/>
      <c r="AX4148"/>
      <c r="AY4148"/>
      <c r="BK4148" s="42">
        <v>4147</v>
      </c>
      <c r="BL4148" s="127">
        <v>4</v>
      </c>
      <c r="BM4148" s="127">
        <v>0.11332468572476186</v>
      </c>
      <c r="BN4148" s="127" t="e">
        <v>#N/A</v>
      </c>
      <c r="BO4148" s="127" t="e">
        <v>#N/A</v>
      </c>
      <c r="BP4148" s="151" t="e">
        <v>#N/A</v>
      </c>
      <c r="BQ4148">
        <v>0.11332468572476186</v>
      </c>
      <c r="BR4148" t="str">
        <v/>
      </c>
    </row>
    <row r="4149" spans="47:70" x14ac:dyDescent="0.2">
      <c r="AU4149"/>
      <c r="AV4149"/>
      <c r="AW4149"/>
      <c r="AX4149"/>
      <c r="AY4149"/>
      <c r="BK4149" s="42">
        <v>4148</v>
      </c>
      <c r="BL4149" s="127">
        <v>4</v>
      </c>
      <c r="BM4149" s="127">
        <v>0.11332468572476186</v>
      </c>
      <c r="BN4149" s="127" t="e">
        <v>#N/A</v>
      </c>
      <c r="BO4149" s="127" t="e">
        <v>#N/A</v>
      </c>
      <c r="BP4149" s="151" t="e">
        <v>#N/A</v>
      </c>
      <c r="BQ4149">
        <v>0.11332468572476186</v>
      </c>
      <c r="BR4149" t="str">
        <v/>
      </c>
    </row>
    <row r="4150" spans="47:70" x14ac:dyDescent="0.2">
      <c r="AU4150"/>
      <c r="AV4150"/>
      <c r="AW4150"/>
      <c r="AX4150"/>
      <c r="AY4150"/>
      <c r="BK4150" s="42">
        <v>4149</v>
      </c>
      <c r="BL4150" s="127">
        <v>4</v>
      </c>
      <c r="BM4150" s="127">
        <v>0.11332468572476186</v>
      </c>
      <c r="BN4150" s="127" t="e">
        <v>#N/A</v>
      </c>
      <c r="BO4150" s="127" t="e">
        <v>#N/A</v>
      </c>
      <c r="BP4150" s="151" t="e">
        <v>#N/A</v>
      </c>
      <c r="BQ4150">
        <v>0.11332468572476186</v>
      </c>
      <c r="BR4150" t="str">
        <v/>
      </c>
    </row>
    <row r="4151" spans="47:70" x14ac:dyDescent="0.2">
      <c r="AU4151"/>
      <c r="AV4151"/>
      <c r="AW4151"/>
      <c r="AX4151"/>
      <c r="AY4151"/>
      <c r="BK4151" s="42">
        <v>4150</v>
      </c>
      <c r="BL4151" s="127">
        <v>4</v>
      </c>
      <c r="BM4151" s="127">
        <v>0.11332468572476186</v>
      </c>
      <c r="BN4151" s="127" t="e">
        <v>#N/A</v>
      </c>
      <c r="BO4151" s="127" t="e">
        <v>#N/A</v>
      </c>
      <c r="BP4151" s="151" t="e">
        <v>#N/A</v>
      </c>
      <c r="BQ4151">
        <v>0.11332468572476186</v>
      </c>
      <c r="BR4151" t="str">
        <v/>
      </c>
    </row>
    <row r="4152" spans="47:70" x14ac:dyDescent="0.2">
      <c r="AU4152"/>
      <c r="AV4152"/>
      <c r="AW4152"/>
      <c r="AX4152"/>
      <c r="AY4152"/>
      <c r="BK4152" s="42">
        <v>4151</v>
      </c>
      <c r="BL4152" s="127">
        <v>4</v>
      </c>
      <c r="BM4152" s="127">
        <v>0.11332468572476186</v>
      </c>
      <c r="BN4152" s="127" t="e">
        <v>#N/A</v>
      </c>
      <c r="BO4152" s="127" t="e">
        <v>#N/A</v>
      </c>
      <c r="BP4152" s="151" t="e">
        <v>#N/A</v>
      </c>
      <c r="BQ4152">
        <v>0.11332468572476186</v>
      </c>
      <c r="BR4152" t="str">
        <v/>
      </c>
    </row>
    <row r="4153" spans="47:70" x14ac:dyDescent="0.2">
      <c r="AU4153"/>
      <c r="AV4153"/>
      <c r="AW4153"/>
      <c r="AX4153"/>
      <c r="AY4153"/>
      <c r="BK4153" s="42">
        <v>4152</v>
      </c>
      <c r="BL4153" s="127">
        <v>4</v>
      </c>
      <c r="BM4153" s="127">
        <v>0.11332468572476186</v>
      </c>
      <c r="BN4153" s="127" t="e">
        <v>#N/A</v>
      </c>
      <c r="BO4153" s="127" t="e">
        <v>#N/A</v>
      </c>
      <c r="BP4153" s="151" t="e">
        <v>#N/A</v>
      </c>
      <c r="BQ4153">
        <v>0.11332468572476186</v>
      </c>
      <c r="BR4153" t="str">
        <v/>
      </c>
    </row>
    <row r="4154" spans="47:70" x14ac:dyDescent="0.2">
      <c r="AU4154"/>
      <c r="AV4154"/>
      <c r="AW4154"/>
      <c r="AX4154"/>
      <c r="AY4154"/>
      <c r="BK4154" s="42">
        <v>4153</v>
      </c>
      <c r="BL4154" s="127">
        <v>4</v>
      </c>
      <c r="BM4154" s="127">
        <v>0.11332468572476186</v>
      </c>
      <c r="BN4154" s="127" t="e">
        <v>#N/A</v>
      </c>
      <c r="BO4154" s="127" t="e">
        <v>#N/A</v>
      </c>
      <c r="BP4154" s="151" t="e">
        <v>#N/A</v>
      </c>
      <c r="BQ4154">
        <v>0.11332468572476186</v>
      </c>
      <c r="BR4154" t="str">
        <v/>
      </c>
    </row>
    <row r="4155" spans="47:70" x14ac:dyDescent="0.2">
      <c r="AU4155"/>
      <c r="AV4155"/>
      <c r="AW4155"/>
      <c r="AX4155"/>
      <c r="AY4155"/>
      <c r="BK4155" s="42">
        <v>4154</v>
      </c>
      <c r="BL4155" s="127">
        <v>4</v>
      </c>
      <c r="BM4155" s="127">
        <v>0.11332468572476186</v>
      </c>
      <c r="BN4155" s="127" t="e">
        <v>#N/A</v>
      </c>
      <c r="BO4155" s="127" t="e">
        <v>#N/A</v>
      </c>
      <c r="BP4155" s="151" t="e">
        <v>#N/A</v>
      </c>
      <c r="BQ4155">
        <v>0.11332468572476186</v>
      </c>
      <c r="BR4155" t="str">
        <v/>
      </c>
    </row>
    <row r="4156" spans="47:70" x14ac:dyDescent="0.2">
      <c r="AU4156"/>
      <c r="AV4156"/>
      <c r="AW4156"/>
      <c r="AX4156"/>
      <c r="AY4156"/>
      <c r="BK4156" s="42">
        <v>4155</v>
      </c>
      <c r="BL4156" s="127">
        <v>4</v>
      </c>
      <c r="BM4156" s="127">
        <v>0.11332468572476186</v>
      </c>
      <c r="BN4156" s="127" t="e">
        <v>#N/A</v>
      </c>
      <c r="BO4156" s="127" t="e">
        <v>#N/A</v>
      </c>
      <c r="BP4156" s="151" t="e">
        <v>#N/A</v>
      </c>
      <c r="BQ4156">
        <v>0.11332468572476186</v>
      </c>
      <c r="BR4156" t="str">
        <v/>
      </c>
    </row>
    <row r="4157" spans="47:70" x14ac:dyDescent="0.2">
      <c r="AU4157"/>
      <c r="AV4157"/>
      <c r="AW4157"/>
      <c r="AX4157"/>
      <c r="AY4157"/>
      <c r="BK4157" s="42">
        <v>4156</v>
      </c>
      <c r="BL4157" s="127">
        <v>4</v>
      </c>
      <c r="BM4157" s="127">
        <v>0.11332468572476186</v>
      </c>
      <c r="BN4157" s="127" t="e">
        <v>#N/A</v>
      </c>
      <c r="BO4157" s="127" t="e">
        <v>#N/A</v>
      </c>
      <c r="BP4157" s="151" t="e">
        <v>#N/A</v>
      </c>
      <c r="BQ4157">
        <v>0.11332468572476186</v>
      </c>
      <c r="BR4157" t="str">
        <v/>
      </c>
    </row>
    <row r="4158" spans="47:70" x14ac:dyDescent="0.2">
      <c r="AU4158"/>
      <c r="AV4158"/>
      <c r="AW4158"/>
      <c r="AX4158"/>
      <c r="AY4158"/>
      <c r="BK4158" s="42">
        <v>4157</v>
      </c>
      <c r="BL4158" s="127">
        <v>4</v>
      </c>
      <c r="BM4158" s="127">
        <v>0.11332468572476186</v>
      </c>
      <c r="BN4158" s="127" t="e">
        <v>#N/A</v>
      </c>
      <c r="BO4158" s="127" t="e">
        <v>#N/A</v>
      </c>
      <c r="BP4158" s="151" t="e">
        <v>#N/A</v>
      </c>
      <c r="BQ4158">
        <v>0.11332468572476186</v>
      </c>
      <c r="BR4158" t="str">
        <v/>
      </c>
    </row>
    <row r="4159" spans="47:70" x14ac:dyDescent="0.2">
      <c r="AU4159"/>
      <c r="AV4159"/>
      <c r="AW4159"/>
      <c r="AX4159"/>
      <c r="AY4159"/>
      <c r="BK4159" s="42">
        <v>4158</v>
      </c>
      <c r="BL4159" s="127">
        <v>4</v>
      </c>
      <c r="BM4159" s="127">
        <v>0.11332468572476186</v>
      </c>
      <c r="BN4159" s="127" t="e">
        <v>#N/A</v>
      </c>
      <c r="BO4159" s="127" t="e">
        <v>#N/A</v>
      </c>
      <c r="BP4159" s="151" t="e">
        <v>#N/A</v>
      </c>
      <c r="BQ4159">
        <v>0.11332468572476186</v>
      </c>
      <c r="BR4159" t="str">
        <v/>
      </c>
    </row>
    <row r="4160" spans="47:70" x14ac:dyDescent="0.2">
      <c r="AU4160"/>
      <c r="AV4160"/>
      <c r="AW4160"/>
      <c r="AX4160"/>
      <c r="AY4160"/>
      <c r="BK4160" s="42">
        <v>4159</v>
      </c>
      <c r="BL4160" s="127">
        <v>4</v>
      </c>
      <c r="BM4160" s="127">
        <v>0.11332468572476186</v>
      </c>
      <c r="BN4160" s="127" t="e">
        <v>#N/A</v>
      </c>
      <c r="BO4160" s="127" t="e">
        <v>#N/A</v>
      </c>
      <c r="BP4160" s="151" t="e">
        <v>#N/A</v>
      </c>
      <c r="BQ4160">
        <v>0.11332468572476186</v>
      </c>
      <c r="BR4160" t="str">
        <v/>
      </c>
    </row>
    <row r="4161" spans="47:70" x14ac:dyDescent="0.2">
      <c r="AU4161"/>
      <c r="AV4161"/>
      <c r="AW4161"/>
      <c r="AX4161"/>
      <c r="AY4161"/>
      <c r="BK4161" s="42">
        <v>4160</v>
      </c>
      <c r="BL4161" s="127">
        <v>4</v>
      </c>
      <c r="BM4161" s="127">
        <v>0.11332468572476186</v>
      </c>
      <c r="BN4161" s="127" t="e">
        <v>#N/A</v>
      </c>
      <c r="BO4161" s="127" t="e">
        <v>#N/A</v>
      </c>
      <c r="BP4161" s="151" t="e">
        <v>#N/A</v>
      </c>
      <c r="BQ4161">
        <v>0.11332468572476186</v>
      </c>
      <c r="BR4161" t="str">
        <v/>
      </c>
    </row>
    <row r="4162" spans="47:70" x14ac:dyDescent="0.2">
      <c r="AU4162"/>
      <c r="AV4162"/>
      <c r="AW4162"/>
      <c r="AX4162"/>
      <c r="AY4162"/>
      <c r="BK4162" s="42">
        <v>4161</v>
      </c>
      <c r="BL4162" s="127">
        <v>4</v>
      </c>
      <c r="BM4162" s="127">
        <v>0.11332468572476186</v>
      </c>
      <c r="BN4162" s="127" t="e">
        <v>#N/A</v>
      </c>
      <c r="BO4162" s="127" t="e">
        <v>#N/A</v>
      </c>
      <c r="BP4162" s="151" t="e">
        <v>#N/A</v>
      </c>
      <c r="BQ4162">
        <v>0.11332468572476186</v>
      </c>
      <c r="BR4162" t="str">
        <v/>
      </c>
    </row>
    <row r="4163" spans="47:70" x14ac:dyDescent="0.2">
      <c r="AU4163"/>
      <c r="AV4163"/>
      <c r="AW4163"/>
      <c r="AX4163"/>
      <c r="AY4163"/>
      <c r="BK4163" s="42">
        <v>4162</v>
      </c>
      <c r="BL4163" s="127">
        <v>4</v>
      </c>
      <c r="BM4163" s="127">
        <v>0.11332468572476186</v>
      </c>
      <c r="BN4163" s="127" t="e">
        <v>#N/A</v>
      </c>
      <c r="BO4163" s="127" t="e">
        <v>#N/A</v>
      </c>
      <c r="BP4163" s="151" t="e">
        <v>#N/A</v>
      </c>
      <c r="BQ4163">
        <v>0.11332468572476186</v>
      </c>
      <c r="BR4163" t="str">
        <v/>
      </c>
    </row>
    <row r="4164" spans="47:70" x14ac:dyDescent="0.2">
      <c r="AU4164"/>
      <c r="AV4164"/>
      <c r="AW4164"/>
      <c r="AX4164"/>
      <c r="AY4164"/>
      <c r="BK4164" s="42">
        <v>4163</v>
      </c>
      <c r="BL4164" s="127">
        <v>4</v>
      </c>
      <c r="BM4164" s="127">
        <v>0.11332468572476186</v>
      </c>
      <c r="BN4164" s="127" t="e">
        <v>#N/A</v>
      </c>
      <c r="BO4164" s="127" t="e">
        <v>#N/A</v>
      </c>
      <c r="BP4164" s="151" t="e">
        <v>#N/A</v>
      </c>
      <c r="BQ4164">
        <v>0.11332468572476186</v>
      </c>
      <c r="BR4164" t="str">
        <v/>
      </c>
    </row>
    <row r="4165" spans="47:70" x14ac:dyDescent="0.2">
      <c r="AU4165"/>
      <c r="AV4165"/>
      <c r="AW4165"/>
      <c r="AX4165"/>
      <c r="AY4165"/>
      <c r="BK4165" s="42">
        <v>4164</v>
      </c>
      <c r="BL4165" s="127">
        <v>4</v>
      </c>
      <c r="BM4165" s="127">
        <v>0.11332468572476186</v>
      </c>
      <c r="BN4165" s="127" t="e">
        <v>#N/A</v>
      </c>
      <c r="BO4165" s="127" t="e">
        <v>#N/A</v>
      </c>
      <c r="BP4165" s="151" t="e">
        <v>#N/A</v>
      </c>
      <c r="BQ4165">
        <v>0.11332468572476186</v>
      </c>
      <c r="BR4165" t="str">
        <v/>
      </c>
    </row>
    <row r="4166" spans="47:70" x14ac:dyDescent="0.2">
      <c r="AU4166"/>
      <c r="AV4166"/>
      <c r="AW4166"/>
      <c r="AX4166"/>
      <c r="AY4166"/>
      <c r="BK4166" s="42">
        <v>4165</v>
      </c>
      <c r="BL4166" s="127">
        <v>4</v>
      </c>
      <c r="BM4166" s="127">
        <v>0.11332468572476186</v>
      </c>
      <c r="BN4166" s="127" t="e">
        <v>#N/A</v>
      </c>
      <c r="BO4166" s="127" t="e">
        <v>#N/A</v>
      </c>
      <c r="BP4166" s="151" t="e">
        <v>#N/A</v>
      </c>
      <c r="BQ4166">
        <v>0.11332468572476186</v>
      </c>
      <c r="BR4166" t="str">
        <v/>
      </c>
    </row>
    <row r="4167" spans="47:70" x14ac:dyDescent="0.2">
      <c r="AU4167"/>
      <c r="AV4167"/>
      <c r="AW4167"/>
      <c r="AX4167"/>
      <c r="AY4167"/>
      <c r="BK4167" s="42">
        <v>4166</v>
      </c>
      <c r="BL4167" s="127">
        <v>4</v>
      </c>
      <c r="BM4167" s="127">
        <v>0.11332468572476186</v>
      </c>
      <c r="BN4167" s="127" t="e">
        <v>#N/A</v>
      </c>
      <c r="BO4167" s="127" t="e">
        <v>#N/A</v>
      </c>
      <c r="BP4167" s="151" t="e">
        <v>#N/A</v>
      </c>
      <c r="BQ4167">
        <v>0.11332468572476186</v>
      </c>
      <c r="BR4167" t="str">
        <v/>
      </c>
    </row>
    <row r="4168" spans="47:70" x14ac:dyDescent="0.2">
      <c r="AU4168"/>
      <c r="AV4168"/>
      <c r="AW4168"/>
      <c r="AX4168"/>
      <c r="AY4168"/>
      <c r="BK4168" s="42">
        <v>4167</v>
      </c>
      <c r="BL4168" s="127">
        <v>4</v>
      </c>
      <c r="BM4168" s="127">
        <v>0.11332468572476186</v>
      </c>
      <c r="BN4168" s="127" t="e">
        <v>#N/A</v>
      </c>
      <c r="BO4168" s="127" t="e">
        <v>#N/A</v>
      </c>
      <c r="BP4168" s="151" t="e">
        <v>#N/A</v>
      </c>
      <c r="BQ4168">
        <v>0.11332468572476186</v>
      </c>
      <c r="BR4168" t="str">
        <v/>
      </c>
    </row>
    <row r="4169" spans="47:70" x14ac:dyDescent="0.2">
      <c r="AU4169"/>
      <c r="AV4169"/>
      <c r="AW4169"/>
      <c r="AX4169"/>
      <c r="AY4169"/>
      <c r="BK4169" s="42">
        <v>4168</v>
      </c>
      <c r="BL4169" s="127">
        <v>4</v>
      </c>
      <c r="BM4169" s="127">
        <v>0.11332468572476186</v>
      </c>
      <c r="BN4169" s="127" t="e">
        <v>#N/A</v>
      </c>
      <c r="BO4169" s="127" t="e">
        <v>#N/A</v>
      </c>
      <c r="BP4169" s="151" t="e">
        <v>#N/A</v>
      </c>
      <c r="BQ4169">
        <v>0.11332468572476186</v>
      </c>
      <c r="BR4169" t="str">
        <v/>
      </c>
    </row>
    <row r="4170" spans="47:70" x14ac:dyDescent="0.2">
      <c r="AU4170"/>
      <c r="AV4170"/>
      <c r="AW4170"/>
      <c r="AX4170"/>
      <c r="AY4170"/>
      <c r="BK4170" s="42">
        <v>4169</v>
      </c>
      <c r="BL4170" s="127">
        <v>4</v>
      </c>
      <c r="BM4170" s="127">
        <v>0.11332468572476186</v>
      </c>
      <c r="BN4170" s="127" t="e">
        <v>#N/A</v>
      </c>
      <c r="BO4170" s="127" t="e">
        <v>#N/A</v>
      </c>
      <c r="BP4170" s="151" t="e">
        <v>#N/A</v>
      </c>
      <c r="BQ4170">
        <v>0.11332468572476186</v>
      </c>
      <c r="BR4170" t="str">
        <v/>
      </c>
    </row>
    <row r="4171" spans="47:70" x14ac:dyDescent="0.2">
      <c r="AU4171"/>
      <c r="AV4171"/>
      <c r="AW4171"/>
      <c r="AX4171"/>
      <c r="AY4171"/>
      <c r="BK4171" s="42">
        <v>4170</v>
      </c>
      <c r="BL4171" s="127">
        <v>4</v>
      </c>
      <c r="BM4171" s="127">
        <v>0.11332468572476186</v>
      </c>
      <c r="BN4171" s="127" t="e">
        <v>#N/A</v>
      </c>
      <c r="BO4171" s="127" t="e">
        <v>#N/A</v>
      </c>
      <c r="BP4171" s="151" t="e">
        <v>#N/A</v>
      </c>
      <c r="BQ4171">
        <v>0.11332468572476186</v>
      </c>
      <c r="BR4171" t="str">
        <v/>
      </c>
    </row>
    <row r="4172" spans="47:70" x14ac:dyDescent="0.2">
      <c r="AU4172"/>
      <c r="AV4172"/>
      <c r="AW4172"/>
      <c r="AX4172"/>
      <c r="AY4172"/>
      <c r="BK4172" s="42">
        <v>4171</v>
      </c>
      <c r="BL4172" s="127">
        <v>4</v>
      </c>
      <c r="BM4172" s="127">
        <v>0.11332468572476186</v>
      </c>
      <c r="BN4172" s="127" t="e">
        <v>#N/A</v>
      </c>
      <c r="BO4172" s="127" t="e">
        <v>#N/A</v>
      </c>
      <c r="BP4172" s="151" t="e">
        <v>#N/A</v>
      </c>
      <c r="BQ4172">
        <v>0.11332468572476186</v>
      </c>
      <c r="BR4172" t="str">
        <v/>
      </c>
    </row>
    <row r="4173" spans="47:70" x14ac:dyDescent="0.2">
      <c r="AU4173"/>
      <c r="AV4173"/>
      <c r="AW4173"/>
      <c r="AX4173"/>
      <c r="AY4173"/>
      <c r="BK4173" s="42">
        <v>4172</v>
      </c>
      <c r="BL4173" s="127">
        <v>4</v>
      </c>
      <c r="BM4173" s="127">
        <v>0.11332468572476186</v>
      </c>
      <c r="BN4173" s="127" t="e">
        <v>#N/A</v>
      </c>
      <c r="BO4173" s="127" t="e">
        <v>#N/A</v>
      </c>
      <c r="BP4173" s="151" t="e">
        <v>#N/A</v>
      </c>
      <c r="BQ4173">
        <v>0.11332468572476186</v>
      </c>
      <c r="BR4173" t="str">
        <v/>
      </c>
    </row>
    <row r="4174" spans="47:70" x14ac:dyDescent="0.2">
      <c r="AU4174"/>
      <c r="AV4174"/>
      <c r="AW4174"/>
      <c r="AX4174"/>
      <c r="AY4174"/>
      <c r="BK4174" s="42">
        <v>4173</v>
      </c>
      <c r="BL4174" s="127">
        <v>4</v>
      </c>
      <c r="BM4174" s="127">
        <v>0.11332468572476186</v>
      </c>
      <c r="BN4174" s="127" t="e">
        <v>#N/A</v>
      </c>
      <c r="BO4174" s="127" t="e">
        <v>#N/A</v>
      </c>
      <c r="BP4174" s="151" t="e">
        <v>#N/A</v>
      </c>
      <c r="BQ4174">
        <v>0.11332468572476186</v>
      </c>
      <c r="BR4174" t="str">
        <v/>
      </c>
    </row>
    <row r="4175" spans="47:70" x14ac:dyDescent="0.2">
      <c r="AU4175"/>
      <c r="AV4175"/>
      <c r="AW4175"/>
      <c r="AX4175"/>
      <c r="AY4175"/>
      <c r="BK4175" s="42">
        <v>4174</v>
      </c>
      <c r="BL4175" s="127">
        <v>4</v>
      </c>
      <c r="BM4175" s="127">
        <v>0.11332468572476186</v>
      </c>
      <c r="BN4175" s="127" t="e">
        <v>#N/A</v>
      </c>
      <c r="BO4175" s="127" t="e">
        <v>#N/A</v>
      </c>
      <c r="BP4175" s="151" t="e">
        <v>#N/A</v>
      </c>
      <c r="BQ4175">
        <v>0.11332468572476186</v>
      </c>
      <c r="BR4175" t="str">
        <v/>
      </c>
    </row>
    <row r="4176" spans="47:70" x14ac:dyDescent="0.2">
      <c r="AU4176"/>
      <c r="AV4176"/>
      <c r="AW4176"/>
      <c r="AX4176"/>
      <c r="AY4176"/>
      <c r="BK4176" s="42">
        <v>4175</v>
      </c>
      <c r="BL4176" s="127">
        <v>4</v>
      </c>
      <c r="BM4176" s="127">
        <v>0.11332468572476186</v>
      </c>
      <c r="BN4176" s="127" t="e">
        <v>#N/A</v>
      </c>
      <c r="BO4176" s="127" t="e">
        <v>#N/A</v>
      </c>
      <c r="BP4176" s="151" t="e">
        <v>#N/A</v>
      </c>
      <c r="BQ4176">
        <v>0.11332468572476186</v>
      </c>
      <c r="BR4176" t="str">
        <v/>
      </c>
    </row>
    <row r="4177" spans="47:70" x14ac:dyDescent="0.2">
      <c r="AU4177"/>
      <c r="AV4177"/>
      <c r="AW4177"/>
      <c r="AX4177"/>
      <c r="AY4177"/>
      <c r="BK4177" s="42">
        <v>4176</v>
      </c>
      <c r="BL4177" s="127">
        <v>4</v>
      </c>
      <c r="BM4177" s="127">
        <v>0.11332468572476186</v>
      </c>
      <c r="BN4177" s="127" t="e">
        <v>#N/A</v>
      </c>
      <c r="BO4177" s="127" t="e">
        <v>#N/A</v>
      </c>
      <c r="BP4177" s="151" t="e">
        <v>#N/A</v>
      </c>
      <c r="BQ4177">
        <v>0.11332468572476186</v>
      </c>
      <c r="BR4177" t="str">
        <v/>
      </c>
    </row>
    <row r="4178" spans="47:70" x14ac:dyDescent="0.2">
      <c r="AU4178"/>
      <c r="AV4178"/>
      <c r="AW4178"/>
      <c r="AX4178"/>
      <c r="AY4178"/>
      <c r="BK4178" s="42">
        <v>4177</v>
      </c>
      <c r="BL4178" s="127">
        <v>4</v>
      </c>
      <c r="BM4178" s="127">
        <v>0.11332468572476186</v>
      </c>
      <c r="BN4178" s="127" t="e">
        <v>#N/A</v>
      </c>
      <c r="BO4178" s="127" t="e">
        <v>#N/A</v>
      </c>
      <c r="BP4178" s="151" t="e">
        <v>#N/A</v>
      </c>
      <c r="BQ4178">
        <v>0.11332468572476186</v>
      </c>
      <c r="BR4178" t="str">
        <v/>
      </c>
    </row>
    <row r="4179" spans="47:70" x14ac:dyDescent="0.2">
      <c r="AU4179"/>
      <c r="AV4179"/>
      <c r="AW4179"/>
      <c r="AX4179"/>
      <c r="AY4179"/>
      <c r="BK4179" s="42">
        <v>4178</v>
      </c>
      <c r="BL4179" s="127">
        <v>4</v>
      </c>
      <c r="BM4179" s="127">
        <v>0.11332468572476186</v>
      </c>
      <c r="BN4179" s="127" t="e">
        <v>#N/A</v>
      </c>
      <c r="BO4179" s="127" t="e">
        <v>#N/A</v>
      </c>
      <c r="BP4179" s="151" t="e">
        <v>#N/A</v>
      </c>
      <c r="BQ4179">
        <v>0.11332468572476186</v>
      </c>
      <c r="BR4179" t="str">
        <v/>
      </c>
    </row>
    <row r="4180" spans="47:70" x14ac:dyDescent="0.2">
      <c r="AU4180"/>
      <c r="AV4180"/>
      <c r="AW4180"/>
      <c r="AX4180"/>
      <c r="AY4180"/>
      <c r="BK4180" s="42">
        <v>4179</v>
      </c>
      <c r="BL4180" s="127">
        <v>4</v>
      </c>
      <c r="BM4180" s="127">
        <v>0.11332468572476186</v>
      </c>
      <c r="BN4180" s="127" t="e">
        <v>#N/A</v>
      </c>
      <c r="BO4180" s="127" t="e">
        <v>#N/A</v>
      </c>
      <c r="BP4180" s="151" t="e">
        <v>#N/A</v>
      </c>
      <c r="BQ4180">
        <v>0.11332468572476186</v>
      </c>
      <c r="BR4180" t="str">
        <v/>
      </c>
    </row>
    <row r="4181" spans="47:70" x14ac:dyDescent="0.2">
      <c r="AU4181"/>
      <c r="AV4181"/>
      <c r="AW4181"/>
      <c r="AX4181"/>
      <c r="AY4181"/>
      <c r="BK4181" s="42">
        <v>4180</v>
      </c>
      <c r="BL4181" s="127">
        <v>4</v>
      </c>
      <c r="BM4181" s="127">
        <v>0.11332468572476186</v>
      </c>
      <c r="BN4181" s="127" t="e">
        <v>#N/A</v>
      </c>
      <c r="BO4181" s="127" t="e">
        <v>#N/A</v>
      </c>
      <c r="BP4181" s="151" t="e">
        <v>#N/A</v>
      </c>
      <c r="BQ4181">
        <v>0.11332468572476186</v>
      </c>
      <c r="BR4181" t="str">
        <v/>
      </c>
    </row>
    <row r="4182" spans="47:70" x14ac:dyDescent="0.2">
      <c r="AU4182"/>
      <c r="AV4182"/>
      <c r="AW4182"/>
      <c r="AX4182"/>
      <c r="AY4182"/>
      <c r="BK4182" s="42">
        <v>4181</v>
      </c>
      <c r="BL4182" s="127">
        <v>4</v>
      </c>
      <c r="BM4182" s="127">
        <v>0.11332468572476186</v>
      </c>
      <c r="BN4182" s="127" t="e">
        <v>#N/A</v>
      </c>
      <c r="BO4182" s="127" t="e">
        <v>#N/A</v>
      </c>
      <c r="BP4182" s="151" t="e">
        <v>#N/A</v>
      </c>
      <c r="BQ4182">
        <v>0.11332468572476186</v>
      </c>
      <c r="BR4182" t="str">
        <v/>
      </c>
    </row>
    <row r="4183" spans="47:70" x14ac:dyDescent="0.2">
      <c r="AU4183"/>
      <c r="AV4183"/>
      <c r="AW4183"/>
      <c r="AX4183"/>
      <c r="AY4183"/>
      <c r="BK4183" s="42">
        <v>4182</v>
      </c>
      <c r="BL4183" s="127">
        <v>4</v>
      </c>
      <c r="BM4183" s="127">
        <v>0.11332468572476186</v>
      </c>
      <c r="BN4183" s="127" t="e">
        <v>#N/A</v>
      </c>
      <c r="BO4183" s="127" t="e">
        <v>#N/A</v>
      </c>
      <c r="BP4183" s="151" t="e">
        <v>#N/A</v>
      </c>
      <c r="BQ4183">
        <v>0.11332468572476186</v>
      </c>
      <c r="BR4183" t="str">
        <v/>
      </c>
    </row>
    <row r="4184" spans="47:70" x14ac:dyDescent="0.2">
      <c r="AU4184"/>
      <c r="AV4184"/>
      <c r="AW4184"/>
      <c r="AX4184"/>
      <c r="AY4184"/>
      <c r="BK4184" s="42">
        <v>4183</v>
      </c>
      <c r="BL4184" s="127">
        <v>4</v>
      </c>
      <c r="BM4184" s="127">
        <v>0.11332468572476186</v>
      </c>
      <c r="BN4184" s="127" t="e">
        <v>#N/A</v>
      </c>
      <c r="BO4184" s="127" t="e">
        <v>#N/A</v>
      </c>
      <c r="BP4184" s="151" t="e">
        <v>#N/A</v>
      </c>
      <c r="BQ4184">
        <v>0.11332468572476186</v>
      </c>
      <c r="BR4184" t="str">
        <v/>
      </c>
    </row>
    <row r="4185" spans="47:70" x14ac:dyDescent="0.2">
      <c r="AU4185"/>
      <c r="AV4185"/>
      <c r="AW4185"/>
      <c r="AX4185"/>
      <c r="AY4185"/>
      <c r="BK4185" s="42">
        <v>4184</v>
      </c>
      <c r="BL4185" s="127">
        <v>4</v>
      </c>
      <c r="BM4185" s="127">
        <v>0.11332468572476186</v>
      </c>
      <c r="BN4185" s="127" t="e">
        <v>#N/A</v>
      </c>
      <c r="BO4185" s="127" t="e">
        <v>#N/A</v>
      </c>
      <c r="BP4185" s="151" t="e">
        <v>#N/A</v>
      </c>
      <c r="BQ4185">
        <v>0.11332468572476186</v>
      </c>
      <c r="BR4185" t="str">
        <v/>
      </c>
    </row>
    <row r="4186" spans="47:70" x14ac:dyDescent="0.2">
      <c r="AU4186"/>
      <c r="AV4186"/>
      <c r="AW4186"/>
      <c r="AX4186"/>
      <c r="AY4186"/>
      <c r="BK4186" s="42">
        <v>4185</v>
      </c>
      <c r="BL4186" s="127">
        <v>4</v>
      </c>
      <c r="BM4186" s="127">
        <v>0.11332468572476186</v>
      </c>
      <c r="BN4186" s="127" t="e">
        <v>#N/A</v>
      </c>
      <c r="BO4186" s="127" t="e">
        <v>#N/A</v>
      </c>
      <c r="BP4186" s="151" t="e">
        <v>#N/A</v>
      </c>
      <c r="BQ4186">
        <v>0.11332468572476186</v>
      </c>
      <c r="BR4186" t="str">
        <v/>
      </c>
    </row>
    <row r="4187" spans="47:70" x14ac:dyDescent="0.2">
      <c r="AU4187"/>
      <c r="AV4187"/>
      <c r="AW4187"/>
      <c r="AX4187"/>
      <c r="AY4187"/>
      <c r="BK4187" s="42">
        <v>4186</v>
      </c>
      <c r="BL4187" s="127">
        <v>4</v>
      </c>
      <c r="BM4187" s="127">
        <v>0.11332468572476186</v>
      </c>
      <c r="BN4187" s="127" t="e">
        <v>#N/A</v>
      </c>
      <c r="BO4187" s="127" t="e">
        <v>#N/A</v>
      </c>
      <c r="BP4187" s="151" t="e">
        <v>#N/A</v>
      </c>
      <c r="BQ4187">
        <v>0.11332468572476186</v>
      </c>
      <c r="BR4187" t="str">
        <v/>
      </c>
    </row>
    <row r="4188" spans="47:70" x14ac:dyDescent="0.2">
      <c r="AU4188"/>
      <c r="AV4188"/>
      <c r="AW4188"/>
      <c r="AX4188"/>
      <c r="AY4188"/>
      <c r="BK4188" s="42">
        <v>4187</v>
      </c>
      <c r="BL4188" s="127">
        <v>4</v>
      </c>
      <c r="BM4188" s="127">
        <v>0.11332468572476186</v>
      </c>
      <c r="BN4188" s="127" t="e">
        <v>#N/A</v>
      </c>
      <c r="BO4188" s="127" t="e">
        <v>#N/A</v>
      </c>
      <c r="BP4188" s="151" t="e">
        <v>#N/A</v>
      </c>
      <c r="BQ4188">
        <v>0.11332468572476186</v>
      </c>
      <c r="BR4188" t="str">
        <v/>
      </c>
    </row>
    <row r="4189" spans="47:70" x14ac:dyDescent="0.2">
      <c r="AU4189"/>
      <c r="AV4189"/>
      <c r="AW4189"/>
      <c r="AX4189"/>
      <c r="AY4189"/>
      <c r="BK4189" s="42">
        <v>4188</v>
      </c>
      <c r="BL4189" s="127">
        <v>4</v>
      </c>
      <c r="BM4189" s="127">
        <v>0.11332468572476186</v>
      </c>
      <c r="BN4189" s="127" t="e">
        <v>#N/A</v>
      </c>
      <c r="BO4189" s="127" t="e">
        <v>#N/A</v>
      </c>
      <c r="BP4189" s="151" t="e">
        <v>#N/A</v>
      </c>
      <c r="BQ4189">
        <v>0.11332468572476186</v>
      </c>
      <c r="BR4189" t="str">
        <v/>
      </c>
    </row>
    <row r="4190" spans="47:70" x14ac:dyDescent="0.2">
      <c r="AU4190"/>
      <c r="AV4190"/>
      <c r="AW4190"/>
      <c r="AX4190"/>
      <c r="AY4190"/>
      <c r="BK4190" s="42">
        <v>4189</v>
      </c>
      <c r="BL4190" s="127">
        <v>4</v>
      </c>
      <c r="BM4190" s="127">
        <v>0.11332468572476186</v>
      </c>
      <c r="BN4190" s="127" t="e">
        <v>#N/A</v>
      </c>
      <c r="BO4190" s="127" t="e">
        <v>#N/A</v>
      </c>
      <c r="BP4190" s="151" t="e">
        <v>#N/A</v>
      </c>
      <c r="BQ4190">
        <v>0.11332468572476186</v>
      </c>
      <c r="BR4190" t="str">
        <v/>
      </c>
    </row>
    <row r="4191" spans="47:70" x14ac:dyDescent="0.2">
      <c r="AU4191"/>
      <c r="AV4191"/>
      <c r="AW4191"/>
      <c r="AX4191"/>
      <c r="AY4191"/>
      <c r="BK4191" s="42">
        <v>4190</v>
      </c>
      <c r="BL4191" s="127">
        <v>4</v>
      </c>
      <c r="BM4191" s="127">
        <v>0.11332468572476186</v>
      </c>
      <c r="BN4191" s="127" t="e">
        <v>#N/A</v>
      </c>
      <c r="BO4191" s="127" t="e">
        <v>#N/A</v>
      </c>
      <c r="BP4191" s="151" t="e">
        <v>#N/A</v>
      </c>
      <c r="BQ4191">
        <v>0.11332468572476186</v>
      </c>
      <c r="BR4191" t="str">
        <v/>
      </c>
    </row>
    <row r="4192" spans="47:70" x14ac:dyDescent="0.2">
      <c r="AU4192"/>
      <c r="AV4192"/>
      <c r="AW4192"/>
      <c r="AX4192"/>
      <c r="AY4192"/>
      <c r="BK4192" s="42">
        <v>4191</v>
      </c>
      <c r="BL4192" s="127">
        <v>4</v>
      </c>
      <c r="BM4192" s="127">
        <v>0.11332468572476186</v>
      </c>
      <c r="BN4192" s="127" t="e">
        <v>#N/A</v>
      </c>
      <c r="BO4192" s="127" t="e">
        <v>#N/A</v>
      </c>
      <c r="BP4192" s="151" t="e">
        <v>#N/A</v>
      </c>
      <c r="BQ4192">
        <v>0.11332468572476186</v>
      </c>
      <c r="BR4192" t="str">
        <v/>
      </c>
    </row>
    <row r="4193" spans="47:70" x14ac:dyDescent="0.2">
      <c r="AU4193"/>
      <c r="AV4193"/>
      <c r="AW4193"/>
      <c r="AX4193"/>
      <c r="AY4193"/>
      <c r="BK4193" s="42">
        <v>4192</v>
      </c>
      <c r="BL4193" s="127">
        <v>4</v>
      </c>
      <c r="BM4193" s="127">
        <v>0.11332468572476186</v>
      </c>
      <c r="BN4193" s="127" t="e">
        <v>#N/A</v>
      </c>
      <c r="BO4193" s="127" t="e">
        <v>#N/A</v>
      </c>
      <c r="BP4193" s="151" t="e">
        <v>#N/A</v>
      </c>
      <c r="BQ4193">
        <v>0.11332468572476186</v>
      </c>
      <c r="BR4193" t="str">
        <v/>
      </c>
    </row>
    <row r="4194" spans="47:70" x14ac:dyDescent="0.2">
      <c r="AU4194"/>
      <c r="AV4194"/>
      <c r="AW4194"/>
      <c r="AX4194"/>
      <c r="AY4194"/>
      <c r="BK4194" s="42">
        <v>4193</v>
      </c>
      <c r="BL4194" s="127">
        <v>4</v>
      </c>
      <c r="BM4194" s="127">
        <v>0.11332468572476186</v>
      </c>
      <c r="BN4194" s="127" t="e">
        <v>#N/A</v>
      </c>
      <c r="BO4194" s="127" t="e">
        <v>#N/A</v>
      </c>
      <c r="BP4194" s="151" t="e">
        <v>#N/A</v>
      </c>
      <c r="BQ4194">
        <v>0.11332468572476186</v>
      </c>
      <c r="BR4194" t="str">
        <v/>
      </c>
    </row>
    <row r="4195" spans="47:70" x14ac:dyDescent="0.2">
      <c r="AU4195"/>
      <c r="AV4195"/>
      <c r="AW4195"/>
      <c r="AX4195"/>
      <c r="AY4195"/>
      <c r="BK4195" s="42">
        <v>4194</v>
      </c>
      <c r="BL4195" s="127">
        <v>4</v>
      </c>
      <c r="BM4195" s="127">
        <v>0.11332468572476186</v>
      </c>
      <c r="BN4195" s="127" t="e">
        <v>#N/A</v>
      </c>
      <c r="BO4195" s="127" t="e">
        <v>#N/A</v>
      </c>
      <c r="BP4195" s="151" t="e">
        <v>#N/A</v>
      </c>
      <c r="BQ4195">
        <v>0.11332468572476186</v>
      </c>
      <c r="BR4195" t="str">
        <v/>
      </c>
    </row>
    <row r="4196" spans="47:70" x14ac:dyDescent="0.2">
      <c r="AU4196"/>
      <c r="AV4196"/>
      <c r="AW4196"/>
      <c r="AX4196"/>
      <c r="AY4196"/>
      <c r="BK4196" s="42">
        <v>4195</v>
      </c>
      <c r="BL4196" s="127">
        <v>4</v>
      </c>
      <c r="BM4196" s="127">
        <v>0.11332468572476186</v>
      </c>
      <c r="BN4196" s="127" t="e">
        <v>#N/A</v>
      </c>
      <c r="BO4196" s="127" t="e">
        <v>#N/A</v>
      </c>
      <c r="BP4196" s="151" t="e">
        <v>#N/A</v>
      </c>
      <c r="BQ4196">
        <v>0.11332468572476186</v>
      </c>
      <c r="BR4196" t="str">
        <v/>
      </c>
    </row>
    <row r="4197" spans="47:70" x14ac:dyDescent="0.2">
      <c r="AU4197"/>
      <c r="AV4197"/>
      <c r="AW4197"/>
      <c r="AX4197"/>
      <c r="AY4197"/>
      <c r="BK4197" s="42">
        <v>4196</v>
      </c>
      <c r="BL4197" s="127">
        <v>4</v>
      </c>
      <c r="BM4197" s="127">
        <v>0.11332468572476186</v>
      </c>
      <c r="BN4197" s="127" t="e">
        <v>#N/A</v>
      </c>
      <c r="BO4197" s="127" t="e">
        <v>#N/A</v>
      </c>
      <c r="BP4197" s="151" t="e">
        <v>#N/A</v>
      </c>
      <c r="BQ4197">
        <v>0.11332468572476186</v>
      </c>
      <c r="BR4197" t="str">
        <v/>
      </c>
    </row>
    <row r="4198" spans="47:70" x14ac:dyDescent="0.2">
      <c r="AU4198"/>
      <c r="AV4198"/>
      <c r="AW4198"/>
      <c r="AX4198"/>
      <c r="AY4198"/>
      <c r="BK4198" s="42">
        <v>4197</v>
      </c>
      <c r="BL4198" s="127">
        <v>4</v>
      </c>
      <c r="BM4198" s="127">
        <v>0.11332468572476186</v>
      </c>
      <c r="BN4198" s="127" t="e">
        <v>#N/A</v>
      </c>
      <c r="BO4198" s="127" t="e">
        <v>#N/A</v>
      </c>
      <c r="BP4198" s="151" t="e">
        <v>#N/A</v>
      </c>
      <c r="BQ4198">
        <v>0.11332468572476186</v>
      </c>
      <c r="BR4198" t="str">
        <v/>
      </c>
    </row>
    <row r="4199" spans="47:70" x14ac:dyDescent="0.2">
      <c r="AU4199"/>
      <c r="AV4199"/>
      <c r="AW4199"/>
      <c r="AX4199"/>
      <c r="AY4199"/>
      <c r="BK4199" s="42">
        <v>4198</v>
      </c>
      <c r="BL4199" s="127">
        <v>4</v>
      </c>
      <c r="BM4199" s="127">
        <v>0.11332468572476186</v>
      </c>
      <c r="BN4199" s="127" t="e">
        <v>#N/A</v>
      </c>
      <c r="BO4199" s="127" t="e">
        <v>#N/A</v>
      </c>
      <c r="BP4199" s="151" t="e">
        <v>#N/A</v>
      </c>
      <c r="BQ4199">
        <v>0.11332468572476186</v>
      </c>
      <c r="BR4199" t="str">
        <v/>
      </c>
    </row>
    <row r="4200" spans="47:70" x14ac:dyDescent="0.2">
      <c r="AU4200"/>
      <c r="AV4200"/>
      <c r="AW4200"/>
      <c r="AX4200"/>
      <c r="AY4200"/>
      <c r="BK4200" s="42">
        <v>4199</v>
      </c>
      <c r="BL4200" s="127">
        <v>4</v>
      </c>
      <c r="BM4200" s="127">
        <v>0.11332468572476186</v>
      </c>
      <c r="BN4200" s="127" t="e">
        <v>#N/A</v>
      </c>
      <c r="BO4200" s="127" t="e">
        <v>#N/A</v>
      </c>
      <c r="BP4200" s="151" t="e">
        <v>#N/A</v>
      </c>
      <c r="BQ4200">
        <v>0.11332468572476186</v>
      </c>
      <c r="BR4200" t="str">
        <v/>
      </c>
    </row>
    <row r="4201" spans="47:70" x14ac:dyDescent="0.2">
      <c r="AU4201"/>
      <c r="AV4201"/>
      <c r="AW4201"/>
      <c r="AX4201"/>
      <c r="AY4201"/>
      <c r="BK4201" s="42">
        <v>4200</v>
      </c>
      <c r="BL4201" s="127">
        <v>4</v>
      </c>
      <c r="BM4201" s="127">
        <v>0.11332468572476186</v>
      </c>
      <c r="BN4201" s="127" t="e">
        <v>#N/A</v>
      </c>
      <c r="BO4201" s="127" t="e">
        <v>#N/A</v>
      </c>
      <c r="BP4201" s="151" t="e">
        <v>#N/A</v>
      </c>
      <c r="BQ4201">
        <v>0.11332468572476186</v>
      </c>
      <c r="BR4201" t="str">
        <v/>
      </c>
    </row>
    <row r="4202" spans="47:70" x14ac:dyDescent="0.2">
      <c r="AU4202"/>
      <c r="AV4202"/>
      <c r="AW4202"/>
      <c r="AX4202"/>
      <c r="AY4202"/>
      <c r="BK4202" s="42">
        <v>4201</v>
      </c>
      <c r="BL4202" s="127">
        <v>4</v>
      </c>
      <c r="BM4202" s="127">
        <v>0.11332468572476186</v>
      </c>
      <c r="BN4202" s="127" t="e">
        <v>#N/A</v>
      </c>
      <c r="BO4202" s="127" t="e">
        <v>#N/A</v>
      </c>
      <c r="BP4202" s="151" t="e">
        <v>#N/A</v>
      </c>
      <c r="BQ4202">
        <v>0.11332468572476186</v>
      </c>
      <c r="BR4202" t="str">
        <v/>
      </c>
    </row>
    <row r="4203" spans="47:70" x14ac:dyDescent="0.2">
      <c r="AU4203"/>
      <c r="AV4203"/>
      <c r="AW4203"/>
      <c r="AX4203"/>
      <c r="AY4203"/>
      <c r="BK4203" s="42">
        <v>4202</v>
      </c>
      <c r="BL4203" s="127">
        <v>4</v>
      </c>
      <c r="BM4203" s="127">
        <v>0.11332468572476186</v>
      </c>
      <c r="BN4203" s="127" t="e">
        <v>#N/A</v>
      </c>
      <c r="BO4203" s="127" t="e">
        <v>#N/A</v>
      </c>
      <c r="BP4203" s="151" t="e">
        <v>#N/A</v>
      </c>
      <c r="BQ4203">
        <v>0.11332468572476186</v>
      </c>
      <c r="BR4203" t="str">
        <v/>
      </c>
    </row>
    <row r="4204" spans="47:70" x14ac:dyDescent="0.2">
      <c r="AU4204"/>
      <c r="AV4204"/>
      <c r="AW4204"/>
      <c r="AX4204"/>
      <c r="AY4204"/>
      <c r="BK4204" s="42">
        <v>4203</v>
      </c>
      <c r="BL4204" s="127">
        <v>4</v>
      </c>
      <c r="BM4204" s="127">
        <v>0.11332468572476186</v>
      </c>
      <c r="BN4204" s="127" t="e">
        <v>#N/A</v>
      </c>
      <c r="BO4204" s="127" t="e">
        <v>#N/A</v>
      </c>
      <c r="BP4204" s="151" t="e">
        <v>#N/A</v>
      </c>
      <c r="BQ4204">
        <v>0.11332468572476186</v>
      </c>
      <c r="BR4204" t="str">
        <v/>
      </c>
    </row>
    <row r="4205" spans="47:70" x14ac:dyDescent="0.2">
      <c r="AU4205"/>
      <c r="AV4205"/>
      <c r="AW4205"/>
      <c r="AX4205"/>
      <c r="AY4205"/>
      <c r="BK4205" s="42">
        <v>4204</v>
      </c>
      <c r="BL4205" s="127">
        <v>4</v>
      </c>
      <c r="BM4205" s="127">
        <v>0.11332468572476186</v>
      </c>
      <c r="BN4205" s="127" t="e">
        <v>#N/A</v>
      </c>
      <c r="BO4205" s="127" t="e">
        <v>#N/A</v>
      </c>
      <c r="BP4205" s="151" t="e">
        <v>#N/A</v>
      </c>
      <c r="BQ4205">
        <v>0.11332468572476186</v>
      </c>
      <c r="BR4205" t="str">
        <v/>
      </c>
    </row>
    <row r="4206" spans="47:70" x14ac:dyDescent="0.2">
      <c r="AU4206"/>
      <c r="AV4206"/>
      <c r="AW4206"/>
      <c r="AX4206"/>
      <c r="AY4206"/>
      <c r="BK4206" s="42">
        <v>4205</v>
      </c>
      <c r="BL4206" s="127">
        <v>4</v>
      </c>
      <c r="BM4206" s="127">
        <v>0.11332468572476186</v>
      </c>
      <c r="BN4206" s="127" t="e">
        <v>#N/A</v>
      </c>
      <c r="BO4206" s="127" t="e">
        <v>#N/A</v>
      </c>
      <c r="BP4206" s="151" t="e">
        <v>#N/A</v>
      </c>
      <c r="BQ4206">
        <v>0.11332468572476186</v>
      </c>
      <c r="BR4206" t="str">
        <v/>
      </c>
    </row>
    <row r="4207" spans="47:70" x14ac:dyDescent="0.2">
      <c r="AU4207"/>
      <c r="AV4207"/>
      <c r="AW4207"/>
      <c r="AX4207"/>
      <c r="AY4207"/>
      <c r="BK4207" s="42">
        <v>4206</v>
      </c>
      <c r="BL4207" s="127">
        <v>4</v>
      </c>
      <c r="BM4207" s="127">
        <v>0.11332468572476186</v>
      </c>
      <c r="BN4207" s="127" t="e">
        <v>#N/A</v>
      </c>
      <c r="BO4207" s="127" t="e">
        <v>#N/A</v>
      </c>
      <c r="BP4207" s="151" t="e">
        <v>#N/A</v>
      </c>
      <c r="BQ4207">
        <v>0.11332468572476186</v>
      </c>
      <c r="BR4207" t="str">
        <v/>
      </c>
    </row>
    <row r="4208" spans="47:70" x14ac:dyDescent="0.2">
      <c r="AU4208"/>
      <c r="AV4208"/>
      <c r="AW4208"/>
      <c r="AX4208"/>
      <c r="AY4208"/>
      <c r="BK4208" s="42">
        <v>4207</v>
      </c>
      <c r="BL4208" s="127">
        <v>4</v>
      </c>
      <c r="BM4208" s="127">
        <v>0.11332468572476186</v>
      </c>
      <c r="BN4208" s="127" t="e">
        <v>#N/A</v>
      </c>
      <c r="BO4208" s="127" t="e">
        <v>#N/A</v>
      </c>
      <c r="BP4208" s="151" t="e">
        <v>#N/A</v>
      </c>
      <c r="BQ4208">
        <v>0.11332468572476186</v>
      </c>
      <c r="BR4208" t="str">
        <v/>
      </c>
    </row>
    <row r="4209" spans="47:70" x14ac:dyDescent="0.2">
      <c r="AU4209"/>
      <c r="AV4209"/>
      <c r="AW4209"/>
      <c r="AX4209"/>
      <c r="AY4209"/>
      <c r="BK4209" s="42">
        <v>4208</v>
      </c>
      <c r="BL4209" s="127">
        <v>4</v>
      </c>
      <c r="BM4209" s="127">
        <v>0.11332468572476186</v>
      </c>
      <c r="BN4209" s="127" t="e">
        <v>#N/A</v>
      </c>
      <c r="BO4209" s="127" t="e">
        <v>#N/A</v>
      </c>
      <c r="BP4209" s="151" t="e">
        <v>#N/A</v>
      </c>
      <c r="BQ4209">
        <v>0.11332468572476186</v>
      </c>
      <c r="BR4209" t="str">
        <v/>
      </c>
    </row>
    <row r="4210" spans="47:70" x14ac:dyDescent="0.2">
      <c r="AU4210"/>
      <c r="AV4210"/>
      <c r="AW4210"/>
      <c r="AX4210"/>
      <c r="AY4210"/>
      <c r="BK4210" s="42">
        <v>4209</v>
      </c>
      <c r="BL4210" s="127">
        <v>4</v>
      </c>
      <c r="BM4210" s="127">
        <v>0.11332468572476186</v>
      </c>
      <c r="BN4210" s="127" t="e">
        <v>#N/A</v>
      </c>
      <c r="BO4210" s="127" t="e">
        <v>#N/A</v>
      </c>
      <c r="BP4210" s="151" t="e">
        <v>#N/A</v>
      </c>
      <c r="BQ4210">
        <v>0.11332468572476186</v>
      </c>
      <c r="BR4210" t="str">
        <v/>
      </c>
    </row>
    <row r="4211" spans="47:70" x14ac:dyDescent="0.2">
      <c r="AU4211"/>
      <c r="AV4211"/>
      <c r="AW4211"/>
      <c r="AX4211"/>
      <c r="AY4211"/>
      <c r="BK4211" s="42">
        <v>4210</v>
      </c>
      <c r="BL4211" s="127">
        <v>4</v>
      </c>
      <c r="BM4211" s="127">
        <v>0.11332468572476186</v>
      </c>
      <c r="BN4211" s="127" t="e">
        <v>#N/A</v>
      </c>
      <c r="BO4211" s="127" t="e">
        <v>#N/A</v>
      </c>
      <c r="BP4211" s="151" t="e">
        <v>#N/A</v>
      </c>
      <c r="BQ4211">
        <v>0.11332468572476186</v>
      </c>
      <c r="BR4211" t="str">
        <v/>
      </c>
    </row>
    <row r="4212" spans="47:70" x14ac:dyDescent="0.2">
      <c r="AU4212"/>
      <c r="AV4212"/>
      <c r="AW4212"/>
      <c r="AX4212"/>
      <c r="AY4212"/>
      <c r="BK4212" s="42">
        <v>4211</v>
      </c>
      <c r="BL4212" s="127">
        <v>4</v>
      </c>
      <c r="BM4212" s="127">
        <v>0.11332468572476186</v>
      </c>
      <c r="BN4212" s="127" t="e">
        <v>#N/A</v>
      </c>
      <c r="BO4212" s="127" t="e">
        <v>#N/A</v>
      </c>
      <c r="BP4212" s="151" t="e">
        <v>#N/A</v>
      </c>
      <c r="BQ4212">
        <v>0.11332468572476186</v>
      </c>
      <c r="BR4212" t="str">
        <v/>
      </c>
    </row>
    <row r="4213" spans="47:70" x14ac:dyDescent="0.2">
      <c r="AU4213"/>
      <c r="AV4213"/>
      <c r="AW4213"/>
      <c r="AX4213"/>
      <c r="AY4213"/>
      <c r="BK4213" s="42">
        <v>4212</v>
      </c>
      <c r="BL4213" s="127">
        <v>4</v>
      </c>
      <c r="BM4213" s="127">
        <v>0.11332468572476186</v>
      </c>
      <c r="BN4213" s="127" t="e">
        <v>#N/A</v>
      </c>
      <c r="BO4213" s="127" t="e">
        <v>#N/A</v>
      </c>
      <c r="BP4213" s="151" t="e">
        <v>#N/A</v>
      </c>
      <c r="BQ4213">
        <v>0.11332468572476186</v>
      </c>
      <c r="BR4213" t="str">
        <v/>
      </c>
    </row>
    <row r="4214" spans="47:70" x14ac:dyDescent="0.2">
      <c r="AU4214"/>
      <c r="AV4214"/>
      <c r="AW4214"/>
      <c r="AX4214"/>
      <c r="AY4214"/>
      <c r="BK4214" s="42">
        <v>4213</v>
      </c>
      <c r="BL4214" s="127">
        <v>4</v>
      </c>
      <c r="BM4214" s="127">
        <v>0.11332468572476186</v>
      </c>
      <c r="BN4214" s="127" t="e">
        <v>#N/A</v>
      </c>
      <c r="BO4214" s="127" t="e">
        <v>#N/A</v>
      </c>
      <c r="BP4214" s="151" t="e">
        <v>#N/A</v>
      </c>
      <c r="BQ4214">
        <v>0.11332468572476186</v>
      </c>
      <c r="BR4214" t="str">
        <v/>
      </c>
    </row>
    <row r="4215" spans="47:70" x14ac:dyDescent="0.2">
      <c r="AU4215"/>
      <c r="AV4215"/>
      <c r="AW4215"/>
      <c r="AX4215"/>
      <c r="AY4215"/>
      <c r="BK4215" s="42">
        <v>4214</v>
      </c>
      <c r="BL4215" s="127">
        <v>4</v>
      </c>
      <c r="BM4215" s="127">
        <v>0.11332468572476186</v>
      </c>
      <c r="BN4215" s="127" t="e">
        <v>#N/A</v>
      </c>
      <c r="BO4215" s="127" t="e">
        <v>#N/A</v>
      </c>
      <c r="BP4215" s="151" t="e">
        <v>#N/A</v>
      </c>
      <c r="BQ4215">
        <v>0.11332468572476186</v>
      </c>
      <c r="BR4215" t="str">
        <v/>
      </c>
    </row>
    <row r="4216" spans="47:70" x14ac:dyDescent="0.2">
      <c r="AU4216"/>
      <c r="AV4216"/>
      <c r="AW4216"/>
      <c r="AX4216"/>
      <c r="AY4216"/>
      <c r="BK4216" s="42">
        <v>4215</v>
      </c>
      <c r="BL4216" s="127">
        <v>4</v>
      </c>
      <c r="BM4216" s="127">
        <v>0.11332468572476186</v>
      </c>
      <c r="BN4216" s="127" t="e">
        <v>#N/A</v>
      </c>
      <c r="BO4216" s="127" t="e">
        <v>#N/A</v>
      </c>
      <c r="BP4216" s="151" t="e">
        <v>#N/A</v>
      </c>
      <c r="BQ4216">
        <v>0.11332468572476186</v>
      </c>
      <c r="BR4216" t="str">
        <v/>
      </c>
    </row>
    <row r="4217" spans="47:70" x14ac:dyDescent="0.2">
      <c r="AU4217"/>
      <c r="AV4217"/>
      <c r="AW4217"/>
      <c r="AX4217"/>
      <c r="AY4217"/>
      <c r="BK4217" s="42">
        <v>4216</v>
      </c>
      <c r="BL4217" s="127">
        <v>4</v>
      </c>
      <c r="BM4217" s="127">
        <v>0.11332468572476186</v>
      </c>
      <c r="BN4217" s="127" t="e">
        <v>#N/A</v>
      </c>
      <c r="BO4217" s="127" t="e">
        <v>#N/A</v>
      </c>
      <c r="BP4217" s="151" t="e">
        <v>#N/A</v>
      </c>
      <c r="BQ4217">
        <v>0.11332468572476186</v>
      </c>
      <c r="BR4217" t="str">
        <v/>
      </c>
    </row>
    <row r="4218" spans="47:70" x14ac:dyDescent="0.2">
      <c r="AU4218"/>
      <c r="AV4218"/>
      <c r="AW4218"/>
      <c r="AX4218"/>
      <c r="AY4218"/>
      <c r="BK4218" s="42">
        <v>4217</v>
      </c>
      <c r="BL4218" s="127">
        <v>4</v>
      </c>
      <c r="BM4218" s="127">
        <v>0.11332468572476186</v>
      </c>
      <c r="BN4218" s="127" t="e">
        <v>#N/A</v>
      </c>
      <c r="BO4218" s="127" t="e">
        <v>#N/A</v>
      </c>
      <c r="BP4218" s="151" t="e">
        <v>#N/A</v>
      </c>
      <c r="BQ4218">
        <v>0.11332468572476186</v>
      </c>
      <c r="BR4218" t="str">
        <v/>
      </c>
    </row>
    <row r="4219" spans="47:70" x14ac:dyDescent="0.2">
      <c r="AU4219"/>
      <c r="AV4219"/>
      <c r="AW4219"/>
      <c r="AX4219"/>
      <c r="AY4219"/>
      <c r="BK4219" s="42">
        <v>4218</v>
      </c>
      <c r="BL4219" s="127">
        <v>4</v>
      </c>
      <c r="BM4219" s="127">
        <v>0.11332468572476186</v>
      </c>
      <c r="BN4219" s="127" t="e">
        <v>#N/A</v>
      </c>
      <c r="BO4219" s="127" t="e">
        <v>#N/A</v>
      </c>
      <c r="BP4219" s="151" t="e">
        <v>#N/A</v>
      </c>
      <c r="BQ4219">
        <v>0.11332468572476186</v>
      </c>
      <c r="BR4219" t="str">
        <v/>
      </c>
    </row>
    <row r="4220" spans="47:70" x14ac:dyDescent="0.2">
      <c r="AU4220"/>
      <c r="AV4220"/>
      <c r="AW4220"/>
      <c r="AX4220"/>
      <c r="AY4220"/>
      <c r="BK4220" s="42">
        <v>4219</v>
      </c>
      <c r="BL4220" s="127">
        <v>4</v>
      </c>
      <c r="BM4220" s="127">
        <v>0.11332468572476186</v>
      </c>
      <c r="BN4220" s="127" t="e">
        <v>#N/A</v>
      </c>
      <c r="BO4220" s="127" t="e">
        <v>#N/A</v>
      </c>
      <c r="BP4220" s="151" t="e">
        <v>#N/A</v>
      </c>
      <c r="BQ4220">
        <v>0.11332468572476186</v>
      </c>
      <c r="BR4220" t="str">
        <v/>
      </c>
    </row>
    <row r="4221" spans="47:70" x14ac:dyDescent="0.2">
      <c r="AU4221"/>
      <c r="AV4221"/>
      <c r="AW4221"/>
      <c r="AX4221"/>
      <c r="AY4221"/>
      <c r="BK4221" s="42">
        <v>4220</v>
      </c>
      <c r="BL4221" s="127">
        <v>4</v>
      </c>
      <c r="BM4221" s="127">
        <v>0.11332468572476186</v>
      </c>
      <c r="BN4221" s="127" t="e">
        <v>#N/A</v>
      </c>
      <c r="BO4221" s="127" t="e">
        <v>#N/A</v>
      </c>
      <c r="BP4221" s="151" t="e">
        <v>#N/A</v>
      </c>
      <c r="BQ4221">
        <v>0.11332468572476186</v>
      </c>
      <c r="BR4221" t="str">
        <v/>
      </c>
    </row>
    <row r="4222" spans="47:70" x14ac:dyDescent="0.2">
      <c r="AU4222"/>
      <c r="AV4222"/>
      <c r="AW4222"/>
      <c r="AX4222"/>
      <c r="AY4222"/>
      <c r="BK4222" s="42">
        <v>4221</v>
      </c>
      <c r="BL4222" s="127">
        <v>4</v>
      </c>
      <c r="BM4222" s="127">
        <v>0.11332468572476186</v>
      </c>
      <c r="BN4222" s="127" t="e">
        <v>#N/A</v>
      </c>
      <c r="BO4222" s="127" t="e">
        <v>#N/A</v>
      </c>
      <c r="BP4222" s="151" t="e">
        <v>#N/A</v>
      </c>
      <c r="BQ4222">
        <v>0.11332468572476186</v>
      </c>
      <c r="BR4222" t="str">
        <v/>
      </c>
    </row>
    <row r="4223" spans="47:70" x14ac:dyDescent="0.2">
      <c r="AU4223"/>
      <c r="AV4223"/>
      <c r="AW4223"/>
      <c r="AX4223"/>
      <c r="AY4223"/>
      <c r="BK4223" s="42">
        <v>4222</v>
      </c>
      <c r="BL4223" s="127">
        <v>4</v>
      </c>
      <c r="BM4223" s="127">
        <v>0.11332468572476186</v>
      </c>
      <c r="BN4223" s="127" t="e">
        <v>#N/A</v>
      </c>
      <c r="BO4223" s="127" t="e">
        <v>#N/A</v>
      </c>
      <c r="BP4223" s="151" t="e">
        <v>#N/A</v>
      </c>
      <c r="BQ4223">
        <v>0.11332468572476186</v>
      </c>
      <c r="BR4223" t="str">
        <v/>
      </c>
    </row>
    <row r="4224" spans="47:70" x14ac:dyDescent="0.2">
      <c r="AU4224"/>
      <c r="AV4224"/>
      <c r="AW4224"/>
      <c r="AX4224"/>
      <c r="AY4224"/>
      <c r="BK4224" s="42">
        <v>4223</v>
      </c>
      <c r="BL4224" s="127">
        <v>4</v>
      </c>
      <c r="BM4224" s="127">
        <v>0.11332468572476186</v>
      </c>
      <c r="BN4224" s="127" t="e">
        <v>#N/A</v>
      </c>
      <c r="BO4224" s="127" t="e">
        <v>#N/A</v>
      </c>
      <c r="BP4224" s="151" t="e">
        <v>#N/A</v>
      </c>
      <c r="BQ4224">
        <v>0.11332468572476186</v>
      </c>
      <c r="BR4224" t="str">
        <v/>
      </c>
    </row>
    <row r="4225" spans="47:70" x14ac:dyDescent="0.2">
      <c r="AU4225"/>
      <c r="AV4225"/>
      <c r="AW4225"/>
      <c r="AX4225"/>
      <c r="AY4225"/>
      <c r="BK4225" s="42">
        <v>4224</v>
      </c>
      <c r="BL4225" s="127">
        <v>4</v>
      </c>
      <c r="BM4225" s="127">
        <v>0.11332468572476186</v>
      </c>
      <c r="BN4225" s="127" t="e">
        <v>#N/A</v>
      </c>
      <c r="BO4225" s="127" t="e">
        <v>#N/A</v>
      </c>
      <c r="BP4225" s="151" t="e">
        <v>#N/A</v>
      </c>
      <c r="BQ4225">
        <v>0.11332468572476186</v>
      </c>
      <c r="BR4225" t="str">
        <v/>
      </c>
    </row>
    <row r="4226" spans="47:70" x14ac:dyDescent="0.2">
      <c r="AU4226"/>
      <c r="AV4226"/>
      <c r="AW4226"/>
      <c r="AX4226"/>
      <c r="AY4226"/>
      <c r="BK4226" s="42">
        <v>4225</v>
      </c>
      <c r="BL4226" s="127">
        <v>4</v>
      </c>
      <c r="BM4226" s="127">
        <v>0.11332468572476186</v>
      </c>
      <c r="BN4226" s="127" t="e">
        <v>#N/A</v>
      </c>
      <c r="BO4226" s="127" t="e">
        <v>#N/A</v>
      </c>
      <c r="BP4226" s="151" t="e">
        <v>#N/A</v>
      </c>
      <c r="BQ4226">
        <v>0.11332468572476186</v>
      </c>
      <c r="BR4226" t="str">
        <v/>
      </c>
    </row>
    <row r="4227" spans="47:70" x14ac:dyDescent="0.2">
      <c r="AU4227"/>
      <c r="AV4227"/>
      <c r="AW4227"/>
      <c r="AX4227"/>
      <c r="AY4227"/>
      <c r="BK4227" s="42">
        <v>4226</v>
      </c>
      <c r="BL4227" s="127">
        <v>4</v>
      </c>
      <c r="BM4227" s="127">
        <v>0.11332468572476186</v>
      </c>
      <c r="BN4227" s="127" t="e">
        <v>#N/A</v>
      </c>
      <c r="BO4227" s="127" t="e">
        <v>#N/A</v>
      </c>
      <c r="BP4227" s="151" t="e">
        <v>#N/A</v>
      </c>
      <c r="BQ4227">
        <v>0.11332468572476186</v>
      </c>
      <c r="BR4227" t="str">
        <v/>
      </c>
    </row>
    <row r="4228" spans="47:70" x14ac:dyDescent="0.2">
      <c r="AU4228"/>
      <c r="AV4228"/>
      <c r="AW4228"/>
      <c r="AX4228"/>
      <c r="AY4228"/>
      <c r="BK4228" s="42">
        <v>4227</v>
      </c>
      <c r="BL4228" s="127">
        <v>4</v>
      </c>
      <c r="BM4228" s="127">
        <v>0.11332468572476186</v>
      </c>
      <c r="BN4228" s="127" t="e">
        <v>#N/A</v>
      </c>
      <c r="BO4228" s="127" t="e">
        <v>#N/A</v>
      </c>
      <c r="BP4228" s="151" t="e">
        <v>#N/A</v>
      </c>
      <c r="BQ4228">
        <v>0.11332468572476186</v>
      </c>
      <c r="BR4228" t="str">
        <v/>
      </c>
    </row>
    <row r="4229" spans="47:70" x14ac:dyDescent="0.2">
      <c r="AU4229"/>
      <c r="AV4229"/>
      <c r="AW4229"/>
      <c r="AX4229"/>
      <c r="AY4229"/>
      <c r="BK4229" s="42">
        <v>4228</v>
      </c>
      <c r="BL4229" s="127">
        <v>4</v>
      </c>
      <c r="BM4229" s="127">
        <v>0.11332468572476186</v>
      </c>
      <c r="BN4229" s="127" t="e">
        <v>#N/A</v>
      </c>
      <c r="BO4229" s="127" t="e">
        <v>#N/A</v>
      </c>
      <c r="BP4229" s="151" t="e">
        <v>#N/A</v>
      </c>
      <c r="BQ4229">
        <v>0.11332468572476186</v>
      </c>
      <c r="BR4229" t="str">
        <v/>
      </c>
    </row>
    <row r="4230" spans="47:70" x14ac:dyDescent="0.2">
      <c r="AU4230"/>
      <c r="AV4230"/>
      <c r="AW4230"/>
      <c r="AX4230"/>
      <c r="AY4230"/>
      <c r="BK4230" s="42">
        <v>4229</v>
      </c>
      <c r="BL4230" s="127">
        <v>4</v>
      </c>
      <c r="BM4230" s="127">
        <v>0.11332468572476186</v>
      </c>
      <c r="BN4230" s="127" t="e">
        <v>#N/A</v>
      </c>
      <c r="BO4230" s="127" t="e">
        <v>#N/A</v>
      </c>
      <c r="BP4230" s="151" t="e">
        <v>#N/A</v>
      </c>
      <c r="BQ4230">
        <v>0.11332468572476186</v>
      </c>
      <c r="BR4230" t="str">
        <v/>
      </c>
    </row>
    <row r="4231" spans="47:70" x14ac:dyDescent="0.2">
      <c r="AU4231"/>
      <c r="AV4231"/>
      <c r="AW4231"/>
      <c r="AX4231"/>
      <c r="AY4231"/>
      <c r="BK4231" s="42">
        <v>4230</v>
      </c>
      <c r="BL4231" s="127">
        <v>4</v>
      </c>
      <c r="BM4231" s="127">
        <v>0.11332468572476186</v>
      </c>
      <c r="BN4231" s="127" t="e">
        <v>#N/A</v>
      </c>
      <c r="BO4231" s="127" t="e">
        <v>#N/A</v>
      </c>
      <c r="BP4231" s="151" t="e">
        <v>#N/A</v>
      </c>
      <c r="BQ4231">
        <v>0.11332468572476186</v>
      </c>
      <c r="BR4231" t="str">
        <v/>
      </c>
    </row>
    <row r="4232" spans="47:70" x14ac:dyDescent="0.2">
      <c r="AU4232"/>
      <c r="AV4232"/>
      <c r="AW4232"/>
      <c r="AX4232"/>
      <c r="AY4232"/>
      <c r="BK4232" s="42">
        <v>4231</v>
      </c>
      <c r="BL4232" s="127">
        <v>4</v>
      </c>
      <c r="BM4232" s="127">
        <v>0.11332468572476186</v>
      </c>
      <c r="BN4232" s="127" t="e">
        <v>#N/A</v>
      </c>
      <c r="BO4232" s="127" t="e">
        <v>#N/A</v>
      </c>
      <c r="BP4232" s="151" t="e">
        <v>#N/A</v>
      </c>
      <c r="BQ4232">
        <v>0.11332468572476186</v>
      </c>
      <c r="BR4232" t="str">
        <v/>
      </c>
    </row>
    <row r="4233" spans="47:70" x14ac:dyDescent="0.2">
      <c r="AU4233"/>
      <c r="AV4233"/>
      <c r="AW4233"/>
      <c r="AX4233"/>
      <c r="AY4233"/>
      <c r="BK4233" s="42">
        <v>4232</v>
      </c>
      <c r="BL4233" s="127">
        <v>4</v>
      </c>
      <c r="BM4233" s="127">
        <v>0.11332468572476186</v>
      </c>
      <c r="BN4233" s="127" t="e">
        <v>#N/A</v>
      </c>
      <c r="BO4233" s="127" t="e">
        <v>#N/A</v>
      </c>
      <c r="BP4233" s="151" t="e">
        <v>#N/A</v>
      </c>
      <c r="BQ4233">
        <v>0.11332468572476186</v>
      </c>
      <c r="BR4233" t="str">
        <v/>
      </c>
    </row>
    <row r="4234" spans="47:70" x14ac:dyDescent="0.2">
      <c r="AU4234"/>
      <c r="AV4234"/>
      <c r="AW4234"/>
      <c r="AX4234"/>
      <c r="AY4234"/>
      <c r="BK4234" s="42">
        <v>4233</v>
      </c>
      <c r="BL4234" s="127">
        <v>4</v>
      </c>
      <c r="BM4234" s="127">
        <v>0.11332468572476186</v>
      </c>
      <c r="BN4234" s="127" t="e">
        <v>#N/A</v>
      </c>
      <c r="BO4234" s="127" t="e">
        <v>#N/A</v>
      </c>
      <c r="BP4234" s="151" t="e">
        <v>#N/A</v>
      </c>
      <c r="BQ4234">
        <v>0.11332468572476186</v>
      </c>
      <c r="BR4234" t="str">
        <v/>
      </c>
    </row>
    <row r="4235" spans="47:70" x14ac:dyDescent="0.2">
      <c r="AU4235"/>
      <c r="AV4235"/>
      <c r="AW4235"/>
      <c r="AX4235"/>
      <c r="AY4235"/>
      <c r="BK4235" s="42">
        <v>4234</v>
      </c>
      <c r="BL4235" s="127">
        <v>4</v>
      </c>
      <c r="BM4235" s="127">
        <v>0.11332468572476186</v>
      </c>
      <c r="BN4235" s="127" t="e">
        <v>#N/A</v>
      </c>
      <c r="BO4235" s="127" t="e">
        <v>#N/A</v>
      </c>
      <c r="BP4235" s="151" t="e">
        <v>#N/A</v>
      </c>
      <c r="BQ4235">
        <v>0.11332468572476186</v>
      </c>
      <c r="BR4235" t="str">
        <v/>
      </c>
    </row>
    <row r="4236" spans="47:70" x14ac:dyDescent="0.2">
      <c r="AU4236"/>
      <c r="AV4236"/>
      <c r="AW4236"/>
      <c r="AX4236"/>
      <c r="AY4236"/>
      <c r="BK4236" s="42">
        <v>4235</v>
      </c>
      <c r="BL4236" s="127">
        <v>4</v>
      </c>
      <c r="BM4236" s="127">
        <v>0.11332468572476186</v>
      </c>
      <c r="BN4236" s="127" t="e">
        <v>#N/A</v>
      </c>
      <c r="BO4236" s="127" t="e">
        <v>#N/A</v>
      </c>
      <c r="BP4236" s="151" t="e">
        <v>#N/A</v>
      </c>
      <c r="BQ4236">
        <v>0.11332468572476186</v>
      </c>
      <c r="BR4236" t="str">
        <v/>
      </c>
    </row>
    <row r="4237" spans="47:70" x14ac:dyDescent="0.2">
      <c r="AU4237"/>
      <c r="AV4237"/>
      <c r="AW4237"/>
      <c r="AX4237"/>
      <c r="AY4237"/>
      <c r="BK4237" s="42">
        <v>4236</v>
      </c>
      <c r="BL4237" s="127">
        <v>4</v>
      </c>
      <c r="BM4237" s="127">
        <v>0.11332468572476186</v>
      </c>
      <c r="BN4237" s="127" t="e">
        <v>#N/A</v>
      </c>
      <c r="BO4237" s="127" t="e">
        <v>#N/A</v>
      </c>
      <c r="BP4237" s="151" t="e">
        <v>#N/A</v>
      </c>
      <c r="BQ4237">
        <v>0.11332468572476186</v>
      </c>
      <c r="BR4237" t="str">
        <v/>
      </c>
    </row>
    <row r="4238" spans="47:70" x14ac:dyDescent="0.2">
      <c r="AU4238"/>
      <c r="AV4238"/>
      <c r="AW4238"/>
      <c r="AX4238"/>
      <c r="AY4238"/>
      <c r="BK4238" s="42">
        <v>4237</v>
      </c>
      <c r="BL4238" s="127">
        <v>4</v>
      </c>
      <c r="BM4238" s="127">
        <v>0.11332468572476186</v>
      </c>
      <c r="BN4238" s="127" t="e">
        <v>#N/A</v>
      </c>
      <c r="BO4238" s="127" t="e">
        <v>#N/A</v>
      </c>
      <c r="BP4238" s="151" t="e">
        <v>#N/A</v>
      </c>
      <c r="BQ4238">
        <v>0.11332468572476186</v>
      </c>
      <c r="BR4238" t="str">
        <v/>
      </c>
    </row>
    <row r="4239" spans="47:70" x14ac:dyDescent="0.2">
      <c r="AU4239"/>
      <c r="AV4239"/>
      <c r="AW4239"/>
      <c r="AX4239"/>
      <c r="AY4239"/>
      <c r="BK4239" s="42">
        <v>4238</v>
      </c>
      <c r="BL4239" s="127">
        <v>4</v>
      </c>
      <c r="BM4239" s="127">
        <v>0.11332468572476186</v>
      </c>
      <c r="BN4239" s="127" t="e">
        <v>#N/A</v>
      </c>
      <c r="BO4239" s="127" t="e">
        <v>#N/A</v>
      </c>
      <c r="BP4239" s="151" t="e">
        <v>#N/A</v>
      </c>
      <c r="BQ4239">
        <v>0.11332468572476186</v>
      </c>
      <c r="BR4239" t="str">
        <v/>
      </c>
    </row>
    <row r="4240" spans="47:70" x14ac:dyDescent="0.2">
      <c r="AU4240"/>
      <c r="AV4240"/>
      <c r="AW4240"/>
      <c r="AX4240"/>
      <c r="AY4240"/>
      <c r="BK4240" s="42">
        <v>4239</v>
      </c>
      <c r="BL4240" s="127">
        <v>4</v>
      </c>
      <c r="BM4240" s="127">
        <v>0.11332468572476186</v>
      </c>
      <c r="BN4240" s="127" t="e">
        <v>#N/A</v>
      </c>
      <c r="BO4240" s="127" t="e">
        <v>#N/A</v>
      </c>
      <c r="BP4240" s="151" t="e">
        <v>#N/A</v>
      </c>
      <c r="BQ4240">
        <v>0.11332468572476186</v>
      </c>
      <c r="BR4240" t="str">
        <v/>
      </c>
    </row>
    <row r="4241" spans="47:70" x14ac:dyDescent="0.2">
      <c r="AU4241"/>
      <c r="AV4241"/>
      <c r="AW4241"/>
      <c r="AX4241"/>
      <c r="AY4241"/>
      <c r="BK4241" s="42">
        <v>4240</v>
      </c>
      <c r="BL4241" s="127">
        <v>4</v>
      </c>
      <c r="BM4241" s="127">
        <v>0.11332468572476186</v>
      </c>
      <c r="BN4241" s="127" t="e">
        <v>#N/A</v>
      </c>
      <c r="BO4241" s="127" t="e">
        <v>#N/A</v>
      </c>
      <c r="BP4241" s="151" t="e">
        <v>#N/A</v>
      </c>
      <c r="BQ4241">
        <v>0.11332468572476186</v>
      </c>
      <c r="BR4241" t="str">
        <v/>
      </c>
    </row>
    <row r="4242" spans="47:70" x14ac:dyDescent="0.2">
      <c r="AU4242"/>
      <c r="AV4242"/>
      <c r="AW4242"/>
      <c r="AX4242"/>
      <c r="AY4242"/>
      <c r="BK4242" s="42">
        <v>4241</v>
      </c>
      <c r="BL4242" s="127">
        <v>4</v>
      </c>
      <c r="BM4242" s="127">
        <v>0.11332468572476186</v>
      </c>
      <c r="BN4242" s="127" t="e">
        <v>#N/A</v>
      </c>
      <c r="BO4242" s="127" t="e">
        <v>#N/A</v>
      </c>
      <c r="BP4242" s="151" t="e">
        <v>#N/A</v>
      </c>
      <c r="BQ4242">
        <v>0.11332468572476186</v>
      </c>
      <c r="BR4242" t="str">
        <v/>
      </c>
    </row>
    <row r="4243" spans="47:70" x14ac:dyDescent="0.2">
      <c r="AU4243"/>
      <c r="AV4243"/>
      <c r="AW4243"/>
      <c r="AX4243"/>
      <c r="AY4243"/>
      <c r="BK4243" s="42">
        <v>4242</v>
      </c>
      <c r="BL4243" s="127">
        <v>4</v>
      </c>
      <c r="BM4243" s="127">
        <v>0.11332468572476186</v>
      </c>
      <c r="BN4243" s="127" t="e">
        <v>#N/A</v>
      </c>
      <c r="BO4243" s="127" t="e">
        <v>#N/A</v>
      </c>
      <c r="BP4243" s="151" t="e">
        <v>#N/A</v>
      </c>
      <c r="BQ4243">
        <v>0.11332468572476186</v>
      </c>
      <c r="BR4243" t="str">
        <v/>
      </c>
    </row>
    <row r="4244" spans="47:70" x14ac:dyDescent="0.2">
      <c r="AU4244"/>
      <c r="AV4244"/>
      <c r="AW4244"/>
      <c r="AX4244"/>
      <c r="AY4244"/>
      <c r="BK4244" s="42">
        <v>4243</v>
      </c>
      <c r="BL4244" s="127">
        <v>4</v>
      </c>
      <c r="BM4244" s="127">
        <v>0.11332468572476186</v>
      </c>
      <c r="BN4244" s="127" t="e">
        <v>#N/A</v>
      </c>
      <c r="BO4244" s="127" t="e">
        <v>#N/A</v>
      </c>
      <c r="BP4244" s="151" t="e">
        <v>#N/A</v>
      </c>
      <c r="BQ4244">
        <v>0.11332468572476186</v>
      </c>
      <c r="BR4244" t="str">
        <v/>
      </c>
    </row>
    <row r="4245" spans="47:70" x14ac:dyDescent="0.2">
      <c r="AU4245"/>
      <c r="AV4245"/>
      <c r="AW4245"/>
      <c r="AX4245"/>
      <c r="AY4245"/>
      <c r="BK4245" s="42">
        <v>4244</v>
      </c>
      <c r="BL4245" s="127">
        <v>4</v>
      </c>
      <c r="BM4245" s="127">
        <v>0.11332468572476186</v>
      </c>
      <c r="BN4245" s="127" t="e">
        <v>#N/A</v>
      </c>
      <c r="BO4245" s="127" t="e">
        <v>#N/A</v>
      </c>
      <c r="BP4245" s="151" t="e">
        <v>#N/A</v>
      </c>
      <c r="BQ4245">
        <v>0.11332468572476186</v>
      </c>
      <c r="BR4245" t="str">
        <v/>
      </c>
    </row>
    <row r="4246" spans="47:70" x14ac:dyDescent="0.2">
      <c r="AU4246"/>
      <c r="AV4246"/>
      <c r="AW4246"/>
      <c r="AX4246"/>
      <c r="AY4246"/>
      <c r="BK4246" s="42">
        <v>4245</v>
      </c>
      <c r="BL4246" s="127">
        <v>4</v>
      </c>
      <c r="BM4246" s="127">
        <v>0.11332468572476186</v>
      </c>
      <c r="BN4246" s="127" t="e">
        <v>#N/A</v>
      </c>
      <c r="BO4246" s="127" t="e">
        <v>#N/A</v>
      </c>
      <c r="BP4246" s="151" t="e">
        <v>#N/A</v>
      </c>
      <c r="BQ4246">
        <v>0.11332468572476186</v>
      </c>
      <c r="BR4246" t="str">
        <v/>
      </c>
    </row>
    <row r="4247" spans="47:70" x14ac:dyDescent="0.2">
      <c r="AU4247"/>
      <c r="AV4247"/>
      <c r="AW4247"/>
      <c r="AX4247"/>
      <c r="AY4247"/>
      <c r="BK4247" s="42">
        <v>4246</v>
      </c>
      <c r="BL4247" s="127">
        <v>4</v>
      </c>
      <c r="BM4247" s="127">
        <v>0.11332468572476186</v>
      </c>
      <c r="BN4247" s="127" t="e">
        <v>#N/A</v>
      </c>
      <c r="BO4247" s="127" t="e">
        <v>#N/A</v>
      </c>
      <c r="BP4247" s="151" t="e">
        <v>#N/A</v>
      </c>
      <c r="BQ4247">
        <v>0.11332468572476186</v>
      </c>
      <c r="BR4247" t="str">
        <v/>
      </c>
    </row>
    <row r="4248" spans="47:70" x14ac:dyDescent="0.2">
      <c r="AU4248"/>
      <c r="AV4248"/>
      <c r="AW4248"/>
      <c r="AX4248"/>
      <c r="AY4248"/>
      <c r="BK4248" s="42">
        <v>4247</v>
      </c>
      <c r="BL4248" s="127">
        <v>4</v>
      </c>
      <c r="BM4248" s="127">
        <v>0.11332468572476186</v>
      </c>
      <c r="BN4248" s="127" t="e">
        <v>#N/A</v>
      </c>
      <c r="BO4248" s="127" t="e">
        <v>#N/A</v>
      </c>
      <c r="BP4248" s="151" t="e">
        <v>#N/A</v>
      </c>
      <c r="BQ4248">
        <v>0.11332468572476186</v>
      </c>
      <c r="BR4248" t="str">
        <v/>
      </c>
    </row>
    <row r="4249" spans="47:70" x14ac:dyDescent="0.2">
      <c r="AU4249"/>
      <c r="AV4249"/>
      <c r="AW4249"/>
      <c r="AX4249"/>
      <c r="AY4249"/>
      <c r="BK4249" s="42">
        <v>4248</v>
      </c>
      <c r="BL4249" s="127">
        <v>4</v>
      </c>
      <c r="BM4249" s="127">
        <v>0.11332468572476186</v>
      </c>
      <c r="BN4249" s="127" t="e">
        <v>#N/A</v>
      </c>
      <c r="BO4249" s="127" t="e">
        <v>#N/A</v>
      </c>
      <c r="BP4249" s="151" t="e">
        <v>#N/A</v>
      </c>
      <c r="BQ4249">
        <v>0.11332468572476186</v>
      </c>
      <c r="BR4249" t="str">
        <v/>
      </c>
    </row>
    <row r="4250" spans="47:70" x14ac:dyDescent="0.2">
      <c r="AU4250"/>
      <c r="AV4250"/>
      <c r="AW4250"/>
      <c r="AX4250"/>
      <c r="AY4250"/>
      <c r="BK4250" s="42">
        <v>4249</v>
      </c>
      <c r="BL4250" s="127">
        <v>4</v>
      </c>
      <c r="BM4250" s="127">
        <v>0.11332468572476186</v>
      </c>
      <c r="BN4250" s="127" t="e">
        <v>#N/A</v>
      </c>
      <c r="BO4250" s="127" t="e">
        <v>#N/A</v>
      </c>
      <c r="BP4250" s="151" t="e">
        <v>#N/A</v>
      </c>
      <c r="BQ4250">
        <v>0.11332468572476186</v>
      </c>
      <c r="BR4250" t="str">
        <v/>
      </c>
    </row>
    <row r="4251" spans="47:70" x14ac:dyDescent="0.2">
      <c r="AU4251"/>
      <c r="AV4251"/>
      <c r="AW4251"/>
      <c r="AX4251"/>
      <c r="AY4251"/>
      <c r="BK4251" s="42">
        <v>4250</v>
      </c>
      <c r="BL4251" s="127">
        <v>4</v>
      </c>
      <c r="BM4251" s="127">
        <v>0.11332468572476186</v>
      </c>
      <c r="BN4251" s="127" t="e">
        <v>#N/A</v>
      </c>
      <c r="BO4251" s="127" t="e">
        <v>#N/A</v>
      </c>
      <c r="BP4251" s="151" t="e">
        <v>#N/A</v>
      </c>
      <c r="BQ4251">
        <v>0.11332468572476186</v>
      </c>
      <c r="BR4251" t="str">
        <v/>
      </c>
    </row>
    <row r="4252" spans="47:70" x14ac:dyDescent="0.2">
      <c r="AU4252"/>
      <c r="AV4252"/>
      <c r="AW4252"/>
      <c r="AX4252"/>
      <c r="AY4252"/>
      <c r="BK4252" s="42">
        <v>4251</v>
      </c>
      <c r="BL4252" s="127">
        <v>4</v>
      </c>
      <c r="BM4252" s="127">
        <v>0.11332468572476186</v>
      </c>
      <c r="BN4252" s="127" t="e">
        <v>#N/A</v>
      </c>
      <c r="BO4252" s="127" t="e">
        <v>#N/A</v>
      </c>
      <c r="BP4252" s="151" t="e">
        <v>#N/A</v>
      </c>
      <c r="BQ4252">
        <v>0.11332468572476186</v>
      </c>
      <c r="BR4252" t="str">
        <v/>
      </c>
    </row>
    <row r="4253" spans="47:70" x14ac:dyDescent="0.2">
      <c r="AU4253"/>
      <c r="AV4253"/>
      <c r="AW4253"/>
      <c r="AX4253"/>
      <c r="AY4253"/>
      <c r="BK4253" s="42">
        <v>4252</v>
      </c>
      <c r="BL4253" s="127">
        <v>4</v>
      </c>
      <c r="BM4253" s="127">
        <v>0.11332468572476186</v>
      </c>
      <c r="BN4253" s="127" t="e">
        <v>#N/A</v>
      </c>
      <c r="BO4253" s="127" t="e">
        <v>#N/A</v>
      </c>
      <c r="BP4253" s="151" t="e">
        <v>#N/A</v>
      </c>
      <c r="BQ4253">
        <v>0.11332468572476186</v>
      </c>
      <c r="BR4253" t="str">
        <v/>
      </c>
    </row>
    <row r="4254" spans="47:70" x14ac:dyDescent="0.2">
      <c r="AU4254"/>
      <c r="AV4254"/>
      <c r="AW4254"/>
      <c r="AX4254"/>
      <c r="AY4254"/>
      <c r="BK4254" s="42">
        <v>4253</v>
      </c>
      <c r="BL4254" s="127">
        <v>4</v>
      </c>
      <c r="BM4254" s="127">
        <v>0.11332468572476186</v>
      </c>
      <c r="BN4254" s="127" t="e">
        <v>#N/A</v>
      </c>
      <c r="BO4254" s="127" t="e">
        <v>#N/A</v>
      </c>
      <c r="BP4254" s="151" t="e">
        <v>#N/A</v>
      </c>
      <c r="BQ4254">
        <v>0.11332468572476186</v>
      </c>
      <c r="BR4254" t="str">
        <v/>
      </c>
    </row>
    <row r="4255" spans="47:70" x14ac:dyDescent="0.2">
      <c r="AU4255"/>
      <c r="AV4255"/>
      <c r="AW4255"/>
      <c r="AX4255"/>
      <c r="AY4255"/>
      <c r="BK4255" s="42">
        <v>4254</v>
      </c>
      <c r="BL4255" s="127">
        <v>4</v>
      </c>
      <c r="BM4255" s="127">
        <v>0.11332468572476186</v>
      </c>
      <c r="BN4255" s="127" t="e">
        <v>#N/A</v>
      </c>
      <c r="BO4255" s="127" t="e">
        <v>#N/A</v>
      </c>
      <c r="BP4255" s="151" t="e">
        <v>#N/A</v>
      </c>
      <c r="BQ4255">
        <v>0.11332468572476186</v>
      </c>
      <c r="BR4255" t="str">
        <v/>
      </c>
    </row>
    <row r="4256" spans="47:70" x14ac:dyDescent="0.2">
      <c r="AU4256"/>
      <c r="AV4256"/>
      <c r="AW4256"/>
      <c r="AX4256"/>
      <c r="AY4256"/>
      <c r="BK4256" s="42">
        <v>4255</v>
      </c>
      <c r="BL4256" s="127">
        <v>4</v>
      </c>
      <c r="BM4256" s="127">
        <v>0.11332468572476186</v>
      </c>
      <c r="BN4256" s="127" t="e">
        <v>#N/A</v>
      </c>
      <c r="BO4256" s="127" t="e">
        <v>#N/A</v>
      </c>
      <c r="BP4256" s="151" t="e">
        <v>#N/A</v>
      </c>
      <c r="BQ4256">
        <v>0.11332468572476186</v>
      </c>
      <c r="BR4256" t="str">
        <v/>
      </c>
    </row>
    <row r="4257" spans="47:70" x14ac:dyDescent="0.2">
      <c r="AU4257"/>
      <c r="AV4257"/>
      <c r="AW4257"/>
      <c r="AX4257"/>
      <c r="AY4257"/>
      <c r="BK4257" s="42">
        <v>4256</v>
      </c>
      <c r="BL4257" s="127">
        <v>4</v>
      </c>
      <c r="BM4257" s="127">
        <v>0.11332468572476186</v>
      </c>
      <c r="BN4257" s="127" t="e">
        <v>#N/A</v>
      </c>
      <c r="BO4257" s="127" t="e">
        <v>#N/A</v>
      </c>
      <c r="BP4257" s="151" t="e">
        <v>#N/A</v>
      </c>
      <c r="BQ4257">
        <v>0.11332468572476186</v>
      </c>
      <c r="BR4257" t="str">
        <v/>
      </c>
    </row>
    <row r="4258" spans="47:70" x14ac:dyDescent="0.2">
      <c r="AU4258"/>
      <c r="AV4258"/>
      <c r="AW4258"/>
      <c r="AX4258"/>
      <c r="AY4258"/>
      <c r="BK4258" s="42">
        <v>4257</v>
      </c>
      <c r="BL4258" s="127">
        <v>4</v>
      </c>
      <c r="BM4258" s="127">
        <v>0.11332468572476186</v>
      </c>
      <c r="BN4258" s="127" t="e">
        <v>#N/A</v>
      </c>
      <c r="BO4258" s="127" t="e">
        <v>#N/A</v>
      </c>
      <c r="BP4258" s="151" t="e">
        <v>#N/A</v>
      </c>
      <c r="BQ4258">
        <v>0.11332468572476186</v>
      </c>
      <c r="BR4258" t="str">
        <v/>
      </c>
    </row>
    <row r="4259" spans="47:70" x14ac:dyDescent="0.2">
      <c r="AU4259"/>
      <c r="AV4259"/>
      <c r="AW4259"/>
      <c r="AX4259"/>
      <c r="AY4259"/>
      <c r="BK4259" s="42">
        <v>4258</v>
      </c>
      <c r="BL4259" s="127">
        <v>4</v>
      </c>
      <c r="BM4259" s="127">
        <v>0.11332468572476186</v>
      </c>
      <c r="BN4259" s="127" t="e">
        <v>#N/A</v>
      </c>
      <c r="BO4259" s="127" t="e">
        <v>#N/A</v>
      </c>
      <c r="BP4259" s="151" t="e">
        <v>#N/A</v>
      </c>
      <c r="BQ4259">
        <v>0.11332468572476186</v>
      </c>
      <c r="BR4259" t="str">
        <v/>
      </c>
    </row>
    <row r="4260" spans="47:70" x14ac:dyDescent="0.2">
      <c r="AU4260"/>
      <c r="AV4260"/>
      <c r="AW4260"/>
      <c r="AX4260"/>
      <c r="AY4260"/>
      <c r="BK4260" s="42">
        <v>4259</v>
      </c>
      <c r="BL4260" s="127">
        <v>4</v>
      </c>
      <c r="BM4260" s="127">
        <v>0.11332468572476186</v>
      </c>
      <c r="BN4260" s="127" t="e">
        <v>#N/A</v>
      </c>
      <c r="BO4260" s="127" t="e">
        <v>#N/A</v>
      </c>
      <c r="BP4260" s="151" t="e">
        <v>#N/A</v>
      </c>
      <c r="BQ4260">
        <v>0.11332468572476186</v>
      </c>
      <c r="BR4260" t="str">
        <v/>
      </c>
    </row>
    <row r="4261" spans="47:70" x14ac:dyDescent="0.2">
      <c r="AU4261"/>
      <c r="AV4261"/>
      <c r="AW4261"/>
      <c r="AX4261"/>
      <c r="AY4261"/>
      <c r="BK4261" s="42">
        <v>4260</v>
      </c>
      <c r="BL4261" s="127">
        <v>4</v>
      </c>
      <c r="BM4261" s="127">
        <v>0.11332468572476186</v>
      </c>
      <c r="BN4261" s="127" t="e">
        <v>#N/A</v>
      </c>
      <c r="BO4261" s="127" t="e">
        <v>#N/A</v>
      </c>
      <c r="BP4261" s="151" t="e">
        <v>#N/A</v>
      </c>
      <c r="BQ4261">
        <v>0.11332468572476186</v>
      </c>
      <c r="BR4261" t="str">
        <v/>
      </c>
    </row>
    <row r="4262" spans="47:70" x14ac:dyDescent="0.2">
      <c r="AU4262"/>
      <c r="AV4262"/>
      <c r="AW4262"/>
      <c r="AX4262"/>
      <c r="AY4262"/>
      <c r="BK4262" s="42">
        <v>4261</v>
      </c>
      <c r="BL4262" s="127">
        <v>4</v>
      </c>
      <c r="BM4262" s="127">
        <v>0.11332468572476186</v>
      </c>
      <c r="BN4262" s="127" t="e">
        <v>#N/A</v>
      </c>
      <c r="BO4262" s="127" t="e">
        <v>#N/A</v>
      </c>
      <c r="BP4262" s="151" t="e">
        <v>#N/A</v>
      </c>
      <c r="BQ4262">
        <v>0.11332468572476186</v>
      </c>
      <c r="BR4262" t="str">
        <v/>
      </c>
    </row>
    <row r="4263" spans="47:70" x14ac:dyDescent="0.2">
      <c r="AU4263"/>
      <c r="AV4263"/>
      <c r="AW4263"/>
      <c r="AX4263"/>
      <c r="AY4263"/>
      <c r="BK4263" s="42">
        <v>4262</v>
      </c>
      <c r="BL4263" s="127">
        <v>4</v>
      </c>
      <c r="BM4263" s="127">
        <v>0.11332468572476186</v>
      </c>
      <c r="BN4263" s="127" t="e">
        <v>#N/A</v>
      </c>
      <c r="BO4263" s="127" t="e">
        <v>#N/A</v>
      </c>
      <c r="BP4263" s="151" t="e">
        <v>#N/A</v>
      </c>
      <c r="BQ4263">
        <v>0.11332468572476186</v>
      </c>
      <c r="BR4263" t="str">
        <v/>
      </c>
    </row>
    <row r="4264" spans="47:70" x14ac:dyDescent="0.2">
      <c r="AU4264"/>
      <c r="AV4264"/>
      <c r="AW4264"/>
      <c r="AX4264"/>
      <c r="AY4264"/>
      <c r="BK4264" s="42">
        <v>4263</v>
      </c>
      <c r="BL4264" s="127">
        <v>4</v>
      </c>
      <c r="BM4264" s="127">
        <v>0.11332468572476186</v>
      </c>
      <c r="BN4264" s="127" t="e">
        <v>#N/A</v>
      </c>
      <c r="BO4264" s="127" t="e">
        <v>#N/A</v>
      </c>
      <c r="BP4264" s="151" t="e">
        <v>#N/A</v>
      </c>
      <c r="BQ4264">
        <v>0.11332468572476186</v>
      </c>
      <c r="BR4264" t="str">
        <v/>
      </c>
    </row>
    <row r="4265" spans="47:70" x14ac:dyDescent="0.2">
      <c r="AU4265"/>
      <c r="AV4265"/>
      <c r="AW4265"/>
      <c r="AX4265"/>
      <c r="AY4265"/>
      <c r="BK4265" s="42">
        <v>4264</v>
      </c>
      <c r="BL4265" s="127">
        <v>4</v>
      </c>
      <c r="BM4265" s="127">
        <v>0.11332468572476186</v>
      </c>
      <c r="BN4265" s="127" t="e">
        <v>#N/A</v>
      </c>
      <c r="BO4265" s="127" t="e">
        <v>#N/A</v>
      </c>
      <c r="BP4265" s="151" t="e">
        <v>#N/A</v>
      </c>
      <c r="BQ4265">
        <v>0.11332468572476186</v>
      </c>
      <c r="BR4265" t="str">
        <v/>
      </c>
    </row>
    <row r="4266" spans="47:70" x14ac:dyDescent="0.2">
      <c r="AU4266"/>
      <c r="AV4266"/>
      <c r="AW4266"/>
      <c r="AX4266"/>
      <c r="AY4266"/>
      <c r="BK4266" s="42">
        <v>4265</v>
      </c>
      <c r="BL4266" s="127">
        <v>4</v>
      </c>
      <c r="BM4266" s="127">
        <v>0.11332468572476186</v>
      </c>
      <c r="BN4266" s="127" t="e">
        <v>#N/A</v>
      </c>
      <c r="BO4266" s="127" t="e">
        <v>#N/A</v>
      </c>
      <c r="BP4266" s="151" t="e">
        <v>#N/A</v>
      </c>
      <c r="BQ4266">
        <v>0.11332468572476186</v>
      </c>
      <c r="BR4266" t="str">
        <v/>
      </c>
    </row>
    <row r="4267" spans="47:70" x14ac:dyDescent="0.2">
      <c r="AU4267"/>
      <c r="AV4267"/>
      <c r="AW4267"/>
      <c r="AX4267"/>
      <c r="AY4267"/>
      <c r="BK4267" s="42">
        <v>4266</v>
      </c>
      <c r="BL4267" s="127">
        <v>4</v>
      </c>
      <c r="BM4267" s="127">
        <v>0.11332468572476186</v>
      </c>
      <c r="BN4267" s="127" t="e">
        <v>#N/A</v>
      </c>
      <c r="BO4267" s="127" t="e">
        <v>#N/A</v>
      </c>
      <c r="BP4267" s="151" t="e">
        <v>#N/A</v>
      </c>
      <c r="BQ4267">
        <v>0.11332468572476186</v>
      </c>
      <c r="BR4267" t="str">
        <v/>
      </c>
    </row>
    <row r="4268" spans="47:70" x14ac:dyDescent="0.2">
      <c r="AU4268"/>
      <c r="AV4268"/>
      <c r="AW4268"/>
      <c r="AX4268"/>
      <c r="AY4268"/>
      <c r="BK4268" s="42">
        <v>4267</v>
      </c>
      <c r="BL4268" s="127">
        <v>4</v>
      </c>
      <c r="BM4268" s="127">
        <v>0.11332468572476186</v>
      </c>
      <c r="BN4268" s="127" t="e">
        <v>#N/A</v>
      </c>
      <c r="BO4268" s="127" t="e">
        <v>#N/A</v>
      </c>
      <c r="BP4268" s="151" t="e">
        <v>#N/A</v>
      </c>
      <c r="BQ4268">
        <v>0.11332468572476186</v>
      </c>
      <c r="BR4268" t="str">
        <v/>
      </c>
    </row>
    <row r="4269" spans="47:70" x14ac:dyDescent="0.2">
      <c r="AU4269"/>
      <c r="AV4269"/>
      <c r="AW4269"/>
      <c r="AX4269"/>
      <c r="AY4269"/>
      <c r="BK4269" s="42">
        <v>4268</v>
      </c>
      <c r="BL4269" s="127">
        <v>4</v>
      </c>
      <c r="BM4269" s="127">
        <v>0.11332468572476186</v>
      </c>
      <c r="BN4269" s="127" t="e">
        <v>#N/A</v>
      </c>
      <c r="BO4269" s="127" t="e">
        <v>#N/A</v>
      </c>
      <c r="BP4269" s="151" t="e">
        <v>#N/A</v>
      </c>
      <c r="BQ4269">
        <v>0.11332468572476186</v>
      </c>
      <c r="BR4269" t="str">
        <v/>
      </c>
    </row>
    <row r="4270" spans="47:70" x14ac:dyDescent="0.2">
      <c r="AU4270"/>
      <c r="AV4270"/>
      <c r="AW4270"/>
      <c r="AX4270"/>
      <c r="AY4270"/>
      <c r="BK4270" s="42">
        <v>4269</v>
      </c>
      <c r="BL4270" s="127">
        <v>4</v>
      </c>
      <c r="BM4270" s="127">
        <v>0.11332468572476186</v>
      </c>
      <c r="BN4270" s="127" t="e">
        <v>#N/A</v>
      </c>
      <c r="BO4270" s="127" t="e">
        <v>#N/A</v>
      </c>
      <c r="BP4270" s="151" t="e">
        <v>#N/A</v>
      </c>
      <c r="BQ4270">
        <v>0.11332468572476186</v>
      </c>
      <c r="BR4270" t="str">
        <v/>
      </c>
    </row>
    <row r="4271" spans="47:70" x14ac:dyDescent="0.2">
      <c r="AU4271"/>
      <c r="AV4271"/>
      <c r="AW4271"/>
      <c r="AX4271"/>
      <c r="AY4271"/>
      <c r="BK4271" s="42">
        <v>4270</v>
      </c>
      <c r="BL4271" s="127">
        <v>4</v>
      </c>
      <c r="BM4271" s="127">
        <v>0.11332468572476186</v>
      </c>
      <c r="BN4271" s="127" t="e">
        <v>#N/A</v>
      </c>
      <c r="BO4271" s="127" t="e">
        <v>#N/A</v>
      </c>
      <c r="BP4271" s="151" t="e">
        <v>#N/A</v>
      </c>
      <c r="BQ4271">
        <v>0.11332468572476186</v>
      </c>
      <c r="BR4271" t="str">
        <v/>
      </c>
    </row>
    <row r="4272" spans="47:70" x14ac:dyDescent="0.2">
      <c r="AU4272"/>
      <c r="AV4272"/>
      <c r="AW4272"/>
      <c r="AX4272"/>
      <c r="AY4272"/>
      <c r="BK4272" s="42">
        <v>4271</v>
      </c>
      <c r="BL4272" s="127">
        <v>4</v>
      </c>
      <c r="BM4272" s="127">
        <v>0.11332468572476186</v>
      </c>
      <c r="BN4272" s="127" t="e">
        <v>#N/A</v>
      </c>
      <c r="BO4272" s="127" t="e">
        <v>#N/A</v>
      </c>
      <c r="BP4272" s="151" t="e">
        <v>#N/A</v>
      </c>
      <c r="BQ4272">
        <v>0.11332468572476186</v>
      </c>
      <c r="BR4272" t="str">
        <v/>
      </c>
    </row>
    <row r="4273" spans="47:70" x14ac:dyDescent="0.2">
      <c r="AU4273"/>
      <c r="AV4273"/>
      <c r="AW4273"/>
      <c r="AX4273"/>
      <c r="AY4273"/>
      <c r="BK4273" s="42">
        <v>4272</v>
      </c>
      <c r="BL4273" s="127">
        <v>4</v>
      </c>
      <c r="BM4273" s="127">
        <v>0.11332468572476186</v>
      </c>
      <c r="BN4273" s="127" t="e">
        <v>#N/A</v>
      </c>
      <c r="BO4273" s="127" t="e">
        <v>#N/A</v>
      </c>
      <c r="BP4273" s="151" t="e">
        <v>#N/A</v>
      </c>
      <c r="BQ4273">
        <v>0.11332468572476186</v>
      </c>
      <c r="BR4273" t="str">
        <v/>
      </c>
    </row>
    <row r="4274" spans="47:70" x14ac:dyDescent="0.2">
      <c r="AU4274"/>
      <c r="AV4274"/>
      <c r="AW4274"/>
      <c r="AX4274"/>
      <c r="AY4274"/>
      <c r="BK4274" s="42">
        <v>4273</v>
      </c>
      <c r="BL4274" s="127">
        <v>4</v>
      </c>
      <c r="BM4274" s="127">
        <v>0.11332468572476186</v>
      </c>
      <c r="BN4274" s="127" t="e">
        <v>#N/A</v>
      </c>
      <c r="BO4274" s="127" t="e">
        <v>#N/A</v>
      </c>
      <c r="BP4274" s="151" t="e">
        <v>#N/A</v>
      </c>
      <c r="BQ4274">
        <v>0.11332468572476186</v>
      </c>
      <c r="BR4274" t="str">
        <v/>
      </c>
    </row>
    <row r="4275" spans="47:70" x14ac:dyDescent="0.2">
      <c r="AU4275"/>
      <c r="AV4275"/>
      <c r="AW4275"/>
      <c r="AX4275"/>
      <c r="AY4275"/>
      <c r="BK4275" s="42">
        <v>4274</v>
      </c>
      <c r="BL4275" s="127">
        <v>4</v>
      </c>
      <c r="BM4275" s="127">
        <v>0.11332468572476186</v>
      </c>
      <c r="BN4275" s="127" t="e">
        <v>#N/A</v>
      </c>
      <c r="BO4275" s="127" t="e">
        <v>#N/A</v>
      </c>
      <c r="BP4275" s="151" t="e">
        <v>#N/A</v>
      </c>
      <c r="BQ4275">
        <v>0.11332468572476186</v>
      </c>
      <c r="BR4275" t="str">
        <v/>
      </c>
    </row>
    <row r="4276" spans="47:70" x14ac:dyDescent="0.2">
      <c r="AU4276"/>
      <c r="AV4276"/>
      <c r="AW4276"/>
      <c r="AX4276"/>
      <c r="AY4276"/>
      <c r="BK4276" s="42">
        <v>4275</v>
      </c>
      <c r="BL4276" s="127">
        <v>4</v>
      </c>
      <c r="BM4276" s="127">
        <v>0.11332468572476186</v>
      </c>
      <c r="BN4276" s="127" t="e">
        <v>#N/A</v>
      </c>
      <c r="BO4276" s="127" t="e">
        <v>#N/A</v>
      </c>
      <c r="BP4276" s="151" t="e">
        <v>#N/A</v>
      </c>
      <c r="BQ4276">
        <v>0.11332468572476186</v>
      </c>
      <c r="BR4276" t="str">
        <v/>
      </c>
    </row>
    <row r="4277" spans="47:70" x14ac:dyDescent="0.2">
      <c r="AU4277"/>
      <c r="AV4277"/>
      <c r="AW4277"/>
      <c r="AX4277"/>
      <c r="AY4277"/>
      <c r="BK4277" s="42">
        <v>4276</v>
      </c>
      <c r="BL4277" s="127">
        <v>4</v>
      </c>
      <c r="BM4277" s="127">
        <v>0.11332468572476186</v>
      </c>
      <c r="BN4277" s="127" t="e">
        <v>#N/A</v>
      </c>
      <c r="BO4277" s="127" t="e">
        <v>#N/A</v>
      </c>
      <c r="BP4277" s="151" t="e">
        <v>#N/A</v>
      </c>
      <c r="BQ4277">
        <v>0.11332468572476186</v>
      </c>
      <c r="BR4277" t="str">
        <v/>
      </c>
    </row>
    <row r="4278" spans="47:70" x14ac:dyDescent="0.2">
      <c r="AU4278"/>
      <c r="AV4278"/>
      <c r="AW4278"/>
      <c r="AX4278"/>
      <c r="AY4278"/>
      <c r="BK4278" s="42">
        <v>4277</v>
      </c>
      <c r="BL4278" s="127">
        <v>4</v>
      </c>
      <c r="BM4278" s="127">
        <v>0.11332468572476186</v>
      </c>
      <c r="BN4278" s="127" t="e">
        <v>#N/A</v>
      </c>
      <c r="BO4278" s="127" t="e">
        <v>#N/A</v>
      </c>
      <c r="BP4278" s="151" t="e">
        <v>#N/A</v>
      </c>
      <c r="BQ4278">
        <v>0.11332468572476186</v>
      </c>
      <c r="BR4278" t="str">
        <v/>
      </c>
    </row>
    <row r="4279" spans="47:70" x14ac:dyDescent="0.2">
      <c r="AU4279"/>
      <c r="AV4279"/>
      <c r="AW4279"/>
      <c r="AX4279"/>
      <c r="AY4279"/>
      <c r="BK4279" s="42">
        <v>4278</v>
      </c>
      <c r="BL4279" s="127">
        <v>4</v>
      </c>
      <c r="BM4279" s="127">
        <v>0.11332468572476186</v>
      </c>
      <c r="BN4279" s="127" t="e">
        <v>#N/A</v>
      </c>
      <c r="BO4279" s="127" t="e">
        <v>#N/A</v>
      </c>
      <c r="BP4279" s="151" t="e">
        <v>#N/A</v>
      </c>
      <c r="BQ4279">
        <v>0.11332468572476186</v>
      </c>
      <c r="BR4279" t="str">
        <v/>
      </c>
    </row>
    <row r="4280" spans="47:70" x14ac:dyDescent="0.2">
      <c r="AU4280"/>
      <c r="AV4280"/>
      <c r="AW4280"/>
      <c r="AX4280"/>
      <c r="AY4280"/>
      <c r="BK4280" s="42">
        <v>4279</v>
      </c>
      <c r="BL4280" s="127">
        <v>4</v>
      </c>
      <c r="BM4280" s="127">
        <v>0.11332468572476186</v>
      </c>
      <c r="BN4280" s="127" t="e">
        <v>#N/A</v>
      </c>
      <c r="BO4280" s="127" t="e">
        <v>#N/A</v>
      </c>
      <c r="BP4280" s="151" t="e">
        <v>#N/A</v>
      </c>
      <c r="BQ4280">
        <v>0.11332468572476186</v>
      </c>
      <c r="BR4280" t="str">
        <v/>
      </c>
    </row>
    <row r="4281" spans="47:70" x14ac:dyDescent="0.2">
      <c r="AU4281"/>
      <c r="AV4281"/>
      <c r="AW4281"/>
      <c r="AX4281"/>
      <c r="AY4281"/>
      <c r="BK4281" s="42">
        <v>4280</v>
      </c>
      <c r="BL4281" s="127">
        <v>4</v>
      </c>
      <c r="BM4281" s="127">
        <v>0.11332468572476186</v>
      </c>
      <c r="BN4281" s="127" t="e">
        <v>#N/A</v>
      </c>
      <c r="BO4281" s="127" t="e">
        <v>#N/A</v>
      </c>
      <c r="BP4281" s="151" t="e">
        <v>#N/A</v>
      </c>
      <c r="BQ4281">
        <v>0.11332468572476186</v>
      </c>
      <c r="BR4281" t="str">
        <v/>
      </c>
    </row>
    <row r="4282" spans="47:70" x14ac:dyDescent="0.2">
      <c r="AU4282"/>
      <c r="AV4282"/>
      <c r="AW4282"/>
      <c r="AX4282"/>
      <c r="AY4282"/>
      <c r="BK4282" s="42">
        <v>4281</v>
      </c>
      <c r="BL4282" s="127">
        <v>4</v>
      </c>
      <c r="BM4282" s="127">
        <v>0.11332468572476186</v>
      </c>
      <c r="BN4282" s="127" t="e">
        <v>#N/A</v>
      </c>
      <c r="BO4282" s="127" t="e">
        <v>#N/A</v>
      </c>
      <c r="BP4282" s="151" t="e">
        <v>#N/A</v>
      </c>
      <c r="BQ4282">
        <v>0.11332468572476186</v>
      </c>
      <c r="BR4282" t="str">
        <v/>
      </c>
    </row>
    <row r="4283" spans="47:70" x14ac:dyDescent="0.2">
      <c r="AU4283"/>
      <c r="AV4283"/>
      <c r="AW4283"/>
      <c r="AX4283"/>
      <c r="AY4283"/>
      <c r="BK4283" s="42">
        <v>4282</v>
      </c>
      <c r="BL4283" s="127">
        <v>4</v>
      </c>
      <c r="BM4283" s="127">
        <v>0.11332468572476186</v>
      </c>
      <c r="BN4283" s="127" t="e">
        <v>#N/A</v>
      </c>
      <c r="BO4283" s="127" t="e">
        <v>#N/A</v>
      </c>
      <c r="BP4283" s="151" t="e">
        <v>#N/A</v>
      </c>
      <c r="BQ4283">
        <v>0.11332468572476186</v>
      </c>
      <c r="BR4283" t="str">
        <v/>
      </c>
    </row>
    <row r="4284" spans="47:70" x14ac:dyDescent="0.2">
      <c r="AU4284"/>
      <c r="AV4284"/>
      <c r="AW4284"/>
      <c r="AX4284"/>
      <c r="AY4284"/>
      <c r="BK4284" s="42">
        <v>4283</v>
      </c>
      <c r="BL4284" s="127">
        <v>4</v>
      </c>
      <c r="BM4284" s="127">
        <v>0.11332468572476186</v>
      </c>
      <c r="BN4284" s="127" t="e">
        <v>#N/A</v>
      </c>
      <c r="BO4284" s="127" t="e">
        <v>#N/A</v>
      </c>
      <c r="BP4284" s="151" t="e">
        <v>#N/A</v>
      </c>
      <c r="BQ4284">
        <v>0.11332468572476186</v>
      </c>
      <c r="BR4284" t="str">
        <v/>
      </c>
    </row>
    <row r="4285" spans="47:70" x14ac:dyDescent="0.2">
      <c r="AU4285"/>
      <c r="AV4285"/>
      <c r="AW4285"/>
      <c r="AX4285"/>
      <c r="AY4285"/>
      <c r="BK4285" s="42">
        <v>4284</v>
      </c>
      <c r="BL4285" s="127">
        <v>4</v>
      </c>
      <c r="BM4285" s="127">
        <v>0.11332468572476186</v>
      </c>
      <c r="BN4285" s="127" t="e">
        <v>#N/A</v>
      </c>
      <c r="BO4285" s="127" t="e">
        <v>#N/A</v>
      </c>
      <c r="BP4285" s="151" t="e">
        <v>#N/A</v>
      </c>
      <c r="BQ4285">
        <v>0.11332468572476186</v>
      </c>
      <c r="BR4285" t="str">
        <v/>
      </c>
    </row>
    <row r="4286" spans="47:70" x14ac:dyDescent="0.2">
      <c r="AU4286"/>
      <c r="AV4286"/>
      <c r="AW4286"/>
      <c r="AX4286"/>
      <c r="AY4286"/>
      <c r="BK4286" s="42">
        <v>4285</v>
      </c>
      <c r="BL4286" s="127">
        <v>4</v>
      </c>
      <c r="BM4286" s="127">
        <v>0.11332468572476186</v>
      </c>
      <c r="BN4286" s="127" t="e">
        <v>#N/A</v>
      </c>
      <c r="BO4286" s="127" t="e">
        <v>#N/A</v>
      </c>
      <c r="BP4286" s="151" t="e">
        <v>#N/A</v>
      </c>
      <c r="BQ4286">
        <v>0.11332468572476186</v>
      </c>
      <c r="BR4286" t="str">
        <v/>
      </c>
    </row>
    <row r="4287" spans="47:70" x14ac:dyDescent="0.2">
      <c r="AU4287"/>
      <c r="AV4287"/>
      <c r="AW4287"/>
      <c r="AX4287"/>
      <c r="AY4287"/>
      <c r="BK4287" s="42">
        <v>4286</v>
      </c>
      <c r="BL4287" s="127">
        <v>4</v>
      </c>
      <c r="BM4287" s="127">
        <v>0.11332468572476186</v>
      </c>
      <c r="BN4287" s="127" t="e">
        <v>#N/A</v>
      </c>
      <c r="BO4287" s="127" t="e">
        <v>#N/A</v>
      </c>
      <c r="BP4287" s="151" t="e">
        <v>#N/A</v>
      </c>
      <c r="BQ4287">
        <v>0.11332468572476186</v>
      </c>
      <c r="BR4287" t="str">
        <v/>
      </c>
    </row>
    <row r="4288" spans="47:70" x14ac:dyDescent="0.2">
      <c r="AU4288"/>
      <c r="AV4288"/>
      <c r="AW4288"/>
      <c r="AX4288"/>
      <c r="AY4288"/>
      <c r="BK4288" s="42">
        <v>4287</v>
      </c>
      <c r="BL4288" s="127">
        <v>4</v>
      </c>
      <c r="BM4288" s="127">
        <v>0.11332468572476186</v>
      </c>
      <c r="BN4288" s="127" t="e">
        <v>#N/A</v>
      </c>
      <c r="BO4288" s="127" t="e">
        <v>#N/A</v>
      </c>
      <c r="BP4288" s="151" t="e">
        <v>#N/A</v>
      </c>
      <c r="BQ4288">
        <v>0.11332468572476186</v>
      </c>
      <c r="BR4288" t="str">
        <v/>
      </c>
    </row>
    <row r="4289" spans="47:70" x14ac:dyDescent="0.2">
      <c r="AU4289"/>
      <c r="AV4289"/>
      <c r="AW4289"/>
      <c r="AX4289"/>
      <c r="AY4289"/>
      <c r="BK4289" s="42">
        <v>4288</v>
      </c>
      <c r="BL4289" s="127">
        <v>4</v>
      </c>
      <c r="BM4289" s="127">
        <v>0.11332468572476186</v>
      </c>
      <c r="BN4289" s="127" t="e">
        <v>#N/A</v>
      </c>
      <c r="BO4289" s="127" t="e">
        <v>#N/A</v>
      </c>
      <c r="BP4289" s="151" t="e">
        <v>#N/A</v>
      </c>
      <c r="BQ4289">
        <v>0.11332468572476186</v>
      </c>
      <c r="BR4289" t="str">
        <v/>
      </c>
    </row>
    <row r="4290" spans="47:70" x14ac:dyDescent="0.2">
      <c r="AU4290"/>
      <c r="AV4290"/>
      <c r="AW4290"/>
      <c r="AX4290"/>
      <c r="AY4290"/>
      <c r="BK4290" s="42">
        <v>4289</v>
      </c>
      <c r="BL4290" s="127">
        <v>4</v>
      </c>
      <c r="BM4290" s="127">
        <v>0.11332468572476186</v>
      </c>
      <c r="BN4290" s="127" t="e">
        <v>#N/A</v>
      </c>
      <c r="BO4290" s="127" t="e">
        <v>#N/A</v>
      </c>
      <c r="BP4290" s="151" t="e">
        <v>#N/A</v>
      </c>
      <c r="BQ4290">
        <v>0.11332468572476186</v>
      </c>
      <c r="BR4290" t="str">
        <v/>
      </c>
    </row>
    <row r="4291" spans="47:70" x14ac:dyDescent="0.2">
      <c r="AU4291"/>
      <c r="AV4291"/>
      <c r="AW4291"/>
      <c r="AX4291"/>
      <c r="AY4291"/>
      <c r="BK4291" s="42">
        <v>4290</v>
      </c>
      <c r="BL4291" s="127">
        <v>4</v>
      </c>
      <c r="BM4291" s="127">
        <v>0.11332468572476186</v>
      </c>
      <c r="BN4291" s="127" t="e">
        <v>#N/A</v>
      </c>
      <c r="BO4291" s="127" t="e">
        <v>#N/A</v>
      </c>
      <c r="BP4291" s="151" t="e">
        <v>#N/A</v>
      </c>
      <c r="BQ4291">
        <v>0.11332468572476186</v>
      </c>
      <c r="BR4291" t="str">
        <v/>
      </c>
    </row>
    <row r="4292" spans="47:70" x14ac:dyDescent="0.2">
      <c r="AU4292"/>
      <c r="AV4292"/>
      <c r="AW4292"/>
      <c r="AX4292"/>
      <c r="AY4292"/>
      <c r="BK4292" s="42">
        <v>4291</v>
      </c>
      <c r="BL4292" s="127">
        <v>4</v>
      </c>
      <c r="BM4292" s="127">
        <v>0.11332468572476186</v>
      </c>
      <c r="BN4292" s="127" t="e">
        <v>#N/A</v>
      </c>
      <c r="BO4292" s="127" t="e">
        <v>#N/A</v>
      </c>
      <c r="BP4292" s="151" t="e">
        <v>#N/A</v>
      </c>
      <c r="BQ4292">
        <v>0.11332468572476186</v>
      </c>
      <c r="BR4292" t="str">
        <v/>
      </c>
    </row>
    <row r="4293" spans="47:70" x14ac:dyDescent="0.2">
      <c r="AU4293"/>
      <c r="AV4293"/>
      <c r="AW4293"/>
      <c r="AX4293"/>
      <c r="AY4293"/>
      <c r="BK4293" s="42">
        <v>4292</v>
      </c>
      <c r="BL4293" s="127">
        <v>4</v>
      </c>
      <c r="BM4293" s="127">
        <v>0.11332468572476186</v>
      </c>
      <c r="BN4293" s="127" t="e">
        <v>#N/A</v>
      </c>
      <c r="BO4293" s="127" t="e">
        <v>#N/A</v>
      </c>
      <c r="BP4293" s="151" t="e">
        <v>#N/A</v>
      </c>
      <c r="BQ4293">
        <v>0.11332468572476186</v>
      </c>
      <c r="BR4293" t="str">
        <v/>
      </c>
    </row>
    <row r="4294" spans="47:70" x14ac:dyDescent="0.2">
      <c r="AU4294"/>
      <c r="AV4294"/>
      <c r="AW4294"/>
      <c r="AX4294"/>
      <c r="AY4294"/>
      <c r="BK4294" s="42">
        <v>4293</v>
      </c>
      <c r="BL4294" s="127">
        <v>4</v>
      </c>
      <c r="BM4294" s="127">
        <v>0.11332468572476186</v>
      </c>
      <c r="BN4294" s="127" t="e">
        <v>#N/A</v>
      </c>
      <c r="BO4294" s="127" t="e">
        <v>#N/A</v>
      </c>
      <c r="BP4294" s="151" t="e">
        <v>#N/A</v>
      </c>
      <c r="BQ4294">
        <v>0.11332468572476186</v>
      </c>
      <c r="BR4294" t="str">
        <v/>
      </c>
    </row>
    <row r="4295" spans="47:70" x14ac:dyDescent="0.2">
      <c r="AU4295"/>
      <c r="AV4295"/>
      <c r="AW4295"/>
      <c r="AX4295"/>
      <c r="AY4295"/>
      <c r="BK4295" s="42">
        <v>4294</v>
      </c>
      <c r="BL4295" s="127">
        <v>4</v>
      </c>
      <c r="BM4295" s="127">
        <v>0.11332468572476186</v>
      </c>
      <c r="BN4295" s="127" t="e">
        <v>#N/A</v>
      </c>
      <c r="BO4295" s="127" t="e">
        <v>#N/A</v>
      </c>
      <c r="BP4295" s="151" t="e">
        <v>#N/A</v>
      </c>
      <c r="BQ4295">
        <v>0.11332468572476186</v>
      </c>
      <c r="BR4295" t="str">
        <v/>
      </c>
    </row>
    <row r="4296" spans="47:70" x14ac:dyDescent="0.2">
      <c r="AU4296"/>
      <c r="AV4296"/>
      <c r="AW4296"/>
      <c r="AX4296"/>
      <c r="AY4296"/>
      <c r="BK4296" s="42">
        <v>4295</v>
      </c>
      <c r="BL4296" s="127">
        <v>4</v>
      </c>
      <c r="BM4296" s="127">
        <v>0.11332468572476186</v>
      </c>
      <c r="BN4296" s="127" t="e">
        <v>#N/A</v>
      </c>
      <c r="BO4296" s="127" t="e">
        <v>#N/A</v>
      </c>
      <c r="BP4296" s="151" t="e">
        <v>#N/A</v>
      </c>
      <c r="BQ4296">
        <v>0.11332468572476186</v>
      </c>
      <c r="BR4296" t="str">
        <v/>
      </c>
    </row>
    <row r="4297" spans="47:70" x14ac:dyDescent="0.2">
      <c r="AU4297"/>
      <c r="AV4297"/>
      <c r="AW4297"/>
      <c r="AX4297"/>
      <c r="AY4297"/>
      <c r="BK4297" s="42">
        <v>4296</v>
      </c>
      <c r="BL4297" s="127">
        <v>4</v>
      </c>
      <c r="BM4297" s="127">
        <v>0.11332468572476186</v>
      </c>
      <c r="BN4297" s="127" t="e">
        <v>#N/A</v>
      </c>
      <c r="BO4297" s="127" t="e">
        <v>#N/A</v>
      </c>
      <c r="BP4297" s="151" t="e">
        <v>#N/A</v>
      </c>
      <c r="BQ4297">
        <v>0.11332468572476186</v>
      </c>
      <c r="BR4297" t="str">
        <v/>
      </c>
    </row>
    <row r="4298" spans="47:70" x14ac:dyDescent="0.2">
      <c r="AU4298"/>
      <c r="AV4298"/>
      <c r="AW4298"/>
      <c r="AX4298"/>
      <c r="AY4298"/>
      <c r="BK4298" s="42">
        <v>4297</v>
      </c>
      <c r="BL4298" s="127">
        <v>4</v>
      </c>
      <c r="BM4298" s="127">
        <v>0.11332468572476186</v>
      </c>
      <c r="BN4298" s="127" t="e">
        <v>#N/A</v>
      </c>
      <c r="BO4298" s="127" t="e">
        <v>#N/A</v>
      </c>
      <c r="BP4298" s="151" t="e">
        <v>#N/A</v>
      </c>
      <c r="BQ4298">
        <v>0.11332468572476186</v>
      </c>
      <c r="BR4298" t="str">
        <v/>
      </c>
    </row>
    <row r="4299" spans="47:70" x14ac:dyDescent="0.2">
      <c r="AU4299"/>
      <c r="AV4299"/>
      <c r="AW4299"/>
      <c r="AX4299"/>
      <c r="AY4299"/>
      <c r="BK4299" s="42">
        <v>4298</v>
      </c>
      <c r="BL4299" s="127">
        <v>4</v>
      </c>
      <c r="BM4299" s="127">
        <v>0.11332468572476186</v>
      </c>
      <c r="BN4299" s="127" t="e">
        <v>#N/A</v>
      </c>
      <c r="BO4299" s="127" t="e">
        <v>#N/A</v>
      </c>
      <c r="BP4299" s="151" t="e">
        <v>#N/A</v>
      </c>
      <c r="BQ4299">
        <v>0.11332468572476186</v>
      </c>
      <c r="BR4299" t="str">
        <v/>
      </c>
    </row>
    <row r="4300" spans="47:70" x14ac:dyDescent="0.2">
      <c r="AU4300"/>
      <c r="AV4300"/>
      <c r="AW4300"/>
      <c r="AX4300"/>
      <c r="AY4300"/>
      <c r="BK4300" s="42">
        <v>4299</v>
      </c>
      <c r="BL4300" s="127">
        <v>4</v>
      </c>
      <c r="BM4300" s="127">
        <v>0.11332468572476186</v>
      </c>
      <c r="BN4300" s="127" t="e">
        <v>#N/A</v>
      </c>
      <c r="BO4300" s="127" t="e">
        <v>#N/A</v>
      </c>
      <c r="BP4300" s="151" t="e">
        <v>#N/A</v>
      </c>
      <c r="BQ4300">
        <v>0.11332468572476186</v>
      </c>
      <c r="BR4300" t="str">
        <v/>
      </c>
    </row>
    <row r="4301" spans="47:70" x14ac:dyDescent="0.2">
      <c r="AU4301"/>
      <c r="AV4301"/>
      <c r="AW4301"/>
      <c r="AX4301"/>
      <c r="AY4301"/>
      <c r="BK4301" s="42">
        <v>4300</v>
      </c>
      <c r="BL4301" s="127">
        <v>4</v>
      </c>
      <c r="BM4301" s="127">
        <v>0.11332468572476186</v>
      </c>
      <c r="BN4301" s="127" t="e">
        <v>#N/A</v>
      </c>
      <c r="BO4301" s="127" t="e">
        <v>#N/A</v>
      </c>
      <c r="BP4301" s="151" t="e">
        <v>#N/A</v>
      </c>
      <c r="BQ4301">
        <v>0.11332468572476186</v>
      </c>
      <c r="BR4301" t="str">
        <v/>
      </c>
    </row>
    <row r="4302" spans="47:70" x14ac:dyDescent="0.2">
      <c r="AU4302"/>
      <c r="AV4302"/>
      <c r="AW4302"/>
      <c r="AX4302"/>
      <c r="AY4302"/>
      <c r="BK4302" s="42">
        <v>4301</v>
      </c>
      <c r="BL4302" s="127">
        <v>4</v>
      </c>
      <c r="BM4302" s="127">
        <v>0.11332468572476186</v>
      </c>
      <c r="BN4302" s="127" t="e">
        <v>#N/A</v>
      </c>
      <c r="BO4302" s="127" t="e">
        <v>#N/A</v>
      </c>
      <c r="BP4302" s="151" t="e">
        <v>#N/A</v>
      </c>
      <c r="BQ4302">
        <v>0.11332468572476186</v>
      </c>
      <c r="BR4302" t="str">
        <v/>
      </c>
    </row>
    <row r="4303" spans="47:70" x14ac:dyDescent="0.2">
      <c r="AU4303"/>
      <c r="AV4303"/>
      <c r="AW4303"/>
      <c r="AX4303"/>
      <c r="AY4303"/>
      <c r="BK4303" s="42">
        <v>4302</v>
      </c>
      <c r="BL4303" s="127">
        <v>4</v>
      </c>
      <c r="BM4303" s="127">
        <v>0.11332468572476186</v>
      </c>
      <c r="BN4303" s="127" t="e">
        <v>#N/A</v>
      </c>
      <c r="BO4303" s="127" t="e">
        <v>#N/A</v>
      </c>
      <c r="BP4303" s="151" t="e">
        <v>#N/A</v>
      </c>
      <c r="BQ4303">
        <v>0.11332468572476186</v>
      </c>
      <c r="BR4303" t="str">
        <v/>
      </c>
    </row>
    <row r="4304" spans="47:70" x14ac:dyDescent="0.2">
      <c r="AU4304"/>
      <c r="AV4304"/>
      <c r="AW4304"/>
      <c r="AX4304"/>
      <c r="AY4304"/>
      <c r="BK4304" s="42">
        <v>4303</v>
      </c>
      <c r="BL4304" s="127">
        <v>4</v>
      </c>
      <c r="BM4304" s="127">
        <v>0.11332468572476186</v>
      </c>
      <c r="BN4304" s="127" t="e">
        <v>#N/A</v>
      </c>
      <c r="BO4304" s="127" t="e">
        <v>#N/A</v>
      </c>
      <c r="BP4304" s="151" t="e">
        <v>#N/A</v>
      </c>
      <c r="BQ4304">
        <v>0.11332468572476186</v>
      </c>
      <c r="BR4304" t="str">
        <v/>
      </c>
    </row>
    <row r="4305" spans="47:70" x14ac:dyDescent="0.2">
      <c r="AU4305"/>
      <c r="AV4305"/>
      <c r="AW4305"/>
      <c r="AX4305"/>
      <c r="AY4305"/>
      <c r="BK4305" s="42">
        <v>4304</v>
      </c>
      <c r="BL4305" s="127">
        <v>4</v>
      </c>
      <c r="BM4305" s="127">
        <v>0.11332468572476186</v>
      </c>
      <c r="BN4305" s="127" t="e">
        <v>#N/A</v>
      </c>
      <c r="BO4305" s="127" t="e">
        <v>#N/A</v>
      </c>
      <c r="BP4305" s="151" t="e">
        <v>#N/A</v>
      </c>
      <c r="BQ4305">
        <v>0.11332468572476186</v>
      </c>
      <c r="BR4305" t="str">
        <v/>
      </c>
    </row>
    <row r="4306" spans="47:70" x14ac:dyDescent="0.2">
      <c r="AU4306"/>
      <c r="AV4306"/>
      <c r="AW4306"/>
      <c r="AX4306"/>
      <c r="AY4306"/>
      <c r="BK4306" s="42">
        <v>4305</v>
      </c>
      <c r="BL4306" s="127">
        <v>4</v>
      </c>
      <c r="BM4306" s="127">
        <v>0.11332468572476186</v>
      </c>
      <c r="BN4306" s="127" t="e">
        <v>#N/A</v>
      </c>
      <c r="BO4306" s="127" t="e">
        <v>#N/A</v>
      </c>
      <c r="BP4306" s="151" t="e">
        <v>#N/A</v>
      </c>
      <c r="BQ4306">
        <v>0.11332468572476186</v>
      </c>
      <c r="BR4306" t="str">
        <v/>
      </c>
    </row>
    <row r="4307" spans="47:70" x14ac:dyDescent="0.2">
      <c r="AU4307"/>
      <c r="AV4307"/>
      <c r="AW4307"/>
      <c r="AX4307"/>
      <c r="AY4307"/>
      <c r="BK4307" s="42">
        <v>4306</v>
      </c>
      <c r="BL4307" s="127">
        <v>4</v>
      </c>
      <c r="BM4307" s="127">
        <v>0.11332468572476186</v>
      </c>
      <c r="BN4307" s="127" t="e">
        <v>#N/A</v>
      </c>
      <c r="BO4307" s="127" t="e">
        <v>#N/A</v>
      </c>
      <c r="BP4307" s="151" t="e">
        <v>#N/A</v>
      </c>
      <c r="BQ4307">
        <v>0.11332468572476186</v>
      </c>
      <c r="BR4307" t="str">
        <v/>
      </c>
    </row>
    <row r="4308" spans="47:70" x14ac:dyDescent="0.2">
      <c r="AU4308"/>
      <c r="AV4308"/>
      <c r="AW4308"/>
      <c r="AX4308"/>
      <c r="AY4308"/>
      <c r="BK4308" s="42">
        <v>4307</v>
      </c>
      <c r="BL4308" s="127">
        <v>4</v>
      </c>
      <c r="BM4308" s="127">
        <v>0.11332468572476186</v>
      </c>
      <c r="BN4308" s="127" t="e">
        <v>#N/A</v>
      </c>
      <c r="BO4308" s="127" t="e">
        <v>#N/A</v>
      </c>
      <c r="BP4308" s="151" t="e">
        <v>#N/A</v>
      </c>
      <c r="BQ4308">
        <v>0.11332468572476186</v>
      </c>
      <c r="BR4308" t="str">
        <v/>
      </c>
    </row>
    <row r="4309" spans="47:70" x14ac:dyDescent="0.2">
      <c r="AU4309"/>
      <c r="AV4309"/>
      <c r="AW4309"/>
      <c r="AX4309"/>
      <c r="AY4309"/>
      <c r="BK4309" s="42">
        <v>4308</v>
      </c>
      <c r="BL4309" s="127">
        <v>4</v>
      </c>
      <c r="BM4309" s="127">
        <v>0.11332468572476186</v>
      </c>
      <c r="BN4309" s="127" t="e">
        <v>#N/A</v>
      </c>
      <c r="BO4309" s="127" t="e">
        <v>#N/A</v>
      </c>
      <c r="BP4309" s="151" t="e">
        <v>#N/A</v>
      </c>
      <c r="BQ4309">
        <v>0.11332468572476186</v>
      </c>
      <c r="BR4309" t="str">
        <v/>
      </c>
    </row>
    <row r="4310" spans="47:70" x14ac:dyDescent="0.2">
      <c r="AU4310"/>
      <c r="AV4310"/>
      <c r="AW4310"/>
      <c r="AX4310"/>
      <c r="AY4310"/>
      <c r="BK4310" s="42">
        <v>4309</v>
      </c>
      <c r="BL4310" s="127">
        <v>4</v>
      </c>
      <c r="BM4310" s="127">
        <v>0.11332468572476186</v>
      </c>
      <c r="BN4310" s="127" t="e">
        <v>#N/A</v>
      </c>
      <c r="BO4310" s="127" t="e">
        <v>#N/A</v>
      </c>
      <c r="BP4310" s="151" t="e">
        <v>#N/A</v>
      </c>
      <c r="BQ4310">
        <v>0.11332468572476186</v>
      </c>
      <c r="BR4310" t="str">
        <v/>
      </c>
    </row>
    <row r="4311" spans="47:70" x14ac:dyDescent="0.2">
      <c r="AU4311"/>
      <c r="AV4311"/>
      <c r="AW4311"/>
      <c r="AX4311"/>
      <c r="AY4311"/>
      <c r="BK4311" s="42">
        <v>4310</v>
      </c>
      <c r="BL4311" s="127">
        <v>4</v>
      </c>
      <c r="BM4311" s="127">
        <v>0.11332468572476186</v>
      </c>
      <c r="BN4311" s="127" t="e">
        <v>#N/A</v>
      </c>
      <c r="BO4311" s="127" t="e">
        <v>#N/A</v>
      </c>
      <c r="BP4311" s="151" t="e">
        <v>#N/A</v>
      </c>
      <c r="BQ4311">
        <v>0.11332468572476186</v>
      </c>
      <c r="BR4311" t="str">
        <v/>
      </c>
    </row>
    <row r="4312" spans="47:70" x14ac:dyDescent="0.2">
      <c r="AU4312"/>
      <c r="AV4312"/>
      <c r="AW4312"/>
      <c r="AX4312"/>
      <c r="AY4312"/>
      <c r="BK4312" s="42">
        <v>4311</v>
      </c>
      <c r="BL4312" s="127">
        <v>4</v>
      </c>
      <c r="BM4312" s="127">
        <v>0.11332468572476186</v>
      </c>
      <c r="BN4312" s="127" t="e">
        <v>#N/A</v>
      </c>
      <c r="BO4312" s="127" t="e">
        <v>#N/A</v>
      </c>
      <c r="BP4312" s="151" t="e">
        <v>#N/A</v>
      </c>
      <c r="BQ4312">
        <v>0.11332468572476186</v>
      </c>
      <c r="BR4312" t="str">
        <v/>
      </c>
    </row>
    <row r="4313" spans="47:70" x14ac:dyDescent="0.2">
      <c r="AU4313"/>
      <c r="AV4313"/>
      <c r="AW4313"/>
      <c r="AX4313"/>
      <c r="AY4313"/>
      <c r="BK4313" s="42">
        <v>4312</v>
      </c>
      <c r="BL4313" s="127">
        <v>4</v>
      </c>
      <c r="BM4313" s="127">
        <v>0.11332468572476186</v>
      </c>
      <c r="BN4313" s="127" t="e">
        <v>#N/A</v>
      </c>
      <c r="BO4313" s="127" t="e">
        <v>#N/A</v>
      </c>
      <c r="BP4313" s="151" t="e">
        <v>#N/A</v>
      </c>
      <c r="BQ4313">
        <v>0.11332468572476186</v>
      </c>
      <c r="BR4313" t="str">
        <v/>
      </c>
    </row>
    <row r="4314" spans="47:70" x14ac:dyDescent="0.2">
      <c r="AU4314"/>
      <c r="AV4314"/>
      <c r="AW4314"/>
      <c r="AX4314"/>
      <c r="AY4314"/>
      <c r="BK4314" s="42">
        <v>4313</v>
      </c>
      <c r="BL4314" s="127">
        <v>4</v>
      </c>
      <c r="BM4314" s="127">
        <v>0.11332468572476186</v>
      </c>
      <c r="BN4314" s="127" t="e">
        <v>#N/A</v>
      </c>
      <c r="BO4314" s="127" t="e">
        <v>#N/A</v>
      </c>
      <c r="BP4314" s="151" t="e">
        <v>#N/A</v>
      </c>
      <c r="BQ4314">
        <v>0.11332468572476186</v>
      </c>
      <c r="BR4314" t="str">
        <v/>
      </c>
    </row>
    <row r="4315" spans="47:70" x14ac:dyDescent="0.2">
      <c r="AU4315"/>
      <c r="AV4315"/>
      <c r="AW4315"/>
      <c r="AX4315"/>
      <c r="AY4315"/>
      <c r="BK4315" s="42">
        <v>4314</v>
      </c>
      <c r="BL4315" s="127">
        <v>4</v>
      </c>
      <c r="BM4315" s="127">
        <v>0.11332468572476186</v>
      </c>
      <c r="BN4315" s="127" t="e">
        <v>#N/A</v>
      </c>
      <c r="BO4315" s="127" t="e">
        <v>#N/A</v>
      </c>
      <c r="BP4315" s="151" t="e">
        <v>#N/A</v>
      </c>
      <c r="BQ4315">
        <v>0.11332468572476186</v>
      </c>
      <c r="BR4315" t="str">
        <v/>
      </c>
    </row>
    <row r="4316" spans="47:70" x14ac:dyDescent="0.2">
      <c r="AU4316"/>
      <c r="AV4316"/>
      <c r="AW4316"/>
      <c r="AX4316"/>
      <c r="AY4316"/>
      <c r="BK4316" s="42">
        <v>4315</v>
      </c>
      <c r="BL4316" s="127">
        <v>4</v>
      </c>
      <c r="BM4316" s="127">
        <v>0.11332468572476186</v>
      </c>
      <c r="BN4316" s="127" t="e">
        <v>#N/A</v>
      </c>
      <c r="BO4316" s="127" t="e">
        <v>#N/A</v>
      </c>
      <c r="BP4316" s="151" t="e">
        <v>#N/A</v>
      </c>
      <c r="BQ4316">
        <v>0.11332468572476186</v>
      </c>
      <c r="BR4316" t="str">
        <v/>
      </c>
    </row>
    <row r="4317" spans="47:70" x14ac:dyDescent="0.2">
      <c r="AU4317"/>
      <c r="AV4317"/>
      <c r="AW4317"/>
      <c r="AX4317"/>
      <c r="AY4317"/>
      <c r="BK4317" s="42">
        <v>4316</v>
      </c>
      <c r="BL4317" s="127">
        <v>4</v>
      </c>
      <c r="BM4317" s="127">
        <v>0.11332468572476186</v>
      </c>
      <c r="BN4317" s="127" t="e">
        <v>#N/A</v>
      </c>
      <c r="BO4317" s="127" t="e">
        <v>#N/A</v>
      </c>
      <c r="BP4317" s="151" t="e">
        <v>#N/A</v>
      </c>
      <c r="BQ4317">
        <v>0.11332468572476186</v>
      </c>
      <c r="BR4317" t="str">
        <v/>
      </c>
    </row>
    <row r="4318" spans="47:70" x14ac:dyDescent="0.2">
      <c r="AU4318"/>
      <c r="AV4318"/>
      <c r="AW4318"/>
      <c r="AX4318"/>
      <c r="AY4318"/>
      <c r="BK4318" s="42">
        <v>4317</v>
      </c>
      <c r="BL4318" s="127">
        <v>4</v>
      </c>
      <c r="BM4318" s="127">
        <v>0.11332468572476186</v>
      </c>
      <c r="BN4318" s="127" t="e">
        <v>#N/A</v>
      </c>
      <c r="BO4318" s="127" t="e">
        <v>#N/A</v>
      </c>
      <c r="BP4318" s="151" t="e">
        <v>#N/A</v>
      </c>
      <c r="BQ4318">
        <v>0.11332468572476186</v>
      </c>
      <c r="BR4318" t="str">
        <v/>
      </c>
    </row>
    <row r="4319" spans="47:70" x14ac:dyDescent="0.2">
      <c r="AU4319"/>
      <c r="AV4319"/>
      <c r="AW4319"/>
      <c r="AX4319"/>
      <c r="AY4319"/>
      <c r="BK4319" s="42">
        <v>4318</v>
      </c>
      <c r="BL4319" s="127">
        <v>4</v>
      </c>
      <c r="BM4319" s="127">
        <v>0.11332468572476186</v>
      </c>
      <c r="BN4319" s="127" t="e">
        <v>#N/A</v>
      </c>
      <c r="BO4319" s="127" t="e">
        <v>#N/A</v>
      </c>
      <c r="BP4319" s="151" t="e">
        <v>#N/A</v>
      </c>
      <c r="BQ4319">
        <v>0.11332468572476186</v>
      </c>
      <c r="BR4319" t="str">
        <v/>
      </c>
    </row>
    <row r="4320" spans="47:70" x14ac:dyDescent="0.2">
      <c r="AU4320"/>
      <c r="AV4320"/>
      <c r="AW4320"/>
      <c r="AX4320"/>
      <c r="AY4320"/>
      <c r="BK4320" s="42">
        <v>4319</v>
      </c>
      <c r="BL4320" s="127">
        <v>4</v>
      </c>
      <c r="BM4320" s="127">
        <v>0.11332468572476186</v>
      </c>
      <c r="BN4320" s="127" t="e">
        <v>#N/A</v>
      </c>
      <c r="BO4320" s="127" t="e">
        <v>#N/A</v>
      </c>
      <c r="BP4320" s="151" t="e">
        <v>#N/A</v>
      </c>
      <c r="BQ4320">
        <v>0.11332468572476186</v>
      </c>
      <c r="BR4320" t="str">
        <v/>
      </c>
    </row>
    <row r="4321" spans="47:70" x14ac:dyDescent="0.2">
      <c r="AU4321"/>
      <c r="AV4321"/>
      <c r="AW4321"/>
      <c r="AX4321"/>
      <c r="AY4321"/>
      <c r="BK4321" s="42">
        <v>4320</v>
      </c>
      <c r="BL4321" s="127">
        <v>4</v>
      </c>
      <c r="BM4321" s="127">
        <v>0.11332468572476186</v>
      </c>
      <c r="BN4321" s="127" t="e">
        <v>#N/A</v>
      </c>
      <c r="BO4321" s="127" t="e">
        <v>#N/A</v>
      </c>
      <c r="BP4321" s="151" t="e">
        <v>#N/A</v>
      </c>
      <c r="BQ4321">
        <v>0.11332468572476186</v>
      </c>
      <c r="BR4321" t="str">
        <v/>
      </c>
    </row>
    <row r="4322" spans="47:70" x14ac:dyDescent="0.2">
      <c r="AU4322"/>
      <c r="AV4322"/>
      <c r="AW4322"/>
      <c r="AX4322"/>
      <c r="AY4322"/>
      <c r="BK4322" s="42">
        <v>4321</v>
      </c>
      <c r="BL4322" s="127">
        <v>4</v>
      </c>
      <c r="BM4322" s="127">
        <v>0.11332468572476186</v>
      </c>
      <c r="BN4322" s="127" t="e">
        <v>#N/A</v>
      </c>
      <c r="BO4322" s="127" t="e">
        <v>#N/A</v>
      </c>
      <c r="BP4322" s="151" t="e">
        <v>#N/A</v>
      </c>
      <c r="BQ4322">
        <v>0.11332468572476186</v>
      </c>
      <c r="BR4322" t="str">
        <v/>
      </c>
    </row>
    <row r="4323" spans="47:70" x14ac:dyDescent="0.2">
      <c r="AU4323"/>
      <c r="AV4323"/>
      <c r="AW4323"/>
      <c r="AX4323"/>
      <c r="AY4323"/>
      <c r="BK4323" s="42">
        <v>4322</v>
      </c>
      <c r="BL4323" s="127">
        <v>4</v>
      </c>
      <c r="BM4323" s="127">
        <v>0.11332468572476186</v>
      </c>
      <c r="BN4323" s="127" t="e">
        <v>#N/A</v>
      </c>
      <c r="BO4323" s="127" t="e">
        <v>#N/A</v>
      </c>
      <c r="BP4323" s="151" t="e">
        <v>#N/A</v>
      </c>
      <c r="BQ4323">
        <v>0.11332468572476186</v>
      </c>
      <c r="BR4323" t="str">
        <v/>
      </c>
    </row>
    <row r="4324" spans="47:70" x14ac:dyDescent="0.2">
      <c r="AU4324"/>
      <c r="AV4324"/>
      <c r="AW4324"/>
      <c r="AX4324"/>
      <c r="AY4324"/>
      <c r="BK4324" s="42">
        <v>4323</v>
      </c>
      <c r="BL4324" s="127">
        <v>4</v>
      </c>
      <c r="BM4324" s="127">
        <v>0.11332468572476186</v>
      </c>
      <c r="BN4324" s="127" t="e">
        <v>#N/A</v>
      </c>
      <c r="BO4324" s="127" t="e">
        <v>#N/A</v>
      </c>
      <c r="BP4324" s="151" t="e">
        <v>#N/A</v>
      </c>
      <c r="BQ4324">
        <v>0.11332468572476186</v>
      </c>
      <c r="BR4324" t="str">
        <v/>
      </c>
    </row>
    <row r="4325" spans="47:70" x14ac:dyDescent="0.2">
      <c r="AU4325"/>
      <c r="AV4325"/>
      <c r="AW4325"/>
      <c r="AX4325"/>
      <c r="AY4325"/>
      <c r="BK4325" s="42">
        <v>4324</v>
      </c>
      <c r="BL4325" s="127">
        <v>4</v>
      </c>
      <c r="BM4325" s="127">
        <v>0.11332468572476186</v>
      </c>
      <c r="BN4325" s="127" t="e">
        <v>#N/A</v>
      </c>
      <c r="BO4325" s="127" t="e">
        <v>#N/A</v>
      </c>
      <c r="BP4325" s="151" t="e">
        <v>#N/A</v>
      </c>
      <c r="BQ4325">
        <v>0.11332468572476186</v>
      </c>
      <c r="BR4325" t="str">
        <v/>
      </c>
    </row>
    <row r="4326" spans="47:70" x14ac:dyDescent="0.2">
      <c r="AU4326"/>
      <c r="AV4326"/>
      <c r="AW4326"/>
      <c r="AX4326"/>
      <c r="AY4326"/>
      <c r="BK4326" s="42">
        <v>4325</v>
      </c>
      <c r="BL4326" s="127">
        <v>4</v>
      </c>
      <c r="BM4326" s="127">
        <v>0.11332468572476186</v>
      </c>
      <c r="BN4326" s="127" t="e">
        <v>#N/A</v>
      </c>
      <c r="BO4326" s="127" t="e">
        <v>#N/A</v>
      </c>
      <c r="BP4326" s="151" t="e">
        <v>#N/A</v>
      </c>
      <c r="BQ4326">
        <v>0.11332468572476186</v>
      </c>
      <c r="BR4326" t="str">
        <v/>
      </c>
    </row>
    <row r="4327" spans="47:70" x14ac:dyDescent="0.2">
      <c r="AU4327"/>
      <c r="AV4327"/>
      <c r="AW4327"/>
      <c r="AX4327"/>
      <c r="AY4327"/>
      <c r="BK4327" s="42">
        <v>4326</v>
      </c>
      <c r="BL4327" s="127">
        <v>4</v>
      </c>
      <c r="BM4327" s="127">
        <v>0.11332468572476186</v>
      </c>
      <c r="BN4327" s="127" t="e">
        <v>#N/A</v>
      </c>
      <c r="BO4327" s="127" t="e">
        <v>#N/A</v>
      </c>
      <c r="BP4327" s="151" t="e">
        <v>#N/A</v>
      </c>
      <c r="BQ4327">
        <v>0.11332468572476186</v>
      </c>
      <c r="BR4327" t="str">
        <v/>
      </c>
    </row>
    <row r="4328" spans="47:70" x14ac:dyDescent="0.2">
      <c r="AU4328"/>
      <c r="AV4328"/>
      <c r="AW4328"/>
      <c r="AX4328"/>
      <c r="AY4328"/>
      <c r="BK4328" s="42">
        <v>4327</v>
      </c>
      <c r="BL4328" s="127">
        <v>4</v>
      </c>
      <c r="BM4328" s="127">
        <v>0.11332468572476186</v>
      </c>
      <c r="BN4328" s="127" t="e">
        <v>#N/A</v>
      </c>
      <c r="BO4328" s="127" t="e">
        <v>#N/A</v>
      </c>
      <c r="BP4328" s="151" t="e">
        <v>#N/A</v>
      </c>
      <c r="BQ4328">
        <v>0.11332468572476186</v>
      </c>
      <c r="BR4328" t="str">
        <v/>
      </c>
    </row>
    <row r="4329" spans="47:70" x14ac:dyDescent="0.2">
      <c r="AU4329"/>
      <c r="AV4329"/>
      <c r="AW4329"/>
      <c r="AX4329"/>
      <c r="AY4329"/>
      <c r="BK4329" s="42">
        <v>4328</v>
      </c>
      <c r="BL4329" s="127">
        <v>4</v>
      </c>
      <c r="BM4329" s="127">
        <v>0.11332468572476186</v>
      </c>
      <c r="BN4329" s="127" t="e">
        <v>#N/A</v>
      </c>
      <c r="BO4329" s="127" t="e">
        <v>#N/A</v>
      </c>
      <c r="BP4329" s="151" t="e">
        <v>#N/A</v>
      </c>
      <c r="BQ4329">
        <v>0.11332468572476186</v>
      </c>
      <c r="BR4329" t="str">
        <v/>
      </c>
    </row>
    <row r="4330" spans="47:70" x14ac:dyDescent="0.2">
      <c r="AU4330"/>
      <c r="AV4330"/>
      <c r="AW4330"/>
      <c r="AX4330"/>
      <c r="AY4330"/>
      <c r="BK4330" s="42">
        <v>4329</v>
      </c>
      <c r="BL4330" s="127">
        <v>4</v>
      </c>
      <c r="BM4330" s="127">
        <v>0.11332468572476186</v>
      </c>
      <c r="BN4330" s="127" t="e">
        <v>#N/A</v>
      </c>
      <c r="BO4330" s="127" t="e">
        <v>#N/A</v>
      </c>
      <c r="BP4330" s="151" t="e">
        <v>#N/A</v>
      </c>
      <c r="BQ4330">
        <v>0.11332468572476186</v>
      </c>
      <c r="BR4330" t="str">
        <v/>
      </c>
    </row>
    <row r="4331" spans="47:70" x14ac:dyDescent="0.2">
      <c r="AU4331"/>
      <c r="AV4331"/>
      <c r="AW4331"/>
      <c r="AX4331"/>
      <c r="AY4331"/>
      <c r="BK4331" s="42">
        <v>4330</v>
      </c>
      <c r="BL4331" s="127">
        <v>4</v>
      </c>
      <c r="BM4331" s="127">
        <v>0.11332468572476186</v>
      </c>
      <c r="BN4331" s="127" t="e">
        <v>#N/A</v>
      </c>
      <c r="BO4331" s="127" t="e">
        <v>#N/A</v>
      </c>
      <c r="BP4331" s="151" t="e">
        <v>#N/A</v>
      </c>
      <c r="BQ4331">
        <v>0.11332468572476186</v>
      </c>
      <c r="BR4331" t="str">
        <v/>
      </c>
    </row>
    <row r="4332" spans="47:70" x14ac:dyDescent="0.2">
      <c r="AU4332"/>
      <c r="AV4332"/>
      <c r="AW4332"/>
      <c r="AX4332"/>
      <c r="AY4332"/>
      <c r="BK4332" s="42">
        <v>4331</v>
      </c>
      <c r="BL4332" s="127">
        <v>4</v>
      </c>
      <c r="BM4332" s="127">
        <v>0.11332468572476186</v>
      </c>
      <c r="BN4332" s="127" t="e">
        <v>#N/A</v>
      </c>
      <c r="BO4332" s="127" t="e">
        <v>#N/A</v>
      </c>
      <c r="BP4332" s="151" t="e">
        <v>#N/A</v>
      </c>
      <c r="BQ4332">
        <v>0.11332468572476186</v>
      </c>
      <c r="BR4332" t="str">
        <v/>
      </c>
    </row>
    <row r="4333" spans="47:70" x14ac:dyDescent="0.2">
      <c r="AU4333"/>
      <c r="AV4333"/>
      <c r="AW4333"/>
      <c r="AX4333"/>
      <c r="AY4333"/>
      <c r="BK4333" s="42">
        <v>4332</v>
      </c>
      <c r="BL4333" s="127">
        <v>4</v>
      </c>
      <c r="BM4333" s="127">
        <v>0.11332468572476186</v>
      </c>
      <c r="BN4333" s="127" t="e">
        <v>#N/A</v>
      </c>
      <c r="BO4333" s="127" t="e">
        <v>#N/A</v>
      </c>
      <c r="BP4333" s="151" t="e">
        <v>#N/A</v>
      </c>
      <c r="BQ4333">
        <v>0.11332468572476186</v>
      </c>
      <c r="BR4333" t="str">
        <v/>
      </c>
    </row>
    <row r="4334" spans="47:70" x14ac:dyDescent="0.2">
      <c r="AU4334"/>
      <c r="AV4334"/>
      <c r="AW4334"/>
      <c r="AX4334"/>
      <c r="AY4334"/>
      <c r="BK4334" s="42">
        <v>4333</v>
      </c>
      <c r="BL4334" s="127">
        <v>4</v>
      </c>
      <c r="BM4334" s="127">
        <v>0.11332468572476186</v>
      </c>
      <c r="BN4334" s="127" t="e">
        <v>#N/A</v>
      </c>
      <c r="BO4334" s="127" t="e">
        <v>#N/A</v>
      </c>
      <c r="BP4334" s="151" t="e">
        <v>#N/A</v>
      </c>
      <c r="BQ4334">
        <v>0.11332468572476186</v>
      </c>
      <c r="BR4334" t="str">
        <v/>
      </c>
    </row>
    <row r="4335" spans="47:70" x14ac:dyDescent="0.2">
      <c r="AU4335"/>
      <c r="AV4335"/>
      <c r="AW4335"/>
      <c r="AX4335"/>
      <c r="AY4335"/>
      <c r="BK4335" s="42">
        <v>4334</v>
      </c>
      <c r="BL4335" s="127">
        <v>4</v>
      </c>
      <c r="BM4335" s="127">
        <v>0.11332468572476186</v>
      </c>
      <c r="BN4335" s="127" t="e">
        <v>#N/A</v>
      </c>
      <c r="BO4335" s="127" t="e">
        <v>#N/A</v>
      </c>
      <c r="BP4335" s="151" t="e">
        <v>#N/A</v>
      </c>
      <c r="BQ4335">
        <v>0.11332468572476186</v>
      </c>
      <c r="BR4335" t="str">
        <v/>
      </c>
    </row>
    <row r="4336" spans="47:70" x14ac:dyDescent="0.2">
      <c r="AU4336"/>
      <c r="AV4336"/>
      <c r="AW4336"/>
      <c r="AX4336"/>
      <c r="AY4336"/>
      <c r="BK4336" s="42">
        <v>4335</v>
      </c>
      <c r="BL4336" s="127">
        <v>4</v>
      </c>
      <c r="BM4336" s="127">
        <v>0.11332468572476186</v>
      </c>
      <c r="BN4336" s="127" t="e">
        <v>#N/A</v>
      </c>
      <c r="BO4336" s="127" t="e">
        <v>#N/A</v>
      </c>
      <c r="BP4336" s="151" t="e">
        <v>#N/A</v>
      </c>
      <c r="BQ4336">
        <v>0.11332468572476186</v>
      </c>
      <c r="BR4336" t="str">
        <v/>
      </c>
    </row>
    <row r="4337" spans="47:70" x14ac:dyDescent="0.2">
      <c r="AU4337"/>
      <c r="AV4337"/>
      <c r="AW4337"/>
      <c r="AX4337"/>
      <c r="AY4337"/>
      <c r="BK4337" s="42">
        <v>4336</v>
      </c>
      <c r="BL4337" s="127">
        <v>4</v>
      </c>
      <c r="BM4337" s="127">
        <v>0.11332468572476186</v>
      </c>
      <c r="BN4337" s="127" t="e">
        <v>#N/A</v>
      </c>
      <c r="BO4337" s="127" t="e">
        <v>#N/A</v>
      </c>
      <c r="BP4337" s="151" t="e">
        <v>#N/A</v>
      </c>
      <c r="BQ4337">
        <v>0.11332468572476186</v>
      </c>
      <c r="BR4337" t="str">
        <v/>
      </c>
    </row>
    <row r="4338" spans="47:70" x14ac:dyDescent="0.2">
      <c r="AU4338"/>
      <c r="AV4338"/>
      <c r="AW4338"/>
      <c r="AX4338"/>
      <c r="AY4338"/>
      <c r="BK4338" s="42">
        <v>4337</v>
      </c>
      <c r="BL4338" s="127">
        <v>4</v>
      </c>
      <c r="BM4338" s="127">
        <v>0.11332468572476186</v>
      </c>
      <c r="BN4338" s="127" t="e">
        <v>#N/A</v>
      </c>
      <c r="BO4338" s="127" t="e">
        <v>#N/A</v>
      </c>
      <c r="BP4338" s="151" t="e">
        <v>#N/A</v>
      </c>
      <c r="BQ4338">
        <v>0.11332468572476186</v>
      </c>
      <c r="BR4338" t="str">
        <v/>
      </c>
    </row>
    <row r="4339" spans="47:70" x14ac:dyDescent="0.2">
      <c r="AU4339"/>
      <c r="AV4339"/>
      <c r="AW4339"/>
      <c r="AX4339"/>
      <c r="AY4339"/>
      <c r="BK4339" s="42">
        <v>4338</v>
      </c>
      <c r="BL4339" s="127">
        <v>4</v>
      </c>
      <c r="BM4339" s="127">
        <v>0.11332468572476186</v>
      </c>
      <c r="BN4339" s="127" t="e">
        <v>#N/A</v>
      </c>
      <c r="BO4339" s="127" t="e">
        <v>#N/A</v>
      </c>
      <c r="BP4339" s="151" t="e">
        <v>#N/A</v>
      </c>
      <c r="BQ4339">
        <v>0.11332468572476186</v>
      </c>
      <c r="BR4339" t="str">
        <v/>
      </c>
    </row>
    <row r="4340" spans="47:70" x14ac:dyDescent="0.2">
      <c r="AU4340"/>
      <c r="AV4340"/>
      <c r="AW4340"/>
      <c r="AX4340"/>
      <c r="AY4340"/>
      <c r="BK4340" s="42">
        <v>4339</v>
      </c>
      <c r="BL4340" s="127">
        <v>4</v>
      </c>
      <c r="BM4340" s="127">
        <v>0.11332468572476186</v>
      </c>
      <c r="BN4340" s="127" t="e">
        <v>#N/A</v>
      </c>
      <c r="BO4340" s="127" t="e">
        <v>#N/A</v>
      </c>
      <c r="BP4340" s="151" t="e">
        <v>#N/A</v>
      </c>
      <c r="BQ4340">
        <v>0.11332468572476186</v>
      </c>
      <c r="BR4340" t="str">
        <v/>
      </c>
    </row>
    <row r="4341" spans="47:70" x14ac:dyDescent="0.2">
      <c r="AU4341"/>
      <c r="AV4341"/>
      <c r="AW4341"/>
      <c r="AX4341"/>
      <c r="AY4341"/>
      <c r="BK4341" s="42">
        <v>4340</v>
      </c>
      <c r="BL4341" s="127">
        <v>4</v>
      </c>
      <c r="BM4341" s="127">
        <v>0.11332468572476186</v>
      </c>
      <c r="BN4341" s="127" t="e">
        <v>#N/A</v>
      </c>
      <c r="BO4341" s="127" t="e">
        <v>#N/A</v>
      </c>
      <c r="BP4341" s="151" t="e">
        <v>#N/A</v>
      </c>
      <c r="BQ4341">
        <v>0.11332468572476186</v>
      </c>
      <c r="BR4341" t="str">
        <v/>
      </c>
    </row>
    <row r="4342" spans="47:70" x14ac:dyDescent="0.2">
      <c r="AU4342"/>
      <c r="AV4342"/>
      <c r="AW4342"/>
      <c r="AX4342"/>
      <c r="AY4342"/>
      <c r="BK4342" s="42">
        <v>4341</v>
      </c>
      <c r="BL4342" s="127">
        <v>4</v>
      </c>
      <c r="BM4342" s="127">
        <v>0.11332468572476186</v>
      </c>
      <c r="BN4342" s="127" t="e">
        <v>#N/A</v>
      </c>
      <c r="BO4342" s="127" t="e">
        <v>#N/A</v>
      </c>
      <c r="BP4342" s="151" t="e">
        <v>#N/A</v>
      </c>
      <c r="BQ4342">
        <v>0.11332468572476186</v>
      </c>
      <c r="BR4342" t="str">
        <v/>
      </c>
    </row>
    <row r="4343" spans="47:70" x14ac:dyDescent="0.2">
      <c r="AU4343"/>
      <c r="AV4343"/>
      <c r="AW4343"/>
      <c r="AX4343"/>
      <c r="AY4343"/>
      <c r="BK4343" s="42">
        <v>4342</v>
      </c>
      <c r="BL4343" s="127">
        <v>4</v>
      </c>
      <c r="BM4343" s="127">
        <v>0.11332468572476186</v>
      </c>
      <c r="BN4343" s="127" t="e">
        <v>#N/A</v>
      </c>
      <c r="BO4343" s="127" t="e">
        <v>#N/A</v>
      </c>
      <c r="BP4343" s="151" t="e">
        <v>#N/A</v>
      </c>
      <c r="BQ4343">
        <v>0.11332468572476186</v>
      </c>
      <c r="BR4343" t="str">
        <v/>
      </c>
    </row>
    <row r="4344" spans="47:70" x14ac:dyDescent="0.2">
      <c r="AU4344"/>
      <c r="AV4344"/>
      <c r="AW4344"/>
      <c r="AX4344"/>
      <c r="AY4344"/>
      <c r="BK4344" s="42">
        <v>4343</v>
      </c>
      <c r="BL4344" s="127">
        <v>4</v>
      </c>
      <c r="BM4344" s="127">
        <v>0.11332468572476186</v>
      </c>
      <c r="BN4344" s="127" t="e">
        <v>#N/A</v>
      </c>
      <c r="BO4344" s="127" t="e">
        <v>#N/A</v>
      </c>
      <c r="BP4344" s="151" t="e">
        <v>#N/A</v>
      </c>
      <c r="BQ4344">
        <v>0.11332468572476186</v>
      </c>
      <c r="BR4344" t="str">
        <v/>
      </c>
    </row>
    <row r="4345" spans="47:70" x14ac:dyDescent="0.2">
      <c r="AU4345"/>
      <c r="AV4345"/>
      <c r="AW4345"/>
      <c r="AX4345"/>
      <c r="AY4345"/>
      <c r="BK4345" s="42">
        <v>4344</v>
      </c>
      <c r="BL4345" s="127">
        <v>4</v>
      </c>
      <c r="BM4345" s="127">
        <v>0.11332468572476186</v>
      </c>
      <c r="BN4345" s="127" t="e">
        <v>#N/A</v>
      </c>
      <c r="BO4345" s="127" t="e">
        <v>#N/A</v>
      </c>
      <c r="BP4345" s="151" t="e">
        <v>#N/A</v>
      </c>
      <c r="BQ4345">
        <v>0.11332468572476186</v>
      </c>
      <c r="BR4345" t="str">
        <v/>
      </c>
    </row>
    <row r="4346" spans="47:70" x14ac:dyDescent="0.2">
      <c r="AU4346"/>
      <c r="AV4346"/>
      <c r="AW4346"/>
      <c r="AX4346"/>
      <c r="AY4346"/>
      <c r="BK4346" s="42">
        <v>4345</v>
      </c>
      <c r="BL4346" s="127">
        <v>4</v>
      </c>
      <c r="BM4346" s="127">
        <v>0.11332468572476186</v>
      </c>
      <c r="BN4346" s="127" t="e">
        <v>#N/A</v>
      </c>
      <c r="BO4346" s="127" t="e">
        <v>#N/A</v>
      </c>
      <c r="BP4346" s="151" t="e">
        <v>#N/A</v>
      </c>
      <c r="BQ4346">
        <v>0.11332468572476186</v>
      </c>
      <c r="BR4346" t="str">
        <v/>
      </c>
    </row>
    <row r="4347" spans="47:70" x14ac:dyDescent="0.2">
      <c r="AU4347"/>
      <c r="AV4347"/>
      <c r="AW4347"/>
      <c r="AX4347"/>
      <c r="AY4347"/>
      <c r="BK4347" s="42">
        <v>4346</v>
      </c>
      <c r="BL4347" s="127">
        <v>4</v>
      </c>
      <c r="BM4347" s="127">
        <v>0.11332468572476186</v>
      </c>
      <c r="BN4347" s="127" t="e">
        <v>#N/A</v>
      </c>
      <c r="BO4347" s="127" t="e">
        <v>#N/A</v>
      </c>
      <c r="BP4347" s="151" t="e">
        <v>#N/A</v>
      </c>
      <c r="BQ4347">
        <v>0.11332468572476186</v>
      </c>
      <c r="BR4347" t="str">
        <v/>
      </c>
    </row>
    <row r="4348" spans="47:70" x14ac:dyDescent="0.2">
      <c r="AU4348"/>
      <c r="AV4348"/>
      <c r="AW4348"/>
      <c r="AX4348"/>
      <c r="AY4348"/>
      <c r="BK4348" s="42">
        <v>4347</v>
      </c>
      <c r="BL4348" s="127">
        <v>4</v>
      </c>
      <c r="BM4348" s="127">
        <v>0.11332468572476186</v>
      </c>
      <c r="BN4348" s="127" t="e">
        <v>#N/A</v>
      </c>
      <c r="BO4348" s="127" t="e">
        <v>#N/A</v>
      </c>
      <c r="BP4348" s="151" t="e">
        <v>#N/A</v>
      </c>
      <c r="BQ4348">
        <v>0.11332468572476186</v>
      </c>
      <c r="BR4348" t="str">
        <v/>
      </c>
    </row>
    <row r="4349" spans="47:70" x14ac:dyDescent="0.2">
      <c r="AU4349"/>
      <c r="AV4349"/>
      <c r="AW4349"/>
      <c r="AX4349"/>
      <c r="AY4349"/>
      <c r="BK4349" s="42">
        <v>4348</v>
      </c>
      <c r="BL4349" s="127">
        <v>4</v>
      </c>
      <c r="BM4349" s="127">
        <v>0.11332468572476186</v>
      </c>
      <c r="BN4349" s="127" t="e">
        <v>#N/A</v>
      </c>
      <c r="BO4349" s="127" t="e">
        <v>#N/A</v>
      </c>
      <c r="BP4349" s="151" t="e">
        <v>#N/A</v>
      </c>
      <c r="BQ4349">
        <v>0.11332468572476186</v>
      </c>
      <c r="BR4349" t="str">
        <v/>
      </c>
    </row>
    <row r="4350" spans="47:70" x14ac:dyDescent="0.2">
      <c r="AU4350"/>
      <c r="AV4350"/>
      <c r="AW4350"/>
      <c r="AX4350"/>
      <c r="AY4350"/>
      <c r="BK4350" s="42">
        <v>4349</v>
      </c>
      <c r="BL4350" s="127">
        <v>4</v>
      </c>
      <c r="BM4350" s="127">
        <v>0.11332468572476186</v>
      </c>
      <c r="BN4350" s="127" t="e">
        <v>#N/A</v>
      </c>
      <c r="BO4350" s="127" t="e">
        <v>#N/A</v>
      </c>
      <c r="BP4350" s="151" t="e">
        <v>#N/A</v>
      </c>
      <c r="BQ4350">
        <v>0.11332468572476186</v>
      </c>
      <c r="BR4350" t="str">
        <v/>
      </c>
    </row>
    <row r="4351" spans="47:70" x14ac:dyDescent="0.2">
      <c r="AU4351"/>
      <c r="AV4351"/>
      <c r="AW4351"/>
      <c r="AX4351"/>
      <c r="AY4351"/>
      <c r="BK4351" s="42">
        <v>4350</v>
      </c>
      <c r="BL4351" s="127">
        <v>4</v>
      </c>
      <c r="BM4351" s="127">
        <v>0.11332468572476186</v>
      </c>
      <c r="BN4351" s="127" t="e">
        <v>#N/A</v>
      </c>
      <c r="BO4351" s="127" t="e">
        <v>#N/A</v>
      </c>
      <c r="BP4351" s="151" t="e">
        <v>#N/A</v>
      </c>
      <c r="BQ4351">
        <v>0.11332468572476186</v>
      </c>
      <c r="BR4351" t="str">
        <v/>
      </c>
    </row>
    <row r="4352" spans="47:70" x14ac:dyDescent="0.2">
      <c r="AU4352"/>
      <c r="AV4352"/>
      <c r="AW4352"/>
      <c r="AX4352"/>
      <c r="AY4352"/>
      <c r="BK4352" s="42">
        <v>4351</v>
      </c>
      <c r="BL4352" s="127">
        <v>4</v>
      </c>
      <c r="BM4352" s="127">
        <v>0.11332468572476186</v>
      </c>
      <c r="BN4352" s="127" t="e">
        <v>#N/A</v>
      </c>
      <c r="BO4352" s="127" t="e">
        <v>#N/A</v>
      </c>
      <c r="BP4352" s="151" t="e">
        <v>#N/A</v>
      </c>
      <c r="BQ4352">
        <v>0.11332468572476186</v>
      </c>
      <c r="BR4352" t="str">
        <v/>
      </c>
    </row>
    <row r="4353" spans="47:70" x14ac:dyDescent="0.2">
      <c r="AU4353"/>
      <c r="AV4353"/>
      <c r="AW4353"/>
      <c r="AX4353"/>
      <c r="AY4353"/>
      <c r="BK4353" s="42">
        <v>4352</v>
      </c>
      <c r="BL4353" s="127">
        <v>4</v>
      </c>
      <c r="BM4353" s="127">
        <v>0.11332468572476186</v>
      </c>
      <c r="BN4353" s="127" t="e">
        <v>#N/A</v>
      </c>
      <c r="BO4353" s="127" t="e">
        <v>#N/A</v>
      </c>
      <c r="BP4353" s="151" t="e">
        <v>#N/A</v>
      </c>
      <c r="BQ4353">
        <v>0.11332468572476186</v>
      </c>
      <c r="BR4353" t="str">
        <v/>
      </c>
    </row>
    <row r="4354" spans="47:70" x14ac:dyDescent="0.2">
      <c r="AU4354"/>
      <c r="AV4354"/>
      <c r="AW4354"/>
      <c r="AX4354"/>
      <c r="AY4354"/>
      <c r="BK4354" s="42">
        <v>4353</v>
      </c>
      <c r="BL4354" s="127">
        <v>4</v>
      </c>
      <c r="BM4354" s="127">
        <v>0.11332468572476186</v>
      </c>
      <c r="BN4354" s="127" t="e">
        <v>#N/A</v>
      </c>
      <c r="BO4354" s="127" t="e">
        <v>#N/A</v>
      </c>
      <c r="BP4354" s="151" t="e">
        <v>#N/A</v>
      </c>
      <c r="BQ4354">
        <v>0.11332468572476186</v>
      </c>
      <c r="BR4354" t="str">
        <v/>
      </c>
    </row>
    <row r="4355" spans="47:70" x14ac:dyDescent="0.2">
      <c r="AU4355"/>
      <c r="AV4355"/>
      <c r="AW4355"/>
      <c r="AX4355"/>
      <c r="AY4355"/>
      <c r="BK4355" s="42">
        <v>4354</v>
      </c>
      <c r="BL4355" s="127">
        <v>4</v>
      </c>
      <c r="BM4355" s="127">
        <v>0.11332468572476186</v>
      </c>
      <c r="BN4355" s="127" t="e">
        <v>#N/A</v>
      </c>
      <c r="BO4355" s="127" t="e">
        <v>#N/A</v>
      </c>
      <c r="BP4355" s="151" t="e">
        <v>#N/A</v>
      </c>
      <c r="BQ4355">
        <v>0.11332468572476186</v>
      </c>
      <c r="BR4355" t="str">
        <v/>
      </c>
    </row>
    <row r="4356" spans="47:70" x14ac:dyDescent="0.2">
      <c r="AU4356"/>
      <c r="AV4356"/>
      <c r="AW4356"/>
      <c r="AX4356"/>
      <c r="AY4356"/>
      <c r="BK4356" s="42">
        <v>4355</v>
      </c>
      <c r="BL4356" s="127">
        <v>4</v>
      </c>
      <c r="BM4356" s="127">
        <v>0.11332468572476186</v>
      </c>
      <c r="BN4356" s="127" t="e">
        <v>#N/A</v>
      </c>
      <c r="BO4356" s="127" t="e">
        <v>#N/A</v>
      </c>
      <c r="BP4356" s="151" t="e">
        <v>#N/A</v>
      </c>
      <c r="BQ4356">
        <v>0.11332468572476186</v>
      </c>
      <c r="BR4356" t="str">
        <v/>
      </c>
    </row>
    <row r="4357" spans="47:70" x14ac:dyDescent="0.2">
      <c r="AU4357"/>
      <c r="AV4357"/>
      <c r="AW4357"/>
      <c r="AX4357"/>
      <c r="AY4357"/>
      <c r="BK4357" s="42">
        <v>4356</v>
      </c>
      <c r="BL4357" s="127">
        <v>4</v>
      </c>
      <c r="BM4357" s="127">
        <v>0.11332468572476186</v>
      </c>
      <c r="BN4357" s="127" t="e">
        <v>#N/A</v>
      </c>
      <c r="BO4357" s="127" t="e">
        <v>#N/A</v>
      </c>
      <c r="BP4357" s="151" t="e">
        <v>#N/A</v>
      </c>
      <c r="BQ4357">
        <v>0.11332468572476186</v>
      </c>
      <c r="BR4357" t="str">
        <v/>
      </c>
    </row>
    <row r="4358" spans="47:70" x14ac:dyDescent="0.2">
      <c r="AU4358"/>
      <c r="AV4358"/>
      <c r="AW4358"/>
      <c r="AX4358"/>
      <c r="AY4358"/>
      <c r="BK4358" s="42">
        <v>4357</v>
      </c>
      <c r="BL4358" s="127">
        <v>4</v>
      </c>
      <c r="BM4358" s="127">
        <v>0.11332468572476186</v>
      </c>
      <c r="BN4358" s="127" t="e">
        <v>#N/A</v>
      </c>
      <c r="BO4358" s="127" t="e">
        <v>#N/A</v>
      </c>
      <c r="BP4358" s="151" t="e">
        <v>#N/A</v>
      </c>
      <c r="BQ4358">
        <v>0.11332468572476186</v>
      </c>
      <c r="BR4358" t="str">
        <v/>
      </c>
    </row>
    <row r="4359" spans="47:70" x14ac:dyDescent="0.2">
      <c r="AU4359"/>
      <c r="AV4359"/>
      <c r="AW4359"/>
      <c r="AX4359"/>
      <c r="AY4359"/>
      <c r="BK4359" s="42">
        <v>4358</v>
      </c>
      <c r="BL4359" s="127">
        <v>4</v>
      </c>
      <c r="BM4359" s="127">
        <v>0.11332468572476186</v>
      </c>
      <c r="BN4359" s="127" t="e">
        <v>#N/A</v>
      </c>
      <c r="BO4359" s="127" t="e">
        <v>#N/A</v>
      </c>
      <c r="BP4359" s="151" t="e">
        <v>#N/A</v>
      </c>
      <c r="BQ4359">
        <v>0.11332468572476186</v>
      </c>
      <c r="BR4359" t="str">
        <v/>
      </c>
    </row>
    <row r="4360" spans="47:70" x14ac:dyDescent="0.2">
      <c r="AU4360"/>
      <c r="AV4360"/>
      <c r="AW4360"/>
      <c r="AX4360"/>
      <c r="AY4360"/>
      <c r="BK4360" s="42">
        <v>4359</v>
      </c>
      <c r="BL4360" s="127">
        <v>4</v>
      </c>
      <c r="BM4360" s="127">
        <v>0.11332468572476186</v>
      </c>
      <c r="BN4360" s="127" t="e">
        <v>#N/A</v>
      </c>
      <c r="BO4360" s="127" t="e">
        <v>#N/A</v>
      </c>
      <c r="BP4360" s="151" t="e">
        <v>#N/A</v>
      </c>
      <c r="BQ4360">
        <v>0.11332468572476186</v>
      </c>
      <c r="BR4360" t="str">
        <v/>
      </c>
    </row>
    <row r="4361" spans="47:70" x14ac:dyDescent="0.2">
      <c r="AU4361"/>
      <c r="AV4361"/>
      <c r="AW4361"/>
      <c r="AX4361"/>
      <c r="AY4361"/>
      <c r="BK4361" s="42">
        <v>4360</v>
      </c>
      <c r="BL4361" s="127">
        <v>4</v>
      </c>
      <c r="BM4361" s="127">
        <v>0.11332468572476186</v>
      </c>
      <c r="BN4361" s="127" t="e">
        <v>#N/A</v>
      </c>
      <c r="BO4361" s="127" t="e">
        <v>#N/A</v>
      </c>
      <c r="BP4361" s="151" t="e">
        <v>#N/A</v>
      </c>
      <c r="BQ4361">
        <v>0.11332468572476186</v>
      </c>
      <c r="BR4361" t="str">
        <v/>
      </c>
    </row>
    <row r="4362" spans="47:70" x14ac:dyDescent="0.2">
      <c r="AU4362"/>
      <c r="AV4362"/>
      <c r="AW4362"/>
      <c r="AX4362"/>
      <c r="AY4362"/>
      <c r="BK4362" s="42">
        <v>4361</v>
      </c>
      <c r="BL4362" s="127">
        <v>4</v>
      </c>
      <c r="BM4362" s="127">
        <v>0.11332468572476186</v>
      </c>
      <c r="BN4362" s="127" t="e">
        <v>#N/A</v>
      </c>
      <c r="BO4362" s="127" t="e">
        <v>#N/A</v>
      </c>
      <c r="BP4362" s="151" t="e">
        <v>#N/A</v>
      </c>
      <c r="BQ4362">
        <v>0.11332468572476186</v>
      </c>
      <c r="BR4362" t="str">
        <v/>
      </c>
    </row>
    <row r="4363" spans="47:70" x14ac:dyDescent="0.2">
      <c r="AU4363"/>
      <c r="AV4363"/>
      <c r="AW4363"/>
      <c r="AX4363"/>
      <c r="AY4363"/>
      <c r="BK4363" s="42">
        <v>4362</v>
      </c>
      <c r="BL4363" s="127">
        <v>4</v>
      </c>
      <c r="BM4363" s="127">
        <v>0.11332468572476186</v>
      </c>
      <c r="BN4363" s="127" t="e">
        <v>#N/A</v>
      </c>
      <c r="BO4363" s="127" t="e">
        <v>#N/A</v>
      </c>
      <c r="BP4363" s="151" t="e">
        <v>#N/A</v>
      </c>
      <c r="BQ4363">
        <v>0.11332468572476186</v>
      </c>
      <c r="BR4363" t="str">
        <v/>
      </c>
    </row>
    <row r="4364" spans="47:70" x14ac:dyDescent="0.2">
      <c r="AU4364"/>
      <c r="AV4364"/>
      <c r="AW4364"/>
      <c r="AX4364"/>
      <c r="AY4364"/>
      <c r="BK4364" s="42">
        <v>4363</v>
      </c>
      <c r="BL4364" s="127">
        <v>4</v>
      </c>
      <c r="BM4364" s="127">
        <v>0.11332468572476186</v>
      </c>
      <c r="BN4364" s="127" t="e">
        <v>#N/A</v>
      </c>
      <c r="BO4364" s="127" t="e">
        <v>#N/A</v>
      </c>
      <c r="BP4364" s="151" t="e">
        <v>#N/A</v>
      </c>
      <c r="BQ4364">
        <v>0.11332468572476186</v>
      </c>
      <c r="BR4364" t="str">
        <v/>
      </c>
    </row>
    <row r="4365" spans="47:70" x14ac:dyDescent="0.2">
      <c r="AU4365"/>
      <c r="AV4365"/>
      <c r="AW4365"/>
      <c r="AX4365"/>
      <c r="AY4365"/>
      <c r="BK4365" s="42">
        <v>4364</v>
      </c>
      <c r="BL4365" s="127">
        <v>4</v>
      </c>
      <c r="BM4365" s="127">
        <v>0.11332468572476186</v>
      </c>
      <c r="BN4365" s="127" t="e">
        <v>#N/A</v>
      </c>
      <c r="BO4365" s="127" t="e">
        <v>#N/A</v>
      </c>
      <c r="BP4365" s="151" t="e">
        <v>#N/A</v>
      </c>
      <c r="BQ4365">
        <v>0.11332468572476186</v>
      </c>
      <c r="BR4365" t="str">
        <v/>
      </c>
    </row>
    <row r="4366" spans="47:70" x14ac:dyDescent="0.2">
      <c r="AU4366"/>
      <c r="AV4366"/>
      <c r="AW4366"/>
      <c r="AX4366"/>
      <c r="AY4366"/>
      <c r="BK4366" s="42">
        <v>4365</v>
      </c>
      <c r="BL4366" s="127">
        <v>4</v>
      </c>
      <c r="BM4366" s="127">
        <v>0.11332468572476186</v>
      </c>
      <c r="BN4366" s="127" t="e">
        <v>#N/A</v>
      </c>
      <c r="BO4366" s="127" t="e">
        <v>#N/A</v>
      </c>
      <c r="BP4366" s="151" t="e">
        <v>#N/A</v>
      </c>
      <c r="BQ4366">
        <v>0.11332468572476186</v>
      </c>
      <c r="BR4366" t="str">
        <v/>
      </c>
    </row>
    <row r="4367" spans="47:70" x14ac:dyDescent="0.2">
      <c r="AU4367"/>
      <c r="AV4367"/>
      <c r="AW4367"/>
      <c r="AX4367"/>
      <c r="AY4367"/>
      <c r="BK4367" s="42">
        <v>4366</v>
      </c>
      <c r="BL4367" s="127">
        <v>4</v>
      </c>
      <c r="BM4367" s="127">
        <v>0.11332468572476186</v>
      </c>
      <c r="BN4367" s="127" t="e">
        <v>#N/A</v>
      </c>
      <c r="BO4367" s="127" t="e">
        <v>#N/A</v>
      </c>
      <c r="BP4367" s="151" t="e">
        <v>#N/A</v>
      </c>
      <c r="BQ4367">
        <v>0.11332468572476186</v>
      </c>
      <c r="BR4367" t="str">
        <v/>
      </c>
    </row>
    <row r="4368" spans="47:70" x14ac:dyDescent="0.2">
      <c r="AU4368"/>
      <c r="AV4368"/>
      <c r="AW4368"/>
      <c r="AX4368"/>
      <c r="AY4368"/>
      <c r="BK4368" s="42">
        <v>4367</v>
      </c>
      <c r="BL4368" s="127">
        <v>4</v>
      </c>
      <c r="BM4368" s="127">
        <v>0.11332468572476186</v>
      </c>
      <c r="BN4368" s="127" t="e">
        <v>#N/A</v>
      </c>
      <c r="BO4368" s="127" t="e">
        <v>#N/A</v>
      </c>
      <c r="BP4368" s="151" t="e">
        <v>#N/A</v>
      </c>
      <c r="BQ4368">
        <v>0.11332468572476186</v>
      </c>
      <c r="BR4368" t="str">
        <v/>
      </c>
    </row>
    <row r="4369" spans="47:70" x14ac:dyDescent="0.2">
      <c r="AU4369"/>
      <c r="AV4369"/>
      <c r="AW4369"/>
      <c r="AX4369"/>
      <c r="AY4369"/>
      <c r="BK4369" s="42">
        <v>4368</v>
      </c>
      <c r="BL4369" s="127">
        <v>4</v>
      </c>
      <c r="BM4369" s="127">
        <v>0.11332468572476186</v>
      </c>
      <c r="BN4369" s="127" t="e">
        <v>#N/A</v>
      </c>
      <c r="BO4369" s="127" t="e">
        <v>#N/A</v>
      </c>
      <c r="BP4369" s="151" t="e">
        <v>#N/A</v>
      </c>
      <c r="BQ4369">
        <v>0.11332468572476186</v>
      </c>
      <c r="BR4369" t="str">
        <v/>
      </c>
    </row>
    <row r="4370" spans="47:70" x14ac:dyDescent="0.2">
      <c r="AU4370"/>
      <c r="AV4370"/>
      <c r="AW4370"/>
      <c r="AX4370"/>
      <c r="AY4370"/>
      <c r="BK4370" s="42">
        <v>4369</v>
      </c>
      <c r="BL4370" s="127">
        <v>4</v>
      </c>
      <c r="BM4370" s="127">
        <v>0.11332468572476186</v>
      </c>
      <c r="BN4370" s="127" t="e">
        <v>#N/A</v>
      </c>
      <c r="BO4370" s="127" t="e">
        <v>#N/A</v>
      </c>
      <c r="BP4370" s="151" t="e">
        <v>#N/A</v>
      </c>
      <c r="BQ4370">
        <v>0.11332468572476186</v>
      </c>
      <c r="BR4370" t="str">
        <v/>
      </c>
    </row>
    <row r="4371" spans="47:70" x14ac:dyDescent="0.2">
      <c r="AU4371"/>
      <c r="AV4371"/>
      <c r="AW4371"/>
      <c r="AX4371"/>
      <c r="AY4371"/>
      <c r="BK4371" s="42">
        <v>4370</v>
      </c>
      <c r="BL4371" s="127">
        <v>4</v>
      </c>
      <c r="BM4371" s="127">
        <v>0.11332468572476186</v>
      </c>
      <c r="BN4371" s="127" t="e">
        <v>#N/A</v>
      </c>
      <c r="BO4371" s="127" t="e">
        <v>#N/A</v>
      </c>
      <c r="BP4371" s="151" t="e">
        <v>#N/A</v>
      </c>
      <c r="BQ4371">
        <v>0.11332468572476186</v>
      </c>
      <c r="BR4371" t="str">
        <v/>
      </c>
    </row>
    <row r="4372" spans="47:70" x14ac:dyDescent="0.2">
      <c r="AU4372"/>
      <c r="AV4372"/>
      <c r="AW4372"/>
      <c r="AX4372"/>
      <c r="AY4372"/>
      <c r="BK4372" s="42">
        <v>4371</v>
      </c>
      <c r="BL4372" s="127">
        <v>4</v>
      </c>
      <c r="BM4372" s="127">
        <v>0.11332468572476186</v>
      </c>
      <c r="BN4372" s="127" t="e">
        <v>#N/A</v>
      </c>
      <c r="BO4372" s="127" t="e">
        <v>#N/A</v>
      </c>
      <c r="BP4372" s="151" t="e">
        <v>#N/A</v>
      </c>
      <c r="BQ4372">
        <v>0.11332468572476186</v>
      </c>
      <c r="BR4372" t="str">
        <v/>
      </c>
    </row>
    <row r="4373" spans="47:70" x14ac:dyDescent="0.2">
      <c r="AU4373"/>
      <c r="AV4373"/>
      <c r="AW4373"/>
      <c r="AX4373"/>
      <c r="AY4373"/>
      <c r="BK4373" s="42">
        <v>4372</v>
      </c>
      <c r="BL4373" s="127">
        <v>4</v>
      </c>
      <c r="BM4373" s="127">
        <v>0.11332468572476186</v>
      </c>
      <c r="BN4373" s="127" t="e">
        <v>#N/A</v>
      </c>
      <c r="BO4373" s="127" t="e">
        <v>#N/A</v>
      </c>
      <c r="BP4373" s="151" t="e">
        <v>#N/A</v>
      </c>
      <c r="BQ4373">
        <v>0.11332468572476186</v>
      </c>
      <c r="BR4373" t="str">
        <v/>
      </c>
    </row>
    <row r="4374" spans="47:70" x14ac:dyDescent="0.2">
      <c r="AU4374"/>
      <c r="AV4374"/>
      <c r="AW4374"/>
      <c r="AX4374"/>
      <c r="AY4374"/>
      <c r="BK4374" s="42">
        <v>4373</v>
      </c>
      <c r="BL4374" s="127">
        <v>4</v>
      </c>
      <c r="BM4374" s="127">
        <v>0.11332468572476186</v>
      </c>
      <c r="BN4374" s="127" t="e">
        <v>#N/A</v>
      </c>
      <c r="BO4374" s="127" t="e">
        <v>#N/A</v>
      </c>
      <c r="BP4374" s="151" t="e">
        <v>#N/A</v>
      </c>
      <c r="BQ4374">
        <v>0.11332468572476186</v>
      </c>
      <c r="BR4374" t="str">
        <v/>
      </c>
    </row>
    <row r="4375" spans="47:70" x14ac:dyDescent="0.2">
      <c r="AU4375"/>
      <c r="AV4375"/>
      <c r="AW4375"/>
      <c r="AX4375"/>
      <c r="AY4375"/>
      <c r="BK4375" s="42">
        <v>4374</v>
      </c>
      <c r="BL4375" s="127">
        <v>4</v>
      </c>
      <c r="BM4375" s="127">
        <v>0.11332468572476186</v>
      </c>
      <c r="BN4375" s="127" t="e">
        <v>#N/A</v>
      </c>
      <c r="BO4375" s="127" t="e">
        <v>#N/A</v>
      </c>
      <c r="BP4375" s="151" t="e">
        <v>#N/A</v>
      </c>
      <c r="BQ4375">
        <v>0.11332468572476186</v>
      </c>
      <c r="BR4375" t="str">
        <v/>
      </c>
    </row>
    <row r="4376" spans="47:70" x14ac:dyDescent="0.2">
      <c r="AU4376"/>
      <c r="AV4376"/>
      <c r="AW4376"/>
      <c r="AX4376"/>
      <c r="AY4376"/>
      <c r="BK4376" s="42">
        <v>4375</v>
      </c>
      <c r="BL4376" s="127">
        <v>4</v>
      </c>
      <c r="BM4376" s="127">
        <v>0.11332468572476186</v>
      </c>
      <c r="BN4376" s="127" t="e">
        <v>#N/A</v>
      </c>
      <c r="BO4376" s="127" t="e">
        <v>#N/A</v>
      </c>
      <c r="BP4376" s="151" t="e">
        <v>#N/A</v>
      </c>
      <c r="BQ4376">
        <v>0.11332468572476186</v>
      </c>
      <c r="BR4376" t="str">
        <v/>
      </c>
    </row>
    <row r="4377" spans="47:70" x14ac:dyDescent="0.2">
      <c r="AU4377"/>
      <c r="AV4377"/>
      <c r="AW4377"/>
      <c r="AX4377"/>
      <c r="AY4377"/>
      <c r="BK4377" s="42">
        <v>4376</v>
      </c>
      <c r="BL4377" s="127">
        <v>4</v>
      </c>
      <c r="BM4377" s="127">
        <v>0.11332468572476186</v>
      </c>
      <c r="BN4377" s="127" t="e">
        <v>#N/A</v>
      </c>
      <c r="BO4377" s="127" t="e">
        <v>#N/A</v>
      </c>
      <c r="BP4377" s="151" t="e">
        <v>#N/A</v>
      </c>
      <c r="BQ4377">
        <v>0.11332468572476186</v>
      </c>
      <c r="BR4377" t="str">
        <v/>
      </c>
    </row>
    <row r="4378" spans="47:70" x14ac:dyDescent="0.2">
      <c r="AU4378"/>
      <c r="AV4378"/>
      <c r="AW4378"/>
      <c r="AX4378"/>
      <c r="AY4378"/>
      <c r="BK4378" s="42">
        <v>4377</v>
      </c>
      <c r="BL4378" s="127">
        <v>4</v>
      </c>
      <c r="BM4378" s="127">
        <v>0.11332468572476186</v>
      </c>
      <c r="BN4378" s="127" t="e">
        <v>#N/A</v>
      </c>
      <c r="BO4378" s="127" t="e">
        <v>#N/A</v>
      </c>
      <c r="BP4378" s="151" t="e">
        <v>#N/A</v>
      </c>
      <c r="BQ4378">
        <v>0.11332468572476186</v>
      </c>
      <c r="BR4378" t="str">
        <v/>
      </c>
    </row>
    <row r="4379" spans="47:70" x14ac:dyDescent="0.2">
      <c r="AU4379"/>
      <c r="AV4379"/>
      <c r="AW4379"/>
      <c r="AX4379"/>
      <c r="AY4379"/>
      <c r="BK4379" s="42">
        <v>4378</v>
      </c>
      <c r="BL4379" s="127">
        <v>4</v>
      </c>
      <c r="BM4379" s="127">
        <v>0.11332468572476186</v>
      </c>
      <c r="BN4379" s="127" t="e">
        <v>#N/A</v>
      </c>
      <c r="BO4379" s="127" t="e">
        <v>#N/A</v>
      </c>
      <c r="BP4379" s="151" t="e">
        <v>#N/A</v>
      </c>
      <c r="BQ4379">
        <v>0.11332468572476186</v>
      </c>
      <c r="BR4379" t="str">
        <v/>
      </c>
    </row>
    <row r="4380" spans="47:70" x14ac:dyDescent="0.2">
      <c r="AU4380"/>
      <c r="AV4380"/>
      <c r="AW4380"/>
      <c r="AX4380"/>
      <c r="AY4380"/>
      <c r="BK4380" s="42">
        <v>4379</v>
      </c>
      <c r="BL4380" s="127">
        <v>4</v>
      </c>
      <c r="BM4380" s="127">
        <v>0.11332468572476186</v>
      </c>
      <c r="BN4380" s="127" t="e">
        <v>#N/A</v>
      </c>
      <c r="BO4380" s="127" t="e">
        <v>#N/A</v>
      </c>
      <c r="BP4380" s="151" t="e">
        <v>#N/A</v>
      </c>
      <c r="BQ4380">
        <v>0.11332468572476186</v>
      </c>
      <c r="BR4380" t="str">
        <v/>
      </c>
    </row>
    <row r="4381" spans="47:70" x14ac:dyDescent="0.2">
      <c r="AU4381"/>
      <c r="AV4381"/>
      <c r="AW4381"/>
      <c r="AX4381"/>
      <c r="AY4381"/>
      <c r="BK4381" s="42">
        <v>4380</v>
      </c>
      <c r="BL4381" s="127">
        <v>4</v>
      </c>
      <c r="BM4381" s="127">
        <v>0.11332468572476186</v>
      </c>
      <c r="BN4381" s="127" t="e">
        <v>#N/A</v>
      </c>
      <c r="BO4381" s="127" t="e">
        <v>#N/A</v>
      </c>
      <c r="BP4381" s="151" t="e">
        <v>#N/A</v>
      </c>
      <c r="BQ4381">
        <v>0.11332468572476186</v>
      </c>
      <c r="BR4381" t="str">
        <v/>
      </c>
    </row>
    <row r="4382" spans="47:70" x14ac:dyDescent="0.2">
      <c r="AU4382"/>
      <c r="AV4382"/>
      <c r="AW4382"/>
      <c r="AX4382"/>
      <c r="AY4382"/>
      <c r="BK4382" s="42">
        <v>4381</v>
      </c>
      <c r="BL4382" s="127">
        <v>4</v>
      </c>
      <c r="BM4382" s="127">
        <v>0.11332468572476186</v>
      </c>
      <c r="BN4382" s="127" t="e">
        <v>#N/A</v>
      </c>
      <c r="BO4382" s="127" t="e">
        <v>#N/A</v>
      </c>
      <c r="BP4382" s="151" t="e">
        <v>#N/A</v>
      </c>
      <c r="BQ4382">
        <v>0.11332468572476186</v>
      </c>
      <c r="BR4382" t="str">
        <v/>
      </c>
    </row>
    <row r="4383" spans="47:70" x14ac:dyDescent="0.2">
      <c r="AU4383"/>
      <c r="AV4383"/>
      <c r="AW4383"/>
      <c r="AX4383"/>
      <c r="AY4383"/>
      <c r="BK4383" s="42">
        <v>4382</v>
      </c>
      <c r="BL4383" s="127">
        <v>4</v>
      </c>
      <c r="BM4383" s="127">
        <v>0.11332468572476186</v>
      </c>
      <c r="BN4383" s="127" t="e">
        <v>#N/A</v>
      </c>
      <c r="BO4383" s="127" t="e">
        <v>#N/A</v>
      </c>
      <c r="BP4383" s="151" t="e">
        <v>#N/A</v>
      </c>
      <c r="BQ4383">
        <v>0.11332468572476186</v>
      </c>
      <c r="BR4383" t="str">
        <v/>
      </c>
    </row>
    <row r="4384" spans="47:70" x14ac:dyDescent="0.2">
      <c r="AU4384"/>
      <c r="AV4384"/>
      <c r="AW4384"/>
      <c r="AX4384"/>
      <c r="AY4384"/>
      <c r="BK4384" s="42">
        <v>4383</v>
      </c>
      <c r="BL4384" s="127">
        <v>4</v>
      </c>
      <c r="BM4384" s="127">
        <v>0.11332468572476186</v>
      </c>
      <c r="BN4384" s="127" t="e">
        <v>#N/A</v>
      </c>
      <c r="BO4384" s="127" t="e">
        <v>#N/A</v>
      </c>
      <c r="BP4384" s="151" t="e">
        <v>#N/A</v>
      </c>
      <c r="BQ4384">
        <v>0.11332468572476186</v>
      </c>
      <c r="BR4384" t="str">
        <v/>
      </c>
    </row>
    <row r="4385" spans="47:70" x14ac:dyDescent="0.2">
      <c r="AU4385"/>
      <c r="AV4385"/>
      <c r="AW4385"/>
      <c r="AX4385"/>
      <c r="AY4385"/>
      <c r="BK4385" s="42">
        <v>4384</v>
      </c>
      <c r="BL4385" s="127">
        <v>4</v>
      </c>
      <c r="BM4385" s="127">
        <v>0.11332468572476186</v>
      </c>
      <c r="BN4385" s="127" t="e">
        <v>#N/A</v>
      </c>
      <c r="BO4385" s="127" t="e">
        <v>#N/A</v>
      </c>
      <c r="BP4385" s="151" t="e">
        <v>#N/A</v>
      </c>
      <c r="BQ4385">
        <v>0.11332468572476186</v>
      </c>
      <c r="BR4385" t="str">
        <v/>
      </c>
    </row>
    <row r="4386" spans="47:70" x14ac:dyDescent="0.2">
      <c r="AU4386"/>
      <c r="AV4386"/>
      <c r="AW4386"/>
      <c r="AX4386"/>
      <c r="AY4386"/>
      <c r="BK4386" s="42">
        <v>4385</v>
      </c>
      <c r="BL4386" s="127">
        <v>4</v>
      </c>
      <c r="BM4386" s="127">
        <v>0.11332468572476186</v>
      </c>
      <c r="BN4386" s="127" t="e">
        <v>#N/A</v>
      </c>
      <c r="BO4386" s="127" t="e">
        <v>#N/A</v>
      </c>
      <c r="BP4386" s="151" t="e">
        <v>#N/A</v>
      </c>
      <c r="BQ4386">
        <v>0.11332468572476186</v>
      </c>
      <c r="BR4386" t="str">
        <v/>
      </c>
    </row>
    <row r="4387" spans="47:70" x14ac:dyDescent="0.2">
      <c r="AU4387"/>
      <c r="AV4387"/>
      <c r="AW4387"/>
      <c r="AX4387"/>
      <c r="AY4387"/>
      <c r="BK4387" s="42">
        <v>4386</v>
      </c>
      <c r="BL4387" s="127">
        <v>4</v>
      </c>
      <c r="BM4387" s="127">
        <v>0.11332468572476186</v>
      </c>
      <c r="BN4387" s="127" t="e">
        <v>#N/A</v>
      </c>
      <c r="BO4387" s="127" t="e">
        <v>#N/A</v>
      </c>
      <c r="BP4387" s="151" t="e">
        <v>#N/A</v>
      </c>
      <c r="BQ4387">
        <v>0.11332468572476186</v>
      </c>
      <c r="BR4387" t="str">
        <v/>
      </c>
    </row>
    <row r="4388" spans="47:70" x14ac:dyDescent="0.2">
      <c r="AU4388"/>
      <c r="AV4388"/>
      <c r="AW4388"/>
      <c r="AX4388"/>
      <c r="AY4388"/>
      <c r="BK4388" s="42">
        <v>4387</v>
      </c>
      <c r="BL4388" s="127">
        <v>4</v>
      </c>
      <c r="BM4388" s="127">
        <v>0.11332468572476186</v>
      </c>
      <c r="BN4388" s="127" t="e">
        <v>#N/A</v>
      </c>
      <c r="BO4388" s="127" t="e">
        <v>#N/A</v>
      </c>
      <c r="BP4388" s="151" t="e">
        <v>#N/A</v>
      </c>
      <c r="BQ4388">
        <v>0.11332468572476186</v>
      </c>
      <c r="BR4388" t="str">
        <v/>
      </c>
    </row>
    <row r="4389" spans="47:70" x14ac:dyDescent="0.2">
      <c r="AU4389"/>
      <c r="AV4389"/>
      <c r="AW4389"/>
      <c r="AX4389"/>
      <c r="AY4389"/>
      <c r="BK4389" s="42">
        <v>4388</v>
      </c>
      <c r="BL4389" s="127">
        <v>4</v>
      </c>
      <c r="BM4389" s="127">
        <v>0.11332468572476186</v>
      </c>
      <c r="BN4389" s="127" t="e">
        <v>#N/A</v>
      </c>
      <c r="BO4389" s="127" t="e">
        <v>#N/A</v>
      </c>
      <c r="BP4389" s="151" t="e">
        <v>#N/A</v>
      </c>
      <c r="BQ4389">
        <v>0.11332468572476186</v>
      </c>
      <c r="BR4389" t="str">
        <v/>
      </c>
    </row>
    <row r="4390" spans="47:70" x14ac:dyDescent="0.2">
      <c r="AU4390"/>
      <c r="AV4390"/>
      <c r="AW4390"/>
      <c r="AX4390"/>
      <c r="AY4390"/>
      <c r="BK4390" s="42">
        <v>4389</v>
      </c>
      <c r="BL4390" s="127">
        <v>4</v>
      </c>
      <c r="BM4390" s="127">
        <v>0.11332468572476186</v>
      </c>
      <c r="BN4390" s="127" t="e">
        <v>#N/A</v>
      </c>
      <c r="BO4390" s="127" t="e">
        <v>#N/A</v>
      </c>
      <c r="BP4390" s="151" t="e">
        <v>#N/A</v>
      </c>
      <c r="BQ4390">
        <v>0.11332468572476186</v>
      </c>
      <c r="BR4390" t="str">
        <v/>
      </c>
    </row>
    <row r="4391" spans="47:70" x14ac:dyDescent="0.2">
      <c r="AU4391"/>
      <c r="AV4391"/>
      <c r="AW4391"/>
      <c r="AX4391"/>
      <c r="AY4391"/>
      <c r="BK4391" s="42">
        <v>4390</v>
      </c>
      <c r="BL4391" s="127">
        <v>4</v>
      </c>
      <c r="BM4391" s="127">
        <v>0.11332468572476186</v>
      </c>
      <c r="BN4391" s="127" t="e">
        <v>#N/A</v>
      </c>
      <c r="BO4391" s="127" t="e">
        <v>#N/A</v>
      </c>
      <c r="BP4391" s="151" t="e">
        <v>#N/A</v>
      </c>
      <c r="BQ4391">
        <v>0.11332468572476186</v>
      </c>
      <c r="BR4391" t="str">
        <v/>
      </c>
    </row>
    <row r="4392" spans="47:70" x14ac:dyDescent="0.2">
      <c r="AU4392"/>
      <c r="AV4392"/>
      <c r="AW4392"/>
      <c r="AX4392"/>
      <c r="AY4392"/>
      <c r="BK4392" s="42">
        <v>4391</v>
      </c>
      <c r="BL4392" s="127">
        <v>4</v>
      </c>
      <c r="BM4392" s="127">
        <v>0.11332468572476186</v>
      </c>
      <c r="BN4392" s="127" t="e">
        <v>#N/A</v>
      </c>
      <c r="BO4392" s="127" t="e">
        <v>#N/A</v>
      </c>
      <c r="BP4392" s="151" t="e">
        <v>#N/A</v>
      </c>
      <c r="BQ4392">
        <v>0.11332468572476186</v>
      </c>
      <c r="BR4392" t="str">
        <v/>
      </c>
    </row>
    <row r="4393" spans="47:70" x14ac:dyDescent="0.2">
      <c r="AU4393"/>
      <c r="AV4393"/>
      <c r="AW4393"/>
      <c r="AX4393"/>
      <c r="AY4393"/>
      <c r="BK4393" s="42">
        <v>4392</v>
      </c>
      <c r="BL4393" s="127">
        <v>4</v>
      </c>
      <c r="BM4393" s="127">
        <v>0.11332468572476186</v>
      </c>
      <c r="BN4393" s="127" t="e">
        <v>#N/A</v>
      </c>
      <c r="BO4393" s="127" t="e">
        <v>#N/A</v>
      </c>
      <c r="BP4393" s="151" t="e">
        <v>#N/A</v>
      </c>
      <c r="BQ4393">
        <v>0.11332468572476186</v>
      </c>
      <c r="BR4393" t="str">
        <v/>
      </c>
    </row>
    <row r="4394" spans="47:70" x14ac:dyDescent="0.2">
      <c r="AU4394"/>
      <c r="AV4394"/>
      <c r="AW4394"/>
      <c r="AX4394"/>
      <c r="AY4394"/>
      <c r="BK4394" s="42">
        <v>4393</v>
      </c>
      <c r="BL4394" s="127">
        <v>4</v>
      </c>
      <c r="BM4394" s="127">
        <v>0.11332468572476186</v>
      </c>
      <c r="BN4394" s="127" t="e">
        <v>#N/A</v>
      </c>
      <c r="BO4394" s="127" t="e">
        <v>#N/A</v>
      </c>
      <c r="BP4394" s="151" t="e">
        <v>#N/A</v>
      </c>
      <c r="BQ4394">
        <v>0.11332468572476186</v>
      </c>
      <c r="BR4394" t="str">
        <v/>
      </c>
    </row>
    <row r="4395" spans="47:70" x14ac:dyDescent="0.2">
      <c r="AU4395"/>
      <c r="AV4395"/>
      <c r="AW4395"/>
      <c r="AX4395"/>
      <c r="AY4395"/>
      <c r="BK4395" s="42">
        <v>4394</v>
      </c>
      <c r="BL4395" s="127">
        <v>4</v>
      </c>
      <c r="BM4395" s="127">
        <v>0.11332468572476186</v>
      </c>
      <c r="BN4395" s="127" t="e">
        <v>#N/A</v>
      </c>
      <c r="BO4395" s="127" t="e">
        <v>#N/A</v>
      </c>
      <c r="BP4395" s="151" t="e">
        <v>#N/A</v>
      </c>
      <c r="BQ4395">
        <v>0.11332468572476186</v>
      </c>
      <c r="BR4395" t="str">
        <v/>
      </c>
    </row>
    <row r="4396" spans="47:70" x14ac:dyDescent="0.2">
      <c r="AU4396"/>
      <c r="AV4396"/>
      <c r="AW4396"/>
      <c r="AX4396"/>
      <c r="AY4396"/>
      <c r="BK4396" s="42">
        <v>4395</v>
      </c>
      <c r="BL4396" s="127">
        <v>4</v>
      </c>
      <c r="BM4396" s="127">
        <v>0.11332468572476186</v>
      </c>
      <c r="BN4396" s="127" t="e">
        <v>#N/A</v>
      </c>
      <c r="BO4396" s="127" t="e">
        <v>#N/A</v>
      </c>
      <c r="BP4396" s="151" t="e">
        <v>#N/A</v>
      </c>
      <c r="BQ4396">
        <v>0.11332468572476186</v>
      </c>
      <c r="BR4396" t="str">
        <v/>
      </c>
    </row>
    <row r="4397" spans="47:70" x14ac:dyDescent="0.2">
      <c r="AU4397"/>
      <c r="AV4397"/>
      <c r="AW4397"/>
      <c r="AX4397"/>
      <c r="AY4397"/>
      <c r="BK4397" s="42">
        <v>4396</v>
      </c>
      <c r="BL4397" s="127">
        <v>4</v>
      </c>
      <c r="BM4397" s="127">
        <v>0.11332468572476186</v>
      </c>
      <c r="BN4397" s="127" t="e">
        <v>#N/A</v>
      </c>
      <c r="BO4397" s="127" t="e">
        <v>#N/A</v>
      </c>
      <c r="BP4397" s="151" t="e">
        <v>#N/A</v>
      </c>
      <c r="BQ4397">
        <v>0.11332468572476186</v>
      </c>
      <c r="BR4397" t="str">
        <v/>
      </c>
    </row>
    <row r="4398" spans="47:70" x14ac:dyDescent="0.2">
      <c r="AU4398"/>
      <c r="AV4398"/>
      <c r="AW4398"/>
      <c r="AX4398"/>
      <c r="AY4398"/>
      <c r="BK4398" s="42">
        <v>4397</v>
      </c>
      <c r="BL4398" s="127">
        <v>4</v>
      </c>
      <c r="BM4398" s="127">
        <v>0.11332468572476186</v>
      </c>
      <c r="BN4398" s="127" t="e">
        <v>#N/A</v>
      </c>
      <c r="BO4398" s="127" t="e">
        <v>#N/A</v>
      </c>
      <c r="BP4398" s="151" t="e">
        <v>#N/A</v>
      </c>
      <c r="BQ4398">
        <v>0.11332468572476186</v>
      </c>
      <c r="BR4398" t="str">
        <v/>
      </c>
    </row>
    <row r="4399" spans="47:70" x14ac:dyDescent="0.2">
      <c r="AU4399"/>
      <c r="AV4399"/>
      <c r="AW4399"/>
      <c r="AX4399"/>
      <c r="AY4399"/>
      <c r="BK4399" s="42">
        <v>4398</v>
      </c>
      <c r="BL4399" s="127">
        <v>4</v>
      </c>
      <c r="BM4399" s="127">
        <v>0.11332468572476186</v>
      </c>
      <c r="BN4399" s="127" t="e">
        <v>#N/A</v>
      </c>
      <c r="BO4399" s="127" t="e">
        <v>#N/A</v>
      </c>
      <c r="BP4399" s="151" t="e">
        <v>#N/A</v>
      </c>
      <c r="BQ4399">
        <v>0.11332468572476186</v>
      </c>
      <c r="BR4399" t="str">
        <v/>
      </c>
    </row>
    <row r="4400" spans="47:70" x14ac:dyDescent="0.2">
      <c r="AU4400"/>
      <c r="AV4400"/>
      <c r="AW4400"/>
      <c r="AX4400"/>
      <c r="AY4400"/>
      <c r="BK4400" s="42">
        <v>4399</v>
      </c>
      <c r="BL4400" s="127">
        <v>4</v>
      </c>
      <c r="BM4400" s="127">
        <v>0.11332468572476186</v>
      </c>
      <c r="BN4400" s="127" t="e">
        <v>#N/A</v>
      </c>
      <c r="BO4400" s="127" t="e">
        <v>#N/A</v>
      </c>
      <c r="BP4400" s="151" t="e">
        <v>#N/A</v>
      </c>
      <c r="BQ4400">
        <v>0.11332468572476186</v>
      </c>
      <c r="BR4400" t="str">
        <v/>
      </c>
    </row>
    <row r="4401" spans="47:70" x14ac:dyDescent="0.2">
      <c r="AU4401"/>
      <c r="AV4401"/>
      <c r="AW4401"/>
      <c r="AX4401"/>
      <c r="AY4401"/>
      <c r="BK4401" s="42">
        <v>4400</v>
      </c>
      <c r="BL4401" s="127">
        <v>4</v>
      </c>
      <c r="BM4401" s="127">
        <v>0.11332468572476186</v>
      </c>
      <c r="BN4401" s="127" t="e">
        <v>#N/A</v>
      </c>
      <c r="BO4401" s="127" t="e">
        <v>#N/A</v>
      </c>
      <c r="BP4401" s="151" t="e">
        <v>#N/A</v>
      </c>
      <c r="BQ4401">
        <v>0.11332468572476186</v>
      </c>
      <c r="BR4401" t="str">
        <v/>
      </c>
    </row>
    <row r="4402" spans="47:70" x14ac:dyDescent="0.2">
      <c r="AU4402"/>
      <c r="AV4402"/>
      <c r="AW4402"/>
      <c r="AX4402"/>
      <c r="AY4402"/>
      <c r="BK4402" s="42">
        <v>4401</v>
      </c>
      <c r="BL4402" s="127">
        <v>4</v>
      </c>
      <c r="BM4402" s="127">
        <v>0.11332468572476186</v>
      </c>
      <c r="BN4402" s="127" t="e">
        <v>#N/A</v>
      </c>
      <c r="BO4402" s="127" t="e">
        <v>#N/A</v>
      </c>
      <c r="BP4402" s="151" t="e">
        <v>#N/A</v>
      </c>
      <c r="BQ4402">
        <v>0.11332468572476186</v>
      </c>
      <c r="BR4402" t="str">
        <v/>
      </c>
    </row>
    <row r="4403" spans="47:70" x14ac:dyDescent="0.2">
      <c r="AU4403"/>
      <c r="AV4403"/>
      <c r="AW4403"/>
      <c r="AX4403"/>
      <c r="AY4403"/>
      <c r="BK4403" s="42">
        <v>4402</v>
      </c>
      <c r="BL4403" s="127">
        <v>4</v>
      </c>
      <c r="BM4403" s="127">
        <v>0.11332468572476186</v>
      </c>
      <c r="BN4403" s="127" t="e">
        <v>#N/A</v>
      </c>
      <c r="BO4403" s="127" t="e">
        <v>#N/A</v>
      </c>
      <c r="BP4403" s="151" t="e">
        <v>#N/A</v>
      </c>
      <c r="BQ4403">
        <v>0.11332468572476186</v>
      </c>
      <c r="BR4403" t="str">
        <v/>
      </c>
    </row>
    <row r="4404" spans="47:70" x14ac:dyDescent="0.2">
      <c r="AU4404"/>
      <c r="AV4404"/>
      <c r="AW4404"/>
      <c r="AX4404"/>
      <c r="AY4404"/>
      <c r="BK4404" s="42">
        <v>4403</v>
      </c>
      <c r="BL4404" s="127">
        <v>4</v>
      </c>
      <c r="BM4404" s="127">
        <v>0.11332468572476186</v>
      </c>
      <c r="BN4404" s="127" t="e">
        <v>#N/A</v>
      </c>
      <c r="BO4404" s="127" t="e">
        <v>#N/A</v>
      </c>
      <c r="BP4404" s="151" t="e">
        <v>#N/A</v>
      </c>
      <c r="BQ4404">
        <v>0.11332468572476186</v>
      </c>
      <c r="BR4404" t="str">
        <v/>
      </c>
    </row>
    <row r="4405" spans="47:70" x14ac:dyDescent="0.2">
      <c r="AU4405"/>
      <c r="AV4405"/>
      <c r="AW4405"/>
      <c r="AX4405"/>
      <c r="AY4405"/>
      <c r="BK4405" s="42">
        <v>4404</v>
      </c>
      <c r="BL4405" s="127">
        <v>4</v>
      </c>
      <c r="BM4405" s="127">
        <v>0.11332468572476186</v>
      </c>
      <c r="BN4405" s="127" t="e">
        <v>#N/A</v>
      </c>
      <c r="BO4405" s="127" t="e">
        <v>#N/A</v>
      </c>
      <c r="BP4405" s="151" t="e">
        <v>#N/A</v>
      </c>
      <c r="BQ4405">
        <v>0.11332468572476186</v>
      </c>
      <c r="BR4405" t="str">
        <v/>
      </c>
    </row>
    <row r="4406" spans="47:70" x14ac:dyDescent="0.2">
      <c r="AU4406"/>
      <c r="AV4406"/>
      <c r="AW4406"/>
      <c r="AX4406"/>
      <c r="AY4406"/>
      <c r="BK4406" s="42">
        <v>4405</v>
      </c>
      <c r="BL4406" s="127">
        <v>4</v>
      </c>
      <c r="BM4406" s="127">
        <v>0.11332468572476186</v>
      </c>
      <c r="BN4406" s="127" t="e">
        <v>#N/A</v>
      </c>
      <c r="BO4406" s="127" t="e">
        <v>#N/A</v>
      </c>
      <c r="BP4406" s="151" t="e">
        <v>#N/A</v>
      </c>
      <c r="BQ4406">
        <v>0.11332468572476186</v>
      </c>
      <c r="BR4406" t="str">
        <v/>
      </c>
    </row>
    <row r="4407" spans="47:70" x14ac:dyDescent="0.2">
      <c r="AU4407"/>
      <c r="AV4407"/>
      <c r="AW4407"/>
      <c r="AX4407"/>
      <c r="AY4407"/>
      <c r="BK4407" s="42">
        <v>4406</v>
      </c>
      <c r="BL4407" s="127">
        <v>4</v>
      </c>
      <c r="BM4407" s="127">
        <v>0.11332468572476186</v>
      </c>
      <c r="BN4407" s="127" t="e">
        <v>#N/A</v>
      </c>
      <c r="BO4407" s="127" t="e">
        <v>#N/A</v>
      </c>
      <c r="BP4407" s="151" t="e">
        <v>#N/A</v>
      </c>
      <c r="BQ4407">
        <v>0.11332468572476186</v>
      </c>
      <c r="BR4407" t="str">
        <v/>
      </c>
    </row>
    <row r="4408" spans="47:70" x14ac:dyDescent="0.2">
      <c r="AU4408"/>
      <c r="AV4408"/>
      <c r="AW4408"/>
      <c r="AX4408"/>
      <c r="AY4408"/>
      <c r="BK4408" s="42">
        <v>4407</v>
      </c>
      <c r="BL4408" s="127">
        <v>4</v>
      </c>
      <c r="BM4408" s="127">
        <v>0.11332468572476186</v>
      </c>
      <c r="BN4408" s="127" t="e">
        <v>#N/A</v>
      </c>
      <c r="BO4408" s="127" t="e">
        <v>#N/A</v>
      </c>
      <c r="BP4408" s="151" t="e">
        <v>#N/A</v>
      </c>
      <c r="BQ4408">
        <v>0.11332468572476186</v>
      </c>
      <c r="BR4408" t="str">
        <v/>
      </c>
    </row>
    <row r="4409" spans="47:70" x14ac:dyDescent="0.2">
      <c r="AU4409"/>
      <c r="AV4409"/>
      <c r="AW4409"/>
      <c r="AX4409"/>
      <c r="AY4409"/>
      <c r="BK4409" s="42">
        <v>4408</v>
      </c>
      <c r="BL4409" s="127">
        <v>4</v>
      </c>
      <c r="BM4409" s="127">
        <v>0.11332468572476186</v>
      </c>
      <c r="BN4409" s="127" t="e">
        <v>#N/A</v>
      </c>
      <c r="BO4409" s="127" t="e">
        <v>#N/A</v>
      </c>
      <c r="BP4409" s="151" t="e">
        <v>#N/A</v>
      </c>
      <c r="BQ4409">
        <v>0.11332468572476186</v>
      </c>
      <c r="BR4409" t="str">
        <v/>
      </c>
    </row>
    <row r="4410" spans="47:70" x14ac:dyDescent="0.2">
      <c r="AU4410"/>
      <c r="AV4410"/>
      <c r="AW4410"/>
      <c r="AX4410"/>
      <c r="AY4410"/>
      <c r="BK4410" s="42">
        <v>4409</v>
      </c>
      <c r="BL4410" s="127">
        <v>4</v>
      </c>
      <c r="BM4410" s="127">
        <v>0.11332468572476186</v>
      </c>
      <c r="BN4410" s="127" t="e">
        <v>#N/A</v>
      </c>
      <c r="BO4410" s="127" t="e">
        <v>#N/A</v>
      </c>
      <c r="BP4410" s="151" t="e">
        <v>#N/A</v>
      </c>
      <c r="BQ4410">
        <v>0.11332468572476186</v>
      </c>
      <c r="BR4410" t="str">
        <v/>
      </c>
    </row>
    <row r="4411" spans="47:70" x14ac:dyDescent="0.2">
      <c r="AU4411"/>
      <c r="AV4411"/>
      <c r="AW4411"/>
      <c r="AX4411"/>
      <c r="AY4411"/>
      <c r="BK4411" s="42">
        <v>4410</v>
      </c>
      <c r="BL4411" s="127">
        <v>4</v>
      </c>
      <c r="BM4411" s="127">
        <v>0.11332468572476186</v>
      </c>
      <c r="BN4411" s="127" t="e">
        <v>#N/A</v>
      </c>
      <c r="BO4411" s="127" t="e">
        <v>#N/A</v>
      </c>
      <c r="BP4411" s="151" t="e">
        <v>#N/A</v>
      </c>
      <c r="BQ4411">
        <v>0.11332468572476186</v>
      </c>
      <c r="BR4411" t="str">
        <v/>
      </c>
    </row>
    <row r="4412" spans="47:70" x14ac:dyDescent="0.2">
      <c r="AU4412"/>
      <c r="AV4412"/>
      <c r="AW4412"/>
      <c r="AX4412"/>
      <c r="AY4412"/>
      <c r="BK4412" s="42">
        <v>4411</v>
      </c>
      <c r="BL4412" s="127">
        <v>4</v>
      </c>
      <c r="BM4412" s="127">
        <v>0.11332468572476186</v>
      </c>
      <c r="BN4412" s="127" t="e">
        <v>#N/A</v>
      </c>
      <c r="BO4412" s="127" t="e">
        <v>#N/A</v>
      </c>
      <c r="BP4412" s="151" t="e">
        <v>#N/A</v>
      </c>
      <c r="BQ4412">
        <v>0.11332468572476186</v>
      </c>
      <c r="BR4412" t="str">
        <v/>
      </c>
    </row>
    <row r="4413" spans="47:70" x14ac:dyDescent="0.2">
      <c r="AU4413"/>
      <c r="AV4413"/>
      <c r="AW4413"/>
      <c r="AX4413"/>
      <c r="AY4413"/>
      <c r="BK4413" s="42">
        <v>4412</v>
      </c>
      <c r="BL4413" s="127">
        <v>4</v>
      </c>
      <c r="BM4413" s="127">
        <v>0.11332468572476186</v>
      </c>
      <c r="BN4413" s="127" t="e">
        <v>#N/A</v>
      </c>
      <c r="BO4413" s="127" t="e">
        <v>#N/A</v>
      </c>
      <c r="BP4413" s="151" t="e">
        <v>#N/A</v>
      </c>
      <c r="BQ4413">
        <v>0.11332468572476186</v>
      </c>
      <c r="BR4413" t="str">
        <v/>
      </c>
    </row>
    <row r="4414" spans="47:70" x14ac:dyDescent="0.2">
      <c r="AU4414"/>
      <c r="AV4414"/>
      <c r="AW4414"/>
      <c r="AX4414"/>
      <c r="AY4414"/>
      <c r="BK4414" s="42">
        <v>4413</v>
      </c>
      <c r="BL4414" s="127">
        <v>4</v>
      </c>
      <c r="BM4414" s="127">
        <v>0.11332468572476186</v>
      </c>
      <c r="BN4414" s="127" t="e">
        <v>#N/A</v>
      </c>
      <c r="BO4414" s="127" t="e">
        <v>#N/A</v>
      </c>
      <c r="BP4414" s="151" t="e">
        <v>#N/A</v>
      </c>
      <c r="BQ4414">
        <v>0.11332468572476186</v>
      </c>
      <c r="BR4414" t="str">
        <v/>
      </c>
    </row>
    <row r="4415" spans="47:70" x14ac:dyDescent="0.2">
      <c r="AU4415"/>
      <c r="AV4415"/>
      <c r="AW4415"/>
      <c r="AX4415"/>
      <c r="AY4415"/>
      <c r="BK4415" s="42">
        <v>4414</v>
      </c>
      <c r="BL4415" s="127">
        <v>4</v>
      </c>
      <c r="BM4415" s="127">
        <v>0.11332468572476186</v>
      </c>
      <c r="BN4415" s="127" t="e">
        <v>#N/A</v>
      </c>
      <c r="BO4415" s="127" t="e">
        <v>#N/A</v>
      </c>
      <c r="BP4415" s="151" t="e">
        <v>#N/A</v>
      </c>
      <c r="BQ4415">
        <v>0.11332468572476186</v>
      </c>
      <c r="BR4415" t="str">
        <v/>
      </c>
    </row>
    <row r="4416" spans="47:70" x14ac:dyDescent="0.2">
      <c r="AU4416"/>
      <c r="AV4416"/>
      <c r="AW4416"/>
      <c r="AX4416"/>
      <c r="AY4416"/>
      <c r="BK4416" s="42">
        <v>4415</v>
      </c>
      <c r="BL4416" s="127">
        <v>4</v>
      </c>
      <c r="BM4416" s="127">
        <v>0.11332468572476186</v>
      </c>
      <c r="BN4416" s="127" t="e">
        <v>#N/A</v>
      </c>
      <c r="BO4416" s="127" t="e">
        <v>#N/A</v>
      </c>
      <c r="BP4416" s="151" t="e">
        <v>#N/A</v>
      </c>
      <c r="BQ4416">
        <v>0.11332468572476186</v>
      </c>
      <c r="BR4416" t="str">
        <v/>
      </c>
    </row>
    <row r="4417" spans="47:70" x14ac:dyDescent="0.2">
      <c r="AU4417"/>
      <c r="AV4417"/>
      <c r="AW4417"/>
      <c r="AX4417"/>
      <c r="AY4417"/>
      <c r="BK4417" s="42">
        <v>4416</v>
      </c>
      <c r="BL4417" s="127">
        <v>4</v>
      </c>
      <c r="BM4417" s="127">
        <v>0.11332468572476186</v>
      </c>
      <c r="BN4417" s="127" t="e">
        <v>#N/A</v>
      </c>
      <c r="BO4417" s="127" t="e">
        <v>#N/A</v>
      </c>
      <c r="BP4417" s="151" t="e">
        <v>#N/A</v>
      </c>
      <c r="BQ4417">
        <v>0.11332468572476186</v>
      </c>
      <c r="BR4417" t="str">
        <v/>
      </c>
    </row>
    <row r="4418" spans="47:70" x14ac:dyDescent="0.2">
      <c r="AU4418"/>
      <c r="AV4418"/>
      <c r="AW4418"/>
      <c r="AX4418"/>
      <c r="AY4418"/>
      <c r="BK4418" s="42">
        <v>4417</v>
      </c>
      <c r="BL4418" s="127">
        <v>4</v>
      </c>
      <c r="BM4418" s="127">
        <v>0.11332468572476186</v>
      </c>
      <c r="BN4418" s="127" t="e">
        <v>#N/A</v>
      </c>
      <c r="BO4418" s="127" t="e">
        <v>#N/A</v>
      </c>
      <c r="BP4418" s="151" t="e">
        <v>#N/A</v>
      </c>
      <c r="BQ4418">
        <v>0.11332468572476186</v>
      </c>
      <c r="BR4418" t="str">
        <v/>
      </c>
    </row>
    <row r="4419" spans="47:70" x14ac:dyDescent="0.2">
      <c r="AU4419"/>
      <c r="AV4419"/>
      <c r="AW4419"/>
      <c r="AX4419"/>
      <c r="AY4419"/>
      <c r="BK4419" s="42">
        <v>4418</v>
      </c>
      <c r="BL4419" s="127">
        <v>4</v>
      </c>
      <c r="BM4419" s="127">
        <v>0.11332468572476186</v>
      </c>
      <c r="BN4419" s="127" t="e">
        <v>#N/A</v>
      </c>
      <c r="BO4419" s="127" t="e">
        <v>#N/A</v>
      </c>
      <c r="BP4419" s="151" t="e">
        <v>#N/A</v>
      </c>
      <c r="BQ4419">
        <v>0.11332468572476186</v>
      </c>
      <c r="BR4419" t="str">
        <v/>
      </c>
    </row>
    <row r="4420" spans="47:70" x14ac:dyDescent="0.2">
      <c r="AU4420"/>
      <c r="AV4420"/>
      <c r="AW4420"/>
      <c r="AX4420"/>
      <c r="AY4420"/>
      <c r="BK4420" s="42">
        <v>4419</v>
      </c>
      <c r="BL4420" s="127">
        <v>4</v>
      </c>
      <c r="BM4420" s="127">
        <v>0.11332468572476186</v>
      </c>
      <c r="BN4420" s="127" t="e">
        <v>#N/A</v>
      </c>
      <c r="BO4420" s="127" t="e">
        <v>#N/A</v>
      </c>
      <c r="BP4420" s="151" t="e">
        <v>#N/A</v>
      </c>
      <c r="BQ4420">
        <v>0.11332468572476186</v>
      </c>
      <c r="BR4420" t="str">
        <v/>
      </c>
    </row>
    <row r="4421" spans="47:70" x14ac:dyDescent="0.2">
      <c r="AU4421"/>
      <c r="AV4421"/>
      <c r="AW4421"/>
      <c r="AX4421"/>
      <c r="AY4421"/>
      <c r="BK4421" s="42">
        <v>4420</v>
      </c>
      <c r="BL4421" s="127">
        <v>4</v>
      </c>
      <c r="BM4421" s="127">
        <v>0.11332468572476186</v>
      </c>
      <c r="BN4421" s="127" t="e">
        <v>#N/A</v>
      </c>
      <c r="BO4421" s="127" t="e">
        <v>#N/A</v>
      </c>
      <c r="BP4421" s="151" t="e">
        <v>#N/A</v>
      </c>
      <c r="BQ4421">
        <v>0.11332468572476186</v>
      </c>
      <c r="BR4421" t="str">
        <v/>
      </c>
    </row>
    <row r="4422" spans="47:70" x14ac:dyDescent="0.2">
      <c r="AU4422"/>
      <c r="AV4422"/>
      <c r="AW4422"/>
      <c r="AX4422"/>
      <c r="AY4422"/>
      <c r="BK4422" s="42">
        <v>4421</v>
      </c>
      <c r="BL4422" s="127">
        <v>4</v>
      </c>
      <c r="BM4422" s="127">
        <v>0.11332468572476186</v>
      </c>
      <c r="BN4422" s="127" t="e">
        <v>#N/A</v>
      </c>
      <c r="BO4422" s="127" t="e">
        <v>#N/A</v>
      </c>
      <c r="BP4422" s="151" t="e">
        <v>#N/A</v>
      </c>
      <c r="BQ4422">
        <v>0.11332468572476186</v>
      </c>
      <c r="BR4422" t="str">
        <v/>
      </c>
    </row>
    <row r="4423" spans="47:70" x14ac:dyDescent="0.2">
      <c r="AU4423"/>
      <c r="AV4423"/>
      <c r="AW4423"/>
      <c r="AX4423"/>
      <c r="AY4423"/>
      <c r="BK4423" s="42">
        <v>4422</v>
      </c>
      <c r="BL4423" s="127">
        <v>4</v>
      </c>
      <c r="BM4423" s="127">
        <v>0.11332468572476186</v>
      </c>
      <c r="BN4423" s="127" t="e">
        <v>#N/A</v>
      </c>
      <c r="BO4423" s="127" t="e">
        <v>#N/A</v>
      </c>
      <c r="BP4423" s="151" t="e">
        <v>#N/A</v>
      </c>
      <c r="BQ4423">
        <v>0.11332468572476186</v>
      </c>
      <c r="BR4423" t="str">
        <v/>
      </c>
    </row>
    <row r="4424" spans="47:70" x14ac:dyDescent="0.2">
      <c r="AU4424"/>
      <c r="AV4424"/>
      <c r="AW4424"/>
      <c r="AX4424"/>
      <c r="AY4424"/>
      <c r="BK4424" s="42">
        <v>4423</v>
      </c>
      <c r="BL4424" s="127">
        <v>4</v>
      </c>
      <c r="BM4424" s="127">
        <v>0.11332468572476186</v>
      </c>
      <c r="BN4424" s="127" t="e">
        <v>#N/A</v>
      </c>
      <c r="BO4424" s="127" t="e">
        <v>#N/A</v>
      </c>
      <c r="BP4424" s="151" t="e">
        <v>#N/A</v>
      </c>
      <c r="BQ4424">
        <v>0.11332468572476186</v>
      </c>
      <c r="BR4424" t="str">
        <v/>
      </c>
    </row>
    <row r="4425" spans="47:70" x14ac:dyDescent="0.2">
      <c r="AU4425"/>
      <c r="AV4425"/>
      <c r="AW4425"/>
      <c r="AX4425"/>
      <c r="AY4425"/>
      <c r="BK4425" s="42">
        <v>4424</v>
      </c>
      <c r="BL4425" s="127">
        <v>4</v>
      </c>
      <c r="BM4425" s="127">
        <v>0.11332468572476186</v>
      </c>
      <c r="BN4425" s="127" t="e">
        <v>#N/A</v>
      </c>
      <c r="BO4425" s="127" t="e">
        <v>#N/A</v>
      </c>
      <c r="BP4425" s="151" t="e">
        <v>#N/A</v>
      </c>
      <c r="BQ4425">
        <v>0.11332468572476186</v>
      </c>
      <c r="BR4425" t="str">
        <v/>
      </c>
    </row>
    <row r="4426" spans="47:70" x14ac:dyDescent="0.2">
      <c r="AU4426"/>
      <c r="AV4426"/>
      <c r="AW4426"/>
      <c r="AX4426"/>
      <c r="AY4426"/>
      <c r="BK4426" s="42">
        <v>4425</v>
      </c>
      <c r="BL4426" s="127">
        <v>4</v>
      </c>
      <c r="BM4426" s="127">
        <v>0.11332468572476186</v>
      </c>
      <c r="BN4426" s="127" t="e">
        <v>#N/A</v>
      </c>
      <c r="BO4426" s="127" t="e">
        <v>#N/A</v>
      </c>
      <c r="BP4426" s="151" t="e">
        <v>#N/A</v>
      </c>
      <c r="BQ4426">
        <v>0.11332468572476186</v>
      </c>
      <c r="BR4426" t="str">
        <v/>
      </c>
    </row>
    <row r="4427" spans="47:70" x14ac:dyDescent="0.2">
      <c r="AU4427"/>
      <c r="AV4427"/>
      <c r="AW4427"/>
      <c r="AX4427"/>
      <c r="AY4427"/>
      <c r="BK4427" s="42">
        <v>4426</v>
      </c>
      <c r="BL4427" s="127">
        <v>4</v>
      </c>
      <c r="BM4427" s="127">
        <v>0.11332468572476186</v>
      </c>
      <c r="BN4427" s="127" t="e">
        <v>#N/A</v>
      </c>
      <c r="BO4427" s="127" t="e">
        <v>#N/A</v>
      </c>
      <c r="BP4427" s="151" t="e">
        <v>#N/A</v>
      </c>
      <c r="BQ4427">
        <v>0.11332468572476186</v>
      </c>
      <c r="BR4427" t="str">
        <v/>
      </c>
    </row>
    <row r="4428" spans="47:70" x14ac:dyDescent="0.2">
      <c r="AU4428"/>
      <c r="AV4428"/>
      <c r="AW4428"/>
      <c r="AX4428"/>
      <c r="AY4428"/>
      <c r="BK4428" s="42">
        <v>4427</v>
      </c>
      <c r="BL4428" s="127">
        <v>4</v>
      </c>
      <c r="BM4428" s="127">
        <v>0.11332468572476186</v>
      </c>
      <c r="BN4428" s="127" t="e">
        <v>#N/A</v>
      </c>
      <c r="BO4428" s="127" t="e">
        <v>#N/A</v>
      </c>
      <c r="BP4428" s="151" t="e">
        <v>#N/A</v>
      </c>
      <c r="BQ4428">
        <v>0.11332468572476186</v>
      </c>
      <c r="BR4428" t="str">
        <v/>
      </c>
    </row>
    <row r="4429" spans="47:70" x14ac:dyDescent="0.2">
      <c r="AU4429"/>
      <c r="AV4429"/>
      <c r="AW4429"/>
      <c r="AX4429"/>
      <c r="AY4429"/>
      <c r="BK4429" s="42">
        <v>4428</v>
      </c>
      <c r="BL4429" s="127">
        <v>4</v>
      </c>
      <c r="BM4429" s="127">
        <v>0.11332468572476186</v>
      </c>
      <c r="BN4429" s="127" t="e">
        <v>#N/A</v>
      </c>
      <c r="BO4429" s="127" t="e">
        <v>#N/A</v>
      </c>
      <c r="BP4429" s="151" t="e">
        <v>#N/A</v>
      </c>
      <c r="BQ4429">
        <v>0.11332468572476186</v>
      </c>
      <c r="BR4429" t="str">
        <v/>
      </c>
    </row>
    <row r="4430" spans="47:70" x14ac:dyDescent="0.2">
      <c r="AU4430"/>
      <c r="AV4430"/>
      <c r="AW4430"/>
      <c r="AX4430"/>
      <c r="AY4430"/>
      <c r="BK4430" s="42">
        <v>4429</v>
      </c>
      <c r="BL4430" s="127">
        <v>4</v>
      </c>
      <c r="BM4430" s="127">
        <v>0.11332468572476186</v>
      </c>
      <c r="BN4430" s="127" t="e">
        <v>#N/A</v>
      </c>
      <c r="BO4430" s="127" t="e">
        <v>#N/A</v>
      </c>
      <c r="BP4430" s="151" t="e">
        <v>#N/A</v>
      </c>
      <c r="BQ4430">
        <v>0.11332468572476186</v>
      </c>
      <c r="BR4430" t="str">
        <v/>
      </c>
    </row>
    <row r="4431" spans="47:70" x14ac:dyDescent="0.2">
      <c r="AU4431"/>
      <c r="AV4431"/>
      <c r="AW4431"/>
      <c r="AX4431"/>
      <c r="AY4431"/>
      <c r="BK4431" s="42">
        <v>4430</v>
      </c>
      <c r="BL4431" s="127">
        <v>4</v>
      </c>
      <c r="BM4431" s="127">
        <v>0.11332468572476186</v>
      </c>
      <c r="BN4431" s="127" t="e">
        <v>#N/A</v>
      </c>
      <c r="BO4431" s="127" t="e">
        <v>#N/A</v>
      </c>
      <c r="BP4431" s="151" t="e">
        <v>#N/A</v>
      </c>
      <c r="BQ4431">
        <v>0.11332468572476186</v>
      </c>
      <c r="BR4431" t="str">
        <v/>
      </c>
    </row>
    <row r="4432" spans="47:70" x14ac:dyDescent="0.2">
      <c r="AU4432"/>
      <c r="AV4432"/>
      <c r="AW4432"/>
      <c r="AX4432"/>
      <c r="AY4432"/>
      <c r="BK4432" s="42">
        <v>4431</v>
      </c>
      <c r="BL4432" s="127">
        <v>4</v>
      </c>
      <c r="BM4432" s="127">
        <v>0.11332468572476186</v>
      </c>
      <c r="BN4432" s="127" t="e">
        <v>#N/A</v>
      </c>
      <c r="BO4432" s="127" t="e">
        <v>#N/A</v>
      </c>
      <c r="BP4432" s="151" t="e">
        <v>#N/A</v>
      </c>
      <c r="BQ4432">
        <v>0.11332468572476186</v>
      </c>
      <c r="BR4432" t="str">
        <v/>
      </c>
    </row>
    <row r="4433" spans="47:70" x14ac:dyDescent="0.2">
      <c r="AU4433"/>
      <c r="AV4433"/>
      <c r="AW4433"/>
      <c r="AX4433"/>
      <c r="AY4433"/>
      <c r="BK4433" s="42">
        <v>4432</v>
      </c>
      <c r="BL4433" s="127">
        <v>4</v>
      </c>
      <c r="BM4433" s="127">
        <v>0.11332468572476186</v>
      </c>
      <c r="BN4433" s="127" t="e">
        <v>#N/A</v>
      </c>
      <c r="BO4433" s="127" t="e">
        <v>#N/A</v>
      </c>
      <c r="BP4433" s="151" t="e">
        <v>#N/A</v>
      </c>
      <c r="BQ4433">
        <v>0.11332468572476186</v>
      </c>
      <c r="BR4433" t="str">
        <v/>
      </c>
    </row>
    <row r="4434" spans="47:70" x14ac:dyDescent="0.2">
      <c r="AU4434"/>
      <c r="AV4434"/>
      <c r="AW4434"/>
      <c r="AX4434"/>
      <c r="AY4434"/>
      <c r="BK4434" s="42">
        <v>4433</v>
      </c>
      <c r="BL4434" s="127">
        <v>4</v>
      </c>
      <c r="BM4434" s="127">
        <v>0.11332468572476186</v>
      </c>
      <c r="BN4434" s="127" t="e">
        <v>#N/A</v>
      </c>
      <c r="BO4434" s="127" t="e">
        <v>#N/A</v>
      </c>
      <c r="BP4434" s="151" t="e">
        <v>#N/A</v>
      </c>
      <c r="BQ4434">
        <v>0.11332468572476186</v>
      </c>
      <c r="BR4434" t="str">
        <v/>
      </c>
    </row>
    <row r="4435" spans="47:70" x14ac:dyDescent="0.2">
      <c r="AU4435"/>
      <c r="AV4435"/>
      <c r="AW4435"/>
      <c r="AX4435"/>
      <c r="AY4435"/>
      <c r="BK4435" s="42">
        <v>4434</v>
      </c>
      <c r="BL4435" s="127">
        <v>4</v>
      </c>
      <c r="BM4435" s="127">
        <v>0.11332468572476186</v>
      </c>
      <c r="BN4435" s="127" t="e">
        <v>#N/A</v>
      </c>
      <c r="BO4435" s="127" t="e">
        <v>#N/A</v>
      </c>
      <c r="BP4435" s="151" t="e">
        <v>#N/A</v>
      </c>
      <c r="BQ4435">
        <v>0.11332468572476186</v>
      </c>
      <c r="BR4435" t="str">
        <v/>
      </c>
    </row>
    <row r="4436" spans="47:70" x14ac:dyDescent="0.2">
      <c r="AU4436"/>
      <c r="AV4436"/>
      <c r="AW4436"/>
      <c r="AX4436"/>
      <c r="AY4436"/>
      <c r="BK4436" s="42">
        <v>4435</v>
      </c>
      <c r="BL4436" s="127">
        <v>4</v>
      </c>
      <c r="BM4436" s="127">
        <v>0.11332468572476186</v>
      </c>
      <c r="BN4436" s="127" t="e">
        <v>#N/A</v>
      </c>
      <c r="BO4436" s="127" t="e">
        <v>#N/A</v>
      </c>
      <c r="BP4436" s="151" t="e">
        <v>#N/A</v>
      </c>
      <c r="BQ4436">
        <v>0.11332468572476186</v>
      </c>
      <c r="BR4436" t="str">
        <v/>
      </c>
    </row>
    <row r="4437" spans="47:70" x14ac:dyDescent="0.2">
      <c r="AU4437"/>
      <c r="AV4437"/>
      <c r="AW4437"/>
      <c r="AX4437"/>
      <c r="AY4437"/>
      <c r="BK4437" s="42">
        <v>4436</v>
      </c>
      <c r="BL4437" s="127">
        <v>4</v>
      </c>
      <c r="BM4437" s="127">
        <v>0.11332468572476186</v>
      </c>
      <c r="BN4437" s="127" t="e">
        <v>#N/A</v>
      </c>
      <c r="BO4437" s="127" t="e">
        <v>#N/A</v>
      </c>
      <c r="BP4437" s="151" t="e">
        <v>#N/A</v>
      </c>
      <c r="BQ4437">
        <v>0.11332468572476186</v>
      </c>
      <c r="BR4437" t="str">
        <v/>
      </c>
    </row>
    <row r="4438" spans="47:70" x14ac:dyDescent="0.2">
      <c r="AU4438"/>
      <c r="AV4438"/>
      <c r="AW4438"/>
      <c r="AX4438"/>
      <c r="AY4438"/>
      <c r="BK4438" s="42">
        <v>4437</v>
      </c>
      <c r="BL4438" s="127">
        <v>4</v>
      </c>
      <c r="BM4438" s="127">
        <v>0.11332468572476186</v>
      </c>
      <c r="BN4438" s="127" t="e">
        <v>#N/A</v>
      </c>
      <c r="BO4438" s="127" t="e">
        <v>#N/A</v>
      </c>
      <c r="BP4438" s="151" t="e">
        <v>#N/A</v>
      </c>
      <c r="BQ4438">
        <v>0.11332468572476186</v>
      </c>
      <c r="BR4438" t="str">
        <v/>
      </c>
    </row>
    <row r="4439" spans="47:70" x14ac:dyDescent="0.2">
      <c r="AU4439"/>
      <c r="AV4439"/>
      <c r="AW4439"/>
      <c r="AX4439"/>
      <c r="AY4439"/>
      <c r="BK4439" s="42">
        <v>4438</v>
      </c>
      <c r="BL4439" s="127">
        <v>4</v>
      </c>
      <c r="BM4439" s="127">
        <v>0.11332468572476186</v>
      </c>
      <c r="BN4439" s="127" t="e">
        <v>#N/A</v>
      </c>
      <c r="BO4439" s="127" t="e">
        <v>#N/A</v>
      </c>
      <c r="BP4439" s="151" t="e">
        <v>#N/A</v>
      </c>
      <c r="BQ4439">
        <v>0.11332468572476186</v>
      </c>
      <c r="BR4439" t="str">
        <v/>
      </c>
    </row>
    <row r="4440" spans="47:70" x14ac:dyDescent="0.2">
      <c r="AU4440"/>
      <c r="AV4440"/>
      <c r="AW4440"/>
      <c r="AX4440"/>
      <c r="AY4440"/>
      <c r="BK4440" s="42">
        <v>4439</v>
      </c>
      <c r="BL4440" s="127">
        <v>4</v>
      </c>
      <c r="BM4440" s="127">
        <v>0.11332468572476186</v>
      </c>
      <c r="BN4440" s="127" t="e">
        <v>#N/A</v>
      </c>
      <c r="BO4440" s="127" t="e">
        <v>#N/A</v>
      </c>
      <c r="BP4440" s="151" t="e">
        <v>#N/A</v>
      </c>
      <c r="BQ4440">
        <v>0.11332468572476186</v>
      </c>
      <c r="BR4440" t="str">
        <v/>
      </c>
    </row>
    <row r="4441" spans="47:70" x14ac:dyDescent="0.2">
      <c r="AU4441"/>
      <c r="AV4441"/>
      <c r="AW4441"/>
      <c r="AX4441"/>
      <c r="AY4441"/>
      <c r="BK4441" s="42">
        <v>4440</v>
      </c>
      <c r="BL4441" s="127">
        <v>4</v>
      </c>
      <c r="BM4441" s="127">
        <v>0.11332468572476186</v>
      </c>
      <c r="BN4441" s="127" t="e">
        <v>#N/A</v>
      </c>
      <c r="BO4441" s="127" t="e">
        <v>#N/A</v>
      </c>
      <c r="BP4441" s="151" t="e">
        <v>#N/A</v>
      </c>
      <c r="BQ4441">
        <v>0.11332468572476186</v>
      </c>
      <c r="BR4441" t="str">
        <v/>
      </c>
    </row>
    <row r="4442" spans="47:70" x14ac:dyDescent="0.2">
      <c r="AU4442"/>
      <c r="AV4442"/>
      <c r="AW4442"/>
      <c r="AX4442"/>
      <c r="AY4442"/>
      <c r="BK4442" s="42">
        <v>4441</v>
      </c>
      <c r="BL4442" s="127">
        <v>4</v>
      </c>
      <c r="BM4442" s="127">
        <v>0.11332468572476186</v>
      </c>
      <c r="BN4442" s="127" t="e">
        <v>#N/A</v>
      </c>
      <c r="BO4442" s="127" t="e">
        <v>#N/A</v>
      </c>
      <c r="BP4442" s="151" t="e">
        <v>#N/A</v>
      </c>
      <c r="BQ4442">
        <v>0.11332468572476186</v>
      </c>
      <c r="BR4442" t="str">
        <v/>
      </c>
    </row>
    <row r="4443" spans="47:70" x14ac:dyDescent="0.2">
      <c r="AU4443"/>
      <c r="AV4443"/>
      <c r="AW4443"/>
      <c r="AX4443"/>
      <c r="AY4443"/>
      <c r="BK4443" s="42">
        <v>4442</v>
      </c>
      <c r="BL4443" s="127">
        <v>4</v>
      </c>
      <c r="BM4443" s="127">
        <v>0.11332468572476186</v>
      </c>
      <c r="BN4443" s="127" t="e">
        <v>#N/A</v>
      </c>
      <c r="BO4443" s="127" t="e">
        <v>#N/A</v>
      </c>
      <c r="BP4443" s="151" t="e">
        <v>#N/A</v>
      </c>
      <c r="BQ4443">
        <v>0.11332468572476186</v>
      </c>
      <c r="BR4443" t="str">
        <v/>
      </c>
    </row>
    <row r="4444" spans="47:70" x14ac:dyDescent="0.2">
      <c r="AU4444"/>
      <c r="AV4444"/>
      <c r="AW4444"/>
      <c r="AX4444"/>
      <c r="AY4444"/>
      <c r="BK4444" s="42">
        <v>4443</v>
      </c>
      <c r="BL4444" s="127">
        <v>4</v>
      </c>
      <c r="BM4444" s="127">
        <v>0.11332468572476186</v>
      </c>
      <c r="BN4444" s="127" t="e">
        <v>#N/A</v>
      </c>
      <c r="BO4444" s="127" t="e">
        <v>#N/A</v>
      </c>
      <c r="BP4444" s="151" t="e">
        <v>#N/A</v>
      </c>
      <c r="BQ4444">
        <v>0.11332468572476186</v>
      </c>
      <c r="BR4444" t="str">
        <v/>
      </c>
    </row>
    <row r="4445" spans="47:70" x14ac:dyDescent="0.2">
      <c r="AU4445"/>
      <c r="AV4445"/>
      <c r="AW4445"/>
      <c r="AX4445"/>
      <c r="AY4445"/>
      <c r="BK4445" s="42">
        <v>4444</v>
      </c>
      <c r="BL4445" s="127">
        <v>4</v>
      </c>
      <c r="BM4445" s="127">
        <v>0.11332468572476186</v>
      </c>
      <c r="BN4445" s="127" t="e">
        <v>#N/A</v>
      </c>
      <c r="BO4445" s="127" t="e">
        <v>#N/A</v>
      </c>
      <c r="BP4445" s="151" t="e">
        <v>#N/A</v>
      </c>
      <c r="BQ4445">
        <v>0.11332468572476186</v>
      </c>
      <c r="BR4445" t="str">
        <v/>
      </c>
    </row>
    <row r="4446" spans="47:70" x14ac:dyDescent="0.2">
      <c r="AU4446"/>
      <c r="AV4446"/>
      <c r="AW4446"/>
      <c r="AX4446"/>
      <c r="AY4446"/>
      <c r="BK4446" s="42">
        <v>4445</v>
      </c>
      <c r="BL4446" s="127">
        <v>4</v>
      </c>
      <c r="BM4446" s="127">
        <v>0.11332468572476186</v>
      </c>
      <c r="BN4446" s="127" t="e">
        <v>#N/A</v>
      </c>
      <c r="BO4446" s="127" t="e">
        <v>#N/A</v>
      </c>
      <c r="BP4446" s="151" t="e">
        <v>#N/A</v>
      </c>
      <c r="BQ4446">
        <v>0.11332468572476186</v>
      </c>
      <c r="BR4446" t="str">
        <v/>
      </c>
    </row>
    <row r="4447" spans="47:70" x14ac:dyDescent="0.2">
      <c r="AU4447"/>
      <c r="AV4447"/>
      <c r="AW4447"/>
      <c r="AX4447"/>
      <c r="AY4447"/>
      <c r="BK4447" s="42">
        <v>4446</v>
      </c>
      <c r="BL4447" s="127">
        <v>4</v>
      </c>
      <c r="BM4447" s="127">
        <v>0.11332468572476186</v>
      </c>
      <c r="BN4447" s="127" t="e">
        <v>#N/A</v>
      </c>
      <c r="BO4447" s="127" t="e">
        <v>#N/A</v>
      </c>
      <c r="BP4447" s="151" t="e">
        <v>#N/A</v>
      </c>
      <c r="BQ4447">
        <v>0.11332468572476186</v>
      </c>
      <c r="BR4447" t="str">
        <v/>
      </c>
    </row>
    <row r="4448" spans="47:70" x14ac:dyDescent="0.2">
      <c r="AU4448"/>
      <c r="AV4448"/>
      <c r="AW4448"/>
      <c r="AX4448"/>
      <c r="AY4448"/>
      <c r="BK4448" s="42">
        <v>4447</v>
      </c>
      <c r="BL4448" s="127">
        <v>4</v>
      </c>
      <c r="BM4448" s="127">
        <v>0.11332468572476186</v>
      </c>
      <c r="BN4448" s="127" t="e">
        <v>#N/A</v>
      </c>
      <c r="BO4448" s="127" t="e">
        <v>#N/A</v>
      </c>
      <c r="BP4448" s="151" t="e">
        <v>#N/A</v>
      </c>
      <c r="BQ4448">
        <v>0.11332468572476186</v>
      </c>
      <c r="BR4448" t="str">
        <v/>
      </c>
    </row>
    <row r="4449" spans="47:70" x14ac:dyDescent="0.2">
      <c r="AU4449"/>
      <c r="AV4449"/>
      <c r="AW4449"/>
      <c r="AX4449"/>
      <c r="AY4449"/>
      <c r="BK4449" s="42">
        <v>4448</v>
      </c>
      <c r="BL4449" s="127">
        <v>4</v>
      </c>
      <c r="BM4449" s="127">
        <v>0.11332468572476186</v>
      </c>
      <c r="BN4449" s="127" t="e">
        <v>#N/A</v>
      </c>
      <c r="BO4449" s="127" t="e">
        <v>#N/A</v>
      </c>
      <c r="BP4449" s="151" t="e">
        <v>#N/A</v>
      </c>
      <c r="BQ4449">
        <v>0.11332468572476186</v>
      </c>
      <c r="BR4449" t="str">
        <v/>
      </c>
    </row>
    <row r="4450" spans="47:70" x14ac:dyDescent="0.2">
      <c r="AU4450"/>
      <c r="AV4450"/>
      <c r="AW4450"/>
      <c r="AX4450"/>
      <c r="AY4450"/>
      <c r="BK4450" s="42">
        <v>4449</v>
      </c>
      <c r="BL4450" s="127">
        <v>4</v>
      </c>
      <c r="BM4450" s="127">
        <v>0.11332468572476186</v>
      </c>
      <c r="BN4450" s="127" t="e">
        <v>#N/A</v>
      </c>
      <c r="BO4450" s="127" t="e">
        <v>#N/A</v>
      </c>
      <c r="BP4450" s="151" t="e">
        <v>#N/A</v>
      </c>
      <c r="BQ4450">
        <v>0.11332468572476186</v>
      </c>
      <c r="BR4450" t="str">
        <v/>
      </c>
    </row>
    <row r="4451" spans="47:70" x14ac:dyDescent="0.2">
      <c r="AU4451"/>
      <c r="AV4451"/>
      <c r="AW4451"/>
      <c r="AX4451"/>
      <c r="AY4451"/>
      <c r="BK4451" s="42">
        <v>4450</v>
      </c>
      <c r="BL4451" s="127">
        <v>4</v>
      </c>
      <c r="BM4451" s="127">
        <v>0.11332468572476186</v>
      </c>
      <c r="BN4451" s="127" t="e">
        <v>#N/A</v>
      </c>
      <c r="BO4451" s="127" t="e">
        <v>#N/A</v>
      </c>
      <c r="BP4451" s="151" t="e">
        <v>#N/A</v>
      </c>
      <c r="BQ4451">
        <v>0.11332468572476186</v>
      </c>
      <c r="BR4451" t="str">
        <v/>
      </c>
    </row>
    <row r="4452" spans="47:70" x14ac:dyDescent="0.2">
      <c r="AU4452"/>
      <c r="AV4452"/>
      <c r="AW4452"/>
      <c r="AX4452"/>
      <c r="AY4452"/>
      <c r="BK4452" s="42">
        <v>4451</v>
      </c>
      <c r="BL4452" s="127">
        <v>4</v>
      </c>
      <c r="BM4452" s="127">
        <v>0.11332468572476186</v>
      </c>
      <c r="BN4452" s="127" t="e">
        <v>#N/A</v>
      </c>
      <c r="BO4452" s="127" t="e">
        <v>#N/A</v>
      </c>
      <c r="BP4452" s="151" t="e">
        <v>#N/A</v>
      </c>
      <c r="BQ4452">
        <v>0.11332468572476186</v>
      </c>
      <c r="BR4452" t="str">
        <v/>
      </c>
    </row>
    <row r="4453" spans="47:70" x14ac:dyDescent="0.2">
      <c r="AU4453"/>
      <c r="AV4453"/>
      <c r="AW4453"/>
      <c r="AX4453"/>
      <c r="AY4453"/>
      <c r="BK4453" s="42">
        <v>4452</v>
      </c>
      <c r="BL4453" s="127">
        <v>4</v>
      </c>
      <c r="BM4453" s="127">
        <v>0.11332468572476186</v>
      </c>
      <c r="BN4453" s="127" t="e">
        <v>#N/A</v>
      </c>
      <c r="BO4453" s="127" t="e">
        <v>#N/A</v>
      </c>
      <c r="BP4453" s="151" t="e">
        <v>#N/A</v>
      </c>
      <c r="BQ4453">
        <v>0.11332468572476186</v>
      </c>
      <c r="BR4453" t="str">
        <v/>
      </c>
    </row>
    <row r="4454" spans="47:70" x14ac:dyDescent="0.2">
      <c r="AU4454"/>
      <c r="AV4454"/>
      <c r="AW4454"/>
      <c r="AX4454"/>
      <c r="AY4454"/>
      <c r="BK4454" s="42">
        <v>4453</v>
      </c>
      <c r="BL4454" s="127">
        <v>4</v>
      </c>
      <c r="BM4454" s="127">
        <v>0.11332468572476186</v>
      </c>
      <c r="BN4454" s="127" t="e">
        <v>#N/A</v>
      </c>
      <c r="BO4454" s="127" t="e">
        <v>#N/A</v>
      </c>
      <c r="BP4454" s="151" t="e">
        <v>#N/A</v>
      </c>
      <c r="BQ4454">
        <v>0.11332468572476186</v>
      </c>
      <c r="BR4454" t="str">
        <v/>
      </c>
    </row>
    <row r="4455" spans="47:70" x14ac:dyDescent="0.2">
      <c r="AU4455"/>
      <c r="AV4455"/>
      <c r="AW4455"/>
      <c r="AX4455"/>
      <c r="AY4455"/>
      <c r="BK4455" s="42">
        <v>4454</v>
      </c>
      <c r="BL4455" s="127">
        <v>4</v>
      </c>
      <c r="BM4455" s="127">
        <v>0.11332468572476186</v>
      </c>
      <c r="BN4455" s="127" t="e">
        <v>#N/A</v>
      </c>
      <c r="BO4455" s="127" t="e">
        <v>#N/A</v>
      </c>
      <c r="BP4455" s="151" t="e">
        <v>#N/A</v>
      </c>
      <c r="BQ4455">
        <v>0.11332468572476186</v>
      </c>
      <c r="BR4455" t="str">
        <v/>
      </c>
    </row>
    <row r="4456" spans="47:70" x14ac:dyDescent="0.2">
      <c r="AU4456"/>
      <c r="AV4456"/>
      <c r="AW4456"/>
      <c r="AX4456"/>
      <c r="AY4456"/>
      <c r="BK4456" s="42">
        <v>4455</v>
      </c>
      <c r="BL4456" s="127">
        <v>4</v>
      </c>
      <c r="BM4456" s="127">
        <v>0.11332468572476186</v>
      </c>
      <c r="BN4456" s="127" t="e">
        <v>#N/A</v>
      </c>
      <c r="BO4456" s="127" t="e">
        <v>#N/A</v>
      </c>
      <c r="BP4456" s="151" t="e">
        <v>#N/A</v>
      </c>
      <c r="BQ4456">
        <v>0.11332468572476186</v>
      </c>
      <c r="BR4456" t="str">
        <v/>
      </c>
    </row>
    <row r="4457" spans="47:70" x14ac:dyDescent="0.2">
      <c r="AU4457"/>
      <c r="AV4457"/>
      <c r="AW4457"/>
      <c r="AX4457"/>
      <c r="AY4457"/>
      <c r="BK4457" s="42">
        <v>4456</v>
      </c>
      <c r="BL4457" s="127">
        <v>4</v>
      </c>
      <c r="BM4457" s="127">
        <v>0.11332468572476186</v>
      </c>
      <c r="BN4457" s="127" t="e">
        <v>#N/A</v>
      </c>
      <c r="BO4457" s="127" t="e">
        <v>#N/A</v>
      </c>
      <c r="BP4457" s="151" t="e">
        <v>#N/A</v>
      </c>
      <c r="BQ4457">
        <v>0.11332468572476186</v>
      </c>
      <c r="BR4457" t="str">
        <v/>
      </c>
    </row>
    <row r="4458" spans="47:70" x14ac:dyDescent="0.2">
      <c r="AU4458"/>
      <c r="AV4458"/>
      <c r="AW4458"/>
      <c r="AX4458"/>
      <c r="AY4458"/>
      <c r="BK4458" s="42">
        <v>4457</v>
      </c>
      <c r="BL4458" s="127">
        <v>4</v>
      </c>
      <c r="BM4458" s="127">
        <v>0.11332468572476186</v>
      </c>
      <c r="BN4458" s="127" t="e">
        <v>#N/A</v>
      </c>
      <c r="BO4458" s="127" t="e">
        <v>#N/A</v>
      </c>
      <c r="BP4458" s="151" t="e">
        <v>#N/A</v>
      </c>
      <c r="BQ4458">
        <v>0.11332468572476186</v>
      </c>
      <c r="BR4458" t="str">
        <v/>
      </c>
    </row>
    <row r="4459" spans="47:70" x14ac:dyDescent="0.2">
      <c r="AU4459"/>
      <c r="AV4459"/>
      <c r="AW4459"/>
      <c r="AX4459"/>
      <c r="AY4459"/>
      <c r="BK4459" s="42">
        <v>4458</v>
      </c>
      <c r="BL4459" s="127">
        <v>4</v>
      </c>
      <c r="BM4459" s="127">
        <v>0.11332468572476186</v>
      </c>
      <c r="BN4459" s="127" t="e">
        <v>#N/A</v>
      </c>
      <c r="BO4459" s="127" t="e">
        <v>#N/A</v>
      </c>
      <c r="BP4459" s="151" t="e">
        <v>#N/A</v>
      </c>
      <c r="BQ4459">
        <v>0.11332468572476186</v>
      </c>
      <c r="BR4459" t="str">
        <v/>
      </c>
    </row>
    <row r="4460" spans="47:70" x14ac:dyDescent="0.2">
      <c r="AU4460"/>
      <c r="AV4460"/>
      <c r="AW4460"/>
      <c r="AX4460"/>
      <c r="AY4460"/>
      <c r="BK4460" s="42">
        <v>4459</v>
      </c>
      <c r="BL4460" s="127">
        <v>4</v>
      </c>
      <c r="BM4460" s="127">
        <v>0.11332468572476186</v>
      </c>
      <c r="BN4460" s="127" t="e">
        <v>#N/A</v>
      </c>
      <c r="BO4460" s="127" t="e">
        <v>#N/A</v>
      </c>
      <c r="BP4460" s="151" t="e">
        <v>#N/A</v>
      </c>
      <c r="BQ4460">
        <v>0.11332468572476186</v>
      </c>
      <c r="BR4460" t="str">
        <v/>
      </c>
    </row>
    <row r="4461" spans="47:70" x14ac:dyDescent="0.2">
      <c r="AU4461"/>
      <c r="AV4461"/>
      <c r="AW4461"/>
      <c r="AX4461"/>
      <c r="AY4461"/>
      <c r="BK4461" s="42">
        <v>4460</v>
      </c>
      <c r="BL4461" s="127">
        <v>4</v>
      </c>
      <c r="BM4461" s="127">
        <v>0.11332468572476186</v>
      </c>
      <c r="BN4461" s="127" t="e">
        <v>#N/A</v>
      </c>
      <c r="BO4461" s="127" t="e">
        <v>#N/A</v>
      </c>
      <c r="BP4461" s="151" t="e">
        <v>#N/A</v>
      </c>
      <c r="BQ4461">
        <v>0.11332468572476186</v>
      </c>
      <c r="BR4461" t="str">
        <v/>
      </c>
    </row>
    <row r="4462" spans="47:70" x14ac:dyDescent="0.2">
      <c r="AU4462"/>
      <c r="AV4462"/>
      <c r="AW4462"/>
      <c r="AX4462"/>
      <c r="AY4462"/>
      <c r="BK4462" s="42">
        <v>4461</v>
      </c>
      <c r="BL4462" s="127">
        <v>4</v>
      </c>
      <c r="BM4462" s="127">
        <v>0.11332468572476186</v>
      </c>
      <c r="BN4462" s="127" t="e">
        <v>#N/A</v>
      </c>
      <c r="BO4462" s="127" t="e">
        <v>#N/A</v>
      </c>
      <c r="BP4462" s="151" t="e">
        <v>#N/A</v>
      </c>
      <c r="BQ4462">
        <v>0.11332468572476186</v>
      </c>
      <c r="BR4462" t="str">
        <v/>
      </c>
    </row>
    <row r="4463" spans="47:70" x14ac:dyDescent="0.2">
      <c r="AU4463"/>
      <c r="AV4463"/>
      <c r="AW4463"/>
      <c r="AX4463"/>
      <c r="AY4463"/>
      <c r="BK4463" s="42">
        <v>4462</v>
      </c>
      <c r="BL4463" s="127">
        <v>4</v>
      </c>
      <c r="BM4463" s="127">
        <v>0.11332468572476186</v>
      </c>
      <c r="BN4463" s="127" t="e">
        <v>#N/A</v>
      </c>
      <c r="BO4463" s="127" t="e">
        <v>#N/A</v>
      </c>
      <c r="BP4463" s="151" t="e">
        <v>#N/A</v>
      </c>
      <c r="BQ4463">
        <v>0.11332468572476186</v>
      </c>
      <c r="BR4463" t="str">
        <v/>
      </c>
    </row>
    <row r="4464" spans="47:70" x14ac:dyDescent="0.2">
      <c r="AU4464"/>
      <c r="AV4464"/>
      <c r="AW4464"/>
      <c r="AX4464"/>
      <c r="AY4464"/>
      <c r="BK4464" s="42">
        <v>4463</v>
      </c>
      <c r="BL4464" s="127">
        <v>4</v>
      </c>
      <c r="BM4464" s="127">
        <v>0.11332468572476186</v>
      </c>
      <c r="BN4464" s="127" t="e">
        <v>#N/A</v>
      </c>
      <c r="BO4464" s="127" t="e">
        <v>#N/A</v>
      </c>
      <c r="BP4464" s="151" t="e">
        <v>#N/A</v>
      </c>
      <c r="BQ4464">
        <v>0.11332468572476186</v>
      </c>
      <c r="BR4464" t="str">
        <v/>
      </c>
    </row>
    <row r="4465" spans="47:70" x14ac:dyDescent="0.2">
      <c r="AU4465"/>
      <c r="AV4465"/>
      <c r="AW4465"/>
      <c r="AX4465"/>
      <c r="AY4465"/>
      <c r="BK4465" s="42">
        <v>4464</v>
      </c>
      <c r="BL4465" s="127">
        <v>4</v>
      </c>
      <c r="BM4465" s="127">
        <v>0.11332468572476186</v>
      </c>
      <c r="BN4465" s="127" t="e">
        <v>#N/A</v>
      </c>
      <c r="BO4465" s="127" t="e">
        <v>#N/A</v>
      </c>
      <c r="BP4465" s="151" t="e">
        <v>#N/A</v>
      </c>
      <c r="BQ4465">
        <v>0.11332468572476186</v>
      </c>
      <c r="BR4465" t="str">
        <v/>
      </c>
    </row>
    <row r="4466" spans="47:70" x14ac:dyDescent="0.2">
      <c r="AU4466"/>
      <c r="AV4466"/>
      <c r="AW4466"/>
      <c r="AX4466"/>
      <c r="AY4466"/>
      <c r="BK4466" s="42">
        <v>4465</v>
      </c>
      <c r="BL4466" s="127">
        <v>4</v>
      </c>
      <c r="BM4466" s="127">
        <v>0.11332468572476186</v>
      </c>
      <c r="BN4466" s="127" t="e">
        <v>#N/A</v>
      </c>
      <c r="BO4466" s="127" t="e">
        <v>#N/A</v>
      </c>
      <c r="BP4466" s="151" t="e">
        <v>#N/A</v>
      </c>
      <c r="BQ4466">
        <v>0.11332468572476186</v>
      </c>
      <c r="BR4466" t="str">
        <v/>
      </c>
    </row>
    <row r="4467" spans="47:70" x14ac:dyDescent="0.2">
      <c r="AU4467"/>
      <c r="AV4467"/>
      <c r="AW4467"/>
      <c r="AX4467"/>
      <c r="AY4467"/>
      <c r="BK4467" s="42">
        <v>4466</v>
      </c>
      <c r="BL4467" s="127">
        <v>4</v>
      </c>
      <c r="BM4467" s="127">
        <v>0.11332468572476186</v>
      </c>
      <c r="BN4467" s="127" t="e">
        <v>#N/A</v>
      </c>
      <c r="BO4467" s="127" t="e">
        <v>#N/A</v>
      </c>
      <c r="BP4467" s="151" t="e">
        <v>#N/A</v>
      </c>
      <c r="BQ4467">
        <v>0.11332468572476186</v>
      </c>
      <c r="BR4467" t="str">
        <v/>
      </c>
    </row>
    <row r="4468" spans="47:70" x14ac:dyDescent="0.2">
      <c r="AU4468"/>
      <c r="AV4468"/>
      <c r="AW4468"/>
      <c r="AX4468"/>
      <c r="AY4468"/>
      <c r="BK4468" s="42">
        <v>4467</v>
      </c>
      <c r="BL4468" s="127">
        <v>4</v>
      </c>
      <c r="BM4468" s="127">
        <v>0.11332468572476186</v>
      </c>
      <c r="BN4468" s="127" t="e">
        <v>#N/A</v>
      </c>
      <c r="BO4468" s="127" t="e">
        <v>#N/A</v>
      </c>
      <c r="BP4468" s="151" t="e">
        <v>#N/A</v>
      </c>
      <c r="BQ4468">
        <v>0.11332468572476186</v>
      </c>
      <c r="BR4468" t="str">
        <v/>
      </c>
    </row>
    <row r="4469" spans="47:70" x14ac:dyDescent="0.2">
      <c r="AU4469"/>
      <c r="AV4469"/>
      <c r="AW4469"/>
      <c r="AX4469"/>
      <c r="AY4469"/>
      <c r="BK4469" s="42">
        <v>4468</v>
      </c>
      <c r="BL4469" s="127">
        <v>4</v>
      </c>
      <c r="BM4469" s="127">
        <v>0.11332468572476186</v>
      </c>
      <c r="BN4469" s="127" t="e">
        <v>#N/A</v>
      </c>
      <c r="BO4469" s="127" t="e">
        <v>#N/A</v>
      </c>
      <c r="BP4469" s="151" t="e">
        <v>#N/A</v>
      </c>
      <c r="BQ4469">
        <v>0.11332468572476186</v>
      </c>
      <c r="BR4469" t="str">
        <v/>
      </c>
    </row>
    <row r="4470" spans="47:70" x14ac:dyDescent="0.2">
      <c r="AU4470"/>
      <c r="AV4470"/>
      <c r="AW4470"/>
      <c r="AX4470"/>
      <c r="AY4470"/>
      <c r="BK4470" s="42">
        <v>4469</v>
      </c>
      <c r="BL4470" s="127">
        <v>4</v>
      </c>
      <c r="BM4470" s="127">
        <v>0.11332468572476186</v>
      </c>
      <c r="BN4470" s="127" t="e">
        <v>#N/A</v>
      </c>
      <c r="BO4470" s="127" t="e">
        <v>#N/A</v>
      </c>
      <c r="BP4470" s="151" t="e">
        <v>#N/A</v>
      </c>
      <c r="BQ4470">
        <v>0.11332468572476186</v>
      </c>
      <c r="BR4470" t="str">
        <v/>
      </c>
    </row>
    <row r="4471" spans="47:70" x14ac:dyDescent="0.2">
      <c r="AU4471"/>
      <c r="AV4471"/>
      <c r="AW4471"/>
      <c r="AX4471"/>
      <c r="AY4471"/>
      <c r="BK4471" s="42">
        <v>4470</v>
      </c>
      <c r="BL4471" s="127">
        <v>4</v>
      </c>
      <c r="BM4471" s="127">
        <v>0.11332468572476186</v>
      </c>
      <c r="BN4471" s="127" t="e">
        <v>#N/A</v>
      </c>
      <c r="BO4471" s="127" t="e">
        <v>#N/A</v>
      </c>
      <c r="BP4471" s="151" t="e">
        <v>#N/A</v>
      </c>
      <c r="BQ4471">
        <v>0.11332468572476186</v>
      </c>
      <c r="BR4471" t="str">
        <v/>
      </c>
    </row>
    <row r="4472" spans="47:70" x14ac:dyDescent="0.2">
      <c r="AU4472"/>
      <c r="AV4472"/>
      <c r="AW4472"/>
      <c r="AX4472"/>
      <c r="AY4472"/>
      <c r="BK4472" s="42">
        <v>4471</v>
      </c>
      <c r="BL4472" s="127">
        <v>4</v>
      </c>
      <c r="BM4472" s="127">
        <v>0.11332468572476186</v>
      </c>
      <c r="BN4472" s="127" t="e">
        <v>#N/A</v>
      </c>
      <c r="BO4472" s="127" t="e">
        <v>#N/A</v>
      </c>
      <c r="BP4472" s="151" t="e">
        <v>#N/A</v>
      </c>
      <c r="BQ4472">
        <v>0.11332468572476186</v>
      </c>
      <c r="BR4472" t="str">
        <v/>
      </c>
    </row>
    <row r="4473" spans="47:70" x14ac:dyDescent="0.2">
      <c r="AU4473"/>
      <c r="AV4473"/>
      <c r="AW4473"/>
      <c r="AX4473"/>
      <c r="AY4473"/>
      <c r="BK4473" s="42">
        <v>4472</v>
      </c>
      <c r="BL4473" s="127">
        <v>4</v>
      </c>
      <c r="BM4473" s="127">
        <v>0.11332468572476186</v>
      </c>
      <c r="BN4473" s="127" t="e">
        <v>#N/A</v>
      </c>
      <c r="BO4473" s="127" t="e">
        <v>#N/A</v>
      </c>
      <c r="BP4473" s="151" t="e">
        <v>#N/A</v>
      </c>
      <c r="BQ4473">
        <v>0.11332468572476186</v>
      </c>
      <c r="BR4473" t="str">
        <v/>
      </c>
    </row>
    <row r="4474" spans="47:70" x14ac:dyDescent="0.2">
      <c r="AU4474"/>
      <c r="AV4474"/>
      <c r="AW4474"/>
      <c r="AX4474"/>
      <c r="AY4474"/>
      <c r="BK4474" s="42">
        <v>4473</v>
      </c>
      <c r="BL4474" s="127">
        <v>4</v>
      </c>
      <c r="BM4474" s="127">
        <v>0.11332468572476186</v>
      </c>
      <c r="BN4474" s="127" t="e">
        <v>#N/A</v>
      </c>
      <c r="BO4474" s="127" t="e">
        <v>#N/A</v>
      </c>
      <c r="BP4474" s="151" t="e">
        <v>#N/A</v>
      </c>
      <c r="BQ4474">
        <v>0.11332468572476186</v>
      </c>
      <c r="BR4474" t="str">
        <v/>
      </c>
    </row>
    <row r="4475" spans="47:70" x14ac:dyDescent="0.2">
      <c r="AU4475"/>
      <c r="AV4475"/>
      <c r="AW4475"/>
      <c r="AX4475"/>
      <c r="AY4475"/>
      <c r="BK4475" s="42">
        <v>4474</v>
      </c>
      <c r="BL4475" s="127">
        <v>4</v>
      </c>
      <c r="BM4475" s="127">
        <v>0.11332468572476186</v>
      </c>
      <c r="BN4475" s="127" t="e">
        <v>#N/A</v>
      </c>
      <c r="BO4475" s="127" t="e">
        <v>#N/A</v>
      </c>
      <c r="BP4475" s="151" t="e">
        <v>#N/A</v>
      </c>
      <c r="BQ4475">
        <v>0.11332468572476186</v>
      </c>
      <c r="BR4475" t="str">
        <v/>
      </c>
    </row>
    <row r="4476" spans="47:70" x14ac:dyDescent="0.2">
      <c r="AU4476"/>
      <c r="AV4476"/>
      <c r="AW4476"/>
      <c r="AX4476"/>
      <c r="AY4476"/>
      <c r="BK4476" s="42">
        <v>4475</v>
      </c>
      <c r="BL4476" s="127">
        <v>4</v>
      </c>
      <c r="BM4476" s="127">
        <v>0.11332468572476186</v>
      </c>
      <c r="BN4476" s="127" t="e">
        <v>#N/A</v>
      </c>
      <c r="BO4476" s="127" t="e">
        <v>#N/A</v>
      </c>
      <c r="BP4476" s="151" t="e">
        <v>#N/A</v>
      </c>
      <c r="BQ4476">
        <v>0.11332468572476186</v>
      </c>
      <c r="BR4476" t="str">
        <v/>
      </c>
    </row>
    <row r="4477" spans="47:70" x14ac:dyDescent="0.2">
      <c r="AU4477"/>
      <c r="AV4477"/>
      <c r="AW4477"/>
      <c r="AX4477"/>
      <c r="AY4477"/>
      <c r="BK4477" s="42">
        <v>4476</v>
      </c>
      <c r="BL4477" s="127">
        <v>4</v>
      </c>
      <c r="BM4477" s="127">
        <v>0.11332468572476186</v>
      </c>
      <c r="BN4477" s="127" t="e">
        <v>#N/A</v>
      </c>
      <c r="BO4477" s="127" t="e">
        <v>#N/A</v>
      </c>
      <c r="BP4477" s="151" t="e">
        <v>#N/A</v>
      </c>
      <c r="BQ4477">
        <v>0.11332468572476186</v>
      </c>
      <c r="BR4477" t="str">
        <v/>
      </c>
    </row>
    <row r="4478" spans="47:70" x14ac:dyDescent="0.2">
      <c r="AU4478"/>
      <c r="AV4478"/>
      <c r="AW4478"/>
      <c r="AX4478"/>
      <c r="AY4478"/>
      <c r="BK4478" s="42">
        <v>4477</v>
      </c>
      <c r="BL4478" s="127">
        <v>4</v>
      </c>
      <c r="BM4478" s="127">
        <v>0.11332468572476186</v>
      </c>
      <c r="BN4478" s="127" t="e">
        <v>#N/A</v>
      </c>
      <c r="BO4478" s="127" t="e">
        <v>#N/A</v>
      </c>
      <c r="BP4478" s="151" t="e">
        <v>#N/A</v>
      </c>
      <c r="BQ4478">
        <v>0.11332468572476186</v>
      </c>
      <c r="BR4478" t="str">
        <v/>
      </c>
    </row>
    <row r="4479" spans="47:70" x14ac:dyDescent="0.2">
      <c r="AU4479"/>
      <c r="AV4479"/>
      <c r="AW4479"/>
      <c r="AX4479"/>
      <c r="AY4479"/>
      <c r="BK4479" s="42">
        <v>4478</v>
      </c>
      <c r="BL4479" s="127">
        <v>4</v>
      </c>
      <c r="BM4479" s="127">
        <v>0.11332468572476186</v>
      </c>
      <c r="BN4479" s="127" t="e">
        <v>#N/A</v>
      </c>
      <c r="BO4479" s="127" t="e">
        <v>#N/A</v>
      </c>
      <c r="BP4479" s="151" t="e">
        <v>#N/A</v>
      </c>
      <c r="BQ4479">
        <v>0.11332468572476186</v>
      </c>
      <c r="BR4479" t="str">
        <v/>
      </c>
    </row>
    <row r="4480" spans="47:70" x14ac:dyDescent="0.2">
      <c r="AU4480"/>
      <c r="AV4480"/>
      <c r="AW4480"/>
      <c r="AX4480"/>
      <c r="AY4480"/>
      <c r="BK4480" s="42">
        <v>4479</v>
      </c>
      <c r="BL4480" s="127">
        <v>4</v>
      </c>
      <c r="BM4480" s="127">
        <v>0.11332468572476186</v>
      </c>
      <c r="BN4480" s="127" t="e">
        <v>#N/A</v>
      </c>
      <c r="BO4480" s="127" t="e">
        <v>#N/A</v>
      </c>
      <c r="BP4480" s="151" t="e">
        <v>#N/A</v>
      </c>
      <c r="BQ4480">
        <v>0.11332468572476186</v>
      </c>
      <c r="BR4480" t="str">
        <v/>
      </c>
    </row>
    <row r="4481" spans="47:70" x14ac:dyDescent="0.2">
      <c r="AU4481"/>
      <c r="AV4481"/>
      <c r="AW4481"/>
      <c r="AX4481"/>
      <c r="AY4481"/>
      <c r="BK4481" s="42">
        <v>4480</v>
      </c>
      <c r="BL4481" s="127">
        <v>4</v>
      </c>
      <c r="BM4481" s="127">
        <v>0.11332468572476186</v>
      </c>
      <c r="BN4481" s="127" t="e">
        <v>#N/A</v>
      </c>
      <c r="BO4481" s="127" t="e">
        <v>#N/A</v>
      </c>
      <c r="BP4481" s="151" t="e">
        <v>#N/A</v>
      </c>
      <c r="BQ4481">
        <v>0.11332468572476186</v>
      </c>
      <c r="BR4481" t="str">
        <v/>
      </c>
    </row>
    <row r="4482" spans="47:70" x14ac:dyDescent="0.2">
      <c r="AU4482"/>
      <c r="AV4482"/>
      <c r="AW4482"/>
      <c r="AX4482"/>
      <c r="AY4482"/>
      <c r="BK4482" s="42">
        <v>4481</v>
      </c>
      <c r="BL4482" s="127">
        <v>4</v>
      </c>
      <c r="BM4482" s="127">
        <v>0.11332468572476186</v>
      </c>
      <c r="BN4482" s="127" t="e">
        <v>#N/A</v>
      </c>
      <c r="BO4482" s="127" t="e">
        <v>#N/A</v>
      </c>
      <c r="BP4482" s="151" t="e">
        <v>#N/A</v>
      </c>
      <c r="BQ4482">
        <v>0.11332468572476186</v>
      </c>
      <c r="BR4482" t="str">
        <v/>
      </c>
    </row>
    <row r="4483" spans="47:70" x14ac:dyDescent="0.2">
      <c r="AU4483"/>
      <c r="AV4483"/>
      <c r="AW4483"/>
      <c r="AX4483"/>
      <c r="AY4483"/>
      <c r="BK4483" s="42">
        <v>4482</v>
      </c>
      <c r="BL4483" s="127">
        <v>4</v>
      </c>
      <c r="BM4483" s="127">
        <v>0.11332468572476186</v>
      </c>
      <c r="BN4483" s="127" t="e">
        <v>#N/A</v>
      </c>
      <c r="BO4483" s="127" t="e">
        <v>#N/A</v>
      </c>
      <c r="BP4483" s="151" t="e">
        <v>#N/A</v>
      </c>
      <c r="BQ4483">
        <v>0.11332468572476186</v>
      </c>
      <c r="BR4483" t="str">
        <v/>
      </c>
    </row>
    <row r="4484" spans="47:70" x14ac:dyDescent="0.2">
      <c r="AU4484"/>
      <c r="AV4484"/>
      <c r="AW4484"/>
      <c r="AX4484"/>
      <c r="AY4484"/>
      <c r="BK4484" s="42">
        <v>4483</v>
      </c>
      <c r="BL4484" s="127">
        <v>4</v>
      </c>
      <c r="BM4484" s="127">
        <v>0.11332468572476186</v>
      </c>
      <c r="BN4484" s="127" t="e">
        <v>#N/A</v>
      </c>
      <c r="BO4484" s="127" t="e">
        <v>#N/A</v>
      </c>
      <c r="BP4484" s="151" t="e">
        <v>#N/A</v>
      </c>
      <c r="BQ4484">
        <v>0.11332468572476186</v>
      </c>
      <c r="BR4484" t="str">
        <v/>
      </c>
    </row>
    <row r="4485" spans="47:70" x14ac:dyDescent="0.2">
      <c r="AU4485"/>
      <c r="AV4485"/>
      <c r="AW4485"/>
      <c r="AX4485"/>
      <c r="AY4485"/>
      <c r="BK4485" s="42">
        <v>4484</v>
      </c>
      <c r="BL4485" s="127">
        <v>4</v>
      </c>
      <c r="BM4485" s="127">
        <v>0.11332468572476186</v>
      </c>
      <c r="BN4485" s="127" t="e">
        <v>#N/A</v>
      </c>
      <c r="BO4485" s="127" t="e">
        <v>#N/A</v>
      </c>
      <c r="BP4485" s="151" t="e">
        <v>#N/A</v>
      </c>
      <c r="BQ4485">
        <v>0.11332468572476186</v>
      </c>
      <c r="BR4485" t="str">
        <v/>
      </c>
    </row>
    <row r="4486" spans="47:70" x14ac:dyDescent="0.2">
      <c r="AU4486"/>
      <c r="AV4486"/>
      <c r="AW4486"/>
      <c r="AX4486"/>
      <c r="AY4486"/>
      <c r="BK4486" s="42">
        <v>4485</v>
      </c>
      <c r="BL4486" s="127">
        <v>4</v>
      </c>
      <c r="BM4486" s="127">
        <v>0.11332468572476186</v>
      </c>
      <c r="BN4486" s="127" t="e">
        <v>#N/A</v>
      </c>
      <c r="BO4486" s="127" t="e">
        <v>#N/A</v>
      </c>
      <c r="BP4486" s="151" t="e">
        <v>#N/A</v>
      </c>
      <c r="BQ4486">
        <v>0.11332468572476186</v>
      </c>
      <c r="BR4486" t="str">
        <v/>
      </c>
    </row>
    <row r="4487" spans="47:70" x14ac:dyDescent="0.2">
      <c r="AU4487"/>
      <c r="AV4487"/>
      <c r="AW4487"/>
      <c r="AX4487"/>
      <c r="AY4487"/>
      <c r="BK4487" s="42">
        <v>4486</v>
      </c>
      <c r="BL4487" s="127">
        <v>4</v>
      </c>
      <c r="BM4487" s="127">
        <v>0.11332468572476186</v>
      </c>
      <c r="BN4487" s="127" t="e">
        <v>#N/A</v>
      </c>
      <c r="BO4487" s="127" t="e">
        <v>#N/A</v>
      </c>
      <c r="BP4487" s="151" t="e">
        <v>#N/A</v>
      </c>
      <c r="BQ4487">
        <v>0.11332468572476186</v>
      </c>
      <c r="BR4487" t="str">
        <v/>
      </c>
    </row>
    <row r="4488" spans="47:70" x14ac:dyDescent="0.2">
      <c r="AU4488"/>
      <c r="AV4488"/>
      <c r="AW4488"/>
      <c r="AX4488"/>
      <c r="AY4488"/>
      <c r="BK4488" s="42">
        <v>4487</v>
      </c>
      <c r="BL4488" s="127">
        <v>4</v>
      </c>
      <c r="BM4488" s="127">
        <v>0.11332468572476186</v>
      </c>
      <c r="BN4488" s="127" t="e">
        <v>#N/A</v>
      </c>
      <c r="BO4488" s="127" t="e">
        <v>#N/A</v>
      </c>
      <c r="BP4488" s="151" t="e">
        <v>#N/A</v>
      </c>
      <c r="BQ4488">
        <v>0.11332468572476186</v>
      </c>
      <c r="BR4488" t="str">
        <v/>
      </c>
    </row>
    <row r="4489" spans="47:70" x14ac:dyDescent="0.2">
      <c r="AU4489"/>
      <c r="AV4489"/>
      <c r="AW4489"/>
      <c r="AX4489"/>
      <c r="AY4489"/>
      <c r="BK4489" s="42">
        <v>4488</v>
      </c>
      <c r="BL4489" s="127">
        <v>4</v>
      </c>
      <c r="BM4489" s="127">
        <v>0.11332468572476186</v>
      </c>
      <c r="BN4489" s="127" t="e">
        <v>#N/A</v>
      </c>
      <c r="BO4489" s="127" t="e">
        <v>#N/A</v>
      </c>
      <c r="BP4489" s="151" t="e">
        <v>#N/A</v>
      </c>
      <c r="BQ4489">
        <v>0.11332468572476186</v>
      </c>
      <c r="BR4489" t="str">
        <v/>
      </c>
    </row>
    <row r="4490" spans="47:70" x14ac:dyDescent="0.2">
      <c r="AU4490"/>
      <c r="AV4490"/>
      <c r="AW4490"/>
      <c r="AX4490"/>
      <c r="AY4490"/>
      <c r="BK4490" s="42">
        <v>4489</v>
      </c>
      <c r="BL4490" s="127">
        <v>4</v>
      </c>
      <c r="BM4490" s="127">
        <v>0.11332468572476186</v>
      </c>
      <c r="BN4490" s="127" t="e">
        <v>#N/A</v>
      </c>
      <c r="BO4490" s="127" t="e">
        <v>#N/A</v>
      </c>
      <c r="BP4490" s="151" t="e">
        <v>#N/A</v>
      </c>
      <c r="BQ4490">
        <v>0.11332468572476186</v>
      </c>
      <c r="BR4490" t="str">
        <v/>
      </c>
    </row>
    <row r="4491" spans="47:70" x14ac:dyDescent="0.2">
      <c r="AU4491"/>
      <c r="AV4491"/>
      <c r="AW4491"/>
      <c r="AX4491"/>
      <c r="AY4491"/>
      <c r="BK4491" s="42">
        <v>4490</v>
      </c>
      <c r="BL4491" s="127">
        <v>4</v>
      </c>
      <c r="BM4491" s="127">
        <v>0.11332468572476186</v>
      </c>
      <c r="BN4491" s="127" t="e">
        <v>#N/A</v>
      </c>
      <c r="BO4491" s="127" t="e">
        <v>#N/A</v>
      </c>
      <c r="BP4491" s="151" t="e">
        <v>#N/A</v>
      </c>
      <c r="BQ4491">
        <v>0.11332468572476186</v>
      </c>
      <c r="BR4491" t="str">
        <v/>
      </c>
    </row>
    <row r="4492" spans="47:70" x14ac:dyDescent="0.2">
      <c r="AU4492"/>
      <c r="AV4492"/>
      <c r="AW4492"/>
      <c r="AX4492"/>
      <c r="AY4492"/>
      <c r="BK4492" s="42">
        <v>4491</v>
      </c>
      <c r="BL4492" s="127">
        <v>4</v>
      </c>
      <c r="BM4492" s="127">
        <v>0.11332468572476186</v>
      </c>
      <c r="BN4492" s="127" t="e">
        <v>#N/A</v>
      </c>
      <c r="BO4492" s="127" t="e">
        <v>#N/A</v>
      </c>
      <c r="BP4492" s="151" t="e">
        <v>#N/A</v>
      </c>
      <c r="BQ4492">
        <v>0.11332468572476186</v>
      </c>
      <c r="BR4492" t="str">
        <v/>
      </c>
    </row>
    <row r="4493" spans="47:70" x14ac:dyDescent="0.2">
      <c r="AU4493"/>
      <c r="AV4493"/>
      <c r="AW4493"/>
      <c r="AX4493"/>
      <c r="AY4493"/>
      <c r="BK4493" s="42">
        <v>4492</v>
      </c>
      <c r="BL4493" s="127">
        <v>4</v>
      </c>
      <c r="BM4493" s="127">
        <v>0.11332468572476186</v>
      </c>
      <c r="BN4493" s="127" t="e">
        <v>#N/A</v>
      </c>
      <c r="BO4493" s="127" t="e">
        <v>#N/A</v>
      </c>
      <c r="BP4493" s="151" t="e">
        <v>#N/A</v>
      </c>
      <c r="BQ4493">
        <v>0.11332468572476186</v>
      </c>
      <c r="BR4493" t="str">
        <v/>
      </c>
    </row>
    <row r="4494" spans="47:70" x14ac:dyDescent="0.2">
      <c r="AU4494"/>
      <c r="AV4494"/>
      <c r="AW4494"/>
      <c r="AX4494"/>
      <c r="AY4494"/>
      <c r="BK4494" s="42">
        <v>4493</v>
      </c>
      <c r="BL4494" s="127">
        <v>4</v>
      </c>
      <c r="BM4494" s="127">
        <v>0.11332468572476186</v>
      </c>
      <c r="BN4494" s="127" t="e">
        <v>#N/A</v>
      </c>
      <c r="BO4494" s="127" t="e">
        <v>#N/A</v>
      </c>
      <c r="BP4494" s="151" t="e">
        <v>#N/A</v>
      </c>
      <c r="BQ4494">
        <v>0.11332468572476186</v>
      </c>
      <c r="BR4494" t="str">
        <v/>
      </c>
    </row>
    <row r="4495" spans="47:70" x14ac:dyDescent="0.2">
      <c r="AU4495"/>
      <c r="AV4495"/>
      <c r="AW4495"/>
      <c r="AX4495"/>
      <c r="AY4495"/>
      <c r="BK4495" s="42">
        <v>4494</v>
      </c>
      <c r="BL4495" s="127">
        <v>4</v>
      </c>
      <c r="BM4495" s="127">
        <v>0.11332468572476186</v>
      </c>
      <c r="BN4495" s="127" t="e">
        <v>#N/A</v>
      </c>
      <c r="BO4495" s="127" t="e">
        <v>#N/A</v>
      </c>
      <c r="BP4495" s="151" t="e">
        <v>#N/A</v>
      </c>
      <c r="BQ4495">
        <v>0.11332468572476186</v>
      </c>
      <c r="BR4495" t="str">
        <v/>
      </c>
    </row>
    <row r="4496" spans="47:70" x14ac:dyDescent="0.2">
      <c r="AU4496"/>
      <c r="AV4496"/>
      <c r="AW4496"/>
      <c r="AX4496"/>
      <c r="AY4496"/>
      <c r="BK4496" s="42">
        <v>4495</v>
      </c>
      <c r="BL4496" s="127">
        <v>4</v>
      </c>
      <c r="BM4496" s="127">
        <v>0.11332468572476186</v>
      </c>
      <c r="BN4496" s="127" t="e">
        <v>#N/A</v>
      </c>
      <c r="BO4496" s="127" t="e">
        <v>#N/A</v>
      </c>
      <c r="BP4496" s="151" t="e">
        <v>#N/A</v>
      </c>
      <c r="BQ4496">
        <v>0.11332468572476186</v>
      </c>
      <c r="BR4496" t="str">
        <v/>
      </c>
    </row>
    <row r="4497" spans="47:70" x14ac:dyDescent="0.2">
      <c r="AU4497"/>
      <c r="AV4497"/>
      <c r="AW4497"/>
      <c r="AX4497"/>
      <c r="AY4497"/>
      <c r="BK4497" s="42">
        <v>4496</v>
      </c>
      <c r="BL4497" s="127">
        <v>4</v>
      </c>
      <c r="BM4497" s="127">
        <v>0.11332468572476186</v>
      </c>
      <c r="BN4497" s="127" t="e">
        <v>#N/A</v>
      </c>
      <c r="BO4497" s="127" t="e">
        <v>#N/A</v>
      </c>
      <c r="BP4497" s="151" t="e">
        <v>#N/A</v>
      </c>
      <c r="BQ4497">
        <v>0.11332468572476186</v>
      </c>
      <c r="BR4497" t="str">
        <v/>
      </c>
    </row>
    <row r="4498" spans="47:70" x14ac:dyDescent="0.2">
      <c r="AU4498"/>
      <c r="AV4498"/>
      <c r="AW4498"/>
      <c r="AX4498"/>
      <c r="AY4498"/>
      <c r="BK4498" s="42">
        <v>4497</v>
      </c>
      <c r="BL4498" s="127">
        <v>4</v>
      </c>
      <c r="BM4498" s="127">
        <v>0.11332468572476186</v>
      </c>
      <c r="BN4498" s="127" t="e">
        <v>#N/A</v>
      </c>
      <c r="BO4498" s="127" t="e">
        <v>#N/A</v>
      </c>
      <c r="BP4498" s="151" t="e">
        <v>#N/A</v>
      </c>
      <c r="BQ4498">
        <v>0.11332468572476186</v>
      </c>
      <c r="BR4498" t="str">
        <v/>
      </c>
    </row>
    <row r="4499" spans="47:70" x14ac:dyDescent="0.2">
      <c r="AU4499"/>
      <c r="AV4499"/>
      <c r="AW4499"/>
      <c r="AX4499"/>
      <c r="AY4499"/>
      <c r="BK4499" s="42">
        <v>4498</v>
      </c>
      <c r="BL4499" s="127">
        <v>4</v>
      </c>
      <c r="BM4499" s="127">
        <v>0.11332468572476186</v>
      </c>
      <c r="BN4499" s="127" t="e">
        <v>#N/A</v>
      </c>
      <c r="BO4499" s="127" t="e">
        <v>#N/A</v>
      </c>
      <c r="BP4499" s="151" t="e">
        <v>#N/A</v>
      </c>
      <c r="BQ4499">
        <v>0.11332468572476186</v>
      </c>
      <c r="BR4499" t="str">
        <v/>
      </c>
    </row>
    <row r="4500" spans="47:70" x14ac:dyDescent="0.2">
      <c r="AU4500"/>
      <c r="AV4500"/>
      <c r="AW4500"/>
      <c r="AX4500"/>
      <c r="AY4500"/>
      <c r="BK4500" s="42">
        <v>4499</v>
      </c>
      <c r="BL4500" s="127">
        <v>4</v>
      </c>
      <c r="BM4500" s="127">
        <v>0.11332468572476186</v>
      </c>
      <c r="BN4500" s="127" t="e">
        <v>#N/A</v>
      </c>
      <c r="BO4500" s="127" t="e">
        <v>#N/A</v>
      </c>
      <c r="BP4500" s="151" t="e">
        <v>#N/A</v>
      </c>
      <c r="BQ4500">
        <v>0.11332468572476186</v>
      </c>
      <c r="BR4500" t="str">
        <v/>
      </c>
    </row>
    <row r="4501" spans="47:70" x14ac:dyDescent="0.2">
      <c r="AU4501"/>
      <c r="AV4501"/>
      <c r="AW4501"/>
      <c r="AX4501"/>
      <c r="AY4501"/>
      <c r="BK4501" s="42">
        <v>4500</v>
      </c>
      <c r="BL4501" s="127">
        <v>4</v>
      </c>
      <c r="BM4501" s="127">
        <v>0.11332468572476186</v>
      </c>
      <c r="BN4501" s="127" t="e">
        <v>#N/A</v>
      </c>
      <c r="BO4501" s="127" t="e">
        <v>#N/A</v>
      </c>
      <c r="BP4501" s="151" t="e">
        <v>#N/A</v>
      </c>
      <c r="BQ4501">
        <v>0.11332468572476186</v>
      </c>
      <c r="BR4501" t="str">
        <v/>
      </c>
    </row>
    <row r="4502" spans="47:70" x14ac:dyDescent="0.2">
      <c r="AU4502"/>
      <c r="AV4502"/>
      <c r="AW4502"/>
      <c r="AX4502"/>
      <c r="AY4502"/>
      <c r="BK4502" s="42">
        <v>4501</v>
      </c>
      <c r="BL4502" s="127">
        <v>4</v>
      </c>
      <c r="BM4502" s="127">
        <v>0.11332468572476186</v>
      </c>
      <c r="BN4502" s="127" t="e">
        <v>#N/A</v>
      </c>
      <c r="BO4502" s="127" t="e">
        <v>#N/A</v>
      </c>
      <c r="BP4502" s="151" t="e">
        <v>#N/A</v>
      </c>
      <c r="BQ4502">
        <v>0.11332468572476186</v>
      </c>
      <c r="BR4502" t="str">
        <v/>
      </c>
    </row>
    <row r="4503" spans="47:70" x14ac:dyDescent="0.2">
      <c r="AU4503"/>
      <c r="AV4503"/>
      <c r="AW4503"/>
      <c r="AX4503"/>
      <c r="AY4503"/>
      <c r="BK4503" s="42">
        <v>4502</v>
      </c>
      <c r="BL4503" s="127">
        <v>4</v>
      </c>
      <c r="BM4503" s="127">
        <v>0.11332468572476186</v>
      </c>
      <c r="BN4503" s="127" t="e">
        <v>#N/A</v>
      </c>
      <c r="BO4503" s="127" t="e">
        <v>#N/A</v>
      </c>
      <c r="BP4503" s="151" t="e">
        <v>#N/A</v>
      </c>
      <c r="BQ4503">
        <v>0.11332468572476186</v>
      </c>
      <c r="BR4503" t="str">
        <v/>
      </c>
    </row>
    <row r="4504" spans="47:70" x14ac:dyDescent="0.2">
      <c r="AU4504"/>
      <c r="AV4504"/>
      <c r="AW4504"/>
      <c r="AX4504"/>
      <c r="AY4504"/>
      <c r="BK4504" s="42">
        <v>4503</v>
      </c>
      <c r="BL4504" s="127">
        <v>4</v>
      </c>
      <c r="BM4504" s="127">
        <v>0.11332468572476186</v>
      </c>
      <c r="BN4504" s="127" t="e">
        <v>#N/A</v>
      </c>
      <c r="BO4504" s="127" t="e">
        <v>#N/A</v>
      </c>
      <c r="BP4504" s="151" t="e">
        <v>#N/A</v>
      </c>
      <c r="BQ4504">
        <v>0.11332468572476186</v>
      </c>
      <c r="BR4504" t="str">
        <v/>
      </c>
    </row>
    <row r="4505" spans="47:70" x14ac:dyDescent="0.2">
      <c r="AU4505"/>
      <c r="AV4505"/>
      <c r="AW4505"/>
      <c r="AX4505"/>
      <c r="AY4505"/>
      <c r="BK4505" s="42">
        <v>4504</v>
      </c>
      <c r="BL4505" s="127">
        <v>4</v>
      </c>
      <c r="BM4505" s="127">
        <v>0.11332468572476186</v>
      </c>
      <c r="BN4505" s="127" t="e">
        <v>#N/A</v>
      </c>
      <c r="BO4505" s="127" t="e">
        <v>#N/A</v>
      </c>
      <c r="BP4505" s="151" t="e">
        <v>#N/A</v>
      </c>
      <c r="BQ4505">
        <v>0.11332468572476186</v>
      </c>
      <c r="BR4505" t="str">
        <v/>
      </c>
    </row>
    <row r="4506" spans="47:70" x14ac:dyDescent="0.2">
      <c r="AU4506"/>
      <c r="AV4506"/>
      <c r="AW4506"/>
      <c r="AX4506"/>
      <c r="AY4506"/>
      <c r="BK4506" s="42">
        <v>4505</v>
      </c>
      <c r="BL4506" s="127">
        <v>4</v>
      </c>
      <c r="BM4506" s="127">
        <v>0.11332468572476186</v>
      </c>
      <c r="BN4506" s="127" t="e">
        <v>#N/A</v>
      </c>
      <c r="BO4506" s="127" t="e">
        <v>#N/A</v>
      </c>
      <c r="BP4506" s="151" t="e">
        <v>#N/A</v>
      </c>
      <c r="BQ4506">
        <v>0.11332468572476186</v>
      </c>
      <c r="BR4506" t="str">
        <v/>
      </c>
    </row>
    <row r="4507" spans="47:70" x14ac:dyDescent="0.2">
      <c r="AU4507"/>
      <c r="AV4507"/>
      <c r="AW4507"/>
      <c r="AX4507"/>
      <c r="AY4507"/>
      <c r="BK4507" s="42">
        <v>4506</v>
      </c>
      <c r="BL4507" s="127">
        <v>4</v>
      </c>
      <c r="BM4507" s="127">
        <v>0.11332468572476186</v>
      </c>
      <c r="BN4507" s="127" t="e">
        <v>#N/A</v>
      </c>
      <c r="BO4507" s="127" t="e">
        <v>#N/A</v>
      </c>
      <c r="BP4507" s="151" t="e">
        <v>#N/A</v>
      </c>
      <c r="BQ4507">
        <v>0.11332468572476186</v>
      </c>
      <c r="BR4507" t="str">
        <v/>
      </c>
    </row>
    <row r="4508" spans="47:70" x14ac:dyDescent="0.2">
      <c r="AU4508"/>
      <c r="AV4508"/>
      <c r="AW4508"/>
      <c r="AX4508"/>
      <c r="AY4508"/>
      <c r="BK4508" s="42">
        <v>4507</v>
      </c>
      <c r="BL4508" s="127">
        <v>4</v>
      </c>
      <c r="BM4508" s="127">
        <v>0.11332468572476186</v>
      </c>
      <c r="BN4508" s="127" t="e">
        <v>#N/A</v>
      </c>
      <c r="BO4508" s="127" t="e">
        <v>#N/A</v>
      </c>
      <c r="BP4508" s="151" t="e">
        <v>#N/A</v>
      </c>
      <c r="BQ4508">
        <v>0.11332468572476186</v>
      </c>
      <c r="BR4508" t="str">
        <v/>
      </c>
    </row>
    <row r="4509" spans="47:70" x14ac:dyDescent="0.2">
      <c r="AU4509"/>
      <c r="AV4509"/>
      <c r="AW4509"/>
      <c r="AX4509"/>
      <c r="AY4509"/>
      <c r="BK4509" s="42">
        <v>4508</v>
      </c>
      <c r="BL4509" s="127">
        <v>4</v>
      </c>
      <c r="BM4509" s="127">
        <v>0.11332468572476186</v>
      </c>
      <c r="BN4509" s="127" t="e">
        <v>#N/A</v>
      </c>
      <c r="BO4509" s="127" t="e">
        <v>#N/A</v>
      </c>
      <c r="BP4509" s="151" t="e">
        <v>#N/A</v>
      </c>
      <c r="BQ4509">
        <v>0.11332468572476186</v>
      </c>
      <c r="BR4509" t="str">
        <v/>
      </c>
    </row>
    <row r="4510" spans="47:70" x14ac:dyDescent="0.2">
      <c r="AU4510"/>
      <c r="AV4510"/>
      <c r="AW4510"/>
      <c r="AX4510"/>
      <c r="AY4510"/>
      <c r="BK4510" s="42">
        <v>4509</v>
      </c>
      <c r="BL4510" s="127">
        <v>4</v>
      </c>
      <c r="BM4510" s="127">
        <v>0.11332468572476186</v>
      </c>
      <c r="BN4510" s="127" t="e">
        <v>#N/A</v>
      </c>
      <c r="BO4510" s="127" t="e">
        <v>#N/A</v>
      </c>
      <c r="BP4510" s="151" t="e">
        <v>#N/A</v>
      </c>
      <c r="BQ4510">
        <v>0.11332468572476186</v>
      </c>
      <c r="BR4510" t="str">
        <v/>
      </c>
    </row>
    <row r="4511" spans="47:70" x14ac:dyDescent="0.2">
      <c r="AU4511"/>
      <c r="AV4511"/>
      <c r="AW4511"/>
      <c r="AX4511"/>
      <c r="AY4511"/>
      <c r="BK4511" s="42">
        <v>4510</v>
      </c>
      <c r="BL4511" s="127">
        <v>4</v>
      </c>
      <c r="BM4511" s="127">
        <v>0.11332468572476186</v>
      </c>
      <c r="BN4511" s="127" t="e">
        <v>#N/A</v>
      </c>
      <c r="BO4511" s="127" t="e">
        <v>#N/A</v>
      </c>
      <c r="BP4511" s="151" t="e">
        <v>#N/A</v>
      </c>
      <c r="BQ4511">
        <v>0.11332468572476186</v>
      </c>
      <c r="BR4511" t="str">
        <v/>
      </c>
    </row>
    <row r="4512" spans="47:70" x14ac:dyDescent="0.2">
      <c r="AU4512"/>
      <c r="AV4512"/>
      <c r="AW4512"/>
      <c r="AX4512"/>
      <c r="AY4512"/>
      <c r="BK4512" s="42">
        <v>4511</v>
      </c>
      <c r="BL4512" s="127">
        <v>4</v>
      </c>
      <c r="BM4512" s="127">
        <v>0.11332468572476186</v>
      </c>
      <c r="BN4512" s="127" t="e">
        <v>#N/A</v>
      </c>
      <c r="BO4512" s="127" t="e">
        <v>#N/A</v>
      </c>
      <c r="BP4512" s="151" t="e">
        <v>#N/A</v>
      </c>
      <c r="BQ4512">
        <v>0.11332468572476186</v>
      </c>
      <c r="BR4512" t="str">
        <v/>
      </c>
    </row>
    <row r="4513" spans="47:70" x14ac:dyDescent="0.2">
      <c r="AU4513"/>
      <c r="AV4513"/>
      <c r="AW4513"/>
      <c r="AX4513"/>
      <c r="AY4513"/>
      <c r="BK4513" s="42">
        <v>4512</v>
      </c>
      <c r="BL4513" s="127">
        <v>4</v>
      </c>
      <c r="BM4513" s="127">
        <v>0.11332468572476186</v>
      </c>
      <c r="BN4513" s="127" t="e">
        <v>#N/A</v>
      </c>
      <c r="BO4513" s="127" t="e">
        <v>#N/A</v>
      </c>
      <c r="BP4513" s="151" t="e">
        <v>#N/A</v>
      </c>
      <c r="BQ4513">
        <v>0.11332468572476186</v>
      </c>
      <c r="BR4513" t="str">
        <v/>
      </c>
    </row>
    <row r="4514" spans="47:70" x14ac:dyDescent="0.2">
      <c r="AU4514"/>
      <c r="AV4514"/>
      <c r="AW4514"/>
      <c r="AX4514"/>
      <c r="AY4514"/>
      <c r="BK4514" s="42">
        <v>4513</v>
      </c>
      <c r="BL4514" s="127">
        <v>4</v>
      </c>
      <c r="BM4514" s="127">
        <v>0.11332468572476186</v>
      </c>
      <c r="BN4514" s="127" t="e">
        <v>#N/A</v>
      </c>
      <c r="BO4514" s="127" t="e">
        <v>#N/A</v>
      </c>
      <c r="BP4514" s="151" t="e">
        <v>#N/A</v>
      </c>
      <c r="BQ4514">
        <v>0.11332468572476186</v>
      </c>
      <c r="BR4514" t="str">
        <v/>
      </c>
    </row>
    <row r="4515" spans="47:70" x14ac:dyDescent="0.2">
      <c r="AU4515"/>
      <c r="AV4515"/>
      <c r="AW4515"/>
      <c r="AX4515"/>
      <c r="AY4515"/>
      <c r="BK4515" s="42">
        <v>4514</v>
      </c>
      <c r="BL4515" s="127">
        <v>4</v>
      </c>
      <c r="BM4515" s="127">
        <v>0.11332468572476186</v>
      </c>
      <c r="BN4515" s="127" t="e">
        <v>#N/A</v>
      </c>
      <c r="BO4515" s="127" t="e">
        <v>#N/A</v>
      </c>
      <c r="BP4515" s="151" t="e">
        <v>#N/A</v>
      </c>
      <c r="BQ4515">
        <v>0.11332468572476186</v>
      </c>
      <c r="BR4515" t="str">
        <v/>
      </c>
    </row>
    <row r="4516" spans="47:70" x14ac:dyDescent="0.2">
      <c r="AU4516"/>
      <c r="AV4516"/>
      <c r="AW4516"/>
      <c r="AX4516"/>
      <c r="AY4516"/>
      <c r="BK4516" s="42">
        <v>4515</v>
      </c>
      <c r="BL4516" s="127">
        <v>4</v>
      </c>
      <c r="BM4516" s="127">
        <v>0.11332468572476186</v>
      </c>
      <c r="BN4516" s="127" t="e">
        <v>#N/A</v>
      </c>
      <c r="BO4516" s="127" t="e">
        <v>#N/A</v>
      </c>
      <c r="BP4516" s="151" t="e">
        <v>#N/A</v>
      </c>
      <c r="BQ4516">
        <v>0.11332468572476186</v>
      </c>
      <c r="BR4516" t="str">
        <v/>
      </c>
    </row>
    <row r="4517" spans="47:70" x14ac:dyDescent="0.2">
      <c r="AU4517"/>
      <c r="AV4517"/>
      <c r="AW4517"/>
      <c r="AX4517"/>
      <c r="AY4517"/>
      <c r="BK4517" s="42">
        <v>4516</v>
      </c>
      <c r="BL4517" s="127">
        <v>4</v>
      </c>
      <c r="BM4517" s="127">
        <v>0.11332468572476186</v>
      </c>
      <c r="BN4517" s="127" t="e">
        <v>#N/A</v>
      </c>
      <c r="BO4517" s="127" t="e">
        <v>#N/A</v>
      </c>
      <c r="BP4517" s="151" t="e">
        <v>#N/A</v>
      </c>
      <c r="BQ4517">
        <v>0.11332468572476186</v>
      </c>
      <c r="BR4517" t="str">
        <v/>
      </c>
    </row>
    <row r="4518" spans="47:70" x14ac:dyDescent="0.2">
      <c r="AU4518"/>
      <c r="AV4518"/>
      <c r="AW4518"/>
      <c r="AX4518"/>
      <c r="AY4518"/>
      <c r="BK4518" s="42">
        <v>4517</v>
      </c>
      <c r="BL4518" s="127">
        <v>4</v>
      </c>
      <c r="BM4518" s="127">
        <v>0.11332468572476186</v>
      </c>
      <c r="BN4518" s="127" t="e">
        <v>#N/A</v>
      </c>
      <c r="BO4518" s="127" t="e">
        <v>#N/A</v>
      </c>
      <c r="BP4518" s="151" t="e">
        <v>#N/A</v>
      </c>
      <c r="BQ4518">
        <v>0.11332468572476186</v>
      </c>
      <c r="BR4518" t="str">
        <v/>
      </c>
    </row>
    <row r="4519" spans="47:70" x14ac:dyDescent="0.2">
      <c r="AU4519"/>
      <c r="AV4519"/>
      <c r="AW4519"/>
      <c r="AX4519"/>
      <c r="AY4519"/>
      <c r="BK4519" s="42">
        <v>4518</v>
      </c>
      <c r="BL4519" s="127">
        <v>4</v>
      </c>
      <c r="BM4519" s="127">
        <v>0.11332468572476186</v>
      </c>
      <c r="BN4519" s="127" t="e">
        <v>#N/A</v>
      </c>
      <c r="BO4519" s="127" t="e">
        <v>#N/A</v>
      </c>
      <c r="BP4519" s="151" t="e">
        <v>#N/A</v>
      </c>
      <c r="BQ4519">
        <v>0.11332468572476186</v>
      </c>
      <c r="BR4519" t="str">
        <v/>
      </c>
    </row>
    <row r="4520" spans="47:70" x14ac:dyDescent="0.2">
      <c r="AU4520"/>
      <c r="AV4520"/>
      <c r="AW4520"/>
      <c r="AX4520"/>
      <c r="AY4520"/>
      <c r="BK4520" s="42">
        <v>4519</v>
      </c>
      <c r="BL4520" s="127">
        <v>4</v>
      </c>
      <c r="BM4520" s="127">
        <v>0.11332468572476186</v>
      </c>
      <c r="BN4520" s="127" t="e">
        <v>#N/A</v>
      </c>
      <c r="BO4520" s="127" t="e">
        <v>#N/A</v>
      </c>
      <c r="BP4520" s="151" t="e">
        <v>#N/A</v>
      </c>
      <c r="BQ4520">
        <v>0.11332468572476186</v>
      </c>
      <c r="BR4520" t="str">
        <v/>
      </c>
    </row>
    <row r="4521" spans="47:70" x14ac:dyDescent="0.2">
      <c r="AU4521"/>
      <c r="AV4521"/>
      <c r="AW4521"/>
      <c r="AX4521"/>
      <c r="AY4521"/>
      <c r="BK4521" s="42">
        <v>4520</v>
      </c>
      <c r="BL4521" s="127">
        <v>4</v>
      </c>
      <c r="BM4521" s="127">
        <v>0.11332468572476186</v>
      </c>
      <c r="BN4521" s="127" t="e">
        <v>#N/A</v>
      </c>
      <c r="BO4521" s="127" t="e">
        <v>#N/A</v>
      </c>
      <c r="BP4521" s="151" t="e">
        <v>#N/A</v>
      </c>
      <c r="BQ4521">
        <v>0.11332468572476186</v>
      </c>
      <c r="BR4521" t="str">
        <v/>
      </c>
    </row>
    <row r="4522" spans="47:70" x14ac:dyDescent="0.2">
      <c r="AU4522"/>
      <c r="AV4522"/>
      <c r="AW4522"/>
      <c r="AX4522"/>
      <c r="AY4522"/>
      <c r="BK4522" s="42">
        <v>4521</v>
      </c>
      <c r="BL4522" s="127">
        <v>4</v>
      </c>
      <c r="BM4522" s="127">
        <v>0.11332468572476186</v>
      </c>
      <c r="BN4522" s="127" t="e">
        <v>#N/A</v>
      </c>
      <c r="BO4522" s="127" t="e">
        <v>#N/A</v>
      </c>
      <c r="BP4522" s="151" t="e">
        <v>#N/A</v>
      </c>
      <c r="BQ4522">
        <v>0.11332468572476186</v>
      </c>
      <c r="BR4522" t="str">
        <v/>
      </c>
    </row>
    <row r="4523" spans="47:70" x14ac:dyDescent="0.2">
      <c r="AU4523"/>
      <c r="AV4523"/>
      <c r="AW4523"/>
      <c r="AX4523"/>
      <c r="AY4523"/>
      <c r="BK4523" s="42">
        <v>4522</v>
      </c>
      <c r="BL4523" s="127">
        <v>4</v>
      </c>
      <c r="BM4523" s="127">
        <v>0.11332468572476186</v>
      </c>
      <c r="BN4523" s="127" t="e">
        <v>#N/A</v>
      </c>
      <c r="BO4523" s="127" t="e">
        <v>#N/A</v>
      </c>
      <c r="BP4523" s="151" t="e">
        <v>#N/A</v>
      </c>
      <c r="BQ4523">
        <v>0.11332468572476186</v>
      </c>
      <c r="BR4523" t="str">
        <v/>
      </c>
    </row>
    <row r="4524" spans="47:70" x14ac:dyDescent="0.2">
      <c r="AU4524"/>
      <c r="AV4524"/>
      <c r="AW4524"/>
      <c r="AX4524"/>
      <c r="AY4524"/>
      <c r="BK4524" s="42">
        <v>4523</v>
      </c>
      <c r="BL4524" s="127">
        <v>4</v>
      </c>
      <c r="BM4524" s="127">
        <v>0.11332468572476186</v>
      </c>
      <c r="BN4524" s="127" t="e">
        <v>#N/A</v>
      </c>
      <c r="BO4524" s="127" t="e">
        <v>#N/A</v>
      </c>
      <c r="BP4524" s="151" t="e">
        <v>#N/A</v>
      </c>
      <c r="BQ4524">
        <v>0.11332468572476186</v>
      </c>
      <c r="BR4524" t="str">
        <v/>
      </c>
    </row>
    <row r="4525" spans="47:70" x14ac:dyDescent="0.2">
      <c r="AU4525"/>
      <c r="AV4525"/>
      <c r="AW4525"/>
      <c r="AX4525"/>
      <c r="AY4525"/>
      <c r="BK4525" s="42">
        <v>4524</v>
      </c>
      <c r="BL4525" s="127">
        <v>4</v>
      </c>
      <c r="BM4525" s="127">
        <v>0.11332468572476186</v>
      </c>
      <c r="BN4525" s="127" t="e">
        <v>#N/A</v>
      </c>
      <c r="BO4525" s="127" t="e">
        <v>#N/A</v>
      </c>
      <c r="BP4525" s="151" t="e">
        <v>#N/A</v>
      </c>
      <c r="BQ4525">
        <v>0.11332468572476186</v>
      </c>
      <c r="BR4525" t="str">
        <v/>
      </c>
    </row>
    <row r="4526" spans="47:70" x14ac:dyDescent="0.2">
      <c r="AU4526"/>
      <c r="AV4526"/>
      <c r="AW4526"/>
      <c r="AX4526"/>
      <c r="AY4526"/>
      <c r="BK4526" s="42">
        <v>4525</v>
      </c>
      <c r="BL4526" s="127">
        <v>4</v>
      </c>
      <c r="BM4526" s="127">
        <v>0.11332468572476186</v>
      </c>
      <c r="BN4526" s="127" t="e">
        <v>#N/A</v>
      </c>
      <c r="BO4526" s="127" t="e">
        <v>#N/A</v>
      </c>
      <c r="BP4526" s="151" t="e">
        <v>#N/A</v>
      </c>
      <c r="BQ4526">
        <v>0.11332468572476186</v>
      </c>
      <c r="BR4526" t="str">
        <v/>
      </c>
    </row>
    <row r="4527" spans="47:70" x14ac:dyDescent="0.2">
      <c r="AU4527"/>
      <c r="AV4527"/>
      <c r="AW4527"/>
      <c r="AX4527"/>
      <c r="AY4527"/>
      <c r="BK4527" s="42">
        <v>4526</v>
      </c>
      <c r="BL4527" s="127">
        <v>4</v>
      </c>
      <c r="BM4527" s="127">
        <v>0.11332468572476186</v>
      </c>
      <c r="BN4527" s="127" t="e">
        <v>#N/A</v>
      </c>
      <c r="BO4527" s="127" t="e">
        <v>#N/A</v>
      </c>
      <c r="BP4527" s="151" t="e">
        <v>#N/A</v>
      </c>
      <c r="BQ4527">
        <v>0.11332468572476186</v>
      </c>
      <c r="BR4527" t="str">
        <v/>
      </c>
    </row>
    <row r="4528" spans="47:70" x14ac:dyDescent="0.2">
      <c r="AU4528"/>
      <c r="AV4528"/>
      <c r="AW4528"/>
      <c r="AX4528"/>
      <c r="AY4528"/>
      <c r="BK4528" s="42">
        <v>4527</v>
      </c>
      <c r="BL4528" s="127">
        <v>4</v>
      </c>
      <c r="BM4528" s="127">
        <v>0.11332468572476186</v>
      </c>
      <c r="BN4528" s="127" t="e">
        <v>#N/A</v>
      </c>
      <c r="BO4528" s="127" t="e">
        <v>#N/A</v>
      </c>
      <c r="BP4528" s="151" t="e">
        <v>#N/A</v>
      </c>
      <c r="BQ4528">
        <v>0.11332468572476186</v>
      </c>
      <c r="BR4528" t="str">
        <v/>
      </c>
    </row>
    <row r="4529" spans="47:70" x14ac:dyDescent="0.2">
      <c r="AU4529"/>
      <c r="AV4529"/>
      <c r="AW4529"/>
      <c r="AX4529"/>
      <c r="AY4529"/>
      <c r="BK4529" s="42">
        <v>4528</v>
      </c>
      <c r="BL4529" s="127">
        <v>4</v>
      </c>
      <c r="BM4529" s="127">
        <v>0.11332468572476186</v>
      </c>
      <c r="BN4529" s="127" t="e">
        <v>#N/A</v>
      </c>
      <c r="BO4529" s="127" t="e">
        <v>#N/A</v>
      </c>
      <c r="BP4529" s="151" t="e">
        <v>#N/A</v>
      </c>
      <c r="BQ4529">
        <v>0.11332468572476186</v>
      </c>
      <c r="BR4529" t="str">
        <v/>
      </c>
    </row>
    <row r="4530" spans="47:70" x14ac:dyDescent="0.2">
      <c r="AU4530"/>
      <c r="AV4530"/>
      <c r="AW4530"/>
      <c r="AX4530"/>
      <c r="AY4530"/>
      <c r="BK4530" s="42">
        <v>4529</v>
      </c>
      <c r="BL4530" s="127">
        <v>4</v>
      </c>
      <c r="BM4530" s="127">
        <v>0.11332468572476186</v>
      </c>
      <c r="BN4530" s="127" t="e">
        <v>#N/A</v>
      </c>
      <c r="BO4530" s="127" t="e">
        <v>#N/A</v>
      </c>
      <c r="BP4530" s="151" t="e">
        <v>#N/A</v>
      </c>
      <c r="BQ4530">
        <v>0.11332468572476186</v>
      </c>
      <c r="BR4530" t="str">
        <v/>
      </c>
    </row>
    <row r="4531" spans="47:70" x14ac:dyDescent="0.2">
      <c r="AU4531"/>
      <c r="AV4531"/>
      <c r="AW4531"/>
      <c r="AX4531"/>
      <c r="AY4531"/>
      <c r="BK4531" s="42">
        <v>4530</v>
      </c>
      <c r="BL4531" s="127">
        <v>4</v>
      </c>
      <c r="BM4531" s="127">
        <v>0.11332468572476186</v>
      </c>
      <c r="BN4531" s="127" t="e">
        <v>#N/A</v>
      </c>
      <c r="BO4531" s="127" t="e">
        <v>#N/A</v>
      </c>
      <c r="BP4531" s="151" t="e">
        <v>#N/A</v>
      </c>
      <c r="BQ4531">
        <v>0.11332468572476186</v>
      </c>
      <c r="BR4531" t="str">
        <v/>
      </c>
    </row>
    <row r="4532" spans="47:70" x14ac:dyDescent="0.2">
      <c r="AU4532"/>
      <c r="AV4532"/>
      <c r="AW4532"/>
      <c r="AX4532"/>
      <c r="AY4532"/>
      <c r="BK4532" s="42">
        <v>4531</v>
      </c>
      <c r="BL4532" s="127">
        <v>4</v>
      </c>
      <c r="BM4532" s="127">
        <v>0.11332468572476186</v>
      </c>
      <c r="BN4532" s="127" t="e">
        <v>#N/A</v>
      </c>
      <c r="BO4532" s="127" t="e">
        <v>#N/A</v>
      </c>
      <c r="BP4532" s="151" t="e">
        <v>#N/A</v>
      </c>
      <c r="BQ4532">
        <v>0.11332468572476186</v>
      </c>
      <c r="BR4532" t="str">
        <v/>
      </c>
    </row>
    <row r="4533" spans="47:70" x14ac:dyDescent="0.2">
      <c r="AU4533"/>
      <c r="AV4533"/>
      <c r="AW4533"/>
      <c r="AX4533"/>
      <c r="AY4533"/>
      <c r="BK4533" s="42">
        <v>4532</v>
      </c>
      <c r="BL4533" s="127">
        <v>4</v>
      </c>
      <c r="BM4533" s="127">
        <v>0.11332468572476186</v>
      </c>
      <c r="BN4533" s="127" t="e">
        <v>#N/A</v>
      </c>
      <c r="BO4533" s="127" t="e">
        <v>#N/A</v>
      </c>
      <c r="BP4533" s="151" t="e">
        <v>#N/A</v>
      </c>
      <c r="BQ4533">
        <v>0.11332468572476186</v>
      </c>
      <c r="BR4533" t="str">
        <v/>
      </c>
    </row>
    <row r="4534" spans="47:70" x14ac:dyDescent="0.2">
      <c r="AU4534"/>
      <c r="AV4534"/>
      <c r="AW4534"/>
      <c r="AX4534"/>
      <c r="AY4534"/>
      <c r="BK4534" s="42">
        <v>4533</v>
      </c>
      <c r="BL4534" s="127">
        <v>4</v>
      </c>
      <c r="BM4534" s="127">
        <v>0.11332468572476186</v>
      </c>
      <c r="BN4534" s="127" t="e">
        <v>#N/A</v>
      </c>
      <c r="BO4534" s="127" t="e">
        <v>#N/A</v>
      </c>
      <c r="BP4534" s="151" t="e">
        <v>#N/A</v>
      </c>
      <c r="BQ4534">
        <v>0.11332468572476186</v>
      </c>
      <c r="BR4534" t="str">
        <v/>
      </c>
    </row>
    <row r="4535" spans="47:70" x14ac:dyDescent="0.2">
      <c r="AU4535"/>
      <c r="AV4535"/>
      <c r="AW4535"/>
      <c r="AX4535"/>
      <c r="AY4535"/>
      <c r="BK4535" s="42">
        <v>4534</v>
      </c>
      <c r="BL4535" s="127">
        <v>4</v>
      </c>
      <c r="BM4535" s="127">
        <v>0.11332468572476186</v>
      </c>
      <c r="BN4535" s="127" t="e">
        <v>#N/A</v>
      </c>
      <c r="BO4535" s="127" t="e">
        <v>#N/A</v>
      </c>
      <c r="BP4535" s="151" t="e">
        <v>#N/A</v>
      </c>
      <c r="BQ4535">
        <v>0.11332468572476186</v>
      </c>
      <c r="BR4535" t="str">
        <v/>
      </c>
    </row>
    <row r="4536" spans="47:70" x14ac:dyDescent="0.2">
      <c r="AU4536"/>
      <c r="AV4536"/>
      <c r="AW4536"/>
      <c r="AX4536"/>
      <c r="AY4536"/>
      <c r="BK4536" s="42">
        <v>4535</v>
      </c>
      <c r="BL4536" s="127">
        <v>4</v>
      </c>
      <c r="BM4536" s="127">
        <v>0.11332468572476186</v>
      </c>
      <c r="BN4536" s="127" t="e">
        <v>#N/A</v>
      </c>
      <c r="BO4536" s="127" t="e">
        <v>#N/A</v>
      </c>
      <c r="BP4536" s="151" t="e">
        <v>#N/A</v>
      </c>
      <c r="BQ4536">
        <v>0.11332468572476186</v>
      </c>
      <c r="BR4536" t="str">
        <v/>
      </c>
    </row>
    <row r="4537" spans="47:70" x14ac:dyDescent="0.2">
      <c r="AU4537"/>
      <c r="AV4537"/>
      <c r="AW4537"/>
      <c r="AX4537"/>
      <c r="AY4537"/>
      <c r="BK4537" s="42">
        <v>4536</v>
      </c>
      <c r="BL4537" s="127">
        <v>4</v>
      </c>
      <c r="BM4537" s="127">
        <v>0.11332468572476186</v>
      </c>
      <c r="BN4537" s="127" t="e">
        <v>#N/A</v>
      </c>
      <c r="BO4537" s="127" t="e">
        <v>#N/A</v>
      </c>
      <c r="BP4537" s="151" t="e">
        <v>#N/A</v>
      </c>
      <c r="BQ4537">
        <v>0.11332468572476186</v>
      </c>
      <c r="BR4537" t="str">
        <v/>
      </c>
    </row>
    <row r="4538" spans="47:70" x14ac:dyDescent="0.2">
      <c r="AU4538"/>
      <c r="AV4538"/>
      <c r="AW4538"/>
      <c r="AX4538"/>
      <c r="AY4538"/>
      <c r="BK4538" s="42">
        <v>4537</v>
      </c>
      <c r="BL4538" s="127">
        <v>4</v>
      </c>
      <c r="BM4538" s="127">
        <v>0.11332468572476186</v>
      </c>
      <c r="BN4538" s="127" t="e">
        <v>#N/A</v>
      </c>
      <c r="BO4538" s="127" t="e">
        <v>#N/A</v>
      </c>
      <c r="BP4538" s="151" t="e">
        <v>#N/A</v>
      </c>
      <c r="BQ4538">
        <v>0.11332468572476186</v>
      </c>
      <c r="BR4538" t="str">
        <v/>
      </c>
    </row>
    <row r="4539" spans="47:70" x14ac:dyDescent="0.2">
      <c r="AU4539"/>
      <c r="AV4539"/>
      <c r="AW4539"/>
      <c r="AX4539"/>
      <c r="AY4539"/>
      <c r="BK4539" s="42">
        <v>4538</v>
      </c>
      <c r="BL4539" s="127">
        <v>4</v>
      </c>
      <c r="BM4539" s="127">
        <v>0.11332468572476186</v>
      </c>
      <c r="BN4539" s="127" t="e">
        <v>#N/A</v>
      </c>
      <c r="BO4539" s="127" t="e">
        <v>#N/A</v>
      </c>
      <c r="BP4539" s="151" t="e">
        <v>#N/A</v>
      </c>
      <c r="BQ4539">
        <v>0.11332468572476186</v>
      </c>
      <c r="BR4539" t="str">
        <v/>
      </c>
    </row>
    <row r="4540" spans="47:70" x14ac:dyDescent="0.2">
      <c r="AU4540"/>
      <c r="AV4540"/>
      <c r="AW4540"/>
      <c r="AX4540"/>
      <c r="AY4540"/>
      <c r="BK4540" s="42">
        <v>4539</v>
      </c>
      <c r="BL4540" s="127">
        <v>4</v>
      </c>
      <c r="BM4540" s="127">
        <v>0.11332468572476186</v>
      </c>
      <c r="BN4540" s="127" t="e">
        <v>#N/A</v>
      </c>
      <c r="BO4540" s="127" t="e">
        <v>#N/A</v>
      </c>
      <c r="BP4540" s="151" t="e">
        <v>#N/A</v>
      </c>
      <c r="BQ4540">
        <v>0.11332468572476186</v>
      </c>
      <c r="BR4540" t="str">
        <v/>
      </c>
    </row>
    <row r="4541" spans="47:70" x14ac:dyDescent="0.2">
      <c r="AU4541"/>
      <c r="AV4541"/>
      <c r="AW4541"/>
      <c r="AX4541"/>
      <c r="AY4541"/>
      <c r="BK4541" s="42">
        <v>4540</v>
      </c>
      <c r="BL4541" s="127">
        <v>4</v>
      </c>
      <c r="BM4541" s="127">
        <v>0.11332468572476186</v>
      </c>
      <c r="BN4541" s="127" t="e">
        <v>#N/A</v>
      </c>
      <c r="BO4541" s="127" t="e">
        <v>#N/A</v>
      </c>
      <c r="BP4541" s="151" t="e">
        <v>#N/A</v>
      </c>
      <c r="BQ4541">
        <v>0.11332468572476186</v>
      </c>
      <c r="BR4541" t="str">
        <v/>
      </c>
    </row>
    <row r="4542" spans="47:70" x14ac:dyDescent="0.2">
      <c r="AU4542"/>
      <c r="AV4542"/>
      <c r="AW4542"/>
      <c r="AX4542"/>
      <c r="AY4542"/>
      <c r="BK4542" s="42">
        <v>4541</v>
      </c>
      <c r="BL4542" s="127">
        <v>4</v>
      </c>
      <c r="BM4542" s="127">
        <v>0.11332468572476186</v>
      </c>
      <c r="BN4542" s="127" t="e">
        <v>#N/A</v>
      </c>
      <c r="BO4542" s="127" t="e">
        <v>#N/A</v>
      </c>
      <c r="BP4542" s="151" t="e">
        <v>#N/A</v>
      </c>
      <c r="BQ4542">
        <v>0.11332468572476186</v>
      </c>
      <c r="BR4542" t="str">
        <v/>
      </c>
    </row>
    <row r="4543" spans="47:70" x14ac:dyDescent="0.2">
      <c r="AU4543"/>
      <c r="AV4543"/>
      <c r="AW4543"/>
      <c r="AX4543"/>
      <c r="AY4543"/>
      <c r="BK4543" s="42">
        <v>4542</v>
      </c>
      <c r="BL4543" s="127">
        <v>4</v>
      </c>
      <c r="BM4543" s="127">
        <v>0.11332468572476186</v>
      </c>
      <c r="BN4543" s="127" t="e">
        <v>#N/A</v>
      </c>
      <c r="BO4543" s="127" t="e">
        <v>#N/A</v>
      </c>
      <c r="BP4543" s="151" t="e">
        <v>#N/A</v>
      </c>
      <c r="BQ4543">
        <v>0.11332468572476186</v>
      </c>
      <c r="BR4543" t="str">
        <v/>
      </c>
    </row>
    <row r="4544" spans="47:70" x14ac:dyDescent="0.2">
      <c r="AU4544"/>
      <c r="AV4544"/>
      <c r="AW4544"/>
      <c r="AX4544"/>
      <c r="AY4544"/>
      <c r="BK4544" s="42">
        <v>4543</v>
      </c>
      <c r="BL4544" s="127">
        <v>4</v>
      </c>
      <c r="BM4544" s="127">
        <v>0.11332468572476186</v>
      </c>
      <c r="BN4544" s="127" t="e">
        <v>#N/A</v>
      </c>
      <c r="BO4544" s="127" t="e">
        <v>#N/A</v>
      </c>
      <c r="BP4544" s="151" t="e">
        <v>#N/A</v>
      </c>
      <c r="BQ4544">
        <v>0.11332468572476186</v>
      </c>
      <c r="BR4544" t="str">
        <v/>
      </c>
    </row>
    <row r="4545" spans="47:70" x14ac:dyDescent="0.2">
      <c r="AU4545"/>
      <c r="AV4545"/>
      <c r="AW4545"/>
      <c r="AX4545"/>
      <c r="AY4545"/>
      <c r="BK4545" s="42">
        <v>4544</v>
      </c>
      <c r="BL4545" s="127">
        <v>4</v>
      </c>
      <c r="BM4545" s="127">
        <v>0.11332468572476186</v>
      </c>
      <c r="BN4545" s="127" t="e">
        <v>#N/A</v>
      </c>
      <c r="BO4545" s="127" t="e">
        <v>#N/A</v>
      </c>
      <c r="BP4545" s="151" t="e">
        <v>#N/A</v>
      </c>
      <c r="BQ4545">
        <v>0.11332468572476186</v>
      </c>
      <c r="BR4545" t="str">
        <v/>
      </c>
    </row>
    <row r="4546" spans="47:70" x14ac:dyDescent="0.2">
      <c r="AU4546"/>
      <c r="AV4546"/>
      <c r="AW4546"/>
      <c r="AX4546"/>
      <c r="AY4546"/>
      <c r="BK4546" s="42">
        <v>4545</v>
      </c>
      <c r="BL4546" s="127">
        <v>4</v>
      </c>
      <c r="BM4546" s="127">
        <v>0.11332468572476186</v>
      </c>
      <c r="BN4546" s="127" t="e">
        <v>#N/A</v>
      </c>
      <c r="BO4546" s="127" t="e">
        <v>#N/A</v>
      </c>
      <c r="BP4546" s="151" t="e">
        <v>#N/A</v>
      </c>
      <c r="BQ4546">
        <v>0.11332468572476186</v>
      </c>
      <c r="BR4546" t="str">
        <v/>
      </c>
    </row>
    <row r="4547" spans="47:70" x14ac:dyDescent="0.2">
      <c r="AU4547"/>
      <c r="AV4547"/>
      <c r="AW4547"/>
      <c r="AX4547"/>
      <c r="AY4547"/>
      <c r="BK4547" s="42">
        <v>4546</v>
      </c>
      <c r="BL4547" s="127">
        <v>4</v>
      </c>
      <c r="BM4547" s="127">
        <v>0.11332468572476186</v>
      </c>
      <c r="BN4547" s="127" t="e">
        <v>#N/A</v>
      </c>
      <c r="BO4547" s="127" t="e">
        <v>#N/A</v>
      </c>
      <c r="BP4547" s="151" t="e">
        <v>#N/A</v>
      </c>
      <c r="BQ4547">
        <v>0.11332468572476186</v>
      </c>
      <c r="BR4547" t="str">
        <v/>
      </c>
    </row>
    <row r="4548" spans="47:70" x14ac:dyDescent="0.2">
      <c r="AU4548"/>
      <c r="AV4548"/>
      <c r="AW4548"/>
      <c r="AX4548"/>
      <c r="AY4548"/>
      <c r="BK4548" s="42">
        <v>4547</v>
      </c>
      <c r="BL4548" s="127">
        <v>4</v>
      </c>
      <c r="BM4548" s="127">
        <v>0.11332468572476186</v>
      </c>
      <c r="BN4548" s="127" t="e">
        <v>#N/A</v>
      </c>
      <c r="BO4548" s="127" t="e">
        <v>#N/A</v>
      </c>
      <c r="BP4548" s="151" t="e">
        <v>#N/A</v>
      </c>
      <c r="BQ4548">
        <v>0.11332468572476186</v>
      </c>
      <c r="BR4548" t="str">
        <v/>
      </c>
    </row>
    <row r="4549" spans="47:70" x14ac:dyDescent="0.2">
      <c r="AU4549"/>
      <c r="AV4549"/>
      <c r="AW4549"/>
      <c r="AX4549"/>
      <c r="AY4549"/>
      <c r="BK4549" s="42">
        <v>4548</v>
      </c>
      <c r="BL4549" s="127">
        <v>4</v>
      </c>
      <c r="BM4549" s="127">
        <v>0.11332468572476186</v>
      </c>
      <c r="BN4549" s="127" t="e">
        <v>#N/A</v>
      </c>
      <c r="BO4549" s="127" t="e">
        <v>#N/A</v>
      </c>
      <c r="BP4549" s="151" t="e">
        <v>#N/A</v>
      </c>
      <c r="BQ4549">
        <v>0.11332468572476186</v>
      </c>
      <c r="BR4549" t="str">
        <v/>
      </c>
    </row>
    <row r="4550" spans="47:70" x14ac:dyDescent="0.2">
      <c r="AU4550"/>
      <c r="AV4550"/>
      <c r="AW4550"/>
      <c r="AX4550"/>
      <c r="AY4550"/>
      <c r="BK4550" s="42">
        <v>4549</v>
      </c>
      <c r="BL4550" s="127">
        <v>4</v>
      </c>
      <c r="BM4550" s="127">
        <v>0.11332468572476186</v>
      </c>
      <c r="BN4550" s="127" t="e">
        <v>#N/A</v>
      </c>
      <c r="BO4550" s="127" t="e">
        <v>#N/A</v>
      </c>
      <c r="BP4550" s="151" t="e">
        <v>#N/A</v>
      </c>
      <c r="BQ4550">
        <v>0.11332468572476186</v>
      </c>
      <c r="BR4550" t="str">
        <v/>
      </c>
    </row>
    <row r="4551" spans="47:70" x14ac:dyDescent="0.2">
      <c r="AU4551"/>
      <c r="AV4551"/>
      <c r="AW4551"/>
      <c r="AX4551"/>
      <c r="AY4551"/>
      <c r="BK4551" s="42">
        <v>4550</v>
      </c>
      <c r="BL4551" s="127">
        <v>4</v>
      </c>
      <c r="BM4551" s="127">
        <v>0.11332468572476186</v>
      </c>
      <c r="BN4551" s="127" t="e">
        <v>#N/A</v>
      </c>
      <c r="BO4551" s="127" t="e">
        <v>#N/A</v>
      </c>
      <c r="BP4551" s="151" t="e">
        <v>#N/A</v>
      </c>
      <c r="BQ4551">
        <v>0.11332468572476186</v>
      </c>
      <c r="BR4551" t="str">
        <v/>
      </c>
    </row>
    <row r="4552" spans="47:70" x14ac:dyDescent="0.2">
      <c r="AU4552"/>
      <c r="AV4552"/>
      <c r="AW4552"/>
      <c r="AX4552"/>
      <c r="AY4552"/>
      <c r="BK4552" s="42">
        <v>4551</v>
      </c>
      <c r="BL4552" s="127">
        <v>4</v>
      </c>
      <c r="BM4552" s="127">
        <v>0.11332468572476186</v>
      </c>
      <c r="BN4552" s="127" t="e">
        <v>#N/A</v>
      </c>
      <c r="BO4552" s="127" t="e">
        <v>#N/A</v>
      </c>
      <c r="BP4552" s="151" t="e">
        <v>#N/A</v>
      </c>
      <c r="BQ4552">
        <v>0.11332468572476186</v>
      </c>
      <c r="BR4552" t="str">
        <v/>
      </c>
    </row>
    <row r="4553" spans="47:70" x14ac:dyDescent="0.2">
      <c r="AU4553"/>
      <c r="AV4553"/>
      <c r="AW4553"/>
      <c r="AX4553"/>
      <c r="AY4553"/>
      <c r="BK4553" s="42">
        <v>4552</v>
      </c>
      <c r="BL4553" s="127">
        <v>4</v>
      </c>
      <c r="BM4553" s="127">
        <v>0.11332468572476186</v>
      </c>
      <c r="BN4553" s="127" t="e">
        <v>#N/A</v>
      </c>
      <c r="BO4553" s="127" t="e">
        <v>#N/A</v>
      </c>
      <c r="BP4553" s="151" t="e">
        <v>#N/A</v>
      </c>
      <c r="BQ4553">
        <v>0.11332468572476186</v>
      </c>
      <c r="BR4553" t="str">
        <v/>
      </c>
    </row>
    <row r="4554" spans="47:70" x14ac:dyDescent="0.2">
      <c r="AU4554"/>
      <c r="AV4554"/>
      <c r="AW4554"/>
      <c r="AX4554"/>
      <c r="AY4554"/>
      <c r="BK4554" s="42">
        <v>4553</v>
      </c>
      <c r="BL4554" s="127">
        <v>4</v>
      </c>
      <c r="BM4554" s="127">
        <v>0.11332468572476186</v>
      </c>
      <c r="BN4554" s="127" t="e">
        <v>#N/A</v>
      </c>
      <c r="BO4554" s="127" t="e">
        <v>#N/A</v>
      </c>
      <c r="BP4554" s="151" t="e">
        <v>#N/A</v>
      </c>
      <c r="BQ4554">
        <v>0.11332468572476186</v>
      </c>
      <c r="BR4554" t="str">
        <v/>
      </c>
    </row>
    <row r="4555" spans="47:70" x14ac:dyDescent="0.2">
      <c r="AU4555"/>
      <c r="AV4555"/>
      <c r="AW4555"/>
      <c r="AX4555"/>
      <c r="AY4555"/>
      <c r="BK4555" s="42">
        <v>4554</v>
      </c>
      <c r="BL4555" s="127">
        <v>4</v>
      </c>
      <c r="BM4555" s="127">
        <v>0.11332468572476186</v>
      </c>
      <c r="BN4555" s="127" t="e">
        <v>#N/A</v>
      </c>
      <c r="BO4555" s="127" t="e">
        <v>#N/A</v>
      </c>
      <c r="BP4555" s="151" t="e">
        <v>#N/A</v>
      </c>
      <c r="BQ4555">
        <v>0.11332468572476186</v>
      </c>
      <c r="BR4555" t="str">
        <v/>
      </c>
    </row>
    <row r="4556" spans="47:70" x14ac:dyDescent="0.2">
      <c r="AU4556"/>
      <c r="AV4556"/>
      <c r="AW4556"/>
      <c r="AX4556"/>
      <c r="AY4556"/>
      <c r="BK4556" s="42">
        <v>4555</v>
      </c>
      <c r="BL4556" s="127">
        <v>4</v>
      </c>
      <c r="BM4556" s="127">
        <v>0.11332468572476186</v>
      </c>
      <c r="BN4556" s="127" t="e">
        <v>#N/A</v>
      </c>
      <c r="BO4556" s="127" t="e">
        <v>#N/A</v>
      </c>
      <c r="BP4556" s="151" t="e">
        <v>#N/A</v>
      </c>
      <c r="BQ4556">
        <v>0.11332468572476186</v>
      </c>
      <c r="BR4556" t="str">
        <v/>
      </c>
    </row>
    <row r="4557" spans="47:70" x14ac:dyDescent="0.2">
      <c r="AU4557"/>
      <c r="AV4557"/>
      <c r="AW4557"/>
      <c r="AX4557"/>
      <c r="AY4557"/>
      <c r="BK4557" s="42">
        <v>4556</v>
      </c>
      <c r="BL4557" s="127">
        <v>4</v>
      </c>
      <c r="BM4557" s="127">
        <v>0.11332468572476186</v>
      </c>
      <c r="BN4557" s="127" t="e">
        <v>#N/A</v>
      </c>
      <c r="BO4557" s="127" t="e">
        <v>#N/A</v>
      </c>
      <c r="BP4557" s="151" t="e">
        <v>#N/A</v>
      </c>
      <c r="BQ4557">
        <v>0.11332468572476186</v>
      </c>
      <c r="BR4557" t="str">
        <v/>
      </c>
    </row>
    <row r="4558" spans="47:70" x14ac:dyDescent="0.2">
      <c r="AU4558"/>
      <c r="AV4558"/>
      <c r="AW4558"/>
      <c r="AX4558"/>
      <c r="AY4558"/>
      <c r="BK4558" s="42">
        <v>4557</v>
      </c>
      <c r="BL4558" s="127">
        <v>4</v>
      </c>
      <c r="BM4558" s="127">
        <v>0.11332468572476186</v>
      </c>
      <c r="BN4558" s="127" t="e">
        <v>#N/A</v>
      </c>
      <c r="BO4558" s="127" t="e">
        <v>#N/A</v>
      </c>
      <c r="BP4558" s="151" t="e">
        <v>#N/A</v>
      </c>
      <c r="BQ4558">
        <v>0.11332468572476186</v>
      </c>
      <c r="BR4558" t="str">
        <v/>
      </c>
    </row>
    <row r="4559" spans="47:70" x14ac:dyDescent="0.2">
      <c r="AU4559"/>
      <c r="AV4559"/>
      <c r="AW4559"/>
      <c r="AX4559"/>
      <c r="AY4559"/>
      <c r="BK4559" s="42">
        <v>4558</v>
      </c>
      <c r="BL4559" s="127">
        <v>4</v>
      </c>
      <c r="BM4559" s="127">
        <v>0.11332468572476186</v>
      </c>
      <c r="BN4559" s="127" t="e">
        <v>#N/A</v>
      </c>
      <c r="BO4559" s="127" t="e">
        <v>#N/A</v>
      </c>
      <c r="BP4559" s="151" t="e">
        <v>#N/A</v>
      </c>
      <c r="BQ4559">
        <v>0.11332468572476186</v>
      </c>
      <c r="BR4559" t="str">
        <v/>
      </c>
    </row>
    <row r="4560" spans="47:70" x14ac:dyDescent="0.2">
      <c r="AU4560"/>
      <c r="AV4560"/>
      <c r="AW4560"/>
      <c r="AX4560"/>
      <c r="AY4560"/>
      <c r="BK4560" s="42">
        <v>4559</v>
      </c>
      <c r="BL4560" s="127">
        <v>4</v>
      </c>
      <c r="BM4560" s="127">
        <v>0.11332468572476186</v>
      </c>
      <c r="BN4560" s="127" t="e">
        <v>#N/A</v>
      </c>
      <c r="BO4560" s="127" t="e">
        <v>#N/A</v>
      </c>
      <c r="BP4560" s="151" t="e">
        <v>#N/A</v>
      </c>
      <c r="BQ4560">
        <v>0.11332468572476186</v>
      </c>
      <c r="BR4560" t="str">
        <v/>
      </c>
    </row>
    <row r="4561" spans="47:70" x14ac:dyDescent="0.2">
      <c r="AU4561"/>
      <c r="AV4561"/>
      <c r="AW4561"/>
      <c r="AX4561"/>
      <c r="AY4561"/>
      <c r="BK4561" s="42">
        <v>4560</v>
      </c>
      <c r="BL4561" s="127">
        <v>4</v>
      </c>
      <c r="BM4561" s="127">
        <v>0.11332468572476186</v>
      </c>
      <c r="BN4561" s="127" t="e">
        <v>#N/A</v>
      </c>
      <c r="BO4561" s="127" t="e">
        <v>#N/A</v>
      </c>
      <c r="BP4561" s="151" t="e">
        <v>#N/A</v>
      </c>
      <c r="BQ4561">
        <v>0.11332468572476186</v>
      </c>
      <c r="BR4561" t="str">
        <v/>
      </c>
    </row>
    <row r="4562" spans="47:70" x14ac:dyDescent="0.2">
      <c r="AU4562"/>
      <c r="AV4562"/>
      <c r="AW4562"/>
      <c r="AX4562"/>
      <c r="AY4562"/>
      <c r="BK4562" s="42">
        <v>4561</v>
      </c>
      <c r="BL4562" s="127">
        <v>4</v>
      </c>
      <c r="BM4562" s="127">
        <v>0.11332468572476186</v>
      </c>
      <c r="BN4562" s="127" t="e">
        <v>#N/A</v>
      </c>
      <c r="BO4562" s="127" t="e">
        <v>#N/A</v>
      </c>
      <c r="BP4562" s="151" t="e">
        <v>#N/A</v>
      </c>
      <c r="BQ4562">
        <v>0.11332468572476186</v>
      </c>
      <c r="BR4562" t="str">
        <v/>
      </c>
    </row>
    <row r="4563" spans="47:70" x14ac:dyDescent="0.2">
      <c r="AU4563"/>
      <c r="AV4563"/>
      <c r="AW4563"/>
      <c r="AX4563"/>
      <c r="AY4563"/>
      <c r="BK4563" s="42">
        <v>4562</v>
      </c>
      <c r="BL4563" s="127">
        <v>4</v>
      </c>
      <c r="BM4563" s="127">
        <v>0.11332468572476186</v>
      </c>
      <c r="BN4563" s="127" t="e">
        <v>#N/A</v>
      </c>
      <c r="BO4563" s="127" t="e">
        <v>#N/A</v>
      </c>
      <c r="BP4563" s="151" t="e">
        <v>#N/A</v>
      </c>
      <c r="BQ4563">
        <v>0.11332468572476186</v>
      </c>
      <c r="BR4563" t="str">
        <v/>
      </c>
    </row>
    <row r="4564" spans="47:70" x14ac:dyDescent="0.2">
      <c r="AU4564"/>
      <c r="AV4564"/>
      <c r="AW4564"/>
      <c r="AX4564"/>
      <c r="AY4564"/>
      <c r="BK4564" s="42">
        <v>4563</v>
      </c>
      <c r="BL4564" s="127">
        <v>4</v>
      </c>
      <c r="BM4564" s="127">
        <v>0.11332468572476186</v>
      </c>
      <c r="BN4564" s="127" t="e">
        <v>#N/A</v>
      </c>
      <c r="BO4564" s="127" t="e">
        <v>#N/A</v>
      </c>
      <c r="BP4564" s="151" t="e">
        <v>#N/A</v>
      </c>
      <c r="BQ4564">
        <v>0.11332468572476186</v>
      </c>
      <c r="BR4564" t="str">
        <v/>
      </c>
    </row>
    <row r="4565" spans="47:70" x14ac:dyDescent="0.2">
      <c r="AU4565"/>
      <c r="AV4565"/>
      <c r="AW4565"/>
      <c r="AX4565"/>
      <c r="AY4565"/>
      <c r="BK4565" s="42">
        <v>4564</v>
      </c>
      <c r="BL4565" s="127">
        <v>4</v>
      </c>
      <c r="BM4565" s="127">
        <v>0.11332468572476186</v>
      </c>
      <c r="BN4565" s="127" t="e">
        <v>#N/A</v>
      </c>
      <c r="BO4565" s="127" t="e">
        <v>#N/A</v>
      </c>
      <c r="BP4565" s="151" t="e">
        <v>#N/A</v>
      </c>
      <c r="BQ4565">
        <v>0.11332468572476186</v>
      </c>
      <c r="BR4565" t="str">
        <v/>
      </c>
    </row>
    <row r="4566" spans="47:70" x14ac:dyDescent="0.2">
      <c r="AU4566"/>
      <c r="AV4566"/>
      <c r="AW4566"/>
      <c r="AX4566"/>
      <c r="AY4566"/>
      <c r="BK4566" s="42">
        <v>4565</v>
      </c>
      <c r="BL4566" s="127">
        <v>4</v>
      </c>
      <c r="BM4566" s="127">
        <v>0.11332468572476186</v>
      </c>
      <c r="BN4566" s="127" t="e">
        <v>#N/A</v>
      </c>
      <c r="BO4566" s="127" t="e">
        <v>#N/A</v>
      </c>
      <c r="BP4566" s="151" t="e">
        <v>#N/A</v>
      </c>
      <c r="BQ4566">
        <v>0.11332468572476186</v>
      </c>
      <c r="BR4566" t="str">
        <v/>
      </c>
    </row>
    <row r="4567" spans="47:70" x14ac:dyDescent="0.2">
      <c r="AU4567"/>
      <c r="AV4567"/>
      <c r="AW4567"/>
      <c r="AX4567"/>
      <c r="AY4567"/>
      <c r="BK4567" s="42">
        <v>4566</v>
      </c>
      <c r="BL4567" s="127">
        <v>4</v>
      </c>
      <c r="BM4567" s="127">
        <v>0.11332468572476186</v>
      </c>
      <c r="BN4567" s="127" t="e">
        <v>#N/A</v>
      </c>
      <c r="BO4567" s="127" t="e">
        <v>#N/A</v>
      </c>
      <c r="BP4567" s="151" t="e">
        <v>#N/A</v>
      </c>
      <c r="BQ4567">
        <v>0.11332468572476186</v>
      </c>
      <c r="BR4567" t="str">
        <v/>
      </c>
    </row>
    <row r="4568" spans="47:70" x14ac:dyDescent="0.2">
      <c r="AU4568"/>
      <c r="AV4568"/>
      <c r="AW4568"/>
      <c r="AX4568"/>
      <c r="AY4568"/>
      <c r="BK4568" s="42">
        <v>4567</v>
      </c>
      <c r="BL4568" s="127">
        <v>4</v>
      </c>
      <c r="BM4568" s="127">
        <v>0.11332468572476186</v>
      </c>
      <c r="BN4568" s="127" t="e">
        <v>#N/A</v>
      </c>
      <c r="BO4568" s="127" t="e">
        <v>#N/A</v>
      </c>
      <c r="BP4568" s="151" t="e">
        <v>#N/A</v>
      </c>
      <c r="BQ4568">
        <v>0.11332468572476186</v>
      </c>
      <c r="BR4568" t="str">
        <v/>
      </c>
    </row>
    <row r="4569" spans="47:70" x14ac:dyDescent="0.2">
      <c r="AU4569"/>
      <c r="AV4569"/>
      <c r="AW4569"/>
      <c r="AX4569"/>
      <c r="AY4569"/>
      <c r="BK4569" s="42">
        <v>4568</v>
      </c>
      <c r="BL4569" s="127">
        <v>4</v>
      </c>
      <c r="BM4569" s="127">
        <v>0.11332468572476186</v>
      </c>
      <c r="BN4569" s="127" t="e">
        <v>#N/A</v>
      </c>
      <c r="BO4569" s="127" t="e">
        <v>#N/A</v>
      </c>
      <c r="BP4569" s="151" t="e">
        <v>#N/A</v>
      </c>
      <c r="BQ4569">
        <v>0.11332468572476186</v>
      </c>
      <c r="BR4569" t="str">
        <v/>
      </c>
    </row>
    <row r="4570" spans="47:70" x14ac:dyDescent="0.2">
      <c r="AU4570"/>
      <c r="AV4570"/>
      <c r="AW4570"/>
      <c r="AX4570"/>
      <c r="AY4570"/>
      <c r="BK4570" s="42">
        <v>4569</v>
      </c>
      <c r="BL4570" s="127">
        <v>4</v>
      </c>
      <c r="BM4570" s="127">
        <v>0.11332468572476186</v>
      </c>
      <c r="BN4570" s="127" t="e">
        <v>#N/A</v>
      </c>
      <c r="BO4570" s="127" t="e">
        <v>#N/A</v>
      </c>
      <c r="BP4570" s="151" t="e">
        <v>#N/A</v>
      </c>
      <c r="BQ4570">
        <v>0.11332468572476186</v>
      </c>
      <c r="BR4570" t="str">
        <v/>
      </c>
    </row>
    <row r="4571" spans="47:70" x14ac:dyDescent="0.2">
      <c r="AU4571"/>
      <c r="AV4571"/>
      <c r="AW4571"/>
      <c r="AX4571"/>
      <c r="AY4571"/>
      <c r="BK4571" s="42">
        <v>4570</v>
      </c>
      <c r="BL4571" s="127">
        <v>4</v>
      </c>
      <c r="BM4571" s="127">
        <v>0.11332468572476186</v>
      </c>
      <c r="BN4571" s="127" t="e">
        <v>#N/A</v>
      </c>
      <c r="BO4571" s="127" t="e">
        <v>#N/A</v>
      </c>
      <c r="BP4571" s="151" t="e">
        <v>#N/A</v>
      </c>
      <c r="BQ4571">
        <v>0.11332468572476186</v>
      </c>
      <c r="BR4571" t="str">
        <v/>
      </c>
    </row>
    <row r="4572" spans="47:70" x14ac:dyDescent="0.2">
      <c r="AU4572"/>
      <c r="AV4572"/>
      <c r="AW4572"/>
      <c r="AX4572"/>
      <c r="AY4572"/>
      <c r="BK4572" s="42">
        <v>4571</v>
      </c>
      <c r="BL4572" s="127">
        <v>4</v>
      </c>
      <c r="BM4572" s="127">
        <v>0.11332468572476186</v>
      </c>
      <c r="BN4572" s="127" t="e">
        <v>#N/A</v>
      </c>
      <c r="BO4572" s="127" t="e">
        <v>#N/A</v>
      </c>
      <c r="BP4572" s="151" t="e">
        <v>#N/A</v>
      </c>
      <c r="BQ4572">
        <v>0.11332468572476186</v>
      </c>
      <c r="BR4572" t="str">
        <v/>
      </c>
    </row>
    <row r="4573" spans="47:70" x14ac:dyDescent="0.2">
      <c r="AU4573"/>
      <c r="AV4573"/>
      <c r="AW4573"/>
      <c r="AX4573"/>
      <c r="AY4573"/>
      <c r="BK4573" s="42">
        <v>4572</v>
      </c>
      <c r="BL4573" s="127">
        <v>4</v>
      </c>
      <c r="BM4573" s="127">
        <v>0.11332468572476186</v>
      </c>
      <c r="BN4573" s="127" t="e">
        <v>#N/A</v>
      </c>
      <c r="BO4573" s="127" t="e">
        <v>#N/A</v>
      </c>
      <c r="BP4573" s="151" t="e">
        <v>#N/A</v>
      </c>
      <c r="BQ4573">
        <v>0.11332468572476186</v>
      </c>
      <c r="BR4573" t="str">
        <v/>
      </c>
    </row>
    <row r="4574" spans="47:70" x14ac:dyDescent="0.2">
      <c r="AU4574"/>
      <c r="AV4574"/>
      <c r="AW4574"/>
      <c r="AX4574"/>
      <c r="AY4574"/>
      <c r="BK4574" s="42">
        <v>4573</v>
      </c>
      <c r="BL4574" s="127">
        <v>4</v>
      </c>
      <c r="BM4574" s="127">
        <v>0.11332468572476186</v>
      </c>
      <c r="BN4574" s="127" t="e">
        <v>#N/A</v>
      </c>
      <c r="BO4574" s="127" t="e">
        <v>#N/A</v>
      </c>
      <c r="BP4574" s="151" t="e">
        <v>#N/A</v>
      </c>
      <c r="BQ4574">
        <v>0.11332468572476186</v>
      </c>
      <c r="BR4574" t="str">
        <v/>
      </c>
    </row>
    <row r="4575" spans="47:70" x14ac:dyDescent="0.2">
      <c r="AU4575"/>
      <c r="AV4575"/>
      <c r="AW4575"/>
      <c r="AX4575"/>
      <c r="AY4575"/>
      <c r="BK4575" s="42">
        <v>4574</v>
      </c>
      <c r="BL4575" s="127">
        <v>4</v>
      </c>
      <c r="BM4575" s="127">
        <v>0.11332468572476186</v>
      </c>
      <c r="BN4575" s="127" t="e">
        <v>#N/A</v>
      </c>
      <c r="BO4575" s="127" t="e">
        <v>#N/A</v>
      </c>
      <c r="BP4575" s="151" t="e">
        <v>#N/A</v>
      </c>
      <c r="BQ4575">
        <v>0.11332468572476186</v>
      </c>
      <c r="BR4575" t="str">
        <v/>
      </c>
    </row>
    <row r="4576" spans="47:70" x14ac:dyDescent="0.2">
      <c r="AU4576"/>
      <c r="AV4576"/>
      <c r="AW4576"/>
      <c r="AX4576"/>
      <c r="AY4576"/>
      <c r="BK4576" s="42">
        <v>4575</v>
      </c>
      <c r="BL4576" s="127">
        <v>4</v>
      </c>
      <c r="BM4576" s="127">
        <v>0.11332468572476186</v>
      </c>
      <c r="BN4576" s="127" t="e">
        <v>#N/A</v>
      </c>
      <c r="BO4576" s="127" t="e">
        <v>#N/A</v>
      </c>
      <c r="BP4576" s="151" t="e">
        <v>#N/A</v>
      </c>
      <c r="BQ4576">
        <v>0.11332468572476186</v>
      </c>
      <c r="BR4576" t="str">
        <v/>
      </c>
    </row>
    <row r="4577" spans="47:70" x14ac:dyDescent="0.2">
      <c r="AU4577"/>
      <c r="AV4577"/>
      <c r="AW4577"/>
      <c r="AX4577"/>
      <c r="AY4577"/>
      <c r="BK4577" s="42">
        <v>4576</v>
      </c>
      <c r="BL4577" s="127">
        <v>4</v>
      </c>
      <c r="BM4577" s="127">
        <v>0.11332468572476186</v>
      </c>
      <c r="BN4577" s="127" t="e">
        <v>#N/A</v>
      </c>
      <c r="BO4577" s="127" t="e">
        <v>#N/A</v>
      </c>
      <c r="BP4577" s="151" t="e">
        <v>#N/A</v>
      </c>
      <c r="BQ4577">
        <v>0.11332468572476186</v>
      </c>
      <c r="BR4577" t="str">
        <v/>
      </c>
    </row>
    <row r="4578" spans="47:70" x14ac:dyDescent="0.2">
      <c r="AU4578"/>
      <c r="AV4578"/>
      <c r="AW4578"/>
      <c r="AX4578"/>
      <c r="AY4578"/>
      <c r="BK4578" s="42">
        <v>4577</v>
      </c>
      <c r="BL4578" s="127">
        <v>4</v>
      </c>
      <c r="BM4578" s="127">
        <v>0.11332468572476186</v>
      </c>
      <c r="BN4578" s="127" t="e">
        <v>#N/A</v>
      </c>
      <c r="BO4578" s="127" t="e">
        <v>#N/A</v>
      </c>
      <c r="BP4578" s="151" t="e">
        <v>#N/A</v>
      </c>
      <c r="BQ4578">
        <v>0.11332468572476186</v>
      </c>
      <c r="BR4578" t="str">
        <v/>
      </c>
    </row>
    <row r="4579" spans="47:70" x14ac:dyDescent="0.2">
      <c r="AU4579"/>
      <c r="AV4579"/>
      <c r="AW4579"/>
      <c r="AX4579"/>
      <c r="AY4579"/>
      <c r="BK4579" s="42">
        <v>4578</v>
      </c>
      <c r="BL4579" s="127">
        <v>4</v>
      </c>
      <c r="BM4579" s="127">
        <v>0.11332468572476186</v>
      </c>
      <c r="BN4579" s="127" t="e">
        <v>#N/A</v>
      </c>
      <c r="BO4579" s="127" t="e">
        <v>#N/A</v>
      </c>
      <c r="BP4579" s="151" t="e">
        <v>#N/A</v>
      </c>
      <c r="BQ4579">
        <v>0.11332468572476186</v>
      </c>
      <c r="BR4579" t="str">
        <v/>
      </c>
    </row>
    <row r="4580" spans="47:70" x14ac:dyDescent="0.2">
      <c r="AU4580"/>
      <c r="AV4580"/>
      <c r="AW4580"/>
      <c r="AX4580"/>
      <c r="AY4580"/>
      <c r="BK4580" s="42">
        <v>4579</v>
      </c>
      <c r="BL4580" s="127">
        <v>4</v>
      </c>
      <c r="BM4580" s="127">
        <v>0.11332468572476186</v>
      </c>
      <c r="BN4580" s="127" t="e">
        <v>#N/A</v>
      </c>
      <c r="BO4580" s="127" t="e">
        <v>#N/A</v>
      </c>
      <c r="BP4580" s="151" t="e">
        <v>#N/A</v>
      </c>
      <c r="BQ4580">
        <v>0.11332468572476186</v>
      </c>
      <c r="BR4580" t="str">
        <v/>
      </c>
    </row>
    <row r="4581" spans="47:70" x14ac:dyDescent="0.2">
      <c r="AU4581"/>
      <c r="AV4581"/>
      <c r="AW4581"/>
      <c r="AX4581"/>
      <c r="AY4581"/>
      <c r="BK4581" s="42">
        <v>4580</v>
      </c>
      <c r="BL4581" s="127">
        <v>4</v>
      </c>
      <c r="BM4581" s="127">
        <v>0.11332468572476186</v>
      </c>
      <c r="BN4581" s="127" t="e">
        <v>#N/A</v>
      </c>
      <c r="BO4581" s="127" t="e">
        <v>#N/A</v>
      </c>
      <c r="BP4581" s="151" t="e">
        <v>#N/A</v>
      </c>
      <c r="BQ4581">
        <v>0.11332468572476186</v>
      </c>
      <c r="BR4581" t="str">
        <v/>
      </c>
    </row>
    <row r="4582" spans="47:70" x14ac:dyDescent="0.2">
      <c r="AU4582"/>
      <c r="AV4582"/>
      <c r="AW4582"/>
      <c r="AX4582"/>
      <c r="AY4582"/>
      <c r="BK4582" s="42">
        <v>4581</v>
      </c>
      <c r="BL4582" s="127">
        <v>4</v>
      </c>
      <c r="BM4582" s="127">
        <v>0.11332468572476186</v>
      </c>
      <c r="BN4582" s="127" t="e">
        <v>#N/A</v>
      </c>
      <c r="BO4582" s="127" t="e">
        <v>#N/A</v>
      </c>
      <c r="BP4582" s="151" t="e">
        <v>#N/A</v>
      </c>
      <c r="BQ4582">
        <v>0.11332468572476186</v>
      </c>
      <c r="BR4582" t="str">
        <v/>
      </c>
    </row>
    <row r="4583" spans="47:70" x14ac:dyDescent="0.2">
      <c r="AU4583"/>
      <c r="AV4583"/>
      <c r="AW4583"/>
      <c r="AX4583"/>
      <c r="AY4583"/>
      <c r="BK4583" s="42">
        <v>4582</v>
      </c>
      <c r="BL4583" s="127">
        <v>4</v>
      </c>
      <c r="BM4583" s="127">
        <v>0.11332468572476186</v>
      </c>
      <c r="BN4583" s="127" t="e">
        <v>#N/A</v>
      </c>
      <c r="BO4583" s="127" t="e">
        <v>#N/A</v>
      </c>
      <c r="BP4583" s="151" t="e">
        <v>#N/A</v>
      </c>
      <c r="BQ4583">
        <v>0.11332468572476186</v>
      </c>
      <c r="BR4583" t="str">
        <v/>
      </c>
    </row>
    <row r="4584" spans="47:70" x14ac:dyDescent="0.2">
      <c r="AU4584"/>
      <c r="AV4584"/>
      <c r="AW4584"/>
      <c r="AX4584"/>
      <c r="AY4584"/>
      <c r="BK4584" s="42">
        <v>4583</v>
      </c>
      <c r="BL4584" s="127">
        <v>4</v>
      </c>
      <c r="BM4584" s="127">
        <v>0.11332468572476186</v>
      </c>
      <c r="BN4584" s="127" t="e">
        <v>#N/A</v>
      </c>
      <c r="BO4584" s="127" t="e">
        <v>#N/A</v>
      </c>
      <c r="BP4584" s="151" t="e">
        <v>#N/A</v>
      </c>
      <c r="BQ4584">
        <v>0.11332468572476186</v>
      </c>
      <c r="BR4584" t="str">
        <v/>
      </c>
    </row>
    <row r="4585" spans="47:70" x14ac:dyDescent="0.2">
      <c r="AU4585"/>
      <c r="AV4585"/>
      <c r="AW4585"/>
      <c r="AX4585"/>
      <c r="AY4585"/>
      <c r="BK4585" s="42">
        <v>4584</v>
      </c>
      <c r="BL4585" s="127">
        <v>4</v>
      </c>
      <c r="BM4585" s="127">
        <v>0.11332468572476186</v>
      </c>
      <c r="BN4585" s="127" t="e">
        <v>#N/A</v>
      </c>
      <c r="BO4585" s="127" t="e">
        <v>#N/A</v>
      </c>
      <c r="BP4585" s="151" t="e">
        <v>#N/A</v>
      </c>
      <c r="BQ4585">
        <v>0.11332468572476186</v>
      </c>
      <c r="BR4585" t="str">
        <v/>
      </c>
    </row>
    <row r="4586" spans="47:70" x14ac:dyDescent="0.2">
      <c r="AU4586"/>
      <c r="AV4586"/>
      <c r="AW4586"/>
      <c r="AX4586"/>
      <c r="AY4586"/>
      <c r="BK4586" s="42">
        <v>4585</v>
      </c>
      <c r="BL4586" s="127">
        <v>4</v>
      </c>
      <c r="BM4586" s="127">
        <v>0.11332468572476186</v>
      </c>
      <c r="BN4586" s="127" t="e">
        <v>#N/A</v>
      </c>
      <c r="BO4586" s="127" t="e">
        <v>#N/A</v>
      </c>
      <c r="BP4586" s="151" t="e">
        <v>#N/A</v>
      </c>
      <c r="BQ4586">
        <v>0.11332468572476186</v>
      </c>
      <c r="BR4586" t="str">
        <v/>
      </c>
    </row>
    <row r="4587" spans="47:70" x14ac:dyDescent="0.2">
      <c r="AU4587"/>
      <c r="AV4587"/>
      <c r="AW4587"/>
      <c r="AX4587"/>
      <c r="AY4587"/>
      <c r="BK4587" s="42">
        <v>4586</v>
      </c>
      <c r="BL4587" s="127">
        <v>4</v>
      </c>
      <c r="BM4587" s="127">
        <v>0.11332468572476186</v>
      </c>
      <c r="BN4587" s="127" t="e">
        <v>#N/A</v>
      </c>
      <c r="BO4587" s="127" t="e">
        <v>#N/A</v>
      </c>
      <c r="BP4587" s="151" t="e">
        <v>#N/A</v>
      </c>
      <c r="BQ4587">
        <v>0.11332468572476186</v>
      </c>
      <c r="BR4587" t="str">
        <v/>
      </c>
    </row>
    <row r="4588" spans="47:70" x14ac:dyDescent="0.2">
      <c r="AU4588"/>
      <c r="AV4588"/>
      <c r="AW4588"/>
      <c r="AX4588"/>
      <c r="AY4588"/>
      <c r="BK4588" s="42">
        <v>4587</v>
      </c>
      <c r="BL4588" s="127">
        <v>4</v>
      </c>
      <c r="BM4588" s="127">
        <v>0.11332468572476186</v>
      </c>
      <c r="BN4588" s="127" t="e">
        <v>#N/A</v>
      </c>
      <c r="BO4588" s="127" t="e">
        <v>#N/A</v>
      </c>
      <c r="BP4588" s="151" t="e">
        <v>#N/A</v>
      </c>
      <c r="BQ4588">
        <v>0.11332468572476186</v>
      </c>
      <c r="BR4588" t="str">
        <v/>
      </c>
    </row>
    <row r="4589" spans="47:70" x14ac:dyDescent="0.2">
      <c r="AU4589"/>
      <c r="AV4589"/>
      <c r="AW4589"/>
      <c r="AX4589"/>
      <c r="AY4589"/>
      <c r="BK4589" s="42">
        <v>4588</v>
      </c>
      <c r="BL4589" s="127">
        <v>4</v>
      </c>
      <c r="BM4589" s="127">
        <v>0.11332468572476186</v>
      </c>
      <c r="BN4589" s="127" t="e">
        <v>#N/A</v>
      </c>
      <c r="BO4589" s="127" t="e">
        <v>#N/A</v>
      </c>
      <c r="BP4589" s="151" t="e">
        <v>#N/A</v>
      </c>
      <c r="BQ4589">
        <v>0.11332468572476186</v>
      </c>
      <c r="BR4589" t="str">
        <v/>
      </c>
    </row>
    <row r="4590" spans="47:70" x14ac:dyDescent="0.2">
      <c r="AU4590"/>
      <c r="AV4590"/>
      <c r="AW4590"/>
      <c r="AX4590"/>
      <c r="AY4590"/>
      <c r="BK4590" s="42">
        <v>4589</v>
      </c>
      <c r="BL4590" s="127">
        <v>4</v>
      </c>
      <c r="BM4590" s="127">
        <v>0.11332468572476186</v>
      </c>
      <c r="BN4590" s="127" t="e">
        <v>#N/A</v>
      </c>
      <c r="BO4590" s="127" t="e">
        <v>#N/A</v>
      </c>
      <c r="BP4590" s="151" t="e">
        <v>#N/A</v>
      </c>
      <c r="BQ4590">
        <v>0.11332468572476186</v>
      </c>
      <c r="BR4590" t="str">
        <v/>
      </c>
    </row>
    <row r="4591" spans="47:70" x14ac:dyDescent="0.2">
      <c r="AU4591"/>
      <c r="AV4591"/>
      <c r="AW4591"/>
      <c r="AX4591"/>
      <c r="AY4591"/>
      <c r="BK4591" s="42">
        <v>4590</v>
      </c>
      <c r="BL4591" s="127">
        <v>4</v>
      </c>
      <c r="BM4591" s="127">
        <v>0.11332468572476186</v>
      </c>
      <c r="BN4591" s="127" t="e">
        <v>#N/A</v>
      </c>
      <c r="BO4591" s="127" t="e">
        <v>#N/A</v>
      </c>
      <c r="BP4591" s="151" t="e">
        <v>#N/A</v>
      </c>
      <c r="BQ4591">
        <v>0.11332468572476186</v>
      </c>
      <c r="BR4591" t="str">
        <v/>
      </c>
    </row>
    <row r="4592" spans="47:70" x14ac:dyDescent="0.2">
      <c r="AU4592"/>
      <c r="AV4592"/>
      <c r="AW4592"/>
      <c r="AX4592"/>
      <c r="AY4592"/>
      <c r="BK4592" s="42">
        <v>4591</v>
      </c>
      <c r="BL4592" s="127">
        <v>4</v>
      </c>
      <c r="BM4592" s="127">
        <v>0.11332468572476186</v>
      </c>
      <c r="BN4592" s="127" t="e">
        <v>#N/A</v>
      </c>
      <c r="BO4592" s="127" t="e">
        <v>#N/A</v>
      </c>
      <c r="BP4592" s="151" t="e">
        <v>#N/A</v>
      </c>
      <c r="BQ4592">
        <v>0.11332468572476186</v>
      </c>
      <c r="BR4592" t="str">
        <v/>
      </c>
    </row>
    <row r="4593" spans="47:70" x14ac:dyDescent="0.2">
      <c r="AU4593"/>
      <c r="AV4593"/>
      <c r="AW4593"/>
      <c r="AX4593"/>
      <c r="AY4593"/>
      <c r="BK4593" s="42">
        <v>4592</v>
      </c>
      <c r="BL4593" s="127">
        <v>4</v>
      </c>
      <c r="BM4593" s="127">
        <v>0.11332468572476186</v>
      </c>
      <c r="BN4593" s="127" t="e">
        <v>#N/A</v>
      </c>
      <c r="BO4593" s="127" t="e">
        <v>#N/A</v>
      </c>
      <c r="BP4593" s="151" t="e">
        <v>#N/A</v>
      </c>
      <c r="BQ4593">
        <v>0.11332468572476186</v>
      </c>
      <c r="BR4593" t="str">
        <v/>
      </c>
    </row>
    <row r="4594" spans="47:70" x14ac:dyDescent="0.2">
      <c r="AU4594"/>
      <c r="AV4594"/>
      <c r="AW4594"/>
      <c r="AX4594"/>
      <c r="AY4594"/>
      <c r="BK4594" s="42">
        <v>4593</v>
      </c>
      <c r="BL4594" s="127">
        <v>4</v>
      </c>
      <c r="BM4594" s="127">
        <v>0.11332468572476186</v>
      </c>
      <c r="BN4594" s="127" t="e">
        <v>#N/A</v>
      </c>
      <c r="BO4594" s="127" t="e">
        <v>#N/A</v>
      </c>
      <c r="BP4594" s="151" t="e">
        <v>#N/A</v>
      </c>
      <c r="BQ4594">
        <v>0.11332468572476186</v>
      </c>
      <c r="BR4594" t="str">
        <v/>
      </c>
    </row>
    <row r="4595" spans="47:70" x14ac:dyDescent="0.2">
      <c r="AU4595"/>
      <c r="AV4595"/>
      <c r="AW4595"/>
      <c r="AX4595"/>
      <c r="AY4595"/>
      <c r="BK4595" s="42">
        <v>4594</v>
      </c>
      <c r="BL4595" s="127">
        <v>4</v>
      </c>
      <c r="BM4595" s="127">
        <v>0.11332468572476186</v>
      </c>
      <c r="BN4595" s="127" t="e">
        <v>#N/A</v>
      </c>
      <c r="BO4595" s="127" t="e">
        <v>#N/A</v>
      </c>
      <c r="BP4595" s="151" t="e">
        <v>#N/A</v>
      </c>
      <c r="BQ4595">
        <v>0.11332468572476186</v>
      </c>
      <c r="BR4595" t="str">
        <v/>
      </c>
    </row>
    <row r="4596" spans="47:70" x14ac:dyDescent="0.2">
      <c r="AU4596"/>
      <c r="AV4596"/>
      <c r="AW4596"/>
      <c r="AX4596"/>
      <c r="AY4596"/>
      <c r="BK4596" s="42">
        <v>4595</v>
      </c>
      <c r="BL4596" s="127">
        <v>4</v>
      </c>
      <c r="BM4596" s="127">
        <v>0.11332468572476186</v>
      </c>
      <c r="BN4596" s="127" t="e">
        <v>#N/A</v>
      </c>
      <c r="BO4596" s="127" t="e">
        <v>#N/A</v>
      </c>
      <c r="BP4596" s="151" t="e">
        <v>#N/A</v>
      </c>
      <c r="BQ4596">
        <v>0.11332468572476186</v>
      </c>
      <c r="BR4596" t="str">
        <v/>
      </c>
    </row>
    <row r="4597" spans="47:70" x14ac:dyDescent="0.2">
      <c r="AU4597"/>
      <c r="AV4597"/>
      <c r="AW4597"/>
      <c r="AX4597"/>
      <c r="AY4597"/>
      <c r="BK4597" s="42">
        <v>4596</v>
      </c>
      <c r="BL4597" s="127">
        <v>4</v>
      </c>
      <c r="BM4597" s="127">
        <v>0.11332468572476186</v>
      </c>
      <c r="BN4597" s="127" t="e">
        <v>#N/A</v>
      </c>
      <c r="BO4597" s="127" t="e">
        <v>#N/A</v>
      </c>
      <c r="BP4597" s="151" t="e">
        <v>#N/A</v>
      </c>
      <c r="BQ4597">
        <v>0.11332468572476186</v>
      </c>
      <c r="BR4597" t="str">
        <v/>
      </c>
    </row>
    <row r="4598" spans="47:70" x14ac:dyDescent="0.2">
      <c r="AU4598"/>
      <c r="AV4598"/>
      <c r="AW4598"/>
      <c r="AX4598"/>
      <c r="AY4598"/>
      <c r="BK4598" s="42">
        <v>4597</v>
      </c>
      <c r="BL4598" s="127">
        <v>4</v>
      </c>
      <c r="BM4598" s="127">
        <v>0.11332468572476186</v>
      </c>
      <c r="BN4598" s="127" t="e">
        <v>#N/A</v>
      </c>
      <c r="BO4598" s="127" t="e">
        <v>#N/A</v>
      </c>
      <c r="BP4598" s="151" t="e">
        <v>#N/A</v>
      </c>
      <c r="BQ4598">
        <v>0.11332468572476186</v>
      </c>
      <c r="BR4598" t="str">
        <v/>
      </c>
    </row>
    <row r="4599" spans="47:70" x14ac:dyDescent="0.2">
      <c r="AU4599"/>
      <c r="AV4599"/>
      <c r="AW4599"/>
      <c r="AX4599"/>
      <c r="AY4599"/>
      <c r="BK4599" s="42">
        <v>4598</v>
      </c>
      <c r="BL4599" s="127">
        <v>4</v>
      </c>
      <c r="BM4599" s="127">
        <v>0.11332468572476186</v>
      </c>
      <c r="BN4599" s="127" t="e">
        <v>#N/A</v>
      </c>
      <c r="BO4599" s="127" t="e">
        <v>#N/A</v>
      </c>
      <c r="BP4599" s="151" t="e">
        <v>#N/A</v>
      </c>
      <c r="BQ4599">
        <v>0.11332468572476186</v>
      </c>
      <c r="BR4599" t="str">
        <v/>
      </c>
    </row>
    <row r="4600" spans="47:70" x14ac:dyDescent="0.2">
      <c r="AU4600"/>
      <c r="AV4600"/>
      <c r="AW4600"/>
      <c r="AX4600"/>
      <c r="AY4600"/>
      <c r="BK4600" s="42">
        <v>4599</v>
      </c>
      <c r="BL4600" s="127">
        <v>4</v>
      </c>
      <c r="BM4600" s="127">
        <v>0.11332468572476186</v>
      </c>
      <c r="BN4600" s="127" t="e">
        <v>#N/A</v>
      </c>
      <c r="BO4600" s="127" t="e">
        <v>#N/A</v>
      </c>
      <c r="BP4600" s="151" t="e">
        <v>#N/A</v>
      </c>
      <c r="BQ4600">
        <v>0.11332468572476186</v>
      </c>
      <c r="BR4600" t="str">
        <v/>
      </c>
    </row>
    <row r="4601" spans="47:70" x14ac:dyDescent="0.2">
      <c r="AU4601"/>
      <c r="AV4601"/>
      <c r="AW4601"/>
      <c r="AX4601"/>
      <c r="AY4601"/>
      <c r="BK4601" s="42">
        <v>4600</v>
      </c>
      <c r="BL4601" s="127">
        <v>4</v>
      </c>
      <c r="BM4601" s="127">
        <v>0.11332468572476186</v>
      </c>
      <c r="BN4601" s="127" t="e">
        <v>#N/A</v>
      </c>
      <c r="BO4601" s="127" t="e">
        <v>#N/A</v>
      </c>
      <c r="BP4601" s="151" t="e">
        <v>#N/A</v>
      </c>
      <c r="BQ4601">
        <v>0.11332468572476186</v>
      </c>
      <c r="BR4601" t="str">
        <v/>
      </c>
    </row>
    <row r="4602" spans="47:70" x14ac:dyDescent="0.2">
      <c r="AU4602"/>
      <c r="AV4602"/>
      <c r="AW4602"/>
      <c r="AX4602"/>
      <c r="AY4602"/>
      <c r="BK4602" s="42">
        <v>4601</v>
      </c>
      <c r="BL4602" s="127">
        <v>4</v>
      </c>
      <c r="BM4602" s="127">
        <v>0.11332468572476186</v>
      </c>
      <c r="BN4602" s="127" t="e">
        <v>#N/A</v>
      </c>
      <c r="BO4602" s="127" t="e">
        <v>#N/A</v>
      </c>
      <c r="BP4602" s="151" t="e">
        <v>#N/A</v>
      </c>
      <c r="BQ4602">
        <v>0.11332468572476186</v>
      </c>
      <c r="BR4602" t="str">
        <v/>
      </c>
    </row>
    <row r="4603" spans="47:70" x14ac:dyDescent="0.2">
      <c r="AU4603"/>
      <c r="AV4603"/>
      <c r="AW4603"/>
      <c r="AX4603"/>
      <c r="AY4603"/>
      <c r="BK4603" s="42">
        <v>4602</v>
      </c>
      <c r="BL4603" s="127">
        <v>4</v>
      </c>
      <c r="BM4603" s="127">
        <v>0.11332468572476186</v>
      </c>
      <c r="BN4603" s="127" t="e">
        <v>#N/A</v>
      </c>
      <c r="BO4603" s="127" t="e">
        <v>#N/A</v>
      </c>
      <c r="BP4603" s="151" t="e">
        <v>#N/A</v>
      </c>
      <c r="BQ4603">
        <v>0.11332468572476186</v>
      </c>
      <c r="BR4603" t="str">
        <v/>
      </c>
    </row>
    <row r="4604" spans="47:70" x14ac:dyDescent="0.2">
      <c r="AU4604"/>
      <c r="AV4604"/>
      <c r="AW4604"/>
      <c r="AX4604"/>
      <c r="AY4604"/>
      <c r="BK4604" s="42">
        <v>4603</v>
      </c>
      <c r="BL4604" s="127">
        <v>4</v>
      </c>
      <c r="BM4604" s="127">
        <v>0.11332468572476186</v>
      </c>
      <c r="BN4604" s="127" t="e">
        <v>#N/A</v>
      </c>
      <c r="BO4604" s="127" t="e">
        <v>#N/A</v>
      </c>
      <c r="BP4604" s="151" t="e">
        <v>#N/A</v>
      </c>
      <c r="BQ4604">
        <v>0.11332468572476186</v>
      </c>
      <c r="BR4604" t="str">
        <v/>
      </c>
    </row>
    <row r="4605" spans="47:70" x14ac:dyDescent="0.2">
      <c r="AU4605"/>
      <c r="AV4605"/>
      <c r="AW4605"/>
      <c r="AX4605"/>
      <c r="AY4605"/>
      <c r="BK4605" s="42">
        <v>4604</v>
      </c>
      <c r="BL4605" s="127">
        <v>4</v>
      </c>
      <c r="BM4605" s="127">
        <v>0.11332468572476186</v>
      </c>
      <c r="BN4605" s="127" t="e">
        <v>#N/A</v>
      </c>
      <c r="BO4605" s="127" t="e">
        <v>#N/A</v>
      </c>
      <c r="BP4605" s="151" t="e">
        <v>#N/A</v>
      </c>
      <c r="BQ4605">
        <v>0.11332468572476186</v>
      </c>
      <c r="BR4605" t="str">
        <v/>
      </c>
    </row>
    <row r="4606" spans="47:70" x14ac:dyDescent="0.2">
      <c r="AU4606"/>
      <c r="AV4606"/>
      <c r="AW4606"/>
      <c r="AX4606"/>
      <c r="AY4606"/>
      <c r="BK4606" s="42">
        <v>4605</v>
      </c>
      <c r="BL4606" s="127">
        <v>4</v>
      </c>
      <c r="BM4606" s="127">
        <v>0.11332468572476186</v>
      </c>
      <c r="BN4606" s="127" t="e">
        <v>#N/A</v>
      </c>
      <c r="BO4606" s="127" t="e">
        <v>#N/A</v>
      </c>
      <c r="BP4606" s="151" t="e">
        <v>#N/A</v>
      </c>
      <c r="BQ4606">
        <v>0.11332468572476186</v>
      </c>
      <c r="BR4606" t="str">
        <v/>
      </c>
    </row>
    <row r="4607" spans="47:70" x14ac:dyDescent="0.2">
      <c r="AU4607"/>
      <c r="AV4607"/>
      <c r="AW4607"/>
      <c r="AX4607"/>
      <c r="AY4607"/>
      <c r="BK4607" s="42">
        <v>4606</v>
      </c>
      <c r="BL4607" s="127">
        <v>4</v>
      </c>
      <c r="BM4607" s="127">
        <v>0.11332468572476186</v>
      </c>
      <c r="BN4607" s="127" t="e">
        <v>#N/A</v>
      </c>
      <c r="BO4607" s="127" t="e">
        <v>#N/A</v>
      </c>
      <c r="BP4607" s="151" t="e">
        <v>#N/A</v>
      </c>
      <c r="BQ4607">
        <v>0.11332468572476186</v>
      </c>
      <c r="BR4607" t="str">
        <v/>
      </c>
    </row>
    <row r="4608" spans="47:70" x14ac:dyDescent="0.2">
      <c r="AU4608"/>
      <c r="AV4608"/>
      <c r="AW4608"/>
      <c r="AX4608"/>
      <c r="AY4608"/>
      <c r="BK4608" s="42">
        <v>4607</v>
      </c>
      <c r="BL4608" s="127">
        <v>4</v>
      </c>
      <c r="BM4608" s="127">
        <v>0.11332468572476186</v>
      </c>
      <c r="BN4608" s="127" t="e">
        <v>#N/A</v>
      </c>
      <c r="BO4608" s="127" t="e">
        <v>#N/A</v>
      </c>
      <c r="BP4608" s="151" t="e">
        <v>#N/A</v>
      </c>
      <c r="BQ4608">
        <v>0.11332468572476186</v>
      </c>
      <c r="BR4608" t="str">
        <v/>
      </c>
    </row>
    <row r="4609" spans="47:70" x14ac:dyDescent="0.2">
      <c r="AU4609"/>
      <c r="AV4609"/>
      <c r="AW4609"/>
      <c r="AX4609"/>
      <c r="AY4609"/>
      <c r="BK4609" s="42">
        <v>4608</v>
      </c>
      <c r="BL4609" s="127">
        <v>4</v>
      </c>
      <c r="BM4609" s="127">
        <v>0.11332468572476186</v>
      </c>
      <c r="BN4609" s="127" t="e">
        <v>#N/A</v>
      </c>
      <c r="BO4609" s="127" t="e">
        <v>#N/A</v>
      </c>
      <c r="BP4609" s="151" t="e">
        <v>#N/A</v>
      </c>
      <c r="BQ4609">
        <v>0.11332468572476186</v>
      </c>
      <c r="BR4609" t="str">
        <v/>
      </c>
    </row>
    <row r="4610" spans="47:70" x14ac:dyDescent="0.2">
      <c r="AU4610"/>
      <c r="AV4610"/>
      <c r="AW4610"/>
      <c r="AX4610"/>
      <c r="AY4610"/>
      <c r="BK4610" s="42">
        <v>4609</v>
      </c>
      <c r="BL4610" s="127">
        <v>4</v>
      </c>
      <c r="BM4610" s="127">
        <v>0.11332468572476186</v>
      </c>
      <c r="BN4610" s="127" t="e">
        <v>#N/A</v>
      </c>
      <c r="BO4610" s="127" t="e">
        <v>#N/A</v>
      </c>
      <c r="BP4610" s="151" t="e">
        <v>#N/A</v>
      </c>
      <c r="BQ4610">
        <v>0.11332468572476186</v>
      </c>
      <c r="BR4610" t="str">
        <v/>
      </c>
    </row>
    <row r="4611" spans="47:70" x14ac:dyDescent="0.2">
      <c r="AU4611"/>
      <c r="AV4611"/>
      <c r="AW4611"/>
      <c r="AX4611"/>
      <c r="AY4611"/>
      <c r="BK4611" s="42">
        <v>4610</v>
      </c>
      <c r="BL4611" s="127">
        <v>4</v>
      </c>
      <c r="BM4611" s="127">
        <v>0.11332468572476186</v>
      </c>
      <c r="BN4611" s="127" t="e">
        <v>#N/A</v>
      </c>
      <c r="BO4611" s="127" t="e">
        <v>#N/A</v>
      </c>
      <c r="BP4611" s="151" t="e">
        <v>#N/A</v>
      </c>
      <c r="BQ4611">
        <v>0.11332468572476186</v>
      </c>
      <c r="BR4611" t="str">
        <v/>
      </c>
    </row>
    <row r="4612" spans="47:70" x14ac:dyDescent="0.2">
      <c r="AU4612"/>
      <c r="AV4612"/>
      <c r="AW4612"/>
      <c r="AX4612"/>
      <c r="AY4612"/>
      <c r="BK4612" s="42">
        <v>4611</v>
      </c>
      <c r="BL4612" s="127">
        <v>4</v>
      </c>
      <c r="BM4612" s="127">
        <v>0.11332468572476186</v>
      </c>
      <c r="BN4612" s="127" t="e">
        <v>#N/A</v>
      </c>
      <c r="BO4612" s="127" t="e">
        <v>#N/A</v>
      </c>
      <c r="BP4612" s="151" t="e">
        <v>#N/A</v>
      </c>
      <c r="BQ4612">
        <v>0.11332468572476186</v>
      </c>
      <c r="BR4612" t="str">
        <v/>
      </c>
    </row>
    <row r="4613" spans="47:70" x14ac:dyDescent="0.2">
      <c r="AU4613"/>
      <c r="AV4613"/>
      <c r="AW4613"/>
      <c r="AX4613"/>
      <c r="AY4613"/>
      <c r="BK4613" s="42">
        <v>4612</v>
      </c>
      <c r="BL4613" s="127">
        <v>4</v>
      </c>
      <c r="BM4613" s="127">
        <v>0.11332468572476186</v>
      </c>
      <c r="BN4613" s="127" t="e">
        <v>#N/A</v>
      </c>
      <c r="BO4613" s="127" t="e">
        <v>#N/A</v>
      </c>
      <c r="BP4613" s="151" t="e">
        <v>#N/A</v>
      </c>
      <c r="BQ4613">
        <v>0.11332468572476186</v>
      </c>
      <c r="BR4613" t="str">
        <v/>
      </c>
    </row>
    <row r="4614" spans="47:70" x14ac:dyDescent="0.2">
      <c r="AU4614"/>
      <c r="AV4614"/>
      <c r="AW4614"/>
      <c r="AX4614"/>
      <c r="AY4614"/>
      <c r="BK4614" s="42">
        <v>4613</v>
      </c>
      <c r="BL4614" s="127">
        <v>4</v>
      </c>
      <c r="BM4614" s="127">
        <v>0.11332468572476186</v>
      </c>
      <c r="BN4614" s="127" t="e">
        <v>#N/A</v>
      </c>
      <c r="BO4614" s="127" t="e">
        <v>#N/A</v>
      </c>
      <c r="BP4614" s="151" t="e">
        <v>#N/A</v>
      </c>
      <c r="BQ4614">
        <v>0.11332468572476186</v>
      </c>
      <c r="BR4614" t="str">
        <v/>
      </c>
    </row>
    <row r="4615" spans="47:70" x14ac:dyDescent="0.2">
      <c r="AU4615"/>
      <c r="AV4615"/>
      <c r="AW4615"/>
      <c r="AX4615"/>
      <c r="AY4615"/>
      <c r="BK4615" s="42">
        <v>4614</v>
      </c>
      <c r="BL4615" s="127">
        <v>4</v>
      </c>
      <c r="BM4615" s="127">
        <v>0.11332468572476186</v>
      </c>
      <c r="BN4615" s="127" t="e">
        <v>#N/A</v>
      </c>
      <c r="BO4615" s="127" t="e">
        <v>#N/A</v>
      </c>
      <c r="BP4615" s="151" t="e">
        <v>#N/A</v>
      </c>
      <c r="BQ4615">
        <v>0.11332468572476186</v>
      </c>
      <c r="BR4615" t="str">
        <v/>
      </c>
    </row>
    <row r="4616" spans="47:70" x14ac:dyDescent="0.2">
      <c r="AU4616"/>
      <c r="AV4616"/>
      <c r="AW4616"/>
      <c r="AX4616"/>
      <c r="AY4616"/>
      <c r="BK4616" s="42">
        <v>4615</v>
      </c>
      <c r="BL4616" s="127">
        <v>4</v>
      </c>
      <c r="BM4616" s="127">
        <v>0.11332468572476186</v>
      </c>
      <c r="BN4616" s="127" t="e">
        <v>#N/A</v>
      </c>
      <c r="BO4616" s="127" t="e">
        <v>#N/A</v>
      </c>
      <c r="BP4616" s="151" t="e">
        <v>#N/A</v>
      </c>
      <c r="BQ4616">
        <v>0.11332468572476186</v>
      </c>
      <c r="BR4616" t="str">
        <v/>
      </c>
    </row>
    <row r="4617" spans="47:70" x14ac:dyDescent="0.2">
      <c r="AU4617"/>
      <c r="AV4617"/>
      <c r="AW4617"/>
      <c r="AX4617"/>
      <c r="AY4617"/>
      <c r="BK4617" s="42">
        <v>4616</v>
      </c>
      <c r="BL4617" s="127">
        <v>4</v>
      </c>
      <c r="BM4617" s="127">
        <v>0.11332468572476186</v>
      </c>
      <c r="BN4617" s="127" t="e">
        <v>#N/A</v>
      </c>
      <c r="BO4617" s="127" t="e">
        <v>#N/A</v>
      </c>
      <c r="BP4617" s="151" t="e">
        <v>#N/A</v>
      </c>
      <c r="BQ4617">
        <v>0.11332468572476186</v>
      </c>
      <c r="BR4617" t="str">
        <v/>
      </c>
    </row>
    <row r="4618" spans="47:70" x14ac:dyDescent="0.2">
      <c r="AU4618"/>
      <c r="AV4618"/>
      <c r="AW4618"/>
      <c r="AX4618"/>
      <c r="AY4618"/>
      <c r="BK4618" s="42">
        <v>4617</v>
      </c>
      <c r="BL4618" s="127">
        <v>4</v>
      </c>
      <c r="BM4618" s="127">
        <v>0.11332468572476186</v>
      </c>
      <c r="BN4618" s="127" t="e">
        <v>#N/A</v>
      </c>
      <c r="BO4618" s="127" t="e">
        <v>#N/A</v>
      </c>
      <c r="BP4618" s="151" t="e">
        <v>#N/A</v>
      </c>
      <c r="BQ4618">
        <v>0.11332468572476186</v>
      </c>
      <c r="BR4618" t="str">
        <v/>
      </c>
    </row>
    <row r="4619" spans="47:70" x14ac:dyDescent="0.2">
      <c r="AU4619"/>
      <c r="AV4619"/>
      <c r="AW4619"/>
      <c r="AX4619"/>
      <c r="AY4619"/>
      <c r="BK4619" s="42">
        <v>4618</v>
      </c>
      <c r="BL4619" s="127">
        <v>4</v>
      </c>
      <c r="BM4619" s="127">
        <v>0.11332468572476186</v>
      </c>
      <c r="BN4619" s="127" t="e">
        <v>#N/A</v>
      </c>
      <c r="BO4619" s="127" t="e">
        <v>#N/A</v>
      </c>
      <c r="BP4619" s="151" t="e">
        <v>#N/A</v>
      </c>
      <c r="BQ4619">
        <v>0.11332468572476186</v>
      </c>
      <c r="BR4619" t="str">
        <v/>
      </c>
    </row>
    <row r="4620" spans="47:70" x14ac:dyDescent="0.2">
      <c r="AU4620"/>
      <c r="AV4620"/>
      <c r="AW4620"/>
      <c r="AX4620"/>
      <c r="AY4620"/>
      <c r="BK4620" s="42">
        <v>4619</v>
      </c>
      <c r="BL4620" s="127">
        <v>4</v>
      </c>
      <c r="BM4620" s="127">
        <v>0.11332468572476186</v>
      </c>
      <c r="BN4620" s="127" t="e">
        <v>#N/A</v>
      </c>
      <c r="BO4620" s="127" t="e">
        <v>#N/A</v>
      </c>
      <c r="BP4620" s="151" t="e">
        <v>#N/A</v>
      </c>
      <c r="BQ4620">
        <v>0.11332468572476186</v>
      </c>
      <c r="BR4620" t="str">
        <v/>
      </c>
    </row>
    <row r="4621" spans="47:70" x14ac:dyDescent="0.2">
      <c r="AU4621"/>
      <c r="AV4621"/>
      <c r="AW4621"/>
      <c r="AX4621"/>
      <c r="AY4621"/>
      <c r="BK4621" s="42">
        <v>4620</v>
      </c>
      <c r="BL4621" s="127">
        <v>4</v>
      </c>
      <c r="BM4621" s="127">
        <v>0.11332468572476186</v>
      </c>
      <c r="BN4621" s="127" t="e">
        <v>#N/A</v>
      </c>
      <c r="BO4621" s="127" t="e">
        <v>#N/A</v>
      </c>
      <c r="BP4621" s="151" t="e">
        <v>#N/A</v>
      </c>
      <c r="BQ4621">
        <v>0.11332468572476186</v>
      </c>
      <c r="BR4621" t="str">
        <v/>
      </c>
    </row>
    <row r="4622" spans="47:70" x14ac:dyDescent="0.2">
      <c r="AU4622"/>
      <c r="AV4622"/>
      <c r="AW4622"/>
      <c r="AX4622"/>
      <c r="AY4622"/>
      <c r="BK4622" s="42">
        <v>4621</v>
      </c>
      <c r="BL4622" s="127">
        <v>4</v>
      </c>
      <c r="BM4622" s="127">
        <v>0.11332468572476186</v>
      </c>
      <c r="BN4622" s="127" t="e">
        <v>#N/A</v>
      </c>
      <c r="BO4622" s="127" t="e">
        <v>#N/A</v>
      </c>
      <c r="BP4622" s="151" t="e">
        <v>#N/A</v>
      </c>
      <c r="BQ4622">
        <v>0.11332468572476186</v>
      </c>
      <c r="BR4622" t="str">
        <v/>
      </c>
    </row>
    <row r="4623" spans="47:70" x14ac:dyDescent="0.2">
      <c r="AU4623"/>
      <c r="AV4623"/>
      <c r="AW4623"/>
      <c r="AX4623"/>
      <c r="AY4623"/>
      <c r="BK4623" s="42">
        <v>4622</v>
      </c>
      <c r="BL4623" s="127">
        <v>4</v>
      </c>
      <c r="BM4623" s="127">
        <v>0.11332468572476186</v>
      </c>
      <c r="BN4623" s="127" t="e">
        <v>#N/A</v>
      </c>
      <c r="BO4623" s="127" t="e">
        <v>#N/A</v>
      </c>
      <c r="BP4623" s="151" t="e">
        <v>#N/A</v>
      </c>
      <c r="BQ4623">
        <v>0.11332468572476186</v>
      </c>
      <c r="BR4623" t="str">
        <v/>
      </c>
    </row>
    <row r="4624" spans="47:70" x14ac:dyDescent="0.2">
      <c r="AU4624"/>
      <c r="AV4624"/>
      <c r="AW4624"/>
      <c r="AX4624"/>
      <c r="AY4624"/>
      <c r="BK4624" s="42">
        <v>4623</v>
      </c>
      <c r="BL4624" s="127">
        <v>4</v>
      </c>
      <c r="BM4624" s="127">
        <v>0.11332468572476186</v>
      </c>
      <c r="BN4624" s="127" t="e">
        <v>#N/A</v>
      </c>
      <c r="BO4624" s="127" t="e">
        <v>#N/A</v>
      </c>
      <c r="BP4624" s="151" t="e">
        <v>#N/A</v>
      </c>
      <c r="BQ4624">
        <v>0.11332468572476186</v>
      </c>
      <c r="BR4624" t="str">
        <v/>
      </c>
    </row>
    <row r="4625" spans="47:70" x14ac:dyDescent="0.2">
      <c r="AU4625"/>
      <c r="AV4625"/>
      <c r="AW4625"/>
      <c r="AX4625"/>
      <c r="AY4625"/>
      <c r="BK4625" s="42">
        <v>4624</v>
      </c>
      <c r="BL4625" s="127">
        <v>4</v>
      </c>
      <c r="BM4625" s="127">
        <v>0.11332468572476186</v>
      </c>
      <c r="BN4625" s="127" t="e">
        <v>#N/A</v>
      </c>
      <c r="BO4625" s="127" t="e">
        <v>#N/A</v>
      </c>
      <c r="BP4625" s="151" t="e">
        <v>#N/A</v>
      </c>
      <c r="BQ4625">
        <v>0.11332468572476186</v>
      </c>
      <c r="BR4625" t="str">
        <v/>
      </c>
    </row>
    <row r="4626" spans="47:70" x14ac:dyDescent="0.2">
      <c r="AU4626"/>
      <c r="AV4626"/>
      <c r="AW4626"/>
      <c r="AX4626"/>
      <c r="AY4626"/>
      <c r="BK4626" s="42">
        <v>4625</v>
      </c>
      <c r="BL4626" s="127">
        <v>4</v>
      </c>
      <c r="BM4626" s="127">
        <v>0.11332468572476186</v>
      </c>
      <c r="BN4626" s="127" t="e">
        <v>#N/A</v>
      </c>
      <c r="BO4626" s="127" t="e">
        <v>#N/A</v>
      </c>
      <c r="BP4626" s="151" t="e">
        <v>#N/A</v>
      </c>
      <c r="BQ4626">
        <v>0.11332468572476186</v>
      </c>
      <c r="BR4626" t="str">
        <v/>
      </c>
    </row>
    <row r="4627" spans="47:70" x14ac:dyDescent="0.2">
      <c r="AU4627"/>
      <c r="AV4627"/>
      <c r="AW4627"/>
      <c r="AX4627"/>
      <c r="AY4627"/>
      <c r="BK4627" s="42">
        <v>4626</v>
      </c>
      <c r="BL4627" s="127">
        <v>4</v>
      </c>
      <c r="BM4627" s="127">
        <v>0.11332468572476186</v>
      </c>
      <c r="BN4627" s="127" t="e">
        <v>#N/A</v>
      </c>
      <c r="BO4627" s="127" t="e">
        <v>#N/A</v>
      </c>
      <c r="BP4627" s="151" t="e">
        <v>#N/A</v>
      </c>
      <c r="BQ4627">
        <v>0.11332468572476186</v>
      </c>
      <c r="BR4627" t="str">
        <v/>
      </c>
    </row>
    <row r="4628" spans="47:70" x14ac:dyDescent="0.2">
      <c r="AU4628"/>
      <c r="AV4628"/>
      <c r="AW4628"/>
      <c r="AX4628"/>
      <c r="AY4628"/>
      <c r="BK4628" s="42">
        <v>4627</v>
      </c>
      <c r="BL4628" s="42">
        <v>4</v>
      </c>
      <c r="BM4628" s="42">
        <v>0.11332468572476186</v>
      </c>
      <c r="BN4628" s="42" t="e">
        <v>#N/A</v>
      </c>
      <c r="BO4628" s="42" t="e">
        <v>#N/A</v>
      </c>
      <c r="BP4628" s="42" t="e">
        <v>#N/A</v>
      </c>
      <c r="BQ4628">
        <v>0.11332468572476186</v>
      </c>
      <c r="BR4628" t="str">
        <v/>
      </c>
    </row>
    <row r="4629" spans="47:70" x14ac:dyDescent="0.2">
      <c r="AU4629"/>
      <c r="AV4629"/>
      <c r="AW4629"/>
      <c r="AX4629"/>
      <c r="AY4629"/>
      <c r="BK4629" s="42">
        <v>4628</v>
      </c>
      <c r="BL4629" s="42">
        <v>4</v>
      </c>
      <c r="BM4629" s="42">
        <v>0.11332468572476186</v>
      </c>
      <c r="BN4629" s="42" t="e">
        <v>#N/A</v>
      </c>
      <c r="BO4629" s="42" t="e">
        <v>#N/A</v>
      </c>
      <c r="BP4629" s="42" t="e">
        <v>#N/A</v>
      </c>
      <c r="BQ4629">
        <v>0.11332468572476186</v>
      </c>
      <c r="BR4629" t="str">
        <v/>
      </c>
    </row>
    <row r="4630" spans="47:70" x14ac:dyDescent="0.2">
      <c r="AU4630"/>
      <c r="AV4630"/>
      <c r="AW4630"/>
      <c r="AX4630"/>
      <c r="AY4630"/>
      <c r="BK4630" s="42">
        <v>4629</v>
      </c>
      <c r="BL4630" s="42">
        <v>4</v>
      </c>
      <c r="BM4630" s="42">
        <v>0.11332468572476186</v>
      </c>
      <c r="BN4630" s="42" t="e">
        <v>#N/A</v>
      </c>
      <c r="BO4630" s="42" t="e">
        <v>#N/A</v>
      </c>
      <c r="BP4630" s="42" t="e">
        <v>#N/A</v>
      </c>
      <c r="BQ4630">
        <v>0.11332468572476186</v>
      </c>
      <c r="BR4630" t="str">
        <v/>
      </c>
    </row>
    <row r="4631" spans="47:70" x14ac:dyDescent="0.2">
      <c r="AU4631"/>
      <c r="AV4631"/>
      <c r="AW4631"/>
      <c r="AX4631"/>
      <c r="AY4631"/>
      <c r="BK4631" s="42">
        <v>4630</v>
      </c>
      <c r="BL4631" s="42">
        <v>4</v>
      </c>
      <c r="BM4631" s="42">
        <v>0.11332468572476186</v>
      </c>
      <c r="BN4631" s="42" t="e">
        <v>#N/A</v>
      </c>
      <c r="BO4631" s="42" t="e">
        <v>#N/A</v>
      </c>
      <c r="BP4631" s="42" t="e">
        <v>#N/A</v>
      </c>
      <c r="BQ4631">
        <v>0.11332468572476186</v>
      </c>
      <c r="BR4631" t="str">
        <v/>
      </c>
    </row>
    <row r="4632" spans="47:70" x14ac:dyDescent="0.2">
      <c r="AU4632"/>
      <c r="AV4632"/>
      <c r="AW4632"/>
      <c r="AX4632"/>
      <c r="AY4632"/>
      <c r="BK4632" s="42">
        <v>4631</v>
      </c>
      <c r="BL4632" s="42">
        <v>4</v>
      </c>
      <c r="BM4632" s="42">
        <v>0.11332468572476186</v>
      </c>
      <c r="BN4632" s="42" t="e">
        <v>#N/A</v>
      </c>
      <c r="BO4632" s="42" t="e">
        <v>#N/A</v>
      </c>
      <c r="BP4632" s="42" t="e">
        <v>#N/A</v>
      </c>
      <c r="BQ4632">
        <v>0.11332468572476186</v>
      </c>
      <c r="BR4632" t="str">
        <v/>
      </c>
    </row>
    <row r="4633" spans="47:70" x14ac:dyDescent="0.2">
      <c r="AU4633"/>
      <c r="AV4633"/>
      <c r="AW4633"/>
      <c r="AX4633"/>
      <c r="AY4633"/>
      <c r="BK4633" s="42">
        <v>4632</v>
      </c>
      <c r="BL4633" s="42">
        <v>4</v>
      </c>
      <c r="BM4633" s="42">
        <v>0.11332468572476186</v>
      </c>
      <c r="BN4633" s="42" t="e">
        <v>#N/A</v>
      </c>
      <c r="BO4633" s="42" t="e">
        <v>#N/A</v>
      </c>
      <c r="BP4633" s="42" t="e">
        <v>#N/A</v>
      </c>
      <c r="BQ4633">
        <v>0.11332468572476186</v>
      </c>
      <c r="BR4633" t="str">
        <v/>
      </c>
    </row>
    <row r="4634" spans="47:70" x14ac:dyDescent="0.2">
      <c r="AU4634"/>
      <c r="AV4634"/>
      <c r="AW4634"/>
      <c r="AX4634"/>
      <c r="AY4634"/>
      <c r="BK4634" s="42">
        <v>4633</v>
      </c>
      <c r="BL4634" s="42">
        <v>4</v>
      </c>
      <c r="BM4634" s="42">
        <v>0.11332468572476186</v>
      </c>
      <c r="BN4634" s="42" t="e">
        <v>#N/A</v>
      </c>
      <c r="BO4634" s="42" t="e">
        <v>#N/A</v>
      </c>
      <c r="BP4634" s="42" t="e">
        <v>#N/A</v>
      </c>
      <c r="BQ4634">
        <v>0.11332468572476186</v>
      </c>
      <c r="BR4634" t="str">
        <v/>
      </c>
    </row>
    <row r="4635" spans="47:70" x14ac:dyDescent="0.2">
      <c r="AU4635"/>
      <c r="AV4635"/>
      <c r="AW4635"/>
      <c r="AX4635"/>
      <c r="AY4635"/>
      <c r="BK4635" s="42">
        <v>4634</v>
      </c>
      <c r="BL4635" s="42">
        <v>4</v>
      </c>
      <c r="BM4635" s="42">
        <v>0.11332468572476186</v>
      </c>
      <c r="BN4635" s="42" t="e">
        <v>#N/A</v>
      </c>
      <c r="BO4635" s="42" t="e">
        <v>#N/A</v>
      </c>
      <c r="BP4635" s="42" t="e">
        <v>#N/A</v>
      </c>
      <c r="BQ4635">
        <v>0.11332468572476186</v>
      </c>
      <c r="BR4635" t="str">
        <v/>
      </c>
    </row>
    <row r="4636" spans="47:70" x14ac:dyDescent="0.2">
      <c r="AU4636"/>
      <c r="AV4636"/>
      <c r="AW4636"/>
      <c r="AX4636"/>
      <c r="AY4636"/>
      <c r="BK4636" s="42">
        <v>4635</v>
      </c>
      <c r="BL4636" s="42">
        <v>4</v>
      </c>
      <c r="BM4636" s="42">
        <v>0.11332468572476186</v>
      </c>
      <c r="BN4636" s="42" t="e">
        <v>#N/A</v>
      </c>
      <c r="BO4636" s="42" t="e">
        <v>#N/A</v>
      </c>
      <c r="BP4636" s="42" t="e">
        <v>#N/A</v>
      </c>
      <c r="BQ4636">
        <v>0.11332468572476186</v>
      </c>
      <c r="BR4636" t="str">
        <v/>
      </c>
    </row>
    <row r="4637" spans="47:70" x14ac:dyDescent="0.2">
      <c r="AU4637"/>
      <c r="AV4637"/>
      <c r="AW4637"/>
      <c r="AX4637"/>
      <c r="AY4637"/>
      <c r="BK4637" s="42">
        <v>4636</v>
      </c>
      <c r="BL4637" s="42">
        <v>4</v>
      </c>
      <c r="BM4637" s="42">
        <v>0.11332468572476186</v>
      </c>
      <c r="BN4637" s="42" t="e">
        <v>#N/A</v>
      </c>
      <c r="BO4637" s="42" t="e">
        <v>#N/A</v>
      </c>
      <c r="BP4637" s="42" t="e">
        <v>#N/A</v>
      </c>
      <c r="BQ4637">
        <v>0.11332468572476186</v>
      </c>
      <c r="BR4637" t="str">
        <v/>
      </c>
    </row>
    <row r="4638" spans="47:70" x14ac:dyDescent="0.2">
      <c r="AU4638"/>
      <c r="AV4638"/>
      <c r="AW4638"/>
      <c r="AX4638"/>
      <c r="AY4638"/>
      <c r="BK4638" s="42">
        <v>4637</v>
      </c>
      <c r="BL4638" s="42">
        <v>4</v>
      </c>
      <c r="BM4638" s="42">
        <v>0.11332468572476186</v>
      </c>
      <c r="BN4638" s="42" t="e">
        <v>#N/A</v>
      </c>
      <c r="BO4638" s="42" t="e">
        <v>#N/A</v>
      </c>
      <c r="BP4638" s="42" t="e">
        <v>#N/A</v>
      </c>
      <c r="BQ4638">
        <v>0.11332468572476186</v>
      </c>
      <c r="BR4638" t="str">
        <v/>
      </c>
    </row>
    <row r="4639" spans="47:70" x14ac:dyDescent="0.2">
      <c r="AU4639"/>
      <c r="AV4639"/>
      <c r="AW4639"/>
      <c r="AX4639"/>
      <c r="AY4639"/>
      <c r="BK4639" s="42">
        <v>4638</v>
      </c>
      <c r="BL4639" s="42">
        <v>4</v>
      </c>
      <c r="BM4639" s="42">
        <v>0.11332468572476186</v>
      </c>
      <c r="BN4639" s="42" t="e">
        <v>#N/A</v>
      </c>
      <c r="BO4639" s="42" t="e">
        <v>#N/A</v>
      </c>
      <c r="BP4639" s="42" t="e">
        <v>#N/A</v>
      </c>
      <c r="BQ4639">
        <v>0.11332468572476186</v>
      </c>
      <c r="BR4639" t="str">
        <v/>
      </c>
    </row>
    <row r="4640" spans="47:70" x14ac:dyDescent="0.2">
      <c r="AU4640"/>
      <c r="AV4640"/>
      <c r="AW4640"/>
      <c r="AX4640"/>
      <c r="AY4640"/>
      <c r="BK4640" s="42">
        <v>4639</v>
      </c>
      <c r="BL4640" s="42">
        <v>4</v>
      </c>
      <c r="BM4640" s="42">
        <v>0.11332468572476186</v>
      </c>
      <c r="BN4640" s="42" t="e">
        <v>#N/A</v>
      </c>
      <c r="BO4640" s="42" t="e">
        <v>#N/A</v>
      </c>
      <c r="BP4640" s="42" t="e">
        <v>#N/A</v>
      </c>
      <c r="BQ4640">
        <v>0.11332468572476186</v>
      </c>
      <c r="BR4640" t="str">
        <v/>
      </c>
    </row>
    <row r="4641" spans="47:70" x14ac:dyDescent="0.2">
      <c r="AU4641"/>
      <c r="AV4641"/>
      <c r="AW4641"/>
      <c r="AX4641"/>
      <c r="AY4641"/>
      <c r="BK4641" s="42">
        <v>4640</v>
      </c>
      <c r="BL4641" s="42">
        <v>4</v>
      </c>
      <c r="BM4641" s="42">
        <v>0.11332468572476186</v>
      </c>
      <c r="BN4641" s="42" t="e">
        <v>#N/A</v>
      </c>
      <c r="BO4641" s="42" t="e">
        <v>#N/A</v>
      </c>
      <c r="BP4641" s="42" t="e">
        <v>#N/A</v>
      </c>
      <c r="BQ4641">
        <v>0.11332468572476186</v>
      </c>
      <c r="BR4641" t="str">
        <v/>
      </c>
    </row>
    <row r="4642" spans="47:70" x14ac:dyDescent="0.2">
      <c r="AU4642"/>
      <c r="AV4642"/>
      <c r="AW4642"/>
      <c r="AX4642"/>
      <c r="AY4642"/>
      <c r="BK4642" s="42">
        <v>4641</v>
      </c>
      <c r="BL4642" s="42">
        <v>4</v>
      </c>
      <c r="BM4642" s="42">
        <v>0.11332468572476186</v>
      </c>
      <c r="BN4642" s="42" t="e">
        <v>#N/A</v>
      </c>
      <c r="BO4642" s="42" t="e">
        <v>#N/A</v>
      </c>
      <c r="BP4642" s="42" t="e">
        <v>#N/A</v>
      </c>
      <c r="BQ4642">
        <v>0.11332468572476186</v>
      </c>
      <c r="BR4642" t="str">
        <v/>
      </c>
    </row>
    <row r="4643" spans="47:70" x14ac:dyDescent="0.2">
      <c r="AU4643"/>
      <c r="AV4643"/>
      <c r="AW4643"/>
      <c r="AX4643"/>
      <c r="AY4643"/>
      <c r="BK4643" s="42">
        <v>4642</v>
      </c>
      <c r="BL4643" s="42">
        <v>4</v>
      </c>
      <c r="BM4643" s="42">
        <v>0.11332468572476186</v>
      </c>
      <c r="BN4643" s="42" t="e">
        <v>#N/A</v>
      </c>
      <c r="BO4643" s="42" t="e">
        <v>#N/A</v>
      </c>
      <c r="BP4643" s="42" t="e">
        <v>#N/A</v>
      </c>
      <c r="BQ4643">
        <v>0.11332468572476186</v>
      </c>
      <c r="BR4643" t="str">
        <v/>
      </c>
    </row>
    <row r="4644" spans="47:70" x14ac:dyDescent="0.2">
      <c r="AU4644"/>
      <c r="AV4644"/>
      <c r="AW4644"/>
      <c r="AX4644"/>
      <c r="AY4644"/>
      <c r="BK4644" s="42">
        <v>4643</v>
      </c>
      <c r="BL4644" s="42">
        <v>4</v>
      </c>
      <c r="BM4644" s="42">
        <v>0.11332468572476186</v>
      </c>
      <c r="BN4644" s="42" t="e">
        <v>#N/A</v>
      </c>
      <c r="BO4644" s="42" t="e">
        <v>#N/A</v>
      </c>
      <c r="BP4644" s="42" t="e">
        <v>#N/A</v>
      </c>
      <c r="BQ4644">
        <v>0.11332468572476186</v>
      </c>
      <c r="BR4644" t="str">
        <v/>
      </c>
    </row>
    <row r="4645" spans="47:70" x14ac:dyDescent="0.2">
      <c r="AU4645"/>
      <c r="AV4645"/>
      <c r="AW4645"/>
      <c r="AX4645"/>
      <c r="AY4645"/>
      <c r="BK4645" s="42">
        <v>4644</v>
      </c>
      <c r="BL4645" s="42">
        <v>4</v>
      </c>
      <c r="BM4645" s="42">
        <v>0.11332468572476186</v>
      </c>
      <c r="BN4645" s="42" t="e">
        <v>#N/A</v>
      </c>
      <c r="BO4645" s="42" t="e">
        <v>#N/A</v>
      </c>
      <c r="BP4645" s="42" t="e">
        <v>#N/A</v>
      </c>
      <c r="BQ4645">
        <v>0.11332468572476186</v>
      </c>
      <c r="BR4645" t="str">
        <v/>
      </c>
    </row>
    <row r="4646" spans="47:70" x14ac:dyDescent="0.2">
      <c r="AU4646"/>
      <c r="AV4646"/>
      <c r="AW4646"/>
      <c r="AX4646"/>
      <c r="AY4646"/>
      <c r="BK4646" s="42">
        <v>4645</v>
      </c>
      <c r="BL4646" s="42">
        <v>4</v>
      </c>
      <c r="BM4646" s="42">
        <v>0.11332468572476186</v>
      </c>
      <c r="BN4646" s="42" t="e">
        <v>#N/A</v>
      </c>
      <c r="BO4646" s="42" t="e">
        <v>#N/A</v>
      </c>
      <c r="BP4646" s="42" t="e">
        <v>#N/A</v>
      </c>
      <c r="BQ4646">
        <v>0.11332468572476186</v>
      </c>
      <c r="BR4646" t="str">
        <v/>
      </c>
    </row>
    <row r="4647" spans="47:70" x14ac:dyDescent="0.2">
      <c r="AU4647"/>
      <c r="AV4647"/>
      <c r="AW4647"/>
      <c r="AX4647"/>
      <c r="AY4647"/>
      <c r="BK4647" s="42">
        <v>4646</v>
      </c>
      <c r="BL4647" s="42">
        <v>4</v>
      </c>
      <c r="BM4647" s="42">
        <v>0.11332468572476186</v>
      </c>
      <c r="BN4647" s="42" t="e">
        <v>#N/A</v>
      </c>
      <c r="BO4647" s="42" t="e">
        <v>#N/A</v>
      </c>
      <c r="BP4647" s="42" t="e">
        <v>#N/A</v>
      </c>
      <c r="BQ4647">
        <v>0.11332468572476186</v>
      </c>
      <c r="BR4647" t="str">
        <v/>
      </c>
    </row>
    <row r="4648" spans="47:70" x14ac:dyDescent="0.2">
      <c r="AU4648"/>
      <c r="AV4648"/>
      <c r="AW4648"/>
      <c r="AX4648"/>
      <c r="AY4648"/>
      <c r="BK4648" s="42">
        <v>4647</v>
      </c>
      <c r="BL4648" s="42">
        <v>4</v>
      </c>
      <c r="BM4648" s="42">
        <v>0.11332468572476186</v>
      </c>
      <c r="BN4648" s="42" t="e">
        <v>#N/A</v>
      </c>
      <c r="BO4648" s="42" t="e">
        <v>#N/A</v>
      </c>
      <c r="BP4648" s="42" t="e">
        <v>#N/A</v>
      </c>
      <c r="BQ4648">
        <v>0.11332468572476186</v>
      </c>
      <c r="BR4648" t="str">
        <v/>
      </c>
    </row>
    <row r="4649" spans="47:70" x14ac:dyDescent="0.2">
      <c r="AU4649"/>
      <c r="AV4649"/>
      <c r="AW4649"/>
      <c r="AX4649"/>
      <c r="AY4649"/>
      <c r="BK4649" s="42">
        <v>4648</v>
      </c>
      <c r="BL4649" s="42">
        <v>4</v>
      </c>
      <c r="BM4649" s="42">
        <v>0.11332468572476186</v>
      </c>
      <c r="BN4649" s="42" t="e">
        <v>#N/A</v>
      </c>
      <c r="BO4649" s="42" t="e">
        <v>#N/A</v>
      </c>
      <c r="BP4649" s="42" t="e">
        <v>#N/A</v>
      </c>
      <c r="BQ4649">
        <v>0.11332468572476186</v>
      </c>
      <c r="BR4649" t="str">
        <v/>
      </c>
    </row>
    <row r="4650" spans="47:70" x14ac:dyDescent="0.2">
      <c r="AU4650"/>
      <c r="AV4650"/>
      <c r="AW4650"/>
      <c r="AX4650"/>
      <c r="AY4650"/>
      <c r="BK4650" s="42">
        <v>4649</v>
      </c>
      <c r="BL4650" s="42">
        <v>4</v>
      </c>
      <c r="BM4650" s="42">
        <v>0.11332468572476186</v>
      </c>
      <c r="BN4650" s="42" t="e">
        <v>#N/A</v>
      </c>
      <c r="BO4650" s="42" t="e">
        <v>#N/A</v>
      </c>
      <c r="BP4650" s="42" t="e">
        <v>#N/A</v>
      </c>
      <c r="BQ4650">
        <v>0.11332468572476186</v>
      </c>
      <c r="BR4650" t="str">
        <v/>
      </c>
    </row>
    <row r="4651" spans="47:70" x14ac:dyDescent="0.2">
      <c r="AU4651"/>
      <c r="AV4651"/>
      <c r="AW4651"/>
      <c r="AX4651"/>
      <c r="AY4651"/>
      <c r="BK4651" s="42">
        <v>4650</v>
      </c>
      <c r="BL4651" s="42">
        <v>4</v>
      </c>
      <c r="BM4651" s="42">
        <v>0.11332468572476186</v>
      </c>
      <c r="BN4651" s="42" t="e">
        <v>#N/A</v>
      </c>
      <c r="BO4651" s="42" t="e">
        <v>#N/A</v>
      </c>
      <c r="BP4651" s="42" t="e">
        <v>#N/A</v>
      </c>
      <c r="BQ4651">
        <v>0.11332468572476186</v>
      </c>
      <c r="BR4651" t="str">
        <v/>
      </c>
    </row>
    <row r="4652" spans="47:70" x14ac:dyDescent="0.2">
      <c r="AU4652"/>
      <c r="AV4652"/>
      <c r="AW4652"/>
      <c r="AX4652"/>
      <c r="AY4652"/>
      <c r="BK4652" s="42">
        <v>4651</v>
      </c>
      <c r="BL4652" s="42">
        <v>4</v>
      </c>
      <c r="BM4652" s="42">
        <v>0.11332468572476186</v>
      </c>
      <c r="BN4652" s="42" t="e">
        <v>#N/A</v>
      </c>
      <c r="BO4652" s="42" t="e">
        <v>#N/A</v>
      </c>
      <c r="BP4652" s="42" t="e">
        <v>#N/A</v>
      </c>
      <c r="BQ4652">
        <v>0.11332468572476186</v>
      </c>
      <c r="BR4652" t="str">
        <v/>
      </c>
    </row>
    <row r="4653" spans="47:70" x14ac:dyDescent="0.2">
      <c r="AU4653"/>
      <c r="AV4653"/>
      <c r="AW4653"/>
      <c r="AX4653"/>
      <c r="AY4653"/>
      <c r="BK4653" s="42">
        <v>4652</v>
      </c>
      <c r="BL4653" s="42">
        <v>4</v>
      </c>
      <c r="BM4653" s="42">
        <v>0.11332468572476186</v>
      </c>
      <c r="BN4653" s="42" t="e">
        <v>#N/A</v>
      </c>
      <c r="BO4653" s="42" t="e">
        <v>#N/A</v>
      </c>
      <c r="BP4653" s="42" t="e">
        <v>#N/A</v>
      </c>
      <c r="BQ4653">
        <v>0.11332468572476186</v>
      </c>
      <c r="BR4653" t="str">
        <v/>
      </c>
    </row>
    <row r="4654" spans="47:70" x14ac:dyDescent="0.2">
      <c r="AU4654"/>
      <c r="AV4654"/>
      <c r="AW4654"/>
      <c r="AX4654"/>
      <c r="AY4654"/>
      <c r="BK4654" s="42">
        <v>4653</v>
      </c>
      <c r="BL4654" s="42">
        <v>4</v>
      </c>
      <c r="BM4654" s="42">
        <v>0.11332468572476186</v>
      </c>
      <c r="BN4654" s="42" t="e">
        <v>#N/A</v>
      </c>
      <c r="BO4654" s="42" t="e">
        <v>#N/A</v>
      </c>
      <c r="BP4654" s="42" t="e">
        <v>#N/A</v>
      </c>
      <c r="BQ4654">
        <v>0.11332468572476186</v>
      </c>
      <c r="BR4654" t="str">
        <v/>
      </c>
    </row>
    <row r="4655" spans="47:70" x14ac:dyDescent="0.2">
      <c r="AU4655"/>
      <c r="AV4655"/>
      <c r="AW4655"/>
      <c r="AX4655"/>
      <c r="AY4655"/>
      <c r="BK4655" s="42">
        <v>4654</v>
      </c>
      <c r="BL4655" s="42">
        <v>4</v>
      </c>
      <c r="BM4655" s="42">
        <v>0.11332468572476186</v>
      </c>
      <c r="BN4655" s="42" t="e">
        <v>#N/A</v>
      </c>
      <c r="BO4655" s="42" t="e">
        <v>#N/A</v>
      </c>
      <c r="BP4655" s="42" t="e">
        <v>#N/A</v>
      </c>
      <c r="BQ4655">
        <v>0.11332468572476186</v>
      </c>
      <c r="BR4655" t="str">
        <v/>
      </c>
    </row>
    <row r="4656" spans="47:70" x14ac:dyDescent="0.2">
      <c r="AU4656"/>
      <c r="AV4656"/>
      <c r="AW4656"/>
      <c r="AX4656"/>
      <c r="AY4656"/>
      <c r="BK4656" s="42">
        <v>4655</v>
      </c>
      <c r="BL4656" s="42">
        <v>4</v>
      </c>
      <c r="BM4656" s="42">
        <v>0.11332468572476186</v>
      </c>
      <c r="BN4656" s="42" t="e">
        <v>#N/A</v>
      </c>
      <c r="BO4656" s="42" t="e">
        <v>#N/A</v>
      </c>
      <c r="BP4656" s="42" t="e">
        <v>#N/A</v>
      </c>
      <c r="BQ4656">
        <v>0.11332468572476186</v>
      </c>
      <c r="BR4656" t="str">
        <v/>
      </c>
    </row>
    <row r="4657" spans="47:70" x14ac:dyDescent="0.2">
      <c r="AU4657"/>
      <c r="AV4657"/>
      <c r="AW4657"/>
      <c r="AX4657"/>
      <c r="AY4657"/>
      <c r="BK4657" s="42">
        <v>4656</v>
      </c>
      <c r="BL4657" s="42">
        <v>4</v>
      </c>
      <c r="BM4657" s="42">
        <v>0.11332468572476186</v>
      </c>
      <c r="BN4657" s="42" t="e">
        <v>#N/A</v>
      </c>
      <c r="BO4657" s="42" t="e">
        <v>#N/A</v>
      </c>
      <c r="BP4657" s="42" t="e">
        <v>#N/A</v>
      </c>
      <c r="BQ4657">
        <v>0.11332468572476186</v>
      </c>
      <c r="BR4657" t="str">
        <v/>
      </c>
    </row>
    <row r="4658" spans="47:70" x14ac:dyDescent="0.2">
      <c r="AU4658"/>
      <c r="AV4658"/>
      <c r="AW4658"/>
      <c r="AX4658"/>
      <c r="AY4658"/>
      <c r="BK4658" s="42">
        <v>4657</v>
      </c>
      <c r="BL4658" s="42">
        <v>4</v>
      </c>
      <c r="BM4658" s="42">
        <v>0.11332468572476186</v>
      </c>
      <c r="BN4658" s="42" t="e">
        <v>#N/A</v>
      </c>
      <c r="BO4658" s="42" t="e">
        <v>#N/A</v>
      </c>
      <c r="BP4658" s="42" t="e">
        <v>#N/A</v>
      </c>
      <c r="BQ4658">
        <v>0.11332468572476186</v>
      </c>
      <c r="BR4658" t="str">
        <v/>
      </c>
    </row>
    <row r="4659" spans="47:70" x14ac:dyDescent="0.2">
      <c r="AU4659"/>
      <c r="AV4659"/>
      <c r="AW4659"/>
      <c r="AX4659"/>
      <c r="AY4659"/>
      <c r="BK4659" s="42">
        <v>4658</v>
      </c>
      <c r="BL4659" s="42">
        <v>4</v>
      </c>
      <c r="BM4659" s="42">
        <v>0.11332468572476186</v>
      </c>
      <c r="BN4659" s="42" t="e">
        <v>#N/A</v>
      </c>
      <c r="BO4659" s="42" t="e">
        <v>#N/A</v>
      </c>
      <c r="BP4659" s="42" t="e">
        <v>#N/A</v>
      </c>
      <c r="BQ4659">
        <v>0.11332468572476186</v>
      </c>
      <c r="BR4659" t="str">
        <v/>
      </c>
    </row>
    <row r="4660" spans="47:70" x14ac:dyDescent="0.2">
      <c r="AU4660"/>
      <c r="AV4660"/>
      <c r="AW4660"/>
      <c r="AX4660"/>
      <c r="AY4660"/>
      <c r="BK4660" s="42">
        <v>4659</v>
      </c>
      <c r="BL4660" s="42">
        <v>4</v>
      </c>
      <c r="BM4660" s="42">
        <v>0.11332468572476186</v>
      </c>
      <c r="BN4660" s="42" t="e">
        <v>#N/A</v>
      </c>
      <c r="BO4660" s="42" t="e">
        <v>#N/A</v>
      </c>
      <c r="BP4660" s="42" t="e">
        <v>#N/A</v>
      </c>
      <c r="BQ4660">
        <v>0.11332468572476186</v>
      </c>
      <c r="BR4660" t="str">
        <v/>
      </c>
    </row>
    <row r="4661" spans="47:70" x14ac:dyDescent="0.2">
      <c r="AU4661"/>
      <c r="AV4661"/>
      <c r="AW4661"/>
      <c r="AX4661"/>
      <c r="AY4661"/>
      <c r="BK4661" s="42">
        <v>4660</v>
      </c>
      <c r="BL4661" s="42">
        <v>4</v>
      </c>
      <c r="BM4661" s="42">
        <v>0.11332468572476186</v>
      </c>
      <c r="BN4661" s="42" t="e">
        <v>#N/A</v>
      </c>
      <c r="BO4661" s="42" t="e">
        <v>#N/A</v>
      </c>
      <c r="BP4661" s="42" t="e">
        <v>#N/A</v>
      </c>
      <c r="BQ4661">
        <v>0.11332468572476186</v>
      </c>
      <c r="BR4661" t="str">
        <v/>
      </c>
    </row>
    <row r="4662" spans="47:70" x14ac:dyDescent="0.2">
      <c r="AU4662"/>
      <c r="AV4662"/>
      <c r="AW4662"/>
      <c r="AX4662"/>
      <c r="AY4662"/>
      <c r="BK4662" s="42">
        <v>4661</v>
      </c>
      <c r="BL4662" s="42">
        <v>4</v>
      </c>
      <c r="BM4662" s="42">
        <v>0.11332468572476186</v>
      </c>
      <c r="BN4662" s="42" t="e">
        <v>#N/A</v>
      </c>
      <c r="BO4662" s="42" t="e">
        <v>#N/A</v>
      </c>
      <c r="BP4662" s="42" t="e">
        <v>#N/A</v>
      </c>
      <c r="BQ4662">
        <v>0.11332468572476186</v>
      </c>
      <c r="BR4662" t="str">
        <v/>
      </c>
    </row>
    <row r="4663" spans="47:70" x14ac:dyDescent="0.2">
      <c r="AU4663"/>
      <c r="AV4663"/>
      <c r="AW4663"/>
      <c r="AX4663"/>
      <c r="AY4663"/>
      <c r="BK4663" s="42">
        <v>4662</v>
      </c>
      <c r="BL4663" s="42">
        <v>4</v>
      </c>
      <c r="BM4663" s="42">
        <v>0.11332468572476186</v>
      </c>
      <c r="BN4663" s="42" t="e">
        <v>#N/A</v>
      </c>
      <c r="BO4663" s="42" t="e">
        <v>#N/A</v>
      </c>
      <c r="BP4663" s="42" t="e">
        <v>#N/A</v>
      </c>
      <c r="BQ4663">
        <v>0.11332468572476186</v>
      </c>
      <c r="BR4663" t="str">
        <v/>
      </c>
    </row>
    <row r="4664" spans="47:70" x14ac:dyDescent="0.2">
      <c r="AU4664"/>
      <c r="AV4664"/>
      <c r="AW4664"/>
      <c r="AX4664"/>
      <c r="AY4664"/>
      <c r="BK4664" s="42">
        <v>4663</v>
      </c>
      <c r="BL4664" s="42">
        <v>4</v>
      </c>
      <c r="BM4664" s="42">
        <v>0.11332468572476186</v>
      </c>
      <c r="BN4664" s="42" t="e">
        <v>#N/A</v>
      </c>
      <c r="BO4664" s="42" t="e">
        <v>#N/A</v>
      </c>
      <c r="BP4664" s="42" t="e">
        <v>#N/A</v>
      </c>
      <c r="BQ4664">
        <v>0.11332468572476186</v>
      </c>
      <c r="BR4664" t="str">
        <v/>
      </c>
    </row>
    <row r="4665" spans="47:70" x14ac:dyDescent="0.2">
      <c r="AU4665"/>
      <c r="AV4665"/>
      <c r="AW4665"/>
      <c r="AX4665"/>
      <c r="AY4665"/>
      <c r="BK4665" s="42">
        <v>4664</v>
      </c>
      <c r="BL4665" s="42">
        <v>4</v>
      </c>
      <c r="BM4665" s="42">
        <v>0.11332468572476186</v>
      </c>
      <c r="BN4665" s="42" t="e">
        <v>#N/A</v>
      </c>
      <c r="BO4665" s="42" t="e">
        <v>#N/A</v>
      </c>
      <c r="BP4665" s="42" t="e">
        <v>#N/A</v>
      </c>
      <c r="BQ4665">
        <v>0.11332468572476186</v>
      </c>
      <c r="BR4665" t="str">
        <v/>
      </c>
    </row>
    <row r="4666" spans="47:70" x14ac:dyDescent="0.2">
      <c r="AU4666"/>
      <c r="AV4666"/>
      <c r="AW4666"/>
      <c r="AX4666"/>
      <c r="AY4666"/>
      <c r="BK4666" s="42">
        <v>4665</v>
      </c>
      <c r="BL4666" s="42">
        <v>4</v>
      </c>
      <c r="BM4666" s="42">
        <v>0.11332468572476186</v>
      </c>
      <c r="BN4666" s="42" t="e">
        <v>#N/A</v>
      </c>
      <c r="BO4666" s="42" t="e">
        <v>#N/A</v>
      </c>
      <c r="BP4666" s="42" t="e">
        <v>#N/A</v>
      </c>
      <c r="BQ4666">
        <v>0.11332468572476186</v>
      </c>
      <c r="BR4666" t="str">
        <v/>
      </c>
    </row>
    <row r="4667" spans="47:70" x14ac:dyDescent="0.2">
      <c r="AU4667"/>
      <c r="AV4667"/>
      <c r="AW4667"/>
      <c r="AX4667"/>
      <c r="AY4667"/>
      <c r="BK4667" s="42">
        <v>4666</v>
      </c>
      <c r="BL4667" s="42">
        <v>4</v>
      </c>
      <c r="BM4667" s="42">
        <v>0.11332468572476186</v>
      </c>
      <c r="BN4667" s="42" t="e">
        <v>#N/A</v>
      </c>
      <c r="BO4667" s="42" t="e">
        <v>#N/A</v>
      </c>
      <c r="BP4667" s="42" t="e">
        <v>#N/A</v>
      </c>
      <c r="BQ4667">
        <v>0.11332468572476186</v>
      </c>
      <c r="BR4667" t="str">
        <v/>
      </c>
    </row>
    <row r="4668" spans="47:70" x14ac:dyDescent="0.2">
      <c r="AU4668"/>
      <c r="AV4668"/>
      <c r="AW4668"/>
      <c r="AX4668"/>
      <c r="AY4668"/>
      <c r="BK4668" s="42">
        <v>4667</v>
      </c>
      <c r="BL4668" s="42">
        <v>4</v>
      </c>
      <c r="BM4668" s="42">
        <v>0.11332468572476186</v>
      </c>
      <c r="BN4668" s="42" t="e">
        <v>#N/A</v>
      </c>
      <c r="BO4668" s="42" t="e">
        <v>#N/A</v>
      </c>
      <c r="BP4668" s="42" t="e">
        <v>#N/A</v>
      </c>
      <c r="BQ4668">
        <v>0.11332468572476186</v>
      </c>
      <c r="BR4668" t="str">
        <v/>
      </c>
    </row>
    <row r="4669" spans="47:70" x14ac:dyDescent="0.2">
      <c r="AU4669"/>
      <c r="AV4669"/>
      <c r="AW4669"/>
      <c r="AX4669"/>
      <c r="AY4669"/>
      <c r="BK4669" s="42">
        <v>4668</v>
      </c>
      <c r="BL4669" s="42">
        <v>4</v>
      </c>
      <c r="BM4669" s="42">
        <v>0.11332468572476186</v>
      </c>
      <c r="BN4669" s="42" t="e">
        <v>#N/A</v>
      </c>
      <c r="BO4669" s="42" t="e">
        <v>#N/A</v>
      </c>
      <c r="BP4669" s="42" t="e">
        <v>#N/A</v>
      </c>
      <c r="BQ4669">
        <v>0.11332468572476186</v>
      </c>
      <c r="BR4669" t="str">
        <v/>
      </c>
    </row>
    <row r="4670" spans="47:70" x14ac:dyDescent="0.2">
      <c r="AU4670"/>
      <c r="AV4670"/>
      <c r="AW4670"/>
      <c r="AX4670"/>
      <c r="AY4670"/>
      <c r="BK4670" s="42">
        <v>4669</v>
      </c>
      <c r="BL4670" s="42">
        <v>4</v>
      </c>
      <c r="BM4670" s="42">
        <v>0.11332468572476186</v>
      </c>
      <c r="BN4670" s="42" t="e">
        <v>#N/A</v>
      </c>
      <c r="BO4670" s="42" t="e">
        <v>#N/A</v>
      </c>
      <c r="BP4670" s="42" t="e">
        <v>#N/A</v>
      </c>
      <c r="BQ4670">
        <v>0.11332468572476186</v>
      </c>
      <c r="BR4670" t="str">
        <v/>
      </c>
    </row>
    <row r="4671" spans="47:70" x14ac:dyDescent="0.2">
      <c r="AU4671"/>
      <c r="AV4671"/>
      <c r="AW4671"/>
      <c r="AX4671"/>
      <c r="AY4671"/>
      <c r="BK4671" s="42">
        <v>4670</v>
      </c>
      <c r="BL4671" s="42">
        <v>4</v>
      </c>
      <c r="BM4671" s="42">
        <v>0.11332468572476186</v>
      </c>
      <c r="BN4671" s="42" t="e">
        <v>#N/A</v>
      </c>
      <c r="BO4671" s="42" t="e">
        <v>#N/A</v>
      </c>
      <c r="BP4671" s="42" t="e">
        <v>#N/A</v>
      </c>
      <c r="BQ4671">
        <v>0.11332468572476186</v>
      </c>
      <c r="BR4671" t="str">
        <v/>
      </c>
    </row>
    <row r="4672" spans="47:70" x14ac:dyDescent="0.2">
      <c r="AU4672"/>
      <c r="AV4672"/>
      <c r="AW4672"/>
      <c r="AX4672"/>
      <c r="AY4672"/>
      <c r="BK4672" s="42">
        <v>4671</v>
      </c>
      <c r="BL4672" s="42">
        <v>4</v>
      </c>
      <c r="BM4672" s="42">
        <v>0.11332468572476186</v>
      </c>
      <c r="BN4672" s="42" t="e">
        <v>#N/A</v>
      </c>
      <c r="BO4672" s="42" t="e">
        <v>#N/A</v>
      </c>
      <c r="BP4672" s="42" t="e">
        <v>#N/A</v>
      </c>
      <c r="BQ4672">
        <v>0.11332468572476186</v>
      </c>
      <c r="BR4672" t="str">
        <v/>
      </c>
    </row>
    <row r="4673" spans="47:70" x14ac:dyDescent="0.2">
      <c r="AU4673"/>
      <c r="AV4673"/>
      <c r="AW4673"/>
      <c r="AX4673"/>
      <c r="AY4673"/>
      <c r="BK4673" s="42">
        <v>4672</v>
      </c>
      <c r="BL4673" s="42">
        <v>4</v>
      </c>
      <c r="BM4673" s="42">
        <v>0.11332468572476186</v>
      </c>
      <c r="BN4673" s="42" t="e">
        <v>#N/A</v>
      </c>
      <c r="BO4673" s="42" t="e">
        <v>#N/A</v>
      </c>
      <c r="BP4673" s="42" t="e">
        <v>#N/A</v>
      </c>
      <c r="BQ4673">
        <v>0.11332468572476186</v>
      </c>
      <c r="BR4673" t="str">
        <v/>
      </c>
    </row>
    <row r="4674" spans="47:70" x14ac:dyDescent="0.2">
      <c r="AU4674"/>
      <c r="AV4674"/>
      <c r="AW4674"/>
      <c r="AX4674"/>
      <c r="AY4674"/>
      <c r="BK4674" s="42">
        <v>4673</v>
      </c>
      <c r="BL4674" s="42">
        <v>4</v>
      </c>
      <c r="BM4674" s="42">
        <v>0.11332468572476186</v>
      </c>
      <c r="BN4674" s="42" t="e">
        <v>#N/A</v>
      </c>
      <c r="BO4674" s="42" t="e">
        <v>#N/A</v>
      </c>
      <c r="BP4674" s="42" t="e">
        <v>#N/A</v>
      </c>
      <c r="BQ4674">
        <v>0.11332468572476186</v>
      </c>
      <c r="BR4674" t="str">
        <v/>
      </c>
    </row>
    <row r="4675" spans="47:70" x14ac:dyDescent="0.2">
      <c r="AU4675"/>
      <c r="AV4675"/>
      <c r="AW4675"/>
      <c r="AX4675"/>
      <c r="AY4675"/>
      <c r="BK4675" s="42">
        <v>4674</v>
      </c>
      <c r="BL4675" s="42">
        <v>4</v>
      </c>
      <c r="BM4675" s="42">
        <v>0.11332468572476186</v>
      </c>
      <c r="BN4675" s="42" t="e">
        <v>#N/A</v>
      </c>
      <c r="BO4675" s="42" t="e">
        <v>#N/A</v>
      </c>
      <c r="BP4675" s="42" t="e">
        <v>#N/A</v>
      </c>
      <c r="BQ4675">
        <v>0.11332468572476186</v>
      </c>
      <c r="BR4675" t="str">
        <v/>
      </c>
    </row>
    <row r="4676" spans="47:70" x14ac:dyDescent="0.2">
      <c r="AU4676"/>
      <c r="AV4676"/>
      <c r="AW4676"/>
      <c r="AX4676"/>
      <c r="AY4676"/>
      <c r="BK4676" s="42">
        <v>4675</v>
      </c>
      <c r="BL4676" s="42">
        <v>4</v>
      </c>
      <c r="BM4676" s="42">
        <v>0.11332468572476186</v>
      </c>
      <c r="BN4676" s="42" t="e">
        <v>#N/A</v>
      </c>
      <c r="BO4676" s="42" t="e">
        <v>#N/A</v>
      </c>
      <c r="BP4676" s="42" t="e">
        <v>#N/A</v>
      </c>
      <c r="BQ4676">
        <v>0.11332468572476186</v>
      </c>
      <c r="BR4676" t="str">
        <v/>
      </c>
    </row>
    <row r="4677" spans="47:70" x14ac:dyDescent="0.2">
      <c r="AU4677"/>
      <c r="AV4677"/>
      <c r="AW4677"/>
      <c r="AX4677"/>
      <c r="AY4677"/>
      <c r="BK4677" s="42">
        <v>4676</v>
      </c>
      <c r="BL4677" s="42">
        <v>4</v>
      </c>
      <c r="BM4677" s="42">
        <v>0.11332468572476186</v>
      </c>
      <c r="BN4677" s="42" t="e">
        <v>#N/A</v>
      </c>
      <c r="BO4677" s="42" t="e">
        <v>#N/A</v>
      </c>
      <c r="BP4677" s="42" t="e">
        <v>#N/A</v>
      </c>
      <c r="BQ4677">
        <v>0.11332468572476186</v>
      </c>
      <c r="BR4677" t="str">
        <v/>
      </c>
    </row>
    <row r="4678" spans="47:70" x14ac:dyDescent="0.2">
      <c r="AU4678"/>
      <c r="AV4678"/>
      <c r="AW4678"/>
      <c r="AX4678"/>
      <c r="AY4678"/>
      <c r="BK4678" s="42">
        <v>4677</v>
      </c>
      <c r="BL4678" s="42">
        <v>4</v>
      </c>
      <c r="BM4678" s="42">
        <v>0.11332468572476186</v>
      </c>
      <c r="BN4678" s="42" t="e">
        <v>#N/A</v>
      </c>
      <c r="BO4678" s="42" t="e">
        <v>#N/A</v>
      </c>
      <c r="BP4678" s="42" t="e">
        <v>#N/A</v>
      </c>
      <c r="BQ4678">
        <v>0.11332468572476186</v>
      </c>
      <c r="BR4678" t="str">
        <v/>
      </c>
    </row>
    <row r="4679" spans="47:70" x14ac:dyDescent="0.2">
      <c r="AU4679"/>
      <c r="AV4679"/>
      <c r="AW4679"/>
      <c r="AX4679"/>
      <c r="AY4679"/>
      <c r="BK4679" s="42">
        <v>4678</v>
      </c>
      <c r="BL4679" s="42">
        <v>4</v>
      </c>
      <c r="BM4679" s="42">
        <v>0.11332468572476186</v>
      </c>
      <c r="BN4679" s="42" t="e">
        <v>#N/A</v>
      </c>
      <c r="BO4679" s="42" t="e">
        <v>#N/A</v>
      </c>
      <c r="BP4679" s="42" t="e">
        <v>#N/A</v>
      </c>
      <c r="BQ4679">
        <v>0.11332468572476186</v>
      </c>
      <c r="BR4679" t="str">
        <v/>
      </c>
    </row>
    <row r="4680" spans="47:70" x14ac:dyDescent="0.2">
      <c r="AU4680"/>
      <c r="AV4680"/>
      <c r="AW4680"/>
      <c r="AX4680"/>
      <c r="AY4680"/>
      <c r="BK4680" s="42">
        <v>4679</v>
      </c>
      <c r="BL4680" s="42">
        <v>4</v>
      </c>
      <c r="BM4680" s="42">
        <v>0.11332468572476186</v>
      </c>
      <c r="BN4680" s="42" t="e">
        <v>#N/A</v>
      </c>
      <c r="BO4680" s="42" t="e">
        <v>#N/A</v>
      </c>
      <c r="BP4680" s="42" t="e">
        <v>#N/A</v>
      </c>
      <c r="BQ4680">
        <v>0.11332468572476186</v>
      </c>
      <c r="BR4680" t="str">
        <v/>
      </c>
    </row>
    <row r="4681" spans="47:70" x14ac:dyDescent="0.2">
      <c r="AU4681"/>
      <c r="AV4681"/>
      <c r="AW4681"/>
      <c r="AX4681"/>
      <c r="AY4681"/>
      <c r="BK4681" s="42">
        <v>4680</v>
      </c>
      <c r="BL4681" s="42">
        <v>4</v>
      </c>
      <c r="BM4681" s="42">
        <v>0.11332468572476186</v>
      </c>
      <c r="BN4681" s="42" t="e">
        <v>#N/A</v>
      </c>
      <c r="BO4681" s="42" t="e">
        <v>#N/A</v>
      </c>
      <c r="BP4681" s="42" t="e">
        <v>#N/A</v>
      </c>
      <c r="BQ4681">
        <v>0.11332468572476186</v>
      </c>
      <c r="BR4681" t="str">
        <v/>
      </c>
    </row>
    <row r="4682" spans="47:70" x14ac:dyDescent="0.2">
      <c r="AU4682"/>
      <c r="AV4682"/>
      <c r="AW4682"/>
      <c r="AX4682"/>
      <c r="AY4682"/>
      <c r="BK4682" s="42">
        <v>4681</v>
      </c>
      <c r="BL4682" s="42">
        <v>4</v>
      </c>
      <c r="BM4682" s="42">
        <v>0.11332468572476186</v>
      </c>
      <c r="BN4682" s="42" t="e">
        <v>#N/A</v>
      </c>
      <c r="BO4682" s="42" t="e">
        <v>#N/A</v>
      </c>
      <c r="BP4682" s="42" t="e">
        <v>#N/A</v>
      </c>
      <c r="BQ4682">
        <v>0.11332468572476186</v>
      </c>
      <c r="BR4682" t="str">
        <v/>
      </c>
    </row>
    <row r="4683" spans="47:70" x14ac:dyDescent="0.2">
      <c r="AU4683"/>
      <c r="AV4683"/>
      <c r="AW4683"/>
      <c r="AX4683"/>
      <c r="AY4683"/>
      <c r="BK4683" s="42">
        <v>4682</v>
      </c>
      <c r="BL4683" s="42">
        <v>4</v>
      </c>
      <c r="BM4683" s="42">
        <v>0.11332468572476186</v>
      </c>
      <c r="BN4683" s="42" t="e">
        <v>#N/A</v>
      </c>
      <c r="BO4683" s="42" t="e">
        <v>#N/A</v>
      </c>
      <c r="BP4683" s="42" t="e">
        <v>#N/A</v>
      </c>
      <c r="BQ4683">
        <v>0.11332468572476186</v>
      </c>
      <c r="BR4683" t="str">
        <v/>
      </c>
    </row>
    <row r="4684" spans="47:70" x14ac:dyDescent="0.2">
      <c r="AU4684"/>
      <c r="AV4684"/>
      <c r="AW4684"/>
      <c r="AX4684"/>
      <c r="AY4684"/>
      <c r="BK4684" s="42">
        <v>4683</v>
      </c>
      <c r="BL4684" s="42">
        <v>4</v>
      </c>
      <c r="BM4684" s="42">
        <v>0.11332468572476186</v>
      </c>
      <c r="BN4684" s="42" t="e">
        <v>#N/A</v>
      </c>
      <c r="BO4684" s="42" t="e">
        <v>#N/A</v>
      </c>
      <c r="BP4684" s="42" t="e">
        <v>#N/A</v>
      </c>
      <c r="BQ4684">
        <v>0.11332468572476186</v>
      </c>
      <c r="BR4684" t="str">
        <v/>
      </c>
    </row>
    <row r="4685" spans="47:70" x14ac:dyDescent="0.2">
      <c r="AU4685"/>
      <c r="AV4685"/>
      <c r="AW4685"/>
      <c r="AX4685"/>
      <c r="AY4685"/>
      <c r="BK4685" s="42">
        <v>4684</v>
      </c>
      <c r="BL4685" s="42">
        <v>4</v>
      </c>
      <c r="BM4685" s="42">
        <v>0.11332468572476186</v>
      </c>
      <c r="BN4685" s="42" t="e">
        <v>#N/A</v>
      </c>
      <c r="BO4685" s="42" t="e">
        <v>#N/A</v>
      </c>
      <c r="BP4685" s="42" t="e">
        <v>#N/A</v>
      </c>
      <c r="BQ4685">
        <v>0.11332468572476186</v>
      </c>
      <c r="BR4685" t="str">
        <v/>
      </c>
    </row>
    <row r="4686" spans="47:70" x14ac:dyDescent="0.2">
      <c r="AU4686"/>
      <c r="AV4686"/>
      <c r="AW4686"/>
      <c r="AX4686"/>
      <c r="AY4686"/>
      <c r="BK4686" s="42">
        <v>4685</v>
      </c>
      <c r="BL4686" s="42">
        <v>4</v>
      </c>
      <c r="BM4686" s="42">
        <v>0.11332468572476186</v>
      </c>
      <c r="BN4686" s="42" t="e">
        <v>#N/A</v>
      </c>
      <c r="BO4686" s="42" t="e">
        <v>#N/A</v>
      </c>
      <c r="BP4686" s="42" t="e">
        <v>#N/A</v>
      </c>
      <c r="BQ4686">
        <v>0.11332468572476186</v>
      </c>
      <c r="BR4686" t="str">
        <v/>
      </c>
    </row>
    <row r="4687" spans="47:70" x14ac:dyDescent="0.2">
      <c r="AU4687"/>
      <c r="AV4687"/>
      <c r="AW4687"/>
      <c r="AX4687"/>
      <c r="AY4687"/>
      <c r="BK4687" s="42">
        <v>4686</v>
      </c>
      <c r="BL4687" s="42">
        <v>4</v>
      </c>
      <c r="BM4687" s="42">
        <v>0.11332468572476186</v>
      </c>
      <c r="BN4687" s="42" t="e">
        <v>#N/A</v>
      </c>
      <c r="BO4687" s="42" t="e">
        <v>#N/A</v>
      </c>
      <c r="BP4687" s="42" t="e">
        <v>#N/A</v>
      </c>
      <c r="BQ4687">
        <v>0.11332468572476186</v>
      </c>
      <c r="BR4687" t="str">
        <v/>
      </c>
    </row>
    <row r="4688" spans="47:70" x14ac:dyDescent="0.2">
      <c r="AU4688"/>
      <c r="AV4688"/>
      <c r="AW4688"/>
      <c r="AX4688"/>
      <c r="AY4688"/>
      <c r="BK4688" s="42">
        <v>4687</v>
      </c>
      <c r="BL4688" s="42">
        <v>4</v>
      </c>
      <c r="BM4688" s="42">
        <v>0.11332468572476186</v>
      </c>
      <c r="BN4688" s="42" t="e">
        <v>#N/A</v>
      </c>
      <c r="BO4688" s="42" t="e">
        <v>#N/A</v>
      </c>
      <c r="BP4688" s="42" t="e">
        <v>#N/A</v>
      </c>
      <c r="BQ4688">
        <v>0.11332468572476186</v>
      </c>
      <c r="BR4688" t="str">
        <v/>
      </c>
    </row>
    <row r="4689" spans="47:70" x14ac:dyDescent="0.2">
      <c r="AU4689"/>
      <c r="AV4689"/>
      <c r="AW4689"/>
      <c r="AX4689"/>
      <c r="AY4689"/>
      <c r="BK4689" s="42">
        <v>4688</v>
      </c>
      <c r="BL4689" s="42">
        <v>4</v>
      </c>
      <c r="BM4689" s="42">
        <v>0.11332468572476186</v>
      </c>
      <c r="BN4689" s="42" t="e">
        <v>#N/A</v>
      </c>
      <c r="BO4689" s="42" t="e">
        <v>#N/A</v>
      </c>
      <c r="BP4689" s="42" t="e">
        <v>#N/A</v>
      </c>
      <c r="BQ4689">
        <v>0.11332468572476186</v>
      </c>
      <c r="BR4689" t="str">
        <v/>
      </c>
    </row>
    <row r="4690" spans="47:70" x14ac:dyDescent="0.2">
      <c r="AU4690"/>
      <c r="AV4690"/>
      <c r="AW4690"/>
      <c r="AX4690"/>
      <c r="AY4690"/>
      <c r="BK4690" s="42">
        <v>4689</v>
      </c>
      <c r="BL4690" s="42">
        <v>4</v>
      </c>
      <c r="BM4690" s="42">
        <v>0.11332468572476186</v>
      </c>
      <c r="BN4690" s="42" t="e">
        <v>#N/A</v>
      </c>
      <c r="BO4690" s="42" t="e">
        <v>#N/A</v>
      </c>
      <c r="BP4690" s="42" t="e">
        <v>#N/A</v>
      </c>
      <c r="BQ4690">
        <v>0.11332468572476186</v>
      </c>
      <c r="BR4690" t="str">
        <v/>
      </c>
    </row>
    <row r="4691" spans="47:70" x14ac:dyDescent="0.2">
      <c r="AU4691"/>
      <c r="AV4691"/>
      <c r="AW4691"/>
      <c r="AX4691"/>
      <c r="AY4691"/>
      <c r="BK4691" s="42">
        <v>4690</v>
      </c>
      <c r="BL4691" s="42">
        <v>4</v>
      </c>
      <c r="BM4691" s="42">
        <v>0.11332468572476186</v>
      </c>
      <c r="BN4691" s="42" t="e">
        <v>#N/A</v>
      </c>
      <c r="BO4691" s="42" t="e">
        <v>#N/A</v>
      </c>
      <c r="BP4691" s="42" t="e">
        <v>#N/A</v>
      </c>
      <c r="BQ4691">
        <v>0.11332468572476186</v>
      </c>
      <c r="BR4691" t="str">
        <v/>
      </c>
    </row>
    <row r="4692" spans="47:70" x14ac:dyDescent="0.2">
      <c r="AU4692"/>
      <c r="AV4692"/>
      <c r="AW4692"/>
      <c r="AX4692"/>
      <c r="AY4692"/>
      <c r="BK4692" s="42">
        <v>4691</v>
      </c>
      <c r="BL4692" s="42">
        <v>4</v>
      </c>
      <c r="BM4692" s="42">
        <v>0.11332468572476186</v>
      </c>
      <c r="BN4692" s="42" t="e">
        <v>#N/A</v>
      </c>
      <c r="BO4692" s="42" t="e">
        <v>#N/A</v>
      </c>
      <c r="BP4692" s="42" t="e">
        <v>#N/A</v>
      </c>
      <c r="BQ4692">
        <v>0.11332468572476186</v>
      </c>
      <c r="BR4692" t="str">
        <v/>
      </c>
    </row>
    <row r="4693" spans="47:70" x14ac:dyDescent="0.2">
      <c r="AU4693"/>
      <c r="AV4693"/>
      <c r="AW4693"/>
      <c r="AX4693"/>
      <c r="AY4693"/>
      <c r="BK4693" s="42">
        <v>4692</v>
      </c>
      <c r="BL4693" s="42">
        <v>4</v>
      </c>
      <c r="BM4693" s="42">
        <v>0.11332468572476186</v>
      </c>
      <c r="BN4693" s="42" t="e">
        <v>#N/A</v>
      </c>
      <c r="BO4693" s="42" t="e">
        <v>#N/A</v>
      </c>
      <c r="BP4693" s="42" t="e">
        <v>#N/A</v>
      </c>
      <c r="BQ4693">
        <v>0.11332468572476186</v>
      </c>
      <c r="BR4693" t="str">
        <v/>
      </c>
    </row>
    <row r="4694" spans="47:70" x14ac:dyDescent="0.2">
      <c r="AU4694"/>
      <c r="AV4694"/>
      <c r="AW4694"/>
      <c r="AX4694"/>
      <c r="AY4694"/>
      <c r="BK4694" s="42">
        <v>4693</v>
      </c>
      <c r="BL4694" s="42">
        <v>4</v>
      </c>
      <c r="BM4694" s="42">
        <v>0.11332468572476186</v>
      </c>
      <c r="BN4694" s="42" t="e">
        <v>#N/A</v>
      </c>
      <c r="BO4694" s="42" t="e">
        <v>#N/A</v>
      </c>
      <c r="BP4694" s="42" t="e">
        <v>#N/A</v>
      </c>
      <c r="BQ4694">
        <v>0.11332468572476186</v>
      </c>
      <c r="BR4694" t="str">
        <v/>
      </c>
    </row>
    <row r="4695" spans="47:70" x14ac:dyDescent="0.2">
      <c r="AU4695"/>
      <c r="AV4695"/>
      <c r="AW4695"/>
      <c r="AX4695"/>
      <c r="AY4695"/>
      <c r="BK4695" s="42">
        <v>4694</v>
      </c>
      <c r="BL4695" s="42">
        <v>4</v>
      </c>
      <c r="BM4695" s="42">
        <v>0.11332468572476186</v>
      </c>
      <c r="BN4695" s="42" t="e">
        <v>#N/A</v>
      </c>
      <c r="BO4695" s="42" t="e">
        <v>#N/A</v>
      </c>
      <c r="BP4695" s="42" t="e">
        <v>#N/A</v>
      </c>
      <c r="BQ4695">
        <v>0.11332468572476186</v>
      </c>
      <c r="BR4695" t="str">
        <v/>
      </c>
    </row>
    <row r="4696" spans="47:70" x14ac:dyDescent="0.2">
      <c r="AU4696"/>
      <c r="AV4696"/>
      <c r="AW4696"/>
      <c r="AX4696"/>
      <c r="AY4696"/>
      <c r="BK4696" s="42">
        <v>4695</v>
      </c>
      <c r="BL4696" s="42">
        <v>4</v>
      </c>
      <c r="BM4696" s="42">
        <v>0.11332468572476186</v>
      </c>
      <c r="BN4696" s="42" t="e">
        <v>#N/A</v>
      </c>
      <c r="BO4696" s="42" t="e">
        <v>#N/A</v>
      </c>
      <c r="BP4696" s="42" t="e">
        <v>#N/A</v>
      </c>
      <c r="BQ4696">
        <v>0.11332468572476186</v>
      </c>
      <c r="BR4696" t="str">
        <v/>
      </c>
    </row>
    <row r="4697" spans="47:70" x14ac:dyDescent="0.2">
      <c r="AU4697"/>
      <c r="AV4697"/>
      <c r="AW4697"/>
      <c r="AX4697"/>
      <c r="AY4697"/>
      <c r="BK4697" s="42">
        <v>4696</v>
      </c>
      <c r="BL4697" s="42">
        <v>4</v>
      </c>
      <c r="BM4697" s="42">
        <v>0.11332468572476186</v>
      </c>
      <c r="BN4697" s="42" t="e">
        <v>#N/A</v>
      </c>
      <c r="BO4697" s="42" t="e">
        <v>#N/A</v>
      </c>
      <c r="BP4697" s="42" t="e">
        <v>#N/A</v>
      </c>
      <c r="BQ4697">
        <v>0.11332468572476186</v>
      </c>
      <c r="BR4697" t="str">
        <v/>
      </c>
    </row>
    <row r="4698" spans="47:70" x14ac:dyDescent="0.2">
      <c r="AU4698"/>
      <c r="AV4698"/>
      <c r="AW4698"/>
      <c r="AX4698"/>
      <c r="AY4698"/>
      <c r="BK4698" s="42">
        <v>4697</v>
      </c>
      <c r="BL4698" s="42">
        <v>4</v>
      </c>
      <c r="BM4698" s="42">
        <v>0.11332468572476186</v>
      </c>
      <c r="BN4698" s="42" t="e">
        <v>#N/A</v>
      </c>
      <c r="BO4698" s="42" t="e">
        <v>#N/A</v>
      </c>
      <c r="BP4698" s="42" t="e">
        <v>#N/A</v>
      </c>
      <c r="BQ4698">
        <v>0.11332468572476186</v>
      </c>
      <c r="BR4698" t="str">
        <v/>
      </c>
    </row>
    <row r="4699" spans="47:70" x14ac:dyDescent="0.2">
      <c r="AU4699"/>
      <c r="AV4699"/>
      <c r="AW4699"/>
      <c r="AX4699"/>
      <c r="AY4699"/>
      <c r="BK4699" s="42">
        <v>4698</v>
      </c>
      <c r="BL4699" s="42">
        <v>4</v>
      </c>
      <c r="BM4699" s="42">
        <v>0.11332468572476186</v>
      </c>
      <c r="BN4699" s="42" t="e">
        <v>#N/A</v>
      </c>
      <c r="BO4699" s="42" t="e">
        <v>#N/A</v>
      </c>
      <c r="BP4699" s="42" t="e">
        <v>#N/A</v>
      </c>
      <c r="BQ4699">
        <v>0.11332468572476186</v>
      </c>
      <c r="BR4699" t="str">
        <v/>
      </c>
    </row>
    <row r="4700" spans="47:70" x14ac:dyDescent="0.2">
      <c r="AU4700"/>
      <c r="AV4700"/>
      <c r="AW4700"/>
      <c r="AX4700"/>
      <c r="AY4700"/>
      <c r="BK4700" s="42">
        <v>4699</v>
      </c>
      <c r="BL4700" s="42">
        <v>4</v>
      </c>
      <c r="BM4700" s="42">
        <v>0.11332468572476186</v>
      </c>
      <c r="BN4700" s="42" t="e">
        <v>#N/A</v>
      </c>
      <c r="BO4700" s="42" t="e">
        <v>#N/A</v>
      </c>
      <c r="BP4700" s="42" t="e">
        <v>#N/A</v>
      </c>
      <c r="BQ4700">
        <v>0.11332468572476186</v>
      </c>
      <c r="BR4700" t="str">
        <v/>
      </c>
    </row>
    <row r="4701" spans="47:70" x14ac:dyDescent="0.2">
      <c r="AU4701"/>
      <c r="AV4701"/>
      <c r="AW4701"/>
      <c r="AX4701"/>
      <c r="AY4701"/>
      <c r="BK4701" s="42">
        <v>4700</v>
      </c>
      <c r="BL4701" s="42">
        <v>4</v>
      </c>
      <c r="BM4701" s="42">
        <v>0.11332468572476186</v>
      </c>
      <c r="BN4701" s="42" t="e">
        <v>#N/A</v>
      </c>
      <c r="BO4701" s="42" t="e">
        <v>#N/A</v>
      </c>
      <c r="BP4701" s="42" t="e">
        <v>#N/A</v>
      </c>
      <c r="BQ4701">
        <v>0.11332468572476186</v>
      </c>
      <c r="BR4701" t="str">
        <v/>
      </c>
    </row>
    <row r="4702" spans="47:70" x14ac:dyDescent="0.2">
      <c r="AU4702"/>
      <c r="AV4702"/>
      <c r="AW4702"/>
      <c r="AX4702"/>
      <c r="AY4702"/>
      <c r="BK4702" s="42">
        <v>4701</v>
      </c>
      <c r="BL4702" s="42">
        <v>4</v>
      </c>
      <c r="BM4702" s="42">
        <v>0.11332468572476186</v>
      </c>
      <c r="BN4702" s="42" t="e">
        <v>#N/A</v>
      </c>
      <c r="BO4702" s="42" t="e">
        <v>#N/A</v>
      </c>
      <c r="BP4702" s="42" t="e">
        <v>#N/A</v>
      </c>
      <c r="BQ4702">
        <v>0.11332468572476186</v>
      </c>
      <c r="BR4702" t="str">
        <v/>
      </c>
    </row>
    <row r="4703" spans="47:70" x14ac:dyDescent="0.2">
      <c r="AU4703"/>
      <c r="AV4703"/>
      <c r="AW4703"/>
      <c r="AX4703"/>
      <c r="AY4703"/>
      <c r="BK4703" s="42">
        <v>4702</v>
      </c>
      <c r="BL4703" s="42">
        <v>4</v>
      </c>
      <c r="BM4703" s="42">
        <v>0.11332468572476186</v>
      </c>
      <c r="BN4703" s="42" t="e">
        <v>#N/A</v>
      </c>
      <c r="BO4703" s="42" t="e">
        <v>#N/A</v>
      </c>
      <c r="BP4703" s="42" t="e">
        <v>#N/A</v>
      </c>
      <c r="BQ4703">
        <v>0.11332468572476186</v>
      </c>
      <c r="BR4703" t="str">
        <v/>
      </c>
    </row>
    <row r="4704" spans="47:70" x14ac:dyDescent="0.2">
      <c r="AU4704"/>
      <c r="AV4704"/>
      <c r="AW4704"/>
      <c r="AX4704"/>
      <c r="AY4704"/>
      <c r="BK4704" s="42">
        <v>4703</v>
      </c>
      <c r="BL4704" s="42">
        <v>4</v>
      </c>
      <c r="BM4704" s="42">
        <v>0.11332468572476186</v>
      </c>
      <c r="BN4704" s="42" t="e">
        <v>#N/A</v>
      </c>
      <c r="BO4704" s="42" t="e">
        <v>#N/A</v>
      </c>
      <c r="BP4704" s="42" t="e">
        <v>#N/A</v>
      </c>
      <c r="BQ4704">
        <v>0.11332468572476186</v>
      </c>
      <c r="BR4704" t="str">
        <v/>
      </c>
    </row>
    <row r="4705" spans="47:70" x14ac:dyDescent="0.2">
      <c r="AU4705"/>
      <c r="AV4705"/>
      <c r="AW4705"/>
      <c r="AX4705"/>
      <c r="AY4705"/>
      <c r="BK4705" s="42">
        <v>4704</v>
      </c>
      <c r="BL4705" s="42">
        <v>4</v>
      </c>
      <c r="BM4705" s="42">
        <v>0.11332468572476186</v>
      </c>
      <c r="BN4705" s="42" t="e">
        <v>#N/A</v>
      </c>
      <c r="BO4705" s="42" t="e">
        <v>#N/A</v>
      </c>
      <c r="BP4705" s="42" t="e">
        <v>#N/A</v>
      </c>
      <c r="BQ4705">
        <v>0.11332468572476186</v>
      </c>
      <c r="BR4705" t="str">
        <v/>
      </c>
    </row>
    <row r="4706" spans="47:70" x14ac:dyDescent="0.2">
      <c r="AU4706"/>
      <c r="AV4706"/>
      <c r="AW4706"/>
      <c r="AX4706"/>
      <c r="AY4706"/>
      <c r="BK4706" s="42">
        <v>4705</v>
      </c>
      <c r="BL4706" s="42">
        <v>4</v>
      </c>
      <c r="BM4706" s="42">
        <v>0.11332468572476186</v>
      </c>
      <c r="BN4706" s="42" t="e">
        <v>#N/A</v>
      </c>
      <c r="BO4706" s="42" t="e">
        <v>#N/A</v>
      </c>
      <c r="BP4706" s="42" t="e">
        <v>#N/A</v>
      </c>
      <c r="BQ4706">
        <v>0.11332468572476186</v>
      </c>
      <c r="BR4706" t="str">
        <v/>
      </c>
    </row>
    <row r="4707" spans="47:70" x14ac:dyDescent="0.2">
      <c r="AU4707"/>
      <c r="AV4707"/>
      <c r="AW4707"/>
      <c r="AX4707"/>
      <c r="AY4707"/>
      <c r="BK4707" s="42">
        <v>4706</v>
      </c>
      <c r="BL4707" s="42">
        <v>4</v>
      </c>
      <c r="BM4707" s="42">
        <v>0.11332468572476186</v>
      </c>
      <c r="BN4707" s="42" t="e">
        <v>#N/A</v>
      </c>
      <c r="BO4707" s="42" t="e">
        <v>#N/A</v>
      </c>
      <c r="BP4707" s="42" t="e">
        <v>#N/A</v>
      </c>
      <c r="BQ4707">
        <v>0.11332468572476186</v>
      </c>
      <c r="BR4707" t="str">
        <v/>
      </c>
    </row>
    <row r="4708" spans="47:70" x14ac:dyDescent="0.2">
      <c r="AU4708"/>
      <c r="AV4708"/>
      <c r="AW4708"/>
      <c r="AX4708"/>
      <c r="AY4708"/>
      <c r="BK4708" s="42">
        <v>4707</v>
      </c>
      <c r="BL4708" s="42">
        <v>4</v>
      </c>
      <c r="BM4708" s="42">
        <v>0.11332468572476186</v>
      </c>
      <c r="BN4708" s="42" t="e">
        <v>#N/A</v>
      </c>
      <c r="BO4708" s="42" t="e">
        <v>#N/A</v>
      </c>
      <c r="BP4708" s="42" t="e">
        <v>#N/A</v>
      </c>
      <c r="BQ4708">
        <v>0.11332468572476186</v>
      </c>
      <c r="BR4708" t="str">
        <v/>
      </c>
    </row>
    <row r="4709" spans="47:70" x14ac:dyDescent="0.2">
      <c r="AU4709"/>
      <c r="AV4709"/>
      <c r="AW4709"/>
      <c r="AX4709"/>
      <c r="AY4709"/>
      <c r="BK4709" s="42">
        <v>4708</v>
      </c>
      <c r="BL4709" s="42">
        <v>4</v>
      </c>
      <c r="BM4709" s="42">
        <v>0.11332468572476186</v>
      </c>
      <c r="BN4709" s="42" t="e">
        <v>#N/A</v>
      </c>
      <c r="BO4709" s="42" t="e">
        <v>#N/A</v>
      </c>
      <c r="BP4709" s="42" t="e">
        <v>#N/A</v>
      </c>
      <c r="BQ4709">
        <v>0.11332468572476186</v>
      </c>
      <c r="BR4709" t="str">
        <v/>
      </c>
    </row>
    <row r="4710" spans="47:70" x14ac:dyDescent="0.2">
      <c r="AU4710"/>
      <c r="AV4710"/>
      <c r="AW4710"/>
      <c r="AX4710"/>
      <c r="AY4710"/>
      <c r="BK4710" s="42">
        <v>4709</v>
      </c>
      <c r="BL4710" s="42">
        <v>4</v>
      </c>
      <c r="BM4710" s="42">
        <v>0.11332468572476186</v>
      </c>
      <c r="BN4710" s="42" t="e">
        <v>#N/A</v>
      </c>
      <c r="BO4710" s="42" t="e">
        <v>#N/A</v>
      </c>
      <c r="BP4710" s="42" t="e">
        <v>#N/A</v>
      </c>
      <c r="BQ4710">
        <v>0.11332468572476186</v>
      </c>
      <c r="BR4710" t="str">
        <v/>
      </c>
    </row>
    <row r="4711" spans="47:70" x14ac:dyDescent="0.2">
      <c r="AU4711"/>
      <c r="AV4711"/>
      <c r="AW4711"/>
      <c r="AX4711"/>
      <c r="AY4711"/>
      <c r="BK4711" s="42">
        <v>4710</v>
      </c>
      <c r="BL4711" s="42">
        <v>4</v>
      </c>
      <c r="BM4711" s="42">
        <v>0.11332468572476186</v>
      </c>
      <c r="BN4711" s="42" t="e">
        <v>#N/A</v>
      </c>
      <c r="BO4711" s="42" t="e">
        <v>#N/A</v>
      </c>
      <c r="BP4711" s="42" t="e">
        <v>#N/A</v>
      </c>
      <c r="BQ4711">
        <v>0.11332468572476186</v>
      </c>
      <c r="BR4711" t="str">
        <v/>
      </c>
    </row>
    <row r="4712" spans="47:70" x14ac:dyDescent="0.2">
      <c r="AU4712"/>
      <c r="AV4712"/>
      <c r="AW4712"/>
      <c r="AX4712"/>
      <c r="AY4712"/>
      <c r="BK4712" s="42">
        <v>4711</v>
      </c>
      <c r="BL4712" s="42">
        <v>4</v>
      </c>
      <c r="BM4712" s="42">
        <v>0.11332468572476186</v>
      </c>
      <c r="BN4712" s="42" t="e">
        <v>#N/A</v>
      </c>
      <c r="BO4712" s="42" t="e">
        <v>#N/A</v>
      </c>
      <c r="BP4712" s="42" t="e">
        <v>#N/A</v>
      </c>
      <c r="BQ4712">
        <v>0.11332468572476186</v>
      </c>
      <c r="BR4712" t="str">
        <v/>
      </c>
    </row>
    <row r="4713" spans="47:70" x14ac:dyDescent="0.2">
      <c r="AU4713"/>
      <c r="AV4713"/>
      <c r="AW4713"/>
      <c r="AX4713"/>
      <c r="AY4713"/>
      <c r="BK4713" s="42">
        <v>4712</v>
      </c>
      <c r="BL4713" s="42">
        <v>4</v>
      </c>
      <c r="BM4713" s="42">
        <v>0.11332468572476186</v>
      </c>
      <c r="BN4713" s="42" t="e">
        <v>#N/A</v>
      </c>
      <c r="BO4713" s="42" t="e">
        <v>#N/A</v>
      </c>
      <c r="BP4713" s="42" t="e">
        <v>#N/A</v>
      </c>
      <c r="BQ4713">
        <v>0.11332468572476186</v>
      </c>
      <c r="BR4713" t="str">
        <v/>
      </c>
    </row>
    <row r="4714" spans="47:70" x14ac:dyDescent="0.2">
      <c r="AU4714"/>
      <c r="AV4714"/>
      <c r="AW4714"/>
      <c r="AX4714"/>
      <c r="AY4714"/>
      <c r="BK4714" s="42">
        <v>4713</v>
      </c>
      <c r="BL4714" s="42">
        <v>4</v>
      </c>
      <c r="BM4714" s="42">
        <v>0.11332468572476186</v>
      </c>
      <c r="BN4714" s="42" t="e">
        <v>#N/A</v>
      </c>
      <c r="BO4714" s="42" t="e">
        <v>#N/A</v>
      </c>
      <c r="BP4714" s="42" t="e">
        <v>#N/A</v>
      </c>
      <c r="BQ4714">
        <v>0.11332468572476186</v>
      </c>
      <c r="BR4714" t="str">
        <v/>
      </c>
    </row>
    <row r="4715" spans="47:70" x14ac:dyDescent="0.2">
      <c r="AU4715"/>
      <c r="AV4715"/>
      <c r="AW4715"/>
      <c r="AX4715"/>
      <c r="AY4715"/>
      <c r="BK4715" s="42">
        <v>4714</v>
      </c>
      <c r="BL4715" s="42">
        <v>4</v>
      </c>
      <c r="BM4715" s="42">
        <v>0.11332468572476186</v>
      </c>
      <c r="BN4715" s="42" t="e">
        <v>#N/A</v>
      </c>
      <c r="BO4715" s="42" t="e">
        <v>#N/A</v>
      </c>
      <c r="BP4715" s="42" t="e">
        <v>#N/A</v>
      </c>
      <c r="BQ4715">
        <v>0.11332468572476186</v>
      </c>
      <c r="BR4715" t="str">
        <v/>
      </c>
    </row>
    <row r="4716" spans="47:70" x14ac:dyDescent="0.2">
      <c r="AU4716"/>
      <c r="AV4716"/>
      <c r="AW4716"/>
      <c r="AX4716"/>
      <c r="AY4716"/>
      <c r="BK4716" s="42">
        <v>4715</v>
      </c>
      <c r="BL4716" s="42">
        <v>4</v>
      </c>
      <c r="BM4716" s="42">
        <v>0.11332468572476186</v>
      </c>
      <c r="BN4716" s="42" t="e">
        <v>#N/A</v>
      </c>
      <c r="BO4716" s="42" t="e">
        <v>#N/A</v>
      </c>
      <c r="BP4716" s="42" t="e">
        <v>#N/A</v>
      </c>
      <c r="BQ4716">
        <v>0.11332468572476186</v>
      </c>
      <c r="BR4716" t="str">
        <v/>
      </c>
    </row>
    <row r="4717" spans="47:70" x14ac:dyDescent="0.2">
      <c r="AU4717"/>
      <c r="AV4717"/>
      <c r="AW4717"/>
      <c r="AX4717"/>
      <c r="AY4717"/>
      <c r="BK4717" s="42">
        <v>4716</v>
      </c>
      <c r="BL4717" s="42">
        <v>4</v>
      </c>
      <c r="BM4717" s="42">
        <v>0.11332468572476186</v>
      </c>
      <c r="BN4717" s="42" t="e">
        <v>#N/A</v>
      </c>
      <c r="BO4717" s="42" t="e">
        <v>#N/A</v>
      </c>
      <c r="BP4717" s="42" t="e">
        <v>#N/A</v>
      </c>
      <c r="BQ4717">
        <v>0.11332468572476186</v>
      </c>
      <c r="BR4717" t="str">
        <v/>
      </c>
    </row>
    <row r="4718" spans="47:70" x14ac:dyDescent="0.2">
      <c r="AU4718"/>
      <c r="AV4718"/>
      <c r="AW4718"/>
      <c r="AX4718"/>
      <c r="AY4718"/>
      <c r="BK4718" s="42">
        <v>4717</v>
      </c>
      <c r="BL4718" s="42">
        <v>4</v>
      </c>
      <c r="BM4718" s="42">
        <v>0.11332468572476186</v>
      </c>
      <c r="BN4718" s="42" t="e">
        <v>#N/A</v>
      </c>
      <c r="BO4718" s="42" t="e">
        <v>#N/A</v>
      </c>
      <c r="BP4718" s="42" t="e">
        <v>#N/A</v>
      </c>
      <c r="BQ4718">
        <v>0.11332468572476186</v>
      </c>
      <c r="BR4718" t="str">
        <v/>
      </c>
    </row>
    <row r="4719" spans="47:70" x14ac:dyDescent="0.2">
      <c r="AU4719"/>
      <c r="AV4719"/>
      <c r="AW4719"/>
      <c r="AX4719"/>
      <c r="AY4719"/>
      <c r="BK4719" s="42">
        <v>4718</v>
      </c>
      <c r="BL4719" s="42">
        <v>4</v>
      </c>
      <c r="BM4719" s="42">
        <v>0.11332468572476186</v>
      </c>
      <c r="BN4719" s="42" t="e">
        <v>#N/A</v>
      </c>
      <c r="BO4719" s="42" t="e">
        <v>#N/A</v>
      </c>
      <c r="BP4719" s="42" t="e">
        <v>#N/A</v>
      </c>
      <c r="BQ4719">
        <v>0.11332468572476186</v>
      </c>
      <c r="BR4719" t="str">
        <v/>
      </c>
    </row>
    <row r="4720" spans="47:70" x14ac:dyDescent="0.2">
      <c r="AU4720"/>
      <c r="AV4720"/>
      <c r="AW4720"/>
      <c r="AX4720"/>
      <c r="AY4720"/>
      <c r="BK4720" s="42">
        <v>4719</v>
      </c>
      <c r="BL4720" s="42">
        <v>4</v>
      </c>
      <c r="BM4720" s="42">
        <v>0.11332468572476186</v>
      </c>
      <c r="BN4720" s="42" t="e">
        <v>#N/A</v>
      </c>
      <c r="BO4720" s="42" t="e">
        <v>#N/A</v>
      </c>
      <c r="BP4720" s="42" t="e">
        <v>#N/A</v>
      </c>
      <c r="BQ4720">
        <v>0.11332468572476186</v>
      </c>
      <c r="BR4720" t="str">
        <v/>
      </c>
    </row>
    <row r="4721" spans="47:70" x14ac:dyDescent="0.2">
      <c r="AU4721"/>
      <c r="AV4721"/>
      <c r="AW4721"/>
      <c r="AX4721"/>
      <c r="AY4721"/>
      <c r="BK4721" s="42">
        <v>4720</v>
      </c>
      <c r="BL4721" s="42">
        <v>4</v>
      </c>
      <c r="BM4721" s="42">
        <v>0.11332468572476186</v>
      </c>
      <c r="BN4721" s="42" t="e">
        <v>#N/A</v>
      </c>
      <c r="BO4721" s="42" t="e">
        <v>#N/A</v>
      </c>
      <c r="BP4721" s="42" t="e">
        <v>#N/A</v>
      </c>
      <c r="BQ4721">
        <v>0.11332468572476186</v>
      </c>
      <c r="BR4721" t="str">
        <v/>
      </c>
    </row>
    <row r="4722" spans="47:70" x14ac:dyDescent="0.2">
      <c r="AU4722"/>
      <c r="AV4722"/>
      <c r="AW4722"/>
      <c r="AX4722"/>
      <c r="AY4722"/>
      <c r="BK4722" s="42">
        <v>4721</v>
      </c>
      <c r="BL4722" s="42">
        <v>4</v>
      </c>
      <c r="BM4722" s="42">
        <v>0.11332468572476186</v>
      </c>
      <c r="BN4722" s="42" t="e">
        <v>#N/A</v>
      </c>
      <c r="BO4722" s="42" t="e">
        <v>#N/A</v>
      </c>
      <c r="BP4722" s="42" t="e">
        <v>#N/A</v>
      </c>
      <c r="BQ4722">
        <v>0.11332468572476186</v>
      </c>
      <c r="BR4722" t="str">
        <v/>
      </c>
    </row>
    <row r="4723" spans="47:70" x14ac:dyDescent="0.2">
      <c r="AU4723"/>
      <c r="AV4723"/>
      <c r="AW4723"/>
      <c r="AX4723"/>
      <c r="AY4723"/>
      <c r="BK4723" s="42">
        <v>4722</v>
      </c>
      <c r="BL4723" s="42">
        <v>4</v>
      </c>
      <c r="BM4723" s="42">
        <v>0.11332468572476186</v>
      </c>
      <c r="BN4723" s="42" t="e">
        <v>#N/A</v>
      </c>
      <c r="BO4723" s="42" t="e">
        <v>#N/A</v>
      </c>
      <c r="BP4723" s="42" t="e">
        <v>#N/A</v>
      </c>
      <c r="BQ4723">
        <v>0.11332468572476186</v>
      </c>
      <c r="BR4723" t="str">
        <v/>
      </c>
    </row>
    <row r="4724" spans="47:70" x14ac:dyDescent="0.2">
      <c r="AU4724"/>
      <c r="AV4724"/>
      <c r="AW4724"/>
      <c r="AX4724"/>
      <c r="AY4724"/>
      <c r="BK4724" s="42">
        <v>4723</v>
      </c>
      <c r="BL4724" s="42">
        <v>4</v>
      </c>
      <c r="BM4724" s="42">
        <v>0.11332468572476186</v>
      </c>
      <c r="BN4724" s="42" t="e">
        <v>#N/A</v>
      </c>
      <c r="BO4724" s="42" t="e">
        <v>#N/A</v>
      </c>
      <c r="BP4724" s="42" t="e">
        <v>#N/A</v>
      </c>
      <c r="BQ4724">
        <v>0.11332468572476186</v>
      </c>
      <c r="BR4724" t="str">
        <v/>
      </c>
    </row>
    <row r="4725" spans="47:70" x14ac:dyDescent="0.2">
      <c r="AU4725"/>
      <c r="AV4725"/>
      <c r="AW4725"/>
      <c r="AX4725"/>
      <c r="AY4725"/>
      <c r="BK4725" s="42">
        <v>4724</v>
      </c>
      <c r="BL4725" s="42">
        <v>4</v>
      </c>
      <c r="BM4725" s="42">
        <v>0.11332468572476186</v>
      </c>
      <c r="BN4725" s="42" t="e">
        <v>#N/A</v>
      </c>
      <c r="BO4725" s="42" t="e">
        <v>#N/A</v>
      </c>
      <c r="BP4725" s="42" t="e">
        <v>#N/A</v>
      </c>
      <c r="BQ4725">
        <v>0.11332468572476186</v>
      </c>
      <c r="BR4725" t="str">
        <v/>
      </c>
    </row>
    <row r="4726" spans="47:70" x14ac:dyDescent="0.2">
      <c r="AU4726"/>
      <c r="AV4726"/>
      <c r="AW4726"/>
      <c r="AX4726"/>
      <c r="AY4726"/>
      <c r="BK4726" s="42">
        <v>4725</v>
      </c>
      <c r="BL4726" s="42">
        <v>4</v>
      </c>
      <c r="BM4726" s="42">
        <v>0.11332468572476186</v>
      </c>
      <c r="BN4726" s="42" t="e">
        <v>#N/A</v>
      </c>
      <c r="BO4726" s="42" t="e">
        <v>#N/A</v>
      </c>
      <c r="BP4726" s="42" t="e">
        <v>#N/A</v>
      </c>
      <c r="BQ4726">
        <v>0.11332468572476186</v>
      </c>
      <c r="BR4726" t="str">
        <v/>
      </c>
    </row>
    <row r="4727" spans="47:70" x14ac:dyDescent="0.2">
      <c r="AU4727"/>
      <c r="AV4727"/>
      <c r="AW4727"/>
      <c r="AX4727"/>
      <c r="AY4727"/>
      <c r="BK4727" s="42">
        <v>4726</v>
      </c>
      <c r="BL4727" s="42">
        <v>4</v>
      </c>
      <c r="BM4727" s="42">
        <v>0.11332468572476186</v>
      </c>
      <c r="BN4727" s="42" t="e">
        <v>#N/A</v>
      </c>
      <c r="BO4727" s="42" t="e">
        <v>#N/A</v>
      </c>
      <c r="BP4727" s="42" t="e">
        <v>#N/A</v>
      </c>
      <c r="BQ4727">
        <v>0.11332468572476186</v>
      </c>
      <c r="BR4727" t="str">
        <v/>
      </c>
    </row>
    <row r="4728" spans="47:70" x14ac:dyDescent="0.2">
      <c r="AU4728"/>
      <c r="AV4728"/>
      <c r="AW4728"/>
      <c r="AX4728"/>
      <c r="AY4728"/>
      <c r="BK4728" s="42">
        <v>4727</v>
      </c>
      <c r="BL4728" s="42">
        <v>4</v>
      </c>
      <c r="BM4728" s="42">
        <v>0.11332468572476186</v>
      </c>
      <c r="BN4728" s="42" t="e">
        <v>#N/A</v>
      </c>
      <c r="BO4728" s="42" t="e">
        <v>#N/A</v>
      </c>
      <c r="BP4728" s="42" t="e">
        <v>#N/A</v>
      </c>
      <c r="BQ4728">
        <v>0.11332468572476186</v>
      </c>
      <c r="BR4728" t="str">
        <v/>
      </c>
    </row>
    <row r="4729" spans="47:70" x14ac:dyDescent="0.2">
      <c r="AU4729"/>
      <c r="AV4729"/>
      <c r="AW4729"/>
      <c r="AX4729"/>
      <c r="AY4729"/>
      <c r="BK4729" s="42">
        <v>4728</v>
      </c>
      <c r="BL4729" s="42">
        <v>4</v>
      </c>
      <c r="BM4729" s="42">
        <v>0.11332468572476186</v>
      </c>
      <c r="BN4729" s="42" t="e">
        <v>#N/A</v>
      </c>
      <c r="BO4729" s="42" t="e">
        <v>#N/A</v>
      </c>
      <c r="BP4729" s="42" t="e">
        <v>#N/A</v>
      </c>
      <c r="BQ4729">
        <v>0.11332468572476186</v>
      </c>
      <c r="BR4729" t="str">
        <v/>
      </c>
    </row>
    <row r="4730" spans="47:70" x14ac:dyDescent="0.2">
      <c r="AU4730"/>
      <c r="AV4730"/>
      <c r="AW4730"/>
      <c r="AX4730"/>
      <c r="AY4730"/>
      <c r="BK4730" s="42">
        <v>4729</v>
      </c>
      <c r="BL4730" s="42">
        <v>4</v>
      </c>
      <c r="BM4730" s="42">
        <v>0.11332468572476186</v>
      </c>
      <c r="BN4730" s="42" t="e">
        <v>#N/A</v>
      </c>
      <c r="BO4730" s="42" t="e">
        <v>#N/A</v>
      </c>
      <c r="BP4730" s="42" t="e">
        <v>#N/A</v>
      </c>
      <c r="BQ4730">
        <v>0.11332468572476186</v>
      </c>
      <c r="BR4730" t="str">
        <v/>
      </c>
    </row>
    <row r="4731" spans="47:70" x14ac:dyDescent="0.2">
      <c r="AU4731"/>
      <c r="AV4731"/>
      <c r="AW4731"/>
      <c r="AX4731"/>
      <c r="AY4731"/>
      <c r="BK4731" s="42">
        <v>4730</v>
      </c>
      <c r="BL4731" s="42">
        <v>4</v>
      </c>
      <c r="BM4731" s="42">
        <v>0.11332468572476186</v>
      </c>
      <c r="BN4731" s="42" t="e">
        <v>#N/A</v>
      </c>
      <c r="BO4731" s="42" t="e">
        <v>#N/A</v>
      </c>
      <c r="BP4731" s="42" t="e">
        <v>#N/A</v>
      </c>
      <c r="BQ4731">
        <v>0.11332468572476186</v>
      </c>
      <c r="BR4731" t="str">
        <v/>
      </c>
    </row>
    <row r="4732" spans="47:70" x14ac:dyDescent="0.2">
      <c r="AU4732"/>
      <c r="AV4732"/>
      <c r="AW4732"/>
      <c r="AX4732"/>
      <c r="AY4732"/>
      <c r="BK4732" s="42">
        <v>4731</v>
      </c>
      <c r="BL4732" s="42">
        <v>4</v>
      </c>
      <c r="BM4732" s="42">
        <v>0.11332468572476186</v>
      </c>
      <c r="BN4732" s="42" t="e">
        <v>#N/A</v>
      </c>
      <c r="BO4732" s="42" t="e">
        <v>#N/A</v>
      </c>
      <c r="BP4732" s="42" t="e">
        <v>#N/A</v>
      </c>
      <c r="BQ4732">
        <v>0.11332468572476186</v>
      </c>
      <c r="BR4732" t="str">
        <v/>
      </c>
    </row>
    <row r="4733" spans="47:70" x14ac:dyDescent="0.2">
      <c r="AU4733"/>
      <c r="AV4733"/>
      <c r="AW4733"/>
      <c r="AX4733"/>
      <c r="AY4733"/>
      <c r="BK4733" s="42">
        <v>4732</v>
      </c>
      <c r="BL4733" s="42">
        <v>4</v>
      </c>
      <c r="BM4733" s="42">
        <v>0.11332468572476186</v>
      </c>
      <c r="BN4733" s="42" t="e">
        <v>#N/A</v>
      </c>
      <c r="BO4733" s="42" t="e">
        <v>#N/A</v>
      </c>
      <c r="BP4733" s="42" t="e">
        <v>#N/A</v>
      </c>
      <c r="BQ4733">
        <v>0.11332468572476186</v>
      </c>
      <c r="BR4733" t="str">
        <v/>
      </c>
    </row>
    <row r="4734" spans="47:70" x14ac:dyDescent="0.2">
      <c r="AU4734"/>
      <c r="AV4734"/>
      <c r="AW4734"/>
      <c r="AX4734"/>
      <c r="AY4734"/>
      <c r="BK4734" s="42">
        <v>4733</v>
      </c>
      <c r="BL4734" s="42">
        <v>4</v>
      </c>
      <c r="BM4734" s="42">
        <v>0.11332468572476186</v>
      </c>
      <c r="BN4734" s="42" t="e">
        <v>#N/A</v>
      </c>
      <c r="BO4734" s="42" t="e">
        <v>#N/A</v>
      </c>
      <c r="BP4734" s="42" t="e">
        <v>#N/A</v>
      </c>
      <c r="BQ4734">
        <v>0.11332468572476186</v>
      </c>
      <c r="BR4734" t="str">
        <v/>
      </c>
    </row>
    <row r="4735" spans="47:70" x14ac:dyDescent="0.2">
      <c r="AU4735"/>
      <c r="AV4735"/>
      <c r="AW4735"/>
      <c r="AX4735"/>
      <c r="AY4735"/>
      <c r="BK4735" s="42">
        <v>4734</v>
      </c>
      <c r="BL4735" s="42">
        <v>4</v>
      </c>
      <c r="BM4735" s="42">
        <v>0.11332468572476186</v>
      </c>
      <c r="BN4735" s="42" t="e">
        <v>#N/A</v>
      </c>
      <c r="BO4735" s="42" t="e">
        <v>#N/A</v>
      </c>
      <c r="BP4735" s="42" t="e">
        <v>#N/A</v>
      </c>
      <c r="BQ4735">
        <v>0.11332468572476186</v>
      </c>
      <c r="BR4735" t="str">
        <v/>
      </c>
    </row>
    <row r="4736" spans="47:70" x14ac:dyDescent="0.2">
      <c r="AU4736"/>
      <c r="AV4736"/>
      <c r="AW4736"/>
      <c r="AX4736"/>
      <c r="AY4736"/>
      <c r="BK4736" s="42">
        <v>4735</v>
      </c>
      <c r="BL4736" s="42">
        <v>4</v>
      </c>
      <c r="BM4736" s="42">
        <v>0.11332468572476186</v>
      </c>
      <c r="BN4736" s="42" t="e">
        <v>#N/A</v>
      </c>
      <c r="BO4736" s="42" t="e">
        <v>#N/A</v>
      </c>
      <c r="BP4736" s="42" t="e">
        <v>#N/A</v>
      </c>
      <c r="BQ4736">
        <v>0.11332468572476186</v>
      </c>
      <c r="BR4736" t="str">
        <v/>
      </c>
    </row>
    <row r="4737" spans="47:70" x14ac:dyDescent="0.2">
      <c r="AU4737"/>
      <c r="AV4737"/>
      <c r="AW4737"/>
      <c r="AX4737"/>
      <c r="AY4737"/>
      <c r="BK4737" s="42">
        <v>4736</v>
      </c>
      <c r="BL4737" s="42">
        <v>4</v>
      </c>
      <c r="BM4737" s="42">
        <v>0.11332468572476186</v>
      </c>
      <c r="BN4737" s="42" t="e">
        <v>#N/A</v>
      </c>
      <c r="BO4737" s="42" t="e">
        <v>#N/A</v>
      </c>
      <c r="BP4737" s="42" t="e">
        <v>#N/A</v>
      </c>
      <c r="BQ4737">
        <v>0.11332468572476186</v>
      </c>
      <c r="BR4737" t="str">
        <v/>
      </c>
    </row>
    <row r="4738" spans="47:70" x14ac:dyDescent="0.2">
      <c r="AU4738"/>
      <c r="AV4738"/>
      <c r="AW4738"/>
      <c r="AX4738"/>
      <c r="AY4738"/>
      <c r="BK4738" s="42">
        <v>4737</v>
      </c>
      <c r="BL4738" s="42">
        <v>4</v>
      </c>
      <c r="BM4738" s="42">
        <v>0.11332468572476186</v>
      </c>
      <c r="BN4738" s="42" t="e">
        <v>#N/A</v>
      </c>
      <c r="BO4738" s="42" t="e">
        <v>#N/A</v>
      </c>
      <c r="BP4738" s="42" t="e">
        <v>#N/A</v>
      </c>
      <c r="BQ4738">
        <v>0.11332468572476186</v>
      </c>
      <c r="BR4738" t="str">
        <v/>
      </c>
    </row>
    <row r="4739" spans="47:70" x14ac:dyDescent="0.2">
      <c r="AU4739"/>
      <c r="AV4739"/>
      <c r="AW4739"/>
      <c r="AX4739"/>
      <c r="AY4739"/>
      <c r="BK4739" s="42">
        <v>4738</v>
      </c>
      <c r="BL4739" s="42">
        <v>4</v>
      </c>
      <c r="BM4739" s="42">
        <v>0.11332468572476186</v>
      </c>
      <c r="BN4739" s="42" t="e">
        <v>#N/A</v>
      </c>
      <c r="BO4739" s="42" t="e">
        <v>#N/A</v>
      </c>
      <c r="BP4739" s="42" t="e">
        <v>#N/A</v>
      </c>
      <c r="BQ4739">
        <v>0.11332468572476186</v>
      </c>
      <c r="BR4739" t="str">
        <v/>
      </c>
    </row>
    <row r="4740" spans="47:70" x14ac:dyDescent="0.2">
      <c r="AU4740"/>
      <c r="AV4740"/>
      <c r="AW4740"/>
      <c r="AX4740"/>
      <c r="AY4740"/>
      <c r="BK4740" s="42">
        <v>4739</v>
      </c>
      <c r="BL4740" s="42">
        <v>4</v>
      </c>
      <c r="BM4740" s="42">
        <v>0.11332468572476186</v>
      </c>
      <c r="BN4740" s="42" t="e">
        <v>#N/A</v>
      </c>
      <c r="BO4740" s="42" t="e">
        <v>#N/A</v>
      </c>
      <c r="BP4740" s="42" t="e">
        <v>#N/A</v>
      </c>
      <c r="BQ4740">
        <v>0.11332468572476186</v>
      </c>
      <c r="BR4740" t="str">
        <v/>
      </c>
    </row>
    <row r="4741" spans="47:70" x14ac:dyDescent="0.2">
      <c r="AU4741"/>
      <c r="AV4741"/>
      <c r="AW4741"/>
      <c r="AX4741"/>
      <c r="AY4741"/>
      <c r="BK4741" s="42">
        <v>4740</v>
      </c>
      <c r="BL4741" s="42">
        <v>4</v>
      </c>
      <c r="BM4741" s="42">
        <v>0.11332468572476186</v>
      </c>
      <c r="BN4741" s="42" t="e">
        <v>#N/A</v>
      </c>
      <c r="BO4741" s="42" t="e">
        <v>#N/A</v>
      </c>
      <c r="BP4741" s="42" t="e">
        <v>#N/A</v>
      </c>
      <c r="BQ4741">
        <v>0.11332468572476186</v>
      </c>
      <c r="BR4741" t="str">
        <v/>
      </c>
    </row>
    <row r="4742" spans="47:70" x14ac:dyDescent="0.2">
      <c r="AU4742"/>
      <c r="AV4742"/>
      <c r="AW4742"/>
      <c r="AX4742"/>
      <c r="AY4742"/>
      <c r="BK4742" s="42">
        <v>4741</v>
      </c>
      <c r="BL4742" s="42">
        <v>4</v>
      </c>
      <c r="BM4742" s="42">
        <v>0.11332468572476186</v>
      </c>
      <c r="BN4742" s="42" t="e">
        <v>#N/A</v>
      </c>
      <c r="BO4742" s="42" t="e">
        <v>#N/A</v>
      </c>
      <c r="BP4742" s="42" t="e">
        <v>#N/A</v>
      </c>
      <c r="BQ4742">
        <v>0.11332468572476186</v>
      </c>
      <c r="BR4742" t="str">
        <v/>
      </c>
    </row>
    <row r="4743" spans="47:70" x14ac:dyDescent="0.2">
      <c r="AU4743"/>
      <c r="AV4743"/>
      <c r="AW4743"/>
      <c r="AX4743"/>
      <c r="AY4743"/>
      <c r="BK4743" s="42">
        <v>4742</v>
      </c>
      <c r="BL4743" s="42">
        <v>4</v>
      </c>
      <c r="BM4743" s="42">
        <v>0.11332468572476186</v>
      </c>
      <c r="BN4743" s="42" t="e">
        <v>#N/A</v>
      </c>
      <c r="BO4743" s="42" t="e">
        <v>#N/A</v>
      </c>
      <c r="BP4743" s="42" t="e">
        <v>#N/A</v>
      </c>
      <c r="BQ4743">
        <v>0.11332468572476186</v>
      </c>
      <c r="BR4743" t="str">
        <v/>
      </c>
    </row>
    <row r="4744" spans="47:70" x14ac:dyDescent="0.2">
      <c r="AU4744"/>
      <c r="AV4744"/>
      <c r="AW4744"/>
      <c r="AX4744"/>
      <c r="AY4744"/>
      <c r="BK4744" s="42">
        <v>4743</v>
      </c>
      <c r="BL4744" s="42">
        <v>4</v>
      </c>
      <c r="BM4744" s="42">
        <v>0.11332468572476186</v>
      </c>
      <c r="BN4744" s="42" t="e">
        <v>#N/A</v>
      </c>
      <c r="BO4744" s="42" t="e">
        <v>#N/A</v>
      </c>
      <c r="BP4744" s="42" t="e">
        <v>#N/A</v>
      </c>
      <c r="BQ4744">
        <v>0.11332468572476186</v>
      </c>
      <c r="BR4744" t="str">
        <v/>
      </c>
    </row>
    <row r="4745" spans="47:70" x14ac:dyDescent="0.2">
      <c r="AU4745"/>
      <c r="AV4745"/>
      <c r="AW4745"/>
      <c r="AX4745"/>
      <c r="AY4745"/>
      <c r="BK4745" s="42">
        <v>4744</v>
      </c>
      <c r="BL4745" s="42">
        <v>4</v>
      </c>
      <c r="BM4745" s="42">
        <v>0.11332468572476186</v>
      </c>
      <c r="BN4745" s="42" t="e">
        <v>#N/A</v>
      </c>
      <c r="BO4745" s="42" t="e">
        <v>#N/A</v>
      </c>
      <c r="BP4745" s="42" t="e">
        <v>#N/A</v>
      </c>
      <c r="BQ4745">
        <v>0.11332468572476186</v>
      </c>
      <c r="BR4745" t="str">
        <v/>
      </c>
    </row>
    <row r="4746" spans="47:70" x14ac:dyDescent="0.2">
      <c r="AU4746"/>
      <c r="AV4746"/>
      <c r="AW4746"/>
      <c r="AX4746"/>
      <c r="AY4746"/>
      <c r="BK4746" s="42">
        <v>4745</v>
      </c>
      <c r="BL4746" s="42">
        <v>4</v>
      </c>
      <c r="BM4746" s="42">
        <v>0.11332468572476186</v>
      </c>
      <c r="BN4746" s="42" t="e">
        <v>#N/A</v>
      </c>
      <c r="BO4746" s="42" t="e">
        <v>#N/A</v>
      </c>
      <c r="BP4746" s="42" t="e">
        <v>#N/A</v>
      </c>
      <c r="BQ4746">
        <v>0.11332468572476186</v>
      </c>
      <c r="BR4746" t="str">
        <v/>
      </c>
    </row>
    <row r="4747" spans="47:70" x14ac:dyDescent="0.2">
      <c r="AU4747"/>
      <c r="AV4747"/>
      <c r="AW4747"/>
      <c r="AX4747"/>
      <c r="AY4747"/>
      <c r="BK4747" s="42">
        <v>4746</v>
      </c>
      <c r="BL4747" s="42">
        <v>4</v>
      </c>
      <c r="BM4747" s="42">
        <v>0.11332468572476186</v>
      </c>
      <c r="BN4747" s="42" t="e">
        <v>#N/A</v>
      </c>
      <c r="BO4747" s="42" t="e">
        <v>#N/A</v>
      </c>
      <c r="BP4747" s="42" t="e">
        <v>#N/A</v>
      </c>
      <c r="BQ4747">
        <v>0.11332468572476186</v>
      </c>
      <c r="BR4747" t="str">
        <v/>
      </c>
    </row>
    <row r="4748" spans="47:70" x14ac:dyDescent="0.2">
      <c r="AU4748"/>
      <c r="AV4748"/>
      <c r="AW4748"/>
      <c r="AX4748"/>
      <c r="AY4748"/>
      <c r="BK4748" s="42">
        <v>4747</v>
      </c>
      <c r="BL4748" s="42">
        <v>4</v>
      </c>
      <c r="BM4748" s="42">
        <v>0.11332468572476186</v>
      </c>
      <c r="BN4748" s="42" t="e">
        <v>#N/A</v>
      </c>
      <c r="BO4748" s="42" t="e">
        <v>#N/A</v>
      </c>
      <c r="BP4748" s="42" t="e">
        <v>#N/A</v>
      </c>
      <c r="BQ4748">
        <v>0.11332468572476186</v>
      </c>
      <c r="BR4748" t="str">
        <v/>
      </c>
    </row>
    <row r="4749" spans="47:70" x14ac:dyDescent="0.2">
      <c r="AU4749"/>
      <c r="AV4749"/>
      <c r="AW4749"/>
      <c r="AX4749"/>
      <c r="AY4749"/>
      <c r="BK4749" s="42">
        <v>4748</v>
      </c>
      <c r="BL4749" s="42">
        <v>4</v>
      </c>
      <c r="BM4749" s="42">
        <v>0.11332468572476186</v>
      </c>
      <c r="BN4749" s="42" t="e">
        <v>#N/A</v>
      </c>
      <c r="BO4749" s="42" t="e">
        <v>#N/A</v>
      </c>
      <c r="BP4749" s="42" t="e">
        <v>#N/A</v>
      </c>
      <c r="BQ4749">
        <v>0.11332468572476186</v>
      </c>
      <c r="BR4749" t="str">
        <v/>
      </c>
    </row>
    <row r="4750" spans="47:70" x14ac:dyDescent="0.2">
      <c r="AU4750"/>
      <c r="AV4750"/>
      <c r="AW4750"/>
      <c r="AX4750"/>
      <c r="AY4750"/>
      <c r="BK4750" s="42">
        <v>4749</v>
      </c>
      <c r="BL4750" s="42">
        <v>4</v>
      </c>
      <c r="BM4750" s="42">
        <v>0.11332468572476186</v>
      </c>
      <c r="BN4750" s="42" t="e">
        <v>#N/A</v>
      </c>
      <c r="BO4750" s="42" t="e">
        <v>#N/A</v>
      </c>
      <c r="BP4750" s="42" t="e">
        <v>#N/A</v>
      </c>
      <c r="BQ4750">
        <v>0.11332468572476186</v>
      </c>
      <c r="BR4750" t="str">
        <v/>
      </c>
    </row>
    <row r="4751" spans="47:70" x14ac:dyDescent="0.2">
      <c r="AU4751"/>
      <c r="AV4751"/>
      <c r="AW4751"/>
      <c r="AX4751"/>
      <c r="AY4751"/>
      <c r="BK4751" s="42">
        <v>4750</v>
      </c>
      <c r="BL4751" s="42">
        <v>4</v>
      </c>
      <c r="BM4751" s="42">
        <v>0.11332468572476186</v>
      </c>
      <c r="BN4751" s="42" t="e">
        <v>#N/A</v>
      </c>
      <c r="BO4751" s="42" t="e">
        <v>#N/A</v>
      </c>
      <c r="BP4751" s="42" t="e">
        <v>#N/A</v>
      </c>
      <c r="BQ4751">
        <v>0.11332468572476186</v>
      </c>
      <c r="BR4751" t="str">
        <v/>
      </c>
    </row>
    <row r="4752" spans="47:70" x14ac:dyDescent="0.2">
      <c r="AU4752"/>
      <c r="AV4752"/>
      <c r="AW4752"/>
      <c r="AX4752"/>
      <c r="AY4752"/>
      <c r="BK4752" s="42">
        <v>4751</v>
      </c>
      <c r="BL4752" s="42">
        <v>4</v>
      </c>
      <c r="BM4752" s="42">
        <v>0.11332468572476186</v>
      </c>
      <c r="BN4752" s="42" t="e">
        <v>#N/A</v>
      </c>
      <c r="BO4752" s="42" t="e">
        <v>#N/A</v>
      </c>
      <c r="BP4752" s="42" t="e">
        <v>#N/A</v>
      </c>
      <c r="BQ4752">
        <v>0.11332468572476186</v>
      </c>
      <c r="BR4752" t="str">
        <v/>
      </c>
    </row>
    <row r="4753" spans="47:70" x14ac:dyDescent="0.2">
      <c r="AU4753"/>
      <c r="AV4753"/>
      <c r="AW4753"/>
      <c r="AX4753"/>
      <c r="AY4753"/>
      <c r="BK4753" s="42">
        <v>4752</v>
      </c>
      <c r="BL4753" s="42">
        <v>4</v>
      </c>
      <c r="BM4753" s="42">
        <v>0.11332468572476186</v>
      </c>
      <c r="BN4753" s="42" t="e">
        <v>#N/A</v>
      </c>
      <c r="BO4753" s="42" t="e">
        <v>#N/A</v>
      </c>
      <c r="BP4753" s="42" t="e">
        <v>#N/A</v>
      </c>
      <c r="BQ4753">
        <v>0.11332468572476186</v>
      </c>
      <c r="BR4753" t="str">
        <v/>
      </c>
    </row>
    <row r="4754" spans="47:70" x14ac:dyDescent="0.2">
      <c r="AU4754"/>
      <c r="AV4754"/>
      <c r="AW4754"/>
      <c r="AX4754"/>
      <c r="AY4754"/>
      <c r="BK4754" s="42">
        <v>4753</v>
      </c>
      <c r="BL4754" s="42">
        <v>4</v>
      </c>
      <c r="BM4754" s="42">
        <v>0.11332468572476186</v>
      </c>
      <c r="BN4754" s="42" t="e">
        <v>#N/A</v>
      </c>
      <c r="BO4754" s="42" t="e">
        <v>#N/A</v>
      </c>
      <c r="BP4754" s="42" t="e">
        <v>#N/A</v>
      </c>
      <c r="BQ4754">
        <v>0.11332468572476186</v>
      </c>
      <c r="BR4754" t="str">
        <v/>
      </c>
    </row>
    <row r="4755" spans="47:70" x14ac:dyDescent="0.2">
      <c r="AU4755"/>
      <c r="AV4755"/>
      <c r="AW4755"/>
      <c r="AX4755"/>
      <c r="AY4755"/>
      <c r="BK4755" s="42">
        <v>4754</v>
      </c>
      <c r="BL4755" s="42">
        <v>4</v>
      </c>
      <c r="BM4755" s="42">
        <v>0.11332468572476186</v>
      </c>
      <c r="BN4755" s="42" t="e">
        <v>#N/A</v>
      </c>
      <c r="BO4755" s="42" t="e">
        <v>#N/A</v>
      </c>
      <c r="BP4755" s="42" t="e">
        <v>#N/A</v>
      </c>
      <c r="BQ4755">
        <v>0.11332468572476186</v>
      </c>
      <c r="BR4755" t="str">
        <v/>
      </c>
    </row>
    <row r="4756" spans="47:70" x14ac:dyDescent="0.2">
      <c r="AU4756"/>
      <c r="AV4756"/>
      <c r="AW4756"/>
      <c r="AX4756"/>
      <c r="AY4756"/>
      <c r="BK4756" s="42">
        <v>4755</v>
      </c>
      <c r="BL4756" s="42">
        <v>4</v>
      </c>
      <c r="BM4756" s="42">
        <v>0.11332468572476186</v>
      </c>
      <c r="BN4756" s="42" t="e">
        <v>#N/A</v>
      </c>
      <c r="BO4756" s="42" t="e">
        <v>#N/A</v>
      </c>
      <c r="BP4756" s="42" t="e">
        <v>#N/A</v>
      </c>
      <c r="BQ4756">
        <v>0.11332468572476186</v>
      </c>
      <c r="BR4756" t="str">
        <v/>
      </c>
    </row>
    <row r="4757" spans="47:70" x14ac:dyDescent="0.2">
      <c r="AU4757"/>
      <c r="AV4757"/>
      <c r="AW4757"/>
      <c r="AX4757"/>
      <c r="AY4757"/>
      <c r="BK4757" s="42">
        <v>4756</v>
      </c>
      <c r="BL4757" s="42">
        <v>4</v>
      </c>
      <c r="BM4757" s="42">
        <v>0.11332468572476186</v>
      </c>
      <c r="BN4757" s="42" t="e">
        <v>#N/A</v>
      </c>
      <c r="BO4757" s="42" t="e">
        <v>#N/A</v>
      </c>
      <c r="BP4757" s="42" t="e">
        <v>#N/A</v>
      </c>
      <c r="BQ4757">
        <v>0.11332468572476186</v>
      </c>
      <c r="BR4757" t="str">
        <v/>
      </c>
    </row>
    <row r="4758" spans="47:70" x14ac:dyDescent="0.2">
      <c r="AU4758"/>
      <c r="AV4758"/>
      <c r="AW4758"/>
      <c r="AX4758"/>
      <c r="AY4758"/>
      <c r="BK4758" s="42">
        <v>4757</v>
      </c>
      <c r="BL4758" s="42">
        <v>4</v>
      </c>
      <c r="BM4758" s="42">
        <v>0.11332468572476186</v>
      </c>
      <c r="BN4758" s="42" t="e">
        <v>#N/A</v>
      </c>
      <c r="BO4758" s="42" t="e">
        <v>#N/A</v>
      </c>
      <c r="BP4758" s="42" t="e">
        <v>#N/A</v>
      </c>
      <c r="BQ4758">
        <v>0.11332468572476186</v>
      </c>
      <c r="BR4758" t="str">
        <v/>
      </c>
    </row>
    <row r="4759" spans="47:70" x14ac:dyDescent="0.2">
      <c r="AU4759"/>
      <c r="AV4759"/>
      <c r="AW4759"/>
      <c r="AX4759"/>
      <c r="AY4759"/>
      <c r="BK4759" s="42">
        <v>4758</v>
      </c>
      <c r="BL4759" s="42">
        <v>4</v>
      </c>
      <c r="BM4759" s="42">
        <v>0.11332468572476186</v>
      </c>
      <c r="BN4759" s="42" t="e">
        <v>#N/A</v>
      </c>
      <c r="BO4759" s="42" t="e">
        <v>#N/A</v>
      </c>
      <c r="BP4759" s="42" t="e">
        <v>#N/A</v>
      </c>
      <c r="BQ4759">
        <v>0.11332468572476186</v>
      </c>
      <c r="BR4759" t="str">
        <v/>
      </c>
    </row>
    <row r="4760" spans="47:70" x14ac:dyDescent="0.2">
      <c r="AU4760"/>
      <c r="AV4760"/>
      <c r="AW4760"/>
      <c r="AX4760"/>
      <c r="AY4760"/>
      <c r="BK4760" s="42">
        <v>4759</v>
      </c>
      <c r="BL4760" s="42">
        <v>4</v>
      </c>
      <c r="BM4760" s="42">
        <v>0.11332468572476186</v>
      </c>
      <c r="BN4760" s="42" t="e">
        <v>#N/A</v>
      </c>
      <c r="BO4760" s="42" t="e">
        <v>#N/A</v>
      </c>
      <c r="BP4760" s="42" t="e">
        <v>#N/A</v>
      </c>
      <c r="BQ4760">
        <v>0.11332468572476186</v>
      </c>
      <c r="BR4760" t="str">
        <v/>
      </c>
    </row>
    <row r="4761" spans="47:70" x14ac:dyDescent="0.2">
      <c r="AU4761"/>
      <c r="AV4761"/>
      <c r="AW4761"/>
      <c r="AX4761"/>
      <c r="AY4761"/>
      <c r="BK4761" s="42">
        <v>4760</v>
      </c>
      <c r="BL4761" s="42">
        <v>4</v>
      </c>
      <c r="BM4761" s="42">
        <v>0.11332468572476186</v>
      </c>
      <c r="BN4761" s="42" t="e">
        <v>#N/A</v>
      </c>
      <c r="BO4761" s="42" t="e">
        <v>#N/A</v>
      </c>
      <c r="BP4761" s="42" t="e">
        <v>#N/A</v>
      </c>
      <c r="BQ4761">
        <v>0.11332468572476186</v>
      </c>
      <c r="BR4761" t="str">
        <v/>
      </c>
    </row>
    <row r="4762" spans="47:70" x14ac:dyDescent="0.2">
      <c r="AU4762"/>
      <c r="AV4762"/>
      <c r="AW4762"/>
      <c r="AX4762"/>
      <c r="AY4762"/>
      <c r="BK4762" s="42">
        <v>4761</v>
      </c>
      <c r="BL4762" s="42">
        <v>4</v>
      </c>
      <c r="BM4762" s="42">
        <v>0.11332468572476186</v>
      </c>
      <c r="BN4762" s="42" t="e">
        <v>#N/A</v>
      </c>
      <c r="BO4762" s="42" t="e">
        <v>#N/A</v>
      </c>
      <c r="BP4762" s="42" t="e">
        <v>#N/A</v>
      </c>
      <c r="BQ4762">
        <v>0.11332468572476186</v>
      </c>
      <c r="BR4762" t="str">
        <v/>
      </c>
    </row>
    <row r="4763" spans="47:70" x14ac:dyDescent="0.2">
      <c r="AU4763"/>
      <c r="AV4763"/>
      <c r="AW4763"/>
      <c r="AX4763"/>
      <c r="AY4763"/>
      <c r="BK4763" s="42">
        <v>4762</v>
      </c>
      <c r="BL4763" s="42">
        <v>4</v>
      </c>
      <c r="BM4763" s="42">
        <v>0.11332468572476186</v>
      </c>
      <c r="BN4763" s="42" t="e">
        <v>#N/A</v>
      </c>
      <c r="BO4763" s="42" t="e">
        <v>#N/A</v>
      </c>
      <c r="BP4763" s="42" t="e">
        <v>#N/A</v>
      </c>
      <c r="BQ4763">
        <v>0.11332468572476186</v>
      </c>
      <c r="BR4763" t="str">
        <v/>
      </c>
    </row>
    <row r="4764" spans="47:70" x14ac:dyDescent="0.2">
      <c r="AU4764"/>
      <c r="AV4764"/>
      <c r="AW4764"/>
      <c r="AX4764"/>
      <c r="AY4764"/>
      <c r="BK4764" s="42">
        <v>4763</v>
      </c>
      <c r="BL4764" s="42">
        <v>4</v>
      </c>
      <c r="BM4764" s="42">
        <v>0.11332468572476186</v>
      </c>
      <c r="BN4764" s="42" t="e">
        <v>#N/A</v>
      </c>
      <c r="BO4764" s="42" t="e">
        <v>#N/A</v>
      </c>
      <c r="BP4764" s="42" t="e">
        <v>#N/A</v>
      </c>
      <c r="BQ4764">
        <v>0.11332468572476186</v>
      </c>
      <c r="BR4764" t="str">
        <v/>
      </c>
    </row>
    <row r="4765" spans="47:70" x14ac:dyDescent="0.2">
      <c r="AU4765"/>
      <c r="AV4765"/>
      <c r="AW4765"/>
      <c r="AX4765"/>
      <c r="AY4765"/>
      <c r="BK4765" s="42">
        <v>4764</v>
      </c>
      <c r="BL4765" s="42">
        <v>4</v>
      </c>
      <c r="BM4765" s="42">
        <v>0.11332468572476186</v>
      </c>
      <c r="BN4765" s="42" t="e">
        <v>#N/A</v>
      </c>
      <c r="BO4765" s="42" t="e">
        <v>#N/A</v>
      </c>
      <c r="BP4765" s="42" t="e">
        <v>#N/A</v>
      </c>
      <c r="BQ4765">
        <v>0.11332468572476186</v>
      </c>
      <c r="BR4765" t="str">
        <v/>
      </c>
    </row>
    <row r="4766" spans="47:70" x14ac:dyDescent="0.2">
      <c r="AU4766"/>
      <c r="AV4766"/>
      <c r="AW4766"/>
      <c r="AX4766"/>
      <c r="AY4766"/>
      <c r="BK4766" s="42">
        <v>4765</v>
      </c>
      <c r="BL4766" s="42">
        <v>4</v>
      </c>
      <c r="BM4766" s="42">
        <v>0.11332468572476186</v>
      </c>
      <c r="BN4766" s="42" t="e">
        <v>#N/A</v>
      </c>
      <c r="BO4766" s="42" t="e">
        <v>#N/A</v>
      </c>
      <c r="BP4766" s="42" t="e">
        <v>#N/A</v>
      </c>
      <c r="BQ4766">
        <v>0.11332468572476186</v>
      </c>
      <c r="BR4766" t="str">
        <v/>
      </c>
    </row>
    <row r="4767" spans="47:70" x14ac:dyDescent="0.2">
      <c r="AU4767"/>
      <c r="AV4767"/>
      <c r="AW4767"/>
      <c r="AX4767"/>
      <c r="AY4767"/>
      <c r="BK4767" s="42">
        <v>4766</v>
      </c>
      <c r="BL4767" s="42">
        <v>4</v>
      </c>
      <c r="BM4767" s="42">
        <v>0.11332468572476186</v>
      </c>
      <c r="BN4767" s="42" t="e">
        <v>#N/A</v>
      </c>
      <c r="BO4767" s="42" t="e">
        <v>#N/A</v>
      </c>
      <c r="BP4767" s="42" t="e">
        <v>#N/A</v>
      </c>
      <c r="BQ4767">
        <v>0.11332468572476186</v>
      </c>
      <c r="BR4767" t="str">
        <v/>
      </c>
    </row>
    <row r="4768" spans="47:70" x14ac:dyDescent="0.2">
      <c r="AU4768"/>
      <c r="AV4768"/>
      <c r="AW4768"/>
      <c r="AX4768"/>
      <c r="AY4768"/>
      <c r="BK4768" s="42">
        <v>4767</v>
      </c>
      <c r="BL4768" s="42">
        <v>4</v>
      </c>
      <c r="BM4768" s="42">
        <v>0.11332468572476186</v>
      </c>
      <c r="BN4768" s="42" t="e">
        <v>#N/A</v>
      </c>
      <c r="BO4768" s="42" t="e">
        <v>#N/A</v>
      </c>
      <c r="BP4768" s="42" t="e">
        <v>#N/A</v>
      </c>
      <c r="BQ4768">
        <v>0.11332468572476186</v>
      </c>
      <c r="BR4768" t="str">
        <v/>
      </c>
    </row>
    <row r="4769" spans="47:70" x14ac:dyDescent="0.2">
      <c r="AU4769"/>
      <c r="AV4769"/>
      <c r="AW4769"/>
      <c r="AX4769"/>
      <c r="AY4769"/>
      <c r="BK4769" s="42">
        <v>4768</v>
      </c>
      <c r="BL4769" s="42">
        <v>4</v>
      </c>
      <c r="BM4769" s="42">
        <v>0.11332468572476186</v>
      </c>
      <c r="BN4769" s="42" t="e">
        <v>#N/A</v>
      </c>
      <c r="BO4769" s="42" t="e">
        <v>#N/A</v>
      </c>
      <c r="BP4769" s="42" t="e">
        <v>#N/A</v>
      </c>
      <c r="BQ4769">
        <v>0.11332468572476186</v>
      </c>
      <c r="BR4769" t="str">
        <v/>
      </c>
    </row>
    <row r="4770" spans="47:70" x14ac:dyDescent="0.2">
      <c r="AU4770"/>
      <c r="AV4770"/>
      <c r="AW4770"/>
      <c r="AX4770"/>
      <c r="AY4770"/>
      <c r="BK4770" s="42">
        <v>4769</v>
      </c>
      <c r="BL4770" s="42">
        <v>4</v>
      </c>
      <c r="BM4770" s="42">
        <v>0.11332468572476186</v>
      </c>
      <c r="BN4770" s="42" t="e">
        <v>#N/A</v>
      </c>
      <c r="BO4770" s="42" t="e">
        <v>#N/A</v>
      </c>
      <c r="BP4770" s="42" t="e">
        <v>#N/A</v>
      </c>
      <c r="BQ4770">
        <v>0.11332468572476186</v>
      </c>
      <c r="BR4770" t="str">
        <v/>
      </c>
    </row>
    <row r="4771" spans="47:70" x14ac:dyDescent="0.2">
      <c r="AU4771"/>
      <c r="AV4771"/>
      <c r="AW4771"/>
      <c r="AX4771"/>
      <c r="AY4771"/>
      <c r="BK4771" s="42">
        <v>4770</v>
      </c>
      <c r="BL4771" s="42">
        <v>4</v>
      </c>
      <c r="BM4771" s="42">
        <v>0.11332468572476186</v>
      </c>
      <c r="BN4771" s="42" t="e">
        <v>#N/A</v>
      </c>
      <c r="BO4771" s="42" t="e">
        <v>#N/A</v>
      </c>
      <c r="BP4771" s="42" t="e">
        <v>#N/A</v>
      </c>
      <c r="BQ4771">
        <v>0.11332468572476186</v>
      </c>
      <c r="BR4771" t="str">
        <v/>
      </c>
    </row>
    <row r="4772" spans="47:70" x14ac:dyDescent="0.2">
      <c r="AU4772"/>
      <c r="AV4772"/>
      <c r="AW4772"/>
      <c r="AX4772"/>
      <c r="AY4772"/>
      <c r="BK4772" s="42">
        <v>4771</v>
      </c>
      <c r="BL4772" s="42">
        <v>4</v>
      </c>
      <c r="BM4772" s="42">
        <v>0.11332468572476186</v>
      </c>
      <c r="BN4772" s="42" t="e">
        <v>#N/A</v>
      </c>
      <c r="BO4772" s="42" t="e">
        <v>#N/A</v>
      </c>
      <c r="BP4772" s="42" t="e">
        <v>#N/A</v>
      </c>
      <c r="BQ4772">
        <v>0.11332468572476186</v>
      </c>
      <c r="BR4772" t="str">
        <v/>
      </c>
    </row>
    <row r="4773" spans="47:70" x14ac:dyDescent="0.2">
      <c r="AU4773"/>
      <c r="AV4773"/>
      <c r="AW4773"/>
      <c r="AX4773"/>
      <c r="AY4773"/>
      <c r="BK4773" s="42">
        <v>4772</v>
      </c>
      <c r="BL4773" s="42">
        <v>4</v>
      </c>
      <c r="BM4773" s="42">
        <v>0.11332468572476186</v>
      </c>
      <c r="BN4773" s="42" t="e">
        <v>#N/A</v>
      </c>
      <c r="BO4773" s="42" t="e">
        <v>#N/A</v>
      </c>
      <c r="BP4773" s="42" t="e">
        <v>#N/A</v>
      </c>
      <c r="BQ4773">
        <v>0.11332468572476186</v>
      </c>
      <c r="BR4773" t="str">
        <v/>
      </c>
    </row>
    <row r="4774" spans="47:70" x14ac:dyDescent="0.2">
      <c r="AU4774"/>
      <c r="AV4774"/>
      <c r="AW4774"/>
      <c r="AX4774"/>
      <c r="AY4774"/>
      <c r="BK4774" s="42">
        <v>4773</v>
      </c>
      <c r="BL4774" s="42">
        <v>4</v>
      </c>
      <c r="BM4774" s="42">
        <v>0.11332468572476186</v>
      </c>
      <c r="BN4774" s="42" t="e">
        <v>#N/A</v>
      </c>
      <c r="BO4774" s="42" t="e">
        <v>#N/A</v>
      </c>
      <c r="BP4774" s="42" t="e">
        <v>#N/A</v>
      </c>
      <c r="BQ4774">
        <v>0.11332468572476186</v>
      </c>
      <c r="BR4774" t="str">
        <v/>
      </c>
    </row>
    <row r="4775" spans="47:70" x14ac:dyDescent="0.2">
      <c r="AU4775"/>
      <c r="AV4775"/>
      <c r="AW4775"/>
      <c r="AX4775"/>
      <c r="AY4775"/>
      <c r="BK4775" s="42">
        <v>4774</v>
      </c>
      <c r="BL4775" s="42">
        <v>4</v>
      </c>
      <c r="BM4775" s="42">
        <v>0.11332468572476186</v>
      </c>
      <c r="BN4775" s="42" t="e">
        <v>#N/A</v>
      </c>
      <c r="BO4775" s="42" t="e">
        <v>#N/A</v>
      </c>
      <c r="BP4775" s="42" t="e">
        <v>#N/A</v>
      </c>
      <c r="BQ4775">
        <v>0.11332468572476186</v>
      </c>
      <c r="BR4775" t="str">
        <v/>
      </c>
    </row>
    <row r="4776" spans="47:70" x14ac:dyDescent="0.2">
      <c r="AU4776"/>
      <c r="AV4776"/>
      <c r="AW4776"/>
      <c r="AX4776"/>
      <c r="AY4776"/>
      <c r="BK4776" s="42">
        <v>4775</v>
      </c>
      <c r="BL4776" s="42">
        <v>4</v>
      </c>
      <c r="BM4776" s="42">
        <v>0.11332468572476186</v>
      </c>
      <c r="BN4776" s="42" t="e">
        <v>#N/A</v>
      </c>
      <c r="BO4776" s="42" t="e">
        <v>#N/A</v>
      </c>
      <c r="BP4776" s="42" t="e">
        <v>#N/A</v>
      </c>
      <c r="BQ4776">
        <v>0.11332468572476186</v>
      </c>
      <c r="BR4776" t="str">
        <v/>
      </c>
    </row>
    <row r="4777" spans="47:70" x14ac:dyDescent="0.2">
      <c r="AU4777"/>
      <c r="AV4777"/>
      <c r="AW4777"/>
      <c r="AX4777"/>
      <c r="AY4777"/>
      <c r="BK4777" s="42">
        <v>4776</v>
      </c>
      <c r="BL4777" s="42">
        <v>4</v>
      </c>
      <c r="BM4777" s="42">
        <v>0.11332468572476186</v>
      </c>
      <c r="BN4777" s="42" t="e">
        <v>#N/A</v>
      </c>
      <c r="BO4777" s="42" t="e">
        <v>#N/A</v>
      </c>
      <c r="BP4777" s="42" t="e">
        <v>#N/A</v>
      </c>
      <c r="BQ4777">
        <v>0.11332468572476186</v>
      </c>
      <c r="BR4777" t="str">
        <v/>
      </c>
    </row>
    <row r="4778" spans="47:70" x14ac:dyDescent="0.2">
      <c r="AU4778"/>
      <c r="AV4778"/>
      <c r="AW4778"/>
      <c r="AX4778"/>
      <c r="AY4778"/>
      <c r="BK4778" s="42">
        <v>4777</v>
      </c>
      <c r="BL4778" s="42">
        <v>4</v>
      </c>
      <c r="BM4778" s="42">
        <v>0.11332468572476186</v>
      </c>
      <c r="BN4778" s="42" t="e">
        <v>#N/A</v>
      </c>
      <c r="BO4778" s="42" t="e">
        <v>#N/A</v>
      </c>
      <c r="BP4778" s="42" t="e">
        <v>#N/A</v>
      </c>
      <c r="BQ4778">
        <v>0.11332468572476186</v>
      </c>
      <c r="BR4778" t="str">
        <v/>
      </c>
    </row>
    <row r="4779" spans="47:70" x14ac:dyDescent="0.2">
      <c r="AU4779"/>
      <c r="AV4779"/>
      <c r="AW4779"/>
      <c r="AX4779"/>
      <c r="AY4779"/>
      <c r="BK4779" s="42">
        <v>4778</v>
      </c>
      <c r="BL4779" s="42">
        <v>4</v>
      </c>
      <c r="BM4779" s="42">
        <v>0.11332468572476186</v>
      </c>
      <c r="BN4779" s="42" t="e">
        <v>#N/A</v>
      </c>
      <c r="BO4779" s="42" t="e">
        <v>#N/A</v>
      </c>
      <c r="BP4779" s="42" t="e">
        <v>#N/A</v>
      </c>
      <c r="BQ4779">
        <v>0.11332468572476186</v>
      </c>
      <c r="BR4779" t="str">
        <v/>
      </c>
    </row>
    <row r="4780" spans="47:70" x14ac:dyDescent="0.2">
      <c r="AU4780"/>
      <c r="AV4780"/>
      <c r="AW4780"/>
      <c r="AX4780"/>
      <c r="AY4780"/>
      <c r="BK4780" s="42">
        <v>4779</v>
      </c>
      <c r="BL4780" s="42">
        <v>4</v>
      </c>
      <c r="BM4780" s="42">
        <v>0.11332468572476186</v>
      </c>
      <c r="BN4780" s="42" t="e">
        <v>#N/A</v>
      </c>
      <c r="BO4780" s="42" t="e">
        <v>#N/A</v>
      </c>
      <c r="BP4780" s="42" t="e">
        <v>#N/A</v>
      </c>
      <c r="BQ4780">
        <v>0.11332468572476186</v>
      </c>
      <c r="BR4780" t="str">
        <v/>
      </c>
    </row>
    <row r="4781" spans="47:70" x14ac:dyDescent="0.2">
      <c r="AU4781"/>
      <c r="AV4781"/>
      <c r="AW4781"/>
      <c r="AX4781"/>
      <c r="AY4781"/>
      <c r="BK4781" s="42">
        <v>4780</v>
      </c>
      <c r="BL4781" s="42">
        <v>4</v>
      </c>
      <c r="BM4781" s="42">
        <v>0.11332468572476186</v>
      </c>
      <c r="BN4781" s="42" t="e">
        <v>#N/A</v>
      </c>
      <c r="BO4781" s="42" t="e">
        <v>#N/A</v>
      </c>
      <c r="BP4781" s="42" t="e">
        <v>#N/A</v>
      </c>
      <c r="BQ4781">
        <v>0.11332468572476186</v>
      </c>
      <c r="BR4781" t="str">
        <v/>
      </c>
    </row>
    <row r="4782" spans="47:70" x14ac:dyDescent="0.2">
      <c r="AU4782"/>
      <c r="AV4782"/>
      <c r="AW4782"/>
      <c r="AX4782"/>
      <c r="AY4782"/>
      <c r="BK4782" s="42">
        <v>4781</v>
      </c>
      <c r="BL4782" s="42">
        <v>4</v>
      </c>
      <c r="BM4782" s="42">
        <v>0.11332468572476186</v>
      </c>
      <c r="BN4782" s="42" t="e">
        <v>#N/A</v>
      </c>
      <c r="BO4782" s="42" t="e">
        <v>#N/A</v>
      </c>
      <c r="BP4782" s="42" t="e">
        <v>#N/A</v>
      </c>
      <c r="BQ4782">
        <v>0.11332468572476186</v>
      </c>
      <c r="BR4782" t="str">
        <v/>
      </c>
    </row>
    <row r="4783" spans="47:70" x14ac:dyDescent="0.2">
      <c r="AU4783"/>
      <c r="AV4783"/>
      <c r="AW4783"/>
      <c r="AX4783"/>
      <c r="AY4783"/>
      <c r="BK4783" s="42">
        <v>4782</v>
      </c>
      <c r="BL4783" s="42">
        <v>4</v>
      </c>
      <c r="BM4783" s="42">
        <v>0.11332468572476186</v>
      </c>
      <c r="BN4783" s="42" t="e">
        <v>#N/A</v>
      </c>
      <c r="BO4783" s="42" t="e">
        <v>#N/A</v>
      </c>
      <c r="BP4783" s="42" t="e">
        <v>#N/A</v>
      </c>
      <c r="BQ4783">
        <v>0.11332468572476186</v>
      </c>
      <c r="BR4783" t="str">
        <v/>
      </c>
    </row>
    <row r="4784" spans="47:70" x14ac:dyDescent="0.2">
      <c r="AU4784"/>
      <c r="AV4784"/>
      <c r="AW4784"/>
      <c r="AX4784"/>
      <c r="AY4784"/>
      <c r="BK4784" s="42">
        <v>4783</v>
      </c>
      <c r="BL4784" s="42">
        <v>4</v>
      </c>
      <c r="BM4784" s="42">
        <v>0.11332468572476186</v>
      </c>
      <c r="BN4784" s="42" t="e">
        <v>#N/A</v>
      </c>
      <c r="BO4784" s="42" t="e">
        <v>#N/A</v>
      </c>
      <c r="BP4784" s="42" t="e">
        <v>#N/A</v>
      </c>
      <c r="BQ4784">
        <v>0.11332468572476186</v>
      </c>
      <c r="BR4784" t="str">
        <v/>
      </c>
    </row>
    <row r="4785" spans="47:70" x14ac:dyDescent="0.2">
      <c r="AU4785"/>
      <c r="AV4785"/>
      <c r="AW4785"/>
      <c r="AX4785"/>
      <c r="AY4785"/>
      <c r="BK4785" s="42">
        <v>4784</v>
      </c>
      <c r="BL4785" s="42">
        <v>4</v>
      </c>
      <c r="BM4785" s="42">
        <v>0.11332468572476186</v>
      </c>
      <c r="BN4785" s="42" t="e">
        <v>#N/A</v>
      </c>
      <c r="BO4785" s="42" t="e">
        <v>#N/A</v>
      </c>
      <c r="BP4785" s="42" t="e">
        <v>#N/A</v>
      </c>
      <c r="BQ4785">
        <v>0.11332468572476186</v>
      </c>
      <c r="BR4785" t="str">
        <v/>
      </c>
    </row>
    <row r="4786" spans="47:70" x14ac:dyDescent="0.2">
      <c r="AU4786"/>
      <c r="AV4786"/>
      <c r="AW4786"/>
      <c r="AX4786"/>
      <c r="AY4786"/>
      <c r="BK4786" s="42">
        <v>4785</v>
      </c>
      <c r="BL4786" s="42">
        <v>4</v>
      </c>
      <c r="BM4786" s="42">
        <v>0.11332468572476186</v>
      </c>
      <c r="BN4786" s="42" t="e">
        <v>#N/A</v>
      </c>
      <c r="BO4786" s="42" t="e">
        <v>#N/A</v>
      </c>
      <c r="BP4786" s="42" t="e">
        <v>#N/A</v>
      </c>
      <c r="BQ4786">
        <v>0.11332468572476186</v>
      </c>
      <c r="BR4786" t="str">
        <v/>
      </c>
    </row>
    <row r="4787" spans="47:70" x14ac:dyDescent="0.2">
      <c r="AU4787"/>
      <c r="AV4787"/>
      <c r="AW4787"/>
      <c r="AX4787"/>
      <c r="AY4787"/>
      <c r="BK4787" s="42">
        <v>4786</v>
      </c>
      <c r="BL4787" s="42">
        <v>4</v>
      </c>
      <c r="BM4787" s="42">
        <v>0.11332468572476186</v>
      </c>
      <c r="BN4787" s="42" t="e">
        <v>#N/A</v>
      </c>
      <c r="BO4787" s="42" t="e">
        <v>#N/A</v>
      </c>
      <c r="BP4787" s="42" t="e">
        <v>#N/A</v>
      </c>
      <c r="BQ4787">
        <v>0.11332468572476186</v>
      </c>
      <c r="BR4787" t="str">
        <v/>
      </c>
    </row>
    <row r="4788" spans="47:70" x14ac:dyDescent="0.2">
      <c r="AU4788"/>
      <c r="AV4788"/>
      <c r="AW4788"/>
      <c r="AX4788"/>
      <c r="AY4788"/>
      <c r="BK4788" s="42">
        <v>4787</v>
      </c>
      <c r="BL4788" s="42">
        <v>4</v>
      </c>
      <c r="BM4788" s="42">
        <v>0.11332468572476186</v>
      </c>
      <c r="BN4788" s="42" t="e">
        <v>#N/A</v>
      </c>
      <c r="BO4788" s="42" t="e">
        <v>#N/A</v>
      </c>
      <c r="BP4788" s="42" t="e">
        <v>#N/A</v>
      </c>
      <c r="BQ4788">
        <v>0.11332468572476186</v>
      </c>
      <c r="BR4788" t="str">
        <v/>
      </c>
    </row>
    <row r="4789" spans="47:70" x14ac:dyDescent="0.2">
      <c r="AU4789"/>
      <c r="AV4789"/>
      <c r="AW4789"/>
      <c r="AX4789"/>
      <c r="AY4789"/>
      <c r="BK4789" s="42">
        <v>4788</v>
      </c>
      <c r="BL4789" s="42">
        <v>4</v>
      </c>
      <c r="BM4789" s="42">
        <v>0.11332468572476186</v>
      </c>
      <c r="BN4789" s="42" t="e">
        <v>#N/A</v>
      </c>
      <c r="BO4789" s="42" t="e">
        <v>#N/A</v>
      </c>
      <c r="BP4789" s="42" t="e">
        <v>#N/A</v>
      </c>
      <c r="BQ4789">
        <v>0.11332468572476186</v>
      </c>
      <c r="BR4789" t="str">
        <v/>
      </c>
    </row>
    <row r="4790" spans="47:70" x14ac:dyDescent="0.2">
      <c r="AU4790"/>
      <c r="AV4790"/>
      <c r="AW4790"/>
      <c r="AX4790"/>
      <c r="AY4790"/>
      <c r="BK4790" s="42">
        <v>4789</v>
      </c>
      <c r="BL4790" s="42">
        <v>4</v>
      </c>
      <c r="BM4790" s="42">
        <v>0.11332468572476186</v>
      </c>
      <c r="BN4790" s="42" t="e">
        <v>#N/A</v>
      </c>
      <c r="BO4790" s="42" t="e">
        <v>#N/A</v>
      </c>
      <c r="BP4790" s="42" t="e">
        <v>#N/A</v>
      </c>
      <c r="BQ4790">
        <v>0.11332468572476186</v>
      </c>
      <c r="BR4790" t="str">
        <v/>
      </c>
    </row>
    <row r="4791" spans="47:70" x14ac:dyDescent="0.2">
      <c r="AU4791"/>
      <c r="AV4791"/>
      <c r="AW4791"/>
      <c r="AX4791"/>
      <c r="AY4791"/>
      <c r="BK4791" s="42">
        <v>4790</v>
      </c>
      <c r="BL4791" s="42">
        <v>4</v>
      </c>
      <c r="BM4791" s="42">
        <v>0.11332468572476186</v>
      </c>
      <c r="BN4791" s="42" t="e">
        <v>#N/A</v>
      </c>
      <c r="BO4791" s="42" t="e">
        <v>#N/A</v>
      </c>
      <c r="BP4791" s="42" t="e">
        <v>#N/A</v>
      </c>
      <c r="BQ4791">
        <v>0.11332468572476186</v>
      </c>
      <c r="BR4791" t="str">
        <v/>
      </c>
    </row>
    <row r="4792" spans="47:70" x14ac:dyDescent="0.2">
      <c r="AU4792"/>
      <c r="AV4792"/>
      <c r="AW4792"/>
      <c r="AX4792"/>
      <c r="AY4792"/>
      <c r="BK4792" s="42">
        <v>4791</v>
      </c>
      <c r="BL4792" s="42">
        <v>4</v>
      </c>
      <c r="BM4792" s="42">
        <v>0.11332468572476186</v>
      </c>
      <c r="BN4792" s="42" t="e">
        <v>#N/A</v>
      </c>
      <c r="BO4792" s="42" t="e">
        <v>#N/A</v>
      </c>
      <c r="BP4792" s="42" t="e">
        <v>#N/A</v>
      </c>
      <c r="BQ4792">
        <v>0.11332468572476186</v>
      </c>
      <c r="BR4792" t="str">
        <v/>
      </c>
    </row>
    <row r="4793" spans="47:70" x14ac:dyDescent="0.2">
      <c r="AU4793"/>
      <c r="AV4793"/>
      <c r="AW4793"/>
      <c r="AX4793"/>
      <c r="AY4793"/>
      <c r="BK4793" s="42">
        <v>4792</v>
      </c>
      <c r="BL4793" s="42">
        <v>4</v>
      </c>
      <c r="BM4793" s="42">
        <v>0.11332468572476186</v>
      </c>
      <c r="BN4793" s="42" t="e">
        <v>#N/A</v>
      </c>
      <c r="BO4793" s="42" t="e">
        <v>#N/A</v>
      </c>
      <c r="BP4793" s="42" t="e">
        <v>#N/A</v>
      </c>
      <c r="BQ4793">
        <v>0.11332468572476186</v>
      </c>
      <c r="BR4793" t="str">
        <v/>
      </c>
    </row>
    <row r="4794" spans="47:70" x14ac:dyDescent="0.2">
      <c r="AU4794"/>
      <c r="AV4794"/>
      <c r="AW4794"/>
      <c r="AX4794"/>
      <c r="AY4794"/>
      <c r="BK4794" s="42">
        <v>4793</v>
      </c>
      <c r="BL4794" s="42">
        <v>4</v>
      </c>
      <c r="BM4794" s="42">
        <v>0.11332468572476186</v>
      </c>
      <c r="BN4794" s="42" t="e">
        <v>#N/A</v>
      </c>
      <c r="BO4794" s="42" t="e">
        <v>#N/A</v>
      </c>
      <c r="BP4794" s="42" t="e">
        <v>#N/A</v>
      </c>
      <c r="BQ4794">
        <v>0.11332468572476186</v>
      </c>
      <c r="BR4794" t="str">
        <v/>
      </c>
    </row>
    <row r="4795" spans="47:70" x14ac:dyDescent="0.2">
      <c r="AU4795"/>
      <c r="AV4795"/>
      <c r="AW4795"/>
      <c r="AX4795"/>
      <c r="AY4795"/>
      <c r="BK4795" s="42">
        <v>4794</v>
      </c>
      <c r="BL4795" s="42">
        <v>4</v>
      </c>
      <c r="BM4795" s="42">
        <v>0.11332468572476186</v>
      </c>
      <c r="BN4795" s="42" t="e">
        <v>#N/A</v>
      </c>
      <c r="BO4795" s="42" t="e">
        <v>#N/A</v>
      </c>
      <c r="BP4795" s="42" t="e">
        <v>#N/A</v>
      </c>
      <c r="BQ4795">
        <v>0.11332468572476186</v>
      </c>
      <c r="BR4795" t="str">
        <v/>
      </c>
    </row>
    <row r="4796" spans="47:70" x14ac:dyDescent="0.2">
      <c r="AU4796"/>
      <c r="AV4796"/>
      <c r="AW4796"/>
      <c r="AX4796"/>
      <c r="AY4796"/>
      <c r="BK4796" s="42">
        <v>4795</v>
      </c>
      <c r="BL4796" s="42">
        <v>4</v>
      </c>
      <c r="BM4796" s="42">
        <v>0.11332468572476186</v>
      </c>
      <c r="BN4796" s="42" t="e">
        <v>#N/A</v>
      </c>
      <c r="BO4796" s="42" t="e">
        <v>#N/A</v>
      </c>
      <c r="BP4796" s="42" t="e">
        <v>#N/A</v>
      </c>
      <c r="BQ4796">
        <v>0.11332468572476186</v>
      </c>
      <c r="BR4796" t="str">
        <v/>
      </c>
    </row>
    <row r="4797" spans="47:70" x14ac:dyDescent="0.2">
      <c r="AU4797"/>
      <c r="AV4797"/>
      <c r="AW4797"/>
      <c r="AX4797"/>
      <c r="AY4797"/>
      <c r="BK4797" s="42">
        <v>4796</v>
      </c>
      <c r="BL4797" s="42">
        <v>4</v>
      </c>
      <c r="BM4797" s="42">
        <v>0.11332468572476186</v>
      </c>
      <c r="BN4797" s="42" t="e">
        <v>#N/A</v>
      </c>
      <c r="BO4797" s="42" t="e">
        <v>#N/A</v>
      </c>
      <c r="BP4797" s="42" t="e">
        <v>#N/A</v>
      </c>
      <c r="BQ4797">
        <v>0.11332468572476186</v>
      </c>
      <c r="BR4797" t="str">
        <v/>
      </c>
    </row>
    <row r="4798" spans="47:70" x14ac:dyDescent="0.2">
      <c r="AU4798"/>
      <c r="AV4798"/>
      <c r="AW4798"/>
      <c r="AX4798"/>
      <c r="AY4798"/>
      <c r="BK4798" s="42">
        <v>4797</v>
      </c>
      <c r="BL4798" s="42">
        <v>4</v>
      </c>
      <c r="BM4798" s="42">
        <v>0.11332468572476186</v>
      </c>
      <c r="BN4798" s="42" t="e">
        <v>#N/A</v>
      </c>
      <c r="BO4798" s="42" t="e">
        <v>#N/A</v>
      </c>
      <c r="BP4798" s="42" t="e">
        <v>#N/A</v>
      </c>
      <c r="BQ4798">
        <v>0.11332468572476186</v>
      </c>
      <c r="BR4798" t="str">
        <v/>
      </c>
    </row>
    <row r="4799" spans="47:70" x14ac:dyDescent="0.2">
      <c r="AU4799"/>
      <c r="AV4799"/>
      <c r="AW4799"/>
      <c r="AX4799"/>
      <c r="AY4799"/>
      <c r="BK4799" s="42">
        <v>4798</v>
      </c>
      <c r="BL4799" s="42">
        <v>4</v>
      </c>
      <c r="BM4799" s="42">
        <v>0.11332468572476186</v>
      </c>
      <c r="BN4799" s="42" t="e">
        <v>#N/A</v>
      </c>
      <c r="BO4799" s="42" t="e">
        <v>#N/A</v>
      </c>
      <c r="BP4799" s="42" t="e">
        <v>#N/A</v>
      </c>
      <c r="BQ4799">
        <v>0.11332468572476186</v>
      </c>
      <c r="BR4799" t="str">
        <v/>
      </c>
    </row>
    <row r="4800" spans="47:70" x14ac:dyDescent="0.2">
      <c r="AU4800"/>
      <c r="AV4800"/>
      <c r="AW4800"/>
      <c r="AX4800"/>
      <c r="AY4800"/>
      <c r="BK4800" s="42">
        <v>4799</v>
      </c>
      <c r="BL4800" s="42">
        <v>4</v>
      </c>
      <c r="BM4800" s="42">
        <v>0.11332468572476186</v>
      </c>
      <c r="BN4800" s="42" t="e">
        <v>#N/A</v>
      </c>
      <c r="BO4800" s="42" t="e">
        <v>#N/A</v>
      </c>
      <c r="BP4800" s="42" t="e">
        <v>#N/A</v>
      </c>
      <c r="BQ4800">
        <v>0.11332468572476186</v>
      </c>
      <c r="BR4800" t="str">
        <v/>
      </c>
    </row>
    <row r="4801" spans="47:70" x14ac:dyDescent="0.2">
      <c r="AU4801"/>
      <c r="AV4801"/>
      <c r="AW4801"/>
      <c r="AX4801"/>
      <c r="AY4801"/>
      <c r="BK4801" s="42">
        <v>4800</v>
      </c>
      <c r="BL4801" s="42">
        <v>4</v>
      </c>
      <c r="BM4801" s="42">
        <v>0.11332468572476186</v>
      </c>
      <c r="BN4801" s="42" t="e">
        <v>#N/A</v>
      </c>
      <c r="BO4801" s="42" t="e">
        <v>#N/A</v>
      </c>
      <c r="BP4801" s="42" t="e">
        <v>#N/A</v>
      </c>
      <c r="BQ4801">
        <v>0.11332468572476186</v>
      </c>
      <c r="BR4801" t="str">
        <v/>
      </c>
    </row>
    <row r="4802" spans="47:70" x14ac:dyDescent="0.2">
      <c r="AU4802"/>
      <c r="AV4802"/>
      <c r="AW4802"/>
      <c r="AX4802"/>
      <c r="AY4802"/>
      <c r="BK4802" s="42">
        <v>4801</v>
      </c>
      <c r="BL4802" s="42">
        <v>4</v>
      </c>
      <c r="BM4802" s="42">
        <v>0.11332468572476186</v>
      </c>
      <c r="BN4802" s="42" t="e">
        <v>#N/A</v>
      </c>
      <c r="BO4802" s="42" t="e">
        <v>#N/A</v>
      </c>
      <c r="BP4802" s="42" t="e">
        <v>#N/A</v>
      </c>
      <c r="BQ4802">
        <v>0.11332468572476186</v>
      </c>
      <c r="BR4802" t="str">
        <v/>
      </c>
    </row>
    <row r="4803" spans="47:70" x14ac:dyDescent="0.2">
      <c r="AU4803"/>
      <c r="AV4803"/>
      <c r="AW4803"/>
      <c r="AX4803"/>
      <c r="AY4803"/>
      <c r="BK4803" s="42">
        <v>4802</v>
      </c>
      <c r="BL4803" s="42">
        <v>4</v>
      </c>
      <c r="BM4803" s="42">
        <v>0.11332468572476186</v>
      </c>
      <c r="BN4803" s="42" t="e">
        <v>#N/A</v>
      </c>
      <c r="BO4803" s="42" t="e">
        <v>#N/A</v>
      </c>
      <c r="BP4803" s="42" t="e">
        <v>#N/A</v>
      </c>
      <c r="BQ4803">
        <v>0.11332468572476186</v>
      </c>
      <c r="BR4803" t="str">
        <v/>
      </c>
    </row>
    <row r="4804" spans="47:70" x14ac:dyDescent="0.2">
      <c r="AU4804"/>
      <c r="AV4804"/>
      <c r="AW4804"/>
      <c r="AX4804"/>
      <c r="AY4804"/>
      <c r="BK4804" s="42">
        <v>4803</v>
      </c>
      <c r="BL4804" s="42">
        <v>4</v>
      </c>
      <c r="BM4804" s="42">
        <v>0.11332468572476186</v>
      </c>
      <c r="BN4804" s="42" t="e">
        <v>#N/A</v>
      </c>
      <c r="BO4804" s="42" t="e">
        <v>#N/A</v>
      </c>
      <c r="BP4804" s="42" t="e">
        <v>#N/A</v>
      </c>
      <c r="BQ4804">
        <v>0.11332468572476186</v>
      </c>
      <c r="BR4804" t="str">
        <v/>
      </c>
    </row>
    <row r="4805" spans="47:70" x14ac:dyDescent="0.2">
      <c r="AU4805"/>
      <c r="AV4805"/>
      <c r="AW4805"/>
      <c r="AX4805"/>
      <c r="AY4805"/>
      <c r="BK4805" s="42">
        <v>4804</v>
      </c>
      <c r="BL4805" s="42">
        <v>4</v>
      </c>
      <c r="BM4805" s="42">
        <v>0.11332468572476186</v>
      </c>
      <c r="BN4805" s="42" t="e">
        <v>#N/A</v>
      </c>
      <c r="BO4805" s="42" t="e">
        <v>#N/A</v>
      </c>
      <c r="BP4805" s="42" t="e">
        <v>#N/A</v>
      </c>
      <c r="BQ4805">
        <v>0.11332468572476186</v>
      </c>
      <c r="BR4805" t="str">
        <v/>
      </c>
    </row>
    <row r="4806" spans="47:70" x14ac:dyDescent="0.2">
      <c r="AU4806"/>
      <c r="AV4806"/>
      <c r="AW4806"/>
      <c r="AX4806"/>
      <c r="AY4806"/>
      <c r="BK4806" s="42">
        <v>4805</v>
      </c>
      <c r="BL4806" s="42">
        <v>4</v>
      </c>
      <c r="BM4806" s="42">
        <v>0.11332468572476186</v>
      </c>
      <c r="BN4806" s="42" t="e">
        <v>#N/A</v>
      </c>
      <c r="BO4806" s="42" t="e">
        <v>#N/A</v>
      </c>
      <c r="BP4806" s="42" t="e">
        <v>#N/A</v>
      </c>
      <c r="BQ4806">
        <v>0.11332468572476186</v>
      </c>
      <c r="BR4806" t="str">
        <v/>
      </c>
    </row>
    <row r="4807" spans="47:70" x14ac:dyDescent="0.2">
      <c r="AU4807"/>
      <c r="AV4807"/>
      <c r="AW4807"/>
      <c r="AX4807"/>
      <c r="AY4807"/>
      <c r="BK4807" s="42">
        <v>4806</v>
      </c>
      <c r="BL4807" s="42">
        <v>4</v>
      </c>
      <c r="BM4807" s="42">
        <v>0.11332468572476186</v>
      </c>
      <c r="BN4807" s="42" t="e">
        <v>#N/A</v>
      </c>
      <c r="BO4807" s="42" t="e">
        <v>#N/A</v>
      </c>
      <c r="BP4807" s="42" t="e">
        <v>#N/A</v>
      </c>
      <c r="BQ4807">
        <v>0.11332468572476186</v>
      </c>
      <c r="BR4807" t="str">
        <v/>
      </c>
    </row>
    <row r="4808" spans="47:70" x14ac:dyDescent="0.2">
      <c r="AU4808"/>
      <c r="AV4808"/>
      <c r="AW4808"/>
      <c r="AX4808"/>
      <c r="AY4808"/>
      <c r="BK4808" s="42">
        <v>4807</v>
      </c>
      <c r="BL4808" s="42">
        <v>4</v>
      </c>
      <c r="BM4808" s="42">
        <v>0.11332468572476186</v>
      </c>
      <c r="BN4808" s="42" t="e">
        <v>#N/A</v>
      </c>
      <c r="BO4808" s="42" t="e">
        <v>#N/A</v>
      </c>
      <c r="BP4808" s="42" t="e">
        <v>#N/A</v>
      </c>
      <c r="BQ4808">
        <v>0.11332468572476186</v>
      </c>
      <c r="BR4808" t="str">
        <v/>
      </c>
    </row>
    <row r="4809" spans="47:70" x14ac:dyDescent="0.2">
      <c r="AU4809"/>
      <c r="AV4809"/>
      <c r="AW4809"/>
      <c r="AX4809"/>
      <c r="AY4809"/>
      <c r="BK4809" s="42">
        <v>4808</v>
      </c>
      <c r="BL4809" s="42">
        <v>4</v>
      </c>
      <c r="BM4809" s="42">
        <v>0.11332468572476186</v>
      </c>
      <c r="BN4809" s="42" t="e">
        <v>#N/A</v>
      </c>
      <c r="BO4809" s="42" t="e">
        <v>#N/A</v>
      </c>
      <c r="BP4809" s="42" t="e">
        <v>#N/A</v>
      </c>
      <c r="BQ4809">
        <v>0.11332468572476186</v>
      </c>
      <c r="BR4809" t="str">
        <v/>
      </c>
    </row>
    <row r="4810" spans="47:70" x14ac:dyDescent="0.2">
      <c r="AU4810"/>
      <c r="AV4810"/>
      <c r="AW4810"/>
      <c r="AX4810"/>
      <c r="AY4810"/>
      <c r="BK4810" s="42">
        <v>4809</v>
      </c>
      <c r="BL4810" s="42">
        <v>4</v>
      </c>
      <c r="BM4810" s="42">
        <v>0.11332468572476186</v>
      </c>
      <c r="BN4810" s="42" t="e">
        <v>#N/A</v>
      </c>
      <c r="BO4810" s="42" t="e">
        <v>#N/A</v>
      </c>
      <c r="BP4810" s="42" t="e">
        <v>#N/A</v>
      </c>
      <c r="BQ4810">
        <v>0.11332468572476186</v>
      </c>
      <c r="BR4810" t="str">
        <v/>
      </c>
    </row>
    <row r="4811" spans="47:70" x14ac:dyDescent="0.2">
      <c r="AU4811"/>
      <c r="AV4811"/>
      <c r="AW4811"/>
      <c r="AX4811"/>
      <c r="AY4811"/>
      <c r="BK4811" s="42">
        <v>4810</v>
      </c>
      <c r="BL4811" s="42">
        <v>4</v>
      </c>
      <c r="BM4811" s="42">
        <v>0.11332468572476186</v>
      </c>
      <c r="BN4811" s="42" t="e">
        <v>#N/A</v>
      </c>
      <c r="BO4811" s="42" t="e">
        <v>#N/A</v>
      </c>
      <c r="BP4811" s="42" t="e">
        <v>#N/A</v>
      </c>
      <c r="BQ4811">
        <v>0.11332468572476186</v>
      </c>
      <c r="BR4811" t="str">
        <v/>
      </c>
    </row>
    <row r="4812" spans="47:70" x14ac:dyDescent="0.2">
      <c r="AU4812"/>
      <c r="AV4812"/>
      <c r="AW4812"/>
      <c r="AX4812"/>
      <c r="AY4812"/>
      <c r="BK4812" s="42">
        <v>4811</v>
      </c>
      <c r="BL4812" s="42">
        <v>4</v>
      </c>
      <c r="BM4812" s="42">
        <v>0.11332468572476186</v>
      </c>
      <c r="BN4812" s="42" t="e">
        <v>#N/A</v>
      </c>
      <c r="BO4812" s="42" t="e">
        <v>#N/A</v>
      </c>
      <c r="BP4812" s="42" t="e">
        <v>#N/A</v>
      </c>
      <c r="BQ4812">
        <v>0.11332468572476186</v>
      </c>
      <c r="BR4812" t="str">
        <v/>
      </c>
    </row>
    <row r="4813" spans="47:70" x14ac:dyDescent="0.2">
      <c r="AU4813"/>
      <c r="AV4813"/>
      <c r="AW4813"/>
      <c r="AX4813"/>
      <c r="AY4813"/>
      <c r="BK4813" s="42">
        <v>4812</v>
      </c>
      <c r="BL4813" s="42">
        <v>4</v>
      </c>
      <c r="BM4813" s="42">
        <v>0.11332468572476186</v>
      </c>
      <c r="BN4813" s="42" t="e">
        <v>#N/A</v>
      </c>
      <c r="BO4813" s="42" t="e">
        <v>#N/A</v>
      </c>
      <c r="BP4813" s="42" t="e">
        <v>#N/A</v>
      </c>
      <c r="BQ4813">
        <v>0.11332468572476186</v>
      </c>
      <c r="BR4813" t="str">
        <v/>
      </c>
    </row>
    <row r="4814" spans="47:70" x14ac:dyDescent="0.2">
      <c r="AU4814"/>
      <c r="AV4814"/>
      <c r="AW4814"/>
      <c r="AX4814"/>
      <c r="AY4814"/>
      <c r="BK4814" s="42">
        <v>4813</v>
      </c>
      <c r="BL4814" s="42">
        <v>4</v>
      </c>
      <c r="BM4814" s="42">
        <v>0.11332468572476186</v>
      </c>
      <c r="BN4814" s="42" t="e">
        <v>#N/A</v>
      </c>
      <c r="BO4814" s="42" t="e">
        <v>#N/A</v>
      </c>
      <c r="BP4814" s="42" t="e">
        <v>#N/A</v>
      </c>
      <c r="BQ4814">
        <v>0.11332468572476186</v>
      </c>
      <c r="BR4814" t="str">
        <v/>
      </c>
    </row>
    <row r="4815" spans="47:70" x14ac:dyDescent="0.2">
      <c r="AU4815"/>
      <c r="AV4815"/>
      <c r="AW4815"/>
      <c r="AX4815"/>
      <c r="AY4815"/>
      <c r="BK4815" s="42">
        <v>4814</v>
      </c>
      <c r="BL4815" s="42">
        <v>4</v>
      </c>
      <c r="BM4815" s="42">
        <v>0.11332468572476186</v>
      </c>
      <c r="BN4815" s="42" t="e">
        <v>#N/A</v>
      </c>
      <c r="BO4815" s="42" t="e">
        <v>#N/A</v>
      </c>
      <c r="BP4815" s="42" t="e">
        <v>#N/A</v>
      </c>
      <c r="BQ4815">
        <v>0.11332468572476186</v>
      </c>
      <c r="BR4815" t="str">
        <v/>
      </c>
    </row>
    <row r="4816" spans="47:70" x14ac:dyDescent="0.2">
      <c r="AU4816"/>
      <c r="AV4816"/>
      <c r="AW4816"/>
      <c r="AX4816"/>
      <c r="AY4816"/>
      <c r="BK4816" s="42">
        <v>4815</v>
      </c>
      <c r="BL4816" s="42">
        <v>4</v>
      </c>
      <c r="BM4816" s="42">
        <v>0.11332468572476186</v>
      </c>
      <c r="BN4816" s="42" t="e">
        <v>#N/A</v>
      </c>
      <c r="BO4816" s="42" t="e">
        <v>#N/A</v>
      </c>
      <c r="BP4816" s="42" t="e">
        <v>#N/A</v>
      </c>
      <c r="BQ4816">
        <v>0.11332468572476186</v>
      </c>
      <c r="BR4816" t="str">
        <v/>
      </c>
    </row>
    <row r="4817" spans="47:70" x14ac:dyDescent="0.2">
      <c r="AU4817"/>
      <c r="AV4817"/>
      <c r="AW4817"/>
      <c r="AX4817"/>
      <c r="AY4817"/>
      <c r="BK4817" s="42">
        <v>4816</v>
      </c>
      <c r="BL4817" s="42">
        <v>4</v>
      </c>
      <c r="BM4817" s="42">
        <v>0.11332468572476186</v>
      </c>
      <c r="BN4817" s="42" t="e">
        <v>#N/A</v>
      </c>
      <c r="BO4817" s="42" t="e">
        <v>#N/A</v>
      </c>
      <c r="BP4817" s="42" t="e">
        <v>#N/A</v>
      </c>
      <c r="BQ4817">
        <v>0.11332468572476186</v>
      </c>
      <c r="BR4817" t="str">
        <v/>
      </c>
    </row>
    <row r="4818" spans="47:70" x14ac:dyDescent="0.2">
      <c r="AU4818"/>
      <c r="AV4818"/>
      <c r="AW4818"/>
      <c r="AX4818"/>
      <c r="AY4818"/>
      <c r="BK4818" s="42">
        <v>4817</v>
      </c>
      <c r="BL4818" s="42">
        <v>4</v>
      </c>
      <c r="BM4818" s="42">
        <v>0.11332468572476186</v>
      </c>
      <c r="BN4818" s="42" t="e">
        <v>#N/A</v>
      </c>
      <c r="BO4818" s="42" t="e">
        <v>#N/A</v>
      </c>
      <c r="BP4818" s="42" t="e">
        <v>#N/A</v>
      </c>
      <c r="BQ4818">
        <v>0.11332468572476186</v>
      </c>
      <c r="BR4818" t="str">
        <v/>
      </c>
    </row>
    <row r="4819" spans="47:70" x14ac:dyDescent="0.2">
      <c r="AU4819"/>
      <c r="AV4819"/>
      <c r="AW4819"/>
      <c r="AX4819"/>
      <c r="AY4819"/>
      <c r="BK4819" s="42">
        <v>4818</v>
      </c>
      <c r="BL4819" s="42">
        <v>4</v>
      </c>
      <c r="BM4819" s="42">
        <v>0.11332468572476186</v>
      </c>
      <c r="BN4819" s="42" t="e">
        <v>#N/A</v>
      </c>
      <c r="BO4819" s="42" t="e">
        <v>#N/A</v>
      </c>
      <c r="BP4819" s="42" t="e">
        <v>#N/A</v>
      </c>
      <c r="BQ4819">
        <v>0.11332468572476186</v>
      </c>
      <c r="BR4819" t="str">
        <v/>
      </c>
    </row>
    <row r="4820" spans="47:70" x14ac:dyDescent="0.2">
      <c r="AU4820"/>
      <c r="AV4820"/>
      <c r="AW4820"/>
      <c r="AX4820"/>
      <c r="AY4820"/>
      <c r="BK4820" s="42">
        <v>4819</v>
      </c>
      <c r="BL4820" s="42">
        <v>4</v>
      </c>
      <c r="BM4820" s="42">
        <v>0.11332468572476186</v>
      </c>
      <c r="BN4820" s="42" t="e">
        <v>#N/A</v>
      </c>
      <c r="BO4820" s="42" t="e">
        <v>#N/A</v>
      </c>
      <c r="BP4820" s="42" t="e">
        <v>#N/A</v>
      </c>
      <c r="BQ4820">
        <v>0.11332468572476186</v>
      </c>
      <c r="BR4820" t="str">
        <v/>
      </c>
    </row>
    <row r="4821" spans="47:70" x14ac:dyDescent="0.2">
      <c r="AU4821"/>
      <c r="AV4821"/>
      <c r="AW4821"/>
      <c r="AX4821"/>
      <c r="AY4821"/>
      <c r="BK4821" s="42">
        <v>4820</v>
      </c>
      <c r="BL4821" s="42">
        <v>4</v>
      </c>
      <c r="BM4821" s="42">
        <v>0.11332468572476186</v>
      </c>
      <c r="BN4821" s="42" t="e">
        <v>#N/A</v>
      </c>
      <c r="BO4821" s="42" t="e">
        <v>#N/A</v>
      </c>
      <c r="BP4821" s="42" t="e">
        <v>#N/A</v>
      </c>
      <c r="BQ4821">
        <v>0.11332468572476186</v>
      </c>
      <c r="BR4821" t="str">
        <v/>
      </c>
    </row>
    <row r="4822" spans="47:70" x14ac:dyDescent="0.2">
      <c r="AU4822"/>
      <c r="AV4822"/>
      <c r="AW4822"/>
      <c r="AX4822"/>
      <c r="AY4822"/>
      <c r="BK4822" s="42">
        <v>4821</v>
      </c>
      <c r="BL4822" s="42">
        <v>4</v>
      </c>
      <c r="BM4822" s="42">
        <v>0.11332468572476186</v>
      </c>
      <c r="BN4822" s="42" t="e">
        <v>#N/A</v>
      </c>
      <c r="BO4822" s="42" t="e">
        <v>#N/A</v>
      </c>
      <c r="BP4822" s="42" t="e">
        <v>#N/A</v>
      </c>
      <c r="BQ4822">
        <v>0.11332468572476186</v>
      </c>
      <c r="BR4822" t="str">
        <v/>
      </c>
    </row>
    <row r="4823" spans="47:70" x14ac:dyDescent="0.2">
      <c r="AU4823"/>
      <c r="AV4823"/>
      <c r="AW4823"/>
      <c r="AX4823"/>
      <c r="AY4823"/>
      <c r="BK4823" s="42">
        <v>4822</v>
      </c>
      <c r="BL4823" s="42">
        <v>4</v>
      </c>
      <c r="BM4823" s="42">
        <v>0.11332468572476186</v>
      </c>
      <c r="BN4823" s="42" t="e">
        <v>#N/A</v>
      </c>
      <c r="BO4823" s="42" t="e">
        <v>#N/A</v>
      </c>
      <c r="BP4823" s="42" t="e">
        <v>#N/A</v>
      </c>
      <c r="BQ4823">
        <v>0.11332468572476186</v>
      </c>
      <c r="BR4823" t="str">
        <v/>
      </c>
    </row>
    <row r="4824" spans="47:70" x14ac:dyDescent="0.2">
      <c r="AU4824"/>
      <c r="AV4824"/>
      <c r="AW4824"/>
      <c r="AX4824"/>
      <c r="AY4824"/>
      <c r="BK4824" s="42">
        <v>4823</v>
      </c>
      <c r="BL4824" s="42">
        <v>4</v>
      </c>
      <c r="BM4824" s="42">
        <v>0.11332468572476186</v>
      </c>
      <c r="BN4824" s="42" t="e">
        <v>#N/A</v>
      </c>
      <c r="BO4824" s="42" t="e">
        <v>#N/A</v>
      </c>
      <c r="BP4824" s="42" t="e">
        <v>#N/A</v>
      </c>
      <c r="BQ4824">
        <v>0.11332468572476186</v>
      </c>
      <c r="BR4824" t="str">
        <v/>
      </c>
    </row>
    <row r="4825" spans="47:70" x14ac:dyDescent="0.2">
      <c r="AU4825"/>
      <c r="AV4825"/>
      <c r="AW4825"/>
      <c r="AX4825"/>
      <c r="AY4825"/>
      <c r="BK4825" s="42">
        <v>4824</v>
      </c>
      <c r="BL4825" s="42">
        <v>4</v>
      </c>
      <c r="BM4825" s="42">
        <v>0.11332468572476186</v>
      </c>
      <c r="BN4825" s="42" t="e">
        <v>#N/A</v>
      </c>
      <c r="BO4825" s="42" t="e">
        <v>#N/A</v>
      </c>
      <c r="BP4825" s="42" t="e">
        <v>#N/A</v>
      </c>
      <c r="BQ4825">
        <v>0.11332468572476186</v>
      </c>
      <c r="BR4825" t="str">
        <v/>
      </c>
    </row>
    <row r="4826" spans="47:70" x14ac:dyDescent="0.2">
      <c r="AU4826"/>
      <c r="AV4826"/>
      <c r="AW4826"/>
      <c r="AX4826"/>
      <c r="AY4826"/>
      <c r="BK4826" s="42">
        <v>4825</v>
      </c>
      <c r="BL4826" s="42">
        <v>4</v>
      </c>
      <c r="BM4826" s="42">
        <v>0.11332468572476186</v>
      </c>
      <c r="BN4826" s="42" t="e">
        <v>#N/A</v>
      </c>
      <c r="BO4826" s="42" t="e">
        <v>#N/A</v>
      </c>
      <c r="BP4826" s="42" t="e">
        <v>#N/A</v>
      </c>
      <c r="BQ4826">
        <v>0.11332468572476186</v>
      </c>
      <c r="BR4826" t="str">
        <v/>
      </c>
    </row>
    <row r="4827" spans="47:70" x14ac:dyDescent="0.2">
      <c r="AU4827"/>
      <c r="AV4827"/>
      <c r="AW4827"/>
      <c r="AX4827"/>
      <c r="AY4827"/>
      <c r="BK4827" s="42">
        <v>4826</v>
      </c>
      <c r="BL4827" s="42">
        <v>4</v>
      </c>
      <c r="BM4827" s="42">
        <v>0.11332468572476186</v>
      </c>
      <c r="BN4827" s="42" t="e">
        <v>#N/A</v>
      </c>
      <c r="BO4827" s="42" t="e">
        <v>#N/A</v>
      </c>
      <c r="BP4827" s="42" t="e">
        <v>#N/A</v>
      </c>
      <c r="BQ4827">
        <v>0.11332468572476186</v>
      </c>
      <c r="BR4827" t="str">
        <v/>
      </c>
    </row>
    <row r="4828" spans="47:70" x14ac:dyDescent="0.2">
      <c r="AU4828"/>
      <c r="AV4828"/>
      <c r="AW4828"/>
      <c r="AX4828"/>
      <c r="AY4828"/>
      <c r="BK4828" s="42">
        <v>4827</v>
      </c>
      <c r="BL4828" s="42">
        <v>4</v>
      </c>
      <c r="BM4828" s="42">
        <v>0.11332468572476186</v>
      </c>
      <c r="BN4828" s="42" t="e">
        <v>#N/A</v>
      </c>
      <c r="BO4828" s="42" t="e">
        <v>#N/A</v>
      </c>
      <c r="BP4828" s="42" t="e">
        <v>#N/A</v>
      </c>
      <c r="BQ4828">
        <v>0.11332468572476186</v>
      </c>
      <c r="BR4828" t="str">
        <v/>
      </c>
    </row>
    <row r="4829" spans="47:70" x14ac:dyDescent="0.2">
      <c r="AU4829"/>
      <c r="AV4829"/>
      <c r="AW4829"/>
      <c r="AX4829"/>
      <c r="AY4829"/>
      <c r="BK4829" s="42">
        <v>4828</v>
      </c>
      <c r="BL4829" s="42">
        <v>4</v>
      </c>
      <c r="BM4829" s="42">
        <v>0.11332468572476186</v>
      </c>
      <c r="BN4829" s="42" t="e">
        <v>#N/A</v>
      </c>
      <c r="BO4829" s="42" t="e">
        <v>#N/A</v>
      </c>
      <c r="BP4829" s="42" t="e">
        <v>#N/A</v>
      </c>
      <c r="BQ4829">
        <v>0.11332468572476186</v>
      </c>
      <c r="BR4829" t="str">
        <v/>
      </c>
    </row>
    <row r="4830" spans="47:70" x14ac:dyDescent="0.2">
      <c r="AU4830"/>
      <c r="AV4830"/>
      <c r="AW4830"/>
      <c r="AX4830"/>
      <c r="AY4830"/>
      <c r="BK4830" s="42">
        <v>4829</v>
      </c>
      <c r="BL4830" s="42">
        <v>4</v>
      </c>
      <c r="BM4830" s="42">
        <v>0.11332468572476186</v>
      </c>
      <c r="BN4830" s="42" t="e">
        <v>#N/A</v>
      </c>
      <c r="BO4830" s="42" t="e">
        <v>#N/A</v>
      </c>
      <c r="BP4830" s="42" t="e">
        <v>#N/A</v>
      </c>
      <c r="BQ4830">
        <v>0.11332468572476186</v>
      </c>
      <c r="BR4830" t="str">
        <v/>
      </c>
    </row>
    <row r="4831" spans="47:70" x14ac:dyDescent="0.2">
      <c r="AU4831"/>
      <c r="AV4831"/>
      <c r="AW4831"/>
      <c r="AX4831"/>
      <c r="AY4831"/>
      <c r="BK4831" s="42">
        <v>4830</v>
      </c>
      <c r="BL4831" s="42">
        <v>4</v>
      </c>
      <c r="BM4831" s="42">
        <v>0.11332468572476186</v>
      </c>
      <c r="BN4831" s="42" t="e">
        <v>#N/A</v>
      </c>
      <c r="BO4831" s="42" t="e">
        <v>#N/A</v>
      </c>
      <c r="BP4831" s="42" t="e">
        <v>#N/A</v>
      </c>
      <c r="BQ4831">
        <v>0.11332468572476186</v>
      </c>
      <c r="BR4831" t="str">
        <v/>
      </c>
    </row>
    <row r="4832" spans="47:70" x14ac:dyDescent="0.2">
      <c r="AU4832"/>
      <c r="AV4832"/>
      <c r="AW4832"/>
      <c r="AX4832"/>
      <c r="AY4832"/>
      <c r="BK4832" s="42">
        <v>4831</v>
      </c>
      <c r="BL4832" s="42">
        <v>4</v>
      </c>
      <c r="BM4832" s="42">
        <v>0.11332468572476186</v>
      </c>
      <c r="BN4832" s="42" t="e">
        <v>#N/A</v>
      </c>
      <c r="BO4832" s="42" t="e">
        <v>#N/A</v>
      </c>
      <c r="BP4832" s="42" t="e">
        <v>#N/A</v>
      </c>
      <c r="BQ4832">
        <v>0.11332468572476186</v>
      </c>
      <c r="BR4832" t="str">
        <v/>
      </c>
    </row>
    <row r="4833" spans="47:70" x14ac:dyDescent="0.2">
      <c r="AU4833"/>
      <c r="AV4833"/>
      <c r="AW4833"/>
      <c r="AX4833"/>
      <c r="AY4833"/>
      <c r="BK4833" s="42">
        <v>4832</v>
      </c>
      <c r="BL4833" s="42">
        <v>4</v>
      </c>
      <c r="BM4833" s="42">
        <v>0.11332468572476186</v>
      </c>
      <c r="BN4833" s="42" t="e">
        <v>#N/A</v>
      </c>
      <c r="BO4833" s="42" t="e">
        <v>#N/A</v>
      </c>
      <c r="BP4833" s="42" t="e">
        <v>#N/A</v>
      </c>
      <c r="BQ4833">
        <v>0.11332468572476186</v>
      </c>
      <c r="BR4833" t="str">
        <v/>
      </c>
    </row>
    <row r="4834" spans="47:70" x14ac:dyDescent="0.2">
      <c r="AU4834"/>
      <c r="AV4834"/>
      <c r="AW4834"/>
      <c r="AX4834"/>
      <c r="AY4834"/>
      <c r="BK4834" s="42">
        <v>4833</v>
      </c>
      <c r="BL4834" s="42">
        <v>4</v>
      </c>
      <c r="BM4834" s="42">
        <v>0.11332468572476186</v>
      </c>
      <c r="BN4834" s="42" t="e">
        <v>#N/A</v>
      </c>
      <c r="BO4834" s="42" t="e">
        <v>#N/A</v>
      </c>
      <c r="BP4834" s="42" t="e">
        <v>#N/A</v>
      </c>
      <c r="BQ4834">
        <v>0.11332468572476186</v>
      </c>
      <c r="BR4834" t="str">
        <v/>
      </c>
    </row>
    <row r="4835" spans="47:70" x14ac:dyDescent="0.2">
      <c r="AU4835"/>
      <c r="AV4835"/>
      <c r="AW4835"/>
      <c r="AX4835"/>
      <c r="AY4835"/>
      <c r="BK4835" s="42">
        <v>4834</v>
      </c>
      <c r="BL4835" s="42">
        <v>4</v>
      </c>
      <c r="BM4835" s="42">
        <v>0.11332468572476186</v>
      </c>
      <c r="BN4835" s="42" t="e">
        <v>#N/A</v>
      </c>
      <c r="BO4835" s="42" t="e">
        <v>#N/A</v>
      </c>
      <c r="BP4835" s="42" t="e">
        <v>#N/A</v>
      </c>
      <c r="BQ4835">
        <v>0.11332468572476186</v>
      </c>
      <c r="BR4835" t="str">
        <v/>
      </c>
    </row>
    <row r="4836" spans="47:70" x14ac:dyDescent="0.2">
      <c r="AU4836"/>
      <c r="AV4836"/>
      <c r="AW4836"/>
      <c r="AX4836"/>
      <c r="AY4836"/>
      <c r="BK4836" s="42">
        <v>4835</v>
      </c>
      <c r="BL4836" s="42">
        <v>4</v>
      </c>
      <c r="BM4836" s="42">
        <v>0.11332468572476186</v>
      </c>
      <c r="BN4836" s="42" t="e">
        <v>#N/A</v>
      </c>
      <c r="BO4836" s="42" t="e">
        <v>#N/A</v>
      </c>
      <c r="BP4836" s="42" t="e">
        <v>#N/A</v>
      </c>
      <c r="BQ4836">
        <v>0.11332468572476186</v>
      </c>
      <c r="BR4836" t="str">
        <v/>
      </c>
    </row>
    <row r="4837" spans="47:70" x14ac:dyDescent="0.2">
      <c r="AU4837"/>
      <c r="AV4837"/>
      <c r="AW4837"/>
      <c r="AX4837"/>
      <c r="AY4837"/>
      <c r="BK4837" s="42">
        <v>4836</v>
      </c>
      <c r="BL4837" s="42">
        <v>4</v>
      </c>
      <c r="BM4837" s="42">
        <v>0.11332468572476186</v>
      </c>
      <c r="BN4837" s="42" t="e">
        <v>#N/A</v>
      </c>
      <c r="BO4837" s="42" t="e">
        <v>#N/A</v>
      </c>
      <c r="BP4837" s="42" t="e">
        <v>#N/A</v>
      </c>
      <c r="BQ4837">
        <v>0.11332468572476186</v>
      </c>
      <c r="BR4837" t="str">
        <v/>
      </c>
    </row>
    <row r="4838" spans="47:70" x14ac:dyDescent="0.2">
      <c r="AU4838"/>
      <c r="AV4838"/>
      <c r="AW4838"/>
      <c r="AX4838"/>
      <c r="AY4838"/>
      <c r="BK4838" s="42">
        <v>4837</v>
      </c>
      <c r="BL4838" s="42">
        <v>4</v>
      </c>
      <c r="BM4838" s="42">
        <v>0.11332468572476186</v>
      </c>
      <c r="BN4838" s="42" t="e">
        <v>#N/A</v>
      </c>
      <c r="BO4838" s="42" t="e">
        <v>#N/A</v>
      </c>
      <c r="BP4838" s="42" t="e">
        <v>#N/A</v>
      </c>
      <c r="BQ4838">
        <v>0.11332468572476186</v>
      </c>
      <c r="BR4838" t="str">
        <v/>
      </c>
    </row>
    <row r="4839" spans="47:70" x14ac:dyDescent="0.2">
      <c r="AU4839"/>
      <c r="AV4839"/>
      <c r="AW4839"/>
      <c r="AX4839"/>
      <c r="AY4839"/>
      <c r="BK4839" s="42">
        <v>4838</v>
      </c>
      <c r="BL4839" s="42">
        <v>4</v>
      </c>
      <c r="BM4839" s="42">
        <v>0.11332468572476186</v>
      </c>
      <c r="BN4839" s="42" t="e">
        <v>#N/A</v>
      </c>
      <c r="BO4839" s="42" t="e">
        <v>#N/A</v>
      </c>
      <c r="BP4839" s="42" t="e">
        <v>#N/A</v>
      </c>
      <c r="BQ4839">
        <v>0.11332468572476186</v>
      </c>
      <c r="BR4839" t="str">
        <v/>
      </c>
    </row>
    <row r="4840" spans="47:70" x14ac:dyDescent="0.2">
      <c r="AU4840"/>
      <c r="AV4840"/>
      <c r="AW4840"/>
      <c r="AX4840"/>
      <c r="AY4840"/>
      <c r="BK4840" s="42">
        <v>4839</v>
      </c>
      <c r="BL4840" s="42">
        <v>4</v>
      </c>
      <c r="BM4840" s="42">
        <v>0.11332468572476186</v>
      </c>
      <c r="BN4840" s="42" t="e">
        <v>#N/A</v>
      </c>
      <c r="BO4840" s="42" t="e">
        <v>#N/A</v>
      </c>
      <c r="BP4840" s="42" t="e">
        <v>#N/A</v>
      </c>
      <c r="BQ4840">
        <v>0.11332468572476186</v>
      </c>
      <c r="BR4840" t="str">
        <v/>
      </c>
    </row>
    <row r="4841" spans="47:70" x14ac:dyDescent="0.2">
      <c r="AU4841"/>
      <c r="AV4841"/>
      <c r="AW4841"/>
      <c r="AX4841"/>
      <c r="AY4841"/>
      <c r="BK4841" s="42">
        <v>4840</v>
      </c>
      <c r="BL4841" s="42">
        <v>4</v>
      </c>
      <c r="BM4841" s="42">
        <v>0.11332468572476186</v>
      </c>
      <c r="BN4841" s="42" t="e">
        <v>#N/A</v>
      </c>
      <c r="BO4841" s="42" t="e">
        <v>#N/A</v>
      </c>
      <c r="BP4841" s="42" t="e">
        <v>#N/A</v>
      </c>
      <c r="BQ4841">
        <v>0.11332468572476186</v>
      </c>
      <c r="BR4841" t="str">
        <v/>
      </c>
    </row>
    <row r="4842" spans="47:70" x14ac:dyDescent="0.2">
      <c r="AU4842"/>
      <c r="AV4842"/>
      <c r="AW4842"/>
      <c r="AX4842"/>
      <c r="AY4842"/>
      <c r="BK4842" s="42">
        <v>4841</v>
      </c>
      <c r="BL4842" s="42">
        <v>4</v>
      </c>
      <c r="BM4842" s="42">
        <v>0.11332468572476186</v>
      </c>
      <c r="BN4842" s="42" t="e">
        <v>#N/A</v>
      </c>
      <c r="BO4842" s="42" t="e">
        <v>#N/A</v>
      </c>
      <c r="BP4842" s="42" t="e">
        <v>#N/A</v>
      </c>
      <c r="BQ4842">
        <v>0.11332468572476186</v>
      </c>
      <c r="BR4842" t="str">
        <v/>
      </c>
    </row>
    <row r="4843" spans="47:70" x14ac:dyDescent="0.2">
      <c r="AU4843"/>
      <c r="AV4843"/>
      <c r="AW4843"/>
      <c r="AX4843"/>
      <c r="AY4843"/>
      <c r="BK4843" s="42">
        <v>4842</v>
      </c>
      <c r="BL4843" s="42">
        <v>4</v>
      </c>
      <c r="BM4843" s="42">
        <v>0.11332468572476186</v>
      </c>
      <c r="BN4843" s="42" t="e">
        <v>#N/A</v>
      </c>
      <c r="BO4843" s="42" t="e">
        <v>#N/A</v>
      </c>
      <c r="BP4843" s="42" t="e">
        <v>#N/A</v>
      </c>
      <c r="BQ4843">
        <v>0.11332468572476186</v>
      </c>
      <c r="BR4843" t="str">
        <v/>
      </c>
    </row>
    <row r="4844" spans="47:70" x14ac:dyDescent="0.2">
      <c r="AU4844"/>
      <c r="AV4844"/>
      <c r="AW4844"/>
      <c r="AX4844"/>
      <c r="AY4844"/>
      <c r="BK4844" s="42">
        <v>4843</v>
      </c>
      <c r="BL4844" s="42">
        <v>4</v>
      </c>
      <c r="BM4844" s="42">
        <v>0.11332468572476186</v>
      </c>
      <c r="BN4844" s="42" t="e">
        <v>#N/A</v>
      </c>
      <c r="BO4844" s="42" t="e">
        <v>#N/A</v>
      </c>
      <c r="BP4844" s="42" t="e">
        <v>#N/A</v>
      </c>
      <c r="BQ4844">
        <v>0.11332468572476186</v>
      </c>
      <c r="BR4844" t="str">
        <v/>
      </c>
    </row>
    <row r="4845" spans="47:70" x14ac:dyDescent="0.2">
      <c r="AU4845"/>
      <c r="AV4845"/>
      <c r="AW4845"/>
      <c r="AX4845"/>
      <c r="AY4845"/>
      <c r="BK4845" s="42">
        <v>4844</v>
      </c>
      <c r="BL4845" s="42">
        <v>4</v>
      </c>
      <c r="BM4845" s="42">
        <v>0.11332468572476186</v>
      </c>
      <c r="BN4845" s="42" t="e">
        <v>#N/A</v>
      </c>
      <c r="BO4845" s="42" t="e">
        <v>#N/A</v>
      </c>
      <c r="BP4845" s="42" t="e">
        <v>#N/A</v>
      </c>
      <c r="BQ4845">
        <v>0.11332468572476186</v>
      </c>
      <c r="BR4845" t="str">
        <v/>
      </c>
    </row>
    <row r="4846" spans="47:70" x14ac:dyDescent="0.2">
      <c r="AU4846"/>
      <c r="AV4846"/>
      <c r="AW4846"/>
      <c r="AX4846"/>
      <c r="AY4846"/>
      <c r="BK4846" s="42">
        <v>4845</v>
      </c>
      <c r="BL4846" s="42">
        <v>4</v>
      </c>
      <c r="BM4846" s="42">
        <v>0.11332468572476186</v>
      </c>
      <c r="BN4846" s="42" t="e">
        <v>#N/A</v>
      </c>
      <c r="BO4846" s="42" t="e">
        <v>#N/A</v>
      </c>
      <c r="BP4846" s="42" t="e">
        <v>#N/A</v>
      </c>
      <c r="BQ4846">
        <v>0.11332468572476186</v>
      </c>
      <c r="BR4846" t="str">
        <v/>
      </c>
    </row>
    <row r="4847" spans="47:70" x14ac:dyDescent="0.2">
      <c r="AU4847"/>
      <c r="AV4847"/>
      <c r="AW4847"/>
      <c r="AX4847"/>
      <c r="AY4847"/>
      <c r="BK4847" s="42">
        <v>4846</v>
      </c>
      <c r="BL4847" s="42">
        <v>4</v>
      </c>
      <c r="BM4847" s="42">
        <v>0.11332468572476186</v>
      </c>
      <c r="BN4847" s="42" t="e">
        <v>#N/A</v>
      </c>
      <c r="BO4847" s="42" t="e">
        <v>#N/A</v>
      </c>
      <c r="BP4847" s="42" t="e">
        <v>#N/A</v>
      </c>
      <c r="BQ4847">
        <v>0.11332468572476186</v>
      </c>
      <c r="BR4847" t="str">
        <v/>
      </c>
    </row>
    <row r="4848" spans="47:70" x14ac:dyDescent="0.2">
      <c r="AU4848"/>
      <c r="AV4848"/>
      <c r="AW4848"/>
      <c r="AX4848"/>
      <c r="AY4848"/>
      <c r="BK4848" s="42">
        <v>4847</v>
      </c>
      <c r="BL4848" s="42">
        <v>4</v>
      </c>
      <c r="BM4848" s="42">
        <v>0.11332468572476186</v>
      </c>
      <c r="BN4848" s="42" t="e">
        <v>#N/A</v>
      </c>
      <c r="BO4848" s="42" t="e">
        <v>#N/A</v>
      </c>
      <c r="BP4848" s="42" t="e">
        <v>#N/A</v>
      </c>
      <c r="BQ4848">
        <v>0.11332468572476186</v>
      </c>
      <c r="BR4848" t="str">
        <v/>
      </c>
    </row>
    <row r="4849" spans="47:70" x14ac:dyDescent="0.2">
      <c r="AU4849"/>
      <c r="AV4849"/>
      <c r="AW4849"/>
      <c r="AX4849"/>
      <c r="AY4849"/>
      <c r="BK4849" s="42">
        <v>4848</v>
      </c>
      <c r="BL4849" s="42">
        <v>4</v>
      </c>
      <c r="BM4849" s="42">
        <v>0.11332468572476186</v>
      </c>
      <c r="BN4849" s="42" t="e">
        <v>#N/A</v>
      </c>
      <c r="BO4849" s="42" t="e">
        <v>#N/A</v>
      </c>
      <c r="BP4849" s="42" t="e">
        <v>#N/A</v>
      </c>
      <c r="BQ4849">
        <v>0.11332468572476186</v>
      </c>
      <c r="BR4849" t="str">
        <v/>
      </c>
    </row>
    <row r="4850" spans="47:70" x14ac:dyDescent="0.2">
      <c r="AU4850"/>
      <c r="AV4850"/>
      <c r="AW4850"/>
      <c r="AX4850"/>
      <c r="AY4850"/>
      <c r="BK4850" s="42">
        <v>4849</v>
      </c>
      <c r="BL4850" s="42">
        <v>4</v>
      </c>
      <c r="BM4850" s="42">
        <v>0.11332468572476186</v>
      </c>
      <c r="BN4850" s="42" t="e">
        <v>#N/A</v>
      </c>
      <c r="BO4850" s="42" t="e">
        <v>#N/A</v>
      </c>
      <c r="BP4850" s="42" t="e">
        <v>#N/A</v>
      </c>
      <c r="BQ4850">
        <v>0.11332468572476186</v>
      </c>
      <c r="BR4850" t="str">
        <v/>
      </c>
    </row>
    <row r="4851" spans="47:70" x14ac:dyDescent="0.2">
      <c r="AU4851"/>
      <c r="AV4851"/>
      <c r="AW4851"/>
      <c r="AX4851"/>
      <c r="AY4851"/>
      <c r="BK4851" s="42">
        <v>4850</v>
      </c>
      <c r="BL4851" s="42">
        <v>4</v>
      </c>
      <c r="BM4851" s="42">
        <v>0.11332468572476186</v>
      </c>
      <c r="BN4851" s="42" t="e">
        <v>#N/A</v>
      </c>
      <c r="BO4851" s="42" t="e">
        <v>#N/A</v>
      </c>
      <c r="BP4851" s="42" t="e">
        <v>#N/A</v>
      </c>
      <c r="BQ4851">
        <v>0.11332468572476186</v>
      </c>
      <c r="BR4851" t="str">
        <v/>
      </c>
    </row>
    <row r="4852" spans="47:70" x14ac:dyDescent="0.2">
      <c r="AU4852"/>
      <c r="AV4852"/>
      <c r="AW4852"/>
      <c r="AX4852"/>
      <c r="AY4852"/>
      <c r="BK4852" s="42">
        <v>4851</v>
      </c>
      <c r="BL4852" s="42">
        <v>4</v>
      </c>
      <c r="BM4852" s="42">
        <v>0.11332468572476186</v>
      </c>
      <c r="BN4852" s="42" t="e">
        <v>#N/A</v>
      </c>
      <c r="BO4852" s="42" t="e">
        <v>#N/A</v>
      </c>
      <c r="BP4852" s="42" t="e">
        <v>#N/A</v>
      </c>
      <c r="BQ4852">
        <v>0.11332468572476186</v>
      </c>
      <c r="BR4852" t="str">
        <v/>
      </c>
    </row>
    <row r="4853" spans="47:70" x14ac:dyDescent="0.2">
      <c r="AU4853"/>
      <c r="AV4853"/>
      <c r="AW4853"/>
      <c r="AX4853"/>
      <c r="AY4853"/>
      <c r="BK4853" s="42">
        <v>4852</v>
      </c>
      <c r="BL4853" s="42">
        <v>4</v>
      </c>
      <c r="BM4853" s="42">
        <v>0.11332468572476186</v>
      </c>
      <c r="BN4853" s="42" t="e">
        <v>#N/A</v>
      </c>
      <c r="BO4853" s="42" t="e">
        <v>#N/A</v>
      </c>
      <c r="BP4853" s="42" t="e">
        <v>#N/A</v>
      </c>
      <c r="BQ4853">
        <v>0.11332468572476186</v>
      </c>
      <c r="BR4853" t="str">
        <v/>
      </c>
    </row>
    <row r="4854" spans="47:70" x14ac:dyDescent="0.2">
      <c r="AU4854"/>
      <c r="AV4854"/>
      <c r="AW4854"/>
      <c r="AX4854"/>
      <c r="AY4854"/>
      <c r="BK4854" s="42">
        <v>4853</v>
      </c>
      <c r="BL4854" s="42">
        <v>4</v>
      </c>
      <c r="BM4854" s="42">
        <v>0.11332468572476186</v>
      </c>
      <c r="BN4854" s="42" t="e">
        <v>#N/A</v>
      </c>
      <c r="BO4854" s="42" t="e">
        <v>#N/A</v>
      </c>
      <c r="BP4854" s="42" t="e">
        <v>#N/A</v>
      </c>
      <c r="BQ4854">
        <v>0.11332468572476186</v>
      </c>
      <c r="BR4854" t="str">
        <v/>
      </c>
    </row>
    <row r="4855" spans="47:70" x14ac:dyDescent="0.2">
      <c r="AU4855"/>
      <c r="AV4855"/>
      <c r="AW4855"/>
      <c r="AX4855"/>
      <c r="AY4855"/>
      <c r="BK4855" s="42">
        <v>4854</v>
      </c>
      <c r="BL4855" s="42">
        <v>4</v>
      </c>
      <c r="BM4855" s="42">
        <v>0.11332468572476186</v>
      </c>
      <c r="BN4855" s="42" t="e">
        <v>#N/A</v>
      </c>
      <c r="BO4855" s="42" t="e">
        <v>#N/A</v>
      </c>
      <c r="BP4855" s="42" t="e">
        <v>#N/A</v>
      </c>
      <c r="BQ4855">
        <v>0.11332468572476186</v>
      </c>
      <c r="BR4855" t="str">
        <v/>
      </c>
    </row>
    <row r="4856" spans="47:70" x14ac:dyDescent="0.2">
      <c r="AU4856"/>
      <c r="AV4856"/>
      <c r="AW4856"/>
      <c r="AX4856"/>
      <c r="AY4856"/>
      <c r="BK4856" s="42">
        <v>4855</v>
      </c>
      <c r="BL4856" s="42">
        <v>4</v>
      </c>
      <c r="BM4856" s="42">
        <v>0.11332468572476186</v>
      </c>
      <c r="BN4856" s="42" t="e">
        <v>#N/A</v>
      </c>
      <c r="BO4856" s="42" t="e">
        <v>#N/A</v>
      </c>
      <c r="BP4856" s="42" t="e">
        <v>#N/A</v>
      </c>
      <c r="BQ4856">
        <v>0.11332468572476186</v>
      </c>
      <c r="BR4856" t="str">
        <v/>
      </c>
    </row>
    <row r="4857" spans="47:70" x14ac:dyDescent="0.2">
      <c r="AU4857"/>
      <c r="AV4857"/>
      <c r="AW4857"/>
      <c r="AX4857"/>
      <c r="AY4857"/>
      <c r="BK4857" s="42">
        <v>4856</v>
      </c>
      <c r="BL4857" s="42">
        <v>4</v>
      </c>
      <c r="BM4857" s="42">
        <v>0.11332468572476186</v>
      </c>
      <c r="BN4857" s="42" t="e">
        <v>#N/A</v>
      </c>
      <c r="BO4857" s="42" t="e">
        <v>#N/A</v>
      </c>
      <c r="BP4857" s="42" t="e">
        <v>#N/A</v>
      </c>
      <c r="BQ4857">
        <v>0.11332468572476186</v>
      </c>
      <c r="BR4857" t="str">
        <v/>
      </c>
    </row>
    <row r="4858" spans="47:70" x14ac:dyDescent="0.2">
      <c r="AU4858"/>
      <c r="AV4858"/>
      <c r="AW4858"/>
      <c r="AX4858"/>
      <c r="AY4858"/>
      <c r="BK4858" s="42">
        <v>4857</v>
      </c>
      <c r="BL4858" s="42">
        <v>4</v>
      </c>
      <c r="BM4858" s="42">
        <v>0.11332468572476186</v>
      </c>
      <c r="BN4858" s="42" t="e">
        <v>#N/A</v>
      </c>
      <c r="BO4858" s="42" t="e">
        <v>#N/A</v>
      </c>
      <c r="BP4858" s="42" t="e">
        <v>#N/A</v>
      </c>
      <c r="BQ4858">
        <v>0.11332468572476186</v>
      </c>
      <c r="BR4858" t="str">
        <v/>
      </c>
    </row>
    <row r="4859" spans="47:70" x14ac:dyDescent="0.2">
      <c r="AU4859"/>
      <c r="AV4859"/>
      <c r="AW4859"/>
      <c r="AX4859"/>
      <c r="AY4859"/>
      <c r="BK4859" s="42">
        <v>4858</v>
      </c>
      <c r="BL4859" s="42">
        <v>4</v>
      </c>
      <c r="BM4859" s="42">
        <v>0.11332468572476186</v>
      </c>
      <c r="BN4859" s="42" t="e">
        <v>#N/A</v>
      </c>
      <c r="BO4859" s="42" t="e">
        <v>#N/A</v>
      </c>
      <c r="BP4859" s="42" t="e">
        <v>#N/A</v>
      </c>
      <c r="BQ4859">
        <v>0.11332468572476186</v>
      </c>
      <c r="BR4859" t="str">
        <v/>
      </c>
    </row>
    <row r="4860" spans="47:70" x14ac:dyDescent="0.2">
      <c r="AU4860"/>
      <c r="AV4860"/>
      <c r="AW4860"/>
      <c r="AX4860"/>
      <c r="AY4860"/>
      <c r="BK4860" s="42">
        <v>4859</v>
      </c>
      <c r="BL4860" s="42">
        <v>4</v>
      </c>
      <c r="BM4860" s="42">
        <v>0.11332468572476186</v>
      </c>
      <c r="BN4860" s="42" t="e">
        <v>#N/A</v>
      </c>
      <c r="BO4860" s="42" t="e">
        <v>#N/A</v>
      </c>
      <c r="BP4860" s="42" t="e">
        <v>#N/A</v>
      </c>
      <c r="BQ4860">
        <v>0.11332468572476186</v>
      </c>
      <c r="BR4860" t="str">
        <v/>
      </c>
    </row>
    <row r="4861" spans="47:70" x14ac:dyDescent="0.2">
      <c r="AU4861"/>
      <c r="AV4861"/>
      <c r="AW4861"/>
      <c r="AX4861"/>
      <c r="AY4861"/>
      <c r="BK4861" s="42">
        <v>4860</v>
      </c>
      <c r="BL4861" s="42">
        <v>4</v>
      </c>
      <c r="BM4861" s="42">
        <v>0.11332468572476186</v>
      </c>
      <c r="BN4861" s="42" t="e">
        <v>#N/A</v>
      </c>
      <c r="BO4861" s="42" t="e">
        <v>#N/A</v>
      </c>
      <c r="BP4861" s="42" t="e">
        <v>#N/A</v>
      </c>
      <c r="BQ4861">
        <v>0.11332468572476186</v>
      </c>
      <c r="BR4861" t="str">
        <v/>
      </c>
    </row>
    <row r="4862" spans="47:70" x14ac:dyDescent="0.2">
      <c r="AU4862"/>
      <c r="AV4862"/>
      <c r="AW4862"/>
      <c r="AX4862"/>
      <c r="AY4862"/>
      <c r="BK4862" s="42">
        <v>4861</v>
      </c>
      <c r="BL4862" s="42">
        <v>4</v>
      </c>
      <c r="BM4862" s="42">
        <v>0.11332468572476186</v>
      </c>
      <c r="BN4862" s="42" t="e">
        <v>#N/A</v>
      </c>
      <c r="BO4862" s="42" t="e">
        <v>#N/A</v>
      </c>
      <c r="BP4862" s="42" t="e">
        <v>#N/A</v>
      </c>
      <c r="BQ4862">
        <v>0.11332468572476186</v>
      </c>
      <c r="BR4862" t="str">
        <v/>
      </c>
    </row>
    <row r="4863" spans="47:70" x14ac:dyDescent="0.2">
      <c r="AU4863"/>
      <c r="AV4863"/>
      <c r="AW4863"/>
      <c r="AX4863"/>
      <c r="AY4863"/>
      <c r="BK4863" s="42">
        <v>4862</v>
      </c>
      <c r="BL4863" s="42">
        <v>4</v>
      </c>
      <c r="BM4863" s="42">
        <v>0.11332468572476186</v>
      </c>
      <c r="BN4863" s="42" t="e">
        <v>#N/A</v>
      </c>
      <c r="BO4863" s="42" t="e">
        <v>#N/A</v>
      </c>
      <c r="BP4863" s="42" t="e">
        <v>#N/A</v>
      </c>
      <c r="BQ4863">
        <v>0.11332468572476186</v>
      </c>
      <c r="BR4863" t="str">
        <v/>
      </c>
    </row>
    <row r="4864" spans="47:70" x14ac:dyDescent="0.2">
      <c r="AU4864"/>
      <c r="AV4864"/>
      <c r="AW4864"/>
      <c r="AX4864"/>
      <c r="AY4864"/>
      <c r="BK4864" s="42">
        <v>4863</v>
      </c>
      <c r="BL4864" s="42">
        <v>4</v>
      </c>
      <c r="BM4864" s="42">
        <v>0.11332468572476186</v>
      </c>
      <c r="BN4864" s="42" t="e">
        <v>#N/A</v>
      </c>
      <c r="BO4864" s="42" t="e">
        <v>#N/A</v>
      </c>
      <c r="BP4864" s="42" t="e">
        <v>#N/A</v>
      </c>
      <c r="BQ4864">
        <v>0.11332468572476186</v>
      </c>
      <c r="BR4864" t="str">
        <v/>
      </c>
    </row>
    <row r="4865" spans="47:70" x14ac:dyDescent="0.2">
      <c r="AU4865"/>
      <c r="AV4865"/>
      <c r="AW4865"/>
      <c r="AX4865"/>
      <c r="AY4865"/>
      <c r="BK4865" s="42">
        <v>4864</v>
      </c>
      <c r="BL4865" s="42">
        <v>4</v>
      </c>
      <c r="BM4865" s="42">
        <v>0.11332468572476186</v>
      </c>
      <c r="BN4865" s="42" t="e">
        <v>#N/A</v>
      </c>
      <c r="BO4865" s="42" t="e">
        <v>#N/A</v>
      </c>
      <c r="BP4865" s="42" t="e">
        <v>#N/A</v>
      </c>
      <c r="BQ4865">
        <v>0.11332468572476186</v>
      </c>
      <c r="BR4865" t="str">
        <v/>
      </c>
    </row>
    <row r="4866" spans="47:70" x14ac:dyDescent="0.2">
      <c r="AU4866"/>
      <c r="AV4866"/>
      <c r="AW4866"/>
      <c r="AX4866"/>
      <c r="AY4866"/>
      <c r="BK4866" s="42">
        <v>4865</v>
      </c>
      <c r="BL4866" s="42">
        <v>4</v>
      </c>
      <c r="BM4866" s="42">
        <v>0.11332468572476186</v>
      </c>
      <c r="BN4866" s="42" t="e">
        <v>#N/A</v>
      </c>
      <c r="BO4866" s="42" t="e">
        <v>#N/A</v>
      </c>
      <c r="BP4866" s="42" t="e">
        <v>#N/A</v>
      </c>
      <c r="BQ4866">
        <v>0.11332468572476186</v>
      </c>
      <c r="BR4866" t="str">
        <v/>
      </c>
    </row>
    <row r="4867" spans="47:70" x14ac:dyDescent="0.2">
      <c r="AU4867"/>
      <c r="AV4867"/>
      <c r="AW4867"/>
      <c r="AX4867"/>
      <c r="AY4867"/>
      <c r="BK4867" s="42">
        <v>4866</v>
      </c>
      <c r="BL4867" s="42">
        <v>4</v>
      </c>
      <c r="BM4867" s="42">
        <v>0.11332468572476186</v>
      </c>
      <c r="BN4867" s="42" t="e">
        <v>#N/A</v>
      </c>
      <c r="BO4867" s="42" t="e">
        <v>#N/A</v>
      </c>
      <c r="BP4867" s="42" t="e">
        <v>#N/A</v>
      </c>
      <c r="BQ4867">
        <v>0.11332468572476186</v>
      </c>
      <c r="BR4867" t="str">
        <v/>
      </c>
    </row>
    <row r="4868" spans="47:70" x14ac:dyDescent="0.2">
      <c r="AU4868"/>
      <c r="AV4868"/>
      <c r="AW4868"/>
      <c r="AX4868"/>
      <c r="AY4868"/>
      <c r="BK4868" s="42">
        <v>4867</v>
      </c>
      <c r="BL4868" s="42">
        <v>4</v>
      </c>
      <c r="BM4868" s="42">
        <v>0.11332468572476186</v>
      </c>
      <c r="BN4868" s="42" t="e">
        <v>#N/A</v>
      </c>
      <c r="BO4868" s="42" t="e">
        <v>#N/A</v>
      </c>
      <c r="BP4868" s="42" t="e">
        <v>#N/A</v>
      </c>
      <c r="BQ4868">
        <v>0.11332468572476186</v>
      </c>
      <c r="BR4868" t="str">
        <v/>
      </c>
    </row>
    <row r="4869" spans="47:70" x14ac:dyDescent="0.2">
      <c r="AU4869"/>
      <c r="AV4869"/>
      <c r="AW4869"/>
      <c r="AX4869"/>
      <c r="AY4869"/>
      <c r="BK4869" s="42">
        <v>4868</v>
      </c>
      <c r="BL4869" s="42">
        <v>4</v>
      </c>
      <c r="BM4869" s="42">
        <v>0.11332468572476186</v>
      </c>
      <c r="BN4869" s="42" t="e">
        <v>#N/A</v>
      </c>
      <c r="BO4869" s="42" t="e">
        <v>#N/A</v>
      </c>
      <c r="BP4869" s="42" t="e">
        <v>#N/A</v>
      </c>
      <c r="BQ4869">
        <v>0.11332468572476186</v>
      </c>
      <c r="BR4869" t="str">
        <v/>
      </c>
    </row>
    <row r="4870" spans="47:70" x14ac:dyDescent="0.2">
      <c r="AU4870"/>
      <c r="AV4870"/>
      <c r="AW4870"/>
      <c r="AX4870"/>
      <c r="AY4870"/>
      <c r="BK4870" s="42">
        <v>4869</v>
      </c>
      <c r="BL4870" s="42">
        <v>4</v>
      </c>
      <c r="BM4870" s="42">
        <v>0.11332468572476186</v>
      </c>
      <c r="BN4870" s="42" t="e">
        <v>#N/A</v>
      </c>
      <c r="BO4870" s="42" t="e">
        <v>#N/A</v>
      </c>
      <c r="BP4870" s="42" t="e">
        <v>#N/A</v>
      </c>
      <c r="BQ4870">
        <v>0.11332468572476186</v>
      </c>
      <c r="BR4870" t="str">
        <v/>
      </c>
    </row>
    <row r="4871" spans="47:70" x14ac:dyDescent="0.2">
      <c r="AU4871"/>
      <c r="AV4871"/>
      <c r="AW4871"/>
      <c r="AX4871"/>
      <c r="AY4871"/>
      <c r="BK4871" s="42">
        <v>4870</v>
      </c>
      <c r="BL4871" s="42">
        <v>4</v>
      </c>
      <c r="BM4871" s="42">
        <v>0.11332468572476186</v>
      </c>
      <c r="BN4871" s="42" t="e">
        <v>#N/A</v>
      </c>
      <c r="BO4871" s="42" t="e">
        <v>#N/A</v>
      </c>
      <c r="BP4871" s="42" t="e">
        <v>#N/A</v>
      </c>
      <c r="BQ4871">
        <v>0.11332468572476186</v>
      </c>
      <c r="BR4871" t="str">
        <v/>
      </c>
    </row>
    <row r="4872" spans="47:70" x14ac:dyDescent="0.2">
      <c r="AU4872"/>
      <c r="AV4872"/>
      <c r="AW4872"/>
      <c r="AX4872"/>
      <c r="AY4872"/>
      <c r="BK4872" s="42">
        <v>4871</v>
      </c>
      <c r="BL4872" s="42">
        <v>4</v>
      </c>
      <c r="BM4872" s="42">
        <v>0.11332468572476186</v>
      </c>
      <c r="BN4872" s="42" t="e">
        <v>#N/A</v>
      </c>
      <c r="BO4872" s="42" t="e">
        <v>#N/A</v>
      </c>
      <c r="BP4872" s="42" t="e">
        <v>#N/A</v>
      </c>
      <c r="BQ4872">
        <v>0.11332468572476186</v>
      </c>
      <c r="BR4872" t="str">
        <v/>
      </c>
    </row>
    <row r="4873" spans="47:70" x14ac:dyDescent="0.2">
      <c r="AU4873"/>
      <c r="AV4873"/>
      <c r="AW4873"/>
      <c r="AX4873"/>
      <c r="AY4873"/>
      <c r="BK4873" s="42">
        <v>4872</v>
      </c>
      <c r="BL4873" s="42">
        <v>4</v>
      </c>
      <c r="BM4873" s="42">
        <v>0.11332468572476186</v>
      </c>
      <c r="BN4873" s="42" t="e">
        <v>#N/A</v>
      </c>
      <c r="BO4873" s="42" t="e">
        <v>#N/A</v>
      </c>
      <c r="BP4873" s="42" t="e">
        <v>#N/A</v>
      </c>
      <c r="BQ4873">
        <v>0.11332468572476186</v>
      </c>
      <c r="BR4873" t="str">
        <v/>
      </c>
    </row>
    <row r="4874" spans="47:70" x14ac:dyDescent="0.2">
      <c r="AU4874"/>
      <c r="AV4874"/>
      <c r="AW4874"/>
      <c r="AX4874"/>
      <c r="AY4874"/>
      <c r="BK4874" s="42">
        <v>4873</v>
      </c>
      <c r="BL4874" s="42">
        <v>4</v>
      </c>
      <c r="BM4874" s="42">
        <v>0.11332468572476186</v>
      </c>
      <c r="BN4874" s="42" t="e">
        <v>#N/A</v>
      </c>
      <c r="BO4874" s="42" t="e">
        <v>#N/A</v>
      </c>
      <c r="BP4874" s="42" t="e">
        <v>#N/A</v>
      </c>
      <c r="BQ4874">
        <v>0.11332468572476186</v>
      </c>
      <c r="BR4874" t="str">
        <v/>
      </c>
    </row>
    <row r="4875" spans="47:70" x14ac:dyDescent="0.2">
      <c r="AU4875"/>
      <c r="AV4875"/>
      <c r="AW4875"/>
      <c r="AX4875"/>
      <c r="AY4875"/>
      <c r="BK4875" s="42">
        <v>4874</v>
      </c>
      <c r="BL4875" s="42">
        <v>4</v>
      </c>
      <c r="BM4875" s="42">
        <v>0.11332468572476186</v>
      </c>
      <c r="BN4875" s="42" t="e">
        <v>#N/A</v>
      </c>
      <c r="BO4875" s="42" t="e">
        <v>#N/A</v>
      </c>
      <c r="BP4875" s="42" t="e">
        <v>#N/A</v>
      </c>
      <c r="BQ4875">
        <v>0.11332468572476186</v>
      </c>
      <c r="BR4875" t="str">
        <v/>
      </c>
    </row>
    <row r="4876" spans="47:70" x14ac:dyDescent="0.2">
      <c r="AU4876"/>
      <c r="AV4876"/>
      <c r="AW4876"/>
      <c r="AX4876"/>
      <c r="AY4876"/>
      <c r="BK4876" s="42">
        <v>4875</v>
      </c>
      <c r="BL4876" s="42">
        <v>4</v>
      </c>
      <c r="BM4876" s="42">
        <v>0.11332468572476186</v>
      </c>
      <c r="BN4876" s="42" t="e">
        <v>#N/A</v>
      </c>
      <c r="BO4876" s="42" t="e">
        <v>#N/A</v>
      </c>
      <c r="BP4876" s="42" t="e">
        <v>#N/A</v>
      </c>
      <c r="BQ4876">
        <v>0.11332468572476186</v>
      </c>
      <c r="BR4876" t="str">
        <v/>
      </c>
    </row>
    <row r="4877" spans="47:70" x14ac:dyDescent="0.2">
      <c r="AU4877"/>
      <c r="AV4877"/>
      <c r="AW4877"/>
      <c r="AX4877"/>
      <c r="AY4877"/>
      <c r="BK4877" s="42">
        <v>4876</v>
      </c>
      <c r="BL4877" s="42">
        <v>4</v>
      </c>
      <c r="BM4877" s="42">
        <v>0.11332468572476186</v>
      </c>
      <c r="BN4877" s="42" t="e">
        <v>#N/A</v>
      </c>
      <c r="BO4877" s="42" t="e">
        <v>#N/A</v>
      </c>
      <c r="BP4877" s="42" t="e">
        <v>#N/A</v>
      </c>
      <c r="BQ4877">
        <v>0.11332468572476186</v>
      </c>
      <c r="BR4877" t="str">
        <v/>
      </c>
    </row>
    <row r="4878" spans="47:70" x14ac:dyDescent="0.2">
      <c r="AU4878"/>
      <c r="AV4878"/>
      <c r="AW4878"/>
      <c r="AX4878"/>
      <c r="AY4878"/>
      <c r="BK4878" s="42">
        <v>4877</v>
      </c>
      <c r="BL4878" s="42">
        <v>4</v>
      </c>
      <c r="BM4878" s="42">
        <v>0.11332468572476186</v>
      </c>
      <c r="BN4878" s="42" t="e">
        <v>#N/A</v>
      </c>
      <c r="BO4878" s="42" t="e">
        <v>#N/A</v>
      </c>
      <c r="BP4878" s="42" t="e">
        <v>#N/A</v>
      </c>
      <c r="BQ4878">
        <v>0.11332468572476186</v>
      </c>
      <c r="BR4878" t="str">
        <v/>
      </c>
    </row>
    <row r="4879" spans="47:70" x14ac:dyDescent="0.2">
      <c r="AU4879"/>
      <c r="AV4879"/>
      <c r="AW4879"/>
      <c r="AX4879"/>
      <c r="AY4879"/>
      <c r="BK4879" s="42">
        <v>4878</v>
      </c>
      <c r="BL4879" s="42">
        <v>4</v>
      </c>
      <c r="BM4879" s="42">
        <v>0.11332468572476186</v>
      </c>
      <c r="BN4879" s="42" t="e">
        <v>#N/A</v>
      </c>
      <c r="BO4879" s="42" t="e">
        <v>#N/A</v>
      </c>
      <c r="BP4879" s="42" t="e">
        <v>#N/A</v>
      </c>
      <c r="BQ4879">
        <v>0.11332468572476186</v>
      </c>
      <c r="BR4879" t="str">
        <v/>
      </c>
    </row>
    <row r="4880" spans="47:70" x14ac:dyDescent="0.2">
      <c r="AU4880"/>
      <c r="AV4880"/>
      <c r="AW4880"/>
      <c r="AX4880"/>
      <c r="AY4880"/>
      <c r="BK4880" s="42">
        <v>4879</v>
      </c>
      <c r="BL4880" s="42">
        <v>4</v>
      </c>
      <c r="BM4880" s="42">
        <v>0.11332468572476186</v>
      </c>
      <c r="BN4880" s="42" t="e">
        <v>#N/A</v>
      </c>
      <c r="BO4880" s="42" t="e">
        <v>#N/A</v>
      </c>
      <c r="BP4880" s="42" t="e">
        <v>#N/A</v>
      </c>
      <c r="BQ4880">
        <v>0.11332468572476186</v>
      </c>
      <c r="BR4880" t="str">
        <v/>
      </c>
    </row>
    <row r="4881" spans="47:70" x14ac:dyDescent="0.2">
      <c r="AU4881"/>
      <c r="AV4881"/>
      <c r="AW4881"/>
      <c r="AX4881"/>
      <c r="AY4881"/>
      <c r="BK4881" s="42">
        <v>4880</v>
      </c>
      <c r="BL4881" s="42">
        <v>4</v>
      </c>
      <c r="BM4881" s="42">
        <v>0.11332468572476186</v>
      </c>
      <c r="BN4881" s="42" t="e">
        <v>#N/A</v>
      </c>
      <c r="BO4881" s="42" t="e">
        <v>#N/A</v>
      </c>
      <c r="BP4881" s="42" t="e">
        <v>#N/A</v>
      </c>
      <c r="BQ4881">
        <v>0.11332468572476186</v>
      </c>
      <c r="BR4881" t="str">
        <v/>
      </c>
    </row>
    <row r="4882" spans="47:70" x14ac:dyDescent="0.2">
      <c r="AU4882"/>
      <c r="AV4882"/>
      <c r="AW4882"/>
      <c r="AX4882"/>
      <c r="AY4882"/>
      <c r="BK4882" s="42">
        <v>4881</v>
      </c>
      <c r="BL4882" s="42">
        <v>4</v>
      </c>
      <c r="BM4882" s="42">
        <v>0.11332468572476186</v>
      </c>
      <c r="BN4882" s="42" t="e">
        <v>#N/A</v>
      </c>
      <c r="BO4882" s="42" t="e">
        <v>#N/A</v>
      </c>
      <c r="BP4882" s="42" t="e">
        <v>#N/A</v>
      </c>
      <c r="BQ4882">
        <v>0.11332468572476186</v>
      </c>
      <c r="BR4882" t="str">
        <v/>
      </c>
    </row>
    <row r="4883" spans="47:70" x14ac:dyDescent="0.2">
      <c r="AU4883"/>
      <c r="AV4883"/>
      <c r="AW4883"/>
      <c r="AX4883"/>
      <c r="AY4883"/>
      <c r="BK4883" s="42">
        <v>4882</v>
      </c>
      <c r="BL4883" s="42">
        <v>4</v>
      </c>
      <c r="BM4883" s="42">
        <v>0.11332468572476186</v>
      </c>
      <c r="BN4883" s="42" t="e">
        <v>#N/A</v>
      </c>
      <c r="BO4883" s="42" t="e">
        <v>#N/A</v>
      </c>
      <c r="BP4883" s="42" t="e">
        <v>#N/A</v>
      </c>
      <c r="BQ4883">
        <v>0.11332468572476186</v>
      </c>
      <c r="BR4883" t="str">
        <v/>
      </c>
    </row>
    <row r="4884" spans="47:70" x14ac:dyDescent="0.2">
      <c r="AU4884"/>
      <c r="AV4884"/>
      <c r="AW4884"/>
      <c r="AX4884"/>
      <c r="AY4884"/>
      <c r="BK4884" s="42">
        <v>4883</v>
      </c>
      <c r="BL4884" s="42">
        <v>4</v>
      </c>
      <c r="BM4884" s="42">
        <v>0.11332468572476186</v>
      </c>
      <c r="BN4884" s="42" t="e">
        <v>#N/A</v>
      </c>
      <c r="BO4884" s="42" t="e">
        <v>#N/A</v>
      </c>
      <c r="BP4884" s="42" t="e">
        <v>#N/A</v>
      </c>
      <c r="BQ4884">
        <v>0.11332468572476186</v>
      </c>
      <c r="BR4884" t="str">
        <v/>
      </c>
    </row>
    <row r="4885" spans="47:70" x14ac:dyDescent="0.2">
      <c r="AU4885"/>
      <c r="AV4885"/>
      <c r="AW4885"/>
      <c r="AX4885"/>
      <c r="AY4885"/>
      <c r="BK4885" s="42">
        <v>4884</v>
      </c>
      <c r="BL4885" s="42">
        <v>4</v>
      </c>
      <c r="BM4885" s="42">
        <v>0.11332468572476186</v>
      </c>
      <c r="BN4885" s="42" t="e">
        <v>#N/A</v>
      </c>
      <c r="BO4885" s="42" t="e">
        <v>#N/A</v>
      </c>
      <c r="BP4885" s="42" t="e">
        <v>#N/A</v>
      </c>
      <c r="BQ4885">
        <v>0.11332468572476186</v>
      </c>
      <c r="BR4885" t="str">
        <v/>
      </c>
    </row>
    <row r="4886" spans="47:70" x14ac:dyDescent="0.2">
      <c r="AU4886"/>
      <c r="AV4886"/>
      <c r="AW4886"/>
      <c r="AX4886"/>
      <c r="AY4886"/>
      <c r="BK4886" s="42">
        <v>4885</v>
      </c>
      <c r="BL4886" s="42">
        <v>4</v>
      </c>
      <c r="BM4886" s="42">
        <v>0.11332468572476186</v>
      </c>
      <c r="BN4886" s="42" t="e">
        <v>#N/A</v>
      </c>
      <c r="BO4886" s="42" t="e">
        <v>#N/A</v>
      </c>
      <c r="BP4886" s="42" t="e">
        <v>#N/A</v>
      </c>
      <c r="BQ4886">
        <v>0.11332468572476186</v>
      </c>
      <c r="BR4886" t="str">
        <v/>
      </c>
    </row>
    <row r="4887" spans="47:70" x14ac:dyDescent="0.2">
      <c r="AU4887"/>
      <c r="AV4887"/>
      <c r="AW4887"/>
      <c r="AX4887"/>
      <c r="AY4887"/>
      <c r="BK4887" s="42">
        <v>4886</v>
      </c>
      <c r="BL4887" s="42">
        <v>4</v>
      </c>
      <c r="BM4887" s="42">
        <v>0.11332468572476186</v>
      </c>
      <c r="BN4887" s="42" t="e">
        <v>#N/A</v>
      </c>
      <c r="BO4887" s="42" t="e">
        <v>#N/A</v>
      </c>
      <c r="BP4887" s="42" t="e">
        <v>#N/A</v>
      </c>
      <c r="BQ4887">
        <v>0.11332468572476186</v>
      </c>
      <c r="BR4887" t="str">
        <v/>
      </c>
    </row>
    <row r="4888" spans="47:70" x14ac:dyDescent="0.2">
      <c r="AU4888"/>
      <c r="AV4888"/>
      <c r="AW4888"/>
      <c r="AX4888"/>
      <c r="AY4888"/>
      <c r="BK4888" s="42">
        <v>4887</v>
      </c>
      <c r="BL4888" s="42">
        <v>4</v>
      </c>
      <c r="BM4888" s="42">
        <v>0.11332468572476186</v>
      </c>
      <c r="BN4888" s="42" t="e">
        <v>#N/A</v>
      </c>
      <c r="BO4888" s="42" t="e">
        <v>#N/A</v>
      </c>
      <c r="BP4888" s="42" t="e">
        <v>#N/A</v>
      </c>
      <c r="BQ4888">
        <v>0.11332468572476186</v>
      </c>
      <c r="BR4888" t="str">
        <v/>
      </c>
    </row>
    <row r="4889" spans="47:70" x14ac:dyDescent="0.2">
      <c r="AU4889"/>
      <c r="AV4889"/>
      <c r="AW4889"/>
      <c r="AX4889"/>
      <c r="AY4889"/>
      <c r="BK4889" s="42">
        <v>4888</v>
      </c>
      <c r="BL4889" s="42">
        <v>4</v>
      </c>
      <c r="BM4889" s="42">
        <v>0.11332468572476186</v>
      </c>
      <c r="BN4889" s="42" t="e">
        <v>#N/A</v>
      </c>
      <c r="BO4889" s="42" t="e">
        <v>#N/A</v>
      </c>
      <c r="BP4889" s="42" t="e">
        <v>#N/A</v>
      </c>
      <c r="BQ4889">
        <v>0.11332468572476186</v>
      </c>
      <c r="BR4889" t="str">
        <v/>
      </c>
    </row>
    <row r="4890" spans="47:70" x14ac:dyDescent="0.2">
      <c r="AU4890"/>
      <c r="AV4890"/>
      <c r="AW4890"/>
      <c r="AX4890"/>
      <c r="AY4890"/>
      <c r="BK4890" s="42">
        <v>4889</v>
      </c>
      <c r="BL4890" s="42">
        <v>4</v>
      </c>
      <c r="BM4890" s="42">
        <v>0.11332468572476186</v>
      </c>
      <c r="BN4890" s="42" t="e">
        <v>#N/A</v>
      </c>
      <c r="BO4890" s="42" t="e">
        <v>#N/A</v>
      </c>
      <c r="BP4890" s="42" t="e">
        <v>#N/A</v>
      </c>
      <c r="BQ4890">
        <v>0.11332468572476186</v>
      </c>
      <c r="BR4890" t="str">
        <v/>
      </c>
    </row>
    <row r="4891" spans="47:70" x14ac:dyDescent="0.2">
      <c r="AU4891"/>
      <c r="AV4891"/>
      <c r="AW4891"/>
      <c r="AX4891"/>
      <c r="AY4891"/>
      <c r="BK4891" s="42">
        <v>4890</v>
      </c>
      <c r="BL4891" s="42">
        <v>4</v>
      </c>
      <c r="BM4891" s="42">
        <v>0.11332468572476186</v>
      </c>
      <c r="BN4891" s="42" t="e">
        <v>#N/A</v>
      </c>
      <c r="BO4891" s="42" t="e">
        <v>#N/A</v>
      </c>
      <c r="BP4891" s="42" t="e">
        <v>#N/A</v>
      </c>
      <c r="BQ4891">
        <v>0.11332468572476186</v>
      </c>
      <c r="BR4891" t="str">
        <v/>
      </c>
    </row>
    <row r="4892" spans="47:70" x14ac:dyDescent="0.2">
      <c r="AU4892"/>
      <c r="AV4892"/>
      <c r="AW4892"/>
      <c r="AX4892"/>
      <c r="AY4892"/>
      <c r="BK4892" s="42">
        <v>4891</v>
      </c>
      <c r="BL4892" s="42">
        <v>4</v>
      </c>
      <c r="BM4892" s="42">
        <v>0.11332468572476186</v>
      </c>
      <c r="BN4892" s="42" t="e">
        <v>#N/A</v>
      </c>
      <c r="BO4892" s="42" t="e">
        <v>#N/A</v>
      </c>
      <c r="BP4892" s="42" t="e">
        <v>#N/A</v>
      </c>
      <c r="BQ4892">
        <v>0.11332468572476186</v>
      </c>
      <c r="BR4892" t="str">
        <v/>
      </c>
    </row>
    <row r="4893" spans="47:70" x14ac:dyDescent="0.2">
      <c r="AU4893"/>
      <c r="AV4893"/>
      <c r="AW4893"/>
      <c r="AX4893"/>
      <c r="AY4893"/>
      <c r="BK4893" s="42">
        <v>4892</v>
      </c>
      <c r="BL4893" s="42">
        <v>4</v>
      </c>
      <c r="BM4893" s="42">
        <v>0.11332468572476186</v>
      </c>
      <c r="BN4893" s="42" t="e">
        <v>#N/A</v>
      </c>
      <c r="BO4893" s="42" t="e">
        <v>#N/A</v>
      </c>
      <c r="BP4893" s="42" t="e">
        <v>#N/A</v>
      </c>
      <c r="BQ4893">
        <v>0.11332468572476186</v>
      </c>
      <c r="BR4893" t="str">
        <v/>
      </c>
    </row>
    <row r="4894" spans="47:70" x14ac:dyDescent="0.2">
      <c r="AU4894"/>
      <c r="AV4894"/>
      <c r="AW4894"/>
      <c r="AX4894"/>
      <c r="AY4894"/>
      <c r="BK4894" s="42">
        <v>4893</v>
      </c>
      <c r="BL4894" s="42">
        <v>4</v>
      </c>
      <c r="BM4894" s="42">
        <v>0.11332468572476186</v>
      </c>
      <c r="BN4894" s="42" t="e">
        <v>#N/A</v>
      </c>
      <c r="BO4894" s="42" t="e">
        <v>#N/A</v>
      </c>
      <c r="BP4894" s="42" t="e">
        <v>#N/A</v>
      </c>
      <c r="BQ4894">
        <v>0.11332468572476186</v>
      </c>
      <c r="BR4894" t="str">
        <v/>
      </c>
    </row>
    <row r="4895" spans="47:70" x14ac:dyDescent="0.2">
      <c r="AU4895"/>
      <c r="AV4895"/>
      <c r="AW4895"/>
      <c r="AX4895"/>
      <c r="AY4895"/>
      <c r="BK4895" s="42">
        <v>4894</v>
      </c>
      <c r="BL4895" s="42">
        <v>4</v>
      </c>
      <c r="BM4895" s="42">
        <v>0.11332468572476186</v>
      </c>
      <c r="BN4895" s="42" t="e">
        <v>#N/A</v>
      </c>
      <c r="BO4895" s="42" t="e">
        <v>#N/A</v>
      </c>
      <c r="BP4895" s="42" t="e">
        <v>#N/A</v>
      </c>
      <c r="BQ4895">
        <v>0.11332468572476186</v>
      </c>
      <c r="BR4895" t="str">
        <v/>
      </c>
    </row>
    <row r="4896" spans="47:70" x14ac:dyDescent="0.2">
      <c r="AU4896"/>
      <c r="AV4896"/>
      <c r="AW4896"/>
      <c r="AX4896"/>
      <c r="AY4896"/>
      <c r="BK4896" s="42">
        <v>4895</v>
      </c>
      <c r="BL4896" s="42">
        <v>4</v>
      </c>
      <c r="BM4896" s="42">
        <v>0.11332468572476186</v>
      </c>
      <c r="BN4896" s="42" t="e">
        <v>#N/A</v>
      </c>
      <c r="BO4896" s="42" t="e">
        <v>#N/A</v>
      </c>
      <c r="BP4896" s="42" t="e">
        <v>#N/A</v>
      </c>
      <c r="BQ4896">
        <v>0.11332468572476186</v>
      </c>
      <c r="BR4896" t="str">
        <v/>
      </c>
    </row>
    <row r="4897" spans="47:70" x14ac:dyDescent="0.2">
      <c r="AU4897"/>
      <c r="AV4897"/>
      <c r="AW4897"/>
      <c r="AX4897"/>
      <c r="AY4897"/>
      <c r="BK4897" s="42">
        <v>4896</v>
      </c>
      <c r="BL4897" s="42">
        <v>4</v>
      </c>
      <c r="BM4897" s="42">
        <v>0.11332468572476186</v>
      </c>
      <c r="BN4897" s="42" t="e">
        <v>#N/A</v>
      </c>
      <c r="BO4897" s="42" t="e">
        <v>#N/A</v>
      </c>
      <c r="BP4897" s="42" t="e">
        <v>#N/A</v>
      </c>
      <c r="BQ4897">
        <v>0.11332468572476186</v>
      </c>
      <c r="BR4897" t="str">
        <v/>
      </c>
    </row>
    <row r="4898" spans="47:70" x14ac:dyDescent="0.2">
      <c r="AU4898"/>
      <c r="AV4898"/>
      <c r="AW4898"/>
      <c r="AX4898"/>
      <c r="AY4898"/>
      <c r="BK4898" s="42">
        <v>4897</v>
      </c>
      <c r="BL4898" s="42">
        <v>4</v>
      </c>
      <c r="BM4898" s="42">
        <v>0.11332468572476186</v>
      </c>
      <c r="BN4898" s="42" t="e">
        <v>#N/A</v>
      </c>
      <c r="BO4898" s="42" t="e">
        <v>#N/A</v>
      </c>
      <c r="BP4898" s="42" t="e">
        <v>#N/A</v>
      </c>
      <c r="BQ4898">
        <v>0.11332468572476186</v>
      </c>
      <c r="BR4898" t="str">
        <v/>
      </c>
    </row>
    <row r="4899" spans="47:70" x14ac:dyDescent="0.2">
      <c r="AU4899"/>
      <c r="AV4899"/>
      <c r="AW4899"/>
      <c r="AX4899"/>
      <c r="AY4899"/>
      <c r="BK4899" s="42">
        <v>4898</v>
      </c>
      <c r="BL4899" s="42">
        <v>4</v>
      </c>
      <c r="BM4899" s="42">
        <v>0.11332468572476186</v>
      </c>
      <c r="BN4899" s="42" t="e">
        <v>#N/A</v>
      </c>
      <c r="BO4899" s="42" t="e">
        <v>#N/A</v>
      </c>
      <c r="BP4899" s="42" t="e">
        <v>#N/A</v>
      </c>
      <c r="BQ4899">
        <v>0.11332468572476186</v>
      </c>
      <c r="BR4899" t="str">
        <v/>
      </c>
    </row>
    <row r="4900" spans="47:70" x14ac:dyDescent="0.2">
      <c r="AU4900"/>
      <c r="AV4900"/>
      <c r="AW4900"/>
      <c r="AX4900"/>
      <c r="AY4900"/>
      <c r="BK4900" s="42">
        <v>4899</v>
      </c>
      <c r="BL4900" s="42">
        <v>4</v>
      </c>
      <c r="BM4900" s="42">
        <v>0.11332468572476186</v>
      </c>
      <c r="BN4900" s="42" t="e">
        <v>#N/A</v>
      </c>
      <c r="BO4900" s="42" t="e">
        <v>#N/A</v>
      </c>
      <c r="BP4900" s="42" t="e">
        <v>#N/A</v>
      </c>
      <c r="BQ4900">
        <v>0.11332468572476186</v>
      </c>
      <c r="BR4900" t="str">
        <v/>
      </c>
    </row>
    <row r="4901" spans="47:70" x14ac:dyDescent="0.2">
      <c r="AU4901"/>
      <c r="AV4901"/>
      <c r="AW4901"/>
      <c r="AX4901"/>
      <c r="AY4901"/>
      <c r="BK4901" s="42">
        <v>4900</v>
      </c>
      <c r="BL4901" s="42">
        <v>4</v>
      </c>
      <c r="BM4901" s="42">
        <v>0.11332468572476186</v>
      </c>
      <c r="BN4901" s="42" t="e">
        <v>#N/A</v>
      </c>
      <c r="BO4901" s="42" t="e">
        <v>#N/A</v>
      </c>
      <c r="BP4901" s="42" t="e">
        <v>#N/A</v>
      </c>
      <c r="BQ4901">
        <v>0.11332468572476186</v>
      </c>
      <c r="BR4901" t="str">
        <v/>
      </c>
    </row>
    <row r="4902" spans="47:70" x14ac:dyDescent="0.2">
      <c r="AU4902"/>
      <c r="AV4902"/>
      <c r="AW4902"/>
      <c r="AX4902"/>
      <c r="AY4902"/>
      <c r="BK4902" s="42">
        <v>4901</v>
      </c>
      <c r="BL4902" s="42">
        <v>4</v>
      </c>
      <c r="BM4902" s="42">
        <v>0.11332468572476186</v>
      </c>
      <c r="BN4902" s="42" t="e">
        <v>#N/A</v>
      </c>
      <c r="BO4902" s="42" t="e">
        <v>#N/A</v>
      </c>
      <c r="BP4902" s="42" t="e">
        <v>#N/A</v>
      </c>
      <c r="BQ4902">
        <v>0.11332468572476186</v>
      </c>
      <c r="BR4902" t="str">
        <v/>
      </c>
    </row>
    <row r="4903" spans="47:70" x14ac:dyDescent="0.2">
      <c r="AU4903"/>
      <c r="AV4903"/>
      <c r="AW4903"/>
      <c r="AX4903"/>
      <c r="AY4903"/>
      <c r="BK4903" s="42">
        <v>4902</v>
      </c>
      <c r="BL4903" s="42">
        <v>4</v>
      </c>
      <c r="BM4903" s="42">
        <v>0.11332468572476186</v>
      </c>
      <c r="BN4903" s="42" t="e">
        <v>#N/A</v>
      </c>
      <c r="BO4903" s="42" t="e">
        <v>#N/A</v>
      </c>
      <c r="BP4903" s="42" t="e">
        <v>#N/A</v>
      </c>
      <c r="BQ4903">
        <v>0.11332468572476186</v>
      </c>
      <c r="BR4903" t="str">
        <v/>
      </c>
    </row>
    <row r="4904" spans="47:70" x14ac:dyDescent="0.2">
      <c r="AU4904"/>
      <c r="AV4904"/>
      <c r="AW4904"/>
      <c r="AX4904"/>
      <c r="AY4904"/>
      <c r="BK4904" s="42">
        <v>4903</v>
      </c>
      <c r="BL4904" s="42">
        <v>4</v>
      </c>
      <c r="BM4904" s="42">
        <v>0.11332468572476186</v>
      </c>
      <c r="BN4904" s="42" t="e">
        <v>#N/A</v>
      </c>
      <c r="BO4904" s="42" t="e">
        <v>#N/A</v>
      </c>
      <c r="BP4904" s="42" t="e">
        <v>#N/A</v>
      </c>
      <c r="BQ4904">
        <v>0.11332468572476186</v>
      </c>
      <c r="BR4904" t="str">
        <v/>
      </c>
    </row>
    <row r="4905" spans="47:70" x14ac:dyDescent="0.2">
      <c r="AU4905"/>
      <c r="AV4905"/>
      <c r="AW4905"/>
      <c r="AX4905"/>
      <c r="AY4905"/>
      <c r="BK4905" s="42">
        <v>4904</v>
      </c>
      <c r="BL4905" s="42">
        <v>4</v>
      </c>
      <c r="BM4905" s="42">
        <v>0.11332468572476186</v>
      </c>
      <c r="BN4905" s="42" t="e">
        <v>#N/A</v>
      </c>
      <c r="BO4905" s="42" t="e">
        <v>#N/A</v>
      </c>
      <c r="BP4905" s="42" t="e">
        <v>#N/A</v>
      </c>
      <c r="BQ4905">
        <v>0.11332468572476186</v>
      </c>
      <c r="BR4905" t="str">
        <v/>
      </c>
    </row>
    <row r="4906" spans="47:70" x14ac:dyDescent="0.2">
      <c r="AU4906"/>
      <c r="AV4906"/>
      <c r="AW4906"/>
      <c r="AX4906"/>
      <c r="AY4906"/>
      <c r="BK4906" s="42">
        <v>4905</v>
      </c>
      <c r="BL4906" s="42">
        <v>4</v>
      </c>
      <c r="BM4906" s="42">
        <v>0.11332468572476186</v>
      </c>
      <c r="BN4906" s="42" t="e">
        <v>#N/A</v>
      </c>
      <c r="BO4906" s="42" t="e">
        <v>#N/A</v>
      </c>
      <c r="BP4906" s="42" t="e">
        <v>#N/A</v>
      </c>
      <c r="BQ4906">
        <v>0.11332468572476186</v>
      </c>
      <c r="BR4906" t="str">
        <v/>
      </c>
    </row>
    <row r="4907" spans="47:70" x14ac:dyDescent="0.2">
      <c r="AU4907"/>
      <c r="AV4907"/>
      <c r="AW4907"/>
      <c r="AX4907"/>
      <c r="AY4907"/>
      <c r="BK4907" s="42">
        <v>4906</v>
      </c>
      <c r="BL4907" s="42">
        <v>4</v>
      </c>
      <c r="BM4907" s="42">
        <v>0.11332468572476186</v>
      </c>
      <c r="BN4907" s="42" t="e">
        <v>#N/A</v>
      </c>
      <c r="BO4907" s="42" t="e">
        <v>#N/A</v>
      </c>
      <c r="BP4907" s="42" t="e">
        <v>#N/A</v>
      </c>
      <c r="BQ4907">
        <v>0.11332468572476186</v>
      </c>
      <c r="BR4907" t="str">
        <v/>
      </c>
    </row>
    <row r="4908" spans="47:70" x14ac:dyDescent="0.2">
      <c r="AU4908"/>
      <c r="AV4908"/>
      <c r="AW4908"/>
      <c r="AX4908"/>
      <c r="AY4908"/>
      <c r="BK4908" s="42">
        <v>4907</v>
      </c>
      <c r="BL4908" s="42">
        <v>4</v>
      </c>
      <c r="BM4908" s="42">
        <v>0.11332468572476186</v>
      </c>
      <c r="BN4908" s="42" t="e">
        <v>#N/A</v>
      </c>
      <c r="BO4908" s="42" t="e">
        <v>#N/A</v>
      </c>
      <c r="BP4908" s="42" t="e">
        <v>#N/A</v>
      </c>
      <c r="BQ4908">
        <v>0.11332468572476186</v>
      </c>
      <c r="BR4908" t="str">
        <v/>
      </c>
    </row>
    <row r="4909" spans="47:70" x14ac:dyDescent="0.2">
      <c r="AU4909"/>
      <c r="AV4909"/>
      <c r="AW4909"/>
      <c r="AX4909"/>
      <c r="AY4909"/>
      <c r="BK4909" s="42">
        <v>4908</v>
      </c>
      <c r="BL4909" s="42">
        <v>4</v>
      </c>
      <c r="BM4909" s="42">
        <v>0.11332468572476186</v>
      </c>
      <c r="BN4909" s="42" t="e">
        <v>#N/A</v>
      </c>
      <c r="BO4909" s="42" t="e">
        <v>#N/A</v>
      </c>
      <c r="BP4909" s="42" t="e">
        <v>#N/A</v>
      </c>
      <c r="BQ4909">
        <v>0.11332468572476186</v>
      </c>
      <c r="BR4909" t="str">
        <v/>
      </c>
    </row>
    <row r="4910" spans="47:70" x14ac:dyDescent="0.2">
      <c r="AU4910"/>
      <c r="AV4910"/>
      <c r="AW4910"/>
      <c r="AX4910"/>
      <c r="AY4910"/>
      <c r="BK4910" s="42">
        <v>4909</v>
      </c>
      <c r="BL4910" s="42">
        <v>4</v>
      </c>
      <c r="BM4910" s="42">
        <v>0.11332468572476186</v>
      </c>
      <c r="BN4910" s="42" t="e">
        <v>#N/A</v>
      </c>
      <c r="BO4910" s="42" t="e">
        <v>#N/A</v>
      </c>
      <c r="BP4910" s="42" t="e">
        <v>#N/A</v>
      </c>
      <c r="BQ4910">
        <v>0.11332468572476186</v>
      </c>
      <c r="BR4910" t="str">
        <v/>
      </c>
    </row>
    <row r="4911" spans="47:70" x14ac:dyDescent="0.2">
      <c r="AU4911"/>
      <c r="AV4911"/>
      <c r="AW4911"/>
      <c r="AX4911"/>
      <c r="AY4911"/>
      <c r="BK4911" s="42">
        <v>4910</v>
      </c>
      <c r="BL4911" s="42">
        <v>4</v>
      </c>
      <c r="BM4911" s="42">
        <v>0.11332468572476186</v>
      </c>
      <c r="BN4911" s="42" t="e">
        <v>#N/A</v>
      </c>
      <c r="BO4911" s="42" t="e">
        <v>#N/A</v>
      </c>
      <c r="BP4911" s="42" t="e">
        <v>#N/A</v>
      </c>
      <c r="BQ4911">
        <v>0.11332468572476186</v>
      </c>
      <c r="BR4911" t="str">
        <v/>
      </c>
    </row>
    <row r="4912" spans="47:70" x14ac:dyDescent="0.2">
      <c r="AU4912"/>
      <c r="AV4912"/>
      <c r="AW4912"/>
      <c r="AX4912"/>
      <c r="AY4912"/>
      <c r="BK4912" s="42">
        <v>4911</v>
      </c>
      <c r="BL4912" s="42">
        <v>4</v>
      </c>
      <c r="BM4912" s="42">
        <v>0.11332468572476186</v>
      </c>
      <c r="BN4912" s="42" t="e">
        <v>#N/A</v>
      </c>
      <c r="BO4912" s="42" t="e">
        <v>#N/A</v>
      </c>
      <c r="BP4912" s="42" t="e">
        <v>#N/A</v>
      </c>
      <c r="BQ4912">
        <v>0.11332468572476186</v>
      </c>
      <c r="BR4912" t="str">
        <v/>
      </c>
    </row>
    <row r="4913" spans="47:70" x14ac:dyDescent="0.2">
      <c r="AU4913"/>
      <c r="AV4913"/>
      <c r="AW4913"/>
      <c r="AX4913"/>
      <c r="AY4913"/>
      <c r="BK4913" s="42">
        <v>4912</v>
      </c>
      <c r="BL4913" s="42">
        <v>4</v>
      </c>
      <c r="BM4913" s="42">
        <v>0.11332468572476186</v>
      </c>
      <c r="BN4913" s="42" t="e">
        <v>#N/A</v>
      </c>
      <c r="BO4913" s="42" t="e">
        <v>#N/A</v>
      </c>
      <c r="BP4913" s="42" t="e">
        <v>#N/A</v>
      </c>
      <c r="BQ4913">
        <v>0.11332468572476186</v>
      </c>
      <c r="BR4913" t="str">
        <v/>
      </c>
    </row>
    <row r="4914" spans="47:70" x14ac:dyDescent="0.2">
      <c r="AU4914"/>
      <c r="AV4914"/>
      <c r="AW4914"/>
      <c r="AX4914"/>
      <c r="AY4914"/>
      <c r="BK4914" s="42">
        <v>4913</v>
      </c>
      <c r="BL4914" s="42">
        <v>4</v>
      </c>
      <c r="BM4914" s="42">
        <v>0.11332468572476186</v>
      </c>
      <c r="BN4914" s="42" t="e">
        <v>#N/A</v>
      </c>
      <c r="BO4914" s="42" t="e">
        <v>#N/A</v>
      </c>
      <c r="BP4914" s="42" t="e">
        <v>#N/A</v>
      </c>
      <c r="BQ4914">
        <v>0.11332468572476186</v>
      </c>
      <c r="BR4914" t="str">
        <v/>
      </c>
    </row>
    <row r="4915" spans="47:70" x14ac:dyDescent="0.2">
      <c r="AU4915"/>
      <c r="AV4915"/>
      <c r="AW4915"/>
      <c r="AX4915"/>
      <c r="AY4915"/>
      <c r="BK4915" s="42">
        <v>4914</v>
      </c>
      <c r="BL4915" s="42">
        <v>4</v>
      </c>
      <c r="BM4915" s="42">
        <v>0.11332468572476186</v>
      </c>
      <c r="BN4915" s="42" t="e">
        <v>#N/A</v>
      </c>
      <c r="BO4915" s="42" t="e">
        <v>#N/A</v>
      </c>
      <c r="BP4915" s="42" t="e">
        <v>#N/A</v>
      </c>
      <c r="BQ4915">
        <v>0.11332468572476186</v>
      </c>
      <c r="BR4915" t="str">
        <v/>
      </c>
    </row>
    <row r="4916" spans="47:70" x14ac:dyDescent="0.2">
      <c r="AU4916"/>
      <c r="AV4916"/>
      <c r="AW4916"/>
      <c r="AX4916"/>
      <c r="AY4916"/>
      <c r="BK4916" s="42">
        <v>4915</v>
      </c>
      <c r="BL4916" s="42">
        <v>4</v>
      </c>
      <c r="BM4916" s="42">
        <v>0.11332468572476186</v>
      </c>
      <c r="BN4916" s="42" t="e">
        <v>#N/A</v>
      </c>
      <c r="BO4916" s="42" t="e">
        <v>#N/A</v>
      </c>
      <c r="BP4916" s="42" t="e">
        <v>#N/A</v>
      </c>
      <c r="BQ4916">
        <v>0.11332468572476186</v>
      </c>
      <c r="BR4916" t="str">
        <v/>
      </c>
    </row>
    <row r="4917" spans="47:70" x14ac:dyDescent="0.2">
      <c r="AU4917"/>
      <c r="AV4917"/>
      <c r="AW4917"/>
      <c r="AX4917"/>
      <c r="AY4917"/>
      <c r="BK4917" s="42">
        <v>4916</v>
      </c>
      <c r="BL4917" s="42">
        <v>4</v>
      </c>
      <c r="BM4917" s="42">
        <v>0.11332468572476186</v>
      </c>
      <c r="BN4917" s="42" t="e">
        <v>#N/A</v>
      </c>
      <c r="BO4917" s="42" t="e">
        <v>#N/A</v>
      </c>
      <c r="BP4917" s="42" t="e">
        <v>#N/A</v>
      </c>
      <c r="BQ4917">
        <v>0.11332468572476186</v>
      </c>
      <c r="BR4917" t="str">
        <v/>
      </c>
    </row>
    <row r="4918" spans="47:70" x14ac:dyDescent="0.2">
      <c r="AU4918"/>
      <c r="AV4918"/>
      <c r="AW4918"/>
      <c r="AX4918"/>
      <c r="AY4918"/>
      <c r="BK4918" s="42">
        <v>4917</v>
      </c>
      <c r="BL4918" s="42">
        <v>4</v>
      </c>
      <c r="BM4918" s="42">
        <v>0.11332468572476186</v>
      </c>
      <c r="BN4918" s="42" t="e">
        <v>#N/A</v>
      </c>
      <c r="BO4918" s="42" t="e">
        <v>#N/A</v>
      </c>
      <c r="BP4918" s="42" t="e">
        <v>#N/A</v>
      </c>
      <c r="BQ4918">
        <v>0.11332468572476186</v>
      </c>
      <c r="BR4918" t="str">
        <v/>
      </c>
    </row>
    <row r="4919" spans="47:70" x14ac:dyDescent="0.2">
      <c r="AU4919"/>
      <c r="AV4919"/>
      <c r="AW4919"/>
      <c r="AX4919"/>
      <c r="AY4919"/>
      <c r="BK4919" s="42">
        <v>4918</v>
      </c>
      <c r="BL4919" s="42">
        <v>4</v>
      </c>
      <c r="BM4919" s="42">
        <v>0.11332468572476186</v>
      </c>
      <c r="BN4919" s="42" t="e">
        <v>#N/A</v>
      </c>
      <c r="BO4919" s="42" t="e">
        <v>#N/A</v>
      </c>
      <c r="BP4919" s="42" t="e">
        <v>#N/A</v>
      </c>
      <c r="BQ4919">
        <v>0.11332468572476186</v>
      </c>
      <c r="BR4919" t="str">
        <v/>
      </c>
    </row>
    <row r="4920" spans="47:70" x14ac:dyDescent="0.2">
      <c r="AU4920"/>
      <c r="AV4920"/>
      <c r="AW4920"/>
      <c r="AX4920"/>
      <c r="AY4920"/>
      <c r="BK4920" s="42">
        <v>4919</v>
      </c>
      <c r="BL4920" s="42">
        <v>4</v>
      </c>
      <c r="BM4920" s="42">
        <v>0.11332468572476186</v>
      </c>
      <c r="BN4920" s="42" t="e">
        <v>#N/A</v>
      </c>
      <c r="BO4920" s="42" t="e">
        <v>#N/A</v>
      </c>
      <c r="BP4920" s="42" t="e">
        <v>#N/A</v>
      </c>
      <c r="BQ4920">
        <v>0.11332468572476186</v>
      </c>
      <c r="BR4920" t="str">
        <v/>
      </c>
    </row>
    <row r="4921" spans="47:70" x14ac:dyDescent="0.2">
      <c r="AU4921"/>
      <c r="AV4921"/>
      <c r="AW4921"/>
      <c r="AX4921"/>
      <c r="AY4921"/>
      <c r="BK4921" s="42">
        <v>4920</v>
      </c>
      <c r="BL4921" s="42">
        <v>4</v>
      </c>
      <c r="BM4921" s="42">
        <v>0.11332468572476186</v>
      </c>
      <c r="BN4921" s="42" t="e">
        <v>#N/A</v>
      </c>
      <c r="BO4921" s="42" t="e">
        <v>#N/A</v>
      </c>
      <c r="BP4921" s="42" t="e">
        <v>#N/A</v>
      </c>
      <c r="BQ4921">
        <v>0.11332468572476186</v>
      </c>
      <c r="BR4921" t="str">
        <v/>
      </c>
    </row>
    <row r="4922" spans="47:70" x14ac:dyDescent="0.2">
      <c r="AU4922"/>
      <c r="AV4922"/>
      <c r="AW4922"/>
      <c r="AX4922"/>
      <c r="AY4922"/>
      <c r="BK4922" s="42">
        <v>4921</v>
      </c>
      <c r="BL4922" s="42">
        <v>4</v>
      </c>
      <c r="BM4922" s="42">
        <v>0.11332468572476186</v>
      </c>
      <c r="BN4922" s="42" t="e">
        <v>#N/A</v>
      </c>
      <c r="BO4922" s="42" t="e">
        <v>#N/A</v>
      </c>
      <c r="BP4922" s="42" t="e">
        <v>#N/A</v>
      </c>
      <c r="BQ4922">
        <v>0.11332468572476186</v>
      </c>
      <c r="BR4922" t="str">
        <v/>
      </c>
    </row>
    <row r="4923" spans="47:70" x14ac:dyDescent="0.2">
      <c r="AU4923"/>
      <c r="AV4923"/>
      <c r="AW4923"/>
      <c r="AX4923"/>
      <c r="AY4923"/>
      <c r="BK4923" s="42">
        <v>4922</v>
      </c>
      <c r="BL4923" s="42">
        <v>4</v>
      </c>
      <c r="BM4923" s="42">
        <v>0.11332468572476186</v>
      </c>
      <c r="BN4923" s="42" t="e">
        <v>#N/A</v>
      </c>
      <c r="BO4923" s="42" t="e">
        <v>#N/A</v>
      </c>
      <c r="BP4923" s="42" t="e">
        <v>#N/A</v>
      </c>
      <c r="BQ4923">
        <v>0.11332468572476186</v>
      </c>
      <c r="BR4923" t="str">
        <v/>
      </c>
    </row>
    <row r="4924" spans="47:70" x14ac:dyDescent="0.2">
      <c r="AU4924"/>
      <c r="AV4924"/>
      <c r="AW4924"/>
      <c r="AX4924"/>
      <c r="AY4924"/>
      <c r="BK4924" s="42">
        <v>4923</v>
      </c>
      <c r="BL4924" s="42">
        <v>4</v>
      </c>
      <c r="BM4924" s="42">
        <v>0.11332468572476186</v>
      </c>
      <c r="BN4924" s="42" t="e">
        <v>#N/A</v>
      </c>
      <c r="BO4924" s="42" t="e">
        <v>#N/A</v>
      </c>
      <c r="BP4924" s="42" t="e">
        <v>#N/A</v>
      </c>
      <c r="BQ4924">
        <v>0.11332468572476186</v>
      </c>
      <c r="BR4924" t="str">
        <v/>
      </c>
    </row>
    <row r="4925" spans="47:70" x14ac:dyDescent="0.2">
      <c r="AU4925"/>
      <c r="AV4925"/>
      <c r="AW4925"/>
      <c r="AX4925"/>
      <c r="AY4925"/>
      <c r="BK4925" s="42">
        <v>4924</v>
      </c>
      <c r="BL4925" s="42">
        <v>4</v>
      </c>
      <c r="BM4925" s="42">
        <v>0.11332468572476186</v>
      </c>
      <c r="BN4925" s="42" t="e">
        <v>#N/A</v>
      </c>
      <c r="BO4925" s="42" t="e">
        <v>#N/A</v>
      </c>
      <c r="BP4925" s="42" t="e">
        <v>#N/A</v>
      </c>
      <c r="BQ4925">
        <v>0.11332468572476186</v>
      </c>
      <c r="BR4925" t="str">
        <v/>
      </c>
    </row>
    <row r="4926" spans="47:70" x14ac:dyDescent="0.2">
      <c r="AU4926"/>
      <c r="AV4926"/>
      <c r="AW4926"/>
      <c r="AX4926"/>
      <c r="AY4926"/>
      <c r="BK4926" s="42">
        <v>4925</v>
      </c>
      <c r="BL4926" s="42">
        <v>4</v>
      </c>
      <c r="BM4926" s="42">
        <v>0.11332468572476186</v>
      </c>
      <c r="BN4926" s="42" t="e">
        <v>#N/A</v>
      </c>
      <c r="BO4926" s="42" t="e">
        <v>#N/A</v>
      </c>
      <c r="BP4926" s="42" t="e">
        <v>#N/A</v>
      </c>
      <c r="BQ4926">
        <v>0.11332468572476186</v>
      </c>
      <c r="BR4926" t="str">
        <v/>
      </c>
    </row>
    <row r="4927" spans="47:70" x14ac:dyDescent="0.2">
      <c r="AU4927"/>
      <c r="AV4927"/>
      <c r="AW4927"/>
      <c r="AX4927"/>
      <c r="AY4927"/>
      <c r="BK4927" s="42">
        <v>4926</v>
      </c>
      <c r="BL4927" s="42">
        <v>4</v>
      </c>
      <c r="BM4927" s="42">
        <v>0.11332468572476186</v>
      </c>
      <c r="BN4927" s="42" t="e">
        <v>#N/A</v>
      </c>
      <c r="BO4927" s="42" t="e">
        <v>#N/A</v>
      </c>
      <c r="BP4927" s="42" t="e">
        <v>#N/A</v>
      </c>
      <c r="BQ4927">
        <v>0.11332468572476186</v>
      </c>
      <c r="BR4927" t="str">
        <v/>
      </c>
    </row>
    <row r="4928" spans="47:70" x14ac:dyDescent="0.2">
      <c r="AU4928"/>
      <c r="AV4928"/>
      <c r="AW4928"/>
      <c r="AX4928"/>
      <c r="AY4928"/>
      <c r="BK4928" s="42">
        <v>4927</v>
      </c>
      <c r="BL4928" s="42">
        <v>4</v>
      </c>
      <c r="BM4928" s="42">
        <v>0.11332468572476186</v>
      </c>
      <c r="BN4928" s="42" t="e">
        <v>#N/A</v>
      </c>
      <c r="BO4928" s="42" t="e">
        <v>#N/A</v>
      </c>
      <c r="BP4928" s="42" t="e">
        <v>#N/A</v>
      </c>
      <c r="BQ4928">
        <v>0.11332468572476186</v>
      </c>
      <c r="BR4928" t="str">
        <v/>
      </c>
    </row>
    <row r="4929" spans="47:70" x14ac:dyDescent="0.2">
      <c r="AU4929"/>
      <c r="AV4929"/>
      <c r="AW4929"/>
      <c r="AX4929"/>
      <c r="AY4929"/>
      <c r="BK4929" s="42">
        <v>4928</v>
      </c>
      <c r="BL4929" s="42">
        <v>4</v>
      </c>
      <c r="BM4929" s="42">
        <v>0.11332468572476186</v>
      </c>
      <c r="BN4929" s="42" t="e">
        <v>#N/A</v>
      </c>
      <c r="BO4929" s="42" t="e">
        <v>#N/A</v>
      </c>
      <c r="BP4929" s="42" t="e">
        <v>#N/A</v>
      </c>
      <c r="BQ4929">
        <v>0.11332468572476186</v>
      </c>
      <c r="BR4929" t="str">
        <v/>
      </c>
    </row>
    <row r="4930" spans="47:70" x14ac:dyDescent="0.2">
      <c r="AU4930"/>
      <c r="AV4930"/>
      <c r="AW4930"/>
      <c r="AX4930"/>
      <c r="AY4930"/>
      <c r="BK4930" s="42">
        <v>4929</v>
      </c>
      <c r="BL4930" s="42">
        <v>4</v>
      </c>
      <c r="BM4930" s="42">
        <v>0.11332468572476186</v>
      </c>
      <c r="BN4930" s="42" t="e">
        <v>#N/A</v>
      </c>
      <c r="BO4930" s="42" t="e">
        <v>#N/A</v>
      </c>
      <c r="BP4930" s="42" t="e">
        <v>#N/A</v>
      </c>
      <c r="BQ4930">
        <v>0.11332468572476186</v>
      </c>
      <c r="BR4930" t="str">
        <v/>
      </c>
    </row>
    <row r="4931" spans="47:70" x14ac:dyDescent="0.2">
      <c r="AU4931"/>
      <c r="AV4931"/>
      <c r="AW4931"/>
      <c r="AX4931"/>
      <c r="AY4931"/>
      <c r="BK4931" s="42">
        <v>4930</v>
      </c>
      <c r="BL4931" s="42">
        <v>4</v>
      </c>
      <c r="BM4931" s="42">
        <v>0.11332468572476186</v>
      </c>
      <c r="BN4931" s="42" t="e">
        <v>#N/A</v>
      </c>
      <c r="BO4931" s="42" t="e">
        <v>#N/A</v>
      </c>
      <c r="BP4931" s="42" t="e">
        <v>#N/A</v>
      </c>
      <c r="BQ4931">
        <v>0.11332468572476186</v>
      </c>
      <c r="BR4931" t="str">
        <v/>
      </c>
    </row>
    <row r="4932" spans="47:70" x14ac:dyDescent="0.2">
      <c r="AU4932"/>
      <c r="AV4932"/>
      <c r="AW4932"/>
      <c r="AX4932"/>
      <c r="AY4932"/>
      <c r="BK4932" s="42">
        <v>4931</v>
      </c>
      <c r="BL4932" s="42">
        <v>4</v>
      </c>
      <c r="BM4932" s="42">
        <v>0.11332468572476186</v>
      </c>
      <c r="BN4932" s="42" t="e">
        <v>#N/A</v>
      </c>
      <c r="BO4932" s="42" t="e">
        <v>#N/A</v>
      </c>
      <c r="BP4932" s="42" t="e">
        <v>#N/A</v>
      </c>
      <c r="BQ4932">
        <v>0.11332468572476186</v>
      </c>
      <c r="BR4932" t="str">
        <v/>
      </c>
    </row>
    <row r="4933" spans="47:70" x14ac:dyDescent="0.2">
      <c r="AU4933"/>
      <c r="AV4933"/>
      <c r="AW4933"/>
      <c r="AX4933"/>
      <c r="AY4933"/>
      <c r="BK4933" s="42">
        <v>4932</v>
      </c>
      <c r="BL4933" s="42">
        <v>4</v>
      </c>
      <c r="BM4933" s="42">
        <v>0.11332468572476186</v>
      </c>
      <c r="BN4933" s="42" t="e">
        <v>#N/A</v>
      </c>
      <c r="BO4933" s="42" t="e">
        <v>#N/A</v>
      </c>
      <c r="BP4933" s="42" t="e">
        <v>#N/A</v>
      </c>
      <c r="BQ4933">
        <v>0.11332468572476186</v>
      </c>
      <c r="BR4933" t="str">
        <v/>
      </c>
    </row>
    <row r="4934" spans="47:70" x14ac:dyDescent="0.2">
      <c r="AU4934"/>
      <c r="AV4934"/>
      <c r="AW4934"/>
      <c r="AX4934"/>
      <c r="AY4934"/>
      <c r="BK4934" s="42">
        <v>4933</v>
      </c>
      <c r="BL4934" s="42">
        <v>4</v>
      </c>
      <c r="BM4934" s="42">
        <v>0.11332468572476186</v>
      </c>
      <c r="BN4934" s="42" t="e">
        <v>#N/A</v>
      </c>
      <c r="BO4934" s="42" t="e">
        <v>#N/A</v>
      </c>
      <c r="BP4934" s="42" t="e">
        <v>#N/A</v>
      </c>
      <c r="BQ4934">
        <v>0.11332468572476186</v>
      </c>
      <c r="BR4934" t="str">
        <v/>
      </c>
    </row>
    <row r="4935" spans="47:70" x14ac:dyDescent="0.2">
      <c r="AU4935"/>
      <c r="AV4935"/>
      <c r="AW4935"/>
      <c r="AX4935"/>
      <c r="AY4935"/>
      <c r="BK4935" s="42">
        <v>4934</v>
      </c>
      <c r="BL4935" s="42">
        <v>4</v>
      </c>
      <c r="BM4935" s="42">
        <v>0.11332468572476186</v>
      </c>
      <c r="BN4935" s="42" t="e">
        <v>#N/A</v>
      </c>
      <c r="BO4935" s="42" t="e">
        <v>#N/A</v>
      </c>
      <c r="BP4935" s="42" t="e">
        <v>#N/A</v>
      </c>
      <c r="BQ4935">
        <v>0.11332468572476186</v>
      </c>
      <c r="BR4935" t="str">
        <v/>
      </c>
    </row>
    <row r="4936" spans="47:70" x14ac:dyDescent="0.2">
      <c r="AU4936"/>
      <c r="AV4936"/>
      <c r="AW4936"/>
      <c r="AX4936"/>
      <c r="AY4936"/>
      <c r="BK4936" s="42">
        <v>4935</v>
      </c>
      <c r="BL4936" s="42">
        <v>4</v>
      </c>
      <c r="BM4936" s="42">
        <v>0.11332468572476186</v>
      </c>
      <c r="BN4936" s="42" t="e">
        <v>#N/A</v>
      </c>
      <c r="BO4936" s="42" t="e">
        <v>#N/A</v>
      </c>
      <c r="BP4936" s="42" t="e">
        <v>#N/A</v>
      </c>
      <c r="BQ4936">
        <v>0.11332468572476186</v>
      </c>
      <c r="BR4936" t="str">
        <v/>
      </c>
    </row>
    <row r="4937" spans="47:70" x14ac:dyDescent="0.2">
      <c r="AU4937"/>
      <c r="AV4937"/>
      <c r="AW4937"/>
      <c r="AX4937"/>
      <c r="AY4937"/>
      <c r="BK4937" s="42">
        <v>4936</v>
      </c>
      <c r="BL4937" s="42">
        <v>4</v>
      </c>
      <c r="BM4937" s="42">
        <v>0.11332468572476186</v>
      </c>
      <c r="BN4937" s="42" t="e">
        <v>#N/A</v>
      </c>
      <c r="BO4937" s="42" t="e">
        <v>#N/A</v>
      </c>
      <c r="BP4937" s="42" t="e">
        <v>#N/A</v>
      </c>
      <c r="BQ4937">
        <v>0.11332468572476186</v>
      </c>
      <c r="BR4937" t="str">
        <v/>
      </c>
    </row>
    <row r="4938" spans="47:70" x14ac:dyDescent="0.2">
      <c r="AU4938"/>
      <c r="AV4938"/>
      <c r="AW4938"/>
      <c r="AX4938"/>
      <c r="AY4938"/>
      <c r="BK4938" s="42">
        <v>4937</v>
      </c>
      <c r="BL4938" s="42">
        <v>4</v>
      </c>
      <c r="BM4938" s="42">
        <v>0.11332468572476186</v>
      </c>
      <c r="BN4938" s="42" t="e">
        <v>#N/A</v>
      </c>
      <c r="BO4938" s="42" t="e">
        <v>#N/A</v>
      </c>
      <c r="BP4938" s="42" t="e">
        <v>#N/A</v>
      </c>
      <c r="BQ4938">
        <v>0.11332468572476186</v>
      </c>
      <c r="BR4938" t="str">
        <v/>
      </c>
    </row>
    <row r="4939" spans="47:70" x14ac:dyDescent="0.2">
      <c r="AU4939"/>
      <c r="AV4939"/>
      <c r="AW4939"/>
      <c r="AX4939"/>
      <c r="AY4939"/>
      <c r="BK4939" s="42">
        <v>4938</v>
      </c>
      <c r="BL4939" s="42">
        <v>4</v>
      </c>
      <c r="BM4939" s="42">
        <v>0.11332468572476186</v>
      </c>
      <c r="BN4939" s="42" t="e">
        <v>#N/A</v>
      </c>
      <c r="BO4939" s="42" t="e">
        <v>#N/A</v>
      </c>
      <c r="BP4939" s="42" t="e">
        <v>#N/A</v>
      </c>
      <c r="BQ4939">
        <v>0.11332468572476186</v>
      </c>
      <c r="BR4939" t="str">
        <v/>
      </c>
    </row>
    <row r="4940" spans="47:70" x14ac:dyDescent="0.2">
      <c r="AU4940"/>
      <c r="AV4940"/>
      <c r="AW4940"/>
      <c r="AX4940"/>
      <c r="AY4940"/>
      <c r="BK4940" s="42">
        <v>4939</v>
      </c>
      <c r="BL4940" s="42">
        <v>4</v>
      </c>
      <c r="BM4940" s="42">
        <v>0.11332468572476186</v>
      </c>
      <c r="BN4940" s="42" t="e">
        <v>#N/A</v>
      </c>
      <c r="BO4940" s="42" t="e">
        <v>#N/A</v>
      </c>
      <c r="BP4940" s="42" t="e">
        <v>#N/A</v>
      </c>
      <c r="BQ4940">
        <v>0.11332468572476186</v>
      </c>
      <c r="BR4940" t="str">
        <v/>
      </c>
    </row>
    <row r="4941" spans="47:70" x14ac:dyDescent="0.2">
      <c r="AU4941"/>
      <c r="AV4941"/>
      <c r="AW4941"/>
      <c r="AX4941"/>
      <c r="AY4941"/>
      <c r="BK4941" s="42">
        <v>4940</v>
      </c>
      <c r="BL4941" s="42">
        <v>4</v>
      </c>
      <c r="BM4941" s="42">
        <v>0.11332468572476186</v>
      </c>
      <c r="BN4941" s="42" t="e">
        <v>#N/A</v>
      </c>
      <c r="BO4941" s="42" t="e">
        <v>#N/A</v>
      </c>
      <c r="BP4941" s="42" t="e">
        <v>#N/A</v>
      </c>
      <c r="BQ4941">
        <v>0.11332468572476186</v>
      </c>
      <c r="BR4941" t="str">
        <v/>
      </c>
    </row>
    <row r="4942" spans="47:70" x14ac:dyDescent="0.2">
      <c r="AU4942"/>
      <c r="AV4942"/>
      <c r="AW4942"/>
      <c r="AX4942"/>
      <c r="AY4942"/>
      <c r="BK4942" s="42">
        <v>4941</v>
      </c>
      <c r="BL4942" s="42">
        <v>4</v>
      </c>
      <c r="BM4942" s="42">
        <v>0.11332468572476186</v>
      </c>
      <c r="BN4942" s="42" t="e">
        <v>#N/A</v>
      </c>
      <c r="BO4942" s="42" t="e">
        <v>#N/A</v>
      </c>
      <c r="BP4942" s="42" t="e">
        <v>#N/A</v>
      </c>
      <c r="BQ4942">
        <v>0.11332468572476186</v>
      </c>
      <c r="BR4942" t="str">
        <v/>
      </c>
    </row>
    <row r="4943" spans="47:70" x14ac:dyDescent="0.2">
      <c r="AU4943"/>
      <c r="AV4943"/>
      <c r="AW4943"/>
      <c r="AX4943"/>
      <c r="AY4943"/>
      <c r="BK4943" s="42">
        <v>4942</v>
      </c>
      <c r="BL4943" s="42">
        <v>4</v>
      </c>
      <c r="BM4943" s="42">
        <v>0.11332468572476186</v>
      </c>
      <c r="BN4943" s="42" t="e">
        <v>#N/A</v>
      </c>
      <c r="BO4943" s="42" t="e">
        <v>#N/A</v>
      </c>
      <c r="BP4943" s="42" t="e">
        <v>#N/A</v>
      </c>
      <c r="BQ4943">
        <v>0.11332468572476186</v>
      </c>
      <c r="BR4943" t="str">
        <v/>
      </c>
    </row>
    <row r="4944" spans="47:70" x14ac:dyDescent="0.2">
      <c r="AU4944"/>
      <c r="AV4944"/>
      <c r="AW4944"/>
      <c r="AX4944"/>
      <c r="AY4944"/>
      <c r="BK4944" s="42">
        <v>4943</v>
      </c>
      <c r="BL4944" s="42">
        <v>4</v>
      </c>
      <c r="BM4944" s="42">
        <v>0.11332468572476186</v>
      </c>
      <c r="BN4944" s="42" t="e">
        <v>#N/A</v>
      </c>
      <c r="BO4944" s="42" t="e">
        <v>#N/A</v>
      </c>
      <c r="BP4944" s="42" t="e">
        <v>#N/A</v>
      </c>
      <c r="BQ4944">
        <v>0.11332468572476186</v>
      </c>
      <c r="BR4944" t="str">
        <v/>
      </c>
    </row>
    <row r="4945" spans="47:70" x14ac:dyDescent="0.2">
      <c r="AU4945"/>
      <c r="AV4945"/>
      <c r="AW4945"/>
      <c r="AX4945"/>
      <c r="AY4945"/>
      <c r="BK4945" s="42">
        <v>4944</v>
      </c>
      <c r="BL4945" s="42">
        <v>4</v>
      </c>
      <c r="BM4945" s="42">
        <v>0.11332468572476186</v>
      </c>
      <c r="BN4945" s="42" t="e">
        <v>#N/A</v>
      </c>
      <c r="BO4945" s="42" t="e">
        <v>#N/A</v>
      </c>
      <c r="BP4945" s="42" t="e">
        <v>#N/A</v>
      </c>
      <c r="BQ4945">
        <v>0.11332468572476186</v>
      </c>
      <c r="BR4945" t="str">
        <v/>
      </c>
    </row>
    <row r="4946" spans="47:70" x14ac:dyDescent="0.2">
      <c r="AU4946"/>
      <c r="AV4946"/>
      <c r="AW4946"/>
      <c r="AX4946"/>
      <c r="AY4946"/>
      <c r="BK4946" s="42">
        <v>4945</v>
      </c>
      <c r="BL4946" s="42">
        <v>4</v>
      </c>
      <c r="BM4946" s="42">
        <v>0.11332468572476186</v>
      </c>
      <c r="BN4946" s="42" t="e">
        <v>#N/A</v>
      </c>
      <c r="BO4946" s="42" t="e">
        <v>#N/A</v>
      </c>
      <c r="BP4946" s="42" t="e">
        <v>#N/A</v>
      </c>
      <c r="BQ4946">
        <v>0.11332468572476186</v>
      </c>
      <c r="BR4946" t="str">
        <v/>
      </c>
    </row>
    <row r="4947" spans="47:70" x14ac:dyDescent="0.2">
      <c r="AU4947"/>
      <c r="AV4947"/>
      <c r="AW4947"/>
      <c r="AX4947"/>
      <c r="AY4947"/>
      <c r="BK4947" s="42">
        <v>4946</v>
      </c>
      <c r="BL4947" s="42">
        <v>4</v>
      </c>
      <c r="BM4947" s="42">
        <v>0.11332468572476186</v>
      </c>
      <c r="BN4947" s="42" t="e">
        <v>#N/A</v>
      </c>
      <c r="BO4947" s="42" t="e">
        <v>#N/A</v>
      </c>
      <c r="BP4947" s="42" t="e">
        <v>#N/A</v>
      </c>
      <c r="BQ4947">
        <v>0.11332468572476186</v>
      </c>
      <c r="BR4947" t="str">
        <v/>
      </c>
    </row>
    <row r="4948" spans="47:70" x14ac:dyDescent="0.2">
      <c r="AU4948"/>
      <c r="AV4948"/>
      <c r="AW4948"/>
      <c r="AX4948"/>
      <c r="AY4948"/>
      <c r="BK4948" s="42">
        <v>4947</v>
      </c>
      <c r="BL4948" s="42">
        <v>4</v>
      </c>
      <c r="BM4948" s="42">
        <v>0.11332468572476186</v>
      </c>
      <c r="BN4948" s="42" t="e">
        <v>#N/A</v>
      </c>
      <c r="BO4948" s="42" t="e">
        <v>#N/A</v>
      </c>
      <c r="BP4948" s="42" t="e">
        <v>#N/A</v>
      </c>
      <c r="BQ4948">
        <v>0.11332468572476186</v>
      </c>
      <c r="BR4948" t="str">
        <v/>
      </c>
    </row>
    <row r="4949" spans="47:70" x14ac:dyDescent="0.2">
      <c r="AU4949"/>
      <c r="AV4949"/>
      <c r="AW4949"/>
      <c r="AX4949"/>
      <c r="AY4949"/>
      <c r="BK4949" s="42">
        <v>4948</v>
      </c>
      <c r="BL4949" s="42">
        <v>4</v>
      </c>
      <c r="BM4949" s="42">
        <v>0.11332468572476186</v>
      </c>
      <c r="BN4949" s="42" t="e">
        <v>#N/A</v>
      </c>
      <c r="BO4949" s="42" t="e">
        <v>#N/A</v>
      </c>
      <c r="BP4949" s="42" t="e">
        <v>#N/A</v>
      </c>
      <c r="BQ4949">
        <v>0.11332468572476186</v>
      </c>
      <c r="BR4949" t="str">
        <v/>
      </c>
    </row>
    <row r="4950" spans="47:70" x14ac:dyDescent="0.2">
      <c r="AU4950"/>
      <c r="AV4950"/>
      <c r="AW4950"/>
      <c r="AX4950"/>
      <c r="AY4950"/>
      <c r="BK4950" s="42">
        <v>4949</v>
      </c>
      <c r="BL4950" s="42">
        <v>4</v>
      </c>
      <c r="BM4950" s="42">
        <v>0.11332468572476186</v>
      </c>
      <c r="BN4950" s="42" t="e">
        <v>#N/A</v>
      </c>
      <c r="BO4950" s="42" t="e">
        <v>#N/A</v>
      </c>
      <c r="BP4950" s="42" t="e">
        <v>#N/A</v>
      </c>
      <c r="BQ4950">
        <v>0.11332468572476186</v>
      </c>
      <c r="BR4950" t="str">
        <v/>
      </c>
    </row>
    <row r="4951" spans="47:70" x14ac:dyDescent="0.2">
      <c r="AU4951"/>
      <c r="AV4951"/>
      <c r="AW4951"/>
      <c r="AX4951"/>
      <c r="AY4951"/>
      <c r="BK4951" s="42">
        <v>4950</v>
      </c>
      <c r="BL4951" s="42">
        <v>4</v>
      </c>
      <c r="BM4951" s="42">
        <v>0.11332468572476186</v>
      </c>
      <c r="BN4951" s="42" t="e">
        <v>#N/A</v>
      </c>
      <c r="BO4951" s="42" t="e">
        <v>#N/A</v>
      </c>
      <c r="BP4951" s="42" t="e">
        <v>#N/A</v>
      </c>
      <c r="BQ4951">
        <v>0.11332468572476186</v>
      </c>
      <c r="BR4951" t="str">
        <v/>
      </c>
    </row>
    <row r="4952" spans="47:70" x14ac:dyDescent="0.2">
      <c r="AU4952"/>
      <c r="AV4952"/>
      <c r="AW4952"/>
      <c r="AX4952"/>
      <c r="AY4952"/>
      <c r="BK4952" s="42">
        <v>4951</v>
      </c>
      <c r="BL4952" s="42">
        <v>4</v>
      </c>
      <c r="BM4952" s="42">
        <v>0.11332468572476186</v>
      </c>
      <c r="BN4952" s="42" t="e">
        <v>#N/A</v>
      </c>
      <c r="BO4952" s="42" t="e">
        <v>#N/A</v>
      </c>
      <c r="BP4952" s="42" t="e">
        <v>#N/A</v>
      </c>
      <c r="BQ4952">
        <v>0.11332468572476186</v>
      </c>
      <c r="BR4952" t="str">
        <v/>
      </c>
    </row>
    <row r="4953" spans="47:70" x14ac:dyDescent="0.2">
      <c r="AU4953"/>
      <c r="AV4953"/>
      <c r="AW4953"/>
      <c r="AX4953"/>
      <c r="AY4953"/>
      <c r="BK4953" s="42">
        <v>4952</v>
      </c>
      <c r="BL4953" s="42">
        <v>4</v>
      </c>
      <c r="BM4953" s="42">
        <v>0.11332468572476186</v>
      </c>
      <c r="BN4953" s="42" t="e">
        <v>#N/A</v>
      </c>
      <c r="BO4953" s="42" t="e">
        <v>#N/A</v>
      </c>
      <c r="BP4953" s="42" t="e">
        <v>#N/A</v>
      </c>
      <c r="BQ4953">
        <v>0.11332468572476186</v>
      </c>
      <c r="BR4953" t="str">
        <v/>
      </c>
    </row>
    <row r="4954" spans="47:70" x14ac:dyDescent="0.2">
      <c r="AU4954"/>
      <c r="AV4954"/>
      <c r="AW4954"/>
      <c r="AX4954"/>
      <c r="AY4954"/>
      <c r="BK4954" s="42">
        <v>4953</v>
      </c>
      <c r="BL4954" s="42">
        <v>4</v>
      </c>
      <c r="BM4954" s="42">
        <v>0.11332468572476186</v>
      </c>
      <c r="BN4954" s="42" t="e">
        <v>#N/A</v>
      </c>
      <c r="BO4954" s="42" t="e">
        <v>#N/A</v>
      </c>
      <c r="BP4954" s="42" t="e">
        <v>#N/A</v>
      </c>
      <c r="BQ4954">
        <v>0.11332468572476186</v>
      </c>
      <c r="BR4954" t="str">
        <v/>
      </c>
    </row>
    <row r="4955" spans="47:70" x14ac:dyDescent="0.2">
      <c r="AU4955"/>
      <c r="AV4955"/>
      <c r="AW4955"/>
      <c r="AX4955"/>
      <c r="AY4955"/>
      <c r="BK4955" s="42">
        <v>4954</v>
      </c>
      <c r="BL4955" s="42">
        <v>4</v>
      </c>
      <c r="BM4955" s="42">
        <v>0.11332468572476186</v>
      </c>
      <c r="BN4955" s="42" t="e">
        <v>#N/A</v>
      </c>
      <c r="BO4955" s="42" t="e">
        <v>#N/A</v>
      </c>
      <c r="BP4955" s="42" t="e">
        <v>#N/A</v>
      </c>
      <c r="BQ4955">
        <v>0.11332468572476186</v>
      </c>
      <c r="BR4955" t="str">
        <v/>
      </c>
    </row>
    <row r="4956" spans="47:70" x14ac:dyDescent="0.2">
      <c r="AU4956"/>
      <c r="AV4956"/>
      <c r="AW4956"/>
      <c r="AX4956"/>
      <c r="AY4956"/>
      <c r="BK4956" s="42">
        <v>4955</v>
      </c>
      <c r="BL4956" s="42">
        <v>4</v>
      </c>
      <c r="BM4956" s="42">
        <v>0.11332468572476186</v>
      </c>
      <c r="BN4956" s="42" t="e">
        <v>#N/A</v>
      </c>
      <c r="BO4956" s="42" t="e">
        <v>#N/A</v>
      </c>
      <c r="BP4956" s="42" t="e">
        <v>#N/A</v>
      </c>
      <c r="BQ4956">
        <v>0.11332468572476186</v>
      </c>
      <c r="BR4956" t="str">
        <v/>
      </c>
    </row>
    <row r="4957" spans="47:70" x14ac:dyDescent="0.2">
      <c r="AU4957"/>
      <c r="AV4957"/>
      <c r="AW4957"/>
      <c r="AX4957"/>
      <c r="AY4957"/>
      <c r="BK4957" s="42">
        <v>4956</v>
      </c>
      <c r="BL4957" s="42">
        <v>4</v>
      </c>
      <c r="BM4957" s="42">
        <v>0.11332468572476186</v>
      </c>
      <c r="BN4957" s="42" t="e">
        <v>#N/A</v>
      </c>
      <c r="BO4957" s="42" t="e">
        <v>#N/A</v>
      </c>
      <c r="BP4957" s="42" t="e">
        <v>#N/A</v>
      </c>
      <c r="BQ4957">
        <v>0.11332468572476186</v>
      </c>
      <c r="BR4957" t="str">
        <v/>
      </c>
    </row>
    <row r="4958" spans="47:70" x14ac:dyDescent="0.2">
      <c r="AU4958"/>
      <c r="AV4958"/>
      <c r="AW4958"/>
      <c r="AX4958"/>
      <c r="AY4958"/>
      <c r="BK4958" s="42">
        <v>4957</v>
      </c>
      <c r="BL4958" s="42">
        <v>4</v>
      </c>
      <c r="BM4958" s="42">
        <v>0.11332468572476186</v>
      </c>
      <c r="BN4958" s="42" t="e">
        <v>#N/A</v>
      </c>
      <c r="BO4958" s="42" t="e">
        <v>#N/A</v>
      </c>
      <c r="BP4958" s="42" t="e">
        <v>#N/A</v>
      </c>
      <c r="BQ4958">
        <v>0.11332468572476186</v>
      </c>
      <c r="BR4958" t="str">
        <v/>
      </c>
    </row>
    <row r="4959" spans="47:70" x14ac:dyDescent="0.2">
      <c r="AU4959"/>
      <c r="AV4959"/>
      <c r="AW4959"/>
      <c r="AX4959"/>
      <c r="AY4959"/>
      <c r="BK4959" s="42">
        <v>4958</v>
      </c>
      <c r="BL4959" s="42">
        <v>4</v>
      </c>
      <c r="BM4959" s="42">
        <v>0.11332468572476186</v>
      </c>
      <c r="BN4959" s="42" t="e">
        <v>#N/A</v>
      </c>
      <c r="BO4959" s="42" t="e">
        <v>#N/A</v>
      </c>
      <c r="BP4959" s="42" t="e">
        <v>#N/A</v>
      </c>
      <c r="BQ4959">
        <v>0.11332468572476186</v>
      </c>
      <c r="BR4959" t="str">
        <v/>
      </c>
    </row>
    <row r="4960" spans="47:70" x14ac:dyDescent="0.2">
      <c r="AU4960"/>
      <c r="AV4960"/>
      <c r="AW4960"/>
      <c r="AX4960"/>
      <c r="AY4960"/>
      <c r="BK4960" s="42">
        <v>4959</v>
      </c>
      <c r="BL4960" s="42">
        <v>4</v>
      </c>
      <c r="BM4960" s="42">
        <v>0.11332468572476186</v>
      </c>
      <c r="BN4960" s="42" t="e">
        <v>#N/A</v>
      </c>
      <c r="BO4960" s="42" t="e">
        <v>#N/A</v>
      </c>
      <c r="BP4960" s="42" t="e">
        <v>#N/A</v>
      </c>
      <c r="BQ4960">
        <v>0.11332468572476186</v>
      </c>
      <c r="BR4960" t="str">
        <v/>
      </c>
    </row>
    <row r="4961" spans="47:70" x14ac:dyDescent="0.2">
      <c r="AU4961"/>
      <c r="AV4961"/>
      <c r="AW4961"/>
      <c r="AX4961"/>
      <c r="AY4961"/>
      <c r="BK4961" s="42">
        <v>4960</v>
      </c>
      <c r="BL4961" s="42">
        <v>4</v>
      </c>
      <c r="BM4961" s="42">
        <v>0.11332468572476186</v>
      </c>
      <c r="BN4961" s="42" t="e">
        <v>#N/A</v>
      </c>
      <c r="BO4961" s="42" t="e">
        <v>#N/A</v>
      </c>
      <c r="BP4961" s="42" t="e">
        <v>#N/A</v>
      </c>
      <c r="BQ4961">
        <v>0.11332468572476186</v>
      </c>
      <c r="BR4961" t="str">
        <v/>
      </c>
    </row>
    <row r="4962" spans="47:70" x14ac:dyDescent="0.2">
      <c r="AU4962"/>
      <c r="AV4962"/>
      <c r="AW4962"/>
      <c r="AX4962"/>
      <c r="AY4962"/>
      <c r="BK4962" s="42">
        <v>4961</v>
      </c>
      <c r="BL4962" s="42">
        <v>4</v>
      </c>
      <c r="BM4962" s="42">
        <v>0.11332468572476186</v>
      </c>
      <c r="BN4962" s="42" t="e">
        <v>#N/A</v>
      </c>
      <c r="BO4962" s="42" t="e">
        <v>#N/A</v>
      </c>
      <c r="BP4962" s="42" t="e">
        <v>#N/A</v>
      </c>
      <c r="BQ4962">
        <v>0.11332468572476186</v>
      </c>
      <c r="BR4962" t="str">
        <v/>
      </c>
    </row>
    <row r="4963" spans="47:70" x14ac:dyDescent="0.2">
      <c r="AU4963"/>
      <c r="AV4963"/>
      <c r="AW4963"/>
      <c r="AX4963"/>
      <c r="AY4963"/>
      <c r="BK4963" s="42">
        <v>4962</v>
      </c>
      <c r="BL4963" s="42">
        <v>4</v>
      </c>
      <c r="BM4963" s="42">
        <v>0.11332468572476186</v>
      </c>
      <c r="BN4963" s="42" t="e">
        <v>#N/A</v>
      </c>
      <c r="BO4963" s="42" t="e">
        <v>#N/A</v>
      </c>
      <c r="BP4963" s="42" t="e">
        <v>#N/A</v>
      </c>
      <c r="BQ4963">
        <v>0.11332468572476186</v>
      </c>
      <c r="BR4963" t="str">
        <v/>
      </c>
    </row>
    <row r="4964" spans="47:70" x14ac:dyDescent="0.2">
      <c r="AU4964"/>
      <c r="AV4964"/>
      <c r="AW4964"/>
      <c r="AX4964"/>
      <c r="AY4964"/>
      <c r="BK4964" s="42">
        <v>4963</v>
      </c>
      <c r="BL4964" s="42">
        <v>4</v>
      </c>
      <c r="BM4964" s="42">
        <v>0.11332468572476186</v>
      </c>
      <c r="BN4964" s="42" t="e">
        <v>#N/A</v>
      </c>
      <c r="BO4964" s="42" t="e">
        <v>#N/A</v>
      </c>
      <c r="BP4964" s="42" t="e">
        <v>#N/A</v>
      </c>
      <c r="BQ4964">
        <v>0.11332468572476186</v>
      </c>
      <c r="BR4964" t="str">
        <v/>
      </c>
    </row>
    <row r="4965" spans="47:70" x14ac:dyDescent="0.2">
      <c r="AU4965"/>
      <c r="AV4965"/>
      <c r="AW4965"/>
      <c r="AX4965"/>
      <c r="AY4965"/>
      <c r="BK4965" s="42">
        <v>4964</v>
      </c>
      <c r="BL4965" s="42">
        <v>4</v>
      </c>
      <c r="BM4965" s="42">
        <v>0.11332468572476186</v>
      </c>
      <c r="BN4965" s="42" t="e">
        <v>#N/A</v>
      </c>
      <c r="BO4965" s="42" t="e">
        <v>#N/A</v>
      </c>
      <c r="BP4965" s="42" t="e">
        <v>#N/A</v>
      </c>
      <c r="BQ4965">
        <v>0.11332468572476186</v>
      </c>
      <c r="BR4965" t="str">
        <v/>
      </c>
    </row>
    <row r="4966" spans="47:70" x14ac:dyDescent="0.2">
      <c r="AU4966"/>
      <c r="AV4966"/>
      <c r="AW4966"/>
      <c r="AX4966"/>
      <c r="AY4966"/>
      <c r="BK4966" s="42">
        <v>4965</v>
      </c>
      <c r="BL4966" s="42">
        <v>4</v>
      </c>
      <c r="BM4966" s="42">
        <v>0.11332468572476186</v>
      </c>
      <c r="BN4966" s="42" t="e">
        <v>#N/A</v>
      </c>
      <c r="BO4966" s="42" t="e">
        <v>#N/A</v>
      </c>
      <c r="BP4966" s="42" t="e">
        <v>#N/A</v>
      </c>
      <c r="BQ4966">
        <v>0.11332468572476186</v>
      </c>
      <c r="BR4966" t="str">
        <v/>
      </c>
    </row>
    <row r="4967" spans="47:70" x14ac:dyDescent="0.2">
      <c r="AU4967"/>
      <c r="AV4967"/>
      <c r="AW4967"/>
      <c r="AX4967"/>
      <c r="AY4967"/>
      <c r="BK4967" s="42">
        <v>4966</v>
      </c>
      <c r="BL4967" s="42">
        <v>4</v>
      </c>
      <c r="BM4967" s="42">
        <v>0.11332468572476186</v>
      </c>
      <c r="BN4967" s="42" t="e">
        <v>#N/A</v>
      </c>
      <c r="BO4967" s="42" t="e">
        <v>#N/A</v>
      </c>
      <c r="BP4967" s="42" t="e">
        <v>#N/A</v>
      </c>
      <c r="BQ4967">
        <v>0.11332468572476186</v>
      </c>
      <c r="BR4967" t="str">
        <v/>
      </c>
    </row>
    <row r="4968" spans="47:70" x14ac:dyDescent="0.2">
      <c r="AU4968"/>
      <c r="AV4968"/>
      <c r="AW4968"/>
      <c r="AX4968"/>
      <c r="AY4968"/>
      <c r="BK4968" s="42">
        <v>4967</v>
      </c>
      <c r="BL4968" s="42">
        <v>4</v>
      </c>
      <c r="BM4968" s="42">
        <v>0.11332468572476186</v>
      </c>
      <c r="BN4968" s="42" t="e">
        <v>#N/A</v>
      </c>
      <c r="BO4968" s="42" t="e">
        <v>#N/A</v>
      </c>
      <c r="BP4968" s="42" t="e">
        <v>#N/A</v>
      </c>
      <c r="BQ4968">
        <v>0.11332468572476186</v>
      </c>
      <c r="BR4968" t="str">
        <v/>
      </c>
    </row>
    <row r="4969" spans="47:70" x14ac:dyDescent="0.2">
      <c r="AU4969"/>
      <c r="AV4969"/>
      <c r="AW4969"/>
      <c r="AX4969"/>
      <c r="AY4969"/>
      <c r="BK4969" s="42">
        <v>4968</v>
      </c>
      <c r="BL4969" s="42">
        <v>4</v>
      </c>
      <c r="BM4969" s="42">
        <v>0.11332468572476186</v>
      </c>
      <c r="BN4969" s="42" t="e">
        <v>#N/A</v>
      </c>
      <c r="BO4969" s="42" t="e">
        <v>#N/A</v>
      </c>
      <c r="BP4969" s="42" t="e">
        <v>#N/A</v>
      </c>
      <c r="BQ4969">
        <v>0.11332468572476186</v>
      </c>
      <c r="BR4969" t="str">
        <v/>
      </c>
    </row>
    <row r="4970" spans="47:70" x14ac:dyDescent="0.2">
      <c r="AU4970"/>
      <c r="AV4970"/>
      <c r="AW4970"/>
      <c r="AX4970"/>
      <c r="AY4970"/>
      <c r="BK4970" s="42">
        <v>4969</v>
      </c>
      <c r="BL4970" s="42">
        <v>4</v>
      </c>
      <c r="BM4970" s="42">
        <v>0.11332468572476186</v>
      </c>
      <c r="BN4970" s="42" t="e">
        <v>#N/A</v>
      </c>
      <c r="BO4970" s="42" t="e">
        <v>#N/A</v>
      </c>
      <c r="BP4970" s="42" t="e">
        <v>#N/A</v>
      </c>
      <c r="BQ4970">
        <v>0.11332468572476186</v>
      </c>
      <c r="BR4970" t="str">
        <v/>
      </c>
    </row>
    <row r="4971" spans="47:70" x14ac:dyDescent="0.2">
      <c r="AU4971"/>
      <c r="AV4971"/>
      <c r="AW4971"/>
      <c r="AX4971"/>
      <c r="AY4971"/>
      <c r="BK4971" s="42">
        <v>4970</v>
      </c>
      <c r="BL4971" s="42">
        <v>4</v>
      </c>
      <c r="BM4971" s="42">
        <v>0.11332468572476186</v>
      </c>
      <c r="BN4971" s="42" t="e">
        <v>#N/A</v>
      </c>
      <c r="BO4971" s="42" t="e">
        <v>#N/A</v>
      </c>
      <c r="BP4971" s="42" t="e">
        <v>#N/A</v>
      </c>
      <c r="BQ4971">
        <v>0.11332468572476186</v>
      </c>
      <c r="BR4971" t="str">
        <v/>
      </c>
    </row>
    <row r="4972" spans="47:70" x14ac:dyDescent="0.2">
      <c r="AU4972"/>
      <c r="AV4972"/>
      <c r="AW4972"/>
      <c r="AX4972"/>
      <c r="AY4972"/>
      <c r="BK4972" s="42">
        <v>4971</v>
      </c>
      <c r="BL4972" s="42">
        <v>4</v>
      </c>
      <c r="BM4972" s="42">
        <v>0.11332468572476186</v>
      </c>
      <c r="BN4972" s="42" t="e">
        <v>#N/A</v>
      </c>
      <c r="BO4972" s="42" t="e">
        <v>#N/A</v>
      </c>
      <c r="BP4972" s="42" t="e">
        <v>#N/A</v>
      </c>
      <c r="BQ4972">
        <v>0.11332468572476186</v>
      </c>
      <c r="BR4972" t="str">
        <v/>
      </c>
    </row>
    <row r="4973" spans="47:70" x14ac:dyDescent="0.2">
      <c r="AU4973"/>
      <c r="AV4973"/>
      <c r="AW4973"/>
      <c r="AX4973"/>
      <c r="AY4973"/>
      <c r="BK4973" s="42">
        <v>4972</v>
      </c>
      <c r="BL4973" s="42">
        <v>4</v>
      </c>
      <c r="BM4973" s="42">
        <v>0.11332468572476186</v>
      </c>
      <c r="BN4973" s="42" t="e">
        <v>#N/A</v>
      </c>
      <c r="BO4973" s="42" t="e">
        <v>#N/A</v>
      </c>
      <c r="BP4973" s="42" t="e">
        <v>#N/A</v>
      </c>
      <c r="BQ4973">
        <v>0.11332468572476186</v>
      </c>
      <c r="BR4973" t="str">
        <v/>
      </c>
    </row>
    <row r="4974" spans="47:70" x14ac:dyDescent="0.2">
      <c r="AU4974"/>
      <c r="AV4974"/>
      <c r="AW4974"/>
      <c r="AX4974"/>
      <c r="AY4974"/>
      <c r="BK4974" s="42">
        <v>4973</v>
      </c>
      <c r="BL4974" s="42">
        <v>4</v>
      </c>
      <c r="BM4974" s="42">
        <v>0.11332468572476186</v>
      </c>
      <c r="BN4974" s="42" t="e">
        <v>#N/A</v>
      </c>
      <c r="BO4974" s="42" t="e">
        <v>#N/A</v>
      </c>
      <c r="BP4974" s="42" t="e">
        <v>#N/A</v>
      </c>
      <c r="BQ4974">
        <v>0.11332468572476186</v>
      </c>
      <c r="BR4974" t="str">
        <v/>
      </c>
    </row>
    <row r="4975" spans="47:70" x14ac:dyDescent="0.2">
      <c r="AU4975"/>
      <c r="AV4975"/>
      <c r="AW4975"/>
      <c r="AX4975"/>
      <c r="AY4975"/>
      <c r="BK4975" s="42">
        <v>4974</v>
      </c>
      <c r="BL4975" s="42">
        <v>4</v>
      </c>
      <c r="BM4975" s="42">
        <v>0.11332468572476186</v>
      </c>
      <c r="BN4975" s="42" t="e">
        <v>#N/A</v>
      </c>
      <c r="BO4975" s="42" t="e">
        <v>#N/A</v>
      </c>
      <c r="BP4975" s="42" t="e">
        <v>#N/A</v>
      </c>
      <c r="BQ4975">
        <v>0.11332468572476186</v>
      </c>
      <c r="BR4975" t="str">
        <v/>
      </c>
    </row>
    <row r="4976" spans="47:70" x14ac:dyDescent="0.2">
      <c r="AU4976"/>
      <c r="AV4976"/>
      <c r="AW4976"/>
      <c r="AX4976"/>
      <c r="AY4976"/>
      <c r="BK4976" s="42">
        <v>4975</v>
      </c>
      <c r="BL4976" s="42">
        <v>4</v>
      </c>
      <c r="BM4976" s="42">
        <v>0.11332468572476186</v>
      </c>
      <c r="BN4976" s="42" t="e">
        <v>#N/A</v>
      </c>
      <c r="BO4976" s="42" t="e">
        <v>#N/A</v>
      </c>
      <c r="BP4976" s="42" t="e">
        <v>#N/A</v>
      </c>
      <c r="BQ4976">
        <v>0.11332468572476186</v>
      </c>
      <c r="BR4976" t="str">
        <v/>
      </c>
    </row>
    <row r="4977" spans="47:70" x14ac:dyDescent="0.2">
      <c r="AU4977"/>
      <c r="AV4977"/>
      <c r="AW4977"/>
      <c r="AX4977"/>
      <c r="AY4977"/>
      <c r="BK4977" s="42">
        <v>4976</v>
      </c>
      <c r="BL4977" s="42">
        <v>4</v>
      </c>
      <c r="BM4977" s="42">
        <v>0.11332468572476186</v>
      </c>
      <c r="BN4977" s="42" t="e">
        <v>#N/A</v>
      </c>
      <c r="BO4977" s="42" t="e">
        <v>#N/A</v>
      </c>
      <c r="BP4977" s="42" t="e">
        <v>#N/A</v>
      </c>
      <c r="BQ4977">
        <v>0.11332468572476186</v>
      </c>
      <c r="BR4977" t="str">
        <v/>
      </c>
    </row>
    <row r="4978" spans="47:70" x14ac:dyDescent="0.2">
      <c r="AU4978"/>
      <c r="AV4978"/>
      <c r="AW4978"/>
      <c r="AX4978"/>
      <c r="AY4978"/>
      <c r="BK4978" s="42">
        <v>4977</v>
      </c>
      <c r="BL4978" s="42">
        <v>4</v>
      </c>
      <c r="BM4978" s="42">
        <v>0.11332468572476186</v>
      </c>
      <c r="BN4978" s="42" t="e">
        <v>#N/A</v>
      </c>
      <c r="BO4978" s="42" t="e">
        <v>#N/A</v>
      </c>
      <c r="BP4978" s="42" t="e">
        <v>#N/A</v>
      </c>
      <c r="BQ4978">
        <v>0.11332468572476186</v>
      </c>
      <c r="BR4978" t="str">
        <v/>
      </c>
    </row>
    <row r="4979" spans="47:70" x14ac:dyDescent="0.2">
      <c r="AU4979"/>
      <c r="AV4979"/>
      <c r="AW4979"/>
      <c r="AX4979"/>
      <c r="AY4979"/>
      <c r="BK4979" s="42">
        <v>4978</v>
      </c>
      <c r="BL4979" s="42">
        <v>4</v>
      </c>
      <c r="BM4979" s="42">
        <v>0.11332468572476186</v>
      </c>
      <c r="BN4979" s="42" t="e">
        <v>#N/A</v>
      </c>
      <c r="BO4979" s="42" t="e">
        <v>#N/A</v>
      </c>
      <c r="BP4979" s="42" t="e">
        <v>#N/A</v>
      </c>
      <c r="BQ4979">
        <v>0.11332468572476186</v>
      </c>
      <c r="BR4979" t="str">
        <v/>
      </c>
    </row>
    <row r="4980" spans="47:70" x14ac:dyDescent="0.2">
      <c r="AU4980"/>
      <c r="AV4980"/>
      <c r="AW4980"/>
      <c r="AX4980"/>
      <c r="AY4980"/>
      <c r="BK4980" s="42">
        <v>4979</v>
      </c>
      <c r="BL4980" s="42">
        <v>4</v>
      </c>
      <c r="BM4980" s="42">
        <v>0.11332468572476186</v>
      </c>
      <c r="BN4980" s="42" t="e">
        <v>#N/A</v>
      </c>
      <c r="BO4980" s="42" t="e">
        <v>#N/A</v>
      </c>
      <c r="BP4980" s="42" t="e">
        <v>#N/A</v>
      </c>
      <c r="BQ4980">
        <v>0.11332468572476186</v>
      </c>
      <c r="BR4980" t="str">
        <v/>
      </c>
    </row>
    <row r="4981" spans="47:70" x14ac:dyDescent="0.2">
      <c r="AU4981"/>
      <c r="AV4981"/>
      <c r="AW4981"/>
      <c r="AX4981"/>
      <c r="AY4981"/>
      <c r="BK4981" s="42">
        <v>4980</v>
      </c>
      <c r="BL4981" s="42">
        <v>4</v>
      </c>
      <c r="BM4981" s="42">
        <v>0.11332468572476186</v>
      </c>
      <c r="BN4981" s="42" t="e">
        <v>#N/A</v>
      </c>
      <c r="BO4981" s="42" t="e">
        <v>#N/A</v>
      </c>
      <c r="BP4981" s="42" t="e">
        <v>#N/A</v>
      </c>
      <c r="BQ4981">
        <v>0.11332468572476186</v>
      </c>
      <c r="BR4981" t="str">
        <v/>
      </c>
    </row>
    <row r="4982" spans="47:70" x14ac:dyDescent="0.2">
      <c r="AU4982"/>
      <c r="AV4982"/>
      <c r="AW4982"/>
      <c r="AX4982"/>
      <c r="AY4982"/>
      <c r="BK4982" s="42">
        <v>4981</v>
      </c>
      <c r="BL4982" s="42">
        <v>4</v>
      </c>
      <c r="BM4982" s="42">
        <v>0.11332468572476186</v>
      </c>
      <c r="BN4982" s="42" t="e">
        <v>#N/A</v>
      </c>
      <c r="BO4982" s="42" t="e">
        <v>#N/A</v>
      </c>
      <c r="BP4982" s="42" t="e">
        <v>#N/A</v>
      </c>
      <c r="BQ4982">
        <v>0.11332468572476186</v>
      </c>
      <c r="BR4982" t="str">
        <v/>
      </c>
    </row>
    <row r="4983" spans="47:70" x14ac:dyDescent="0.2">
      <c r="AU4983"/>
      <c r="AV4983"/>
      <c r="AW4983"/>
      <c r="AX4983"/>
      <c r="AY4983"/>
      <c r="BK4983" s="42">
        <v>4982</v>
      </c>
      <c r="BL4983" s="42">
        <v>4</v>
      </c>
      <c r="BM4983" s="42">
        <v>0.11332468572476186</v>
      </c>
      <c r="BN4983" s="42" t="e">
        <v>#N/A</v>
      </c>
      <c r="BO4983" s="42" t="e">
        <v>#N/A</v>
      </c>
      <c r="BP4983" s="42" t="e">
        <v>#N/A</v>
      </c>
      <c r="BQ4983">
        <v>0.11332468572476186</v>
      </c>
      <c r="BR4983" t="str">
        <v/>
      </c>
    </row>
    <row r="4984" spans="47:70" x14ac:dyDescent="0.2">
      <c r="AU4984"/>
      <c r="AV4984"/>
      <c r="AW4984"/>
      <c r="AX4984"/>
      <c r="AY4984"/>
      <c r="BK4984" s="42">
        <v>4983</v>
      </c>
      <c r="BL4984" s="42">
        <v>4</v>
      </c>
      <c r="BM4984" s="42">
        <v>0.11332468572476186</v>
      </c>
      <c r="BN4984" s="42" t="e">
        <v>#N/A</v>
      </c>
      <c r="BO4984" s="42" t="e">
        <v>#N/A</v>
      </c>
      <c r="BP4984" s="42" t="e">
        <v>#N/A</v>
      </c>
      <c r="BQ4984">
        <v>0.11332468572476186</v>
      </c>
      <c r="BR4984" t="str">
        <v/>
      </c>
    </row>
    <row r="4985" spans="47:70" x14ac:dyDescent="0.2">
      <c r="AU4985"/>
      <c r="AV4985"/>
      <c r="AW4985"/>
      <c r="AX4985"/>
      <c r="AY4985"/>
      <c r="BK4985" s="42">
        <v>4984</v>
      </c>
      <c r="BL4985" s="42">
        <v>4</v>
      </c>
      <c r="BM4985" s="42">
        <v>0.11332468572476186</v>
      </c>
      <c r="BN4985" s="42" t="e">
        <v>#N/A</v>
      </c>
      <c r="BO4985" s="42" t="e">
        <v>#N/A</v>
      </c>
      <c r="BP4985" s="42" t="e">
        <v>#N/A</v>
      </c>
      <c r="BQ4985">
        <v>0.11332468572476186</v>
      </c>
      <c r="BR4985" t="str">
        <v/>
      </c>
    </row>
    <row r="4986" spans="47:70" x14ac:dyDescent="0.2">
      <c r="AU4986"/>
      <c r="AV4986"/>
      <c r="AW4986"/>
      <c r="AX4986"/>
      <c r="AY4986"/>
      <c r="BK4986" s="42">
        <v>4985</v>
      </c>
      <c r="BL4986" s="42">
        <v>4</v>
      </c>
      <c r="BM4986" s="42">
        <v>0.11332468572476186</v>
      </c>
      <c r="BN4986" s="42" t="e">
        <v>#N/A</v>
      </c>
      <c r="BO4986" s="42" t="e">
        <v>#N/A</v>
      </c>
      <c r="BP4986" s="42" t="e">
        <v>#N/A</v>
      </c>
      <c r="BQ4986">
        <v>0.11332468572476186</v>
      </c>
      <c r="BR4986" t="str">
        <v/>
      </c>
    </row>
    <row r="4987" spans="47:70" x14ac:dyDescent="0.2">
      <c r="AU4987"/>
      <c r="AV4987"/>
      <c r="AW4987"/>
      <c r="AX4987"/>
      <c r="AY4987"/>
      <c r="BK4987" s="42">
        <v>4986</v>
      </c>
      <c r="BL4987" s="42">
        <v>4</v>
      </c>
      <c r="BM4987" s="42">
        <v>0.11332468572476186</v>
      </c>
      <c r="BN4987" s="42" t="e">
        <v>#N/A</v>
      </c>
      <c r="BO4987" s="42" t="e">
        <v>#N/A</v>
      </c>
      <c r="BP4987" s="42" t="e">
        <v>#N/A</v>
      </c>
      <c r="BQ4987">
        <v>0.11332468572476186</v>
      </c>
      <c r="BR4987" t="str">
        <v/>
      </c>
    </row>
    <row r="4988" spans="47:70" x14ac:dyDescent="0.2">
      <c r="AU4988"/>
      <c r="AV4988"/>
      <c r="AW4988"/>
      <c r="AX4988"/>
      <c r="AY4988"/>
      <c r="BK4988" s="42">
        <v>4987</v>
      </c>
      <c r="BL4988" s="42">
        <v>4</v>
      </c>
      <c r="BM4988" s="42">
        <v>0.11332468572476186</v>
      </c>
      <c r="BN4988" s="42" t="e">
        <v>#N/A</v>
      </c>
      <c r="BO4988" s="42" t="e">
        <v>#N/A</v>
      </c>
      <c r="BP4988" s="42" t="e">
        <v>#N/A</v>
      </c>
      <c r="BQ4988">
        <v>0.11332468572476186</v>
      </c>
      <c r="BR4988" t="str">
        <v/>
      </c>
    </row>
    <row r="4989" spans="47:70" x14ac:dyDescent="0.2">
      <c r="AU4989"/>
      <c r="AV4989"/>
      <c r="AW4989"/>
      <c r="AX4989"/>
      <c r="AY4989"/>
      <c r="BK4989" s="42">
        <v>4988</v>
      </c>
      <c r="BL4989" s="42">
        <v>4</v>
      </c>
      <c r="BM4989" s="42">
        <v>0.11332468572476186</v>
      </c>
      <c r="BN4989" s="42" t="e">
        <v>#N/A</v>
      </c>
      <c r="BO4989" s="42" t="e">
        <v>#N/A</v>
      </c>
      <c r="BP4989" s="42" t="e">
        <v>#N/A</v>
      </c>
      <c r="BQ4989">
        <v>0.11332468572476186</v>
      </c>
      <c r="BR4989" t="str">
        <v/>
      </c>
    </row>
    <row r="4990" spans="47:70" x14ac:dyDescent="0.2">
      <c r="AU4990"/>
      <c r="AV4990"/>
      <c r="AW4990"/>
      <c r="AX4990"/>
      <c r="AY4990"/>
      <c r="BK4990" s="42">
        <v>4989</v>
      </c>
      <c r="BL4990" s="42">
        <v>4</v>
      </c>
      <c r="BM4990" s="42">
        <v>0.11332468572476186</v>
      </c>
      <c r="BN4990" s="42" t="e">
        <v>#N/A</v>
      </c>
      <c r="BO4990" s="42" t="e">
        <v>#N/A</v>
      </c>
      <c r="BP4990" s="42" t="e">
        <v>#N/A</v>
      </c>
      <c r="BQ4990">
        <v>0.11332468572476186</v>
      </c>
      <c r="BR4990" t="str">
        <v/>
      </c>
    </row>
    <row r="4991" spans="47:70" x14ac:dyDescent="0.2">
      <c r="AU4991"/>
      <c r="AV4991"/>
      <c r="AW4991"/>
      <c r="AX4991"/>
      <c r="AY4991"/>
      <c r="BK4991" s="42">
        <v>4990</v>
      </c>
      <c r="BL4991" s="42">
        <v>4</v>
      </c>
      <c r="BM4991" s="42">
        <v>0.11332468572476186</v>
      </c>
      <c r="BN4991" s="42" t="e">
        <v>#N/A</v>
      </c>
      <c r="BO4991" s="42" t="e">
        <v>#N/A</v>
      </c>
      <c r="BP4991" s="42" t="e">
        <v>#N/A</v>
      </c>
      <c r="BQ4991">
        <v>0.11332468572476186</v>
      </c>
      <c r="BR4991" t="str">
        <v/>
      </c>
    </row>
    <row r="4992" spans="47:70" x14ac:dyDescent="0.2">
      <c r="AU4992"/>
      <c r="AV4992"/>
      <c r="AW4992"/>
      <c r="AX4992"/>
      <c r="AY4992"/>
      <c r="BK4992" s="42">
        <v>4991</v>
      </c>
      <c r="BL4992" s="42">
        <v>4</v>
      </c>
      <c r="BM4992" s="42">
        <v>0.11332468572476186</v>
      </c>
      <c r="BN4992" s="42" t="e">
        <v>#N/A</v>
      </c>
      <c r="BO4992" s="42" t="e">
        <v>#N/A</v>
      </c>
      <c r="BP4992" s="42" t="e">
        <v>#N/A</v>
      </c>
      <c r="BQ4992">
        <v>0.11332468572476186</v>
      </c>
      <c r="BR4992" t="str">
        <v/>
      </c>
    </row>
    <row r="4993" spans="47:70" x14ac:dyDescent="0.2">
      <c r="AU4993"/>
      <c r="AV4993"/>
      <c r="AW4993"/>
      <c r="AX4993"/>
      <c r="AY4993"/>
      <c r="BK4993" s="42">
        <v>4992</v>
      </c>
      <c r="BL4993" s="42">
        <v>4</v>
      </c>
      <c r="BM4993" s="42">
        <v>0.11332468572476186</v>
      </c>
      <c r="BN4993" s="42" t="e">
        <v>#N/A</v>
      </c>
      <c r="BO4993" s="42" t="e">
        <v>#N/A</v>
      </c>
      <c r="BP4993" s="42" t="e">
        <v>#N/A</v>
      </c>
      <c r="BQ4993">
        <v>0.11332468572476186</v>
      </c>
      <c r="BR4993" t="str">
        <v/>
      </c>
    </row>
    <row r="4994" spans="47:70" x14ac:dyDescent="0.2">
      <c r="AU4994"/>
      <c r="AV4994"/>
      <c r="AW4994"/>
      <c r="AX4994"/>
      <c r="AY4994"/>
      <c r="BK4994" s="42">
        <v>4993</v>
      </c>
      <c r="BL4994" s="42">
        <v>4</v>
      </c>
      <c r="BM4994" s="42">
        <v>0.11332468572476186</v>
      </c>
      <c r="BN4994" s="42" t="e">
        <v>#N/A</v>
      </c>
      <c r="BO4994" s="42" t="e">
        <v>#N/A</v>
      </c>
      <c r="BP4994" s="42" t="e">
        <v>#N/A</v>
      </c>
      <c r="BQ4994">
        <v>0.11332468572476186</v>
      </c>
      <c r="BR4994" t="str">
        <v/>
      </c>
    </row>
    <row r="4995" spans="47:70" x14ac:dyDescent="0.2">
      <c r="AU4995"/>
      <c r="AV4995"/>
      <c r="AW4995"/>
      <c r="AX4995"/>
      <c r="AY4995"/>
      <c r="BK4995" s="42">
        <v>4994</v>
      </c>
      <c r="BL4995" s="42">
        <v>4</v>
      </c>
      <c r="BM4995" s="42">
        <v>0.11332468572476186</v>
      </c>
      <c r="BN4995" s="42" t="e">
        <v>#N/A</v>
      </c>
      <c r="BO4995" s="42" t="e">
        <v>#N/A</v>
      </c>
      <c r="BP4995" s="42" t="e">
        <v>#N/A</v>
      </c>
      <c r="BQ4995">
        <v>0.11332468572476186</v>
      </c>
      <c r="BR4995" t="str">
        <v/>
      </c>
    </row>
    <row r="4996" spans="47:70" x14ac:dyDescent="0.2">
      <c r="AU4996"/>
      <c r="AV4996"/>
      <c r="AW4996"/>
      <c r="AX4996"/>
      <c r="AY4996"/>
      <c r="BK4996" s="42">
        <v>4995</v>
      </c>
      <c r="BL4996" s="42">
        <v>4</v>
      </c>
      <c r="BM4996" s="42">
        <v>0.11332468572476186</v>
      </c>
      <c r="BN4996" s="42" t="e">
        <v>#N/A</v>
      </c>
      <c r="BO4996" s="42" t="e">
        <v>#N/A</v>
      </c>
      <c r="BP4996" s="42" t="e">
        <v>#N/A</v>
      </c>
      <c r="BQ4996">
        <v>0.11332468572476186</v>
      </c>
      <c r="BR4996" t="str">
        <v/>
      </c>
    </row>
    <row r="4997" spans="47:70" x14ac:dyDescent="0.2">
      <c r="AU4997"/>
      <c r="AV4997"/>
      <c r="AW4997"/>
      <c r="AX4997"/>
      <c r="AY4997"/>
      <c r="BK4997" s="42">
        <v>4996</v>
      </c>
      <c r="BL4997" s="42">
        <v>4</v>
      </c>
      <c r="BM4997" s="42">
        <v>0.11332468572476186</v>
      </c>
      <c r="BN4997" s="42" t="e">
        <v>#N/A</v>
      </c>
      <c r="BO4997" s="42" t="e">
        <v>#N/A</v>
      </c>
      <c r="BP4997" s="42" t="e">
        <v>#N/A</v>
      </c>
      <c r="BQ4997">
        <v>0.11332468572476186</v>
      </c>
      <c r="BR4997" t="str">
        <v/>
      </c>
    </row>
    <row r="4998" spans="47:70" x14ac:dyDescent="0.2">
      <c r="AU4998"/>
      <c r="AV4998"/>
      <c r="AW4998"/>
      <c r="AX4998"/>
      <c r="AY4998"/>
      <c r="BK4998" s="42">
        <v>4997</v>
      </c>
      <c r="BL4998" s="42">
        <v>4</v>
      </c>
      <c r="BM4998" s="42">
        <v>0.11332468572476186</v>
      </c>
      <c r="BN4998" s="42" t="e">
        <v>#N/A</v>
      </c>
      <c r="BO4998" s="42" t="e">
        <v>#N/A</v>
      </c>
      <c r="BP4998" s="42" t="e">
        <v>#N/A</v>
      </c>
      <c r="BQ4998">
        <v>0.11332468572476186</v>
      </c>
      <c r="BR4998" t="str">
        <v/>
      </c>
    </row>
    <row r="4999" spans="47:70" x14ac:dyDescent="0.2">
      <c r="AU4999"/>
      <c r="AV4999"/>
      <c r="AW4999"/>
      <c r="AX4999"/>
      <c r="AY4999"/>
      <c r="BK4999" s="42">
        <v>4998</v>
      </c>
      <c r="BL4999" s="42">
        <v>4</v>
      </c>
      <c r="BM4999" s="42">
        <v>0.11332468572476186</v>
      </c>
      <c r="BN4999" s="42" t="e">
        <v>#N/A</v>
      </c>
      <c r="BO4999" s="42" t="e">
        <v>#N/A</v>
      </c>
      <c r="BP4999" s="42" t="e">
        <v>#N/A</v>
      </c>
      <c r="BQ4999">
        <v>0.11332468572476186</v>
      </c>
      <c r="BR4999" t="str">
        <v/>
      </c>
    </row>
    <row r="5000" spans="47:70" x14ac:dyDescent="0.2">
      <c r="AU5000"/>
      <c r="AV5000"/>
      <c r="AW5000"/>
      <c r="AX5000"/>
      <c r="AY5000"/>
      <c r="BK5000" s="42">
        <v>4999</v>
      </c>
      <c r="BL5000" s="42">
        <v>4</v>
      </c>
      <c r="BM5000" s="42">
        <v>0.11332468572476186</v>
      </c>
      <c r="BN5000" s="42" t="e">
        <v>#N/A</v>
      </c>
      <c r="BO5000" s="42" t="e">
        <v>#N/A</v>
      </c>
      <c r="BP5000" s="42" t="e">
        <v>#N/A</v>
      </c>
      <c r="BQ5000">
        <v>0.11332468572476186</v>
      </c>
      <c r="BR5000" t="str">
        <v/>
      </c>
    </row>
    <row r="5001" spans="47:70" x14ac:dyDescent="0.2">
      <c r="AU5001"/>
      <c r="AV5001"/>
      <c r="AW5001"/>
      <c r="AX5001"/>
      <c r="AY5001"/>
      <c r="BK5001" s="42">
        <v>5000</v>
      </c>
      <c r="BL5001" s="42">
        <v>4</v>
      </c>
      <c r="BM5001" s="42">
        <v>0.11332468572476186</v>
      </c>
      <c r="BN5001" s="42" t="e">
        <v>#N/A</v>
      </c>
      <c r="BO5001" s="42" t="e">
        <v>#N/A</v>
      </c>
      <c r="BP5001" s="42" t="e">
        <v>#N/A</v>
      </c>
      <c r="BQ5001">
        <v>0.11332468572476186</v>
      </c>
      <c r="BR5001">
        <v>13</v>
      </c>
    </row>
    <row r="5002" spans="47:70" x14ac:dyDescent="0.2">
      <c r="AU5002"/>
      <c r="AV5002"/>
      <c r="AW5002"/>
      <c r="AX5002"/>
      <c r="AY5002"/>
    </row>
    <row r="5003" spans="47:70" x14ac:dyDescent="0.2">
      <c r="AU5003"/>
      <c r="AV5003"/>
      <c r="AW5003"/>
      <c r="AX5003"/>
      <c r="AY5003"/>
    </row>
    <row r="5004" spans="47:70" x14ac:dyDescent="0.2">
      <c r="AU5004"/>
      <c r="AV5004"/>
      <c r="AW5004"/>
      <c r="AX5004"/>
      <c r="AY5004"/>
    </row>
    <row r="5005" spans="47:70" x14ac:dyDescent="0.2">
      <c r="AU5005"/>
      <c r="AV5005"/>
      <c r="AW5005"/>
      <c r="AX5005"/>
      <c r="AY5005"/>
    </row>
    <row r="5006" spans="47:70" x14ac:dyDescent="0.2">
      <c r="AU5006"/>
      <c r="AV5006"/>
      <c r="AW5006"/>
      <c r="AX5006"/>
      <c r="AY5006"/>
    </row>
    <row r="5007" spans="47:70" x14ac:dyDescent="0.2">
      <c r="AU5007"/>
      <c r="AV5007"/>
      <c r="AW5007"/>
      <c r="AX5007"/>
      <c r="AY5007"/>
    </row>
    <row r="5008" spans="47:70" x14ac:dyDescent="0.2">
      <c r="AU5008"/>
      <c r="AV5008"/>
      <c r="AW5008"/>
      <c r="AX5008"/>
      <c r="AY5008"/>
    </row>
    <row r="5009" spans="47:51" x14ac:dyDescent="0.2">
      <c r="AU5009"/>
      <c r="AV5009"/>
      <c r="AW5009"/>
      <c r="AX5009"/>
      <c r="AY5009"/>
    </row>
    <row r="5010" spans="47:51" x14ac:dyDescent="0.2">
      <c r="AU5010"/>
      <c r="AV5010"/>
      <c r="AW5010"/>
      <c r="AX5010"/>
      <c r="AY5010"/>
    </row>
    <row r="5011" spans="47:51" x14ac:dyDescent="0.2">
      <c r="AU5011"/>
      <c r="AV5011"/>
      <c r="AW5011"/>
      <c r="AX5011"/>
      <c r="AY5011"/>
    </row>
    <row r="5012" spans="47:51" x14ac:dyDescent="0.2">
      <c r="AU5012"/>
      <c r="AV5012"/>
      <c r="AW5012"/>
      <c r="AX5012"/>
      <c r="AY5012"/>
    </row>
    <row r="5013" spans="47:51" x14ac:dyDescent="0.2">
      <c r="AU5013"/>
      <c r="AV5013"/>
      <c r="AW5013"/>
      <c r="AX5013"/>
      <c r="AY5013"/>
    </row>
    <row r="5014" spans="47:51" x14ac:dyDescent="0.2">
      <c r="AU5014"/>
      <c r="AV5014"/>
      <c r="AW5014"/>
      <c r="AX5014"/>
      <c r="AY5014"/>
    </row>
    <row r="5015" spans="47:51" x14ac:dyDescent="0.2">
      <c r="AU5015"/>
      <c r="AV5015"/>
      <c r="AW5015"/>
      <c r="AX5015"/>
      <c r="AY5015"/>
    </row>
    <row r="5016" spans="47:51" x14ac:dyDescent="0.2">
      <c r="AU5016"/>
      <c r="AV5016"/>
      <c r="AW5016"/>
      <c r="AX5016"/>
      <c r="AY5016"/>
    </row>
    <row r="5017" spans="47:51" x14ac:dyDescent="0.2">
      <c r="AU5017"/>
      <c r="AV5017"/>
      <c r="AW5017"/>
      <c r="AX5017"/>
      <c r="AY5017"/>
    </row>
    <row r="5018" spans="47:51" x14ac:dyDescent="0.2">
      <c r="AU5018"/>
      <c r="AV5018"/>
      <c r="AW5018"/>
      <c r="AX5018"/>
      <c r="AY5018"/>
    </row>
    <row r="5019" spans="47:51" x14ac:dyDescent="0.2">
      <c r="AU5019"/>
      <c r="AV5019"/>
      <c r="AW5019"/>
      <c r="AX5019"/>
      <c r="AY5019"/>
    </row>
    <row r="5020" spans="47:51" x14ac:dyDescent="0.2">
      <c r="AU5020"/>
      <c r="AV5020"/>
      <c r="AW5020"/>
      <c r="AX5020"/>
      <c r="AY5020"/>
    </row>
    <row r="5021" spans="47:51" x14ac:dyDescent="0.2">
      <c r="AU5021"/>
      <c r="AV5021"/>
      <c r="AW5021"/>
      <c r="AX5021"/>
      <c r="AY5021"/>
    </row>
    <row r="5022" spans="47:51" x14ac:dyDescent="0.2">
      <c r="AU5022"/>
      <c r="AV5022"/>
      <c r="AW5022"/>
      <c r="AX5022"/>
      <c r="AY5022"/>
    </row>
    <row r="5023" spans="47:51" x14ac:dyDescent="0.2">
      <c r="AU5023"/>
      <c r="AV5023"/>
      <c r="AW5023"/>
      <c r="AX5023"/>
      <c r="AY5023"/>
    </row>
    <row r="5024" spans="47:51" x14ac:dyDescent="0.2">
      <c r="AU5024"/>
      <c r="AV5024"/>
      <c r="AW5024"/>
      <c r="AX5024"/>
      <c r="AY5024"/>
    </row>
    <row r="5025" spans="47:51" x14ac:dyDescent="0.2">
      <c r="AU5025"/>
      <c r="AV5025"/>
      <c r="AW5025"/>
      <c r="AX5025"/>
      <c r="AY5025"/>
    </row>
    <row r="5026" spans="47:51" x14ac:dyDescent="0.2">
      <c r="AU5026"/>
      <c r="AV5026"/>
      <c r="AW5026"/>
      <c r="AX5026"/>
      <c r="AY5026"/>
    </row>
    <row r="5027" spans="47:51" x14ac:dyDescent="0.2">
      <c r="AU5027"/>
      <c r="AV5027"/>
      <c r="AW5027"/>
      <c r="AX5027"/>
      <c r="AY5027"/>
    </row>
    <row r="5028" spans="47:51" x14ac:dyDescent="0.2">
      <c r="AU5028"/>
      <c r="AV5028"/>
      <c r="AW5028"/>
      <c r="AX5028"/>
      <c r="AY5028"/>
    </row>
    <row r="5029" spans="47:51" x14ac:dyDescent="0.2">
      <c r="AU5029"/>
      <c r="AV5029"/>
      <c r="AW5029"/>
      <c r="AX5029"/>
      <c r="AY5029"/>
    </row>
    <row r="5030" spans="47:51" x14ac:dyDescent="0.2">
      <c r="AU5030"/>
      <c r="AV5030"/>
      <c r="AW5030"/>
      <c r="AX5030"/>
      <c r="AY5030"/>
    </row>
    <row r="5031" spans="47:51" x14ac:dyDescent="0.2">
      <c r="AU5031"/>
      <c r="AV5031"/>
      <c r="AW5031"/>
      <c r="AX5031"/>
      <c r="AY5031"/>
    </row>
    <row r="5032" spans="47:51" x14ac:dyDescent="0.2">
      <c r="AU5032"/>
      <c r="AV5032"/>
      <c r="AW5032"/>
      <c r="AX5032"/>
      <c r="AY5032"/>
    </row>
    <row r="5033" spans="47:51" x14ac:dyDescent="0.2">
      <c r="AU5033"/>
      <c r="AV5033"/>
      <c r="AW5033"/>
      <c r="AX5033"/>
      <c r="AY5033"/>
    </row>
    <row r="5034" spans="47:51" x14ac:dyDescent="0.2">
      <c r="AU5034"/>
      <c r="AV5034"/>
      <c r="AW5034"/>
      <c r="AX5034"/>
      <c r="AY5034"/>
    </row>
    <row r="5035" spans="47:51" x14ac:dyDescent="0.2">
      <c r="AU5035"/>
      <c r="AV5035"/>
      <c r="AW5035"/>
      <c r="AX5035"/>
      <c r="AY5035"/>
    </row>
    <row r="5036" spans="47:51" x14ac:dyDescent="0.2">
      <c r="AU5036"/>
      <c r="AV5036"/>
      <c r="AW5036"/>
      <c r="AX5036"/>
      <c r="AY5036"/>
    </row>
    <row r="5037" spans="47:51" x14ac:dyDescent="0.2">
      <c r="AU5037"/>
      <c r="AV5037"/>
      <c r="AW5037"/>
      <c r="AX5037"/>
      <c r="AY5037"/>
    </row>
    <row r="5038" spans="47:51" x14ac:dyDescent="0.2">
      <c r="AU5038"/>
      <c r="AV5038"/>
      <c r="AW5038"/>
      <c r="AX5038"/>
      <c r="AY5038"/>
    </row>
    <row r="5039" spans="47:51" x14ac:dyDescent="0.2">
      <c r="AU5039"/>
      <c r="AV5039"/>
      <c r="AW5039"/>
      <c r="AX5039"/>
      <c r="AY5039"/>
    </row>
    <row r="5040" spans="47:51" x14ac:dyDescent="0.2">
      <c r="AU5040"/>
      <c r="AV5040"/>
      <c r="AW5040"/>
      <c r="AX5040"/>
      <c r="AY5040"/>
    </row>
    <row r="5041" spans="47:51" x14ac:dyDescent="0.2">
      <c r="AU5041"/>
      <c r="AV5041"/>
      <c r="AW5041"/>
      <c r="AX5041"/>
      <c r="AY5041"/>
    </row>
    <row r="5042" spans="47:51" x14ac:dyDescent="0.2">
      <c r="AU5042"/>
      <c r="AV5042"/>
      <c r="AW5042"/>
      <c r="AX5042"/>
      <c r="AY5042"/>
    </row>
    <row r="5043" spans="47:51" x14ac:dyDescent="0.2">
      <c r="AU5043"/>
      <c r="AV5043"/>
      <c r="AW5043"/>
      <c r="AX5043"/>
      <c r="AY5043"/>
    </row>
    <row r="5044" spans="47:51" x14ac:dyDescent="0.2">
      <c r="AU5044"/>
      <c r="AV5044"/>
      <c r="AW5044"/>
      <c r="AX5044"/>
      <c r="AY5044"/>
    </row>
    <row r="5045" spans="47:51" x14ac:dyDescent="0.2">
      <c r="AU5045"/>
      <c r="AV5045"/>
      <c r="AW5045"/>
      <c r="AX5045"/>
      <c r="AY5045"/>
    </row>
    <row r="5046" spans="47:51" x14ac:dyDescent="0.2">
      <c r="AU5046"/>
      <c r="AV5046"/>
      <c r="AW5046"/>
      <c r="AX5046"/>
      <c r="AY5046"/>
    </row>
    <row r="5047" spans="47:51" x14ac:dyDescent="0.2">
      <c r="AU5047"/>
      <c r="AV5047"/>
      <c r="AW5047"/>
      <c r="AX5047"/>
      <c r="AY5047"/>
    </row>
    <row r="5048" spans="47:51" x14ac:dyDescent="0.2">
      <c r="AU5048"/>
      <c r="AV5048"/>
      <c r="AW5048"/>
      <c r="AX5048"/>
      <c r="AY5048"/>
    </row>
    <row r="5049" spans="47:51" x14ac:dyDescent="0.2">
      <c r="AU5049"/>
      <c r="AV5049"/>
      <c r="AW5049"/>
      <c r="AX5049"/>
      <c r="AY5049"/>
    </row>
    <row r="5050" spans="47:51" x14ac:dyDescent="0.2">
      <c r="AU5050"/>
      <c r="AV5050"/>
      <c r="AW5050"/>
      <c r="AX5050"/>
      <c r="AY5050"/>
    </row>
    <row r="5051" spans="47:51" x14ac:dyDescent="0.2">
      <c r="AU5051"/>
      <c r="AV5051"/>
      <c r="AW5051"/>
      <c r="AX5051"/>
      <c r="AY5051"/>
    </row>
    <row r="5052" spans="47:51" x14ac:dyDescent="0.2">
      <c r="AU5052"/>
      <c r="AV5052"/>
      <c r="AW5052"/>
      <c r="AX5052"/>
      <c r="AY5052"/>
    </row>
    <row r="5053" spans="47:51" x14ac:dyDescent="0.2">
      <c r="AU5053"/>
      <c r="AV5053"/>
      <c r="AW5053"/>
      <c r="AX5053"/>
      <c r="AY5053"/>
    </row>
    <row r="5054" spans="47:51" x14ac:dyDescent="0.2">
      <c r="AU5054"/>
      <c r="AV5054"/>
      <c r="AW5054"/>
      <c r="AX5054"/>
      <c r="AY5054"/>
    </row>
    <row r="5055" spans="47:51" x14ac:dyDescent="0.2">
      <c r="AU5055"/>
      <c r="AV5055"/>
      <c r="AW5055"/>
      <c r="AX5055"/>
      <c r="AY5055"/>
    </row>
    <row r="5056" spans="47:51" x14ac:dyDescent="0.2">
      <c r="AU5056"/>
      <c r="AV5056"/>
      <c r="AW5056"/>
      <c r="AX5056"/>
      <c r="AY5056"/>
    </row>
    <row r="5057" spans="47:51" x14ac:dyDescent="0.2">
      <c r="AU5057"/>
      <c r="AV5057"/>
      <c r="AW5057"/>
      <c r="AX5057"/>
      <c r="AY5057"/>
    </row>
    <row r="5058" spans="47:51" x14ac:dyDescent="0.2">
      <c r="AU5058"/>
      <c r="AV5058"/>
      <c r="AW5058"/>
      <c r="AX5058"/>
      <c r="AY5058"/>
    </row>
    <row r="5059" spans="47:51" x14ac:dyDescent="0.2">
      <c r="AU5059"/>
      <c r="AV5059"/>
      <c r="AW5059"/>
      <c r="AX5059"/>
      <c r="AY5059"/>
    </row>
    <row r="5060" spans="47:51" x14ac:dyDescent="0.2">
      <c r="AU5060"/>
      <c r="AV5060"/>
      <c r="AW5060"/>
      <c r="AX5060"/>
      <c r="AY5060"/>
    </row>
    <row r="5061" spans="47:51" x14ac:dyDescent="0.2">
      <c r="AU5061"/>
      <c r="AV5061"/>
      <c r="AW5061"/>
      <c r="AX5061"/>
      <c r="AY5061"/>
    </row>
    <row r="5062" spans="47:51" x14ac:dyDescent="0.2">
      <c r="AU5062"/>
      <c r="AV5062"/>
      <c r="AW5062"/>
      <c r="AX5062"/>
      <c r="AY5062"/>
    </row>
    <row r="5063" spans="47:51" x14ac:dyDescent="0.2">
      <c r="AU5063"/>
      <c r="AV5063"/>
      <c r="AW5063"/>
      <c r="AX5063"/>
      <c r="AY5063"/>
    </row>
    <row r="5064" spans="47:51" x14ac:dyDescent="0.2">
      <c r="AU5064"/>
      <c r="AV5064"/>
      <c r="AW5064"/>
      <c r="AX5064"/>
      <c r="AY5064"/>
    </row>
    <row r="5065" spans="47:51" x14ac:dyDescent="0.2">
      <c r="AU5065"/>
      <c r="AV5065"/>
      <c r="AW5065"/>
      <c r="AX5065"/>
      <c r="AY5065"/>
    </row>
    <row r="5066" spans="47:51" x14ac:dyDescent="0.2">
      <c r="AU5066"/>
      <c r="AV5066"/>
      <c r="AW5066"/>
      <c r="AX5066"/>
      <c r="AY5066"/>
    </row>
    <row r="5067" spans="47:51" x14ac:dyDescent="0.2">
      <c r="AU5067"/>
      <c r="AV5067"/>
      <c r="AW5067"/>
      <c r="AX5067"/>
      <c r="AY5067"/>
    </row>
    <row r="5068" spans="47:51" x14ac:dyDescent="0.2">
      <c r="AU5068"/>
      <c r="AV5068"/>
      <c r="AW5068"/>
      <c r="AX5068"/>
      <c r="AY5068"/>
    </row>
    <row r="5069" spans="47:51" x14ac:dyDescent="0.2">
      <c r="AU5069"/>
      <c r="AV5069"/>
      <c r="AW5069"/>
      <c r="AX5069"/>
      <c r="AY5069"/>
    </row>
    <row r="5070" spans="47:51" x14ac:dyDescent="0.2">
      <c r="AU5070"/>
      <c r="AV5070"/>
      <c r="AW5070"/>
      <c r="AX5070"/>
      <c r="AY5070"/>
    </row>
    <row r="5071" spans="47:51" x14ac:dyDescent="0.2">
      <c r="AU5071"/>
      <c r="AV5071"/>
      <c r="AW5071"/>
      <c r="AX5071"/>
      <c r="AY5071"/>
    </row>
    <row r="5072" spans="47:51" x14ac:dyDescent="0.2">
      <c r="AU5072"/>
      <c r="AV5072"/>
      <c r="AW5072"/>
      <c r="AX5072"/>
      <c r="AY5072"/>
    </row>
    <row r="5073" spans="47:51" x14ac:dyDescent="0.2">
      <c r="AU5073"/>
      <c r="AV5073"/>
      <c r="AW5073"/>
      <c r="AX5073"/>
      <c r="AY5073"/>
    </row>
    <row r="5074" spans="47:51" x14ac:dyDescent="0.2">
      <c r="AU5074"/>
      <c r="AV5074"/>
      <c r="AW5074"/>
      <c r="AX5074"/>
      <c r="AY5074"/>
    </row>
    <row r="5075" spans="47:51" x14ac:dyDescent="0.2">
      <c r="AU5075"/>
      <c r="AV5075"/>
      <c r="AW5075"/>
      <c r="AX5075"/>
      <c r="AY5075"/>
    </row>
    <row r="5076" spans="47:51" x14ac:dyDescent="0.2">
      <c r="AU5076"/>
      <c r="AV5076"/>
      <c r="AW5076"/>
      <c r="AX5076"/>
      <c r="AY5076"/>
    </row>
    <row r="5077" spans="47:51" x14ac:dyDescent="0.2">
      <c r="AU5077"/>
      <c r="AV5077"/>
      <c r="AW5077"/>
      <c r="AX5077"/>
      <c r="AY5077"/>
    </row>
    <row r="5078" spans="47:51" x14ac:dyDescent="0.2">
      <c r="AU5078"/>
      <c r="AV5078"/>
      <c r="AW5078"/>
      <c r="AX5078"/>
      <c r="AY5078"/>
    </row>
    <row r="5079" spans="47:51" x14ac:dyDescent="0.2">
      <c r="AU5079"/>
      <c r="AV5079"/>
      <c r="AW5079"/>
      <c r="AX5079"/>
      <c r="AY5079"/>
    </row>
    <row r="5080" spans="47:51" x14ac:dyDescent="0.2">
      <c r="AU5080"/>
      <c r="AV5080"/>
      <c r="AW5080"/>
      <c r="AX5080"/>
      <c r="AY5080"/>
    </row>
    <row r="5081" spans="47:51" x14ac:dyDescent="0.2">
      <c r="AU5081"/>
      <c r="AV5081"/>
      <c r="AW5081"/>
      <c r="AX5081"/>
      <c r="AY5081"/>
    </row>
    <row r="5082" spans="47:51" x14ac:dyDescent="0.2">
      <c r="AU5082"/>
      <c r="AV5082"/>
      <c r="AW5082"/>
      <c r="AX5082"/>
      <c r="AY5082"/>
    </row>
    <row r="5083" spans="47:51" x14ac:dyDescent="0.2">
      <c r="AU5083"/>
      <c r="AV5083"/>
      <c r="AW5083"/>
      <c r="AX5083"/>
      <c r="AY5083"/>
    </row>
    <row r="5084" spans="47:51" x14ac:dyDescent="0.2">
      <c r="AU5084"/>
      <c r="AV5084"/>
      <c r="AW5084"/>
      <c r="AX5084"/>
      <c r="AY5084"/>
    </row>
    <row r="5085" spans="47:51" x14ac:dyDescent="0.2">
      <c r="AU5085"/>
      <c r="AV5085"/>
      <c r="AW5085"/>
      <c r="AX5085"/>
      <c r="AY5085"/>
    </row>
    <row r="5086" spans="47:51" x14ac:dyDescent="0.2">
      <c r="AU5086"/>
      <c r="AV5086"/>
      <c r="AW5086"/>
      <c r="AX5086"/>
      <c r="AY5086"/>
    </row>
    <row r="5087" spans="47:51" x14ac:dyDescent="0.2">
      <c r="AU5087"/>
      <c r="AV5087"/>
      <c r="AW5087"/>
      <c r="AX5087"/>
      <c r="AY5087"/>
    </row>
    <row r="5088" spans="47:51" x14ac:dyDescent="0.2">
      <c r="AU5088"/>
      <c r="AV5088"/>
      <c r="AW5088"/>
      <c r="AX5088"/>
      <c r="AY5088"/>
    </row>
    <row r="5089" spans="47:51" x14ac:dyDescent="0.2">
      <c r="AU5089"/>
      <c r="AV5089"/>
      <c r="AW5089"/>
      <c r="AX5089"/>
      <c r="AY5089"/>
    </row>
    <row r="5090" spans="47:51" x14ac:dyDescent="0.2">
      <c r="AU5090"/>
      <c r="AV5090"/>
      <c r="AW5090"/>
      <c r="AX5090"/>
      <c r="AY5090"/>
    </row>
    <row r="5091" spans="47:51" x14ac:dyDescent="0.2">
      <c r="AU5091"/>
      <c r="AV5091"/>
      <c r="AW5091"/>
      <c r="AX5091"/>
      <c r="AY5091"/>
    </row>
    <row r="5092" spans="47:51" x14ac:dyDescent="0.2">
      <c r="AU5092"/>
      <c r="AV5092"/>
      <c r="AW5092"/>
      <c r="AX5092"/>
      <c r="AY5092"/>
    </row>
    <row r="5093" spans="47:51" x14ac:dyDescent="0.2">
      <c r="AU5093"/>
      <c r="AV5093"/>
      <c r="AW5093"/>
      <c r="AX5093"/>
      <c r="AY5093"/>
    </row>
    <row r="5094" spans="47:51" x14ac:dyDescent="0.2">
      <c r="AU5094"/>
      <c r="AV5094"/>
      <c r="AW5094"/>
      <c r="AX5094"/>
      <c r="AY5094"/>
    </row>
    <row r="5095" spans="47:51" x14ac:dyDescent="0.2">
      <c r="AU5095"/>
      <c r="AV5095"/>
      <c r="AW5095"/>
      <c r="AX5095"/>
      <c r="AY5095"/>
    </row>
    <row r="5096" spans="47:51" x14ac:dyDescent="0.2">
      <c r="AU5096"/>
      <c r="AV5096"/>
      <c r="AW5096"/>
      <c r="AX5096"/>
      <c r="AY5096"/>
    </row>
    <row r="5097" spans="47:51" x14ac:dyDescent="0.2">
      <c r="AU5097"/>
      <c r="AV5097"/>
      <c r="AW5097"/>
      <c r="AX5097"/>
      <c r="AY5097"/>
    </row>
    <row r="5098" spans="47:51" x14ac:dyDescent="0.2">
      <c r="AU5098"/>
      <c r="AV5098"/>
      <c r="AW5098"/>
      <c r="AX5098"/>
      <c r="AY5098"/>
    </row>
    <row r="5099" spans="47:51" x14ac:dyDescent="0.2">
      <c r="AU5099"/>
      <c r="AV5099"/>
      <c r="AW5099"/>
      <c r="AX5099"/>
      <c r="AY5099"/>
    </row>
    <row r="5100" spans="47:51" x14ac:dyDescent="0.2">
      <c r="AU5100"/>
      <c r="AV5100"/>
      <c r="AW5100"/>
      <c r="AX5100"/>
      <c r="AY5100"/>
    </row>
    <row r="5101" spans="47:51" x14ac:dyDescent="0.2">
      <c r="AU5101"/>
      <c r="AV5101"/>
      <c r="AW5101"/>
      <c r="AX5101"/>
      <c r="AY5101"/>
    </row>
    <row r="5102" spans="47:51" x14ac:dyDescent="0.2">
      <c r="AU5102"/>
      <c r="AV5102"/>
      <c r="AW5102"/>
      <c r="AX5102"/>
      <c r="AY5102"/>
    </row>
    <row r="5103" spans="47:51" x14ac:dyDescent="0.2">
      <c r="AU5103"/>
      <c r="AV5103"/>
      <c r="AW5103"/>
      <c r="AX5103"/>
      <c r="AY5103"/>
    </row>
    <row r="5104" spans="47:51" x14ac:dyDescent="0.2">
      <c r="AU5104"/>
      <c r="AV5104"/>
      <c r="AW5104"/>
      <c r="AX5104"/>
      <c r="AY5104"/>
    </row>
    <row r="5105" spans="47:51" x14ac:dyDescent="0.2">
      <c r="AU5105"/>
      <c r="AV5105"/>
      <c r="AW5105"/>
      <c r="AX5105"/>
      <c r="AY5105"/>
    </row>
    <row r="5106" spans="47:51" x14ac:dyDescent="0.2">
      <c r="AU5106"/>
      <c r="AV5106"/>
      <c r="AW5106"/>
      <c r="AX5106"/>
      <c r="AY5106"/>
    </row>
    <row r="5107" spans="47:51" x14ac:dyDescent="0.2">
      <c r="AU5107"/>
      <c r="AV5107"/>
      <c r="AW5107"/>
      <c r="AX5107"/>
      <c r="AY5107"/>
    </row>
    <row r="5108" spans="47:51" x14ac:dyDescent="0.2">
      <c r="AU5108"/>
      <c r="AV5108"/>
      <c r="AW5108"/>
      <c r="AX5108"/>
      <c r="AY5108"/>
    </row>
    <row r="5109" spans="47:51" x14ac:dyDescent="0.2">
      <c r="AU5109"/>
      <c r="AV5109"/>
      <c r="AW5109"/>
      <c r="AX5109"/>
      <c r="AY5109"/>
    </row>
    <row r="5110" spans="47:51" x14ac:dyDescent="0.2">
      <c r="AU5110"/>
      <c r="AV5110"/>
      <c r="AW5110"/>
      <c r="AX5110"/>
      <c r="AY5110"/>
    </row>
    <row r="5111" spans="47:51" x14ac:dyDescent="0.2">
      <c r="AU5111"/>
      <c r="AV5111"/>
      <c r="AW5111"/>
      <c r="AX5111"/>
      <c r="AY5111"/>
    </row>
    <row r="5112" spans="47:51" x14ac:dyDescent="0.2">
      <c r="AU5112"/>
      <c r="AV5112"/>
      <c r="AW5112"/>
      <c r="AX5112"/>
      <c r="AY5112"/>
    </row>
    <row r="5113" spans="47:51" x14ac:dyDescent="0.2">
      <c r="AU5113"/>
      <c r="AV5113"/>
      <c r="AW5113"/>
      <c r="AX5113"/>
      <c r="AY5113"/>
    </row>
    <row r="5114" spans="47:51" x14ac:dyDescent="0.2">
      <c r="AU5114"/>
      <c r="AV5114"/>
      <c r="AW5114"/>
      <c r="AX5114"/>
      <c r="AY5114"/>
    </row>
    <row r="5115" spans="47:51" x14ac:dyDescent="0.2">
      <c r="AU5115"/>
      <c r="AV5115"/>
      <c r="AW5115"/>
      <c r="AX5115"/>
      <c r="AY5115"/>
    </row>
    <row r="5116" spans="47:51" x14ac:dyDescent="0.2">
      <c r="AU5116"/>
      <c r="AV5116"/>
      <c r="AW5116"/>
      <c r="AX5116"/>
      <c r="AY5116"/>
    </row>
    <row r="5117" spans="47:51" x14ac:dyDescent="0.2">
      <c r="AU5117"/>
      <c r="AV5117"/>
      <c r="AW5117"/>
      <c r="AX5117"/>
      <c r="AY5117"/>
    </row>
    <row r="5118" spans="47:51" x14ac:dyDescent="0.2">
      <c r="AU5118"/>
      <c r="AV5118"/>
      <c r="AW5118"/>
      <c r="AX5118"/>
      <c r="AY5118"/>
    </row>
    <row r="5119" spans="47:51" x14ac:dyDescent="0.2">
      <c r="AU5119"/>
      <c r="AV5119"/>
      <c r="AW5119"/>
      <c r="AX5119"/>
      <c r="AY5119"/>
    </row>
    <row r="5120" spans="47:51" x14ac:dyDescent="0.2">
      <c r="AU5120"/>
      <c r="AV5120"/>
      <c r="AW5120"/>
      <c r="AX5120"/>
      <c r="AY5120"/>
    </row>
    <row r="5121" spans="47:51" x14ac:dyDescent="0.2">
      <c r="AU5121"/>
      <c r="AV5121"/>
      <c r="AW5121"/>
      <c r="AX5121"/>
      <c r="AY5121"/>
    </row>
    <row r="5122" spans="47:51" x14ac:dyDescent="0.2">
      <c r="AU5122"/>
      <c r="AV5122"/>
      <c r="AW5122"/>
      <c r="AX5122"/>
      <c r="AY5122"/>
    </row>
    <row r="5123" spans="47:51" x14ac:dyDescent="0.2">
      <c r="AU5123"/>
      <c r="AV5123"/>
      <c r="AW5123"/>
      <c r="AX5123"/>
      <c r="AY5123"/>
    </row>
    <row r="5124" spans="47:51" x14ac:dyDescent="0.2">
      <c r="AU5124"/>
      <c r="AV5124"/>
      <c r="AW5124"/>
      <c r="AX5124"/>
      <c r="AY5124"/>
    </row>
    <row r="5125" spans="47:51" x14ac:dyDescent="0.2">
      <c r="AU5125"/>
      <c r="AV5125"/>
      <c r="AW5125"/>
      <c r="AX5125"/>
      <c r="AY5125"/>
    </row>
    <row r="5126" spans="47:51" x14ac:dyDescent="0.2">
      <c r="AU5126"/>
      <c r="AV5126"/>
      <c r="AW5126"/>
      <c r="AX5126"/>
      <c r="AY5126"/>
    </row>
    <row r="5127" spans="47:51" x14ac:dyDescent="0.2">
      <c r="AU5127"/>
      <c r="AV5127"/>
      <c r="AW5127"/>
      <c r="AX5127"/>
      <c r="AY5127"/>
    </row>
    <row r="5128" spans="47:51" x14ac:dyDescent="0.2">
      <c r="AU5128"/>
      <c r="AV5128"/>
      <c r="AW5128"/>
      <c r="AX5128"/>
      <c r="AY5128"/>
    </row>
    <row r="5129" spans="47:51" x14ac:dyDescent="0.2">
      <c r="AU5129"/>
      <c r="AV5129"/>
      <c r="AW5129"/>
      <c r="AX5129"/>
      <c r="AY5129"/>
    </row>
    <row r="5130" spans="47:51" x14ac:dyDescent="0.2">
      <c r="AU5130"/>
      <c r="AV5130"/>
      <c r="AW5130"/>
      <c r="AX5130"/>
      <c r="AY5130"/>
    </row>
    <row r="5131" spans="47:51" x14ac:dyDescent="0.2">
      <c r="AU5131"/>
      <c r="AV5131"/>
      <c r="AW5131"/>
      <c r="AX5131"/>
      <c r="AY5131"/>
    </row>
    <row r="5132" spans="47:51" x14ac:dyDescent="0.2">
      <c r="AU5132"/>
      <c r="AV5132"/>
      <c r="AW5132"/>
      <c r="AX5132"/>
      <c r="AY5132"/>
    </row>
    <row r="5133" spans="47:51" x14ac:dyDescent="0.2">
      <c r="AU5133"/>
      <c r="AV5133"/>
      <c r="AW5133"/>
      <c r="AX5133"/>
      <c r="AY5133"/>
    </row>
    <row r="5134" spans="47:51" x14ac:dyDescent="0.2">
      <c r="AU5134"/>
      <c r="AV5134"/>
      <c r="AW5134"/>
      <c r="AX5134"/>
      <c r="AY5134"/>
    </row>
    <row r="5135" spans="47:51" x14ac:dyDescent="0.2">
      <c r="AU5135"/>
      <c r="AV5135"/>
      <c r="AW5135"/>
      <c r="AX5135"/>
      <c r="AY5135"/>
    </row>
    <row r="5136" spans="47:51" x14ac:dyDescent="0.2">
      <c r="AU5136"/>
      <c r="AV5136"/>
      <c r="AW5136"/>
      <c r="AX5136"/>
      <c r="AY5136"/>
    </row>
    <row r="5137" spans="47:51" x14ac:dyDescent="0.2">
      <c r="AU5137"/>
      <c r="AV5137"/>
      <c r="AW5137"/>
      <c r="AX5137"/>
      <c r="AY5137"/>
    </row>
    <row r="5138" spans="47:51" x14ac:dyDescent="0.2">
      <c r="AU5138"/>
      <c r="AV5138"/>
      <c r="AW5138"/>
      <c r="AX5138"/>
      <c r="AY5138"/>
    </row>
    <row r="5139" spans="47:51" x14ac:dyDescent="0.2">
      <c r="AU5139"/>
      <c r="AV5139"/>
      <c r="AW5139"/>
      <c r="AX5139"/>
      <c r="AY5139"/>
    </row>
    <row r="5140" spans="47:51" x14ac:dyDescent="0.2">
      <c r="AU5140"/>
      <c r="AV5140"/>
      <c r="AW5140"/>
      <c r="AX5140"/>
      <c r="AY5140"/>
    </row>
    <row r="5141" spans="47:51" x14ac:dyDescent="0.2">
      <c r="AU5141"/>
      <c r="AV5141"/>
      <c r="AW5141"/>
      <c r="AX5141"/>
      <c r="AY5141"/>
    </row>
    <row r="5142" spans="47:51" x14ac:dyDescent="0.2">
      <c r="AU5142"/>
      <c r="AV5142"/>
      <c r="AW5142"/>
      <c r="AX5142"/>
      <c r="AY5142"/>
    </row>
    <row r="5143" spans="47:51" x14ac:dyDescent="0.2">
      <c r="AU5143"/>
      <c r="AV5143"/>
      <c r="AW5143"/>
      <c r="AX5143"/>
      <c r="AY5143"/>
    </row>
    <row r="5144" spans="47:51" x14ac:dyDescent="0.2">
      <c r="AU5144"/>
      <c r="AV5144"/>
      <c r="AW5144"/>
      <c r="AX5144"/>
      <c r="AY5144"/>
    </row>
    <row r="5145" spans="47:51" x14ac:dyDescent="0.2">
      <c r="AU5145"/>
      <c r="AV5145"/>
      <c r="AW5145"/>
      <c r="AX5145"/>
      <c r="AY5145"/>
    </row>
    <row r="5146" spans="47:51" x14ac:dyDescent="0.2">
      <c r="AU5146"/>
      <c r="AV5146"/>
      <c r="AW5146"/>
      <c r="AX5146"/>
      <c r="AY5146"/>
    </row>
    <row r="5147" spans="47:51" x14ac:dyDescent="0.2">
      <c r="AU5147"/>
      <c r="AV5147"/>
      <c r="AW5147"/>
      <c r="AX5147"/>
      <c r="AY5147"/>
    </row>
    <row r="5148" spans="47:51" x14ac:dyDescent="0.2">
      <c r="AU5148"/>
      <c r="AV5148"/>
      <c r="AW5148"/>
      <c r="AX5148"/>
      <c r="AY5148"/>
    </row>
    <row r="5149" spans="47:51" x14ac:dyDescent="0.2">
      <c r="AU5149"/>
      <c r="AV5149"/>
      <c r="AW5149"/>
      <c r="AX5149"/>
      <c r="AY5149"/>
    </row>
    <row r="5150" spans="47:51" x14ac:dyDescent="0.2">
      <c r="AU5150"/>
      <c r="AV5150"/>
      <c r="AW5150"/>
      <c r="AX5150"/>
      <c r="AY5150"/>
    </row>
    <row r="5151" spans="47:51" x14ac:dyDescent="0.2">
      <c r="AU5151"/>
      <c r="AV5151"/>
      <c r="AW5151"/>
      <c r="AX5151"/>
      <c r="AY5151"/>
    </row>
    <row r="5152" spans="47:51" x14ac:dyDescent="0.2">
      <c r="AU5152"/>
      <c r="AV5152"/>
      <c r="AW5152"/>
      <c r="AX5152"/>
      <c r="AY5152"/>
    </row>
    <row r="5153" spans="47:51" x14ac:dyDescent="0.2">
      <c r="AU5153"/>
      <c r="AV5153"/>
      <c r="AW5153"/>
      <c r="AX5153"/>
      <c r="AY5153"/>
    </row>
    <row r="5154" spans="47:51" x14ac:dyDescent="0.2">
      <c r="AU5154"/>
      <c r="AV5154"/>
      <c r="AW5154"/>
      <c r="AX5154"/>
      <c r="AY5154"/>
    </row>
    <row r="5155" spans="47:51" x14ac:dyDescent="0.2">
      <c r="AU5155"/>
      <c r="AV5155"/>
      <c r="AW5155"/>
      <c r="AX5155"/>
      <c r="AY5155"/>
    </row>
    <row r="5156" spans="47:51" x14ac:dyDescent="0.2">
      <c r="AU5156"/>
      <c r="AV5156"/>
      <c r="AW5156"/>
      <c r="AX5156"/>
      <c r="AY5156"/>
    </row>
    <row r="5157" spans="47:51" x14ac:dyDescent="0.2">
      <c r="AU5157"/>
      <c r="AV5157"/>
      <c r="AW5157"/>
      <c r="AX5157"/>
      <c r="AY5157"/>
    </row>
    <row r="5158" spans="47:51" x14ac:dyDescent="0.2">
      <c r="AU5158"/>
      <c r="AV5158"/>
      <c r="AW5158"/>
      <c r="AX5158"/>
      <c r="AY5158"/>
    </row>
    <row r="5159" spans="47:51" x14ac:dyDescent="0.2">
      <c r="AU5159"/>
      <c r="AV5159"/>
      <c r="AW5159"/>
      <c r="AX5159"/>
      <c r="AY5159"/>
    </row>
    <row r="5160" spans="47:51" x14ac:dyDescent="0.2">
      <c r="AU5160"/>
      <c r="AV5160"/>
      <c r="AW5160"/>
      <c r="AX5160"/>
      <c r="AY5160"/>
    </row>
    <row r="5161" spans="47:51" x14ac:dyDescent="0.2">
      <c r="AU5161"/>
      <c r="AV5161"/>
      <c r="AW5161"/>
      <c r="AX5161"/>
      <c r="AY5161"/>
    </row>
    <row r="5162" spans="47:51" x14ac:dyDescent="0.2">
      <c r="AU5162"/>
      <c r="AV5162"/>
      <c r="AW5162"/>
      <c r="AX5162"/>
      <c r="AY5162"/>
    </row>
    <row r="5163" spans="47:51" x14ac:dyDescent="0.2">
      <c r="AU5163"/>
      <c r="AV5163"/>
      <c r="AW5163"/>
      <c r="AX5163"/>
      <c r="AY5163"/>
    </row>
    <row r="5164" spans="47:51" x14ac:dyDescent="0.2">
      <c r="AU5164"/>
      <c r="AV5164"/>
      <c r="AW5164"/>
      <c r="AX5164"/>
      <c r="AY5164"/>
    </row>
    <row r="5165" spans="47:51" x14ac:dyDescent="0.2">
      <c r="AU5165"/>
      <c r="AV5165"/>
      <c r="AW5165"/>
      <c r="AX5165"/>
      <c r="AY5165"/>
    </row>
    <row r="5166" spans="47:51" x14ac:dyDescent="0.2">
      <c r="AU5166"/>
      <c r="AV5166"/>
      <c r="AW5166"/>
      <c r="AX5166"/>
      <c r="AY5166"/>
    </row>
    <row r="5167" spans="47:51" x14ac:dyDescent="0.2">
      <c r="AU5167"/>
      <c r="AV5167"/>
      <c r="AW5167"/>
      <c r="AX5167"/>
      <c r="AY5167"/>
    </row>
    <row r="5168" spans="47:51" x14ac:dyDescent="0.2">
      <c r="AU5168"/>
      <c r="AV5168"/>
      <c r="AW5168"/>
      <c r="AX5168"/>
      <c r="AY5168"/>
    </row>
    <row r="5169" spans="47:51" x14ac:dyDescent="0.2">
      <c r="AU5169"/>
      <c r="AV5169"/>
      <c r="AW5169"/>
      <c r="AX5169"/>
      <c r="AY5169"/>
    </row>
    <row r="5170" spans="47:51" x14ac:dyDescent="0.2">
      <c r="AU5170"/>
      <c r="AV5170"/>
      <c r="AW5170"/>
      <c r="AX5170"/>
      <c r="AY5170"/>
    </row>
    <row r="5171" spans="47:51" x14ac:dyDescent="0.2">
      <c r="AU5171"/>
      <c r="AV5171"/>
      <c r="AW5171"/>
      <c r="AX5171"/>
      <c r="AY5171"/>
    </row>
    <row r="5172" spans="47:51" x14ac:dyDescent="0.2">
      <c r="AU5172"/>
      <c r="AV5172"/>
      <c r="AW5172"/>
      <c r="AX5172"/>
      <c r="AY5172"/>
    </row>
    <row r="5173" spans="47:51" x14ac:dyDescent="0.2">
      <c r="AU5173"/>
      <c r="AV5173"/>
      <c r="AW5173"/>
      <c r="AX5173"/>
      <c r="AY5173"/>
    </row>
    <row r="5174" spans="47:51" x14ac:dyDescent="0.2">
      <c r="AU5174"/>
      <c r="AV5174"/>
      <c r="AW5174"/>
      <c r="AX5174"/>
      <c r="AY5174"/>
    </row>
    <row r="5175" spans="47:51" x14ac:dyDescent="0.2">
      <c r="AU5175"/>
      <c r="AV5175"/>
      <c r="AW5175"/>
      <c r="AX5175"/>
      <c r="AY5175"/>
    </row>
    <row r="5176" spans="47:51" x14ac:dyDescent="0.2">
      <c r="AU5176"/>
      <c r="AV5176"/>
      <c r="AW5176"/>
      <c r="AX5176"/>
      <c r="AY5176"/>
    </row>
    <row r="5177" spans="47:51" x14ac:dyDescent="0.2">
      <c r="AU5177"/>
      <c r="AV5177"/>
      <c r="AW5177"/>
      <c r="AX5177"/>
      <c r="AY5177"/>
    </row>
    <row r="5178" spans="47:51" x14ac:dyDescent="0.2">
      <c r="AU5178"/>
      <c r="AV5178"/>
      <c r="AW5178"/>
      <c r="AX5178"/>
      <c r="AY5178"/>
    </row>
    <row r="5179" spans="47:51" x14ac:dyDescent="0.2">
      <c r="AU5179"/>
      <c r="AV5179"/>
      <c r="AW5179"/>
      <c r="AX5179"/>
      <c r="AY5179"/>
    </row>
    <row r="5180" spans="47:51" x14ac:dyDescent="0.2">
      <c r="AU5180"/>
      <c r="AV5180"/>
      <c r="AW5180"/>
      <c r="AX5180"/>
      <c r="AY5180"/>
    </row>
    <row r="5181" spans="47:51" x14ac:dyDescent="0.2">
      <c r="AU5181"/>
      <c r="AV5181"/>
      <c r="AW5181"/>
      <c r="AX5181"/>
      <c r="AY5181"/>
    </row>
    <row r="5182" spans="47:51" x14ac:dyDescent="0.2">
      <c r="AU5182"/>
      <c r="AV5182"/>
      <c r="AW5182"/>
      <c r="AX5182"/>
      <c r="AY5182"/>
    </row>
    <row r="5183" spans="47:51" x14ac:dyDescent="0.2">
      <c r="AU5183"/>
      <c r="AV5183"/>
      <c r="AW5183"/>
      <c r="AX5183"/>
      <c r="AY5183"/>
    </row>
    <row r="5184" spans="47:51" x14ac:dyDescent="0.2">
      <c r="AU5184"/>
      <c r="AV5184"/>
      <c r="AW5184"/>
      <c r="AX5184"/>
      <c r="AY5184"/>
    </row>
    <row r="5185" spans="47:51" x14ac:dyDescent="0.2">
      <c r="AU5185"/>
      <c r="AV5185"/>
      <c r="AW5185"/>
      <c r="AX5185"/>
      <c r="AY5185"/>
    </row>
    <row r="5186" spans="47:51" x14ac:dyDescent="0.2">
      <c r="AU5186"/>
      <c r="AV5186"/>
      <c r="AW5186"/>
      <c r="AX5186"/>
      <c r="AY5186"/>
    </row>
    <row r="5187" spans="47:51" x14ac:dyDescent="0.2">
      <c r="AU5187"/>
      <c r="AV5187"/>
      <c r="AW5187"/>
      <c r="AX5187"/>
      <c r="AY5187"/>
    </row>
    <row r="5188" spans="47:51" x14ac:dyDescent="0.2">
      <c r="AU5188"/>
      <c r="AV5188"/>
      <c r="AW5188"/>
      <c r="AX5188"/>
      <c r="AY5188"/>
    </row>
    <row r="5189" spans="47:51" x14ac:dyDescent="0.2">
      <c r="AU5189"/>
      <c r="AV5189"/>
      <c r="AW5189"/>
      <c r="AX5189"/>
      <c r="AY5189"/>
    </row>
    <row r="5190" spans="47:51" x14ac:dyDescent="0.2">
      <c r="AU5190"/>
      <c r="AV5190"/>
      <c r="AW5190"/>
      <c r="AX5190"/>
      <c r="AY5190"/>
    </row>
    <row r="5191" spans="47:51" x14ac:dyDescent="0.2">
      <c r="AU5191"/>
      <c r="AV5191"/>
      <c r="AW5191"/>
      <c r="AX5191"/>
      <c r="AY5191"/>
    </row>
    <row r="5192" spans="47:51" x14ac:dyDescent="0.2">
      <c r="AU5192"/>
      <c r="AV5192"/>
      <c r="AW5192"/>
      <c r="AX5192"/>
      <c r="AY5192"/>
    </row>
    <row r="5193" spans="47:51" x14ac:dyDescent="0.2">
      <c r="AU5193"/>
      <c r="AV5193"/>
      <c r="AW5193"/>
      <c r="AX5193"/>
      <c r="AY5193"/>
    </row>
    <row r="5194" spans="47:51" x14ac:dyDescent="0.2">
      <c r="AU5194"/>
      <c r="AV5194"/>
      <c r="AW5194"/>
      <c r="AX5194"/>
      <c r="AY5194"/>
    </row>
    <row r="5195" spans="47:51" x14ac:dyDescent="0.2">
      <c r="AU5195"/>
      <c r="AV5195"/>
      <c r="AW5195"/>
      <c r="AX5195"/>
      <c r="AY5195"/>
    </row>
    <row r="5196" spans="47:51" x14ac:dyDescent="0.2">
      <c r="AU5196"/>
      <c r="AV5196"/>
      <c r="AW5196"/>
      <c r="AX5196"/>
      <c r="AY5196"/>
    </row>
    <row r="5197" spans="47:51" x14ac:dyDescent="0.2">
      <c r="AU5197"/>
      <c r="AV5197"/>
      <c r="AW5197"/>
      <c r="AX5197"/>
      <c r="AY5197"/>
    </row>
    <row r="5198" spans="47:51" x14ac:dyDescent="0.2">
      <c r="AU5198"/>
      <c r="AV5198"/>
      <c r="AW5198"/>
      <c r="AX5198"/>
      <c r="AY5198"/>
    </row>
    <row r="5199" spans="47:51" x14ac:dyDescent="0.2">
      <c r="AU5199"/>
      <c r="AV5199"/>
      <c r="AW5199"/>
      <c r="AX5199"/>
      <c r="AY5199"/>
    </row>
    <row r="5200" spans="47:51" x14ac:dyDescent="0.2">
      <c r="AU5200"/>
      <c r="AV5200"/>
      <c r="AW5200"/>
      <c r="AX5200"/>
      <c r="AY5200"/>
    </row>
    <row r="5201" spans="47:51" x14ac:dyDescent="0.2">
      <c r="AU5201"/>
      <c r="AV5201"/>
      <c r="AW5201"/>
      <c r="AX5201"/>
      <c r="AY5201"/>
    </row>
    <row r="5202" spans="47:51" x14ac:dyDescent="0.2">
      <c r="AU5202"/>
      <c r="AV5202"/>
      <c r="AW5202"/>
      <c r="AX5202"/>
      <c r="AY5202"/>
    </row>
    <row r="5203" spans="47:51" x14ac:dyDescent="0.2">
      <c r="AU5203"/>
      <c r="AV5203"/>
      <c r="AW5203"/>
      <c r="AX5203"/>
      <c r="AY5203"/>
    </row>
    <row r="5204" spans="47:51" x14ac:dyDescent="0.2">
      <c r="AU5204"/>
      <c r="AV5204"/>
      <c r="AW5204"/>
      <c r="AX5204"/>
      <c r="AY5204"/>
    </row>
    <row r="5205" spans="47:51" x14ac:dyDescent="0.2">
      <c r="AU5205"/>
      <c r="AV5205"/>
      <c r="AW5205"/>
      <c r="AX5205"/>
      <c r="AY5205"/>
    </row>
    <row r="5206" spans="47:51" x14ac:dyDescent="0.2">
      <c r="AU5206"/>
      <c r="AV5206"/>
      <c r="AW5206"/>
      <c r="AX5206"/>
      <c r="AY5206"/>
    </row>
    <row r="5207" spans="47:51" x14ac:dyDescent="0.2">
      <c r="AU5207"/>
      <c r="AV5207"/>
      <c r="AW5207"/>
      <c r="AX5207"/>
      <c r="AY5207"/>
    </row>
    <row r="5208" spans="47:51" x14ac:dyDescent="0.2">
      <c r="AU5208"/>
      <c r="AV5208"/>
      <c r="AW5208"/>
      <c r="AX5208"/>
      <c r="AY5208"/>
    </row>
    <row r="5209" spans="47:51" x14ac:dyDescent="0.2">
      <c r="AU5209"/>
      <c r="AV5209"/>
      <c r="AW5209"/>
      <c r="AX5209"/>
      <c r="AY5209"/>
    </row>
    <row r="5210" spans="47:51" x14ac:dyDescent="0.2">
      <c r="AU5210"/>
      <c r="AV5210"/>
      <c r="AW5210"/>
      <c r="AX5210"/>
      <c r="AY5210"/>
    </row>
    <row r="5211" spans="47:51" x14ac:dyDescent="0.2">
      <c r="AU5211"/>
      <c r="AV5211"/>
      <c r="AW5211"/>
      <c r="AX5211"/>
      <c r="AY5211"/>
    </row>
    <row r="5212" spans="47:51" x14ac:dyDescent="0.2">
      <c r="AU5212"/>
      <c r="AV5212"/>
      <c r="AW5212"/>
      <c r="AX5212"/>
      <c r="AY5212"/>
    </row>
    <row r="5213" spans="47:51" x14ac:dyDescent="0.2">
      <c r="AU5213"/>
      <c r="AV5213"/>
      <c r="AW5213"/>
      <c r="AX5213"/>
      <c r="AY5213"/>
    </row>
    <row r="5214" spans="47:51" x14ac:dyDescent="0.2">
      <c r="AU5214"/>
      <c r="AV5214"/>
      <c r="AW5214"/>
      <c r="AX5214"/>
      <c r="AY5214"/>
    </row>
    <row r="5215" spans="47:51" x14ac:dyDescent="0.2">
      <c r="AU5215"/>
      <c r="AV5215"/>
      <c r="AW5215"/>
      <c r="AX5215"/>
      <c r="AY5215"/>
    </row>
    <row r="5216" spans="47:51" x14ac:dyDescent="0.2">
      <c r="AU5216"/>
      <c r="AV5216"/>
      <c r="AW5216"/>
      <c r="AX5216"/>
      <c r="AY5216"/>
    </row>
    <row r="5217" spans="47:51" x14ac:dyDescent="0.2">
      <c r="AU5217"/>
      <c r="AV5217"/>
      <c r="AW5217"/>
      <c r="AX5217"/>
      <c r="AY5217"/>
    </row>
    <row r="5218" spans="47:51" x14ac:dyDescent="0.2">
      <c r="AU5218"/>
      <c r="AV5218"/>
      <c r="AW5218"/>
      <c r="AX5218"/>
      <c r="AY5218"/>
    </row>
    <row r="5219" spans="47:51" x14ac:dyDescent="0.2">
      <c r="AU5219"/>
      <c r="AV5219"/>
      <c r="AW5219"/>
      <c r="AX5219"/>
      <c r="AY5219"/>
    </row>
    <row r="5220" spans="47:51" x14ac:dyDescent="0.2">
      <c r="AU5220"/>
      <c r="AV5220"/>
      <c r="AW5220"/>
      <c r="AX5220"/>
      <c r="AY5220"/>
    </row>
    <row r="5221" spans="47:51" x14ac:dyDescent="0.2">
      <c r="AU5221"/>
      <c r="AV5221"/>
      <c r="AW5221"/>
      <c r="AX5221"/>
      <c r="AY5221"/>
    </row>
    <row r="5222" spans="47:51" x14ac:dyDescent="0.2">
      <c r="AU5222"/>
      <c r="AV5222"/>
      <c r="AW5222"/>
      <c r="AX5222"/>
      <c r="AY5222"/>
    </row>
    <row r="5223" spans="47:51" x14ac:dyDescent="0.2">
      <c r="AU5223"/>
      <c r="AV5223"/>
      <c r="AW5223"/>
      <c r="AX5223"/>
      <c r="AY5223"/>
    </row>
    <row r="5224" spans="47:51" x14ac:dyDescent="0.2">
      <c r="AU5224"/>
      <c r="AV5224"/>
      <c r="AW5224"/>
      <c r="AX5224"/>
      <c r="AY5224"/>
    </row>
    <row r="5225" spans="47:51" x14ac:dyDescent="0.2">
      <c r="AU5225"/>
      <c r="AV5225"/>
      <c r="AW5225"/>
      <c r="AX5225"/>
      <c r="AY5225"/>
    </row>
    <row r="5226" spans="47:51" x14ac:dyDescent="0.2">
      <c r="AU5226"/>
      <c r="AV5226"/>
      <c r="AW5226"/>
      <c r="AX5226"/>
      <c r="AY5226"/>
    </row>
    <row r="5227" spans="47:51" x14ac:dyDescent="0.2">
      <c r="AU5227"/>
      <c r="AV5227"/>
      <c r="AW5227"/>
      <c r="AX5227"/>
      <c r="AY5227"/>
    </row>
    <row r="5228" spans="47:51" x14ac:dyDescent="0.2">
      <c r="AU5228"/>
      <c r="AV5228"/>
      <c r="AW5228"/>
      <c r="AX5228"/>
      <c r="AY5228"/>
    </row>
    <row r="5229" spans="47:51" x14ac:dyDescent="0.2">
      <c r="AU5229"/>
      <c r="AV5229"/>
      <c r="AW5229"/>
      <c r="AX5229"/>
      <c r="AY5229"/>
    </row>
    <row r="5230" spans="47:51" x14ac:dyDescent="0.2">
      <c r="AU5230"/>
      <c r="AV5230"/>
      <c r="AW5230"/>
      <c r="AX5230"/>
      <c r="AY5230"/>
    </row>
    <row r="5231" spans="47:51" x14ac:dyDescent="0.2">
      <c r="AU5231"/>
      <c r="AV5231"/>
      <c r="AW5231"/>
      <c r="AX5231"/>
      <c r="AY5231"/>
    </row>
    <row r="5232" spans="47:51" x14ac:dyDescent="0.2">
      <c r="AU5232"/>
      <c r="AV5232"/>
      <c r="AW5232"/>
      <c r="AX5232"/>
      <c r="AY5232"/>
    </row>
    <row r="5233" spans="47:51" x14ac:dyDescent="0.2">
      <c r="AU5233"/>
      <c r="AV5233"/>
      <c r="AW5233"/>
      <c r="AX5233"/>
      <c r="AY5233"/>
    </row>
    <row r="5234" spans="47:51" x14ac:dyDescent="0.2">
      <c r="AU5234"/>
      <c r="AV5234"/>
      <c r="AW5234"/>
      <c r="AX5234"/>
      <c r="AY5234"/>
    </row>
    <row r="5235" spans="47:51" x14ac:dyDescent="0.2">
      <c r="AU5235"/>
      <c r="AV5235"/>
      <c r="AW5235"/>
      <c r="AX5235"/>
      <c r="AY5235"/>
    </row>
    <row r="5236" spans="47:51" x14ac:dyDescent="0.2">
      <c r="AU5236"/>
      <c r="AV5236"/>
      <c r="AW5236"/>
      <c r="AX5236"/>
      <c r="AY5236"/>
    </row>
    <row r="5237" spans="47:51" x14ac:dyDescent="0.2">
      <c r="AU5237"/>
      <c r="AV5237"/>
      <c r="AW5237"/>
      <c r="AX5237"/>
      <c r="AY5237"/>
    </row>
    <row r="5238" spans="47:51" x14ac:dyDescent="0.2">
      <c r="AU5238"/>
      <c r="AV5238"/>
      <c r="AW5238"/>
      <c r="AX5238"/>
      <c r="AY5238"/>
    </row>
    <row r="5239" spans="47:51" x14ac:dyDescent="0.2">
      <c r="AU5239"/>
      <c r="AV5239"/>
      <c r="AW5239"/>
      <c r="AX5239"/>
      <c r="AY5239"/>
    </row>
    <row r="5240" spans="47:51" x14ac:dyDescent="0.2">
      <c r="AU5240"/>
      <c r="AV5240"/>
      <c r="AW5240"/>
      <c r="AX5240"/>
      <c r="AY5240"/>
    </row>
    <row r="5241" spans="47:51" x14ac:dyDescent="0.2">
      <c r="AU5241"/>
      <c r="AV5241"/>
      <c r="AW5241"/>
      <c r="AX5241"/>
      <c r="AY5241"/>
    </row>
    <row r="5242" spans="47:51" x14ac:dyDescent="0.2">
      <c r="AU5242"/>
      <c r="AV5242"/>
      <c r="AW5242"/>
      <c r="AX5242"/>
      <c r="AY5242"/>
    </row>
    <row r="5243" spans="47:51" x14ac:dyDescent="0.2">
      <c r="AU5243"/>
      <c r="AV5243"/>
      <c r="AW5243"/>
      <c r="AX5243"/>
      <c r="AY5243"/>
    </row>
    <row r="5244" spans="47:51" x14ac:dyDescent="0.2">
      <c r="AU5244"/>
      <c r="AV5244"/>
      <c r="AW5244"/>
      <c r="AX5244"/>
      <c r="AY5244"/>
    </row>
    <row r="5245" spans="47:51" x14ac:dyDescent="0.2">
      <c r="AU5245"/>
      <c r="AV5245"/>
      <c r="AW5245"/>
      <c r="AX5245"/>
      <c r="AY5245"/>
    </row>
    <row r="5246" spans="47:51" x14ac:dyDescent="0.2">
      <c r="AU5246"/>
      <c r="AV5246"/>
      <c r="AW5246"/>
      <c r="AX5246"/>
      <c r="AY5246"/>
    </row>
    <row r="5247" spans="47:51" x14ac:dyDescent="0.2">
      <c r="AU5247"/>
      <c r="AV5247"/>
      <c r="AW5247"/>
      <c r="AX5247"/>
      <c r="AY5247"/>
    </row>
    <row r="5248" spans="47:51" x14ac:dyDescent="0.2">
      <c r="AU5248"/>
      <c r="AV5248"/>
      <c r="AW5248"/>
      <c r="AX5248"/>
      <c r="AY5248"/>
    </row>
    <row r="5249" spans="47:51" x14ac:dyDescent="0.2">
      <c r="AU5249"/>
      <c r="AV5249"/>
      <c r="AW5249"/>
      <c r="AX5249"/>
      <c r="AY5249"/>
    </row>
    <row r="5250" spans="47:51" x14ac:dyDescent="0.2">
      <c r="AU5250"/>
      <c r="AV5250"/>
      <c r="AW5250"/>
      <c r="AX5250"/>
      <c r="AY5250"/>
    </row>
    <row r="5251" spans="47:51" x14ac:dyDescent="0.2">
      <c r="AU5251"/>
      <c r="AV5251"/>
      <c r="AW5251"/>
      <c r="AX5251"/>
      <c r="AY5251"/>
    </row>
    <row r="5252" spans="47:51" x14ac:dyDescent="0.2">
      <c r="AU5252"/>
      <c r="AV5252"/>
      <c r="AW5252"/>
      <c r="AX5252"/>
      <c r="AY5252"/>
    </row>
    <row r="5253" spans="47:51" x14ac:dyDescent="0.2">
      <c r="AU5253"/>
      <c r="AV5253"/>
      <c r="AW5253"/>
      <c r="AX5253"/>
      <c r="AY5253"/>
    </row>
    <row r="5254" spans="47:51" x14ac:dyDescent="0.2">
      <c r="AU5254"/>
      <c r="AV5254"/>
      <c r="AW5254"/>
      <c r="AX5254"/>
      <c r="AY5254"/>
    </row>
    <row r="5255" spans="47:51" x14ac:dyDescent="0.2">
      <c r="AU5255"/>
      <c r="AV5255"/>
      <c r="AW5255"/>
      <c r="AX5255"/>
      <c r="AY5255"/>
    </row>
    <row r="5256" spans="47:51" x14ac:dyDescent="0.2">
      <c r="AU5256"/>
      <c r="AV5256"/>
      <c r="AW5256"/>
      <c r="AX5256"/>
      <c r="AY5256"/>
    </row>
    <row r="5257" spans="47:51" x14ac:dyDescent="0.2">
      <c r="AU5257"/>
      <c r="AV5257"/>
      <c r="AW5257"/>
      <c r="AX5257"/>
      <c r="AY5257"/>
    </row>
    <row r="5258" spans="47:51" x14ac:dyDescent="0.2">
      <c r="AU5258"/>
      <c r="AV5258"/>
      <c r="AW5258"/>
      <c r="AX5258"/>
      <c r="AY5258"/>
    </row>
    <row r="5259" spans="47:51" x14ac:dyDescent="0.2">
      <c r="AU5259"/>
      <c r="AV5259"/>
      <c r="AW5259"/>
      <c r="AX5259"/>
      <c r="AY5259"/>
    </row>
    <row r="5260" spans="47:51" x14ac:dyDescent="0.2">
      <c r="AU5260"/>
      <c r="AV5260"/>
      <c r="AW5260"/>
      <c r="AX5260"/>
      <c r="AY5260"/>
    </row>
    <row r="5261" spans="47:51" x14ac:dyDescent="0.2">
      <c r="AU5261"/>
      <c r="AV5261"/>
      <c r="AW5261"/>
      <c r="AX5261"/>
      <c r="AY5261"/>
    </row>
    <row r="5262" spans="47:51" x14ac:dyDescent="0.2">
      <c r="AU5262"/>
      <c r="AV5262"/>
      <c r="AW5262"/>
      <c r="AX5262"/>
      <c r="AY5262"/>
    </row>
    <row r="5263" spans="47:51" x14ac:dyDescent="0.2">
      <c r="AU5263"/>
      <c r="AV5263"/>
      <c r="AW5263"/>
      <c r="AX5263"/>
      <c r="AY5263"/>
    </row>
    <row r="5264" spans="47:51" x14ac:dyDescent="0.2">
      <c r="AU5264"/>
      <c r="AV5264"/>
      <c r="AW5264"/>
      <c r="AX5264"/>
      <c r="AY5264"/>
    </row>
    <row r="5265" spans="47:51" x14ac:dyDescent="0.2">
      <c r="AU5265"/>
      <c r="AV5265"/>
      <c r="AW5265"/>
      <c r="AX5265"/>
      <c r="AY5265"/>
    </row>
    <row r="5266" spans="47:51" x14ac:dyDescent="0.2">
      <c r="AU5266"/>
      <c r="AV5266"/>
      <c r="AW5266"/>
      <c r="AX5266"/>
      <c r="AY5266"/>
    </row>
    <row r="5267" spans="47:51" x14ac:dyDescent="0.2">
      <c r="AU5267"/>
      <c r="AV5267"/>
      <c r="AW5267"/>
      <c r="AX5267"/>
      <c r="AY5267"/>
    </row>
    <row r="5268" spans="47:51" x14ac:dyDescent="0.2">
      <c r="AU5268"/>
      <c r="AV5268"/>
      <c r="AW5268"/>
      <c r="AX5268"/>
      <c r="AY5268"/>
    </row>
    <row r="5269" spans="47:51" x14ac:dyDescent="0.2">
      <c r="AU5269"/>
      <c r="AV5269"/>
      <c r="AW5269"/>
      <c r="AX5269"/>
      <c r="AY5269"/>
    </row>
    <row r="5270" spans="47:51" x14ac:dyDescent="0.2">
      <c r="AU5270"/>
      <c r="AV5270"/>
      <c r="AW5270"/>
      <c r="AX5270"/>
      <c r="AY5270"/>
    </row>
    <row r="5271" spans="47:51" x14ac:dyDescent="0.2">
      <c r="AU5271"/>
      <c r="AV5271"/>
      <c r="AW5271"/>
      <c r="AX5271"/>
      <c r="AY5271"/>
    </row>
    <row r="5272" spans="47:51" x14ac:dyDescent="0.2">
      <c r="AU5272"/>
      <c r="AV5272"/>
      <c r="AW5272"/>
      <c r="AX5272"/>
      <c r="AY5272"/>
    </row>
    <row r="5273" spans="47:51" x14ac:dyDescent="0.2">
      <c r="AU5273"/>
      <c r="AV5273"/>
      <c r="AW5273"/>
      <c r="AX5273"/>
      <c r="AY5273"/>
    </row>
    <row r="5274" spans="47:51" x14ac:dyDescent="0.2">
      <c r="AU5274"/>
      <c r="AV5274"/>
      <c r="AW5274"/>
      <c r="AX5274"/>
      <c r="AY5274"/>
    </row>
    <row r="5275" spans="47:51" x14ac:dyDescent="0.2">
      <c r="AU5275"/>
      <c r="AV5275"/>
      <c r="AW5275"/>
      <c r="AX5275"/>
      <c r="AY5275"/>
    </row>
    <row r="5276" spans="47:51" x14ac:dyDescent="0.2">
      <c r="AU5276"/>
      <c r="AV5276"/>
      <c r="AW5276"/>
      <c r="AX5276"/>
      <c r="AY5276"/>
    </row>
    <row r="5277" spans="47:51" x14ac:dyDescent="0.2">
      <c r="AU5277"/>
      <c r="AV5277"/>
      <c r="AW5277"/>
      <c r="AX5277"/>
      <c r="AY5277"/>
    </row>
    <row r="5278" spans="47:51" x14ac:dyDescent="0.2">
      <c r="AU5278"/>
      <c r="AV5278"/>
      <c r="AW5278"/>
      <c r="AX5278"/>
      <c r="AY5278"/>
    </row>
    <row r="5279" spans="47:51" x14ac:dyDescent="0.2">
      <c r="AU5279"/>
      <c r="AV5279"/>
      <c r="AW5279"/>
      <c r="AX5279"/>
      <c r="AY5279"/>
    </row>
    <row r="5280" spans="47:51" x14ac:dyDescent="0.2">
      <c r="AU5280"/>
      <c r="AV5280"/>
      <c r="AW5280"/>
      <c r="AX5280"/>
      <c r="AY5280"/>
    </row>
    <row r="5281" spans="47:51" x14ac:dyDescent="0.2">
      <c r="AU5281"/>
      <c r="AV5281"/>
      <c r="AW5281"/>
      <c r="AX5281"/>
      <c r="AY5281"/>
    </row>
    <row r="5282" spans="47:51" x14ac:dyDescent="0.2">
      <c r="AU5282"/>
      <c r="AV5282"/>
      <c r="AW5282"/>
      <c r="AX5282"/>
      <c r="AY5282"/>
    </row>
    <row r="5283" spans="47:51" x14ac:dyDescent="0.2">
      <c r="AU5283"/>
      <c r="AV5283"/>
      <c r="AW5283"/>
      <c r="AX5283"/>
      <c r="AY5283"/>
    </row>
    <row r="5284" spans="47:51" x14ac:dyDescent="0.2">
      <c r="AU5284"/>
      <c r="AV5284"/>
      <c r="AW5284"/>
      <c r="AX5284"/>
      <c r="AY5284"/>
    </row>
    <row r="5285" spans="47:51" x14ac:dyDescent="0.2">
      <c r="AU5285"/>
      <c r="AV5285"/>
      <c r="AW5285"/>
      <c r="AX5285"/>
      <c r="AY5285"/>
    </row>
    <row r="5286" spans="47:51" x14ac:dyDescent="0.2">
      <c r="AU5286"/>
      <c r="AV5286"/>
      <c r="AW5286"/>
      <c r="AX5286"/>
      <c r="AY5286"/>
    </row>
    <row r="5287" spans="47:51" x14ac:dyDescent="0.2">
      <c r="AU5287"/>
      <c r="AV5287"/>
      <c r="AW5287"/>
      <c r="AX5287"/>
      <c r="AY5287"/>
    </row>
    <row r="5288" spans="47:51" x14ac:dyDescent="0.2">
      <c r="AU5288"/>
      <c r="AV5288"/>
      <c r="AW5288"/>
      <c r="AX5288"/>
      <c r="AY5288"/>
    </row>
    <row r="5289" spans="47:51" x14ac:dyDescent="0.2">
      <c r="AU5289"/>
      <c r="AV5289"/>
      <c r="AW5289"/>
      <c r="AX5289"/>
      <c r="AY5289"/>
    </row>
    <row r="5290" spans="47:51" x14ac:dyDescent="0.2">
      <c r="AU5290"/>
      <c r="AV5290"/>
      <c r="AW5290"/>
      <c r="AX5290"/>
      <c r="AY5290"/>
    </row>
    <row r="5291" spans="47:51" x14ac:dyDescent="0.2">
      <c r="AU5291"/>
      <c r="AV5291"/>
      <c r="AW5291"/>
      <c r="AX5291"/>
      <c r="AY5291"/>
    </row>
    <row r="5292" spans="47:51" x14ac:dyDescent="0.2">
      <c r="AU5292"/>
      <c r="AV5292"/>
      <c r="AW5292"/>
      <c r="AX5292"/>
      <c r="AY5292"/>
    </row>
    <row r="5293" spans="47:51" x14ac:dyDescent="0.2">
      <c r="AU5293"/>
      <c r="AV5293"/>
      <c r="AW5293"/>
      <c r="AX5293"/>
      <c r="AY5293"/>
    </row>
    <row r="5294" spans="47:51" x14ac:dyDescent="0.2">
      <c r="AU5294"/>
      <c r="AV5294"/>
      <c r="AW5294"/>
      <c r="AX5294"/>
      <c r="AY5294"/>
    </row>
    <row r="5295" spans="47:51" x14ac:dyDescent="0.2">
      <c r="AU5295"/>
      <c r="AV5295"/>
      <c r="AW5295"/>
      <c r="AX5295"/>
      <c r="AY5295"/>
    </row>
    <row r="5296" spans="47:51" x14ac:dyDescent="0.2">
      <c r="AU5296"/>
      <c r="AV5296"/>
      <c r="AW5296"/>
      <c r="AX5296"/>
      <c r="AY5296"/>
    </row>
    <row r="5297" spans="47:51" x14ac:dyDescent="0.2">
      <c r="AU5297"/>
      <c r="AV5297"/>
      <c r="AW5297"/>
      <c r="AX5297"/>
      <c r="AY5297"/>
    </row>
    <row r="5298" spans="47:51" x14ac:dyDescent="0.2">
      <c r="AU5298"/>
      <c r="AV5298"/>
      <c r="AW5298"/>
      <c r="AX5298"/>
      <c r="AY5298"/>
    </row>
    <row r="5299" spans="47:51" x14ac:dyDescent="0.2">
      <c r="AU5299"/>
      <c r="AV5299"/>
      <c r="AW5299"/>
      <c r="AX5299"/>
      <c r="AY5299"/>
    </row>
    <row r="5300" spans="47:51" x14ac:dyDescent="0.2">
      <c r="AU5300"/>
      <c r="AV5300"/>
      <c r="AW5300"/>
      <c r="AX5300"/>
      <c r="AY5300"/>
    </row>
    <row r="5301" spans="47:51" x14ac:dyDescent="0.2">
      <c r="AU5301"/>
      <c r="AV5301"/>
      <c r="AW5301"/>
      <c r="AX5301"/>
      <c r="AY5301"/>
    </row>
    <row r="5302" spans="47:51" x14ac:dyDescent="0.2">
      <c r="AU5302"/>
      <c r="AV5302"/>
      <c r="AW5302"/>
      <c r="AX5302"/>
      <c r="AY5302"/>
    </row>
    <row r="5303" spans="47:51" x14ac:dyDescent="0.2">
      <c r="AU5303"/>
      <c r="AV5303"/>
      <c r="AW5303"/>
      <c r="AX5303"/>
      <c r="AY5303"/>
    </row>
    <row r="5304" spans="47:51" x14ac:dyDescent="0.2">
      <c r="AU5304"/>
      <c r="AV5304"/>
      <c r="AW5304"/>
      <c r="AX5304"/>
      <c r="AY5304"/>
    </row>
    <row r="5305" spans="47:51" x14ac:dyDescent="0.2">
      <c r="AU5305"/>
      <c r="AV5305"/>
      <c r="AW5305"/>
      <c r="AX5305"/>
      <c r="AY5305"/>
    </row>
    <row r="5306" spans="47:51" x14ac:dyDescent="0.2">
      <c r="AU5306"/>
      <c r="AV5306"/>
      <c r="AW5306"/>
      <c r="AX5306"/>
      <c r="AY5306"/>
    </row>
    <row r="5307" spans="47:51" x14ac:dyDescent="0.2">
      <c r="AU5307"/>
      <c r="AV5307"/>
      <c r="AW5307"/>
      <c r="AX5307"/>
      <c r="AY5307"/>
    </row>
    <row r="5308" spans="47:51" x14ac:dyDescent="0.2">
      <c r="AU5308"/>
      <c r="AV5308"/>
      <c r="AW5308"/>
      <c r="AX5308"/>
      <c r="AY5308"/>
    </row>
    <row r="5309" spans="47:51" x14ac:dyDescent="0.2">
      <c r="AU5309"/>
      <c r="AV5309"/>
      <c r="AW5309"/>
      <c r="AX5309"/>
      <c r="AY5309"/>
    </row>
    <row r="5310" spans="47:51" x14ac:dyDescent="0.2">
      <c r="AU5310"/>
      <c r="AV5310"/>
      <c r="AW5310"/>
      <c r="AX5310"/>
      <c r="AY5310"/>
    </row>
    <row r="5311" spans="47:51" x14ac:dyDescent="0.2">
      <c r="AU5311"/>
      <c r="AV5311"/>
      <c r="AW5311"/>
      <c r="AX5311"/>
      <c r="AY5311"/>
    </row>
    <row r="5312" spans="47:51" x14ac:dyDescent="0.2">
      <c r="AU5312"/>
      <c r="AV5312"/>
      <c r="AW5312"/>
      <c r="AX5312"/>
      <c r="AY5312"/>
    </row>
    <row r="5313" spans="47:51" x14ac:dyDescent="0.2">
      <c r="AU5313"/>
      <c r="AV5313"/>
      <c r="AW5313"/>
      <c r="AX5313"/>
      <c r="AY5313"/>
    </row>
    <row r="5314" spans="47:51" x14ac:dyDescent="0.2">
      <c r="AU5314"/>
      <c r="AV5314"/>
      <c r="AW5314"/>
      <c r="AX5314"/>
      <c r="AY5314"/>
    </row>
    <row r="5315" spans="47:51" x14ac:dyDescent="0.2">
      <c r="AU5315"/>
      <c r="AV5315"/>
      <c r="AW5315"/>
      <c r="AX5315"/>
      <c r="AY5315"/>
    </row>
    <row r="5316" spans="47:51" x14ac:dyDescent="0.2">
      <c r="AU5316"/>
      <c r="AV5316"/>
      <c r="AW5316"/>
      <c r="AX5316"/>
      <c r="AY5316"/>
    </row>
    <row r="5317" spans="47:51" x14ac:dyDescent="0.2">
      <c r="AU5317"/>
      <c r="AV5317"/>
      <c r="AW5317"/>
      <c r="AX5317"/>
      <c r="AY5317"/>
    </row>
    <row r="5318" spans="47:51" x14ac:dyDescent="0.2">
      <c r="AU5318"/>
      <c r="AV5318"/>
      <c r="AW5318"/>
      <c r="AX5318"/>
      <c r="AY5318"/>
    </row>
    <row r="5319" spans="47:51" x14ac:dyDescent="0.2">
      <c r="AU5319"/>
      <c r="AV5319"/>
      <c r="AW5319"/>
      <c r="AX5319"/>
      <c r="AY5319"/>
    </row>
    <row r="5320" spans="47:51" x14ac:dyDescent="0.2">
      <c r="AU5320"/>
      <c r="AV5320"/>
      <c r="AW5320"/>
      <c r="AX5320"/>
      <c r="AY5320"/>
    </row>
    <row r="5321" spans="47:51" x14ac:dyDescent="0.2">
      <c r="AU5321"/>
      <c r="AV5321"/>
      <c r="AW5321"/>
      <c r="AX5321"/>
      <c r="AY5321"/>
    </row>
    <row r="5322" spans="47:51" x14ac:dyDescent="0.2">
      <c r="AU5322"/>
      <c r="AV5322"/>
      <c r="AW5322"/>
      <c r="AX5322"/>
      <c r="AY5322"/>
    </row>
    <row r="5323" spans="47:51" x14ac:dyDescent="0.2">
      <c r="AU5323"/>
      <c r="AV5323"/>
      <c r="AW5323"/>
      <c r="AX5323"/>
      <c r="AY5323"/>
    </row>
    <row r="5324" spans="47:51" x14ac:dyDescent="0.2">
      <c r="AU5324"/>
      <c r="AV5324"/>
      <c r="AW5324"/>
      <c r="AX5324"/>
      <c r="AY5324"/>
    </row>
    <row r="5325" spans="47:51" x14ac:dyDescent="0.2">
      <c r="AU5325"/>
      <c r="AV5325"/>
      <c r="AW5325"/>
      <c r="AX5325"/>
      <c r="AY5325"/>
    </row>
    <row r="5326" spans="47:51" x14ac:dyDescent="0.2">
      <c r="AU5326"/>
      <c r="AV5326"/>
      <c r="AW5326"/>
      <c r="AX5326"/>
      <c r="AY5326"/>
    </row>
    <row r="5327" spans="47:51" x14ac:dyDescent="0.2">
      <c r="AU5327"/>
      <c r="AV5327"/>
      <c r="AW5327"/>
      <c r="AX5327"/>
      <c r="AY5327"/>
    </row>
    <row r="5328" spans="47:51" x14ac:dyDescent="0.2">
      <c r="AU5328"/>
      <c r="AV5328"/>
      <c r="AW5328"/>
      <c r="AX5328"/>
      <c r="AY5328"/>
    </row>
    <row r="5329" spans="47:51" x14ac:dyDescent="0.2">
      <c r="AU5329"/>
      <c r="AV5329"/>
      <c r="AW5329"/>
      <c r="AX5329"/>
      <c r="AY5329"/>
    </row>
    <row r="5330" spans="47:51" x14ac:dyDescent="0.2">
      <c r="AU5330"/>
      <c r="AV5330"/>
      <c r="AW5330"/>
      <c r="AX5330"/>
      <c r="AY5330"/>
    </row>
    <row r="5331" spans="47:51" x14ac:dyDescent="0.2">
      <c r="AU5331"/>
      <c r="AV5331"/>
      <c r="AW5331"/>
      <c r="AX5331"/>
      <c r="AY5331"/>
    </row>
    <row r="5332" spans="47:51" x14ac:dyDescent="0.2">
      <c r="AU5332"/>
      <c r="AV5332"/>
      <c r="AW5332"/>
      <c r="AX5332"/>
      <c r="AY5332"/>
    </row>
    <row r="5333" spans="47:51" x14ac:dyDescent="0.2">
      <c r="AU5333"/>
      <c r="AV5333"/>
      <c r="AW5333"/>
      <c r="AX5333"/>
      <c r="AY5333"/>
    </row>
    <row r="5334" spans="47:51" x14ac:dyDescent="0.2">
      <c r="AU5334"/>
      <c r="AV5334"/>
      <c r="AW5334"/>
      <c r="AX5334"/>
      <c r="AY5334"/>
    </row>
    <row r="5335" spans="47:51" x14ac:dyDescent="0.2">
      <c r="AU5335"/>
      <c r="AV5335"/>
      <c r="AW5335"/>
      <c r="AX5335"/>
      <c r="AY5335"/>
    </row>
    <row r="5336" spans="47:51" x14ac:dyDescent="0.2">
      <c r="AU5336"/>
      <c r="AV5336"/>
      <c r="AW5336"/>
      <c r="AX5336"/>
      <c r="AY5336"/>
    </row>
    <row r="5337" spans="47:51" x14ac:dyDescent="0.2">
      <c r="AU5337"/>
      <c r="AV5337"/>
      <c r="AW5337"/>
      <c r="AX5337"/>
      <c r="AY5337"/>
    </row>
    <row r="5338" spans="47:51" x14ac:dyDescent="0.2">
      <c r="AU5338"/>
      <c r="AV5338"/>
      <c r="AW5338"/>
      <c r="AX5338"/>
      <c r="AY5338"/>
    </row>
    <row r="5339" spans="47:51" x14ac:dyDescent="0.2">
      <c r="AU5339"/>
      <c r="AV5339"/>
      <c r="AW5339"/>
      <c r="AX5339"/>
      <c r="AY5339"/>
    </row>
    <row r="5340" spans="47:51" x14ac:dyDescent="0.2">
      <c r="AU5340"/>
      <c r="AV5340"/>
      <c r="AW5340"/>
      <c r="AX5340"/>
      <c r="AY5340"/>
    </row>
    <row r="5341" spans="47:51" x14ac:dyDescent="0.2">
      <c r="AU5341"/>
      <c r="AV5341"/>
      <c r="AW5341"/>
      <c r="AX5341"/>
      <c r="AY5341"/>
    </row>
    <row r="5342" spans="47:51" x14ac:dyDescent="0.2">
      <c r="AU5342"/>
      <c r="AV5342"/>
      <c r="AW5342"/>
      <c r="AX5342"/>
      <c r="AY5342"/>
    </row>
    <row r="5343" spans="47:51" x14ac:dyDescent="0.2">
      <c r="AU5343"/>
      <c r="AV5343"/>
      <c r="AW5343"/>
      <c r="AX5343"/>
      <c r="AY5343"/>
    </row>
    <row r="5344" spans="47:51" x14ac:dyDescent="0.2">
      <c r="AU5344"/>
      <c r="AV5344"/>
      <c r="AW5344"/>
      <c r="AX5344"/>
      <c r="AY5344"/>
    </row>
    <row r="5345" spans="47:51" x14ac:dyDescent="0.2">
      <c r="AU5345"/>
      <c r="AV5345"/>
      <c r="AW5345"/>
      <c r="AX5345"/>
      <c r="AY5345"/>
    </row>
    <row r="5346" spans="47:51" x14ac:dyDescent="0.2">
      <c r="AU5346"/>
      <c r="AV5346"/>
      <c r="AW5346"/>
      <c r="AX5346"/>
      <c r="AY5346"/>
    </row>
    <row r="5347" spans="47:51" x14ac:dyDescent="0.2">
      <c r="AU5347"/>
      <c r="AV5347"/>
      <c r="AW5347"/>
      <c r="AX5347"/>
      <c r="AY5347"/>
    </row>
    <row r="5348" spans="47:51" x14ac:dyDescent="0.2">
      <c r="AU5348"/>
      <c r="AV5348"/>
      <c r="AW5348"/>
      <c r="AX5348"/>
      <c r="AY5348"/>
    </row>
    <row r="5349" spans="47:51" x14ac:dyDescent="0.2">
      <c r="AU5349"/>
      <c r="AV5349"/>
      <c r="AW5349"/>
      <c r="AX5349"/>
      <c r="AY5349"/>
    </row>
    <row r="5350" spans="47:51" x14ac:dyDescent="0.2">
      <c r="AU5350"/>
      <c r="AV5350"/>
      <c r="AW5350"/>
      <c r="AX5350"/>
      <c r="AY5350"/>
    </row>
    <row r="5351" spans="47:51" x14ac:dyDescent="0.2">
      <c r="AU5351"/>
      <c r="AV5351"/>
      <c r="AW5351"/>
      <c r="AX5351"/>
      <c r="AY5351"/>
    </row>
    <row r="5352" spans="47:51" x14ac:dyDescent="0.2">
      <c r="AU5352"/>
      <c r="AV5352"/>
      <c r="AW5352"/>
      <c r="AX5352"/>
      <c r="AY5352"/>
    </row>
    <row r="5353" spans="47:51" x14ac:dyDescent="0.2">
      <c r="AU5353"/>
      <c r="AV5353"/>
      <c r="AW5353"/>
      <c r="AX5353"/>
      <c r="AY5353"/>
    </row>
    <row r="5354" spans="47:51" x14ac:dyDescent="0.2">
      <c r="AU5354"/>
      <c r="AV5354"/>
      <c r="AW5354"/>
      <c r="AX5354"/>
      <c r="AY5354"/>
    </row>
    <row r="5355" spans="47:51" x14ac:dyDescent="0.2">
      <c r="AU5355"/>
      <c r="AV5355"/>
      <c r="AW5355"/>
      <c r="AX5355"/>
      <c r="AY5355"/>
    </row>
    <row r="5356" spans="47:51" x14ac:dyDescent="0.2">
      <c r="AU5356"/>
      <c r="AV5356"/>
      <c r="AW5356"/>
      <c r="AX5356"/>
      <c r="AY5356"/>
    </row>
    <row r="5357" spans="47:51" x14ac:dyDescent="0.2">
      <c r="AU5357"/>
      <c r="AV5357"/>
      <c r="AW5357"/>
      <c r="AX5357"/>
      <c r="AY5357"/>
    </row>
    <row r="5358" spans="47:51" x14ac:dyDescent="0.2">
      <c r="AU5358"/>
      <c r="AV5358"/>
      <c r="AW5358"/>
      <c r="AX5358"/>
      <c r="AY5358"/>
    </row>
    <row r="5359" spans="47:51" x14ac:dyDescent="0.2">
      <c r="AU5359"/>
      <c r="AV5359"/>
      <c r="AW5359"/>
      <c r="AX5359"/>
      <c r="AY5359"/>
    </row>
    <row r="5360" spans="47:51" x14ac:dyDescent="0.2">
      <c r="AU5360"/>
      <c r="AV5360"/>
      <c r="AW5360"/>
      <c r="AX5360"/>
      <c r="AY5360"/>
    </row>
    <row r="5361" spans="47:51" x14ac:dyDescent="0.2">
      <c r="AU5361"/>
      <c r="AV5361"/>
      <c r="AW5361"/>
      <c r="AX5361"/>
      <c r="AY5361"/>
    </row>
    <row r="5362" spans="47:51" x14ac:dyDescent="0.2">
      <c r="AU5362"/>
      <c r="AV5362"/>
      <c r="AW5362"/>
      <c r="AX5362"/>
      <c r="AY5362"/>
    </row>
    <row r="5363" spans="47:51" x14ac:dyDescent="0.2">
      <c r="AU5363"/>
      <c r="AV5363"/>
      <c r="AW5363"/>
      <c r="AX5363"/>
      <c r="AY5363"/>
    </row>
    <row r="5364" spans="47:51" x14ac:dyDescent="0.2">
      <c r="AU5364"/>
      <c r="AV5364"/>
      <c r="AW5364"/>
      <c r="AX5364"/>
      <c r="AY5364"/>
    </row>
    <row r="5365" spans="47:51" x14ac:dyDescent="0.2">
      <c r="AU5365"/>
      <c r="AV5365"/>
      <c r="AW5365"/>
      <c r="AX5365"/>
      <c r="AY5365"/>
    </row>
    <row r="5366" spans="47:51" x14ac:dyDescent="0.2">
      <c r="AU5366"/>
      <c r="AV5366"/>
      <c r="AW5366"/>
      <c r="AX5366"/>
      <c r="AY5366"/>
    </row>
    <row r="5367" spans="47:51" x14ac:dyDescent="0.2">
      <c r="AU5367"/>
      <c r="AV5367"/>
      <c r="AW5367"/>
      <c r="AX5367"/>
      <c r="AY5367"/>
    </row>
    <row r="5368" spans="47:51" x14ac:dyDescent="0.2">
      <c r="AU5368"/>
      <c r="AV5368"/>
      <c r="AW5368"/>
      <c r="AX5368"/>
      <c r="AY5368"/>
    </row>
    <row r="5369" spans="47:51" x14ac:dyDescent="0.2">
      <c r="AU5369"/>
      <c r="AV5369"/>
      <c r="AW5369"/>
      <c r="AX5369"/>
      <c r="AY5369"/>
    </row>
    <row r="5370" spans="47:51" x14ac:dyDescent="0.2">
      <c r="AU5370"/>
      <c r="AV5370"/>
      <c r="AW5370"/>
      <c r="AX5370"/>
      <c r="AY5370"/>
    </row>
    <row r="5371" spans="47:51" x14ac:dyDescent="0.2">
      <c r="AU5371"/>
      <c r="AV5371"/>
      <c r="AW5371"/>
      <c r="AX5371"/>
      <c r="AY5371"/>
    </row>
    <row r="5372" spans="47:51" x14ac:dyDescent="0.2">
      <c r="AU5372"/>
      <c r="AV5372"/>
      <c r="AW5372"/>
      <c r="AX5372"/>
      <c r="AY5372"/>
    </row>
    <row r="5373" spans="47:51" x14ac:dyDescent="0.2">
      <c r="AU5373"/>
      <c r="AV5373"/>
      <c r="AW5373"/>
      <c r="AX5373"/>
      <c r="AY5373"/>
    </row>
    <row r="5374" spans="47:51" x14ac:dyDescent="0.2">
      <c r="AU5374"/>
      <c r="AV5374"/>
      <c r="AW5374"/>
      <c r="AX5374"/>
      <c r="AY5374"/>
    </row>
    <row r="5375" spans="47:51" x14ac:dyDescent="0.2">
      <c r="AU5375"/>
      <c r="AV5375"/>
      <c r="AW5375"/>
      <c r="AX5375"/>
      <c r="AY5375"/>
    </row>
    <row r="5376" spans="47:51" x14ac:dyDescent="0.2">
      <c r="AU5376"/>
      <c r="AV5376"/>
      <c r="AW5376"/>
      <c r="AX5376"/>
      <c r="AY5376"/>
    </row>
    <row r="5377" spans="47:51" x14ac:dyDescent="0.2">
      <c r="AU5377"/>
      <c r="AV5377"/>
      <c r="AW5377"/>
      <c r="AX5377"/>
      <c r="AY5377"/>
    </row>
    <row r="5378" spans="47:51" x14ac:dyDescent="0.2">
      <c r="AU5378"/>
      <c r="AV5378"/>
      <c r="AW5378"/>
      <c r="AX5378"/>
      <c r="AY5378"/>
    </row>
    <row r="5379" spans="47:51" x14ac:dyDescent="0.2">
      <c r="AU5379"/>
      <c r="AV5379"/>
      <c r="AW5379"/>
      <c r="AX5379"/>
      <c r="AY5379"/>
    </row>
    <row r="5380" spans="47:51" x14ac:dyDescent="0.2">
      <c r="AU5380"/>
      <c r="AV5380"/>
      <c r="AW5380"/>
      <c r="AX5380"/>
      <c r="AY5380"/>
    </row>
    <row r="5381" spans="47:51" x14ac:dyDescent="0.2">
      <c r="AU5381"/>
      <c r="AV5381"/>
      <c r="AW5381"/>
      <c r="AX5381"/>
      <c r="AY5381"/>
    </row>
    <row r="5382" spans="47:51" x14ac:dyDescent="0.2">
      <c r="AU5382"/>
      <c r="AV5382"/>
      <c r="AW5382"/>
      <c r="AX5382"/>
      <c r="AY5382"/>
    </row>
    <row r="5383" spans="47:51" x14ac:dyDescent="0.2">
      <c r="AU5383"/>
      <c r="AV5383"/>
      <c r="AW5383"/>
      <c r="AX5383"/>
      <c r="AY5383"/>
    </row>
    <row r="5384" spans="47:51" x14ac:dyDescent="0.2">
      <c r="AU5384"/>
      <c r="AV5384"/>
      <c r="AW5384"/>
      <c r="AX5384"/>
      <c r="AY5384"/>
    </row>
    <row r="5385" spans="47:51" x14ac:dyDescent="0.2">
      <c r="AU5385"/>
      <c r="AV5385"/>
      <c r="AW5385"/>
      <c r="AX5385"/>
      <c r="AY5385"/>
    </row>
    <row r="5386" spans="47:51" x14ac:dyDescent="0.2">
      <c r="AU5386"/>
      <c r="AV5386"/>
      <c r="AW5386"/>
      <c r="AX5386"/>
      <c r="AY5386"/>
    </row>
    <row r="5387" spans="47:51" x14ac:dyDescent="0.2">
      <c r="AU5387"/>
      <c r="AV5387"/>
      <c r="AW5387"/>
      <c r="AX5387"/>
      <c r="AY5387"/>
    </row>
    <row r="5388" spans="47:51" x14ac:dyDescent="0.2">
      <c r="AU5388"/>
      <c r="AV5388"/>
      <c r="AW5388"/>
      <c r="AX5388"/>
      <c r="AY5388"/>
    </row>
    <row r="5389" spans="47:51" x14ac:dyDescent="0.2">
      <c r="AU5389"/>
      <c r="AV5389"/>
      <c r="AW5389"/>
      <c r="AX5389"/>
      <c r="AY5389"/>
    </row>
    <row r="5390" spans="47:51" x14ac:dyDescent="0.2">
      <c r="AU5390"/>
      <c r="AV5390"/>
      <c r="AW5390"/>
      <c r="AX5390"/>
      <c r="AY5390"/>
    </row>
    <row r="5391" spans="47:51" x14ac:dyDescent="0.2">
      <c r="AU5391"/>
      <c r="AV5391"/>
      <c r="AW5391"/>
      <c r="AX5391"/>
      <c r="AY5391"/>
    </row>
    <row r="5392" spans="47:51" x14ac:dyDescent="0.2">
      <c r="AU5392"/>
      <c r="AV5392"/>
      <c r="AW5392"/>
      <c r="AX5392"/>
      <c r="AY5392"/>
    </row>
    <row r="5393" spans="47:51" x14ac:dyDescent="0.2">
      <c r="AU5393"/>
      <c r="AV5393"/>
      <c r="AW5393"/>
      <c r="AX5393"/>
      <c r="AY5393"/>
    </row>
    <row r="5394" spans="47:51" x14ac:dyDescent="0.2">
      <c r="AU5394"/>
      <c r="AV5394"/>
      <c r="AW5394"/>
      <c r="AX5394"/>
      <c r="AY5394"/>
    </row>
    <row r="5395" spans="47:51" x14ac:dyDescent="0.2">
      <c r="AU5395"/>
      <c r="AV5395"/>
      <c r="AW5395"/>
      <c r="AX5395"/>
      <c r="AY5395"/>
    </row>
    <row r="5396" spans="47:51" x14ac:dyDescent="0.2">
      <c r="AU5396"/>
      <c r="AV5396"/>
      <c r="AW5396"/>
      <c r="AX5396"/>
      <c r="AY5396"/>
    </row>
    <row r="5397" spans="47:51" x14ac:dyDescent="0.2">
      <c r="AU5397"/>
      <c r="AV5397"/>
      <c r="AW5397"/>
      <c r="AX5397"/>
      <c r="AY5397"/>
    </row>
    <row r="5398" spans="47:51" x14ac:dyDescent="0.2">
      <c r="AU5398"/>
      <c r="AV5398"/>
      <c r="AW5398"/>
      <c r="AX5398"/>
      <c r="AY5398"/>
    </row>
    <row r="5399" spans="47:51" x14ac:dyDescent="0.2">
      <c r="AU5399"/>
      <c r="AV5399"/>
      <c r="AW5399"/>
      <c r="AX5399"/>
      <c r="AY5399"/>
    </row>
    <row r="5400" spans="47:51" x14ac:dyDescent="0.2">
      <c r="AU5400"/>
      <c r="AV5400"/>
      <c r="AW5400"/>
      <c r="AX5400"/>
      <c r="AY5400"/>
    </row>
    <row r="5401" spans="47:51" x14ac:dyDescent="0.2">
      <c r="AU5401"/>
      <c r="AV5401"/>
      <c r="AW5401"/>
      <c r="AX5401"/>
      <c r="AY5401"/>
    </row>
    <row r="5402" spans="47:51" x14ac:dyDescent="0.2">
      <c r="AU5402"/>
      <c r="AV5402"/>
      <c r="AW5402"/>
      <c r="AX5402"/>
      <c r="AY5402"/>
    </row>
    <row r="5403" spans="47:51" x14ac:dyDescent="0.2">
      <c r="AU5403"/>
      <c r="AV5403"/>
      <c r="AW5403"/>
      <c r="AX5403"/>
      <c r="AY5403"/>
    </row>
    <row r="5404" spans="47:51" x14ac:dyDescent="0.2">
      <c r="AU5404"/>
      <c r="AV5404"/>
      <c r="AW5404"/>
      <c r="AX5404"/>
      <c r="AY5404"/>
    </row>
    <row r="5405" spans="47:51" x14ac:dyDescent="0.2">
      <c r="AU5405"/>
      <c r="AV5405"/>
      <c r="AW5405"/>
      <c r="AX5405"/>
      <c r="AY5405"/>
    </row>
    <row r="5406" spans="47:51" x14ac:dyDescent="0.2">
      <c r="AU5406"/>
      <c r="AV5406"/>
      <c r="AW5406"/>
      <c r="AX5406"/>
      <c r="AY5406"/>
    </row>
    <row r="5407" spans="47:51" x14ac:dyDescent="0.2">
      <c r="AU5407"/>
      <c r="AV5407"/>
      <c r="AW5407"/>
      <c r="AX5407"/>
      <c r="AY5407"/>
    </row>
    <row r="5408" spans="47:51" x14ac:dyDescent="0.2">
      <c r="AU5408"/>
      <c r="AV5408"/>
      <c r="AW5408"/>
      <c r="AX5408"/>
      <c r="AY5408"/>
    </row>
    <row r="5409" spans="47:51" x14ac:dyDescent="0.2">
      <c r="AU5409"/>
      <c r="AV5409"/>
      <c r="AW5409"/>
      <c r="AX5409"/>
      <c r="AY5409"/>
    </row>
    <row r="5410" spans="47:51" x14ac:dyDescent="0.2">
      <c r="AU5410"/>
      <c r="AV5410"/>
      <c r="AW5410"/>
      <c r="AX5410"/>
      <c r="AY5410"/>
    </row>
    <row r="5411" spans="47:51" x14ac:dyDescent="0.2">
      <c r="AU5411"/>
      <c r="AV5411"/>
      <c r="AW5411"/>
      <c r="AX5411"/>
      <c r="AY5411"/>
    </row>
    <row r="5412" spans="47:51" x14ac:dyDescent="0.2">
      <c r="AU5412"/>
      <c r="AV5412"/>
      <c r="AW5412"/>
      <c r="AX5412"/>
      <c r="AY5412"/>
    </row>
    <row r="5413" spans="47:51" x14ac:dyDescent="0.2">
      <c r="AU5413"/>
      <c r="AV5413"/>
      <c r="AW5413"/>
      <c r="AX5413"/>
      <c r="AY5413"/>
    </row>
    <row r="5414" spans="47:51" x14ac:dyDescent="0.2">
      <c r="AU5414"/>
      <c r="AV5414"/>
      <c r="AW5414"/>
      <c r="AX5414"/>
      <c r="AY5414"/>
    </row>
    <row r="5415" spans="47:51" x14ac:dyDescent="0.2">
      <c r="AU5415"/>
      <c r="AV5415"/>
      <c r="AW5415"/>
      <c r="AX5415"/>
      <c r="AY5415"/>
    </row>
    <row r="5416" spans="47:51" x14ac:dyDescent="0.2">
      <c r="AU5416"/>
      <c r="AV5416"/>
      <c r="AW5416"/>
      <c r="AX5416"/>
      <c r="AY5416"/>
    </row>
    <row r="5417" spans="47:51" x14ac:dyDescent="0.2">
      <c r="AU5417"/>
      <c r="AV5417"/>
      <c r="AW5417"/>
      <c r="AX5417"/>
      <c r="AY5417"/>
    </row>
    <row r="5418" spans="47:51" x14ac:dyDescent="0.2">
      <c r="AU5418"/>
      <c r="AV5418"/>
      <c r="AW5418"/>
      <c r="AX5418"/>
      <c r="AY5418"/>
    </row>
    <row r="5419" spans="47:51" x14ac:dyDescent="0.2">
      <c r="AU5419"/>
      <c r="AV5419"/>
      <c r="AW5419"/>
      <c r="AX5419"/>
      <c r="AY5419"/>
    </row>
    <row r="5420" spans="47:51" x14ac:dyDescent="0.2">
      <c r="AU5420"/>
      <c r="AV5420"/>
      <c r="AW5420"/>
      <c r="AX5420"/>
      <c r="AY5420"/>
    </row>
    <row r="5421" spans="47:51" x14ac:dyDescent="0.2">
      <c r="AU5421"/>
      <c r="AV5421"/>
      <c r="AW5421"/>
      <c r="AX5421"/>
      <c r="AY5421"/>
    </row>
    <row r="5422" spans="47:51" x14ac:dyDescent="0.2">
      <c r="AU5422"/>
      <c r="AV5422"/>
      <c r="AW5422"/>
      <c r="AX5422"/>
      <c r="AY5422"/>
    </row>
    <row r="5423" spans="47:51" x14ac:dyDescent="0.2">
      <c r="AU5423"/>
      <c r="AV5423"/>
      <c r="AW5423"/>
      <c r="AX5423"/>
      <c r="AY5423"/>
    </row>
    <row r="5424" spans="47:51" x14ac:dyDescent="0.2">
      <c r="AU5424"/>
      <c r="AV5424"/>
      <c r="AW5424"/>
      <c r="AX5424"/>
      <c r="AY5424"/>
    </row>
    <row r="5425" spans="47:51" x14ac:dyDescent="0.2">
      <c r="AU5425"/>
      <c r="AV5425"/>
      <c r="AW5425"/>
      <c r="AX5425"/>
      <c r="AY5425"/>
    </row>
    <row r="5426" spans="47:51" x14ac:dyDescent="0.2">
      <c r="AU5426"/>
      <c r="AV5426"/>
      <c r="AW5426"/>
      <c r="AX5426"/>
      <c r="AY5426"/>
    </row>
    <row r="5427" spans="47:51" x14ac:dyDescent="0.2">
      <c r="AU5427"/>
      <c r="AV5427"/>
      <c r="AW5427"/>
      <c r="AX5427"/>
      <c r="AY5427"/>
    </row>
    <row r="5428" spans="47:51" x14ac:dyDescent="0.2">
      <c r="AU5428"/>
      <c r="AV5428"/>
      <c r="AW5428"/>
      <c r="AX5428"/>
      <c r="AY5428"/>
    </row>
    <row r="5429" spans="47:51" x14ac:dyDescent="0.2">
      <c r="AU5429"/>
      <c r="AV5429"/>
      <c r="AW5429"/>
      <c r="AX5429"/>
      <c r="AY5429"/>
    </row>
    <row r="5430" spans="47:51" x14ac:dyDescent="0.2">
      <c r="AU5430"/>
      <c r="AV5430"/>
      <c r="AW5430"/>
      <c r="AX5430"/>
      <c r="AY5430"/>
    </row>
    <row r="5431" spans="47:51" x14ac:dyDescent="0.2">
      <c r="AU5431"/>
      <c r="AV5431"/>
      <c r="AW5431"/>
      <c r="AX5431"/>
      <c r="AY5431"/>
    </row>
    <row r="5432" spans="47:51" x14ac:dyDescent="0.2">
      <c r="AU5432"/>
      <c r="AV5432"/>
      <c r="AW5432"/>
      <c r="AX5432"/>
      <c r="AY5432"/>
    </row>
    <row r="5433" spans="47:51" x14ac:dyDescent="0.2">
      <c r="AU5433"/>
      <c r="AV5433"/>
      <c r="AW5433"/>
      <c r="AX5433"/>
      <c r="AY5433"/>
    </row>
    <row r="5434" spans="47:51" x14ac:dyDescent="0.2">
      <c r="AU5434"/>
      <c r="AV5434"/>
      <c r="AW5434"/>
      <c r="AX5434"/>
      <c r="AY5434"/>
    </row>
    <row r="5435" spans="47:51" x14ac:dyDescent="0.2">
      <c r="AU5435"/>
      <c r="AV5435"/>
      <c r="AW5435"/>
      <c r="AX5435"/>
      <c r="AY5435"/>
    </row>
    <row r="5436" spans="47:51" x14ac:dyDescent="0.2">
      <c r="AU5436"/>
      <c r="AV5436"/>
      <c r="AW5436"/>
      <c r="AX5436"/>
      <c r="AY5436"/>
    </row>
    <row r="5437" spans="47:51" x14ac:dyDescent="0.2">
      <c r="AU5437"/>
      <c r="AV5437"/>
      <c r="AW5437"/>
      <c r="AX5437"/>
      <c r="AY5437"/>
    </row>
    <row r="5438" spans="47:51" x14ac:dyDescent="0.2">
      <c r="AU5438"/>
      <c r="AV5438"/>
      <c r="AW5438"/>
      <c r="AX5438"/>
      <c r="AY5438"/>
    </row>
    <row r="5439" spans="47:51" x14ac:dyDescent="0.2">
      <c r="AU5439"/>
      <c r="AV5439"/>
      <c r="AW5439"/>
      <c r="AX5439"/>
      <c r="AY5439"/>
    </row>
    <row r="5440" spans="47:51" x14ac:dyDescent="0.2">
      <c r="AU5440"/>
      <c r="AV5440"/>
      <c r="AW5440"/>
      <c r="AX5440"/>
      <c r="AY5440"/>
    </row>
    <row r="5441" spans="47:51" x14ac:dyDescent="0.2">
      <c r="AU5441"/>
      <c r="AV5441"/>
      <c r="AW5441"/>
      <c r="AX5441"/>
      <c r="AY5441"/>
    </row>
    <row r="5442" spans="47:51" x14ac:dyDescent="0.2">
      <c r="AU5442"/>
      <c r="AV5442"/>
      <c r="AW5442"/>
      <c r="AX5442"/>
      <c r="AY5442"/>
    </row>
    <row r="5443" spans="47:51" x14ac:dyDescent="0.2">
      <c r="AU5443"/>
      <c r="AV5443"/>
      <c r="AW5443"/>
      <c r="AX5443"/>
      <c r="AY5443"/>
    </row>
    <row r="5444" spans="47:51" x14ac:dyDescent="0.2">
      <c r="AU5444"/>
      <c r="AV5444"/>
      <c r="AW5444"/>
      <c r="AX5444"/>
      <c r="AY5444"/>
    </row>
    <row r="5445" spans="47:51" x14ac:dyDescent="0.2">
      <c r="AU5445"/>
      <c r="AV5445"/>
      <c r="AW5445"/>
      <c r="AX5445"/>
      <c r="AY5445"/>
    </row>
    <row r="5446" spans="47:51" x14ac:dyDescent="0.2">
      <c r="AU5446"/>
      <c r="AV5446"/>
      <c r="AW5446"/>
      <c r="AX5446"/>
      <c r="AY5446"/>
    </row>
    <row r="5447" spans="47:51" x14ac:dyDescent="0.2">
      <c r="AU5447"/>
      <c r="AV5447"/>
      <c r="AW5447"/>
      <c r="AX5447"/>
      <c r="AY5447"/>
    </row>
    <row r="5448" spans="47:51" x14ac:dyDescent="0.2">
      <c r="AU5448"/>
      <c r="AV5448"/>
      <c r="AW5448"/>
      <c r="AX5448"/>
      <c r="AY5448"/>
    </row>
    <row r="5449" spans="47:51" x14ac:dyDescent="0.2">
      <c r="AU5449"/>
      <c r="AV5449"/>
      <c r="AW5449"/>
      <c r="AX5449"/>
      <c r="AY5449"/>
    </row>
    <row r="5450" spans="47:51" x14ac:dyDescent="0.2">
      <c r="AU5450"/>
      <c r="AV5450"/>
      <c r="AW5450"/>
      <c r="AX5450"/>
      <c r="AY5450"/>
    </row>
    <row r="5451" spans="47:51" x14ac:dyDescent="0.2">
      <c r="AU5451"/>
      <c r="AV5451"/>
      <c r="AW5451"/>
      <c r="AX5451"/>
      <c r="AY5451"/>
    </row>
    <row r="5452" spans="47:51" x14ac:dyDescent="0.2">
      <c r="AU5452"/>
      <c r="AV5452"/>
      <c r="AW5452"/>
      <c r="AX5452"/>
      <c r="AY5452"/>
    </row>
    <row r="5453" spans="47:51" x14ac:dyDescent="0.2">
      <c r="AU5453"/>
      <c r="AV5453"/>
      <c r="AW5453"/>
      <c r="AX5453"/>
      <c r="AY5453"/>
    </row>
    <row r="5454" spans="47:51" x14ac:dyDescent="0.2">
      <c r="AU5454"/>
      <c r="AV5454"/>
      <c r="AW5454"/>
      <c r="AX5454"/>
      <c r="AY5454"/>
    </row>
    <row r="5455" spans="47:51" x14ac:dyDescent="0.2">
      <c r="AU5455"/>
      <c r="AV5455"/>
      <c r="AW5455"/>
      <c r="AX5455"/>
      <c r="AY5455"/>
    </row>
    <row r="5456" spans="47:51" x14ac:dyDescent="0.2">
      <c r="AU5456"/>
      <c r="AV5456"/>
      <c r="AW5456"/>
      <c r="AX5456"/>
      <c r="AY5456"/>
    </row>
    <row r="5457" spans="47:51" x14ac:dyDescent="0.2">
      <c r="AU5457"/>
      <c r="AV5457"/>
      <c r="AW5457"/>
      <c r="AX5457"/>
      <c r="AY5457"/>
    </row>
    <row r="5458" spans="47:51" x14ac:dyDescent="0.2">
      <c r="AU5458"/>
      <c r="AV5458"/>
      <c r="AW5458"/>
      <c r="AX5458"/>
      <c r="AY5458"/>
    </row>
    <row r="5459" spans="47:51" x14ac:dyDescent="0.2">
      <c r="AU5459"/>
      <c r="AV5459"/>
      <c r="AW5459"/>
      <c r="AX5459"/>
      <c r="AY5459"/>
    </row>
    <row r="5460" spans="47:51" x14ac:dyDescent="0.2">
      <c r="AU5460"/>
      <c r="AV5460"/>
      <c r="AW5460"/>
      <c r="AX5460"/>
      <c r="AY5460"/>
    </row>
    <row r="5461" spans="47:51" x14ac:dyDescent="0.2">
      <c r="AU5461"/>
      <c r="AV5461"/>
      <c r="AW5461"/>
      <c r="AX5461"/>
      <c r="AY5461"/>
    </row>
    <row r="5462" spans="47:51" x14ac:dyDescent="0.2">
      <c r="AU5462"/>
      <c r="AV5462"/>
      <c r="AW5462"/>
      <c r="AX5462"/>
      <c r="AY5462"/>
    </row>
    <row r="5463" spans="47:51" x14ac:dyDescent="0.2">
      <c r="AU5463"/>
      <c r="AV5463"/>
      <c r="AW5463"/>
      <c r="AX5463"/>
      <c r="AY5463"/>
    </row>
    <row r="5464" spans="47:51" x14ac:dyDescent="0.2">
      <c r="AU5464"/>
      <c r="AV5464"/>
      <c r="AW5464"/>
      <c r="AX5464"/>
      <c r="AY5464"/>
    </row>
    <row r="5465" spans="47:51" x14ac:dyDescent="0.2">
      <c r="AU5465"/>
      <c r="AV5465"/>
      <c r="AW5465"/>
      <c r="AX5465"/>
      <c r="AY5465"/>
    </row>
    <row r="5466" spans="47:51" x14ac:dyDescent="0.2">
      <c r="AU5466"/>
      <c r="AV5466"/>
      <c r="AW5466"/>
      <c r="AX5466"/>
      <c r="AY5466"/>
    </row>
    <row r="5467" spans="47:51" x14ac:dyDescent="0.2">
      <c r="AU5467"/>
      <c r="AV5467"/>
      <c r="AW5467"/>
      <c r="AX5467"/>
      <c r="AY5467"/>
    </row>
    <row r="5468" spans="47:51" x14ac:dyDescent="0.2">
      <c r="AU5468"/>
      <c r="AV5468"/>
      <c r="AW5468"/>
      <c r="AX5468"/>
      <c r="AY5468"/>
    </row>
    <row r="5469" spans="47:51" x14ac:dyDescent="0.2">
      <c r="AU5469"/>
      <c r="AV5469"/>
      <c r="AW5469"/>
      <c r="AX5469"/>
      <c r="AY5469"/>
    </row>
    <row r="5470" spans="47:51" x14ac:dyDescent="0.2">
      <c r="AU5470"/>
      <c r="AV5470"/>
      <c r="AW5470"/>
      <c r="AX5470"/>
      <c r="AY5470"/>
    </row>
    <row r="5471" spans="47:51" x14ac:dyDescent="0.2">
      <c r="AU5471"/>
      <c r="AV5471"/>
      <c r="AW5471"/>
      <c r="AX5471"/>
      <c r="AY5471"/>
    </row>
    <row r="5472" spans="47:51" x14ac:dyDescent="0.2">
      <c r="AU5472"/>
      <c r="AV5472"/>
      <c r="AW5472"/>
      <c r="AX5472"/>
      <c r="AY5472"/>
    </row>
    <row r="5473" spans="47:51" x14ac:dyDescent="0.2">
      <c r="AU5473"/>
      <c r="AV5473"/>
      <c r="AW5473"/>
      <c r="AX5473"/>
      <c r="AY5473"/>
    </row>
    <row r="5474" spans="47:51" x14ac:dyDescent="0.2">
      <c r="AU5474"/>
      <c r="AV5474"/>
      <c r="AW5474"/>
      <c r="AX5474"/>
      <c r="AY5474"/>
    </row>
    <row r="5475" spans="47:51" x14ac:dyDescent="0.2">
      <c r="AU5475"/>
      <c r="AV5475"/>
      <c r="AW5475"/>
      <c r="AX5475"/>
      <c r="AY5475"/>
    </row>
    <row r="5476" spans="47:51" x14ac:dyDescent="0.2">
      <c r="AU5476"/>
      <c r="AV5476"/>
      <c r="AW5476"/>
      <c r="AX5476"/>
      <c r="AY5476"/>
    </row>
    <row r="5477" spans="47:51" x14ac:dyDescent="0.2">
      <c r="AU5477"/>
      <c r="AV5477"/>
      <c r="AW5477"/>
      <c r="AX5477"/>
      <c r="AY5477"/>
    </row>
    <row r="5478" spans="47:51" x14ac:dyDescent="0.2">
      <c r="AU5478"/>
      <c r="AV5478"/>
      <c r="AW5478"/>
      <c r="AX5478"/>
      <c r="AY5478"/>
    </row>
    <row r="5479" spans="47:51" x14ac:dyDescent="0.2">
      <c r="AU5479"/>
      <c r="AV5479"/>
      <c r="AW5479"/>
      <c r="AX5479"/>
      <c r="AY5479"/>
    </row>
    <row r="5480" spans="47:51" x14ac:dyDescent="0.2">
      <c r="AU5480"/>
      <c r="AV5480"/>
      <c r="AW5480"/>
      <c r="AX5480"/>
      <c r="AY5480"/>
    </row>
    <row r="5481" spans="47:51" x14ac:dyDescent="0.2">
      <c r="AU5481"/>
      <c r="AV5481"/>
      <c r="AW5481"/>
      <c r="AX5481"/>
      <c r="AY5481"/>
    </row>
    <row r="5482" spans="47:51" x14ac:dyDescent="0.2">
      <c r="AU5482"/>
      <c r="AV5482"/>
      <c r="AW5482"/>
      <c r="AX5482"/>
      <c r="AY5482"/>
    </row>
    <row r="5483" spans="47:51" x14ac:dyDescent="0.2">
      <c r="AU5483"/>
      <c r="AV5483"/>
      <c r="AW5483"/>
      <c r="AX5483"/>
      <c r="AY5483"/>
    </row>
    <row r="5484" spans="47:51" x14ac:dyDescent="0.2">
      <c r="AU5484"/>
      <c r="AV5484"/>
      <c r="AW5484"/>
      <c r="AX5484"/>
      <c r="AY5484"/>
    </row>
    <row r="5485" spans="47:51" x14ac:dyDescent="0.2">
      <c r="AU5485"/>
      <c r="AV5485"/>
      <c r="AW5485"/>
      <c r="AX5485"/>
      <c r="AY5485"/>
    </row>
    <row r="5486" spans="47:51" x14ac:dyDescent="0.2">
      <c r="AU5486"/>
      <c r="AV5486"/>
      <c r="AW5486"/>
      <c r="AX5486"/>
      <c r="AY5486"/>
    </row>
    <row r="5487" spans="47:51" x14ac:dyDescent="0.2">
      <c r="AU5487"/>
      <c r="AV5487"/>
      <c r="AW5487"/>
      <c r="AX5487"/>
      <c r="AY5487"/>
    </row>
    <row r="5488" spans="47:51" x14ac:dyDescent="0.2">
      <c r="AU5488"/>
      <c r="AV5488"/>
      <c r="AW5488"/>
      <c r="AX5488"/>
      <c r="AY5488"/>
    </row>
    <row r="5489" spans="47:51" x14ac:dyDescent="0.2">
      <c r="AU5489"/>
      <c r="AV5489"/>
      <c r="AW5489"/>
      <c r="AX5489"/>
      <c r="AY5489"/>
    </row>
    <row r="5490" spans="47:51" x14ac:dyDescent="0.2">
      <c r="AU5490"/>
      <c r="AV5490"/>
      <c r="AW5490"/>
      <c r="AX5490"/>
      <c r="AY5490"/>
    </row>
    <row r="5491" spans="47:51" x14ac:dyDescent="0.2">
      <c r="AU5491"/>
      <c r="AV5491"/>
      <c r="AW5491"/>
      <c r="AX5491"/>
      <c r="AY5491"/>
    </row>
    <row r="5492" spans="47:51" x14ac:dyDescent="0.2">
      <c r="AU5492"/>
      <c r="AV5492"/>
      <c r="AW5492"/>
      <c r="AX5492"/>
      <c r="AY5492"/>
    </row>
    <row r="5493" spans="47:51" x14ac:dyDescent="0.2">
      <c r="AU5493"/>
      <c r="AV5493"/>
      <c r="AW5493"/>
      <c r="AX5493"/>
      <c r="AY5493"/>
    </row>
    <row r="5494" spans="47:51" x14ac:dyDescent="0.2">
      <c r="AU5494"/>
      <c r="AV5494"/>
      <c r="AW5494"/>
      <c r="AX5494"/>
      <c r="AY5494"/>
    </row>
    <row r="5495" spans="47:51" x14ac:dyDescent="0.2">
      <c r="AU5495"/>
      <c r="AV5495"/>
      <c r="AW5495"/>
      <c r="AX5495"/>
      <c r="AY5495"/>
    </row>
    <row r="5496" spans="47:51" x14ac:dyDescent="0.2">
      <c r="AU5496"/>
      <c r="AV5496"/>
      <c r="AW5496"/>
      <c r="AX5496"/>
      <c r="AY5496"/>
    </row>
    <row r="5497" spans="47:51" x14ac:dyDescent="0.2">
      <c r="AU5497"/>
      <c r="AV5497"/>
      <c r="AW5497"/>
      <c r="AX5497"/>
      <c r="AY5497"/>
    </row>
    <row r="5498" spans="47:51" x14ac:dyDescent="0.2">
      <c r="AU5498"/>
      <c r="AV5498"/>
      <c r="AW5498"/>
      <c r="AX5498"/>
      <c r="AY5498"/>
    </row>
    <row r="5499" spans="47:51" x14ac:dyDescent="0.2">
      <c r="AU5499"/>
      <c r="AV5499"/>
      <c r="AW5499"/>
      <c r="AX5499"/>
      <c r="AY5499"/>
    </row>
    <row r="5500" spans="47:51" x14ac:dyDescent="0.2">
      <c r="AU5500"/>
      <c r="AV5500"/>
      <c r="AW5500"/>
      <c r="AX5500"/>
      <c r="AY5500"/>
    </row>
    <row r="5501" spans="47:51" x14ac:dyDescent="0.2">
      <c r="AU5501"/>
      <c r="AV5501"/>
      <c r="AW5501"/>
      <c r="AX5501"/>
      <c r="AY5501"/>
    </row>
    <row r="5502" spans="47:51" x14ac:dyDescent="0.2">
      <c r="AU5502"/>
      <c r="AV5502"/>
      <c r="AW5502"/>
      <c r="AX5502"/>
      <c r="AY5502"/>
    </row>
    <row r="5503" spans="47:51" x14ac:dyDescent="0.2">
      <c r="AU5503"/>
      <c r="AV5503"/>
      <c r="AW5503"/>
      <c r="AX5503"/>
      <c r="AY5503"/>
    </row>
    <row r="5504" spans="47:51" x14ac:dyDescent="0.2">
      <c r="AU5504"/>
      <c r="AV5504"/>
      <c r="AW5504"/>
      <c r="AX5504"/>
      <c r="AY5504"/>
    </row>
    <row r="5505" spans="47:51" x14ac:dyDescent="0.2">
      <c r="AU5505"/>
      <c r="AV5505"/>
      <c r="AW5505"/>
      <c r="AX5505"/>
      <c r="AY5505"/>
    </row>
    <row r="5506" spans="47:51" x14ac:dyDescent="0.2">
      <c r="AU5506"/>
      <c r="AV5506"/>
      <c r="AW5506"/>
      <c r="AX5506"/>
      <c r="AY5506"/>
    </row>
    <row r="5507" spans="47:51" x14ac:dyDescent="0.2">
      <c r="AU5507"/>
      <c r="AV5507"/>
      <c r="AW5507"/>
      <c r="AX5507"/>
      <c r="AY5507"/>
    </row>
    <row r="5508" spans="47:51" x14ac:dyDescent="0.2">
      <c r="AU5508"/>
      <c r="AV5508"/>
      <c r="AW5508"/>
      <c r="AX5508"/>
      <c r="AY5508"/>
    </row>
    <row r="5509" spans="47:51" x14ac:dyDescent="0.2">
      <c r="AU5509"/>
      <c r="AV5509"/>
      <c r="AW5509"/>
      <c r="AX5509"/>
      <c r="AY5509"/>
    </row>
    <row r="5510" spans="47:51" x14ac:dyDescent="0.2">
      <c r="AU5510"/>
      <c r="AV5510"/>
      <c r="AW5510"/>
      <c r="AX5510"/>
      <c r="AY5510"/>
    </row>
    <row r="5511" spans="47:51" x14ac:dyDescent="0.2">
      <c r="AU5511"/>
      <c r="AV5511"/>
      <c r="AW5511"/>
      <c r="AX5511"/>
      <c r="AY5511"/>
    </row>
    <row r="5512" spans="47:51" x14ac:dyDescent="0.2">
      <c r="AU5512"/>
      <c r="AV5512"/>
      <c r="AW5512"/>
      <c r="AX5512"/>
      <c r="AY5512"/>
    </row>
    <row r="5513" spans="47:51" x14ac:dyDescent="0.2">
      <c r="AU5513"/>
      <c r="AV5513"/>
      <c r="AW5513"/>
      <c r="AX5513"/>
      <c r="AY5513"/>
    </row>
    <row r="5514" spans="47:51" x14ac:dyDescent="0.2">
      <c r="AU5514"/>
      <c r="AV5514"/>
      <c r="AW5514"/>
      <c r="AX5514"/>
      <c r="AY5514"/>
    </row>
    <row r="5515" spans="47:51" x14ac:dyDescent="0.2">
      <c r="AU5515"/>
      <c r="AV5515"/>
      <c r="AW5515"/>
      <c r="AX5515"/>
      <c r="AY5515"/>
    </row>
    <row r="5516" spans="47:51" x14ac:dyDescent="0.2">
      <c r="AU5516"/>
      <c r="AV5516"/>
      <c r="AW5516"/>
      <c r="AX5516"/>
      <c r="AY5516"/>
    </row>
    <row r="5517" spans="47:51" x14ac:dyDescent="0.2">
      <c r="AU5517"/>
      <c r="AV5517"/>
      <c r="AW5517"/>
      <c r="AX5517"/>
      <c r="AY5517"/>
    </row>
    <row r="5518" spans="47:51" x14ac:dyDescent="0.2">
      <c r="AU5518"/>
      <c r="AV5518"/>
      <c r="AW5518"/>
      <c r="AX5518"/>
      <c r="AY5518"/>
    </row>
    <row r="5519" spans="47:51" x14ac:dyDescent="0.2">
      <c r="AU5519"/>
      <c r="AV5519"/>
      <c r="AW5519"/>
      <c r="AX5519"/>
      <c r="AY5519"/>
    </row>
    <row r="5520" spans="47:51" x14ac:dyDescent="0.2">
      <c r="AU5520"/>
      <c r="AV5520"/>
      <c r="AW5520"/>
      <c r="AX5520"/>
      <c r="AY5520"/>
    </row>
    <row r="5521" spans="47:51" x14ac:dyDescent="0.2">
      <c r="AU5521"/>
      <c r="AV5521"/>
      <c r="AW5521"/>
      <c r="AX5521"/>
      <c r="AY5521"/>
    </row>
    <row r="5522" spans="47:51" x14ac:dyDescent="0.2">
      <c r="AU5522"/>
      <c r="AV5522"/>
      <c r="AW5522"/>
      <c r="AX5522"/>
      <c r="AY5522"/>
    </row>
    <row r="5523" spans="47:51" x14ac:dyDescent="0.2">
      <c r="AU5523"/>
      <c r="AV5523"/>
      <c r="AW5523"/>
      <c r="AX5523"/>
      <c r="AY5523"/>
    </row>
    <row r="5524" spans="47:51" x14ac:dyDescent="0.2">
      <c r="AU5524"/>
      <c r="AV5524"/>
      <c r="AW5524"/>
      <c r="AX5524"/>
      <c r="AY5524"/>
    </row>
    <row r="5525" spans="47:51" x14ac:dyDescent="0.2">
      <c r="AU5525"/>
      <c r="AV5525"/>
      <c r="AW5525"/>
      <c r="AX5525"/>
      <c r="AY5525"/>
    </row>
    <row r="5526" spans="47:51" x14ac:dyDescent="0.2">
      <c r="AU5526"/>
      <c r="AV5526"/>
      <c r="AW5526"/>
      <c r="AX5526"/>
      <c r="AY5526"/>
    </row>
    <row r="5527" spans="47:51" x14ac:dyDescent="0.2">
      <c r="AU5527"/>
      <c r="AV5527"/>
      <c r="AW5527"/>
      <c r="AX5527"/>
      <c r="AY5527"/>
    </row>
    <row r="5528" spans="47:51" x14ac:dyDescent="0.2">
      <c r="AU5528"/>
      <c r="AV5528"/>
      <c r="AW5528"/>
      <c r="AX5528"/>
      <c r="AY5528"/>
    </row>
    <row r="5529" spans="47:51" x14ac:dyDescent="0.2">
      <c r="AU5529"/>
      <c r="AV5529"/>
      <c r="AW5529"/>
      <c r="AX5529"/>
      <c r="AY5529"/>
    </row>
    <row r="5530" spans="47:51" x14ac:dyDescent="0.2">
      <c r="AU5530"/>
      <c r="AV5530"/>
      <c r="AW5530"/>
      <c r="AX5530"/>
      <c r="AY5530"/>
    </row>
    <row r="5531" spans="47:51" x14ac:dyDescent="0.2">
      <c r="AU5531"/>
      <c r="AV5531"/>
      <c r="AW5531"/>
      <c r="AX5531"/>
      <c r="AY5531"/>
    </row>
    <row r="5532" spans="47:51" x14ac:dyDescent="0.2">
      <c r="AU5532"/>
      <c r="AV5532"/>
      <c r="AW5532"/>
      <c r="AX5532"/>
      <c r="AY5532"/>
    </row>
    <row r="5533" spans="47:51" x14ac:dyDescent="0.2">
      <c r="AU5533"/>
      <c r="AV5533"/>
      <c r="AW5533"/>
      <c r="AX5533"/>
      <c r="AY5533"/>
    </row>
    <row r="5534" spans="47:51" x14ac:dyDescent="0.2">
      <c r="AU5534"/>
      <c r="AV5534"/>
      <c r="AW5534"/>
      <c r="AX5534"/>
      <c r="AY5534"/>
    </row>
    <row r="5535" spans="47:51" x14ac:dyDescent="0.2">
      <c r="AU5535"/>
      <c r="AV5535"/>
      <c r="AW5535"/>
      <c r="AX5535"/>
      <c r="AY5535"/>
    </row>
    <row r="5536" spans="47:51" x14ac:dyDescent="0.2">
      <c r="AU5536"/>
      <c r="AV5536"/>
      <c r="AW5536"/>
      <c r="AX5536"/>
      <c r="AY5536"/>
    </row>
    <row r="5537" spans="47:51" x14ac:dyDescent="0.2">
      <c r="AU5537"/>
      <c r="AV5537"/>
      <c r="AW5537"/>
      <c r="AX5537"/>
      <c r="AY5537"/>
    </row>
    <row r="5538" spans="47:51" x14ac:dyDescent="0.2">
      <c r="AU5538"/>
      <c r="AV5538"/>
      <c r="AW5538"/>
      <c r="AX5538"/>
      <c r="AY5538"/>
    </row>
    <row r="5539" spans="47:51" x14ac:dyDescent="0.2">
      <c r="AU5539"/>
      <c r="AV5539"/>
      <c r="AW5539"/>
      <c r="AX5539"/>
      <c r="AY5539"/>
    </row>
    <row r="5540" spans="47:51" x14ac:dyDescent="0.2">
      <c r="AU5540"/>
      <c r="AV5540"/>
      <c r="AW5540"/>
      <c r="AX5540"/>
      <c r="AY5540"/>
    </row>
    <row r="5541" spans="47:51" x14ac:dyDescent="0.2">
      <c r="AU5541"/>
      <c r="AV5541"/>
      <c r="AW5541"/>
      <c r="AX5541"/>
      <c r="AY5541"/>
    </row>
    <row r="5542" spans="47:51" x14ac:dyDescent="0.2">
      <c r="AU5542"/>
      <c r="AV5542"/>
      <c r="AW5542"/>
      <c r="AX5542"/>
      <c r="AY5542"/>
    </row>
    <row r="5543" spans="47:51" x14ac:dyDescent="0.2">
      <c r="AU5543"/>
      <c r="AV5543"/>
      <c r="AW5543"/>
      <c r="AX5543"/>
      <c r="AY5543"/>
    </row>
    <row r="5544" spans="47:51" x14ac:dyDescent="0.2">
      <c r="AU5544"/>
      <c r="AV5544"/>
      <c r="AW5544"/>
      <c r="AX5544"/>
      <c r="AY5544"/>
    </row>
    <row r="5545" spans="47:51" x14ac:dyDescent="0.2">
      <c r="AU5545"/>
      <c r="AV5545"/>
      <c r="AW5545"/>
      <c r="AX5545"/>
      <c r="AY5545"/>
    </row>
    <row r="5546" spans="47:51" x14ac:dyDescent="0.2">
      <c r="AU5546"/>
      <c r="AV5546"/>
      <c r="AW5546"/>
      <c r="AX5546"/>
      <c r="AY5546"/>
    </row>
    <row r="5547" spans="47:51" x14ac:dyDescent="0.2">
      <c r="AU5547"/>
      <c r="AV5547"/>
      <c r="AW5547"/>
      <c r="AX5547"/>
      <c r="AY5547"/>
    </row>
    <row r="5548" spans="47:51" x14ac:dyDescent="0.2">
      <c r="AU5548"/>
      <c r="AV5548"/>
      <c r="AW5548"/>
      <c r="AX5548"/>
      <c r="AY5548"/>
    </row>
    <row r="5549" spans="47:51" x14ac:dyDescent="0.2">
      <c r="AU5549"/>
      <c r="AV5549"/>
      <c r="AW5549"/>
      <c r="AX5549"/>
      <c r="AY5549"/>
    </row>
    <row r="5550" spans="47:51" x14ac:dyDescent="0.2">
      <c r="AU5550"/>
      <c r="AV5550"/>
      <c r="AW5550"/>
      <c r="AX5550"/>
      <c r="AY5550"/>
    </row>
    <row r="5551" spans="47:51" x14ac:dyDescent="0.2">
      <c r="AU5551"/>
      <c r="AV5551"/>
      <c r="AW5551"/>
      <c r="AX5551"/>
      <c r="AY5551"/>
    </row>
    <row r="5552" spans="47:51" x14ac:dyDescent="0.2">
      <c r="AU5552"/>
      <c r="AV5552"/>
      <c r="AW5552"/>
      <c r="AX5552"/>
      <c r="AY5552"/>
    </row>
    <row r="5553" spans="47:51" x14ac:dyDescent="0.2">
      <c r="AU5553"/>
      <c r="AV5553"/>
      <c r="AW5553"/>
      <c r="AX5553"/>
      <c r="AY5553"/>
    </row>
    <row r="5554" spans="47:51" x14ac:dyDescent="0.2">
      <c r="AU5554"/>
      <c r="AV5554"/>
      <c r="AW5554"/>
      <c r="AX5554"/>
      <c r="AY5554"/>
    </row>
    <row r="5555" spans="47:51" x14ac:dyDescent="0.2">
      <c r="AU5555"/>
      <c r="AV5555"/>
      <c r="AW5555"/>
      <c r="AX5555"/>
      <c r="AY5555"/>
    </row>
    <row r="5556" spans="47:51" x14ac:dyDescent="0.2">
      <c r="AU5556"/>
      <c r="AV5556"/>
      <c r="AW5556"/>
      <c r="AX5556"/>
      <c r="AY5556"/>
    </row>
    <row r="5557" spans="47:51" x14ac:dyDescent="0.2">
      <c r="AU5557"/>
      <c r="AV5557"/>
      <c r="AW5557"/>
      <c r="AX5557"/>
      <c r="AY5557"/>
    </row>
    <row r="5558" spans="47:51" x14ac:dyDescent="0.2">
      <c r="AU5558"/>
      <c r="AV5558"/>
      <c r="AW5558"/>
      <c r="AX5558"/>
      <c r="AY5558"/>
    </row>
    <row r="5559" spans="47:51" x14ac:dyDescent="0.2">
      <c r="AU5559"/>
      <c r="AV5559"/>
      <c r="AW5559"/>
      <c r="AX5559"/>
      <c r="AY5559"/>
    </row>
    <row r="5560" spans="47:51" x14ac:dyDescent="0.2">
      <c r="AU5560"/>
      <c r="AV5560"/>
      <c r="AW5560"/>
      <c r="AX5560"/>
      <c r="AY5560"/>
    </row>
    <row r="5561" spans="47:51" x14ac:dyDescent="0.2">
      <c r="AU5561"/>
      <c r="AV5561"/>
      <c r="AW5561"/>
      <c r="AX5561"/>
      <c r="AY5561"/>
    </row>
    <row r="5562" spans="47:51" x14ac:dyDescent="0.2">
      <c r="AU5562"/>
      <c r="AV5562"/>
      <c r="AW5562"/>
      <c r="AX5562"/>
      <c r="AY5562"/>
    </row>
    <row r="5563" spans="47:51" x14ac:dyDescent="0.2">
      <c r="AU5563"/>
      <c r="AV5563"/>
      <c r="AW5563"/>
      <c r="AX5563"/>
      <c r="AY5563"/>
    </row>
    <row r="5564" spans="47:51" x14ac:dyDescent="0.2">
      <c r="AU5564"/>
      <c r="AV5564"/>
      <c r="AW5564"/>
      <c r="AX5564"/>
      <c r="AY5564"/>
    </row>
    <row r="5565" spans="47:51" x14ac:dyDescent="0.2">
      <c r="AU5565"/>
      <c r="AV5565"/>
      <c r="AW5565"/>
      <c r="AX5565"/>
      <c r="AY5565"/>
    </row>
    <row r="5566" spans="47:51" x14ac:dyDescent="0.2">
      <c r="AU5566"/>
      <c r="AV5566"/>
      <c r="AW5566"/>
      <c r="AX5566"/>
      <c r="AY5566"/>
    </row>
    <row r="5567" spans="47:51" x14ac:dyDescent="0.2">
      <c r="AU5567"/>
      <c r="AV5567"/>
      <c r="AW5567"/>
      <c r="AX5567"/>
      <c r="AY5567"/>
    </row>
    <row r="5568" spans="47:51" x14ac:dyDescent="0.2">
      <c r="AU5568"/>
      <c r="AV5568"/>
      <c r="AW5568"/>
      <c r="AX5568"/>
      <c r="AY5568"/>
    </row>
    <row r="5569" spans="47:51" x14ac:dyDescent="0.2">
      <c r="AU5569"/>
      <c r="AV5569"/>
      <c r="AW5569"/>
      <c r="AX5569"/>
      <c r="AY5569"/>
    </row>
    <row r="5570" spans="47:51" x14ac:dyDescent="0.2">
      <c r="AU5570"/>
      <c r="AV5570"/>
      <c r="AW5570"/>
      <c r="AX5570"/>
      <c r="AY5570"/>
    </row>
    <row r="5571" spans="47:51" x14ac:dyDescent="0.2">
      <c r="AU5571"/>
      <c r="AV5571"/>
      <c r="AW5571"/>
      <c r="AX5571"/>
      <c r="AY5571"/>
    </row>
    <row r="5572" spans="47:51" x14ac:dyDescent="0.2">
      <c r="AU5572"/>
      <c r="AV5572"/>
      <c r="AW5572"/>
      <c r="AX5572"/>
      <c r="AY5572"/>
    </row>
    <row r="5573" spans="47:51" x14ac:dyDescent="0.2">
      <c r="AU5573"/>
      <c r="AV5573"/>
      <c r="AW5573"/>
      <c r="AX5573"/>
      <c r="AY5573"/>
    </row>
    <row r="5574" spans="47:51" x14ac:dyDescent="0.2">
      <c r="AU5574"/>
      <c r="AV5574"/>
      <c r="AW5574"/>
      <c r="AX5574"/>
      <c r="AY5574"/>
    </row>
    <row r="5575" spans="47:51" x14ac:dyDescent="0.2">
      <c r="AU5575"/>
      <c r="AV5575"/>
      <c r="AW5575"/>
      <c r="AX5575"/>
      <c r="AY5575"/>
    </row>
    <row r="5576" spans="47:51" x14ac:dyDescent="0.2">
      <c r="AU5576"/>
      <c r="AV5576"/>
      <c r="AW5576"/>
      <c r="AX5576"/>
      <c r="AY5576"/>
    </row>
    <row r="5577" spans="47:51" x14ac:dyDescent="0.2">
      <c r="AU5577"/>
      <c r="AV5577"/>
      <c r="AW5577"/>
      <c r="AX5577"/>
      <c r="AY5577"/>
    </row>
    <row r="5578" spans="47:51" x14ac:dyDescent="0.2">
      <c r="AU5578"/>
      <c r="AV5578"/>
      <c r="AW5578"/>
      <c r="AX5578"/>
      <c r="AY5578"/>
    </row>
    <row r="5579" spans="47:51" x14ac:dyDescent="0.2">
      <c r="AU5579"/>
      <c r="AV5579"/>
      <c r="AW5579"/>
      <c r="AX5579"/>
      <c r="AY5579"/>
    </row>
    <row r="5580" spans="47:51" x14ac:dyDescent="0.2">
      <c r="AU5580"/>
      <c r="AV5580"/>
      <c r="AW5580"/>
      <c r="AX5580"/>
      <c r="AY5580"/>
    </row>
    <row r="5581" spans="47:51" x14ac:dyDescent="0.2">
      <c r="AU5581"/>
      <c r="AV5581"/>
      <c r="AW5581"/>
      <c r="AX5581"/>
      <c r="AY5581"/>
    </row>
    <row r="5582" spans="47:51" x14ac:dyDescent="0.2">
      <c r="AU5582"/>
      <c r="AV5582"/>
      <c r="AW5582"/>
      <c r="AX5582"/>
      <c r="AY5582"/>
    </row>
    <row r="5583" spans="47:51" x14ac:dyDescent="0.2">
      <c r="AU5583"/>
      <c r="AV5583"/>
      <c r="AW5583"/>
      <c r="AX5583"/>
      <c r="AY5583"/>
    </row>
    <row r="5584" spans="47:51" x14ac:dyDescent="0.2">
      <c r="AU5584"/>
      <c r="AV5584"/>
      <c r="AW5584"/>
      <c r="AX5584"/>
      <c r="AY5584"/>
    </row>
    <row r="5585" spans="47:51" x14ac:dyDescent="0.2">
      <c r="AU5585"/>
      <c r="AV5585"/>
      <c r="AW5585"/>
      <c r="AX5585"/>
      <c r="AY5585"/>
    </row>
    <row r="5586" spans="47:51" x14ac:dyDescent="0.2">
      <c r="AU5586"/>
      <c r="AV5586"/>
      <c r="AW5586"/>
      <c r="AX5586"/>
      <c r="AY5586"/>
    </row>
    <row r="5587" spans="47:51" x14ac:dyDescent="0.2">
      <c r="AU5587"/>
      <c r="AV5587"/>
      <c r="AW5587"/>
      <c r="AX5587"/>
      <c r="AY5587"/>
    </row>
    <row r="5588" spans="47:51" x14ac:dyDescent="0.2">
      <c r="AU5588"/>
      <c r="AV5588"/>
      <c r="AW5588"/>
      <c r="AX5588"/>
      <c r="AY5588"/>
    </row>
    <row r="5589" spans="47:51" x14ac:dyDescent="0.2">
      <c r="AU5589"/>
      <c r="AV5589"/>
      <c r="AW5589"/>
      <c r="AX5589"/>
      <c r="AY5589"/>
    </row>
    <row r="5590" spans="47:51" x14ac:dyDescent="0.2">
      <c r="AU5590"/>
      <c r="AV5590"/>
      <c r="AW5590"/>
      <c r="AX5590"/>
      <c r="AY5590"/>
    </row>
    <row r="5591" spans="47:51" x14ac:dyDescent="0.2">
      <c r="AU5591"/>
      <c r="AV5591"/>
      <c r="AW5591"/>
      <c r="AX5591"/>
      <c r="AY5591"/>
    </row>
    <row r="5592" spans="47:51" x14ac:dyDescent="0.2">
      <c r="AU5592"/>
      <c r="AV5592"/>
      <c r="AW5592"/>
      <c r="AX5592"/>
      <c r="AY5592"/>
    </row>
    <row r="5593" spans="47:51" x14ac:dyDescent="0.2">
      <c r="AU5593"/>
      <c r="AV5593"/>
      <c r="AW5593"/>
      <c r="AX5593"/>
      <c r="AY5593"/>
    </row>
    <row r="5594" spans="47:51" x14ac:dyDescent="0.2">
      <c r="AU5594"/>
      <c r="AV5594"/>
      <c r="AW5594"/>
      <c r="AX5594"/>
      <c r="AY5594"/>
    </row>
    <row r="5595" spans="47:51" x14ac:dyDescent="0.2">
      <c r="AU5595"/>
      <c r="AV5595"/>
      <c r="AW5595"/>
      <c r="AX5595"/>
      <c r="AY5595"/>
    </row>
    <row r="5596" spans="47:51" x14ac:dyDescent="0.2">
      <c r="AU5596"/>
      <c r="AV5596"/>
      <c r="AW5596"/>
      <c r="AX5596"/>
      <c r="AY5596"/>
    </row>
    <row r="5597" spans="47:51" x14ac:dyDescent="0.2">
      <c r="AU5597"/>
      <c r="AV5597"/>
      <c r="AW5597"/>
      <c r="AX5597"/>
      <c r="AY5597"/>
    </row>
    <row r="5598" spans="47:51" x14ac:dyDescent="0.2">
      <c r="AU5598"/>
      <c r="AV5598"/>
      <c r="AW5598"/>
      <c r="AX5598"/>
      <c r="AY5598"/>
    </row>
    <row r="5599" spans="47:51" x14ac:dyDescent="0.2">
      <c r="AU5599"/>
      <c r="AV5599"/>
      <c r="AW5599"/>
      <c r="AX5599"/>
      <c r="AY5599"/>
    </row>
    <row r="5600" spans="47:51" x14ac:dyDescent="0.2">
      <c r="AU5600"/>
      <c r="AV5600"/>
      <c r="AW5600"/>
      <c r="AX5600"/>
      <c r="AY5600"/>
    </row>
    <row r="5601" spans="47:51" x14ac:dyDescent="0.2">
      <c r="AU5601"/>
      <c r="AV5601"/>
      <c r="AW5601"/>
      <c r="AX5601"/>
      <c r="AY5601"/>
    </row>
    <row r="5602" spans="47:51" x14ac:dyDescent="0.2">
      <c r="AU5602"/>
      <c r="AV5602"/>
      <c r="AW5602"/>
      <c r="AX5602"/>
      <c r="AY5602"/>
    </row>
    <row r="5603" spans="47:51" x14ac:dyDescent="0.2">
      <c r="AU5603"/>
      <c r="AV5603"/>
      <c r="AW5603"/>
      <c r="AX5603"/>
      <c r="AY5603"/>
    </row>
    <row r="5604" spans="47:51" x14ac:dyDescent="0.2">
      <c r="AU5604"/>
      <c r="AV5604"/>
      <c r="AW5604"/>
      <c r="AX5604"/>
      <c r="AY5604"/>
    </row>
    <row r="5605" spans="47:51" x14ac:dyDescent="0.2">
      <c r="AU5605"/>
      <c r="AV5605"/>
      <c r="AW5605"/>
      <c r="AX5605"/>
      <c r="AY5605"/>
    </row>
    <row r="5606" spans="47:51" x14ac:dyDescent="0.2">
      <c r="AU5606"/>
      <c r="AV5606"/>
      <c r="AW5606"/>
      <c r="AX5606"/>
      <c r="AY5606"/>
    </row>
    <row r="5607" spans="47:51" x14ac:dyDescent="0.2">
      <c r="AU5607"/>
      <c r="AV5607"/>
      <c r="AW5607"/>
      <c r="AX5607"/>
      <c r="AY5607"/>
    </row>
    <row r="5608" spans="47:51" x14ac:dyDescent="0.2">
      <c r="AU5608"/>
      <c r="AV5608"/>
      <c r="AW5608"/>
      <c r="AX5608"/>
      <c r="AY5608"/>
    </row>
    <row r="5609" spans="47:51" x14ac:dyDescent="0.2">
      <c r="AU5609"/>
      <c r="AV5609"/>
      <c r="AW5609"/>
      <c r="AX5609"/>
      <c r="AY5609"/>
    </row>
    <row r="5610" spans="47:51" x14ac:dyDescent="0.2">
      <c r="AU5610"/>
      <c r="AV5610"/>
      <c r="AW5610"/>
      <c r="AX5610"/>
      <c r="AY5610"/>
    </row>
    <row r="5611" spans="47:51" x14ac:dyDescent="0.2">
      <c r="AU5611"/>
      <c r="AV5611"/>
      <c r="AW5611"/>
      <c r="AX5611"/>
      <c r="AY5611"/>
    </row>
    <row r="5612" spans="47:51" x14ac:dyDescent="0.2">
      <c r="AU5612"/>
      <c r="AV5612"/>
      <c r="AW5612"/>
      <c r="AX5612"/>
      <c r="AY5612"/>
    </row>
    <row r="5613" spans="47:51" x14ac:dyDescent="0.2">
      <c r="AU5613"/>
      <c r="AV5613"/>
      <c r="AW5613"/>
      <c r="AX5613"/>
      <c r="AY5613"/>
    </row>
    <row r="5614" spans="47:51" x14ac:dyDescent="0.2">
      <c r="AU5614"/>
      <c r="AV5614"/>
      <c r="AW5614"/>
      <c r="AX5614"/>
      <c r="AY5614"/>
    </row>
    <row r="5615" spans="47:51" x14ac:dyDescent="0.2">
      <c r="AU5615"/>
      <c r="AV5615"/>
      <c r="AW5615"/>
      <c r="AX5615"/>
      <c r="AY5615"/>
    </row>
    <row r="5616" spans="47:51" x14ac:dyDescent="0.2">
      <c r="AU5616"/>
      <c r="AV5616"/>
      <c r="AW5616"/>
      <c r="AX5616"/>
      <c r="AY5616"/>
    </row>
    <row r="5617" spans="47:51" x14ac:dyDescent="0.2">
      <c r="AU5617"/>
      <c r="AV5617"/>
      <c r="AW5617"/>
      <c r="AX5617"/>
      <c r="AY5617"/>
    </row>
    <row r="5618" spans="47:51" x14ac:dyDescent="0.2">
      <c r="AU5618"/>
      <c r="AV5618"/>
      <c r="AW5618"/>
      <c r="AX5618"/>
      <c r="AY5618"/>
    </row>
    <row r="5619" spans="47:51" x14ac:dyDescent="0.2">
      <c r="AU5619"/>
      <c r="AV5619"/>
      <c r="AW5619"/>
      <c r="AX5619"/>
      <c r="AY5619"/>
    </row>
    <row r="5620" spans="47:51" x14ac:dyDescent="0.2">
      <c r="AU5620"/>
      <c r="AV5620"/>
      <c r="AW5620"/>
      <c r="AX5620"/>
      <c r="AY5620"/>
    </row>
    <row r="5621" spans="47:51" x14ac:dyDescent="0.2">
      <c r="AU5621"/>
      <c r="AV5621"/>
      <c r="AW5621"/>
      <c r="AX5621"/>
      <c r="AY5621"/>
    </row>
    <row r="5622" spans="47:51" x14ac:dyDescent="0.2">
      <c r="AU5622"/>
      <c r="AV5622"/>
      <c r="AW5622"/>
      <c r="AX5622"/>
      <c r="AY5622"/>
    </row>
    <row r="5623" spans="47:51" x14ac:dyDescent="0.2">
      <c r="AU5623"/>
      <c r="AV5623"/>
      <c r="AW5623"/>
      <c r="AX5623"/>
      <c r="AY5623"/>
    </row>
    <row r="5624" spans="47:51" x14ac:dyDescent="0.2">
      <c r="AU5624"/>
      <c r="AV5624"/>
      <c r="AW5624"/>
      <c r="AX5624"/>
      <c r="AY5624"/>
    </row>
    <row r="5625" spans="47:51" x14ac:dyDescent="0.2">
      <c r="AU5625"/>
      <c r="AV5625"/>
      <c r="AW5625"/>
      <c r="AX5625"/>
      <c r="AY5625"/>
    </row>
    <row r="5626" spans="47:51" x14ac:dyDescent="0.2">
      <c r="AU5626"/>
      <c r="AV5626"/>
      <c r="AW5626"/>
      <c r="AX5626"/>
      <c r="AY5626"/>
    </row>
    <row r="5627" spans="47:51" x14ac:dyDescent="0.2">
      <c r="AU5627"/>
      <c r="AV5627"/>
      <c r="AW5627"/>
      <c r="AX5627"/>
      <c r="AY5627"/>
    </row>
    <row r="5628" spans="47:51" x14ac:dyDescent="0.2">
      <c r="AU5628"/>
      <c r="AV5628"/>
      <c r="AW5628"/>
      <c r="AX5628"/>
      <c r="AY5628"/>
    </row>
    <row r="5629" spans="47:51" x14ac:dyDescent="0.2">
      <c r="AU5629"/>
      <c r="AV5629"/>
      <c r="AW5629"/>
      <c r="AX5629"/>
      <c r="AY5629"/>
    </row>
    <row r="5630" spans="47:51" x14ac:dyDescent="0.2">
      <c r="AU5630"/>
      <c r="AV5630"/>
      <c r="AW5630"/>
      <c r="AX5630"/>
      <c r="AY5630"/>
    </row>
    <row r="5631" spans="47:51" x14ac:dyDescent="0.2">
      <c r="AU5631"/>
      <c r="AV5631"/>
      <c r="AW5631"/>
      <c r="AX5631"/>
      <c r="AY5631"/>
    </row>
    <row r="5632" spans="47:51" x14ac:dyDescent="0.2">
      <c r="AU5632"/>
      <c r="AV5632"/>
      <c r="AW5632"/>
      <c r="AX5632"/>
      <c r="AY5632"/>
    </row>
    <row r="5633" spans="47:51" x14ac:dyDescent="0.2">
      <c r="AU5633"/>
      <c r="AV5633"/>
      <c r="AW5633"/>
      <c r="AX5633"/>
      <c r="AY5633"/>
    </row>
    <row r="5634" spans="47:51" x14ac:dyDescent="0.2">
      <c r="AU5634"/>
      <c r="AV5634"/>
      <c r="AW5634"/>
      <c r="AX5634"/>
      <c r="AY5634"/>
    </row>
    <row r="5635" spans="47:51" x14ac:dyDescent="0.2">
      <c r="AU5635"/>
      <c r="AV5635"/>
      <c r="AW5635"/>
      <c r="AX5635"/>
      <c r="AY5635"/>
    </row>
    <row r="5636" spans="47:51" x14ac:dyDescent="0.2">
      <c r="AU5636"/>
      <c r="AV5636"/>
      <c r="AW5636"/>
      <c r="AX5636"/>
      <c r="AY5636"/>
    </row>
    <row r="5637" spans="47:51" x14ac:dyDescent="0.2">
      <c r="AU5637"/>
      <c r="AV5637"/>
      <c r="AW5637"/>
      <c r="AX5637"/>
      <c r="AY5637"/>
    </row>
    <row r="5638" spans="47:51" x14ac:dyDescent="0.2">
      <c r="AU5638"/>
      <c r="AV5638"/>
      <c r="AW5638"/>
      <c r="AX5638"/>
      <c r="AY5638"/>
    </row>
    <row r="5639" spans="47:51" x14ac:dyDescent="0.2">
      <c r="AU5639"/>
      <c r="AV5639"/>
      <c r="AW5639"/>
      <c r="AX5639"/>
      <c r="AY5639"/>
    </row>
    <row r="5640" spans="47:51" x14ac:dyDescent="0.2">
      <c r="AU5640"/>
      <c r="AV5640"/>
      <c r="AW5640"/>
      <c r="AX5640"/>
      <c r="AY5640"/>
    </row>
    <row r="5641" spans="47:51" x14ac:dyDescent="0.2">
      <c r="AU5641"/>
      <c r="AV5641"/>
      <c r="AW5641"/>
      <c r="AX5641"/>
      <c r="AY5641"/>
    </row>
    <row r="5642" spans="47:51" x14ac:dyDescent="0.2">
      <c r="AU5642"/>
      <c r="AV5642"/>
      <c r="AW5642"/>
      <c r="AX5642"/>
      <c r="AY5642"/>
    </row>
    <row r="5643" spans="47:51" x14ac:dyDescent="0.2">
      <c r="AU5643"/>
      <c r="AV5643"/>
      <c r="AW5643"/>
      <c r="AX5643"/>
      <c r="AY5643"/>
    </row>
    <row r="5644" spans="47:51" x14ac:dyDescent="0.2">
      <c r="AU5644"/>
      <c r="AV5644"/>
      <c r="AW5644"/>
      <c r="AX5644"/>
      <c r="AY5644"/>
    </row>
    <row r="5645" spans="47:51" x14ac:dyDescent="0.2">
      <c r="AU5645"/>
      <c r="AV5645"/>
      <c r="AW5645"/>
      <c r="AX5645"/>
      <c r="AY5645"/>
    </row>
    <row r="5646" spans="47:51" x14ac:dyDescent="0.2">
      <c r="AU5646"/>
      <c r="AV5646"/>
      <c r="AW5646"/>
      <c r="AX5646"/>
      <c r="AY5646"/>
    </row>
    <row r="5647" spans="47:51" x14ac:dyDescent="0.2">
      <c r="AU5647"/>
      <c r="AV5647"/>
      <c r="AW5647"/>
      <c r="AX5647"/>
      <c r="AY5647"/>
    </row>
    <row r="5648" spans="47:51" x14ac:dyDescent="0.2">
      <c r="AU5648"/>
      <c r="AV5648"/>
      <c r="AW5648"/>
      <c r="AX5648"/>
      <c r="AY5648"/>
    </row>
    <row r="5649" spans="47:51" x14ac:dyDescent="0.2">
      <c r="AU5649"/>
      <c r="AV5649"/>
      <c r="AW5649"/>
      <c r="AX5649"/>
      <c r="AY5649"/>
    </row>
    <row r="5650" spans="47:51" x14ac:dyDescent="0.2">
      <c r="AU5650"/>
      <c r="AV5650"/>
      <c r="AW5650"/>
      <c r="AX5650"/>
      <c r="AY5650"/>
    </row>
    <row r="5651" spans="47:51" x14ac:dyDescent="0.2">
      <c r="AU5651"/>
      <c r="AV5651"/>
      <c r="AW5651"/>
      <c r="AX5651"/>
      <c r="AY5651"/>
    </row>
    <row r="5652" spans="47:51" x14ac:dyDescent="0.2">
      <c r="AU5652"/>
      <c r="AV5652"/>
      <c r="AW5652"/>
      <c r="AX5652"/>
      <c r="AY5652"/>
    </row>
    <row r="5653" spans="47:51" x14ac:dyDescent="0.2">
      <c r="AU5653"/>
      <c r="AV5653"/>
      <c r="AW5653"/>
      <c r="AX5653"/>
      <c r="AY5653"/>
    </row>
    <row r="5654" spans="47:51" x14ac:dyDescent="0.2">
      <c r="AU5654"/>
      <c r="AV5654"/>
      <c r="AW5654"/>
      <c r="AX5654"/>
      <c r="AY5654"/>
    </row>
    <row r="5655" spans="47:51" x14ac:dyDescent="0.2">
      <c r="AU5655"/>
      <c r="AV5655"/>
      <c r="AW5655"/>
      <c r="AX5655"/>
      <c r="AY5655"/>
    </row>
    <row r="5656" spans="47:51" x14ac:dyDescent="0.2">
      <c r="AU5656"/>
      <c r="AV5656"/>
      <c r="AW5656"/>
      <c r="AX5656"/>
      <c r="AY5656"/>
    </row>
    <row r="5657" spans="47:51" x14ac:dyDescent="0.2">
      <c r="AU5657"/>
      <c r="AV5657"/>
      <c r="AW5657"/>
      <c r="AX5657"/>
      <c r="AY5657"/>
    </row>
    <row r="5658" spans="47:51" x14ac:dyDescent="0.2">
      <c r="AU5658"/>
      <c r="AV5658"/>
      <c r="AW5658"/>
      <c r="AX5658"/>
      <c r="AY5658"/>
    </row>
    <row r="5659" spans="47:51" x14ac:dyDescent="0.2">
      <c r="AU5659"/>
      <c r="AV5659"/>
      <c r="AW5659"/>
      <c r="AX5659"/>
      <c r="AY5659"/>
    </row>
    <row r="5660" spans="47:51" x14ac:dyDescent="0.2">
      <c r="AU5660"/>
      <c r="AV5660"/>
      <c r="AW5660"/>
      <c r="AX5660"/>
      <c r="AY5660"/>
    </row>
    <row r="5661" spans="47:51" x14ac:dyDescent="0.2">
      <c r="AU5661"/>
      <c r="AV5661"/>
      <c r="AW5661"/>
      <c r="AX5661"/>
      <c r="AY5661"/>
    </row>
    <row r="5662" spans="47:51" x14ac:dyDescent="0.2">
      <c r="AU5662"/>
      <c r="AV5662"/>
      <c r="AW5662"/>
      <c r="AX5662"/>
      <c r="AY5662"/>
    </row>
    <row r="5663" spans="47:51" x14ac:dyDescent="0.2">
      <c r="AU5663"/>
      <c r="AV5663"/>
      <c r="AW5663"/>
      <c r="AX5663"/>
      <c r="AY5663"/>
    </row>
    <row r="5664" spans="47:51" x14ac:dyDescent="0.2">
      <c r="AU5664"/>
      <c r="AV5664"/>
      <c r="AW5664"/>
      <c r="AX5664"/>
      <c r="AY5664"/>
    </row>
    <row r="5665" spans="47:51" x14ac:dyDescent="0.2">
      <c r="AU5665"/>
      <c r="AV5665"/>
      <c r="AW5665"/>
      <c r="AX5665"/>
      <c r="AY5665"/>
    </row>
    <row r="5666" spans="47:51" x14ac:dyDescent="0.2">
      <c r="AU5666"/>
      <c r="AV5666"/>
      <c r="AW5666"/>
      <c r="AX5666"/>
      <c r="AY5666"/>
    </row>
    <row r="5667" spans="47:51" x14ac:dyDescent="0.2">
      <c r="AU5667"/>
      <c r="AV5667"/>
      <c r="AW5667"/>
      <c r="AX5667"/>
      <c r="AY5667"/>
    </row>
    <row r="5668" spans="47:51" x14ac:dyDescent="0.2">
      <c r="AU5668"/>
      <c r="AV5668"/>
      <c r="AW5668"/>
      <c r="AX5668"/>
      <c r="AY5668"/>
    </row>
    <row r="5669" spans="47:51" x14ac:dyDescent="0.2">
      <c r="AU5669"/>
      <c r="AV5669"/>
      <c r="AW5669"/>
      <c r="AX5669"/>
      <c r="AY5669"/>
    </row>
    <row r="5670" spans="47:51" x14ac:dyDescent="0.2">
      <c r="AU5670"/>
      <c r="AV5670"/>
      <c r="AW5670"/>
      <c r="AX5670"/>
      <c r="AY5670"/>
    </row>
    <row r="5671" spans="47:51" x14ac:dyDescent="0.2">
      <c r="AU5671"/>
      <c r="AV5671"/>
      <c r="AW5671"/>
      <c r="AX5671"/>
      <c r="AY5671"/>
    </row>
    <row r="5672" spans="47:51" x14ac:dyDescent="0.2">
      <c r="AU5672"/>
      <c r="AV5672"/>
      <c r="AW5672"/>
      <c r="AX5672"/>
      <c r="AY5672"/>
    </row>
    <row r="5673" spans="47:51" x14ac:dyDescent="0.2">
      <c r="AU5673"/>
      <c r="AV5673"/>
      <c r="AW5673"/>
      <c r="AX5673"/>
      <c r="AY5673"/>
    </row>
    <row r="5674" spans="47:51" x14ac:dyDescent="0.2">
      <c r="AU5674"/>
      <c r="AV5674"/>
      <c r="AW5674"/>
      <c r="AX5674"/>
      <c r="AY5674"/>
    </row>
    <row r="5675" spans="47:51" x14ac:dyDescent="0.2">
      <c r="AU5675"/>
      <c r="AV5675"/>
      <c r="AW5675"/>
      <c r="AX5675"/>
      <c r="AY5675"/>
    </row>
    <row r="5676" spans="47:51" x14ac:dyDescent="0.2">
      <c r="AU5676"/>
      <c r="AV5676"/>
      <c r="AW5676"/>
      <c r="AX5676"/>
      <c r="AY5676"/>
    </row>
    <row r="5677" spans="47:51" x14ac:dyDescent="0.2">
      <c r="AU5677"/>
      <c r="AV5677"/>
      <c r="AW5677"/>
      <c r="AX5677"/>
      <c r="AY5677"/>
    </row>
    <row r="5678" spans="47:51" x14ac:dyDescent="0.2">
      <c r="AU5678"/>
      <c r="AV5678"/>
      <c r="AW5678"/>
      <c r="AX5678"/>
      <c r="AY5678"/>
    </row>
    <row r="5679" spans="47:51" x14ac:dyDescent="0.2">
      <c r="AU5679"/>
      <c r="AV5679"/>
      <c r="AW5679"/>
      <c r="AX5679"/>
      <c r="AY5679"/>
    </row>
    <row r="5680" spans="47:51" x14ac:dyDescent="0.2">
      <c r="AU5680"/>
      <c r="AV5680"/>
      <c r="AW5680"/>
      <c r="AX5680"/>
      <c r="AY5680"/>
    </row>
    <row r="5681" spans="47:51" x14ac:dyDescent="0.2">
      <c r="AU5681"/>
      <c r="AV5681"/>
      <c r="AW5681"/>
      <c r="AX5681"/>
      <c r="AY5681"/>
    </row>
    <row r="5682" spans="47:51" x14ac:dyDescent="0.2">
      <c r="AU5682"/>
      <c r="AV5682"/>
      <c r="AW5682"/>
      <c r="AX5682"/>
      <c r="AY5682"/>
    </row>
    <row r="5683" spans="47:51" x14ac:dyDescent="0.2">
      <c r="AU5683"/>
      <c r="AV5683"/>
      <c r="AW5683"/>
      <c r="AX5683"/>
      <c r="AY5683"/>
    </row>
    <row r="5684" spans="47:51" x14ac:dyDescent="0.2">
      <c r="AU5684"/>
      <c r="AV5684"/>
      <c r="AW5684"/>
      <c r="AX5684"/>
      <c r="AY5684"/>
    </row>
    <row r="5685" spans="47:51" x14ac:dyDescent="0.2">
      <c r="AU5685"/>
      <c r="AV5685"/>
      <c r="AW5685"/>
      <c r="AX5685"/>
      <c r="AY5685"/>
    </row>
    <row r="5686" spans="47:51" x14ac:dyDescent="0.2">
      <c r="AU5686"/>
      <c r="AV5686"/>
      <c r="AW5686"/>
      <c r="AX5686"/>
      <c r="AY5686"/>
    </row>
    <row r="5687" spans="47:51" x14ac:dyDescent="0.2">
      <c r="AU5687"/>
      <c r="AV5687"/>
      <c r="AW5687"/>
      <c r="AX5687"/>
      <c r="AY5687"/>
    </row>
    <row r="5688" spans="47:51" x14ac:dyDescent="0.2">
      <c r="AU5688"/>
      <c r="AV5688"/>
      <c r="AW5688"/>
      <c r="AX5688"/>
      <c r="AY5688"/>
    </row>
    <row r="5689" spans="47:51" x14ac:dyDescent="0.2">
      <c r="AU5689"/>
      <c r="AV5689"/>
      <c r="AW5689"/>
      <c r="AX5689"/>
      <c r="AY5689"/>
    </row>
    <row r="5690" spans="47:51" x14ac:dyDescent="0.2">
      <c r="AU5690"/>
      <c r="AV5690"/>
      <c r="AW5690"/>
      <c r="AX5690"/>
      <c r="AY5690"/>
    </row>
    <row r="5691" spans="47:51" x14ac:dyDescent="0.2">
      <c r="AU5691"/>
      <c r="AV5691"/>
      <c r="AW5691"/>
      <c r="AX5691"/>
      <c r="AY5691"/>
    </row>
    <row r="5692" spans="47:51" x14ac:dyDescent="0.2">
      <c r="AU5692"/>
      <c r="AV5692"/>
      <c r="AW5692"/>
      <c r="AX5692"/>
      <c r="AY5692"/>
    </row>
    <row r="5693" spans="47:51" x14ac:dyDescent="0.2">
      <c r="AU5693"/>
      <c r="AV5693"/>
      <c r="AW5693"/>
      <c r="AX5693"/>
      <c r="AY5693"/>
    </row>
    <row r="5694" spans="47:51" x14ac:dyDescent="0.2">
      <c r="AU5694"/>
      <c r="AV5694"/>
      <c r="AW5694"/>
      <c r="AX5694"/>
      <c r="AY5694"/>
    </row>
    <row r="5695" spans="47:51" x14ac:dyDescent="0.2">
      <c r="AU5695"/>
      <c r="AV5695"/>
      <c r="AW5695"/>
      <c r="AX5695"/>
      <c r="AY5695"/>
    </row>
    <row r="5696" spans="47:51" x14ac:dyDescent="0.2">
      <c r="AU5696"/>
      <c r="AV5696"/>
      <c r="AW5696"/>
      <c r="AX5696"/>
      <c r="AY5696"/>
    </row>
    <row r="5697" spans="47:51" x14ac:dyDescent="0.2">
      <c r="AU5697"/>
      <c r="AV5697"/>
      <c r="AW5697"/>
      <c r="AX5697"/>
      <c r="AY5697"/>
    </row>
    <row r="5698" spans="47:51" x14ac:dyDescent="0.2">
      <c r="AU5698"/>
      <c r="AV5698"/>
      <c r="AW5698"/>
      <c r="AX5698"/>
      <c r="AY5698"/>
    </row>
    <row r="5699" spans="47:51" x14ac:dyDescent="0.2">
      <c r="AU5699"/>
      <c r="AV5699"/>
      <c r="AW5699"/>
      <c r="AX5699"/>
      <c r="AY5699"/>
    </row>
    <row r="5700" spans="47:51" x14ac:dyDescent="0.2">
      <c r="AU5700"/>
      <c r="AV5700"/>
      <c r="AW5700"/>
      <c r="AX5700"/>
      <c r="AY5700"/>
    </row>
    <row r="5701" spans="47:51" x14ac:dyDescent="0.2">
      <c r="AU5701"/>
      <c r="AV5701"/>
      <c r="AW5701"/>
      <c r="AX5701"/>
      <c r="AY5701"/>
    </row>
    <row r="5702" spans="47:51" x14ac:dyDescent="0.2">
      <c r="AU5702"/>
      <c r="AV5702"/>
      <c r="AW5702"/>
      <c r="AX5702"/>
      <c r="AY5702"/>
    </row>
    <row r="5703" spans="47:51" x14ac:dyDescent="0.2">
      <c r="AU5703"/>
      <c r="AV5703"/>
      <c r="AW5703"/>
      <c r="AX5703"/>
      <c r="AY5703"/>
    </row>
    <row r="5704" spans="47:51" x14ac:dyDescent="0.2">
      <c r="AU5704"/>
      <c r="AV5704"/>
      <c r="AW5704"/>
      <c r="AX5704"/>
      <c r="AY5704"/>
    </row>
    <row r="5705" spans="47:51" x14ac:dyDescent="0.2">
      <c r="AU5705"/>
      <c r="AV5705"/>
      <c r="AW5705"/>
      <c r="AX5705"/>
      <c r="AY5705"/>
    </row>
    <row r="5706" spans="47:51" x14ac:dyDescent="0.2">
      <c r="AU5706"/>
      <c r="AV5706"/>
      <c r="AW5706"/>
      <c r="AX5706"/>
      <c r="AY5706"/>
    </row>
    <row r="5707" spans="47:51" x14ac:dyDescent="0.2">
      <c r="AU5707"/>
      <c r="AV5707"/>
      <c r="AW5707"/>
      <c r="AX5707"/>
      <c r="AY5707"/>
    </row>
    <row r="5708" spans="47:51" x14ac:dyDescent="0.2">
      <c r="AU5708"/>
      <c r="AV5708"/>
      <c r="AW5708"/>
      <c r="AX5708"/>
      <c r="AY5708"/>
    </row>
    <row r="5709" spans="47:51" x14ac:dyDescent="0.2">
      <c r="AU5709"/>
      <c r="AV5709"/>
      <c r="AW5709"/>
      <c r="AX5709"/>
      <c r="AY5709"/>
    </row>
    <row r="5710" spans="47:51" x14ac:dyDescent="0.2">
      <c r="AU5710"/>
      <c r="AV5710"/>
      <c r="AW5710"/>
      <c r="AX5710"/>
      <c r="AY5710"/>
    </row>
    <row r="5711" spans="47:51" x14ac:dyDescent="0.2">
      <c r="AU5711"/>
      <c r="AV5711"/>
      <c r="AW5711"/>
      <c r="AX5711"/>
      <c r="AY5711"/>
    </row>
    <row r="5712" spans="47:51" x14ac:dyDescent="0.2">
      <c r="AU5712"/>
      <c r="AV5712"/>
      <c r="AW5712"/>
      <c r="AX5712"/>
      <c r="AY5712"/>
    </row>
    <row r="5713" spans="47:51" x14ac:dyDescent="0.2">
      <c r="AU5713"/>
      <c r="AV5713"/>
      <c r="AW5713"/>
      <c r="AX5713"/>
      <c r="AY5713"/>
    </row>
    <row r="5714" spans="47:51" x14ac:dyDescent="0.2">
      <c r="AU5714"/>
      <c r="AV5714"/>
      <c r="AW5714"/>
      <c r="AX5714"/>
      <c r="AY5714"/>
    </row>
    <row r="5715" spans="47:51" x14ac:dyDescent="0.2">
      <c r="AU5715"/>
      <c r="AV5715"/>
      <c r="AW5715"/>
      <c r="AX5715"/>
      <c r="AY5715"/>
    </row>
    <row r="5716" spans="47:51" x14ac:dyDescent="0.2">
      <c r="AU5716"/>
      <c r="AV5716"/>
      <c r="AW5716"/>
      <c r="AX5716"/>
      <c r="AY5716"/>
    </row>
    <row r="5717" spans="47:51" x14ac:dyDescent="0.2">
      <c r="AU5717"/>
      <c r="AV5717"/>
      <c r="AW5717"/>
      <c r="AX5717"/>
      <c r="AY5717"/>
    </row>
    <row r="5718" spans="47:51" x14ac:dyDescent="0.2">
      <c r="AU5718"/>
      <c r="AV5718"/>
      <c r="AW5718"/>
      <c r="AX5718"/>
      <c r="AY5718"/>
    </row>
    <row r="5719" spans="47:51" x14ac:dyDescent="0.2">
      <c r="AU5719"/>
      <c r="AV5719"/>
      <c r="AW5719"/>
      <c r="AX5719"/>
      <c r="AY5719"/>
    </row>
    <row r="5720" spans="47:51" x14ac:dyDescent="0.2">
      <c r="AU5720"/>
      <c r="AV5720"/>
      <c r="AW5720"/>
      <c r="AX5720"/>
      <c r="AY5720"/>
    </row>
    <row r="5721" spans="47:51" x14ac:dyDescent="0.2">
      <c r="AU5721"/>
      <c r="AV5721"/>
      <c r="AW5721"/>
      <c r="AX5721"/>
      <c r="AY5721"/>
    </row>
    <row r="5722" spans="47:51" x14ac:dyDescent="0.2">
      <c r="AU5722"/>
      <c r="AV5722"/>
      <c r="AW5722"/>
      <c r="AX5722"/>
      <c r="AY5722"/>
    </row>
    <row r="5723" spans="47:51" x14ac:dyDescent="0.2">
      <c r="AU5723"/>
      <c r="AV5723"/>
      <c r="AW5723"/>
      <c r="AX5723"/>
      <c r="AY5723"/>
    </row>
    <row r="5724" spans="47:51" x14ac:dyDescent="0.2">
      <c r="AU5724"/>
      <c r="AV5724"/>
      <c r="AW5724"/>
      <c r="AX5724"/>
      <c r="AY5724"/>
    </row>
    <row r="5725" spans="47:51" x14ac:dyDescent="0.2">
      <c r="AU5725"/>
      <c r="AV5725"/>
      <c r="AW5725"/>
      <c r="AX5725"/>
      <c r="AY5725"/>
    </row>
    <row r="5726" spans="47:51" x14ac:dyDescent="0.2">
      <c r="AU5726"/>
      <c r="AV5726"/>
      <c r="AW5726"/>
      <c r="AX5726"/>
      <c r="AY5726"/>
    </row>
    <row r="5727" spans="47:51" x14ac:dyDescent="0.2">
      <c r="AU5727"/>
      <c r="AV5727"/>
      <c r="AW5727"/>
      <c r="AX5727"/>
      <c r="AY5727"/>
    </row>
    <row r="5728" spans="47:51" x14ac:dyDescent="0.2">
      <c r="AU5728"/>
      <c r="AV5728"/>
      <c r="AW5728"/>
      <c r="AX5728"/>
      <c r="AY5728"/>
    </row>
    <row r="5729" spans="47:51" x14ac:dyDescent="0.2">
      <c r="AU5729"/>
      <c r="AV5729"/>
      <c r="AW5729"/>
      <c r="AX5729"/>
      <c r="AY5729"/>
    </row>
    <row r="5730" spans="47:51" x14ac:dyDescent="0.2">
      <c r="AU5730"/>
      <c r="AV5730"/>
      <c r="AW5730"/>
      <c r="AX5730"/>
      <c r="AY5730"/>
    </row>
    <row r="5731" spans="47:51" x14ac:dyDescent="0.2">
      <c r="AU5731"/>
      <c r="AV5731"/>
      <c r="AW5731"/>
      <c r="AX5731"/>
      <c r="AY5731"/>
    </row>
    <row r="5732" spans="47:51" x14ac:dyDescent="0.2">
      <c r="AU5732"/>
      <c r="AV5732"/>
      <c r="AW5732"/>
      <c r="AX5732"/>
      <c r="AY5732"/>
    </row>
    <row r="5733" spans="47:51" x14ac:dyDescent="0.2">
      <c r="AU5733"/>
      <c r="AV5733"/>
      <c r="AW5733"/>
      <c r="AX5733"/>
      <c r="AY5733"/>
    </row>
    <row r="5734" spans="47:51" x14ac:dyDescent="0.2">
      <c r="AU5734"/>
      <c r="AV5734"/>
      <c r="AW5734"/>
      <c r="AX5734"/>
      <c r="AY5734"/>
    </row>
    <row r="5735" spans="47:51" x14ac:dyDescent="0.2">
      <c r="AU5735"/>
      <c r="AV5735"/>
      <c r="AW5735"/>
      <c r="AX5735"/>
      <c r="AY5735"/>
    </row>
    <row r="5736" spans="47:51" x14ac:dyDescent="0.2">
      <c r="AU5736"/>
      <c r="AV5736"/>
      <c r="AW5736"/>
      <c r="AX5736"/>
      <c r="AY5736"/>
    </row>
    <row r="5737" spans="47:51" x14ac:dyDescent="0.2">
      <c r="AU5737"/>
      <c r="AV5737"/>
      <c r="AW5737"/>
      <c r="AX5737"/>
      <c r="AY5737"/>
    </row>
    <row r="5738" spans="47:51" x14ac:dyDescent="0.2">
      <c r="AU5738"/>
      <c r="AV5738"/>
      <c r="AW5738"/>
      <c r="AX5738"/>
      <c r="AY5738"/>
    </row>
    <row r="5739" spans="47:51" x14ac:dyDescent="0.2">
      <c r="AU5739"/>
      <c r="AV5739"/>
      <c r="AW5739"/>
      <c r="AX5739"/>
      <c r="AY5739"/>
    </row>
    <row r="5740" spans="47:51" x14ac:dyDescent="0.2">
      <c r="AU5740"/>
      <c r="AV5740"/>
      <c r="AW5740"/>
      <c r="AX5740"/>
      <c r="AY5740"/>
    </row>
    <row r="5741" spans="47:51" x14ac:dyDescent="0.2">
      <c r="AU5741"/>
      <c r="AV5741"/>
      <c r="AW5741"/>
      <c r="AX5741"/>
      <c r="AY5741"/>
    </row>
    <row r="5742" spans="47:51" x14ac:dyDescent="0.2">
      <c r="AU5742"/>
      <c r="AV5742"/>
      <c r="AW5742"/>
      <c r="AX5742"/>
      <c r="AY5742"/>
    </row>
    <row r="5743" spans="47:51" x14ac:dyDescent="0.2">
      <c r="AU5743"/>
      <c r="AV5743"/>
      <c r="AW5743"/>
      <c r="AX5743"/>
      <c r="AY5743"/>
    </row>
    <row r="5744" spans="47:51" x14ac:dyDescent="0.2">
      <c r="AU5744"/>
      <c r="AV5744"/>
      <c r="AW5744"/>
      <c r="AX5744"/>
      <c r="AY5744"/>
    </row>
    <row r="5745" spans="47:51" x14ac:dyDescent="0.2">
      <c r="AU5745"/>
      <c r="AV5745"/>
      <c r="AW5745"/>
      <c r="AX5745"/>
      <c r="AY5745"/>
    </row>
    <row r="5746" spans="47:51" x14ac:dyDescent="0.2">
      <c r="AU5746"/>
      <c r="AV5746"/>
      <c r="AW5746"/>
      <c r="AX5746"/>
      <c r="AY5746"/>
    </row>
    <row r="5747" spans="47:51" x14ac:dyDescent="0.2">
      <c r="AU5747"/>
      <c r="AV5747"/>
      <c r="AW5747"/>
      <c r="AX5747"/>
      <c r="AY5747"/>
    </row>
    <row r="5748" spans="47:51" x14ac:dyDescent="0.2">
      <c r="AU5748"/>
      <c r="AV5748"/>
      <c r="AW5748"/>
      <c r="AX5748"/>
      <c r="AY5748"/>
    </row>
    <row r="5749" spans="47:51" x14ac:dyDescent="0.2">
      <c r="AU5749"/>
      <c r="AV5749"/>
      <c r="AW5749"/>
      <c r="AX5749"/>
      <c r="AY5749"/>
    </row>
    <row r="5750" spans="47:51" x14ac:dyDescent="0.2">
      <c r="AU5750"/>
      <c r="AV5750"/>
      <c r="AW5750"/>
      <c r="AX5750"/>
      <c r="AY5750"/>
    </row>
    <row r="5751" spans="47:51" x14ac:dyDescent="0.2">
      <c r="AU5751"/>
      <c r="AV5751"/>
      <c r="AW5751"/>
      <c r="AX5751"/>
      <c r="AY5751"/>
    </row>
    <row r="5752" spans="47:51" x14ac:dyDescent="0.2">
      <c r="AU5752"/>
      <c r="AV5752"/>
      <c r="AW5752"/>
      <c r="AX5752"/>
      <c r="AY5752"/>
    </row>
    <row r="5753" spans="47:51" x14ac:dyDescent="0.2">
      <c r="AU5753"/>
      <c r="AV5753"/>
      <c r="AW5753"/>
      <c r="AX5753"/>
      <c r="AY5753"/>
    </row>
    <row r="5754" spans="47:51" x14ac:dyDescent="0.2">
      <c r="AU5754"/>
      <c r="AV5754"/>
      <c r="AW5754"/>
      <c r="AX5754"/>
      <c r="AY5754"/>
    </row>
    <row r="5755" spans="47:51" x14ac:dyDescent="0.2">
      <c r="AU5755"/>
      <c r="AV5755"/>
      <c r="AW5755"/>
      <c r="AX5755"/>
      <c r="AY5755"/>
    </row>
    <row r="5756" spans="47:51" x14ac:dyDescent="0.2">
      <c r="AU5756"/>
      <c r="AV5756"/>
      <c r="AW5756"/>
      <c r="AX5756"/>
      <c r="AY5756"/>
    </row>
    <row r="5757" spans="47:51" x14ac:dyDescent="0.2">
      <c r="AU5757"/>
      <c r="AV5757"/>
      <c r="AW5757"/>
      <c r="AX5757"/>
      <c r="AY5757"/>
    </row>
    <row r="5758" spans="47:51" x14ac:dyDescent="0.2">
      <c r="AU5758"/>
      <c r="AV5758"/>
      <c r="AW5758"/>
      <c r="AX5758"/>
      <c r="AY5758"/>
    </row>
    <row r="5759" spans="47:51" x14ac:dyDescent="0.2">
      <c r="AU5759"/>
      <c r="AV5759"/>
      <c r="AW5759"/>
      <c r="AX5759"/>
      <c r="AY5759"/>
    </row>
    <row r="5760" spans="47:51" x14ac:dyDescent="0.2">
      <c r="AU5760"/>
      <c r="AV5760"/>
      <c r="AW5760"/>
      <c r="AX5760"/>
      <c r="AY5760"/>
    </row>
    <row r="5761" spans="47:51" x14ac:dyDescent="0.2">
      <c r="AU5761"/>
      <c r="AV5761"/>
      <c r="AW5761"/>
      <c r="AX5761"/>
      <c r="AY5761"/>
    </row>
    <row r="5762" spans="47:51" x14ac:dyDescent="0.2">
      <c r="AU5762"/>
      <c r="AV5762"/>
      <c r="AW5762"/>
      <c r="AX5762"/>
      <c r="AY5762"/>
    </row>
    <row r="5763" spans="47:51" x14ac:dyDescent="0.2">
      <c r="AU5763"/>
      <c r="AV5763"/>
      <c r="AW5763"/>
      <c r="AX5763"/>
      <c r="AY5763"/>
    </row>
    <row r="5764" spans="47:51" x14ac:dyDescent="0.2">
      <c r="AU5764"/>
      <c r="AV5764"/>
      <c r="AW5764"/>
      <c r="AX5764"/>
      <c r="AY5764"/>
    </row>
    <row r="5765" spans="47:51" x14ac:dyDescent="0.2">
      <c r="AU5765"/>
      <c r="AV5765"/>
      <c r="AW5765"/>
      <c r="AX5765"/>
      <c r="AY5765"/>
    </row>
    <row r="5766" spans="47:51" x14ac:dyDescent="0.2">
      <c r="AU5766"/>
      <c r="AV5766"/>
      <c r="AW5766"/>
      <c r="AX5766"/>
      <c r="AY5766"/>
    </row>
    <row r="5767" spans="47:51" x14ac:dyDescent="0.2">
      <c r="AU5767"/>
      <c r="AV5767"/>
      <c r="AW5767"/>
      <c r="AX5767"/>
      <c r="AY5767"/>
    </row>
    <row r="5768" spans="47:51" x14ac:dyDescent="0.2">
      <c r="AU5768"/>
      <c r="AV5768"/>
      <c r="AW5768"/>
      <c r="AX5768"/>
      <c r="AY5768"/>
    </row>
    <row r="5769" spans="47:51" x14ac:dyDescent="0.2">
      <c r="AU5769"/>
      <c r="AV5769"/>
      <c r="AW5769"/>
      <c r="AX5769"/>
      <c r="AY5769"/>
    </row>
    <row r="5770" spans="47:51" x14ac:dyDescent="0.2">
      <c r="AU5770"/>
      <c r="AV5770"/>
      <c r="AW5770"/>
      <c r="AX5770"/>
      <c r="AY5770"/>
    </row>
    <row r="5771" spans="47:51" x14ac:dyDescent="0.2">
      <c r="AU5771"/>
      <c r="AV5771"/>
      <c r="AW5771"/>
      <c r="AX5771"/>
      <c r="AY5771"/>
    </row>
    <row r="5772" spans="47:51" x14ac:dyDescent="0.2">
      <c r="AU5772"/>
      <c r="AV5772"/>
      <c r="AW5772"/>
      <c r="AX5772"/>
      <c r="AY5772"/>
    </row>
    <row r="5773" spans="47:51" x14ac:dyDescent="0.2">
      <c r="AU5773"/>
      <c r="AV5773"/>
      <c r="AW5773"/>
      <c r="AX5773"/>
      <c r="AY5773"/>
    </row>
    <row r="5774" spans="47:51" x14ac:dyDescent="0.2">
      <c r="AU5774"/>
      <c r="AV5774"/>
      <c r="AW5774"/>
      <c r="AX5774"/>
      <c r="AY5774"/>
    </row>
    <row r="5775" spans="47:51" x14ac:dyDescent="0.2">
      <c r="AU5775"/>
      <c r="AV5775"/>
      <c r="AW5775"/>
      <c r="AX5775"/>
      <c r="AY5775"/>
    </row>
    <row r="5776" spans="47:51" x14ac:dyDescent="0.2">
      <c r="AU5776"/>
      <c r="AV5776"/>
      <c r="AW5776"/>
      <c r="AX5776"/>
      <c r="AY5776"/>
    </row>
    <row r="5777" spans="47:51" x14ac:dyDescent="0.2">
      <c r="AU5777"/>
      <c r="AV5777"/>
      <c r="AW5777"/>
      <c r="AX5777"/>
      <c r="AY5777"/>
    </row>
    <row r="5778" spans="47:51" x14ac:dyDescent="0.2">
      <c r="AU5778"/>
      <c r="AV5778"/>
      <c r="AW5778"/>
      <c r="AX5778"/>
      <c r="AY5778"/>
    </row>
    <row r="5779" spans="47:51" x14ac:dyDescent="0.2">
      <c r="AU5779"/>
      <c r="AV5779"/>
      <c r="AW5779"/>
      <c r="AX5779"/>
      <c r="AY5779"/>
    </row>
    <row r="5780" spans="47:51" x14ac:dyDescent="0.2">
      <c r="AU5780"/>
      <c r="AV5780"/>
      <c r="AW5780"/>
      <c r="AX5780"/>
      <c r="AY5780"/>
    </row>
    <row r="5781" spans="47:51" x14ac:dyDescent="0.2">
      <c r="AU5781"/>
      <c r="AV5781"/>
      <c r="AW5781"/>
      <c r="AX5781"/>
      <c r="AY5781"/>
    </row>
    <row r="5782" spans="47:51" x14ac:dyDescent="0.2">
      <c r="AU5782"/>
      <c r="AV5782"/>
      <c r="AW5782"/>
      <c r="AX5782"/>
      <c r="AY5782"/>
    </row>
    <row r="5783" spans="47:51" x14ac:dyDescent="0.2">
      <c r="AU5783"/>
      <c r="AV5783"/>
      <c r="AW5783"/>
      <c r="AX5783"/>
      <c r="AY5783"/>
    </row>
    <row r="5784" spans="47:51" x14ac:dyDescent="0.2">
      <c r="AU5784"/>
      <c r="AV5784"/>
      <c r="AW5784"/>
      <c r="AX5784"/>
      <c r="AY5784"/>
    </row>
    <row r="5785" spans="47:51" x14ac:dyDescent="0.2">
      <c r="AU5785"/>
      <c r="AV5785"/>
      <c r="AW5785"/>
      <c r="AX5785"/>
      <c r="AY5785"/>
    </row>
    <row r="5786" spans="47:51" x14ac:dyDescent="0.2">
      <c r="AU5786"/>
      <c r="AV5786"/>
      <c r="AW5786"/>
      <c r="AX5786"/>
      <c r="AY5786"/>
    </row>
    <row r="5787" spans="47:51" x14ac:dyDescent="0.2">
      <c r="AU5787"/>
      <c r="AV5787"/>
      <c r="AW5787"/>
      <c r="AX5787"/>
      <c r="AY5787"/>
    </row>
    <row r="5788" spans="47:51" x14ac:dyDescent="0.2">
      <c r="AU5788"/>
      <c r="AV5788"/>
      <c r="AW5788"/>
      <c r="AX5788"/>
      <c r="AY5788"/>
    </row>
    <row r="5789" spans="47:51" x14ac:dyDescent="0.2">
      <c r="AU5789"/>
      <c r="AV5789"/>
      <c r="AW5789"/>
      <c r="AX5789"/>
      <c r="AY5789"/>
    </row>
    <row r="5790" spans="47:51" x14ac:dyDescent="0.2">
      <c r="AU5790"/>
      <c r="AV5790"/>
      <c r="AW5790"/>
      <c r="AX5790"/>
      <c r="AY5790"/>
    </row>
    <row r="5791" spans="47:51" x14ac:dyDescent="0.2">
      <c r="AU5791"/>
      <c r="AV5791"/>
      <c r="AW5791"/>
      <c r="AX5791"/>
      <c r="AY5791"/>
    </row>
    <row r="5792" spans="47:51" x14ac:dyDescent="0.2">
      <c r="AU5792"/>
      <c r="AV5792"/>
      <c r="AW5792"/>
      <c r="AX5792"/>
      <c r="AY5792"/>
    </row>
    <row r="5793" spans="47:51" x14ac:dyDescent="0.2">
      <c r="AU5793"/>
      <c r="AV5793"/>
      <c r="AW5793"/>
      <c r="AX5793"/>
      <c r="AY5793"/>
    </row>
    <row r="5794" spans="47:51" x14ac:dyDescent="0.2">
      <c r="AU5794"/>
      <c r="AV5794"/>
      <c r="AW5794"/>
      <c r="AX5794"/>
      <c r="AY5794"/>
    </row>
    <row r="5795" spans="47:51" x14ac:dyDescent="0.2">
      <c r="AU5795"/>
      <c r="AV5795"/>
      <c r="AW5795"/>
      <c r="AX5795"/>
      <c r="AY5795"/>
    </row>
    <row r="5796" spans="47:51" x14ac:dyDescent="0.2">
      <c r="AU5796"/>
      <c r="AV5796"/>
      <c r="AW5796"/>
      <c r="AX5796"/>
      <c r="AY5796"/>
    </row>
    <row r="5797" spans="47:51" x14ac:dyDescent="0.2">
      <c r="AU5797"/>
      <c r="AV5797"/>
      <c r="AW5797"/>
      <c r="AX5797"/>
      <c r="AY5797"/>
    </row>
    <row r="5798" spans="47:51" x14ac:dyDescent="0.2">
      <c r="AU5798"/>
      <c r="AV5798"/>
      <c r="AW5798"/>
      <c r="AX5798"/>
      <c r="AY5798"/>
    </row>
    <row r="5799" spans="47:51" x14ac:dyDescent="0.2">
      <c r="AU5799"/>
      <c r="AV5799"/>
      <c r="AW5799"/>
      <c r="AX5799"/>
      <c r="AY5799"/>
    </row>
    <row r="5800" spans="47:51" x14ac:dyDescent="0.2">
      <c r="AU5800"/>
      <c r="AV5800"/>
      <c r="AW5800"/>
      <c r="AX5800"/>
      <c r="AY5800"/>
    </row>
    <row r="5801" spans="47:51" x14ac:dyDescent="0.2">
      <c r="AU5801"/>
      <c r="AV5801"/>
      <c r="AW5801"/>
      <c r="AX5801"/>
      <c r="AY5801"/>
    </row>
    <row r="5802" spans="47:51" x14ac:dyDescent="0.2">
      <c r="AU5802"/>
      <c r="AV5802"/>
      <c r="AW5802"/>
      <c r="AX5802"/>
      <c r="AY5802"/>
    </row>
    <row r="5803" spans="47:51" x14ac:dyDescent="0.2">
      <c r="AU5803"/>
      <c r="AV5803"/>
      <c r="AW5803"/>
      <c r="AX5803"/>
      <c r="AY5803"/>
    </row>
    <row r="5804" spans="47:51" x14ac:dyDescent="0.2">
      <c r="AU5804"/>
      <c r="AV5804"/>
      <c r="AW5804"/>
      <c r="AX5804"/>
      <c r="AY5804"/>
    </row>
    <row r="5805" spans="47:51" x14ac:dyDescent="0.2">
      <c r="AU5805"/>
      <c r="AV5805"/>
      <c r="AW5805"/>
      <c r="AX5805"/>
      <c r="AY5805"/>
    </row>
    <row r="5806" spans="47:51" x14ac:dyDescent="0.2">
      <c r="AU5806"/>
      <c r="AV5806"/>
      <c r="AW5806"/>
      <c r="AX5806"/>
      <c r="AY5806"/>
    </row>
    <row r="5807" spans="47:51" x14ac:dyDescent="0.2">
      <c r="AU5807"/>
      <c r="AV5807"/>
      <c r="AW5807"/>
      <c r="AX5807"/>
      <c r="AY5807"/>
    </row>
    <row r="5808" spans="47:51" x14ac:dyDescent="0.2">
      <c r="AU5808"/>
      <c r="AV5808"/>
      <c r="AW5808"/>
      <c r="AX5808"/>
      <c r="AY5808"/>
    </row>
    <row r="5809" spans="47:51" x14ac:dyDescent="0.2">
      <c r="AU5809"/>
      <c r="AV5809"/>
      <c r="AW5809"/>
      <c r="AX5809"/>
      <c r="AY5809"/>
    </row>
    <row r="5810" spans="47:51" x14ac:dyDescent="0.2">
      <c r="AU5810"/>
      <c r="AV5810"/>
      <c r="AW5810"/>
      <c r="AX5810"/>
      <c r="AY5810"/>
    </row>
    <row r="5811" spans="47:51" x14ac:dyDescent="0.2">
      <c r="AU5811"/>
      <c r="AV5811"/>
      <c r="AW5811"/>
      <c r="AX5811"/>
      <c r="AY5811"/>
    </row>
    <row r="5812" spans="47:51" x14ac:dyDescent="0.2">
      <c r="AU5812"/>
      <c r="AV5812"/>
      <c r="AW5812"/>
      <c r="AX5812"/>
      <c r="AY5812"/>
    </row>
    <row r="5813" spans="47:51" x14ac:dyDescent="0.2">
      <c r="AU5813"/>
      <c r="AV5813"/>
      <c r="AW5813"/>
      <c r="AX5813"/>
      <c r="AY5813"/>
    </row>
    <row r="5814" spans="47:51" x14ac:dyDescent="0.2">
      <c r="AU5814"/>
      <c r="AV5814"/>
      <c r="AW5814"/>
      <c r="AX5814"/>
      <c r="AY5814"/>
    </row>
    <row r="5815" spans="47:51" x14ac:dyDescent="0.2">
      <c r="AU5815"/>
      <c r="AV5815"/>
      <c r="AW5815"/>
      <c r="AX5815"/>
      <c r="AY5815"/>
    </row>
    <row r="5816" spans="47:51" x14ac:dyDescent="0.2">
      <c r="AU5816"/>
      <c r="AV5816"/>
      <c r="AW5816"/>
      <c r="AX5816"/>
      <c r="AY5816"/>
    </row>
    <row r="5817" spans="47:51" x14ac:dyDescent="0.2">
      <c r="AU5817"/>
      <c r="AV5817"/>
      <c r="AW5817"/>
      <c r="AX5817"/>
      <c r="AY5817"/>
    </row>
    <row r="5818" spans="47:51" x14ac:dyDescent="0.2">
      <c r="AU5818"/>
      <c r="AV5818"/>
      <c r="AW5818"/>
      <c r="AX5818"/>
      <c r="AY5818"/>
    </row>
    <row r="5819" spans="47:51" x14ac:dyDescent="0.2">
      <c r="AU5819"/>
      <c r="AV5819"/>
      <c r="AW5819"/>
      <c r="AX5819"/>
      <c r="AY5819"/>
    </row>
    <row r="5820" spans="47:51" x14ac:dyDescent="0.2">
      <c r="AU5820"/>
      <c r="AV5820"/>
      <c r="AW5820"/>
      <c r="AX5820"/>
      <c r="AY5820"/>
    </row>
    <row r="5821" spans="47:51" x14ac:dyDescent="0.2">
      <c r="AU5821"/>
      <c r="AV5821"/>
      <c r="AW5821"/>
      <c r="AX5821"/>
      <c r="AY5821"/>
    </row>
    <row r="5822" spans="47:51" x14ac:dyDescent="0.2">
      <c r="AU5822"/>
      <c r="AV5822"/>
      <c r="AW5822"/>
      <c r="AX5822"/>
      <c r="AY5822"/>
    </row>
    <row r="5823" spans="47:51" x14ac:dyDescent="0.2">
      <c r="AU5823"/>
      <c r="AV5823"/>
      <c r="AW5823"/>
      <c r="AX5823"/>
      <c r="AY5823"/>
    </row>
    <row r="5824" spans="47:51" x14ac:dyDescent="0.2">
      <c r="AU5824"/>
      <c r="AV5824"/>
      <c r="AW5824"/>
      <c r="AX5824"/>
      <c r="AY5824"/>
    </row>
    <row r="5825" spans="47:51" x14ac:dyDescent="0.2">
      <c r="AU5825"/>
      <c r="AV5825"/>
      <c r="AW5825"/>
      <c r="AX5825"/>
      <c r="AY5825"/>
    </row>
    <row r="5826" spans="47:51" x14ac:dyDescent="0.2">
      <c r="AU5826"/>
      <c r="AV5826"/>
      <c r="AW5826"/>
      <c r="AX5826"/>
      <c r="AY5826"/>
    </row>
    <row r="5827" spans="47:51" x14ac:dyDescent="0.2">
      <c r="AU5827"/>
      <c r="AV5827"/>
      <c r="AW5827"/>
      <c r="AX5827"/>
      <c r="AY5827"/>
    </row>
    <row r="5828" spans="47:51" x14ac:dyDescent="0.2">
      <c r="AU5828"/>
      <c r="AV5828"/>
      <c r="AW5828"/>
      <c r="AX5828"/>
      <c r="AY5828"/>
    </row>
    <row r="5829" spans="47:51" x14ac:dyDescent="0.2">
      <c r="AU5829"/>
      <c r="AV5829"/>
      <c r="AW5829"/>
      <c r="AX5829"/>
      <c r="AY5829"/>
    </row>
    <row r="5830" spans="47:51" x14ac:dyDescent="0.2">
      <c r="AU5830"/>
      <c r="AV5830"/>
      <c r="AW5830"/>
      <c r="AX5830"/>
      <c r="AY5830"/>
    </row>
    <row r="5831" spans="47:51" x14ac:dyDescent="0.2">
      <c r="AU5831"/>
      <c r="AV5831"/>
      <c r="AW5831"/>
      <c r="AX5831"/>
      <c r="AY5831"/>
    </row>
    <row r="5832" spans="47:51" x14ac:dyDescent="0.2">
      <c r="AU5832"/>
      <c r="AV5832"/>
      <c r="AW5832"/>
      <c r="AX5832"/>
      <c r="AY5832"/>
    </row>
    <row r="5833" spans="47:51" x14ac:dyDescent="0.2">
      <c r="AU5833"/>
      <c r="AV5833"/>
      <c r="AW5833"/>
      <c r="AX5833"/>
      <c r="AY5833"/>
    </row>
    <row r="5834" spans="47:51" x14ac:dyDescent="0.2">
      <c r="AU5834"/>
      <c r="AV5834"/>
      <c r="AW5834"/>
      <c r="AX5834"/>
      <c r="AY5834"/>
    </row>
    <row r="5835" spans="47:51" x14ac:dyDescent="0.2">
      <c r="AU5835"/>
      <c r="AV5835"/>
      <c r="AW5835"/>
      <c r="AX5835"/>
      <c r="AY5835"/>
    </row>
    <row r="5836" spans="47:51" x14ac:dyDescent="0.2">
      <c r="AU5836"/>
      <c r="AV5836"/>
      <c r="AW5836"/>
      <c r="AX5836"/>
      <c r="AY5836"/>
    </row>
    <row r="5837" spans="47:51" x14ac:dyDescent="0.2">
      <c r="AU5837"/>
      <c r="AV5837"/>
      <c r="AW5837"/>
      <c r="AX5837"/>
      <c r="AY5837"/>
    </row>
    <row r="5838" spans="47:51" x14ac:dyDescent="0.2">
      <c r="AU5838"/>
      <c r="AV5838"/>
      <c r="AW5838"/>
      <c r="AX5838"/>
      <c r="AY5838"/>
    </row>
    <row r="5839" spans="47:51" x14ac:dyDescent="0.2">
      <c r="AU5839"/>
      <c r="AV5839"/>
      <c r="AW5839"/>
      <c r="AX5839"/>
      <c r="AY5839"/>
    </row>
    <row r="5840" spans="47:51" x14ac:dyDescent="0.2">
      <c r="AU5840"/>
      <c r="AV5840"/>
      <c r="AW5840"/>
      <c r="AX5840"/>
      <c r="AY5840"/>
    </row>
    <row r="5841" spans="47:51" x14ac:dyDescent="0.2">
      <c r="AU5841"/>
      <c r="AV5841"/>
      <c r="AW5841"/>
      <c r="AX5841"/>
      <c r="AY5841"/>
    </row>
    <row r="5842" spans="47:51" x14ac:dyDescent="0.2">
      <c r="AU5842"/>
      <c r="AV5842"/>
      <c r="AW5842"/>
      <c r="AX5842"/>
      <c r="AY5842"/>
    </row>
    <row r="5843" spans="47:51" x14ac:dyDescent="0.2">
      <c r="AU5843"/>
      <c r="AV5843"/>
      <c r="AW5843"/>
      <c r="AX5843"/>
      <c r="AY5843"/>
    </row>
    <row r="5844" spans="47:51" x14ac:dyDescent="0.2">
      <c r="AU5844"/>
      <c r="AV5844"/>
      <c r="AW5844"/>
      <c r="AX5844"/>
      <c r="AY5844"/>
    </row>
    <row r="5845" spans="47:51" x14ac:dyDescent="0.2">
      <c r="AU5845"/>
      <c r="AV5845"/>
      <c r="AW5845"/>
      <c r="AX5845"/>
      <c r="AY5845"/>
    </row>
    <row r="5846" spans="47:51" x14ac:dyDescent="0.2">
      <c r="AU5846"/>
      <c r="AV5846"/>
      <c r="AW5846"/>
      <c r="AX5846"/>
      <c r="AY5846"/>
    </row>
    <row r="5847" spans="47:51" x14ac:dyDescent="0.2">
      <c r="AU5847"/>
      <c r="AV5847"/>
      <c r="AW5847"/>
      <c r="AX5847"/>
      <c r="AY5847"/>
    </row>
    <row r="5848" spans="47:51" x14ac:dyDescent="0.2">
      <c r="AU5848"/>
      <c r="AV5848"/>
      <c r="AW5848"/>
      <c r="AX5848"/>
      <c r="AY5848"/>
    </row>
    <row r="5849" spans="47:51" x14ac:dyDescent="0.2">
      <c r="AU5849"/>
      <c r="AV5849"/>
      <c r="AW5849"/>
      <c r="AX5849"/>
      <c r="AY5849"/>
    </row>
    <row r="5850" spans="47:51" x14ac:dyDescent="0.2">
      <c r="AU5850"/>
      <c r="AV5850"/>
      <c r="AW5850"/>
      <c r="AX5850"/>
      <c r="AY5850"/>
    </row>
    <row r="5851" spans="47:51" x14ac:dyDescent="0.2">
      <c r="AU5851"/>
      <c r="AV5851"/>
      <c r="AW5851"/>
      <c r="AX5851"/>
      <c r="AY5851"/>
    </row>
    <row r="5852" spans="47:51" x14ac:dyDescent="0.2">
      <c r="AU5852"/>
      <c r="AV5852"/>
      <c r="AW5852"/>
      <c r="AX5852"/>
      <c r="AY5852"/>
    </row>
    <row r="5853" spans="47:51" x14ac:dyDescent="0.2">
      <c r="AU5853"/>
      <c r="AV5853"/>
      <c r="AW5853"/>
      <c r="AX5853"/>
      <c r="AY5853"/>
    </row>
    <row r="5854" spans="47:51" x14ac:dyDescent="0.2">
      <c r="AU5854"/>
      <c r="AV5854"/>
      <c r="AW5854"/>
      <c r="AX5854"/>
      <c r="AY5854"/>
    </row>
    <row r="5855" spans="47:51" x14ac:dyDescent="0.2">
      <c r="AU5855"/>
      <c r="AV5855"/>
      <c r="AW5855"/>
      <c r="AX5855"/>
      <c r="AY5855"/>
    </row>
    <row r="5856" spans="47:51" x14ac:dyDescent="0.2">
      <c r="AU5856"/>
      <c r="AV5856"/>
      <c r="AW5856"/>
      <c r="AX5856"/>
      <c r="AY5856"/>
    </row>
    <row r="5857" spans="47:51" x14ac:dyDescent="0.2">
      <c r="AU5857"/>
      <c r="AV5857"/>
      <c r="AW5857"/>
      <c r="AX5857"/>
      <c r="AY5857"/>
    </row>
    <row r="5858" spans="47:51" x14ac:dyDescent="0.2">
      <c r="AU5858"/>
      <c r="AV5858"/>
      <c r="AW5858"/>
      <c r="AX5858"/>
      <c r="AY5858"/>
    </row>
    <row r="5859" spans="47:51" x14ac:dyDescent="0.2">
      <c r="AU5859"/>
      <c r="AV5859"/>
      <c r="AW5859"/>
      <c r="AX5859"/>
      <c r="AY5859"/>
    </row>
    <row r="5860" spans="47:51" x14ac:dyDescent="0.2">
      <c r="AU5860"/>
      <c r="AV5860"/>
      <c r="AW5860"/>
      <c r="AX5860"/>
      <c r="AY5860"/>
    </row>
    <row r="5861" spans="47:51" x14ac:dyDescent="0.2">
      <c r="AU5861"/>
      <c r="AV5861"/>
      <c r="AW5861"/>
      <c r="AX5861"/>
      <c r="AY5861"/>
    </row>
    <row r="5862" spans="47:51" x14ac:dyDescent="0.2">
      <c r="AU5862"/>
      <c r="AV5862"/>
      <c r="AW5862"/>
      <c r="AX5862"/>
      <c r="AY5862"/>
    </row>
    <row r="5863" spans="47:51" x14ac:dyDescent="0.2">
      <c r="AU5863"/>
      <c r="AV5863"/>
      <c r="AW5863"/>
      <c r="AX5863"/>
      <c r="AY5863"/>
    </row>
    <row r="5864" spans="47:51" x14ac:dyDescent="0.2">
      <c r="AU5864"/>
      <c r="AV5864"/>
      <c r="AW5864"/>
      <c r="AX5864"/>
      <c r="AY5864"/>
    </row>
    <row r="5865" spans="47:51" x14ac:dyDescent="0.2">
      <c r="AU5865"/>
      <c r="AV5865"/>
      <c r="AW5865"/>
      <c r="AX5865"/>
      <c r="AY5865"/>
    </row>
    <row r="5866" spans="47:51" x14ac:dyDescent="0.2">
      <c r="AU5866"/>
      <c r="AV5866"/>
      <c r="AW5866"/>
      <c r="AX5866"/>
      <c r="AY5866"/>
    </row>
    <row r="5867" spans="47:51" x14ac:dyDescent="0.2">
      <c r="AU5867"/>
      <c r="AV5867"/>
      <c r="AW5867"/>
      <c r="AX5867"/>
      <c r="AY5867"/>
    </row>
    <row r="5868" spans="47:51" x14ac:dyDescent="0.2">
      <c r="AU5868"/>
      <c r="AV5868"/>
      <c r="AW5868"/>
      <c r="AX5868"/>
      <c r="AY5868"/>
    </row>
    <row r="5869" spans="47:51" x14ac:dyDescent="0.2">
      <c r="AU5869"/>
      <c r="AV5869"/>
      <c r="AW5869"/>
      <c r="AX5869"/>
      <c r="AY5869"/>
    </row>
    <row r="5870" spans="47:51" x14ac:dyDescent="0.2">
      <c r="AU5870"/>
      <c r="AV5870"/>
      <c r="AW5870"/>
      <c r="AX5870"/>
      <c r="AY5870"/>
    </row>
    <row r="5871" spans="47:51" x14ac:dyDescent="0.2">
      <c r="AU5871"/>
      <c r="AV5871"/>
      <c r="AW5871"/>
      <c r="AX5871"/>
      <c r="AY5871"/>
    </row>
    <row r="5872" spans="47:51" x14ac:dyDescent="0.2">
      <c r="AU5872"/>
      <c r="AV5872"/>
      <c r="AW5872"/>
      <c r="AX5872"/>
      <c r="AY5872"/>
    </row>
    <row r="5873" spans="47:51" x14ac:dyDescent="0.2">
      <c r="AU5873"/>
      <c r="AV5873"/>
      <c r="AW5873"/>
      <c r="AX5873"/>
      <c r="AY5873"/>
    </row>
    <row r="5874" spans="47:51" x14ac:dyDescent="0.2">
      <c r="AU5874"/>
      <c r="AV5874"/>
      <c r="AW5874"/>
      <c r="AX5874"/>
      <c r="AY5874"/>
    </row>
    <row r="5875" spans="47:51" x14ac:dyDescent="0.2">
      <c r="AU5875"/>
      <c r="AV5875"/>
      <c r="AW5875"/>
      <c r="AX5875"/>
      <c r="AY5875"/>
    </row>
    <row r="5876" spans="47:51" x14ac:dyDescent="0.2">
      <c r="AU5876"/>
      <c r="AV5876"/>
      <c r="AW5876"/>
      <c r="AX5876"/>
      <c r="AY5876"/>
    </row>
    <row r="5877" spans="47:51" x14ac:dyDescent="0.2">
      <c r="AU5877"/>
      <c r="AV5877"/>
      <c r="AW5877"/>
      <c r="AX5877"/>
      <c r="AY5877"/>
    </row>
    <row r="5878" spans="47:51" x14ac:dyDescent="0.2">
      <c r="AU5878"/>
      <c r="AV5878"/>
      <c r="AW5878"/>
      <c r="AX5878"/>
      <c r="AY5878"/>
    </row>
    <row r="5879" spans="47:51" x14ac:dyDescent="0.2">
      <c r="AU5879"/>
      <c r="AV5879"/>
      <c r="AW5879"/>
      <c r="AX5879"/>
      <c r="AY5879"/>
    </row>
    <row r="5880" spans="47:51" x14ac:dyDescent="0.2">
      <c r="AU5880"/>
      <c r="AV5880"/>
      <c r="AW5880"/>
      <c r="AX5880"/>
      <c r="AY5880"/>
    </row>
    <row r="5881" spans="47:51" x14ac:dyDescent="0.2">
      <c r="AU5881"/>
      <c r="AV5881"/>
      <c r="AW5881"/>
      <c r="AX5881"/>
      <c r="AY5881"/>
    </row>
    <row r="5882" spans="47:51" x14ac:dyDescent="0.2">
      <c r="AU5882"/>
      <c r="AV5882"/>
      <c r="AW5882"/>
      <c r="AX5882"/>
      <c r="AY5882"/>
    </row>
    <row r="5883" spans="47:51" x14ac:dyDescent="0.2">
      <c r="AU5883"/>
      <c r="AV5883"/>
      <c r="AW5883"/>
      <c r="AX5883"/>
      <c r="AY5883"/>
    </row>
    <row r="5884" spans="47:51" x14ac:dyDescent="0.2">
      <c r="AU5884"/>
      <c r="AV5884"/>
      <c r="AW5884"/>
      <c r="AX5884"/>
      <c r="AY5884"/>
    </row>
    <row r="5885" spans="47:51" x14ac:dyDescent="0.2">
      <c r="AU5885"/>
      <c r="AV5885"/>
      <c r="AW5885"/>
      <c r="AX5885"/>
      <c r="AY5885"/>
    </row>
    <row r="5886" spans="47:51" x14ac:dyDescent="0.2">
      <c r="AU5886"/>
      <c r="AV5886"/>
      <c r="AW5886"/>
      <c r="AX5886"/>
      <c r="AY5886"/>
    </row>
    <row r="5887" spans="47:51" x14ac:dyDescent="0.2">
      <c r="AU5887"/>
      <c r="AV5887"/>
      <c r="AW5887"/>
      <c r="AX5887"/>
      <c r="AY5887"/>
    </row>
    <row r="5888" spans="47:51" x14ac:dyDescent="0.2">
      <c r="AU5888"/>
      <c r="AV5888"/>
      <c r="AW5888"/>
      <c r="AX5888"/>
      <c r="AY5888"/>
    </row>
    <row r="5889" spans="47:51" x14ac:dyDescent="0.2">
      <c r="AU5889"/>
      <c r="AV5889"/>
      <c r="AW5889"/>
      <c r="AX5889"/>
      <c r="AY5889"/>
    </row>
    <row r="5890" spans="47:51" x14ac:dyDescent="0.2">
      <c r="AU5890"/>
      <c r="AV5890"/>
      <c r="AW5890"/>
      <c r="AX5890"/>
      <c r="AY5890"/>
    </row>
    <row r="5891" spans="47:51" x14ac:dyDescent="0.2">
      <c r="AU5891"/>
      <c r="AV5891"/>
      <c r="AW5891"/>
      <c r="AX5891"/>
      <c r="AY5891"/>
    </row>
    <row r="5892" spans="47:51" x14ac:dyDescent="0.2">
      <c r="AU5892"/>
      <c r="AV5892"/>
      <c r="AW5892"/>
      <c r="AX5892"/>
      <c r="AY5892"/>
    </row>
    <row r="5893" spans="47:51" x14ac:dyDescent="0.2">
      <c r="AU5893"/>
      <c r="AV5893"/>
      <c r="AW5893"/>
      <c r="AX5893"/>
      <c r="AY5893"/>
    </row>
    <row r="5894" spans="47:51" x14ac:dyDescent="0.2">
      <c r="AU5894"/>
      <c r="AV5894"/>
      <c r="AW5894"/>
      <c r="AX5894"/>
      <c r="AY5894"/>
    </row>
    <row r="5895" spans="47:51" x14ac:dyDescent="0.2">
      <c r="AU5895"/>
      <c r="AV5895"/>
      <c r="AW5895"/>
      <c r="AX5895"/>
      <c r="AY5895"/>
    </row>
    <row r="5896" spans="47:51" x14ac:dyDescent="0.2">
      <c r="AU5896"/>
      <c r="AV5896"/>
      <c r="AW5896"/>
      <c r="AX5896"/>
      <c r="AY5896"/>
    </row>
    <row r="5897" spans="47:51" x14ac:dyDescent="0.2">
      <c r="AU5897"/>
      <c r="AV5897"/>
      <c r="AW5897"/>
      <c r="AX5897"/>
      <c r="AY5897"/>
    </row>
    <row r="5898" spans="47:51" x14ac:dyDescent="0.2">
      <c r="AU5898"/>
      <c r="AV5898"/>
      <c r="AW5898"/>
      <c r="AX5898"/>
      <c r="AY5898"/>
    </row>
    <row r="5899" spans="47:51" x14ac:dyDescent="0.2">
      <c r="AU5899"/>
      <c r="AV5899"/>
      <c r="AW5899"/>
      <c r="AX5899"/>
      <c r="AY5899"/>
    </row>
    <row r="5900" spans="47:51" x14ac:dyDescent="0.2">
      <c r="AU5900"/>
      <c r="AV5900"/>
      <c r="AW5900"/>
      <c r="AX5900"/>
      <c r="AY5900"/>
    </row>
    <row r="5901" spans="47:51" x14ac:dyDescent="0.2">
      <c r="AU5901"/>
      <c r="AV5901"/>
      <c r="AW5901"/>
      <c r="AX5901"/>
      <c r="AY5901"/>
    </row>
    <row r="5902" spans="47:51" x14ac:dyDescent="0.2">
      <c r="AU5902"/>
      <c r="AV5902"/>
      <c r="AW5902"/>
      <c r="AX5902"/>
      <c r="AY5902"/>
    </row>
    <row r="5903" spans="47:51" x14ac:dyDescent="0.2">
      <c r="AU5903"/>
      <c r="AV5903"/>
      <c r="AW5903"/>
      <c r="AX5903"/>
      <c r="AY5903"/>
    </row>
    <row r="5904" spans="47:51" x14ac:dyDescent="0.2">
      <c r="AU5904"/>
      <c r="AV5904"/>
      <c r="AW5904"/>
      <c r="AX5904"/>
      <c r="AY5904"/>
    </row>
    <row r="5905" spans="47:51" x14ac:dyDescent="0.2">
      <c r="AU5905"/>
      <c r="AV5905"/>
      <c r="AW5905"/>
      <c r="AX5905"/>
      <c r="AY5905"/>
    </row>
    <row r="5906" spans="47:51" x14ac:dyDescent="0.2">
      <c r="AU5906"/>
      <c r="AV5906"/>
      <c r="AW5906"/>
      <c r="AX5906"/>
      <c r="AY5906"/>
    </row>
    <row r="5907" spans="47:51" x14ac:dyDescent="0.2">
      <c r="AU5907"/>
      <c r="AV5907"/>
      <c r="AW5907"/>
      <c r="AX5907"/>
      <c r="AY5907"/>
    </row>
    <row r="5908" spans="47:51" x14ac:dyDescent="0.2">
      <c r="AU5908"/>
      <c r="AV5908"/>
      <c r="AW5908"/>
      <c r="AX5908"/>
      <c r="AY5908"/>
    </row>
    <row r="5909" spans="47:51" x14ac:dyDescent="0.2">
      <c r="AU5909"/>
      <c r="AV5909"/>
      <c r="AW5909"/>
      <c r="AX5909"/>
      <c r="AY5909"/>
    </row>
    <row r="5910" spans="47:51" x14ac:dyDescent="0.2">
      <c r="AU5910"/>
      <c r="AV5910"/>
      <c r="AW5910"/>
      <c r="AX5910"/>
      <c r="AY5910"/>
    </row>
    <row r="5911" spans="47:51" x14ac:dyDescent="0.2">
      <c r="AU5911"/>
      <c r="AV5911"/>
      <c r="AW5911"/>
      <c r="AX5911"/>
      <c r="AY5911"/>
    </row>
    <row r="5912" spans="47:51" x14ac:dyDescent="0.2">
      <c r="AU5912"/>
      <c r="AV5912"/>
      <c r="AW5912"/>
      <c r="AX5912"/>
      <c r="AY5912"/>
    </row>
    <row r="5913" spans="47:51" x14ac:dyDescent="0.2">
      <c r="AU5913"/>
      <c r="AV5913"/>
      <c r="AW5913"/>
      <c r="AX5913"/>
      <c r="AY5913"/>
    </row>
    <row r="5914" spans="47:51" x14ac:dyDescent="0.2">
      <c r="AU5914"/>
      <c r="AV5914"/>
      <c r="AW5914"/>
      <c r="AX5914"/>
      <c r="AY5914"/>
    </row>
    <row r="5915" spans="47:51" x14ac:dyDescent="0.2">
      <c r="AU5915"/>
      <c r="AV5915"/>
      <c r="AW5915"/>
      <c r="AX5915"/>
      <c r="AY5915"/>
    </row>
    <row r="5916" spans="47:51" x14ac:dyDescent="0.2">
      <c r="AU5916"/>
      <c r="AV5916"/>
      <c r="AW5916"/>
      <c r="AX5916"/>
      <c r="AY5916"/>
    </row>
    <row r="5917" spans="47:51" x14ac:dyDescent="0.2">
      <c r="AU5917"/>
      <c r="AV5917"/>
      <c r="AW5917"/>
      <c r="AX5917"/>
      <c r="AY5917"/>
    </row>
    <row r="5918" spans="47:51" x14ac:dyDescent="0.2">
      <c r="AU5918"/>
      <c r="AV5918"/>
      <c r="AW5918"/>
      <c r="AX5918"/>
      <c r="AY5918"/>
    </row>
    <row r="5919" spans="47:51" x14ac:dyDescent="0.2">
      <c r="AU5919"/>
      <c r="AV5919"/>
      <c r="AW5919"/>
      <c r="AX5919"/>
      <c r="AY5919"/>
    </row>
    <row r="5920" spans="47:51" x14ac:dyDescent="0.2">
      <c r="AU5920"/>
      <c r="AV5920"/>
      <c r="AW5920"/>
      <c r="AX5920"/>
      <c r="AY5920"/>
    </row>
    <row r="5921" spans="47:51" x14ac:dyDescent="0.2">
      <c r="AU5921"/>
      <c r="AV5921"/>
      <c r="AW5921"/>
      <c r="AX5921"/>
      <c r="AY5921"/>
    </row>
    <row r="5922" spans="47:51" x14ac:dyDescent="0.2">
      <c r="AU5922"/>
      <c r="AV5922"/>
      <c r="AW5922"/>
      <c r="AX5922"/>
      <c r="AY5922"/>
    </row>
    <row r="5923" spans="47:51" x14ac:dyDescent="0.2">
      <c r="AU5923"/>
      <c r="AV5923"/>
      <c r="AW5923"/>
      <c r="AX5923"/>
      <c r="AY5923"/>
    </row>
    <row r="5924" spans="47:51" x14ac:dyDescent="0.2">
      <c r="AU5924"/>
      <c r="AV5924"/>
      <c r="AW5924"/>
      <c r="AX5924"/>
      <c r="AY5924"/>
    </row>
    <row r="5925" spans="47:51" x14ac:dyDescent="0.2">
      <c r="AU5925"/>
      <c r="AV5925"/>
      <c r="AW5925"/>
      <c r="AX5925"/>
      <c r="AY5925"/>
    </row>
    <row r="5926" spans="47:51" x14ac:dyDescent="0.2">
      <c r="AU5926"/>
      <c r="AV5926"/>
      <c r="AW5926"/>
      <c r="AX5926"/>
      <c r="AY5926"/>
    </row>
    <row r="5927" spans="47:51" x14ac:dyDescent="0.2">
      <c r="AU5927"/>
      <c r="AV5927"/>
      <c r="AW5927"/>
      <c r="AX5927"/>
      <c r="AY5927"/>
    </row>
    <row r="5928" spans="47:51" x14ac:dyDescent="0.2">
      <c r="AU5928"/>
      <c r="AV5928"/>
      <c r="AW5928"/>
      <c r="AX5928"/>
      <c r="AY5928"/>
    </row>
    <row r="5929" spans="47:51" x14ac:dyDescent="0.2">
      <c r="AU5929"/>
      <c r="AV5929"/>
      <c r="AW5929"/>
      <c r="AX5929"/>
      <c r="AY5929"/>
    </row>
    <row r="5930" spans="47:51" x14ac:dyDescent="0.2">
      <c r="AU5930"/>
      <c r="AV5930"/>
      <c r="AW5930"/>
      <c r="AX5930"/>
      <c r="AY5930"/>
    </row>
    <row r="5931" spans="47:51" x14ac:dyDescent="0.2">
      <c r="AU5931"/>
      <c r="AV5931"/>
      <c r="AW5931"/>
      <c r="AX5931"/>
      <c r="AY5931"/>
    </row>
    <row r="5932" spans="47:51" x14ac:dyDescent="0.2">
      <c r="AU5932"/>
      <c r="AV5932"/>
      <c r="AW5932"/>
      <c r="AX5932"/>
      <c r="AY5932"/>
    </row>
    <row r="5933" spans="47:51" x14ac:dyDescent="0.2">
      <c r="AU5933"/>
      <c r="AV5933"/>
      <c r="AW5933"/>
      <c r="AX5933"/>
      <c r="AY5933"/>
    </row>
    <row r="5934" spans="47:51" x14ac:dyDescent="0.2">
      <c r="AU5934"/>
      <c r="AV5934"/>
      <c r="AW5934"/>
      <c r="AX5934"/>
      <c r="AY5934"/>
    </row>
    <row r="5935" spans="47:51" x14ac:dyDescent="0.2">
      <c r="AU5935"/>
      <c r="AV5935"/>
      <c r="AW5935"/>
      <c r="AX5935"/>
      <c r="AY5935"/>
    </row>
    <row r="5936" spans="47:51" x14ac:dyDescent="0.2">
      <c r="AU5936"/>
      <c r="AV5936"/>
      <c r="AW5936"/>
      <c r="AX5936"/>
      <c r="AY5936"/>
    </row>
    <row r="5937" spans="47:51" x14ac:dyDescent="0.2">
      <c r="AU5937"/>
      <c r="AV5937"/>
      <c r="AW5937"/>
      <c r="AX5937"/>
      <c r="AY5937"/>
    </row>
    <row r="5938" spans="47:51" x14ac:dyDescent="0.2">
      <c r="AU5938"/>
      <c r="AV5938"/>
      <c r="AW5938"/>
      <c r="AX5938"/>
      <c r="AY5938"/>
    </row>
    <row r="5939" spans="47:51" x14ac:dyDescent="0.2">
      <c r="AU5939"/>
      <c r="AV5939"/>
      <c r="AW5939"/>
      <c r="AX5939"/>
      <c r="AY5939"/>
    </row>
    <row r="5940" spans="47:51" x14ac:dyDescent="0.2">
      <c r="AU5940"/>
      <c r="AV5940"/>
      <c r="AW5940"/>
      <c r="AX5940"/>
      <c r="AY5940"/>
    </row>
    <row r="5941" spans="47:51" x14ac:dyDescent="0.2">
      <c r="AU5941"/>
      <c r="AV5941"/>
      <c r="AW5941"/>
      <c r="AX5941"/>
      <c r="AY5941"/>
    </row>
    <row r="5942" spans="47:51" x14ac:dyDescent="0.2">
      <c r="AU5942"/>
      <c r="AV5942"/>
      <c r="AW5942"/>
      <c r="AX5942"/>
      <c r="AY5942"/>
    </row>
    <row r="5943" spans="47:51" x14ac:dyDescent="0.2">
      <c r="AU5943"/>
      <c r="AV5943"/>
      <c r="AW5943"/>
      <c r="AX5943"/>
      <c r="AY5943"/>
    </row>
    <row r="5944" spans="47:51" x14ac:dyDescent="0.2">
      <c r="AU5944"/>
      <c r="AV5944"/>
      <c r="AW5944"/>
      <c r="AX5944"/>
      <c r="AY5944"/>
    </row>
    <row r="5945" spans="47:51" x14ac:dyDescent="0.2">
      <c r="AU5945"/>
      <c r="AV5945"/>
      <c r="AW5945"/>
      <c r="AX5945"/>
      <c r="AY5945"/>
    </row>
    <row r="5946" spans="47:51" x14ac:dyDescent="0.2">
      <c r="AU5946"/>
      <c r="AV5946"/>
      <c r="AW5946"/>
      <c r="AX5946"/>
      <c r="AY5946"/>
    </row>
    <row r="5947" spans="47:51" x14ac:dyDescent="0.2">
      <c r="AU5947"/>
      <c r="AV5947"/>
      <c r="AW5947"/>
      <c r="AX5947"/>
      <c r="AY5947"/>
    </row>
    <row r="5948" spans="47:51" x14ac:dyDescent="0.2">
      <c r="AU5948"/>
      <c r="AV5948"/>
      <c r="AW5948"/>
      <c r="AX5948"/>
      <c r="AY5948"/>
    </row>
    <row r="5949" spans="47:51" x14ac:dyDescent="0.2">
      <c r="AU5949"/>
      <c r="AV5949"/>
      <c r="AW5949"/>
      <c r="AX5949"/>
      <c r="AY5949"/>
    </row>
    <row r="5950" spans="47:51" x14ac:dyDescent="0.2">
      <c r="AU5950"/>
      <c r="AV5950"/>
      <c r="AW5950"/>
      <c r="AX5950"/>
      <c r="AY5950"/>
    </row>
    <row r="5951" spans="47:51" x14ac:dyDescent="0.2">
      <c r="AU5951"/>
      <c r="AV5951"/>
      <c r="AW5951"/>
      <c r="AX5951"/>
      <c r="AY5951"/>
    </row>
    <row r="5952" spans="47:51" x14ac:dyDescent="0.2">
      <c r="AU5952"/>
      <c r="AV5952"/>
      <c r="AW5952"/>
      <c r="AX5952"/>
      <c r="AY5952"/>
    </row>
    <row r="5953" spans="47:51" x14ac:dyDescent="0.2">
      <c r="AU5953"/>
      <c r="AV5953"/>
      <c r="AW5953"/>
      <c r="AX5953"/>
      <c r="AY5953"/>
    </row>
    <row r="5954" spans="47:51" x14ac:dyDescent="0.2">
      <c r="AU5954"/>
      <c r="AV5954"/>
      <c r="AW5954"/>
      <c r="AX5954"/>
      <c r="AY5954"/>
    </row>
    <row r="5955" spans="47:51" x14ac:dyDescent="0.2">
      <c r="AU5955"/>
      <c r="AV5955"/>
      <c r="AW5955"/>
      <c r="AX5955"/>
      <c r="AY5955"/>
    </row>
    <row r="5956" spans="47:51" x14ac:dyDescent="0.2">
      <c r="AU5956"/>
      <c r="AV5956"/>
      <c r="AW5956"/>
      <c r="AX5956"/>
      <c r="AY5956"/>
    </row>
    <row r="5957" spans="47:51" x14ac:dyDescent="0.2">
      <c r="AU5957"/>
      <c r="AV5957"/>
      <c r="AW5957"/>
      <c r="AX5957"/>
      <c r="AY5957"/>
    </row>
    <row r="5958" spans="47:51" x14ac:dyDescent="0.2">
      <c r="AU5958"/>
      <c r="AV5958"/>
      <c r="AW5958"/>
      <c r="AX5958"/>
      <c r="AY5958"/>
    </row>
    <row r="5959" spans="47:51" x14ac:dyDescent="0.2">
      <c r="AU5959"/>
      <c r="AV5959"/>
      <c r="AW5959"/>
      <c r="AX5959"/>
      <c r="AY5959"/>
    </row>
    <row r="5960" spans="47:51" x14ac:dyDescent="0.2">
      <c r="AU5960"/>
      <c r="AV5960"/>
      <c r="AW5960"/>
      <c r="AX5960"/>
      <c r="AY5960"/>
    </row>
    <row r="5961" spans="47:51" x14ac:dyDescent="0.2">
      <c r="AU5961"/>
      <c r="AV5961"/>
      <c r="AW5961"/>
      <c r="AX5961"/>
      <c r="AY5961"/>
    </row>
    <row r="5962" spans="47:51" x14ac:dyDescent="0.2">
      <c r="AU5962"/>
      <c r="AV5962"/>
      <c r="AW5962"/>
      <c r="AX5962"/>
      <c r="AY5962"/>
    </row>
    <row r="5963" spans="47:51" x14ac:dyDescent="0.2">
      <c r="AU5963"/>
      <c r="AV5963"/>
      <c r="AW5963"/>
      <c r="AX5963"/>
      <c r="AY5963"/>
    </row>
    <row r="5964" spans="47:51" x14ac:dyDescent="0.2">
      <c r="AU5964"/>
      <c r="AV5964"/>
      <c r="AW5964"/>
      <c r="AX5964"/>
      <c r="AY5964"/>
    </row>
    <row r="5965" spans="47:51" x14ac:dyDescent="0.2">
      <c r="AU5965"/>
      <c r="AV5965"/>
      <c r="AW5965"/>
      <c r="AX5965"/>
      <c r="AY5965"/>
    </row>
    <row r="5966" spans="47:51" x14ac:dyDescent="0.2">
      <c r="AU5966"/>
      <c r="AV5966"/>
      <c r="AW5966"/>
      <c r="AX5966"/>
      <c r="AY5966"/>
    </row>
    <row r="5967" spans="47:51" x14ac:dyDescent="0.2">
      <c r="AU5967"/>
      <c r="AV5967"/>
      <c r="AW5967"/>
      <c r="AX5967"/>
      <c r="AY5967"/>
    </row>
    <row r="5968" spans="47:51" x14ac:dyDescent="0.2">
      <c r="AU5968"/>
      <c r="AV5968"/>
      <c r="AW5968"/>
      <c r="AX5968"/>
      <c r="AY5968"/>
    </row>
    <row r="5969" spans="47:51" x14ac:dyDescent="0.2">
      <c r="AU5969"/>
      <c r="AV5969"/>
      <c r="AW5969"/>
      <c r="AX5969"/>
      <c r="AY5969"/>
    </row>
    <row r="5970" spans="47:51" x14ac:dyDescent="0.2">
      <c r="AU5970"/>
      <c r="AV5970"/>
      <c r="AW5970"/>
      <c r="AX5970"/>
      <c r="AY5970"/>
    </row>
    <row r="5971" spans="47:51" x14ac:dyDescent="0.2">
      <c r="AU5971"/>
      <c r="AV5971"/>
      <c r="AW5971"/>
      <c r="AX5971"/>
      <c r="AY5971"/>
    </row>
    <row r="5972" spans="47:51" x14ac:dyDescent="0.2">
      <c r="AU5972"/>
      <c r="AV5972"/>
      <c r="AW5972"/>
      <c r="AX5972"/>
      <c r="AY5972"/>
    </row>
    <row r="5973" spans="47:51" x14ac:dyDescent="0.2">
      <c r="AU5973"/>
      <c r="AV5973"/>
      <c r="AW5973"/>
      <c r="AX5973"/>
      <c r="AY5973"/>
    </row>
    <row r="5974" spans="47:51" x14ac:dyDescent="0.2">
      <c r="AU5974"/>
      <c r="AV5974"/>
      <c r="AW5974"/>
      <c r="AX5974"/>
      <c r="AY5974"/>
    </row>
    <row r="5975" spans="47:51" x14ac:dyDescent="0.2">
      <c r="AU5975"/>
      <c r="AV5975"/>
      <c r="AW5975"/>
      <c r="AX5975"/>
      <c r="AY5975"/>
    </row>
    <row r="5976" spans="47:51" x14ac:dyDescent="0.2">
      <c r="AU5976"/>
      <c r="AV5976"/>
      <c r="AW5976"/>
      <c r="AX5976"/>
      <c r="AY5976"/>
    </row>
    <row r="5977" spans="47:51" x14ac:dyDescent="0.2">
      <c r="AU5977"/>
      <c r="AV5977"/>
      <c r="AW5977"/>
      <c r="AX5977"/>
      <c r="AY5977"/>
    </row>
    <row r="5978" spans="47:51" x14ac:dyDescent="0.2">
      <c r="AU5978"/>
      <c r="AV5978"/>
      <c r="AW5978"/>
      <c r="AX5978"/>
      <c r="AY5978"/>
    </row>
    <row r="5979" spans="47:51" x14ac:dyDescent="0.2">
      <c r="AU5979"/>
      <c r="AV5979"/>
      <c r="AW5979"/>
      <c r="AX5979"/>
      <c r="AY5979"/>
    </row>
    <row r="5980" spans="47:51" x14ac:dyDescent="0.2">
      <c r="AU5980"/>
      <c r="AV5980"/>
      <c r="AW5980"/>
      <c r="AX5980"/>
      <c r="AY5980"/>
    </row>
    <row r="5981" spans="47:51" x14ac:dyDescent="0.2">
      <c r="AU5981"/>
      <c r="AV5981"/>
      <c r="AW5981"/>
      <c r="AX5981"/>
      <c r="AY5981"/>
    </row>
    <row r="5982" spans="47:51" x14ac:dyDescent="0.2">
      <c r="AU5982"/>
      <c r="AV5982"/>
      <c r="AW5982"/>
      <c r="AX5982"/>
      <c r="AY5982"/>
    </row>
    <row r="5983" spans="47:51" x14ac:dyDescent="0.2">
      <c r="AU5983"/>
      <c r="AV5983"/>
      <c r="AW5983"/>
      <c r="AX5983"/>
      <c r="AY5983"/>
    </row>
    <row r="5984" spans="47:51" x14ac:dyDescent="0.2">
      <c r="AU5984"/>
      <c r="AV5984"/>
      <c r="AW5984"/>
      <c r="AX5984"/>
      <c r="AY5984"/>
    </row>
    <row r="5985" spans="47:51" x14ac:dyDescent="0.2">
      <c r="AU5985"/>
      <c r="AV5985"/>
      <c r="AW5985"/>
      <c r="AX5985"/>
      <c r="AY5985"/>
    </row>
    <row r="5986" spans="47:51" x14ac:dyDescent="0.2">
      <c r="AU5986"/>
      <c r="AV5986"/>
      <c r="AW5986"/>
      <c r="AX5986"/>
      <c r="AY5986"/>
    </row>
    <row r="5987" spans="47:51" x14ac:dyDescent="0.2">
      <c r="AU5987"/>
      <c r="AV5987"/>
      <c r="AW5987"/>
      <c r="AX5987"/>
      <c r="AY5987"/>
    </row>
    <row r="5988" spans="47:51" x14ac:dyDescent="0.2">
      <c r="AU5988"/>
      <c r="AV5988"/>
      <c r="AW5988"/>
      <c r="AX5988"/>
      <c r="AY5988"/>
    </row>
    <row r="5989" spans="47:51" x14ac:dyDescent="0.2">
      <c r="AU5989"/>
      <c r="AV5989"/>
      <c r="AW5989"/>
      <c r="AX5989"/>
      <c r="AY5989"/>
    </row>
    <row r="5990" spans="47:51" x14ac:dyDescent="0.2">
      <c r="AU5990"/>
      <c r="AV5990"/>
      <c r="AW5990"/>
      <c r="AX5990"/>
      <c r="AY5990"/>
    </row>
    <row r="5991" spans="47:51" x14ac:dyDescent="0.2">
      <c r="AU5991"/>
      <c r="AV5991"/>
      <c r="AW5991"/>
      <c r="AX5991"/>
      <c r="AY5991"/>
    </row>
    <row r="5992" spans="47:51" x14ac:dyDescent="0.2">
      <c r="AU5992"/>
      <c r="AV5992"/>
      <c r="AW5992"/>
      <c r="AX5992"/>
      <c r="AY5992"/>
    </row>
    <row r="5993" spans="47:51" x14ac:dyDescent="0.2">
      <c r="AU5993"/>
      <c r="AV5993"/>
      <c r="AW5993"/>
      <c r="AX5993"/>
      <c r="AY5993"/>
    </row>
    <row r="5994" spans="47:51" x14ac:dyDescent="0.2">
      <c r="AU5994"/>
      <c r="AV5994"/>
      <c r="AW5994"/>
      <c r="AX5994"/>
      <c r="AY5994"/>
    </row>
    <row r="5995" spans="47:51" x14ac:dyDescent="0.2">
      <c r="AU5995"/>
      <c r="AV5995"/>
      <c r="AW5995"/>
      <c r="AX5995"/>
      <c r="AY5995"/>
    </row>
    <row r="5996" spans="47:51" x14ac:dyDescent="0.2">
      <c r="AU5996"/>
      <c r="AV5996"/>
      <c r="AW5996"/>
      <c r="AX5996"/>
      <c r="AY5996"/>
    </row>
    <row r="5997" spans="47:51" x14ac:dyDescent="0.2">
      <c r="AU5997"/>
      <c r="AV5997"/>
      <c r="AW5997"/>
      <c r="AX5997"/>
      <c r="AY5997"/>
    </row>
    <row r="5998" spans="47:51" x14ac:dyDescent="0.2">
      <c r="AU5998"/>
      <c r="AV5998"/>
      <c r="AW5998"/>
      <c r="AX5998"/>
      <c r="AY5998"/>
    </row>
    <row r="5999" spans="47:51" x14ac:dyDescent="0.2">
      <c r="AU5999"/>
      <c r="AV5999"/>
      <c r="AW5999"/>
      <c r="AX5999"/>
      <c r="AY5999"/>
    </row>
    <row r="6000" spans="47:51" x14ac:dyDescent="0.2">
      <c r="AU6000"/>
      <c r="AV6000"/>
      <c r="AW6000"/>
      <c r="AX6000"/>
      <c r="AY6000"/>
    </row>
    <row r="6001" spans="47:51" x14ac:dyDescent="0.2">
      <c r="AU6001"/>
      <c r="AV6001"/>
      <c r="AW6001"/>
      <c r="AX6001"/>
      <c r="AY6001"/>
    </row>
    <row r="6002" spans="47:51" x14ac:dyDescent="0.2">
      <c r="AU6002"/>
      <c r="AV6002"/>
      <c r="AW6002"/>
      <c r="AX6002"/>
      <c r="AY6002"/>
    </row>
    <row r="6003" spans="47:51" x14ac:dyDescent="0.2">
      <c r="AU6003"/>
      <c r="AV6003"/>
      <c r="AW6003"/>
      <c r="AX6003"/>
      <c r="AY6003"/>
    </row>
    <row r="6004" spans="47:51" x14ac:dyDescent="0.2">
      <c r="AU6004"/>
      <c r="AV6004"/>
      <c r="AW6004"/>
      <c r="AX6004"/>
      <c r="AY6004"/>
    </row>
    <row r="6005" spans="47:51" x14ac:dyDescent="0.2">
      <c r="AU6005"/>
      <c r="AV6005"/>
      <c r="AW6005"/>
      <c r="AX6005"/>
      <c r="AY6005"/>
    </row>
    <row r="6006" spans="47:51" x14ac:dyDescent="0.2">
      <c r="AU6006"/>
      <c r="AV6006"/>
      <c r="AW6006"/>
      <c r="AX6006"/>
      <c r="AY6006"/>
    </row>
    <row r="6007" spans="47:51" x14ac:dyDescent="0.2">
      <c r="AU6007"/>
      <c r="AV6007"/>
      <c r="AW6007"/>
      <c r="AX6007"/>
      <c r="AY6007"/>
    </row>
    <row r="6008" spans="47:51" x14ac:dyDescent="0.2">
      <c r="AU6008"/>
      <c r="AV6008"/>
      <c r="AW6008"/>
      <c r="AX6008"/>
      <c r="AY6008"/>
    </row>
    <row r="6009" spans="47:51" x14ac:dyDescent="0.2">
      <c r="AU6009"/>
      <c r="AV6009"/>
      <c r="AW6009"/>
      <c r="AX6009"/>
      <c r="AY6009"/>
    </row>
    <row r="6010" spans="47:51" x14ac:dyDescent="0.2">
      <c r="AU6010"/>
      <c r="AV6010"/>
      <c r="AW6010"/>
      <c r="AX6010"/>
      <c r="AY6010"/>
    </row>
    <row r="6011" spans="47:51" x14ac:dyDescent="0.2">
      <c r="AU6011"/>
      <c r="AV6011"/>
      <c r="AW6011"/>
      <c r="AX6011"/>
      <c r="AY6011"/>
    </row>
    <row r="6012" spans="47:51" x14ac:dyDescent="0.2">
      <c r="AU6012"/>
      <c r="AV6012"/>
      <c r="AW6012"/>
      <c r="AX6012"/>
      <c r="AY6012"/>
    </row>
    <row r="6013" spans="47:51" x14ac:dyDescent="0.2">
      <c r="AU6013"/>
      <c r="AV6013"/>
      <c r="AW6013"/>
      <c r="AX6013"/>
      <c r="AY6013"/>
    </row>
    <row r="6014" spans="47:51" x14ac:dyDescent="0.2">
      <c r="AU6014"/>
      <c r="AV6014"/>
      <c r="AW6014"/>
      <c r="AX6014"/>
      <c r="AY6014"/>
    </row>
    <row r="6015" spans="47:51" x14ac:dyDescent="0.2">
      <c r="AU6015"/>
      <c r="AV6015"/>
      <c r="AW6015"/>
      <c r="AX6015"/>
      <c r="AY6015"/>
    </row>
    <row r="6016" spans="47:51" x14ac:dyDescent="0.2">
      <c r="AU6016"/>
      <c r="AV6016"/>
      <c r="AW6016"/>
      <c r="AX6016"/>
      <c r="AY6016"/>
    </row>
    <row r="6017" spans="47:51" x14ac:dyDescent="0.2">
      <c r="AU6017"/>
      <c r="AV6017"/>
      <c r="AW6017"/>
      <c r="AX6017"/>
      <c r="AY6017"/>
    </row>
    <row r="6018" spans="47:51" x14ac:dyDescent="0.2">
      <c r="AU6018"/>
      <c r="AV6018"/>
      <c r="AW6018"/>
      <c r="AX6018"/>
      <c r="AY6018"/>
    </row>
    <row r="6019" spans="47:51" x14ac:dyDescent="0.2">
      <c r="AU6019"/>
      <c r="AV6019"/>
      <c r="AW6019"/>
      <c r="AX6019"/>
      <c r="AY6019"/>
    </row>
    <row r="6020" spans="47:51" x14ac:dyDescent="0.2">
      <c r="AU6020"/>
      <c r="AV6020"/>
      <c r="AW6020"/>
      <c r="AX6020"/>
      <c r="AY6020"/>
    </row>
    <row r="6021" spans="47:51" x14ac:dyDescent="0.2">
      <c r="AU6021"/>
      <c r="AV6021"/>
      <c r="AW6021"/>
      <c r="AX6021"/>
      <c r="AY6021"/>
    </row>
    <row r="6022" spans="47:51" x14ac:dyDescent="0.2">
      <c r="AU6022"/>
      <c r="AV6022"/>
      <c r="AW6022"/>
      <c r="AX6022"/>
      <c r="AY6022"/>
    </row>
    <row r="6023" spans="47:51" x14ac:dyDescent="0.2">
      <c r="AU6023"/>
      <c r="AV6023"/>
      <c r="AW6023"/>
      <c r="AX6023"/>
      <c r="AY6023"/>
    </row>
    <row r="6024" spans="47:51" x14ac:dyDescent="0.2">
      <c r="AU6024"/>
      <c r="AV6024"/>
      <c r="AW6024"/>
      <c r="AX6024"/>
      <c r="AY6024"/>
    </row>
    <row r="6025" spans="47:51" x14ac:dyDescent="0.2">
      <c r="AU6025"/>
      <c r="AV6025"/>
      <c r="AW6025"/>
      <c r="AX6025"/>
      <c r="AY6025"/>
    </row>
    <row r="6026" spans="47:51" x14ac:dyDescent="0.2">
      <c r="AU6026"/>
      <c r="AV6026"/>
      <c r="AW6026"/>
      <c r="AX6026"/>
      <c r="AY6026"/>
    </row>
    <row r="6027" spans="47:51" x14ac:dyDescent="0.2">
      <c r="AU6027"/>
      <c r="AV6027"/>
      <c r="AW6027"/>
      <c r="AX6027"/>
      <c r="AY6027"/>
    </row>
    <row r="6028" spans="47:51" x14ac:dyDescent="0.2">
      <c r="AU6028"/>
      <c r="AV6028"/>
      <c r="AW6028"/>
      <c r="AX6028"/>
      <c r="AY6028"/>
    </row>
    <row r="6029" spans="47:51" x14ac:dyDescent="0.2">
      <c r="AU6029"/>
      <c r="AV6029"/>
      <c r="AW6029"/>
      <c r="AX6029"/>
      <c r="AY6029"/>
    </row>
    <row r="6030" spans="47:51" x14ac:dyDescent="0.2">
      <c r="AU6030"/>
      <c r="AV6030"/>
      <c r="AW6030"/>
      <c r="AX6030"/>
      <c r="AY6030"/>
    </row>
    <row r="6031" spans="47:51" x14ac:dyDescent="0.2">
      <c r="AU6031"/>
      <c r="AV6031"/>
      <c r="AW6031"/>
      <c r="AX6031"/>
      <c r="AY6031"/>
    </row>
    <row r="6032" spans="47:51" x14ac:dyDescent="0.2">
      <c r="AU6032"/>
      <c r="AV6032"/>
      <c r="AW6032"/>
      <c r="AX6032"/>
      <c r="AY6032"/>
    </row>
    <row r="6033" spans="47:51" x14ac:dyDescent="0.2">
      <c r="AU6033"/>
      <c r="AV6033"/>
      <c r="AW6033"/>
      <c r="AX6033"/>
      <c r="AY6033"/>
    </row>
    <row r="6034" spans="47:51" x14ac:dyDescent="0.2">
      <c r="AU6034"/>
      <c r="AV6034"/>
      <c r="AW6034"/>
      <c r="AX6034"/>
      <c r="AY6034"/>
    </row>
    <row r="6035" spans="47:51" x14ac:dyDescent="0.2">
      <c r="AU6035"/>
      <c r="AV6035"/>
      <c r="AW6035"/>
      <c r="AX6035"/>
      <c r="AY6035"/>
    </row>
    <row r="6036" spans="47:51" x14ac:dyDescent="0.2">
      <c r="AU6036"/>
      <c r="AV6036"/>
      <c r="AW6036"/>
      <c r="AX6036"/>
      <c r="AY6036"/>
    </row>
    <row r="6037" spans="47:51" x14ac:dyDescent="0.2">
      <c r="AU6037"/>
      <c r="AV6037"/>
      <c r="AW6037"/>
      <c r="AX6037"/>
      <c r="AY6037"/>
    </row>
    <row r="6038" spans="47:51" x14ac:dyDescent="0.2">
      <c r="AU6038"/>
      <c r="AV6038"/>
      <c r="AW6038"/>
      <c r="AX6038"/>
      <c r="AY6038"/>
    </row>
    <row r="6039" spans="47:51" x14ac:dyDescent="0.2">
      <c r="AU6039"/>
      <c r="AV6039"/>
      <c r="AW6039"/>
      <c r="AX6039"/>
      <c r="AY6039"/>
    </row>
    <row r="6040" spans="47:51" x14ac:dyDescent="0.2">
      <c r="AU6040"/>
      <c r="AV6040"/>
      <c r="AW6040"/>
      <c r="AX6040"/>
      <c r="AY6040"/>
    </row>
    <row r="6041" spans="47:51" x14ac:dyDescent="0.2">
      <c r="AU6041"/>
      <c r="AV6041"/>
      <c r="AW6041"/>
      <c r="AX6041"/>
      <c r="AY6041"/>
    </row>
    <row r="6042" spans="47:51" x14ac:dyDescent="0.2">
      <c r="AU6042"/>
      <c r="AV6042"/>
      <c r="AW6042"/>
      <c r="AX6042"/>
      <c r="AY6042"/>
    </row>
    <row r="6043" spans="47:51" x14ac:dyDescent="0.2">
      <c r="AU6043"/>
      <c r="AV6043"/>
      <c r="AW6043"/>
      <c r="AX6043"/>
      <c r="AY6043"/>
    </row>
    <row r="6044" spans="47:51" x14ac:dyDescent="0.2">
      <c r="AU6044"/>
      <c r="AV6044"/>
      <c r="AW6044"/>
      <c r="AX6044"/>
      <c r="AY6044"/>
    </row>
    <row r="6045" spans="47:51" x14ac:dyDescent="0.2">
      <c r="AU6045"/>
      <c r="AV6045"/>
      <c r="AW6045"/>
      <c r="AX6045"/>
      <c r="AY6045"/>
    </row>
    <row r="6046" spans="47:51" x14ac:dyDescent="0.2">
      <c r="AU6046"/>
      <c r="AV6046"/>
      <c r="AW6046"/>
      <c r="AX6046"/>
      <c r="AY6046"/>
    </row>
    <row r="6047" spans="47:51" x14ac:dyDescent="0.2">
      <c r="AU6047"/>
      <c r="AV6047"/>
      <c r="AW6047"/>
      <c r="AX6047"/>
      <c r="AY6047"/>
    </row>
    <row r="6048" spans="47:51" x14ac:dyDescent="0.2">
      <c r="AU6048"/>
      <c r="AV6048"/>
      <c r="AW6048"/>
      <c r="AX6048"/>
      <c r="AY6048"/>
    </row>
    <row r="6049" spans="47:51" x14ac:dyDescent="0.2">
      <c r="AU6049"/>
      <c r="AV6049"/>
      <c r="AW6049"/>
      <c r="AX6049"/>
      <c r="AY6049"/>
    </row>
    <row r="6050" spans="47:51" x14ac:dyDescent="0.2">
      <c r="AU6050"/>
      <c r="AV6050"/>
      <c r="AW6050"/>
      <c r="AX6050"/>
      <c r="AY6050"/>
    </row>
    <row r="6051" spans="47:51" x14ac:dyDescent="0.2">
      <c r="AU6051"/>
      <c r="AV6051"/>
      <c r="AW6051"/>
      <c r="AX6051"/>
      <c r="AY6051"/>
    </row>
    <row r="6052" spans="47:51" x14ac:dyDescent="0.2">
      <c r="AU6052"/>
      <c r="AV6052"/>
      <c r="AW6052"/>
      <c r="AX6052"/>
      <c r="AY6052"/>
    </row>
    <row r="6053" spans="47:51" x14ac:dyDescent="0.2">
      <c r="AU6053"/>
      <c r="AV6053"/>
      <c r="AW6053"/>
      <c r="AX6053"/>
      <c r="AY6053"/>
    </row>
    <row r="6054" spans="47:51" x14ac:dyDescent="0.2">
      <c r="AU6054"/>
      <c r="AV6054"/>
      <c r="AW6054"/>
      <c r="AX6054"/>
      <c r="AY6054"/>
    </row>
    <row r="6055" spans="47:51" x14ac:dyDescent="0.2">
      <c r="AU6055"/>
      <c r="AV6055"/>
      <c r="AW6055"/>
      <c r="AX6055"/>
      <c r="AY6055"/>
    </row>
    <row r="6056" spans="47:51" x14ac:dyDescent="0.2">
      <c r="AU6056"/>
      <c r="AV6056"/>
      <c r="AW6056"/>
      <c r="AX6056"/>
      <c r="AY6056"/>
    </row>
    <row r="6057" spans="47:51" x14ac:dyDescent="0.2">
      <c r="AU6057"/>
      <c r="AV6057"/>
      <c r="AW6057"/>
      <c r="AX6057"/>
      <c r="AY6057"/>
    </row>
    <row r="6058" spans="47:51" x14ac:dyDescent="0.2">
      <c r="AU6058"/>
      <c r="AV6058"/>
      <c r="AW6058"/>
      <c r="AX6058"/>
      <c r="AY6058"/>
    </row>
    <row r="6059" spans="47:51" x14ac:dyDescent="0.2">
      <c r="AU6059"/>
      <c r="AV6059"/>
      <c r="AW6059"/>
      <c r="AX6059"/>
      <c r="AY6059"/>
    </row>
    <row r="6060" spans="47:51" x14ac:dyDescent="0.2">
      <c r="AU6060"/>
      <c r="AV6060"/>
      <c r="AW6060"/>
      <c r="AX6060"/>
      <c r="AY6060"/>
    </row>
    <row r="6061" spans="47:51" x14ac:dyDescent="0.2">
      <c r="AU6061"/>
      <c r="AV6061"/>
      <c r="AW6061"/>
      <c r="AX6061"/>
      <c r="AY6061"/>
    </row>
    <row r="6062" spans="47:51" x14ac:dyDescent="0.2">
      <c r="AU6062"/>
      <c r="AV6062"/>
      <c r="AW6062"/>
      <c r="AX6062"/>
      <c r="AY6062"/>
    </row>
    <row r="6063" spans="47:51" x14ac:dyDescent="0.2">
      <c r="AU6063"/>
      <c r="AV6063"/>
      <c r="AW6063"/>
      <c r="AX6063"/>
      <c r="AY6063"/>
    </row>
    <row r="6064" spans="47:51" x14ac:dyDescent="0.2">
      <c r="AU6064"/>
      <c r="AV6064"/>
      <c r="AW6064"/>
      <c r="AX6064"/>
      <c r="AY6064"/>
    </row>
    <row r="6065" spans="47:51" x14ac:dyDescent="0.2">
      <c r="AU6065"/>
      <c r="AV6065"/>
      <c r="AW6065"/>
      <c r="AX6065"/>
      <c r="AY6065"/>
    </row>
    <row r="6066" spans="47:51" x14ac:dyDescent="0.2">
      <c r="AU6066"/>
      <c r="AV6066"/>
      <c r="AW6066"/>
      <c r="AX6066"/>
      <c r="AY6066"/>
    </row>
    <row r="6067" spans="47:51" x14ac:dyDescent="0.2">
      <c r="AU6067"/>
      <c r="AV6067"/>
      <c r="AW6067"/>
      <c r="AX6067"/>
      <c r="AY6067"/>
    </row>
    <row r="6068" spans="47:51" x14ac:dyDescent="0.2">
      <c r="AU6068"/>
      <c r="AV6068"/>
      <c r="AW6068"/>
      <c r="AX6068"/>
      <c r="AY6068"/>
    </row>
    <row r="6069" spans="47:51" x14ac:dyDescent="0.2">
      <c r="AU6069"/>
      <c r="AV6069"/>
      <c r="AW6069"/>
      <c r="AX6069"/>
      <c r="AY6069"/>
    </row>
    <row r="6070" spans="47:51" x14ac:dyDescent="0.2">
      <c r="AU6070"/>
      <c r="AV6070"/>
      <c r="AW6070"/>
      <c r="AX6070"/>
      <c r="AY6070"/>
    </row>
    <row r="6071" spans="47:51" x14ac:dyDescent="0.2">
      <c r="AU6071"/>
      <c r="AV6071"/>
      <c r="AW6071"/>
      <c r="AX6071"/>
      <c r="AY6071"/>
    </row>
    <row r="6072" spans="47:51" x14ac:dyDescent="0.2">
      <c r="AU6072"/>
      <c r="AV6072"/>
      <c r="AW6072"/>
      <c r="AX6072"/>
      <c r="AY6072"/>
    </row>
    <row r="6073" spans="47:51" x14ac:dyDescent="0.2">
      <c r="AU6073"/>
      <c r="AV6073"/>
      <c r="AW6073"/>
      <c r="AX6073"/>
      <c r="AY6073"/>
    </row>
    <row r="6074" spans="47:51" x14ac:dyDescent="0.2">
      <c r="AU6074"/>
      <c r="AV6074"/>
      <c r="AW6074"/>
      <c r="AX6074"/>
      <c r="AY6074"/>
    </row>
    <row r="6075" spans="47:51" x14ac:dyDescent="0.2">
      <c r="AU6075"/>
      <c r="AV6075"/>
      <c r="AW6075"/>
      <c r="AX6075"/>
      <c r="AY6075"/>
    </row>
    <row r="6076" spans="47:51" x14ac:dyDescent="0.2">
      <c r="AU6076"/>
      <c r="AV6076"/>
      <c r="AW6076"/>
      <c r="AX6076"/>
      <c r="AY6076"/>
    </row>
    <row r="6077" spans="47:51" x14ac:dyDescent="0.2">
      <c r="AU6077"/>
      <c r="AV6077"/>
      <c r="AW6077"/>
      <c r="AX6077"/>
      <c r="AY6077"/>
    </row>
    <row r="6078" spans="47:51" x14ac:dyDescent="0.2">
      <c r="AU6078"/>
      <c r="AV6078"/>
      <c r="AW6078"/>
      <c r="AX6078"/>
      <c r="AY6078"/>
    </row>
    <row r="6079" spans="47:51" x14ac:dyDescent="0.2">
      <c r="AU6079"/>
      <c r="AV6079"/>
      <c r="AW6079"/>
      <c r="AX6079"/>
      <c r="AY6079"/>
    </row>
    <row r="6080" spans="47:51" x14ac:dyDescent="0.2">
      <c r="AU6080"/>
      <c r="AV6080"/>
      <c r="AW6080"/>
      <c r="AX6080"/>
      <c r="AY6080"/>
    </row>
    <row r="6081" spans="47:51" x14ac:dyDescent="0.2">
      <c r="AU6081"/>
      <c r="AV6081"/>
      <c r="AW6081"/>
      <c r="AX6081"/>
      <c r="AY6081"/>
    </row>
    <row r="6082" spans="47:51" x14ac:dyDescent="0.2">
      <c r="AU6082"/>
      <c r="AV6082"/>
      <c r="AW6082"/>
      <c r="AX6082"/>
      <c r="AY6082"/>
    </row>
    <row r="6083" spans="47:51" x14ac:dyDescent="0.2">
      <c r="AU6083"/>
      <c r="AV6083"/>
      <c r="AW6083"/>
      <c r="AX6083"/>
      <c r="AY6083"/>
    </row>
    <row r="6084" spans="47:51" x14ac:dyDescent="0.2">
      <c r="AU6084"/>
      <c r="AV6084"/>
      <c r="AW6084"/>
      <c r="AX6084"/>
      <c r="AY6084"/>
    </row>
    <row r="6085" spans="47:51" x14ac:dyDescent="0.2">
      <c r="AU6085"/>
      <c r="AV6085"/>
      <c r="AW6085"/>
      <c r="AX6085"/>
      <c r="AY6085"/>
    </row>
    <row r="6086" spans="47:51" x14ac:dyDescent="0.2">
      <c r="AU6086"/>
      <c r="AV6086"/>
      <c r="AW6086"/>
      <c r="AX6086"/>
      <c r="AY6086"/>
    </row>
    <row r="6087" spans="47:51" x14ac:dyDescent="0.2">
      <c r="AU6087"/>
      <c r="AV6087"/>
      <c r="AW6087"/>
      <c r="AX6087"/>
      <c r="AY6087"/>
    </row>
    <row r="6088" spans="47:51" x14ac:dyDescent="0.2">
      <c r="AU6088"/>
      <c r="AV6088"/>
      <c r="AW6088"/>
      <c r="AX6088"/>
      <c r="AY6088"/>
    </row>
    <row r="6089" spans="47:51" x14ac:dyDescent="0.2">
      <c r="AU6089"/>
      <c r="AV6089"/>
      <c r="AW6089"/>
      <c r="AX6089"/>
      <c r="AY6089"/>
    </row>
    <row r="6090" spans="47:51" x14ac:dyDescent="0.2">
      <c r="AU6090"/>
      <c r="AV6090"/>
      <c r="AW6090"/>
      <c r="AX6090"/>
      <c r="AY6090"/>
    </row>
    <row r="6091" spans="47:51" x14ac:dyDescent="0.2">
      <c r="AU6091"/>
      <c r="AV6091"/>
      <c r="AW6091"/>
      <c r="AX6091"/>
      <c r="AY6091"/>
    </row>
    <row r="6092" spans="47:51" x14ac:dyDescent="0.2">
      <c r="AU6092"/>
      <c r="AV6092"/>
      <c r="AW6092"/>
      <c r="AX6092"/>
      <c r="AY6092"/>
    </row>
    <row r="6093" spans="47:51" x14ac:dyDescent="0.2">
      <c r="AU6093"/>
      <c r="AV6093"/>
      <c r="AW6093"/>
      <c r="AX6093"/>
      <c r="AY6093"/>
    </row>
    <row r="6094" spans="47:51" x14ac:dyDescent="0.2">
      <c r="AU6094"/>
      <c r="AV6094"/>
      <c r="AW6094"/>
      <c r="AX6094"/>
      <c r="AY6094"/>
    </row>
    <row r="6095" spans="47:51" x14ac:dyDescent="0.2">
      <c r="AU6095"/>
      <c r="AV6095"/>
      <c r="AW6095"/>
      <c r="AX6095"/>
      <c r="AY6095"/>
    </row>
    <row r="6096" spans="47:51" x14ac:dyDescent="0.2">
      <c r="AU6096"/>
      <c r="AV6096"/>
      <c r="AW6096"/>
      <c r="AX6096"/>
      <c r="AY6096"/>
    </row>
    <row r="6097" spans="47:51" x14ac:dyDescent="0.2">
      <c r="AU6097"/>
      <c r="AV6097"/>
      <c r="AW6097"/>
      <c r="AX6097"/>
      <c r="AY6097"/>
    </row>
    <row r="6098" spans="47:51" x14ac:dyDescent="0.2">
      <c r="AU6098"/>
      <c r="AV6098"/>
      <c r="AW6098"/>
      <c r="AX6098"/>
      <c r="AY6098"/>
    </row>
    <row r="6099" spans="47:51" x14ac:dyDescent="0.2">
      <c r="AU6099"/>
      <c r="AV6099"/>
      <c r="AW6099"/>
      <c r="AX6099"/>
      <c r="AY6099"/>
    </row>
    <row r="6100" spans="47:51" x14ac:dyDescent="0.2">
      <c r="AU6100"/>
      <c r="AV6100"/>
      <c r="AW6100"/>
      <c r="AX6100"/>
      <c r="AY6100"/>
    </row>
    <row r="6101" spans="47:51" x14ac:dyDescent="0.2">
      <c r="AU6101"/>
      <c r="AV6101"/>
      <c r="AW6101"/>
      <c r="AX6101"/>
      <c r="AY6101"/>
    </row>
    <row r="6102" spans="47:51" x14ac:dyDescent="0.2">
      <c r="AU6102"/>
      <c r="AV6102"/>
      <c r="AW6102"/>
      <c r="AX6102"/>
      <c r="AY6102"/>
    </row>
    <row r="6103" spans="47:51" x14ac:dyDescent="0.2">
      <c r="AU6103"/>
      <c r="AV6103"/>
      <c r="AW6103"/>
      <c r="AX6103"/>
      <c r="AY6103"/>
    </row>
    <row r="6104" spans="47:51" x14ac:dyDescent="0.2">
      <c r="AU6104"/>
      <c r="AV6104"/>
      <c r="AW6104"/>
      <c r="AX6104"/>
      <c r="AY6104"/>
    </row>
    <row r="6105" spans="47:51" x14ac:dyDescent="0.2">
      <c r="AU6105"/>
      <c r="AV6105"/>
      <c r="AW6105"/>
      <c r="AX6105"/>
      <c r="AY6105"/>
    </row>
    <row r="6106" spans="47:51" x14ac:dyDescent="0.2">
      <c r="AU6106"/>
      <c r="AV6106"/>
      <c r="AW6106"/>
      <c r="AX6106"/>
      <c r="AY6106"/>
    </row>
    <row r="6107" spans="47:51" x14ac:dyDescent="0.2">
      <c r="AU6107"/>
      <c r="AV6107"/>
      <c r="AW6107"/>
      <c r="AX6107"/>
      <c r="AY6107"/>
    </row>
    <row r="6108" spans="47:51" x14ac:dyDescent="0.2">
      <c r="AU6108"/>
      <c r="AV6108"/>
      <c r="AW6108"/>
      <c r="AX6108"/>
      <c r="AY6108"/>
    </row>
    <row r="6109" spans="47:51" x14ac:dyDescent="0.2">
      <c r="AU6109"/>
      <c r="AV6109"/>
      <c r="AW6109"/>
      <c r="AX6109"/>
      <c r="AY6109"/>
    </row>
    <row r="6110" spans="47:51" x14ac:dyDescent="0.2">
      <c r="AU6110"/>
      <c r="AV6110"/>
      <c r="AW6110"/>
      <c r="AX6110"/>
      <c r="AY6110"/>
    </row>
    <row r="6111" spans="47:51" x14ac:dyDescent="0.2">
      <c r="AU6111"/>
      <c r="AV6111"/>
      <c r="AW6111"/>
      <c r="AX6111"/>
      <c r="AY6111"/>
    </row>
    <row r="6112" spans="47:51" x14ac:dyDescent="0.2">
      <c r="AU6112"/>
      <c r="AV6112"/>
      <c r="AW6112"/>
      <c r="AX6112"/>
      <c r="AY6112"/>
    </row>
    <row r="6113" spans="47:51" x14ac:dyDescent="0.2">
      <c r="AU6113"/>
      <c r="AV6113"/>
      <c r="AW6113"/>
      <c r="AX6113"/>
      <c r="AY6113"/>
    </row>
    <row r="6114" spans="47:51" x14ac:dyDescent="0.2">
      <c r="AU6114"/>
      <c r="AV6114"/>
      <c r="AW6114"/>
      <c r="AX6114"/>
      <c r="AY6114"/>
    </row>
    <row r="6115" spans="47:51" x14ac:dyDescent="0.2">
      <c r="AU6115"/>
      <c r="AV6115"/>
      <c r="AW6115"/>
      <c r="AX6115"/>
      <c r="AY6115"/>
    </row>
    <row r="6116" spans="47:51" x14ac:dyDescent="0.2">
      <c r="AU6116"/>
      <c r="AV6116"/>
      <c r="AW6116"/>
      <c r="AX6116"/>
      <c r="AY6116"/>
    </row>
    <row r="6117" spans="47:51" x14ac:dyDescent="0.2">
      <c r="AU6117"/>
      <c r="AV6117"/>
      <c r="AW6117"/>
      <c r="AX6117"/>
      <c r="AY6117"/>
    </row>
    <row r="6118" spans="47:51" x14ac:dyDescent="0.2">
      <c r="AU6118"/>
      <c r="AV6118"/>
      <c r="AW6118"/>
      <c r="AX6118"/>
      <c r="AY6118"/>
    </row>
    <row r="6119" spans="47:51" x14ac:dyDescent="0.2">
      <c r="AU6119"/>
      <c r="AV6119"/>
      <c r="AW6119"/>
      <c r="AX6119"/>
      <c r="AY6119"/>
    </row>
    <row r="6120" spans="47:51" x14ac:dyDescent="0.2">
      <c r="AU6120"/>
      <c r="AV6120"/>
      <c r="AW6120"/>
      <c r="AX6120"/>
      <c r="AY6120"/>
    </row>
    <row r="6121" spans="47:51" x14ac:dyDescent="0.2">
      <c r="AU6121"/>
      <c r="AV6121"/>
      <c r="AW6121"/>
      <c r="AX6121"/>
      <c r="AY6121"/>
    </row>
    <row r="6122" spans="47:51" x14ac:dyDescent="0.2">
      <c r="AU6122"/>
      <c r="AV6122"/>
      <c r="AW6122"/>
      <c r="AX6122"/>
      <c r="AY6122"/>
    </row>
    <row r="6123" spans="47:51" x14ac:dyDescent="0.2">
      <c r="AU6123"/>
      <c r="AV6123"/>
      <c r="AW6123"/>
      <c r="AX6123"/>
      <c r="AY6123"/>
    </row>
    <row r="6124" spans="47:51" x14ac:dyDescent="0.2">
      <c r="AU6124"/>
      <c r="AV6124"/>
      <c r="AW6124"/>
      <c r="AX6124"/>
      <c r="AY6124"/>
    </row>
    <row r="6125" spans="47:51" x14ac:dyDescent="0.2">
      <c r="AU6125"/>
      <c r="AV6125"/>
      <c r="AW6125"/>
      <c r="AX6125"/>
      <c r="AY6125"/>
    </row>
    <row r="6126" spans="47:51" x14ac:dyDescent="0.2">
      <c r="AU6126"/>
      <c r="AV6126"/>
      <c r="AW6126"/>
      <c r="AX6126"/>
      <c r="AY6126"/>
    </row>
    <row r="6127" spans="47:51" x14ac:dyDescent="0.2">
      <c r="AU6127"/>
      <c r="AV6127"/>
      <c r="AW6127"/>
      <c r="AX6127"/>
      <c r="AY6127"/>
    </row>
    <row r="6128" spans="47:51" x14ac:dyDescent="0.2">
      <c r="AU6128"/>
      <c r="AV6128"/>
      <c r="AW6128"/>
      <c r="AX6128"/>
      <c r="AY6128"/>
    </row>
    <row r="6129" spans="47:51" x14ac:dyDescent="0.2">
      <c r="AU6129"/>
      <c r="AV6129"/>
      <c r="AW6129"/>
      <c r="AX6129"/>
      <c r="AY6129"/>
    </row>
    <row r="6130" spans="47:51" x14ac:dyDescent="0.2">
      <c r="AU6130"/>
      <c r="AV6130"/>
      <c r="AW6130"/>
      <c r="AX6130"/>
      <c r="AY6130"/>
    </row>
    <row r="6131" spans="47:51" x14ac:dyDescent="0.2">
      <c r="AU6131"/>
      <c r="AV6131"/>
      <c r="AW6131"/>
      <c r="AX6131"/>
      <c r="AY6131"/>
    </row>
    <row r="6132" spans="47:51" x14ac:dyDescent="0.2">
      <c r="AU6132"/>
      <c r="AV6132"/>
      <c r="AW6132"/>
      <c r="AX6132"/>
      <c r="AY6132"/>
    </row>
    <row r="6133" spans="47:51" x14ac:dyDescent="0.2">
      <c r="AU6133"/>
      <c r="AV6133"/>
      <c r="AW6133"/>
      <c r="AX6133"/>
      <c r="AY6133"/>
    </row>
    <row r="6134" spans="47:51" x14ac:dyDescent="0.2">
      <c r="AU6134"/>
      <c r="AV6134"/>
      <c r="AW6134"/>
      <c r="AX6134"/>
      <c r="AY6134"/>
    </row>
    <row r="6135" spans="47:51" x14ac:dyDescent="0.2">
      <c r="AU6135"/>
      <c r="AV6135"/>
      <c r="AW6135"/>
      <c r="AX6135"/>
      <c r="AY6135"/>
    </row>
    <row r="6136" spans="47:51" x14ac:dyDescent="0.2">
      <c r="AU6136"/>
      <c r="AV6136"/>
      <c r="AW6136"/>
      <c r="AX6136"/>
      <c r="AY6136"/>
    </row>
    <row r="6137" spans="47:51" x14ac:dyDescent="0.2">
      <c r="AU6137"/>
      <c r="AV6137"/>
      <c r="AW6137"/>
      <c r="AX6137"/>
      <c r="AY6137"/>
    </row>
    <row r="6138" spans="47:51" x14ac:dyDescent="0.2">
      <c r="AU6138"/>
      <c r="AV6138"/>
      <c r="AW6138"/>
      <c r="AX6138"/>
      <c r="AY6138"/>
    </row>
    <row r="6139" spans="47:51" x14ac:dyDescent="0.2">
      <c r="AU6139"/>
      <c r="AV6139"/>
      <c r="AW6139"/>
      <c r="AX6139"/>
      <c r="AY6139"/>
    </row>
    <row r="6140" spans="47:51" x14ac:dyDescent="0.2">
      <c r="AU6140"/>
      <c r="AV6140"/>
      <c r="AW6140"/>
      <c r="AX6140"/>
      <c r="AY6140"/>
    </row>
    <row r="6141" spans="47:51" x14ac:dyDescent="0.2">
      <c r="AU6141"/>
      <c r="AV6141"/>
      <c r="AW6141"/>
      <c r="AX6141"/>
      <c r="AY6141"/>
    </row>
    <row r="6142" spans="47:51" x14ac:dyDescent="0.2">
      <c r="AU6142"/>
      <c r="AV6142"/>
      <c r="AW6142"/>
      <c r="AX6142"/>
      <c r="AY6142"/>
    </row>
    <row r="6143" spans="47:51" x14ac:dyDescent="0.2">
      <c r="AU6143"/>
      <c r="AV6143"/>
      <c r="AW6143"/>
      <c r="AX6143"/>
      <c r="AY6143"/>
    </row>
    <row r="6144" spans="47:51" x14ac:dyDescent="0.2">
      <c r="AU6144"/>
      <c r="AV6144"/>
      <c r="AW6144"/>
      <c r="AX6144"/>
      <c r="AY6144"/>
    </row>
    <row r="6145" spans="47:51" x14ac:dyDescent="0.2">
      <c r="AU6145"/>
      <c r="AV6145"/>
      <c r="AW6145"/>
      <c r="AX6145"/>
      <c r="AY6145"/>
    </row>
    <row r="6146" spans="47:51" x14ac:dyDescent="0.2">
      <c r="AU6146"/>
      <c r="AV6146"/>
      <c r="AW6146"/>
      <c r="AX6146"/>
      <c r="AY6146"/>
    </row>
    <row r="6147" spans="47:51" x14ac:dyDescent="0.2">
      <c r="AU6147"/>
      <c r="AV6147"/>
      <c r="AW6147"/>
      <c r="AX6147"/>
      <c r="AY6147"/>
    </row>
    <row r="6148" spans="47:51" x14ac:dyDescent="0.2">
      <c r="AU6148"/>
      <c r="AV6148"/>
      <c r="AW6148"/>
      <c r="AX6148"/>
      <c r="AY6148"/>
    </row>
    <row r="6149" spans="47:51" x14ac:dyDescent="0.2">
      <c r="AU6149"/>
      <c r="AV6149"/>
      <c r="AW6149"/>
      <c r="AX6149"/>
      <c r="AY6149"/>
    </row>
    <row r="6150" spans="47:51" x14ac:dyDescent="0.2">
      <c r="AU6150"/>
      <c r="AV6150"/>
      <c r="AW6150"/>
      <c r="AX6150"/>
      <c r="AY6150"/>
    </row>
    <row r="6151" spans="47:51" x14ac:dyDescent="0.2">
      <c r="AU6151"/>
      <c r="AV6151"/>
      <c r="AW6151"/>
      <c r="AX6151"/>
      <c r="AY6151"/>
    </row>
    <row r="6152" spans="47:51" x14ac:dyDescent="0.2">
      <c r="AU6152"/>
      <c r="AV6152"/>
      <c r="AW6152"/>
      <c r="AX6152"/>
      <c r="AY6152"/>
    </row>
    <row r="6153" spans="47:51" x14ac:dyDescent="0.2">
      <c r="AU6153"/>
      <c r="AV6153"/>
      <c r="AW6153"/>
      <c r="AX6153"/>
      <c r="AY6153"/>
    </row>
    <row r="6154" spans="47:51" x14ac:dyDescent="0.2">
      <c r="AU6154"/>
      <c r="AV6154"/>
      <c r="AW6154"/>
      <c r="AX6154"/>
      <c r="AY6154"/>
    </row>
    <row r="6155" spans="47:51" x14ac:dyDescent="0.2">
      <c r="AU6155"/>
      <c r="AV6155"/>
      <c r="AW6155"/>
      <c r="AX6155"/>
      <c r="AY6155"/>
    </row>
    <row r="6156" spans="47:51" x14ac:dyDescent="0.2">
      <c r="AU6156"/>
      <c r="AV6156"/>
      <c r="AW6156"/>
      <c r="AX6156"/>
      <c r="AY6156"/>
    </row>
    <row r="6157" spans="47:51" x14ac:dyDescent="0.2">
      <c r="AU6157"/>
      <c r="AV6157"/>
      <c r="AW6157"/>
      <c r="AX6157"/>
      <c r="AY6157"/>
    </row>
    <row r="6158" spans="47:51" x14ac:dyDescent="0.2">
      <c r="AU6158"/>
      <c r="AV6158"/>
      <c r="AW6158"/>
      <c r="AX6158"/>
      <c r="AY6158"/>
    </row>
    <row r="6159" spans="47:51" x14ac:dyDescent="0.2">
      <c r="AU6159"/>
      <c r="AV6159"/>
      <c r="AW6159"/>
      <c r="AX6159"/>
      <c r="AY6159"/>
    </row>
    <row r="6160" spans="47:51" x14ac:dyDescent="0.2">
      <c r="AU6160"/>
      <c r="AV6160"/>
      <c r="AW6160"/>
      <c r="AX6160"/>
      <c r="AY6160"/>
    </row>
    <row r="6161" spans="47:51" x14ac:dyDescent="0.2">
      <c r="AU6161"/>
      <c r="AV6161"/>
      <c r="AW6161"/>
      <c r="AX6161"/>
      <c r="AY6161"/>
    </row>
    <row r="6162" spans="47:51" x14ac:dyDescent="0.2">
      <c r="AU6162"/>
      <c r="AV6162"/>
      <c r="AW6162"/>
      <c r="AX6162"/>
      <c r="AY6162"/>
    </row>
    <row r="6163" spans="47:51" x14ac:dyDescent="0.2">
      <c r="AU6163"/>
      <c r="AV6163"/>
      <c r="AW6163"/>
      <c r="AX6163"/>
      <c r="AY6163"/>
    </row>
    <row r="6164" spans="47:51" x14ac:dyDescent="0.2">
      <c r="AU6164"/>
      <c r="AV6164"/>
      <c r="AW6164"/>
      <c r="AX6164"/>
      <c r="AY6164"/>
    </row>
    <row r="6165" spans="47:51" x14ac:dyDescent="0.2">
      <c r="AU6165"/>
      <c r="AV6165"/>
      <c r="AW6165"/>
      <c r="AX6165"/>
      <c r="AY6165"/>
    </row>
    <row r="6166" spans="47:51" x14ac:dyDescent="0.2">
      <c r="AU6166"/>
      <c r="AV6166"/>
      <c r="AW6166"/>
      <c r="AX6166"/>
      <c r="AY6166"/>
    </row>
    <row r="6167" spans="47:51" x14ac:dyDescent="0.2">
      <c r="AU6167"/>
      <c r="AV6167"/>
      <c r="AW6167"/>
      <c r="AX6167"/>
      <c r="AY6167"/>
    </row>
    <row r="6168" spans="47:51" x14ac:dyDescent="0.2">
      <c r="AU6168"/>
      <c r="AV6168"/>
      <c r="AW6168"/>
      <c r="AX6168"/>
      <c r="AY6168"/>
    </row>
    <row r="6169" spans="47:51" x14ac:dyDescent="0.2">
      <c r="AU6169"/>
      <c r="AV6169"/>
      <c r="AW6169"/>
      <c r="AX6169"/>
      <c r="AY6169"/>
    </row>
    <row r="6170" spans="47:51" x14ac:dyDescent="0.2">
      <c r="AU6170"/>
      <c r="AV6170"/>
      <c r="AW6170"/>
      <c r="AX6170"/>
      <c r="AY6170"/>
    </row>
    <row r="6171" spans="47:51" x14ac:dyDescent="0.2">
      <c r="AU6171"/>
      <c r="AV6171"/>
      <c r="AW6171"/>
      <c r="AX6171"/>
      <c r="AY6171"/>
    </row>
    <row r="6172" spans="47:51" x14ac:dyDescent="0.2">
      <c r="AU6172"/>
      <c r="AV6172"/>
      <c r="AW6172"/>
      <c r="AX6172"/>
      <c r="AY6172"/>
    </row>
    <row r="6173" spans="47:51" x14ac:dyDescent="0.2">
      <c r="AU6173"/>
      <c r="AV6173"/>
      <c r="AW6173"/>
      <c r="AX6173"/>
      <c r="AY6173"/>
    </row>
    <row r="6174" spans="47:51" x14ac:dyDescent="0.2">
      <c r="AU6174"/>
      <c r="AV6174"/>
      <c r="AW6174"/>
      <c r="AX6174"/>
      <c r="AY6174"/>
    </row>
    <row r="6175" spans="47:51" x14ac:dyDescent="0.2">
      <c r="AU6175"/>
      <c r="AV6175"/>
      <c r="AW6175"/>
      <c r="AX6175"/>
      <c r="AY6175"/>
    </row>
    <row r="6176" spans="47:51" x14ac:dyDescent="0.2">
      <c r="AU6176"/>
      <c r="AV6176"/>
      <c r="AW6176"/>
      <c r="AX6176"/>
      <c r="AY6176"/>
    </row>
    <row r="6177" spans="47:51" x14ac:dyDescent="0.2">
      <c r="AU6177"/>
      <c r="AV6177"/>
      <c r="AW6177"/>
      <c r="AX6177"/>
      <c r="AY6177"/>
    </row>
    <row r="6178" spans="47:51" x14ac:dyDescent="0.2">
      <c r="AU6178"/>
      <c r="AV6178"/>
      <c r="AW6178"/>
      <c r="AX6178"/>
      <c r="AY6178"/>
    </row>
    <row r="6179" spans="47:51" x14ac:dyDescent="0.2">
      <c r="AU6179"/>
      <c r="AV6179"/>
      <c r="AW6179"/>
      <c r="AX6179"/>
      <c r="AY6179"/>
    </row>
    <row r="6180" spans="47:51" x14ac:dyDescent="0.2">
      <c r="AU6180"/>
      <c r="AV6180"/>
      <c r="AW6180"/>
      <c r="AX6180"/>
      <c r="AY6180"/>
    </row>
    <row r="6181" spans="47:51" x14ac:dyDescent="0.2">
      <c r="AU6181"/>
      <c r="AV6181"/>
      <c r="AW6181"/>
      <c r="AX6181"/>
      <c r="AY6181"/>
    </row>
    <row r="6182" spans="47:51" x14ac:dyDescent="0.2">
      <c r="AU6182"/>
      <c r="AV6182"/>
      <c r="AW6182"/>
      <c r="AX6182"/>
      <c r="AY6182"/>
    </row>
    <row r="6183" spans="47:51" x14ac:dyDescent="0.2">
      <c r="AU6183"/>
      <c r="AV6183"/>
      <c r="AW6183"/>
      <c r="AX6183"/>
      <c r="AY6183"/>
    </row>
    <row r="6184" spans="47:51" x14ac:dyDescent="0.2">
      <c r="AU6184"/>
      <c r="AV6184"/>
      <c r="AW6184"/>
      <c r="AX6184"/>
      <c r="AY6184"/>
    </row>
    <row r="6185" spans="47:51" x14ac:dyDescent="0.2">
      <c r="AU6185"/>
      <c r="AV6185"/>
      <c r="AW6185"/>
      <c r="AX6185"/>
      <c r="AY6185"/>
    </row>
    <row r="6186" spans="47:51" x14ac:dyDescent="0.2">
      <c r="AU6186"/>
      <c r="AV6186"/>
      <c r="AW6186"/>
      <c r="AX6186"/>
      <c r="AY6186"/>
    </row>
    <row r="6187" spans="47:51" x14ac:dyDescent="0.2">
      <c r="AU6187"/>
      <c r="AV6187"/>
      <c r="AW6187"/>
      <c r="AX6187"/>
      <c r="AY6187"/>
    </row>
    <row r="6188" spans="47:51" x14ac:dyDescent="0.2">
      <c r="AU6188"/>
      <c r="AV6188"/>
      <c r="AW6188"/>
      <c r="AX6188"/>
      <c r="AY6188"/>
    </row>
    <row r="6189" spans="47:51" x14ac:dyDescent="0.2">
      <c r="AU6189"/>
      <c r="AV6189"/>
      <c r="AW6189"/>
      <c r="AX6189"/>
      <c r="AY6189"/>
    </row>
    <row r="6190" spans="47:51" x14ac:dyDescent="0.2">
      <c r="AU6190"/>
      <c r="AV6190"/>
      <c r="AW6190"/>
      <c r="AX6190"/>
      <c r="AY6190"/>
    </row>
    <row r="6191" spans="47:51" x14ac:dyDescent="0.2">
      <c r="AU6191"/>
      <c r="AV6191"/>
      <c r="AW6191"/>
      <c r="AX6191"/>
      <c r="AY6191"/>
    </row>
    <row r="6192" spans="47:51" x14ac:dyDescent="0.2">
      <c r="AU6192"/>
      <c r="AV6192"/>
      <c r="AW6192"/>
      <c r="AX6192"/>
      <c r="AY6192"/>
    </row>
    <row r="6193" spans="47:51" x14ac:dyDescent="0.2">
      <c r="AU6193"/>
      <c r="AV6193"/>
      <c r="AW6193"/>
      <c r="AX6193"/>
      <c r="AY6193"/>
    </row>
    <row r="6194" spans="47:51" x14ac:dyDescent="0.2">
      <c r="AU6194"/>
      <c r="AV6194"/>
      <c r="AW6194"/>
      <c r="AX6194"/>
      <c r="AY6194"/>
    </row>
    <row r="6195" spans="47:51" x14ac:dyDescent="0.2">
      <c r="AU6195"/>
      <c r="AV6195"/>
      <c r="AW6195"/>
      <c r="AX6195"/>
      <c r="AY6195"/>
    </row>
    <row r="6196" spans="47:51" x14ac:dyDescent="0.2">
      <c r="AU6196"/>
      <c r="AV6196"/>
      <c r="AW6196"/>
      <c r="AX6196"/>
      <c r="AY6196"/>
    </row>
    <row r="6197" spans="47:51" x14ac:dyDescent="0.2">
      <c r="AU6197"/>
      <c r="AV6197"/>
      <c r="AW6197"/>
      <c r="AX6197"/>
      <c r="AY6197"/>
    </row>
    <row r="6198" spans="47:51" x14ac:dyDescent="0.2">
      <c r="AU6198"/>
      <c r="AV6198"/>
      <c r="AW6198"/>
      <c r="AX6198"/>
      <c r="AY6198"/>
    </row>
    <row r="6199" spans="47:51" x14ac:dyDescent="0.2">
      <c r="AU6199"/>
      <c r="AV6199"/>
      <c r="AW6199"/>
      <c r="AX6199"/>
      <c r="AY6199"/>
    </row>
    <row r="6200" spans="47:51" x14ac:dyDescent="0.2">
      <c r="AU6200"/>
      <c r="AV6200"/>
      <c r="AW6200"/>
      <c r="AX6200"/>
      <c r="AY6200"/>
    </row>
    <row r="6201" spans="47:51" x14ac:dyDescent="0.2">
      <c r="AU6201"/>
      <c r="AV6201"/>
      <c r="AW6201"/>
      <c r="AX6201"/>
      <c r="AY6201"/>
    </row>
    <row r="6202" spans="47:51" x14ac:dyDescent="0.2">
      <c r="AU6202"/>
      <c r="AV6202"/>
      <c r="AW6202"/>
      <c r="AX6202"/>
      <c r="AY6202"/>
    </row>
    <row r="6203" spans="47:51" x14ac:dyDescent="0.2">
      <c r="AU6203"/>
      <c r="AV6203"/>
      <c r="AW6203"/>
      <c r="AX6203"/>
      <c r="AY6203"/>
    </row>
    <row r="6204" spans="47:51" x14ac:dyDescent="0.2">
      <c r="AU6204"/>
      <c r="AV6204"/>
      <c r="AW6204"/>
      <c r="AX6204"/>
      <c r="AY6204"/>
    </row>
    <row r="6205" spans="47:51" x14ac:dyDescent="0.2">
      <c r="AU6205"/>
      <c r="AV6205"/>
      <c r="AW6205"/>
      <c r="AX6205"/>
      <c r="AY6205"/>
    </row>
    <row r="6206" spans="47:51" x14ac:dyDescent="0.2">
      <c r="AU6206"/>
      <c r="AV6206"/>
      <c r="AW6206"/>
      <c r="AX6206"/>
      <c r="AY6206"/>
    </row>
    <row r="6207" spans="47:51" x14ac:dyDescent="0.2">
      <c r="AU6207"/>
      <c r="AV6207"/>
      <c r="AW6207"/>
      <c r="AX6207"/>
      <c r="AY6207"/>
    </row>
    <row r="6208" spans="47:51" x14ac:dyDescent="0.2">
      <c r="AU6208"/>
      <c r="AV6208"/>
      <c r="AW6208"/>
      <c r="AX6208"/>
      <c r="AY6208"/>
    </row>
    <row r="6209" spans="47:51" x14ac:dyDescent="0.2">
      <c r="AU6209"/>
      <c r="AV6209"/>
      <c r="AW6209"/>
      <c r="AX6209"/>
      <c r="AY6209"/>
    </row>
    <row r="6210" spans="47:51" x14ac:dyDescent="0.2">
      <c r="AU6210"/>
      <c r="AV6210"/>
      <c r="AW6210"/>
      <c r="AX6210"/>
      <c r="AY6210"/>
    </row>
    <row r="6211" spans="47:51" x14ac:dyDescent="0.2">
      <c r="AU6211"/>
      <c r="AV6211"/>
      <c r="AW6211"/>
      <c r="AX6211"/>
      <c r="AY6211"/>
    </row>
    <row r="6212" spans="47:51" x14ac:dyDescent="0.2">
      <c r="AU6212"/>
      <c r="AV6212"/>
      <c r="AW6212"/>
      <c r="AX6212"/>
      <c r="AY6212"/>
    </row>
    <row r="6213" spans="47:51" x14ac:dyDescent="0.2">
      <c r="AU6213"/>
      <c r="AV6213"/>
      <c r="AW6213"/>
      <c r="AX6213"/>
      <c r="AY6213"/>
    </row>
    <row r="6214" spans="47:51" x14ac:dyDescent="0.2">
      <c r="AU6214"/>
      <c r="AV6214"/>
      <c r="AW6214"/>
      <c r="AX6214"/>
      <c r="AY6214"/>
    </row>
    <row r="6215" spans="47:51" x14ac:dyDescent="0.2">
      <c r="AU6215"/>
      <c r="AV6215"/>
      <c r="AW6215"/>
      <c r="AX6215"/>
      <c r="AY6215"/>
    </row>
    <row r="6216" spans="47:51" x14ac:dyDescent="0.2">
      <c r="AU6216"/>
      <c r="AV6216"/>
      <c r="AW6216"/>
      <c r="AX6216"/>
      <c r="AY6216"/>
    </row>
    <row r="6217" spans="47:51" x14ac:dyDescent="0.2">
      <c r="AU6217"/>
      <c r="AV6217"/>
      <c r="AW6217"/>
      <c r="AX6217"/>
      <c r="AY6217"/>
    </row>
    <row r="6218" spans="47:51" x14ac:dyDescent="0.2">
      <c r="AU6218"/>
      <c r="AV6218"/>
      <c r="AW6218"/>
      <c r="AX6218"/>
      <c r="AY6218"/>
    </row>
    <row r="6219" spans="47:51" x14ac:dyDescent="0.2">
      <c r="AU6219"/>
      <c r="AV6219"/>
      <c r="AW6219"/>
      <c r="AX6219"/>
      <c r="AY6219"/>
    </row>
    <row r="6220" spans="47:51" x14ac:dyDescent="0.2">
      <c r="AU6220"/>
      <c r="AV6220"/>
      <c r="AW6220"/>
      <c r="AX6220"/>
      <c r="AY6220"/>
    </row>
    <row r="6221" spans="47:51" x14ac:dyDescent="0.2">
      <c r="AU6221"/>
      <c r="AV6221"/>
      <c r="AW6221"/>
      <c r="AX6221"/>
      <c r="AY6221"/>
    </row>
    <row r="6222" spans="47:51" x14ac:dyDescent="0.2">
      <c r="AU6222"/>
      <c r="AV6222"/>
      <c r="AW6222"/>
      <c r="AX6222"/>
      <c r="AY6222"/>
    </row>
    <row r="6223" spans="47:51" x14ac:dyDescent="0.2">
      <c r="AU6223"/>
      <c r="AV6223"/>
      <c r="AW6223"/>
      <c r="AX6223"/>
      <c r="AY6223"/>
    </row>
    <row r="6224" spans="47:51" x14ac:dyDescent="0.2">
      <c r="AU6224"/>
      <c r="AV6224"/>
      <c r="AW6224"/>
      <c r="AX6224"/>
      <c r="AY6224"/>
    </row>
    <row r="6225" spans="47:51" x14ac:dyDescent="0.2">
      <c r="AU6225"/>
      <c r="AV6225"/>
      <c r="AW6225"/>
      <c r="AX6225"/>
      <c r="AY6225"/>
    </row>
    <row r="6226" spans="47:51" x14ac:dyDescent="0.2">
      <c r="AU6226"/>
      <c r="AV6226"/>
      <c r="AW6226"/>
      <c r="AX6226"/>
      <c r="AY6226"/>
    </row>
    <row r="6227" spans="47:51" x14ac:dyDescent="0.2">
      <c r="AU6227"/>
      <c r="AV6227"/>
      <c r="AW6227"/>
      <c r="AX6227"/>
      <c r="AY6227"/>
    </row>
    <row r="6228" spans="47:51" x14ac:dyDescent="0.2">
      <c r="AU6228"/>
      <c r="AV6228"/>
      <c r="AW6228"/>
      <c r="AX6228"/>
      <c r="AY6228"/>
    </row>
    <row r="6229" spans="47:51" x14ac:dyDescent="0.2">
      <c r="AU6229"/>
      <c r="AV6229"/>
      <c r="AW6229"/>
      <c r="AX6229"/>
      <c r="AY6229"/>
    </row>
    <row r="6230" spans="47:51" x14ac:dyDescent="0.2">
      <c r="AU6230"/>
      <c r="AV6230"/>
      <c r="AW6230"/>
      <c r="AX6230"/>
      <c r="AY6230"/>
    </row>
    <row r="6231" spans="47:51" x14ac:dyDescent="0.2">
      <c r="AU6231"/>
      <c r="AV6231"/>
      <c r="AW6231"/>
      <c r="AX6231"/>
      <c r="AY6231"/>
    </row>
    <row r="6232" spans="47:51" x14ac:dyDescent="0.2">
      <c r="AU6232"/>
      <c r="AV6232"/>
      <c r="AW6232"/>
      <c r="AX6232"/>
      <c r="AY6232"/>
    </row>
    <row r="6233" spans="47:51" x14ac:dyDescent="0.2">
      <c r="AU6233"/>
      <c r="AV6233"/>
      <c r="AW6233"/>
      <c r="AX6233"/>
      <c r="AY6233"/>
    </row>
    <row r="6234" spans="47:51" x14ac:dyDescent="0.2">
      <c r="AU6234"/>
      <c r="AV6234"/>
      <c r="AW6234"/>
      <c r="AX6234"/>
      <c r="AY6234"/>
    </row>
    <row r="6235" spans="47:51" x14ac:dyDescent="0.2">
      <c r="AU6235"/>
      <c r="AV6235"/>
      <c r="AW6235"/>
      <c r="AX6235"/>
      <c r="AY6235"/>
    </row>
    <row r="6236" spans="47:51" x14ac:dyDescent="0.2">
      <c r="AU6236"/>
      <c r="AV6236"/>
      <c r="AW6236"/>
      <c r="AX6236"/>
      <c r="AY6236"/>
    </row>
    <row r="6237" spans="47:51" x14ac:dyDescent="0.2">
      <c r="AU6237"/>
      <c r="AV6237"/>
      <c r="AW6237"/>
      <c r="AX6237"/>
      <c r="AY6237"/>
    </row>
    <row r="6238" spans="47:51" x14ac:dyDescent="0.2">
      <c r="AU6238"/>
      <c r="AV6238"/>
      <c r="AW6238"/>
      <c r="AX6238"/>
      <c r="AY6238"/>
    </row>
    <row r="6239" spans="47:51" x14ac:dyDescent="0.2">
      <c r="AU6239"/>
      <c r="AV6239"/>
      <c r="AW6239"/>
      <c r="AX6239"/>
      <c r="AY6239"/>
    </row>
    <row r="6240" spans="47:51" x14ac:dyDescent="0.2">
      <c r="AU6240"/>
      <c r="AV6240"/>
      <c r="AW6240"/>
      <c r="AX6240"/>
      <c r="AY6240"/>
    </row>
    <row r="6241" spans="47:51" x14ac:dyDescent="0.2">
      <c r="AU6241"/>
      <c r="AV6241"/>
      <c r="AW6241"/>
      <c r="AX6241"/>
      <c r="AY6241"/>
    </row>
    <row r="6242" spans="47:51" x14ac:dyDescent="0.2">
      <c r="AU6242"/>
      <c r="AV6242"/>
      <c r="AW6242"/>
      <c r="AX6242"/>
      <c r="AY6242"/>
    </row>
    <row r="6243" spans="47:51" x14ac:dyDescent="0.2">
      <c r="AU6243"/>
      <c r="AV6243"/>
      <c r="AW6243"/>
      <c r="AX6243"/>
      <c r="AY6243"/>
    </row>
    <row r="6244" spans="47:51" x14ac:dyDescent="0.2">
      <c r="AU6244"/>
      <c r="AV6244"/>
      <c r="AW6244"/>
      <c r="AX6244"/>
      <c r="AY6244"/>
    </row>
    <row r="6245" spans="47:51" x14ac:dyDescent="0.2">
      <c r="AU6245"/>
      <c r="AV6245"/>
      <c r="AW6245"/>
      <c r="AX6245"/>
      <c r="AY6245"/>
    </row>
    <row r="6246" spans="47:51" x14ac:dyDescent="0.2">
      <c r="AU6246"/>
      <c r="AV6246"/>
      <c r="AW6246"/>
      <c r="AX6246"/>
      <c r="AY6246"/>
    </row>
    <row r="6247" spans="47:51" x14ac:dyDescent="0.2">
      <c r="AU6247"/>
      <c r="AV6247"/>
      <c r="AW6247"/>
      <c r="AX6247"/>
      <c r="AY6247"/>
    </row>
    <row r="6248" spans="47:51" x14ac:dyDescent="0.2">
      <c r="AU6248"/>
      <c r="AV6248"/>
      <c r="AW6248"/>
      <c r="AX6248"/>
      <c r="AY6248"/>
    </row>
    <row r="6249" spans="47:51" x14ac:dyDescent="0.2">
      <c r="AU6249"/>
      <c r="AV6249"/>
      <c r="AW6249"/>
      <c r="AX6249"/>
      <c r="AY6249"/>
    </row>
    <row r="6250" spans="47:51" x14ac:dyDescent="0.2">
      <c r="AU6250"/>
      <c r="AV6250"/>
      <c r="AW6250"/>
      <c r="AX6250"/>
      <c r="AY6250"/>
    </row>
    <row r="6251" spans="47:51" x14ac:dyDescent="0.2">
      <c r="AU6251"/>
      <c r="AV6251"/>
      <c r="AW6251"/>
      <c r="AX6251"/>
      <c r="AY6251"/>
    </row>
    <row r="6252" spans="47:51" x14ac:dyDescent="0.2">
      <c r="AU6252"/>
      <c r="AV6252"/>
      <c r="AW6252"/>
      <c r="AX6252"/>
      <c r="AY6252"/>
    </row>
    <row r="6253" spans="47:51" x14ac:dyDescent="0.2">
      <c r="AU6253"/>
      <c r="AV6253"/>
      <c r="AW6253"/>
      <c r="AX6253"/>
      <c r="AY6253"/>
    </row>
    <row r="6254" spans="47:51" x14ac:dyDescent="0.2">
      <c r="AU6254"/>
      <c r="AV6254"/>
      <c r="AW6254"/>
      <c r="AX6254"/>
      <c r="AY6254"/>
    </row>
    <row r="6255" spans="47:51" x14ac:dyDescent="0.2">
      <c r="AU6255"/>
      <c r="AV6255"/>
      <c r="AW6255"/>
      <c r="AX6255"/>
      <c r="AY6255"/>
    </row>
    <row r="6256" spans="47:51" x14ac:dyDescent="0.2">
      <c r="AU6256"/>
      <c r="AV6256"/>
      <c r="AW6256"/>
      <c r="AX6256"/>
      <c r="AY6256"/>
    </row>
    <row r="6257" spans="47:51" x14ac:dyDescent="0.2">
      <c r="AU6257"/>
      <c r="AV6257"/>
      <c r="AW6257"/>
      <c r="AX6257"/>
      <c r="AY6257"/>
    </row>
    <row r="6258" spans="47:51" x14ac:dyDescent="0.2">
      <c r="AU6258"/>
      <c r="AV6258"/>
      <c r="AW6258"/>
      <c r="AX6258"/>
      <c r="AY6258"/>
    </row>
    <row r="6259" spans="47:51" x14ac:dyDescent="0.2">
      <c r="AU6259"/>
      <c r="AV6259"/>
      <c r="AW6259"/>
      <c r="AX6259"/>
      <c r="AY6259"/>
    </row>
    <row r="6260" spans="47:51" x14ac:dyDescent="0.2">
      <c r="AU6260"/>
      <c r="AV6260"/>
      <c r="AW6260"/>
      <c r="AX6260"/>
      <c r="AY6260"/>
    </row>
    <row r="6261" spans="47:51" x14ac:dyDescent="0.2">
      <c r="AU6261"/>
      <c r="AV6261"/>
      <c r="AW6261"/>
      <c r="AX6261"/>
      <c r="AY6261"/>
    </row>
    <row r="6262" spans="47:51" x14ac:dyDescent="0.2">
      <c r="AU6262"/>
      <c r="AV6262"/>
      <c r="AW6262"/>
      <c r="AX6262"/>
      <c r="AY6262"/>
    </row>
    <row r="6263" spans="47:51" x14ac:dyDescent="0.2">
      <c r="AU6263"/>
      <c r="AV6263"/>
      <c r="AW6263"/>
      <c r="AX6263"/>
      <c r="AY6263"/>
    </row>
    <row r="6264" spans="47:51" x14ac:dyDescent="0.2">
      <c r="AU6264"/>
      <c r="AV6264"/>
      <c r="AW6264"/>
      <c r="AX6264"/>
      <c r="AY6264"/>
    </row>
    <row r="6265" spans="47:51" x14ac:dyDescent="0.2">
      <c r="AU6265"/>
      <c r="AV6265"/>
      <c r="AW6265"/>
      <c r="AX6265"/>
      <c r="AY6265"/>
    </row>
    <row r="6266" spans="47:51" x14ac:dyDescent="0.2">
      <c r="AU6266"/>
      <c r="AV6266"/>
      <c r="AW6266"/>
      <c r="AX6266"/>
      <c r="AY6266"/>
    </row>
    <row r="6267" spans="47:51" x14ac:dyDescent="0.2">
      <c r="AU6267"/>
      <c r="AV6267"/>
      <c r="AW6267"/>
      <c r="AX6267"/>
      <c r="AY6267"/>
    </row>
    <row r="6268" spans="47:51" x14ac:dyDescent="0.2">
      <c r="AU6268"/>
      <c r="AV6268"/>
      <c r="AW6268"/>
      <c r="AX6268"/>
      <c r="AY6268"/>
    </row>
    <row r="6269" spans="47:51" x14ac:dyDescent="0.2">
      <c r="AU6269"/>
      <c r="AV6269"/>
      <c r="AW6269"/>
      <c r="AX6269"/>
      <c r="AY6269"/>
    </row>
    <row r="6270" spans="47:51" x14ac:dyDescent="0.2">
      <c r="AU6270"/>
      <c r="AV6270"/>
      <c r="AW6270"/>
      <c r="AX6270"/>
      <c r="AY6270"/>
    </row>
    <row r="6271" spans="47:51" x14ac:dyDescent="0.2">
      <c r="AU6271"/>
      <c r="AV6271"/>
      <c r="AW6271"/>
      <c r="AX6271"/>
      <c r="AY6271"/>
    </row>
    <row r="6272" spans="47:51" x14ac:dyDescent="0.2">
      <c r="AU6272"/>
      <c r="AV6272"/>
      <c r="AW6272"/>
      <c r="AX6272"/>
      <c r="AY6272"/>
    </row>
    <row r="6273" spans="47:51" x14ac:dyDescent="0.2">
      <c r="AU6273"/>
      <c r="AV6273"/>
      <c r="AW6273"/>
      <c r="AX6273"/>
      <c r="AY6273"/>
    </row>
    <row r="6274" spans="47:51" x14ac:dyDescent="0.2">
      <c r="AU6274"/>
      <c r="AV6274"/>
      <c r="AW6274"/>
      <c r="AX6274"/>
      <c r="AY6274"/>
    </row>
    <row r="6275" spans="47:51" x14ac:dyDescent="0.2">
      <c r="AU6275"/>
      <c r="AV6275"/>
      <c r="AW6275"/>
      <c r="AX6275"/>
      <c r="AY6275"/>
    </row>
    <row r="6276" spans="47:51" x14ac:dyDescent="0.2">
      <c r="AU6276"/>
      <c r="AV6276"/>
      <c r="AW6276"/>
      <c r="AX6276"/>
      <c r="AY6276"/>
    </row>
    <row r="6277" spans="47:51" x14ac:dyDescent="0.2">
      <c r="AU6277"/>
      <c r="AV6277"/>
      <c r="AW6277"/>
      <c r="AX6277"/>
      <c r="AY6277"/>
    </row>
    <row r="6278" spans="47:51" x14ac:dyDescent="0.2">
      <c r="AU6278"/>
      <c r="AV6278"/>
      <c r="AW6278"/>
      <c r="AX6278"/>
      <c r="AY6278"/>
    </row>
    <row r="6279" spans="47:51" x14ac:dyDescent="0.2">
      <c r="AU6279"/>
      <c r="AV6279"/>
      <c r="AW6279"/>
      <c r="AX6279"/>
      <c r="AY6279"/>
    </row>
    <row r="6280" spans="47:51" x14ac:dyDescent="0.2">
      <c r="AU6280"/>
      <c r="AV6280"/>
      <c r="AW6280"/>
      <c r="AX6280"/>
      <c r="AY6280"/>
    </row>
    <row r="6281" spans="47:51" x14ac:dyDescent="0.2">
      <c r="AU6281"/>
      <c r="AV6281"/>
      <c r="AW6281"/>
      <c r="AX6281"/>
      <c r="AY6281"/>
    </row>
    <row r="6282" spans="47:51" x14ac:dyDescent="0.2">
      <c r="AU6282"/>
      <c r="AV6282"/>
      <c r="AW6282"/>
      <c r="AX6282"/>
      <c r="AY6282"/>
    </row>
    <row r="6283" spans="47:51" x14ac:dyDescent="0.2">
      <c r="AU6283"/>
      <c r="AV6283"/>
      <c r="AW6283"/>
      <c r="AX6283"/>
      <c r="AY6283"/>
    </row>
    <row r="6284" spans="47:51" x14ac:dyDescent="0.2">
      <c r="AU6284"/>
      <c r="AV6284"/>
      <c r="AW6284"/>
      <c r="AX6284"/>
      <c r="AY6284"/>
    </row>
    <row r="6285" spans="47:51" x14ac:dyDescent="0.2">
      <c r="AU6285"/>
      <c r="AV6285"/>
      <c r="AW6285"/>
      <c r="AX6285"/>
      <c r="AY6285"/>
    </row>
    <row r="6286" spans="47:51" x14ac:dyDescent="0.2">
      <c r="AU6286"/>
      <c r="AV6286"/>
      <c r="AW6286"/>
      <c r="AX6286"/>
      <c r="AY6286"/>
    </row>
    <row r="6287" spans="47:51" x14ac:dyDescent="0.2">
      <c r="AU6287"/>
      <c r="AV6287"/>
      <c r="AW6287"/>
      <c r="AX6287"/>
      <c r="AY6287"/>
    </row>
    <row r="6288" spans="47:51" x14ac:dyDescent="0.2">
      <c r="AU6288"/>
      <c r="AV6288"/>
      <c r="AW6288"/>
      <c r="AX6288"/>
      <c r="AY6288"/>
    </row>
    <row r="6289" spans="47:51" x14ac:dyDescent="0.2">
      <c r="AU6289"/>
      <c r="AV6289"/>
      <c r="AW6289"/>
      <c r="AX6289"/>
      <c r="AY6289"/>
    </row>
    <row r="6290" spans="47:51" x14ac:dyDescent="0.2">
      <c r="AU6290"/>
      <c r="AV6290"/>
      <c r="AW6290"/>
      <c r="AX6290"/>
      <c r="AY6290"/>
    </row>
    <row r="6291" spans="47:51" x14ac:dyDescent="0.2">
      <c r="AU6291"/>
      <c r="AV6291"/>
      <c r="AW6291"/>
      <c r="AX6291"/>
      <c r="AY6291"/>
    </row>
    <row r="6292" spans="47:51" x14ac:dyDescent="0.2">
      <c r="AU6292"/>
      <c r="AV6292"/>
      <c r="AW6292"/>
      <c r="AX6292"/>
      <c r="AY6292"/>
    </row>
    <row r="6293" spans="47:51" x14ac:dyDescent="0.2">
      <c r="AU6293"/>
      <c r="AV6293"/>
      <c r="AW6293"/>
      <c r="AX6293"/>
      <c r="AY6293"/>
    </row>
    <row r="6294" spans="47:51" x14ac:dyDescent="0.2">
      <c r="AU6294"/>
      <c r="AV6294"/>
      <c r="AW6294"/>
      <c r="AX6294"/>
      <c r="AY6294"/>
    </row>
    <row r="6295" spans="47:51" x14ac:dyDescent="0.2">
      <c r="AU6295"/>
      <c r="AV6295"/>
      <c r="AW6295"/>
      <c r="AX6295"/>
      <c r="AY6295"/>
    </row>
    <row r="6296" spans="47:51" x14ac:dyDescent="0.2">
      <c r="AU6296"/>
      <c r="AV6296"/>
      <c r="AW6296"/>
      <c r="AX6296"/>
      <c r="AY6296"/>
    </row>
    <row r="6297" spans="47:51" x14ac:dyDescent="0.2">
      <c r="AU6297"/>
      <c r="AV6297"/>
      <c r="AW6297"/>
      <c r="AX6297"/>
      <c r="AY6297"/>
    </row>
    <row r="6298" spans="47:51" x14ac:dyDescent="0.2">
      <c r="AU6298"/>
      <c r="AV6298"/>
      <c r="AW6298"/>
      <c r="AX6298"/>
      <c r="AY6298"/>
    </row>
    <row r="6299" spans="47:51" x14ac:dyDescent="0.2">
      <c r="AU6299"/>
      <c r="AV6299"/>
      <c r="AW6299"/>
      <c r="AX6299"/>
      <c r="AY6299"/>
    </row>
    <row r="6300" spans="47:51" x14ac:dyDescent="0.2">
      <c r="AU6300"/>
      <c r="AV6300"/>
      <c r="AW6300"/>
      <c r="AX6300"/>
      <c r="AY6300"/>
    </row>
    <row r="6301" spans="47:51" x14ac:dyDescent="0.2">
      <c r="AU6301"/>
      <c r="AV6301"/>
      <c r="AW6301"/>
      <c r="AX6301"/>
      <c r="AY6301"/>
    </row>
    <row r="6302" spans="47:51" x14ac:dyDescent="0.2">
      <c r="AU6302"/>
      <c r="AV6302"/>
      <c r="AW6302"/>
      <c r="AX6302"/>
      <c r="AY6302"/>
    </row>
    <row r="6303" spans="47:51" x14ac:dyDescent="0.2">
      <c r="AU6303"/>
      <c r="AV6303"/>
      <c r="AW6303"/>
      <c r="AX6303"/>
      <c r="AY6303"/>
    </row>
    <row r="6304" spans="47:51" x14ac:dyDescent="0.2">
      <c r="AU6304"/>
      <c r="AV6304"/>
      <c r="AW6304"/>
      <c r="AX6304"/>
      <c r="AY6304"/>
    </row>
    <row r="6305" spans="47:51" x14ac:dyDescent="0.2">
      <c r="AU6305"/>
      <c r="AV6305"/>
      <c r="AW6305"/>
      <c r="AX6305"/>
      <c r="AY6305"/>
    </row>
    <row r="6306" spans="47:51" x14ac:dyDescent="0.2">
      <c r="AU6306"/>
      <c r="AV6306"/>
      <c r="AW6306"/>
      <c r="AX6306"/>
      <c r="AY6306"/>
    </row>
    <row r="6307" spans="47:51" x14ac:dyDescent="0.2">
      <c r="AU6307"/>
      <c r="AV6307"/>
      <c r="AW6307"/>
      <c r="AX6307"/>
      <c r="AY6307"/>
    </row>
    <row r="6308" spans="47:51" x14ac:dyDescent="0.2">
      <c r="AU6308"/>
      <c r="AV6308"/>
      <c r="AW6308"/>
      <c r="AX6308"/>
      <c r="AY6308"/>
    </row>
    <row r="6309" spans="47:51" x14ac:dyDescent="0.2">
      <c r="AU6309"/>
      <c r="AV6309"/>
      <c r="AW6309"/>
      <c r="AX6309"/>
      <c r="AY6309"/>
    </row>
    <row r="6310" spans="47:51" x14ac:dyDescent="0.2">
      <c r="AU6310"/>
      <c r="AV6310"/>
      <c r="AW6310"/>
      <c r="AX6310"/>
      <c r="AY6310"/>
    </row>
    <row r="6311" spans="47:51" x14ac:dyDescent="0.2">
      <c r="AU6311"/>
      <c r="AV6311"/>
      <c r="AW6311"/>
      <c r="AX6311"/>
      <c r="AY6311"/>
    </row>
    <row r="6312" spans="47:51" x14ac:dyDescent="0.2">
      <c r="AU6312"/>
      <c r="AV6312"/>
      <c r="AW6312"/>
      <c r="AX6312"/>
      <c r="AY6312"/>
    </row>
    <row r="6313" spans="47:51" x14ac:dyDescent="0.2">
      <c r="AU6313"/>
      <c r="AV6313"/>
      <c r="AW6313"/>
      <c r="AX6313"/>
      <c r="AY6313"/>
    </row>
    <row r="6314" spans="47:51" x14ac:dyDescent="0.2">
      <c r="AU6314"/>
      <c r="AV6314"/>
      <c r="AW6314"/>
      <c r="AX6314"/>
      <c r="AY6314"/>
    </row>
    <row r="6315" spans="47:51" x14ac:dyDescent="0.2">
      <c r="AU6315"/>
      <c r="AV6315"/>
      <c r="AW6315"/>
      <c r="AX6315"/>
      <c r="AY6315"/>
    </row>
    <row r="6316" spans="47:51" x14ac:dyDescent="0.2">
      <c r="AU6316"/>
      <c r="AV6316"/>
      <c r="AW6316"/>
      <c r="AX6316"/>
      <c r="AY6316"/>
    </row>
    <row r="6317" spans="47:51" x14ac:dyDescent="0.2">
      <c r="AU6317"/>
      <c r="AV6317"/>
      <c r="AW6317"/>
      <c r="AX6317"/>
      <c r="AY6317"/>
    </row>
    <row r="6318" spans="47:51" x14ac:dyDescent="0.2">
      <c r="AU6318"/>
      <c r="AV6318"/>
      <c r="AW6318"/>
      <c r="AX6318"/>
      <c r="AY6318"/>
    </row>
    <row r="6319" spans="47:51" x14ac:dyDescent="0.2">
      <c r="AU6319"/>
      <c r="AV6319"/>
      <c r="AW6319"/>
      <c r="AX6319"/>
      <c r="AY6319"/>
    </row>
    <row r="6320" spans="47:51" x14ac:dyDescent="0.2">
      <c r="AU6320"/>
      <c r="AV6320"/>
      <c r="AW6320"/>
      <c r="AX6320"/>
      <c r="AY6320"/>
    </row>
    <row r="6321" spans="47:51" x14ac:dyDescent="0.2">
      <c r="AU6321"/>
      <c r="AV6321"/>
      <c r="AW6321"/>
      <c r="AX6321"/>
      <c r="AY6321"/>
    </row>
    <row r="6322" spans="47:51" x14ac:dyDescent="0.2">
      <c r="AU6322"/>
      <c r="AV6322"/>
      <c r="AW6322"/>
      <c r="AX6322"/>
      <c r="AY6322"/>
    </row>
    <row r="6323" spans="47:51" x14ac:dyDescent="0.2">
      <c r="AU6323"/>
      <c r="AV6323"/>
      <c r="AW6323"/>
      <c r="AX6323"/>
      <c r="AY6323"/>
    </row>
    <row r="6324" spans="47:51" x14ac:dyDescent="0.2">
      <c r="AU6324"/>
      <c r="AV6324"/>
      <c r="AW6324"/>
      <c r="AX6324"/>
      <c r="AY6324"/>
    </row>
    <row r="6325" spans="47:51" x14ac:dyDescent="0.2">
      <c r="AU6325"/>
      <c r="AV6325"/>
      <c r="AW6325"/>
      <c r="AX6325"/>
      <c r="AY6325"/>
    </row>
    <row r="6326" spans="47:51" x14ac:dyDescent="0.2">
      <c r="AU6326"/>
      <c r="AV6326"/>
      <c r="AW6326"/>
      <c r="AX6326"/>
      <c r="AY6326"/>
    </row>
    <row r="6327" spans="47:51" x14ac:dyDescent="0.2">
      <c r="AU6327"/>
      <c r="AV6327"/>
      <c r="AW6327"/>
      <c r="AX6327"/>
      <c r="AY6327"/>
    </row>
    <row r="6328" spans="47:51" x14ac:dyDescent="0.2">
      <c r="AU6328"/>
      <c r="AV6328"/>
      <c r="AW6328"/>
      <c r="AX6328"/>
      <c r="AY6328"/>
    </row>
    <row r="6329" spans="47:51" x14ac:dyDescent="0.2">
      <c r="AU6329"/>
      <c r="AV6329"/>
      <c r="AW6329"/>
      <c r="AX6329"/>
      <c r="AY6329"/>
    </row>
    <row r="6330" spans="47:51" x14ac:dyDescent="0.2">
      <c r="AU6330"/>
      <c r="AV6330"/>
      <c r="AW6330"/>
      <c r="AX6330"/>
      <c r="AY6330"/>
    </row>
    <row r="6331" spans="47:51" x14ac:dyDescent="0.2">
      <c r="AU6331"/>
      <c r="AV6331"/>
      <c r="AW6331"/>
      <c r="AX6331"/>
      <c r="AY6331"/>
    </row>
    <row r="6332" spans="47:51" x14ac:dyDescent="0.2">
      <c r="AU6332"/>
      <c r="AV6332"/>
      <c r="AW6332"/>
      <c r="AX6332"/>
      <c r="AY6332"/>
    </row>
    <row r="6333" spans="47:51" x14ac:dyDescent="0.2">
      <c r="AU6333"/>
      <c r="AV6333"/>
      <c r="AW6333"/>
      <c r="AX6333"/>
      <c r="AY6333"/>
    </row>
    <row r="6334" spans="47:51" x14ac:dyDescent="0.2">
      <c r="AU6334"/>
      <c r="AV6334"/>
      <c r="AW6334"/>
      <c r="AX6334"/>
      <c r="AY6334"/>
    </row>
    <row r="6335" spans="47:51" x14ac:dyDescent="0.2">
      <c r="AU6335"/>
      <c r="AV6335"/>
      <c r="AW6335"/>
      <c r="AX6335"/>
      <c r="AY6335"/>
    </row>
    <row r="6336" spans="47:51" x14ac:dyDescent="0.2">
      <c r="AU6336"/>
      <c r="AV6336"/>
      <c r="AW6336"/>
      <c r="AX6336"/>
      <c r="AY6336"/>
    </row>
    <row r="6337" spans="47:51" x14ac:dyDescent="0.2">
      <c r="AU6337"/>
      <c r="AV6337"/>
      <c r="AW6337"/>
      <c r="AX6337"/>
      <c r="AY6337"/>
    </row>
    <row r="6338" spans="47:51" x14ac:dyDescent="0.2">
      <c r="AU6338"/>
      <c r="AV6338"/>
      <c r="AW6338"/>
      <c r="AX6338"/>
      <c r="AY6338"/>
    </row>
    <row r="6339" spans="47:51" x14ac:dyDescent="0.2">
      <c r="AU6339"/>
      <c r="AV6339"/>
      <c r="AW6339"/>
      <c r="AX6339"/>
      <c r="AY6339"/>
    </row>
    <row r="6340" spans="47:51" x14ac:dyDescent="0.2">
      <c r="AU6340"/>
      <c r="AV6340"/>
      <c r="AW6340"/>
      <c r="AX6340"/>
      <c r="AY6340"/>
    </row>
    <row r="6341" spans="47:51" x14ac:dyDescent="0.2">
      <c r="AU6341"/>
      <c r="AV6341"/>
      <c r="AW6341"/>
      <c r="AX6341"/>
      <c r="AY6341"/>
    </row>
    <row r="6342" spans="47:51" x14ac:dyDescent="0.2">
      <c r="AU6342"/>
      <c r="AV6342"/>
      <c r="AW6342"/>
      <c r="AX6342"/>
      <c r="AY6342"/>
    </row>
    <row r="6343" spans="47:51" x14ac:dyDescent="0.2">
      <c r="AU6343"/>
      <c r="AV6343"/>
      <c r="AW6343"/>
      <c r="AX6343"/>
      <c r="AY6343"/>
    </row>
    <row r="6344" spans="47:51" x14ac:dyDescent="0.2">
      <c r="AU6344"/>
      <c r="AV6344"/>
      <c r="AW6344"/>
      <c r="AX6344"/>
      <c r="AY6344"/>
    </row>
    <row r="6345" spans="47:51" x14ac:dyDescent="0.2">
      <c r="AU6345"/>
      <c r="AV6345"/>
      <c r="AW6345"/>
      <c r="AX6345"/>
      <c r="AY6345"/>
    </row>
    <row r="6346" spans="47:51" x14ac:dyDescent="0.2">
      <c r="AU6346"/>
      <c r="AV6346"/>
      <c r="AW6346"/>
      <c r="AX6346"/>
      <c r="AY6346"/>
    </row>
    <row r="6347" spans="47:51" x14ac:dyDescent="0.2">
      <c r="AU6347"/>
      <c r="AV6347"/>
      <c r="AW6347"/>
      <c r="AX6347"/>
      <c r="AY6347"/>
    </row>
    <row r="6348" spans="47:51" x14ac:dyDescent="0.2">
      <c r="AU6348"/>
      <c r="AV6348"/>
      <c r="AW6348"/>
      <c r="AX6348"/>
      <c r="AY6348"/>
    </row>
    <row r="6349" spans="47:51" x14ac:dyDescent="0.2">
      <c r="AU6349"/>
      <c r="AV6349"/>
      <c r="AW6349"/>
      <c r="AX6349"/>
      <c r="AY6349"/>
    </row>
    <row r="6350" spans="47:51" x14ac:dyDescent="0.2">
      <c r="AU6350"/>
      <c r="AV6350"/>
      <c r="AW6350"/>
      <c r="AX6350"/>
      <c r="AY6350"/>
    </row>
    <row r="6351" spans="47:51" x14ac:dyDescent="0.2">
      <c r="AU6351"/>
      <c r="AV6351"/>
      <c r="AW6351"/>
      <c r="AX6351"/>
      <c r="AY6351"/>
    </row>
    <row r="6352" spans="47:51" x14ac:dyDescent="0.2">
      <c r="AU6352"/>
      <c r="AV6352"/>
      <c r="AW6352"/>
      <c r="AX6352"/>
      <c r="AY6352"/>
    </row>
    <row r="6353" spans="47:51" x14ac:dyDescent="0.2">
      <c r="AU6353"/>
      <c r="AV6353"/>
      <c r="AW6353"/>
      <c r="AX6353"/>
      <c r="AY6353"/>
    </row>
    <row r="6354" spans="47:51" x14ac:dyDescent="0.2">
      <c r="AU6354"/>
      <c r="AV6354"/>
      <c r="AW6354"/>
      <c r="AX6354"/>
      <c r="AY6354"/>
    </row>
    <row r="6355" spans="47:51" x14ac:dyDescent="0.2">
      <c r="AU6355"/>
      <c r="AV6355"/>
      <c r="AW6355"/>
      <c r="AX6355"/>
      <c r="AY6355"/>
    </row>
    <row r="6356" spans="47:51" x14ac:dyDescent="0.2">
      <c r="AU6356"/>
      <c r="AV6356"/>
      <c r="AW6356"/>
      <c r="AX6356"/>
      <c r="AY6356"/>
    </row>
    <row r="6357" spans="47:51" x14ac:dyDescent="0.2">
      <c r="AU6357"/>
      <c r="AV6357"/>
      <c r="AW6357"/>
      <c r="AX6357"/>
      <c r="AY6357"/>
    </row>
    <row r="6358" spans="47:51" x14ac:dyDescent="0.2">
      <c r="AU6358"/>
      <c r="AV6358"/>
      <c r="AW6358"/>
      <c r="AX6358"/>
      <c r="AY6358"/>
    </row>
    <row r="6359" spans="47:51" x14ac:dyDescent="0.2">
      <c r="AU6359"/>
      <c r="AV6359"/>
      <c r="AW6359"/>
      <c r="AX6359"/>
      <c r="AY6359"/>
    </row>
    <row r="6360" spans="47:51" x14ac:dyDescent="0.2">
      <c r="AU6360"/>
      <c r="AV6360"/>
      <c r="AW6360"/>
      <c r="AX6360"/>
      <c r="AY6360"/>
    </row>
    <row r="6361" spans="47:51" x14ac:dyDescent="0.2">
      <c r="AU6361"/>
      <c r="AV6361"/>
      <c r="AW6361"/>
      <c r="AX6361"/>
      <c r="AY6361"/>
    </row>
    <row r="6362" spans="47:51" x14ac:dyDescent="0.2">
      <c r="AU6362"/>
      <c r="AV6362"/>
      <c r="AW6362"/>
      <c r="AX6362"/>
      <c r="AY6362"/>
    </row>
    <row r="6363" spans="47:51" x14ac:dyDescent="0.2">
      <c r="AU6363"/>
      <c r="AV6363"/>
      <c r="AW6363"/>
      <c r="AX6363"/>
      <c r="AY6363"/>
    </row>
    <row r="6364" spans="47:51" x14ac:dyDescent="0.2">
      <c r="AU6364"/>
      <c r="AV6364"/>
      <c r="AW6364"/>
      <c r="AX6364"/>
      <c r="AY6364"/>
    </row>
    <row r="6365" spans="47:51" x14ac:dyDescent="0.2">
      <c r="AU6365"/>
      <c r="AV6365"/>
      <c r="AW6365"/>
      <c r="AX6365"/>
      <c r="AY6365"/>
    </row>
    <row r="6366" spans="47:51" x14ac:dyDescent="0.2">
      <c r="AU6366"/>
      <c r="AV6366"/>
      <c r="AW6366"/>
      <c r="AX6366"/>
      <c r="AY6366"/>
    </row>
    <row r="6367" spans="47:51" x14ac:dyDescent="0.2">
      <c r="AU6367"/>
      <c r="AV6367"/>
      <c r="AW6367"/>
      <c r="AX6367"/>
      <c r="AY6367"/>
    </row>
    <row r="6368" spans="47:51" x14ac:dyDescent="0.2">
      <c r="AU6368"/>
      <c r="AV6368"/>
      <c r="AW6368"/>
      <c r="AX6368"/>
      <c r="AY6368"/>
    </row>
    <row r="6369" spans="47:51" x14ac:dyDescent="0.2">
      <c r="AU6369"/>
      <c r="AV6369"/>
      <c r="AW6369"/>
      <c r="AX6369"/>
      <c r="AY6369"/>
    </row>
    <row r="6370" spans="47:51" x14ac:dyDescent="0.2">
      <c r="AU6370"/>
      <c r="AV6370"/>
      <c r="AW6370"/>
      <c r="AX6370"/>
      <c r="AY6370"/>
    </row>
    <row r="6371" spans="47:51" x14ac:dyDescent="0.2">
      <c r="AU6371"/>
      <c r="AV6371"/>
      <c r="AW6371"/>
      <c r="AX6371"/>
      <c r="AY6371"/>
    </row>
    <row r="6372" spans="47:51" x14ac:dyDescent="0.2">
      <c r="AU6372"/>
      <c r="AV6372"/>
      <c r="AW6372"/>
      <c r="AX6372"/>
      <c r="AY6372"/>
    </row>
    <row r="6373" spans="47:51" x14ac:dyDescent="0.2">
      <c r="AU6373"/>
      <c r="AV6373"/>
      <c r="AW6373"/>
      <c r="AX6373"/>
      <c r="AY6373"/>
    </row>
    <row r="6374" spans="47:51" x14ac:dyDescent="0.2">
      <c r="AU6374"/>
      <c r="AV6374"/>
      <c r="AW6374"/>
      <c r="AX6374"/>
      <c r="AY6374"/>
    </row>
    <row r="6375" spans="47:51" x14ac:dyDescent="0.2">
      <c r="AU6375"/>
      <c r="AV6375"/>
      <c r="AW6375"/>
      <c r="AX6375"/>
      <c r="AY6375"/>
    </row>
    <row r="6376" spans="47:51" x14ac:dyDescent="0.2">
      <c r="AU6376"/>
      <c r="AV6376"/>
      <c r="AW6376"/>
      <c r="AX6376"/>
      <c r="AY6376"/>
    </row>
    <row r="6377" spans="47:51" x14ac:dyDescent="0.2">
      <c r="AU6377"/>
      <c r="AV6377"/>
      <c r="AW6377"/>
      <c r="AX6377"/>
      <c r="AY6377"/>
    </row>
    <row r="6378" spans="47:51" x14ac:dyDescent="0.2">
      <c r="AU6378"/>
      <c r="AV6378"/>
      <c r="AW6378"/>
      <c r="AX6378"/>
      <c r="AY6378"/>
    </row>
    <row r="6379" spans="47:51" x14ac:dyDescent="0.2">
      <c r="AU6379"/>
      <c r="AV6379"/>
      <c r="AW6379"/>
      <c r="AX6379"/>
      <c r="AY6379"/>
    </row>
    <row r="6380" spans="47:51" x14ac:dyDescent="0.2">
      <c r="AU6380"/>
      <c r="AV6380"/>
      <c r="AW6380"/>
      <c r="AX6380"/>
      <c r="AY6380"/>
    </row>
    <row r="6381" spans="47:51" x14ac:dyDescent="0.2">
      <c r="AU6381"/>
      <c r="AV6381"/>
      <c r="AW6381"/>
      <c r="AX6381"/>
      <c r="AY6381"/>
    </row>
    <row r="6382" spans="47:51" x14ac:dyDescent="0.2">
      <c r="AU6382"/>
      <c r="AV6382"/>
      <c r="AW6382"/>
      <c r="AX6382"/>
      <c r="AY6382"/>
    </row>
    <row r="6383" spans="47:51" x14ac:dyDescent="0.2">
      <c r="AU6383"/>
      <c r="AV6383"/>
      <c r="AW6383"/>
      <c r="AX6383"/>
      <c r="AY6383"/>
    </row>
    <row r="6384" spans="47:51" x14ac:dyDescent="0.2">
      <c r="AU6384"/>
      <c r="AV6384"/>
      <c r="AW6384"/>
      <c r="AX6384"/>
      <c r="AY6384"/>
    </row>
    <row r="6385" spans="47:51" x14ac:dyDescent="0.2">
      <c r="AU6385"/>
      <c r="AV6385"/>
      <c r="AW6385"/>
      <c r="AX6385"/>
      <c r="AY6385"/>
    </row>
    <row r="6386" spans="47:51" x14ac:dyDescent="0.2">
      <c r="AU6386"/>
      <c r="AV6386"/>
      <c r="AW6386"/>
      <c r="AX6386"/>
      <c r="AY6386"/>
    </row>
    <row r="6387" spans="47:51" x14ac:dyDescent="0.2">
      <c r="AU6387"/>
      <c r="AV6387"/>
      <c r="AW6387"/>
      <c r="AX6387"/>
      <c r="AY6387"/>
    </row>
    <row r="6388" spans="47:51" x14ac:dyDescent="0.2">
      <c r="AU6388"/>
      <c r="AV6388"/>
      <c r="AW6388"/>
      <c r="AX6388"/>
      <c r="AY6388"/>
    </row>
    <row r="6389" spans="47:51" x14ac:dyDescent="0.2">
      <c r="AU6389"/>
      <c r="AV6389"/>
      <c r="AW6389"/>
      <c r="AX6389"/>
      <c r="AY6389"/>
    </row>
    <row r="6390" spans="47:51" x14ac:dyDescent="0.2">
      <c r="AU6390"/>
      <c r="AV6390"/>
      <c r="AW6390"/>
      <c r="AX6390"/>
      <c r="AY6390"/>
    </row>
    <row r="6391" spans="47:51" x14ac:dyDescent="0.2">
      <c r="AU6391"/>
      <c r="AV6391"/>
      <c r="AW6391"/>
      <c r="AX6391"/>
      <c r="AY6391"/>
    </row>
    <row r="6392" spans="47:51" x14ac:dyDescent="0.2">
      <c r="AU6392"/>
      <c r="AV6392"/>
      <c r="AW6392"/>
      <c r="AX6392"/>
      <c r="AY6392"/>
    </row>
    <row r="6393" spans="47:51" x14ac:dyDescent="0.2">
      <c r="AU6393"/>
      <c r="AV6393"/>
      <c r="AW6393"/>
      <c r="AX6393"/>
      <c r="AY6393"/>
    </row>
    <row r="6394" spans="47:51" x14ac:dyDescent="0.2">
      <c r="AU6394"/>
      <c r="AV6394"/>
      <c r="AW6394"/>
      <c r="AX6394"/>
      <c r="AY6394"/>
    </row>
    <row r="6395" spans="47:51" x14ac:dyDescent="0.2">
      <c r="AU6395"/>
      <c r="AV6395"/>
      <c r="AW6395"/>
      <c r="AX6395"/>
      <c r="AY6395"/>
    </row>
    <row r="6396" spans="47:51" x14ac:dyDescent="0.2">
      <c r="AU6396"/>
      <c r="AV6396"/>
      <c r="AW6396"/>
      <c r="AX6396"/>
      <c r="AY6396"/>
    </row>
    <row r="6397" spans="47:51" x14ac:dyDescent="0.2">
      <c r="AU6397"/>
      <c r="AV6397"/>
      <c r="AW6397"/>
      <c r="AX6397"/>
      <c r="AY6397"/>
    </row>
    <row r="6398" spans="47:51" x14ac:dyDescent="0.2">
      <c r="AU6398"/>
      <c r="AV6398"/>
      <c r="AW6398"/>
      <c r="AX6398"/>
      <c r="AY6398"/>
    </row>
    <row r="6399" spans="47:51" x14ac:dyDescent="0.2">
      <c r="AU6399"/>
      <c r="AV6399"/>
      <c r="AW6399"/>
      <c r="AX6399"/>
      <c r="AY6399"/>
    </row>
    <row r="6400" spans="47:51" x14ac:dyDescent="0.2">
      <c r="AU6400"/>
      <c r="AV6400"/>
      <c r="AW6400"/>
      <c r="AX6400"/>
      <c r="AY6400"/>
    </row>
    <row r="6401" spans="47:51" x14ac:dyDescent="0.2">
      <c r="AU6401"/>
      <c r="AV6401"/>
      <c r="AW6401"/>
      <c r="AX6401"/>
      <c r="AY6401"/>
    </row>
    <row r="6402" spans="47:51" x14ac:dyDescent="0.2">
      <c r="AU6402"/>
      <c r="AV6402"/>
      <c r="AW6402"/>
      <c r="AX6402"/>
      <c r="AY6402"/>
    </row>
    <row r="6403" spans="47:51" x14ac:dyDescent="0.2">
      <c r="AU6403"/>
      <c r="AV6403"/>
      <c r="AW6403"/>
      <c r="AX6403"/>
      <c r="AY6403"/>
    </row>
    <row r="6404" spans="47:51" x14ac:dyDescent="0.2">
      <c r="AU6404"/>
      <c r="AV6404"/>
      <c r="AW6404"/>
      <c r="AX6404"/>
      <c r="AY6404"/>
    </row>
    <row r="6405" spans="47:51" x14ac:dyDescent="0.2">
      <c r="AU6405"/>
      <c r="AV6405"/>
      <c r="AW6405"/>
      <c r="AX6405"/>
      <c r="AY6405"/>
    </row>
    <row r="6406" spans="47:51" x14ac:dyDescent="0.2">
      <c r="AU6406"/>
      <c r="AV6406"/>
      <c r="AW6406"/>
      <c r="AX6406"/>
      <c r="AY6406"/>
    </row>
    <row r="6407" spans="47:51" x14ac:dyDescent="0.2">
      <c r="AU6407"/>
      <c r="AV6407"/>
      <c r="AW6407"/>
      <c r="AX6407"/>
      <c r="AY6407"/>
    </row>
    <row r="6408" spans="47:51" x14ac:dyDescent="0.2">
      <c r="AU6408"/>
      <c r="AV6408"/>
      <c r="AW6408"/>
      <c r="AX6408"/>
      <c r="AY6408"/>
    </row>
    <row r="6409" spans="47:51" x14ac:dyDescent="0.2">
      <c r="AU6409"/>
      <c r="AV6409"/>
      <c r="AW6409"/>
      <c r="AX6409"/>
      <c r="AY6409"/>
    </row>
    <row r="6410" spans="47:51" x14ac:dyDescent="0.2">
      <c r="AU6410"/>
      <c r="AV6410"/>
      <c r="AW6410"/>
      <c r="AX6410"/>
      <c r="AY6410"/>
    </row>
    <row r="6411" spans="47:51" x14ac:dyDescent="0.2">
      <c r="AU6411"/>
      <c r="AV6411"/>
      <c r="AW6411"/>
      <c r="AX6411"/>
      <c r="AY6411"/>
    </row>
    <row r="6412" spans="47:51" x14ac:dyDescent="0.2">
      <c r="AU6412"/>
      <c r="AV6412"/>
      <c r="AW6412"/>
      <c r="AX6412"/>
      <c r="AY6412"/>
    </row>
    <row r="6413" spans="47:51" x14ac:dyDescent="0.2">
      <c r="AU6413"/>
      <c r="AV6413"/>
      <c r="AW6413"/>
      <c r="AX6413"/>
      <c r="AY6413"/>
    </row>
    <row r="6414" spans="47:51" x14ac:dyDescent="0.2">
      <c r="AU6414"/>
      <c r="AV6414"/>
      <c r="AW6414"/>
      <c r="AX6414"/>
      <c r="AY6414"/>
    </row>
    <row r="6415" spans="47:51" x14ac:dyDescent="0.2">
      <c r="AU6415"/>
      <c r="AV6415"/>
      <c r="AW6415"/>
      <c r="AX6415"/>
      <c r="AY6415"/>
    </row>
    <row r="6416" spans="47:51" x14ac:dyDescent="0.2">
      <c r="AU6416"/>
      <c r="AV6416"/>
      <c r="AW6416"/>
      <c r="AX6416"/>
      <c r="AY6416"/>
    </row>
    <row r="6417" spans="47:51" x14ac:dyDescent="0.2">
      <c r="AU6417"/>
      <c r="AV6417"/>
      <c r="AW6417"/>
      <c r="AX6417"/>
      <c r="AY6417"/>
    </row>
    <row r="6418" spans="47:51" x14ac:dyDescent="0.2">
      <c r="AU6418"/>
      <c r="AV6418"/>
      <c r="AW6418"/>
      <c r="AX6418"/>
      <c r="AY6418"/>
    </row>
    <row r="6419" spans="47:51" x14ac:dyDescent="0.2">
      <c r="AU6419"/>
      <c r="AV6419"/>
      <c r="AW6419"/>
      <c r="AX6419"/>
      <c r="AY6419"/>
    </row>
    <row r="6420" spans="47:51" x14ac:dyDescent="0.2">
      <c r="AU6420"/>
      <c r="AV6420"/>
      <c r="AW6420"/>
      <c r="AX6420"/>
      <c r="AY6420"/>
    </row>
    <row r="6421" spans="47:51" x14ac:dyDescent="0.2">
      <c r="AU6421"/>
      <c r="AV6421"/>
      <c r="AW6421"/>
      <c r="AX6421"/>
      <c r="AY6421"/>
    </row>
    <row r="6422" spans="47:51" x14ac:dyDescent="0.2">
      <c r="AU6422"/>
      <c r="AV6422"/>
      <c r="AW6422"/>
      <c r="AX6422"/>
      <c r="AY6422"/>
    </row>
    <row r="6423" spans="47:51" x14ac:dyDescent="0.2">
      <c r="AU6423"/>
      <c r="AV6423"/>
      <c r="AW6423"/>
      <c r="AX6423"/>
      <c r="AY6423"/>
    </row>
    <row r="6424" spans="47:51" x14ac:dyDescent="0.2">
      <c r="AU6424"/>
      <c r="AV6424"/>
      <c r="AW6424"/>
      <c r="AX6424"/>
      <c r="AY6424"/>
    </row>
    <row r="6425" spans="47:51" x14ac:dyDescent="0.2">
      <c r="AU6425"/>
      <c r="AV6425"/>
      <c r="AW6425"/>
      <c r="AX6425"/>
      <c r="AY6425"/>
    </row>
    <row r="6426" spans="47:51" x14ac:dyDescent="0.2">
      <c r="AU6426"/>
      <c r="AV6426"/>
      <c r="AW6426"/>
      <c r="AX6426"/>
      <c r="AY6426"/>
    </row>
    <row r="6427" spans="47:51" x14ac:dyDescent="0.2">
      <c r="AU6427"/>
      <c r="AV6427"/>
      <c r="AW6427"/>
      <c r="AX6427"/>
      <c r="AY6427"/>
    </row>
    <row r="6428" spans="47:51" x14ac:dyDescent="0.2">
      <c r="AU6428"/>
      <c r="AV6428"/>
      <c r="AW6428"/>
      <c r="AX6428"/>
      <c r="AY6428"/>
    </row>
    <row r="6429" spans="47:51" x14ac:dyDescent="0.2">
      <c r="AU6429"/>
      <c r="AV6429"/>
      <c r="AW6429"/>
      <c r="AX6429"/>
      <c r="AY6429"/>
    </row>
    <row r="6430" spans="47:51" x14ac:dyDescent="0.2">
      <c r="AU6430"/>
      <c r="AV6430"/>
      <c r="AW6430"/>
      <c r="AX6430"/>
      <c r="AY6430"/>
    </row>
    <row r="6431" spans="47:51" x14ac:dyDescent="0.2">
      <c r="AU6431"/>
      <c r="AV6431"/>
      <c r="AW6431"/>
      <c r="AX6431"/>
      <c r="AY6431"/>
    </row>
    <row r="6432" spans="47:51" x14ac:dyDescent="0.2">
      <c r="AU6432"/>
      <c r="AV6432"/>
      <c r="AW6432"/>
      <c r="AX6432"/>
      <c r="AY6432"/>
    </row>
    <row r="6433" spans="47:51" x14ac:dyDescent="0.2">
      <c r="AU6433"/>
      <c r="AV6433"/>
      <c r="AW6433"/>
      <c r="AX6433"/>
      <c r="AY6433"/>
    </row>
    <row r="6434" spans="47:51" x14ac:dyDescent="0.2">
      <c r="AU6434"/>
      <c r="AV6434"/>
      <c r="AW6434"/>
      <c r="AX6434"/>
      <c r="AY6434"/>
    </row>
    <row r="6435" spans="47:51" x14ac:dyDescent="0.2">
      <c r="AU6435"/>
      <c r="AV6435"/>
      <c r="AW6435"/>
      <c r="AX6435"/>
      <c r="AY6435"/>
    </row>
    <row r="6436" spans="47:51" x14ac:dyDescent="0.2">
      <c r="AU6436"/>
      <c r="AV6436"/>
      <c r="AW6436"/>
      <c r="AX6436"/>
      <c r="AY6436"/>
    </row>
    <row r="6437" spans="47:51" x14ac:dyDescent="0.2">
      <c r="AU6437"/>
      <c r="AV6437"/>
      <c r="AW6437"/>
      <c r="AX6437"/>
      <c r="AY6437"/>
    </row>
    <row r="6438" spans="47:51" x14ac:dyDescent="0.2">
      <c r="AU6438"/>
      <c r="AV6438"/>
      <c r="AW6438"/>
      <c r="AX6438"/>
      <c r="AY6438"/>
    </row>
    <row r="6439" spans="47:51" x14ac:dyDescent="0.2">
      <c r="AU6439"/>
      <c r="AV6439"/>
      <c r="AW6439"/>
      <c r="AX6439"/>
      <c r="AY6439"/>
    </row>
    <row r="6440" spans="47:51" x14ac:dyDescent="0.2">
      <c r="AU6440"/>
      <c r="AV6440"/>
      <c r="AW6440"/>
      <c r="AX6440"/>
      <c r="AY6440"/>
    </row>
    <row r="6441" spans="47:51" x14ac:dyDescent="0.2">
      <c r="AU6441"/>
      <c r="AV6441"/>
      <c r="AW6441"/>
      <c r="AX6441"/>
      <c r="AY6441"/>
    </row>
    <row r="6442" spans="47:51" x14ac:dyDescent="0.2">
      <c r="AU6442"/>
      <c r="AV6442"/>
      <c r="AW6442"/>
      <c r="AX6442"/>
      <c r="AY6442"/>
    </row>
    <row r="6443" spans="47:51" x14ac:dyDescent="0.2">
      <c r="AU6443"/>
      <c r="AV6443"/>
      <c r="AW6443"/>
      <c r="AX6443"/>
      <c r="AY6443"/>
    </row>
    <row r="6444" spans="47:51" x14ac:dyDescent="0.2">
      <c r="AU6444"/>
      <c r="AV6444"/>
      <c r="AW6444"/>
      <c r="AX6444"/>
      <c r="AY6444"/>
    </row>
    <row r="6445" spans="47:51" x14ac:dyDescent="0.2">
      <c r="AU6445"/>
      <c r="AV6445"/>
      <c r="AW6445"/>
      <c r="AX6445"/>
      <c r="AY6445"/>
    </row>
    <row r="6446" spans="47:51" x14ac:dyDescent="0.2">
      <c r="AU6446"/>
      <c r="AV6446"/>
      <c r="AW6446"/>
      <c r="AX6446"/>
      <c r="AY6446"/>
    </row>
    <row r="6447" spans="47:51" x14ac:dyDescent="0.2">
      <c r="AU6447"/>
      <c r="AV6447"/>
      <c r="AW6447"/>
      <c r="AX6447"/>
      <c r="AY6447"/>
    </row>
    <row r="6448" spans="47:51" x14ac:dyDescent="0.2">
      <c r="AU6448"/>
      <c r="AV6448"/>
      <c r="AW6448"/>
      <c r="AX6448"/>
      <c r="AY6448"/>
    </row>
    <row r="6449" spans="47:51" x14ac:dyDescent="0.2">
      <c r="AU6449"/>
      <c r="AV6449"/>
      <c r="AW6449"/>
      <c r="AX6449"/>
      <c r="AY6449"/>
    </row>
    <row r="6450" spans="47:51" x14ac:dyDescent="0.2">
      <c r="AU6450"/>
      <c r="AV6450"/>
      <c r="AW6450"/>
      <c r="AX6450"/>
      <c r="AY6450"/>
    </row>
    <row r="6451" spans="47:51" x14ac:dyDescent="0.2">
      <c r="AU6451"/>
      <c r="AV6451"/>
      <c r="AW6451"/>
      <c r="AX6451"/>
      <c r="AY6451"/>
    </row>
    <row r="6452" spans="47:51" x14ac:dyDescent="0.2">
      <c r="AU6452"/>
      <c r="AV6452"/>
      <c r="AW6452"/>
      <c r="AX6452"/>
      <c r="AY6452"/>
    </row>
    <row r="6453" spans="47:51" x14ac:dyDescent="0.2">
      <c r="AU6453"/>
      <c r="AV6453"/>
      <c r="AW6453"/>
      <c r="AX6453"/>
      <c r="AY6453"/>
    </row>
    <row r="6454" spans="47:51" x14ac:dyDescent="0.2">
      <c r="AU6454"/>
      <c r="AV6454"/>
      <c r="AW6454"/>
      <c r="AX6454"/>
      <c r="AY6454"/>
    </row>
    <row r="6455" spans="47:51" x14ac:dyDescent="0.2">
      <c r="AU6455"/>
      <c r="AV6455"/>
      <c r="AW6455"/>
      <c r="AX6455"/>
      <c r="AY6455"/>
    </row>
    <row r="6456" spans="47:51" x14ac:dyDescent="0.2">
      <c r="AU6456"/>
      <c r="AV6456"/>
      <c r="AW6456"/>
      <c r="AX6456"/>
      <c r="AY6456"/>
    </row>
    <row r="6457" spans="47:51" x14ac:dyDescent="0.2">
      <c r="AU6457"/>
      <c r="AV6457"/>
      <c r="AW6457"/>
      <c r="AX6457"/>
      <c r="AY6457"/>
    </row>
    <row r="6458" spans="47:51" x14ac:dyDescent="0.2">
      <c r="AU6458"/>
      <c r="AV6458"/>
      <c r="AW6458"/>
      <c r="AX6458"/>
      <c r="AY6458"/>
    </row>
    <row r="6459" spans="47:51" x14ac:dyDescent="0.2">
      <c r="AU6459"/>
      <c r="AV6459"/>
      <c r="AW6459"/>
      <c r="AX6459"/>
      <c r="AY6459"/>
    </row>
    <row r="6460" spans="47:51" x14ac:dyDescent="0.2">
      <c r="AU6460"/>
      <c r="AV6460"/>
      <c r="AW6460"/>
      <c r="AX6460"/>
      <c r="AY6460"/>
    </row>
    <row r="6461" spans="47:51" x14ac:dyDescent="0.2">
      <c r="AU6461"/>
      <c r="AV6461"/>
      <c r="AW6461"/>
      <c r="AX6461"/>
      <c r="AY6461"/>
    </row>
    <row r="6462" spans="47:51" x14ac:dyDescent="0.2">
      <c r="AU6462"/>
      <c r="AV6462"/>
      <c r="AW6462"/>
      <c r="AX6462"/>
      <c r="AY6462"/>
    </row>
    <row r="6463" spans="47:51" x14ac:dyDescent="0.2">
      <c r="AU6463"/>
      <c r="AV6463"/>
      <c r="AW6463"/>
      <c r="AX6463"/>
      <c r="AY6463"/>
    </row>
    <row r="6464" spans="47:51" x14ac:dyDescent="0.2">
      <c r="AU6464"/>
      <c r="AV6464"/>
      <c r="AW6464"/>
      <c r="AX6464"/>
      <c r="AY6464"/>
    </row>
    <row r="6465" spans="47:51" x14ac:dyDescent="0.2">
      <c r="AU6465"/>
      <c r="AV6465"/>
      <c r="AW6465"/>
      <c r="AX6465"/>
      <c r="AY6465"/>
    </row>
    <row r="6466" spans="47:51" x14ac:dyDescent="0.2">
      <c r="AU6466"/>
      <c r="AV6466"/>
      <c r="AW6466"/>
      <c r="AX6466"/>
      <c r="AY6466"/>
    </row>
    <row r="6467" spans="47:51" x14ac:dyDescent="0.2">
      <c r="AU6467"/>
      <c r="AV6467"/>
      <c r="AW6467"/>
      <c r="AX6467"/>
      <c r="AY6467"/>
    </row>
    <row r="6468" spans="47:51" x14ac:dyDescent="0.2">
      <c r="AU6468"/>
      <c r="AV6468"/>
      <c r="AW6468"/>
      <c r="AX6468"/>
      <c r="AY6468"/>
    </row>
    <row r="6469" spans="47:51" x14ac:dyDescent="0.2">
      <c r="AU6469"/>
      <c r="AV6469"/>
      <c r="AW6469"/>
      <c r="AX6469"/>
      <c r="AY6469"/>
    </row>
    <row r="6470" spans="47:51" x14ac:dyDescent="0.2">
      <c r="AU6470"/>
      <c r="AV6470"/>
      <c r="AW6470"/>
      <c r="AX6470"/>
      <c r="AY6470"/>
    </row>
    <row r="6471" spans="47:51" x14ac:dyDescent="0.2">
      <c r="AU6471"/>
      <c r="AV6471"/>
      <c r="AW6471"/>
      <c r="AX6471"/>
      <c r="AY6471"/>
    </row>
    <row r="6472" spans="47:51" x14ac:dyDescent="0.2">
      <c r="AU6472"/>
      <c r="AV6472"/>
      <c r="AW6472"/>
      <c r="AX6472"/>
      <c r="AY6472"/>
    </row>
    <row r="6473" spans="47:51" x14ac:dyDescent="0.2">
      <c r="AU6473"/>
      <c r="AV6473"/>
      <c r="AW6473"/>
      <c r="AX6473"/>
      <c r="AY6473"/>
    </row>
    <row r="6474" spans="47:51" x14ac:dyDescent="0.2">
      <c r="AU6474"/>
      <c r="AV6474"/>
      <c r="AW6474"/>
      <c r="AX6474"/>
      <c r="AY6474"/>
    </row>
    <row r="6475" spans="47:51" x14ac:dyDescent="0.2">
      <c r="AU6475"/>
      <c r="AV6475"/>
      <c r="AW6475"/>
      <c r="AX6475"/>
      <c r="AY6475"/>
    </row>
    <row r="6476" spans="47:51" x14ac:dyDescent="0.2">
      <c r="AU6476"/>
      <c r="AV6476"/>
      <c r="AW6476"/>
      <c r="AX6476"/>
      <c r="AY6476"/>
    </row>
    <row r="6477" spans="47:51" x14ac:dyDescent="0.2">
      <c r="AU6477"/>
      <c r="AV6477"/>
      <c r="AW6477"/>
      <c r="AX6477"/>
      <c r="AY6477"/>
    </row>
    <row r="6478" spans="47:51" x14ac:dyDescent="0.2">
      <c r="AU6478"/>
      <c r="AV6478"/>
      <c r="AW6478"/>
      <c r="AX6478"/>
      <c r="AY6478"/>
    </row>
    <row r="6479" spans="47:51" x14ac:dyDescent="0.2">
      <c r="AU6479"/>
      <c r="AV6479"/>
      <c r="AW6479"/>
      <c r="AX6479"/>
      <c r="AY6479"/>
    </row>
    <row r="6480" spans="47:51" x14ac:dyDescent="0.2">
      <c r="AU6480"/>
      <c r="AV6480"/>
      <c r="AW6480"/>
      <c r="AX6480"/>
      <c r="AY6480"/>
    </row>
    <row r="6481" spans="47:51" x14ac:dyDescent="0.2">
      <c r="AU6481"/>
      <c r="AV6481"/>
      <c r="AW6481"/>
      <c r="AX6481"/>
      <c r="AY6481"/>
    </row>
    <row r="6482" spans="47:51" x14ac:dyDescent="0.2">
      <c r="AU6482"/>
      <c r="AV6482"/>
      <c r="AW6482"/>
      <c r="AX6482"/>
      <c r="AY6482"/>
    </row>
    <row r="6483" spans="47:51" x14ac:dyDescent="0.2">
      <c r="AU6483"/>
      <c r="AV6483"/>
      <c r="AW6483"/>
      <c r="AX6483"/>
      <c r="AY6483"/>
    </row>
    <row r="6484" spans="47:51" x14ac:dyDescent="0.2">
      <c r="AU6484"/>
      <c r="AV6484"/>
      <c r="AW6484"/>
      <c r="AX6484"/>
      <c r="AY6484"/>
    </row>
    <row r="6485" spans="47:51" x14ac:dyDescent="0.2">
      <c r="AU6485"/>
      <c r="AV6485"/>
      <c r="AW6485"/>
      <c r="AX6485"/>
      <c r="AY6485"/>
    </row>
    <row r="6486" spans="47:51" x14ac:dyDescent="0.2">
      <c r="AU6486"/>
      <c r="AV6486"/>
      <c r="AW6486"/>
      <c r="AX6486"/>
      <c r="AY6486"/>
    </row>
    <row r="6487" spans="47:51" x14ac:dyDescent="0.2">
      <c r="AU6487"/>
      <c r="AV6487"/>
      <c r="AW6487"/>
      <c r="AX6487"/>
      <c r="AY6487"/>
    </row>
    <row r="6488" spans="47:51" x14ac:dyDescent="0.2">
      <c r="AU6488"/>
      <c r="AV6488"/>
      <c r="AW6488"/>
      <c r="AX6488"/>
      <c r="AY6488"/>
    </row>
    <row r="6489" spans="47:51" x14ac:dyDescent="0.2">
      <c r="AU6489"/>
      <c r="AV6489"/>
      <c r="AW6489"/>
      <c r="AX6489"/>
      <c r="AY6489"/>
    </row>
    <row r="6490" spans="47:51" x14ac:dyDescent="0.2">
      <c r="AU6490"/>
      <c r="AV6490"/>
      <c r="AW6490"/>
      <c r="AX6490"/>
      <c r="AY6490"/>
    </row>
    <row r="6491" spans="47:51" x14ac:dyDescent="0.2">
      <c r="AU6491"/>
      <c r="AV6491"/>
      <c r="AW6491"/>
      <c r="AX6491"/>
      <c r="AY6491"/>
    </row>
    <row r="6492" spans="47:51" x14ac:dyDescent="0.2">
      <c r="AU6492"/>
      <c r="AV6492"/>
      <c r="AW6492"/>
      <c r="AX6492"/>
      <c r="AY6492"/>
    </row>
    <row r="6493" spans="47:51" x14ac:dyDescent="0.2">
      <c r="AU6493"/>
      <c r="AV6493"/>
      <c r="AW6493"/>
      <c r="AX6493"/>
      <c r="AY6493"/>
    </row>
    <row r="6494" spans="47:51" x14ac:dyDescent="0.2">
      <c r="AU6494"/>
      <c r="AV6494"/>
      <c r="AW6494"/>
      <c r="AX6494"/>
      <c r="AY6494"/>
    </row>
    <row r="6495" spans="47:51" x14ac:dyDescent="0.2">
      <c r="AU6495"/>
      <c r="AV6495"/>
      <c r="AW6495"/>
      <c r="AX6495"/>
      <c r="AY6495"/>
    </row>
    <row r="6496" spans="47:51" x14ac:dyDescent="0.2">
      <c r="AU6496"/>
      <c r="AV6496"/>
      <c r="AW6496"/>
      <c r="AX6496"/>
      <c r="AY6496"/>
    </row>
    <row r="6497" spans="47:51" x14ac:dyDescent="0.2">
      <c r="AU6497"/>
      <c r="AV6497"/>
      <c r="AW6497"/>
      <c r="AX6497"/>
      <c r="AY6497"/>
    </row>
    <row r="6498" spans="47:51" x14ac:dyDescent="0.2">
      <c r="AU6498"/>
      <c r="AV6498"/>
      <c r="AW6498"/>
      <c r="AX6498"/>
      <c r="AY6498"/>
    </row>
    <row r="6499" spans="47:51" x14ac:dyDescent="0.2">
      <c r="AU6499"/>
      <c r="AV6499"/>
      <c r="AW6499"/>
      <c r="AX6499"/>
      <c r="AY6499"/>
    </row>
    <row r="6500" spans="47:51" x14ac:dyDescent="0.2">
      <c r="AU6500"/>
      <c r="AV6500"/>
      <c r="AW6500"/>
      <c r="AX6500"/>
      <c r="AY6500"/>
    </row>
    <row r="6501" spans="47:51" x14ac:dyDescent="0.2">
      <c r="AU6501"/>
      <c r="AV6501"/>
      <c r="AW6501"/>
      <c r="AX6501"/>
      <c r="AY6501"/>
    </row>
    <row r="6502" spans="47:51" x14ac:dyDescent="0.2">
      <c r="AU6502"/>
      <c r="AV6502"/>
      <c r="AW6502"/>
      <c r="AX6502"/>
      <c r="AY6502"/>
    </row>
    <row r="6503" spans="47:51" x14ac:dyDescent="0.2">
      <c r="AU6503"/>
      <c r="AV6503"/>
      <c r="AW6503"/>
      <c r="AX6503"/>
      <c r="AY6503"/>
    </row>
    <row r="6504" spans="47:51" x14ac:dyDescent="0.2">
      <c r="AU6504"/>
      <c r="AV6504"/>
      <c r="AW6504"/>
      <c r="AX6504"/>
      <c r="AY6504"/>
    </row>
    <row r="6505" spans="47:51" x14ac:dyDescent="0.2">
      <c r="AU6505"/>
      <c r="AV6505"/>
      <c r="AW6505"/>
      <c r="AX6505"/>
      <c r="AY6505"/>
    </row>
    <row r="6506" spans="47:51" x14ac:dyDescent="0.2">
      <c r="AU6506"/>
      <c r="AV6506"/>
      <c r="AW6506"/>
      <c r="AX6506"/>
      <c r="AY6506"/>
    </row>
    <row r="6507" spans="47:51" x14ac:dyDescent="0.2">
      <c r="AU6507"/>
      <c r="AV6507"/>
      <c r="AW6507"/>
      <c r="AX6507"/>
      <c r="AY6507"/>
    </row>
    <row r="6508" spans="47:51" x14ac:dyDescent="0.2">
      <c r="AU6508"/>
      <c r="AV6508"/>
      <c r="AW6508"/>
      <c r="AX6508"/>
      <c r="AY6508"/>
    </row>
    <row r="6509" spans="47:51" x14ac:dyDescent="0.2">
      <c r="AU6509"/>
      <c r="AV6509"/>
      <c r="AW6509"/>
      <c r="AX6509"/>
      <c r="AY6509"/>
    </row>
    <row r="6510" spans="47:51" x14ac:dyDescent="0.2">
      <c r="AU6510"/>
      <c r="AV6510"/>
      <c r="AW6510"/>
      <c r="AX6510"/>
      <c r="AY6510"/>
    </row>
    <row r="6511" spans="47:51" x14ac:dyDescent="0.2">
      <c r="AU6511"/>
      <c r="AV6511"/>
      <c r="AW6511"/>
      <c r="AX6511"/>
      <c r="AY6511"/>
    </row>
    <row r="6512" spans="47:51" x14ac:dyDescent="0.2">
      <c r="AU6512"/>
      <c r="AV6512"/>
      <c r="AW6512"/>
      <c r="AX6512"/>
      <c r="AY6512"/>
    </row>
    <row r="6513" spans="47:51" x14ac:dyDescent="0.2">
      <c r="AU6513"/>
      <c r="AV6513"/>
      <c r="AW6513"/>
      <c r="AX6513"/>
      <c r="AY6513"/>
    </row>
    <row r="6514" spans="47:51" x14ac:dyDescent="0.2">
      <c r="AU6514"/>
      <c r="AV6514"/>
      <c r="AW6514"/>
      <c r="AX6514"/>
      <c r="AY6514"/>
    </row>
    <row r="6515" spans="47:51" x14ac:dyDescent="0.2">
      <c r="AU6515"/>
      <c r="AV6515"/>
      <c r="AW6515"/>
      <c r="AX6515"/>
      <c r="AY6515"/>
    </row>
    <row r="6516" spans="47:51" x14ac:dyDescent="0.2">
      <c r="AU6516"/>
      <c r="AV6516"/>
      <c r="AW6516"/>
      <c r="AX6516"/>
      <c r="AY6516"/>
    </row>
    <row r="6517" spans="47:51" x14ac:dyDescent="0.2">
      <c r="AU6517"/>
      <c r="AV6517"/>
      <c r="AW6517"/>
      <c r="AX6517"/>
      <c r="AY6517"/>
    </row>
    <row r="6518" spans="47:51" x14ac:dyDescent="0.2">
      <c r="AU6518"/>
      <c r="AV6518"/>
      <c r="AW6518"/>
      <c r="AX6518"/>
      <c r="AY6518"/>
    </row>
    <row r="6519" spans="47:51" x14ac:dyDescent="0.2">
      <c r="AU6519"/>
      <c r="AV6519"/>
      <c r="AW6519"/>
      <c r="AX6519"/>
      <c r="AY6519"/>
    </row>
    <row r="6520" spans="47:51" x14ac:dyDescent="0.2">
      <c r="AU6520"/>
      <c r="AV6520"/>
      <c r="AW6520"/>
      <c r="AX6520"/>
      <c r="AY6520"/>
    </row>
    <row r="6521" spans="47:51" x14ac:dyDescent="0.2">
      <c r="AU6521"/>
      <c r="AV6521"/>
      <c r="AW6521"/>
      <c r="AX6521"/>
      <c r="AY6521"/>
    </row>
    <row r="6522" spans="47:51" x14ac:dyDescent="0.2">
      <c r="AU6522"/>
      <c r="AV6522"/>
      <c r="AW6522"/>
      <c r="AX6522"/>
      <c r="AY6522"/>
    </row>
    <row r="6523" spans="47:51" x14ac:dyDescent="0.2">
      <c r="AU6523"/>
      <c r="AV6523"/>
      <c r="AW6523"/>
      <c r="AX6523"/>
      <c r="AY6523"/>
    </row>
    <row r="6524" spans="47:51" x14ac:dyDescent="0.2">
      <c r="AU6524"/>
      <c r="AV6524"/>
      <c r="AW6524"/>
      <c r="AX6524"/>
      <c r="AY6524"/>
    </row>
    <row r="6525" spans="47:51" x14ac:dyDescent="0.2">
      <c r="AU6525"/>
      <c r="AV6525"/>
      <c r="AW6525"/>
      <c r="AX6525"/>
      <c r="AY6525"/>
    </row>
    <row r="6526" spans="47:51" x14ac:dyDescent="0.2">
      <c r="AU6526"/>
      <c r="AV6526"/>
      <c r="AW6526"/>
      <c r="AX6526"/>
      <c r="AY6526"/>
    </row>
    <row r="6527" spans="47:51" x14ac:dyDescent="0.2">
      <c r="AU6527"/>
      <c r="AV6527"/>
      <c r="AW6527"/>
      <c r="AX6527"/>
      <c r="AY6527"/>
    </row>
    <row r="6528" spans="47:51" x14ac:dyDescent="0.2">
      <c r="AU6528"/>
      <c r="AV6528"/>
      <c r="AW6528"/>
      <c r="AX6528"/>
      <c r="AY6528"/>
    </row>
    <row r="6529" spans="47:51" x14ac:dyDescent="0.2">
      <c r="AU6529"/>
      <c r="AV6529"/>
      <c r="AW6529"/>
      <c r="AX6529"/>
      <c r="AY6529"/>
    </row>
    <row r="6530" spans="47:51" x14ac:dyDescent="0.2">
      <c r="AU6530"/>
      <c r="AV6530"/>
      <c r="AW6530"/>
      <c r="AX6530"/>
      <c r="AY6530"/>
    </row>
    <row r="6531" spans="47:51" x14ac:dyDescent="0.2">
      <c r="AU6531"/>
      <c r="AV6531"/>
      <c r="AW6531"/>
      <c r="AX6531"/>
      <c r="AY6531"/>
    </row>
    <row r="6532" spans="47:51" x14ac:dyDescent="0.2">
      <c r="AU6532"/>
      <c r="AV6532"/>
      <c r="AW6532"/>
      <c r="AX6532"/>
      <c r="AY6532"/>
    </row>
    <row r="6533" spans="47:51" x14ac:dyDescent="0.2">
      <c r="AU6533"/>
      <c r="AV6533"/>
      <c r="AW6533"/>
      <c r="AX6533"/>
      <c r="AY6533"/>
    </row>
    <row r="6534" spans="47:51" x14ac:dyDescent="0.2">
      <c r="AU6534"/>
      <c r="AV6534"/>
      <c r="AW6534"/>
      <c r="AX6534"/>
      <c r="AY6534"/>
    </row>
    <row r="6535" spans="47:51" x14ac:dyDescent="0.2">
      <c r="AU6535"/>
      <c r="AV6535"/>
      <c r="AW6535"/>
      <c r="AX6535"/>
      <c r="AY6535"/>
    </row>
    <row r="6536" spans="47:51" x14ac:dyDescent="0.2">
      <c r="AU6536"/>
      <c r="AV6536"/>
      <c r="AW6536"/>
      <c r="AX6536"/>
      <c r="AY6536"/>
    </row>
    <row r="6537" spans="47:51" x14ac:dyDescent="0.2">
      <c r="AU6537"/>
      <c r="AV6537"/>
      <c r="AW6537"/>
      <c r="AX6537"/>
      <c r="AY6537"/>
    </row>
    <row r="6538" spans="47:51" x14ac:dyDescent="0.2">
      <c r="AU6538"/>
      <c r="AV6538"/>
      <c r="AW6538"/>
      <c r="AX6538"/>
      <c r="AY6538"/>
    </row>
    <row r="6539" spans="47:51" x14ac:dyDescent="0.2">
      <c r="AU6539"/>
      <c r="AV6539"/>
      <c r="AW6539"/>
      <c r="AX6539"/>
      <c r="AY6539"/>
    </row>
    <row r="6540" spans="47:51" x14ac:dyDescent="0.2">
      <c r="AU6540"/>
      <c r="AV6540"/>
      <c r="AW6540"/>
      <c r="AX6540"/>
      <c r="AY6540"/>
    </row>
    <row r="6541" spans="47:51" x14ac:dyDescent="0.2">
      <c r="AU6541"/>
      <c r="AV6541"/>
      <c r="AW6541"/>
      <c r="AX6541"/>
      <c r="AY6541"/>
    </row>
    <row r="6542" spans="47:51" x14ac:dyDescent="0.2">
      <c r="AU6542"/>
      <c r="AV6542"/>
      <c r="AW6542"/>
      <c r="AX6542"/>
      <c r="AY6542"/>
    </row>
    <row r="6543" spans="47:51" x14ac:dyDescent="0.2">
      <c r="AU6543"/>
      <c r="AV6543"/>
      <c r="AW6543"/>
      <c r="AX6543"/>
      <c r="AY6543"/>
    </row>
    <row r="6544" spans="47:51" x14ac:dyDescent="0.2">
      <c r="AU6544"/>
      <c r="AV6544"/>
      <c r="AW6544"/>
      <c r="AX6544"/>
      <c r="AY6544"/>
    </row>
    <row r="6545" spans="47:51" x14ac:dyDescent="0.2">
      <c r="AU6545"/>
      <c r="AV6545"/>
      <c r="AW6545"/>
      <c r="AX6545"/>
      <c r="AY6545"/>
    </row>
    <row r="6546" spans="47:51" x14ac:dyDescent="0.2">
      <c r="AU6546"/>
      <c r="AV6546"/>
      <c r="AW6546"/>
      <c r="AX6546"/>
      <c r="AY6546"/>
    </row>
    <row r="6547" spans="47:51" x14ac:dyDescent="0.2">
      <c r="AU6547"/>
      <c r="AV6547"/>
      <c r="AW6547"/>
      <c r="AX6547"/>
      <c r="AY6547"/>
    </row>
    <row r="6548" spans="47:51" x14ac:dyDescent="0.2">
      <c r="AU6548"/>
      <c r="AV6548"/>
      <c r="AW6548"/>
      <c r="AX6548"/>
      <c r="AY6548"/>
    </row>
    <row r="6549" spans="47:51" x14ac:dyDescent="0.2">
      <c r="AU6549"/>
      <c r="AV6549"/>
      <c r="AW6549"/>
      <c r="AX6549"/>
      <c r="AY6549"/>
    </row>
    <row r="6550" spans="47:51" x14ac:dyDescent="0.2">
      <c r="AU6550"/>
      <c r="AV6550"/>
      <c r="AW6550"/>
      <c r="AX6550"/>
      <c r="AY6550"/>
    </row>
    <row r="6551" spans="47:51" x14ac:dyDescent="0.2">
      <c r="AU6551"/>
      <c r="AV6551"/>
      <c r="AW6551"/>
      <c r="AX6551"/>
      <c r="AY6551"/>
    </row>
    <row r="6552" spans="47:51" x14ac:dyDescent="0.2">
      <c r="AU6552"/>
      <c r="AV6552"/>
      <c r="AW6552"/>
      <c r="AX6552"/>
      <c r="AY6552"/>
    </row>
    <row r="6553" spans="47:51" x14ac:dyDescent="0.2">
      <c r="AU6553"/>
      <c r="AV6553"/>
      <c r="AW6553"/>
      <c r="AX6553"/>
      <c r="AY6553"/>
    </row>
    <row r="6554" spans="47:51" x14ac:dyDescent="0.2">
      <c r="AU6554"/>
      <c r="AV6554"/>
      <c r="AW6554"/>
      <c r="AX6554"/>
      <c r="AY6554"/>
    </row>
    <row r="6555" spans="47:51" x14ac:dyDescent="0.2">
      <c r="AU6555"/>
      <c r="AV6555"/>
      <c r="AW6555"/>
      <c r="AX6555"/>
      <c r="AY6555"/>
    </row>
    <row r="6556" spans="47:51" x14ac:dyDescent="0.2">
      <c r="AU6556"/>
      <c r="AV6556"/>
      <c r="AW6556"/>
      <c r="AX6556"/>
      <c r="AY6556"/>
    </row>
    <row r="6557" spans="47:51" x14ac:dyDescent="0.2">
      <c r="AU6557"/>
      <c r="AV6557"/>
      <c r="AW6557"/>
      <c r="AX6557"/>
      <c r="AY6557"/>
    </row>
    <row r="6558" spans="47:51" x14ac:dyDescent="0.2">
      <c r="AU6558"/>
      <c r="AV6558"/>
      <c r="AW6558"/>
      <c r="AX6558"/>
      <c r="AY6558"/>
    </row>
    <row r="6559" spans="47:51" x14ac:dyDescent="0.2">
      <c r="AU6559"/>
      <c r="AV6559"/>
      <c r="AW6559"/>
      <c r="AX6559"/>
      <c r="AY6559"/>
    </row>
    <row r="6560" spans="47:51" x14ac:dyDescent="0.2">
      <c r="AU6560"/>
      <c r="AV6560"/>
      <c r="AW6560"/>
      <c r="AX6560"/>
      <c r="AY6560"/>
    </row>
    <row r="6561" spans="47:51" x14ac:dyDescent="0.2">
      <c r="AU6561"/>
      <c r="AV6561"/>
      <c r="AW6561"/>
      <c r="AX6561"/>
      <c r="AY6561"/>
    </row>
    <row r="6562" spans="47:51" x14ac:dyDescent="0.2">
      <c r="AU6562"/>
      <c r="AV6562"/>
      <c r="AW6562"/>
      <c r="AX6562"/>
      <c r="AY6562"/>
    </row>
    <row r="6563" spans="47:51" x14ac:dyDescent="0.2">
      <c r="AU6563"/>
      <c r="AV6563"/>
      <c r="AW6563"/>
      <c r="AX6563"/>
      <c r="AY6563"/>
    </row>
    <row r="6564" spans="47:51" x14ac:dyDescent="0.2">
      <c r="AU6564"/>
      <c r="AV6564"/>
      <c r="AW6564"/>
      <c r="AX6564"/>
      <c r="AY6564"/>
    </row>
    <row r="6565" spans="47:51" x14ac:dyDescent="0.2">
      <c r="AU6565"/>
      <c r="AV6565"/>
      <c r="AW6565"/>
      <c r="AX6565"/>
      <c r="AY6565"/>
    </row>
    <row r="6566" spans="47:51" x14ac:dyDescent="0.2">
      <c r="AU6566"/>
      <c r="AV6566"/>
      <c r="AW6566"/>
      <c r="AX6566"/>
      <c r="AY6566"/>
    </row>
    <row r="6567" spans="47:51" x14ac:dyDescent="0.2">
      <c r="AU6567"/>
      <c r="AV6567"/>
      <c r="AW6567"/>
      <c r="AX6567"/>
      <c r="AY6567"/>
    </row>
    <row r="6568" spans="47:51" x14ac:dyDescent="0.2">
      <c r="AU6568"/>
      <c r="AV6568"/>
      <c r="AW6568"/>
      <c r="AX6568"/>
      <c r="AY6568"/>
    </row>
    <row r="6569" spans="47:51" x14ac:dyDescent="0.2">
      <c r="AU6569"/>
      <c r="AV6569"/>
      <c r="AW6569"/>
      <c r="AX6569"/>
      <c r="AY6569"/>
    </row>
    <row r="6570" spans="47:51" x14ac:dyDescent="0.2">
      <c r="AU6570"/>
      <c r="AV6570"/>
      <c r="AW6570"/>
      <c r="AX6570"/>
      <c r="AY6570"/>
    </row>
    <row r="6571" spans="47:51" x14ac:dyDescent="0.2">
      <c r="AU6571"/>
      <c r="AV6571"/>
      <c r="AW6571"/>
      <c r="AX6571"/>
      <c r="AY6571"/>
    </row>
    <row r="6572" spans="47:51" x14ac:dyDescent="0.2">
      <c r="AU6572"/>
      <c r="AV6572"/>
      <c r="AW6572"/>
      <c r="AX6572"/>
      <c r="AY6572"/>
    </row>
    <row r="6573" spans="47:51" x14ac:dyDescent="0.2">
      <c r="AU6573"/>
      <c r="AV6573"/>
      <c r="AW6573"/>
      <c r="AX6573"/>
      <c r="AY6573"/>
    </row>
    <row r="6574" spans="47:51" x14ac:dyDescent="0.2">
      <c r="AU6574"/>
      <c r="AV6574"/>
      <c r="AW6574"/>
      <c r="AX6574"/>
      <c r="AY6574"/>
    </row>
    <row r="6575" spans="47:51" x14ac:dyDescent="0.2">
      <c r="AU6575"/>
      <c r="AV6575"/>
      <c r="AW6575"/>
      <c r="AX6575"/>
      <c r="AY6575"/>
    </row>
    <row r="6576" spans="47:51" x14ac:dyDescent="0.2">
      <c r="AU6576"/>
      <c r="AV6576"/>
      <c r="AW6576"/>
      <c r="AX6576"/>
      <c r="AY6576"/>
    </row>
    <row r="6577" spans="47:51" x14ac:dyDescent="0.2">
      <c r="AU6577"/>
      <c r="AV6577"/>
      <c r="AW6577"/>
      <c r="AX6577"/>
      <c r="AY6577"/>
    </row>
    <row r="6578" spans="47:51" x14ac:dyDescent="0.2">
      <c r="AU6578"/>
      <c r="AV6578"/>
      <c r="AW6578"/>
      <c r="AX6578"/>
      <c r="AY6578"/>
    </row>
    <row r="6579" spans="47:51" x14ac:dyDescent="0.2">
      <c r="AU6579"/>
      <c r="AV6579"/>
      <c r="AW6579"/>
      <c r="AX6579"/>
      <c r="AY6579"/>
    </row>
    <row r="6580" spans="47:51" x14ac:dyDescent="0.2">
      <c r="AU6580"/>
      <c r="AV6580"/>
      <c r="AW6580"/>
      <c r="AX6580"/>
      <c r="AY6580"/>
    </row>
    <row r="6581" spans="47:51" x14ac:dyDescent="0.2">
      <c r="AU6581"/>
      <c r="AV6581"/>
      <c r="AW6581"/>
      <c r="AX6581"/>
      <c r="AY6581"/>
    </row>
    <row r="6582" spans="47:51" x14ac:dyDescent="0.2">
      <c r="AU6582"/>
      <c r="AV6582"/>
      <c r="AW6582"/>
      <c r="AX6582"/>
      <c r="AY6582"/>
    </row>
    <row r="6583" spans="47:51" x14ac:dyDescent="0.2">
      <c r="AU6583"/>
      <c r="AV6583"/>
      <c r="AW6583"/>
      <c r="AX6583"/>
      <c r="AY6583"/>
    </row>
    <row r="6584" spans="47:51" x14ac:dyDescent="0.2">
      <c r="AU6584"/>
      <c r="AV6584"/>
      <c r="AW6584"/>
      <c r="AX6584"/>
      <c r="AY6584"/>
    </row>
    <row r="6585" spans="47:51" x14ac:dyDescent="0.2">
      <c r="AU6585"/>
      <c r="AV6585"/>
      <c r="AW6585"/>
      <c r="AX6585"/>
      <c r="AY6585"/>
    </row>
    <row r="6586" spans="47:51" x14ac:dyDescent="0.2">
      <c r="AU6586"/>
      <c r="AV6586"/>
      <c r="AW6586"/>
      <c r="AX6586"/>
      <c r="AY6586"/>
    </row>
    <row r="6587" spans="47:51" x14ac:dyDescent="0.2">
      <c r="AU6587"/>
      <c r="AV6587"/>
      <c r="AW6587"/>
      <c r="AX6587"/>
      <c r="AY6587"/>
    </row>
    <row r="6588" spans="47:51" x14ac:dyDescent="0.2">
      <c r="AU6588"/>
      <c r="AV6588"/>
      <c r="AW6588"/>
      <c r="AX6588"/>
      <c r="AY6588"/>
    </row>
    <row r="6589" spans="47:51" x14ac:dyDescent="0.2">
      <c r="AU6589"/>
      <c r="AV6589"/>
      <c r="AW6589"/>
      <c r="AX6589"/>
      <c r="AY6589"/>
    </row>
    <row r="6590" spans="47:51" x14ac:dyDescent="0.2">
      <c r="AU6590"/>
      <c r="AV6590"/>
      <c r="AW6590"/>
      <c r="AX6590"/>
      <c r="AY6590"/>
    </row>
    <row r="6591" spans="47:51" x14ac:dyDescent="0.2">
      <c r="AU6591"/>
      <c r="AV6591"/>
      <c r="AW6591"/>
      <c r="AX6591"/>
      <c r="AY6591"/>
    </row>
    <row r="6592" spans="47:51" x14ac:dyDescent="0.2">
      <c r="AU6592"/>
      <c r="AV6592"/>
      <c r="AW6592"/>
      <c r="AX6592"/>
      <c r="AY6592"/>
    </row>
    <row r="6593" spans="47:51" x14ac:dyDescent="0.2">
      <c r="AU6593"/>
      <c r="AV6593"/>
      <c r="AW6593"/>
      <c r="AX6593"/>
      <c r="AY6593"/>
    </row>
    <row r="6594" spans="47:51" x14ac:dyDescent="0.2">
      <c r="AU6594"/>
      <c r="AV6594"/>
      <c r="AW6594"/>
      <c r="AX6594"/>
      <c r="AY6594"/>
    </row>
    <row r="6595" spans="47:51" x14ac:dyDescent="0.2">
      <c r="AU6595"/>
      <c r="AV6595"/>
      <c r="AW6595"/>
      <c r="AX6595"/>
      <c r="AY6595"/>
    </row>
    <row r="6596" spans="47:51" x14ac:dyDescent="0.2">
      <c r="AU6596"/>
      <c r="AV6596"/>
      <c r="AW6596"/>
      <c r="AX6596"/>
      <c r="AY6596"/>
    </row>
    <row r="6597" spans="47:51" x14ac:dyDescent="0.2">
      <c r="AU6597"/>
      <c r="AV6597"/>
      <c r="AW6597"/>
      <c r="AX6597"/>
      <c r="AY6597"/>
    </row>
    <row r="6598" spans="47:51" x14ac:dyDescent="0.2">
      <c r="AU6598"/>
      <c r="AV6598"/>
      <c r="AW6598"/>
      <c r="AX6598"/>
      <c r="AY6598"/>
    </row>
    <row r="6599" spans="47:51" x14ac:dyDescent="0.2">
      <c r="AU6599"/>
      <c r="AV6599"/>
      <c r="AW6599"/>
      <c r="AX6599"/>
      <c r="AY6599"/>
    </row>
    <row r="6600" spans="47:51" x14ac:dyDescent="0.2">
      <c r="AU6600"/>
      <c r="AV6600"/>
      <c r="AW6600"/>
      <c r="AX6600"/>
      <c r="AY6600"/>
    </row>
    <row r="6601" spans="47:51" x14ac:dyDescent="0.2">
      <c r="AU6601"/>
      <c r="AV6601"/>
      <c r="AW6601"/>
      <c r="AX6601"/>
      <c r="AY6601"/>
    </row>
    <row r="6602" spans="47:51" x14ac:dyDescent="0.2">
      <c r="AU6602"/>
      <c r="AV6602"/>
      <c r="AW6602"/>
      <c r="AX6602"/>
      <c r="AY6602"/>
    </row>
    <row r="6603" spans="47:51" x14ac:dyDescent="0.2">
      <c r="AU6603"/>
      <c r="AV6603"/>
      <c r="AW6603"/>
      <c r="AX6603"/>
      <c r="AY6603"/>
    </row>
    <row r="6604" spans="47:51" x14ac:dyDescent="0.2">
      <c r="AU6604"/>
      <c r="AV6604"/>
      <c r="AW6604"/>
      <c r="AX6604"/>
      <c r="AY6604"/>
    </row>
    <row r="6605" spans="47:51" x14ac:dyDescent="0.2">
      <c r="AU6605"/>
      <c r="AV6605"/>
      <c r="AW6605"/>
      <c r="AX6605"/>
      <c r="AY6605"/>
    </row>
    <row r="6606" spans="47:51" x14ac:dyDescent="0.2">
      <c r="AU6606"/>
      <c r="AV6606"/>
      <c r="AW6606"/>
      <c r="AX6606"/>
      <c r="AY6606"/>
    </row>
    <row r="6607" spans="47:51" x14ac:dyDescent="0.2">
      <c r="AU6607"/>
      <c r="AV6607"/>
      <c r="AW6607"/>
      <c r="AX6607"/>
      <c r="AY6607"/>
    </row>
    <row r="6608" spans="47:51" x14ac:dyDescent="0.2">
      <c r="AU6608"/>
      <c r="AV6608"/>
      <c r="AW6608"/>
      <c r="AX6608"/>
      <c r="AY6608"/>
    </row>
    <row r="6609" spans="47:51" x14ac:dyDescent="0.2">
      <c r="AU6609"/>
      <c r="AV6609"/>
      <c r="AW6609"/>
      <c r="AX6609"/>
      <c r="AY6609"/>
    </row>
    <row r="6610" spans="47:51" x14ac:dyDescent="0.2">
      <c r="AU6610"/>
      <c r="AV6610"/>
      <c r="AW6610"/>
      <c r="AX6610"/>
      <c r="AY6610"/>
    </row>
    <row r="6611" spans="47:51" x14ac:dyDescent="0.2">
      <c r="AU6611"/>
      <c r="AV6611"/>
      <c r="AW6611"/>
      <c r="AX6611"/>
      <c r="AY6611"/>
    </row>
    <row r="6612" spans="47:51" x14ac:dyDescent="0.2">
      <c r="AU6612"/>
      <c r="AV6612"/>
      <c r="AW6612"/>
      <c r="AX6612"/>
      <c r="AY6612"/>
    </row>
    <row r="6613" spans="47:51" x14ac:dyDescent="0.2">
      <c r="AU6613"/>
      <c r="AV6613"/>
      <c r="AW6613"/>
      <c r="AX6613"/>
      <c r="AY6613"/>
    </row>
    <row r="6614" spans="47:51" x14ac:dyDescent="0.2">
      <c r="AU6614"/>
      <c r="AV6614"/>
      <c r="AW6614"/>
      <c r="AX6614"/>
      <c r="AY6614"/>
    </row>
    <row r="6615" spans="47:51" x14ac:dyDescent="0.2">
      <c r="AU6615"/>
      <c r="AV6615"/>
      <c r="AW6615"/>
      <c r="AX6615"/>
      <c r="AY6615"/>
    </row>
    <row r="6616" spans="47:51" x14ac:dyDescent="0.2">
      <c r="AU6616"/>
      <c r="AV6616"/>
      <c r="AW6616"/>
      <c r="AX6616"/>
      <c r="AY6616"/>
    </row>
    <row r="6617" spans="47:51" x14ac:dyDescent="0.2">
      <c r="AU6617"/>
      <c r="AV6617"/>
      <c r="AW6617"/>
      <c r="AX6617"/>
      <c r="AY6617"/>
    </row>
    <row r="6618" spans="47:51" x14ac:dyDescent="0.2">
      <c r="AU6618"/>
      <c r="AV6618"/>
      <c r="AW6618"/>
      <c r="AX6618"/>
      <c r="AY6618"/>
    </row>
    <row r="6619" spans="47:51" x14ac:dyDescent="0.2">
      <c r="AU6619"/>
      <c r="AV6619"/>
      <c r="AW6619"/>
      <c r="AX6619"/>
      <c r="AY6619"/>
    </row>
    <row r="6620" spans="47:51" x14ac:dyDescent="0.2">
      <c r="AU6620"/>
      <c r="AV6620"/>
      <c r="AW6620"/>
      <c r="AX6620"/>
      <c r="AY6620"/>
    </row>
    <row r="6621" spans="47:51" x14ac:dyDescent="0.2">
      <c r="AU6621"/>
      <c r="AV6621"/>
      <c r="AW6621"/>
      <c r="AX6621"/>
      <c r="AY6621"/>
    </row>
    <row r="6622" spans="47:51" x14ac:dyDescent="0.2">
      <c r="AU6622"/>
      <c r="AV6622"/>
      <c r="AW6622"/>
      <c r="AX6622"/>
      <c r="AY6622"/>
    </row>
    <row r="6623" spans="47:51" x14ac:dyDescent="0.2">
      <c r="AU6623"/>
      <c r="AV6623"/>
      <c r="AW6623"/>
      <c r="AX6623"/>
      <c r="AY6623"/>
    </row>
    <row r="6624" spans="47:51" x14ac:dyDescent="0.2">
      <c r="AU6624"/>
      <c r="AV6624"/>
      <c r="AW6624"/>
      <c r="AX6624"/>
      <c r="AY6624"/>
    </row>
    <row r="6625" spans="47:51" x14ac:dyDescent="0.2">
      <c r="AU6625"/>
      <c r="AV6625"/>
      <c r="AW6625"/>
      <c r="AX6625"/>
      <c r="AY6625"/>
    </row>
    <row r="6626" spans="47:51" x14ac:dyDescent="0.2">
      <c r="AU6626"/>
      <c r="AV6626"/>
      <c r="AW6626"/>
      <c r="AX6626"/>
      <c r="AY6626"/>
    </row>
    <row r="6627" spans="47:51" x14ac:dyDescent="0.2">
      <c r="AU6627"/>
      <c r="AV6627"/>
      <c r="AW6627"/>
      <c r="AX6627"/>
      <c r="AY6627"/>
    </row>
    <row r="6628" spans="47:51" x14ac:dyDescent="0.2">
      <c r="AU6628"/>
      <c r="AV6628"/>
      <c r="AW6628"/>
      <c r="AX6628"/>
      <c r="AY6628"/>
    </row>
    <row r="6629" spans="47:51" x14ac:dyDescent="0.2">
      <c r="AU6629"/>
      <c r="AV6629"/>
      <c r="AW6629"/>
      <c r="AX6629"/>
      <c r="AY6629"/>
    </row>
    <row r="6630" spans="47:51" x14ac:dyDescent="0.2">
      <c r="AU6630"/>
      <c r="AV6630"/>
      <c r="AW6630"/>
      <c r="AX6630"/>
      <c r="AY6630"/>
    </row>
    <row r="6631" spans="47:51" x14ac:dyDescent="0.2">
      <c r="AU6631"/>
      <c r="AV6631"/>
      <c r="AW6631"/>
      <c r="AX6631"/>
      <c r="AY6631"/>
    </row>
    <row r="6632" spans="47:51" x14ac:dyDescent="0.2">
      <c r="AU6632"/>
      <c r="AV6632"/>
      <c r="AW6632"/>
      <c r="AX6632"/>
      <c r="AY6632"/>
    </row>
    <row r="6633" spans="47:51" x14ac:dyDescent="0.2">
      <c r="AU6633"/>
      <c r="AV6633"/>
      <c r="AW6633"/>
      <c r="AX6633"/>
      <c r="AY6633"/>
    </row>
    <row r="6634" spans="47:51" x14ac:dyDescent="0.2">
      <c r="AU6634"/>
      <c r="AV6634"/>
      <c r="AW6634"/>
      <c r="AX6634"/>
      <c r="AY6634"/>
    </row>
    <row r="6635" spans="47:51" x14ac:dyDescent="0.2">
      <c r="AU6635"/>
      <c r="AV6635"/>
      <c r="AW6635"/>
      <c r="AX6635"/>
      <c r="AY6635"/>
    </row>
    <row r="6636" spans="47:51" x14ac:dyDescent="0.2">
      <c r="AU6636"/>
      <c r="AV6636"/>
      <c r="AW6636"/>
      <c r="AX6636"/>
      <c r="AY6636"/>
    </row>
    <row r="6637" spans="47:51" x14ac:dyDescent="0.2">
      <c r="AU6637"/>
      <c r="AV6637"/>
      <c r="AW6637"/>
      <c r="AX6637"/>
      <c r="AY6637"/>
    </row>
    <row r="6638" spans="47:51" x14ac:dyDescent="0.2">
      <c r="AU6638"/>
      <c r="AV6638"/>
      <c r="AW6638"/>
      <c r="AX6638"/>
      <c r="AY6638"/>
    </row>
    <row r="6639" spans="47:51" x14ac:dyDescent="0.2">
      <c r="AU6639"/>
      <c r="AV6639"/>
      <c r="AW6639"/>
      <c r="AX6639"/>
      <c r="AY6639"/>
    </row>
    <row r="6640" spans="47:51" x14ac:dyDescent="0.2">
      <c r="AU6640"/>
      <c r="AV6640"/>
      <c r="AW6640"/>
      <c r="AX6640"/>
      <c r="AY6640"/>
    </row>
    <row r="6641" spans="47:51" x14ac:dyDescent="0.2">
      <c r="AU6641"/>
      <c r="AV6641"/>
      <c r="AW6641"/>
      <c r="AX6641"/>
      <c r="AY6641"/>
    </row>
    <row r="6642" spans="47:51" x14ac:dyDescent="0.2">
      <c r="AU6642"/>
      <c r="AV6642"/>
      <c r="AW6642"/>
      <c r="AX6642"/>
      <c r="AY6642"/>
    </row>
    <row r="6643" spans="47:51" x14ac:dyDescent="0.2">
      <c r="AU6643"/>
      <c r="AV6643"/>
      <c r="AW6643"/>
      <c r="AX6643"/>
      <c r="AY6643"/>
    </row>
    <row r="6644" spans="47:51" x14ac:dyDescent="0.2">
      <c r="AU6644"/>
      <c r="AV6644"/>
      <c r="AW6644"/>
      <c r="AX6644"/>
      <c r="AY6644"/>
    </row>
    <row r="6645" spans="47:51" x14ac:dyDescent="0.2">
      <c r="AU6645"/>
      <c r="AV6645"/>
      <c r="AW6645"/>
      <c r="AX6645"/>
      <c r="AY6645"/>
    </row>
    <row r="6646" spans="47:51" x14ac:dyDescent="0.2">
      <c r="AU6646"/>
      <c r="AV6646"/>
      <c r="AW6646"/>
      <c r="AX6646"/>
      <c r="AY6646"/>
    </row>
    <row r="6647" spans="47:51" x14ac:dyDescent="0.2">
      <c r="AU6647"/>
      <c r="AV6647"/>
      <c r="AW6647"/>
      <c r="AX6647"/>
      <c r="AY6647"/>
    </row>
    <row r="6648" spans="47:51" x14ac:dyDescent="0.2">
      <c r="AU6648"/>
      <c r="AV6648"/>
      <c r="AW6648"/>
      <c r="AX6648"/>
      <c r="AY6648"/>
    </row>
    <row r="6649" spans="47:51" x14ac:dyDescent="0.2">
      <c r="AU6649"/>
      <c r="AV6649"/>
      <c r="AW6649"/>
      <c r="AX6649"/>
      <c r="AY6649"/>
    </row>
    <row r="6650" spans="47:51" x14ac:dyDescent="0.2">
      <c r="AU6650"/>
      <c r="AV6650"/>
      <c r="AW6650"/>
      <c r="AX6650"/>
      <c r="AY6650"/>
    </row>
    <row r="6651" spans="47:51" x14ac:dyDescent="0.2">
      <c r="AU6651"/>
      <c r="AV6651"/>
      <c r="AW6651"/>
      <c r="AX6651"/>
      <c r="AY6651"/>
    </row>
    <row r="6652" spans="47:51" x14ac:dyDescent="0.2">
      <c r="AU6652"/>
      <c r="AV6652"/>
      <c r="AW6652"/>
      <c r="AX6652"/>
      <c r="AY6652"/>
    </row>
    <row r="6653" spans="47:51" x14ac:dyDescent="0.2">
      <c r="AU6653"/>
      <c r="AV6653"/>
      <c r="AW6653"/>
      <c r="AX6653"/>
      <c r="AY6653"/>
    </row>
    <row r="6654" spans="47:51" x14ac:dyDescent="0.2">
      <c r="AU6654"/>
      <c r="AV6654"/>
      <c r="AW6654"/>
      <c r="AX6654"/>
      <c r="AY6654"/>
    </row>
    <row r="6655" spans="47:51" x14ac:dyDescent="0.2">
      <c r="AU6655"/>
      <c r="AV6655"/>
      <c r="AW6655"/>
      <c r="AX6655"/>
      <c r="AY6655"/>
    </row>
    <row r="6656" spans="47:51" x14ac:dyDescent="0.2">
      <c r="AU6656"/>
      <c r="AV6656"/>
      <c r="AW6656"/>
      <c r="AX6656"/>
      <c r="AY6656"/>
    </row>
    <row r="6657" spans="47:51" x14ac:dyDescent="0.2">
      <c r="AU6657"/>
      <c r="AV6657"/>
      <c r="AW6657"/>
      <c r="AX6657"/>
      <c r="AY6657"/>
    </row>
    <row r="6658" spans="47:51" x14ac:dyDescent="0.2">
      <c r="AU6658"/>
      <c r="AV6658"/>
      <c r="AW6658"/>
      <c r="AX6658"/>
      <c r="AY6658"/>
    </row>
    <row r="6659" spans="47:51" x14ac:dyDescent="0.2">
      <c r="AU6659"/>
      <c r="AV6659"/>
      <c r="AW6659"/>
      <c r="AX6659"/>
      <c r="AY6659"/>
    </row>
    <row r="6660" spans="47:51" x14ac:dyDescent="0.2">
      <c r="AU6660"/>
      <c r="AV6660"/>
      <c r="AW6660"/>
      <c r="AX6660"/>
      <c r="AY6660"/>
    </row>
    <row r="6661" spans="47:51" x14ac:dyDescent="0.2">
      <c r="AU6661"/>
      <c r="AV6661"/>
      <c r="AW6661"/>
      <c r="AX6661"/>
      <c r="AY6661"/>
    </row>
    <row r="6662" spans="47:51" x14ac:dyDescent="0.2">
      <c r="AU6662"/>
      <c r="AV6662"/>
      <c r="AW6662"/>
      <c r="AX6662"/>
      <c r="AY6662"/>
    </row>
    <row r="6663" spans="47:51" x14ac:dyDescent="0.2">
      <c r="AU6663"/>
      <c r="AV6663"/>
      <c r="AW6663"/>
      <c r="AX6663"/>
      <c r="AY6663"/>
    </row>
    <row r="6664" spans="47:51" x14ac:dyDescent="0.2">
      <c r="AU6664"/>
      <c r="AV6664"/>
      <c r="AW6664"/>
      <c r="AX6664"/>
      <c r="AY6664"/>
    </row>
    <row r="6665" spans="47:51" x14ac:dyDescent="0.2">
      <c r="AU6665"/>
      <c r="AV6665"/>
      <c r="AW6665"/>
      <c r="AX6665"/>
      <c r="AY6665"/>
    </row>
    <row r="6666" spans="47:51" x14ac:dyDescent="0.2">
      <c r="AU6666"/>
      <c r="AV6666"/>
      <c r="AW6666"/>
      <c r="AX6666"/>
      <c r="AY6666"/>
    </row>
    <row r="6667" spans="47:51" x14ac:dyDescent="0.2">
      <c r="AU6667"/>
      <c r="AV6667"/>
      <c r="AW6667"/>
      <c r="AX6667"/>
      <c r="AY6667"/>
    </row>
    <row r="6668" spans="47:51" x14ac:dyDescent="0.2">
      <c r="AU6668"/>
      <c r="AV6668"/>
      <c r="AW6668"/>
      <c r="AX6668"/>
      <c r="AY6668"/>
    </row>
    <row r="6669" spans="47:51" x14ac:dyDescent="0.2">
      <c r="AU6669"/>
      <c r="AV6669"/>
      <c r="AW6669"/>
      <c r="AX6669"/>
      <c r="AY6669"/>
    </row>
    <row r="6670" spans="47:51" x14ac:dyDescent="0.2">
      <c r="AU6670"/>
      <c r="AV6670"/>
      <c r="AW6670"/>
      <c r="AX6670"/>
      <c r="AY6670"/>
    </row>
    <row r="6671" spans="47:51" x14ac:dyDescent="0.2">
      <c r="AU6671"/>
      <c r="AV6671"/>
      <c r="AW6671"/>
      <c r="AX6671"/>
      <c r="AY6671"/>
    </row>
    <row r="6672" spans="47:51" x14ac:dyDescent="0.2">
      <c r="AU6672"/>
      <c r="AV6672"/>
      <c r="AW6672"/>
      <c r="AX6672"/>
      <c r="AY6672"/>
    </row>
    <row r="6673" spans="47:51" x14ac:dyDescent="0.2">
      <c r="AU6673"/>
      <c r="AV6673"/>
      <c r="AW6673"/>
      <c r="AX6673"/>
      <c r="AY6673"/>
    </row>
    <row r="6674" spans="47:51" x14ac:dyDescent="0.2">
      <c r="AU6674"/>
      <c r="AV6674"/>
      <c r="AW6674"/>
      <c r="AX6674"/>
      <c r="AY6674"/>
    </row>
    <row r="6675" spans="47:51" x14ac:dyDescent="0.2">
      <c r="AU6675"/>
      <c r="AV6675"/>
      <c r="AW6675"/>
      <c r="AX6675"/>
      <c r="AY6675"/>
    </row>
    <row r="6676" spans="47:51" x14ac:dyDescent="0.2">
      <c r="AU6676"/>
      <c r="AV6676"/>
      <c r="AW6676"/>
      <c r="AX6676"/>
      <c r="AY6676"/>
    </row>
    <row r="6677" spans="47:51" x14ac:dyDescent="0.2">
      <c r="AU6677"/>
      <c r="AV6677"/>
      <c r="AW6677"/>
      <c r="AX6677"/>
      <c r="AY6677"/>
    </row>
    <row r="6678" spans="47:51" x14ac:dyDescent="0.2">
      <c r="AU6678"/>
      <c r="AV6678"/>
      <c r="AW6678"/>
      <c r="AX6678"/>
      <c r="AY6678"/>
    </row>
    <row r="6679" spans="47:51" x14ac:dyDescent="0.2">
      <c r="AU6679"/>
      <c r="AV6679"/>
      <c r="AW6679"/>
      <c r="AX6679"/>
      <c r="AY6679"/>
    </row>
    <row r="6680" spans="47:51" x14ac:dyDescent="0.2">
      <c r="AU6680"/>
      <c r="AV6680"/>
      <c r="AW6680"/>
      <c r="AX6680"/>
      <c r="AY6680"/>
    </row>
    <row r="6681" spans="47:51" x14ac:dyDescent="0.2">
      <c r="AU6681"/>
      <c r="AV6681"/>
      <c r="AW6681"/>
      <c r="AX6681"/>
      <c r="AY6681"/>
    </row>
    <row r="6682" spans="47:51" x14ac:dyDescent="0.2">
      <c r="AU6682"/>
      <c r="AV6682"/>
      <c r="AW6682"/>
      <c r="AX6682"/>
      <c r="AY6682"/>
    </row>
    <row r="6683" spans="47:51" x14ac:dyDescent="0.2">
      <c r="AU6683"/>
      <c r="AV6683"/>
      <c r="AW6683"/>
      <c r="AX6683"/>
      <c r="AY6683"/>
    </row>
    <row r="6684" spans="47:51" x14ac:dyDescent="0.2">
      <c r="AU6684"/>
      <c r="AV6684"/>
      <c r="AW6684"/>
      <c r="AX6684"/>
      <c r="AY6684"/>
    </row>
    <row r="6685" spans="47:51" x14ac:dyDescent="0.2">
      <c r="AU6685"/>
      <c r="AV6685"/>
      <c r="AW6685"/>
      <c r="AX6685"/>
      <c r="AY6685"/>
    </row>
    <row r="6686" spans="47:51" x14ac:dyDescent="0.2">
      <c r="AU6686"/>
      <c r="AV6686"/>
      <c r="AW6686"/>
      <c r="AX6686"/>
      <c r="AY6686"/>
    </row>
    <row r="6687" spans="47:51" x14ac:dyDescent="0.2">
      <c r="AU6687"/>
      <c r="AV6687"/>
      <c r="AW6687"/>
      <c r="AX6687"/>
      <c r="AY6687"/>
    </row>
    <row r="6688" spans="47:51" x14ac:dyDescent="0.2">
      <c r="AU6688"/>
      <c r="AV6688"/>
      <c r="AW6688"/>
      <c r="AX6688"/>
      <c r="AY6688"/>
    </row>
    <row r="6689" spans="47:51" x14ac:dyDescent="0.2">
      <c r="AU6689"/>
      <c r="AV6689"/>
      <c r="AW6689"/>
      <c r="AX6689"/>
      <c r="AY6689"/>
    </row>
    <row r="6690" spans="47:51" x14ac:dyDescent="0.2">
      <c r="AU6690"/>
      <c r="AV6690"/>
      <c r="AW6690"/>
      <c r="AX6690"/>
      <c r="AY6690"/>
    </row>
    <row r="6691" spans="47:51" x14ac:dyDescent="0.2">
      <c r="AU6691"/>
      <c r="AV6691"/>
      <c r="AW6691"/>
      <c r="AX6691"/>
      <c r="AY6691"/>
    </row>
    <row r="6692" spans="47:51" x14ac:dyDescent="0.2">
      <c r="AU6692"/>
      <c r="AV6692"/>
      <c r="AW6692"/>
      <c r="AX6692"/>
      <c r="AY6692"/>
    </row>
    <row r="6693" spans="47:51" x14ac:dyDescent="0.2">
      <c r="AU6693"/>
      <c r="AV6693"/>
      <c r="AW6693"/>
      <c r="AX6693"/>
      <c r="AY6693"/>
    </row>
    <row r="6694" spans="47:51" x14ac:dyDescent="0.2">
      <c r="AU6694"/>
      <c r="AV6694"/>
      <c r="AW6694"/>
      <c r="AX6694"/>
      <c r="AY6694"/>
    </row>
    <row r="6695" spans="47:51" x14ac:dyDescent="0.2">
      <c r="AU6695"/>
      <c r="AV6695"/>
      <c r="AW6695"/>
      <c r="AX6695"/>
      <c r="AY6695"/>
    </row>
    <row r="6696" spans="47:51" x14ac:dyDescent="0.2">
      <c r="AU6696"/>
      <c r="AV6696"/>
      <c r="AW6696"/>
      <c r="AX6696"/>
      <c r="AY6696"/>
    </row>
    <row r="6697" spans="47:51" x14ac:dyDescent="0.2">
      <c r="AU6697"/>
      <c r="AV6697"/>
      <c r="AW6697"/>
      <c r="AX6697"/>
      <c r="AY6697"/>
    </row>
    <row r="6698" spans="47:51" x14ac:dyDescent="0.2">
      <c r="AU6698"/>
      <c r="AV6698"/>
      <c r="AW6698"/>
      <c r="AX6698"/>
      <c r="AY6698"/>
    </row>
    <row r="6699" spans="47:51" x14ac:dyDescent="0.2">
      <c r="AU6699"/>
      <c r="AV6699"/>
      <c r="AW6699"/>
      <c r="AX6699"/>
      <c r="AY6699"/>
    </row>
    <row r="6700" spans="47:51" x14ac:dyDescent="0.2">
      <c r="AU6700"/>
      <c r="AV6700"/>
      <c r="AW6700"/>
      <c r="AX6700"/>
      <c r="AY6700"/>
    </row>
    <row r="6701" spans="47:51" x14ac:dyDescent="0.2">
      <c r="AU6701"/>
      <c r="AV6701"/>
      <c r="AW6701"/>
      <c r="AX6701"/>
      <c r="AY6701"/>
    </row>
    <row r="6702" spans="47:51" x14ac:dyDescent="0.2">
      <c r="AU6702"/>
      <c r="AV6702"/>
      <c r="AW6702"/>
      <c r="AX6702"/>
      <c r="AY6702"/>
    </row>
    <row r="6703" spans="47:51" x14ac:dyDescent="0.2">
      <c r="AU6703"/>
      <c r="AV6703"/>
      <c r="AW6703"/>
      <c r="AX6703"/>
      <c r="AY6703"/>
    </row>
    <row r="6704" spans="47:51" x14ac:dyDescent="0.2">
      <c r="AU6704"/>
      <c r="AV6704"/>
      <c r="AW6704"/>
      <c r="AX6704"/>
      <c r="AY6704"/>
    </row>
    <row r="6705" spans="47:51" x14ac:dyDescent="0.2">
      <c r="AU6705"/>
      <c r="AV6705"/>
      <c r="AW6705"/>
      <c r="AX6705"/>
      <c r="AY6705"/>
    </row>
    <row r="6706" spans="47:51" x14ac:dyDescent="0.2">
      <c r="AU6706"/>
      <c r="AV6706"/>
      <c r="AW6706"/>
      <c r="AX6706"/>
      <c r="AY6706"/>
    </row>
    <row r="6707" spans="47:51" x14ac:dyDescent="0.2">
      <c r="AU6707"/>
      <c r="AV6707"/>
      <c r="AW6707"/>
      <c r="AX6707"/>
      <c r="AY6707"/>
    </row>
    <row r="6708" spans="47:51" x14ac:dyDescent="0.2">
      <c r="AU6708"/>
      <c r="AV6708"/>
      <c r="AW6708"/>
      <c r="AX6708"/>
      <c r="AY6708"/>
    </row>
    <row r="6709" spans="47:51" x14ac:dyDescent="0.2">
      <c r="AU6709"/>
      <c r="AV6709"/>
      <c r="AW6709"/>
      <c r="AX6709"/>
      <c r="AY6709"/>
    </row>
    <row r="6710" spans="47:51" x14ac:dyDescent="0.2">
      <c r="AU6710"/>
      <c r="AV6710"/>
      <c r="AW6710"/>
      <c r="AX6710"/>
      <c r="AY6710"/>
    </row>
    <row r="6711" spans="47:51" x14ac:dyDescent="0.2">
      <c r="AU6711"/>
      <c r="AV6711"/>
      <c r="AW6711"/>
      <c r="AX6711"/>
      <c r="AY6711"/>
    </row>
    <row r="6712" spans="47:51" x14ac:dyDescent="0.2">
      <c r="AU6712"/>
      <c r="AV6712"/>
      <c r="AW6712"/>
      <c r="AX6712"/>
      <c r="AY6712"/>
    </row>
    <row r="6713" spans="47:51" x14ac:dyDescent="0.2">
      <c r="AU6713"/>
      <c r="AV6713"/>
      <c r="AW6713"/>
      <c r="AX6713"/>
      <c r="AY6713"/>
    </row>
    <row r="6714" spans="47:51" x14ac:dyDescent="0.2">
      <c r="AU6714"/>
      <c r="AV6714"/>
      <c r="AW6714"/>
      <c r="AX6714"/>
      <c r="AY6714"/>
    </row>
    <row r="6715" spans="47:51" x14ac:dyDescent="0.2">
      <c r="AU6715"/>
      <c r="AV6715"/>
      <c r="AW6715"/>
      <c r="AX6715"/>
      <c r="AY6715"/>
    </row>
    <row r="6716" spans="47:51" x14ac:dyDescent="0.2">
      <c r="AU6716"/>
      <c r="AV6716"/>
      <c r="AW6716"/>
      <c r="AX6716"/>
      <c r="AY6716"/>
    </row>
    <row r="6717" spans="47:51" x14ac:dyDescent="0.2">
      <c r="AU6717"/>
      <c r="AV6717"/>
      <c r="AW6717"/>
      <c r="AX6717"/>
      <c r="AY6717"/>
    </row>
    <row r="6718" spans="47:51" x14ac:dyDescent="0.2">
      <c r="AU6718"/>
      <c r="AV6718"/>
      <c r="AW6718"/>
      <c r="AX6718"/>
      <c r="AY6718"/>
    </row>
    <row r="6719" spans="47:51" x14ac:dyDescent="0.2">
      <c r="AU6719"/>
      <c r="AV6719"/>
      <c r="AW6719"/>
      <c r="AX6719"/>
      <c r="AY6719"/>
    </row>
    <row r="6720" spans="47:51" x14ac:dyDescent="0.2">
      <c r="AU6720"/>
      <c r="AV6720"/>
      <c r="AW6720"/>
      <c r="AX6720"/>
      <c r="AY6720"/>
    </row>
    <row r="6721" spans="47:51" x14ac:dyDescent="0.2">
      <c r="AU6721"/>
      <c r="AV6721"/>
      <c r="AW6721"/>
      <c r="AX6721"/>
      <c r="AY6721"/>
    </row>
    <row r="6722" spans="47:51" x14ac:dyDescent="0.2">
      <c r="AU6722"/>
      <c r="AV6722"/>
      <c r="AW6722"/>
      <c r="AX6722"/>
      <c r="AY6722"/>
    </row>
    <row r="6723" spans="47:51" x14ac:dyDescent="0.2">
      <c r="AU6723"/>
      <c r="AV6723"/>
      <c r="AW6723"/>
      <c r="AX6723"/>
      <c r="AY6723"/>
    </row>
    <row r="6724" spans="47:51" x14ac:dyDescent="0.2">
      <c r="AU6724"/>
      <c r="AV6724"/>
      <c r="AW6724"/>
      <c r="AX6724"/>
      <c r="AY6724"/>
    </row>
    <row r="6725" spans="47:51" x14ac:dyDescent="0.2">
      <c r="AU6725"/>
      <c r="AV6725"/>
      <c r="AW6725"/>
      <c r="AX6725"/>
      <c r="AY6725"/>
    </row>
    <row r="6726" spans="47:51" x14ac:dyDescent="0.2">
      <c r="AU6726"/>
      <c r="AV6726"/>
      <c r="AW6726"/>
      <c r="AX6726"/>
      <c r="AY6726"/>
    </row>
    <row r="6727" spans="47:51" x14ac:dyDescent="0.2">
      <c r="AU6727"/>
      <c r="AV6727"/>
      <c r="AW6727"/>
      <c r="AX6727"/>
      <c r="AY6727"/>
    </row>
    <row r="6728" spans="47:51" x14ac:dyDescent="0.2">
      <c r="AU6728"/>
      <c r="AV6728"/>
      <c r="AW6728"/>
      <c r="AX6728"/>
      <c r="AY6728"/>
    </row>
    <row r="6729" spans="47:51" x14ac:dyDescent="0.2">
      <c r="AU6729"/>
      <c r="AV6729"/>
      <c r="AW6729"/>
      <c r="AX6729"/>
      <c r="AY6729"/>
    </row>
    <row r="6730" spans="47:51" x14ac:dyDescent="0.2">
      <c r="AU6730"/>
      <c r="AV6730"/>
      <c r="AW6730"/>
      <c r="AX6730"/>
      <c r="AY6730"/>
    </row>
    <row r="6731" spans="47:51" x14ac:dyDescent="0.2">
      <c r="AU6731"/>
      <c r="AV6731"/>
      <c r="AW6731"/>
      <c r="AX6731"/>
      <c r="AY6731"/>
    </row>
    <row r="6732" spans="47:51" x14ac:dyDescent="0.2">
      <c r="AU6732"/>
      <c r="AV6732"/>
      <c r="AW6732"/>
      <c r="AX6732"/>
      <c r="AY6732"/>
    </row>
    <row r="6733" spans="47:51" x14ac:dyDescent="0.2">
      <c r="AU6733"/>
      <c r="AV6733"/>
      <c r="AW6733"/>
      <c r="AX6733"/>
      <c r="AY6733"/>
    </row>
    <row r="6734" spans="47:51" x14ac:dyDescent="0.2">
      <c r="AU6734"/>
      <c r="AV6734"/>
      <c r="AW6734"/>
      <c r="AX6734"/>
      <c r="AY6734"/>
    </row>
    <row r="6735" spans="47:51" x14ac:dyDescent="0.2">
      <c r="AU6735"/>
      <c r="AV6735"/>
      <c r="AW6735"/>
      <c r="AX6735"/>
      <c r="AY6735"/>
    </row>
    <row r="6736" spans="47:51" x14ac:dyDescent="0.2">
      <c r="AU6736"/>
      <c r="AV6736"/>
      <c r="AW6736"/>
      <c r="AX6736"/>
      <c r="AY6736"/>
    </row>
    <row r="6737" spans="47:51" x14ac:dyDescent="0.2">
      <c r="AU6737"/>
      <c r="AV6737"/>
      <c r="AW6737"/>
      <c r="AX6737"/>
      <c r="AY6737"/>
    </row>
    <row r="6738" spans="47:51" x14ac:dyDescent="0.2">
      <c r="AU6738"/>
      <c r="AV6738"/>
      <c r="AW6738"/>
      <c r="AX6738"/>
      <c r="AY6738"/>
    </row>
    <row r="6739" spans="47:51" x14ac:dyDescent="0.2">
      <c r="AU6739"/>
      <c r="AV6739"/>
      <c r="AW6739"/>
      <c r="AX6739"/>
      <c r="AY6739"/>
    </row>
    <row r="6740" spans="47:51" x14ac:dyDescent="0.2">
      <c r="AU6740"/>
      <c r="AV6740"/>
      <c r="AW6740"/>
      <c r="AX6740"/>
      <c r="AY6740"/>
    </row>
    <row r="6741" spans="47:51" x14ac:dyDescent="0.2">
      <c r="AU6741"/>
      <c r="AV6741"/>
      <c r="AW6741"/>
      <c r="AX6741"/>
      <c r="AY6741"/>
    </row>
    <row r="6742" spans="47:51" x14ac:dyDescent="0.2">
      <c r="AU6742"/>
      <c r="AV6742"/>
      <c r="AW6742"/>
      <c r="AX6742"/>
      <c r="AY6742"/>
    </row>
    <row r="6743" spans="47:51" x14ac:dyDescent="0.2">
      <c r="AU6743"/>
      <c r="AV6743"/>
      <c r="AW6743"/>
      <c r="AX6743"/>
      <c r="AY6743"/>
    </row>
    <row r="6744" spans="47:51" x14ac:dyDescent="0.2">
      <c r="AU6744"/>
      <c r="AV6744"/>
      <c r="AW6744"/>
      <c r="AX6744"/>
      <c r="AY6744"/>
    </row>
    <row r="6745" spans="47:51" x14ac:dyDescent="0.2">
      <c r="AU6745"/>
      <c r="AV6745"/>
      <c r="AW6745"/>
      <c r="AX6745"/>
      <c r="AY6745"/>
    </row>
    <row r="6746" spans="47:51" x14ac:dyDescent="0.2">
      <c r="AU6746"/>
      <c r="AV6746"/>
      <c r="AW6746"/>
      <c r="AX6746"/>
      <c r="AY6746"/>
    </row>
    <row r="6747" spans="47:51" x14ac:dyDescent="0.2">
      <c r="AU6747"/>
      <c r="AV6747"/>
      <c r="AW6747"/>
      <c r="AX6747"/>
      <c r="AY6747"/>
    </row>
    <row r="6748" spans="47:51" x14ac:dyDescent="0.2">
      <c r="AU6748"/>
      <c r="AV6748"/>
      <c r="AW6748"/>
      <c r="AX6748"/>
      <c r="AY6748"/>
    </row>
    <row r="6749" spans="47:51" x14ac:dyDescent="0.2">
      <c r="AU6749"/>
      <c r="AV6749"/>
      <c r="AW6749"/>
      <c r="AX6749"/>
      <c r="AY6749"/>
    </row>
    <row r="6750" spans="47:51" x14ac:dyDescent="0.2">
      <c r="AU6750"/>
      <c r="AV6750"/>
      <c r="AW6750"/>
      <c r="AX6750"/>
      <c r="AY6750"/>
    </row>
    <row r="6751" spans="47:51" x14ac:dyDescent="0.2">
      <c r="AU6751"/>
      <c r="AV6751"/>
      <c r="AW6751"/>
      <c r="AX6751"/>
      <c r="AY6751"/>
    </row>
    <row r="6752" spans="47:51" x14ac:dyDescent="0.2">
      <c r="AU6752"/>
      <c r="AV6752"/>
      <c r="AW6752"/>
      <c r="AX6752"/>
      <c r="AY6752"/>
    </row>
    <row r="6753" spans="47:51" x14ac:dyDescent="0.2">
      <c r="AU6753"/>
      <c r="AV6753"/>
      <c r="AW6753"/>
      <c r="AX6753"/>
      <c r="AY6753"/>
    </row>
    <row r="6754" spans="47:51" x14ac:dyDescent="0.2">
      <c r="AU6754"/>
      <c r="AV6754"/>
      <c r="AW6754"/>
      <c r="AX6754"/>
      <c r="AY6754"/>
    </row>
    <row r="6755" spans="47:51" x14ac:dyDescent="0.2">
      <c r="AU6755"/>
      <c r="AV6755"/>
      <c r="AW6755"/>
      <c r="AX6755"/>
      <c r="AY6755"/>
    </row>
    <row r="6756" spans="47:51" x14ac:dyDescent="0.2">
      <c r="AU6756"/>
      <c r="AV6756"/>
      <c r="AW6756"/>
      <c r="AX6756"/>
      <c r="AY6756"/>
    </row>
    <row r="6757" spans="47:51" x14ac:dyDescent="0.2">
      <c r="AU6757"/>
      <c r="AV6757"/>
      <c r="AW6757"/>
      <c r="AX6757"/>
      <c r="AY6757"/>
    </row>
    <row r="6758" spans="47:51" x14ac:dyDescent="0.2">
      <c r="AU6758"/>
      <c r="AV6758"/>
      <c r="AW6758"/>
      <c r="AX6758"/>
      <c r="AY6758"/>
    </row>
    <row r="6759" spans="47:51" x14ac:dyDescent="0.2">
      <c r="AU6759"/>
      <c r="AV6759"/>
      <c r="AW6759"/>
      <c r="AX6759"/>
      <c r="AY6759"/>
    </row>
    <row r="6760" spans="47:51" x14ac:dyDescent="0.2">
      <c r="AU6760"/>
      <c r="AV6760"/>
      <c r="AW6760"/>
      <c r="AX6760"/>
      <c r="AY6760"/>
    </row>
    <row r="6761" spans="47:51" x14ac:dyDescent="0.2">
      <c r="AU6761"/>
      <c r="AV6761"/>
      <c r="AW6761"/>
      <c r="AX6761"/>
      <c r="AY6761"/>
    </row>
    <row r="6762" spans="47:51" x14ac:dyDescent="0.2">
      <c r="AU6762"/>
      <c r="AV6762"/>
      <c r="AW6762"/>
      <c r="AX6762"/>
      <c r="AY6762"/>
    </row>
    <row r="6763" spans="47:51" x14ac:dyDescent="0.2">
      <c r="AU6763"/>
      <c r="AV6763"/>
      <c r="AW6763"/>
      <c r="AX6763"/>
      <c r="AY6763"/>
    </row>
    <row r="6764" spans="47:51" x14ac:dyDescent="0.2">
      <c r="AU6764"/>
      <c r="AV6764"/>
      <c r="AW6764"/>
      <c r="AX6764"/>
      <c r="AY6764"/>
    </row>
    <row r="6765" spans="47:51" x14ac:dyDescent="0.2">
      <c r="AU6765"/>
      <c r="AV6765"/>
      <c r="AW6765"/>
      <c r="AX6765"/>
      <c r="AY6765"/>
    </row>
    <row r="6766" spans="47:51" x14ac:dyDescent="0.2">
      <c r="AU6766"/>
      <c r="AV6766"/>
      <c r="AW6766"/>
      <c r="AX6766"/>
      <c r="AY6766"/>
    </row>
    <row r="6767" spans="47:51" x14ac:dyDescent="0.2">
      <c r="AU6767"/>
      <c r="AV6767"/>
      <c r="AW6767"/>
      <c r="AX6767"/>
      <c r="AY6767"/>
    </row>
    <row r="6768" spans="47:51" x14ac:dyDescent="0.2">
      <c r="AU6768"/>
      <c r="AV6768"/>
      <c r="AW6768"/>
      <c r="AX6768"/>
      <c r="AY6768"/>
    </row>
    <row r="6769" spans="47:51" x14ac:dyDescent="0.2">
      <c r="AU6769"/>
      <c r="AV6769"/>
      <c r="AW6769"/>
      <c r="AX6769"/>
      <c r="AY6769"/>
    </row>
    <row r="6770" spans="47:51" x14ac:dyDescent="0.2">
      <c r="AU6770"/>
      <c r="AV6770"/>
      <c r="AW6770"/>
      <c r="AX6770"/>
      <c r="AY6770"/>
    </row>
    <row r="6771" spans="47:51" x14ac:dyDescent="0.2">
      <c r="AU6771"/>
      <c r="AV6771"/>
      <c r="AW6771"/>
      <c r="AX6771"/>
      <c r="AY6771"/>
    </row>
    <row r="6772" spans="47:51" x14ac:dyDescent="0.2">
      <c r="AU6772"/>
      <c r="AV6772"/>
      <c r="AW6772"/>
      <c r="AX6772"/>
      <c r="AY6772"/>
    </row>
    <row r="6773" spans="47:51" x14ac:dyDescent="0.2">
      <c r="AU6773"/>
      <c r="AV6773"/>
      <c r="AW6773"/>
      <c r="AX6773"/>
      <c r="AY6773"/>
    </row>
    <row r="6774" spans="47:51" x14ac:dyDescent="0.2">
      <c r="AU6774"/>
      <c r="AV6774"/>
      <c r="AW6774"/>
      <c r="AX6774"/>
      <c r="AY6774"/>
    </row>
    <row r="6775" spans="47:51" x14ac:dyDescent="0.2">
      <c r="AU6775"/>
      <c r="AV6775"/>
      <c r="AW6775"/>
      <c r="AX6775"/>
      <c r="AY6775"/>
    </row>
    <row r="6776" spans="47:51" x14ac:dyDescent="0.2">
      <c r="AU6776"/>
      <c r="AV6776"/>
      <c r="AW6776"/>
      <c r="AX6776"/>
      <c r="AY6776"/>
    </row>
    <row r="6777" spans="47:51" x14ac:dyDescent="0.2">
      <c r="AU6777"/>
      <c r="AV6777"/>
      <c r="AW6777"/>
      <c r="AX6777"/>
      <c r="AY6777"/>
    </row>
    <row r="6778" spans="47:51" x14ac:dyDescent="0.2">
      <c r="AU6778"/>
      <c r="AV6778"/>
      <c r="AW6778"/>
      <c r="AX6778"/>
      <c r="AY6778"/>
    </row>
    <row r="6779" spans="47:51" x14ac:dyDescent="0.2">
      <c r="AU6779"/>
      <c r="AV6779"/>
      <c r="AW6779"/>
      <c r="AX6779"/>
      <c r="AY6779"/>
    </row>
    <row r="6780" spans="47:51" x14ac:dyDescent="0.2">
      <c r="AU6780"/>
      <c r="AV6780"/>
      <c r="AW6780"/>
      <c r="AX6780"/>
      <c r="AY6780"/>
    </row>
    <row r="6781" spans="47:51" x14ac:dyDescent="0.2">
      <c r="AU6781"/>
      <c r="AV6781"/>
      <c r="AW6781"/>
      <c r="AX6781"/>
      <c r="AY6781"/>
    </row>
    <row r="6782" spans="47:51" x14ac:dyDescent="0.2">
      <c r="AU6782"/>
      <c r="AV6782"/>
      <c r="AW6782"/>
      <c r="AX6782"/>
      <c r="AY6782"/>
    </row>
    <row r="6783" spans="47:51" x14ac:dyDescent="0.2">
      <c r="AU6783"/>
      <c r="AV6783"/>
      <c r="AW6783"/>
      <c r="AX6783"/>
      <c r="AY6783"/>
    </row>
    <row r="6784" spans="47:51" x14ac:dyDescent="0.2">
      <c r="AU6784"/>
      <c r="AV6784"/>
      <c r="AW6784"/>
      <c r="AX6784"/>
      <c r="AY6784"/>
    </row>
    <row r="6785" spans="47:51" x14ac:dyDescent="0.2">
      <c r="AU6785"/>
      <c r="AV6785"/>
      <c r="AW6785"/>
      <c r="AX6785"/>
      <c r="AY6785"/>
    </row>
    <row r="6786" spans="47:51" x14ac:dyDescent="0.2">
      <c r="AU6786"/>
      <c r="AV6786"/>
      <c r="AW6786"/>
      <c r="AX6786"/>
      <c r="AY6786"/>
    </row>
    <row r="6787" spans="47:51" x14ac:dyDescent="0.2">
      <c r="AU6787"/>
      <c r="AV6787"/>
      <c r="AW6787"/>
      <c r="AX6787"/>
      <c r="AY6787"/>
    </row>
    <row r="6788" spans="47:51" x14ac:dyDescent="0.2">
      <c r="AU6788"/>
      <c r="AV6788"/>
      <c r="AW6788"/>
      <c r="AX6788"/>
      <c r="AY6788"/>
    </row>
    <row r="6789" spans="47:51" x14ac:dyDescent="0.2">
      <c r="AU6789"/>
      <c r="AV6789"/>
      <c r="AW6789"/>
      <c r="AX6789"/>
      <c r="AY6789"/>
    </row>
    <row r="6790" spans="47:51" x14ac:dyDescent="0.2">
      <c r="AU6790"/>
      <c r="AV6790"/>
      <c r="AW6790"/>
      <c r="AX6790"/>
      <c r="AY6790"/>
    </row>
    <row r="6791" spans="47:51" x14ac:dyDescent="0.2">
      <c r="AU6791"/>
      <c r="AV6791"/>
      <c r="AW6791"/>
      <c r="AX6791"/>
      <c r="AY6791"/>
    </row>
    <row r="6792" spans="47:51" x14ac:dyDescent="0.2">
      <c r="AU6792"/>
      <c r="AV6792"/>
      <c r="AW6792"/>
      <c r="AX6792"/>
      <c r="AY6792"/>
    </row>
    <row r="6793" spans="47:51" x14ac:dyDescent="0.2">
      <c r="AU6793"/>
      <c r="AV6793"/>
      <c r="AW6793"/>
      <c r="AX6793"/>
      <c r="AY6793"/>
    </row>
    <row r="6794" spans="47:51" x14ac:dyDescent="0.2">
      <c r="AU6794"/>
      <c r="AV6794"/>
      <c r="AW6794"/>
      <c r="AX6794"/>
      <c r="AY6794"/>
    </row>
    <row r="6795" spans="47:51" x14ac:dyDescent="0.2">
      <c r="AU6795"/>
      <c r="AV6795"/>
      <c r="AW6795"/>
      <c r="AX6795"/>
      <c r="AY6795"/>
    </row>
    <row r="6796" spans="47:51" x14ac:dyDescent="0.2">
      <c r="AU6796"/>
      <c r="AV6796"/>
      <c r="AW6796"/>
      <c r="AX6796"/>
      <c r="AY6796"/>
    </row>
    <row r="6797" spans="47:51" x14ac:dyDescent="0.2">
      <c r="AU6797"/>
      <c r="AV6797"/>
      <c r="AW6797"/>
      <c r="AX6797"/>
      <c r="AY6797"/>
    </row>
    <row r="6798" spans="47:51" x14ac:dyDescent="0.2">
      <c r="AU6798"/>
      <c r="AV6798"/>
      <c r="AW6798"/>
      <c r="AX6798"/>
      <c r="AY6798"/>
    </row>
    <row r="6799" spans="47:51" x14ac:dyDescent="0.2">
      <c r="AU6799"/>
      <c r="AV6799"/>
      <c r="AW6799"/>
      <c r="AX6799"/>
      <c r="AY6799"/>
    </row>
    <row r="6800" spans="47:51" x14ac:dyDescent="0.2">
      <c r="AU6800"/>
      <c r="AV6800"/>
      <c r="AW6800"/>
      <c r="AX6800"/>
      <c r="AY6800"/>
    </row>
    <row r="6801" spans="47:51" x14ac:dyDescent="0.2">
      <c r="AU6801"/>
      <c r="AV6801"/>
      <c r="AW6801"/>
      <c r="AX6801"/>
      <c r="AY6801"/>
    </row>
    <row r="6802" spans="47:51" x14ac:dyDescent="0.2">
      <c r="AU6802"/>
      <c r="AV6802"/>
      <c r="AW6802"/>
      <c r="AX6802"/>
      <c r="AY6802"/>
    </row>
    <row r="6803" spans="47:51" x14ac:dyDescent="0.2">
      <c r="AU6803"/>
      <c r="AV6803"/>
      <c r="AW6803"/>
      <c r="AX6803"/>
      <c r="AY6803"/>
    </row>
    <row r="6804" spans="47:51" x14ac:dyDescent="0.2">
      <c r="AU6804"/>
      <c r="AV6804"/>
      <c r="AW6804"/>
      <c r="AX6804"/>
      <c r="AY6804"/>
    </row>
    <row r="6805" spans="47:51" x14ac:dyDescent="0.2">
      <c r="AU6805"/>
      <c r="AV6805"/>
      <c r="AW6805"/>
      <c r="AX6805"/>
      <c r="AY6805"/>
    </row>
    <row r="6806" spans="47:51" x14ac:dyDescent="0.2">
      <c r="AU6806"/>
      <c r="AV6806"/>
      <c r="AW6806"/>
      <c r="AX6806"/>
      <c r="AY6806"/>
    </row>
    <row r="6807" spans="47:51" x14ac:dyDescent="0.2">
      <c r="AU6807"/>
      <c r="AV6807"/>
      <c r="AW6807"/>
      <c r="AX6807"/>
      <c r="AY6807"/>
    </row>
    <row r="6808" spans="47:51" x14ac:dyDescent="0.2">
      <c r="AU6808"/>
      <c r="AV6808"/>
      <c r="AW6808"/>
      <c r="AX6808"/>
      <c r="AY6808"/>
    </row>
    <row r="6809" spans="47:51" x14ac:dyDescent="0.2">
      <c r="AU6809"/>
      <c r="AV6809"/>
      <c r="AW6809"/>
      <c r="AX6809"/>
      <c r="AY6809"/>
    </row>
    <row r="6810" spans="47:51" x14ac:dyDescent="0.2">
      <c r="AU6810"/>
      <c r="AV6810"/>
      <c r="AW6810"/>
      <c r="AX6810"/>
      <c r="AY6810"/>
    </row>
    <row r="6811" spans="47:51" x14ac:dyDescent="0.2">
      <c r="AU6811"/>
      <c r="AV6811"/>
      <c r="AW6811"/>
      <c r="AX6811"/>
      <c r="AY6811"/>
    </row>
    <row r="6812" spans="47:51" x14ac:dyDescent="0.2">
      <c r="AU6812"/>
      <c r="AV6812"/>
      <c r="AW6812"/>
      <c r="AX6812"/>
      <c r="AY6812"/>
    </row>
    <row r="6813" spans="47:51" x14ac:dyDescent="0.2">
      <c r="AU6813"/>
      <c r="AV6813"/>
      <c r="AW6813"/>
      <c r="AX6813"/>
      <c r="AY6813"/>
    </row>
    <row r="6814" spans="47:51" x14ac:dyDescent="0.2">
      <c r="AU6814"/>
      <c r="AV6814"/>
      <c r="AW6814"/>
      <c r="AX6814"/>
      <c r="AY6814"/>
    </row>
    <row r="6815" spans="47:51" x14ac:dyDescent="0.2">
      <c r="AU6815"/>
      <c r="AV6815"/>
      <c r="AW6815"/>
      <c r="AX6815"/>
      <c r="AY6815"/>
    </row>
    <row r="6816" spans="47:51" x14ac:dyDescent="0.2">
      <c r="AU6816"/>
      <c r="AV6816"/>
      <c r="AW6816"/>
      <c r="AX6816"/>
      <c r="AY6816"/>
    </row>
    <row r="6817" spans="47:51" x14ac:dyDescent="0.2">
      <c r="AU6817"/>
      <c r="AV6817"/>
      <c r="AW6817"/>
      <c r="AX6817"/>
      <c r="AY6817"/>
    </row>
    <row r="6818" spans="47:51" x14ac:dyDescent="0.2">
      <c r="AU6818"/>
      <c r="AV6818"/>
      <c r="AW6818"/>
      <c r="AX6818"/>
      <c r="AY6818"/>
    </row>
    <row r="6819" spans="47:51" x14ac:dyDescent="0.2">
      <c r="AU6819"/>
      <c r="AV6819"/>
      <c r="AW6819"/>
      <c r="AX6819"/>
      <c r="AY6819"/>
    </row>
    <row r="6820" spans="47:51" x14ac:dyDescent="0.2">
      <c r="AU6820"/>
      <c r="AV6820"/>
      <c r="AW6820"/>
      <c r="AX6820"/>
      <c r="AY6820"/>
    </row>
    <row r="6821" spans="47:51" x14ac:dyDescent="0.2">
      <c r="AU6821"/>
      <c r="AV6821"/>
      <c r="AW6821"/>
      <c r="AX6821"/>
      <c r="AY6821"/>
    </row>
    <row r="6822" spans="47:51" x14ac:dyDescent="0.2">
      <c r="AU6822"/>
      <c r="AV6822"/>
      <c r="AW6822"/>
      <c r="AX6822"/>
      <c r="AY6822"/>
    </row>
    <row r="6823" spans="47:51" x14ac:dyDescent="0.2">
      <c r="AU6823"/>
      <c r="AV6823"/>
      <c r="AW6823"/>
      <c r="AX6823"/>
      <c r="AY6823"/>
    </row>
    <row r="6824" spans="47:51" x14ac:dyDescent="0.2">
      <c r="AU6824"/>
      <c r="AV6824"/>
      <c r="AW6824"/>
      <c r="AX6824"/>
      <c r="AY6824"/>
    </row>
    <row r="6825" spans="47:51" x14ac:dyDescent="0.2">
      <c r="AU6825"/>
      <c r="AV6825"/>
      <c r="AW6825"/>
      <c r="AX6825"/>
      <c r="AY6825"/>
    </row>
    <row r="6826" spans="47:51" x14ac:dyDescent="0.2">
      <c r="AU6826"/>
      <c r="AV6826"/>
      <c r="AW6826"/>
      <c r="AX6826"/>
      <c r="AY6826"/>
    </row>
    <row r="6827" spans="47:51" x14ac:dyDescent="0.2">
      <c r="AU6827"/>
      <c r="AV6827"/>
      <c r="AW6827"/>
      <c r="AX6827"/>
      <c r="AY6827"/>
    </row>
    <row r="6828" spans="47:51" x14ac:dyDescent="0.2">
      <c r="AU6828"/>
      <c r="AV6828"/>
      <c r="AW6828"/>
      <c r="AX6828"/>
      <c r="AY6828"/>
    </row>
    <row r="6829" spans="47:51" x14ac:dyDescent="0.2">
      <c r="AU6829"/>
      <c r="AV6829"/>
      <c r="AW6829"/>
      <c r="AX6829"/>
      <c r="AY6829"/>
    </row>
    <row r="6830" spans="47:51" x14ac:dyDescent="0.2">
      <c r="AU6830"/>
      <c r="AV6830"/>
      <c r="AW6830"/>
      <c r="AX6830"/>
      <c r="AY6830"/>
    </row>
    <row r="6831" spans="47:51" x14ac:dyDescent="0.2">
      <c r="AU6831"/>
      <c r="AV6831"/>
      <c r="AW6831"/>
      <c r="AX6831"/>
      <c r="AY6831"/>
    </row>
    <row r="6832" spans="47:51" x14ac:dyDescent="0.2">
      <c r="AU6832"/>
      <c r="AV6832"/>
      <c r="AW6832"/>
      <c r="AX6832"/>
      <c r="AY6832"/>
    </row>
    <row r="6833" spans="47:51" x14ac:dyDescent="0.2">
      <c r="AU6833"/>
      <c r="AV6833"/>
      <c r="AW6833"/>
      <c r="AX6833"/>
      <c r="AY6833"/>
    </row>
    <row r="6834" spans="47:51" x14ac:dyDescent="0.2">
      <c r="AU6834"/>
      <c r="AV6834"/>
      <c r="AW6834"/>
      <c r="AX6834"/>
      <c r="AY6834"/>
    </row>
    <row r="6835" spans="47:51" x14ac:dyDescent="0.2">
      <c r="AU6835"/>
      <c r="AV6835"/>
      <c r="AW6835"/>
      <c r="AX6835"/>
      <c r="AY6835"/>
    </row>
    <row r="6836" spans="47:51" x14ac:dyDescent="0.2">
      <c r="AU6836"/>
      <c r="AV6836"/>
      <c r="AW6836"/>
      <c r="AX6836"/>
      <c r="AY6836"/>
    </row>
    <row r="6837" spans="47:51" x14ac:dyDescent="0.2">
      <c r="AU6837"/>
      <c r="AV6837"/>
      <c r="AW6837"/>
      <c r="AX6837"/>
      <c r="AY6837"/>
    </row>
    <row r="6838" spans="47:51" x14ac:dyDescent="0.2">
      <c r="AU6838"/>
      <c r="AV6838"/>
      <c r="AW6838"/>
      <c r="AX6838"/>
      <c r="AY6838"/>
    </row>
    <row r="6839" spans="47:51" x14ac:dyDescent="0.2">
      <c r="AU6839"/>
      <c r="AV6839"/>
      <c r="AW6839"/>
      <c r="AX6839"/>
      <c r="AY6839"/>
    </row>
    <row r="6840" spans="47:51" x14ac:dyDescent="0.2">
      <c r="AU6840"/>
      <c r="AV6840"/>
      <c r="AW6840"/>
      <c r="AX6840"/>
      <c r="AY6840"/>
    </row>
    <row r="6841" spans="47:51" x14ac:dyDescent="0.2">
      <c r="AU6841"/>
      <c r="AV6841"/>
      <c r="AW6841"/>
      <c r="AX6841"/>
      <c r="AY6841"/>
    </row>
    <row r="6842" spans="47:51" x14ac:dyDescent="0.2">
      <c r="AU6842"/>
      <c r="AV6842"/>
      <c r="AW6842"/>
      <c r="AX6842"/>
      <c r="AY6842"/>
    </row>
    <row r="6843" spans="47:51" x14ac:dyDescent="0.2">
      <c r="AU6843"/>
      <c r="AV6843"/>
      <c r="AW6843"/>
      <c r="AX6843"/>
      <c r="AY6843"/>
    </row>
    <row r="6844" spans="47:51" x14ac:dyDescent="0.2">
      <c r="AU6844"/>
      <c r="AV6844"/>
      <c r="AW6844"/>
      <c r="AX6844"/>
      <c r="AY6844"/>
    </row>
    <row r="6845" spans="47:51" x14ac:dyDescent="0.2">
      <c r="AU6845"/>
      <c r="AV6845"/>
      <c r="AW6845"/>
      <c r="AX6845"/>
      <c r="AY6845"/>
    </row>
    <row r="6846" spans="47:51" x14ac:dyDescent="0.2">
      <c r="AU6846"/>
      <c r="AV6846"/>
      <c r="AW6846"/>
      <c r="AX6846"/>
      <c r="AY6846"/>
    </row>
    <row r="6847" spans="47:51" x14ac:dyDescent="0.2">
      <c r="AU6847"/>
      <c r="AV6847"/>
      <c r="AW6847"/>
      <c r="AX6847"/>
      <c r="AY6847"/>
    </row>
    <row r="6848" spans="47:51" x14ac:dyDescent="0.2">
      <c r="AU6848"/>
      <c r="AV6848"/>
      <c r="AW6848"/>
      <c r="AX6848"/>
      <c r="AY6848"/>
    </row>
    <row r="6849" spans="47:51" x14ac:dyDescent="0.2">
      <c r="AU6849"/>
      <c r="AV6849"/>
      <c r="AW6849"/>
      <c r="AX6849"/>
      <c r="AY6849"/>
    </row>
    <row r="6850" spans="47:51" x14ac:dyDescent="0.2">
      <c r="AU6850"/>
      <c r="AV6850"/>
      <c r="AW6850"/>
      <c r="AX6850"/>
      <c r="AY6850"/>
    </row>
    <row r="6851" spans="47:51" x14ac:dyDescent="0.2">
      <c r="AU6851"/>
      <c r="AV6851"/>
      <c r="AW6851"/>
      <c r="AX6851"/>
      <c r="AY6851"/>
    </row>
    <row r="6852" spans="47:51" x14ac:dyDescent="0.2">
      <c r="AU6852"/>
      <c r="AV6852"/>
      <c r="AW6852"/>
      <c r="AX6852"/>
      <c r="AY6852"/>
    </row>
    <row r="6853" spans="47:51" x14ac:dyDescent="0.2">
      <c r="AU6853"/>
      <c r="AV6853"/>
      <c r="AW6853"/>
      <c r="AX6853"/>
      <c r="AY6853"/>
    </row>
    <row r="6854" spans="47:51" x14ac:dyDescent="0.2">
      <c r="AU6854"/>
      <c r="AV6854"/>
      <c r="AW6854"/>
      <c r="AX6854"/>
      <c r="AY6854"/>
    </row>
    <row r="6855" spans="47:51" x14ac:dyDescent="0.2">
      <c r="AU6855"/>
      <c r="AV6855"/>
      <c r="AW6855"/>
      <c r="AX6855"/>
      <c r="AY6855"/>
    </row>
    <row r="6856" spans="47:51" x14ac:dyDescent="0.2">
      <c r="AU6856"/>
      <c r="AV6856"/>
      <c r="AW6856"/>
      <c r="AX6856"/>
      <c r="AY6856"/>
    </row>
    <row r="6857" spans="47:51" x14ac:dyDescent="0.2">
      <c r="AU6857"/>
      <c r="AV6857"/>
      <c r="AW6857"/>
      <c r="AX6857"/>
      <c r="AY6857"/>
    </row>
    <row r="6858" spans="47:51" x14ac:dyDescent="0.2">
      <c r="AU6858"/>
      <c r="AV6858"/>
      <c r="AW6858"/>
      <c r="AX6858"/>
      <c r="AY6858"/>
    </row>
    <row r="6859" spans="47:51" x14ac:dyDescent="0.2">
      <c r="AU6859"/>
      <c r="AV6859"/>
      <c r="AW6859"/>
      <c r="AX6859"/>
      <c r="AY6859"/>
    </row>
    <row r="6860" spans="47:51" x14ac:dyDescent="0.2">
      <c r="AU6860"/>
      <c r="AV6860"/>
      <c r="AW6860"/>
      <c r="AX6860"/>
      <c r="AY6860"/>
    </row>
    <row r="6861" spans="47:51" x14ac:dyDescent="0.2">
      <c r="AU6861"/>
      <c r="AV6861"/>
      <c r="AW6861"/>
      <c r="AX6861"/>
      <c r="AY6861"/>
    </row>
    <row r="6862" spans="47:51" x14ac:dyDescent="0.2">
      <c r="AU6862"/>
      <c r="AV6862"/>
      <c r="AW6862"/>
      <c r="AX6862"/>
      <c r="AY6862"/>
    </row>
    <row r="6863" spans="47:51" x14ac:dyDescent="0.2">
      <c r="AU6863"/>
      <c r="AV6863"/>
      <c r="AW6863"/>
      <c r="AX6863"/>
      <c r="AY6863"/>
    </row>
    <row r="6864" spans="47:51" x14ac:dyDescent="0.2">
      <c r="AU6864"/>
      <c r="AV6864"/>
      <c r="AW6864"/>
      <c r="AX6864"/>
      <c r="AY6864"/>
    </row>
    <row r="6865" spans="47:51" x14ac:dyDescent="0.2">
      <c r="AU6865"/>
      <c r="AV6865"/>
      <c r="AW6865"/>
      <c r="AX6865"/>
      <c r="AY6865"/>
    </row>
    <row r="6866" spans="47:51" x14ac:dyDescent="0.2">
      <c r="AU6866"/>
      <c r="AV6866"/>
      <c r="AW6866"/>
      <c r="AX6866"/>
      <c r="AY6866"/>
    </row>
    <row r="6867" spans="47:51" x14ac:dyDescent="0.2">
      <c r="AU6867"/>
      <c r="AV6867"/>
      <c r="AW6867"/>
      <c r="AX6867"/>
      <c r="AY6867"/>
    </row>
    <row r="6868" spans="47:51" x14ac:dyDescent="0.2">
      <c r="AU6868"/>
      <c r="AV6868"/>
      <c r="AW6868"/>
      <c r="AX6868"/>
      <c r="AY6868"/>
    </row>
    <row r="6869" spans="47:51" x14ac:dyDescent="0.2">
      <c r="AU6869"/>
      <c r="AV6869"/>
      <c r="AW6869"/>
      <c r="AX6869"/>
      <c r="AY6869"/>
    </row>
    <row r="6870" spans="47:51" x14ac:dyDescent="0.2">
      <c r="AU6870"/>
      <c r="AV6870"/>
      <c r="AW6870"/>
      <c r="AX6870"/>
      <c r="AY6870"/>
    </row>
    <row r="6871" spans="47:51" x14ac:dyDescent="0.2">
      <c r="AU6871"/>
      <c r="AV6871"/>
      <c r="AW6871"/>
      <c r="AX6871"/>
      <c r="AY6871"/>
    </row>
    <row r="6872" spans="47:51" x14ac:dyDescent="0.2">
      <c r="AU6872"/>
      <c r="AV6872"/>
      <c r="AW6872"/>
      <c r="AX6872"/>
      <c r="AY6872"/>
    </row>
    <row r="6873" spans="47:51" x14ac:dyDescent="0.2">
      <c r="AU6873"/>
      <c r="AV6873"/>
      <c r="AW6873"/>
      <c r="AX6873"/>
      <c r="AY6873"/>
    </row>
    <row r="6874" spans="47:51" x14ac:dyDescent="0.2">
      <c r="AU6874"/>
      <c r="AV6874"/>
      <c r="AW6874"/>
      <c r="AX6874"/>
      <c r="AY6874"/>
    </row>
    <row r="6875" spans="47:51" x14ac:dyDescent="0.2">
      <c r="AU6875"/>
      <c r="AV6875"/>
      <c r="AW6875"/>
      <c r="AX6875"/>
      <c r="AY6875"/>
    </row>
    <row r="6876" spans="47:51" x14ac:dyDescent="0.2">
      <c r="AU6876"/>
      <c r="AV6876"/>
      <c r="AW6876"/>
      <c r="AX6876"/>
      <c r="AY6876"/>
    </row>
    <row r="6877" spans="47:51" x14ac:dyDescent="0.2">
      <c r="AU6877"/>
      <c r="AV6877"/>
      <c r="AW6877"/>
      <c r="AX6877"/>
      <c r="AY6877"/>
    </row>
    <row r="6878" spans="47:51" x14ac:dyDescent="0.2">
      <c r="AU6878"/>
      <c r="AV6878"/>
      <c r="AW6878"/>
      <c r="AX6878"/>
      <c r="AY6878"/>
    </row>
    <row r="6879" spans="47:51" x14ac:dyDescent="0.2">
      <c r="AU6879"/>
      <c r="AV6879"/>
      <c r="AW6879"/>
      <c r="AX6879"/>
      <c r="AY6879"/>
    </row>
    <row r="6880" spans="47:51" x14ac:dyDescent="0.2">
      <c r="AU6880"/>
      <c r="AV6880"/>
      <c r="AW6880"/>
      <c r="AX6880"/>
      <c r="AY6880"/>
    </row>
    <row r="6881" spans="47:51" x14ac:dyDescent="0.2">
      <c r="AU6881"/>
      <c r="AV6881"/>
      <c r="AW6881"/>
      <c r="AX6881"/>
      <c r="AY6881"/>
    </row>
    <row r="6882" spans="47:51" x14ac:dyDescent="0.2">
      <c r="AU6882"/>
      <c r="AV6882"/>
      <c r="AW6882"/>
      <c r="AX6882"/>
      <c r="AY6882"/>
    </row>
    <row r="6883" spans="47:51" x14ac:dyDescent="0.2">
      <c r="AU6883"/>
      <c r="AV6883"/>
      <c r="AW6883"/>
      <c r="AX6883"/>
      <c r="AY6883"/>
    </row>
    <row r="6884" spans="47:51" x14ac:dyDescent="0.2">
      <c r="AU6884"/>
      <c r="AV6884"/>
      <c r="AW6884"/>
      <c r="AX6884"/>
      <c r="AY6884"/>
    </row>
    <row r="6885" spans="47:51" x14ac:dyDescent="0.2">
      <c r="AU6885"/>
      <c r="AV6885"/>
      <c r="AW6885"/>
      <c r="AX6885"/>
      <c r="AY6885"/>
    </row>
    <row r="6886" spans="47:51" x14ac:dyDescent="0.2">
      <c r="AU6886"/>
      <c r="AV6886"/>
      <c r="AW6886"/>
      <c r="AX6886"/>
      <c r="AY6886"/>
    </row>
    <row r="6887" spans="47:51" x14ac:dyDescent="0.2">
      <c r="AU6887"/>
      <c r="AV6887"/>
      <c r="AW6887"/>
      <c r="AX6887"/>
      <c r="AY6887"/>
    </row>
    <row r="6888" spans="47:51" x14ac:dyDescent="0.2">
      <c r="AU6888"/>
      <c r="AV6888"/>
      <c r="AW6888"/>
      <c r="AX6888"/>
      <c r="AY6888"/>
    </row>
    <row r="6889" spans="47:51" x14ac:dyDescent="0.2">
      <c r="AU6889"/>
      <c r="AV6889"/>
      <c r="AW6889"/>
      <c r="AX6889"/>
      <c r="AY6889"/>
    </row>
    <row r="6890" spans="47:51" x14ac:dyDescent="0.2">
      <c r="AU6890"/>
      <c r="AV6890"/>
      <c r="AW6890"/>
      <c r="AX6890"/>
      <c r="AY6890"/>
    </row>
    <row r="6891" spans="47:51" x14ac:dyDescent="0.2">
      <c r="AU6891"/>
      <c r="AV6891"/>
      <c r="AW6891"/>
      <c r="AX6891"/>
      <c r="AY6891"/>
    </row>
    <row r="6892" spans="47:51" x14ac:dyDescent="0.2">
      <c r="AU6892"/>
      <c r="AV6892"/>
      <c r="AW6892"/>
      <c r="AX6892"/>
      <c r="AY6892"/>
    </row>
    <row r="6893" spans="47:51" x14ac:dyDescent="0.2">
      <c r="AU6893"/>
      <c r="AV6893"/>
      <c r="AW6893"/>
      <c r="AX6893"/>
      <c r="AY6893"/>
    </row>
    <row r="6894" spans="47:51" x14ac:dyDescent="0.2">
      <c r="AU6894"/>
      <c r="AV6894"/>
      <c r="AW6894"/>
      <c r="AX6894"/>
      <c r="AY6894"/>
    </row>
    <row r="6895" spans="47:51" x14ac:dyDescent="0.2">
      <c r="AU6895"/>
      <c r="AV6895"/>
      <c r="AW6895"/>
      <c r="AX6895"/>
      <c r="AY6895"/>
    </row>
    <row r="6896" spans="47:51" x14ac:dyDescent="0.2">
      <c r="AU6896"/>
      <c r="AV6896"/>
      <c r="AW6896"/>
      <c r="AX6896"/>
      <c r="AY6896"/>
    </row>
    <row r="6897" spans="47:51" x14ac:dyDescent="0.2">
      <c r="AU6897"/>
      <c r="AV6897"/>
      <c r="AW6897"/>
      <c r="AX6897"/>
      <c r="AY6897"/>
    </row>
    <row r="6898" spans="47:51" x14ac:dyDescent="0.2">
      <c r="AU6898"/>
      <c r="AV6898"/>
      <c r="AW6898"/>
      <c r="AX6898"/>
      <c r="AY6898"/>
    </row>
    <row r="6899" spans="47:51" x14ac:dyDescent="0.2">
      <c r="AU6899"/>
      <c r="AV6899"/>
      <c r="AW6899"/>
      <c r="AX6899"/>
      <c r="AY6899"/>
    </row>
    <row r="6900" spans="47:51" x14ac:dyDescent="0.2">
      <c r="AU6900"/>
      <c r="AV6900"/>
      <c r="AW6900"/>
      <c r="AX6900"/>
      <c r="AY6900"/>
    </row>
    <row r="6901" spans="47:51" x14ac:dyDescent="0.2">
      <c r="AU6901"/>
      <c r="AV6901"/>
      <c r="AW6901"/>
      <c r="AX6901"/>
      <c r="AY6901"/>
    </row>
    <row r="6902" spans="47:51" x14ac:dyDescent="0.2">
      <c r="AU6902"/>
      <c r="AV6902"/>
      <c r="AW6902"/>
      <c r="AX6902"/>
      <c r="AY6902"/>
    </row>
    <row r="6903" spans="47:51" x14ac:dyDescent="0.2">
      <c r="AU6903"/>
      <c r="AV6903"/>
      <c r="AW6903"/>
      <c r="AX6903"/>
      <c r="AY6903"/>
    </row>
    <row r="6904" spans="47:51" x14ac:dyDescent="0.2">
      <c r="AU6904"/>
      <c r="AV6904"/>
      <c r="AW6904"/>
      <c r="AX6904"/>
      <c r="AY6904"/>
    </row>
    <row r="6905" spans="47:51" x14ac:dyDescent="0.2">
      <c r="AU6905"/>
      <c r="AV6905"/>
      <c r="AW6905"/>
      <c r="AX6905"/>
      <c r="AY6905"/>
    </row>
    <row r="6906" spans="47:51" x14ac:dyDescent="0.2">
      <c r="AU6906"/>
      <c r="AV6906"/>
      <c r="AW6906"/>
      <c r="AX6906"/>
      <c r="AY6906"/>
    </row>
    <row r="6907" spans="47:51" x14ac:dyDescent="0.2">
      <c r="AU6907"/>
      <c r="AV6907"/>
      <c r="AW6907"/>
      <c r="AX6907"/>
      <c r="AY6907"/>
    </row>
    <row r="6908" spans="47:51" x14ac:dyDescent="0.2">
      <c r="AU6908"/>
      <c r="AV6908"/>
      <c r="AW6908"/>
      <c r="AX6908"/>
      <c r="AY6908"/>
    </row>
    <row r="6909" spans="47:51" x14ac:dyDescent="0.2">
      <c r="AU6909"/>
      <c r="AV6909"/>
      <c r="AW6909"/>
      <c r="AX6909"/>
      <c r="AY6909"/>
    </row>
    <row r="6910" spans="47:51" x14ac:dyDescent="0.2">
      <c r="AU6910"/>
      <c r="AV6910"/>
      <c r="AW6910"/>
      <c r="AX6910"/>
      <c r="AY6910"/>
    </row>
    <row r="6911" spans="47:51" x14ac:dyDescent="0.2">
      <c r="AU6911"/>
      <c r="AV6911"/>
      <c r="AW6911"/>
      <c r="AX6911"/>
      <c r="AY6911"/>
    </row>
    <row r="6912" spans="47:51" x14ac:dyDescent="0.2">
      <c r="AU6912"/>
      <c r="AV6912"/>
      <c r="AW6912"/>
      <c r="AX6912"/>
      <c r="AY6912"/>
    </row>
    <row r="6913" spans="47:51" x14ac:dyDescent="0.2">
      <c r="AU6913"/>
      <c r="AV6913"/>
      <c r="AW6913"/>
      <c r="AX6913"/>
      <c r="AY6913"/>
    </row>
    <row r="6914" spans="47:51" x14ac:dyDescent="0.2">
      <c r="AU6914"/>
      <c r="AV6914"/>
      <c r="AW6914"/>
      <c r="AX6914"/>
      <c r="AY6914"/>
    </row>
    <row r="6915" spans="47:51" x14ac:dyDescent="0.2">
      <c r="AU6915"/>
      <c r="AV6915"/>
      <c r="AW6915"/>
      <c r="AX6915"/>
      <c r="AY6915"/>
    </row>
    <row r="6916" spans="47:51" x14ac:dyDescent="0.2">
      <c r="AU6916"/>
      <c r="AV6916"/>
      <c r="AW6916"/>
      <c r="AX6916"/>
      <c r="AY6916"/>
    </row>
    <row r="6917" spans="47:51" x14ac:dyDescent="0.2">
      <c r="AU6917"/>
      <c r="AV6917"/>
      <c r="AW6917"/>
      <c r="AX6917"/>
      <c r="AY6917"/>
    </row>
    <row r="6918" spans="47:51" x14ac:dyDescent="0.2">
      <c r="AU6918"/>
      <c r="AV6918"/>
      <c r="AW6918"/>
      <c r="AX6918"/>
      <c r="AY6918"/>
    </row>
    <row r="6919" spans="47:51" x14ac:dyDescent="0.2">
      <c r="AU6919"/>
      <c r="AV6919"/>
      <c r="AW6919"/>
      <c r="AX6919"/>
      <c r="AY6919"/>
    </row>
    <row r="6920" spans="47:51" x14ac:dyDescent="0.2">
      <c r="AU6920"/>
      <c r="AV6920"/>
      <c r="AW6920"/>
      <c r="AX6920"/>
      <c r="AY6920"/>
    </row>
    <row r="6921" spans="47:51" x14ac:dyDescent="0.2">
      <c r="AU6921"/>
      <c r="AV6921"/>
      <c r="AW6921"/>
      <c r="AX6921"/>
      <c r="AY6921"/>
    </row>
    <row r="6922" spans="47:51" x14ac:dyDescent="0.2">
      <c r="AU6922"/>
      <c r="AV6922"/>
      <c r="AW6922"/>
      <c r="AX6922"/>
      <c r="AY6922"/>
    </row>
    <row r="6923" spans="47:51" x14ac:dyDescent="0.2">
      <c r="AU6923"/>
      <c r="AV6923"/>
      <c r="AW6923"/>
      <c r="AX6923"/>
      <c r="AY6923"/>
    </row>
    <row r="6924" spans="47:51" x14ac:dyDescent="0.2">
      <c r="AU6924"/>
      <c r="AV6924"/>
      <c r="AW6924"/>
      <c r="AX6924"/>
      <c r="AY6924"/>
    </row>
    <row r="6925" spans="47:51" x14ac:dyDescent="0.2">
      <c r="AU6925"/>
      <c r="AV6925"/>
      <c r="AW6925"/>
      <c r="AX6925"/>
      <c r="AY6925"/>
    </row>
    <row r="6926" spans="47:51" x14ac:dyDescent="0.2">
      <c r="AU6926"/>
      <c r="AV6926"/>
      <c r="AW6926"/>
      <c r="AX6926"/>
      <c r="AY6926"/>
    </row>
    <row r="6927" spans="47:51" x14ac:dyDescent="0.2">
      <c r="AU6927"/>
      <c r="AV6927"/>
      <c r="AW6927"/>
      <c r="AX6927"/>
      <c r="AY6927"/>
    </row>
    <row r="6928" spans="47:51" x14ac:dyDescent="0.2">
      <c r="AU6928"/>
      <c r="AV6928"/>
      <c r="AW6928"/>
      <c r="AX6928"/>
      <c r="AY6928"/>
    </row>
    <row r="6929" spans="47:51" x14ac:dyDescent="0.2">
      <c r="AU6929"/>
      <c r="AV6929"/>
      <c r="AW6929"/>
      <c r="AX6929"/>
      <c r="AY6929"/>
    </row>
    <row r="6930" spans="47:51" x14ac:dyDescent="0.2">
      <c r="AU6930"/>
      <c r="AV6930"/>
      <c r="AW6930"/>
      <c r="AX6930"/>
      <c r="AY6930"/>
    </row>
    <row r="6931" spans="47:51" x14ac:dyDescent="0.2">
      <c r="AU6931"/>
      <c r="AV6931"/>
      <c r="AW6931"/>
      <c r="AX6931"/>
      <c r="AY6931"/>
    </row>
    <row r="6932" spans="47:51" x14ac:dyDescent="0.2">
      <c r="AU6932"/>
      <c r="AV6932"/>
      <c r="AW6932"/>
      <c r="AX6932"/>
      <c r="AY6932"/>
    </row>
    <row r="6933" spans="47:51" x14ac:dyDescent="0.2">
      <c r="AU6933"/>
      <c r="AV6933"/>
      <c r="AW6933"/>
      <c r="AX6933"/>
      <c r="AY6933"/>
    </row>
    <row r="6934" spans="47:51" x14ac:dyDescent="0.2">
      <c r="AU6934"/>
      <c r="AV6934"/>
      <c r="AW6934"/>
      <c r="AX6934"/>
      <c r="AY6934"/>
    </row>
    <row r="6935" spans="47:51" x14ac:dyDescent="0.2">
      <c r="AU6935"/>
      <c r="AV6935"/>
      <c r="AW6935"/>
      <c r="AX6935"/>
      <c r="AY6935"/>
    </row>
    <row r="6936" spans="47:51" x14ac:dyDescent="0.2">
      <c r="AU6936"/>
      <c r="AV6936"/>
      <c r="AW6936"/>
      <c r="AX6936"/>
      <c r="AY6936"/>
    </row>
    <row r="6937" spans="47:51" x14ac:dyDescent="0.2">
      <c r="AU6937"/>
      <c r="AV6937"/>
      <c r="AW6937"/>
      <c r="AX6937"/>
      <c r="AY6937"/>
    </row>
    <row r="6938" spans="47:51" x14ac:dyDescent="0.2">
      <c r="AU6938"/>
      <c r="AV6938"/>
      <c r="AW6938"/>
      <c r="AX6938"/>
      <c r="AY6938"/>
    </row>
    <row r="6939" spans="47:51" x14ac:dyDescent="0.2">
      <c r="AU6939"/>
      <c r="AV6939"/>
      <c r="AW6939"/>
      <c r="AX6939"/>
      <c r="AY6939"/>
    </row>
    <row r="6940" spans="47:51" x14ac:dyDescent="0.2">
      <c r="AU6940"/>
      <c r="AV6940"/>
      <c r="AW6940"/>
      <c r="AX6940"/>
      <c r="AY6940"/>
    </row>
    <row r="6941" spans="47:51" x14ac:dyDescent="0.2">
      <c r="AU6941"/>
      <c r="AV6941"/>
      <c r="AW6941"/>
      <c r="AX6941"/>
      <c r="AY6941"/>
    </row>
    <row r="6942" spans="47:51" x14ac:dyDescent="0.2">
      <c r="AU6942"/>
      <c r="AV6942"/>
      <c r="AW6942"/>
      <c r="AX6942"/>
      <c r="AY6942"/>
    </row>
    <row r="6943" spans="47:51" x14ac:dyDescent="0.2">
      <c r="AU6943"/>
      <c r="AV6943"/>
      <c r="AW6943"/>
      <c r="AX6943"/>
      <c r="AY6943"/>
    </row>
    <row r="6944" spans="47:51" x14ac:dyDescent="0.2">
      <c r="AU6944"/>
      <c r="AV6944"/>
      <c r="AW6944"/>
      <c r="AX6944"/>
      <c r="AY6944"/>
    </row>
    <row r="6945" spans="47:51" x14ac:dyDescent="0.2">
      <c r="AU6945"/>
      <c r="AV6945"/>
      <c r="AW6945"/>
      <c r="AX6945"/>
      <c r="AY6945"/>
    </row>
    <row r="6946" spans="47:51" x14ac:dyDescent="0.2">
      <c r="AU6946"/>
      <c r="AV6946"/>
      <c r="AW6946"/>
      <c r="AX6946"/>
      <c r="AY6946"/>
    </row>
    <row r="6947" spans="47:51" x14ac:dyDescent="0.2">
      <c r="AU6947"/>
      <c r="AV6947"/>
      <c r="AW6947"/>
      <c r="AX6947"/>
      <c r="AY6947"/>
    </row>
    <row r="6948" spans="47:51" x14ac:dyDescent="0.2">
      <c r="AU6948"/>
      <c r="AV6948"/>
      <c r="AW6948"/>
      <c r="AX6948"/>
      <c r="AY6948"/>
    </row>
    <row r="6949" spans="47:51" x14ac:dyDescent="0.2">
      <c r="AU6949"/>
      <c r="AV6949"/>
      <c r="AW6949"/>
      <c r="AX6949"/>
      <c r="AY6949"/>
    </row>
    <row r="6950" spans="47:51" x14ac:dyDescent="0.2">
      <c r="AU6950"/>
      <c r="AV6950"/>
      <c r="AW6950"/>
      <c r="AX6950"/>
      <c r="AY6950"/>
    </row>
    <row r="6951" spans="47:51" x14ac:dyDescent="0.2">
      <c r="AU6951"/>
      <c r="AV6951"/>
      <c r="AW6951"/>
      <c r="AX6951"/>
      <c r="AY6951"/>
    </row>
    <row r="6952" spans="47:51" x14ac:dyDescent="0.2">
      <c r="AU6952"/>
      <c r="AV6952"/>
      <c r="AW6952"/>
      <c r="AX6952"/>
      <c r="AY6952"/>
    </row>
    <row r="6953" spans="47:51" x14ac:dyDescent="0.2">
      <c r="AU6953"/>
      <c r="AV6953"/>
      <c r="AW6953"/>
      <c r="AX6953"/>
      <c r="AY6953"/>
    </row>
    <row r="6954" spans="47:51" x14ac:dyDescent="0.2">
      <c r="AU6954"/>
      <c r="AV6954"/>
      <c r="AW6954"/>
      <c r="AX6954"/>
      <c r="AY6954"/>
    </row>
    <row r="6955" spans="47:51" x14ac:dyDescent="0.2">
      <c r="AU6955"/>
      <c r="AV6955"/>
      <c r="AW6955"/>
      <c r="AX6955"/>
      <c r="AY6955"/>
    </row>
    <row r="6956" spans="47:51" x14ac:dyDescent="0.2">
      <c r="AU6956"/>
      <c r="AV6956"/>
      <c r="AW6956"/>
      <c r="AX6956"/>
      <c r="AY6956"/>
    </row>
    <row r="6957" spans="47:51" x14ac:dyDescent="0.2">
      <c r="AU6957"/>
      <c r="AV6957"/>
      <c r="AW6957"/>
      <c r="AX6957"/>
      <c r="AY6957"/>
    </row>
    <row r="6958" spans="47:51" x14ac:dyDescent="0.2">
      <c r="AU6958"/>
      <c r="AV6958"/>
      <c r="AW6958"/>
      <c r="AX6958"/>
      <c r="AY6958"/>
    </row>
    <row r="6959" spans="47:51" x14ac:dyDescent="0.2">
      <c r="AU6959"/>
      <c r="AV6959"/>
      <c r="AW6959"/>
      <c r="AX6959"/>
      <c r="AY6959"/>
    </row>
    <row r="6960" spans="47:51" x14ac:dyDescent="0.2">
      <c r="AU6960"/>
      <c r="AV6960"/>
      <c r="AW6960"/>
      <c r="AX6960"/>
      <c r="AY6960"/>
    </row>
    <row r="6961" spans="47:51" x14ac:dyDescent="0.2">
      <c r="AU6961"/>
      <c r="AV6961"/>
      <c r="AW6961"/>
      <c r="AX6961"/>
      <c r="AY6961"/>
    </row>
    <row r="6962" spans="47:51" x14ac:dyDescent="0.2">
      <c r="AU6962"/>
      <c r="AV6962"/>
      <c r="AW6962"/>
      <c r="AX6962"/>
      <c r="AY6962"/>
    </row>
    <row r="6963" spans="47:51" x14ac:dyDescent="0.2">
      <c r="AU6963"/>
      <c r="AV6963"/>
      <c r="AW6963"/>
      <c r="AX6963"/>
      <c r="AY6963"/>
    </row>
    <row r="6964" spans="47:51" x14ac:dyDescent="0.2">
      <c r="AU6964"/>
      <c r="AV6964"/>
      <c r="AW6964"/>
      <c r="AX6964"/>
      <c r="AY6964"/>
    </row>
    <row r="6965" spans="47:51" x14ac:dyDescent="0.2">
      <c r="AU6965"/>
      <c r="AV6965"/>
      <c r="AW6965"/>
      <c r="AX6965"/>
      <c r="AY6965"/>
    </row>
    <row r="6966" spans="47:51" x14ac:dyDescent="0.2">
      <c r="AU6966"/>
      <c r="AV6966"/>
      <c r="AW6966"/>
      <c r="AX6966"/>
      <c r="AY6966"/>
    </row>
    <row r="6967" spans="47:51" x14ac:dyDescent="0.2">
      <c r="AU6967"/>
      <c r="AV6967"/>
      <c r="AW6967"/>
      <c r="AX6967"/>
      <c r="AY6967"/>
    </row>
    <row r="6968" spans="47:51" x14ac:dyDescent="0.2">
      <c r="AU6968"/>
      <c r="AV6968"/>
      <c r="AW6968"/>
      <c r="AX6968"/>
      <c r="AY6968"/>
    </row>
    <row r="6969" spans="47:51" x14ac:dyDescent="0.2">
      <c r="AU6969"/>
      <c r="AV6969"/>
      <c r="AW6969"/>
      <c r="AX6969"/>
      <c r="AY6969"/>
    </row>
    <row r="6970" spans="47:51" x14ac:dyDescent="0.2">
      <c r="AU6970"/>
      <c r="AV6970"/>
      <c r="AW6970"/>
      <c r="AX6970"/>
      <c r="AY6970"/>
    </row>
    <row r="6971" spans="47:51" x14ac:dyDescent="0.2">
      <c r="AU6971"/>
      <c r="AV6971"/>
      <c r="AW6971"/>
      <c r="AX6971"/>
      <c r="AY6971"/>
    </row>
    <row r="6972" spans="47:51" x14ac:dyDescent="0.2">
      <c r="AU6972"/>
      <c r="AV6972"/>
      <c r="AW6972"/>
      <c r="AX6972"/>
      <c r="AY6972"/>
    </row>
    <row r="6973" spans="47:51" x14ac:dyDescent="0.2">
      <c r="AU6973"/>
      <c r="AV6973"/>
      <c r="AW6973"/>
      <c r="AX6973"/>
      <c r="AY6973"/>
    </row>
    <row r="6974" spans="47:51" x14ac:dyDescent="0.2">
      <c r="AU6974"/>
      <c r="AV6974"/>
      <c r="AW6974"/>
      <c r="AX6974"/>
      <c r="AY6974"/>
    </row>
    <row r="6975" spans="47:51" x14ac:dyDescent="0.2">
      <c r="AU6975"/>
      <c r="AV6975"/>
      <c r="AW6975"/>
      <c r="AX6975"/>
      <c r="AY6975"/>
    </row>
    <row r="6976" spans="47:51" x14ac:dyDescent="0.2">
      <c r="AU6976"/>
      <c r="AV6976"/>
      <c r="AW6976"/>
      <c r="AX6976"/>
      <c r="AY6976"/>
    </row>
    <row r="6977" spans="47:51" x14ac:dyDescent="0.2">
      <c r="AU6977"/>
      <c r="AV6977"/>
      <c r="AW6977"/>
      <c r="AX6977"/>
      <c r="AY6977"/>
    </row>
    <row r="6978" spans="47:51" x14ac:dyDescent="0.2">
      <c r="AU6978"/>
      <c r="AV6978"/>
      <c r="AW6978"/>
      <c r="AX6978"/>
      <c r="AY6978"/>
    </row>
    <row r="6979" spans="47:51" x14ac:dyDescent="0.2">
      <c r="AU6979"/>
      <c r="AV6979"/>
      <c r="AW6979"/>
      <c r="AX6979"/>
      <c r="AY6979"/>
    </row>
    <row r="6980" spans="47:51" x14ac:dyDescent="0.2">
      <c r="AU6980"/>
      <c r="AV6980"/>
      <c r="AW6980"/>
      <c r="AX6980"/>
      <c r="AY6980"/>
    </row>
    <row r="6981" spans="47:51" x14ac:dyDescent="0.2">
      <c r="AU6981"/>
      <c r="AV6981"/>
      <c r="AW6981"/>
      <c r="AX6981"/>
      <c r="AY6981"/>
    </row>
    <row r="6982" spans="47:51" x14ac:dyDescent="0.2">
      <c r="AU6982"/>
      <c r="AV6982"/>
      <c r="AW6982"/>
      <c r="AX6982"/>
      <c r="AY6982"/>
    </row>
    <row r="6983" spans="47:51" x14ac:dyDescent="0.2">
      <c r="AU6983"/>
      <c r="AV6983"/>
      <c r="AW6983"/>
      <c r="AX6983"/>
      <c r="AY6983"/>
    </row>
    <row r="6984" spans="47:51" x14ac:dyDescent="0.2">
      <c r="AU6984"/>
      <c r="AV6984"/>
      <c r="AW6984"/>
      <c r="AX6984"/>
      <c r="AY6984"/>
    </row>
    <row r="6985" spans="47:51" x14ac:dyDescent="0.2">
      <c r="AU6985"/>
      <c r="AV6985"/>
      <c r="AW6985"/>
      <c r="AX6985"/>
      <c r="AY6985"/>
    </row>
    <row r="6986" spans="47:51" x14ac:dyDescent="0.2">
      <c r="AU6986"/>
      <c r="AV6986"/>
      <c r="AW6986"/>
      <c r="AX6986"/>
      <c r="AY6986"/>
    </row>
    <row r="6987" spans="47:51" x14ac:dyDescent="0.2">
      <c r="AU6987"/>
      <c r="AV6987"/>
      <c r="AW6987"/>
      <c r="AX6987"/>
      <c r="AY6987"/>
    </row>
    <row r="6988" spans="47:51" x14ac:dyDescent="0.2">
      <c r="AU6988"/>
      <c r="AV6988"/>
      <c r="AW6988"/>
      <c r="AX6988"/>
      <c r="AY6988"/>
    </row>
    <row r="6989" spans="47:51" x14ac:dyDescent="0.2">
      <c r="AU6989"/>
      <c r="AV6989"/>
      <c r="AW6989"/>
      <c r="AX6989"/>
      <c r="AY6989"/>
    </row>
    <row r="6990" spans="47:51" x14ac:dyDescent="0.2">
      <c r="AU6990"/>
      <c r="AV6990"/>
      <c r="AW6990"/>
      <c r="AX6990"/>
      <c r="AY6990"/>
    </row>
    <row r="6991" spans="47:51" x14ac:dyDescent="0.2">
      <c r="AU6991"/>
      <c r="AV6991"/>
      <c r="AW6991"/>
      <c r="AX6991"/>
      <c r="AY6991"/>
    </row>
    <row r="6992" spans="47:51" x14ac:dyDescent="0.2">
      <c r="AU6992"/>
      <c r="AV6992"/>
      <c r="AW6992"/>
      <c r="AX6992"/>
      <c r="AY6992"/>
    </row>
    <row r="6993" spans="47:51" x14ac:dyDescent="0.2">
      <c r="AU6993"/>
      <c r="AV6993"/>
      <c r="AW6993"/>
      <c r="AX6993"/>
      <c r="AY6993"/>
    </row>
    <row r="6994" spans="47:51" x14ac:dyDescent="0.2">
      <c r="AU6994"/>
      <c r="AV6994"/>
      <c r="AW6994"/>
      <c r="AX6994"/>
      <c r="AY6994"/>
    </row>
    <row r="6995" spans="47:51" x14ac:dyDescent="0.2">
      <c r="AU6995"/>
      <c r="AV6995"/>
      <c r="AW6995"/>
      <c r="AX6995"/>
      <c r="AY6995"/>
    </row>
    <row r="6996" spans="47:51" x14ac:dyDescent="0.2">
      <c r="AU6996"/>
      <c r="AV6996"/>
      <c r="AW6996"/>
      <c r="AX6996"/>
      <c r="AY6996"/>
    </row>
    <row r="6997" spans="47:51" x14ac:dyDescent="0.2">
      <c r="AU6997"/>
      <c r="AV6997"/>
      <c r="AW6997"/>
      <c r="AX6997"/>
      <c r="AY6997"/>
    </row>
    <row r="6998" spans="47:51" x14ac:dyDescent="0.2">
      <c r="AU6998"/>
      <c r="AV6998"/>
      <c r="AW6998"/>
      <c r="AX6998"/>
      <c r="AY6998"/>
    </row>
    <row r="6999" spans="47:51" x14ac:dyDescent="0.2">
      <c r="AU6999"/>
      <c r="AV6999"/>
      <c r="AW6999"/>
      <c r="AX6999"/>
      <c r="AY6999"/>
    </row>
    <row r="7000" spans="47:51" x14ac:dyDescent="0.2">
      <c r="AU7000"/>
      <c r="AV7000"/>
      <c r="AW7000"/>
      <c r="AX7000"/>
      <c r="AY7000"/>
    </row>
    <row r="7001" spans="47:51" x14ac:dyDescent="0.2">
      <c r="AU7001"/>
      <c r="AV7001"/>
      <c r="AW7001"/>
      <c r="AX7001"/>
      <c r="AY7001"/>
    </row>
    <row r="7002" spans="47:51" x14ac:dyDescent="0.2">
      <c r="AU7002"/>
      <c r="AV7002"/>
      <c r="AW7002"/>
      <c r="AX7002"/>
      <c r="AY7002"/>
    </row>
    <row r="7003" spans="47:51" x14ac:dyDescent="0.2">
      <c r="AU7003"/>
      <c r="AV7003"/>
      <c r="AW7003"/>
      <c r="AX7003"/>
      <c r="AY7003"/>
    </row>
    <row r="7004" spans="47:51" x14ac:dyDescent="0.2">
      <c r="AU7004"/>
      <c r="AV7004"/>
      <c r="AW7004"/>
      <c r="AX7004"/>
      <c r="AY7004"/>
    </row>
    <row r="7005" spans="47:51" x14ac:dyDescent="0.2">
      <c r="AU7005"/>
      <c r="AV7005"/>
      <c r="AW7005"/>
      <c r="AX7005"/>
      <c r="AY7005"/>
    </row>
    <row r="7006" spans="47:51" x14ac:dyDescent="0.2">
      <c r="AU7006"/>
      <c r="AV7006"/>
      <c r="AW7006"/>
      <c r="AX7006"/>
      <c r="AY7006"/>
    </row>
    <row r="7007" spans="47:51" x14ac:dyDescent="0.2">
      <c r="AU7007"/>
      <c r="AV7007"/>
      <c r="AW7007"/>
      <c r="AX7007"/>
      <c r="AY7007"/>
    </row>
    <row r="7008" spans="47:51" x14ac:dyDescent="0.2">
      <c r="AU7008"/>
      <c r="AV7008"/>
      <c r="AW7008"/>
      <c r="AX7008"/>
      <c r="AY7008"/>
    </row>
    <row r="7009" spans="47:51" x14ac:dyDescent="0.2">
      <c r="AU7009"/>
      <c r="AV7009"/>
      <c r="AW7009"/>
      <c r="AX7009"/>
      <c r="AY7009"/>
    </row>
    <row r="7010" spans="47:51" x14ac:dyDescent="0.2">
      <c r="AU7010"/>
      <c r="AV7010"/>
      <c r="AW7010"/>
      <c r="AX7010"/>
      <c r="AY7010"/>
    </row>
    <row r="7011" spans="47:51" x14ac:dyDescent="0.2">
      <c r="AU7011"/>
      <c r="AV7011"/>
      <c r="AW7011"/>
      <c r="AX7011"/>
      <c r="AY7011"/>
    </row>
    <row r="7012" spans="47:51" x14ac:dyDescent="0.2">
      <c r="AU7012"/>
      <c r="AV7012"/>
      <c r="AW7012"/>
      <c r="AX7012"/>
      <c r="AY7012"/>
    </row>
    <row r="7013" spans="47:51" x14ac:dyDescent="0.2">
      <c r="AU7013"/>
      <c r="AV7013"/>
      <c r="AW7013"/>
      <c r="AX7013"/>
      <c r="AY7013"/>
    </row>
    <row r="7014" spans="47:51" x14ac:dyDescent="0.2">
      <c r="AU7014"/>
      <c r="AV7014"/>
      <c r="AW7014"/>
      <c r="AX7014"/>
      <c r="AY7014"/>
    </row>
    <row r="7015" spans="47:51" x14ac:dyDescent="0.2">
      <c r="AU7015"/>
      <c r="AV7015"/>
      <c r="AW7015"/>
      <c r="AX7015"/>
      <c r="AY7015"/>
    </row>
    <row r="7016" spans="47:51" x14ac:dyDescent="0.2">
      <c r="AU7016"/>
      <c r="AV7016"/>
      <c r="AW7016"/>
      <c r="AX7016"/>
      <c r="AY7016"/>
    </row>
    <row r="7017" spans="47:51" x14ac:dyDescent="0.2">
      <c r="AU7017"/>
      <c r="AV7017"/>
      <c r="AW7017"/>
      <c r="AX7017"/>
      <c r="AY7017"/>
    </row>
    <row r="7018" spans="47:51" x14ac:dyDescent="0.2">
      <c r="AU7018"/>
      <c r="AV7018"/>
      <c r="AW7018"/>
      <c r="AX7018"/>
      <c r="AY7018"/>
    </row>
    <row r="7019" spans="47:51" x14ac:dyDescent="0.2">
      <c r="AU7019"/>
      <c r="AV7019"/>
      <c r="AW7019"/>
      <c r="AX7019"/>
      <c r="AY7019"/>
    </row>
    <row r="7020" spans="47:51" x14ac:dyDescent="0.2">
      <c r="AU7020"/>
      <c r="AV7020"/>
      <c r="AW7020"/>
      <c r="AX7020"/>
      <c r="AY7020"/>
    </row>
    <row r="7021" spans="47:51" x14ac:dyDescent="0.2">
      <c r="AU7021"/>
      <c r="AV7021"/>
      <c r="AW7021"/>
      <c r="AX7021"/>
      <c r="AY7021"/>
    </row>
    <row r="7022" spans="47:51" x14ac:dyDescent="0.2">
      <c r="AU7022"/>
      <c r="AV7022"/>
      <c r="AW7022"/>
      <c r="AX7022"/>
      <c r="AY7022"/>
    </row>
    <row r="7023" spans="47:51" x14ac:dyDescent="0.2">
      <c r="AU7023"/>
      <c r="AV7023"/>
      <c r="AW7023"/>
      <c r="AX7023"/>
      <c r="AY7023"/>
    </row>
    <row r="7024" spans="47:51" x14ac:dyDescent="0.2">
      <c r="AU7024"/>
      <c r="AV7024"/>
      <c r="AW7024"/>
      <c r="AX7024"/>
      <c r="AY7024"/>
    </row>
    <row r="7025" spans="47:51" x14ac:dyDescent="0.2">
      <c r="AU7025"/>
      <c r="AV7025"/>
      <c r="AW7025"/>
      <c r="AX7025"/>
      <c r="AY7025"/>
    </row>
    <row r="7026" spans="47:51" x14ac:dyDescent="0.2">
      <c r="AU7026"/>
      <c r="AV7026"/>
      <c r="AW7026"/>
      <c r="AX7026"/>
      <c r="AY7026"/>
    </row>
    <row r="7027" spans="47:51" x14ac:dyDescent="0.2">
      <c r="AU7027"/>
      <c r="AV7027"/>
      <c r="AW7027"/>
      <c r="AX7027"/>
      <c r="AY7027"/>
    </row>
    <row r="7028" spans="47:51" x14ac:dyDescent="0.2">
      <c r="AU7028"/>
      <c r="AV7028"/>
      <c r="AW7028"/>
      <c r="AX7028"/>
      <c r="AY7028"/>
    </row>
    <row r="7029" spans="47:51" x14ac:dyDescent="0.2">
      <c r="AU7029"/>
      <c r="AV7029"/>
      <c r="AW7029"/>
      <c r="AX7029"/>
      <c r="AY7029"/>
    </row>
    <row r="7030" spans="47:51" x14ac:dyDescent="0.2">
      <c r="AU7030"/>
      <c r="AV7030"/>
      <c r="AW7030"/>
      <c r="AX7030"/>
      <c r="AY7030"/>
    </row>
    <row r="7031" spans="47:51" x14ac:dyDescent="0.2">
      <c r="AU7031"/>
      <c r="AV7031"/>
      <c r="AW7031"/>
      <c r="AX7031"/>
      <c r="AY7031"/>
    </row>
    <row r="7032" spans="47:51" x14ac:dyDescent="0.2">
      <c r="AU7032"/>
      <c r="AV7032"/>
      <c r="AW7032"/>
      <c r="AX7032"/>
      <c r="AY7032"/>
    </row>
    <row r="7033" spans="47:51" x14ac:dyDescent="0.2">
      <c r="AU7033"/>
      <c r="AV7033"/>
      <c r="AW7033"/>
      <c r="AX7033"/>
      <c r="AY7033"/>
    </row>
    <row r="7034" spans="47:51" x14ac:dyDescent="0.2">
      <c r="AU7034"/>
      <c r="AV7034"/>
      <c r="AW7034"/>
      <c r="AX7034"/>
      <c r="AY7034"/>
    </row>
    <row r="7035" spans="47:51" x14ac:dyDescent="0.2">
      <c r="AU7035"/>
      <c r="AV7035"/>
      <c r="AW7035"/>
      <c r="AX7035"/>
      <c r="AY7035"/>
    </row>
    <row r="7036" spans="47:51" x14ac:dyDescent="0.2">
      <c r="AU7036"/>
      <c r="AV7036"/>
      <c r="AW7036"/>
      <c r="AX7036"/>
      <c r="AY7036"/>
    </row>
    <row r="7037" spans="47:51" x14ac:dyDescent="0.2">
      <c r="AU7037"/>
      <c r="AV7037"/>
      <c r="AW7037"/>
      <c r="AX7037"/>
      <c r="AY7037"/>
    </row>
    <row r="7038" spans="47:51" x14ac:dyDescent="0.2">
      <c r="AU7038"/>
      <c r="AV7038"/>
      <c r="AW7038"/>
      <c r="AX7038"/>
      <c r="AY7038"/>
    </row>
    <row r="7039" spans="47:51" x14ac:dyDescent="0.2">
      <c r="AU7039"/>
      <c r="AV7039"/>
      <c r="AW7039"/>
      <c r="AX7039"/>
      <c r="AY7039"/>
    </row>
    <row r="7040" spans="47:51" x14ac:dyDescent="0.2">
      <c r="AU7040"/>
      <c r="AV7040"/>
      <c r="AW7040"/>
      <c r="AX7040"/>
      <c r="AY7040"/>
    </row>
    <row r="7041" spans="47:51" x14ac:dyDescent="0.2">
      <c r="AU7041"/>
      <c r="AV7041"/>
      <c r="AW7041"/>
      <c r="AX7041"/>
      <c r="AY7041"/>
    </row>
    <row r="7042" spans="47:51" x14ac:dyDescent="0.2">
      <c r="AU7042"/>
      <c r="AV7042"/>
      <c r="AW7042"/>
      <c r="AX7042"/>
      <c r="AY7042"/>
    </row>
    <row r="7043" spans="47:51" x14ac:dyDescent="0.2">
      <c r="AU7043"/>
      <c r="AV7043"/>
      <c r="AW7043"/>
      <c r="AX7043"/>
      <c r="AY7043"/>
    </row>
    <row r="7044" spans="47:51" x14ac:dyDescent="0.2">
      <c r="AU7044"/>
      <c r="AV7044"/>
      <c r="AW7044"/>
      <c r="AX7044"/>
      <c r="AY7044"/>
    </row>
    <row r="7045" spans="47:51" x14ac:dyDescent="0.2">
      <c r="AU7045"/>
      <c r="AV7045"/>
      <c r="AW7045"/>
      <c r="AX7045"/>
      <c r="AY7045"/>
    </row>
    <row r="7046" spans="47:51" x14ac:dyDescent="0.2">
      <c r="AU7046"/>
      <c r="AV7046"/>
      <c r="AW7046"/>
      <c r="AX7046"/>
      <c r="AY7046"/>
    </row>
    <row r="7047" spans="47:51" x14ac:dyDescent="0.2">
      <c r="AU7047"/>
      <c r="AV7047"/>
      <c r="AW7047"/>
      <c r="AX7047"/>
      <c r="AY7047"/>
    </row>
    <row r="7048" spans="47:51" x14ac:dyDescent="0.2">
      <c r="AU7048"/>
      <c r="AV7048"/>
      <c r="AW7048"/>
      <c r="AX7048"/>
      <c r="AY7048"/>
    </row>
    <row r="7049" spans="47:51" x14ac:dyDescent="0.2">
      <c r="AU7049"/>
      <c r="AV7049"/>
      <c r="AW7049"/>
      <c r="AX7049"/>
      <c r="AY7049"/>
    </row>
    <row r="7050" spans="47:51" x14ac:dyDescent="0.2">
      <c r="AU7050"/>
      <c r="AV7050"/>
      <c r="AW7050"/>
      <c r="AX7050"/>
      <c r="AY7050"/>
    </row>
    <row r="7051" spans="47:51" x14ac:dyDescent="0.2">
      <c r="AU7051"/>
      <c r="AV7051"/>
      <c r="AW7051"/>
      <c r="AX7051"/>
      <c r="AY7051"/>
    </row>
    <row r="7052" spans="47:51" x14ac:dyDescent="0.2">
      <c r="AU7052"/>
      <c r="AV7052"/>
      <c r="AW7052"/>
      <c r="AX7052"/>
      <c r="AY7052"/>
    </row>
    <row r="7053" spans="47:51" x14ac:dyDescent="0.2">
      <c r="AU7053"/>
      <c r="AV7053"/>
      <c r="AW7053"/>
      <c r="AX7053"/>
      <c r="AY7053"/>
    </row>
    <row r="7054" spans="47:51" x14ac:dyDescent="0.2">
      <c r="AU7054"/>
      <c r="AV7054"/>
      <c r="AW7054"/>
      <c r="AX7054"/>
      <c r="AY7054"/>
    </row>
    <row r="7055" spans="47:51" x14ac:dyDescent="0.2">
      <c r="AU7055"/>
      <c r="AV7055"/>
      <c r="AW7055"/>
      <c r="AX7055"/>
      <c r="AY7055"/>
    </row>
    <row r="7056" spans="47:51" x14ac:dyDescent="0.2">
      <c r="AU7056"/>
      <c r="AV7056"/>
      <c r="AW7056"/>
      <c r="AX7056"/>
      <c r="AY7056"/>
    </row>
    <row r="7057" spans="47:51" x14ac:dyDescent="0.2">
      <c r="AU7057"/>
      <c r="AV7057"/>
      <c r="AW7057"/>
      <c r="AX7057"/>
      <c r="AY7057"/>
    </row>
    <row r="7058" spans="47:51" x14ac:dyDescent="0.2">
      <c r="AU7058"/>
      <c r="AV7058"/>
      <c r="AW7058"/>
      <c r="AX7058"/>
      <c r="AY7058"/>
    </row>
    <row r="7059" spans="47:51" x14ac:dyDescent="0.2">
      <c r="AU7059"/>
      <c r="AV7059"/>
      <c r="AW7059"/>
      <c r="AX7059"/>
      <c r="AY7059"/>
    </row>
    <row r="7060" spans="47:51" x14ac:dyDescent="0.2">
      <c r="AU7060"/>
      <c r="AV7060"/>
      <c r="AW7060"/>
      <c r="AX7060"/>
      <c r="AY7060"/>
    </row>
    <row r="7061" spans="47:51" x14ac:dyDescent="0.2">
      <c r="AU7061"/>
      <c r="AV7061"/>
      <c r="AW7061"/>
      <c r="AX7061"/>
      <c r="AY7061"/>
    </row>
    <row r="7062" spans="47:51" x14ac:dyDescent="0.2">
      <c r="AU7062"/>
      <c r="AV7062"/>
      <c r="AW7062"/>
      <c r="AX7062"/>
      <c r="AY7062"/>
    </row>
    <row r="7063" spans="47:51" x14ac:dyDescent="0.2">
      <c r="AU7063"/>
      <c r="AV7063"/>
      <c r="AW7063"/>
      <c r="AX7063"/>
      <c r="AY7063"/>
    </row>
    <row r="7064" spans="47:51" x14ac:dyDescent="0.2">
      <c r="AU7064"/>
      <c r="AV7064"/>
      <c r="AW7064"/>
      <c r="AX7064"/>
      <c r="AY7064"/>
    </row>
    <row r="7065" spans="47:51" x14ac:dyDescent="0.2">
      <c r="AU7065"/>
      <c r="AV7065"/>
      <c r="AW7065"/>
      <c r="AX7065"/>
      <c r="AY7065"/>
    </row>
    <row r="7066" spans="47:51" x14ac:dyDescent="0.2">
      <c r="AU7066"/>
      <c r="AV7066"/>
      <c r="AW7066"/>
      <c r="AX7066"/>
      <c r="AY7066"/>
    </row>
    <row r="7067" spans="47:51" x14ac:dyDescent="0.2">
      <c r="AU7067"/>
      <c r="AV7067"/>
      <c r="AW7067"/>
      <c r="AX7067"/>
      <c r="AY7067"/>
    </row>
    <row r="7068" spans="47:51" x14ac:dyDescent="0.2">
      <c r="AU7068"/>
      <c r="AV7068"/>
      <c r="AW7068"/>
      <c r="AX7068"/>
      <c r="AY7068"/>
    </row>
    <row r="7069" spans="47:51" x14ac:dyDescent="0.2">
      <c r="AU7069"/>
      <c r="AV7069"/>
      <c r="AW7069"/>
      <c r="AX7069"/>
      <c r="AY7069"/>
    </row>
    <row r="7070" spans="47:51" x14ac:dyDescent="0.2">
      <c r="AU7070"/>
      <c r="AV7070"/>
      <c r="AW7070"/>
      <c r="AX7070"/>
      <c r="AY7070"/>
    </row>
    <row r="7071" spans="47:51" x14ac:dyDescent="0.2">
      <c r="AU7071"/>
      <c r="AV7071"/>
      <c r="AW7071"/>
      <c r="AX7071"/>
      <c r="AY7071"/>
    </row>
    <row r="7072" spans="47:51" x14ac:dyDescent="0.2">
      <c r="AU7072"/>
      <c r="AV7072"/>
      <c r="AW7072"/>
      <c r="AX7072"/>
      <c r="AY7072"/>
    </row>
    <row r="7073" spans="47:51" x14ac:dyDescent="0.2">
      <c r="AU7073"/>
      <c r="AV7073"/>
      <c r="AW7073"/>
      <c r="AX7073"/>
      <c r="AY7073"/>
    </row>
    <row r="7074" spans="47:51" x14ac:dyDescent="0.2">
      <c r="AU7074"/>
      <c r="AV7074"/>
      <c r="AW7074"/>
      <c r="AX7074"/>
      <c r="AY7074"/>
    </row>
    <row r="7075" spans="47:51" x14ac:dyDescent="0.2">
      <c r="AU7075"/>
      <c r="AV7075"/>
      <c r="AW7075"/>
      <c r="AX7075"/>
      <c r="AY7075"/>
    </row>
    <row r="7076" spans="47:51" x14ac:dyDescent="0.2">
      <c r="AU7076"/>
      <c r="AV7076"/>
      <c r="AW7076"/>
      <c r="AX7076"/>
      <c r="AY7076"/>
    </row>
    <row r="7077" spans="47:51" x14ac:dyDescent="0.2">
      <c r="AU7077"/>
      <c r="AV7077"/>
      <c r="AW7077"/>
      <c r="AX7077"/>
      <c r="AY7077"/>
    </row>
    <row r="7078" spans="47:51" x14ac:dyDescent="0.2">
      <c r="AU7078"/>
      <c r="AV7078"/>
      <c r="AW7078"/>
      <c r="AX7078"/>
      <c r="AY7078"/>
    </row>
    <row r="7079" spans="47:51" x14ac:dyDescent="0.2">
      <c r="AU7079"/>
      <c r="AV7079"/>
      <c r="AW7079"/>
      <c r="AX7079"/>
      <c r="AY7079"/>
    </row>
    <row r="7080" spans="47:51" x14ac:dyDescent="0.2">
      <c r="AU7080"/>
      <c r="AV7080"/>
      <c r="AW7080"/>
      <c r="AX7080"/>
      <c r="AY7080"/>
    </row>
    <row r="7081" spans="47:51" x14ac:dyDescent="0.2">
      <c r="AU7081"/>
      <c r="AV7081"/>
      <c r="AW7081"/>
      <c r="AX7081"/>
      <c r="AY7081"/>
    </row>
    <row r="7082" spans="47:51" x14ac:dyDescent="0.2">
      <c r="AU7082"/>
      <c r="AV7082"/>
      <c r="AW7082"/>
      <c r="AX7082"/>
      <c r="AY7082"/>
    </row>
    <row r="7083" spans="47:51" x14ac:dyDescent="0.2">
      <c r="AU7083"/>
      <c r="AV7083"/>
      <c r="AW7083"/>
      <c r="AX7083"/>
      <c r="AY7083"/>
    </row>
    <row r="7084" spans="47:51" x14ac:dyDescent="0.2">
      <c r="AU7084"/>
      <c r="AV7084"/>
      <c r="AW7084"/>
      <c r="AX7084"/>
      <c r="AY7084"/>
    </row>
    <row r="7085" spans="47:51" x14ac:dyDescent="0.2">
      <c r="AU7085"/>
      <c r="AV7085"/>
      <c r="AW7085"/>
      <c r="AX7085"/>
      <c r="AY7085"/>
    </row>
    <row r="7086" spans="47:51" x14ac:dyDescent="0.2">
      <c r="AU7086"/>
      <c r="AV7086"/>
      <c r="AW7086"/>
      <c r="AX7086"/>
      <c r="AY7086"/>
    </row>
    <row r="7087" spans="47:51" x14ac:dyDescent="0.2">
      <c r="AU7087"/>
      <c r="AV7087"/>
      <c r="AW7087"/>
      <c r="AX7087"/>
      <c r="AY7087"/>
    </row>
    <row r="7088" spans="47:51" x14ac:dyDescent="0.2">
      <c r="AU7088"/>
      <c r="AV7088"/>
      <c r="AW7088"/>
      <c r="AX7088"/>
      <c r="AY7088"/>
    </row>
    <row r="7089" spans="47:51" x14ac:dyDescent="0.2">
      <c r="AU7089"/>
      <c r="AV7089"/>
      <c r="AW7089"/>
      <c r="AX7089"/>
      <c r="AY7089"/>
    </row>
    <row r="7090" spans="47:51" x14ac:dyDescent="0.2">
      <c r="AU7090"/>
      <c r="AV7090"/>
      <c r="AW7090"/>
      <c r="AX7090"/>
      <c r="AY7090"/>
    </row>
    <row r="7091" spans="47:51" x14ac:dyDescent="0.2">
      <c r="AU7091"/>
      <c r="AV7091"/>
      <c r="AW7091"/>
      <c r="AX7091"/>
      <c r="AY7091"/>
    </row>
    <row r="7092" spans="47:51" x14ac:dyDescent="0.2">
      <c r="AU7092"/>
      <c r="AV7092"/>
      <c r="AW7092"/>
      <c r="AX7092"/>
      <c r="AY7092"/>
    </row>
    <row r="7093" spans="47:51" x14ac:dyDescent="0.2">
      <c r="AU7093"/>
      <c r="AV7093"/>
      <c r="AW7093"/>
      <c r="AX7093"/>
      <c r="AY7093"/>
    </row>
    <row r="7094" spans="47:51" x14ac:dyDescent="0.2">
      <c r="AU7094"/>
      <c r="AV7094"/>
      <c r="AW7094"/>
      <c r="AX7094"/>
      <c r="AY7094"/>
    </row>
    <row r="7095" spans="47:51" x14ac:dyDescent="0.2">
      <c r="AU7095"/>
      <c r="AV7095"/>
      <c r="AW7095"/>
      <c r="AX7095"/>
      <c r="AY7095"/>
    </row>
    <row r="7096" spans="47:51" x14ac:dyDescent="0.2">
      <c r="AU7096"/>
      <c r="AV7096"/>
      <c r="AW7096"/>
      <c r="AX7096"/>
      <c r="AY7096"/>
    </row>
    <row r="7097" spans="47:51" x14ac:dyDescent="0.2">
      <c r="AU7097"/>
      <c r="AV7097"/>
      <c r="AW7097"/>
      <c r="AX7097"/>
      <c r="AY7097"/>
    </row>
    <row r="7098" spans="47:51" x14ac:dyDescent="0.2">
      <c r="AU7098"/>
      <c r="AV7098"/>
      <c r="AW7098"/>
      <c r="AX7098"/>
      <c r="AY7098"/>
    </row>
    <row r="7099" spans="47:51" x14ac:dyDescent="0.2">
      <c r="AU7099"/>
      <c r="AV7099"/>
      <c r="AW7099"/>
      <c r="AX7099"/>
      <c r="AY7099"/>
    </row>
    <row r="7100" spans="47:51" x14ac:dyDescent="0.2">
      <c r="AU7100"/>
      <c r="AV7100"/>
      <c r="AW7100"/>
      <c r="AX7100"/>
      <c r="AY7100"/>
    </row>
    <row r="7101" spans="47:51" x14ac:dyDescent="0.2">
      <c r="AU7101"/>
      <c r="AV7101"/>
      <c r="AW7101"/>
      <c r="AX7101"/>
      <c r="AY7101"/>
    </row>
    <row r="7102" spans="47:51" x14ac:dyDescent="0.2">
      <c r="AU7102"/>
      <c r="AV7102"/>
      <c r="AW7102"/>
      <c r="AX7102"/>
      <c r="AY7102"/>
    </row>
    <row r="7103" spans="47:51" x14ac:dyDescent="0.2">
      <c r="AU7103"/>
      <c r="AV7103"/>
      <c r="AW7103"/>
      <c r="AX7103"/>
      <c r="AY7103"/>
    </row>
    <row r="7104" spans="47:51" x14ac:dyDescent="0.2">
      <c r="AU7104"/>
      <c r="AV7104"/>
      <c r="AW7104"/>
      <c r="AX7104"/>
      <c r="AY7104"/>
    </row>
    <row r="7105" spans="47:51" x14ac:dyDescent="0.2">
      <c r="AU7105"/>
      <c r="AV7105"/>
      <c r="AW7105"/>
      <c r="AX7105"/>
      <c r="AY7105"/>
    </row>
    <row r="7106" spans="47:51" x14ac:dyDescent="0.2">
      <c r="AU7106"/>
      <c r="AV7106"/>
      <c r="AW7106"/>
      <c r="AX7106"/>
      <c r="AY7106"/>
    </row>
    <row r="7107" spans="47:51" x14ac:dyDescent="0.2">
      <c r="AU7107"/>
      <c r="AV7107"/>
      <c r="AW7107"/>
      <c r="AX7107"/>
      <c r="AY7107"/>
    </row>
    <row r="7108" spans="47:51" x14ac:dyDescent="0.2">
      <c r="AU7108"/>
      <c r="AV7108"/>
      <c r="AW7108"/>
      <c r="AX7108"/>
      <c r="AY7108"/>
    </row>
    <row r="7109" spans="47:51" x14ac:dyDescent="0.2">
      <c r="AU7109"/>
      <c r="AV7109"/>
      <c r="AW7109"/>
      <c r="AX7109"/>
      <c r="AY7109"/>
    </row>
    <row r="7110" spans="47:51" x14ac:dyDescent="0.2">
      <c r="AU7110"/>
      <c r="AV7110"/>
      <c r="AW7110"/>
      <c r="AX7110"/>
      <c r="AY7110"/>
    </row>
    <row r="7111" spans="47:51" x14ac:dyDescent="0.2">
      <c r="AU7111"/>
      <c r="AV7111"/>
      <c r="AW7111"/>
      <c r="AX7111"/>
      <c r="AY7111"/>
    </row>
    <row r="7112" spans="47:51" x14ac:dyDescent="0.2">
      <c r="AU7112"/>
      <c r="AV7112"/>
      <c r="AW7112"/>
      <c r="AX7112"/>
      <c r="AY7112"/>
    </row>
    <row r="7113" spans="47:51" x14ac:dyDescent="0.2">
      <c r="AU7113"/>
      <c r="AV7113"/>
      <c r="AW7113"/>
      <c r="AX7113"/>
      <c r="AY7113"/>
    </row>
    <row r="7114" spans="47:51" x14ac:dyDescent="0.2">
      <c r="AU7114"/>
      <c r="AV7114"/>
      <c r="AW7114"/>
      <c r="AX7114"/>
      <c r="AY7114"/>
    </row>
    <row r="7115" spans="47:51" x14ac:dyDescent="0.2">
      <c r="AU7115"/>
      <c r="AV7115"/>
      <c r="AW7115"/>
      <c r="AX7115"/>
      <c r="AY7115"/>
    </row>
    <row r="7116" spans="47:51" x14ac:dyDescent="0.2">
      <c r="AU7116"/>
      <c r="AV7116"/>
      <c r="AW7116"/>
      <c r="AX7116"/>
      <c r="AY7116"/>
    </row>
    <row r="7117" spans="47:51" x14ac:dyDescent="0.2">
      <c r="AU7117"/>
      <c r="AV7117"/>
      <c r="AW7117"/>
      <c r="AX7117"/>
      <c r="AY7117"/>
    </row>
    <row r="7118" spans="47:51" x14ac:dyDescent="0.2">
      <c r="AU7118"/>
      <c r="AV7118"/>
      <c r="AW7118"/>
      <c r="AX7118"/>
      <c r="AY7118"/>
    </row>
    <row r="7119" spans="47:51" x14ac:dyDescent="0.2">
      <c r="AU7119"/>
      <c r="AV7119"/>
      <c r="AW7119"/>
      <c r="AX7119"/>
      <c r="AY7119"/>
    </row>
    <row r="7120" spans="47:51" x14ac:dyDescent="0.2">
      <c r="AU7120"/>
      <c r="AV7120"/>
      <c r="AW7120"/>
      <c r="AX7120"/>
      <c r="AY7120"/>
    </row>
    <row r="7121" spans="47:51" x14ac:dyDescent="0.2">
      <c r="AU7121"/>
      <c r="AV7121"/>
      <c r="AW7121"/>
      <c r="AX7121"/>
      <c r="AY7121"/>
    </row>
    <row r="7122" spans="47:51" x14ac:dyDescent="0.2">
      <c r="AU7122"/>
      <c r="AV7122"/>
      <c r="AW7122"/>
      <c r="AX7122"/>
      <c r="AY7122"/>
    </row>
    <row r="7123" spans="47:51" x14ac:dyDescent="0.2">
      <c r="AU7123"/>
      <c r="AV7123"/>
      <c r="AW7123"/>
      <c r="AX7123"/>
      <c r="AY7123"/>
    </row>
    <row r="7124" spans="47:51" x14ac:dyDescent="0.2">
      <c r="AU7124"/>
      <c r="AV7124"/>
      <c r="AW7124"/>
      <c r="AX7124"/>
      <c r="AY7124"/>
    </row>
    <row r="7125" spans="47:51" x14ac:dyDescent="0.2">
      <c r="AU7125"/>
      <c r="AV7125"/>
      <c r="AW7125"/>
      <c r="AX7125"/>
      <c r="AY7125"/>
    </row>
    <row r="7126" spans="47:51" x14ac:dyDescent="0.2">
      <c r="AU7126"/>
      <c r="AV7126"/>
      <c r="AW7126"/>
      <c r="AX7126"/>
      <c r="AY7126"/>
    </row>
    <row r="7127" spans="47:51" x14ac:dyDescent="0.2">
      <c r="AU7127"/>
      <c r="AV7127"/>
      <c r="AW7127"/>
      <c r="AX7127"/>
      <c r="AY7127"/>
    </row>
    <row r="7128" spans="47:51" x14ac:dyDescent="0.2">
      <c r="AU7128"/>
      <c r="AV7128"/>
      <c r="AW7128"/>
      <c r="AX7128"/>
      <c r="AY7128"/>
    </row>
    <row r="7129" spans="47:51" x14ac:dyDescent="0.2">
      <c r="AU7129"/>
      <c r="AV7129"/>
      <c r="AW7129"/>
      <c r="AX7129"/>
      <c r="AY7129"/>
    </row>
    <row r="7130" spans="47:51" x14ac:dyDescent="0.2">
      <c r="AU7130"/>
      <c r="AV7130"/>
      <c r="AW7130"/>
      <c r="AX7130"/>
      <c r="AY7130"/>
    </row>
    <row r="7131" spans="47:51" x14ac:dyDescent="0.2">
      <c r="AU7131"/>
      <c r="AV7131"/>
      <c r="AW7131"/>
      <c r="AX7131"/>
      <c r="AY7131"/>
    </row>
    <row r="7132" spans="47:51" x14ac:dyDescent="0.2">
      <c r="AU7132"/>
      <c r="AV7132"/>
      <c r="AW7132"/>
      <c r="AX7132"/>
      <c r="AY7132"/>
    </row>
    <row r="7133" spans="47:51" x14ac:dyDescent="0.2">
      <c r="AU7133"/>
      <c r="AV7133"/>
      <c r="AW7133"/>
      <c r="AX7133"/>
      <c r="AY7133"/>
    </row>
    <row r="7134" spans="47:51" x14ac:dyDescent="0.2">
      <c r="AU7134"/>
      <c r="AV7134"/>
      <c r="AW7134"/>
      <c r="AX7134"/>
      <c r="AY7134"/>
    </row>
    <row r="7135" spans="47:51" x14ac:dyDescent="0.2">
      <c r="AU7135"/>
      <c r="AV7135"/>
      <c r="AW7135"/>
      <c r="AX7135"/>
      <c r="AY7135"/>
    </row>
    <row r="7136" spans="47:51" x14ac:dyDescent="0.2">
      <c r="AU7136"/>
      <c r="AV7136"/>
      <c r="AW7136"/>
      <c r="AX7136"/>
      <c r="AY7136"/>
    </row>
    <row r="7137" spans="47:51" x14ac:dyDescent="0.2">
      <c r="AU7137"/>
      <c r="AV7137"/>
      <c r="AW7137"/>
      <c r="AX7137"/>
      <c r="AY7137"/>
    </row>
    <row r="7138" spans="47:51" x14ac:dyDescent="0.2">
      <c r="AU7138"/>
      <c r="AV7138"/>
      <c r="AW7138"/>
      <c r="AX7138"/>
      <c r="AY7138"/>
    </row>
    <row r="7139" spans="47:51" x14ac:dyDescent="0.2">
      <c r="AU7139"/>
      <c r="AV7139"/>
      <c r="AW7139"/>
      <c r="AX7139"/>
      <c r="AY7139"/>
    </row>
    <row r="7140" spans="47:51" x14ac:dyDescent="0.2">
      <c r="AU7140"/>
      <c r="AV7140"/>
      <c r="AW7140"/>
      <c r="AX7140"/>
      <c r="AY7140"/>
    </row>
    <row r="7141" spans="47:51" x14ac:dyDescent="0.2">
      <c r="AU7141"/>
      <c r="AV7141"/>
      <c r="AW7141"/>
      <c r="AX7141"/>
      <c r="AY7141"/>
    </row>
    <row r="7142" spans="47:51" x14ac:dyDescent="0.2">
      <c r="AU7142"/>
      <c r="AV7142"/>
      <c r="AW7142"/>
      <c r="AX7142"/>
      <c r="AY7142"/>
    </row>
    <row r="7143" spans="47:51" x14ac:dyDescent="0.2">
      <c r="AU7143"/>
      <c r="AV7143"/>
      <c r="AW7143"/>
      <c r="AX7143"/>
      <c r="AY7143"/>
    </row>
    <row r="7144" spans="47:51" x14ac:dyDescent="0.2">
      <c r="AU7144"/>
      <c r="AV7144"/>
      <c r="AW7144"/>
      <c r="AX7144"/>
      <c r="AY7144"/>
    </row>
    <row r="7145" spans="47:51" x14ac:dyDescent="0.2">
      <c r="AU7145"/>
      <c r="AV7145"/>
      <c r="AW7145"/>
      <c r="AX7145"/>
      <c r="AY7145"/>
    </row>
    <row r="7146" spans="47:51" x14ac:dyDescent="0.2">
      <c r="AU7146"/>
      <c r="AV7146"/>
      <c r="AW7146"/>
      <c r="AX7146"/>
      <c r="AY7146"/>
    </row>
    <row r="7147" spans="47:51" x14ac:dyDescent="0.2">
      <c r="AU7147"/>
      <c r="AV7147"/>
      <c r="AW7147"/>
      <c r="AX7147"/>
      <c r="AY7147"/>
    </row>
    <row r="7148" spans="47:51" x14ac:dyDescent="0.2">
      <c r="AU7148"/>
      <c r="AV7148"/>
      <c r="AW7148"/>
      <c r="AX7148"/>
      <c r="AY7148"/>
    </row>
    <row r="7149" spans="47:51" x14ac:dyDescent="0.2">
      <c r="AU7149"/>
      <c r="AV7149"/>
      <c r="AW7149"/>
      <c r="AX7149"/>
      <c r="AY7149"/>
    </row>
    <row r="7150" spans="47:51" x14ac:dyDescent="0.2">
      <c r="AU7150"/>
      <c r="AV7150"/>
      <c r="AW7150"/>
      <c r="AX7150"/>
      <c r="AY7150"/>
    </row>
    <row r="7151" spans="47:51" x14ac:dyDescent="0.2">
      <c r="AU7151"/>
      <c r="AV7151"/>
      <c r="AW7151"/>
      <c r="AX7151"/>
      <c r="AY7151"/>
    </row>
    <row r="7152" spans="47:51" x14ac:dyDescent="0.2">
      <c r="AU7152"/>
      <c r="AV7152"/>
      <c r="AW7152"/>
      <c r="AX7152"/>
      <c r="AY7152"/>
    </row>
    <row r="7153" spans="47:51" x14ac:dyDescent="0.2">
      <c r="AU7153"/>
      <c r="AV7153"/>
      <c r="AW7153"/>
      <c r="AX7153"/>
      <c r="AY7153"/>
    </row>
    <row r="7154" spans="47:51" x14ac:dyDescent="0.2">
      <c r="AU7154"/>
      <c r="AV7154"/>
      <c r="AW7154"/>
      <c r="AX7154"/>
      <c r="AY7154"/>
    </row>
    <row r="7155" spans="47:51" x14ac:dyDescent="0.2">
      <c r="AU7155"/>
      <c r="AV7155"/>
      <c r="AW7155"/>
      <c r="AX7155"/>
      <c r="AY7155"/>
    </row>
    <row r="7156" spans="47:51" x14ac:dyDescent="0.2">
      <c r="AU7156"/>
      <c r="AV7156"/>
      <c r="AW7156"/>
      <c r="AX7156"/>
      <c r="AY7156"/>
    </row>
    <row r="7157" spans="47:51" x14ac:dyDescent="0.2">
      <c r="AU7157"/>
      <c r="AV7157"/>
      <c r="AW7157"/>
      <c r="AX7157"/>
      <c r="AY7157"/>
    </row>
    <row r="7158" spans="47:51" x14ac:dyDescent="0.2">
      <c r="AU7158"/>
      <c r="AV7158"/>
      <c r="AW7158"/>
      <c r="AX7158"/>
      <c r="AY7158"/>
    </row>
    <row r="7159" spans="47:51" x14ac:dyDescent="0.2">
      <c r="AU7159"/>
      <c r="AV7159"/>
      <c r="AW7159"/>
      <c r="AX7159"/>
      <c r="AY7159"/>
    </row>
    <row r="7160" spans="47:51" x14ac:dyDescent="0.2">
      <c r="AU7160"/>
      <c r="AV7160"/>
      <c r="AW7160"/>
      <c r="AX7160"/>
      <c r="AY7160"/>
    </row>
    <row r="7161" spans="47:51" x14ac:dyDescent="0.2">
      <c r="AU7161"/>
      <c r="AV7161"/>
      <c r="AW7161"/>
      <c r="AX7161"/>
      <c r="AY7161"/>
    </row>
    <row r="7162" spans="47:51" x14ac:dyDescent="0.2">
      <c r="AU7162"/>
      <c r="AV7162"/>
      <c r="AW7162"/>
      <c r="AX7162"/>
      <c r="AY7162"/>
    </row>
    <row r="7163" spans="47:51" x14ac:dyDescent="0.2">
      <c r="AU7163"/>
      <c r="AV7163"/>
      <c r="AW7163"/>
      <c r="AX7163"/>
      <c r="AY7163"/>
    </row>
    <row r="7164" spans="47:51" x14ac:dyDescent="0.2">
      <c r="AU7164"/>
      <c r="AV7164"/>
      <c r="AW7164"/>
      <c r="AX7164"/>
      <c r="AY7164"/>
    </row>
    <row r="7165" spans="47:51" x14ac:dyDescent="0.2">
      <c r="AU7165"/>
      <c r="AV7165"/>
      <c r="AW7165"/>
      <c r="AX7165"/>
      <c r="AY7165"/>
    </row>
    <row r="7166" spans="47:51" x14ac:dyDescent="0.2">
      <c r="AU7166"/>
      <c r="AV7166"/>
      <c r="AW7166"/>
      <c r="AX7166"/>
      <c r="AY7166"/>
    </row>
    <row r="7167" spans="47:51" x14ac:dyDescent="0.2">
      <c r="AU7167"/>
      <c r="AV7167"/>
      <c r="AW7167"/>
      <c r="AX7167"/>
      <c r="AY7167"/>
    </row>
    <row r="7168" spans="47:51" x14ac:dyDescent="0.2">
      <c r="AU7168"/>
      <c r="AV7168"/>
      <c r="AW7168"/>
      <c r="AX7168"/>
      <c r="AY7168"/>
    </row>
    <row r="7169" spans="47:51" x14ac:dyDescent="0.2">
      <c r="AU7169"/>
      <c r="AV7169"/>
      <c r="AW7169"/>
      <c r="AX7169"/>
      <c r="AY7169"/>
    </row>
    <row r="7170" spans="47:51" x14ac:dyDescent="0.2">
      <c r="AU7170"/>
      <c r="AV7170"/>
      <c r="AW7170"/>
      <c r="AX7170"/>
      <c r="AY7170"/>
    </row>
    <row r="7171" spans="47:51" x14ac:dyDescent="0.2">
      <c r="AU7171"/>
      <c r="AV7171"/>
      <c r="AW7171"/>
      <c r="AX7171"/>
      <c r="AY7171"/>
    </row>
    <row r="7172" spans="47:51" x14ac:dyDescent="0.2">
      <c r="AU7172"/>
      <c r="AV7172"/>
      <c r="AW7172"/>
      <c r="AX7172"/>
      <c r="AY7172"/>
    </row>
    <row r="7173" spans="47:51" x14ac:dyDescent="0.2">
      <c r="AU7173"/>
      <c r="AV7173"/>
      <c r="AW7173"/>
      <c r="AX7173"/>
      <c r="AY7173"/>
    </row>
    <row r="7174" spans="47:51" x14ac:dyDescent="0.2">
      <c r="AU7174"/>
      <c r="AV7174"/>
      <c r="AW7174"/>
      <c r="AX7174"/>
      <c r="AY7174"/>
    </row>
    <row r="7175" spans="47:51" x14ac:dyDescent="0.2">
      <c r="AU7175"/>
      <c r="AV7175"/>
      <c r="AW7175"/>
      <c r="AX7175"/>
      <c r="AY7175"/>
    </row>
    <row r="7176" spans="47:51" x14ac:dyDescent="0.2">
      <c r="AU7176"/>
      <c r="AV7176"/>
      <c r="AW7176"/>
      <c r="AX7176"/>
      <c r="AY7176"/>
    </row>
    <row r="7177" spans="47:51" x14ac:dyDescent="0.2">
      <c r="AU7177"/>
      <c r="AV7177"/>
      <c r="AW7177"/>
      <c r="AX7177"/>
      <c r="AY7177"/>
    </row>
    <row r="7178" spans="47:51" x14ac:dyDescent="0.2">
      <c r="AU7178"/>
      <c r="AV7178"/>
      <c r="AW7178"/>
      <c r="AX7178"/>
      <c r="AY7178"/>
    </row>
    <row r="7179" spans="47:51" x14ac:dyDescent="0.2">
      <c r="AU7179"/>
      <c r="AV7179"/>
      <c r="AW7179"/>
      <c r="AX7179"/>
      <c r="AY7179"/>
    </row>
    <row r="7180" spans="47:51" x14ac:dyDescent="0.2">
      <c r="AU7180"/>
      <c r="AV7180"/>
      <c r="AW7180"/>
      <c r="AX7180"/>
      <c r="AY7180"/>
    </row>
    <row r="7181" spans="47:51" x14ac:dyDescent="0.2">
      <c r="AU7181"/>
      <c r="AV7181"/>
      <c r="AW7181"/>
      <c r="AX7181"/>
      <c r="AY7181"/>
    </row>
    <row r="7182" spans="47:51" x14ac:dyDescent="0.2">
      <c r="AU7182"/>
      <c r="AV7182"/>
      <c r="AW7182"/>
      <c r="AX7182"/>
      <c r="AY7182"/>
    </row>
    <row r="7183" spans="47:51" x14ac:dyDescent="0.2">
      <c r="AU7183"/>
      <c r="AV7183"/>
      <c r="AW7183"/>
      <c r="AX7183"/>
      <c r="AY7183"/>
    </row>
    <row r="7184" spans="47:51" x14ac:dyDescent="0.2">
      <c r="AU7184"/>
      <c r="AV7184"/>
      <c r="AW7184"/>
      <c r="AX7184"/>
      <c r="AY7184"/>
    </row>
    <row r="7185" spans="47:51" x14ac:dyDescent="0.2">
      <c r="AU7185"/>
      <c r="AV7185"/>
      <c r="AW7185"/>
      <c r="AX7185"/>
      <c r="AY7185"/>
    </row>
    <row r="7186" spans="47:51" x14ac:dyDescent="0.2">
      <c r="AU7186"/>
      <c r="AV7186"/>
      <c r="AW7186"/>
      <c r="AX7186"/>
      <c r="AY7186"/>
    </row>
    <row r="7187" spans="47:51" x14ac:dyDescent="0.2">
      <c r="AU7187"/>
      <c r="AV7187"/>
      <c r="AW7187"/>
      <c r="AX7187"/>
      <c r="AY7187"/>
    </row>
    <row r="7188" spans="47:51" x14ac:dyDescent="0.2">
      <c r="AU7188"/>
      <c r="AV7188"/>
      <c r="AW7188"/>
      <c r="AX7188"/>
      <c r="AY7188"/>
    </row>
    <row r="7189" spans="47:51" x14ac:dyDescent="0.2">
      <c r="AU7189"/>
      <c r="AV7189"/>
      <c r="AW7189"/>
      <c r="AX7189"/>
      <c r="AY7189"/>
    </row>
    <row r="7190" spans="47:51" x14ac:dyDescent="0.2">
      <c r="AU7190"/>
      <c r="AV7190"/>
      <c r="AW7190"/>
      <c r="AX7190"/>
      <c r="AY7190"/>
    </row>
    <row r="7191" spans="47:51" x14ac:dyDescent="0.2">
      <c r="AU7191"/>
      <c r="AV7191"/>
      <c r="AW7191"/>
      <c r="AX7191"/>
      <c r="AY7191"/>
    </row>
    <row r="7192" spans="47:51" x14ac:dyDescent="0.2">
      <c r="AU7192"/>
      <c r="AV7192"/>
      <c r="AW7192"/>
      <c r="AX7192"/>
      <c r="AY7192"/>
    </row>
    <row r="7193" spans="47:51" x14ac:dyDescent="0.2">
      <c r="AU7193"/>
      <c r="AV7193"/>
      <c r="AW7193"/>
      <c r="AX7193"/>
      <c r="AY7193"/>
    </row>
    <row r="7194" spans="47:51" x14ac:dyDescent="0.2">
      <c r="AU7194"/>
      <c r="AV7194"/>
      <c r="AW7194"/>
      <c r="AX7194"/>
      <c r="AY7194"/>
    </row>
    <row r="7195" spans="47:51" x14ac:dyDescent="0.2">
      <c r="AU7195"/>
      <c r="AV7195"/>
      <c r="AW7195"/>
      <c r="AX7195"/>
      <c r="AY7195"/>
    </row>
    <row r="7196" spans="47:51" x14ac:dyDescent="0.2">
      <c r="AU7196"/>
      <c r="AV7196"/>
      <c r="AW7196"/>
      <c r="AX7196"/>
      <c r="AY7196"/>
    </row>
    <row r="7197" spans="47:51" x14ac:dyDescent="0.2">
      <c r="AU7197"/>
      <c r="AV7197"/>
      <c r="AW7197"/>
      <c r="AX7197"/>
      <c r="AY7197"/>
    </row>
    <row r="7198" spans="47:51" x14ac:dyDescent="0.2">
      <c r="AU7198"/>
      <c r="AV7198"/>
      <c r="AW7198"/>
      <c r="AX7198"/>
      <c r="AY7198"/>
    </row>
    <row r="7199" spans="47:51" x14ac:dyDescent="0.2">
      <c r="AU7199"/>
      <c r="AV7199"/>
      <c r="AW7199"/>
      <c r="AX7199"/>
      <c r="AY7199"/>
    </row>
    <row r="7200" spans="47:51" x14ac:dyDescent="0.2">
      <c r="AU7200"/>
      <c r="AV7200"/>
      <c r="AW7200"/>
      <c r="AX7200"/>
      <c r="AY7200"/>
    </row>
    <row r="7201" spans="47:51" x14ac:dyDescent="0.2">
      <c r="AU7201"/>
      <c r="AV7201"/>
      <c r="AW7201"/>
      <c r="AX7201"/>
      <c r="AY7201"/>
    </row>
    <row r="7202" spans="47:51" x14ac:dyDescent="0.2">
      <c r="AU7202"/>
      <c r="AV7202"/>
      <c r="AW7202"/>
      <c r="AX7202"/>
      <c r="AY7202"/>
    </row>
    <row r="7203" spans="47:51" x14ac:dyDescent="0.2">
      <c r="AU7203"/>
      <c r="AV7203"/>
      <c r="AW7203"/>
      <c r="AX7203"/>
      <c r="AY7203"/>
    </row>
    <row r="7204" spans="47:51" x14ac:dyDescent="0.2">
      <c r="AU7204"/>
      <c r="AV7204"/>
      <c r="AW7204"/>
      <c r="AX7204"/>
      <c r="AY7204"/>
    </row>
    <row r="7205" spans="47:51" x14ac:dyDescent="0.2">
      <c r="AU7205"/>
      <c r="AV7205"/>
      <c r="AW7205"/>
      <c r="AX7205"/>
      <c r="AY7205"/>
    </row>
    <row r="7206" spans="47:51" x14ac:dyDescent="0.2">
      <c r="AU7206"/>
      <c r="AV7206"/>
      <c r="AW7206"/>
      <c r="AX7206"/>
      <c r="AY7206"/>
    </row>
    <row r="7207" spans="47:51" x14ac:dyDescent="0.2">
      <c r="AU7207"/>
      <c r="AV7207"/>
      <c r="AW7207"/>
      <c r="AX7207"/>
      <c r="AY7207"/>
    </row>
    <row r="7208" spans="47:51" x14ac:dyDescent="0.2">
      <c r="AU7208"/>
      <c r="AV7208"/>
      <c r="AW7208"/>
      <c r="AX7208"/>
      <c r="AY7208"/>
    </row>
    <row r="7209" spans="47:51" x14ac:dyDescent="0.2">
      <c r="AU7209"/>
      <c r="AV7209"/>
      <c r="AW7209"/>
      <c r="AX7209"/>
      <c r="AY7209"/>
    </row>
    <row r="7210" spans="47:51" x14ac:dyDescent="0.2">
      <c r="AU7210"/>
      <c r="AV7210"/>
      <c r="AW7210"/>
      <c r="AX7210"/>
      <c r="AY7210"/>
    </row>
    <row r="7211" spans="47:51" x14ac:dyDescent="0.2">
      <c r="AU7211"/>
      <c r="AV7211"/>
      <c r="AW7211"/>
      <c r="AX7211"/>
      <c r="AY7211"/>
    </row>
    <row r="7212" spans="47:51" x14ac:dyDescent="0.2">
      <c r="AU7212"/>
      <c r="AV7212"/>
      <c r="AW7212"/>
      <c r="AX7212"/>
      <c r="AY7212"/>
    </row>
    <row r="7213" spans="47:51" x14ac:dyDescent="0.2">
      <c r="AU7213"/>
      <c r="AV7213"/>
      <c r="AW7213"/>
      <c r="AX7213"/>
      <c r="AY7213"/>
    </row>
    <row r="7214" spans="47:51" x14ac:dyDescent="0.2">
      <c r="AU7214"/>
      <c r="AV7214"/>
      <c r="AW7214"/>
      <c r="AX7214"/>
      <c r="AY7214"/>
    </row>
    <row r="7215" spans="47:51" x14ac:dyDescent="0.2">
      <c r="AU7215"/>
      <c r="AV7215"/>
      <c r="AW7215"/>
      <c r="AX7215"/>
      <c r="AY7215"/>
    </row>
    <row r="7216" spans="47:51" x14ac:dyDescent="0.2">
      <c r="AU7216"/>
      <c r="AV7216"/>
      <c r="AW7216"/>
      <c r="AX7216"/>
      <c r="AY7216"/>
    </row>
    <row r="7217" spans="47:51" x14ac:dyDescent="0.2">
      <c r="AU7217"/>
      <c r="AV7217"/>
      <c r="AW7217"/>
      <c r="AX7217"/>
      <c r="AY7217"/>
    </row>
    <row r="7218" spans="47:51" x14ac:dyDescent="0.2">
      <c r="AU7218"/>
      <c r="AV7218"/>
      <c r="AW7218"/>
      <c r="AX7218"/>
      <c r="AY7218"/>
    </row>
    <row r="7219" spans="47:51" x14ac:dyDescent="0.2">
      <c r="AU7219"/>
      <c r="AV7219"/>
      <c r="AW7219"/>
      <c r="AX7219"/>
      <c r="AY7219"/>
    </row>
    <row r="7220" spans="47:51" x14ac:dyDescent="0.2">
      <c r="AU7220"/>
      <c r="AV7220"/>
      <c r="AW7220"/>
      <c r="AX7220"/>
      <c r="AY7220"/>
    </row>
    <row r="7221" spans="47:51" x14ac:dyDescent="0.2">
      <c r="AU7221"/>
      <c r="AV7221"/>
      <c r="AW7221"/>
      <c r="AX7221"/>
      <c r="AY7221"/>
    </row>
    <row r="7222" spans="47:51" x14ac:dyDescent="0.2">
      <c r="AU7222"/>
      <c r="AV7222"/>
      <c r="AW7222"/>
      <c r="AX7222"/>
      <c r="AY7222"/>
    </row>
    <row r="7223" spans="47:51" x14ac:dyDescent="0.2">
      <c r="AU7223"/>
      <c r="AV7223"/>
      <c r="AW7223"/>
      <c r="AX7223"/>
      <c r="AY7223"/>
    </row>
    <row r="7224" spans="47:51" x14ac:dyDescent="0.2">
      <c r="AU7224"/>
      <c r="AV7224"/>
      <c r="AW7224"/>
      <c r="AX7224"/>
      <c r="AY7224"/>
    </row>
    <row r="7225" spans="47:51" x14ac:dyDescent="0.2">
      <c r="AU7225"/>
      <c r="AV7225"/>
      <c r="AW7225"/>
      <c r="AX7225"/>
      <c r="AY7225"/>
    </row>
    <row r="7226" spans="47:51" x14ac:dyDescent="0.2">
      <c r="AU7226"/>
      <c r="AV7226"/>
      <c r="AW7226"/>
      <c r="AX7226"/>
      <c r="AY7226"/>
    </row>
    <row r="7227" spans="47:51" x14ac:dyDescent="0.2">
      <c r="AU7227"/>
      <c r="AV7227"/>
      <c r="AW7227"/>
      <c r="AX7227"/>
      <c r="AY7227"/>
    </row>
    <row r="7228" spans="47:51" x14ac:dyDescent="0.2">
      <c r="AU7228"/>
      <c r="AV7228"/>
      <c r="AW7228"/>
      <c r="AX7228"/>
      <c r="AY7228"/>
    </row>
    <row r="7229" spans="47:51" x14ac:dyDescent="0.2">
      <c r="AU7229"/>
      <c r="AV7229"/>
      <c r="AW7229"/>
      <c r="AX7229"/>
      <c r="AY7229"/>
    </row>
    <row r="7230" spans="47:51" x14ac:dyDescent="0.2">
      <c r="AU7230"/>
      <c r="AV7230"/>
      <c r="AW7230"/>
      <c r="AX7230"/>
      <c r="AY7230"/>
    </row>
    <row r="7231" spans="47:51" x14ac:dyDescent="0.2">
      <c r="AU7231"/>
      <c r="AV7231"/>
      <c r="AW7231"/>
      <c r="AX7231"/>
      <c r="AY7231"/>
    </row>
    <row r="7232" spans="47:51" x14ac:dyDescent="0.2">
      <c r="AU7232"/>
      <c r="AV7232"/>
      <c r="AW7232"/>
      <c r="AX7232"/>
      <c r="AY7232"/>
    </row>
    <row r="7233" spans="47:51" x14ac:dyDescent="0.2">
      <c r="AU7233"/>
      <c r="AV7233"/>
      <c r="AW7233"/>
      <c r="AX7233"/>
      <c r="AY7233"/>
    </row>
    <row r="7234" spans="47:51" x14ac:dyDescent="0.2">
      <c r="AU7234"/>
      <c r="AV7234"/>
      <c r="AW7234"/>
      <c r="AX7234"/>
      <c r="AY7234"/>
    </row>
    <row r="7235" spans="47:51" x14ac:dyDescent="0.2">
      <c r="AU7235"/>
      <c r="AV7235"/>
      <c r="AW7235"/>
      <c r="AX7235"/>
      <c r="AY7235"/>
    </row>
    <row r="7236" spans="47:51" x14ac:dyDescent="0.2">
      <c r="AU7236"/>
      <c r="AV7236"/>
      <c r="AW7236"/>
      <c r="AX7236"/>
      <c r="AY7236"/>
    </row>
    <row r="7237" spans="47:51" x14ac:dyDescent="0.2">
      <c r="AU7237"/>
      <c r="AV7237"/>
      <c r="AW7237"/>
      <c r="AX7237"/>
      <c r="AY7237"/>
    </row>
    <row r="7238" spans="47:51" x14ac:dyDescent="0.2">
      <c r="AU7238"/>
      <c r="AV7238"/>
      <c r="AW7238"/>
      <c r="AX7238"/>
      <c r="AY7238"/>
    </row>
    <row r="7239" spans="47:51" x14ac:dyDescent="0.2">
      <c r="AU7239"/>
      <c r="AV7239"/>
      <c r="AW7239"/>
      <c r="AX7239"/>
      <c r="AY7239"/>
    </row>
    <row r="7240" spans="47:51" x14ac:dyDescent="0.2">
      <c r="AU7240"/>
      <c r="AV7240"/>
      <c r="AW7240"/>
      <c r="AX7240"/>
      <c r="AY7240"/>
    </row>
    <row r="7241" spans="47:51" x14ac:dyDescent="0.2">
      <c r="AU7241"/>
      <c r="AV7241"/>
      <c r="AW7241"/>
      <c r="AX7241"/>
      <c r="AY7241"/>
    </row>
    <row r="7242" spans="47:51" x14ac:dyDescent="0.2">
      <c r="AU7242"/>
      <c r="AV7242"/>
      <c r="AW7242"/>
      <c r="AX7242"/>
      <c r="AY7242"/>
    </row>
    <row r="7243" spans="47:51" x14ac:dyDescent="0.2">
      <c r="AU7243"/>
      <c r="AV7243"/>
      <c r="AW7243"/>
      <c r="AX7243"/>
      <c r="AY7243"/>
    </row>
    <row r="7244" spans="47:51" x14ac:dyDescent="0.2">
      <c r="AU7244"/>
      <c r="AV7244"/>
      <c r="AW7244"/>
      <c r="AX7244"/>
      <c r="AY7244"/>
    </row>
    <row r="7245" spans="47:51" x14ac:dyDescent="0.2">
      <c r="AU7245"/>
      <c r="AV7245"/>
      <c r="AW7245"/>
      <c r="AX7245"/>
      <c r="AY7245"/>
    </row>
    <row r="7246" spans="47:51" x14ac:dyDescent="0.2">
      <c r="AU7246"/>
      <c r="AV7246"/>
      <c r="AW7246"/>
      <c r="AX7246"/>
      <c r="AY7246"/>
    </row>
    <row r="7247" spans="47:51" x14ac:dyDescent="0.2">
      <c r="AU7247"/>
      <c r="AV7247"/>
      <c r="AW7247"/>
      <c r="AX7247"/>
      <c r="AY7247"/>
    </row>
    <row r="7248" spans="47:51" x14ac:dyDescent="0.2">
      <c r="AU7248"/>
      <c r="AV7248"/>
      <c r="AW7248"/>
      <c r="AX7248"/>
      <c r="AY7248"/>
    </row>
    <row r="7249" spans="47:51" x14ac:dyDescent="0.2">
      <c r="AU7249"/>
      <c r="AV7249"/>
      <c r="AW7249"/>
      <c r="AX7249"/>
      <c r="AY7249"/>
    </row>
    <row r="7250" spans="47:51" x14ac:dyDescent="0.2">
      <c r="AU7250"/>
      <c r="AV7250"/>
      <c r="AW7250"/>
      <c r="AX7250"/>
      <c r="AY7250"/>
    </row>
    <row r="7251" spans="47:51" x14ac:dyDescent="0.2">
      <c r="AU7251"/>
      <c r="AV7251"/>
      <c r="AW7251"/>
      <c r="AX7251"/>
      <c r="AY7251"/>
    </row>
    <row r="7252" spans="47:51" x14ac:dyDescent="0.2">
      <c r="AU7252"/>
      <c r="AV7252"/>
      <c r="AW7252"/>
      <c r="AX7252"/>
      <c r="AY7252"/>
    </row>
    <row r="7253" spans="47:51" x14ac:dyDescent="0.2">
      <c r="AU7253"/>
      <c r="AV7253"/>
      <c r="AW7253"/>
      <c r="AX7253"/>
      <c r="AY7253"/>
    </row>
    <row r="7254" spans="47:51" x14ac:dyDescent="0.2">
      <c r="AU7254"/>
      <c r="AV7254"/>
      <c r="AW7254"/>
      <c r="AX7254"/>
      <c r="AY7254"/>
    </row>
    <row r="7255" spans="47:51" x14ac:dyDescent="0.2">
      <c r="AU7255"/>
      <c r="AV7255"/>
      <c r="AW7255"/>
      <c r="AX7255"/>
      <c r="AY7255"/>
    </row>
    <row r="7256" spans="47:51" x14ac:dyDescent="0.2">
      <c r="AU7256"/>
      <c r="AV7256"/>
      <c r="AW7256"/>
      <c r="AX7256"/>
      <c r="AY7256"/>
    </row>
    <row r="7257" spans="47:51" x14ac:dyDescent="0.2">
      <c r="AU7257"/>
      <c r="AV7257"/>
      <c r="AW7257"/>
      <c r="AX7257"/>
      <c r="AY7257"/>
    </row>
    <row r="7258" spans="47:51" x14ac:dyDescent="0.2">
      <c r="AU7258"/>
      <c r="AV7258"/>
      <c r="AW7258"/>
      <c r="AX7258"/>
      <c r="AY7258"/>
    </row>
    <row r="7259" spans="47:51" x14ac:dyDescent="0.2">
      <c r="AU7259"/>
      <c r="AV7259"/>
      <c r="AW7259"/>
      <c r="AX7259"/>
      <c r="AY7259"/>
    </row>
    <row r="7260" spans="47:51" x14ac:dyDescent="0.2">
      <c r="AU7260"/>
      <c r="AV7260"/>
      <c r="AW7260"/>
      <c r="AX7260"/>
      <c r="AY7260"/>
    </row>
    <row r="7261" spans="47:51" x14ac:dyDescent="0.2">
      <c r="AU7261"/>
      <c r="AV7261"/>
      <c r="AW7261"/>
      <c r="AX7261"/>
      <c r="AY7261"/>
    </row>
    <row r="7262" spans="47:51" x14ac:dyDescent="0.2">
      <c r="AU7262"/>
      <c r="AV7262"/>
      <c r="AW7262"/>
      <c r="AX7262"/>
      <c r="AY7262"/>
    </row>
    <row r="7263" spans="47:51" x14ac:dyDescent="0.2">
      <c r="AU7263"/>
      <c r="AV7263"/>
      <c r="AW7263"/>
      <c r="AX7263"/>
      <c r="AY7263"/>
    </row>
    <row r="7264" spans="47:51" x14ac:dyDescent="0.2">
      <c r="AU7264"/>
      <c r="AV7264"/>
      <c r="AW7264"/>
      <c r="AX7264"/>
      <c r="AY7264"/>
    </row>
    <row r="7265" spans="47:51" x14ac:dyDescent="0.2">
      <c r="AU7265"/>
      <c r="AV7265"/>
      <c r="AW7265"/>
      <c r="AX7265"/>
      <c r="AY7265"/>
    </row>
    <row r="7266" spans="47:51" x14ac:dyDescent="0.2">
      <c r="AU7266"/>
      <c r="AV7266"/>
      <c r="AW7266"/>
      <c r="AX7266"/>
      <c r="AY7266"/>
    </row>
    <row r="7267" spans="47:51" x14ac:dyDescent="0.2">
      <c r="AU7267"/>
      <c r="AV7267"/>
      <c r="AW7267"/>
      <c r="AX7267"/>
      <c r="AY7267"/>
    </row>
    <row r="7268" spans="47:51" x14ac:dyDescent="0.2">
      <c r="AU7268"/>
      <c r="AV7268"/>
      <c r="AW7268"/>
      <c r="AX7268"/>
      <c r="AY7268"/>
    </row>
    <row r="7269" spans="47:51" x14ac:dyDescent="0.2">
      <c r="AU7269"/>
      <c r="AV7269"/>
      <c r="AW7269"/>
      <c r="AX7269"/>
      <c r="AY7269"/>
    </row>
    <row r="7270" spans="47:51" x14ac:dyDescent="0.2">
      <c r="AU7270"/>
      <c r="AV7270"/>
      <c r="AW7270"/>
      <c r="AX7270"/>
      <c r="AY7270"/>
    </row>
    <row r="7271" spans="47:51" x14ac:dyDescent="0.2">
      <c r="AU7271"/>
      <c r="AV7271"/>
      <c r="AW7271"/>
      <c r="AX7271"/>
      <c r="AY7271"/>
    </row>
    <row r="7272" spans="47:51" x14ac:dyDescent="0.2">
      <c r="AU7272"/>
      <c r="AV7272"/>
      <c r="AW7272"/>
      <c r="AX7272"/>
      <c r="AY7272"/>
    </row>
    <row r="7273" spans="47:51" x14ac:dyDescent="0.2">
      <c r="AU7273"/>
      <c r="AV7273"/>
      <c r="AW7273"/>
      <c r="AX7273"/>
      <c r="AY7273"/>
    </row>
    <row r="7274" spans="47:51" x14ac:dyDescent="0.2">
      <c r="AU7274"/>
      <c r="AV7274"/>
      <c r="AW7274"/>
      <c r="AX7274"/>
      <c r="AY7274"/>
    </row>
    <row r="7275" spans="47:51" x14ac:dyDescent="0.2">
      <c r="AU7275"/>
      <c r="AV7275"/>
      <c r="AW7275"/>
      <c r="AX7275"/>
      <c r="AY7275"/>
    </row>
    <row r="7276" spans="47:51" x14ac:dyDescent="0.2">
      <c r="AU7276"/>
      <c r="AV7276"/>
      <c r="AW7276"/>
      <c r="AX7276"/>
      <c r="AY7276"/>
    </row>
    <row r="7277" spans="47:51" x14ac:dyDescent="0.2">
      <c r="AU7277"/>
      <c r="AV7277"/>
      <c r="AW7277"/>
      <c r="AX7277"/>
      <c r="AY7277"/>
    </row>
    <row r="7278" spans="47:51" x14ac:dyDescent="0.2">
      <c r="AU7278"/>
      <c r="AV7278"/>
      <c r="AW7278"/>
      <c r="AX7278"/>
      <c r="AY7278"/>
    </row>
    <row r="7279" spans="47:51" x14ac:dyDescent="0.2">
      <c r="AU7279"/>
      <c r="AV7279"/>
      <c r="AW7279"/>
      <c r="AX7279"/>
      <c r="AY7279"/>
    </row>
    <row r="7280" spans="47:51" x14ac:dyDescent="0.2">
      <c r="AU7280"/>
      <c r="AV7280"/>
      <c r="AW7280"/>
      <c r="AX7280"/>
      <c r="AY7280"/>
    </row>
    <row r="7281" spans="47:51" x14ac:dyDescent="0.2">
      <c r="AU7281"/>
      <c r="AV7281"/>
      <c r="AW7281"/>
      <c r="AX7281"/>
      <c r="AY7281"/>
    </row>
    <row r="7282" spans="47:51" x14ac:dyDescent="0.2">
      <c r="AU7282"/>
      <c r="AV7282"/>
      <c r="AW7282"/>
      <c r="AX7282"/>
      <c r="AY7282"/>
    </row>
    <row r="7283" spans="47:51" x14ac:dyDescent="0.2">
      <c r="AU7283"/>
      <c r="AV7283"/>
      <c r="AW7283"/>
      <c r="AX7283"/>
      <c r="AY7283"/>
    </row>
    <row r="7284" spans="47:51" x14ac:dyDescent="0.2">
      <c r="AU7284"/>
      <c r="AV7284"/>
      <c r="AW7284"/>
      <c r="AX7284"/>
      <c r="AY7284"/>
    </row>
    <row r="7285" spans="47:51" x14ac:dyDescent="0.2">
      <c r="AU7285"/>
      <c r="AV7285"/>
      <c r="AW7285"/>
      <c r="AX7285"/>
      <c r="AY7285"/>
    </row>
    <row r="7286" spans="47:51" x14ac:dyDescent="0.2">
      <c r="AU7286"/>
      <c r="AV7286"/>
      <c r="AW7286"/>
      <c r="AX7286"/>
      <c r="AY7286"/>
    </row>
    <row r="7287" spans="47:51" x14ac:dyDescent="0.2">
      <c r="AU7287"/>
      <c r="AV7287"/>
      <c r="AW7287"/>
      <c r="AX7287"/>
      <c r="AY7287"/>
    </row>
    <row r="7288" spans="47:51" x14ac:dyDescent="0.2">
      <c r="AU7288"/>
      <c r="AV7288"/>
      <c r="AW7288"/>
      <c r="AX7288"/>
      <c r="AY7288"/>
    </row>
    <row r="7289" spans="47:51" x14ac:dyDescent="0.2">
      <c r="AU7289"/>
      <c r="AV7289"/>
      <c r="AW7289"/>
      <c r="AX7289"/>
      <c r="AY7289"/>
    </row>
    <row r="7290" spans="47:51" x14ac:dyDescent="0.2">
      <c r="AU7290"/>
      <c r="AV7290"/>
      <c r="AW7290"/>
      <c r="AX7290"/>
      <c r="AY7290"/>
    </row>
    <row r="7291" spans="47:51" x14ac:dyDescent="0.2">
      <c r="AU7291"/>
      <c r="AV7291"/>
      <c r="AW7291"/>
      <c r="AX7291"/>
      <c r="AY7291"/>
    </row>
    <row r="7292" spans="47:51" x14ac:dyDescent="0.2">
      <c r="AU7292"/>
      <c r="AV7292"/>
      <c r="AW7292"/>
      <c r="AX7292"/>
      <c r="AY7292"/>
    </row>
    <row r="7293" spans="47:51" x14ac:dyDescent="0.2">
      <c r="AU7293"/>
      <c r="AV7293"/>
      <c r="AW7293"/>
      <c r="AX7293"/>
      <c r="AY7293"/>
    </row>
    <row r="7294" spans="47:51" x14ac:dyDescent="0.2">
      <c r="AU7294"/>
      <c r="AV7294"/>
      <c r="AW7294"/>
      <c r="AX7294"/>
      <c r="AY7294"/>
    </row>
    <row r="7295" spans="47:51" x14ac:dyDescent="0.2">
      <c r="AU7295"/>
      <c r="AV7295"/>
      <c r="AW7295"/>
      <c r="AX7295"/>
      <c r="AY7295"/>
    </row>
    <row r="7296" spans="47:51" x14ac:dyDescent="0.2">
      <c r="AU7296"/>
      <c r="AV7296"/>
      <c r="AW7296"/>
      <c r="AX7296"/>
      <c r="AY7296"/>
    </row>
    <row r="7297" spans="47:51" x14ac:dyDescent="0.2">
      <c r="AU7297"/>
      <c r="AV7297"/>
      <c r="AW7297"/>
      <c r="AX7297"/>
      <c r="AY7297"/>
    </row>
    <row r="7298" spans="47:51" x14ac:dyDescent="0.2">
      <c r="AU7298"/>
      <c r="AV7298"/>
      <c r="AW7298"/>
      <c r="AX7298"/>
      <c r="AY7298"/>
    </row>
    <row r="7299" spans="47:51" x14ac:dyDescent="0.2">
      <c r="AU7299"/>
      <c r="AV7299"/>
      <c r="AW7299"/>
      <c r="AX7299"/>
      <c r="AY7299"/>
    </row>
    <row r="7300" spans="47:51" x14ac:dyDescent="0.2">
      <c r="AU7300"/>
      <c r="AV7300"/>
      <c r="AW7300"/>
      <c r="AX7300"/>
      <c r="AY7300"/>
    </row>
    <row r="7301" spans="47:51" x14ac:dyDescent="0.2">
      <c r="AU7301"/>
      <c r="AV7301"/>
      <c r="AW7301"/>
      <c r="AX7301"/>
      <c r="AY7301"/>
    </row>
    <row r="7302" spans="47:51" x14ac:dyDescent="0.2">
      <c r="AU7302"/>
      <c r="AV7302"/>
      <c r="AW7302"/>
      <c r="AX7302"/>
      <c r="AY7302"/>
    </row>
    <row r="7303" spans="47:51" x14ac:dyDescent="0.2">
      <c r="AU7303"/>
      <c r="AV7303"/>
      <c r="AW7303"/>
      <c r="AX7303"/>
      <c r="AY7303"/>
    </row>
    <row r="7304" spans="47:51" x14ac:dyDescent="0.2">
      <c r="AU7304"/>
      <c r="AV7304"/>
      <c r="AW7304"/>
      <c r="AX7304"/>
      <c r="AY7304"/>
    </row>
    <row r="7305" spans="47:51" x14ac:dyDescent="0.2">
      <c r="AU7305"/>
      <c r="AV7305"/>
      <c r="AW7305"/>
      <c r="AX7305"/>
      <c r="AY7305"/>
    </row>
    <row r="7306" spans="47:51" x14ac:dyDescent="0.2">
      <c r="AU7306"/>
      <c r="AV7306"/>
      <c r="AW7306"/>
      <c r="AX7306"/>
      <c r="AY7306"/>
    </row>
    <row r="7307" spans="47:51" x14ac:dyDescent="0.2">
      <c r="AU7307"/>
      <c r="AV7307"/>
      <c r="AW7307"/>
      <c r="AX7307"/>
      <c r="AY7307"/>
    </row>
    <row r="7308" spans="47:51" x14ac:dyDescent="0.2">
      <c r="AU7308"/>
      <c r="AV7308"/>
      <c r="AW7308"/>
      <c r="AX7308"/>
      <c r="AY7308"/>
    </row>
    <row r="7309" spans="47:51" x14ac:dyDescent="0.2">
      <c r="AU7309"/>
      <c r="AV7309"/>
      <c r="AW7309"/>
      <c r="AX7309"/>
      <c r="AY7309"/>
    </row>
    <row r="7310" spans="47:51" x14ac:dyDescent="0.2">
      <c r="AU7310"/>
      <c r="AV7310"/>
      <c r="AW7310"/>
      <c r="AX7310"/>
      <c r="AY7310"/>
    </row>
    <row r="7311" spans="47:51" x14ac:dyDescent="0.2">
      <c r="AU7311"/>
      <c r="AV7311"/>
      <c r="AW7311"/>
      <c r="AX7311"/>
      <c r="AY7311"/>
    </row>
    <row r="7312" spans="47:51" x14ac:dyDescent="0.2">
      <c r="AU7312"/>
      <c r="AV7312"/>
      <c r="AW7312"/>
      <c r="AX7312"/>
      <c r="AY7312"/>
    </row>
    <row r="7313" spans="47:51" x14ac:dyDescent="0.2">
      <c r="AU7313"/>
      <c r="AV7313"/>
      <c r="AW7313"/>
      <c r="AX7313"/>
      <c r="AY7313"/>
    </row>
    <row r="7314" spans="47:51" x14ac:dyDescent="0.2">
      <c r="AU7314"/>
      <c r="AV7314"/>
      <c r="AW7314"/>
      <c r="AX7314"/>
      <c r="AY7314"/>
    </row>
    <row r="7315" spans="47:51" x14ac:dyDescent="0.2">
      <c r="AU7315"/>
      <c r="AV7315"/>
      <c r="AW7315"/>
      <c r="AX7315"/>
      <c r="AY7315"/>
    </row>
    <row r="7316" spans="47:51" x14ac:dyDescent="0.2">
      <c r="AU7316"/>
      <c r="AV7316"/>
      <c r="AW7316"/>
      <c r="AX7316"/>
      <c r="AY7316"/>
    </row>
    <row r="7317" spans="47:51" x14ac:dyDescent="0.2">
      <c r="AU7317"/>
      <c r="AV7317"/>
      <c r="AW7317"/>
      <c r="AX7317"/>
      <c r="AY7317"/>
    </row>
    <row r="7318" spans="47:51" x14ac:dyDescent="0.2">
      <c r="AU7318"/>
      <c r="AV7318"/>
      <c r="AW7318"/>
      <c r="AX7318"/>
      <c r="AY7318"/>
    </row>
    <row r="7319" spans="47:51" x14ac:dyDescent="0.2">
      <c r="AU7319"/>
      <c r="AV7319"/>
      <c r="AW7319"/>
      <c r="AX7319"/>
      <c r="AY7319"/>
    </row>
    <row r="7320" spans="47:51" x14ac:dyDescent="0.2">
      <c r="AU7320"/>
      <c r="AV7320"/>
      <c r="AW7320"/>
      <c r="AX7320"/>
      <c r="AY7320"/>
    </row>
    <row r="7321" spans="47:51" x14ac:dyDescent="0.2">
      <c r="AU7321"/>
      <c r="AV7321"/>
      <c r="AW7321"/>
      <c r="AX7321"/>
      <c r="AY7321"/>
    </row>
    <row r="7322" spans="47:51" x14ac:dyDescent="0.2">
      <c r="AU7322"/>
      <c r="AV7322"/>
      <c r="AW7322"/>
      <c r="AX7322"/>
      <c r="AY7322"/>
    </row>
    <row r="7323" spans="47:51" x14ac:dyDescent="0.2">
      <c r="AU7323"/>
      <c r="AV7323"/>
      <c r="AW7323"/>
      <c r="AX7323"/>
      <c r="AY7323"/>
    </row>
    <row r="7324" spans="47:51" x14ac:dyDescent="0.2">
      <c r="AU7324"/>
      <c r="AV7324"/>
      <c r="AW7324"/>
      <c r="AX7324"/>
      <c r="AY7324"/>
    </row>
    <row r="7325" spans="47:51" x14ac:dyDescent="0.2">
      <c r="AU7325"/>
      <c r="AV7325"/>
      <c r="AW7325"/>
      <c r="AX7325"/>
      <c r="AY7325"/>
    </row>
    <row r="7326" spans="47:51" x14ac:dyDescent="0.2">
      <c r="AU7326"/>
      <c r="AV7326"/>
      <c r="AW7326"/>
      <c r="AX7326"/>
      <c r="AY7326"/>
    </row>
    <row r="7327" spans="47:51" x14ac:dyDescent="0.2">
      <c r="AU7327"/>
      <c r="AV7327"/>
      <c r="AW7327"/>
      <c r="AX7327"/>
      <c r="AY7327"/>
    </row>
    <row r="7328" spans="47:51" x14ac:dyDescent="0.2">
      <c r="AU7328"/>
      <c r="AV7328"/>
      <c r="AW7328"/>
      <c r="AX7328"/>
      <c r="AY7328"/>
    </row>
    <row r="7329" spans="47:51" x14ac:dyDescent="0.2">
      <c r="AU7329"/>
      <c r="AV7329"/>
      <c r="AW7329"/>
      <c r="AX7329"/>
      <c r="AY7329"/>
    </row>
    <row r="7330" spans="47:51" x14ac:dyDescent="0.2">
      <c r="AU7330"/>
      <c r="AV7330"/>
      <c r="AW7330"/>
      <c r="AX7330"/>
      <c r="AY7330"/>
    </row>
    <row r="7331" spans="47:51" x14ac:dyDescent="0.2">
      <c r="AU7331"/>
      <c r="AV7331"/>
      <c r="AW7331"/>
      <c r="AX7331"/>
      <c r="AY7331"/>
    </row>
    <row r="7332" spans="47:51" x14ac:dyDescent="0.2">
      <c r="AU7332"/>
      <c r="AV7332"/>
      <c r="AW7332"/>
      <c r="AX7332"/>
      <c r="AY7332"/>
    </row>
    <row r="7333" spans="47:51" x14ac:dyDescent="0.2">
      <c r="AU7333"/>
      <c r="AV7333"/>
      <c r="AW7333"/>
      <c r="AX7333"/>
      <c r="AY7333"/>
    </row>
    <row r="7334" spans="47:51" x14ac:dyDescent="0.2">
      <c r="AU7334"/>
      <c r="AV7334"/>
      <c r="AW7334"/>
      <c r="AX7334"/>
      <c r="AY7334"/>
    </row>
    <row r="7335" spans="47:51" x14ac:dyDescent="0.2">
      <c r="AU7335"/>
      <c r="AV7335"/>
      <c r="AW7335"/>
      <c r="AX7335"/>
      <c r="AY7335"/>
    </row>
    <row r="7336" spans="47:51" x14ac:dyDescent="0.2">
      <c r="AU7336"/>
      <c r="AV7336"/>
      <c r="AW7336"/>
      <c r="AX7336"/>
      <c r="AY7336"/>
    </row>
    <row r="7337" spans="47:51" x14ac:dyDescent="0.2">
      <c r="AU7337"/>
      <c r="AV7337"/>
      <c r="AW7337"/>
      <c r="AX7337"/>
      <c r="AY7337"/>
    </row>
    <row r="7338" spans="47:51" x14ac:dyDescent="0.2">
      <c r="AU7338"/>
      <c r="AV7338"/>
      <c r="AW7338"/>
      <c r="AX7338"/>
      <c r="AY7338"/>
    </row>
    <row r="7339" spans="47:51" x14ac:dyDescent="0.2">
      <c r="AU7339"/>
      <c r="AV7339"/>
      <c r="AW7339"/>
      <c r="AX7339"/>
      <c r="AY7339"/>
    </row>
    <row r="7340" spans="47:51" x14ac:dyDescent="0.2">
      <c r="AU7340"/>
      <c r="AV7340"/>
      <c r="AW7340"/>
      <c r="AX7340"/>
      <c r="AY7340"/>
    </row>
    <row r="7341" spans="47:51" x14ac:dyDescent="0.2">
      <c r="AU7341"/>
      <c r="AV7341"/>
      <c r="AW7341"/>
      <c r="AX7341"/>
      <c r="AY7341"/>
    </row>
    <row r="7342" spans="47:51" x14ac:dyDescent="0.2">
      <c r="AU7342"/>
      <c r="AV7342"/>
      <c r="AW7342"/>
      <c r="AX7342"/>
      <c r="AY7342"/>
    </row>
    <row r="7343" spans="47:51" x14ac:dyDescent="0.2">
      <c r="AU7343"/>
      <c r="AV7343"/>
      <c r="AW7343"/>
      <c r="AX7343"/>
      <c r="AY7343"/>
    </row>
    <row r="7344" spans="47:51" x14ac:dyDescent="0.2">
      <c r="AU7344"/>
      <c r="AV7344"/>
      <c r="AW7344"/>
      <c r="AX7344"/>
      <c r="AY7344"/>
    </row>
    <row r="7345" spans="47:51" x14ac:dyDescent="0.2">
      <c r="AU7345"/>
      <c r="AV7345"/>
      <c r="AW7345"/>
      <c r="AX7345"/>
      <c r="AY7345"/>
    </row>
    <row r="7346" spans="47:51" x14ac:dyDescent="0.2">
      <c r="AU7346"/>
      <c r="AV7346"/>
      <c r="AW7346"/>
      <c r="AX7346"/>
      <c r="AY7346"/>
    </row>
    <row r="7347" spans="47:51" x14ac:dyDescent="0.2">
      <c r="AU7347"/>
      <c r="AV7347"/>
      <c r="AW7347"/>
      <c r="AX7347"/>
      <c r="AY7347"/>
    </row>
    <row r="7348" spans="47:51" x14ac:dyDescent="0.2">
      <c r="AU7348"/>
      <c r="AV7348"/>
      <c r="AW7348"/>
      <c r="AX7348"/>
      <c r="AY7348"/>
    </row>
    <row r="7349" spans="47:51" x14ac:dyDescent="0.2">
      <c r="AU7349"/>
      <c r="AV7349"/>
      <c r="AW7349"/>
      <c r="AX7349"/>
      <c r="AY7349"/>
    </row>
    <row r="7350" spans="47:51" x14ac:dyDescent="0.2">
      <c r="AU7350"/>
      <c r="AV7350"/>
      <c r="AW7350"/>
      <c r="AX7350"/>
      <c r="AY7350"/>
    </row>
    <row r="7351" spans="47:51" x14ac:dyDescent="0.2">
      <c r="AU7351"/>
      <c r="AV7351"/>
      <c r="AW7351"/>
      <c r="AX7351"/>
      <c r="AY7351"/>
    </row>
    <row r="7352" spans="47:51" x14ac:dyDescent="0.2">
      <c r="AU7352"/>
      <c r="AV7352"/>
      <c r="AW7352"/>
      <c r="AX7352"/>
      <c r="AY7352"/>
    </row>
    <row r="7353" spans="47:51" x14ac:dyDescent="0.2">
      <c r="AU7353"/>
      <c r="AV7353"/>
      <c r="AW7353"/>
      <c r="AX7353"/>
      <c r="AY7353"/>
    </row>
    <row r="7354" spans="47:51" x14ac:dyDescent="0.2">
      <c r="AU7354"/>
      <c r="AV7354"/>
      <c r="AW7354"/>
      <c r="AX7354"/>
      <c r="AY7354"/>
    </row>
    <row r="7355" spans="47:51" x14ac:dyDescent="0.2">
      <c r="AU7355"/>
      <c r="AV7355"/>
      <c r="AW7355"/>
      <c r="AX7355"/>
      <c r="AY7355"/>
    </row>
    <row r="7356" spans="47:51" x14ac:dyDescent="0.2">
      <c r="AU7356"/>
      <c r="AV7356"/>
      <c r="AW7356"/>
      <c r="AX7356"/>
      <c r="AY7356"/>
    </row>
    <row r="7357" spans="47:51" x14ac:dyDescent="0.2">
      <c r="AU7357"/>
      <c r="AV7357"/>
      <c r="AW7357"/>
      <c r="AX7357"/>
      <c r="AY7357"/>
    </row>
    <row r="7358" spans="47:51" x14ac:dyDescent="0.2">
      <c r="AU7358"/>
      <c r="AV7358"/>
      <c r="AW7358"/>
      <c r="AX7358"/>
      <c r="AY7358"/>
    </row>
    <row r="7359" spans="47:51" x14ac:dyDescent="0.2">
      <c r="AU7359"/>
      <c r="AV7359"/>
      <c r="AW7359"/>
      <c r="AX7359"/>
      <c r="AY7359"/>
    </row>
    <row r="7360" spans="47:51" x14ac:dyDescent="0.2">
      <c r="AU7360"/>
      <c r="AV7360"/>
      <c r="AW7360"/>
      <c r="AX7360"/>
      <c r="AY7360"/>
    </row>
    <row r="7361" spans="47:51" x14ac:dyDescent="0.2">
      <c r="AU7361"/>
      <c r="AV7361"/>
      <c r="AW7361"/>
      <c r="AX7361"/>
      <c r="AY7361"/>
    </row>
    <row r="7362" spans="47:51" x14ac:dyDescent="0.2">
      <c r="AU7362"/>
      <c r="AV7362"/>
      <c r="AW7362"/>
      <c r="AX7362"/>
      <c r="AY7362"/>
    </row>
    <row r="7363" spans="47:51" x14ac:dyDescent="0.2">
      <c r="AU7363"/>
      <c r="AV7363"/>
      <c r="AW7363"/>
      <c r="AX7363"/>
      <c r="AY7363"/>
    </row>
    <row r="7364" spans="47:51" x14ac:dyDescent="0.2">
      <c r="AU7364"/>
      <c r="AV7364"/>
      <c r="AW7364"/>
      <c r="AX7364"/>
      <c r="AY7364"/>
    </row>
    <row r="7365" spans="47:51" x14ac:dyDescent="0.2">
      <c r="AU7365"/>
      <c r="AV7365"/>
      <c r="AW7365"/>
      <c r="AX7365"/>
      <c r="AY7365"/>
    </row>
    <row r="7366" spans="47:51" x14ac:dyDescent="0.2">
      <c r="AU7366"/>
      <c r="AV7366"/>
      <c r="AW7366"/>
      <c r="AX7366"/>
      <c r="AY7366"/>
    </row>
    <row r="7367" spans="47:51" x14ac:dyDescent="0.2">
      <c r="AU7367"/>
      <c r="AV7367"/>
      <c r="AW7367"/>
      <c r="AX7367"/>
      <c r="AY7367"/>
    </row>
    <row r="7368" spans="47:51" x14ac:dyDescent="0.2">
      <c r="AU7368"/>
      <c r="AV7368"/>
      <c r="AW7368"/>
      <c r="AX7368"/>
      <c r="AY7368"/>
    </row>
    <row r="7369" spans="47:51" x14ac:dyDescent="0.2">
      <c r="AU7369"/>
      <c r="AV7369"/>
      <c r="AW7369"/>
      <c r="AX7369"/>
      <c r="AY7369"/>
    </row>
    <row r="7370" spans="47:51" x14ac:dyDescent="0.2">
      <c r="AU7370"/>
      <c r="AV7370"/>
      <c r="AW7370"/>
      <c r="AX7370"/>
      <c r="AY7370"/>
    </row>
    <row r="7371" spans="47:51" x14ac:dyDescent="0.2">
      <c r="AU7371"/>
      <c r="AV7371"/>
      <c r="AW7371"/>
      <c r="AX7371"/>
      <c r="AY7371"/>
    </row>
    <row r="7372" spans="47:51" x14ac:dyDescent="0.2">
      <c r="AU7372"/>
      <c r="AV7372"/>
      <c r="AW7372"/>
      <c r="AX7372"/>
      <c r="AY7372"/>
    </row>
    <row r="7373" spans="47:51" x14ac:dyDescent="0.2">
      <c r="AU7373"/>
      <c r="AV7373"/>
      <c r="AW7373"/>
      <c r="AX7373"/>
      <c r="AY7373"/>
    </row>
    <row r="7374" spans="47:51" x14ac:dyDescent="0.2">
      <c r="AU7374"/>
      <c r="AV7374"/>
      <c r="AW7374"/>
      <c r="AX7374"/>
      <c r="AY7374"/>
    </row>
    <row r="7375" spans="47:51" x14ac:dyDescent="0.2">
      <c r="AU7375"/>
      <c r="AV7375"/>
      <c r="AW7375"/>
      <c r="AX7375"/>
      <c r="AY7375"/>
    </row>
    <row r="7376" spans="47:51" x14ac:dyDescent="0.2">
      <c r="AU7376"/>
      <c r="AV7376"/>
      <c r="AW7376"/>
      <c r="AX7376"/>
      <c r="AY7376"/>
    </row>
    <row r="7377" spans="47:51" x14ac:dyDescent="0.2">
      <c r="AU7377"/>
      <c r="AV7377"/>
      <c r="AW7377"/>
      <c r="AX7377"/>
      <c r="AY7377"/>
    </row>
    <row r="7378" spans="47:51" x14ac:dyDescent="0.2">
      <c r="AU7378"/>
      <c r="AV7378"/>
      <c r="AW7378"/>
      <c r="AX7378"/>
      <c r="AY7378"/>
    </row>
    <row r="7379" spans="47:51" x14ac:dyDescent="0.2">
      <c r="AU7379"/>
      <c r="AV7379"/>
      <c r="AW7379"/>
      <c r="AX7379"/>
      <c r="AY7379"/>
    </row>
    <row r="7380" spans="47:51" x14ac:dyDescent="0.2">
      <c r="AU7380"/>
      <c r="AV7380"/>
      <c r="AW7380"/>
      <c r="AX7380"/>
      <c r="AY7380"/>
    </row>
    <row r="7381" spans="47:51" x14ac:dyDescent="0.2">
      <c r="AU7381"/>
      <c r="AV7381"/>
      <c r="AW7381"/>
      <c r="AX7381"/>
      <c r="AY7381"/>
    </row>
    <row r="7382" spans="47:51" x14ac:dyDescent="0.2">
      <c r="AU7382"/>
      <c r="AV7382"/>
      <c r="AW7382"/>
      <c r="AX7382"/>
      <c r="AY7382"/>
    </row>
    <row r="7383" spans="47:51" x14ac:dyDescent="0.2">
      <c r="AU7383"/>
      <c r="AV7383"/>
      <c r="AW7383"/>
      <c r="AX7383"/>
      <c r="AY7383"/>
    </row>
    <row r="7384" spans="47:51" x14ac:dyDescent="0.2">
      <c r="AU7384"/>
      <c r="AV7384"/>
      <c r="AW7384"/>
      <c r="AX7384"/>
      <c r="AY7384"/>
    </row>
    <row r="7385" spans="47:51" x14ac:dyDescent="0.2">
      <c r="AU7385"/>
      <c r="AV7385"/>
      <c r="AW7385"/>
      <c r="AX7385"/>
      <c r="AY7385"/>
    </row>
    <row r="7386" spans="47:51" x14ac:dyDescent="0.2">
      <c r="AU7386"/>
      <c r="AV7386"/>
      <c r="AW7386"/>
      <c r="AX7386"/>
      <c r="AY7386"/>
    </row>
    <row r="7387" spans="47:51" x14ac:dyDescent="0.2">
      <c r="AU7387"/>
      <c r="AV7387"/>
      <c r="AW7387"/>
      <c r="AX7387"/>
      <c r="AY7387"/>
    </row>
    <row r="7388" spans="47:51" x14ac:dyDescent="0.2">
      <c r="AU7388"/>
      <c r="AV7388"/>
      <c r="AW7388"/>
      <c r="AX7388"/>
      <c r="AY7388"/>
    </row>
    <row r="7389" spans="47:51" x14ac:dyDescent="0.2">
      <c r="AU7389"/>
      <c r="AV7389"/>
      <c r="AW7389"/>
      <c r="AX7389"/>
      <c r="AY7389"/>
    </row>
    <row r="7390" spans="47:51" x14ac:dyDescent="0.2">
      <c r="AU7390"/>
      <c r="AV7390"/>
      <c r="AW7390"/>
      <c r="AX7390"/>
      <c r="AY7390"/>
    </row>
    <row r="7391" spans="47:51" x14ac:dyDescent="0.2">
      <c r="AU7391"/>
      <c r="AV7391"/>
      <c r="AW7391"/>
      <c r="AX7391"/>
      <c r="AY7391"/>
    </row>
    <row r="7392" spans="47:51" x14ac:dyDescent="0.2">
      <c r="AU7392"/>
      <c r="AV7392"/>
      <c r="AW7392"/>
      <c r="AX7392"/>
      <c r="AY7392"/>
    </row>
    <row r="7393" spans="47:51" x14ac:dyDescent="0.2">
      <c r="AU7393"/>
      <c r="AV7393"/>
      <c r="AW7393"/>
      <c r="AX7393"/>
      <c r="AY7393"/>
    </row>
    <row r="7394" spans="47:51" x14ac:dyDescent="0.2">
      <c r="AU7394"/>
      <c r="AV7394"/>
      <c r="AW7394"/>
      <c r="AX7394"/>
      <c r="AY7394"/>
    </row>
    <row r="7395" spans="47:51" x14ac:dyDescent="0.2">
      <c r="AU7395"/>
      <c r="AV7395"/>
      <c r="AW7395"/>
      <c r="AX7395"/>
      <c r="AY7395"/>
    </row>
    <row r="7396" spans="47:51" x14ac:dyDescent="0.2">
      <c r="AU7396"/>
      <c r="AV7396"/>
      <c r="AW7396"/>
      <c r="AX7396"/>
      <c r="AY7396"/>
    </row>
    <row r="7397" spans="47:51" x14ac:dyDescent="0.2">
      <c r="AU7397"/>
      <c r="AV7397"/>
      <c r="AW7397"/>
      <c r="AX7397"/>
      <c r="AY7397"/>
    </row>
    <row r="7398" spans="47:51" x14ac:dyDescent="0.2">
      <c r="AU7398"/>
      <c r="AV7398"/>
      <c r="AW7398"/>
      <c r="AX7398"/>
      <c r="AY7398"/>
    </row>
    <row r="7399" spans="47:51" x14ac:dyDescent="0.2">
      <c r="AU7399"/>
      <c r="AV7399"/>
      <c r="AW7399"/>
      <c r="AX7399"/>
      <c r="AY7399"/>
    </row>
    <row r="7400" spans="47:51" x14ac:dyDescent="0.2">
      <c r="AU7400"/>
      <c r="AV7400"/>
      <c r="AW7400"/>
      <c r="AX7400"/>
      <c r="AY7400"/>
    </row>
    <row r="7401" spans="47:51" x14ac:dyDescent="0.2">
      <c r="AU7401"/>
      <c r="AV7401"/>
      <c r="AW7401"/>
      <c r="AX7401"/>
      <c r="AY7401"/>
    </row>
    <row r="7402" spans="47:51" x14ac:dyDescent="0.2">
      <c r="AU7402"/>
      <c r="AV7402"/>
      <c r="AW7402"/>
      <c r="AX7402"/>
      <c r="AY7402"/>
    </row>
    <row r="7403" spans="47:51" x14ac:dyDescent="0.2">
      <c r="AU7403"/>
      <c r="AV7403"/>
      <c r="AW7403"/>
      <c r="AX7403"/>
      <c r="AY7403"/>
    </row>
    <row r="7404" spans="47:51" x14ac:dyDescent="0.2">
      <c r="AU7404"/>
      <c r="AV7404"/>
      <c r="AW7404"/>
      <c r="AX7404"/>
      <c r="AY7404"/>
    </row>
    <row r="7405" spans="47:51" x14ac:dyDescent="0.2">
      <c r="AU7405"/>
      <c r="AV7405"/>
      <c r="AW7405"/>
      <c r="AX7405"/>
      <c r="AY7405"/>
    </row>
    <row r="7406" spans="47:51" x14ac:dyDescent="0.2">
      <c r="AU7406"/>
      <c r="AV7406"/>
      <c r="AW7406"/>
      <c r="AX7406"/>
      <c r="AY7406"/>
    </row>
    <row r="7407" spans="47:51" x14ac:dyDescent="0.2">
      <c r="AU7407"/>
      <c r="AV7407"/>
      <c r="AW7407"/>
      <c r="AX7407"/>
      <c r="AY7407"/>
    </row>
    <row r="7408" spans="47:51" x14ac:dyDescent="0.2">
      <c r="AU7408"/>
      <c r="AV7408"/>
      <c r="AW7408"/>
      <c r="AX7408"/>
      <c r="AY7408"/>
    </row>
    <row r="7409" spans="47:51" x14ac:dyDescent="0.2">
      <c r="AU7409"/>
      <c r="AV7409"/>
      <c r="AW7409"/>
      <c r="AX7409"/>
      <c r="AY7409"/>
    </row>
    <row r="7410" spans="47:51" x14ac:dyDescent="0.2">
      <c r="AU7410"/>
      <c r="AV7410"/>
      <c r="AW7410"/>
      <c r="AX7410"/>
      <c r="AY7410"/>
    </row>
    <row r="7411" spans="47:51" x14ac:dyDescent="0.2">
      <c r="AU7411"/>
      <c r="AV7411"/>
      <c r="AW7411"/>
      <c r="AX7411"/>
      <c r="AY7411"/>
    </row>
    <row r="7412" spans="47:51" x14ac:dyDescent="0.2">
      <c r="AU7412"/>
      <c r="AV7412"/>
      <c r="AW7412"/>
      <c r="AX7412"/>
      <c r="AY7412"/>
    </row>
    <row r="7413" spans="47:51" x14ac:dyDescent="0.2">
      <c r="AU7413"/>
      <c r="AV7413"/>
      <c r="AW7413"/>
      <c r="AX7413"/>
      <c r="AY7413"/>
    </row>
    <row r="7414" spans="47:51" x14ac:dyDescent="0.2">
      <c r="AU7414"/>
      <c r="AV7414"/>
      <c r="AW7414"/>
      <c r="AX7414"/>
      <c r="AY7414"/>
    </row>
    <row r="7415" spans="47:51" x14ac:dyDescent="0.2">
      <c r="AU7415"/>
      <c r="AV7415"/>
      <c r="AW7415"/>
      <c r="AX7415"/>
      <c r="AY7415"/>
    </row>
    <row r="7416" spans="47:51" x14ac:dyDescent="0.2">
      <c r="AU7416"/>
      <c r="AV7416"/>
      <c r="AW7416"/>
      <c r="AX7416"/>
      <c r="AY7416"/>
    </row>
    <row r="7417" spans="47:51" x14ac:dyDescent="0.2">
      <c r="AU7417"/>
      <c r="AV7417"/>
      <c r="AW7417"/>
      <c r="AX7417"/>
      <c r="AY7417"/>
    </row>
    <row r="7418" spans="47:51" x14ac:dyDescent="0.2">
      <c r="AU7418"/>
      <c r="AV7418"/>
      <c r="AW7418"/>
      <c r="AX7418"/>
      <c r="AY7418"/>
    </row>
    <row r="7419" spans="47:51" x14ac:dyDescent="0.2">
      <c r="AU7419"/>
      <c r="AV7419"/>
      <c r="AW7419"/>
      <c r="AX7419"/>
      <c r="AY7419"/>
    </row>
    <row r="7420" spans="47:51" x14ac:dyDescent="0.2">
      <c r="AU7420"/>
      <c r="AV7420"/>
      <c r="AW7420"/>
      <c r="AX7420"/>
      <c r="AY7420"/>
    </row>
    <row r="7421" spans="47:51" x14ac:dyDescent="0.2">
      <c r="AU7421"/>
      <c r="AV7421"/>
      <c r="AW7421"/>
      <c r="AX7421"/>
      <c r="AY7421"/>
    </row>
    <row r="7422" spans="47:51" x14ac:dyDescent="0.2">
      <c r="AU7422"/>
      <c r="AV7422"/>
      <c r="AW7422"/>
      <c r="AX7422"/>
      <c r="AY7422"/>
    </row>
    <row r="7423" spans="47:51" x14ac:dyDescent="0.2">
      <c r="AU7423"/>
      <c r="AV7423"/>
      <c r="AW7423"/>
      <c r="AX7423"/>
      <c r="AY7423"/>
    </row>
    <row r="7424" spans="47:51" x14ac:dyDescent="0.2">
      <c r="AU7424"/>
      <c r="AV7424"/>
      <c r="AW7424"/>
      <c r="AX7424"/>
      <c r="AY7424"/>
    </row>
    <row r="7425" spans="47:51" x14ac:dyDescent="0.2">
      <c r="AU7425"/>
      <c r="AV7425"/>
      <c r="AW7425"/>
      <c r="AX7425"/>
      <c r="AY7425"/>
    </row>
    <row r="7426" spans="47:51" x14ac:dyDescent="0.2">
      <c r="AU7426"/>
      <c r="AV7426"/>
      <c r="AW7426"/>
      <c r="AX7426"/>
      <c r="AY7426"/>
    </row>
    <row r="7427" spans="47:51" x14ac:dyDescent="0.2">
      <c r="AU7427"/>
      <c r="AV7427"/>
      <c r="AW7427"/>
      <c r="AX7427"/>
      <c r="AY7427"/>
    </row>
    <row r="7428" spans="47:51" x14ac:dyDescent="0.2">
      <c r="AU7428"/>
      <c r="AV7428"/>
      <c r="AW7428"/>
      <c r="AX7428"/>
      <c r="AY7428"/>
    </row>
    <row r="7429" spans="47:51" x14ac:dyDescent="0.2">
      <c r="AU7429"/>
      <c r="AV7429"/>
      <c r="AW7429"/>
      <c r="AX7429"/>
      <c r="AY7429"/>
    </row>
    <row r="7430" spans="47:51" x14ac:dyDescent="0.2">
      <c r="AU7430"/>
      <c r="AV7430"/>
      <c r="AW7430"/>
      <c r="AX7430"/>
      <c r="AY7430"/>
    </row>
    <row r="7431" spans="47:51" x14ac:dyDescent="0.2">
      <c r="AU7431"/>
      <c r="AV7431"/>
      <c r="AW7431"/>
      <c r="AX7431"/>
      <c r="AY7431"/>
    </row>
    <row r="7432" spans="47:51" x14ac:dyDescent="0.2">
      <c r="AU7432"/>
      <c r="AV7432"/>
      <c r="AW7432"/>
      <c r="AX7432"/>
      <c r="AY7432"/>
    </row>
    <row r="7433" spans="47:51" x14ac:dyDescent="0.2">
      <c r="AU7433"/>
      <c r="AV7433"/>
      <c r="AW7433"/>
      <c r="AX7433"/>
      <c r="AY7433"/>
    </row>
    <row r="7434" spans="47:51" x14ac:dyDescent="0.2">
      <c r="AU7434"/>
      <c r="AV7434"/>
      <c r="AW7434"/>
      <c r="AX7434"/>
      <c r="AY7434"/>
    </row>
    <row r="7435" spans="47:51" x14ac:dyDescent="0.2">
      <c r="AU7435"/>
      <c r="AV7435"/>
      <c r="AW7435"/>
      <c r="AX7435"/>
      <c r="AY7435"/>
    </row>
    <row r="7436" spans="47:51" x14ac:dyDescent="0.2">
      <c r="AU7436"/>
      <c r="AV7436"/>
      <c r="AW7436"/>
      <c r="AX7436"/>
      <c r="AY7436"/>
    </row>
    <row r="7437" spans="47:51" x14ac:dyDescent="0.2">
      <c r="AU7437"/>
      <c r="AV7437"/>
      <c r="AW7437"/>
      <c r="AX7437"/>
      <c r="AY7437"/>
    </row>
    <row r="7438" spans="47:51" x14ac:dyDescent="0.2">
      <c r="AU7438"/>
      <c r="AV7438"/>
      <c r="AW7438"/>
      <c r="AX7438"/>
      <c r="AY7438"/>
    </row>
    <row r="7439" spans="47:51" x14ac:dyDescent="0.2">
      <c r="AU7439"/>
      <c r="AV7439"/>
      <c r="AW7439"/>
      <c r="AX7439"/>
      <c r="AY7439"/>
    </row>
    <row r="7440" spans="47:51" x14ac:dyDescent="0.2">
      <c r="AU7440"/>
      <c r="AV7440"/>
      <c r="AW7440"/>
      <c r="AX7440"/>
      <c r="AY7440"/>
    </row>
    <row r="7441" spans="47:51" x14ac:dyDescent="0.2">
      <c r="AU7441"/>
      <c r="AV7441"/>
      <c r="AW7441"/>
      <c r="AX7441"/>
      <c r="AY7441"/>
    </row>
    <row r="7442" spans="47:51" x14ac:dyDescent="0.2">
      <c r="AU7442"/>
      <c r="AV7442"/>
      <c r="AW7442"/>
      <c r="AX7442"/>
      <c r="AY7442"/>
    </row>
    <row r="7443" spans="47:51" x14ac:dyDescent="0.2">
      <c r="AU7443"/>
      <c r="AV7443"/>
      <c r="AW7443"/>
      <c r="AX7443"/>
      <c r="AY7443"/>
    </row>
    <row r="7444" spans="47:51" x14ac:dyDescent="0.2">
      <c r="AU7444"/>
      <c r="AV7444"/>
      <c r="AW7444"/>
      <c r="AX7444"/>
      <c r="AY7444"/>
    </row>
    <row r="7445" spans="47:51" x14ac:dyDescent="0.2">
      <c r="AU7445"/>
      <c r="AV7445"/>
      <c r="AW7445"/>
      <c r="AX7445"/>
      <c r="AY7445"/>
    </row>
    <row r="7446" spans="47:51" x14ac:dyDescent="0.2">
      <c r="AU7446"/>
      <c r="AV7446"/>
      <c r="AW7446"/>
      <c r="AX7446"/>
      <c r="AY7446"/>
    </row>
    <row r="7447" spans="47:51" x14ac:dyDescent="0.2">
      <c r="AU7447"/>
      <c r="AV7447"/>
      <c r="AW7447"/>
      <c r="AX7447"/>
      <c r="AY7447"/>
    </row>
    <row r="7448" spans="47:51" x14ac:dyDescent="0.2">
      <c r="AU7448"/>
      <c r="AV7448"/>
      <c r="AW7448"/>
      <c r="AX7448"/>
      <c r="AY7448"/>
    </row>
    <row r="7449" spans="47:51" x14ac:dyDescent="0.2">
      <c r="AU7449"/>
      <c r="AV7449"/>
      <c r="AW7449"/>
      <c r="AX7449"/>
      <c r="AY7449"/>
    </row>
    <row r="7450" spans="47:51" x14ac:dyDescent="0.2">
      <c r="AU7450"/>
      <c r="AV7450"/>
      <c r="AW7450"/>
      <c r="AX7450"/>
      <c r="AY7450"/>
    </row>
    <row r="7451" spans="47:51" x14ac:dyDescent="0.2">
      <c r="AU7451"/>
      <c r="AV7451"/>
      <c r="AW7451"/>
      <c r="AX7451"/>
      <c r="AY7451"/>
    </row>
    <row r="7452" spans="47:51" x14ac:dyDescent="0.2">
      <c r="AU7452"/>
      <c r="AV7452"/>
      <c r="AW7452"/>
      <c r="AX7452"/>
      <c r="AY7452"/>
    </row>
    <row r="7453" spans="47:51" x14ac:dyDescent="0.2">
      <c r="AU7453"/>
      <c r="AV7453"/>
      <c r="AW7453"/>
      <c r="AX7453"/>
      <c r="AY7453"/>
    </row>
    <row r="7454" spans="47:51" x14ac:dyDescent="0.2">
      <c r="AU7454"/>
      <c r="AV7454"/>
      <c r="AW7454"/>
      <c r="AX7454"/>
      <c r="AY7454"/>
    </row>
    <row r="7455" spans="47:51" x14ac:dyDescent="0.2">
      <c r="AU7455"/>
      <c r="AV7455"/>
      <c r="AW7455"/>
      <c r="AX7455"/>
      <c r="AY7455"/>
    </row>
    <row r="7456" spans="47:51" x14ac:dyDescent="0.2">
      <c r="AU7456"/>
      <c r="AV7456"/>
      <c r="AW7456"/>
      <c r="AX7456"/>
      <c r="AY7456"/>
    </row>
    <row r="7457" spans="47:51" x14ac:dyDescent="0.2">
      <c r="AU7457"/>
      <c r="AV7457"/>
      <c r="AW7457"/>
      <c r="AX7457"/>
      <c r="AY7457"/>
    </row>
    <row r="7458" spans="47:51" x14ac:dyDescent="0.2">
      <c r="AU7458"/>
      <c r="AV7458"/>
      <c r="AW7458"/>
      <c r="AX7458"/>
      <c r="AY7458"/>
    </row>
    <row r="7459" spans="47:51" x14ac:dyDescent="0.2">
      <c r="AU7459"/>
      <c r="AV7459"/>
      <c r="AW7459"/>
      <c r="AX7459"/>
      <c r="AY7459"/>
    </row>
    <row r="7460" spans="47:51" x14ac:dyDescent="0.2">
      <c r="AU7460"/>
      <c r="AV7460"/>
      <c r="AW7460"/>
      <c r="AX7460"/>
      <c r="AY7460"/>
    </row>
    <row r="7461" spans="47:51" x14ac:dyDescent="0.2">
      <c r="AU7461"/>
      <c r="AV7461"/>
      <c r="AW7461"/>
      <c r="AX7461"/>
      <c r="AY7461"/>
    </row>
    <row r="7462" spans="47:51" x14ac:dyDescent="0.2">
      <c r="AU7462"/>
      <c r="AV7462"/>
      <c r="AW7462"/>
      <c r="AX7462"/>
      <c r="AY7462"/>
    </row>
    <row r="7463" spans="47:51" x14ac:dyDescent="0.2">
      <c r="AU7463"/>
      <c r="AV7463"/>
      <c r="AW7463"/>
      <c r="AX7463"/>
      <c r="AY7463"/>
    </row>
    <row r="7464" spans="47:51" x14ac:dyDescent="0.2">
      <c r="AU7464"/>
      <c r="AV7464"/>
      <c r="AW7464"/>
      <c r="AX7464"/>
      <c r="AY7464"/>
    </row>
    <row r="7465" spans="47:51" x14ac:dyDescent="0.2">
      <c r="AU7465"/>
      <c r="AV7465"/>
      <c r="AW7465"/>
      <c r="AX7465"/>
      <c r="AY7465"/>
    </row>
    <row r="7466" spans="47:51" x14ac:dyDescent="0.2">
      <c r="AU7466"/>
      <c r="AV7466"/>
      <c r="AW7466"/>
      <c r="AX7466"/>
      <c r="AY7466"/>
    </row>
    <row r="7467" spans="47:51" x14ac:dyDescent="0.2">
      <c r="AU7467"/>
      <c r="AV7467"/>
      <c r="AW7467"/>
      <c r="AX7467"/>
      <c r="AY7467"/>
    </row>
    <row r="7468" spans="47:51" x14ac:dyDescent="0.2">
      <c r="AU7468"/>
      <c r="AV7468"/>
      <c r="AW7468"/>
      <c r="AX7468"/>
      <c r="AY7468"/>
    </row>
    <row r="7469" spans="47:51" x14ac:dyDescent="0.2">
      <c r="AU7469"/>
      <c r="AV7469"/>
      <c r="AW7469"/>
      <c r="AX7469"/>
      <c r="AY7469"/>
    </row>
    <row r="7470" spans="47:51" x14ac:dyDescent="0.2">
      <c r="AU7470"/>
      <c r="AV7470"/>
      <c r="AW7470"/>
      <c r="AX7470"/>
      <c r="AY7470"/>
    </row>
    <row r="7471" spans="47:51" x14ac:dyDescent="0.2">
      <c r="AU7471"/>
      <c r="AV7471"/>
      <c r="AW7471"/>
      <c r="AX7471"/>
      <c r="AY7471"/>
    </row>
    <row r="7472" spans="47:51" x14ac:dyDescent="0.2">
      <c r="AU7472"/>
      <c r="AV7472"/>
      <c r="AW7472"/>
      <c r="AX7472"/>
      <c r="AY7472"/>
    </row>
    <row r="7473" spans="47:51" x14ac:dyDescent="0.2">
      <c r="AU7473"/>
      <c r="AV7473"/>
      <c r="AW7473"/>
      <c r="AX7473"/>
      <c r="AY7473"/>
    </row>
    <row r="7474" spans="47:51" x14ac:dyDescent="0.2">
      <c r="AU7474"/>
      <c r="AV7474"/>
      <c r="AW7474"/>
      <c r="AX7474"/>
      <c r="AY7474"/>
    </row>
    <row r="7475" spans="47:51" x14ac:dyDescent="0.2">
      <c r="AU7475"/>
      <c r="AV7475"/>
      <c r="AW7475"/>
      <c r="AX7475"/>
      <c r="AY7475"/>
    </row>
    <row r="7476" spans="47:51" x14ac:dyDescent="0.2">
      <c r="AU7476"/>
      <c r="AV7476"/>
      <c r="AW7476"/>
      <c r="AX7476"/>
      <c r="AY7476"/>
    </row>
    <row r="7477" spans="47:51" x14ac:dyDescent="0.2">
      <c r="AU7477"/>
      <c r="AV7477"/>
      <c r="AW7477"/>
      <c r="AX7477"/>
      <c r="AY7477"/>
    </row>
    <row r="7478" spans="47:51" x14ac:dyDescent="0.2">
      <c r="AU7478"/>
      <c r="AV7478"/>
      <c r="AW7478"/>
      <c r="AX7478"/>
      <c r="AY7478"/>
    </row>
    <row r="7479" spans="47:51" x14ac:dyDescent="0.2">
      <c r="AU7479"/>
      <c r="AV7479"/>
      <c r="AW7479"/>
      <c r="AX7479"/>
      <c r="AY7479"/>
    </row>
    <row r="7480" spans="47:51" x14ac:dyDescent="0.2">
      <c r="AU7480"/>
      <c r="AV7480"/>
      <c r="AW7480"/>
      <c r="AX7480"/>
      <c r="AY7480"/>
    </row>
    <row r="7481" spans="47:51" x14ac:dyDescent="0.2">
      <c r="AU7481"/>
      <c r="AV7481"/>
      <c r="AW7481"/>
      <c r="AX7481"/>
      <c r="AY7481"/>
    </row>
    <row r="7482" spans="47:51" x14ac:dyDescent="0.2">
      <c r="AU7482"/>
      <c r="AV7482"/>
      <c r="AW7482"/>
      <c r="AX7482"/>
      <c r="AY7482"/>
    </row>
    <row r="7483" spans="47:51" x14ac:dyDescent="0.2">
      <c r="AU7483"/>
      <c r="AV7483"/>
      <c r="AW7483"/>
      <c r="AX7483"/>
      <c r="AY7483"/>
    </row>
    <row r="7484" spans="47:51" x14ac:dyDescent="0.2">
      <c r="AU7484"/>
      <c r="AV7484"/>
      <c r="AW7484"/>
      <c r="AX7484"/>
      <c r="AY7484"/>
    </row>
    <row r="7485" spans="47:51" x14ac:dyDescent="0.2">
      <c r="AU7485"/>
      <c r="AV7485"/>
      <c r="AW7485"/>
      <c r="AX7485"/>
      <c r="AY7485"/>
    </row>
    <row r="7486" spans="47:51" x14ac:dyDescent="0.2">
      <c r="AU7486"/>
      <c r="AV7486"/>
      <c r="AW7486"/>
      <c r="AX7486"/>
      <c r="AY7486"/>
    </row>
    <row r="7487" spans="47:51" x14ac:dyDescent="0.2">
      <c r="AU7487"/>
      <c r="AV7487"/>
      <c r="AW7487"/>
      <c r="AX7487"/>
      <c r="AY7487"/>
    </row>
    <row r="7488" spans="47:51" x14ac:dyDescent="0.2">
      <c r="AU7488"/>
      <c r="AV7488"/>
      <c r="AW7488"/>
      <c r="AX7488"/>
      <c r="AY7488"/>
    </row>
    <row r="7489" spans="47:51" x14ac:dyDescent="0.2">
      <c r="AU7489"/>
      <c r="AV7489"/>
      <c r="AW7489"/>
      <c r="AX7489"/>
      <c r="AY7489"/>
    </row>
    <row r="7490" spans="47:51" x14ac:dyDescent="0.2">
      <c r="AU7490"/>
      <c r="AV7490"/>
      <c r="AW7490"/>
      <c r="AX7490"/>
      <c r="AY7490"/>
    </row>
    <row r="7491" spans="47:51" x14ac:dyDescent="0.2">
      <c r="AU7491"/>
      <c r="AV7491"/>
      <c r="AW7491"/>
      <c r="AX7491"/>
      <c r="AY7491"/>
    </row>
    <row r="7492" spans="47:51" x14ac:dyDescent="0.2">
      <c r="AU7492"/>
      <c r="AV7492"/>
      <c r="AW7492"/>
      <c r="AX7492"/>
      <c r="AY7492"/>
    </row>
    <row r="7493" spans="47:51" x14ac:dyDescent="0.2">
      <c r="AU7493"/>
      <c r="AV7493"/>
      <c r="AW7493"/>
      <c r="AX7493"/>
      <c r="AY7493"/>
    </row>
    <row r="7494" spans="47:51" x14ac:dyDescent="0.2">
      <c r="AU7494"/>
      <c r="AV7494"/>
      <c r="AW7494"/>
      <c r="AX7494"/>
      <c r="AY7494"/>
    </row>
    <row r="7495" spans="47:51" x14ac:dyDescent="0.2">
      <c r="AU7495"/>
      <c r="AV7495"/>
      <c r="AW7495"/>
      <c r="AX7495"/>
      <c r="AY7495"/>
    </row>
    <row r="7496" spans="47:51" x14ac:dyDescent="0.2">
      <c r="AU7496"/>
      <c r="AV7496"/>
      <c r="AW7496"/>
      <c r="AX7496"/>
      <c r="AY7496"/>
    </row>
    <row r="7497" spans="47:51" x14ac:dyDescent="0.2">
      <c r="AU7497"/>
      <c r="AV7497"/>
      <c r="AW7497"/>
      <c r="AX7497"/>
      <c r="AY7497"/>
    </row>
    <row r="7498" spans="47:51" x14ac:dyDescent="0.2">
      <c r="AU7498"/>
      <c r="AV7498"/>
      <c r="AW7498"/>
      <c r="AX7498"/>
      <c r="AY7498"/>
    </row>
    <row r="7499" spans="47:51" x14ac:dyDescent="0.2">
      <c r="AU7499"/>
      <c r="AV7499"/>
      <c r="AW7499"/>
      <c r="AX7499"/>
      <c r="AY7499"/>
    </row>
    <row r="7500" spans="47:51" x14ac:dyDescent="0.2">
      <c r="AU7500"/>
      <c r="AV7500"/>
      <c r="AW7500"/>
      <c r="AX7500"/>
      <c r="AY7500"/>
    </row>
    <row r="7501" spans="47:51" x14ac:dyDescent="0.2">
      <c r="AU7501"/>
      <c r="AV7501"/>
      <c r="AW7501"/>
      <c r="AX7501"/>
      <c r="AY7501"/>
    </row>
    <row r="7502" spans="47:51" x14ac:dyDescent="0.2">
      <c r="AU7502"/>
      <c r="AV7502"/>
      <c r="AW7502"/>
      <c r="AX7502"/>
      <c r="AY7502"/>
    </row>
    <row r="7503" spans="47:51" x14ac:dyDescent="0.2">
      <c r="AU7503"/>
      <c r="AV7503"/>
      <c r="AW7503"/>
      <c r="AX7503"/>
      <c r="AY7503"/>
    </row>
    <row r="7504" spans="47:51" x14ac:dyDescent="0.2">
      <c r="AU7504"/>
      <c r="AV7504"/>
      <c r="AW7504"/>
      <c r="AX7504"/>
      <c r="AY7504"/>
    </row>
    <row r="7505" spans="47:51" x14ac:dyDescent="0.2">
      <c r="AU7505"/>
      <c r="AV7505"/>
      <c r="AW7505"/>
      <c r="AX7505"/>
      <c r="AY7505"/>
    </row>
    <row r="7506" spans="47:51" x14ac:dyDescent="0.2">
      <c r="AU7506"/>
      <c r="AV7506"/>
      <c r="AW7506"/>
      <c r="AX7506"/>
      <c r="AY7506"/>
    </row>
    <row r="7507" spans="47:51" x14ac:dyDescent="0.2">
      <c r="AU7507"/>
      <c r="AV7507"/>
      <c r="AW7507"/>
      <c r="AX7507"/>
      <c r="AY7507"/>
    </row>
    <row r="7508" spans="47:51" x14ac:dyDescent="0.2">
      <c r="AU7508"/>
      <c r="AV7508"/>
      <c r="AW7508"/>
      <c r="AX7508"/>
      <c r="AY7508"/>
    </row>
    <row r="7509" spans="47:51" x14ac:dyDescent="0.2">
      <c r="AU7509"/>
      <c r="AV7509"/>
      <c r="AW7509"/>
      <c r="AX7509"/>
      <c r="AY7509"/>
    </row>
    <row r="7510" spans="47:51" x14ac:dyDescent="0.2">
      <c r="AU7510"/>
      <c r="AV7510"/>
      <c r="AW7510"/>
      <c r="AX7510"/>
      <c r="AY7510"/>
    </row>
    <row r="7511" spans="47:51" x14ac:dyDescent="0.2">
      <c r="AU7511"/>
      <c r="AV7511"/>
      <c r="AW7511"/>
      <c r="AX7511"/>
      <c r="AY7511"/>
    </row>
    <row r="7512" spans="47:51" x14ac:dyDescent="0.2">
      <c r="AU7512"/>
      <c r="AV7512"/>
      <c r="AW7512"/>
      <c r="AX7512"/>
      <c r="AY7512"/>
    </row>
    <row r="7513" spans="47:51" x14ac:dyDescent="0.2">
      <c r="AU7513"/>
      <c r="AV7513"/>
      <c r="AW7513"/>
      <c r="AX7513"/>
      <c r="AY7513"/>
    </row>
    <row r="7514" spans="47:51" x14ac:dyDescent="0.2">
      <c r="AU7514"/>
      <c r="AV7514"/>
      <c r="AW7514"/>
      <c r="AX7514"/>
      <c r="AY7514"/>
    </row>
    <row r="7515" spans="47:51" x14ac:dyDescent="0.2">
      <c r="AU7515"/>
      <c r="AV7515"/>
      <c r="AW7515"/>
      <c r="AX7515"/>
      <c r="AY7515"/>
    </row>
    <row r="7516" spans="47:51" x14ac:dyDescent="0.2">
      <c r="AU7516"/>
      <c r="AV7516"/>
      <c r="AW7516"/>
      <c r="AX7516"/>
      <c r="AY7516"/>
    </row>
    <row r="7517" spans="47:51" x14ac:dyDescent="0.2">
      <c r="AU7517"/>
      <c r="AV7517"/>
      <c r="AW7517"/>
      <c r="AX7517"/>
      <c r="AY7517"/>
    </row>
    <row r="7518" spans="47:51" x14ac:dyDescent="0.2">
      <c r="AU7518"/>
      <c r="AV7518"/>
      <c r="AW7518"/>
      <c r="AX7518"/>
      <c r="AY7518"/>
    </row>
    <row r="7519" spans="47:51" x14ac:dyDescent="0.2">
      <c r="AU7519"/>
      <c r="AV7519"/>
      <c r="AW7519"/>
      <c r="AX7519"/>
      <c r="AY7519"/>
    </row>
    <row r="7520" spans="47:51" x14ac:dyDescent="0.2">
      <c r="AU7520"/>
      <c r="AV7520"/>
      <c r="AW7520"/>
      <c r="AX7520"/>
      <c r="AY7520"/>
    </row>
    <row r="7521" spans="47:51" x14ac:dyDescent="0.2">
      <c r="AU7521"/>
      <c r="AV7521"/>
      <c r="AW7521"/>
      <c r="AX7521"/>
      <c r="AY7521"/>
    </row>
    <row r="7522" spans="47:51" x14ac:dyDescent="0.2">
      <c r="AU7522"/>
      <c r="AV7522"/>
      <c r="AW7522"/>
      <c r="AX7522"/>
      <c r="AY7522"/>
    </row>
    <row r="7523" spans="47:51" x14ac:dyDescent="0.2">
      <c r="AU7523"/>
      <c r="AV7523"/>
      <c r="AW7523"/>
      <c r="AX7523"/>
      <c r="AY7523"/>
    </row>
    <row r="7524" spans="47:51" x14ac:dyDescent="0.2">
      <c r="AU7524"/>
      <c r="AV7524"/>
      <c r="AW7524"/>
      <c r="AX7524"/>
      <c r="AY7524"/>
    </row>
    <row r="7525" spans="47:51" x14ac:dyDescent="0.2">
      <c r="AU7525"/>
      <c r="AV7525"/>
      <c r="AW7525"/>
      <c r="AX7525"/>
      <c r="AY7525"/>
    </row>
    <row r="7526" spans="47:51" x14ac:dyDescent="0.2">
      <c r="AU7526"/>
      <c r="AV7526"/>
      <c r="AW7526"/>
      <c r="AX7526"/>
      <c r="AY7526"/>
    </row>
    <row r="7527" spans="47:51" x14ac:dyDescent="0.2">
      <c r="AU7527"/>
      <c r="AV7527"/>
      <c r="AW7527"/>
      <c r="AX7527"/>
      <c r="AY7527"/>
    </row>
    <row r="7528" spans="47:51" x14ac:dyDescent="0.2">
      <c r="AU7528"/>
      <c r="AV7528"/>
      <c r="AW7528"/>
      <c r="AX7528"/>
      <c r="AY7528"/>
    </row>
    <row r="7529" spans="47:51" x14ac:dyDescent="0.2">
      <c r="AU7529"/>
      <c r="AV7529"/>
      <c r="AW7529"/>
      <c r="AX7529"/>
      <c r="AY7529"/>
    </row>
    <row r="7530" spans="47:51" x14ac:dyDescent="0.2">
      <c r="AU7530"/>
      <c r="AV7530"/>
      <c r="AW7530"/>
      <c r="AX7530"/>
      <c r="AY7530"/>
    </row>
    <row r="7531" spans="47:51" x14ac:dyDescent="0.2">
      <c r="AU7531"/>
      <c r="AV7531"/>
      <c r="AW7531"/>
      <c r="AX7531"/>
      <c r="AY7531"/>
    </row>
    <row r="7532" spans="47:51" x14ac:dyDescent="0.2">
      <c r="AU7532"/>
      <c r="AV7532"/>
      <c r="AW7532"/>
      <c r="AX7532"/>
      <c r="AY7532"/>
    </row>
    <row r="7533" spans="47:51" x14ac:dyDescent="0.2">
      <c r="AU7533"/>
      <c r="AV7533"/>
      <c r="AW7533"/>
      <c r="AX7533"/>
      <c r="AY7533"/>
    </row>
    <row r="7534" spans="47:51" x14ac:dyDescent="0.2">
      <c r="AU7534"/>
      <c r="AV7534"/>
      <c r="AW7534"/>
      <c r="AX7534"/>
      <c r="AY7534"/>
    </row>
    <row r="7535" spans="47:51" x14ac:dyDescent="0.2">
      <c r="AU7535"/>
      <c r="AV7535"/>
      <c r="AW7535"/>
      <c r="AX7535"/>
      <c r="AY7535"/>
    </row>
    <row r="7536" spans="47:51" x14ac:dyDescent="0.2">
      <c r="AU7536"/>
      <c r="AV7536"/>
      <c r="AW7536"/>
      <c r="AX7536"/>
      <c r="AY7536"/>
    </row>
    <row r="7537" spans="47:51" x14ac:dyDescent="0.2">
      <c r="AU7537"/>
      <c r="AV7537"/>
      <c r="AW7537"/>
      <c r="AX7537"/>
      <c r="AY7537"/>
    </row>
    <row r="7538" spans="47:51" x14ac:dyDescent="0.2">
      <c r="AU7538"/>
      <c r="AV7538"/>
      <c r="AW7538"/>
      <c r="AX7538"/>
      <c r="AY7538"/>
    </row>
    <row r="7539" spans="47:51" x14ac:dyDescent="0.2">
      <c r="AU7539"/>
      <c r="AV7539"/>
      <c r="AW7539"/>
      <c r="AX7539"/>
      <c r="AY7539"/>
    </row>
    <row r="7540" spans="47:51" x14ac:dyDescent="0.2">
      <c r="AU7540"/>
      <c r="AV7540"/>
      <c r="AW7540"/>
      <c r="AX7540"/>
      <c r="AY7540"/>
    </row>
    <row r="7541" spans="47:51" x14ac:dyDescent="0.2">
      <c r="AU7541"/>
      <c r="AV7541"/>
      <c r="AW7541"/>
      <c r="AX7541"/>
      <c r="AY7541"/>
    </row>
    <row r="7542" spans="47:51" x14ac:dyDescent="0.2">
      <c r="AU7542"/>
      <c r="AV7542"/>
      <c r="AW7542"/>
      <c r="AX7542"/>
      <c r="AY7542"/>
    </row>
    <row r="7543" spans="47:51" x14ac:dyDescent="0.2">
      <c r="AU7543"/>
      <c r="AV7543"/>
      <c r="AW7543"/>
      <c r="AX7543"/>
      <c r="AY7543"/>
    </row>
    <row r="7544" spans="47:51" x14ac:dyDescent="0.2">
      <c r="AU7544"/>
      <c r="AV7544"/>
      <c r="AW7544"/>
      <c r="AX7544"/>
      <c r="AY7544"/>
    </row>
    <row r="7545" spans="47:51" x14ac:dyDescent="0.2">
      <c r="AU7545"/>
      <c r="AV7545"/>
      <c r="AW7545"/>
      <c r="AX7545"/>
      <c r="AY7545"/>
    </row>
    <row r="7546" spans="47:51" x14ac:dyDescent="0.2">
      <c r="AU7546"/>
      <c r="AV7546"/>
      <c r="AW7546"/>
      <c r="AX7546"/>
      <c r="AY7546"/>
    </row>
    <row r="7547" spans="47:51" x14ac:dyDescent="0.2">
      <c r="AU7547"/>
      <c r="AV7547"/>
      <c r="AW7547"/>
      <c r="AX7547"/>
      <c r="AY7547"/>
    </row>
    <row r="7548" spans="47:51" x14ac:dyDescent="0.2">
      <c r="AU7548"/>
      <c r="AV7548"/>
      <c r="AW7548"/>
      <c r="AX7548"/>
      <c r="AY7548"/>
    </row>
    <row r="7549" spans="47:51" x14ac:dyDescent="0.2">
      <c r="AU7549"/>
      <c r="AV7549"/>
      <c r="AW7549"/>
      <c r="AX7549"/>
      <c r="AY7549"/>
    </row>
    <row r="7550" spans="47:51" x14ac:dyDescent="0.2">
      <c r="AU7550"/>
      <c r="AV7550"/>
      <c r="AW7550"/>
      <c r="AX7550"/>
      <c r="AY7550"/>
    </row>
    <row r="7551" spans="47:51" x14ac:dyDescent="0.2">
      <c r="AU7551"/>
      <c r="AV7551"/>
      <c r="AW7551"/>
      <c r="AX7551"/>
      <c r="AY7551"/>
    </row>
    <row r="7552" spans="47:51" x14ac:dyDescent="0.2">
      <c r="AU7552"/>
      <c r="AV7552"/>
      <c r="AW7552"/>
      <c r="AX7552"/>
      <c r="AY7552"/>
    </row>
    <row r="7553" spans="47:51" x14ac:dyDescent="0.2">
      <c r="AU7553"/>
      <c r="AV7553"/>
      <c r="AW7553"/>
      <c r="AX7553"/>
      <c r="AY7553"/>
    </row>
    <row r="7554" spans="47:51" x14ac:dyDescent="0.2">
      <c r="AU7554"/>
      <c r="AV7554"/>
      <c r="AW7554"/>
      <c r="AX7554"/>
      <c r="AY7554"/>
    </row>
    <row r="7555" spans="47:51" x14ac:dyDescent="0.2">
      <c r="AU7555"/>
      <c r="AV7555"/>
      <c r="AW7555"/>
      <c r="AX7555"/>
      <c r="AY7555"/>
    </row>
    <row r="7556" spans="47:51" x14ac:dyDescent="0.2">
      <c r="AU7556"/>
      <c r="AV7556"/>
      <c r="AW7556"/>
      <c r="AX7556"/>
      <c r="AY7556"/>
    </row>
    <row r="7557" spans="47:51" x14ac:dyDescent="0.2">
      <c r="AU7557"/>
      <c r="AV7557"/>
      <c r="AW7557"/>
      <c r="AX7557"/>
      <c r="AY7557"/>
    </row>
    <row r="7558" spans="47:51" x14ac:dyDescent="0.2">
      <c r="AU7558"/>
      <c r="AV7558"/>
      <c r="AW7558"/>
      <c r="AX7558"/>
      <c r="AY7558"/>
    </row>
    <row r="7559" spans="47:51" x14ac:dyDescent="0.2">
      <c r="AU7559"/>
      <c r="AV7559"/>
      <c r="AW7559"/>
      <c r="AX7559"/>
      <c r="AY7559"/>
    </row>
    <row r="7560" spans="47:51" x14ac:dyDescent="0.2">
      <c r="AU7560"/>
      <c r="AV7560"/>
      <c r="AW7560"/>
      <c r="AX7560"/>
      <c r="AY7560"/>
    </row>
    <row r="7561" spans="47:51" x14ac:dyDescent="0.2">
      <c r="AU7561"/>
      <c r="AV7561"/>
      <c r="AW7561"/>
      <c r="AX7561"/>
      <c r="AY7561"/>
    </row>
    <row r="7562" spans="47:51" x14ac:dyDescent="0.2">
      <c r="AU7562"/>
      <c r="AV7562"/>
      <c r="AW7562"/>
      <c r="AX7562"/>
      <c r="AY7562"/>
    </row>
    <row r="7563" spans="47:51" x14ac:dyDescent="0.2">
      <c r="AU7563"/>
      <c r="AV7563"/>
      <c r="AW7563"/>
      <c r="AX7563"/>
      <c r="AY7563"/>
    </row>
    <row r="7564" spans="47:51" x14ac:dyDescent="0.2">
      <c r="AU7564"/>
      <c r="AV7564"/>
      <c r="AW7564"/>
      <c r="AX7564"/>
      <c r="AY7564"/>
    </row>
    <row r="7565" spans="47:51" x14ac:dyDescent="0.2">
      <c r="AU7565"/>
      <c r="AV7565"/>
      <c r="AW7565"/>
      <c r="AX7565"/>
      <c r="AY7565"/>
    </row>
    <row r="7566" spans="47:51" x14ac:dyDescent="0.2">
      <c r="AU7566"/>
      <c r="AV7566"/>
      <c r="AW7566"/>
      <c r="AX7566"/>
      <c r="AY7566"/>
    </row>
    <row r="7567" spans="47:51" x14ac:dyDescent="0.2">
      <c r="AU7567"/>
      <c r="AV7567"/>
      <c r="AW7567"/>
      <c r="AX7567"/>
      <c r="AY7567"/>
    </row>
    <row r="7568" spans="47:51" x14ac:dyDescent="0.2">
      <c r="AU7568"/>
      <c r="AV7568"/>
      <c r="AW7568"/>
      <c r="AX7568"/>
      <c r="AY7568"/>
    </row>
    <row r="7569" spans="47:51" x14ac:dyDescent="0.2">
      <c r="AU7569"/>
      <c r="AV7569"/>
      <c r="AW7569"/>
      <c r="AX7569"/>
      <c r="AY7569"/>
    </row>
    <row r="7570" spans="47:51" x14ac:dyDescent="0.2">
      <c r="AU7570"/>
      <c r="AV7570"/>
      <c r="AW7570"/>
      <c r="AX7570"/>
      <c r="AY7570"/>
    </row>
    <row r="7571" spans="47:51" x14ac:dyDescent="0.2">
      <c r="AU7571"/>
      <c r="AV7571"/>
      <c r="AW7571"/>
      <c r="AX7571"/>
      <c r="AY7571"/>
    </row>
    <row r="7572" spans="47:51" x14ac:dyDescent="0.2">
      <c r="AU7572"/>
      <c r="AV7572"/>
      <c r="AW7572"/>
      <c r="AX7572"/>
      <c r="AY7572"/>
    </row>
    <row r="7573" spans="47:51" x14ac:dyDescent="0.2">
      <c r="AU7573"/>
      <c r="AV7573"/>
      <c r="AW7573"/>
      <c r="AX7573"/>
      <c r="AY7573"/>
    </row>
    <row r="7574" spans="47:51" x14ac:dyDescent="0.2">
      <c r="AU7574"/>
      <c r="AV7574"/>
      <c r="AW7574"/>
      <c r="AX7574"/>
      <c r="AY7574"/>
    </row>
    <row r="7575" spans="47:51" x14ac:dyDescent="0.2">
      <c r="AU7575"/>
      <c r="AV7575"/>
      <c r="AW7575"/>
      <c r="AX7575"/>
      <c r="AY7575"/>
    </row>
    <row r="7576" spans="47:51" x14ac:dyDescent="0.2">
      <c r="AU7576"/>
      <c r="AV7576"/>
      <c r="AW7576"/>
      <c r="AX7576"/>
      <c r="AY7576"/>
    </row>
    <row r="7577" spans="47:51" x14ac:dyDescent="0.2">
      <c r="AU7577"/>
      <c r="AV7577"/>
      <c r="AW7577"/>
      <c r="AX7577"/>
      <c r="AY7577"/>
    </row>
    <row r="7578" spans="47:51" x14ac:dyDescent="0.2">
      <c r="AU7578"/>
      <c r="AV7578"/>
      <c r="AW7578"/>
      <c r="AX7578"/>
      <c r="AY7578"/>
    </row>
    <row r="7579" spans="47:51" x14ac:dyDescent="0.2">
      <c r="AU7579"/>
      <c r="AV7579"/>
      <c r="AW7579"/>
      <c r="AX7579"/>
      <c r="AY7579"/>
    </row>
    <row r="7580" spans="47:51" x14ac:dyDescent="0.2">
      <c r="AU7580"/>
      <c r="AV7580"/>
      <c r="AW7580"/>
      <c r="AX7580"/>
      <c r="AY7580"/>
    </row>
    <row r="7581" spans="47:51" x14ac:dyDescent="0.2">
      <c r="AU7581"/>
      <c r="AV7581"/>
      <c r="AW7581"/>
      <c r="AX7581"/>
      <c r="AY7581"/>
    </row>
    <row r="7582" spans="47:51" x14ac:dyDescent="0.2">
      <c r="AU7582"/>
      <c r="AV7582"/>
      <c r="AW7582"/>
      <c r="AX7582"/>
      <c r="AY7582"/>
    </row>
    <row r="7583" spans="47:51" x14ac:dyDescent="0.2">
      <c r="AU7583"/>
      <c r="AV7583"/>
      <c r="AW7583"/>
      <c r="AX7583"/>
      <c r="AY7583"/>
    </row>
    <row r="7584" spans="47:51" x14ac:dyDescent="0.2">
      <c r="AU7584"/>
      <c r="AV7584"/>
      <c r="AW7584"/>
      <c r="AX7584"/>
      <c r="AY7584"/>
    </row>
    <row r="7585" spans="47:51" x14ac:dyDescent="0.2">
      <c r="AU7585"/>
      <c r="AV7585"/>
      <c r="AW7585"/>
      <c r="AX7585"/>
      <c r="AY7585"/>
    </row>
    <row r="7586" spans="47:51" x14ac:dyDescent="0.2">
      <c r="AU7586"/>
      <c r="AV7586"/>
      <c r="AW7586"/>
      <c r="AX7586"/>
      <c r="AY7586"/>
    </row>
    <row r="7587" spans="47:51" x14ac:dyDescent="0.2">
      <c r="AU7587"/>
      <c r="AV7587"/>
      <c r="AW7587"/>
      <c r="AX7587"/>
      <c r="AY7587"/>
    </row>
    <row r="7588" spans="47:51" x14ac:dyDescent="0.2">
      <c r="AU7588"/>
      <c r="AV7588"/>
      <c r="AW7588"/>
      <c r="AX7588"/>
      <c r="AY7588"/>
    </row>
    <row r="7589" spans="47:51" x14ac:dyDescent="0.2">
      <c r="AU7589"/>
      <c r="AV7589"/>
      <c r="AW7589"/>
      <c r="AX7589"/>
      <c r="AY7589"/>
    </row>
    <row r="7590" spans="47:51" x14ac:dyDescent="0.2">
      <c r="AU7590"/>
      <c r="AV7590"/>
      <c r="AW7590"/>
      <c r="AX7590"/>
      <c r="AY7590"/>
    </row>
    <row r="7591" spans="47:51" x14ac:dyDescent="0.2">
      <c r="AU7591"/>
      <c r="AV7591"/>
      <c r="AW7591"/>
      <c r="AX7591"/>
      <c r="AY7591"/>
    </row>
    <row r="7592" spans="47:51" x14ac:dyDescent="0.2">
      <c r="AU7592"/>
      <c r="AV7592"/>
      <c r="AW7592"/>
      <c r="AX7592"/>
      <c r="AY7592"/>
    </row>
    <row r="7593" spans="47:51" x14ac:dyDescent="0.2">
      <c r="AU7593"/>
      <c r="AV7593"/>
      <c r="AW7593"/>
      <c r="AX7593"/>
      <c r="AY7593"/>
    </row>
    <row r="7594" spans="47:51" x14ac:dyDescent="0.2">
      <c r="AU7594"/>
      <c r="AV7594"/>
      <c r="AW7594"/>
      <c r="AX7594"/>
      <c r="AY7594"/>
    </row>
    <row r="7595" spans="47:51" x14ac:dyDescent="0.2">
      <c r="AU7595"/>
      <c r="AV7595"/>
      <c r="AW7595"/>
      <c r="AX7595"/>
      <c r="AY7595"/>
    </row>
    <row r="7596" spans="47:51" x14ac:dyDescent="0.2">
      <c r="AU7596"/>
      <c r="AV7596"/>
      <c r="AW7596"/>
      <c r="AX7596"/>
      <c r="AY7596"/>
    </row>
    <row r="7597" spans="47:51" x14ac:dyDescent="0.2">
      <c r="AU7597"/>
      <c r="AV7597"/>
      <c r="AW7597"/>
      <c r="AX7597"/>
      <c r="AY7597"/>
    </row>
    <row r="7598" spans="47:51" x14ac:dyDescent="0.2">
      <c r="AU7598"/>
      <c r="AV7598"/>
      <c r="AW7598"/>
      <c r="AX7598"/>
      <c r="AY7598"/>
    </row>
    <row r="7599" spans="47:51" x14ac:dyDescent="0.2">
      <c r="AU7599"/>
      <c r="AV7599"/>
      <c r="AW7599"/>
      <c r="AX7599"/>
      <c r="AY7599"/>
    </row>
    <row r="7600" spans="47:51" x14ac:dyDescent="0.2">
      <c r="AU7600"/>
      <c r="AV7600"/>
      <c r="AW7600"/>
      <c r="AX7600"/>
      <c r="AY7600"/>
    </row>
    <row r="7601" spans="47:51" x14ac:dyDescent="0.2">
      <c r="AU7601"/>
      <c r="AV7601"/>
      <c r="AW7601"/>
      <c r="AX7601"/>
      <c r="AY7601"/>
    </row>
    <row r="7602" spans="47:51" x14ac:dyDescent="0.2">
      <c r="AU7602"/>
      <c r="AV7602"/>
      <c r="AW7602"/>
      <c r="AX7602"/>
      <c r="AY7602"/>
    </row>
    <row r="7603" spans="47:51" x14ac:dyDescent="0.2">
      <c r="AU7603"/>
      <c r="AV7603"/>
      <c r="AW7603"/>
      <c r="AX7603"/>
      <c r="AY7603"/>
    </row>
    <row r="7604" spans="47:51" x14ac:dyDescent="0.2">
      <c r="AU7604"/>
      <c r="AV7604"/>
      <c r="AW7604"/>
      <c r="AX7604"/>
      <c r="AY7604"/>
    </row>
    <row r="7605" spans="47:51" x14ac:dyDescent="0.2">
      <c r="AU7605"/>
      <c r="AV7605"/>
      <c r="AW7605"/>
      <c r="AX7605"/>
      <c r="AY7605"/>
    </row>
    <row r="7606" spans="47:51" x14ac:dyDescent="0.2">
      <c r="AU7606"/>
      <c r="AV7606"/>
      <c r="AW7606"/>
      <c r="AX7606"/>
      <c r="AY7606"/>
    </row>
    <row r="7607" spans="47:51" x14ac:dyDescent="0.2">
      <c r="AU7607"/>
      <c r="AV7607"/>
      <c r="AW7607"/>
      <c r="AX7607"/>
      <c r="AY7607"/>
    </row>
    <row r="7608" spans="47:51" x14ac:dyDescent="0.2">
      <c r="AU7608"/>
      <c r="AV7608"/>
      <c r="AW7608"/>
      <c r="AX7608"/>
      <c r="AY7608"/>
    </row>
    <row r="7609" spans="47:51" x14ac:dyDescent="0.2">
      <c r="AU7609"/>
      <c r="AV7609"/>
      <c r="AW7609"/>
      <c r="AX7609"/>
      <c r="AY7609"/>
    </row>
    <row r="7610" spans="47:51" x14ac:dyDescent="0.2">
      <c r="AU7610"/>
      <c r="AV7610"/>
      <c r="AW7610"/>
      <c r="AX7610"/>
      <c r="AY7610"/>
    </row>
    <row r="7611" spans="47:51" x14ac:dyDescent="0.2">
      <c r="AU7611"/>
      <c r="AV7611"/>
      <c r="AW7611"/>
      <c r="AX7611"/>
      <c r="AY7611"/>
    </row>
    <row r="7612" spans="47:51" x14ac:dyDescent="0.2">
      <c r="AU7612"/>
      <c r="AV7612"/>
      <c r="AW7612"/>
      <c r="AX7612"/>
      <c r="AY7612"/>
    </row>
    <row r="7613" spans="47:51" x14ac:dyDescent="0.2">
      <c r="AU7613"/>
      <c r="AV7613"/>
      <c r="AW7613"/>
      <c r="AX7613"/>
      <c r="AY7613"/>
    </row>
    <row r="7614" spans="47:51" x14ac:dyDescent="0.2">
      <c r="AU7614"/>
      <c r="AV7614"/>
      <c r="AW7614"/>
      <c r="AX7614"/>
      <c r="AY7614"/>
    </row>
    <row r="7615" spans="47:51" x14ac:dyDescent="0.2">
      <c r="AU7615"/>
      <c r="AV7615"/>
      <c r="AW7615"/>
      <c r="AX7615"/>
      <c r="AY7615"/>
    </row>
    <row r="7616" spans="47:51" x14ac:dyDescent="0.2">
      <c r="AU7616"/>
      <c r="AV7616"/>
      <c r="AW7616"/>
      <c r="AX7616"/>
      <c r="AY7616"/>
    </row>
    <row r="7617" spans="47:51" x14ac:dyDescent="0.2">
      <c r="AU7617"/>
      <c r="AV7617"/>
      <c r="AW7617"/>
      <c r="AX7617"/>
      <c r="AY7617"/>
    </row>
    <row r="7618" spans="47:51" x14ac:dyDescent="0.2">
      <c r="AU7618"/>
      <c r="AV7618"/>
      <c r="AW7618"/>
      <c r="AX7618"/>
      <c r="AY7618"/>
    </row>
    <row r="7619" spans="47:51" x14ac:dyDescent="0.2">
      <c r="AU7619"/>
      <c r="AV7619"/>
      <c r="AW7619"/>
      <c r="AX7619"/>
      <c r="AY7619"/>
    </row>
    <row r="7620" spans="47:51" x14ac:dyDescent="0.2">
      <c r="AU7620"/>
      <c r="AV7620"/>
      <c r="AW7620"/>
      <c r="AX7620"/>
      <c r="AY7620"/>
    </row>
    <row r="7621" spans="47:51" x14ac:dyDescent="0.2">
      <c r="AU7621"/>
      <c r="AV7621"/>
      <c r="AW7621"/>
      <c r="AX7621"/>
      <c r="AY7621"/>
    </row>
    <row r="7622" spans="47:51" x14ac:dyDescent="0.2">
      <c r="AU7622"/>
      <c r="AV7622"/>
      <c r="AW7622"/>
      <c r="AX7622"/>
      <c r="AY7622"/>
    </row>
    <row r="7623" spans="47:51" x14ac:dyDescent="0.2">
      <c r="AU7623"/>
      <c r="AV7623"/>
      <c r="AW7623"/>
      <c r="AX7623"/>
      <c r="AY7623"/>
    </row>
    <row r="7624" spans="47:51" x14ac:dyDescent="0.2">
      <c r="AU7624"/>
      <c r="AV7624"/>
      <c r="AW7624"/>
      <c r="AX7624"/>
      <c r="AY7624"/>
    </row>
    <row r="7625" spans="47:51" x14ac:dyDescent="0.2">
      <c r="AU7625"/>
      <c r="AV7625"/>
      <c r="AW7625"/>
      <c r="AX7625"/>
      <c r="AY7625"/>
    </row>
    <row r="7626" spans="47:51" x14ac:dyDescent="0.2">
      <c r="AU7626"/>
      <c r="AV7626"/>
      <c r="AW7626"/>
      <c r="AX7626"/>
      <c r="AY7626"/>
    </row>
    <row r="7627" spans="47:51" x14ac:dyDescent="0.2">
      <c r="AU7627"/>
      <c r="AV7627"/>
      <c r="AW7627"/>
      <c r="AX7627"/>
      <c r="AY7627"/>
    </row>
    <row r="7628" spans="47:51" x14ac:dyDescent="0.2">
      <c r="AU7628"/>
      <c r="AV7628"/>
      <c r="AW7628"/>
      <c r="AX7628"/>
      <c r="AY7628"/>
    </row>
    <row r="7629" spans="47:51" x14ac:dyDescent="0.2">
      <c r="AU7629"/>
      <c r="AV7629"/>
      <c r="AW7629"/>
      <c r="AX7629"/>
      <c r="AY7629"/>
    </row>
    <row r="7630" spans="47:51" x14ac:dyDescent="0.2">
      <c r="AU7630"/>
      <c r="AV7630"/>
      <c r="AW7630"/>
      <c r="AX7630"/>
      <c r="AY7630"/>
    </row>
    <row r="7631" spans="47:51" x14ac:dyDescent="0.2">
      <c r="AU7631"/>
      <c r="AV7631"/>
      <c r="AW7631"/>
      <c r="AX7631"/>
      <c r="AY7631"/>
    </row>
    <row r="7632" spans="47:51" x14ac:dyDescent="0.2">
      <c r="AU7632"/>
      <c r="AV7632"/>
      <c r="AW7632"/>
      <c r="AX7632"/>
      <c r="AY7632"/>
    </row>
    <row r="7633" spans="47:51" x14ac:dyDescent="0.2">
      <c r="AU7633"/>
      <c r="AV7633"/>
      <c r="AW7633"/>
      <c r="AX7633"/>
      <c r="AY7633"/>
    </row>
    <row r="7634" spans="47:51" x14ac:dyDescent="0.2">
      <c r="AU7634"/>
      <c r="AV7634"/>
      <c r="AW7634"/>
      <c r="AX7634"/>
      <c r="AY7634"/>
    </row>
    <row r="7635" spans="47:51" x14ac:dyDescent="0.2">
      <c r="AU7635"/>
      <c r="AV7635"/>
      <c r="AW7635"/>
      <c r="AX7635"/>
      <c r="AY7635"/>
    </row>
    <row r="7636" spans="47:51" x14ac:dyDescent="0.2">
      <c r="AU7636"/>
      <c r="AV7636"/>
      <c r="AW7636"/>
      <c r="AX7636"/>
      <c r="AY7636"/>
    </row>
    <row r="7637" spans="47:51" x14ac:dyDescent="0.2">
      <c r="AU7637"/>
      <c r="AV7637"/>
      <c r="AW7637"/>
      <c r="AX7637"/>
      <c r="AY7637"/>
    </row>
    <row r="7638" spans="47:51" x14ac:dyDescent="0.2">
      <c r="AU7638"/>
      <c r="AV7638"/>
      <c r="AW7638"/>
      <c r="AX7638"/>
      <c r="AY7638"/>
    </row>
    <row r="7639" spans="47:51" x14ac:dyDescent="0.2">
      <c r="AU7639"/>
      <c r="AV7639"/>
      <c r="AW7639"/>
      <c r="AX7639"/>
      <c r="AY7639"/>
    </row>
    <row r="7640" spans="47:51" x14ac:dyDescent="0.2">
      <c r="AU7640"/>
      <c r="AV7640"/>
      <c r="AW7640"/>
      <c r="AX7640"/>
      <c r="AY7640"/>
    </row>
    <row r="7641" spans="47:51" x14ac:dyDescent="0.2">
      <c r="AU7641"/>
      <c r="AV7641"/>
      <c r="AW7641"/>
      <c r="AX7641"/>
      <c r="AY7641"/>
    </row>
    <row r="7642" spans="47:51" x14ac:dyDescent="0.2">
      <c r="AU7642"/>
      <c r="AV7642"/>
      <c r="AW7642"/>
      <c r="AX7642"/>
      <c r="AY7642"/>
    </row>
    <row r="7643" spans="47:51" x14ac:dyDescent="0.2">
      <c r="AU7643"/>
      <c r="AV7643"/>
      <c r="AW7643"/>
      <c r="AX7643"/>
      <c r="AY7643"/>
    </row>
    <row r="7644" spans="47:51" x14ac:dyDescent="0.2">
      <c r="AU7644"/>
      <c r="AV7644"/>
      <c r="AW7644"/>
      <c r="AX7644"/>
      <c r="AY7644"/>
    </row>
    <row r="7645" spans="47:51" x14ac:dyDescent="0.2">
      <c r="AU7645"/>
      <c r="AV7645"/>
      <c r="AW7645"/>
      <c r="AX7645"/>
      <c r="AY7645"/>
    </row>
    <row r="7646" spans="47:51" x14ac:dyDescent="0.2">
      <c r="AU7646"/>
      <c r="AV7646"/>
      <c r="AW7646"/>
      <c r="AX7646"/>
      <c r="AY7646"/>
    </row>
    <row r="7647" spans="47:51" x14ac:dyDescent="0.2">
      <c r="AU7647"/>
      <c r="AV7647"/>
      <c r="AW7647"/>
      <c r="AX7647"/>
      <c r="AY7647"/>
    </row>
    <row r="7648" spans="47:51" x14ac:dyDescent="0.2">
      <c r="AU7648"/>
      <c r="AV7648"/>
      <c r="AW7648"/>
      <c r="AX7648"/>
      <c r="AY7648"/>
    </row>
    <row r="7649" spans="47:51" x14ac:dyDescent="0.2">
      <c r="AU7649"/>
      <c r="AV7649"/>
      <c r="AW7649"/>
      <c r="AX7649"/>
      <c r="AY7649"/>
    </row>
    <row r="7650" spans="47:51" x14ac:dyDescent="0.2">
      <c r="AU7650"/>
      <c r="AV7650"/>
      <c r="AW7650"/>
      <c r="AX7650"/>
      <c r="AY7650"/>
    </row>
    <row r="7651" spans="47:51" x14ac:dyDescent="0.2">
      <c r="AU7651"/>
      <c r="AV7651"/>
      <c r="AW7651"/>
      <c r="AX7651"/>
      <c r="AY7651"/>
    </row>
    <row r="7652" spans="47:51" x14ac:dyDescent="0.2">
      <c r="AU7652"/>
      <c r="AV7652"/>
      <c r="AW7652"/>
      <c r="AX7652"/>
      <c r="AY7652"/>
    </row>
    <row r="7653" spans="47:51" x14ac:dyDescent="0.2">
      <c r="AU7653"/>
      <c r="AV7653"/>
      <c r="AW7653"/>
      <c r="AX7653"/>
      <c r="AY7653"/>
    </row>
    <row r="7654" spans="47:51" x14ac:dyDescent="0.2">
      <c r="AU7654"/>
      <c r="AV7654"/>
      <c r="AW7654"/>
      <c r="AX7654"/>
      <c r="AY7654"/>
    </row>
    <row r="7655" spans="47:51" x14ac:dyDescent="0.2">
      <c r="AU7655"/>
      <c r="AV7655"/>
      <c r="AW7655"/>
      <c r="AX7655"/>
      <c r="AY7655"/>
    </row>
    <row r="7656" spans="47:51" x14ac:dyDescent="0.2">
      <c r="AU7656"/>
      <c r="AV7656"/>
      <c r="AW7656"/>
      <c r="AX7656"/>
      <c r="AY7656"/>
    </row>
    <row r="7657" spans="47:51" x14ac:dyDescent="0.2">
      <c r="AU7657"/>
      <c r="AV7657"/>
      <c r="AW7657"/>
      <c r="AX7657"/>
      <c r="AY7657"/>
    </row>
    <row r="7658" spans="47:51" x14ac:dyDescent="0.2">
      <c r="AU7658"/>
      <c r="AV7658"/>
      <c r="AW7658"/>
      <c r="AX7658"/>
      <c r="AY7658"/>
    </row>
    <row r="7659" spans="47:51" x14ac:dyDescent="0.2">
      <c r="AU7659"/>
      <c r="AV7659"/>
      <c r="AW7659"/>
      <c r="AX7659"/>
      <c r="AY7659"/>
    </row>
    <row r="7660" spans="47:51" x14ac:dyDescent="0.2">
      <c r="AU7660"/>
      <c r="AV7660"/>
      <c r="AW7660"/>
      <c r="AX7660"/>
      <c r="AY7660"/>
    </row>
    <row r="7661" spans="47:51" x14ac:dyDescent="0.2">
      <c r="AU7661"/>
      <c r="AV7661"/>
      <c r="AW7661"/>
      <c r="AX7661"/>
      <c r="AY7661"/>
    </row>
    <row r="7662" spans="47:51" x14ac:dyDescent="0.2">
      <c r="AU7662"/>
      <c r="AV7662"/>
      <c r="AW7662"/>
      <c r="AX7662"/>
      <c r="AY7662"/>
    </row>
    <row r="7663" spans="47:51" x14ac:dyDescent="0.2">
      <c r="AU7663"/>
      <c r="AV7663"/>
      <c r="AW7663"/>
      <c r="AX7663"/>
      <c r="AY7663"/>
    </row>
    <row r="7664" spans="47:51" x14ac:dyDescent="0.2">
      <c r="AU7664"/>
      <c r="AV7664"/>
      <c r="AW7664"/>
      <c r="AX7664"/>
      <c r="AY7664"/>
    </row>
    <row r="7665" spans="47:51" x14ac:dyDescent="0.2">
      <c r="AU7665"/>
      <c r="AV7665"/>
      <c r="AW7665"/>
      <c r="AX7665"/>
      <c r="AY7665"/>
    </row>
    <row r="7666" spans="47:51" x14ac:dyDescent="0.2">
      <c r="AU7666"/>
      <c r="AV7666"/>
      <c r="AW7666"/>
      <c r="AX7666"/>
      <c r="AY7666"/>
    </row>
    <row r="7667" spans="47:51" x14ac:dyDescent="0.2">
      <c r="AU7667"/>
      <c r="AV7667"/>
      <c r="AW7667"/>
      <c r="AX7667"/>
      <c r="AY7667"/>
    </row>
    <row r="7668" spans="47:51" x14ac:dyDescent="0.2">
      <c r="AU7668"/>
      <c r="AV7668"/>
      <c r="AW7668"/>
      <c r="AX7668"/>
      <c r="AY7668"/>
    </row>
    <row r="7669" spans="47:51" x14ac:dyDescent="0.2">
      <c r="AU7669"/>
      <c r="AV7669"/>
      <c r="AW7669"/>
      <c r="AX7669"/>
      <c r="AY7669"/>
    </row>
    <row r="7670" spans="47:51" x14ac:dyDescent="0.2">
      <c r="AU7670"/>
      <c r="AV7670"/>
      <c r="AW7670"/>
      <c r="AX7670"/>
      <c r="AY7670"/>
    </row>
    <row r="7671" spans="47:51" x14ac:dyDescent="0.2">
      <c r="AU7671"/>
      <c r="AV7671"/>
      <c r="AW7671"/>
      <c r="AX7671"/>
      <c r="AY7671"/>
    </row>
    <row r="7672" spans="47:51" x14ac:dyDescent="0.2">
      <c r="AU7672"/>
      <c r="AV7672"/>
      <c r="AW7672"/>
      <c r="AX7672"/>
      <c r="AY7672"/>
    </row>
    <row r="7673" spans="47:51" x14ac:dyDescent="0.2">
      <c r="AU7673"/>
      <c r="AV7673"/>
      <c r="AW7673"/>
      <c r="AX7673"/>
      <c r="AY7673"/>
    </row>
    <row r="7674" spans="47:51" x14ac:dyDescent="0.2">
      <c r="AU7674"/>
      <c r="AV7674"/>
      <c r="AW7674"/>
      <c r="AX7674"/>
      <c r="AY7674"/>
    </row>
    <row r="7675" spans="47:51" x14ac:dyDescent="0.2">
      <c r="AU7675"/>
      <c r="AV7675"/>
      <c r="AW7675"/>
      <c r="AX7675"/>
      <c r="AY7675"/>
    </row>
    <row r="7676" spans="47:51" x14ac:dyDescent="0.2">
      <c r="AU7676"/>
      <c r="AV7676"/>
      <c r="AW7676"/>
      <c r="AX7676"/>
      <c r="AY7676"/>
    </row>
    <row r="7677" spans="47:51" x14ac:dyDescent="0.2">
      <c r="AU7677"/>
      <c r="AV7677"/>
      <c r="AW7677"/>
      <c r="AX7677"/>
      <c r="AY7677"/>
    </row>
    <row r="7678" spans="47:51" x14ac:dyDescent="0.2">
      <c r="AU7678"/>
      <c r="AV7678"/>
      <c r="AW7678"/>
      <c r="AX7678"/>
      <c r="AY7678"/>
    </row>
    <row r="7679" spans="47:51" x14ac:dyDescent="0.2">
      <c r="AU7679"/>
      <c r="AV7679"/>
      <c r="AW7679"/>
      <c r="AX7679"/>
      <c r="AY7679"/>
    </row>
    <row r="7680" spans="47:51" x14ac:dyDescent="0.2">
      <c r="AU7680"/>
      <c r="AV7680"/>
      <c r="AW7680"/>
      <c r="AX7680"/>
      <c r="AY7680"/>
    </row>
    <row r="7681" spans="47:51" x14ac:dyDescent="0.2">
      <c r="AU7681"/>
      <c r="AV7681"/>
      <c r="AW7681"/>
      <c r="AX7681"/>
      <c r="AY7681"/>
    </row>
    <row r="7682" spans="47:51" x14ac:dyDescent="0.2">
      <c r="AU7682"/>
      <c r="AV7682"/>
      <c r="AW7682"/>
      <c r="AX7682"/>
      <c r="AY7682"/>
    </row>
    <row r="7683" spans="47:51" x14ac:dyDescent="0.2">
      <c r="AU7683"/>
      <c r="AV7683"/>
      <c r="AW7683"/>
      <c r="AX7683"/>
      <c r="AY7683"/>
    </row>
    <row r="7684" spans="47:51" x14ac:dyDescent="0.2">
      <c r="AU7684"/>
      <c r="AV7684"/>
      <c r="AW7684"/>
      <c r="AX7684"/>
      <c r="AY7684"/>
    </row>
    <row r="7685" spans="47:51" x14ac:dyDescent="0.2">
      <c r="AU7685"/>
      <c r="AV7685"/>
      <c r="AW7685"/>
      <c r="AX7685"/>
      <c r="AY7685"/>
    </row>
    <row r="7686" spans="47:51" x14ac:dyDescent="0.2">
      <c r="AU7686"/>
      <c r="AV7686"/>
      <c r="AW7686"/>
      <c r="AX7686"/>
      <c r="AY7686"/>
    </row>
    <row r="7687" spans="47:51" x14ac:dyDescent="0.2">
      <c r="AU7687"/>
      <c r="AV7687"/>
      <c r="AW7687"/>
      <c r="AX7687"/>
      <c r="AY7687"/>
    </row>
    <row r="7688" spans="47:51" x14ac:dyDescent="0.2">
      <c r="AU7688"/>
      <c r="AV7688"/>
      <c r="AW7688"/>
      <c r="AX7688"/>
      <c r="AY7688"/>
    </row>
    <row r="7689" spans="47:51" x14ac:dyDescent="0.2">
      <c r="AU7689"/>
      <c r="AV7689"/>
      <c r="AW7689"/>
      <c r="AX7689"/>
      <c r="AY7689"/>
    </row>
    <row r="7690" spans="47:51" x14ac:dyDescent="0.2">
      <c r="AU7690"/>
      <c r="AV7690"/>
      <c r="AW7690"/>
      <c r="AX7690"/>
      <c r="AY7690"/>
    </row>
    <row r="7691" spans="47:51" x14ac:dyDescent="0.2">
      <c r="AU7691"/>
      <c r="AV7691"/>
      <c r="AW7691"/>
      <c r="AX7691"/>
      <c r="AY7691"/>
    </row>
    <row r="7692" spans="47:51" x14ac:dyDescent="0.2">
      <c r="AU7692"/>
      <c r="AV7692"/>
      <c r="AW7692"/>
      <c r="AX7692"/>
      <c r="AY7692"/>
    </row>
    <row r="7693" spans="47:51" x14ac:dyDescent="0.2">
      <c r="AU7693"/>
      <c r="AV7693"/>
      <c r="AW7693"/>
      <c r="AX7693"/>
      <c r="AY7693"/>
    </row>
    <row r="7694" spans="47:51" x14ac:dyDescent="0.2">
      <c r="AU7694"/>
      <c r="AV7694"/>
      <c r="AW7694"/>
      <c r="AX7694"/>
      <c r="AY7694"/>
    </row>
    <row r="7695" spans="47:51" x14ac:dyDescent="0.2">
      <c r="AU7695"/>
      <c r="AV7695"/>
      <c r="AW7695"/>
      <c r="AX7695"/>
      <c r="AY7695"/>
    </row>
    <row r="7696" spans="47:51" x14ac:dyDescent="0.2">
      <c r="AU7696"/>
      <c r="AV7696"/>
      <c r="AW7696"/>
      <c r="AX7696"/>
      <c r="AY7696"/>
    </row>
    <row r="7697" spans="47:51" x14ac:dyDescent="0.2">
      <c r="AU7697"/>
      <c r="AV7697"/>
      <c r="AW7697"/>
      <c r="AX7697"/>
      <c r="AY7697"/>
    </row>
    <row r="7698" spans="47:51" x14ac:dyDescent="0.2">
      <c r="AU7698"/>
      <c r="AV7698"/>
      <c r="AW7698"/>
      <c r="AX7698"/>
      <c r="AY7698"/>
    </row>
    <row r="7699" spans="47:51" x14ac:dyDescent="0.2">
      <c r="AU7699"/>
      <c r="AV7699"/>
      <c r="AW7699"/>
      <c r="AX7699"/>
      <c r="AY7699"/>
    </row>
    <row r="7700" spans="47:51" x14ac:dyDescent="0.2">
      <c r="AU7700"/>
      <c r="AV7700"/>
      <c r="AW7700"/>
      <c r="AX7700"/>
      <c r="AY7700"/>
    </row>
    <row r="7701" spans="47:51" x14ac:dyDescent="0.2">
      <c r="AU7701"/>
      <c r="AV7701"/>
      <c r="AW7701"/>
      <c r="AX7701"/>
      <c r="AY7701"/>
    </row>
    <row r="7702" spans="47:51" x14ac:dyDescent="0.2">
      <c r="AU7702"/>
      <c r="AV7702"/>
      <c r="AW7702"/>
      <c r="AX7702"/>
      <c r="AY7702"/>
    </row>
    <row r="7703" spans="47:51" x14ac:dyDescent="0.2">
      <c r="AU7703"/>
      <c r="AV7703"/>
      <c r="AW7703"/>
      <c r="AX7703"/>
      <c r="AY7703"/>
    </row>
    <row r="7704" spans="47:51" x14ac:dyDescent="0.2">
      <c r="AU7704"/>
      <c r="AV7704"/>
      <c r="AW7704"/>
      <c r="AX7704"/>
      <c r="AY7704"/>
    </row>
    <row r="7705" spans="47:51" x14ac:dyDescent="0.2">
      <c r="AU7705"/>
      <c r="AV7705"/>
      <c r="AW7705"/>
      <c r="AX7705"/>
      <c r="AY7705"/>
    </row>
    <row r="7706" spans="47:51" x14ac:dyDescent="0.2">
      <c r="AU7706"/>
      <c r="AV7706"/>
      <c r="AW7706"/>
      <c r="AX7706"/>
      <c r="AY7706"/>
    </row>
    <row r="7707" spans="47:51" x14ac:dyDescent="0.2">
      <c r="AU7707"/>
      <c r="AV7707"/>
      <c r="AW7707"/>
      <c r="AX7707"/>
      <c r="AY7707"/>
    </row>
    <row r="7708" spans="47:51" x14ac:dyDescent="0.2">
      <c r="AU7708"/>
      <c r="AV7708"/>
      <c r="AW7708"/>
      <c r="AX7708"/>
      <c r="AY7708"/>
    </row>
    <row r="7709" spans="47:51" x14ac:dyDescent="0.2">
      <c r="AU7709"/>
      <c r="AV7709"/>
      <c r="AW7709"/>
      <c r="AX7709"/>
      <c r="AY7709"/>
    </row>
    <row r="7710" spans="47:51" x14ac:dyDescent="0.2">
      <c r="AU7710"/>
      <c r="AV7710"/>
      <c r="AW7710"/>
      <c r="AX7710"/>
      <c r="AY7710"/>
    </row>
    <row r="7711" spans="47:51" x14ac:dyDescent="0.2">
      <c r="AU7711"/>
      <c r="AV7711"/>
      <c r="AW7711"/>
      <c r="AX7711"/>
      <c r="AY7711"/>
    </row>
    <row r="7712" spans="47:51" x14ac:dyDescent="0.2">
      <c r="AU7712"/>
      <c r="AV7712"/>
      <c r="AW7712"/>
      <c r="AX7712"/>
      <c r="AY7712"/>
    </row>
    <row r="7713" spans="47:51" x14ac:dyDescent="0.2">
      <c r="AU7713"/>
      <c r="AV7713"/>
      <c r="AW7713"/>
      <c r="AX7713"/>
      <c r="AY7713"/>
    </row>
    <row r="7714" spans="47:51" x14ac:dyDescent="0.2">
      <c r="AU7714"/>
      <c r="AV7714"/>
      <c r="AW7714"/>
      <c r="AX7714"/>
      <c r="AY7714"/>
    </row>
    <row r="7715" spans="47:51" x14ac:dyDescent="0.2">
      <c r="AU7715"/>
      <c r="AV7715"/>
      <c r="AW7715"/>
      <c r="AX7715"/>
      <c r="AY7715"/>
    </row>
    <row r="7716" spans="47:51" x14ac:dyDescent="0.2">
      <c r="AU7716"/>
      <c r="AV7716"/>
      <c r="AW7716"/>
      <c r="AX7716"/>
      <c r="AY7716"/>
    </row>
    <row r="7717" spans="47:51" x14ac:dyDescent="0.2">
      <c r="AU7717"/>
      <c r="AV7717"/>
      <c r="AW7717"/>
      <c r="AX7717"/>
      <c r="AY7717"/>
    </row>
    <row r="7718" spans="47:51" x14ac:dyDescent="0.2">
      <c r="AU7718"/>
      <c r="AV7718"/>
      <c r="AW7718"/>
      <c r="AX7718"/>
      <c r="AY7718"/>
    </row>
    <row r="7719" spans="47:51" x14ac:dyDescent="0.2">
      <c r="AU7719"/>
      <c r="AV7719"/>
      <c r="AW7719"/>
      <c r="AX7719"/>
      <c r="AY7719"/>
    </row>
    <row r="7720" spans="47:51" x14ac:dyDescent="0.2">
      <c r="AU7720"/>
      <c r="AV7720"/>
      <c r="AW7720"/>
      <c r="AX7720"/>
      <c r="AY7720"/>
    </row>
    <row r="7721" spans="47:51" x14ac:dyDescent="0.2">
      <c r="AU7721"/>
      <c r="AV7721"/>
      <c r="AW7721"/>
      <c r="AX7721"/>
      <c r="AY7721"/>
    </row>
    <row r="7722" spans="47:51" x14ac:dyDescent="0.2">
      <c r="AU7722"/>
      <c r="AV7722"/>
      <c r="AW7722"/>
      <c r="AX7722"/>
      <c r="AY7722"/>
    </row>
    <row r="7723" spans="47:51" x14ac:dyDescent="0.2">
      <c r="AU7723"/>
      <c r="AV7723"/>
      <c r="AW7723"/>
      <c r="AX7723"/>
      <c r="AY7723"/>
    </row>
    <row r="7724" spans="47:51" x14ac:dyDescent="0.2">
      <c r="AU7724"/>
      <c r="AV7724"/>
      <c r="AW7724"/>
      <c r="AX7724"/>
      <c r="AY7724"/>
    </row>
    <row r="7725" spans="47:51" x14ac:dyDescent="0.2">
      <c r="AU7725"/>
      <c r="AV7725"/>
      <c r="AW7725"/>
      <c r="AX7725"/>
      <c r="AY7725"/>
    </row>
    <row r="7726" spans="47:51" x14ac:dyDescent="0.2">
      <c r="AU7726"/>
      <c r="AV7726"/>
      <c r="AW7726"/>
      <c r="AX7726"/>
      <c r="AY7726"/>
    </row>
    <row r="7727" spans="47:51" x14ac:dyDescent="0.2">
      <c r="AU7727"/>
      <c r="AV7727"/>
      <c r="AW7727"/>
      <c r="AX7727"/>
      <c r="AY7727"/>
    </row>
    <row r="7728" spans="47:51" x14ac:dyDescent="0.2">
      <c r="AU7728"/>
      <c r="AV7728"/>
      <c r="AW7728"/>
      <c r="AX7728"/>
      <c r="AY7728"/>
    </row>
    <row r="7729" spans="47:51" x14ac:dyDescent="0.2">
      <c r="AU7729"/>
      <c r="AV7729"/>
      <c r="AW7729"/>
      <c r="AX7729"/>
      <c r="AY7729"/>
    </row>
    <row r="7730" spans="47:51" x14ac:dyDescent="0.2">
      <c r="AU7730"/>
      <c r="AV7730"/>
      <c r="AW7730"/>
      <c r="AX7730"/>
      <c r="AY7730"/>
    </row>
    <row r="7731" spans="47:51" x14ac:dyDescent="0.2">
      <c r="AU7731"/>
      <c r="AV7731"/>
      <c r="AW7731"/>
      <c r="AX7731"/>
      <c r="AY7731"/>
    </row>
    <row r="7732" spans="47:51" x14ac:dyDescent="0.2">
      <c r="AU7732"/>
      <c r="AV7732"/>
      <c r="AW7732"/>
      <c r="AX7732"/>
      <c r="AY7732"/>
    </row>
    <row r="7733" spans="47:51" x14ac:dyDescent="0.2">
      <c r="AU7733"/>
      <c r="AV7733"/>
      <c r="AW7733"/>
      <c r="AX7733"/>
      <c r="AY7733"/>
    </row>
    <row r="7734" spans="47:51" x14ac:dyDescent="0.2">
      <c r="AU7734"/>
      <c r="AV7734"/>
      <c r="AW7734"/>
      <c r="AX7734"/>
      <c r="AY7734"/>
    </row>
    <row r="7735" spans="47:51" x14ac:dyDescent="0.2">
      <c r="AU7735"/>
      <c r="AV7735"/>
      <c r="AW7735"/>
      <c r="AX7735"/>
      <c r="AY7735"/>
    </row>
    <row r="7736" spans="47:51" x14ac:dyDescent="0.2">
      <c r="AU7736"/>
      <c r="AV7736"/>
      <c r="AW7736"/>
      <c r="AX7736"/>
      <c r="AY7736"/>
    </row>
    <row r="7737" spans="47:51" x14ac:dyDescent="0.2">
      <c r="AU7737"/>
      <c r="AV7737"/>
      <c r="AW7737"/>
      <c r="AX7737"/>
      <c r="AY7737"/>
    </row>
    <row r="7738" spans="47:51" x14ac:dyDescent="0.2">
      <c r="AU7738"/>
      <c r="AV7738"/>
      <c r="AW7738"/>
      <c r="AX7738"/>
      <c r="AY7738"/>
    </row>
    <row r="7739" spans="47:51" x14ac:dyDescent="0.2">
      <c r="AU7739"/>
      <c r="AV7739"/>
      <c r="AW7739"/>
      <c r="AX7739"/>
      <c r="AY7739"/>
    </row>
    <row r="7740" spans="47:51" x14ac:dyDescent="0.2">
      <c r="AU7740"/>
      <c r="AV7740"/>
      <c r="AW7740"/>
      <c r="AX7740"/>
      <c r="AY7740"/>
    </row>
    <row r="7741" spans="47:51" x14ac:dyDescent="0.2">
      <c r="AU7741"/>
      <c r="AV7741"/>
      <c r="AW7741"/>
      <c r="AX7741"/>
      <c r="AY7741"/>
    </row>
    <row r="7742" spans="47:51" x14ac:dyDescent="0.2">
      <c r="AU7742"/>
      <c r="AV7742"/>
      <c r="AW7742"/>
      <c r="AX7742"/>
      <c r="AY7742"/>
    </row>
    <row r="7743" spans="47:51" x14ac:dyDescent="0.2">
      <c r="AU7743"/>
      <c r="AV7743"/>
      <c r="AW7743"/>
      <c r="AX7743"/>
      <c r="AY7743"/>
    </row>
    <row r="7744" spans="47:51" x14ac:dyDescent="0.2">
      <c r="AU7744"/>
      <c r="AV7744"/>
      <c r="AW7744"/>
      <c r="AX7744"/>
      <c r="AY7744"/>
    </row>
    <row r="7745" spans="47:51" x14ac:dyDescent="0.2">
      <c r="AU7745"/>
      <c r="AV7745"/>
      <c r="AW7745"/>
      <c r="AX7745"/>
      <c r="AY7745"/>
    </row>
    <row r="7746" spans="47:51" x14ac:dyDescent="0.2">
      <c r="AU7746"/>
      <c r="AV7746"/>
      <c r="AW7746"/>
      <c r="AX7746"/>
      <c r="AY7746"/>
    </row>
    <row r="7747" spans="47:51" x14ac:dyDescent="0.2">
      <c r="AU7747"/>
      <c r="AV7747"/>
      <c r="AW7747"/>
      <c r="AX7747"/>
      <c r="AY7747"/>
    </row>
    <row r="7748" spans="47:51" x14ac:dyDescent="0.2">
      <c r="AU7748"/>
      <c r="AV7748"/>
      <c r="AW7748"/>
      <c r="AX7748"/>
      <c r="AY7748"/>
    </row>
    <row r="7749" spans="47:51" x14ac:dyDescent="0.2">
      <c r="AU7749"/>
      <c r="AV7749"/>
      <c r="AW7749"/>
      <c r="AX7749"/>
      <c r="AY7749"/>
    </row>
    <row r="7750" spans="47:51" x14ac:dyDescent="0.2">
      <c r="AU7750"/>
      <c r="AV7750"/>
      <c r="AW7750"/>
      <c r="AX7750"/>
      <c r="AY7750"/>
    </row>
    <row r="7751" spans="47:51" x14ac:dyDescent="0.2">
      <c r="AU7751"/>
      <c r="AV7751"/>
      <c r="AW7751"/>
      <c r="AX7751"/>
      <c r="AY7751"/>
    </row>
    <row r="7752" spans="47:51" x14ac:dyDescent="0.2">
      <c r="AU7752"/>
      <c r="AV7752"/>
      <c r="AW7752"/>
      <c r="AX7752"/>
      <c r="AY7752"/>
    </row>
    <row r="7753" spans="47:51" x14ac:dyDescent="0.2">
      <c r="AU7753"/>
      <c r="AV7753"/>
      <c r="AW7753"/>
      <c r="AX7753"/>
      <c r="AY7753"/>
    </row>
    <row r="7754" spans="47:51" x14ac:dyDescent="0.2">
      <c r="AU7754"/>
      <c r="AV7754"/>
      <c r="AW7754"/>
      <c r="AX7754"/>
      <c r="AY7754"/>
    </row>
    <row r="7755" spans="47:51" x14ac:dyDescent="0.2">
      <c r="AU7755"/>
      <c r="AV7755"/>
      <c r="AW7755"/>
      <c r="AX7755"/>
      <c r="AY7755"/>
    </row>
    <row r="7756" spans="47:51" x14ac:dyDescent="0.2">
      <c r="AU7756"/>
      <c r="AV7756"/>
      <c r="AW7756"/>
      <c r="AX7756"/>
      <c r="AY7756"/>
    </row>
    <row r="7757" spans="47:51" x14ac:dyDescent="0.2">
      <c r="AU7757"/>
      <c r="AV7757"/>
      <c r="AW7757"/>
      <c r="AX7757"/>
      <c r="AY7757"/>
    </row>
    <row r="7758" spans="47:51" x14ac:dyDescent="0.2">
      <c r="AU7758"/>
      <c r="AV7758"/>
      <c r="AW7758"/>
      <c r="AX7758"/>
      <c r="AY7758"/>
    </row>
    <row r="7759" spans="47:51" x14ac:dyDescent="0.2">
      <c r="AU7759"/>
      <c r="AV7759"/>
      <c r="AW7759"/>
      <c r="AX7759"/>
      <c r="AY7759"/>
    </row>
    <row r="7760" spans="47:51" x14ac:dyDescent="0.2">
      <c r="AU7760"/>
      <c r="AV7760"/>
      <c r="AW7760"/>
      <c r="AX7760"/>
      <c r="AY7760"/>
    </row>
    <row r="7761" spans="47:51" x14ac:dyDescent="0.2">
      <c r="AU7761"/>
      <c r="AV7761"/>
      <c r="AW7761"/>
      <c r="AX7761"/>
      <c r="AY7761"/>
    </row>
    <row r="7762" spans="47:51" x14ac:dyDescent="0.2">
      <c r="AU7762"/>
      <c r="AV7762"/>
      <c r="AW7762"/>
      <c r="AX7762"/>
      <c r="AY7762"/>
    </row>
    <row r="7763" spans="47:51" x14ac:dyDescent="0.2">
      <c r="AU7763"/>
      <c r="AV7763"/>
      <c r="AW7763"/>
      <c r="AX7763"/>
      <c r="AY7763"/>
    </row>
    <row r="7764" spans="47:51" x14ac:dyDescent="0.2">
      <c r="AU7764"/>
      <c r="AV7764"/>
      <c r="AW7764"/>
      <c r="AX7764"/>
      <c r="AY7764"/>
    </row>
    <row r="7765" spans="47:51" x14ac:dyDescent="0.2">
      <c r="AU7765"/>
      <c r="AV7765"/>
      <c r="AW7765"/>
      <c r="AX7765"/>
      <c r="AY7765"/>
    </row>
    <row r="7766" spans="47:51" x14ac:dyDescent="0.2">
      <c r="AU7766"/>
      <c r="AV7766"/>
      <c r="AW7766"/>
      <c r="AX7766"/>
      <c r="AY7766"/>
    </row>
    <row r="7767" spans="47:51" x14ac:dyDescent="0.2">
      <c r="AU7767"/>
      <c r="AV7767"/>
      <c r="AW7767"/>
      <c r="AX7767"/>
      <c r="AY7767"/>
    </row>
    <row r="7768" spans="47:51" x14ac:dyDescent="0.2">
      <c r="AU7768"/>
      <c r="AV7768"/>
      <c r="AW7768"/>
      <c r="AX7768"/>
      <c r="AY7768"/>
    </row>
    <row r="7769" spans="47:51" x14ac:dyDescent="0.2">
      <c r="AU7769"/>
      <c r="AV7769"/>
      <c r="AW7769"/>
      <c r="AX7769"/>
      <c r="AY7769"/>
    </row>
    <row r="7770" spans="47:51" x14ac:dyDescent="0.2">
      <c r="AU7770"/>
      <c r="AV7770"/>
      <c r="AW7770"/>
      <c r="AX7770"/>
      <c r="AY7770"/>
    </row>
    <row r="7771" spans="47:51" x14ac:dyDescent="0.2">
      <c r="AU7771"/>
      <c r="AV7771"/>
      <c r="AW7771"/>
      <c r="AX7771"/>
      <c r="AY7771"/>
    </row>
    <row r="7772" spans="47:51" x14ac:dyDescent="0.2">
      <c r="AU7772"/>
      <c r="AV7772"/>
      <c r="AW7772"/>
      <c r="AX7772"/>
      <c r="AY7772"/>
    </row>
    <row r="7773" spans="47:51" x14ac:dyDescent="0.2">
      <c r="AU7773"/>
      <c r="AV7773"/>
      <c r="AW7773"/>
      <c r="AX7773"/>
      <c r="AY7773"/>
    </row>
    <row r="7774" spans="47:51" x14ac:dyDescent="0.2">
      <c r="AU7774"/>
      <c r="AV7774"/>
      <c r="AW7774"/>
      <c r="AX7774"/>
      <c r="AY7774"/>
    </row>
    <row r="7775" spans="47:51" x14ac:dyDescent="0.2">
      <c r="AU7775"/>
      <c r="AV7775"/>
      <c r="AW7775"/>
      <c r="AX7775"/>
      <c r="AY7775"/>
    </row>
    <row r="7776" spans="47:51" x14ac:dyDescent="0.2">
      <c r="AU7776"/>
      <c r="AV7776"/>
      <c r="AW7776"/>
      <c r="AX7776"/>
      <c r="AY7776"/>
    </row>
    <row r="7777" spans="47:51" x14ac:dyDescent="0.2">
      <c r="AU7777"/>
      <c r="AV7777"/>
      <c r="AW7777"/>
      <c r="AX7777"/>
      <c r="AY7777"/>
    </row>
    <row r="7778" spans="47:51" x14ac:dyDescent="0.2">
      <c r="AU7778"/>
      <c r="AV7778"/>
      <c r="AW7778"/>
      <c r="AX7778"/>
      <c r="AY7778"/>
    </row>
    <row r="7779" spans="47:51" x14ac:dyDescent="0.2">
      <c r="AU7779"/>
      <c r="AV7779"/>
      <c r="AW7779"/>
      <c r="AX7779"/>
      <c r="AY7779"/>
    </row>
    <row r="7780" spans="47:51" x14ac:dyDescent="0.2">
      <c r="AU7780"/>
      <c r="AV7780"/>
      <c r="AW7780"/>
      <c r="AX7780"/>
      <c r="AY7780"/>
    </row>
    <row r="7781" spans="47:51" x14ac:dyDescent="0.2">
      <c r="AU7781"/>
      <c r="AV7781"/>
      <c r="AW7781"/>
      <c r="AX7781"/>
      <c r="AY7781"/>
    </row>
    <row r="7782" spans="47:51" x14ac:dyDescent="0.2">
      <c r="AU7782"/>
      <c r="AV7782"/>
      <c r="AW7782"/>
      <c r="AX7782"/>
      <c r="AY7782"/>
    </row>
    <row r="7783" spans="47:51" x14ac:dyDescent="0.2">
      <c r="AU7783"/>
      <c r="AV7783"/>
      <c r="AW7783"/>
      <c r="AX7783"/>
      <c r="AY7783"/>
    </row>
    <row r="7784" spans="47:51" x14ac:dyDescent="0.2">
      <c r="AU7784"/>
      <c r="AV7784"/>
      <c r="AW7784"/>
      <c r="AX7784"/>
      <c r="AY7784"/>
    </row>
    <row r="7785" spans="47:51" x14ac:dyDescent="0.2">
      <c r="AU7785"/>
      <c r="AV7785"/>
      <c r="AW7785"/>
      <c r="AX7785"/>
      <c r="AY7785"/>
    </row>
    <row r="7786" spans="47:51" x14ac:dyDescent="0.2">
      <c r="AU7786"/>
      <c r="AV7786"/>
      <c r="AW7786"/>
      <c r="AX7786"/>
      <c r="AY7786"/>
    </row>
    <row r="7787" spans="47:51" x14ac:dyDescent="0.2">
      <c r="AU7787"/>
      <c r="AV7787"/>
      <c r="AW7787"/>
      <c r="AX7787"/>
      <c r="AY7787"/>
    </row>
    <row r="7788" spans="47:51" x14ac:dyDescent="0.2">
      <c r="AU7788"/>
      <c r="AV7788"/>
      <c r="AW7788"/>
      <c r="AX7788"/>
      <c r="AY7788"/>
    </row>
    <row r="7789" spans="47:51" x14ac:dyDescent="0.2">
      <c r="AU7789"/>
      <c r="AV7789"/>
      <c r="AW7789"/>
      <c r="AX7789"/>
      <c r="AY7789"/>
    </row>
    <row r="7790" spans="47:51" x14ac:dyDescent="0.2">
      <c r="AU7790"/>
      <c r="AV7790"/>
      <c r="AW7790"/>
      <c r="AX7790"/>
      <c r="AY7790"/>
    </row>
    <row r="7791" spans="47:51" x14ac:dyDescent="0.2">
      <c r="AU7791"/>
      <c r="AV7791"/>
      <c r="AW7791"/>
      <c r="AX7791"/>
      <c r="AY7791"/>
    </row>
    <row r="7792" spans="47:51" x14ac:dyDescent="0.2">
      <c r="AU7792"/>
      <c r="AV7792"/>
      <c r="AW7792"/>
      <c r="AX7792"/>
      <c r="AY7792"/>
    </row>
    <row r="7793" spans="47:51" x14ac:dyDescent="0.2">
      <c r="AU7793"/>
      <c r="AV7793"/>
      <c r="AW7793"/>
      <c r="AX7793"/>
      <c r="AY7793"/>
    </row>
    <row r="7794" spans="47:51" x14ac:dyDescent="0.2">
      <c r="AU7794"/>
      <c r="AV7794"/>
      <c r="AW7794"/>
      <c r="AX7794"/>
      <c r="AY7794"/>
    </row>
    <row r="7795" spans="47:51" x14ac:dyDescent="0.2">
      <c r="AU7795"/>
      <c r="AV7795"/>
      <c r="AW7795"/>
      <c r="AX7795"/>
      <c r="AY7795"/>
    </row>
    <row r="7796" spans="47:51" x14ac:dyDescent="0.2">
      <c r="AU7796"/>
      <c r="AV7796"/>
      <c r="AW7796"/>
      <c r="AX7796"/>
      <c r="AY7796"/>
    </row>
    <row r="7797" spans="47:51" x14ac:dyDescent="0.2">
      <c r="AU7797"/>
      <c r="AV7797"/>
      <c r="AW7797"/>
      <c r="AX7797"/>
      <c r="AY7797"/>
    </row>
    <row r="7798" spans="47:51" x14ac:dyDescent="0.2">
      <c r="AU7798"/>
      <c r="AV7798"/>
      <c r="AW7798"/>
      <c r="AX7798"/>
      <c r="AY7798"/>
    </row>
    <row r="7799" spans="47:51" x14ac:dyDescent="0.2">
      <c r="AU7799"/>
      <c r="AV7799"/>
      <c r="AW7799"/>
      <c r="AX7799"/>
      <c r="AY7799"/>
    </row>
    <row r="7800" spans="47:51" x14ac:dyDescent="0.2">
      <c r="AU7800"/>
      <c r="AV7800"/>
      <c r="AW7800"/>
      <c r="AX7800"/>
      <c r="AY7800"/>
    </row>
    <row r="7801" spans="47:51" x14ac:dyDescent="0.2">
      <c r="AU7801"/>
      <c r="AV7801"/>
      <c r="AW7801"/>
      <c r="AX7801"/>
      <c r="AY7801"/>
    </row>
    <row r="7802" spans="47:51" x14ac:dyDescent="0.2">
      <c r="AU7802"/>
      <c r="AV7802"/>
      <c r="AW7802"/>
      <c r="AX7802"/>
      <c r="AY7802"/>
    </row>
    <row r="7803" spans="47:51" x14ac:dyDescent="0.2">
      <c r="AU7803"/>
      <c r="AV7803"/>
      <c r="AW7803"/>
      <c r="AX7803"/>
      <c r="AY7803"/>
    </row>
    <row r="7804" spans="47:51" x14ac:dyDescent="0.2">
      <c r="AU7804"/>
      <c r="AV7804"/>
      <c r="AW7804"/>
      <c r="AX7804"/>
      <c r="AY7804"/>
    </row>
    <row r="7805" spans="47:51" x14ac:dyDescent="0.2">
      <c r="AU7805"/>
      <c r="AV7805"/>
      <c r="AW7805"/>
      <c r="AX7805"/>
      <c r="AY7805"/>
    </row>
    <row r="7806" spans="47:51" x14ac:dyDescent="0.2">
      <c r="AU7806"/>
      <c r="AV7806"/>
      <c r="AW7806"/>
      <c r="AX7806"/>
      <c r="AY7806"/>
    </row>
    <row r="7807" spans="47:51" x14ac:dyDescent="0.2">
      <c r="AU7807"/>
      <c r="AV7807"/>
      <c r="AW7807"/>
      <c r="AX7807"/>
      <c r="AY7807"/>
    </row>
    <row r="7808" spans="47:51" x14ac:dyDescent="0.2">
      <c r="AU7808"/>
      <c r="AV7808"/>
      <c r="AW7808"/>
      <c r="AX7808"/>
      <c r="AY7808"/>
    </row>
    <row r="7809" spans="47:51" x14ac:dyDescent="0.2">
      <c r="AU7809"/>
      <c r="AV7809"/>
      <c r="AW7809"/>
      <c r="AX7809"/>
      <c r="AY7809"/>
    </row>
    <row r="7810" spans="47:51" x14ac:dyDescent="0.2">
      <c r="AU7810"/>
      <c r="AV7810"/>
      <c r="AW7810"/>
      <c r="AX7810"/>
      <c r="AY7810"/>
    </row>
    <row r="7811" spans="47:51" x14ac:dyDescent="0.2">
      <c r="AU7811"/>
      <c r="AV7811"/>
      <c r="AW7811"/>
      <c r="AX7811"/>
      <c r="AY7811"/>
    </row>
    <row r="7812" spans="47:51" x14ac:dyDescent="0.2">
      <c r="AU7812"/>
      <c r="AV7812"/>
      <c r="AW7812"/>
      <c r="AX7812"/>
      <c r="AY7812"/>
    </row>
    <row r="7813" spans="47:51" x14ac:dyDescent="0.2">
      <c r="AU7813"/>
      <c r="AV7813"/>
      <c r="AW7813"/>
      <c r="AX7813"/>
      <c r="AY7813"/>
    </row>
    <row r="7814" spans="47:51" x14ac:dyDescent="0.2">
      <c r="AU7814"/>
      <c r="AV7814"/>
      <c r="AW7814"/>
      <c r="AX7814"/>
      <c r="AY7814"/>
    </row>
    <row r="7815" spans="47:51" x14ac:dyDescent="0.2">
      <c r="AU7815"/>
      <c r="AV7815"/>
      <c r="AW7815"/>
      <c r="AX7815"/>
      <c r="AY7815"/>
    </row>
    <row r="7816" spans="47:51" x14ac:dyDescent="0.2">
      <c r="AU7816"/>
      <c r="AV7816"/>
      <c r="AW7816"/>
      <c r="AX7816"/>
      <c r="AY7816"/>
    </row>
    <row r="7817" spans="47:51" x14ac:dyDescent="0.2">
      <c r="AU7817"/>
      <c r="AV7817"/>
      <c r="AW7817"/>
      <c r="AX7817"/>
      <c r="AY7817"/>
    </row>
    <row r="7818" spans="47:51" x14ac:dyDescent="0.2">
      <c r="AU7818"/>
      <c r="AV7818"/>
      <c r="AW7818"/>
      <c r="AX7818"/>
      <c r="AY7818"/>
    </row>
    <row r="7819" spans="47:51" x14ac:dyDescent="0.2">
      <c r="AU7819"/>
      <c r="AV7819"/>
      <c r="AW7819"/>
      <c r="AX7819"/>
      <c r="AY7819"/>
    </row>
    <row r="7820" spans="47:51" x14ac:dyDescent="0.2">
      <c r="AU7820"/>
      <c r="AV7820"/>
      <c r="AW7820"/>
      <c r="AX7820"/>
      <c r="AY7820"/>
    </row>
    <row r="7821" spans="47:51" x14ac:dyDescent="0.2">
      <c r="AU7821"/>
      <c r="AV7821"/>
      <c r="AW7821"/>
      <c r="AX7821"/>
      <c r="AY7821"/>
    </row>
    <row r="7822" spans="47:51" x14ac:dyDescent="0.2">
      <c r="AU7822"/>
      <c r="AV7822"/>
      <c r="AW7822"/>
      <c r="AX7822"/>
      <c r="AY7822"/>
    </row>
    <row r="7823" spans="47:51" x14ac:dyDescent="0.2">
      <c r="AU7823"/>
      <c r="AV7823"/>
      <c r="AW7823"/>
      <c r="AX7823"/>
      <c r="AY7823"/>
    </row>
    <row r="7824" spans="47:51" x14ac:dyDescent="0.2">
      <c r="AU7824"/>
      <c r="AV7824"/>
      <c r="AW7824"/>
      <c r="AX7824"/>
      <c r="AY7824"/>
    </row>
    <row r="7825" spans="47:51" x14ac:dyDescent="0.2">
      <c r="AU7825"/>
      <c r="AV7825"/>
      <c r="AW7825"/>
      <c r="AX7825"/>
      <c r="AY7825"/>
    </row>
    <row r="7826" spans="47:51" x14ac:dyDescent="0.2">
      <c r="AU7826"/>
      <c r="AV7826"/>
      <c r="AW7826"/>
      <c r="AX7826"/>
      <c r="AY7826"/>
    </row>
    <row r="7827" spans="47:51" x14ac:dyDescent="0.2">
      <c r="AU7827"/>
      <c r="AV7827"/>
      <c r="AW7827"/>
      <c r="AX7827"/>
      <c r="AY7827"/>
    </row>
    <row r="7828" spans="47:51" x14ac:dyDescent="0.2">
      <c r="AU7828"/>
      <c r="AV7828"/>
      <c r="AW7828"/>
      <c r="AX7828"/>
      <c r="AY7828"/>
    </row>
    <row r="7829" spans="47:51" x14ac:dyDescent="0.2">
      <c r="AU7829"/>
      <c r="AV7829"/>
      <c r="AW7829"/>
      <c r="AX7829"/>
      <c r="AY7829"/>
    </row>
    <row r="7830" spans="47:51" x14ac:dyDescent="0.2">
      <c r="AU7830"/>
      <c r="AV7830"/>
      <c r="AW7830"/>
      <c r="AX7830"/>
      <c r="AY7830"/>
    </row>
    <row r="7831" spans="47:51" x14ac:dyDescent="0.2">
      <c r="AU7831"/>
      <c r="AV7831"/>
      <c r="AW7831"/>
      <c r="AX7831"/>
      <c r="AY7831"/>
    </row>
    <row r="7832" spans="47:51" x14ac:dyDescent="0.2">
      <c r="AU7832"/>
      <c r="AV7832"/>
      <c r="AW7832"/>
      <c r="AX7832"/>
      <c r="AY7832"/>
    </row>
    <row r="7833" spans="47:51" x14ac:dyDescent="0.2">
      <c r="AU7833"/>
      <c r="AV7833"/>
      <c r="AW7833"/>
      <c r="AX7833"/>
      <c r="AY7833"/>
    </row>
    <row r="7834" spans="47:51" x14ac:dyDescent="0.2">
      <c r="AU7834"/>
      <c r="AV7834"/>
      <c r="AW7834"/>
      <c r="AX7834"/>
      <c r="AY7834"/>
    </row>
    <row r="7835" spans="47:51" x14ac:dyDescent="0.2">
      <c r="AU7835"/>
      <c r="AV7835"/>
      <c r="AW7835"/>
      <c r="AX7835"/>
      <c r="AY7835"/>
    </row>
    <row r="7836" spans="47:51" x14ac:dyDescent="0.2">
      <c r="AU7836"/>
      <c r="AV7836"/>
      <c r="AW7836"/>
      <c r="AX7836"/>
      <c r="AY7836"/>
    </row>
    <row r="7837" spans="47:51" x14ac:dyDescent="0.2">
      <c r="AU7837"/>
      <c r="AV7837"/>
      <c r="AW7837"/>
      <c r="AX7837"/>
      <c r="AY7837"/>
    </row>
    <row r="7838" spans="47:51" x14ac:dyDescent="0.2">
      <c r="AU7838"/>
      <c r="AV7838"/>
      <c r="AW7838"/>
      <c r="AX7838"/>
      <c r="AY7838"/>
    </row>
    <row r="7839" spans="47:51" x14ac:dyDescent="0.2">
      <c r="AU7839"/>
      <c r="AV7839"/>
      <c r="AW7839"/>
      <c r="AX7839"/>
      <c r="AY7839"/>
    </row>
    <row r="7840" spans="47:51" x14ac:dyDescent="0.2">
      <c r="AU7840"/>
      <c r="AV7840"/>
      <c r="AW7840"/>
      <c r="AX7840"/>
      <c r="AY7840"/>
    </row>
    <row r="7841" spans="47:51" x14ac:dyDescent="0.2">
      <c r="AU7841"/>
      <c r="AV7841"/>
      <c r="AW7841"/>
      <c r="AX7841"/>
      <c r="AY7841"/>
    </row>
    <row r="7842" spans="47:51" x14ac:dyDescent="0.2">
      <c r="AU7842"/>
      <c r="AV7842"/>
      <c r="AW7842"/>
      <c r="AX7842"/>
      <c r="AY7842"/>
    </row>
    <row r="7843" spans="47:51" x14ac:dyDescent="0.2">
      <c r="AU7843"/>
      <c r="AV7843"/>
      <c r="AW7843"/>
      <c r="AX7843"/>
      <c r="AY7843"/>
    </row>
    <row r="7844" spans="47:51" x14ac:dyDescent="0.2">
      <c r="AU7844"/>
      <c r="AV7844"/>
      <c r="AW7844"/>
      <c r="AX7844"/>
      <c r="AY7844"/>
    </row>
    <row r="7845" spans="47:51" x14ac:dyDescent="0.2">
      <c r="AU7845"/>
      <c r="AV7845"/>
      <c r="AW7845"/>
      <c r="AX7845"/>
      <c r="AY7845"/>
    </row>
    <row r="7846" spans="47:51" x14ac:dyDescent="0.2">
      <c r="AU7846"/>
      <c r="AV7846"/>
      <c r="AW7846"/>
      <c r="AX7846"/>
      <c r="AY7846"/>
    </row>
    <row r="7847" spans="47:51" x14ac:dyDescent="0.2">
      <c r="AU7847"/>
      <c r="AV7847"/>
      <c r="AW7847"/>
      <c r="AX7847"/>
      <c r="AY7847"/>
    </row>
    <row r="7848" spans="47:51" x14ac:dyDescent="0.2">
      <c r="AU7848"/>
      <c r="AV7848"/>
      <c r="AW7848"/>
      <c r="AX7848"/>
      <c r="AY7848"/>
    </row>
    <row r="7849" spans="47:51" x14ac:dyDescent="0.2">
      <c r="AU7849"/>
      <c r="AV7849"/>
      <c r="AW7849"/>
      <c r="AX7849"/>
      <c r="AY7849"/>
    </row>
    <row r="7850" spans="47:51" x14ac:dyDescent="0.2">
      <c r="AU7850"/>
      <c r="AV7850"/>
      <c r="AW7850"/>
      <c r="AX7850"/>
      <c r="AY7850"/>
    </row>
    <row r="7851" spans="47:51" x14ac:dyDescent="0.2">
      <c r="AU7851"/>
      <c r="AV7851"/>
      <c r="AW7851"/>
      <c r="AX7851"/>
      <c r="AY7851"/>
    </row>
    <row r="7852" spans="47:51" x14ac:dyDescent="0.2">
      <c r="AU7852"/>
      <c r="AV7852"/>
      <c r="AW7852"/>
      <c r="AX7852"/>
      <c r="AY7852"/>
    </row>
    <row r="7853" spans="47:51" x14ac:dyDescent="0.2">
      <c r="AU7853"/>
      <c r="AV7853"/>
      <c r="AW7853"/>
      <c r="AX7853"/>
      <c r="AY7853"/>
    </row>
    <row r="7854" spans="47:51" x14ac:dyDescent="0.2">
      <c r="AU7854"/>
      <c r="AV7854"/>
      <c r="AW7854"/>
      <c r="AX7854"/>
      <c r="AY7854"/>
    </row>
    <row r="7855" spans="47:51" x14ac:dyDescent="0.2">
      <c r="AU7855"/>
      <c r="AV7855"/>
      <c r="AW7855"/>
      <c r="AX7855"/>
      <c r="AY7855"/>
    </row>
    <row r="7856" spans="47:51" x14ac:dyDescent="0.2">
      <c r="AU7856"/>
      <c r="AV7856"/>
      <c r="AW7856"/>
      <c r="AX7856"/>
      <c r="AY7856"/>
    </row>
    <row r="7857" spans="47:51" x14ac:dyDescent="0.2">
      <c r="AU7857"/>
      <c r="AV7857"/>
      <c r="AW7857"/>
      <c r="AX7857"/>
      <c r="AY7857"/>
    </row>
    <row r="7858" spans="47:51" x14ac:dyDescent="0.2">
      <c r="AU7858"/>
      <c r="AV7858"/>
      <c r="AW7858"/>
      <c r="AX7858"/>
      <c r="AY7858"/>
    </row>
    <row r="7859" spans="47:51" x14ac:dyDescent="0.2">
      <c r="AU7859"/>
      <c r="AV7859"/>
      <c r="AW7859"/>
      <c r="AX7859"/>
      <c r="AY7859"/>
    </row>
    <row r="7860" spans="47:51" x14ac:dyDescent="0.2">
      <c r="AU7860"/>
      <c r="AV7860"/>
      <c r="AW7860"/>
      <c r="AX7860"/>
      <c r="AY7860"/>
    </row>
    <row r="7861" spans="47:51" x14ac:dyDescent="0.2">
      <c r="AU7861"/>
      <c r="AV7861"/>
      <c r="AW7861"/>
      <c r="AX7861"/>
      <c r="AY7861"/>
    </row>
    <row r="7862" spans="47:51" x14ac:dyDescent="0.2">
      <c r="AU7862"/>
      <c r="AV7862"/>
      <c r="AW7862"/>
      <c r="AX7862"/>
      <c r="AY7862"/>
    </row>
    <row r="7863" spans="47:51" x14ac:dyDescent="0.2">
      <c r="AU7863"/>
      <c r="AV7863"/>
      <c r="AW7863"/>
      <c r="AX7863"/>
      <c r="AY7863"/>
    </row>
    <row r="7864" spans="47:51" x14ac:dyDescent="0.2">
      <c r="AU7864"/>
      <c r="AV7864"/>
      <c r="AW7864"/>
      <c r="AX7864"/>
      <c r="AY7864"/>
    </row>
    <row r="7865" spans="47:51" x14ac:dyDescent="0.2">
      <c r="AU7865"/>
      <c r="AV7865"/>
      <c r="AW7865"/>
      <c r="AX7865"/>
      <c r="AY7865"/>
    </row>
    <row r="7866" spans="47:51" x14ac:dyDescent="0.2">
      <c r="AU7866"/>
      <c r="AV7866"/>
      <c r="AW7866"/>
      <c r="AX7866"/>
      <c r="AY7866"/>
    </row>
    <row r="7867" spans="47:51" x14ac:dyDescent="0.2">
      <c r="AU7867"/>
      <c r="AV7867"/>
      <c r="AW7867"/>
      <c r="AX7867"/>
      <c r="AY7867"/>
    </row>
    <row r="7868" spans="47:51" x14ac:dyDescent="0.2">
      <c r="AU7868"/>
      <c r="AV7868"/>
      <c r="AW7868"/>
      <c r="AX7868"/>
      <c r="AY7868"/>
    </row>
    <row r="7869" spans="47:51" x14ac:dyDescent="0.2">
      <c r="AU7869"/>
      <c r="AV7869"/>
      <c r="AW7869"/>
      <c r="AX7869"/>
      <c r="AY7869"/>
    </row>
    <row r="7870" spans="47:51" x14ac:dyDescent="0.2">
      <c r="AU7870"/>
      <c r="AV7870"/>
      <c r="AW7870"/>
      <c r="AX7870"/>
      <c r="AY7870"/>
    </row>
    <row r="7871" spans="47:51" x14ac:dyDescent="0.2">
      <c r="AU7871"/>
      <c r="AV7871"/>
      <c r="AW7871"/>
      <c r="AX7871"/>
      <c r="AY7871"/>
    </row>
    <row r="7872" spans="47:51" x14ac:dyDescent="0.2">
      <c r="AU7872"/>
      <c r="AV7872"/>
      <c r="AW7872"/>
      <c r="AX7872"/>
      <c r="AY7872"/>
    </row>
    <row r="7873" spans="47:51" x14ac:dyDescent="0.2">
      <c r="AU7873"/>
      <c r="AV7873"/>
      <c r="AW7873"/>
      <c r="AX7873"/>
      <c r="AY7873"/>
    </row>
    <row r="7874" spans="47:51" x14ac:dyDescent="0.2">
      <c r="AU7874"/>
      <c r="AV7874"/>
      <c r="AW7874"/>
      <c r="AX7874"/>
      <c r="AY7874"/>
    </row>
    <row r="7875" spans="47:51" x14ac:dyDescent="0.2">
      <c r="AU7875"/>
      <c r="AV7875"/>
      <c r="AW7875"/>
      <c r="AX7875"/>
      <c r="AY7875"/>
    </row>
    <row r="7876" spans="47:51" x14ac:dyDescent="0.2">
      <c r="AU7876"/>
      <c r="AV7876"/>
      <c r="AW7876"/>
      <c r="AX7876"/>
      <c r="AY7876"/>
    </row>
    <row r="7877" spans="47:51" x14ac:dyDescent="0.2">
      <c r="AU7877"/>
      <c r="AV7877"/>
      <c r="AW7877"/>
      <c r="AX7877"/>
      <c r="AY7877"/>
    </row>
    <row r="7878" spans="47:51" x14ac:dyDescent="0.2">
      <c r="AU7878"/>
      <c r="AV7878"/>
      <c r="AW7878"/>
      <c r="AX7878"/>
      <c r="AY7878"/>
    </row>
    <row r="7879" spans="47:51" x14ac:dyDescent="0.2">
      <c r="AU7879"/>
      <c r="AV7879"/>
      <c r="AW7879"/>
      <c r="AX7879"/>
      <c r="AY7879"/>
    </row>
    <row r="7880" spans="47:51" x14ac:dyDescent="0.2">
      <c r="AU7880"/>
      <c r="AV7880"/>
      <c r="AW7880"/>
      <c r="AX7880"/>
      <c r="AY7880"/>
    </row>
    <row r="7881" spans="47:51" x14ac:dyDescent="0.2">
      <c r="AU7881"/>
      <c r="AV7881"/>
      <c r="AW7881"/>
      <c r="AX7881"/>
      <c r="AY7881"/>
    </row>
    <row r="7882" spans="47:51" x14ac:dyDescent="0.2">
      <c r="AU7882"/>
      <c r="AV7882"/>
      <c r="AW7882"/>
      <c r="AX7882"/>
      <c r="AY7882"/>
    </row>
    <row r="7883" spans="47:51" x14ac:dyDescent="0.2">
      <c r="AU7883"/>
      <c r="AV7883"/>
      <c r="AW7883"/>
      <c r="AX7883"/>
      <c r="AY7883"/>
    </row>
    <row r="7884" spans="47:51" x14ac:dyDescent="0.2">
      <c r="AU7884"/>
      <c r="AV7884"/>
      <c r="AW7884"/>
      <c r="AX7884"/>
      <c r="AY7884"/>
    </row>
    <row r="7885" spans="47:51" x14ac:dyDescent="0.2">
      <c r="AU7885"/>
      <c r="AV7885"/>
      <c r="AW7885"/>
      <c r="AX7885"/>
      <c r="AY7885"/>
    </row>
    <row r="7886" spans="47:51" x14ac:dyDescent="0.2">
      <c r="AU7886"/>
      <c r="AV7886"/>
      <c r="AW7886"/>
      <c r="AX7886"/>
      <c r="AY7886"/>
    </row>
    <row r="7887" spans="47:51" x14ac:dyDescent="0.2">
      <c r="AU7887"/>
      <c r="AV7887"/>
      <c r="AW7887"/>
      <c r="AX7887"/>
      <c r="AY7887"/>
    </row>
    <row r="7888" spans="47:51" x14ac:dyDescent="0.2">
      <c r="AU7888"/>
      <c r="AV7888"/>
      <c r="AW7888"/>
      <c r="AX7888"/>
      <c r="AY7888"/>
    </row>
    <row r="7889" spans="47:51" x14ac:dyDescent="0.2">
      <c r="AU7889"/>
      <c r="AV7889"/>
      <c r="AW7889"/>
      <c r="AX7889"/>
      <c r="AY7889"/>
    </row>
    <row r="7890" spans="47:51" x14ac:dyDescent="0.2">
      <c r="AU7890"/>
      <c r="AV7890"/>
      <c r="AW7890"/>
      <c r="AX7890"/>
      <c r="AY7890"/>
    </row>
    <row r="7891" spans="47:51" x14ac:dyDescent="0.2">
      <c r="AU7891"/>
      <c r="AV7891"/>
      <c r="AW7891"/>
      <c r="AX7891"/>
      <c r="AY7891"/>
    </row>
    <row r="7892" spans="47:51" x14ac:dyDescent="0.2">
      <c r="AU7892"/>
      <c r="AV7892"/>
      <c r="AW7892"/>
      <c r="AX7892"/>
      <c r="AY7892"/>
    </row>
    <row r="7893" spans="47:51" x14ac:dyDescent="0.2">
      <c r="AU7893"/>
      <c r="AV7893"/>
      <c r="AW7893"/>
      <c r="AX7893"/>
      <c r="AY7893"/>
    </row>
    <row r="7894" spans="47:51" x14ac:dyDescent="0.2">
      <c r="AU7894"/>
      <c r="AV7894"/>
      <c r="AW7894"/>
      <c r="AX7894"/>
      <c r="AY7894"/>
    </row>
    <row r="7895" spans="47:51" x14ac:dyDescent="0.2">
      <c r="AU7895"/>
      <c r="AV7895"/>
      <c r="AW7895"/>
      <c r="AX7895"/>
      <c r="AY7895"/>
    </row>
    <row r="7896" spans="47:51" x14ac:dyDescent="0.2">
      <c r="AU7896"/>
      <c r="AV7896"/>
      <c r="AW7896"/>
      <c r="AX7896"/>
      <c r="AY7896"/>
    </row>
    <row r="7897" spans="47:51" x14ac:dyDescent="0.2">
      <c r="AU7897"/>
      <c r="AV7897"/>
      <c r="AW7897"/>
      <c r="AX7897"/>
      <c r="AY7897"/>
    </row>
    <row r="7898" spans="47:51" x14ac:dyDescent="0.2">
      <c r="AU7898"/>
      <c r="AV7898"/>
      <c r="AW7898"/>
      <c r="AX7898"/>
      <c r="AY7898"/>
    </row>
    <row r="7899" spans="47:51" x14ac:dyDescent="0.2">
      <c r="AU7899"/>
      <c r="AV7899"/>
      <c r="AW7899"/>
      <c r="AX7899"/>
      <c r="AY7899"/>
    </row>
    <row r="7900" spans="47:51" x14ac:dyDescent="0.2">
      <c r="AU7900"/>
      <c r="AV7900"/>
      <c r="AW7900"/>
      <c r="AX7900"/>
      <c r="AY7900"/>
    </row>
    <row r="7901" spans="47:51" x14ac:dyDescent="0.2">
      <c r="AU7901"/>
      <c r="AV7901"/>
      <c r="AW7901"/>
      <c r="AX7901"/>
      <c r="AY7901"/>
    </row>
    <row r="7902" spans="47:51" x14ac:dyDescent="0.2">
      <c r="AU7902"/>
      <c r="AV7902"/>
      <c r="AW7902"/>
      <c r="AX7902"/>
      <c r="AY7902"/>
    </row>
    <row r="7903" spans="47:51" x14ac:dyDescent="0.2">
      <c r="AU7903"/>
      <c r="AV7903"/>
      <c r="AW7903"/>
      <c r="AX7903"/>
      <c r="AY7903"/>
    </row>
    <row r="7904" spans="47:51" x14ac:dyDescent="0.2">
      <c r="AU7904"/>
      <c r="AV7904"/>
      <c r="AW7904"/>
      <c r="AX7904"/>
      <c r="AY7904"/>
    </row>
    <row r="7905" spans="47:51" x14ac:dyDescent="0.2">
      <c r="AU7905"/>
      <c r="AV7905"/>
      <c r="AW7905"/>
      <c r="AX7905"/>
      <c r="AY7905"/>
    </row>
    <row r="7906" spans="47:51" x14ac:dyDescent="0.2">
      <c r="AU7906"/>
      <c r="AV7906"/>
      <c r="AW7906"/>
      <c r="AX7906"/>
      <c r="AY7906"/>
    </row>
    <row r="7907" spans="47:51" x14ac:dyDescent="0.2">
      <c r="AU7907"/>
      <c r="AV7907"/>
      <c r="AW7907"/>
      <c r="AX7907"/>
      <c r="AY7907"/>
    </row>
    <row r="7908" spans="47:51" x14ac:dyDescent="0.2">
      <c r="AU7908"/>
      <c r="AV7908"/>
      <c r="AW7908"/>
      <c r="AX7908"/>
      <c r="AY7908"/>
    </row>
    <row r="7909" spans="47:51" x14ac:dyDescent="0.2">
      <c r="AU7909"/>
      <c r="AV7909"/>
      <c r="AW7909"/>
      <c r="AX7909"/>
      <c r="AY7909"/>
    </row>
    <row r="7910" spans="47:51" x14ac:dyDescent="0.2">
      <c r="AU7910"/>
      <c r="AV7910"/>
      <c r="AW7910"/>
      <c r="AX7910"/>
      <c r="AY7910"/>
    </row>
    <row r="7911" spans="47:51" x14ac:dyDescent="0.2">
      <c r="AU7911"/>
      <c r="AV7911"/>
      <c r="AW7911"/>
      <c r="AX7911"/>
      <c r="AY7911"/>
    </row>
    <row r="7912" spans="47:51" x14ac:dyDescent="0.2">
      <c r="AU7912"/>
      <c r="AV7912"/>
      <c r="AW7912"/>
      <c r="AX7912"/>
      <c r="AY7912"/>
    </row>
    <row r="7913" spans="47:51" x14ac:dyDescent="0.2">
      <c r="AU7913"/>
      <c r="AV7913"/>
      <c r="AW7913"/>
      <c r="AX7913"/>
      <c r="AY7913"/>
    </row>
    <row r="7914" spans="47:51" x14ac:dyDescent="0.2">
      <c r="AU7914"/>
      <c r="AV7914"/>
      <c r="AW7914"/>
      <c r="AX7914"/>
      <c r="AY7914"/>
    </row>
    <row r="7915" spans="47:51" x14ac:dyDescent="0.2">
      <c r="AU7915"/>
      <c r="AV7915"/>
      <c r="AW7915"/>
      <c r="AX7915"/>
      <c r="AY7915"/>
    </row>
    <row r="7916" spans="47:51" x14ac:dyDescent="0.2">
      <c r="AU7916"/>
      <c r="AV7916"/>
      <c r="AW7916"/>
      <c r="AX7916"/>
      <c r="AY7916"/>
    </row>
    <row r="7917" spans="47:51" x14ac:dyDescent="0.2">
      <c r="AU7917"/>
      <c r="AV7917"/>
      <c r="AW7917"/>
      <c r="AX7917"/>
      <c r="AY7917"/>
    </row>
    <row r="7918" spans="47:51" x14ac:dyDescent="0.2">
      <c r="AU7918"/>
      <c r="AV7918"/>
      <c r="AW7918"/>
      <c r="AX7918"/>
      <c r="AY7918"/>
    </row>
    <row r="7919" spans="47:51" x14ac:dyDescent="0.2">
      <c r="AU7919"/>
      <c r="AV7919"/>
      <c r="AW7919"/>
      <c r="AX7919"/>
      <c r="AY7919"/>
    </row>
    <row r="7920" spans="47:51" x14ac:dyDescent="0.2">
      <c r="AU7920"/>
      <c r="AV7920"/>
      <c r="AW7920"/>
      <c r="AX7920"/>
      <c r="AY7920"/>
    </row>
    <row r="7921" spans="47:51" x14ac:dyDescent="0.2">
      <c r="AU7921"/>
      <c r="AV7921"/>
      <c r="AW7921"/>
      <c r="AX7921"/>
      <c r="AY7921"/>
    </row>
    <row r="7922" spans="47:51" x14ac:dyDescent="0.2">
      <c r="AU7922"/>
      <c r="AV7922"/>
      <c r="AW7922"/>
      <c r="AX7922"/>
      <c r="AY7922"/>
    </row>
    <row r="7923" spans="47:51" x14ac:dyDescent="0.2">
      <c r="AU7923"/>
      <c r="AV7923"/>
      <c r="AW7923"/>
      <c r="AX7923"/>
      <c r="AY7923"/>
    </row>
    <row r="7924" spans="47:51" x14ac:dyDescent="0.2">
      <c r="AU7924"/>
      <c r="AV7924"/>
      <c r="AW7924"/>
      <c r="AX7924"/>
      <c r="AY7924"/>
    </row>
    <row r="7925" spans="47:51" x14ac:dyDescent="0.2">
      <c r="AU7925"/>
      <c r="AV7925"/>
      <c r="AW7925"/>
      <c r="AX7925"/>
      <c r="AY7925"/>
    </row>
    <row r="7926" spans="47:51" x14ac:dyDescent="0.2">
      <c r="AU7926"/>
      <c r="AV7926"/>
      <c r="AW7926"/>
      <c r="AX7926"/>
      <c r="AY7926"/>
    </row>
    <row r="7927" spans="47:51" x14ac:dyDescent="0.2">
      <c r="AU7927"/>
      <c r="AV7927"/>
      <c r="AW7927"/>
      <c r="AX7927"/>
      <c r="AY7927"/>
    </row>
    <row r="7928" spans="47:51" x14ac:dyDescent="0.2">
      <c r="AU7928"/>
      <c r="AV7928"/>
      <c r="AW7928"/>
      <c r="AX7928"/>
      <c r="AY7928"/>
    </row>
    <row r="7929" spans="47:51" x14ac:dyDescent="0.2">
      <c r="AU7929"/>
      <c r="AV7929"/>
      <c r="AW7929"/>
      <c r="AX7929"/>
      <c r="AY7929"/>
    </row>
    <row r="7930" spans="47:51" x14ac:dyDescent="0.2">
      <c r="AU7930"/>
      <c r="AV7930"/>
      <c r="AW7930"/>
      <c r="AX7930"/>
      <c r="AY7930"/>
    </row>
    <row r="7931" spans="47:51" x14ac:dyDescent="0.2">
      <c r="AU7931"/>
      <c r="AV7931"/>
      <c r="AW7931"/>
      <c r="AX7931"/>
      <c r="AY7931"/>
    </row>
    <row r="7932" spans="47:51" x14ac:dyDescent="0.2">
      <c r="AU7932"/>
      <c r="AV7932"/>
      <c r="AW7932"/>
      <c r="AX7932"/>
      <c r="AY7932"/>
    </row>
    <row r="7933" spans="47:51" x14ac:dyDescent="0.2">
      <c r="AU7933"/>
      <c r="AV7933"/>
      <c r="AW7933"/>
      <c r="AX7933"/>
      <c r="AY7933"/>
    </row>
    <row r="7934" spans="47:51" x14ac:dyDescent="0.2">
      <c r="AU7934"/>
      <c r="AV7934"/>
      <c r="AW7934"/>
      <c r="AX7934"/>
      <c r="AY7934"/>
    </row>
    <row r="7935" spans="47:51" x14ac:dyDescent="0.2">
      <c r="AU7935"/>
      <c r="AV7935"/>
      <c r="AW7935"/>
      <c r="AX7935"/>
      <c r="AY7935"/>
    </row>
    <row r="7936" spans="47:51" x14ac:dyDescent="0.2">
      <c r="AU7936"/>
      <c r="AV7936"/>
      <c r="AW7936"/>
      <c r="AX7936"/>
      <c r="AY7936"/>
    </row>
    <row r="7937" spans="47:51" x14ac:dyDescent="0.2">
      <c r="AU7937"/>
      <c r="AV7937"/>
      <c r="AW7937"/>
      <c r="AX7937"/>
      <c r="AY7937"/>
    </row>
    <row r="7938" spans="47:51" x14ac:dyDescent="0.2">
      <c r="AU7938"/>
      <c r="AV7938"/>
      <c r="AW7938"/>
      <c r="AX7938"/>
      <c r="AY7938"/>
    </row>
    <row r="7939" spans="47:51" x14ac:dyDescent="0.2">
      <c r="AU7939"/>
      <c r="AV7939"/>
      <c r="AW7939"/>
      <c r="AX7939"/>
      <c r="AY7939"/>
    </row>
    <row r="7940" spans="47:51" x14ac:dyDescent="0.2">
      <c r="AU7940"/>
      <c r="AV7940"/>
      <c r="AW7940"/>
      <c r="AX7940"/>
      <c r="AY7940"/>
    </row>
    <row r="7941" spans="47:51" x14ac:dyDescent="0.2">
      <c r="AU7941"/>
      <c r="AV7941"/>
      <c r="AW7941"/>
      <c r="AX7941"/>
      <c r="AY7941"/>
    </row>
    <row r="7942" spans="47:51" x14ac:dyDescent="0.2">
      <c r="AU7942"/>
      <c r="AV7942"/>
      <c r="AW7942"/>
      <c r="AX7942"/>
      <c r="AY7942"/>
    </row>
    <row r="7943" spans="47:51" x14ac:dyDescent="0.2">
      <c r="AU7943"/>
      <c r="AV7943"/>
      <c r="AW7943"/>
      <c r="AX7943"/>
      <c r="AY7943"/>
    </row>
    <row r="7944" spans="47:51" x14ac:dyDescent="0.2">
      <c r="AU7944"/>
      <c r="AV7944"/>
      <c r="AW7944"/>
      <c r="AX7944"/>
      <c r="AY7944"/>
    </row>
    <row r="7945" spans="47:51" x14ac:dyDescent="0.2">
      <c r="AU7945"/>
      <c r="AV7945"/>
      <c r="AW7945"/>
      <c r="AX7945"/>
      <c r="AY7945"/>
    </row>
    <row r="7946" spans="47:51" x14ac:dyDescent="0.2">
      <c r="AU7946"/>
      <c r="AV7946"/>
      <c r="AW7946"/>
      <c r="AX7946"/>
      <c r="AY7946"/>
    </row>
    <row r="7947" spans="47:51" x14ac:dyDescent="0.2">
      <c r="AU7947"/>
      <c r="AV7947"/>
      <c r="AW7947"/>
      <c r="AX7947"/>
      <c r="AY7947"/>
    </row>
    <row r="7948" spans="47:51" x14ac:dyDescent="0.2">
      <c r="AU7948"/>
      <c r="AV7948"/>
      <c r="AW7948"/>
      <c r="AX7948"/>
      <c r="AY7948"/>
    </row>
    <row r="7949" spans="47:51" x14ac:dyDescent="0.2">
      <c r="AU7949"/>
      <c r="AV7949"/>
      <c r="AW7949"/>
      <c r="AX7949"/>
      <c r="AY7949"/>
    </row>
    <row r="7950" spans="47:51" x14ac:dyDescent="0.2">
      <c r="AU7950"/>
      <c r="AV7950"/>
      <c r="AW7950"/>
      <c r="AX7950"/>
      <c r="AY7950"/>
    </row>
    <row r="7951" spans="47:51" x14ac:dyDescent="0.2">
      <c r="AU7951"/>
      <c r="AV7951"/>
      <c r="AW7951"/>
      <c r="AX7951"/>
      <c r="AY7951"/>
    </row>
    <row r="7952" spans="47:51" x14ac:dyDescent="0.2">
      <c r="AU7952"/>
      <c r="AV7952"/>
      <c r="AW7952"/>
      <c r="AX7952"/>
      <c r="AY7952"/>
    </row>
    <row r="7953" spans="47:51" x14ac:dyDescent="0.2">
      <c r="AU7953"/>
      <c r="AV7953"/>
      <c r="AW7953"/>
      <c r="AX7953"/>
      <c r="AY7953"/>
    </row>
    <row r="7954" spans="47:51" x14ac:dyDescent="0.2">
      <c r="AU7954"/>
      <c r="AV7954"/>
      <c r="AW7954"/>
      <c r="AX7954"/>
      <c r="AY7954"/>
    </row>
    <row r="7955" spans="47:51" x14ac:dyDescent="0.2">
      <c r="AU7955"/>
      <c r="AV7955"/>
      <c r="AW7955"/>
      <c r="AX7955"/>
      <c r="AY7955"/>
    </row>
    <row r="7956" spans="47:51" x14ac:dyDescent="0.2">
      <c r="AU7956"/>
      <c r="AV7956"/>
      <c r="AW7956"/>
      <c r="AX7956"/>
      <c r="AY7956"/>
    </row>
    <row r="7957" spans="47:51" x14ac:dyDescent="0.2">
      <c r="AU7957"/>
      <c r="AV7957"/>
      <c r="AW7957"/>
      <c r="AX7957"/>
      <c r="AY7957"/>
    </row>
    <row r="7958" spans="47:51" x14ac:dyDescent="0.2">
      <c r="AU7958"/>
      <c r="AV7958"/>
      <c r="AW7958"/>
      <c r="AX7958"/>
      <c r="AY7958"/>
    </row>
    <row r="7959" spans="47:51" x14ac:dyDescent="0.2">
      <c r="AU7959"/>
      <c r="AV7959"/>
      <c r="AW7959"/>
      <c r="AX7959"/>
      <c r="AY7959"/>
    </row>
    <row r="7960" spans="47:51" x14ac:dyDescent="0.2">
      <c r="AU7960"/>
      <c r="AV7960"/>
      <c r="AW7960"/>
      <c r="AX7960"/>
      <c r="AY7960"/>
    </row>
    <row r="7961" spans="47:51" x14ac:dyDescent="0.2">
      <c r="AU7961"/>
      <c r="AV7961"/>
      <c r="AW7961"/>
      <c r="AX7961"/>
      <c r="AY7961"/>
    </row>
    <row r="7962" spans="47:51" x14ac:dyDescent="0.2">
      <c r="AU7962"/>
      <c r="AV7962"/>
      <c r="AW7962"/>
      <c r="AX7962"/>
      <c r="AY7962"/>
    </row>
    <row r="7963" spans="47:51" x14ac:dyDescent="0.2">
      <c r="AU7963"/>
      <c r="AV7963"/>
      <c r="AW7963"/>
      <c r="AX7963"/>
      <c r="AY7963"/>
    </row>
    <row r="7964" spans="47:51" x14ac:dyDescent="0.2">
      <c r="AU7964"/>
      <c r="AV7964"/>
      <c r="AW7964"/>
      <c r="AX7964"/>
      <c r="AY7964"/>
    </row>
    <row r="7965" spans="47:51" x14ac:dyDescent="0.2">
      <c r="AU7965"/>
      <c r="AV7965"/>
      <c r="AW7965"/>
      <c r="AX7965"/>
      <c r="AY7965"/>
    </row>
    <row r="7966" spans="47:51" x14ac:dyDescent="0.2">
      <c r="AU7966"/>
      <c r="AV7966"/>
      <c r="AW7966"/>
      <c r="AX7966"/>
      <c r="AY7966"/>
    </row>
    <row r="7967" spans="47:51" x14ac:dyDescent="0.2">
      <c r="AU7967"/>
      <c r="AV7967"/>
      <c r="AW7967"/>
      <c r="AX7967"/>
      <c r="AY7967"/>
    </row>
    <row r="7968" spans="47:51" x14ac:dyDescent="0.2">
      <c r="AU7968"/>
      <c r="AV7968"/>
      <c r="AW7968"/>
      <c r="AX7968"/>
      <c r="AY7968"/>
    </row>
    <row r="7969" spans="47:51" x14ac:dyDescent="0.2">
      <c r="AU7969"/>
      <c r="AV7969"/>
      <c r="AW7969"/>
      <c r="AX7969"/>
      <c r="AY7969"/>
    </row>
    <row r="7970" spans="47:51" x14ac:dyDescent="0.2">
      <c r="AU7970"/>
      <c r="AV7970"/>
      <c r="AW7970"/>
      <c r="AX7970"/>
      <c r="AY7970"/>
    </row>
    <row r="7971" spans="47:51" x14ac:dyDescent="0.2">
      <c r="AU7971"/>
      <c r="AV7971"/>
      <c r="AW7971"/>
      <c r="AX7971"/>
      <c r="AY7971"/>
    </row>
    <row r="7972" spans="47:51" x14ac:dyDescent="0.2">
      <c r="AU7972"/>
      <c r="AV7972"/>
      <c r="AW7972"/>
      <c r="AX7972"/>
      <c r="AY7972"/>
    </row>
    <row r="7973" spans="47:51" x14ac:dyDescent="0.2">
      <c r="AU7973"/>
      <c r="AV7973"/>
      <c r="AW7973"/>
      <c r="AX7973"/>
      <c r="AY7973"/>
    </row>
    <row r="7974" spans="47:51" x14ac:dyDescent="0.2">
      <c r="AU7974"/>
      <c r="AV7974"/>
      <c r="AW7974"/>
      <c r="AX7974"/>
      <c r="AY7974"/>
    </row>
    <row r="7975" spans="47:51" x14ac:dyDescent="0.2">
      <c r="AU7975"/>
      <c r="AV7975"/>
      <c r="AW7975"/>
      <c r="AX7975"/>
      <c r="AY7975"/>
    </row>
    <row r="7976" spans="47:51" x14ac:dyDescent="0.2">
      <c r="AU7976"/>
      <c r="AV7976"/>
      <c r="AW7976"/>
      <c r="AX7976"/>
      <c r="AY7976"/>
    </row>
    <row r="7977" spans="47:51" x14ac:dyDescent="0.2">
      <c r="AU7977"/>
      <c r="AV7977"/>
      <c r="AW7977"/>
      <c r="AX7977"/>
      <c r="AY7977"/>
    </row>
    <row r="7978" spans="47:51" x14ac:dyDescent="0.2">
      <c r="AU7978"/>
      <c r="AV7978"/>
      <c r="AW7978"/>
      <c r="AX7978"/>
      <c r="AY7978"/>
    </row>
    <row r="7979" spans="47:51" x14ac:dyDescent="0.2">
      <c r="AU7979"/>
      <c r="AV7979"/>
      <c r="AW7979"/>
      <c r="AX7979"/>
      <c r="AY7979"/>
    </row>
    <row r="7980" spans="47:51" x14ac:dyDescent="0.2">
      <c r="AU7980"/>
      <c r="AV7980"/>
      <c r="AW7980"/>
      <c r="AX7980"/>
      <c r="AY7980"/>
    </row>
    <row r="7981" spans="47:51" x14ac:dyDescent="0.2">
      <c r="AU7981"/>
      <c r="AV7981"/>
      <c r="AW7981"/>
      <c r="AX7981"/>
      <c r="AY7981"/>
    </row>
    <row r="7982" spans="47:51" x14ac:dyDescent="0.2">
      <c r="AU7982"/>
      <c r="AV7982"/>
      <c r="AW7982"/>
      <c r="AX7982"/>
      <c r="AY7982"/>
    </row>
    <row r="7983" spans="47:51" x14ac:dyDescent="0.2">
      <c r="AU7983"/>
      <c r="AV7983"/>
      <c r="AW7983"/>
      <c r="AX7983"/>
      <c r="AY7983"/>
    </row>
    <row r="7984" spans="47:51" x14ac:dyDescent="0.2">
      <c r="AU7984"/>
      <c r="AV7984"/>
      <c r="AW7984"/>
      <c r="AX7984"/>
      <c r="AY7984"/>
    </row>
    <row r="7985" spans="47:51" x14ac:dyDescent="0.2">
      <c r="AU7985"/>
      <c r="AV7985"/>
      <c r="AW7985"/>
      <c r="AX7985"/>
      <c r="AY7985"/>
    </row>
    <row r="7986" spans="47:51" x14ac:dyDescent="0.2">
      <c r="AU7986"/>
      <c r="AV7986"/>
      <c r="AW7986"/>
      <c r="AX7986"/>
      <c r="AY7986"/>
    </row>
    <row r="7987" spans="47:51" x14ac:dyDescent="0.2">
      <c r="AU7987"/>
      <c r="AV7987"/>
      <c r="AW7987"/>
      <c r="AX7987"/>
      <c r="AY7987"/>
    </row>
    <row r="7988" spans="47:51" x14ac:dyDescent="0.2">
      <c r="AU7988"/>
      <c r="AV7988"/>
      <c r="AW7988"/>
      <c r="AX7988"/>
      <c r="AY7988"/>
    </row>
    <row r="7989" spans="47:51" x14ac:dyDescent="0.2">
      <c r="AU7989"/>
      <c r="AV7989"/>
      <c r="AW7989"/>
      <c r="AX7989"/>
      <c r="AY7989"/>
    </row>
    <row r="7990" spans="47:51" x14ac:dyDescent="0.2">
      <c r="AU7990"/>
      <c r="AV7990"/>
      <c r="AW7990"/>
      <c r="AX7990"/>
      <c r="AY7990"/>
    </row>
    <row r="7991" spans="47:51" x14ac:dyDescent="0.2">
      <c r="AU7991"/>
      <c r="AV7991"/>
      <c r="AW7991"/>
      <c r="AX7991"/>
      <c r="AY7991"/>
    </row>
    <row r="7992" spans="47:51" x14ac:dyDescent="0.2">
      <c r="AU7992"/>
      <c r="AV7992"/>
      <c r="AW7992"/>
      <c r="AX7992"/>
      <c r="AY7992"/>
    </row>
    <row r="7993" spans="47:51" x14ac:dyDescent="0.2">
      <c r="AU7993"/>
      <c r="AV7993"/>
      <c r="AW7993"/>
      <c r="AX7993"/>
      <c r="AY7993"/>
    </row>
    <row r="7994" spans="47:51" x14ac:dyDescent="0.2">
      <c r="AU7994"/>
      <c r="AV7994"/>
      <c r="AW7994"/>
      <c r="AX7994"/>
      <c r="AY7994"/>
    </row>
    <row r="7995" spans="47:51" x14ac:dyDescent="0.2">
      <c r="AU7995"/>
      <c r="AV7995"/>
      <c r="AW7995"/>
      <c r="AX7995"/>
      <c r="AY7995"/>
    </row>
    <row r="7996" spans="47:51" x14ac:dyDescent="0.2">
      <c r="AU7996"/>
      <c r="AV7996"/>
      <c r="AW7996"/>
      <c r="AX7996"/>
      <c r="AY7996"/>
    </row>
    <row r="7997" spans="47:51" x14ac:dyDescent="0.2">
      <c r="AU7997"/>
      <c r="AV7997"/>
      <c r="AW7997"/>
      <c r="AX7997"/>
      <c r="AY7997"/>
    </row>
    <row r="7998" spans="47:51" x14ac:dyDescent="0.2">
      <c r="AU7998"/>
      <c r="AV7998"/>
      <c r="AW7998"/>
      <c r="AX7998"/>
      <c r="AY7998"/>
    </row>
    <row r="7999" spans="47:51" x14ac:dyDescent="0.2">
      <c r="AU7999"/>
      <c r="AV7999"/>
      <c r="AW7999"/>
      <c r="AX7999"/>
      <c r="AY7999"/>
    </row>
    <row r="8000" spans="47:51" x14ac:dyDescent="0.2">
      <c r="AU8000"/>
      <c r="AV8000"/>
      <c r="AW8000"/>
      <c r="AX8000"/>
      <c r="AY8000"/>
    </row>
    <row r="8001" spans="47:51" x14ac:dyDescent="0.2">
      <c r="AU8001"/>
      <c r="AV8001"/>
      <c r="AW8001"/>
      <c r="AX8001"/>
      <c r="AY8001"/>
    </row>
    <row r="8002" spans="47:51" x14ac:dyDescent="0.2">
      <c r="AU8002"/>
      <c r="AV8002"/>
      <c r="AW8002"/>
      <c r="AX8002"/>
      <c r="AY8002"/>
    </row>
    <row r="8003" spans="47:51" x14ac:dyDescent="0.2">
      <c r="AU8003"/>
      <c r="AV8003"/>
      <c r="AW8003"/>
      <c r="AX8003"/>
      <c r="AY8003"/>
    </row>
    <row r="8004" spans="47:51" x14ac:dyDescent="0.2">
      <c r="AU8004"/>
      <c r="AV8004"/>
      <c r="AW8004"/>
      <c r="AX8004"/>
      <c r="AY8004"/>
    </row>
    <row r="8005" spans="47:51" x14ac:dyDescent="0.2">
      <c r="AU8005"/>
      <c r="AV8005"/>
      <c r="AW8005"/>
      <c r="AX8005"/>
      <c r="AY8005"/>
    </row>
    <row r="8006" spans="47:51" x14ac:dyDescent="0.2">
      <c r="AU8006"/>
      <c r="AV8006"/>
      <c r="AW8006"/>
      <c r="AX8006"/>
      <c r="AY8006"/>
    </row>
    <row r="8007" spans="47:51" x14ac:dyDescent="0.2">
      <c r="AU8007"/>
      <c r="AV8007"/>
      <c r="AW8007"/>
      <c r="AX8007"/>
      <c r="AY8007"/>
    </row>
    <row r="8008" spans="47:51" x14ac:dyDescent="0.2">
      <c r="AU8008"/>
      <c r="AV8008"/>
      <c r="AW8008"/>
      <c r="AX8008"/>
      <c r="AY8008"/>
    </row>
    <row r="8009" spans="47:51" x14ac:dyDescent="0.2">
      <c r="AU8009"/>
      <c r="AV8009"/>
      <c r="AW8009"/>
      <c r="AX8009"/>
      <c r="AY8009"/>
    </row>
    <row r="8010" spans="47:51" x14ac:dyDescent="0.2">
      <c r="AU8010"/>
      <c r="AV8010"/>
      <c r="AW8010"/>
      <c r="AX8010"/>
      <c r="AY8010"/>
    </row>
    <row r="8011" spans="47:51" x14ac:dyDescent="0.2">
      <c r="AU8011"/>
      <c r="AV8011"/>
      <c r="AW8011"/>
      <c r="AX8011"/>
      <c r="AY8011"/>
    </row>
    <row r="8012" spans="47:51" x14ac:dyDescent="0.2">
      <c r="AU8012"/>
      <c r="AV8012"/>
      <c r="AW8012"/>
      <c r="AX8012"/>
      <c r="AY8012"/>
    </row>
    <row r="8013" spans="47:51" x14ac:dyDescent="0.2">
      <c r="AU8013"/>
      <c r="AV8013"/>
      <c r="AW8013"/>
      <c r="AX8013"/>
      <c r="AY8013"/>
    </row>
    <row r="8014" spans="47:51" x14ac:dyDescent="0.2">
      <c r="AU8014"/>
      <c r="AV8014"/>
      <c r="AW8014"/>
      <c r="AX8014"/>
      <c r="AY8014"/>
    </row>
    <row r="8015" spans="47:51" x14ac:dyDescent="0.2">
      <c r="AU8015"/>
      <c r="AV8015"/>
      <c r="AW8015"/>
      <c r="AX8015"/>
      <c r="AY8015"/>
    </row>
    <row r="8016" spans="47:51" x14ac:dyDescent="0.2">
      <c r="AU8016"/>
      <c r="AV8016"/>
      <c r="AW8016"/>
      <c r="AX8016"/>
      <c r="AY8016"/>
    </row>
    <row r="8017" spans="47:51" x14ac:dyDescent="0.2">
      <c r="AU8017"/>
      <c r="AV8017"/>
      <c r="AW8017"/>
      <c r="AX8017"/>
      <c r="AY8017"/>
    </row>
    <row r="8018" spans="47:51" x14ac:dyDescent="0.2">
      <c r="AU8018"/>
      <c r="AV8018"/>
      <c r="AW8018"/>
      <c r="AX8018"/>
      <c r="AY8018"/>
    </row>
    <row r="8019" spans="47:51" x14ac:dyDescent="0.2">
      <c r="AU8019"/>
      <c r="AV8019"/>
      <c r="AW8019"/>
      <c r="AX8019"/>
      <c r="AY8019"/>
    </row>
    <row r="8020" spans="47:51" x14ac:dyDescent="0.2">
      <c r="AU8020"/>
      <c r="AV8020"/>
      <c r="AW8020"/>
      <c r="AX8020"/>
      <c r="AY8020"/>
    </row>
    <row r="8021" spans="47:51" x14ac:dyDescent="0.2">
      <c r="AU8021"/>
      <c r="AV8021"/>
      <c r="AW8021"/>
      <c r="AX8021"/>
      <c r="AY8021"/>
    </row>
    <row r="8022" spans="47:51" x14ac:dyDescent="0.2">
      <c r="AU8022"/>
      <c r="AV8022"/>
      <c r="AW8022"/>
      <c r="AX8022"/>
      <c r="AY8022"/>
    </row>
    <row r="8023" spans="47:51" x14ac:dyDescent="0.2">
      <c r="AU8023"/>
      <c r="AV8023"/>
      <c r="AW8023"/>
      <c r="AX8023"/>
      <c r="AY8023"/>
    </row>
    <row r="8024" spans="47:51" x14ac:dyDescent="0.2">
      <c r="AU8024"/>
      <c r="AV8024"/>
      <c r="AW8024"/>
      <c r="AX8024"/>
      <c r="AY8024"/>
    </row>
    <row r="8025" spans="47:51" x14ac:dyDescent="0.2">
      <c r="AU8025"/>
      <c r="AV8025"/>
      <c r="AW8025"/>
      <c r="AX8025"/>
      <c r="AY8025"/>
    </row>
    <row r="8026" spans="47:51" x14ac:dyDescent="0.2">
      <c r="AU8026"/>
      <c r="AV8026"/>
      <c r="AW8026"/>
      <c r="AX8026"/>
      <c r="AY8026"/>
    </row>
    <row r="8027" spans="47:51" x14ac:dyDescent="0.2">
      <c r="AU8027"/>
      <c r="AV8027"/>
      <c r="AW8027"/>
      <c r="AX8027"/>
      <c r="AY8027"/>
    </row>
    <row r="8028" spans="47:51" x14ac:dyDescent="0.2">
      <c r="AU8028"/>
      <c r="AV8028"/>
      <c r="AW8028"/>
      <c r="AX8028"/>
      <c r="AY8028"/>
    </row>
    <row r="8029" spans="47:51" x14ac:dyDescent="0.2">
      <c r="AU8029"/>
      <c r="AV8029"/>
      <c r="AW8029"/>
      <c r="AX8029"/>
      <c r="AY8029"/>
    </row>
    <row r="8030" spans="47:51" x14ac:dyDescent="0.2">
      <c r="AU8030"/>
      <c r="AV8030"/>
      <c r="AW8030"/>
      <c r="AX8030"/>
      <c r="AY8030"/>
    </row>
    <row r="8031" spans="47:51" x14ac:dyDescent="0.2">
      <c r="AU8031"/>
      <c r="AV8031"/>
      <c r="AW8031"/>
      <c r="AX8031"/>
      <c r="AY8031"/>
    </row>
    <row r="8032" spans="47:51" x14ac:dyDescent="0.2">
      <c r="AU8032"/>
      <c r="AV8032"/>
      <c r="AW8032"/>
      <c r="AX8032"/>
      <c r="AY8032"/>
    </row>
    <row r="8033" spans="47:51" x14ac:dyDescent="0.2">
      <c r="AU8033"/>
      <c r="AV8033"/>
      <c r="AW8033"/>
      <c r="AX8033"/>
      <c r="AY8033"/>
    </row>
    <row r="8034" spans="47:51" x14ac:dyDescent="0.2">
      <c r="AU8034"/>
      <c r="AV8034"/>
      <c r="AW8034"/>
      <c r="AX8034"/>
      <c r="AY8034"/>
    </row>
    <row r="8035" spans="47:51" x14ac:dyDescent="0.2">
      <c r="AU8035"/>
      <c r="AV8035"/>
      <c r="AW8035"/>
      <c r="AX8035"/>
      <c r="AY8035"/>
    </row>
    <row r="8036" spans="47:51" x14ac:dyDescent="0.2">
      <c r="AU8036"/>
      <c r="AV8036"/>
      <c r="AW8036"/>
      <c r="AX8036"/>
      <c r="AY8036"/>
    </row>
    <row r="8037" spans="47:51" x14ac:dyDescent="0.2">
      <c r="AU8037"/>
      <c r="AV8037"/>
      <c r="AW8037"/>
      <c r="AX8037"/>
      <c r="AY8037"/>
    </row>
    <row r="8038" spans="47:51" x14ac:dyDescent="0.2">
      <c r="AU8038"/>
      <c r="AV8038"/>
      <c r="AW8038"/>
      <c r="AX8038"/>
      <c r="AY8038"/>
    </row>
    <row r="8039" spans="47:51" x14ac:dyDescent="0.2">
      <c r="AU8039"/>
      <c r="AV8039"/>
      <c r="AW8039"/>
      <c r="AX8039"/>
      <c r="AY8039"/>
    </row>
    <row r="8040" spans="47:51" x14ac:dyDescent="0.2">
      <c r="AU8040"/>
      <c r="AV8040"/>
      <c r="AW8040"/>
      <c r="AX8040"/>
      <c r="AY8040"/>
    </row>
    <row r="8041" spans="47:51" x14ac:dyDescent="0.2">
      <c r="AU8041"/>
      <c r="AV8041"/>
      <c r="AW8041"/>
      <c r="AX8041"/>
      <c r="AY8041"/>
    </row>
    <row r="8042" spans="47:51" x14ac:dyDescent="0.2">
      <c r="AU8042"/>
      <c r="AV8042"/>
      <c r="AW8042"/>
      <c r="AX8042"/>
      <c r="AY8042"/>
    </row>
    <row r="8043" spans="47:51" x14ac:dyDescent="0.2">
      <c r="AU8043"/>
      <c r="AV8043"/>
      <c r="AW8043"/>
      <c r="AX8043"/>
      <c r="AY8043"/>
    </row>
    <row r="8044" spans="47:51" x14ac:dyDescent="0.2">
      <c r="AU8044"/>
      <c r="AV8044"/>
      <c r="AW8044"/>
      <c r="AX8044"/>
      <c r="AY8044"/>
    </row>
    <row r="8045" spans="47:51" x14ac:dyDescent="0.2">
      <c r="AU8045"/>
      <c r="AV8045"/>
      <c r="AW8045"/>
      <c r="AX8045"/>
      <c r="AY8045"/>
    </row>
    <row r="8046" spans="47:51" x14ac:dyDescent="0.2">
      <c r="AU8046"/>
      <c r="AV8046"/>
      <c r="AW8046"/>
      <c r="AX8046"/>
      <c r="AY8046"/>
    </row>
    <row r="8047" spans="47:51" x14ac:dyDescent="0.2">
      <c r="AU8047"/>
      <c r="AV8047"/>
      <c r="AW8047"/>
      <c r="AX8047"/>
      <c r="AY8047"/>
    </row>
    <row r="8048" spans="47:51" x14ac:dyDescent="0.2">
      <c r="AU8048"/>
      <c r="AV8048"/>
      <c r="AW8048"/>
      <c r="AX8048"/>
      <c r="AY8048"/>
    </row>
    <row r="8049" spans="47:51" x14ac:dyDescent="0.2">
      <c r="AU8049"/>
      <c r="AV8049"/>
      <c r="AW8049"/>
      <c r="AX8049"/>
      <c r="AY8049"/>
    </row>
    <row r="8050" spans="47:51" x14ac:dyDescent="0.2">
      <c r="AU8050"/>
      <c r="AV8050"/>
      <c r="AW8050"/>
      <c r="AX8050"/>
      <c r="AY8050"/>
    </row>
    <row r="8051" spans="47:51" x14ac:dyDescent="0.2">
      <c r="AU8051"/>
      <c r="AV8051"/>
      <c r="AW8051"/>
      <c r="AX8051"/>
      <c r="AY8051"/>
    </row>
    <row r="8052" spans="47:51" x14ac:dyDescent="0.2">
      <c r="AU8052"/>
      <c r="AV8052"/>
      <c r="AW8052"/>
      <c r="AX8052"/>
      <c r="AY8052"/>
    </row>
    <row r="8053" spans="47:51" x14ac:dyDescent="0.2">
      <c r="AU8053"/>
      <c r="AV8053"/>
      <c r="AW8053"/>
      <c r="AX8053"/>
      <c r="AY8053"/>
    </row>
    <row r="8054" spans="47:51" x14ac:dyDescent="0.2">
      <c r="AU8054"/>
      <c r="AV8054"/>
      <c r="AW8054"/>
      <c r="AX8054"/>
      <c r="AY8054"/>
    </row>
    <row r="8055" spans="47:51" x14ac:dyDescent="0.2">
      <c r="AU8055"/>
      <c r="AV8055"/>
      <c r="AW8055"/>
      <c r="AX8055"/>
      <c r="AY8055"/>
    </row>
    <row r="8056" spans="47:51" x14ac:dyDescent="0.2">
      <c r="AU8056"/>
      <c r="AV8056"/>
      <c r="AW8056"/>
      <c r="AX8056"/>
      <c r="AY8056"/>
    </row>
    <row r="8057" spans="47:51" x14ac:dyDescent="0.2">
      <c r="AU8057"/>
      <c r="AV8057"/>
      <c r="AW8057"/>
      <c r="AX8057"/>
      <c r="AY8057"/>
    </row>
    <row r="8058" spans="47:51" x14ac:dyDescent="0.2">
      <c r="AU8058"/>
      <c r="AV8058"/>
      <c r="AW8058"/>
      <c r="AX8058"/>
      <c r="AY8058"/>
    </row>
    <row r="8059" spans="47:51" x14ac:dyDescent="0.2">
      <c r="AU8059"/>
      <c r="AV8059"/>
      <c r="AW8059"/>
      <c r="AX8059"/>
      <c r="AY8059"/>
    </row>
    <row r="8060" spans="47:51" x14ac:dyDescent="0.2">
      <c r="AU8060"/>
      <c r="AV8060"/>
      <c r="AW8060"/>
      <c r="AX8060"/>
      <c r="AY8060"/>
    </row>
    <row r="8061" spans="47:51" x14ac:dyDescent="0.2">
      <c r="AU8061"/>
      <c r="AV8061"/>
      <c r="AW8061"/>
      <c r="AX8061"/>
      <c r="AY8061"/>
    </row>
    <row r="8062" spans="47:51" x14ac:dyDescent="0.2">
      <c r="AU8062"/>
      <c r="AV8062"/>
      <c r="AW8062"/>
      <c r="AX8062"/>
      <c r="AY8062"/>
    </row>
    <row r="8063" spans="47:51" x14ac:dyDescent="0.2">
      <c r="AU8063"/>
      <c r="AV8063"/>
      <c r="AW8063"/>
      <c r="AX8063"/>
      <c r="AY8063"/>
    </row>
    <row r="8064" spans="47:51" x14ac:dyDescent="0.2">
      <c r="AU8064"/>
      <c r="AV8064"/>
      <c r="AW8064"/>
      <c r="AX8064"/>
      <c r="AY8064"/>
    </row>
    <row r="8065" spans="47:51" x14ac:dyDescent="0.2">
      <c r="AU8065"/>
      <c r="AV8065"/>
      <c r="AW8065"/>
      <c r="AX8065"/>
      <c r="AY8065"/>
    </row>
    <row r="8066" spans="47:51" x14ac:dyDescent="0.2">
      <c r="AU8066"/>
      <c r="AV8066"/>
      <c r="AW8066"/>
      <c r="AX8066"/>
      <c r="AY8066"/>
    </row>
    <row r="8067" spans="47:51" x14ac:dyDescent="0.2">
      <c r="AU8067"/>
      <c r="AV8067"/>
      <c r="AW8067"/>
      <c r="AX8067"/>
      <c r="AY8067"/>
    </row>
    <row r="8068" spans="47:51" x14ac:dyDescent="0.2">
      <c r="AU8068"/>
      <c r="AV8068"/>
      <c r="AW8068"/>
      <c r="AX8068"/>
      <c r="AY8068"/>
    </row>
    <row r="8069" spans="47:51" x14ac:dyDescent="0.2">
      <c r="AU8069"/>
      <c r="AV8069"/>
      <c r="AW8069"/>
      <c r="AX8069"/>
      <c r="AY8069"/>
    </row>
    <row r="8070" spans="47:51" x14ac:dyDescent="0.2">
      <c r="AU8070"/>
      <c r="AV8070"/>
      <c r="AW8070"/>
      <c r="AX8070"/>
      <c r="AY8070"/>
    </row>
    <row r="8071" spans="47:51" x14ac:dyDescent="0.2">
      <c r="AU8071"/>
      <c r="AV8071"/>
      <c r="AW8071"/>
      <c r="AX8071"/>
      <c r="AY8071"/>
    </row>
    <row r="8072" spans="47:51" x14ac:dyDescent="0.2">
      <c r="AU8072"/>
      <c r="AV8072"/>
      <c r="AW8072"/>
      <c r="AX8072"/>
      <c r="AY8072"/>
    </row>
    <row r="8073" spans="47:51" x14ac:dyDescent="0.2">
      <c r="AU8073"/>
      <c r="AV8073"/>
      <c r="AW8073"/>
      <c r="AX8073"/>
      <c r="AY8073"/>
    </row>
    <row r="8074" spans="47:51" x14ac:dyDescent="0.2">
      <c r="AU8074"/>
      <c r="AV8074"/>
      <c r="AW8074"/>
      <c r="AX8074"/>
      <c r="AY8074"/>
    </row>
    <row r="8075" spans="47:51" x14ac:dyDescent="0.2">
      <c r="AU8075"/>
      <c r="AV8075"/>
      <c r="AW8075"/>
      <c r="AX8075"/>
      <c r="AY8075"/>
    </row>
    <row r="8076" spans="47:51" x14ac:dyDescent="0.2">
      <c r="AU8076"/>
      <c r="AV8076"/>
      <c r="AW8076"/>
      <c r="AX8076"/>
      <c r="AY8076"/>
    </row>
    <row r="8077" spans="47:51" x14ac:dyDescent="0.2">
      <c r="AU8077"/>
      <c r="AV8077"/>
      <c r="AW8077"/>
      <c r="AX8077"/>
      <c r="AY8077"/>
    </row>
    <row r="8078" spans="47:51" x14ac:dyDescent="0.2">
      <c r="AU8078"/>
      <c r="AV8078"/>
      <c r="AW8078"/>
      <c r="AX8078"/>
      <c r="AY8078"/>
    </row>
    <row r="8079" spans="47:51" x14ac:dyDescent="0.2">
      <c r="AU8079"/>
      <c r="AV8079"/>
      <c r="AW8079"/>
      <c r="AX8079"/>
      <c r="AY8079"/>
    </row>
    <row r="8080" spans="47:51" x14ac:dyDescent="0.2">
      <c r="AU8080"/>
      <c r="AV8080"/>
      <c r="AW8080"/>
      <c r="AX8080"/>
      <c r="AY8080"/>
    </row>
    <row r="8081" spans="47:51" x14ac:dyDescent="0.2">
      <c r="AU8081"/>
      <c r="AV8081"/>
      <c r="AW8081"/>
      <c r="AX8081"/>
      <c r="AY8081"/>
    </row>
    <row r="8082" spans="47:51" x14ac:dyDescent="0.2">
      <c r="AU8082"/>
      <c r="AV8082"/>
      <c r="AW8082"/>
      <c r="AX8082"/>
      <c r="AY8082"/>
    </row>
    <row r="8083" spans="47:51" x14ac:dyDescent="0.2">
      <c r="AU8083"/>
      <c r="AV8083"/>
      <c r="AW8083"/>
      <c r="AX8083"/>
      <c r="AY8083"/>
    </row>
    <row r="8084" spans="47:51" x14ac:dyDescent="0.2">
      <c r="AU8084"/>
      <c r="AV8084"/>
      <c r="AW8084"/>
      <c r="AX8084"/>
      <c r="AY8084"/>
    </row>
    <row r="8085" spans="47:51" x14ac:dyDescent="0.2">
      <c r="AU8085"/>
      <c r="AV8085"/>
      <c r="AW8085"/>
      <c r="AX8085"/>
      <c r="AY8085"/>
    </row>
    <row r="8086" spans="47:51" x14ac:dyDescent="0.2">
      <c r="AU8086"/>
      <c r="AV8086"/>
      <c r="AW8086"/>
      <c r="AX8086"/>
      <c r="AY8086"/>
    </row>
    <row r="8087" spans="47:51" x14ac:dyDescent="0.2">
      <c r="AU8087"/>
      <c r="AV8087"/>
      <c r="AW8087"/>
      <c r="AX8087"/>
      <c r="AY8087"/>
    </row>
    <row r="8088" spans="47:51" x14ac:dyDescent="0.2">
      <c r="AU8088"/>
      <c r="AV8088"/>
      <c r="AW8088"/>
      <c r="AX8088"/>
      <c r="AY8088"/>
    </row>
    <row r="8089" spans="47:51" x14ac:dyDescent="0.2">
      <c r="AU8089"/>
      <c r="AV8089"/>
      <c r="AW8089"/>
      <c r="AX8089"/>
      <c r="AY8089"/>
    </row>
    <row r="8090" spans="47:51" x14ac:dyDescent="0.2">
      <c r="AU8090"/>
      <c r="AV8090"/>
      <c r="AW8090"/>
      <c r="AX8090"/>
      <c r="AY8090"/>
    </row>
    <row r="8091" spans="47:51" x14ac:dyDescent="0.2">
      <c r="AU8091"/>
      <c r="AV8091"/>
      <c r="AW8091"/>
      <c r="AX8091"/>
      <c r="AY8091"/>
    </row>
    <row r="8092" spans="47:51" x14ac:dyDescent="0.2">
      <c r="AU8092"/>
      <c r="AV8092"/>
      <c r="AW8092"/>
      <c r="AX8092"/>
      <c r="AY8092"/>
    </row>
    <row r="8093" spans="47:51" x14ac:dyDescent="0.2">
      <c r="AU8093"/>
      <c r="AV8093"/>
      <c r="AW8093"/>
      <c r="AX8093"/>
      <c r="AY8093"/>
    </row>
    <row r="8094" spans="47:51" x14ac:dyDescent="0.2">
      <c r="AU8094"/>
      <c r="AV8094"/>
      <c r="AW8094"/>
      <c r="AX8094"/>
      <c r="AY8094"/>
    </row>
    <row r="8095" spans="47:51" x14ac:dyDescent="0.2">
      <c r="AU8095"/>
      <c r="AV8095"/>
      <c r="AW8095"/>
      <c r="AX8095"/>
      <c r="AY8095"/>
    </row>
    <row r="8096" spans="47:51" x14ac:dyDescent="0.2">
      <c r="AU8096"/>
      <c r="AV8096"/>
      <c r="AW8096"/>
      <c r="AX8096"/>
      <c r="AY8096"/>
    </row>
    <row r="8097" spans="47:51" x14ac:dyDescent="0.2">
      <c r="AU8097"/>
      <c r="AV8097"/>
      <c r="AW8097"/>
      <c r="AX8097"/>
      <c r="AY8097"/>
    </row>
    <row r="8098" spans="47:51" x14ac:dyDescent="0.2">
      <c r="AU8098"/>
      <c r="AV8098"/>
      <c r="AW8098"/>
      <c r="AX8098"/>
      <c r="AY8098"/>
    </row>
    <row r="8099" spans="47:51" x14ac:dyDescent="0.2">
      <c r="AU8099"/>
      <c r="AV8099"/>
      <c r="AW8099"/>
      <c r="AX8099"/>
      <c r="AY8099"/>
    </row>
    <row r="8100" spans="47:51" x14ac:dyDescent="0.2">
      <c r="AU8100"/>
      <c r="AV8100"/>
      <c r="AW8100"/>
      <c r="AX8100"/>
      <c r="AY8100"/>
    </row>
    <row r="8101" spans="47:51" x14ac:dyDescent="0.2">
      <c r="AU8101"/>
      <c r="AV8101"/>
      <c r="AW8101"/>
      <c r="AX8101"/>
      <c r="AY8101"/>
    </row>
    <row r="8102" spans="47:51" x14ac:dyDescent="0.2">
      <c r="AU8102"/>
      <c r="AV8102"/>
      <c r="AW8102"/>
      <c r="AX8102"/>
      <c r="AY8102"/>
    </row>
    <row r="8103" spans="47:51" x14ac:dyDescent="0.2">
      <c r="AU8103"/>
      <c r="AV8103"/>
      <c r="AW8103"/>
      <c r="AX8103"/>
      <c r="AY8103"/>
    </row>
    <row r="8104" spans="47:51" x14ac:dyDescent="0.2">
      <c r="AU8104"/>
      <c r="AV8104"/>
      <c r="AW8104"/>
      <c r="AX8104"/>
      <c r="AY8104"/>
    </row>
    <row r="8105" spans="47:51" x14ac:dyDescent="0.2">
      <c r="AU8105"/>
      <c r="AV8105"/>
      <c r="AW8105"/>
      <c r="AX8105"/>
      <c r="AY8105"/>
    </row>
    <row r="8106" spans="47:51" x14ac:dyDescent="0.2">
      <c r="AU8106"/>
      <c r="AV8106"/>
      <c r="AW8106"/>
      <c r="AX8106"/>
      <c r="AY8106"/>
    </row>
    <row r="8107" spans="47:51" x14ac:dyDescent="0.2">
      <c r="AU8107"/>
      <c r="AV8107"/>
      <c r="AW8107"/>
      <c r="AX8107"/>
      <c r="AY8107"/>
    </row>
    <row r="8108" spans="47:51" x14ac:dyDescent="0.2">
      <c r="AU8108"/>
      <c r="AV8108"/>
      <c r="AW8108"/>
      <c r="AX8108"/>
      <c r="AY8108"/>
    </row>
    <row r="8109" spans="47:51" x14ac:dyDescent="0.2">
      <c r="AU8109"/>
      <c r="AV8109"/>
      <c r="AW8109"/>
      <c r="AX8109"/>
      <c r="AY8109"/>
    </row>
    <row r="8110" spans="47:51" x14ac:dyDescent="0.2">
      <c r="AU8110"/>
      <c r="AV8110"/>
      <c r="AW8110"/>
      <c r="AX8110"/>
      <c r="AY8110"/>
    </row>
    <row r="8111" spans="47:51" x14ac:dyDescent="0.2">
      <c r="AU8111"/>
      <c r="AV8111"/>
      <c r="AW8111"/>
      <c r="AX8111"/>
      <c r="AY8111"/>
    </row>
    <row r="8112" spans="47:51" x14ac:dyDescent="0.2">
      <c r="AU8112"/>
      <c r="AV8112"/>
      <c r="AW8112"/>
      <c r="AX8112"/>
      <c r="AY8112"/>
    </row>
    <row r="8113" spans="47:51" x14ac:dyDescent="0.2">
      <c r="AU8113"/>
      <c r="AV8113"/>
      <c r="AW8113"/>
      <c r="AX8113"/>
      <c r="AY8113"/>
    </row>
    <row r="8114" spans="47:51" x14ac:dyDescent="0.2">
      <c r="AU8114"/>
      <c r="AV8114"/>
      <c r="AW8114"/>
      <c r="AX8114"/>
      <c r="AY8114"/>
    </row>
    <row r="8115" spans="47:51" x14ac:dyDescent="0.2">
      <c r="AU8115"/>
      <c r="AV8115"/>
      <c r="AW8115"/>
      <c r="AX8115"/>
      <c r="AY8115"/>
    </row>
    <row r="8116" spans="47:51" x14ac:dyDescent="0.2">
      <c r="AU8116"/>
      <c r="AV8116"/>
      <c r="AW8116"/>
      <c r="AX8116"/>
      <c r="AY8116"/>
    </row>
    <row r="8117" spans="47:51" x14ac:dyDescent="0.2">
      <c r="AU8117"/>
      <c r="AV8117"/>
      <c r="AW8117"/>
      <c r="AX8117"/>
      <c r="AY8117"/>
    </row>
    <row r="8118" spans="47:51" x14ac:dyDescent="0.2">
      <c r="AU8118"/>
      <c r="AV8118"/>
      <c r="AW8118"/>
      <c r="AX8118"/>
      <c r="AY8118"/>
    </row>
    <row r="8119" spans="47:51" x14ac:dyDescent="0.2">
      <c r="AU8119"/>
      <c r="AV8119"/>
      <c r="AW8119"/>
      <c r="AX8119"/>
      <c r="AY8119"/>
    </row>
    <row r="8120" spans="47:51" x14ac:dyDescent="0.2">
      <c r="AU8120"/>
      <c r="AV8120"/>
      <c r="AW8120"/>
      <c r="AX8120"/>
      <c r="AY8120"/>
    </row>
    <row r="8121" spans="47:51" x14ac:dyDescent="0.2">
      <c r="AU8121"/>
      <c r="AV8121"/>
      <c r="AW8121"/>
      <c r="AX8121"/>
      <c r="AY8121"/>
    </row>
    <row r="8122" spans="47:51" x14ac:dyDescent="0.2">
      <c r="AU8122"/>
      <c r="AV8122"/>
      <c r="AW8122"/>
      <c r="AX8122"/>
      <c r="AY8122"/>
    </row>
    <row r="8123" spans="47:51" x14ac:dyDescent="0.2">
      <c r="AU8123"/>
      <c r="AV8123"/>
      <c r="AW8123"/>
      <c r="AX8123"/>
      <c r="AY8123"/>
    </row>
    <row r="8124" spans="47:51" x14ac:dyDescent="0.2">
      <c r="AU8124"/>
      <c r="AV8124"/>
      <c r="AW8124"/>
      <c r="AX8124"/>
      <c r="AY8124"/>
    </row>
    <row r="8125" spans="47:51" x14ac:dyDescent="0.2">
      <c r="AU8125"/>
      <c r="AV8125"/>
      <c r="AW8125"/>
      <c r="AX8125"/>
      <c r="AY8125"/>
    </row>
    <row r="8126" spans="47:51" x14ac:dyDescent="0.2">
      <c r="AU8126"/>
      <c r="AV8126"/>
      <c r="AW8126"/>
      <c r="AX8126"/>
      <c r="AY8126"/>
    </row>
    <row r="8127" spans="47:51" x14ac:dyDescent="0.2">
      <c r="AU8127"/>
      <c r="AV8127"/>
      <c r="AW8127"/>
      <c r="AX8127"/>
      <c r="AY8127"/>
    </row>
    <row r="8128" spans="47:51" x14ac:dyDescent="0.2">
      <c r="AU8128"/>
      <c r="AV8128"/>
      <c r="AW8128"/>
      <c r="AX8128"/>
      <c r="AY8128"/>
    </row>
    <row r="8129" spans="47:51" x14ac:dyDescent="0.2">
      <c r="AU8129"/>
      <c r="AV8129"/>
      <c r="AW8129"/>
      <c r="AX8129"/>
      <c r="AY8129"/>
    </row>
    <row r="8130" spans="47:51" x14ac:dyDescent="0.2">
      <c r="AU8130"/>
      <c r="AV8130"/>
      <c r="AW8130"/>
      <c r="AX8130"/>
      <c r="AY8130"/>
    </row>
    <row r="8131" spans="47:51" x14ac:dyDescent="0.2">
      <c r="AU8131"/>
      <c r="AV8131"/>
      <c r="AW8131"/>
      <c r="AX8131"/>
      <c r="AY8131"/>
    </row>
    <row r="8132" spans="47:51" x14ac:dyDescent="0.2">
      <c r="AU8132"/>
      <c r="AV8132"/>
      <c r="AW8132"/>
      <c r="AX8132"/>
      <c r="AY8132"/>
    </row>
    <row r="8133" spans="47:51" x14ac:dyDescent="0.2">
      <c r="AU8133"/>
      <c r="AV8133"/>
      <c r="AW8133"/>
      <c r="AX8133"/>
      <c r="AY8133"/>
    </row>
    <row r="8134" spans="47:51" x14ac:dyDescent="0.2">
      <c r="AU8134"/>
      <c r="AV8134"/>
      <c r="AW8134"/>
      <c r="AX8134"/>
      <c r="AY8134"/>
    </row>
    <row r="8135" spans="47:51" x14ac:dyDescent="0.2">
      <c r="AU8135"/>
      <c r="AV8135"/>
      <c r="AW8135"/>
      <c r="AX8135"/>
      <c r="AY8135"/>
    </row>
    <row r="8136" spans="47:51" x14ac:dyDescent="0.2">
      <c r="AU8136"/>
      <c r="AV8136"/>
      <c r="AW8136"/>
      <c r="AX8136"/>
      <c r="AY8136"/>
    </row>
    <row r="8137" spans="47:51" x14ac:dyDescent="0.2">
      <c r="AU8137"/>
      <c r="AV8137"/>
      <c r="AW8137"/>
      <c r="AX8137"/>
      <c r="AY8137"/>
    </row>
    <row r="8138" spans="47:51" x14ac:dyDescent="0.2">
      <c r="AU8138"/>
      <c r="AV8138"/>
      <c r="AW8138"/>
      <c r="AX8138"/>
      <c r="AY8138"/>
    </row>
    <row r="8139" spans="47:51" x14ac:dyDescent="0.2">
      <c r="AU8139"/>
      <c r="AV8139"/>
      <c r="AW8139"/>
      <c r="AX8139"/>
      <c r="AY8139"/>
    </row>
    <row r="8140" spans="47:51" x14ac:dyDescent="0.2">
      <c r="AU8140"/>
      <c r="AV8140"/>
      <c r="AW8140"/>
      <c r="AX8140"/>
      <c r="AY8140"/>
    </row>
    <row r="8141" spans="47:51" x14ac:dyDescent="0.2">
      <c r="AU8141"/>
      <c r="AV8141"/>
      <c r="AW8141"/>
      <c r="AX8141"/>
      <c r="AY8141"/>
    </row>
    <row r="8142" spans="47:51" x14ac:dyDescent="0.2">
      <c r="AU8142"/>
      <c r="AV8142"/>
      <c r="AW8142"/>
      <c r="AX8142"/>
      <c r="AY8142"/>
    </row>
    <row r="8143" spans="47:51" x14ac:dyDescent="0.2">
      <c r="AU8143"/>
      <c r="AV8143"/>
      <c r="AW8143"/>
      <c r="AX8143"/>
      <c r="AY8143"/>
    </row>
    <row r="8144" spans="47:51" x14ac:dyDescent="0.2">
      <c r="AU8144"/>
      <c r="AV8144"/>
      <c r="AW8144"/>
      <c r="AX8144"/>
      <c r="AY8144"/>
    </row>
    <row r="8145" spans="47:51" x14ac:dyDescent="0.2">
      <c r="AU8145"/>
      <c r="AV8145"/>
      <c r="AW8145"/>
      <c r="AX8145"/>
      <c r="AY8145"/>
    </row>
    <row r="8146" spans="47:51" x14ac:dyDescent="0.2">
      <c r="AU8146"/>
      <c r="AV8146"/>
      <c r="AW8146"/>
      <c r="AX8146"/>
      <c r="AY8146"/>
    </row>
    <row r="8147" spans="47:51" x14ac:dyDescent="0.2">
      <c r="AU8147"/>
      <c r="AV8147"/>
      <c r="AW8147"/>
      <c r="AX8147"/>
      <c r="AY8147"/>
    </row>
    <row r="8148" spans="47:51" x14ac:dyDescent="0.2">
      <c r="AU8148"/>
      <c r="AV8148"/>
      <c r="AW8148"/>
      <c r="AX8148"/>
      <c r="AY8148"/>
    </row>
    <row r="8149" spans="47:51" x14ac:dyDescent="0.2">
      <c r="AU8149"/>
      <c r="AV8149"/>
      <c r="AW8149"/>
      <c r="AX8149"/>
      <c r="AY8149"/>
    </row>
    <row r="8150" spans="47:51" x14ac:dyDescent="0.2">
      <c r="AU8150"/>
      <c r="AV8150"/>
      <c r="AW8150"/>
      <c r="AX8150"/>
      <c r="AY8150"/>
    </row>
    <row r="8151" spans="47:51" x14ac:dyDescent="0.2">
      <c r="AU8151"/>
      <c r="AV8151"/>
      <c r="AW8151"/>
      <c r="AX8151"/>
      <c r="AY8151"/>
    </row>
    <row r="8152" spans="47:51" x14ac:dyDescent="0.2">
      <c r="AU8152"/>
      <c r="AV8152"/>
      <c r="AW8152"/>
      <c r="AX8152"/>
      <c r="AY8152"/>
    </row>
    <row r="8153" spans="47:51" x14ac:dyDescent="0.2">
      <c r="AU8153"/>
      <c r="AV8153"/>
      <c r="AW8153"/>
      <c r="AX8153"/>
      <c r="AY8153"/>
    </row>
    <row r="8154" spans="47:51" x14ac:dyDescent="0.2">
      <c r="AU8154"/>
      <c r="AV8154"/>
      <c r="AW8154"/>
      <c r="AX8154"/>
      <c r="AY8154"/>
    </row>
    <row r="8155" spans="47:51" x14ac:dyDescent="0.2">
      <c r="AU8155"/>
      <c r="AV8155"/>
      <c r="AW8155"/>
      <c r="AX8155"/>
      <c r="AY8155"/>
    </row>
    <row r="8156" spans="47:51" x14ac:dyDescent="0.2">
      <c r="AU8156"/>
      <c r="AV8156"/>
      <c r="AW8156"/>
      <c r="AX8156"/>
      <c r="AY8156"/>
    </row>
    <row r="8157" spans="47:51" x14ac:dyDescent="0.2">
      <c r="AU8157"/>
      <c r="AV8157"/>
      <c r="AW8157"/>
      <c r="AX8157"/>
      <c r="AY8157"/>
    </row>
    <row r="8158" spans="47:51" x14ac:dyDescent="0.2">
      <c r="AU8158"/>
      <c r="AV8158"/>
      <c r="AW8158"/>
      <c r="AX8158"/>
      <c r="AY8158"/>
    </row>
    <row r="8159" spans="47:51" x14ac:dyDescent="0.2">
      <c r="AU8159"/>
      <c r="AV8159"/>
      <c r="AW8159"/>
      <c r="AX8159"/>
      <c r="AY8159"/>
    </row>
    <row r="8160" spans="47:51" x14ac:dyDescent="0.2">
      <c r="AU8160"/>
      <c r="AV8160"/>
      <c r="AW8160"/>
      <c r="AX8160"/>
      <c r="AY8160"/>
    </row>
    <row r="8161" spans="47:51" x14ac:dyDescent="0.2">
      <c r="AU8161"/>
      <c r="AV8161"/>
      <c r="AW8161"/>
      <c r="AX8161"/>
      <c r="AY8161"/>
    </row>
    <row r="8162" spans="47:51" x14ac:dyDescent="0.2">
      <c r="AU8162"/>
      <c r="AV8162"/>
      <c r="AW8162"/>
      <c r="AX8162"/>
      <c r="AY8162"/>
    </row>
    <row r="8163" spans="47:51" x14ac:dyDescent="0.2">
      <c r="AU8163"/>
      <c r="AV8163"/>
      <c r="AW8163"/>
      <c r="AX8163"/>
      <c r="AY8163"/>
    </row>
    <row r="8164" spans="47:51" x14ac:dyDescent="0.2">
      <c r="AU8164"/>
      <c r="AV8164"/>
      <c r="AW8164"/>
      <c r="AX8164"/>
      <c r="AY8164"/>
    </row>
    <row r="8165" spans="47:51" x14ac:dyDescent="0.2">
      <c r="AU8165"/>
      <c r="AV8165"/>
      <c r="AW8165"/>
      <c r="AX8165"/>
      <c r="AY8165"/>
    </row>
    <row r="8166" spans="47:51" x14ac:dyDescent="0.2">
      <c r="AU8166"/>
      <c r="AV8166"/>
      <c r="AW8166"/>
      <c r="AX8166"/>
      <c r="AY8166"/>
    </row>
    <row r="8167" spans="47:51" x14ac:dyDescent="0.2">
      <c r="AU8167"/>
      <c r="AV8167"/>
      <c r="AW8167"/>
      <c r="AX8167"/>
      <c r="AY8167"/>
    </row>
    <row r="8168" spans="47:51" x14ac:dyDescent="0.2">
      <c r="AU8168"/>
      <c r="AV8168"/>
      <c r="AW8168"/>
      <c r="AX8168"/>
      <c r="AY8168"/>
    </row>
    <row r="8169" spans="47:51" x14ac:dyDescent="0.2">
      <c r="AU8169"/>
      <c r="AV8169"/>
      <c r="AW8169"/>
      <c r="AX8169"/>
      <c r="AY8169"/>
    </row>
    <row r="8170" spans="47:51" x14ac:dyDescent="0.2">
      <c r="AU8170"/>
      <c r="AV8170"/>
      <c r="AW8170"/>
      <c r="AX8170"/>
      <c r="AY8170"/>
    </row>
    <row r="8171" spans="47:51" x14ac:dyDescent="0.2">
      <c r="AU8171"/>
      <c r="AV8171"/>
      <c r="AW8171"/>
      <c r="AX8171"/>
      <c r="AY8171"/>
    </row>
    <row r="8172" spans="47:51" x14ac:dyDescent="0.2">
      <c r="AU8172"/>
      <c r="AV8172"/>
      <c r="AW8172"/>
      <c r="AX8172"/>
      <c r="AY8172"/>
    </row>
    <row r="8173" spans="47:51" x14ac:dyDescent="0.2">
      <c r="AU8173"/>
      <c r="AV8173"/>
      <c r="AW8173"/>
      <c r="AX8173"/>
      <c r="AY8173"/>
    </row>
    <row r="8174" spans="47:51" x14ac:dyDescent="0.2">
      <c r="AU8174"/>
      <c r="AV8174"/>
      <c r="AW8174"/>
      <c r="AX8174"/>
      <c r="AY8174"/>
    </row>
    <row r="8175" spans="47:51" x14ac:dyDescent="0.2">
      <c r="AU8175"/>
      <c r="AV8175"/>
      <c r="AW8175"/>
      <c r="AX8175"/>
      <c r="AY8175"/>
    </row>
    <row r="8176" spans="47:51" x14ac:dyDescent="0.2">
      <c r="AU8176"/>
      <c r="AV8176"/>
      <c r="AW8176"/>
      <c r="AX8176"/>
      <c r="AY8176"/>
    </row>
    <row r="8177" spans="47:51" x14ac:dyDescent="0.2">
      <c r="AU8177"/>
      <c r="AV8177"/>
      <c r="AW8177"/>
      <c r="AX8177"/>
      <c r="AY8177"/>
    </row>
    <row r="8178" spans="47:51" x14ac:dyDescent="0.2">
      <c r="AU8178"/>
      <c r="AV8178"/>
      <c r="AW8178"/>
      <c r="AX8178"/>
      <c r="AY8178"/>
    </row>
    <row r="8179" spans="47:51" x14ac:dyDescent="0.2">
      <c r="AU8179"/>
      <c r="AV8179"/>
      <c r="AW8179"/>
      <c r="AX8179"/>
      <c r="AY8179"/>
    </row>
    <row r="8180" spans="47:51" x14ac:dyDescent="0.2">
      <c r="AU8180"/>
      <c r="AV8180"/>
      <c r="AW8180"/>
      <c r="AX8180"/>
      <c r="AY8180"/>
    </row>
    <row r="8181" spans="47:51" x14ac:dyDescent="0.2">
      <c r="AU8181"/>
      <c r="AV8181"/>
      <c r="AW8181"/>
      <c r="AX8181"/>
      <c r="AY8181"/>
    </row>
    <row r="8182" spans="47:51" x14ac:dyDescent="0.2">
      <c r="AU8182"/>
      <c r="AV8182"/>
      <c r="AW8182"/>
      <c r="AX8182"/>
      <c r="AY8182"/>
    </row>
    <row r="8183" spans="47:51" x14ac:dyDescent="0.2">
      <c r="AU8183"/>
      <c r="AV8183"/>
      <c r="AW8183"/>
      <c r="AX8183"/>
      <c r="AY8183"/>
    </row>
    <row r="8184" spans="47:51" x14ac:dyDescent="0.2">
      <c r="AU8184"/>
      <c r="AV8184"/>
      <c r="AW8184"/>
      <c r="AX8184"/>
      <c r="AY8184"/>
    </row>
    <row r="8185" spans="47:51" x14ac:dyDescent="0.2">
      <c r="AU8185"/>
      <c r="AV8185"/>
      <c r="AW8185"/>
      <c r="AX8185"/>
      <c r="AY8185"/>
    </row>
    <row r="8186" spans="47:51" x14ac:dyDescent="0.2">
      <c r="AU8186"/>
      <c r="AV8186"/>
      <c r="AW8186"/>
      <c r="AX8186"/>
      <c r="AY8186"/>
    </row>
    <row r="8187" spans="47:51" x14ac:dyDescent="0.2">
      <c r="AU8187"/>
      <c r="AV8187"/>
      <c r="AW8187"/>
      <c r="AX8187"/>
      <c r="AY8187"/>
    </row>
    <row r="8188" spans="47:51" x14ac:dyDescent="0.2">
      <c r="AU8188"/>
      <c r="AV8188"/>
      <c r="AW8188"/>
      <c r="AX8188"/>
      <c r="AY8188"/>
    </row>
    <row r="8189" spans="47:51" x14ac:dyDescent="0.2">
      <c r="AU8189"/>
      <c r="AV8189"/>
      <c r="AW8189"/>
      <c r="AX8189"/>
      <c r="AY8189"/>
    </row>
    <row r="8190" spans="47:51" x14ac:dyDescent="0.2">
      <c r="AU8190"/>
      <c r="AV8190"/>
      <c r="AW8190"/>
      <c r="AX8190"/>
      <c r="AY8190"/>
    </row>
    <row r="8191" spans="47:51" x14ac:dyDescent="0.2">
      <c r="AU8191"/>
      <c r="AV8191"/>
      <c r="AW8191"/>
      <c r="AX8191"/>
      <c r="AY8191"/>
    </row>
    <row r="8192" spans="47:51" x14ac:dyDescent="0.2">
      <c r="AU8192"/>
      <c r="AV8192"/>
      <c r="AW8192"/>
      <c r="AX8192"/>
      <c r="AY8192"/>
    </row>
    <row r="8193" spans="47:51" x14ac:dyDescent="0.2">
      <c r="AU8193"/>
      <c r="AV8193"/>
      <c r="AW8193"/>
      <c r="AX8193"/>
      <c r="AY8193"/>
    </row>
    <row r="8194" spans="47:51" x14ac:dyDescent="0.2">
      <c r="AU8194"/>
      <c r="AV8194"/>
      <c r="AW8194"/>
      <c r="AX8194"/>
      <c r="AY8194"/>
    </row>
    <row r="8195" spans="47:51" x14ac:dyDescent="0.2">
      <c r="AU8195"/>
      <c r="AV8195"/>
      <c r="AW8195"/>
      <c r="AX8195"/>
      <c r="AY8195"/>
    </row>
    <row r="8196" spans="47:51" x14ac:dyDescent="0.2">
      <c r="AU8196"/>
      <c r="AV8196"/>
      <c r="AW8196"/>
      <c r="AX8196"/>
      <c r="AY8196"/>
    </row>
    <row r="8197" spans="47:51" x14ac:dyDescent="0.2">
      <c r="AU8197"/>
      <c r="AV8197"/>
      <c r="AW8197"/>
      <c r="AX8197"/>
      <c r="AY8197"/>
    </row>
    <row r="8198" spans="47:51" x14ac:dyDescent="0.2">
      <c r="AU8198"/>
      <c r="AV8198"/>
      <c r="AW8198"/>
      <c r="AX8198"/>
      <c r="AY8198"/>
    </row>
    <row r="8199" spans="47:51" x14ac:dyDescent="0.2">
      <c r="AU8199"/>
      <c r="AV8199"/>
      <c r="AW8199"/>
      <c r="AX8199"/>
      <c r="AY8199"/>
    </row>
    <row r="8200" spans="47:51" x14ac:dyDescent="0.2">
      <c r="AU8200"/>
      <c r="AV8200"/>
      <c r="AW8200"/>
      <c r="AX8200"/>
      <c r="AY8200"/>
    </row>
    <row r="8201" spans="47:51" x14ac:dyDescent="0.2">
      <c r="AU8201"/>
      <c r="AV8201"/>
      <c r="AW8201"/>
      <c r="AX8201"/>
      <c r="AY8201"/>
    </row>
    <row r="8202" spans="47:51" x14ac:dyDescent="0.2">
      <c r="AU8202"/>
      <c r="AV8202"/>
      <c r="AW8202"/>
      <c r="AX8202"/>
      <c r="AY8202"/>
    </row>
    <row r="8203" spans="47:51" x14ac:dyDescent="0.2">
      <c r="AU8203"/>
      <c r="AV8203"/>
      <c r="AW8203"/>
      <c r="AX8203"/>
      <c r="AY8203"/>
    </row>
    <row r="8204" spans="47:51" x14ac:dyDescent="0.2">
      <c r="AU8204"/>
      <c r="AV8204"/>
      <c r="AW8204"/>
      <c r="AX8204"/>
      <c r="AY8204"/>
    </row>
    <row r="8205" spans="47:51" x14ac:dyDescent="0.2">
      <c r="AU8205"/>
      <c r="AV8205"/>
      <c r="AW8205"/>
      <c r="AX8205"/>
      <c r="AY8205"/>
    </row>
    <row r="8206" spans="47:51" x14ac:dyDescent="0.2">
      <c r="AU8206"/>
      <c r="AV8206"/>
      <c r="AW8206"/>
      <c r="AX8206"/>
      <c r="AY8206"/>
    </row>
    <row r="8207" spans="47:51" x14ac:dyDescent="0.2">
      <c r="AU8207"/>
      <c r="AV8207"/>
      <c r="AW8207"/>
      <c r="AX8207"/>
      <c r="AY8207"/>
    </row>
    <row r="8208" spans="47:51" x14ac:dyDescent="0.2">
      <c r="AU8208"/>
      <c r="AV8208"/>
      <c r="AW8208"/>
      <c r="AX8208"/>
      <c r="AY8208"/>
    </row>
    <row r="8209" spans="47:51" x14ac:dyDescent="0.2">
      <c r="AU8209"/>
      <c r="AV8209"/>
      <c r="AW8209"/>
      <c r="AX8209"/>
      <c r="AY8209"/>
    </row>
    <row r="8210" spans="47:51" x14ac:dyDescent="0.2">
      <c r="AU8210"/>
      <c r="AV8210"/>
      <c r="AW8210"/>
      <c r="AX8210"/>
      <c r="AY8210"/>
    </row>
    <row r="8211" spans="47:51" x14ac:dyDescent="0.2">
      <c r="AU8211"/>
      <c r="AV8211"/>
      <c r="AW8211"/>
      <c r="AX8211"/>
      <c r="AY8211"/>
    </row>
    <row r="8212" spans="47:51" x14ac:dyDescent="0.2">
      <c r="AU8212"/>
      <c r="AV8212"/>
      <c r="AW8212"/>
      <c r="AX8212"/>
      <c r="AY8212"/>
    </row>
    <row r="8213" spans="47:51" x14ac:dyDescent="0.2">
      <c r="AU8213"/>
      <c r="AV8213"/>
      <c r="AW8213"/>
      <c r="AX8213"/>
      <c r="AY8213"/>
    </row>
    <row r="8214" spans="47:51" x14ac:dyDescent="0.2">
      <c r="AU8214"/>
      <c r="AV8214"/>
      <c r="AW8214"/>
      <c r="AX8214"/>
      <c r="AY8214"/>
    </row>
    <row r="8215" spans="47:51" x14ac:dyDescent="0.2">
      <c r="AU8215"/>
      <c r="AV8215"/>
      <c r="AW8215"/>
      <c r="AX8215"/>
      <c r="AY8215"/>
    </row>
    <row r="8216" spans="47:51" x14ac:dyDescent="0.2">
      <c r="AU8216"/>
      <c r="AV8216"/>
      <c r="AW8216"/>
      <c r="AX8216"/>
      <c r="AY8216"/>
    </row>
    <row r="8217" spans="47:51" x14ac:dyDescent="0.2">
      <c r="AU8217"/>
      <c r="AV8217"/>
      <c r="AW8217"/>
      <c r="AX8217"/>
      <c r="AY8217"/>
    </row>
    <row r="8218" spans="47:51" x14ac:dyDescent="0.2">
      <c r="AU8218"/>
      <c r="AV8218"/>
      <c r="AW8218"/>
      <c r="AX8218"/>
      <c r="AY8218"/>
    </row>
    <row r="8219" spans="47:51" x14ac:dyDescent="0.2">
      <c r="AU8219"/>
      <c r="AV8219"/>
      <c r="AW8219"/>
      <c r="AX8219"/>
      <c r="AY8219"/>
    </row>
    <row r="8220" spans="47:51" x14ac:dyDescent="0.2">
      <c r="AU8220"/>
      <c r="AV8220"/>
      <c r="AW8220"/>
      <c r="AX8220"/>
      <c r="AY8220"/>
    </row>
    <row r="8221" spans="47:51" x14ac:dyDescent="0.2">
      <c r="AU8221"/>
      <c r="AV8221"/>
      <c r="AW8221"/>
      <c r="AX8221"/>
      <c r="AY8221"/>
    </row>
    <row r="8222" spans="47:51" x14ac:dyDescent="0.2">
      <c r="AU8222"/>
      <c r="AV8222"/>
      <c r="AW8222"/>
      <c r="AX8222"/>
      <c r="AY8222"/>
    </row>
    <row r="8223" spans="47:51" x14ac:dyDescent="0.2">
      <c r="AU8223"/>
      <c r="AV8223"/>
      <c r="AW8223"/>
      <c r="AX8223"/>
      <c r="AY8223"/>
    </row>
    <row r="8224" spans="47:51" x14ac:dyDescent="0.2">
      <c r="AU8224"/>
      <c r="AV8224"/>
      <c r="AW8224"/>
      <c r="AX8224"/>
      <c r="AY8224"/>
    </row>
    <row r="8225" spans="47:51" x14ac:dyDescent="0.2">
      <c r="AU8225"/>
      <c r="AV8225"/>
      <c r="AW8225"/>
      <c r="AX8225"/>
      <c r="AY8225"/>
    </row>
    <row r="8226" spans="47:51" x14ac:dyDescent="0.2">
      <c r="AU8226"/>
      <c r="AV8226"/>
      <c r="AW8226"/>
      <c r="AX8226"/>
      <c r="AY8226"/>
    </row>
    <row r="8227" spans="47:51" x14ac:dyDescent="0.2">
      <c r="AU8227"/>
      <c r="AV8227"/>
      <c r="AW8227"/>
      <c r="AX8227"/>
      <c r="AY8227"/>
    </row>
    <row r="8228" spans="47:51" x14ac:dyDescent="0.2">
      <c r="AU8228"/>
      <c r="AV8228"/>
      <c r="AW8228"/>
      <c r="AX8228"/>
      <c r="AY8228"/>
    </row>
    <row r="8229" spans="47:51" x14ac:dyDescent="0.2">
      <c r="AU8229"/>
      <c r="AV8229"/>
      <c r="AW8229"/>
      <c r="AX8229"/>
      <c r="AY8229"/>
    </row>
    <row r="8230" spans="47:51" x14ac:dyDescent="0.2">
      <c r="AU8230"/>
      <c r="AV8230"/>
      <c r="AW8230"/>
      <c r="AX8230"/>
      <c r="AY8230"/>
    </row>
    <row r="8231" spans="47:51" x14ac:dyDescent="0.2">
      <c r="AU8231"/>
      <c r="AV8231"/>
      <c r="AW8231"/>
      <c r="AX8231"/>
      <c r="AY8231"/>
    </row>
    <row r="8232" spans="47:51" x14ac:dyDescent="0.2">
      <c r="AU8232"/>
      <c r="AV8232"/>
      <c r="AW8232"/>
      <c r="AX8232"/>
      <c r="AY8232"/>
    </row>
    <row r="8233" spans="47:51" x14ac:dyDescent="0.2">
      <c r="AU8233"/>
      <c r="AV8233"/>
      <c r="AW8233"/>
      <c r="AX8233"/>
      <c r="AY8233"/>
    </row>
    <row r="8234" spans="47:51" x14ac:dyDescent="0.2">
      <c r="AU8234"/>
      <c r="AV8234"/>
      <c r="AW8234"/>
      <c r="AX8234"/>
      <c r="AY8234"/>
    </row>
    <row r="8235" spans="47:51" x14ac:dyDescent="0.2">
      <c r="AU8235"/>
      <c r="AV8235"/>
      <c r="AW8235"/>
      <c r="AX8235"/>
      <c r="AY8235"/>
    </row>
    <row r="8236" spans="47:51" x14ac:dyDescent="0.2">
      <c r="AU8236"/>
      <c r="AV8236"/>
      <c r="AW8236"/>
      <c r="AX8236"/>
      <c r="AY8236"/>
    </row>
    <row r="8237" spans="47:51" x14ac:dyDescent="0.2">
      <c r="AU8237"/>
      <c r="AV8237"/>
      <c r="AW8237"/>
      <c r="AX8237"/>
      <c r="AY8237"/>
    </row>
    <row r="8238" spans="47:51" x14ac:dyDescent="0.2">
      <c r="AU8238"/>
      <c r="AV8238"/>
      <c r="AW8238"/>
      <c r="AX8238"/>
      <c r="AY8238"/>
    </row>
    <row r="8239" spans="47:51" x14ac:dyDescent="0.2">
      <c r="AU8239"/>
      <c r="AV8239"/>
      <c r="AW8239"/>
      <c r="AX8239"/>
      <c r="AY8239"/>
    </row>
    <row r="8240" spans="47:51" x14ac:dyDescent="0.2">
      <c r="AU8240"/>
      <c r="AV8240"/>
      <c r="AW8240"/>
      <c r="AX8240"/>
      <c r="AY8240"/>
    </row>
    <row r="8241" spans="47:51" x14ac:dyDescent="0.2">
      <c r="AU8241"/>
      <c r="AV8241"/>
      <c r="AW8241"/>
      <c r="AX8241"/>
      <c r="AY8241"/>
    </row>
    <row r="8242" spans="47:51" x14ac:dyDescent="0.2">
      <c r="AU8242"/>
      <c r="AV8242"/>
      <c r="AW8242"/>
      <c r="AX8242"/>
      <c r="AY8242"/>
    </row>
    <row r="8243" spans="47:51" x14ac:dyDescent="0.2">
      <c r="AU8243"/>
      <c r="AV8243"/>
      <c r="AW8243"/>
      <c r="AX8243"/>
      <c r="AY8243"/>
    </row>
    <row r="8244" spans="47:51" x14ac:dyDescent="0.2">
      <c r="AU8244"/>
      <c r="AV8244"/>
      <c r="AW8244"/>
      <c r="AX8244"/>
      <c r="AY8244"/>
    </row>
    <row r="8245" spans="47:51" x14ac:dyDescent="0.2">
      <c r="AU8245"/>
      <c r="AV8245"/>
      <c r="AW8245"/>
      <c r="AX8245"/>
      <c r="AY8245"/>
    </row>
    <row r="8246" spans="47:51" x14ac:dyDescent="0.2">
      <c r="AU8246"/>
      <c r="AV8246"/>
      <c r="AW8246"/>
      <c r="AX8246"/>
      <c r="AY8246"/>
    </row>
    <row r="8247" spans="47:51" x14ac:dyDescent="0.2">
      <c r="AU8247"/>
      <c r="AV8247"/>
      <c r="AW8247"/>
      <c r="AX8247"/>
      <c r="AY8247"/>
    </row>
    <row r="8248" spans="47:51" x14ac:dyDescent="0.2">
      <c r="AU8248"/>
      <c r="AV8248"/>
      <c r="AW8248"/>
      <c r="AX8248"/>
      <c r="AY8248"/>
    </row>
    <row r="8249" spans="47:51" x14ac:dyDescent="0.2">
      <c r="AU8249"/>
      <c r="AV8249"/>
      <c r="AW8249"/>
      <c r="AX8249"/>
      <c r="AY8249"/>
    </row>
    <row r="8250" spans="47:51" x14ac:dyDescent="0.2">
      <c r="AU8250"/>
      <c r="AV8250"/>
      <c r="AW8250"/>
      <c r="AX8250"/>
      <c r="AY8250"/>
    </row>
    <row r="8251" spans="47:51" x14ac:dyDescent="0.2">
      <c r="AU8251"/>
      <c r="AV8251"/>
      <c r="AW8251"/>
      <c r="AX8251"/>
      <c r="AY8251"/>
    </row>
    <row r="8252" spans="47:51" x14ac:dyDescent="0.2">
      <c r="AU8252"/>
      <c r="AV8252"/>
      <c r="AW8252"/>
      <c r="AX8252"/>
      <c r="AY8252"/>
    </row>
    <row r="8253" spans="47:51" x14ac:dyDescent="0.2">
      <c r="AU8253"/>
      <c r="AV8253"/>
      <c r="AW8253"/>
      <c r="AX8253"/>
      <c r="AY8253"/>
    </row>
    <row r="8254" spans="47:51" x14ac:dyDescent="0.2">
      <c r="AU8254"/>
      <c r="AV8254"/>
      <c r="AW8254"/>
      <c r="AX8254"/>
      <c r="AY8254"/>
    </row>
    <row r="8255" spans="47:51" x14ac:dyDescent="0.2">
      <c r="AU8255"/>
      <c r="AV8255"/>
      <c r="AW8255"/>
      <c r="AX8255"/>
      <c r="AY8255"/>
    </row>
    <row r="8256" spans="47:51" x14ac:dyDescent="0.2">
      <c r="AU8256"/>
      <c r="AV8256"/>
      <c r="AW8256"/>
      <c r="AX8256"/>
      <c r="AY8256"/>
    </row>
    <row r="8257" spans="47:51" x14ac:dyDescent="0.2">
      <c r="AU8257"/>
      <c r="AV8257"/>
      <c r="AW8257"/>
      <c r="AX8257"/>
      <c r="AY8257"/>
    </row>
    <row r="8258" spans="47:51" x14ac:dyDescent="0.2">
      <c r="AU8258"/>
      <c r="AV8258"/>
      <c r="AW8258"/>
      <c r="AX8258"/>
      <c r="AY8258"/>
    </row>
    <row r="8259" spans="47:51" x14ac:dyDescent="0.2">
      <c r="AU8259"/>
      <c r="AV8259"/>
      <c r="AW8259"/>
      <c r="AX8259"/>
      <c r="AY8259"/>
    </row>
    <row r="8260" spans="47:51" x14ac:dyDescent="0.2">
      <c r="AU8260"/>
      <c r="AV8260"/>
      <c r="AW8260"/>
      <c r="AX8260"/>
      <c r="AY8260"/>
    </row>
    <row r="8261" spans="47:51" x14ac:dyDescent="0.2">
      <c r="AU8261"/>
      <c r="AV8261"/>
      <c r="AW8261"/>
      <c r="AX8261"/>
      <c r="AY8261"/>
    </row>
    <row r="8262" spans="47:51" x14ac:dyDescent="0.2">
      <c r="AU8262"/>
      <c r="AV8262"/>
      <c r="AW8262"/>
      <c r="AX8262"/>
      <c r="AY8262"/>
    </row>
    <row r="8263" spans="47:51" x14ac:dyDescent="0.2">
      <c r="AU8263"/>
      <c r="AV8263"/>
      <c r="AW8263"/>
      <c r="AX8263"/>
      <c r="AY8263"/>
    </row>
    <row r="8264" spans="47:51" x14ac:dyDescent="0.2">
      <c r="AU8264"/>
      <c r="AV8264"/>
      <c r="AW8264"/>
      <c r="AX8264"/>
      <c r="AY8264"/>
    </row>
    <row r="8265" spans="47:51" x14ac:dyDescent="0.2">
      <c r="AU8265"/>
      <c r="AV8265"/>
      <c r="AW8265"/>
      <c r="AX8265"/>
      <c r="AY8265"/>
    </row>
    <row r="8266" spans="47:51" x14ac:dyDescent="0.2">
      <c r="AU8266"/>
      <c r="AV8266"/>
      <c r="AW8266"/>
      <c r="AX8266"/>
      <c r="AY8266"/>
    </row>
    <row r="8267" spans="47:51" x14ac:dyDescent="0.2">
      <c r="AU8267"/>
      <c r="AV8267"/>
      <c r="AW8267"/>
      <c r="AX8267"/>
      <c r="AY8267"/>
    </row>
    <row r="8268" spans="47:51" x14ac:dyDescent="0.2">
      <c r="AU8268"/>
      <c r="AV8268"/>
      <c r="AW8268"/>
      <c r="AX8268"/>
      <c r="AY8268"/>
    </row>
    <row r="8269" spans="47:51" x14ac:dyDescent="0.2">
      <c r="AU8269"/>
      <c r="AV8269"/>
      <c r="AW8269"/>
      <c r="AX8269"/>
      <c r="AY8269"/>
    </row>
    <row r="8270" spans="47:51" x14ac:dyDescent="0.2">
      <c r="AU8270"/>
      <c r="AV8270"/>
      <c r="AW8270"/>
      <c r="AX8270"/>
      <c r="AY8270"/>
    </row>
    <row r="8271" spans="47:51" x14ac:dyDescent="0.2">
      <c r="AU8271"/>
      <c r="AV8271"/>
      <c r="AW8271"/>
      <c r="AX8271"/>
      <c r="AY8271"/>
    </row>
    <row r="8272" spans="47:51" x14ac:dyDescent="0.2">
      <c r="AU8272"/>
      <c r="AV8272"/>
      <c r="AW8272"/>
      <c r="AX8272"/>
      <c r="AY8272"/>
    </row>
    <row r="8273" spans="47:51" x14ac:dyDescent="0.2">
      <c r="AU8273"/>
      <c r="AV8273"/>
      <c r="AW8273"/>
      <c r="AX8273"/>
      <c r="AY8273"/>
    </row>
    <row r="8274" spans="47:51" x14ac:dyDescent="0.2">
      <c r="AU8274"/>
      <c r="AV8274"/>
      <c r="AW8274"/>
      <c r="AX8274"/>
      <c r="AY8274"/>
    </row>
    <row r="8275" spans="47:51" x14ac:dyDescent="0.2">
      <c r="AU8275"/>
      <c r="AV8275"/>
      <c r="AW8275"/>
      <c r="AX8275"/>
      <c r="AY8275"/>
    </row>
    <row r="8276" spans="47:51" x14ac:dyDescent="0.2">
      <c r="AU8276"/>
      <c r="AV8276"/>
      <c r="AW8276"/>
      <c r="AX8276"/>
      <c r="AY8276"/>
    </row>
    <row r="8277" spans="47:51" x14ac:dyDescent="0.2">
      <c r="AU8277"/>
      <c r="AV8277"/>
      <c r="AW8277"/>
      <c r="AX8277"/>
      <c r="AY8277"/>
    </row>
    <row r="8278" spans="47:51" x14ac:dyDescent="0.2">
      <c r="AU8278"/>
      <c r="AV8278"/>
      <c r="AW8278"/>
      <c r="AX8278"/>
      <c r="AY8278"/>
    </row>
    <row r="8279" spans="47:51" x14ac:dyDescent="0.2">
      <c r="AU8279"/>
      <c r="AV8279"/>
      <c r="AW8279"/>
      <c r="AX8279"/>
      <c r="AY8279"/>
    </row>
    <row r="8280" spans="47:51" x14ac:dyDescent="0.2">
      <c r="AU8280"/>
      <c r="AV8280"/>
      <c r="AW8280"/>
      <c r="AX8280"/>
      <c r="AY8280"/>
    </row>
    <row r="8281" spans="47:51" x14ac:dyDescent="0.2">
      <c r="AU8281"/>
      <c r="AV8281"/>
      <c r="AW8281"/>
      <c r="AX8281"/>
      <c r="AY8281"/>
    </row>
    <row r="8282" spans="47:51" x14ac:dyDescent="0.2">
      <c r="AU8282"/>
      <c r="AV8282"/>
      <c r="AW8282"/>
      <c r="AX8282"/>
      <c r="AY8282"/>
    </row>
    <row r="8283" spans="47:51" x14ac:dyDescent="0.2">
      <c r="AU8283"/>
      <c r="AV8283"/>
      <c r="AW8283"/>
      <c r="AX8283"/>
      <c r="AY8283"/>
    </row>
    <row r="8284" spans="47:51" x14ac:dyDescent="0.2">
      <c r="AU8284"/>
      <c r="AV8284"/>
      <c r="AW8284"/>
      <c r="AX8284"/>
      <c r="AY8284"/>
    </row>
    <row r="8285" spans="47:51" x14ac:dyDescent="0.2">
      <c r="AU8285"/>
      <c r="AV8285"/>
      <c r="AW8285"/>
      <c r="AX8285"/>
      <c r="AY8285"/>
    </row>
    <row r="8286" spans="47:51" x14ac:dyDescent="0.2">
      <c r="AU8286"/>
      <c r="AV8286"/>
      <c r="AW8286"/>
      <c r="AX8286"/>
      <c r="AY8286"/>
    </row>
    <row r="8287" spans="47:51" x14ac:dyDescent="0.2">
      <c r="AU8287"/>
      <c r="AV8287"/>
      <c r="AW8287"/>
      <c r="AX8287"/>
      <c r="AY8287"/>
    </row>
    <row r="8288" spans="47:51" x14ac:dyDescent="0.2">
      <c r="AU8288"/>
      <c r="AV8288"/>
      <c r="AW8288"/>
      <c r="AX8288"/>
      <c r="AY8288"/>
    </row>
    <row r="8289" spans="47:51" x14ac:dyDescent="0.2">
      <c r="AU8289"/>
      <c r="AV8289"/>
      <c r="AW8289"/>
      <c r="AX8289"/>
      <c r="AY8289"/>
    </row>
    <row r="8290" spans="47:51" x14ac:dyDescent="0.2">
      <c r="AU8290"/>
      <c r="AV8290"/>
      <c r="AW8290"/>
      <c r="AX8290"/>
      <c r="AY8290"/>
    </row>
    <row r="8291" spans="47:51" x14ac:dyDescent="0.2">
      <c r="AU8291"/>
      <c r="AV8291"/>
      <c r="AW8291"/>
      <c r="AX8291"/>
      <c r="AY8291"/>
    </row>
    <row r="8292" spans="47:51" x14ac:dyDescent="0.2">
      <c r="AU8292"/>
      <c r="AV8292"/>
      <c r="AW8292"/>
      <c r="AX8292"/>
      <c r="AY8292"/>
    </row>
    <row r="8293" spans="47:51" x14ac:dyDescent="0.2">
      <c r="AU8293"/>
      <c r="AV8293"/>
      <c r="AW8293"/>
      <c r="AX8293"/>
      <c r="AY8293"/>
    </row>
    <row r="8294" spans="47:51" x14ac:dyDescent="0.2">
      <c r="AU8294"/>
      <c r="AV8294"/>
      <c r="AW8294"/>
      <c r="AX8294"/>
      <c r="AY8294"/>
    </row>
    <row r="8295" spans="47:51" x14ac:dyDescent="0.2">
      <c r="AU8295"/>
      <c r="AV8295"/>
      <c r="AW8295"/>
      <c r="AX8295"/>
      <c r="AY8295"/>
    </row>
    <row r="8296" spans="47:51" x14ac:dyDescent="0.2">
      <c r="AU8296"/>
      <c r="AV8296"/>
      <c r="AW8296"/>
      <c r="AX8296"/>
      <c r="AY8296"/>
    </row>
    <row r="8297" spans="47:51" x14ac:dyDescent="0.2">
      <c r="AU8297"/>
      <c r="AV8297"/>
      <c r="AW8297"/>
      <c r="AX8297"/>
      <c r="AY8297"/>
    </row>
    <row r="8298" spans="47:51" x14ac:dyDescent="0.2">
      <c r="AU8298"/>
      <c r="AV8298"/>
      <c r="AW8298"/>
      <c r="AX8298"/>
      <c r="AY8298"/>
    </row>
    <row r="8299" spans="47:51" x14ac:dyDescent="0.2">
      <c r="AU8299"/>
      <c r="AV8299"/>
      <c r="AW8299"/>
      <c r="AX8299"/>
      <c r="AY8299"/>
    </row>
    <row r="8300" spans="47:51" x14ac:dyDescent="0.2">
      <c r="AU8300"/>
      <c r="AV8300"/>
      <c r="AW8300"/>
      <c r="AX8300"/>
      <c r="AY8300"/>
    </row>
    <row r="8301" spans="47:51" x14ac:dyDescent="0.2">
      <c r="AU8301"/>
      <c r="AV8301"/>
      <c r="AW8301"/>
      <c r="AX8301"/>
      <c r="AY8301"/>
    </row>
    <row r="8302" spans="47:51" x14ac:dyDescent="0.2">
      <c r="AU8302"/>
      <c r="AV8302"/>
      <c r="AW8302"/>
      <c r="AX8302"/>
      <c r="AY8302"/>
    </row>
    <row r="8303" spans="47:51" x14ac:dyDescent="0.2">
      <c r="AU8303"/>
      <c r="AV8303"/>
      <c r="AW8303"/>
      <c r="AX8303"/>
      <c r="AY8303"/>
    </row>
    <row r="8304" spans="47:51" x14ac:dyDescent="0.2">
      <c r="AU8304"/>
      <c r="AV8304"/>
      <c r="AW8304"/>
      <c r="AX8304"/>
      <c r="AY8304"/>
    </row>
    <row r="8305" spans="47:51" x14ac:dyDescent="0.2">
      <c r="AU8305"/>
      <c r="AV8305"/>
      <c r="AW8305"/>
      <c r="AX8305"/>
      <c r="AY8305"/>
    </row>
    <row r="8306" spans="47:51" x14ac:dyDescent="0.2">
      <c r="AU8306"/>
      <c r="AV8306"/>
      <c r="AW8306"/>
      <c r="AX8306"/>
      <c r="AY8306"/>
    </row>
    <row r="8307" spans="47:51" x14ac:dyDescent="0.2">
      <c r="AU8307"/>
      <c r="AV8307"/>
      <c r="AW8307"/>
      <c r="AX8307"/>
      <c r="AY8307"/>
    </row>
    <row r="8308" spans="47:51" x14ac:dyDescent="0.2">
      <c r="AU8308"/>
      <c r="AV8308"/>
      <c r="AW8308"/>
      <c r="AX8308"/>
      <c r="AY8308"/>
    </row>
    <row r="8309" spans="47:51" x14ac:dyDescent="0.2">
      <c r="AU8309"/>
      <c r="AV8309"/>
      <c r="AW8309"/>
      <c r="AX8309"/>
      <c r="AY8309"/>
    </row>
    <row r="8310" spans="47:51" x14ac:dyDescent="0.2">
      <c r="AU8310"/>
      <c r="AV8310"/>
      <c r="AW8310"/>
      <c r="AX8310"/>
      <c r="AY8310"/>
    </row>
    <row r="8311" spans="47:51" x14ac:dyDescent="0.2">
      <c r="AU8311"/>
      <c r="AV8311"/>
      <c r="AW8311"/>
      <c r="AX8311"/>
      <c r="AY8311"/>
    </row>
    <row r="8312" spans="47:51" x14ac:dyDescent="0.2">
      <c r="AU8312"/>
      <c r="AV8312"/>
      <c r="AW8312"/>
      <c r="AX8312"/>
      <c r="AY8312"/>
    </row>
    <row r="8313" spans="47:51" x14ac:dyDescent="0.2">
      <c r="AU8313"/>
      <c r="AV8313"/>
      <c r="AW8313"/>
      <c r="AX8313"/>
      <c r="AY8313"/>
    </row>
    <row r="8314" spans="47:51" x14ac:dyDescent="0.2">
      <c r="AU8314"/>
      <c r="AV8314"/>
      <c r="AW8314"/>
      <c r="AX8314"/>
      <c r="AY8314"/>
    </row>
    <row r="8315" spans="47:51" x14ac:dyDescent="0.2">
      <c r="AU8315"/>
      <c r="AV8315"/>
      <c r="AW8315"/>
      <c r="AX8315"/>
      <c r="AY8315"/>
    </row>
    <row r="8316" spans="47:51" x14ac:dyDescent="0.2">
      <c r="AU8316"/>
      <c r="AV8316"/>
      <c r="AW8316"/>
      <c r="AX8316"/>
      <c r="AY8316"/>
    </row>
    <row r="8317" spans="47:51" x14ac:dyDescent="0.2">
      <c r="AU8317"/>
      <c r="AV8317"/>
      <c r="AW8317"/>
      <c r="AX8317"/>
      <c r="AY8317"/>
    </row>
    <row r="8318" spans="47:51" x14ac:dyDescent="0.2">
      <c r="AU8318"/>
      <c r="AV8318"/>
      <c r="AW8318"/>
      <c r="AX8318"/>
      <c r="AY8318"/>
    </row>
    <row r="8319" spans="47:51" x14ac:dyDescent="0.2">
      <c r="AU8319"/>
      <c r="AV8319"/>
      <c r="AW8319"/>
      <c r="AX8319"/>
      <c r="AY8319"/>
    </row>
    <row r="8320" spans="47:51" x14ac:dyDescent="0.2">
      <c r="AU8320"/>
      <c r="AV8320"/>
      <c r="AW8320"/>
      <c r="AX8320"/>
      <c r="AY8320"/>
    </row>
    <row r="8321" spans="47:51" x14ac:dyDescent="0.2">
      <c r="AU8321"/>
      <c r="AV8321"/>
      <c r="AW8321"/>
      <c r="AX8321"/>
      <c r="AY8321"/>
    </row>
    <row r="8322" spans="47:51" x14ac:dyDescent="0.2">
      <c r="AU8322"/>
      <c r="AV8322"/>
      <c r="AW8322"/>
      <c r="AX8322"/>
      <c r="AY8322"/>
    </row>
    <row r="8323" spans="47:51" x14ac:dyDescent="0.2">
      <c r="AU8323"/>
      <c r="AV8323"/>
      <c r="AW8323"/>
      <c r="AX8323"/>
      <c r="AY8323"/>
    </row>
    <row r="8324" spans="47:51" x14ac:dyDescent="0.2">
      <c r="AU8324"/>
      <c r="AV8324"/>
      <c r="AW8324"/>
      <c r="AX8324"/>
      <c r="AY8324"/>
    </row>
    <row r="8325" spans="47:51" x14ac:dyDescent="0.2">
      <c r="AU8325"/>
      <c r="AV8325"/>
      <c r="AW8325"/>
      <c r="AX8325"/>
      <c r="AY8325"/>
    </row>
    <row r="8326" spans="47:51" x14ac:dyDescent="0.2">
      <c r="AU8326"/>
      <c r="AV8326"/>
      <c r="AW8326"/>
      <c r="AX8326"/>
      <c r="AY8326"/>
    </row>
    <row r="8327" spans="47:51" x14ac:dyDescent="0.2">
      <c r="AU8327"/>
      <c r="AV8327"/>
      <c r="AW8327"/>
      <c r="AX8327"/>
      <c r="AY8327"/>
    </row>
    <row r="8328" spans="47:51" x14ac:dyDescent="0.2">
      <c r="AU8328"/>
      <c r="AV8328"/>
      <c r="AW8328"/>
      <c r="AX8328"/>
      <c r="AY8328"/>
    </row>
    <row r="8329" spans="47:51" x14ac:dyDescent="0.2">
      <c r="AU8329"/>
      <c r="AV8329"/>
      <c r="AW8329"/>
      <c r="AX8329"/>
      <c r="AY8329"/>
    </row>
    <row r="8330" spans="47:51" x14ac:dyDescent="0.2">
      <c r="AU8330"/>
      <c r="AV8330"/>
      <c r="AW8330"/>
      <c r="AX8330"/>
      <c r="AY8330"/>
    </row>
    <row r="8331" spans="47:51" x14ac:dyDescent="0.2">
      <c r="AU8331"/>
      <c r="AV8331"/>
      <c r="AW8331"/>
      <c r="AX8331"/>
      <c r="AY8331"/>
    </row>
    <row r="8332" spans="47:51" x14ac:dyDescent="0.2">
      <c r="AU8332"/>
      <c r="AV8332"/>
      <c r="AW8332"/>
      <c r="AX8332"/>
      <c r="AY8332"/>
    </row>
    <row r="8333" spans="47:51" x14ac:dyDescent="0.2">
      <c r="AU8333"/>
      <c r="AV8333"/>
      <c r="AW8333"/>
      <c r="AX8333"/>
      <c r="AY8333"/>
    </row>
    <row r="8334" spans="47:51" x14ac:dyDescent="0.2">
      <c r="AU8334"/>
      <c r="AV8334"/>
      <c r="AW8334"/>
      <c r="AX8334"/>
      <c r="AY8334"/>
    </row>
    <row r="8335" spans="47:51" x14ac:dyDescent="0.2">
      <c r="AU8335"/>
      <c r="AV8335"/>
      <c r="AW8335"/>
      <c r="AX8335"/>
      <c r="AY8335"/>
    </row>
    <row r="8336" spans="47:51" x14ac:dyDescent="0.2">
      <c r="AU8336"/>
      <c r="AV8336"/>
      <c r="AW8336"/>
      <c r="AX8336"/>
      <c r="AY8336"/>
    </row>
    <row r="8337" spans="47:51" x14ac:dyDescent="0.2">
      <c r="AU8337"/>
      <c r="AV8337"/>
      <c r="AW8337"/>
      <c r="AX8337"/>
      <c r="AY8337"/>
    </row>
    <row r="8338" spans="47:51" x14ac:dyDescent="0.2">
      <c r="AU8338"/>
      <c r="AV8338"/>
      <c r="AW8338"/>
      <c r="AX8338"/>
      <c r="AY8338"/>
    </row>
    <row r="8339" spans="47:51" x14ac:dyDescent="0.2">
      <c r="AU8339"/>
      <c r="AV8339"/>
      <c r="AW8339"/>
      <c r="AX8339"/>
      <c r="AY8339"/>
    </row>
    <row r="8340" spans="47:51" x14ac:dyDescent="0.2">
      <c r="AU8340"/>
      <c r="AV8340"/>
      <c r="AW8340"/>
      <c r="AX8340"/>
      <c r="AY8340"/>
    </row>
    <row r="8341" spans="47:51" x14ac:dyDescent="0.2">
      <c r="AU8341"/>
      <c r="AV8341"/>
      <c r="AW8341"/>
      <c r="AX8341"/>
      <c r="AY8341"/>
    </row>
    <row r="8342" spans="47:51" x14ac:dyDescent="0.2">
      <c r="AU8342"/>
      <c r="AV8342"/>
      <c r="AW8342"/>
      <c r="AX8342"/>
      <c r="AY8342"/>
    </row>
    <row r="8343" spans="47:51" x14ac:dyDescent="0.2">
      <c r="AU8343"/>
      <c r="AV8343"/>
      <c r="AW8343"/>
      <c r="AX8343"/>
      <c r="AY8343"/>
    </row>
    <row r="8344" spans="47:51" x14ac:dyDescent="0.2">
      <c r="AU8344"/>
      <c r="AV8344"/>
      <c r="AW8344"/>
      <c r="AX8344"/>
      <c r="AY8344"/>
    </row>
    <row r="8345" spans="47:51" x14ac:dyDescent="0.2">
      <c r="AU8345"/>
      <c r="AV8345"/>
      <c r="AW8345"/>
      <c r="AX8345"/>
      <c r="AY8345"/>
    </row>
    <row r="8346" spans="47:51" x14ac:dyDescent="0.2">
      <c r="AU8346"/>
      <c r="AV8346"/>
      <c r="AW8346"/>
      <c r="AX8346"/>
      <c r="AY8346"/>
    </row>
    <row r="8347" spans="47:51" x14ac:dyDescent="0.2">
      <c r="AU8347"/>
      <c r="AV8347"/>
      <c r="AW8347"/>
      <c r="AX8347"/>
      <c r="AY8347"/>
    </row>
    <row r="8348" spans="47:51" x14ac:dyDescent="0.2">
      <c r="AU8348"/>
      <c r="AV8348"/>
      <c r="AW8348"/>
      <c r="AX8348"/>
      <c r="AY8348"/>
    </row>
    <row r="8349" spans="47:51" x14ac:dyDescent="0.2">
      <c r="AU8349"/>
      <c r="AV8349"/>
      <c r="AW8349"/>
      <c r="AX8349"/>
      <c r="AY8349"/>
    </row>
    <row r="8350" spans="47:51" x14ac:dyDescent="0.2">
      <c r="AU8350"/>
      <c r="AV8350"/>
      <c r="AW8350"/>
      <c r="AX8350"/>
      <c r="AY8350"/>
    </row>
    <row r="8351" spans="47:51" x14ac:dyDescent="0.2">
      <c r="AU8351"/>
      <c r="AV8351"/>
      <c r="AW8351"/>
      <c r="AX8351"/>
      <c r="AY8351"/>
    </row>
    <row r="8352" spans="47:51" x14ac:dyDescent="0.2">
      <c r="AU8352"/>
      <c r="AV8352"/>
      <c r="AW8352"/>
      <c r="AX8352"/>
      <c r="AY8352"/>
    </row>
    <row r="8353" spans="47:51" x14ac:dyDescent="0.2">
      <c r="AU8353"/>
      <c r="AV8353"/>
      <c r="AW8353"/>
      <c r="AX8353"/>
      <c r="AY8353"/>
    </row>
    <row r="8354" spans="47:51" x14ac:dyDescent="0.2">
      <c r="AU8354"/>
      <c r="AV8354"/>
      <c r="AW8354"/>
      <c r="AX8354"/>
      <c r="AY8354"/>
    </row>
    <row r="8355" spans="47:51" x14ac:dyDescent="0.2">
      <c r="AU8355"/>
      <c r="AV8355"/>
      <c r="AW8355"/>
      <c r="AX8355"/>
      <c r="AY8355"/>
    </row>
    <row r="8356" spans="47:51" x14ac:dyDescent="0.2">
      <c r="AU8356"/>
      <c r="AV8356"/>
      <c r="AW8356"/>
      <c r="AX8356"/>
      <c r="AY8356"/>
    </row>
    <row r="8357" spans="47:51" x14ac:dyDescent="0.2">
      <c r="AU8357"/>
      <c r="AV8357"/>
      <c r="AW8357"/>
      <c r="AX8357"/>
      <c r="AY8357"/>
    </row>
    <row r="8358" spans="47:51" x14ac:dyDescent="0.2">
      <c r="AU8358"/>
      <c r="AV8358"/>
      <c r="AW8358"/>
      <c r="AX8358"/>
      <c r="AY8358"/>
    </row>
    <row r="8359" spans="47:51" x14ac:dyDescent="0.2">
      <c r="AU8359"/>
      <c r="AV8359"/>
      <c r="AW8359"/>
      <c r="AX8359"/>
      <c r="AY8359"/>
    </row>
    <row r="8360" spans="47:51" x14ac:dyDescent="0.2">
      <c r="AU8360"/>
      <c r="AV8360"/>
      <c r="AW8360"/>
      <c r="AX8360"/>
      <c r="AY8360"/>
    </row>
    <row r="8361" spans="47:51" x14ac:dyDescent="0.2">
      <c r="AU8361"/>
      <c r="AV8361"/>
      <c r="AW8361"/>
      <c r="AX8361"/>
      <c r="AY8361"/>
    </row>
    <row r="8362" spans="47:51" x14ac:dyDescent="0.2">
      <c r="AU8362"/>
      <c r="AV8362"/>
      <c r="AW8362"/>
      <c r="AX8362"/>
      <c r="AY8362"/>
    </row>
    <row r="8363" spans="47:51" x14ac:dyDescent="0.2">
      <c r="AU8363"/>
      <c r="AV8363"/>
      <c r="AW8363"/>
      <c r="AX8363"/>
      <c r="AY8363"/>
    </row>
    <row r="8364" spans="47:51" x14ac:dyDescent="0.2">
      <c r="AU8364"/>
      <c r="AV8364"/>
      <c r="AW8364"/>
      <c r="AX8364"/>
      <c r="AY8364"/>
    </row>
    <row r="8365" spans="47:51" x14ac:dyDescent="0.2">
      <c r="AU8365"/>
      <c r="AV8365"/>
      <c r="AW8365"/>
      <c r="AX8365"/>
      <c r="AY8365"/>
    </row>
    <row r="8366" spans="47:51" x14ac:dyDescent="0.2">
      <c r="AU8366"/>
      <c r="AV8366"/>
      <c r="AW8366"/>
      <c r="AX8366"/>
      <c r="AY8366"/>
    </row>
    <row r="8367" spans="47:51" x14ac:dyDescent="0.2">
      <c r="AU8367"/>
      <c r="AV8367"/>
      <c r="AW8367"/>
      <c r="AX8367"/>
      <c r="AY8367"/>
    </row>
    <row r="8368" spans="47:51" x14ac:dyDescent="0.2">
      <c r="AU8368"/>
      <c r="AV8368"/>
      <c r="AW8368"/>
      <c r="AX8368"/>
      <c r="AY8368"/>
    </row>
    <row r="8369" spans="47:51" x14ac:dyDescent="0.2">
      <c r="AU8369"/>
      <c r="AV8369"/>
      <c r="AW8369"/>
      <c r="AX8369"/>
      <c r="AY8369"/>
    </row>
    <row r="8370" spans="47:51" x14ac:dyDescent="0.2">
      <c r="AU8370"/>
      <c r="AV8370"/>
      <c r="AW8370"/>
      <c r="AX8370"/>
      <c r="AY8370"/>
    </row>
    <row r="8371" spans="47:51" x14ac:dyDescent="0.2">
      <c r="AU8371"/>
      <c r="AV8371"/>
      <c r="AW8371"/>
      <c r="AX8371"/>
      <c r="AY8371"/>
    </row>
    <row r="8372" spans="47:51" x14ac:dyDescent="0.2">
      <c r="AU8372"/>
      <c r="AV8372"/>
      <c r="AW8372"/>
      <c r="AX8372"/>
      <c r="AY8372"/>
    </row>
    <row r="8373" spans="47:51" x14ac:dyDescent="0.2">
      <c r="AU8373"/>
      <c r="AV8373"/>
      <c r="AW8373"/>
      <c r="AX8373"/>
      <c r="AY8373"/>
    </row>
    <row r="8374" spans="47:51" x14ac:dyDescent="0.2">
      <c r="AU8374"/>
      <c r="AV8374"/>
      <c r="AW8374"/>
      <c r="AX8374"/>
      <c r="AY8374"/>
    </row>
    <row r="8375" spans="47:51" x14ac:dyDescent="0.2">
      <c r="AU8375"/>
      <c r="AV8375"/>
      <c r="AW8375"/>
      <c r="AX8375"/>
      <c r="AY8375"/>
    </row>
    <row r="8376" spans="47:51" x14ac:dyDescent="0.2">
      <c r="AU8376"/>
      <c r="AV8376"/>
      <c r="AW8376"/>
      <c r="AX8376"/>
      <c r="AY8376"/>
    </row>
    <row r="8377" spans="47:51" x14ac:dyDescent="0.2">
      <c r="AU8377"/>
      <c r="AV8377"/>
      <c r="AW8377"/>
      <c r="AX8377"/>
      <c r="AY8377"/>
    </row>
    <row r="8378" spans="47:51" x14ac:dyDescent="0.2">
      <c r="AU8378"/>
      <c r="AV8378"/>
      <c r="AW8378"/>
      <c r="AX8378"/>
      <c r="AY8378"/>
    </row>
    <row r="8379" spans="47:51" x14ac:dyDescent="0.2">
      <c r="AU8379"/>
      <c r="AV8379"/>
      <c r="AW8379"/>
      <c r="AX8379"/>
      <c r="AY8379"/>
    </row>
    <row r="8380" spans="47:51" x14ac:dyDescent="0.2">
      <c r="AU8380"/>
      <c r="AV8380"/>
      <c r="AW8380"/>
      <c r="AX8380"/>
      <c r="AY8380"/>
    </row>
    <row r="8381" spans="47:51" x14ac:dyDescent="0.2">
      <c r="AU8381"/>
      <c r="AV8381"/>
      <c r="AW8381"/>
      <c r="AX8381"/>
      <c r="AY8381"/>
    </row>
    <row r="8382" spans="47:51" x14ac:dyDescent="0.2">
      <c r="AU8382"/>
      <c r="AV8382"/>
      <c r="AW8382"/>
      <c r="AX8382"/>
      <c r="AY8382"/>
    </row>
    <row r="8383" spans="47:51" x14ac:dyDescent="0.2">
      <c r="AU8383"/>
      <c r="AV8383"/>
      <c r="AW8383"/>
      <c r="AX8383"/>
      <c r="AY8383"/>
    </row>
    <row r="8384" spans="47:51" x14ac:dyDescent="0.2">
      <c r="AU8384"/>
      <c r="AV8384"/>
      <c r="AW8384"/>
      <c r="AX8384"/>
      <c r="AY8384"/>
    </row>
    <row r="8385" spans="47:51" x14ac:dyDescent="0.2">
      <c r="AU8385"/>
      <c r="AV8385"/>
      <c r="AW8385"/>
      <c r="AX8385"/>
      <c r="AY8385"/>
    </row>
    <row r="8386" spans="47:51" x14ac:dyDescent="0.2">
      <c r="AU8386"/>
      <c r="AV8386"/>
      <c r="AW8386"/>
      <c r="AX8386"/>
      <c r="AY8386"/>
    </row>
    <row r="8387" spans="47:51" x14ac:dyDescent="0.2">
      <c r="AU8387"/>
      <c r="AV8387"/>
      <c r="AW8387"/>
      <c r="AX8387"/>
      <c r="AY8387"/>
    </row>
    <row r="8388" spans="47:51" x14ac:dyDescent="0.2">
      <c r="AU8388"/>
      <c r="AV8388"/>
      <c r="AW8388"/>
      <c r="AX8388"/>
      <c r="AY8388"/>
    </row>
    <row r="8389" spans="47:51" x14ac:dyDescent="0.2">
      <c r="AU8389"/>
      <c r="AV8389"/>
      <c r="AW8389"/>
      <c r="AX8389"/>
      <c r="AY8389"/>
    </row>
    <row r="8390" spans="47:51" x14ac:dyDescent="0.2">
      <c r="AU8390"/>
      <c r="AV8390"/>
      <c r="AW8390"/>
      <c r="AX8390"/>
      <c r="AY8390"/>
    </row>
    <row r="8391" spans="47:51" x14ac:dyDescent="0.2">
      <c r="AU8391"/>
      <c r="AV8391"/>
      <c r="AW8391"/>
      <c r="AX8391"/>
      <c r="AY8391"/>
    </row>
    <row r="8392" spans="47:51" x14ac:dyDescent="0.2">
      <c r="AU8392"/>
      <c r="AV8392"/>
      <c r="AW8392"/>
      <c r="AX8392"/>
      <c r="AY8392"/>
    </row>
    <row r="8393" spans="47:51" x14ac:dyDescent="0.2">
      <c r="AU8393"/>
      <c r="AV8393"/>
      <c r="AW8393"/>
      <c r="AX8393"/>
      <c r="AY8393"/>
    </row>
    <row r="8394" spans="47:51" x14ac:dyDescent="0.2">
      <c r="AU8394"/>
      <c r="AV8394"/>
      <c r="AW8394"/>
      <c r="AX8394"/>
      <c r="AY8394"/>
    </row>
    <row r="8395" spans="47:51" x14ac:dyDescent="0.2">
      <c r="AU8395"/>
      <c r="AV8395"/>
      <c r="AW8395"/>
      <c r="AX8395"/>
      <c r="AY8395"/>
    </row>
    <row r="8396" spans="47:51" x14ac:dyDescent="0.2">
      <c r="AU8396"/>
      <c r="AV8396"/>
      <c r="AW8396"/>
      <c r="AX8396"/>
      <c r="AY8396"/>
    </row>
    <row r="8397" spans="47:51" x14ac:dyDescent="0.2">
      <c r="AU8397"/>
      <c r="AV8397"/>
      <c r="AW8397"/>
      <c r="AX8397"/>
      <c r="AY8397"/>
    </row>
    <row r="8398" spans="47:51" x14ac:dyDescent="0.2">
      <c r="AU8398"/>
      <c r="AV8398"/>
      <c r="AW8398"/>
      <c r="AX8398"/>
      <c r="AY8398"/>
    </row>
    <row r="8399" spans="47:51" x14ac:dyDescent="0.2">
      <c r="AU8399"/>
      <c r="AV8399"/>
      <c r="AW8399"/>
      <c r="AX8399"/>
      <c r="AY8399"/>
    </row>
    <row r="8400" spans="47:51" x14ac:dyDescent="0.2">
      <c r="AU8400"/>
      <c r="AV8400"/>
      <c r="AW8400"/>
      <c r="AX8400"/>
      <c r="AY8400"/>
    </row>
    <row r="8401" spans="47:51" x14ac:dyDescent="0.2">
      <c r="AU8401"/>
      <c r="AV8401"/>
      <c r="AW8401"/>
      <c r="AX8401"/>
      <c r="AY8401"/>
    </row>
    <row r="8402" spans="47:51" x14ac:dyDescent="0.2">
      <c r="AU8402"/>
      <c r="AV8402"/>
      <c r="AW8402"/>
      <c r="AX8402"/>
      <c r="AY8402"/>
    </row>
    <row r="8403" spans="47:51" x14ac:dyDescent="0.2">
      <c r="AU8403"/>
      <c r="AV8403"/>
      <c r="AW8403"/>
      <c r="AX8403"/>
      <c r="AY8403"/>
    </row>
    <row r="8404" spans="47:51" x14ac:dyDescent="0.2">
      <c r="AU8404"/>
      <c r="AV8404"/>
      <c r="AW8404"/>
      <c r="AX8404"/>
      <c r="AY8404"/>
    </row>
    <row r="8405" spans="47:51" x14ac:dyDescent="0.2">
      <c r="AU8405"/>
      <c r="AV8405"/>
      <c r="AW8405"/>
      <c r="AX8405"/>
      <c r="AY8405"/>
    </row>
    <row r="8406" spans="47:51" x14ac:dyDescent="0.2">
      <c r="AU8406"/>
      <c r="AV8406"/>
      <c r="AW8406"/>
      <c r="AX8406"/>
      <c r="AY8406"/>
    </row>
    <row r="8407" spans="47:51" x14ac:dyDescent="0.2">
      <c r="AU8407"/>
      <c r="AV8407"/>
      <c r="AW8407"/>
      <c r="AX8407"/>
      <c r="AY8407"/>
    </row>
    <row r="8408" spans="47:51" x14ac:dyDescent="0.2">
      <c r="AU8408"/>
      <c r="AV8408"/>
      <c r="AW8408"/>
      <c r="AX8408"/>
      <c r="AY8408"/>
    </row>
    <row r="8409" spans="47:51" x14ac:dyDescent="0.2">
      <c r="AU8409"/>
      <c r="AV8409"/>
      <c r="AW8409"/>
      <c r="AX8409"/>
      <c r="AY8409"/>
    </row>
    <row r="8410" spans="47:51" x14ac:dyDescent="0.2">
      <c r="AU8410"/>
      <c r="AV8410"/>
      <c r="AW8410"/>
      <c r="AX8410"/>
      <c r="AY8410"/>
    </row>
    <row r="8411" spans="47:51" x14ac:dyDescent="0.2">
      <c r="AU8411"/>
      <c r="AV8411"/>
      <c r="AW8411"/>
      <c r="AX8411"/>
      <c r="AY8411"/>
    </row>
    <row r="8412" spans="47:51" x14ac:dyDescent="0.2">
      <c r="AU8412"/>
      <c r="AV8412"/>
      <c r="AW8412"/>
      <c r="AX8412"/>
      <c r="AY8412"/>
    </row>
    <row r="8413" spans="47:51" x14ac:dyDescent="0.2">
      <c r="AU8413"/>
      <c r="AV8413"/>
      <c r="AW8413"/>
      <c r="AX8413"/>
      <c r="AY8413"/>
    </row>
    <row r="8414" spans="47:51" x14ac:dyDescent="0.2">
      <c r="AU8414"/>
      <c r="AV8414"/>
      <c r="AW8414"/>
      <c r="AX8414"/>
      <c r="AY8414"/>
    </row>
    <row r="8415" spans="47:51" x14ac:dyDescent="0.2">
      <c r="AU8415"/>
      <c r="AV8415"/>
      <c r="AW8415"/>
      <c r="AX8415"/>
      <c r="AY8415"/>
    </row>
    <row r="8416" spans="47:51" x14ac:dyDescent="0.2">
      <c r="AU8416"/>
      <c r="AV8416"/>
      <c r="AW8416"/>
      <c r="AX8416"/>
      <c r="AY8416"/>
    </row>
    <row r="8417" spans="47:51" x14ac:dyDescent="0.2">
      <c r="AU8417"/>
      <c r="AV8417"/>
      <c r="AW8417"/>
      <c r="AX8417"/>
      <c r="AY8417"/>
    </row>
    <row r="8418" spans="47:51" x14ac:dyDescent="0.2">
      <c r="AU8418"/>
      <c r="AV8418"/>
      <c r="AW8418"/>
      <c r="AX8418"/>
      <c r="AY8418"/>
    </row>
    <row r="8419" spans="47:51" x14ac:dyDescent="0.2">
      <c r="AU8419"/>
      <c r="AV8419"/>
      <c r="AW8419"/>
      <c r="AX8419"/>
      <c r="AY8419"/>
    </row>
    <row r="8420" spans="47:51" x14ac:dyDescent="0.2">
      <c r="AU8420"/>
      <c r="AV8420"/>
      <c r="AW8420"/>
      <c r="AX8420"/>
      <c r="AY8420"/>
    </row>
    <row r="8421" spans="47:51" x14ac:dyDescent="0.2">
      <c r="AU8421"/>
      <c r="AV8421"/>
      <c r="AW8421"/>
      <c r="AX8421"/>
      <c r="AY8421"/>
    </row>
    <row r="8422" spans="47:51" x14ac:dyDescent="0.2">
      <c r="AU8422"/>
      <c r="AV8422"/>
      <c r="AW8422"/>
      <c r="AX8422"/>
      <c r="AY8422"/>
    </row>
    <row r="8423" spans="47:51" x14ac:dyDescent="0.2">
      <c r="AU8423"/>
      <c r="AV8423"/>
      <c r="AW8423"/>
      <c r="AX8423"/>
      <c r="AY8423"/>
    </row>
    <row r="8424" spans="47:51" x14ac:dyDescent="0.2">
      <c r="AU8424"/>
      <c r="AV8424"/>
      <c r="AW8424"/>
      <c r="AX8424"/>
      <c r="AY8424"/>
    </row>
    <row r="8425" spans="47:51" x14ac:dyDescent="0.2">
      <c r="AU8425"/>
      <c r="AV8425"/>
      <c r="AW8425"/>
      <c r="AX8425"/>
      <c r="AY8425"/>
    </row>
    <row r="8426" spans="47:51" x14ac:dyDescent="0.2">
      <c r="AU8426"/>
      <c r="AV8426"/>
      <c r="AW8426"/>
      <c r="AX8426"/>
      <c r="AY8426"/>
    </row>
    <row r="8427" spans="47:51" x14ac:dyDescent="0.2">
      <c r="AU8427"/>
      <c r="AV8427"/>
      <c r="AW8427"/>
      <c r="AX8427"/>
      <c r="AY8427"/>
    </row>
    <row r="8428" spans="47:51" x14ac:dyDescent="0.2">
      <c r="AU8428"/>
      <c r="AV8428"/>
      <c r="AW8428"/>
      <c r="AX8428"/>
      <c r="AY8428"/>
    </row>
    <row r="8429" spans="47:51" x14ac:dyDescent="0.2">
      <c r="AU8429"/>
      <c r="AV8429"/>
      <c r="AW8429"/>
      <c r="AX8429"/>
      <c r="AY8429"/>
    </row>
    <row r="8430" spans="47:51" x14ac:dyDescent="0.2">
      <c r="AU8430"/>
      <c r="AV8430"/>
      <c r="AW8430"/>
      <c r="AX8430"/>
      <c r="AY8430"/>
    </row>
    <row r="8431" spans="47:51" x14ac:dyDescent="0.2">
      <c r="AU8431"/>
      <c r="AV8431"/>
      <c r="AW8431"/>
      <c r="AX8431"/>
      <c r="AY8431"/>
    </row>
    <row r="8432" spans="47:51" x14ac:dyDescent="0.2">
      <c r="AU8432"/>
      <c r="AV8432"/>
      <c r="AW8432"/>
      <c r="AX8432"/>
      <c r="AY8432"/>
    </row>
    <row r="8433" spans="47:51" x14ac:dyDescent="0.2">
      <c r="AU8433"/>
      <c r="AV8433"/>
      <c r="AW8433"/>
      <c r="AX8433"/>
      <c r="AY8433"/>
    </row>
    <row r="8434" spans="47:51" x14ac:dyDescent="0.2">
      <c r="AU8434"/>
      <c r="AV8434"/>
      <c r="AW8434"/>
      <c r="AX8434"/>
      <c r="AY8434"/>
    </row>
    <row r="8435" spans="47:51" x14ac:dyDescent="0.2">
      <c r="AU8435"/>
      <c r="AV8435"/>
      <c r="AW8435"/>
      <c r="AX8435"/>
      <c r="AY8435"/>
    </row>
    <row r="8436" spans="47:51" x14ac:dyDescent="0.2">
      <c r="AU8436"/>
      <c r="AV8436"/>
      <c r="AW8436"/>
      <c r="AX8436"/>
      <c r="AY8436"/>
    </row>
    <row r="8437" spans="47:51" x14ac:dyDescent="0.2">
      <c r="AU8437"/>
      <c r="AV8437"/>
      <c r="AW8437"/>
      <c r="AX8437"/>
      <c r="AY8437"/>
    </row>
    <row r="8438" spans="47:51" x14ac:dyDescent="0.2">
      <c r="AU8438"/>
      <c r="AV8438"/>
      <c r="AW8438"/>
      <c r="AX8438"/>
      <c r="AY8438"/>
    </row>
    <row r="8439" spans="47:51" x14ac:dyDescent="0.2">
      <c r="AU8439"/>
      <c r="AV8439"/>
      <c r="AW8439"/>
      <c r="AX8439"/>
      <c r="AY8439"/>
    </row>
    <row r="8440" spans="47:51" x14ac:dyDescent="0.2">
      <c r="AU8440"/>
      <c r="AV8440"/>
      <c r="AW8440"/>
      <c r="AX8440"/>
      <c r="AY8440"/>
    </row>
    <row r="8441" spans="47:51" x14ac:dyDescent="0.2">
      <c r="AU8441"/>
      <c r="AV8441"/>
      <c r="AW8441"/>
      <c r="AX8441"/>
      <c r="AY8441"/>
    </row>
    <row r="8442" spans="47:51" x14ac:dyDescent="0.2">
      <c r="AU8442"/>
      <c r="AV8442"/>
      <c r="AW8442"/>
      <c r="AX8442"/>
      <c r="AY8442"/>
    </row>
    <row r="8443" spans="47:51" x14ac:dyDescent="0.2">
      <c r="AU8443"/>
      <c r="AV8443"/>
      <c r="AW8443"/>
      <c r="AX8443"/>
      <c r="AY8443"/>
    </row>
    <row r="8444" spans="47:51" x14ac:dyDescent="0.2">
      <c r="AU8444"/>
      <c r="AV8444"/>
      <c r="AW8444"/>
      <c r="AX8444"/>
      <c r="AY8444"/>
    </row>
    <row r="8445" spans="47:51" x14ac:dyDescent="0.2">
      <c r="AU8445"/>
      <c r="AV8445"/>
      <c r="AW8445"/>
      <c r="AX8445"/>
      <c r="AY8445"/>
    </row>
    <row r="8446" spans="47:51" x14ac:dyDescent="0.2">
      <c r="AU8446"/>
      <c r="AV8446"/>
      <c r="AW8446"/>
      <c r="AX8446"/>
      <c r="AY8446"/>
    </row>
    <row r="8447" spans="47:51" x14ac:dyDescent="0.2">
      <c r="AU8447"/>
      <c r="AV8447"/>
      <c r="AW8447"/>
      <c r="AX8447"/>
      <c r="AY8447"/>
    </row>
    <row r="8448" spans="47:51" x14ac:dyDescent="0.2">
      <c r="AU8448"/>
      <c r="AV8448"/>
      <c r="AW8448"/>
      <c r="AX8448"/>
      <c r="AY8448"/>
    </row>
    <row r="8449" spans="47:51" x14ac:dyDescent="0.2">
      <c r="AU8449"/>
      <c r="AV8449"/>
      <c r="AW8449"/>
      <c r="AX8449"/>
      <c r="AY8449"/>
    </row>
    <row r="8450" spans="47:51" x14ac:dyDescent="0.2">
      <c r="AU8450"/>
      <c r="AV8450"/>
      <c r="AW8450"/>
      <c r="AX8450"/>
      <c r="AY8450"/>
    </row>
    <row r="8451" spans="47:51" x14ac:dyDescent="0.2">
      <c r="AU8451"/>
      <c r="AV8451"/>
      <c r="AW8451"/>
      <c r="AX8451"/>
      <c r="AY8451"/>
    </row>
    <row r="8452" spans="47:51" x14ac:dyDescent="0.2">
      <c r="AU8452"/>
      <c r="AV8452"/>
      <c r="AW8452"/>
      <c r="AX8452"/>
      <c r="AY8452"/>
    </row>
    <row r="8453" spans="47:51" x14ac:dyDescent="0.2">
      <c r="AU8453"/>
      <c r="AV8453"/>
      <c r="AW8453"/>
      <c r="AX8453"/>
      <c r="AY8453"/>
    </row>
    <row r="8454" spans="47:51" x14ac:dyDescent="0.2">
      <c r="AU8454"/>
      <c r="AV8454"/>
      <c r="AW8454"/>
      <c r="AX8454"/>
      <c r="AY8454"/>
    </row>
    <row r="8455" spans="47:51" x14ac:dyDescent="0.2">
      <c r="AU8455"/>
      <c r="AV8455"/>
      <c r="AW8455"/>
      <c r="AX8455"/>
      <c r="AY8455"/>
    </row>
    <row r="8456" spans="47:51" x14ac:dyDescent="0.2">
      <c r="AU8456"/>
      <c r="AV8456"/>
      <c r="AW8456"/>
      <c r="AX8456"/>
      <c r="AY8456"/>
    </row>
    <row r="8457" spans="47:51" x14ac:dyDescent="0.2">
      <c r="AU8457"/>
      <c r="AV8457"/>
      <c r="AW8457"/>
      <c r="AX8457"/>
      <c r="AY8457"/>
    </row>
    <row r="8458" spans="47:51" x14ac:dyDescent="0.2">
      <c r="AU8458"/>
      <c r="AV8458"/>
      <c r="AW8458"/>
      <c r="AX8458"/>
      <c r="AY8458"/>
    </row>
    <row r="8459" spans="47:51" x14ac:dyDescent="0.2">
      <c r="AU8459"/>
      <c r="AV8459"/>
      <c r="AW8459"/>
      <c r="AX8459"/>
      <c r="AY8459"/>
    </row>
    <row r="8460" spans="47:51" x14ac:dyDescent="0.2">
      <c r="AU8460"/>
      <c r="AV8460"/>
      <c r="AW8460"/>
      <c r="AX8460"/>
      <c r="AY8460"/>
    </row>
    <row r="8461" spans="47:51" x14ac:dyDescent="0.2">
      <c r="AU8461"/>
      <c r="AV8461"/>
      <c r="AW8461"/>
      <c r="AX8461"/>
      <c r="AY8461"/>
    </row>
    <row r="8462" spans="47:51" x14ac:dyDescent="0.2">
      <c r="AU8462"/>
      <c r="AV8462"/>
      <c r="AW8462"/>
      <c r="AX8462"/>
      <c r="AY8462"/>
    </row>
    <row r="8463" spans="47:51" x14ac:dyDescent="0.2">
      <c r="AU8463"/>
      <c r="AV8463"/>
      <c r="AW8463"/>
      <c r="AX8463"/>
      <c r="AY8463"/>
    </row>
    <row r="8464" spans="47:51" x14ac:dyDescent="0.2">
      <c r="AU8464"/>
      <c r="AV8464"/>
      <c r="AW8464"/>
      <c r="AX8464"/>
      <c r="AY8464"/>
    </row>
    <row r="8465" spans="47:51" x14ac:dyDescent="0.2">
      <c r="AU8465"/>
      <c r="AV8465"/>
      <c r="AW8465"/>
      <c r="AX8465"/>
      <c r="AY8465"/>
    </row>
    <row r="8466" spans="47:51" x14ac:dyDescent="0.2">
      <c r="AU8466"/>
      <c r="AV8466"/>
      <c r="AW8466"/>
      <c r="AX8466"/>
      <c r="AY8466"/>
    </row>
    <row r="8467" spans="47:51" x14ac:dyDescent="0.2">
      <c r="AU8467"/>
      <c r="AV8467"/>
      <c r="AW8467"/>
      <c r="AX8467"/>
      <c r="AY8467"/>
    </row>
    <row r="8468" spans="47:51" x14ac:dyDescent="0.2">
      <c r="AU8468"/>
      <c r="AV8468"/>
      <c r="AW8468"/>
      <c r="AX8468"/>
      <c r="AY8468"/>
    </row>
    <row r="8469" spans="47:51" x14ac:dyDescent="0.2">
      <c r="AU8469"/>
      <c r="AV8469"/>
      <c r="AW8469"/>
      <c r="AX8469"/>
      <c r="AY8469"/>
    </row>
    <row r="8470" spans="47:51" x14ac:dyDescent="0.2">
      <c r="AU8470"/>
      <c r="AV8470"/>
      <c r="AW8470"/>
      <c r="AX8470"/>
      <c r="AY8470"/>
    </row>
    <row r="8471" spans="47:51" x14ac:dyDescent="0.2">
      <c r="AU8471"/>
      <c r="AV8471"/>
      <c r="AW8471"/>
      <c r="AX8471"/>
      <c r="AY8471"/>
    </row>
    <row r="8472" spans="47:51" x14ac:dyDescent="0.2">
      <c r="AU8472"/>
      <c r="AV8472"/>
      <c r="AW8472"/>
      <c r="AX8472"/>
      <c r="AY8472"/>
    </row>
    <row r="8473" spans="47:51" x14ac:dyDescent="0.2">
      <c r="AU8473"/>
      <c r="AV8473"/>
      <c r="AW8473"/>
      <c r="AX8473"/>
      <c r="AY8473"/>
    </row>
    <row r="8474" spans="47:51" x14ac:dyDescent="0.2">
      <c r="AU8474"/>
      <c r="AV8474"/>
      <c r="AW8474"/>
      <c r="AX8474"/>
      <c r="AY8474"/>
    </row>
    <row r="8475" spans="47:51" x14ac:dyDescent="0.2">
      <c r="AU8475"/>
      <c r="AV8475"/>
      <c r="AW8475"/>
      <c r="AX8475"/>
      <c r="AY8475"/>
    </row>
    <row r="8476" spans="47:51" x14ac:dyDescent="0.2">
      <c r="AU8476"/>
      <c r="AV8476"/>
      <c r="AW8476"/>
      <c r="AX8476"/>
      <c r="AY8476"/>
    </row>
    <row r="8477" spans="47:51" x14ac:dyDescent="0.2">
      <c r="AU8477"/>
      <c r="AV8477"/>
      <c r="AW8477"/>
      <c r="AX8477"/>
      <c r="AY8477"/>
    </row>
    <row r="8478" spans="47:51" x14ac:dyDescent="0.2">
      <c r="AU8478"/>
      <c r="AV8478"/>
      <c r="AW8478"/>
      <c r="AX8478"/>
      <c r="AY8478"/>
    </row>
    <row r="8479" spans="47:51" x14ac:dyDescent="0.2">
      <c r="AU8479"/>
      <c r="AV8479"/>
      <c r="AW8479"/>
      <c r="AX8479"/>
      <c r="AY8479"/>
    </row>
    <row r="8480" spans="47:51" x14ac:dyDescent="0.2">
      <c r="AU8480"/>
      <c r="AV8480"/>
      <c r="AW8480"/>
      <c r="AX8480"/>
      <c r="AY8480"/>
    </row>
    <row r="8481" spans="47:51" x14ac:dyDescent="0.2">
      <c r="AU8481"/>
      <c r="AV8481"/>
      <c r="AW8481"/>
      <c r="AX8481"/>
      <c r="AY8481"/>
    </row>
    <row r="8482" spans="47:51" x14ac:dyDescent="0.2">
      <c r="AU8482"/>
      <c r="AV8482"/>
      <c r="AW8482"/>
      <c r="AX8482"/>
      <c r="AY8482"/>
    </row>
    <row r="8483" spans="47:51" x14ac:dyDescent="0.2">
      <c r="AU8483"/>
      <c r="AV8483"/>
      <c r="AW8483"/>
      <c r="AX8483"/>
      <c r="AY8483"/>
    </row>
    <row r="8484" spans="47:51" x14ac:dyDescent="0.2">
      <c r="AU8484"/>
      <c r="AV8484"/>
      <c r="AW8484"/>
      <c r="AX8484"/>
      <c r="AY8484"/>
    </row>
    <row r="8485" spans="47:51" x14ac:dyDescent="0.2">
      <c r="AU8485"/>
      <c r="AV8485"/>
      <c r="AW8485"/>
      <c r="AX8485"/>
      <c r="AY8485"/>
    </row>
    <row r="8486" spans="47:51" x14ac:dyDescent="0.2">
      <c r="AU8486"/>
      <c r="AV8486"/>
      <c r="AW8486"/>
      <c r="AX8486"/>
      <c r="AY8486"/>
    </row>
    <row r="8487" spans="47:51" x14ac:dyDescent="0.2">
      <c r="AU8487"/>
      <c r="AV8487"/>
      <c r="AW8487"/>
      <c r="AX8487"/>
      <c r="AY8487"/>
    </row>
    <row r="8488" spans="47:51" x14ac:dyDescent="0.2">
      <c r="AU8488"/>
      <c r="AV8488"/>
      <c r="AW8488"/>
      <c r="AX8488"/>
      <c r="AY8488"/>
    </row>
    <row r="8489" spans="47:51" x14ac:dyDescent="0.2">
      <c r="AU8489"/>
      <c r="AV8489"/>
      <c r="AW8489"/>
      <c r="AX8489"/>
      <c r="AY8489"/>
    </row>
    <row r="8490" spans="47:51" x14ac:dyDescent="0.2">
      <c r="AU8490"/>
      <c r="AV8490"/>
      <c r="AW8490"/>
      <c r="AX8490"/>
      <c r="AY8490"/>
    </row>
    <row r="8491" spans="47:51" x14ac:dyDescent="0.2">
      <c r="AU8491"/>
      <c r="AV8491"/>
      <c r="AW8491"/>
      <c r="AX8491"/>
      <c r="AY8491"/>
    </row>
    <row r="8492" spans="47:51" x14ac:dyDescent="0.2">
      <c r="AU8492"/>
      <c r="AV8492"/>
      <c r="AW8492"/>
      <c r="AX8492"/>
      <c r="AY8492"/>
    </row>
    <row r="8493" spans="47:51" x14ac:dyDescent="0.2">
      <c r="AU8493"/>
      <c r="AV8493"/>
      <c r="AW8493"/>
      <c r="AX8493"/>
      <c r="AY8493"/>
    </row>
    <row r="8494" spans="47:51" x14ac:dyDescent="0.2">
      <c r="AU8494"/>
      <c r="AV8494"/>
      <c r="AW8494"/>
      <c r="AX8494"/>
      <c r="AY8494"/>
    </row>
    <row r="8495" spans="47:51" x14ac:dyDescent="0.2">
      <c r="AU8495"/>
      <c r="AV8495"/>
      <c r="AW8495"/>
      <c r="AX8495"/>
      <c r="AY8495"/>
    </row>
    <row r="8496" spans="47:51" x14ac:dyDescent="0.2">
      <c r="AU8496"/>
      <c r="AV8496"/>
      <c r="AW8496"/>
      <c r="AX8496"/>
      <c r="AY8496"/>
    </row>
    <row r="8497" spans="47:51" x14ac:dyDescent="0.2">
      <c r="AU8497"/>
      <c r="AV8497"/>
      <c r="AW8497"/>
      <c r="AX8497"/>
      <c r="AY8497"/>
    </row>
    <row r="8498" spans="47:51" x14ac:dyDescent="0.2">
      <c r="AU8498"/>
      <c r="AV8498"/>
      <c r="AW8498"/>
      <c r="AX8498"/>
      <c r="AY8498"/>
    </row>
    <row r="8499" spans="47:51" x14ac:dyDescent="0.2">
      <c r="AU8499"/>
      <c r="AV8499"/>
      <c r="AW8499"/>
      <c r="AX8499"/>
      <c r="AY8499"/>
    </row>
    <row r="8500" spans="47:51" x14ac:dyDescent="0.2">
      <c r="AU8500"/>
      <c r="AV8500"/>
      <c r="AW8500"/>
      <c r="AX8500"/>
      <c r="AY8500"/>
    </row>
    <row r="8501" spans="47:51" x14ac:dyDescent="0.2">
      <c r="AU8501"/>
      <c r="AV8501"/>
      <c r="AW8501"/>
      <c r="AX8501"/>
      <c r="AY8501"/>
    </row>
    <row r="8502" spans="47:51" x14ac:dyDescent="0.2">
      <c r="AU8502"/>
      <c r="AV8502"/>
      <c r="AW8502"/>
      <c r="AX8502"/>
      <c r="AY8502"/>
    </row>
    <row r="8503" spans="47:51" x14ac:dyDescent="0.2">
      <c r="AU8503"/>
      <c r="AV8503"/>
      <c r="AW8503"/>
      <c r="AX8503"/>
      <c r="AY8503"/>
    </row>
    <row r="8504" spans="47:51" x14ac:dyDescent="0.2">
      <c r="AU8504"/>
      <c r="AV8504"/>
      <c r="AW8504"/>
      <c r="AX8504"/>
      <c r="AY8504"/>
    </row>
    <row r="8505" spans="47:51" x14ac:dyDescent="0.2">
      <c r="AU8505"/>
      <c r="AV8505"/>
      <c r="AW8505"/>
      <c r="AX8505"/>
      <c r="AY8505"/>
    </row>
    <row r="8506" spans="47:51" x14ac:dyDescent="0.2">
      <c r="AU8506"/>
      <c r="AV8506"/>
      <c r="AW8506"/>
      <c r="AX8506"/>
      <c r="AY8506"/>
    </row>
    <row r="8507" spans="47:51" x14ac:dyDescent="0.2">
      <c r="AU8507"/>
      <c r="AV8507"/>
      <c r="AW8507"/>
      <c r="AX8507"/>
      <c r="AY8507"/>
    </row>
    <row r="8508" spans="47:51" x14ac:dyDescent="0.2">
      <c r="AU8508"/>
      <c r="AV8508"/>
      <c r="AW8508"/>
      <c r="AX8508"/>
      <c r="AY8508"/>
    </row>
    <row r="8509" spans="47:51" x14ac:dyDescent="0.2">
      <c r="AU8509"/>
      <c r="AV8509"/>
      <c r="AW8509"/>
      <c r="AX8509"/>
      <c r="AY8509"/>
    </row>
    <row r="8510" spans="47:51" x14ac:dyDescent="0.2">
      <c r="AU8510"/>
      <c r="AV8510"/>
      <c r="AW8510"/>
      <c r="AX8510"/>
      <c r="AY8510"/>
    </row>
    <row r="8511" spans="47:51" x14ac:dyDescent="0.2">
      <c r="AU8511"/>
      <c r="AV8511"/>
      <c r="AW8511"/>
      <c r="AX8511"/>
      <c r="AY8511"/>
    </row>
    <row r="8512" spans="47:51" x14ac:dyDescent="0.2">
      <c r="AU8512"/>
      <c r="AV8512"/>
      <c r="AW8512"/>
      <c r="AX8512"/>
      <c r="AY8512"/>
    </row>
    <row r="8513" spans="47:51" x14ac:dyDescent="0.2">
      <c r="AU8513"/>
      <c r="AV8513"/>
      <c r="AW8513"/>
      <c r="AX8513"/>
      <c r="AY8513"/>
    </row>
    <row r="8514" spans="47:51" x14ac:dyDescent="0.2">
      <c r="AU8514"/>
      <c r="AV8514"/>
      <c r="AW8514"/>
      <c r="AX8514"/>
      <c r="AY8514"/>
    </row>
    <row r="8515" spans="47:51" x14ac:dyDescent="0.2">
      <c r="AU8515"/>
      <c r="AV8515"/>
      <c r="AW8515"/>
      <c r="AX8515"/>
      <c r="AY8515"/>
    </row>
    <row r="8516" spans="47:51" x14ac:dyDescent="0.2">
      <c r="AU8516"/>
      <c r="AV8516"/>
      <c r="AW8516"/>
      <c r="AX8516"/>
      <c r="AY8516"/>
    </row>
    <row r="8517" spans="47:51" x14ac:dyDescent="0.2">
      <c r="AU8517"/>
      <c r="AV8517"/>
      <c r="AW8517"/>
      <c r="AX8517"/>
      <c r="AY8517"/>
    </row>
    <row r="8518" spans="47:51" x14ac:dyDescent="0.2">
      <c r="AU8518"/>
      <c r="AV8518"/>
      <c r="AW8518"/>
      <c r="AX8518"/>
      <c r="AY8518"/>
    </row>
    <row r="8519" spans="47:51" x14ac:dyDescent="0.2">
      <c r="AU8519"/>
      <c r="AV8519"/>
      <c r="AW8519"/>
      <c r="AX8519"/>
      <c r="AY8519"/>
    </row>
    <row r="8520" spans="47:51" x14ac:dyDescent="0.2">
      <c r="AU8520"/>
      <c r="AV8520"/>
      <c r="AW8520"/>
      <c r="AX8520"/>
      <c r="AY8520"/>
    </row>
    <row r="8521" spans="47:51" x14ac:dyDescent="0.2">
      <c r="AU8521"/>
      <c r="AV8521"/>
      <c r="AW8521"/>
      <c r="AX8521"/>
      <c r="AY8521"/>
    </row>
    <row r="8522" spans="47:51" x14ac:dyDescent="0.2">
      <c r="AU8522"/>
      <c r="AV8522"/>
      <c r="AW8522"/>
      <c r="AX8522"/>
      <c r="AY8522"/>
    </row>
    <row r="8523" spans="47:51" x14ac:dyDescent="0.2">
      <c r="AU8523"/>
      <c r="AV8523"/>
      <c r="AW8523"/>
      <c r="AX8523"/>
      <c r="AY8523"/>
    </row>
    <row r="8524" spans="47:51" x14ac:dyDescent="0.2">
      <c r="AU8524"/>
      <c r="AV8524"/>
      <c r="AW8524"/>
      <c r="AX8524"/>
      <c r="AY8524"/>
    </row>
    <row r="8525" spans="47:51" x14ac:dyDescent="0.2">
      <c r="AU8525"/>
      <c r="AV8525"/>
      <c r="AW8525"/>
      <c r="AX8525"/>
      <c r="AY8525"/>
    </row>
    <row r="8526" spans="47:51" x14ac:dyDescent="0.2">
      <c r="AU8526"/>
      <c r="AV8526"/>
      <c r="AW8526"/>
      <c r="AX8526"/>
      <c r="AY8526"/>
    </row>
    <row r="8527" spans="47:51" x14ac:dyDescent="0.2">
      <c r="AU8527"/>
      <c r="AV8527"/>
      <c r="AW8527"/>
      <c r="AX8527"/>
      <c r="AY8527"/>
    </row>
    <row r="8528" spans="47:51" x14ac:dyDescent="0.2">
      <c r="AU8528"/>
      <c r="AV8528"/>
      <c r="AW8528"/>
      <c r="AX8528"/>
      <c r="AY8528"/>
    </row>
    <row r="8529" spans="47:51" x14ac:dyDescent="0.2">
      <c r="AU8529"/>
      <c r="AV8529"/>
      <c r="AW8529"/>
      <c r="AX8529"/>
      <c r="AY8529"/>
    </row>
    <row r="8530" spans="47:51" x14ac:dyDescent="0.2">
      <c r="AU8530"/>
      <c r="AV8530"/>
      <c r="AW8530"/>
      <c r="AX8530"/>
      <c r="AY8530"/>
    </row>
    <row r="8531" spans="47:51" x14ac:dyDescent="0.2">
      <c r="AU8531"/>
      <c r="AV8531"/>
      <c r="AW8531"/>
      <c r="AX8531"/>
      <c r="AY8531"/>
    </row>
    <row r="8532" spans="47:51" x14ac:dyDescent="0.2">
      <c r="AU8532"/>
      <c r="AV8532"/>
      <c r="AW8532"/>
      <c r="AX8532"/>
      <c r="AY8532"/>
    </row>
    <row r="8533" spans="47:51" x14ac:dyDescent="0.2">
      <c r="AU8533"/>
      <c r="AV8533"/>
      <c r="AW8533"/>
      <c r="AX8533"/>
      <c r="AY8533"/>
    </row>
    <row r="8534" spans="47:51" x14ac:dyDescent="0.2">
      <c r="AU8534"/>
      <c r="AV8534"/>
      <c r="AW8534"/>
      <c r="AX8534"/>
      <c r="AY8534"/>
    </row>
    <row r="8535" spans="47:51" x14ac:dyDescent="0.2">
      <c r="AU8535"/>
      <c r="AV8535"/>
      <c r="AW8535"/>
      <c r="AX8535"/>
      <c r="AY8535"/>
    </row>
    <row r="8536" spans="47:51" x14ac:dyDescent="0.2">
      <c r="AU8536"/>
      <c r="AV8536"/>
      <c r="AW8536"/>
      <c r="AX8536"/>
      <c r="AY8536"/>
    </row>
    <row r="8537" spans="47:51" x14ac:dyDescent="0.2">
      <c r="AU8537"/>
      <c r="AV8537"/>
      <c r="AW8537"/>
      <c r="AX8537"/>
      <c r="AY8537"/>
    </row>
    <row r="8538" spans="47:51" x14ac:dyDescent="0.2">
      <c r="AU8538"/>
      <c r="AV8538"/>
      <c r="AW8538"/>
      <c r="AX8538"/>
      <c r="AY8538"/>
    </row>
    <row r="8539" spans="47:51" x14ac:dyDescent="0.2">
      <c r="AU8539"/>
      <c r="AV8539"/>
      <c r="AW8539"/>
      <c r="AX8539"/>
      <c r="AY8539"/>
    </row>
    <row r="8540" spans="47:51" x14ac:dyDescent="0.2">
      <c r="AU8540"/>
      <c r="AV8540"/>
      <c r="AW8540"/>
      <c r="AX8540"/>
      <c r="AY8540"/>
    </row>
    <row r="8541" spans="47:51" x14ac:dyDescent="0.2">
      <c r="AU8541"/>
      <c r="AV8541"/>
      <c r="AW8541"/>
      <c r="AX8541"/>
      <c r="AY8541"/>
    </row>
    <row r="8542" spans="47:51" x14ac:dyDescent="0.2">
      <c r="AU8542"/>
      <c r="AV8542"/>
      <c r="AW8542"/>
      <c r="AX8542"/>
      <c r="AY8542"/>
    </row>
    <row r="8543" spans="47:51" x14ac:dyDescent="0.2">
      <c r="AU8543"/>
      <c r="AV8543"/>
      <c r="AW8543"/>
      <c r="AX8543"/>
      <c r="AY8543"/>
    </row>
    <row r="8544" spans="47:51" x14ac:dyDescent="0.2">
      <c r="AU8544"/>
      <c r="AV8544"/>
      <c r="AW8544"/>
      <c r="AX8544"/>
      <c r="AY8544"/>
    </row>
    <row r="8545" spans="47:51" x14ac:dyDescent="0.2">
      <c r="AU8545"/>
      <c r="AV8545"/>
      <c r="AW8545"/>
      <c r="AX8545"/>
      <c r="AY8545"/>
    </row>
    <row r="8546" spans="47:51" x14ac:dyDescent="0.2">
      <c r="AU8546"/>
      <c r="AV8546"/>
      <c r="AW8546"/>
      <c r="AX8546"/>
      <c r="AY8546"/>
    </row>
    <row r="8547" spans="47:51" x14ac:dyDescent="0.2">
      <c r="AU8547"/>
      <c r="AV8547"/>
      <c r="AW8547"/>
      <c r="AX8547"/>
      <c r="AY8547"/>
    </row>
    <row r="8548" spans="47:51" x14ac:dyDescent="0.2">
      <c r="AU8548"/>
      <c r="AV8548"/>
      <c r="AW8548"/>
      <c r="AX8548"/>
      <c r="AY8548"/>
    </row>
    <row r="8549" spans="47:51" x14ac:dyDescent="0.2">
      <c r="AU8549"/>
      <c r="AV8549"/>
      <c r="AW8549"/>
      <c r="AX8549"/>
      <c r="AY8549"/>
    </row>
    <row r="8550" spans="47:51" x14ac:dyDescent="0.2">
      <c r="AU8550"/>
      <c r="AV8550"/>
      <c r="AW8550"/>
      <c r="AX8550"/>
      <c r="AY8550"/>
    </row>
    <row r="8551" spans="47:51" x14ac:dyDescent="0.2">
      <c r="AU8551"/>
      <c r="AV8551"/>
      <c r="AW8551"/>
      <c r="AX8551"/>
      <c r="AY8551"/>
    </row>
    <row r="8552" spans="47:51" x14ac:dyDescent="0.2">
      <c r="AU8552"/>
      <c r="AV8552"/>
      <c r="AW8552"/>
      <c r="AX8552"/>
      <c r="AY8552"/>
    </row>
    <row r="8553" spans="47:51" x14ac:dyDescent="0.2">
      <c r="AU8553"/>
      <c r="AV8553"/>
      <c r="AW8553"/>
      <c r="AX8553"/>
      <c r="AY8553"/>
    </row>
    <row r="8554" spans="47:51" x14ac:dyDescent="0.2">
      <c r="AU8554"/>
      <c r="AV8554"/>
      <c r="AW8554"/>
      <c r="AX8554"/>
      <c r="AY8554"/>
    </row>
    <row r="8555" spans="47:51" x14ac:dyDescent="0.2">
      <c r="AU8555"/>
      <c r="AV8555"/>
      <c r="AW8555"/>
      <c r="AX8555"/>
      <c r="AY8555"/>
    </row>
    <row r="8556" spans="47:51" x14ac:dyDescent="0.2">
      <c r="AU8556"/>
      <c r="AV8556"/>
      <c r="AW8556"/>
      <c r="AX8556"/>
      <c r="AY8556"/>
    </row>
    <row r="8557" spans="47:51" x14ac:dyDescent="0.2">
      <c r="AU8557"/>
      <c r="AV8557"/>
      <c r="AW8557"/>
      <c r="AX8557"/>
      <c r="AY8557"/>
    </row>
    <row r="8558" spans="47:51" x14ac:dyDescent="0.2">
      <c r="AU8558"/>
      <c r="AV8558"/>
      <c r="AW8558"/>
      <c r="AX8558"/>
      <c r="AY8558"/>
    </row>
    <row r="8559" spans="47:51" x14ac:dyDescent="0.2">
      <c r="AU8559"/>
      <c r="AV8559"/>
      <c r="AW8559"/>
      <c r="AX8559"/>
      <c r="AY8559"/>
    </row>
    <row r="8560" spans="47:51" x14ac:dyDescent="0.2">
      <c r="AU8560"/>
      <c r="AV8560"/>
      <c r="AW8560"/>
      <c r="AX8560"/>
      <c r="AY8560"/>
    </row>
    <row r="8561" spans="47:51" x14ac:dyDescent="0.2">
      <c r="AU8561"/>
      <c r="AV8561"/>
      <c r="AW8561"/>
      <c r="AX8561"/>
      <c r="AY8561"/>
    </row>
    <row r="8562" spans="47:51" x14ac:dyDescent="0.2">
      <c r="AU8562"/>
      <c r="AV8562"/>
      <c r="AW8562"/>
      <c r="AX8562"/>
      <c r="AY8562"/>
    </row>
    <row r="8563" spans="47:51" x14ac:dyDescent="0.2">
      <c r="AU8563"/>
      <c r="AV8563"/>
      <c r="AW8563"/>
      <c r="AX8563"/>
      <c r="AY8563"/>
    </row>
    <row r="8564" spans="47:51" x14ac:dyDescent="0.2">
      <c r="AU8564"/>
      <c r="AV8564"/>
      <c r="AW8564"/>
      <c r="AX8564"/>
      <c r="AY8564"/>
    </row>
    <row r="8565" spans="47:51" x14ac:dyDescent="0.2">
      <c r="AU8565"/>
      <c r="AV8565"/>
      <c r="AW8565"/>
      <c r="AX8565"/>
      <c r="AY8565"/>
    </row>
    <row r="8566" spans="47:51" x14ac:dyDescent="0.2">
      <c r="AU8566"/>
      <c r="AV8566"/>
      <c r="AW8566"/>
      <c r="AX8566"/>
      <c r="AY8566"/>
    </row>
    <row r="8567" spans="47:51" x14ac:dyDescent="0.2">
      <c r="AU8567"/>
      <c r="AV8567"/>
      <c r="AW8567"/>
      <c r="AX8567"/>
      <c r="AY8567"/>
    </row>
    <row r="8568" spans="47:51" x14ac:dyDescent="0.2">
      <c r="AU8568"/>
      <c r="AV8568"/>
      <c r="AW8568"/>
      <c r="AX8568"/>
      <c r="AY8568"/>
    </row>
    <row r="8569" spans="47:51" x14ac:dyDescent="0.2">
      <c r="AU8569"/>
      <c r="AV8569"/>
      <c r="AW8569"/>
      <c r="AX8569"/>
      <c r="AY8569"/>
    </row>
    <row r="8570" spans="47:51" x14ac:dyDescent="0.2">
      <c r="AU8570"/>
      <c r="AV8570"/>
      <c r="AW8570"/>
      <c r="AX8570"/>
      <c r="AY8570"/>
    </row>
    <row r="8571" spans="47:51" x14ac:dyDescent="0.2">
      <c r="AU8571"/>
      <c r="AV8571"/>
      <c r="AW8571"/>
      <c r="AX8571"/>
      <c r="AY8571"/>
    </row>
    <row r="8572" spans="47:51" x14ac:dyDescent="0.2">
      <c r="AU8572"/>
      <c r="AV8572"/>
      <c r="AW8572"/>
      <c r="AX8572"/>
      <c r="AY8572"/>
    </row>
    <row r="8573" spans="47:51" x14ac:dyDescent="0.2">
      <c r="AU8573"/>
      <c r="AV8573"/>
      <c r="AW8573"/>
      <c r="AX8573"/>
      <c r="AY8573"/>
    </row>
    <row r="8574" spans="47:51" x14ac:dyDescent="0.2">
      <c r="AU8574"/>
      <c r="AV8574"/>
      <c r="AW8574"/>
      <c r="AX8574"/>
      <c r="AY8574"/>
    </row>
    <row r="8575" spans="47:51" x14ac:dyDescent="0.2">
      <c r="AU8575"/>
      <c r="AV8575"/>
      <c r="AW8575"/>
      <c r="AX8575"/>
      <c r="AY8575"/>
    </row>
    <row r="8576" spans="47:51" x14ac:dyDescent="0.2">
      <c r="AU8576"/>
      <c r="AV8576"/>
      <c r="AW8576"/>
      <c r="AX8576"/>
      <c r="AY8576"/>
    </row>
    <row r="8577" spans="47:51" x14ac:dyDescent="0.2">
      <c r="AU8577"/>
      <c r="AV8577"/>
      <c r="AW8577"/>
      <c r="AX8577"/>
      <c r="AY8577"/>
    </row>
    <row r="8578" spans="47:51" x14ac:dyDescent="0.2">
      <c r="AU8578"/>
      <c r="AV8578"/>
      <c r="AW8578"/>
      <c r="AX8578"/>
      <c r="AY8578"/>
    </row>
    <row r="8579" spans="47:51" x14ac:dyDescent="0.2">
      <c r="AU8579"/>
      <c r="AV8579"/>
      <c r="AW8579"/>
      <c r="AX8579"/>
      <c r="AY8579"/>
    </row>
    <row r="8580" spans="47:51" x14ac:dyDescent="0.2">
      <c r="AU8580"/>
      <c r="AV8580"/>
      <c r="AW8580"/>
      <c r="AX8580"/>
      <c r="AY8580"/>
    </row>
    <row r="8581" spans="47:51" x14ac:dyDescent="0.2">
      <c r="AU8581"/>
      <c r="AV8581"/>
      <c r="AW8581"/>
      <c r="AX8581"/>
      <c r="AY8581"/>
    </row>
    <row r="8582" spans="47:51" x14ac:dyDescent="0.2">
      <c r="AU8582"/>
      <c r="AV8582"/>
      <c r="AW8582"/>
      <c r="AX8582"/>
      <c r="AY8582"/>
    </row>
    <row r="8583" spans="47:51" x14ac:dyDescent="0.2">
      <c r="AU8583"/>
      <c r="AV8583"/>
      <c r="AW8583"/>
      <c r="AX8583"/>
      <c r="AY8583"/>
    </row>
    <row r="8584" spans="47:51" x14ac:dyDescent="0.2">
      <c r="AU8584"/>
      <c r="AV8584"/>
      <c r="AW8584"/>
      <c r="AX8584"/>
      <c r="AY8584"/>
    </row>
    <row r="8585" spans="47:51" x14ac:dyDescent="0.2">
      <c r="AU8585"/>
      <c r="AV8585"/>
      <c r="AW8585"/>
      <c r="AX8585"/>
      <c r="AY8585"/>
    </row>
    <row r="8586" spans="47:51" x14ac:dyDescent="0.2">
      <c r="AU8586"/>
      <c r="AV8586"/>
      <c r="AW8586"/>
      <c r="AX8586"/>
      <c r="AY8586"/>
    </row>
    <row r="8587" spans="47:51" x14ac:dyDescent="0.2">
      <c r="AU8587"/>
      <c r="AV8587"/>
      <c r="AW8587"/>
      <c r="AX8587"/>
      <c r="AY8587"/>
    </row>
    <row r="8588" spans="47:51" x14ac:dyDescent="0.2">
      <c r="AU8588"/>
      <c r="AV8588"/>
      <c r="AW8588"/>
      <c r="AX8588"/>
      <c r="AY8588"/>
    </row>
    <row r="8589" spans="47:51" x14ac:dyDescent="0.2">
      <c r="AU8589"/>
      <c r="AV8589"/>
      <c r="AW8589"/>
      <c r="AX8589"/>
      <c r="AY8589"/>
    </row>
    <row r="8590" spans="47:51" x14ac:dyDescent="0.2">
      <c r="AU8590"/>
      <c r="AV8590"/>
      <c r="AW8590"/>
      <c r="AX8590"/>
      <c r="AY8590"/>
    </row>
    <row r="8591" spans="47:51" x14ac:dyDescent="0.2">
      <c r="AU8591"/>
      <c r="AV8591"/>
      <c r="AW8591"/>
      <c r="AX8591"/>
      <c r="AY8591"/>
    </row>
    <row r="8592" spans="47:51" x14ac:dyDescent="0.2">
      <c r="AU8592"/>
      <c r="AV8592"/>
      <c r="AW8592"/>
      <c r="AX8592"/>
      <c r="AY8592"/>
    </row>
    <row r="8593" spans="47:51" x14ac:dyDescent="0.2">
      <c r="AU8593"/>
      <c r="AV8593"/>
      <c r="AW8593"/>
      <c r="AX8593"/>
      <c r="AY8593"/>
    </row>
    <row r="8594" spans="47:51" x14ac:dyDescent="0.2">
      <c r="AU8594"/>
      <c r="AV8594"/>
      <c r="AW8594"/>
      <c r="AX8594"/>
      <c r="AY8594"/>
    </row>
    <row r="8595" spans="47:51" x14ac:dyDescent="0.2">
      <c r="AU8595"/>
      <c r="AV8595"/>
      <c r="AW8595"/>
      <c r="AX8595"/>
      <c r="AY8595"/>
    </row>
    <row r="8596" spans="47:51" x14ac:dyDescent="0.2">
      <c r="AU8596"/>
      <c r="AV8596"/>
      <c r="AW8596"/>
      <c r="AX8596"/>
      <c r="AY8596"/>
    </row>
    <row r="8597" spans="47:51" x14ac:dyDescent="0.2">
      <c r="AU8597"/>
      <c r="AV8597"/>
      <c r="AW8597"/>
      <c r="AX8597"/>
      <c r="AY8597"/>
    </row>
    <row r="8598" spans="47:51" x14ac:dyDescent="0.2">
      <c r="AU8598"/>
      <c r="AV8598"/>
      <c r="AW8598"/>
      <c r="AX8598"/>
      <c r="AY8598"/>
    </row>
    <row r="8599" spans="47:51" x14ac:dyDescent="0.2">
      <c r="AU8599"/>
      <c r="AV8599"/>
      <c r="AW8599"/>
      <c r="AX8599"/>
      <c r="AY8599"/>
    </row>
    <row r="8600" spans="47:51" x14ac:dyDescent="0.2">
      <c r="AU8600"/>
      <c r="AV8600"/>
      <c r="AW8600"/>
      <c r="AX8600"/>
      <c r="AY8600"/>
    </row>
    <row r="8601" spans="47:51" x14ac:dyDescent="0.2">
      <c r="AU8601"/>
      <c r="AV8601"/>
      <c r="AW8601"/>
      <c r="AX8601"/>
      <c r="AY8601"/>
    </row>
    <row r="8602" spans="47:51" x14ac:dyDescent="0.2">
      <c r="AU8602"/>
      <c r="AV8602"/>
      <c r="AW8602"/>
      <c r="AX8602"/>
      <c r="AY8602"/>
    </row>
    <row r="8603" spans="47:51" x14ac:dyDescent="0.2">
      <c r="AU8603"/>
      <c r="AV8603"/>
      <c r="AW8603"/>
      <c r="AX8603"/>
      <c r="AY8603"/>
    </row>
    <row r="8604" spans="47:51" x14ac:dyDescent="0.2">
      <c r="AU8604"/>
      <c r="AV8604"/>
      <c r="AW8604"/>
      <c r="AX8604"/>
      <c r="AY8604"/>
    </row>
    <row r="8605" spans="47:51" x14ac:dyDescent="0.2">
      <c r="AU8605"/>
      <c r="AV8605"/>
      <c r="AW8605"/>
      <c r="AX8605"/>
      <c r="AY8605"/>
    </row>
    <row r="8606" spans="47:51" x14ac:dyDescent="0.2">
      <c r="AU8606"/>
      <c r="AV8606"/>
      <c r="AW8606"/>
      <c r="AX8606"/>
      <c r="AY8606"/>
    </row>
    <row r="8607" spans="47:51" x14ac:dyDescent="0.2">
      <c r="AU8607"/>
      <c r="AV8607"/>
      <c r="AW8607"/>
      <c r="AX8607"/>
      <c r="AY8607"/>
    </row>
    <row r="8608" spans="47:51" x14ac:dyDescent="0.2">
      <c r="AU8608"/>
      <c r="AV8608"/>
      <c r="AW8608"/>
      <c r="AX8608"/>
      <c r="AY8608"/>
    </row>
    <row r="8609" spans="47:51" x14ac:dyDescent="0.2">
      <c r="AU8609"/>
      <c r="AV8609"/>
      <c r="AW8609"/>
      <c r="AX8609"/>
      <c r="AY8609"/>
    </row>
    <row r="8610" spans="47:51" x14ac:dyDescent="0.2">
      <c r="AU8610"/>
      <c r="AV8610"/>
      <c r="AW8610"/>
      <c r="AX8610"/>
      <c r="AY8610"/>
    </row>
    <row r="8611" spans="47:51" x14ac:dyDescent="0.2">
      <c r="AU8611"/>
      <c r="AV8611"/>
      <c r="AW8611"/>
      <c r="AX8611"/>
      <c r="AY8611"/>
    </row>
    <row r="8612" spans="47:51" x14ac:dyDescent="0.2">
      <c r="AU8612"/>
      <c r="AV8612"/>
      <c r="AW8612"/>
      <c r="AX8612"/>
      <c r="AY8612"/>
    </row>
    <row r="8613" spans="47:51" x14ac:dyDescent="0.2">
      <c r="AU8613"/>
      <c r="AV8613"/>
      <c r="AW8613"/>
      <c r="AX8613"/>
      <c r="AY8613"/>
    </row>
    <row r="8614" spans="47:51" x14ac:dyDescent="0.2">
      <c r="AU8614"/>
      <c r="AV8614"/>
      <c r="AW8614"/>
      <c r="AX8614"/>
      <c r="AY8614"/>
    </row>
    <row r="8615" spans="47:51" x14ac:dyDescent="0.2">
      <c r="AU8615"/>
      <c r="AV8615"/>
      <c r="AW8615"/>
      <c r="AX8615"/>
      <c r="AY8615"/>
    </row>
    <row r="8616" spans="47:51" x14ac:dyDescent="0.2">
      <c r="AU8616"/>
      <c r="AV8616"/>
      <c r="AW8616"/>
      <c r="AX8616"/>
      <c r="AY8616"/>
    </row>
    <row r="8617" spans="47:51" x14ac:dyDescent="0.2">
      <c r="AU8617"/>
      <c r="AV8617"/>
      <c r="AW8617"/>
      <c r="AX8617"/>
      <c r="AY8617"/>
    </row>
    <row r="8618" spans="47:51" x14ac:dyDescent="0.2">
      <c r="AU8618"/>
      <c r="AV8618"/>
      <c r="AW8618"/>
      <c r="AX8618"/>
      <c r="AY8618"/>
    </row>
    <row r="8619" spans="47:51" x14ac:dyDescent="0.2">
      <c r="AU8619"/>
      <c r="AV8619"/>
      <c r="AW8619"/>
      <c r="AX8619"/>
      <c r="AY8619"/>
    </row>
    <row r="8620" spans="47:51" x14ac:dyDescent="0.2">
      <c r="AU8620"/>
      <c r="AV8620"/>
      <c r="AW8620"/>
      <c r="AX8620"/>
      <c r="AY8620"/>
    </row>
    <row r="8621" spans="47:51" x14ac:dyDescent="0.2">
      <c r="AU8621"/>
      <c r="AV8621"/>
      <c r="AW8621"/>
      <c r="AX8621"/>
      <c r="AY8621"/>
    </row>
    <row r="8622" spans="47:51" x14ac:dyDescent="0.2">
      <c r="AU8622"/>
      <c r="AV8622"/>
      <c r="AW8622"/>
      <c r="AX8622"/>
      <c r="AY8622"/>
    </row>
    <row r="8623" spans="47:51" x14ac:dyDescent="0.2">
      <c r="AU8623"/>
      <c r="AV8623"/>
      <c r="AW8623"/>
      <c r="AX8623"/>
      <c r="AY8623"/>
    </row>
    <row r="8624" spans="47:51" x14ac:dyDescent="0.2">
      <c r="AU8624"/>
      <c r="AV8624"/>
      <c r="AW8624"/>
      <c r="AX8624"/>
      <c r="AY8624"/>
    </row>
    <row r="8625" spans="47:51" x14ac:dyDescent="0.2">
      <c r="AU8625"/>
      <c r="AV8625"/>
      <c r="AW8625"/>
      <c r="AX8625"/>
      <c r="AY8625"/>
    </row>
    <row r="8626" spans="47:51" x14ac:dyDescent="0.2">
      <c r="AU8626"/>
      <c r="AV8626"/>
      <c r="AW8626"/>
      <c r="AX8626"/>
      <c r="AY8626"/>
    </row>
    <row r="8627" spans="47:51" x14ac:dyDescent="0.2">
      <c r="AU8627"/>
      <c r="AV8627"/>
      <c r="AW8627"/>
      <c r="AX8627"/>
      <c r="AY8627"/>
    </row>
    <row r="8628" spans="47:51" x14ac:dyDescent="0.2">
      <c r="AU8628"/>
      <c r="AV8628"/>
      <c r="AW8628"/>
      <c r="AX8628"/>
      <c r="AY8628"/>
    </row>
    <row r="8629" spans="47:51" x14ac:dyDescent="0.2">
      <c r="AU8629"/>
      <c r="AV8629"/>
      <c r="AW8629"/>
      <c r="AX8629"/>
      <c r="AY8629"/>
    </row>
    <row r="8630" spans="47:51" x14ac:dyDescent="0.2">
      <c r="AU8630"/>
      <c r="AV8630"/>
      <c r="AW8630"/>
      <c r="AX8630"/>
      <c r="AY8630"/>
    </row>
    <row r="8631" spans="47:51" x14ac:dyDescent="0.2">
      <c r="AU8631"/>
      <c r="AV8631"/>
      <c r="AW8631"/>
      <c r="AX8631"/>
      <c r="AY8631"/>
    </row>
    <row r="8632" spans="47:51" x14ac:dyDescent="0.2">
      <c r="AU8632"/>
      <c r="AV8632"/>
      <c r="AW8632"/>
      <c r="AX8632"/>
      <c r="AY8632"/>
    </row>
    <row r="8633" spans="47:51" x14ac:dyDescent="0.2">
      <c r="AU8633"/>
      <c r="AV8633"/>
      <c r="AW8633"/>
      <c r="AX8633"/>
      <c r="AY8633"/>
    </row>
    <row r="8634" spans="47:51" x14ac:dyDescent="0.2">
      <c r="AU8634"/>
      <c r="AV8634"/>
      <c r="AW8634"/>
      <c r="AX8634"/>
      <c r="AY8634"/>
    </row>
    <row r="8635" spans="47:51" x14ac:dyDescent="0.2">
      <c r="AU8635"/>
      <c r="AV8635"/>
      <c r="AW8635"/>
      <c r="AX8635"/>
      <c r="AY8635"/>
    </row>
    <row r="8636" spans="47:51" x14ac:dyDescent="0.2">
      <c r="AU8636"/>
      <c r="AV8636"/>
      <c r="AW8636"/>
      <c r="AX8636"/>
      <c r="AY8636"/>
    </row>
    <row r="8637" spans="47:51" x14ac:dyDescent="0.2">
      <c r="AU8637"/>
      <c r="AV8637"/>
      <c r="AW8637"/>
      <c r="AX8637"/>
      <c r="AY8637"/>
    </row>
    <row r="8638" spans="47:51" x14ac:dyDescent="0.2">
      <c r="AU8638"/>
      <c r="AV8638"/>
      <c r="AW8638"/>
      <c r="AX8638"/>
      <c r="AY8638"/>
    </row>
    <row r="8639" spans="47:51" x14ac:dyDescent="0.2">
      <c r="AU8639"/>
      <c r="AV8639"/>
      <c r="AW8639"/>
      <c r="AX8639"/>
      <c r="AY8639"/>
    </row>
    <row r="8640" spans="47:51" x14ac:dyDescent="0.2">
      <c r="AU8640"/>
      <c r="AV8640"/>
      <c r="AW8640"/>
      <c r="AX8640"/>
      <c r="AY8640"/>
    </row>
    <row r="8641" spans="47:51" x14ac:dyDescent="0.2">
      <c r="AU8641"/>
      <c r="AV8641"/>
      <c r="AW8641"/>
      <c r="AX8641"/>
      <c r="AY8641"/>
    </row>
    <row r="8642" spans="47:51" x14ac:dyDescent="0.2">
      <c r="AU8642"/>
      <c r="AV8642"/>
      <c r="AW8642"/>
      <c r="AX8642"/>
      <c r="AY8642"/>
    </row>
    <row r="8643" spans="47:51" x14ac:dyDescent="0.2">
      <c r="AU8643"/>
      <c r="AV8643"/>
      <c r="AW8643"/>
      <c r="AX8643"/>
      <c r="AY8643"/>
    </row>
    <row r="8644" spans="47:51" x14ac:dyDescent="0.2">
      <c r="AU8644"/>
      <c r="AV8644"/>
      <c r="AW8644"/>
      <c r="AX8644"/>
      <c r="AY8644"/>
    </row>
    <row r="8645" spans="47:51" x14ac:dyDescent="0.2">
      <c r="AU8645"/>
      <c r="AV8645"/>
      <c r="AW8645"/>
      <c r="AX8645"/>
      <c r="AY8645"/>
    </row>
    <row r="8646" spans="47:51" x14ac:dyDescent="0.2">
      <c r="AU8646"/>
      <c r="AV8646"/>
      <c r="AW8646"/>
      <c r="AX8646"/>
      <c r="AY8646"/>
    </row>
    <row r="8647" spans="47:51" x14ac:dyDescent="0.2">
      <c r="AU8647"/>
      <c r="AV8647"/>
      <c r="AW8647"/>
      <c r="AX8647"/>
      <c r="AY8647"/>
    </row>
    <row r="8648" spans="47:51" x14ac:dyDescent="0.2">
      <c r="AU8648"/>
      <c r="AV8648"/>
      <c r="AW8648"/>
      <c r="AX8648"/>
      <c r="AY8648"/>
    </row>
    <row r="8649" spans="47:51" x14ac:dyDescent="0.2">
      <c r="AU8649"/>
      <c r="AV8649"/>
      <c r="AW8649"/>
      <c r="AX8649"/>
      <c r="AY8649"/>
    </row>
    <row r="8650" spans="47:51" x14ac:dyDescent="0.2">
      <c r="AU8650"/>
      <c r="AV8650"/>
      <c r="AW8650"/>
      <c r="AX8650"/>
      <c r="AY8650"/>
    </row>
    <row r="8651" spans="47:51" x14ac:dyDescent="0.2">
      <c r="AU8651"/>
      <c r="AV8651"/>
      <c r="AW8651"/>
      <c r="AX8651"/>
      <c r="AY8651"/>
    </row>
    <row r="8652" spans="47:51" x14ac:dyDescent="0.2">
      <c r="AU8652"/>
      <c r="AV8652"/>
      <c r="AW8652"/>
      <c r="AX8652"/>
      <c r="AY8652"/>
    </row>
    <row r="8653" spans="47:51" x14ac:dyDescent="0.2">
      <c r="AU8653"/>
      <c r="AV8653"/>
      <c r="AW8653"/>
      <c r="AX8653"/>
      <c r="AY8653"/>
    </row>
    <row r="8654" spans="47:51" x14ac:dyDescent="0.2">
      <c r="AU8654"/>
      <c r="AV8654"/>
      <c r="AW8654"/>
      <c r="AX8654"/>
      <c r="AY8654"/>
    </row>
    <row r="8655" spans="47:51" x14ac:dyDescent="0.2">
      <c r="AU8655"/>
      <c r="AV8655"/>
      <c r="AW8655"/>
      <c r="AX8655"/>
      <c r="AY8655"/>
    </row>
    <row r="8656" spans="47:51" x14ac:dyDescent="0.2">
      <c r="AU8656"/>
      <c r="AV8656"/>
      <c r="AW8656"/>
      <c r="AX8656"/>
      <c r="AY8656"/>
    </row>
    <row r="8657" spans="47:51" x14ac:dyDescent="0.2">
      <c r="AU8657"/>
      <c r="AV8657"/>
      <c r="AW8657"/>
      <c r="AX8657"/>
      <c r="AY8657"/>
    </row>
    <row r="8658" spans="47:51" x14ac:dyDescent="0.2">
      <c r="AU8658"/>
      <c r="AV8658"/>
      <c r="AW8658"/>
      <c r="AX8658"/>
      <c r="AY8658"/>
    </row>
    <row r="8659" spans="47:51" x14ac:dyDescent="0.2">
      <c r="AU8659"/>
      <c r="AV8659"/>
      <c r="AW8659"/>
      <c r="AX8659"/>
      <c r="AY8659"/>
    </row>
    <row r="8660" spans="47:51" x14ac:dyDescent="0.2">
      <c r="AU8660"/>
      <c r="AV8660"/>
      <c r="AW8660"/>
      <c r="AX8660"/>
      <c r="AY8660"/>
    </row>
    <row r="8661" spans="47:51" x14ac:dyDescent="0.2">
      <c r="AU8661"/>
      <c r="AV8661"/>
      <c r="AW8661"/>
      <c r="AX8661"/>
      <c r="AY8661"/>
    </row>
    <row r="8662" spans="47:51" x14ac:dyDescent="0.2">
      <c r="AU8662"/>
      <c r="AV8662"/>
      <c r="AW8662"/>
      <c r="AX8662"/>
      <c r="AY8662"/>
    </row>
    <row r="8663" spans="47:51" x14ac:dyDescent="0.2">
      <c r="AU8663"/>
      <c r="AV8663"/>
      <c r="AW8663"/>
      <c r="AX8663"/>
      <c r="AY8663"/>
    </row>
    <row r="8664" spans="47:51" x14ac:dyDescent="0.2">
      <c r="AU8664"/>
      <c r="AV8664"/>
      <c r="AW8664"/>
      <c r="AX8664"/>
      <c r="AY8664"/>
    </row>
    <row r="8665" spans="47:51" x14ac:dyDescent="0.2">
      <c r="AU8665"/>
      <c r="AV8665"/>
      <c r="AW8665"/>
      <c r="AX8665"/>
      <c r="AY8665"/>
    </row>
    <row r="8666" spans="47:51" x14ac:dyDescent="0.2">
      <c r="AU8666"/>
      <c r="AV8666"/>
      <c r="AW8666"/>
      <c r="AX8666"/>
      <c r="AY8666"/>
    </row>
    <row r="8667" spans="47:51" x14ac:dyDescent="0.2">
      <c r="AU8667"/>
      <c r="AV8667"/>
      <c r="AW8667"/>
      <c r="AX8667"/>
      <c r="AY8667"/>
    </row>
    <row r="8668" spans="47:51" x14ac:dyDescent="0.2">
      <c r="AU8668"/>
      <c r="AV8668"/>
      <c r="AW8668"/>
      <c r="AX8668"/>
      <c r="AY8668"/>
    </row>
    <row r="8669" spans="47:51" x14ac:dyDescent="0.2">
      <c r="AU8669"/>
      <c r="AV8669"/>
      <c r="AW8669"/>
      <c r="AX8669"/>
      <c r="AY8669"/>
    </row>
    <row r="8670" spans="47:51" x14ac:dyDescent="0.2">
      <c r="AU8670"/>
      <c r="AV8670"/>
      <c r="AW8670"/>
      <c r="AX8670"/>
      <c r="AY8670"/>
    </row>
    <row r="8671" spans="47:51" x14ac:dyDescent="0.2">
      <c r="AU8671"/>
      <c r="AV8671"/>
      <c r="AW8671"/>
      <c r="AX8671"/>
      <c r="AY8671"/>
    </row>
    <row r="8672" spans="47:51" x14ac:dyDescent="0.2">
      <c r="AU8672"/>
      <c r="AV8672"/>
      <c r="AW8672"/>
      <c r="AX8672"/>
      <c r="AY8672"/>
    </row>
    <row r="8673" spans="47:51" x14ac:dyDescent="0.2">
      <c r="AU8673"/>
      <c r="AV8673"/>
      <c r="AW8673"/>
      <c r="AX8673"/>
      <c r="AY8673"/>
    </row>
    <row r="8674" spans="47:51" x14ac:dyDescent="0.2">
      <c r="AU8674"/>
      <c r="AV8674"/>
      <c r="AW8674"/>
      <c r="AX8674"/>
      <c r="AY8674"/>
    </row>
    <row r="8675" spans="47:51" x14ac:dyDescent="0.2">
      <c r="AU8675"/>
      <c r="AV8675"/>
      <c r="AW8675"/>
      <c r="AX8675"/>
      <c r="AY8675"/>
    </row>
    <row r="8676" spans="47:51" x14ac:dyDescent="0.2">
      <c r="AU8676"/>
      <c r="AV8676"/>
      <c r="AW8676"/>
      <c r="AX8676"/>
      <c r="AY8676"/>
    </row>
    <row r="8677" spans="47:51" x14ac:dyDescent="0.2">
      <c r="AU8677"/>
      <c r="AV8677"/>
      <c r="AW8677"/>
      <c r="AX8677"/>
      <c r="AY8677"/>
    </row>
    <row r="8678" spans="47:51" x14ac:dyDescent="0.2">
      <c r="AU8678"/>
      <c r="AV8678"/>
      <c r="AW8678"/>
      <c r="AX8678"/>
      <c r="AY8678"/>
    </row>
    <row r="8679" spans="47:51" x14ac:dyDescent="0.2">
      <c r="AU8679"/>
      <c r="AV8679"/>
      <c r="AW8679"/>
      <c r="AX8679"/>
      <c r="AY8679"/>
    </row>
    <row r="8680" spans="47:51" x14ac:dyDescent="0.2">
      <c r="AU8680"/>
      <c r="AV8680"/>
      <c r="AW8680"/>
      <c r="AX8680"/>
      <c r="AY8680"/>
    </row>
    <row r="8681" spans="47:51" x14ac:dyDescent="0.2">
      <c r="AU8681"/>
      <c r="AV8681"/>
      <c r="AW8681"/>
      <c r="AX8681"/>
      <c r="AY8681"/>
    </row>
    <row r="8682" spans="47:51" x14ac:dyDescent="0.2">
      <c r="AU8682"/>
      <c r="AV8682"/>
      <c r="AW8682"/>
      <c r="AX8682"/>
      <c r="AY8682"/>
    </row>
    <row r="8683" spans="47:51" x14ac:dyDescent="0.2">
      <c r="AU8683"/>
      <c r="AV8683"/>
      <c r="AW8683"/>
      <c r="AX8683"/>
      <c r="AY8683"/>
    </row>
    <row r="8684" spans="47:51" x14ac:dyDescent="0.2">
      <c r="AU8684"/>
      <c r="AV8684"/>
      <c r="AW8684"/>
      <c r="AX8684"/>
      <c r="AY8684"/>
    </row>
    <row r="8685" spans="47:51" x14ac:dyDescent="0.2">
      <c r="AU8685"/>
      <c r="AV8685"/>
      <c r="AW8685"/>
      <c r="AX8685"/>
      <c r="AY8685"/>
    </row>
    <row r="8686" spans="47:51" x14ac:dyDescent="0.2">
      <c r="AU8686"/>
      <c r="AV8686"/>
      <c r="AW8686"/>
      <c r="AX8686"/>
      <c r="AY8686"/>
    </row>
    <row r="8687" spans="47:51" x14ac:dyDescent="0.2">
      <c r="AU8687"/>
      <c r="AV8687"/>
      <c r="AW8687"/>
      <c r="AX8687"/>
      <c r="AY8687"/>
    </row>
    <row r="8688" spans="47:51" x14ac:dyDescent="0.2">
      <c r="AU8688"/>
      <c r="AV8688"/>
      <c r="AW8688"/>
      <c r="AX8688"/>
      <c r="AY8688"/>
    </row>
    <row r="8689" spans="47:51" x14ac:dyDescent="0.2">
      <c r="AU8689"/>
      <c r="AV8689"/>
      <c r="AW8689"/>
      <c r="AX8689"/>
      <c r="AY8689"/>
    </row>
    <row r="8690" spans="47:51" x14ac:dyDescent="0.2">
      <c r="AU8690"/>
      <c r="AV8690"/>
      <c r="AW8690"/>
      <c r="AX8690"/>
      <c r="AY8690"/>
    </row>
    <row r="8691" spans="47:51" x14ac:dyDescent="0.2">
      <c r="AU8691"/>
      <c r="AV8691"/>
      <c r="AW8691"/>
      <c r="AX8691"/>
      <c r="AY8691"/>
    </row>
    <row r="8692" spans="47:51" x14ac:dyDescent="0.2">
      <c r="AU8692"/>
      <c r="AV8692"/>
      <c r="AW8692"/>
      <c r="AX8692"/>
      <c r="AY8692"/>
    </row>
    <row r="8693" spans="47:51" x14ac:dyDescent="0.2">
      <c r="AU8693"/>
      <c r="AV8693"/>
      <c r="AW8693"/>
      <c r="AX8693"/>
      <c r="AY8693"/>
    </row>
    <row r="8694" spans="47:51" x14ac:dyDescent="0.2">
      <c r="AU8694"/>
      <c r="AV8694"/>
      <c r="AW8694"/>
      <c r="AX8694"/>
      <c r="AY8694"/>
    </row>
    <row r="8695" spans="47:51" x14ac:dyDescent="0.2">
      <c r="AU8695"/>
      <c r="AV8695"/>
      <c r="AW8695"/>
      <c r="AX8695"/>
      <c r="AY8695"/>
    </row>
    <row r="8696" spans="47:51" x14ac:dyDescent="0.2">
      <c r="AU8696"/>
      <c r="AV8696"/>
      <c r="AW8696"/>
      <c r="AX8696"/>
      <c r="AY8696"/>
    </row>
    <row r="8697" spans="47:51" x14ac:dyDescent="0.2">
      <c r="AU8697"/>
      <c r="AV8697"/>
      <c r="AW8697"/>
      <c r="AX8697"/>
      <c r="AY8697"/>
    </row>
    <row r="8698" spans="47:51" x14ac:dyDescent="0.2">
      <c r="AU8698"/>
      <c r="AV8698"/>
      <c r="AW8698"/>
      <c r="AX8698"/>
      <c r="AY8698"/>
    </row>
    <row r="8699" spans="47:51" x14ac:dyDescent="0.2">
      <c r="AU8699"/>
      <c r="AV8699"/>
      <c r="AW8699"/>
      <c r="AX8699"/>
      <c r="AY8699"/>
    </row>
    <row r="8700" spans="47:51" x14ac:dyDescent="0.2">
      <c r="AU8700"/>
      <c r="AV8700"/>
      <c r="AW8700"/>
      <c r="AX8700"/>
      <c r="AY8700"/>
    </row>
    <row r="8701" spans="47:51" x14ac:dyDescent="0.2">
      <c r="AU8701"/>
      <c r="AV8701"/>
      <c r="AW8701"/>
      <c r="AX8701"/>
      <c r="AY8701"/>
    </row>
    <row r="8702" spans="47:51" x14ac:dyDescent="0.2">
      <c r="AU8702"/>
      <c r="AV8702"/>
      <c r="AW8702"/>
      <c r="AX8702"/>
      <c r="AY8702"/>
    </row>
    <row r="8703" spans="47:51" x14ac:dyDescent="0.2">
      <c r="AU8703"/>
      <c r="AV8703"/>
      <c r="AW8703"/>
      <c r="AX8703"/>
      <c r="AY8703"/>
    </row>
    <row r="8704" spans="47:51" x14ac:dyDescent="0.2">
      <c r="AU8704"/>
      <c r="AV8704"/>
      <c r="AW8704"/>
      <c r="AX8704"/>
      <c r="AY8704"/>
    </row>
    <row r="8705" spans="47:51" x14ac:dyDescent="0.2">
      <c r="AU8705"/>
      <c r="AV8705"/>
      <c r="AW8705"/>
      <c r="AX8705"/>
      <c r="AY8705"/>
    </row>
    <row r="8706" spans="47:51" x14ac:dyDescent="0.2">
      <c r="AU8706"/>
      <c r="AV8706"/>
      <c r="AW8706"/>
      <c r="AX8706"/>
      <c r="AY8706"/>
    </row>
    <row r="8707" spans="47:51" x14ac:dyDescent="0.2">
      <c r="AU8707"/>
      <c r="AV8707"/>
      <c r="AW8707"/>
      <c r="AX8707"/>
      <c r="AY8707"/>
    </row>
    <row r="8708" spans="47:51" x14ac:dyDescent="0.2">
      <c r="AU8708"/>
      <c r="AV8708"/>
      <c r="AW8708"/>
      <c r="AX8708"/>
      <c r="AY8708"/>
    </row>
    <row r="8709" spans="47:51" x14ac:dyDescent="0.2">
      <c r="AU8709"/>
      <c r="AV8709"/>
      <c r="AW8709"/>
      <c r="AX8709"/>
      <c r="AY8709"/>
    </row>
    <row r="8710" spans="47:51" x14ac:dyDescent="0.2">
      <c r="AU8710"/>
      <c r="AV8710"/>
      <c r="AW8710"/>
      <c r="AX8710"/>
      <c r="AY8710"/>
    </row>
    <row r="8711" spans="47:51" x14ac:dyDescent="0.2">
      <c r="AU8711"/>
      <c r="AV8711"/>
      <c r="AW8711"/>
      <c r="AX8711"/>
      <c r="AY8711"/>
    </row>
    <row r="8712" spans="47:51" x14ac:dyDescent="0.2">
      <c r="AU8712"/>
      <c r="AV8712"/>
      <c r="AW8712"/>
      <c r="AX8712"/>
      <c r="AY8712"/>
    </row>
    <row r="8713" spans="47:51" x14ac:dyDescent="0.2">
      <c r="AU8713"/>
      <c r="AV8713"/>
      <c r="AW8713"/>
      <c r="AX8713"/>
      <c r="AY8713"/>
    </row>
    <row r="8714" spans="47:51" x14ac:dyDescent="0.2">
      <c r="AU8714"/>
      <c r="AV8714"/>
      <c r="AW8714"/>
      <c r="AX8714"/>
      <c r="AY8714"/>
    </row>
    <row r="8715" spans="47:51" x14ac:dyDescent="0.2">
      <c r="AU8715"/>
      <c r="AV8715"/>
      <c r="AW8715"/>
      <c r="AX8715"/>
      <c r="AY8715"/>
    </row>
    <row r="8716" spans="47:51" x14ac:dyDescent="0.2">
      <c r="AU8716"/>
      <c r="AV8716"/>
      <c r="AW8716"/>
      <c r="AX8716"/>
      <c r="AY8716"/>
    </row>
    <row r="8717" spans="47:51" x14ac:dyDescent="0.2">
      <c r="AU8717"/>
      <c r="AV8717"/>
      <c r="AW8717"/>
      <c r="AX8717"/>
      <c r="AY8717"/>
    </row>
    <row r="8718" spans="47:51" x14ac:dyDescent="0.2">
      <c r="AU8718"/>
      <c r="AV8718"/>
      <c r="AW8718"/>
      <c r="AX8718"/>
      <c r="AY8718"/>
    </row>
    <row r="8719" spans="47:51" x14ac:dyDescent="0.2">
      <c r="AU8719"/>
      <c r="AV8719"/>
      <c r="AW8719"/>
      <c r="AX8719"/>
      <c r="AY8719"/>
    </row>
    <row r="8720" spans="47:51" x14ac:dyDescent="0.2">
      <c r="AU8720"/>
      <c r="AV8720"/>
      <c r="AW8720"/>
      <c r="AX8720"/>
      <c r="AY8720"/>
    </row>
    <row r="8721" spans="47:51" x14ac:dyDescent="0.2">
      <c r="AU8721"/>
      <c r="AV8721"/>
      <c r="AW8721"/>
      <c r="AX8721"/>
      <c r="AY8721"/>
    </row>
    <row r="8722" spans="47:51" x14ac:dyDescent="0.2">
      <c r="AU8722"/>
      <c r="AV8722"/>
      <c r="AW8722"/>
      <c r="AX8722"/>
      <c r="AY8722"/>
    </row>
    <row r="8723" spans="47:51" x14ac:dyDescent="0.2">
      <c r="AU8723"/>
      <c r="AV8723"/>
      <c r="AW8723"/>
      <c r="AX8723"/>
      <c r="AY8723"/>
    </row>
    <row r="8724" spans="47:51" x14ac:dyDescent="0.2">
      <c r="AU8724"/>
      <c r="AV8724"/>
      <c r="AW8724"/>
      <c r="AX8724"/>
      <c r="AY8724"/>
    </row>
    <row r="8725" spans="47:51" x14ac:dyDescent="0.2">
      <c r="AU8725"/>
      <c r="AV8725"/>
      <c r="AW8725"/>
      <c r="AX8725"/>
      <c r="AY8725"/>
    </row>
    <row r="8726" spans="47:51" x14ac:dyDescent="0.2">
      <c r="AU8726"/>
      <c r="AV8726"/>
      <c r="AW8726"/>
      <c r="AX8726"/>
      <c r="AY8726"/>
    </row>
    <row r="8727" spans="47:51" x14ac:dyDescent="0.2">
      <c r="AU8727"/>
      <c r="AV8727"/>
      <c r="AW8727"/>
      <c r="AX8727"/>
      <c r="AY8727"/>
    </row>
    <row r="8728" spans="47:51" x14ac:dyDescent="0.2">
      <c r="AU8728"/>
      <c r="AV8728"/>
      <c r="AW8728"/>
      <c r="AX8728"/>
      <c r="AY8728"/>
    </row>
    <row r="8729" spans="47:51" x14ac:dyDescent="0.2">
      <c r="AU8729"/>
      <c r="AV8729"/>
      <c r="AW8729"/>
      <c r="AX8729"/>
      <c r="AY8729"/>
    </row>
    <row r="8730" spans="47:51" x14ac:dyDescent="0.2">
      <c r="AU8730"/>
      <c r="AV8730"/>
      <c r="AW8730"/>
      <c r="AX8730"/>
      <c r="AY8730"/>
    </row>
    <row r="8731" spans="47:51" x14ac:dyDescent="0.2">
      <c r="AU8731"/>
      <c r="AV8731"/>
      <c r="AW8731"/>
      <c r="AX8731"/>
      <c r="AY8731"/>
    </row>
    <row r="8732" spans="47:51" x14ac:dyDescent="0.2">
      <c r="AU8732"/>
      <c r="AV8732"/>
      <c r="AW8732"/>
      <c r="AX8732"/>
      <c r="AY8732"/>
    </row>
    <row r="8733" spans="47:51" x14ac:dyDescent="0.2">
      <c r="AU8733"/>
      <c r="AV8733"/>
      <c r="AW8733"/>
      <c r="AX8733"/>
      <c r="AY8733"/>
    </row>
    <row r="8734" spans="47:51" x14ac:dyDescent="0.2">
      <c r="AU8734"/>
      <c r="AV8734"/>
      <c r="AW8734"/>
      <c r="AX8734"/>
      <c r="AY8734"/>
    </row>
    <row r="8735" spans="47:51" x14ac:dyDescent="0.2">
      <c r="AU8735"/>
      <c r="AV8735"/>
      <c r="AW8735"/>
      <c r="AX8735"/>
      <c r="AY8735"/>
    </row>
    <row r="8736" spans="47:51" x14ac:dyDescent="0.2">
      <c r="AU8736"/>
      <c r="AV8736"/>
      <c r="AW8736"/>
      <c r="AX8736"/>
      <c r="AY8736"/>
    </row>
    <row r="8737" spans="47:51" x14ac:dyDescent="0.2">
      <c r="AU8737"/>
      <c r="AV8737"/>
      <c r="AW8737"/>
      <c r="AX8737"/>
      <c r="AY8737"/>
    </row>
    <row r="8738" spans="47:51" x14ac:dyDescent="0.2">
      <c r="AU8738"/>
      <c r="AV8738"/>
      <c r="AW8738"/>
      <c r="AX8738"/>
      <c r="AY8738"/>
    </row>
    <row r="8739" spans="47:51" x14ac:dyDescent="0.2">
      <c r="AU8739"/>
      <c r="AV8739"/>
      <c r="AW8739"/>
      <c r="AX8739"/>
      <c r="AY8739"/>
    </row>
    <row r="8740" spans="47:51" x14ac:dyDescent="0.2">
      <c r="AU8740"/>
      <c r="AV8740"/>
      <c r="AW8740"/>
      <c r="AX8740"/>
      <c r="AY8740"/>
    </row>
    <row r="8741" spans="47:51" x14ac:dyDescent="0.2">
      <c r="AU8741"/>
      <c r="AV8741"/>
      <c r="AW8741"/>
      <c r="AX8741"/>
      <c r="AY8741"/>
    </row>
    <row r="8742" spans="47:51" x14ac:dyDescent="0.2">
      <c r="AU8742"/>
      <c r="AV8742"/>
      <c r="AW8742"/>
      <c r="AX8742"/>
      <c r="AY8742"/>
    </row>
    <row r="8743" spans="47:51" x14ac:dyDescent="0.2">
      <c r="AU8743"/>
      <c r="AV8743"/>
      <c r="AW8743"/>
      <c r="AX8743"/>
      <c r="AY8743"/>
    </row>
    <row r="8744" spans="47:51" x14ac:dyDescent="0.2">
      <c r="AU8744"/>
      <c r="AV8744"/>
      <c r="AW8744"/>
      <c r="AX8744"/>
      <c r="AY8744"/>
    </row>
    <row r="8745" spans="47:51" x14ac:dyDescent="0.2">
      <c r="AU8745"/>
      <c r="AV8745"/>
      <c r="AW8745"/>
      <c r="AX8745"/>
      <c r="AY8745"/>
    </row>
    <row r="8746" spans="47:51" x14ac:dyDescent="0.2">
      <c r="AU8746"/>
      <c r="AV8746"/>
      <c r="AW8746"/>
      <c r="AX8746"/>
      <c r="AY8746"/>
    </row>
    <row r="8747" spans="47:51" x14ac:dyDescent="0.2">
      <c r="AU8747"/>
      <c r="AV8747"/>
      <c r="AW8747"/>
      <c r="AX8747"/>
      <c r="AY8747"/>
    </row>
    <row r="8748" spans="47:51" x14ac:dyDescent="0.2">
      <c r="AU8748"/>
      <c r="AV8748"/>
      <c r="AW8748"/>
      <c r="AX8748"/>
      <c r="AY8748"/>
    </row>
    <row r="8749" spans="47:51" x14ac:dyDescent="0.2">
      <c r="AU8749"/>
      <c r="AV8749"/>
      <c r="AW8749"/>
      <c r="AX8749"/>
      <c r="AY8749"/>
    </row>
    <row r="8750" spans="47:51" x14ac:dyDescent="0.2">
      <c r="AU8750"/>
      <c r="AV8750"/>
      <c r="AW8750"/>
      <c r="AX8750"/>
      <c r="AY8750"/>
    </row>
    <row r="8751" spans="47:51" x14ac:dyDescent="0.2">
      <c r="AU8751"/>
      <c r="AV8751"/>
      <c r="AW8751"/>
      <c r="AX8751"/>
      <c r="AY8751"/>
    </row>
    <row r="8752" spans="47:51" x14ac:dyDescent="0.2">
      <c r="AU8752"/>
      <c r="AV8752"/>
      <c r="AW8752"/>
      <c r="AX8752"/>
      <c r="AY8752"/>
    </row>
    <row r="8753" spans="47:51" x14ac:dyDescent="0.2">
      <c r="AU8753"/>
      <c r="AV8753"/>
      <c r="AW8753"/>
      <c r="AX8753"/>
      <c r="AY8753"/>
    </row>
    <row r="8754" spans="47:51" x14ac:dyDescent="0.2">
      <c r="AU8754"/>
      <c r="AV8754"/>
      <c r="AW8754"/>
      <c r="AX8754"/>
      <c r="AY8754"/>
    </row>
    <row r="8755" spans="47:51" x14ac:dyDescent="0.2">
      <c r="AU8755"/>
      <c r="AV8755"/>
      <c r="AW8755"/>
      <c r="AX8755"/>
      <c r="AY8755"/>
    </row>
    <row r="8756" spans="47:51" x14ac:dyDescent="0.2">
      <c r="AU8756"/>
      <c r="AV8756"/>
      <c r="AW8756"/>
      <c r="AX8756"/>
      <c r="AY8756"/>
    </row>
    <row r="8757" spans="47:51" x14ac:dyDescent="0.2">
      <c r="AU8757"/>
      <c r="AV8757"/>
      <c r="AW8757"/>
      <c r="AX8757"/>
      <c r="AY8757"/>
    </row>
    <row r="8758" spans="47:51" x14ac:dyDescent="0.2">
      <c r="AU8758"/>
      <c r="AV8758"/>
      <c r="AW8758"/>
      <c r="AX8758"/>
      <c r="AY8758"/>
    </row>
    <row r="8759" spans="47:51" x14ac:dyDescent="0.2">
      <c r="AU8759"/>
      <c r="AV8759"/>
      <c r="AW8759"/>
      <c r="AX8759"/>
      <c r="AY8759"/>
    </row>
    <row r="8760" spans="47:51" x14ac:dyDescent="0.2">
      <c r="AU8760"/>
      <c r="AV8760"/>
      <c r="AW8760"/>
      <c r="AX8760"/>
      <c r="AY8760"/>
    </row>
    <row r="8761" spans="47:51" x14ac:dyDescent="0.2">
      <c r="AU8761"/>
      <c r="AV8761"/>
      <c r="AW8761"/>
      <c r="AX8761"/>
      <c r="AY8761"/>
    </row>
    <row r="8762" spans="47:51" x14ac:dyDescent="0.2">
      <c r="AU8762"/>
      <c r="AV8762"/>
      <c r="AW8762"/>
      <c r="AX8762"/>
      <c r="AY8762"/>
    </row>
    <row r="8763" spans="47:51" x14ac:dyDescent="0.2">
      <c r="AU8763"/>
      <c r="AV8763"/>
      <c r="AW8763"/>
      <c r="AX8763"/>
      <c r="AY8763"/>
    </row>
    <row r="8764" spans="47:51" x14ac:dyDescent="0.2">
      <c r="AU8764"/>
      <c r="AV8764"/>
      <c r="AW8764"/>
      <c r="AX8764"/>
      <c r="AY8764"/>
    </row>
    <row r="8765" spans="47:51" x14ac:dyDescent="0.2">
      <c r="AU8765"/>
      <c r="AV8765"/>
      <c r="AW8765"/>
      <c r="AX8765"/>
      <c r="AY8765"/>
    </row>
    <row r="8766" spans="47:51" x14ac:dyDescent="0.2">
      <c r="AU8766"/>
      <c r="AV8766"/>
      <c r="AW8766"/>
      <c r="AX8766"/>
      <c r="AY8766"/>
    </row>
    <row r="8767" spans="47:51" x14ac:dyDescent="0.2">
      <c r="AU8767"/>
      <c r="AV8767"/>
      <c r="AW8767"/>
      <c r="AX8767"/>
      <c r="AY8767"/>
    </row>
    <row r="8768" spans="47:51" x14ac:dyDescent="0.2">
      <c r="AU8768"/>
      <c r="AV8768"/>
      <c r="AW8768"/>
      <c r="AX8768"/>
      <c r="AY8768"/>
    </row>
    <row r="8769" spans="47:51" x14ac:dyDescent="0.2">
      <c r="AU8769"/>
      <c r="AV8769"/>
      <c r="AW8769"/>
      <c r="AX8769"/>
      <c r="AY8769"/>
    </row>
    <row r="8770" spans="47:51" x14ac:dyDescent="0.2">
      <c r="AU8770"/>
      <c r="AV8770"/>
      <c r="AW8770"/>
      <c r="AX8770"/>
      <c r="AY8770"/>
    </row>
    <row r="8771" spans="47:51" x14ac:dyDescent="0.2">
      <c r="AU8771"/>
      <c r="AV8771"/>
      <c r="AW8771"/>
      <c r="AX8771"/>
      <c r="AY8771"/>
    </row>
    <row r="8772" spans="47:51" x14ac:dyDescent="0.2">
      <c r="AU8772"/>
      <c r="AV8772"/>
      <c r="AW8772"/>
      <c r="AX8772"/>
      <c r="AY8772"/>
    </row>
    <row r="8773" spans="47:51" x14ac:dyDescent="0.2">
      <c r="AU8773"/>
      <c r="AV8773"/>
      <c r="AW8773"/>
      <c r="AX8773"/>
      <c r="AY8773"/>
    </row>
    <row r="8774" spans="47:51" x14ac:dyDescent="0.2">
      <c r="AU8774"/>
      <c r="AV8774"/>
      <c r="AW8774"/>
      <c r="AX8774"/>
      <c r="AY8774"/>
    </row>
    <row r="8775" spans="47:51" x14ac:dyDescent="0.2">
      <c r="AU8775"/>
      <c r="AV8775"/>
      <c r="AW8775"/>
      <c r="AX8775"/>
      <c r="AY8775"/>
    </row>
    <row r="8776" spans="47:51" x14ac:dyDescent="0.2">
      <c r="AU8776"/>
      <c r="AV8776"/>
      <c r="AW8776"/>
      <c r="AX8776"/>
      <c r="AY8776"/>
    </row>
    <row r="8777" spans="47:51" x14ac:dyDescent="0.2">
      <c r="AU8777"/>
      <c r="AV8777"/>
      <c r="AW8777"/>
      <c r="AX8777"/>
      <c r="AY8777"/>
    </row>
    <row r="8778" spans="47:51" x14ac:dyDescent="0.2">
      <c r="AU8778"/>
      <c r="AV8778"/>
      <c r="AW8778"/>
      <c r="AX8778"/>
      <c r="AY8778"/>
    </row>
    <row r="8779" spans="47:51" x14ac:dyDescent="0.2">
      <c r="AU8779"/>
      <c r="AV8779"/>
      <c r="AW8779"/>
      <c r="AX8779"/>
      <c r="AY8779"/>
    </row>
    <row r="8780" spans="47:51" x14ac:dyDescent="0.2">
      <c r="AU8780"/>
      <c r="AV8780"/>
      <c r="AW8780"/>
      <c r="AX8780"/>
      <c r="AY8780"/>
    </row>
    <row r="8781" spans="47:51" x14ac:dyDescent="0.2">
      <c r="AU8781"/>
      <c r="AV8781"/>
      <c r="AW8781"/>
      <c r="AX8781"/>
      <c r="AY8781"/>
    </row>
    <row r="8782" spans="47:51" x14ac:dyDescent="0.2">
      <c r="AU8782"/>
      <c r="AV8782"/>
      <c r="AW8782"/>
      <c r="AX8782"/>
      <c r="AY8782"/>
    </row>
    <row r="8783" spans="47:51" x14ac:dyDescent="0.2">
      <c r="AU8783"/>
      <c r="AV8783"/>
      <c r="AW8783"/>
      <c r="AX8783"/>
      <c r="AY8783"/>
    </row>
    <row r="8784" spans="47:51" x14ac:dyDescent="0.2">
      <c r="AU8784"/>
      <c r="AV8784"/>
      <c r="AW8784"/>
      <c r="AX8784"/>
      <c r="AY8784"/>
    </row>
    <row r="8785" spans="47:51" x14ac:dyDescent="0.2">
      <c r="AU8785"/>
      <c r="AV8785"/>
      <c r="AW8785"/>
      <c r="AX8785"/>
      <c r="AY8785"/>
    </row>
    <row r="8786" spans="47:51" x14ac:dyDescent="0.2">
      <c r="AU8786"/>
      <c r="AV8786"/>
      <c r="AW8786"/>
      <c r="AX8786"/>
      <c r="AY8786"/>
    </row>
    <row r="8787" spans="47:51" x14ac:dyDescent="0.2">
      <c r="AU8787"/>
      <c r="AV8787"/>
      <c r="AW8787"/>
      <c r="AX8787"/>
      <c r="AY8787"/>
    </row>
    <row r="8788" spans="47:51" x14ac:dyDescent="0.2">
      <c r="AU8788"/>
      <c r="AV8788"/>
      <c r="AW8788"/>
      <c r="AX8788"/>
      <c r="AY8788"/>
    </row>
    <row r="8789" spans="47:51" x14ac:dyDescent="0.2">
      <c r="AU8789"/>
      <c r="AV8789"/>
      <c r="AW8789"/>
      <c r="AX8789"/>
      <c r="AY8789"/>
    </row>
    <row r="8790" spans="47:51" x14ac:dyDescent="0.2">
      <c r="AU8790"/>
      <c r="AV8790"/>
      <c r="AW8790"/>
      <c r="AX8790"/>
      <c r="AY8790"/>
    </row>
    <row r="8791" spans="47:51" x14ac:dyDescent="0.2">
      <c r="AU8791"/>
      <c r="AV8791"/>
      <c r="AW8791"/>
      <c r="AX8791"/>
      <c r="AY8791"/>
    </row>
    <row r="8792" spans="47:51" x14ac:dyDescent="0.2">
      <c r="AU8792"/>
      <c r="AV8792"/>
      <c r="AW8792"/>
      <c r="AX8792"/>
      <c r="AY8792"/>
    </row>
    <row r="8793" spans="47:51" x14ac:dyDescent="0.2">
      <c r="AU8793"/>
      <c r="AV8793"/>
      <c r="AW8793"/>
      <c r="AX8793"/>
      <c r="AY8793"/>
    </row>
    <row r="8794" spans="47:51" x14ac:dyDescent="0.2">
      <c r="AU8794"/>
      <c r="AV8794"/>
      <c r="AW8794"/>
      <c r="AX8794"/>
      <c r="AY8794"/>
    </row>
    <row r="8795" spans="47:51" x14ac:dyDescent="0.2">
      <c r="AU8795"/>
      <c r="AV8795"/>
      <c r="AW8795"/>
      <c r="AX8795"/>
      <c r="AY8795"/>
    </row>
    <row r="8796" spans="47:51" x14ac:dyDescent="0.2">
      <c r="AU8796"/>
      <c r="AV8796"/>
      <c r="AW8796"/>
      <c r="AX8796"/>
      <c r="AY8796"/>
    </row>
    <row r="8797" spans="47:51" x14ac:dyDescent="0.2">
      <c r="AU8797"/>
      <c r="AV8797"/>
      <c r="AW8797"/>
      <c r="AX8797"/>
      <c r="AY8797"/>
    </row>
    <row r="8798" spans="47:51" x14ac:dyDescent="0.2">
      <c r="AU8798"/>
      <c r="AV8798"/>
      <c r="AW8798"/>
      <c r="AX8798"/>
      <c r="AY8798"/>
    </row>
    <row r="8799" spans="47:51" x14ac:dyDescent="0.2">
      <c r="AU8799"/>
      <c r="AV8799"/>
      <c r="AW8799"/>
      <c r="AX8799"/>
      <c r="AY8799"/>
    </row>
    <row r="8800" spans="47:51" x14ac:dyDescent="0.2">
      <c r="AU8800"/>
      <c r="AV8800"/>
      <c r="AW8800"/>
      <c r="AX8800"/>
      <c r="AY8800"/>
    </row>
    <row r="8801" spans="47:51" x14ac:dyDescent="0.2">
      <c r="AU8801"/>
      <c r="AV8801"/>
      <c r="AW8801"/>
      <c r="AX8801"/>
      <c r="AY8801"/>
    </row>
    <row r="8802" spans="47:51" x14ac:dyDescent="0.2">
      <c r="AU8802"/>
      <c r="AV8802"/>
      <c r="AW8802"/>
      <c r="AX8802"/>
      <c r="AY8802"/>
    </row>
    <row r="8803" spans="47:51" x14ac:dyDescent="0.2">
      <c r="AU8803"/>
      <c r="AV8803"/>
      <c r="AW8803"/>
      <c r="AX8803"/>
      <c r="AY8803"/>
    </row>
    <row r="8804" spans="47:51" x14ac:dyDescent="0.2">
      <c r="AU8804"/>
      <c r="AV8804"/>
      <c r="AW8804"/>
      <c r="AX8804"/>
      <c r="AY8804"/>
    </row>
    <row r="8805" spans="47:51" x14ac:dyDescent="0.2">
      <c r="AU8805"/>
      <c r="AV8805"/>
      <c r="AW8805"/>
      <c r="AX8805"/>
      <c r="AY8805"/>
    </row>
    <row r="8806" spans="47:51" x14ac:dyDescent="0.2">
      <c r="AU8806"/>
      <c r="AV8806"/>
      <c r="AW8806"/>
      <c r="AX8806"/>
      <c r="AY8806"/>
    </row>
    <row r="8807" spans="47:51" x14ac:dyDescent="0.2">
      <c r="AU8807"/>
      <c r="AV8807"/>
      <c r="AW8807"/>
      <c r="AX8807"/>
      <c r="AY8807"/>
    </row>
    <row r="8808" spans="47:51" x14ac:dyDescent="0.2">
      <c r="AU8808"/>
      <c r="AV8808"/>
      <c r="AW8808"/>
      <c r="AX8808"/>
      <c r="AY8808"/>
    </row>
    <row r="8809" spans="47:51" x14ac:dyDescent="0.2">
      <c r="AU8809"/>
      <c r="AV8809"/>
      <c r="AW8809"/>
      <c r="AX8809"/>
      <c r="AY8809"/>
    </row>
    <row r="8810" spans="47:51" x14ac:dyDescent="0.2">
      <c r="AU8810"/>
      <c r="AV8810"/>
      <c r="AW8810"/>
      <c r="AX8810"/>
      <c r="AY8810"/>
    </row>
    <row r="8811" spans="47:51" x14ac:dyDescent="0.2">
      <c r="AU8811"/>
      <c r="AV8811"/>
      <c r="AW8811"/>
      <c r="AX8811"/>
      <c r="AY8811"/>
    </row>
    <row r="8812" spans="47:51" x14ac:dyDescent="0.2">
      <c r="AU8812"/>
      <c r="AV8812"/>
      <c r="AW8812"/>
      <c r="AX8812"/>
      <c r="AY8812"/>
    </row>
    <row r="8813" spans="47:51" x14ac:dyDescent="0.2">
      <c r="AU8813"/>
      <c r="AV8813"/>
      <c r="AW8813"/>
      <c r="AX8813"/>
      <c r="AY8813"/>
    </row>
    <row r="8814" spans="47:51" x14ac:dyDescent="0.2">
      <c r="AU8814"/>
      <c r="AV8814"/>
      <c r="AW8814"/>
      <c r="AX8814"/>
      <c r="AY8814"/>
    </row>
    <row r="8815" spans="47:51" x14ac:dyDescent="0.2">
      <c r="AU8815"/>
      <c r="AV8815"/>
      <c r="AW8815"/>
      <c r="AX8815"/>
      <c r="AY8815"/>
    </row>
    <row r="8816" spans="47:51" x14ac:dyDescent="0.2">
      <c r="AU8816"/>
      <c r="AV8816"/>
      <c r="AW8816"/>
      <c r="AX8816"/>
      <c r="AY8816"/>
    </row>
    <row r="8817" spans="47:51" x14ac:dyDescent="0.2">
      <c r="AU8817"/>
      <c r="AV8817"/>
      <c r="AW8817"/>
      <c r="AX8817"/>
      <c r="AY8817"/>
    </row>
    <row r="8818" spans="47:51" x14ac:dyDescent="0.2">
      <c r="AU8818"/>
      <c r="AV8818"/>
      <c r="AW8818"/>
      <c r="AX8818"/>
      <c r="AY8818"/>
    </row>
    <row r="8819" spans="47:51" x14ac:dyDescent="0.2">
      <c r="AU8819"/>
      <c r="AV8819"/>
      <c r="AW8819"/>
      <c r="AX8819"/>
      <c r="AY8819"/>
    </row>
    <row r="8820" spans="47:51" x14ac:dyDescent="0.2">
      <c r="AU8820"/>
      <c r="AV8820"/>
      <c r="AW8820"/>
      <c r="AX8820"/>
      <c r="AY8820"/>
    </row>
    <row r="8821" spans="47:51" x14ac:dyDescent="0.2">
      <c r="AU8821"/>
      <c r="AV8821"/>
      <c r="AW8821"/>
      <c r="AX8821"/>
      <c r="AY8821"/>
    </row>
    <row r="8822" spans="47:51" x14ac:dyDescent="0.2">
      <c r="AU8822"/>
      <c r="AV8822"/>
      <c r="AW8822"/>
      <c r="AX8822"/>
      <c r="AY8822"/>
    </row>
    <row r="8823" spans="47:51" x14ac:dyDescent="0.2">
      <c r="AU8823"/>
      <c r="AV8823"/>
      <c r="AW8823"/>
      <c r="AX8823"/>
      <c r="AY8823"/>
    </row>
    <row r="8824" spans="47:51" x14ac:dyDescent="0.2">
      <c r="AU8824"/>
      <c r="AV8824"/>
      <c r="AW8824"/>
      <c r="AX8824"/>
      <c r="AY8824"/>
    </row>
    <row r="8825" spans="47:51" x14ac:dyDescent="0.2">
      <c r="AU8825"/>
      <c r="AV8825"/>
      <c r="AW8825"/>
      <c r="AX8825"/>
      <c r="AY8825"/>
    </row>
    <row r="8826" spans="47:51" x14ac:dyDescent="0.2">
      <c r="AU8826"/>
      <c r="AV8826"/>
      <c r="AW8826"/>
      <c r="AX8826"/>
      <c r="AY8826"/>
    </row>
    <row r="8827" spans="47:51" x14ac:dyDescent="0.2">
      <c r="AU8827"/>
      <c r="AV8827"/>
      <c r="AW8827"/>
      <c r="AX8827"/>
      <c r="AY8827"/>
    </row>
    <row r="8828" spans="47:51" x14ac:dyDescent="0.2">
      <c r="AU8828"/>
      <c r="AV8828"/>
      <c r="AW8828"/>
      <c r="AX8828"/>
      <c r="AY8828"/>
    </row>
    <row r="8829" spans="47:51" x14ac:dyDescent="0.2">
      <c r="AU8829"/>
      <c r="AV8829"/>
      <c r="AW8829"/>
      <c r="AX8829"/>
      <c r="AY8829"/>
    </row>
    <row r="8830" spans="47:51" x14ac:dyDescent="0.2">
      <c r="AU8830"/>
      <c r="AV8830"/>
      <c r="AW8830"/>
      <c r="AX8830"/>
      <c r="AY8830"/>
    </row>
    <row r="8831" spans="47:51" x14ac:dyDescent="0.2">
      <c r="AU8831"/>
      <c r="AV8831"/>
      <c r="AW8831"/>
      <c r="AX8831"/>
      <c r="AY8831"/>
    </row>
    <row r="8832" spans="47:51" x14ac:dyDescent="0.2">
      <c r="AU8832"/>
      <c r="AV8832"/>
      <c r="AW8832"/>
      <c r="AX8832"/>
      <c r="AY8832"/>
    </row>
    <row r="8833" spans="47:51" x14ac:dyDescent="0.2">
      <c r="AU8833"/>
      <c r="AV8833"/>
      <c r="AW8833"/>
      <c r="AX8833"/>
      <c r="AY8833"/>
    </row>
    <row r="8834" spans="47:51" x14ac:dyDescent="0.2">
      <c r="AU8834"/>
      <c r="AV8834"/>
      <c r="AW8834"/>
      <c r="AX8834"/>
      <c r="AY8834"/>
    </row>
    <row r="8835" spans="47:51" x14ac:dyDescent="0.2">
      <c r="AU8835"/>
      <c r="AV8835"/>
      <c r="AW8835"/>
      <c r="AX8835"/>
      <c r="AY8835"/>
    </row>
    <row r="8836" spans="47:51" x14ac:dyDescent="0.2">
      <c r="AU8836"/>
      <c r="AV8836"/>
      <c r="AW8836"/>
      <c r="AX8836"/>
      <c r="AY8836"/>
    </row>
    <row r="8837" spans="47:51" x14ac:dyDescent="0.2">
      <c r="AU8837"/>
      <c r="AV8837"/>
      <c r="AW8837"/>
      <c r="AX8837"/>
      <c r="AY8837"/>
    </row>
    <row r="8838" spans="47:51" x14ac:dyDescent="0.2">
      <c r="AU8838"/>
      <c r="AV8838"/>
      <c r="AW8838"/>
      <c r="AX8838"/>
      <c r="AY8838"/>
    </row>
    <row r="8839" spans="47:51" x14ac:dyDescent="0.2">
      <c r="AU8839"/>
      <c r="AV8839"/>
      <c r="AW8839"/>
      <c r="AX8839"/>
      <c r="AY8839"/>
    </row>
    <row r="8840" spans="47:51" x14ac:dyDescent="0.2">
      <c r="AU8840"/>
      <c r="AV8840"/>
      <c r="AW8840"/>
      <c r="AX8840"/>
      <c r="AY8840"/>
    </row>
    <row r="8841" spans="47:51" x14ac:dyDescent="0.2">
      <c r="AU8841"/>
      <c r="AV8841"/>
      <c r="AW8841"/>
      <c r="AX8841"/>
      <c r="AY8841"/>
    </row>
    <row r="8842" spans="47:51" x14ac:dyDescent="0.2">
      <c r="AU8842"/>
      <c r="AV8842"/>
      <c r="AW8842"/>
      <c r="AX8842"/>
      <c r="AY8842"/>
    </row>
    <row r="8843" spans="47:51" x14ac:dyDescent="0.2">
      <c r="AU8843"/>
      <c r="AV8843"/>
      <c r="AW8843"/>
      <c r="AX8843"/>
      <c r="AY8843"/>
    </row>
    <row r="8844" spans="47:51" x14ac:dyDescent="0.2">
      <c r="AU8844"/>
      <c r="AV8844"/>
      <c r="AW8844"/>
      <c r="AX8844"/>
      <c r="AY8844"/>
    </row>
    <row r="8845" spans="47:51" x14ac:dyDescent="0.2">
      <c r="AU8845"/>
      <c r="AV8845"/>
      <c r="AW8845"/>
      <c r="AX8845"/>
      <c r="AY8845"/>
    </row>
    <row r="8846" spans="47:51" x14ac:dyDescent="0.2">
      <c r="AU8846"/>
      <c r="AV8846"/>
      <c r="AW8846"/>
      <c r="AX8846"/>
      <c r="AY8846"/>
    </row>
    <row r="8847" spans="47:51" x14ac:dyDescent="0.2">
      <c r="AU8847"/>
      <c r="AV8847"/>
      <c r="AW8847"/>
      <c r="AX8847"/>
      <c r="AY8847"/>
    </row>
    <row r="8848" spans="47:51" x14ac:dyDescent="0.2">
      <c r="AU8848"/>
      <c r="AV8848"/>
      <c r="AW8848"/>
      <c r="AX8848"/>
      <c r="AY8848"/>
    </row>
    <row r="8849" spans="47:51" x14ac:dyDescent="0.2">
      <c r="AU8849"/>
      <c r="AV8849"/>
      <c r="AW8849"/>
      <c r="AX8849"/>
      <c r="AY8849"/>
    </row>
    <row r="8850" spans="47:51" x14ac:dyDescent="0.2">
      <c r="AU8850"/>
      <c r="AV8850"/>
      <c r="AW8850"/>
      <c r="AX8850"/>
      <c r="AY8850"/>
    </row>
    <row r="8851" spans="47:51" x14ac:dyDescent="0.2">
      <c r="AU8851"/>
      <c r="AV8851"/>
      <c r="AW8851"/>
      <c r="AX8851"/>
      <c r="AY8851"/>
    </row>
    <row r="8852" spans="47:51" x14ac:dyDescent="0.2">
      <c r="AU8852"/>
      <c r="AV8852"/>
      <c r="AW8852"/>
      <c r="AX8852"/>
      <c r="AY8852"/>
    </row>
    <row r="8853" spans="47:51" x14ac:dyDescent="0.2">
      <c r="AU8853"/>
      <c r="AV8853"/>
      <c r="AW8853"/>
      <c r="AX8853"/>
      <c r="AY8853"/>
    </row>
    <row r="8854" spans="47:51" x14ac:dyDescent="0.2">
      <c r="AU8854"/>
      <c r="AV8854"/>
      <c r="AW8854"/>
      <c r="AX8854"/>
      <c r="AY8854"/>
    </row>
    <row r="8855" spans="47:51" x14ac:dyDescent="0.2">
      <c r="AU8855"/>
      <c r="AV8855"/>
      <c r="AW8855"/>
      <c r="AX8855"/>
      <c r="AY8855"/>
    </row>
    <row r="8856" spans="47:51" x14ac:dyDescent="0.2">
      <c r="AU8856"/>
      <c r="AV8856"/>
      <c r="AW8856"/>
      <c r="AX8856"/>
      <c r="AY8856"/>
    </row>
    <row r="8857" spans="47:51" x14ac:dyDescent="0.2">
      <c r="AU8857"/>
      <c r="AV8857"/>
      <c r="AW8857"/>
      <c r="AX8857"/>
      <c r="AY8857"/>
    </row>
    <row r="8858" spans="47:51" x14ac:dyDescent="0.2">
      <c r="AU8858"/>
      <c r="AV8858"/>
      <c r="AW8858"/>
      <c r="AX8858"/>
      <c r="AY8858"/>
    </row>
    <row r="8859" spans="47:51" x14ac:dyDescent="0.2">
      <c r="AU8859"/>
      <c r="AV8859"/>
      <c r="AW8859"/>
      <c r="AX8859"/>
      <c r="AY8859"/>
    </row>
    <row r="8860" spans="47:51" x14ac:dyDescent="0.2">
      <c r="AU8860"/>
      <c r="AV8860"/>
      <c r="AW8860"/>
      <c r="AX8860"/>
      <c r="AY8860"/>
    </row>
    <row r="8861" spans="47:51" x14ac:dyDescent="0.2">
      <c r="AU8861"/>
      <c r="AV8861"/>
      <c r="AW8861"/>
      <c r="AX8861"/>
      <c r="AY8861"/>
    </row>
    <row r="8862" spans="47:51" x14ac:dyDescent="0.2">
      <c r="AU8862"/>
      <c r="AV8862"/>
      <c r="AW8862"/>
      <c r="AX8862"/>
      <c r="AY8862"/>
    </row>
    <row r="8863" spans="47:51" x14ac:dyDescent="0.2">
      <c r="AU8863"/>
      <c r="AV8863"/>
      <c r="AW8863"/>
      <c r="AX8863"/>
      <c r="AY8863"/>
    </row>
    <row r="8864" spans="47:51" x14ac:dyDescent="0.2">
      <c r="AU8864"/>
      <c r="AV8864"/>
      <c r="AW8864"/>
      <c r="AX8864"/>
      <c r="AY8864"/>
    </row>
    <row r="8865" spans="47:51" x14ac:dyDescent="0.2">
      <c r="AU8865"/>
      <c r="AV8865"/>
      <c r="AW8865"/>
      <c r="AX8865"/>
      <c r="AY8865"/>
    </row>
    <row r="8866" spans="47:51" x14ac:dyDescent="0.2">
      <c r="AU8866"/>
      <c r="AV8866"/>
      <c r="AW8866"/>
      <c r="AX8866"/>
      <c r="AY8866"/>
    </row>
    <row r="8867" spans="47:51" x14ac:dyDescent="0.2">
      <c r="AU8867"/>
      <c r="AV8867"/>
      <c r="AW8867"/>
      <c r="AX8867"/>
      <c r="AY8867"/>
    </row>
    <row r="8868" spans="47:51" x14ac:dyDescent="0.2">
      <c r="AU8868"/>
      <c r="AV8868"/>
      <c r="AW8868"/>
      <c r="AX8868"/>
      <c r="AY8868"/>
    </row>
    <row r="8869" spans="47:51" x14ac:dyDescent="0.2">
      <c r="AU8869"/>
      <c r="AV8869"/>
      <c r="AW8869"/>
      <c r="AX8869"/>
      <c r="AY8869"/>
    </row>
    <row r="8870" spans="47:51" x14ac:dyDescent="0.2">
      <c r="AU8870"/>
      <c r="AV8870"/>
      <c r="AW8870"/>
      <c r="AX8870"/>
      <c r="AY8870"/>
    </row>
    <row r="8871" spans="47:51" x14ac:dyDescent="0.2">
      <c r="AU8871"/>
      <c r="AV8871"/>
      <c r="AW8871"/>
      <c r="AX8871"/>
      <c r="AY8871"/>
    </row>
    <row r="8872" spans="47:51" x14ac:dyDescent="0.2">
      <c r="AU8872"/>
      <c r="AV8872"/>
      <c r="AW8872"/>
      <c r="AX8872"/>
      <c r="AY8872"/>
    </row>
    <row r="8873" spans="47:51" x14ac:dyDescent="0.2">
      <c r="AU8873"/>
      <c r="AV8873"/>
      <c r="AW8873"/>
      <c r="AX8873"/>
      <c r="AY8873"/>
    </row>
    <row r="8874" spans="47:51" x14ac:dyDescent="0.2">
      <c r="AU8874"/>
      <c r="AV8874"/>
      <c r="AW8874"/>
      <c r="AX8874"/>
      <c r="AY8874"/>
    </row>
    <row r="8875" spans="47:51" x14ac:dyDescent="0.2">
      <c r="AU8875"/>
      <c r="AV8875"/>
      <c r="AW8875"/>
      <c r="AX8875"/>
      <c r="AY8875"/>
    </row>
    <row r="8876" spans="47:51" x14ac:dyDescent="0.2">
      <c r="AU8876"/>
      <c r="AV8876"/>
      <c r="AW8876"/>
      <c r="AX8876"/>
      <c r="AY8876"/>
    </row>
    <row r="8877" spans="47:51" x14ac:dyDescent="0.2">
      <c r="AU8877"/>
      <c r="AV8877"/>
      <c r="AW8877"/>
      <c r="AX8877"/>
      <c r="AY8877"/>
    </row>
    <row r="8878" spans="47:51" x14ac:dyDescent="0.2">
      <c r="AU8878"/>
      <c r="AV8878"/>
      <c r="AW8878"/>
      <c r="AX8878"/>
      <c r="AY8878"/>
    </row>
    <row r="8879" spans="47:51" x14ac:dyDescent="0.2">
      <c r="AU8879"/>
      <c r="AV8879"/>
      <c r="AW8879"/>
      <c r="AX8879"/>
      <c r="AY8879"/>
    </row>
    <row r="8880" spans="47:51" x14ac:dyDescent="0.2">
      <c r="AU8880"/>
      <c r="AV8880"/>
      <c r="AW8880"/>
      <c r="AX8880"/>
      <c r="AY8880"/>
    </row>
    <row r="8881" spans="47:51" x14ac:dyDescent="0.2">
      <c r="AU8881"/>
      <c r="AV8881"/>
      <c r="AW8881"/>
      <c r="AX8881"/>
      <c r="AY8881"/>
    </row>
    <row r="8882" spans="47:51" x14ac:dyDescent="0.2">
      <c r="AU8882"/>
      <c r="AV8882"/>
      <c r="AW8882"/>
      <c r="AX8882"/>
      <c r="AY8882"/>
    </row>
    <row r="8883" spans="47:51" x14ac:dyDescent="0.2">
      <c r="AU8883"/>
      <c r="AV8883"/>
      <c r="AW8883"/>
      <c r="AX8883"/>
      <c r="AY8883"/>
    </row>
    <row r="8884" spans="47:51" x14ac:dyDescent="0.2">
      <c r="AU8884"/>
      <c r="AV8884"/>
      <c r="AW8884"/>
      <c r="AX8884"/>
      <c r="AY8884"/>
    </row>
    <row r="8885" spans="47:51" x14ac:dyDescent="0.2">
      <c r="AU8885"/>
      <c r="AV8885"/>
      <c r="AW8885"/>
      <c r="AX8885"/>
      <c r="AY8885"/>
    </row>
    <row r="8886" spans="47:51" x14ac:dyDescent="0.2">
      <c r="AU8886"/>
      <c r="AV8886"/>
      <c r="AW8886"/>
      <c r="AX8886"/>
      <c r="AY8886"/>
    </row>
    <row r="8887" spans="47:51" x14ac:dyDescent="0.2">
      <c r="AU8887"/>
      <c r="AV8887"/>
      <c r="AW8887"/>
      <c r="AX8887"/>
      <c r="AY8887"/>
    </row>
    <row r="8888" spans="47:51" x14ac:dyDescent="0.2">
      <c r="AU8888"/>
      <c r="AV8888"/>
      <c r="AW8888"/>
      <c r="AX8888"/>
      <c r="AY8888"/>
    </row>
    <row r="8889" spans="47:51" x14ac:dyDescent="0.2">
      <c r="AU8889"/>
      <c r="AV8889"/>
      <c r="AW8889"/>
      <c r="AX8889"/>
      <c r="AY8889"/>
    </row>
    <row r="8890" spans="47:51" x14ac:dyDescent="0.2">
      <c r="AU8890"/>
      <c r="AV8890"/>
      <c r="AW8890"/>
      <c r="AX8890"/>
      <c r="AY8890"/>
    </row>
    <row r="8891" spans="47:51" x14ac:dyDescent="0.2">
      <c r="AU8891"/>
      <c r="AV8891"/>
      <c r="AW8891"/>
      <c r="AX8891"/>
      <c r="AY8891"/>
    </row>
    <row r="8892" spans="47:51" x14ac:dyDescent="0.2">
      <c r="AU8892"/>
      <c r="AV8892"/>
      <c r="AW8892"/>
      <c r="AX8892"/>
      <c r="AY8892"/>
    </row>
    <row r="8893" spans="47:51" x14ac:dyDescent="0.2">
      <c r="AU8893"/>
      <c r="AV8893"/>
      <c r="AW8893"/>
      <c r="AX8893"/>
      <c r="AY8893"/>
    </row>
    <row r="8894" spans="47:51" x14ac:dyDescent="0.2">
      <c r="AU8894"/>
      <c r="AV8894"/>
      <c r="AW8894"/>
      <c r="AX8894"/>
      <c r="AY8894"/>
    </row>
    <row r="8895" spans="47:51" x14ac:dyDescent="0.2">
      <c r="AU8895"/>
      <c r="AV8895"/>
      <c r="AW8895"/>
      <c r="AX8895"/>
      <c r="AY8895"/>
    </row>
    <row r="8896" spans="47:51" x14ac:dyDescent="0.2">
      <c r="AU8896"/>
      <c r="AV8896"/>
      <c r="AW8896"/>
      <c r="AX8896"/>
      <c r="AY8896"/>
    </row>
    <row r="8897" spans="47:51" x14ac:dyDescent="0.2">
      <c r="AU8897"/>
      <c r="AV8897"/>
      <c r="AW8897"/>
      <c r="AX8897"/>
      <c r="AY8897"/>
    </row>
    <row r="8898" spans="47:51" x14ac:dyDescent="0.2">
      <c r="AU8898"/>
      <c r="AV8898"/>
      <c r="AW8898"/>
      <c r="AX8898"/>
      <c r="AY8898"/>
    </row>
    <row r="8899" spans="47:51" x14ac:dyDescent="0.2">
      <c r="AU8899"/>
      <c r="AV8899"/>
      <c r="AW8899"/>
      <c r="AX8899"/>
      <c r="AY8899"/>
    </row>
    <row r="8900" spans="47:51" x14ac:dyDescent="0.2">
      <c r="AU8900"/>
      <c r="AV8900"/>
      <c r="AW8900"/>
      <c r="AX8900"/>
      <c r="AY8900"/>
    </row>
    <row r="8901" spans="47:51" x14ac:dyDescent="0.2">
      <c r="AU8901"/>
      <c r="AV8901"/>
      <c r="AW8901"/>
      <c r="AX8901"/>
      <c r="AY8901"/>
    </row>
    <row r="8902" spans="47:51" x14ac:dyDescent="0.2">
      <c r="AU8902"/>
      <c r="AV8902"/>
      <c r="AW8902"/>
      <c r="AX8902"/>
      <c r="AY8902"/>
    </row>
    <row r="8903" spans="47:51" x14ac:dyDescent="0.2">
      <c r="AU8903"/>
      <c r="AV8903"/>
      <c r="AW8903"/>
      <c r="AX8903"/>
      <c r="AY8903"/>
    </row>
    <row r="8904" spans="47:51" x14ac:dyDescent="0.2">
      <c r="AU8904"/>
      <c r="AV8904"/>
      <c r="AW8904"/>
      <c r="AX8904"/>
      <c r="AY8904"/>
    </row>
    <row r="8905" spans="47:51" x14ac:dyDescent="0.2">
      <c r="AU8905"/>
      <c r="AV8905"/>
      <c r="AW8905"/>
      <c r="AX8905"/>
      <c r="AY8905"/>
    </row>
    <row r="8906" spans="47:51" x14ac:dyDescent="0.2">
      <c r="AU8906"/>
      <c r="AV8906"/>
      <c r="AW8906"/>
      <c r="AX8906"/>
      <c r="AY8906"/>
    </row>
    <row r="8907" spans="47:51" x14ac:dyDescent="0.2">
      <c r="AU8907"/>
      <c r="AV8907"/>
      <c r="AW8907"/>
      <c r="AX8907"/>
      <c r="AY8907"/>
    </row>
    <row r="8908" spans="47:51" x14ac:dyDescent="0.2">
      <c r="AU8908"/>
      <c r="AV8908"/>
      <c r="AW8908"/>
      <c r="AX8908"/>
      <c r="AY8908"/>
    </row>
    <row r="8909" spans="47:51" x14ac:dyDescent="0.2">
      <c r="AU8909"/>
      <c r="AV8909"/>
      <c r="AW8909"/>
      <c r="AX8909"/>
      <c r="AY8909"/>
    </row>
    <row r="8910" spans="47:51" x14ac:dyDescent="0.2">
      <c r="AU8910"/>
      <c r="AV8910"/>
      <c r="AW8910"/>
      <c r="AX8910"/>
      <c r="AY8910"/>
    </row>
    <row r="8911" spans="47:51" x14ac:dyDescent="0.2">
      <c r="AU8911"/>
      <c r="AV8911"/>
      <c r="AW8911"/>
      <c r="AX8911"/>
      <c r="AY8911"/>
    </row>
    <row r="8912" spans="47:51" x14ac:dyDescent="0.2">
      <c r="AU8912"/>
      <c r="AV8912"/>
      <c r="AW8912"/>
      <c r="AX8912"/>
      <c r="AY8912"/>
    </row>
    <row r="8913" spans="47:51" x14ac:dyDescent="0.2">
      <c r="AU8913"/>
      <c r="AV8913"/>
      <c r="AW8913"/>
      <c r="AX8913"/>
      <c r="AY8913"/>
    </row>
    <row r="8914" spans="47:51" x14ac:dyDescent="0.2">
      <c r="AU8914"/>
      <c r="AV8914"/>
      <c r="AW8914"/>
      <c r="AX8914"/>
      <c r="AY8914"/>
    </row>
    <row r="8915" spans="47:51" x14ac:dyDescent="0.2">
      <c r="AU8915"/>
      <c r="AV8915"/>
      <c r="AW8915"/>
      <c r="AX8915"/>
      <c r="AY8915"/>
    </row>
    <row r="8916" spans="47:51" x14ac:dyDescent="0.2">
      <c r="AU8916"/>
      <c r="AV8916"/>
      <c r="AW8916"/>
      <c r="AX8916"/>
      <c r="AY8916"/>
    </row>
    <row r="8917" spans="47:51" x14ac:dyDescent="0.2">
      <c r="AU8917"/>
      <c r="AV8917"/>
      <c r="AW8917"/>
      <c r="AX8917"/>
      <c r="AY8917"/>
    </row>
    <row r="8918" spans="47:51" x14ac:dyDescent="0.2">
      <c r="AU8918"/>
      <c r="AV8918"/>
      <c r="AW8918"/>
      <c r="AX8918"/>
      <c r="AY8918"/>
    </row>
    <row r="8919" spans="47:51" x14ac:dyDescent="0.2">
      <c r="AU8919"/>
      <c r="AV8919"/>
      <c r="AW8919"/>
      <c r="AX8919"/>
      <c r="AY8919"/>
    </row>
    <row r="8920" spans="47:51" x14ac:dyDescent="0.2">
      <c r="AU8920"/>
      <c r="AV8920"/>
      <c r="AW8920"/>
      <c r="AX8920"/>
      <c r="AY8920"/>
    </row>
    <row r="8921" spans="47:51" x14ac:dyDescent="0.2">
      <c r="AU8921"/>
      <c r="AV8921"/>
      <c r="AW8921"/>
      <c r="AX8921"/>
      <c r="AY8921"/>
    </row>
    <row r="8922" spans="47:51" x14ac:dyDescent="0.2">
      <c r="AU8922"/>
      <c r="AV8922"/>
      <c r="AW8922"/>
      <c r="AX8922"/>
      <c r="AY8922"/>
    </row>
    <row r="8923" spans="47:51" x14ac:dyDescent="0.2">
      <c r="AU8923"/>
      <c r="AV8923"/>
      <c r="AW8923"/>
      <c r="AX8923"/>
      <c r="AY8923"/>
    </row>
    <row r="8924" spans="47:51" x14ac:dyDescent="0.2">
      <c r="AU8924"/>
      <c r="AV8924"/>
      <c r="AW8924"/>
      <c r="AX8924"/>
      <c r="AY8924"/>
    </row>
    <row r="8925" spans="47:51" x14ac:dyDescent="0.2">
      <c r="AU8925"/>
      <c r="AV8925"/>
      <c r="AW8925"/>
      <c r="AX8925"/>
      <c r="AY8925"/>
    </row>
    <row r="8926" spans="47:51" x14ac:dyDescent="0.2">
      <c r="AU8926"/>
      <c r="AV8926"/>
      <c r="AW8926"/>
      <c r="AX8926"/>
      <c r="AY8926"/>
    </row>
    <row r="8927" spans="47:51" x14ac:dyDescent="0.2">
      <c r="AU8927"/>
      <c r="AV8927"/>
      <c r="AW8927"/>
      <c r="AX8927"/>
      <c r="AY8927"/>
    </row>
    <row r="8928" spans="47:51" x14ac:dyDescent="0.2">
      <c r="AU8928"/>
      <c r="AV8928"/>
      <c r="AW8928"/>
      <c r="AX8928"/>
      <c r="AY8928"/>
    </row>
    <row r="8929" spans="47:51" x14ac:dyDescent="0.2">
      <c r="AU8929"/>
      <c r="AV8929"/>
      <c r="AW8929"/>
      <c r="AX8929"/>
      <c r="AY8929"/>
    </row>
    <row r="8930" spans="47:51" x14ac:dyDescent="0.2">
      <c r="AU8930"/>
      <c r="AV8930"/>
      <c r="AW8930"/>
      <c r="AX8930"/>
      <c r="AY8930"/>
    </row>
    <row r="8931" spans="47:51" x14ac:dyDescent="0.2">
      <c r="AU8931"/>
      <c r="AV8931"/>
      <c r="AW8931"/>
      <c r="AX8931"/>
      <c r="AY8931"/>
    </row>
    <row r="8932" spans="47:51" x14ac:dyDescent="0.2">
      <c r="AU8932"/>
      <c r="AV8932"/>
      <c r="AW8932"/>
      <c r="AX8932"/>
      <c r="AY8932"/>
    </row>
    <row r="8933" spans="47:51" x14ac:dyDescent="0.2">
      <c r="AU8933"/>
      <c r="AV8933"/>
      <c r="AW8933"/>
      <c r="AX8933"/>
      <c r="AY8933"/>
    </row>
    <row r="8934" spans="47:51" x14ac:dyDescent="0.2">
      <c r="AU8934"/>
      <c r="AV8934"/>
      <c r="AW8934"/>
      <c r="AX8934"/>
      <c r="AY8934"/>
    </row>
    <row r="8935" spans="47:51" x14ac:dyDescent="0.2">
      <c r="AU8935"/>
      <c r="AV8935"/>
      <c r="AW8935"/>
      <c r="AX8935"/>
      <c r="AY8935"/>
    </row>
    <row r="8936" spans="47:51" x14ac:dyDescent="0.2">
      <c r="AU8936"/>
      <c r="AV8936"/>
      <c r="AW8936"/>
      <c r="AX8936"/>
      <c r="AY8936"/>
    </row>
    <row r="8937" spans="47:51" x14ac:dyDescent="0.2">
      <c r="AU8937"/>
      <c r="AV8937"/>
      <c r="AW8937"/>
      <c r="AX8937"/>
      <c r="AY8937"/>
    </row>
    <row r="8938" spans="47:51" x14ac:dyDescent="0.2">
      <c r="AU8938"/>
      <c r="AV8938"/>
      <c r="AW8938"/>
      <c r="AX8938"/>
      <c r="AY8938"/>
    </row>
    <row r="8939" spans="47:51" x14ac:dyDescent="0.2">
      <c r="AU8939"/>
      <c r="AV8939"/>
      <c r="AW8939"/>
      <c r="AX8939"/>
      <c r="AY8939"/>
    </row>
    <row r="8940" spans="47:51" x14ac:dyDescent="0.2">
      <c r="AU8940"/>
      <c r="AV8940"/>
      <c r="AW8940"/>
      <c r="AX8940"/>
      <c r="AY8940"/>
    </row>
    <row r="8941" spans="47:51" x14ac:dyDescent="0.2">
      <c r="AU8941"/>
      <c r="AV8941"/>
      <c r="AW8941"/>
      <c r="AX8941"/>
      <c r="AY8941"/>
    </row>
    <row r="8942" spans="47:51" x14ac:dyDescent="0.2">
      <c r="AU8942"/>
      <c r="AV8942"/>
      <c r="AW8942"/>
      <c r="AX8942"/>
      <c r="AY8942"/>
    </row>
    <row r="8943" spans="47:51" x14ac:dyDescent="0.2">
      <c r="AU8943"/>
      <c r="AV8943"/>
      <c r="AW8943"/>
      <c r="AX8943"/>
      <c r="AY8943"/>
    </row>
    <row r="8944" spans="47:51" x14ac:dyDescent="0.2">
      <c r="AU8944"/>
      <c r="AV8944"/>
      <c r="AW8944"/>
      <c r="AX8944"/>
      <c r="AY8944"/>
    </row>
    <row r="8945" spans="47:51" x14ac:dyDescent="0.2">
      <c r="AU8945"/>
      <c r="AV8945"/>
      <c r="AW8945"/>
      <c r="AX8945"/>
      <c r="AY8945"/>
    </row>
    <row r="8946" spans="47:51" x14ac:dyDescent="0.2">
      <c r="AU8946"/>
      <c r="AV8946"/>
      <c r="AW8946"/>
      <c r="AX8946"/>
      <c r="AY8946"/>
    </row>
    <row r="8947" spans="47:51" x14ac:dyDescent="0.2">
      <c r="AU8947"/>
      <c r="AV8947"/>
      <c r="AW8947"/>
      <c r="AX8947"/>
      <c r="AY8947"/>
    </row>
    <row r="8948" spans="47:51" x14ac:dyDescent="0.2">
      <c r="AU8948"/>
      <c r="AV8948"/>
      <c r="AW8948"/>
      <c r="AX8948"/>
      <c r="AY8948"/>
    </row>
    <row r="8949" spans="47:51" x14ac:dyDescent="0.2">
      <c r="AU8949"/>
      <c r="AV8949"/>
      <c r="AW8949"/>
      <c r="AX8949"/>
      <c r="AY8949"/>
    </row>
    <row r="8950" spans="47:51" x14ac:dyDescent="0.2">
      <c r="AU8950"/>
      <c r="AV8950"/>
      <c r="AW8950"/>
      <c r="AX8950"/>
      <c r="AY8950"/>
    </row>
    <row r="8951" spans="47:51" x14ac:dyDescent="0.2">
      <c r="AU8951"/>
      <c r="AV8951"/>
      <c r="AW8951"/>
      <c r="AX8951"/>
      <c r="AY8951"/>
    </row>
    <row r="8952" spans="47:51" x14ac:dyDescent="0.2">
      <c r="AU8952"/>
      <c r="AV8952"/>
      <c r="AW8952"/>
      <c r="AX8952"/>
      <c r="AY8952"/>
    </row>
    <row r="8953" spans="47:51" x14ac:dyDescent="0.2">
      <c r="AU8953"/>
      <c r="AV8953"/>
      <c r="AW8953"/>
      <c r="AX8953"/>
      <c r="AY8953"/>
    </row>
    <row r="8954" spans="47:51" x14ac:dyDescent="0.2">
      <c r="AU8954"/>
      <c r="AV8954"/>
      <c r="AW8954"/>
      <c r="AX8954"/>
      <c r="AY8954"/>
    </row>
    <row r="8955" spans="47:51" x14ac:dyDescent="0.2">
      <c r="AU8955"/>
      <c r="AV8955"/>
      <c r="AW8955"/>
      <c r="AX8955"/>
      <c r="AY8955"/>
    </row>
    <row r="8956" spans="47:51" x14ac:dyDescent="0.2">
      <c r="AU8956"/>
      <c r="AV8956"/>
      <c r="AW8956"/>
      <c r="AX8956"/>
      <c r="AY8956"/>
    </row>
    <row r="8957" spans="47:51" x14ac:dyDescent="0.2">
      <c r="AU8957"/>
      <c r="AV8957"/>
      <c r="AW8957"/>
      <c r="AX8957"/>
      <c r="AY8957"/>
    </row>
    <row r="8958" spans="47:51" x14ac:dyDescent="0.2">
      <c r="AU8958"/>
      <c r="AV8958"/>
      <c r="AW8958"/>
      <c r="AX8958"/>
      <c r="AY8958"/>
    </row>
    <row r="8959" spans="47:51" x14ac:dyDescent="0.2">
      <c r="AU8959"/>
      <c r="AV8959"/>
      <c r="AW8959"/>
      <c r="AX8959"/>
      <c r="AY8959"/>
    </row>
    <row r="8960" spans="47:51" x14ac:dyDescent="0.2">
      <c r="AU8960"/>
      <c r="AV8960"/>
      <c r="AW8960"/>
      <c r="AX8960"/>
      <c r="AY8960"/>
    </row>
    <row r="8961" spans="47:51" x14ac:dyDescent="0.2">
      <c r="AU8961"/>
      <c r="AV8961"/>
      <c r="AW8961"/>
      <c r="AX8961"/>
      <c r="AY8961"/>
    </row>
    <row r="8962" spans="47:51" x14ac:dyDescent="0.2">
      <c r="AU8962"/>
      <c r="AV8962"/>
      <c r="AW8962"/>
      <c r="AX8962"/>
      <c r="AY8962"/>
    </row>
    <row r="8963" spans="47:51" x14ac:dyDescent="0.2">
      <c r="AU8963"/>
      <c r="AV8963"/>
      <c r="AW8963"/>
      <c r="AX8963"/>
      <c r="AY8963"/>
    </row>
    <row r="8964" spans="47:51" x14ac:dyDescent="0.2">
      <c r="AU8964"/>
      <c r="AV8964"/>
      <c r="AW8964"/>
      <c r="AX8964"/>
      <c r="AY8964"/>
    </row>
    <row r="8965" spans="47:51" x14ac:dyDescent="0.2">
      <c r="AU8965"/>
      <c r="AV8965"/>
      <c r="AW8965"/>
      <c r="AX8965"/>
      <c r="AY8965"/>
    </row>
    <row r="8966" spans="47:51" x14ac:dyDescent="0.2">
      <c r="AU8966"/>
      <c r="AV8966"/>
      <c r="AW8966"/>
      <c r="AX8966"/>
      <c r="AY8966"/>
    </row>
    <row r="8967" spans="47:51" x14ac:dyDescent="0.2">
      <c r="AU8967"/>
      <c r="AV8967"/>
      <c r="AW8967"/>
      <c r="AX8967"/>
      <c r="AY8967"/>
    </row>
    <row r="8968" spans="47:51" x14ac:dyDescent="0.2">
      <c r="AU8968"/>
      <c r="AV8968"/>
      <c r="AW8968"/>
      <c r="AX8968"/>
      <c r="AY8968"/>
    </row>
    <row r="8969" spans="47:51" x14ac:dyDescent="0.2">
      <c r="AU8969"/>
      <c r="AV8969"/>
      <c r="AW8969"/>
      <c r="AX8969"/>
      <c r="AY8969"/>
    </row>
    <row r="8970" spans="47:51" x14ac:dyDescent="0.2">
      <c r="AU8970"/>
      <c r="AV8970"/>
      <c r="AW8970"/>
      <c r="AX8970"/>
      <c r="AY8970"/>
    </row>
    <row r="8971" spans="47:51" x14ac:dyDescent="0.2">
      <c r="AU8971"/>
      <c r="AV8971"/>
      <c r="AW8971"/>
      <c r="AX8971"/>
      <c r="AY8971"/>
    </row>
    <row r="8972" spans="47:51" x14ac:dyDescent="0.2">
      <c r="AU8972"/>
      <c r="AV8972"/>
      <c r="AW8972"/>
      <c r="AX8972"/>
      <c r="AY8972"/>
    </row>
    <row r="8973" spans="47:51" x14ac:dyDescent="0.2">
      <c r="AU8973"/>
      <c r="AV8973"/>
      <c r="AW8973"/>
      <c r="AX8973"/>
      <c r="AY8973"/>
    </row>
    <row r="8974" spans="47:51" x14ac:dyDescent="0.2">
      <c r="AU8974"/>
      <c r="AV8974"/>
      <c r="AW8974"/>
      <c r="AX8974"/>
      <c r="AY8974"/>
    </row>
    <row r="8975" spans="47:51" x14ac:dyDescent="0.2">
      <c r="AU8975"/>
      <c r="AV8975"/>
      <c r="AW8975"/>
      <c r="AX8975"/>
      <c r="AY8975"/>
    </row>
    <row r="8976" spans="47:51" x14ac:dyDescent="0.2">
      <c r="AU8976"/>
      <c r="AV8976"/>
      <c r="AW8976"/>
      <c r="AX8976"/>
      <c r="AY8976"/>
    </row>
    <row r="8977" spans="47:51" x14ac:dyDescent="0.2">
      <c r="AU8977"/>
      <c r="AV8977"/>
      <c r="AW8977"/>
      <c r="AX8977"/>
      <c r="AY8977"/>
    </row>
    <row r="8978" spans="47:51" x14ac:dyDescent="0.2">
      <c r="AU8978"/>
      <c r="AV8978"/>
      <c r="AW8978"/>
      <c r="AX8978"/>
      <c r="AY8978"/>
    </row>
    <row r="8979" spans="47:51" x14ac:dyDescent="0.2">
      <c r="AU8979"/>
      <c r="AV8979"/>
      <c r="AW8979"/>
      <c r="AX8979"/>
      <c r="AY8979"/>
    </row>
    <row r="8980" spans="47:51" x14ac:dyDescent="0.2">
      <c r="AU8980"/>
      <c r="AV8980"/>
      <c r="AW8980"/>
      <c r="AX8980"/>
      <c r="AY8980"/>
    </row>
    <row r="8981" spans="47:51" x14ac:dyDescent="0.2">
      <c r="AU8981"/>
      <c r="AV8981"/>
      <c r="AW8981"/>
      <c r="AX8981"/>
      <c r="AY8981"/>
    </row>
    <row r="8982" spans="47:51" x14ac:dyDescent="0.2">
      <c r="AU8982"/>
      <c r="AV8982"/>
      <c r="AW8982"/>
      <c r="AX8982"/>
      <c r="AY8982"/>
    </row>
    <row r="8983" spans="47:51" x14ac:dyDescent="0.2">
      <c r="AU8983"/>
      <c r="AV8983"/>
      <c r="AW8983"/>
      <c r="AX8983"/>
      <c r="AY8983"/>
    </row>
    <row r="8984" spans="47:51" x14ac:dyDescent="0.2">
      <c r="AU8984"/>
      <c r="AV8984"/>
      <c r="AW8984"/>
      <c r="AX8984"/>
      <c r="AY8984"/>
    </row>
    <row r="8985" spans="47:51" x14ac:dyDescent="0.2">
      <c r="AU8985"/>
      <c r="AV8985"/>
      <c r="AW8985"/>
      <c r="AX8985"/>
      <c r="AY8985"/>
    </row>
    <row r="8986" spans="47:51" x14ac:dyDescent="0.2">
      <c r="AU8986"/>
      <c r="AV8986"/>
      <c r="AW8986"/>
      <c r="AX8986"/>
      <c r="AY8986"/>
    </row>
    <row r="8987" spans="47:51" x14ac:dyDescent="0.2">
      <c r="AU8987"/>
      <c r="AV8987"/>
      <c r="AW8987"/>
      <c r="AX8987"/>
      <c r="AY8987"/>
    </row>
    <row r="8988" spans="47:51" x14ac:dyDescent="0.2">
      <c r="AU8988"/>
      <c r="AV8988"/>
      <c r="AW8988"/>
      <c r="AX8988"/>
      <c r="AY8988"/>
    </row>
    <row r="8989" spans="47:51" x14ac:dyDescent="0.2">
      <c r="AU8989"/>
      <c r="AV8989"/>
      <c r="AW8989"/>
      <c r="AX8989"/>
      <c r="AY8989"/>
    </row>
    <row r="8990" spans="47:51" x14ac:dyDescent="0.2">
      <c r="AU8990"/>
      <c r="AV8990"/>
      <c r="AW8990"/>
      <c r="AX8990"/>
      <c r="AY8990"/>
    </row>
    <row r="8991" spans="47:51" x14ac:dyDescent="0.2">
      <c r="AU8991"/>
      <c r="AV8991"/>
      <c r="AW8991"/>
      <c r="AX8991"/>
      <c r="AY8991"/>
    </row>
    <row r="8992" spans="47:51" x14ac:dyDescent="0.2">
      <c r="AU8992"/>
      <c r="AV8992"/>
      <c r="AW8992"/>
      <c r="AX8992"/>
      <c r="AY8992"/>
    </row>
    <row r="8993" spans="47:51" x14ac:dyDescent="0.2">
      <c r="AU8993"/>
      <c r="AV8993"/>
      <c r="AW8993"/>
      <c r="AX8993"/>
      <c r="AY8993"/>
    </row>
    <row r="8994" spans="47:51" x14ac:dyDescent="0.2">
      <c r="AU8994"/>
      <c r="AV8994"/>
      <c r="AW8994"/>
      <c r="AX8994"/>
      <c r="AY8994"/>
    </row>
    <row r="8995" spans="47:51" x14ac:dyDescent="0.2">
      <c r="AU8995"/>
      <c r="AV8995"/>
      <c r="AW8995"/>
      <c r="AX8995"/>
      <c r="AY8995"/>
    </row>
    <row r="8996" spans="47:51" x14ac:dyDescent="0.2">
      <c r="AU8996"/>
      <c r="AV8996"/>
      <c r="AW8996"/>
      <c r="AX8996"/>
      <c r="AY8996"/>
    </row>
    <row r="8997" spans="47:51" x14ac:dyDescent="0.2">
      <c r="AU8997"/>
      <c r="AV8997"/>
      <c r="AW8997"/>
      <c r="AX8997"/>
      <c r="AY8997"/>
    </row>
    <row r="8998" spans="47:51" x14ac:dyDescent="0.2">
      <c r="AU8998"/>
      <c r="AV8998"/>
      <c r="AW8998"/>
      <c r="AX8998"/>
      <c r="AY8998"/>
    </row>
    <row r="8999" spans="47:51" x14ac:dyDescent="0.2">
      <c r="AU8999"/>
      <c r="AV8999"/>
      <c r="AW8999"/>
      <c r="AX8999"/>
      <c r="AY8999"/>
    </row>
    <row r="9000" spans="47:51" x14ac:dyDescent="0.2">
      <c r="AU9000"/>
      <c r="AV9000"/>
      <c r="AW9000"/>
      <c r="AX9000"/>
      <c r="AY9000"/>
    </row>
    <row r="9001" spans="47:51" x14ac:dyDescent="0.2">
      <c r="AU9001"/>
      <c r="AV9001"/>
      <c r="AW9001"/>
      <c r="AX9001"/>
      <c r="AY9001"/>
    </row>
    <row r="9002" spans="47:51" x14ac:dyDescent="0.2">
      <c r="AU9002"/>
      <c r="AV9002"/>
      <c r="AW9002"/>
      <c r="AX9002"/>
      <c r="AY9002"/>
    </row>
    <row r="9003" spans="47:51" x14ac:dyDescent="0.2">
      <c r="AU9003"/>
      <c r="AV9003"/>
      <c r="AW9003"/>
      <c r="AX9003"/>
      <c r="AY9003"/>
    </row>
    <row r="9004" spans="47:51" x14ac:dyDescent="0.2">
      <c r="AU9004"/>
      <c r="AV9004"/>
      <c r="AW9004"/>
      <c r="AX9004"/>
      <c r="AY9004"/>
    </row>
    <row r="9005" spans="47:51" x14ac:dyDescent="0.2">
      <c r="AU9005"/>
      <c r="AV9005"/>
      <c r="AW9005"/>
      <c r="AX9005"/>
      <c r="AY9005"/>
    </row>
    <row r="9006" spans="47:51" x14ac:dyDescent="0.2">
      <c r="AU9006"/>
      <c r="AV9006"/>
      <c r="AW9006"/>
      <c r="AX9006"/>
      <c r="AY9006"/>
    </row>
    <row r="9007" spans="47:51" x14ac:dyDescent="0.2">
      <c r="AU9007"/>
      <c r="AV9007"/>
      <c r="AW9007"/>
      <c r="AX9007"/>
      <c r="AY9007"/>
    </row>
    <row r="9008" spans="47:51" x14ac:dyDescent="0.2">
      <c r="AU9008"/>
      <c r="AV9008"/>
      <c r="AW9008"/>
      <c r="AX9008"/>
      <c r="AY9008"/>
    </row>
    <row r="9009" spans="47:51" x14ac:dyDescent="0.2">
      <c r="AU9009"/>
      <c r="AV9009"/>
      <c r="AW9009"/>
      <c r="AX9009"/>
      <c r="AY9009"/>
    </row>
    <row r="9010" spans="47:51" x14ac:dyDescent="0.2">
      <c r="AU9010"/>
      <c r="AV9010"/>
      <c r="AW9010"/>
      <c r="AX9010"/>
      <c r="AY9010"/>
    </row>
    <row r="9011" spans="47:51" x14ac:dyDescent="0.2">
      <c r="AU9011"/>
      <c r="AV9011"/>
      <c r="AW9011"/>
      <c r="AX9011"/>
      <c r="AY9011"/>
    </row>
    <row r="9012" spans="47:51" x14ac:dyDescent="0.2">
      <c r="AU9012"/>
      <c r="AV9012"/>
      <c r="AW9012"/>
      <c r="AX9012"/>
      <c r="AY9012"/>
    </row>
    <row r="9013" spans="47:51" x14ac:dyDescent="0.2">
      <c r="AU9013"/>
      <c r="AV9013"/>
      <c r="AW9013"/>
      <c r="AX9013"/>
      <c r="AY9013"/>
    </row>
    <row r="9014" spans="47:51" x14ac:dyDescent="0.2">
      <c r="AU9014"/>
      <c r="AV9014"/>
      <c r="AW9014"/>
      <c r="AX9014"/>
      <c r="AY9014"/>
    </row>
    <row r="9015" spans="47:51" x14ac:dyDescent="0.2">
      <c r="AU9015"/>
      <c r="AV9015"/>
      <c r="AW9015"/>
      <c r="AX9015"/>
      <c r="AY9015"/>
    </row>
    <row r="9016" spans="47:51" x14ac:dyDescent="0.2">
      <c r="AU9016"/>
      <c r="AV9016"/>
      <c r="AW9016"/>
      <c r="AX9016"/>
      <c r="AY9016"/>
    </row>
    <row r="9017" spans="47:51" x14ac:dyDescent="0.2">
      <c r="AU9017"/>
      <c r="AV9017"/>
      <c r="AW9017"/>
      <c r="AX9017"/>
      <c r="AY9017"/>
    </row>
    <row r="9018" spans="47:51" x14ac:dyDescent="0.2">
      <c r="AU9018"/>
      <c r="AV9018"/>
      <c r="AW9018"/>
      <c r="AX9018"/>
      <c r="AY9018"/>
    </row>
    <row r="9019" spans="47:51" x14ac:dyDescent="0.2">
      <c r="AU9019"/>
      <c r="AV9019"/>
      <c r="AW9019"/>
      <c r="AX9019"/>
      <c r="AY9019"/>
    </row>
    <row r="9020" spans="47:51" x14ac:dyDescent="0.2">
      <c r="AU9020"/>
      <c r="AV9020"/>
      <c r="AW9020"/>
      <c r="AX9020"/>
      <c r="AY9020"/>
    </row>
    <row r="9021" spans="47:51" x14ac:dyDescent="0.2">
      <c r="AU9021"/>
      <c r="AV9021"/>
      <c r="AW9021"/>
      <c r="AX9021"/>
      <c r="AY9021"/>
    </row>
    <row r="9022" spans="47:51" x14ac:dyDescent="0.2">
      <c r="AU9022"/>
      <c r="AV9022"/>
      <c r="AW9022"/>
      <c r="AX9022"/>
      <c r="AY9022"/>
    </row>
    <row r="9023" spans="47:51" x14ac:dyDescent="0.2">
      <c r="AU9023"/>
      <c r="AV9023"/>
      <c r="AW9023"/>
      <c r="AX9023"/>
      <c r="AY9023"/>
    </row>
    <row r="9024" spans="47:51" x14ac:dyDescent="0.2">
      <c r="AU9024"/>
      <c r="AV9024"/>
      <c r="AW9024"/>
      <c r="AX9024"/>
      <c r="AY9024"/>
    </row>
    <row r="9025" spans="47:51" x14ac:dyDescent="0.2">
      <c r="AU9025"/>
      <c r="AV9025"/>
      <c r="AW9025"/>
      <c r="AX9025"/>
      <c r="AY9025"/>
    </row>
    <row r="9026" spans="47:51" x14ac:dyDescent="0.2">
      <c r="AU9026"/>
      <c r="AV9026"/>
      <c r="AW9026"/>
      <c r="AX9026"/>
      <c r="AY9026"/>
    </row>
    <row r="9027" spans="47:51" x14ac:dyDescent="0.2">
      <c r="AU9027"/>
      <c r="AV9027"/>
      <c r="AW9027"/>
      <c r="AX9027"/>
      <c r="AY9027"/>
    </row>
    <row r="9028" spans="47:51" x14ac:dyDescent="0.2">
      <c r="AU9028"/>
      <c r="AV9028"/>
      <c r="AW9028"/>
      <c r="AX9028"/>
      <c r="AY9028"/>
    </row>
    <row r="9029" spans="47:51" x14ac:dyDescent="0.2">
      <c r="AU9029"/>
      <c r="AV9029"/>
      <c r="AW9029"/>
      <c r="AX9029"/>
      <c r="AY9029"/>
    </row>
    <row r="9030" spans="47:51" x14ac:dyDescent="0.2">
      <c r="AU9030"/>
      <c r="AV9030"/>
      <c r="AW9030"/>
      <c r="AX9030"/>
      <c r="AY9030"/>
    </row>
    <row r="9031" spans="47:51" x14ac:dyDescent="0.2">
      <c r="AU9031"/>
      <c r="AV9031"/>
      <c r="AW9031"/>
      <c r="AX9031"/>
      <c r="AY9031"/>
    </row>
    <row r="9032" spans="47:51" x14ac:dyDescent="0.2">
      <c r="AU9032"/>
      <c r="AV9032"/>
      <c r="AW9032"/>
      <c r="AX9032"/>
      <c r="AY9032"/>
    </row>
    <row r="9033" spans="47:51" x14ac:dyDescent="0.2">
      <c r="AU9033"/>
      <c r="AV9033"/>
      <c r="AW9033"/>
      <c r="AX9033"/>
      <c r="AY9033"/>
    </row>
    <row r="9034" spans="47:51" x14ac:dyDescent="0.2">
      <c r="AU9034"/>
      <c r="AV9034"/>
      <c r="AW9034"/>
      <c r="AX9034"/>
      <c r="AY9034"/>
    </row>
    <row r="9035" spans="47:51" x14ac:dyDescent="0.2">
      <c r="AU9035"/>
      <c r="AV9035"/>
      <c r="AW9035"/>
      <c r="AX9035"/>
      <c r="AY9035"/>
    </row>
    <row r="9036" spans="47:51" x14ac:dyDescent="0.2">
      <c r="AU9036"/>
      <c r="AV9036"/>
      <c r="AW9036"/>
      <c r="AX9036"/>
      <c r="AY9036"/>
    </row>
    <row r="9037" spans="47:51" x14ac:dyDescent="0.2">
      <c r="AU9037"/>
      <c r="AV9037"/>
      <c r="AW9037"/>
      <c r="AX9037"/>
      <c r="AY9037"/>
    </row>
    <row r="9038" spans="47:51" x14ac:dyDescent="0.2">
      <c r="AU9038"/>
      <c r="AV9038"/>
      <c r="AW9038"/>
      <c r="AX9038"/>
      <c r="AY9038"/>
    </row>
    <row r="9039" spans="47:51" x14ac:dyDescent="0.2">
      <c r="AU9039"/>
      <c r="AV9039"/>
      <c r="AW9039"/>
      <c r="AX9039"/>
      <c r="AY9039"/>
    </row>
    <row r="9040" spans="47:51" x14ac:dyDescent="0.2">
      <c r="AU9040"/>
      <c r="AV9040"/>
      <c r="AW9040"/>
      <c r="AX9040"/>
      <c r="AY9040"/>
    </row>
    <row r="9041" spans="47:51" x14ac:dyDescent="0.2">
      <c r="AU9041"/>
      <c r="AV9041"/>
      <c r="AW9041"/>
      <c r="AX9041"/>
      <c r="AY9041"/>
    </row>
    <row r="9042" spans="47:51" x14ac:dyDescent="0.2">
      <c r="AU9042"/>
      <c r="AV9042"/>
      <c r="AW9042"/>
      <c r="AX9042"/>
      <c r="AY9042"/>
    </row>
    <row r="9043" spans="47:51" x14ac:dyDescent="0.2">
      <c r="AU9043"/>
      <c r="AV9043"/>
      <c r="AW9043"/>
      <c r="AX9043"/>
      <c r="AY9043"/>
    </row>
    <row r="9044" spans="47:51" x14ac:dyDescent="0.2">
      <c r="AU9044"/>
      <c r="AV9044"/>
      <c r="AW9044"/>
      <c r="AX9044"/>
      <c r="AY9044"/>
    </row>
    <row r="9045" spans="47:51" x14ac:dyDescent="0.2">
      <c r="AU9045"/>
      <c r="AV9045"/>
      <c r="AW9045"/>
      <c r="AX9045"/>
      <c r="AY9045"/>
    </row>
    <row r="9046" spans="47:51" x14ac:dyDescent="0.2">
      <c r="AU9046"/>
      <c r="AV9046"/>
      <c r="AW9046"/>
      <c r="AX9046"/>
      <c r="AY9046"/>
    </row>
    <row r="9047" spans="47:51" x14ac:dyDescent="0.2">
      <c r="AU9047"/>
      <c r="AV9047"/>
      <c r="AW9047"/>
      <c r="AX9047"/>
      <c r="AY9047"/>
    </row>
    <row r="9048" spans="47:51" x14ac:dyDescent="0.2">
      <c r="AU9048"/>
      <c r="AV9048"/>
      <c r="AW9048"/>
      <c r="AX9048"/>
      <c r="AY9048"/>
    </row>
    <row r="9049" spans="47:51" x14ac:dyDescent="0.2">
      <c r="AU9049"/>
      <c r="AV9049"/>
      <c r="AW9049"/>
      <c r="AX9049"/>
      <c r="AY9049"/>
    </row>
    <row r="9050" spans="47:51" x14ac:dyDescent="0.2">
      <c r="AU9050"/>
      <c r="AV9050"/>
      <c r="AW9050"/>
      <c r="AX9050"/>
      <c r="AY9050"/>
    </row>
    <row r="9051" spans="47:51" x14ac:dyDescent="0.2">
      <c r="AU9051"/>
      <c r="AV9051"/>
      <c r="AW9051"/>
      <c r="AX9051"/>
      <c r="AY9051"/>
    </row>
    <row r="9052" spans="47:51" x14ac:dyDescent="0.2">
      <c r="AU9052"/>
      <c r="AV9052"/>
      <c r="AW9052"/>
      <c r="AX9052"/>
      <c r="AY9052"/>
    </row>
    <row r="9053" spans="47:51" x14ac:dyDescent="0.2">
      <c r="AU9053"/>
      <c r="AV9053"/>
      <c r="AW9053"/>
      <c r="AX9053"/>
      <c r="AY9053"/>
    </row>
    <row r="9054" spans="47:51" x14ac:dyDescent="0.2">
      <c r="AU9054"/>
      <c r="AV9054"/>
      <c r="AW9054"/>
      <c r="AX9054"/>
      <c r="AY9054"/>
    </row>
    <row r="9055" spans="47:51" x14ac:dyDescent="0.2">
      <c r="AU9055"/>
      <c r="AV9055"/>
      <c r="AW9055"/>
      <c r="AX9055"/>
      <c r="AY9055"/>
    </row>
    <row r="9056" spans="47:51" x14ac:dyDescent="0.2">
      <c r="AU9056"/>
      <c r="AV9056"/>
      <c r="AW9056"/>
      <c r="AX9056"/>
      <c r="AY9056"/>
    </row>
    <row r="9057" spans="47:51" x14ac:dyDescent="0.2">
      <c r="AU9057"/>
      <c r="AV9057"/>
      <c r="AW9057"/>
      <c r="AX9057"/>
      <c r="AY9057"/>
    </row>
    <row r="9058" spans="47:51" x14ac:dyDescent="0.2">
      <c r="AU9058"/>
      <c r="AV9058"/>
      <c r="AW9058"/>
      <c r="AX9058"/>
      <c r="AY9058"/>
    </row>
    <row r="9059" spans="47:51" x14ac:dyDescent="0.2">
      <c r="AU9059"/>
      <c r="AV9059"/>
      <c r="AW9059"/>
      <c r="AX9059"/>
      <c r="AY9059"/>
    </row>
    <row r="9060" spans="47:51" x14ac:dyDescent="0.2">
      <c r="AU9060"/>
      <c r="AV9060"/>
      <c r="AW9060"/>
      <c r="AX9060"/>
      <c r="AY9060"/>
    </row>
    <row r="9061" spans="47:51" x14ac:dyDescent="0.2">
      <c r="AU9061"/>
      <c r="AV9061"/>
      <c r="AW9061"/>
      <c r="AX9061"/>
      <c r="AY9061"/>
    </row>
    <row r="9062" spans="47:51" x14ac:dyDescent="0.2">
      <c r="AU9062"/>
      <c r="AV9062"/>
      <c r="AW9062"/>
      <c r="AX9062"/>
      <c r="AY9062"/>
    </row>
    <row r="9063" spans="47:51" x14ac:dyDescent="0.2">
      <c r="AU9063"/>
      <c r="AV9063"/>
      <c r="AW9063"/>
      <c r="AX9063"/>
      <c r="AY9063"/>
    </row>
    <row r="9064" spans="47:51" x14ac:dyDescent="0.2">
      <c r="AU9064"/>
      <c r="AV9064"/>
      <c r="AW9064"/>
      <c r="AX9064"/>
      <c r="AY9064"/>
    </row>
    <row r="9065" spans="47:51" x14ac:dyDescent="0.2">
      <c r="AU9065"/>
      <c r="AV9065"/>
      <c r="AW9065"/>
      <c r="AX9065"/>
      <c r="AY9065"/>
    </row>
    <row r="9066" spans="47:51" x14ac:dyDescent="0.2">
      <c r="AU9066"/>
      <c r="AV9066"/>
      <c r="AW9066"/>
      <c r="AX9066"/>
      <c r="AY9066"/>
    </row>
    <row r="9067" spans="47:51" x14ac:dyDescent="0.2">
      <c r="AU9067"/>
      <c r="AV9067"/>
      <c r="AW9067"/>
      <c r="AX9067"/>
      <c r="AY9067"/>
    </row>
    <row r="9068" spans="47:51" x14ac:dyDescent="0.2">
      <c r="AU9068"/>
      <c r="AV9068"/>
      <c r="AW9068"/>
      <c r="AX9068"/>
      <c r="AY9068"/>
    </row>
    <row r="9069" spans="47:51" x14ac:dyDescent="0.2">
      <c r="AU9069"/>
      <c r="AV9069"/>
      <c r="AW9069"/>
      <c r="AX9069"/>
      <c r="AY9069"/>
    </row>
    <row r="9070" spans="47:51" x14ac:dyDescent="0.2">
      <c r="AU9070"/>
      <c r="AV9070"/>
      <c r="AW9070"/>
      <c r="AX9070"/>
      <c r="AY9070"/>
    </row>
    <row r="9071" spans="47:51" x14ac:dyDescent="0.2">
      <c r="AU9071"/>
      <c r="AV9071"/>
      <c r="AW9071"/>
      <c r="AX9071"/>
      <c r="AY9071"/>
    </row>
    <row r="9072" spans="47:51" x14ac:dyDescent="0.2">
      <c r="AU9072"/>
      <c r="AV9072"/>
      <c r="AW9072"/>
      <c r="AX9072"/>
      <c r="AY9072"/>
    </row>
    <row r="9073" spans="47:51" x14ac:dyDescent="0.2">
      <c r="AU9073"/>
      <c r="AV9073"/>
      <c r="AW9073"/>
      <c r="AX9073"/>
      <c r="AY9073"/>
    </row>
    <row r="9074" spans="47:51" x14ac:dyDescent="0.2">
      <c r="AU9074"/>
      <c r="AV9074"/>
      <c r="AW9074"/>
      <c r="AX9074"/>
      <c r="AY9074"/>
    </row>
    <row r="9075" spans="47:51" x14ac:dyDescent="0.2">
      <c r="AU9075"/>
      <c r="AV9075"/>
      <c r="AW9075"/>
      <c r="AX9075"/>
      <c r="AY9075"/>
    </row>
    <row r="9076" spans="47:51" x14ac:dyDescent="0.2">
      <c r="AU9076"/>
      <c r="AV9076"/>
      <c r="AW9076"/>
      <c r="AX9076"/>
      <c r="AY9076"/>
    </row>
    <row r="9077" spans="47:51" x14ac:dyDescent="0.2">
      <c r="AU9077"/>
      <c r="AV9077"/>
      <c r="AW9077"/>
      <c r="AX9077"/>
      <c r="AY9077"/>
    </row>
    <row r="9078" spans="47:51" x14ac:dyDescent="0.2">
      <c r="AU9078"/>
      <c r="AV9078"/>
      <c r="AW9078"/>
      <c r="AX9078"/>
      <c r="AY9078"/>
    </row>
    <row r="9079" spans="47:51" x14ac:dyDescent="0.2">
      <c r="AU9079"/>
      <c r="AV9079"/>
      <c r="AW9079"/>
      <c r="AX9079"/>
      <c r="AY9079"/>
    </row>
    <row r="9080" spans="47:51" x14ac:dyDescent="0.2">
      <c r="AU9080"/>
      <c r="AV9080"/>
      <c r="AW9080"/>
      <c r="AX9080"/>
      <c r="AY9080"/>
    </row>
    <row r="9081" spans="47:51" x14ac:dyDescent="0.2">
      <c r="AU9081"/>
      <c r="AV9081"/>
      <c r="AW9081"/>
      <c r="AX9081"/>
      <c r="AY9081"/>
    </row>
    <row r="9082" spans="47:51" x14ac:dyDescent="0.2">
      <c r="AU9082"/>
      <c r="AV9082"/>
      <c r="AW9082"/>
      <c r="AX9082"/>
      <c r="AY9082"/>
    </row>
    <row r="9083" spans="47:51" x14ac:dyDescent="0.2">
      <c r="AU9083"/>
      <c r="AV9083"/>
      <c r="AW9083"/>
      <c r="AX9083"/>
      <c r="AY9083"/>
    </row>
    <row r="9084" spans="47:51" x14ac:dyDescent="0.2">
      <c r="AU9084"/>
      <c r="AV9084"/>
      <c r="AW9084"/>
      <c r="AX9084"/>
      <c r="AY9084"/>
    </row>
    <row r="9085" spans="47:51" x14ac:dyDescent="0.2">
      <c r="AU9085"/>
      <c r="AV9085"/>
      <c r="AW9085"/>
      <c r="AX9085"/>
      <c r="AY9085"/>
    </row>
    <row r="9086" spans="47:51" x14ac:dyDescent="0.2">
      <c r="AU9086"/>
      <c r="AV9086"/>
      <c r="AW9086"/>
      <c r="AX9086"/>
      <c r="AY9086"/>
    </row>
    <row r="9087" spans="47:51" x14ac:dyDescent="0.2">
      <c r="AU9087"/>
      <c r="AV9087"/>
      <c r="AW9087"/>
      <c r="AX9087"/>
      <c r="AY9087"/>
    </row>
    <row r="9088" spans="47:51" x14ac:dyDescent="0.2">
      <c r="AU9088"/>
      <c r="AV9088"/>
      <c r="AW9088"/>
      <c r="AX9088"/>
      <c r="AY9088"/>
    </row>
    <row r="9089" spans="47:51" x14ac:dyDescent="0.2">
      <c r="AU9089"/>
      <c r="AV9089"/>
      <c r="AW9089"/>
      <c r="AX9089"/>
      <c r="AY9089"/>
    </row>
    <row r="9090" spans="47:51" x14ac:dyDescent="0.2">
      <c r="AU9090"/>
      <c r="AV9090"/>
      <c r="AW9090"/>
      <c r="AX9090"/>
      <c r="AY9090"/>
    </row>
    <row r="9091" spans="47:51" x14ac:dyDescent="0.2">
      <c r="AU9091"/>
      <c r="AV9091"/>
      <c r="AW9091"/>
      <c r="AX9091"/>
      <c r="AY9091"/>
    </row>
    <row r="9092" spans="47:51" x14ac:dyDescent="0.2">
      <c r="AU9092"/>
      <c r="AV9092"/>
      <c r="AW9092"/>
      <c r="AX9092"/>
      <c r="AY9092"/>
    </row>
    <row r="9093" spans="47:51" x14ac:dyDescent="0.2">
      <c r="AU9093"/>
      <c r="AV9093"/>
      <c r="AW9093"/>
      <c r="AX9093"/>
      <c r="AY9093"/>
    </row>
    <row r="9094" spans="47:51" x14ac:dyDescent="0.2">
      <c r="AU9094"/>
      <c r="AV9094"/>
      <c r="AW9094"/>
      <c r="AX9094"/>
      <c r="AY9094"/>
    </row>
    <row r="9095" spans="47:51" x14ac:dyDescent="0.2">
      <c r="AU9095"/>
      <c r="AV9095"/>
      <c r="AW9095"/>
      <c r="AX9095"/>
      <c r="AY9095"/>
    </row>
    <row r="9096" spans="47:51" x14ac:dyDescent="0.2">
      <c r="AU9096"/>
      <c r="AV9096"/>
      <c r="AW9096"/>
      <c r="AX9096"/>
      <c r="AY9096"/>
    </row>
    <row r="9097" spans="47:51" x14ac:dyDescent="0.2">
      <c r="AU9097"/>
      <c r="AV9097"/>
      <c r="AW9097"/>
      <c r="AX9097"/>
      <c r="AY9097"/>
    </row>
    <row r="9098" spans="47:51" x14ac:dyDescent="0.2">
      <c r="AU9098"/>
      <c r="AV9098"/>
      <c r="AW9098"/>
      <c r="AX9098"/>
      <c r="AY9098"/>
    </row>
    <row r="9099" spans="47:51" x14ac:dyDescent="0.2">
      <c r="AU9099"/>
      <c r="AV9099"/>
      <c r="AW9099"/>
      <c r="AX9099"/>
      <c r="AY9099"/>
    </row>
    <row r="9100" spans="47:51" x14ac:dyDescent="0.2">
      <c r="AU9100"/>
      <c r="AV9100"/>
      <c r="AW9100"/>
      <c r="AX9100"/>
      <c r="AY9100"/>
    </row>
    <row r="9101" spans="47:51" x14ac:dyDescent="0.2">
      <c r="AU9101"/>
      <c r="AV9101"/>
      <c r="AW9101"/>
      <c r="AX9101"/>
      <c r="AY9101"/>
    </row>
    <row r="9102" spans="47:51" x14ac:dyDescent="0.2">
      <c r="AU9102"/>
      <c r="AV9102"/>
      <c r="AW9102"/>
      <c r="AX9102"/>
      <c r="AY9102"/>
    </row>
    <row r="9103" spans="47:51" x14ac:dyDescent="0.2">
      <c r="AU9103"/>
      <c r="AV9103"/>
      <c r="AW9103"/>
      <c r="AX9103"/>
      <c r="AY9103"/>
    </row>
    <row r="9104" spans="47:51" x14ac:dyDescent="0.2">
      <c r="AU9104"/>
      <c r="AV9104"/>
      <c r="AW9104"/>
      <c r="AX9104"/>
      <c r="AY9104"/>
    </row>
    <row r="9105" spans="47:51" x14ac:dyDescent="0.2">
      <c r="AU9105"/>
      <c r="AV9105"/>
      <c r="AW9105"/>
      <c r="AX9105"/>
      <c r="AY9105"/>
    </row>
    <row r="9106" spans="47:51" x14ac:dyDescent="0.2">
      <c r="AU9106"/>
      <c r="AV9106"/>
      <c r="AW9106"/>
      <c r="AX9106"/>
      <c r="AY9106"/>
    </row>
    <row r="9107" spans="47:51" x14ac:dyDescent="0.2">
      <c r="AU9107"/>
      <c r="AV9107"/>
      <c r="AW9107"/>
      <c r="AX9107"/>
      <c r="AY9107"/>
    </row>
    <row r="9108" spans="47:51" x14ac:dyDescent="0.2">
      <c r="AU9108"/>
      <c r="AV9108"/>
      <c r="AW9108"/>
      <c r="AX9108"/>
      <c r="AY9108"/>
    </row>
    <row r="9109" spans="47:51" x14ac:dyDescent="0.2">
      <c r="AU9109"/>
      <c r="AV9109"/>
      <c r="AW9109"/>
      <c r="AX9109"/>
      <c r="AY9109"/>
    </row>
    <row r="9110" spans="47:51" x14ac:dyDescent="0.2">
      <c r="AU9110"/>
      <c r="AV9110"/>
      <c r="AW9110"/>
      <c r="AX9110"/>
      <c r="AY9110"/>
    </row>
    <row r="9111" spans="47:51" x14ac:dyDescent="0.2">
      <c r="AU9111"/>
      <c r="AV9111"/>
      <c r="AW9111"/>
      <c r="AX9111"/>
      <c r="AY9111"/>
    </row>
    <row r="9112" spans="47:51" x14ac:dyDescent="0.2">
      <c r="AU9112"/>
      <c r="AV9112"/>
      <c r="AW9112"/>
      <c r="AX9112"/>
      <c r="AY9112"/>
    </row>
    <row r="9113" spans="47:51" x14ac:dyDescent="0.2">
      <c r="AU9113"/>
      <c r="AV9113"/>
      <c r="AW9113"/>
      <c r="AX9113"/>
      <c r="AY9113"/>
    </row>
    <row r="9114" spans="47:51" x14ac:dyDescent="0.2">
      <c r="AU9114"/>
      <c r="AV9114"/>
      <c r="AW9114"/>
      <c r="AX9114"/>
      <c r="AY9114"/>
    </row>
    <row r="9115" spans="47:51" x14ac:dyDescent="0.2">
      <c r="AU9115"/>
      <c r="AV9115"/>
      <c r="AW9115"/>
      <c r="AX9115"/>
      <c r="AY9115"/>
    </row>
    <row r="9116" spans="47:51" x14ac:dyDescent="0.2">
      <c r="AU9116"/>
      <c r="AV9116"/>
      <c r="AW9116"/>
      <c r="AX9116"/>
      <c r="AY9116"/>
    </row>
    <row r="9117" spans="47:51" x14ac:dyDescent="0.2">
      <c r="AU9117"/>
      <c r="AV9117"/>
      <c r="AW9117"/>
      <c r="AX9117"/>
      <c r="AY9117"/>
    </row>
    <row r="9118" spans="47:51" x14ac:dyDescent="0.2">
      <c r="AU9118"/>
      <c r="AV9118"/>
      <c r="AW9118"/>
      <c r="AX9118"/>
      <c r="AY9118"/>
    </row>
    <row r="9119" spans="47:51" x14ac:dyDescent="0.2">
      <c r="AU9119"/>
      <c r="AV9119"/>
      <c r="AW9119"/>
      <c r="AX9119"/>
      <c r="AY9119"/>
    </row>
    <row r="9120" spans="47:51" x14ac:dyDescent="0.2">
      <c r="AU9120"/>
      <c r="AV9120"/>
      <c r="AW9120"/>
      <c r="AX9120"/>
      <c r="AY9120"/>
    </row>
    <row r="9121" spans="47:51" x14ac:dyDescent="0.2">
      <c r="AU9121"/>
      <c r="AV9121"/>
      <c r="AW9121"/>
      <c r="AX9121"/>
      <c r="AY9121"/>
    </row>
    <row r="9122" spans="47:51" x14ac:dyDescent="0.2">
      <c r="AU9122"/>
      <c r="AV9122"/>
      <c r="AW9122"/>
      <c r="AX9122"/>
      <c r="AY9122"/>
    </row>
    <row r="9123" spans="47:51" x14ac:dyDescent="0.2">
      <c r="AU9123"/>
      <c r="AV9123"/>
      <c r="AW9123"/>
      <c r="AX9123"/>
      <c r="AY9123"/>
    </row>
    <row r="9124" spans="47:51" x14ac:dyDescent="0.2">
      <c r="AU9124"/>
      <c r="AV9124"/>
      <c r="AW9124"/>
      <c r="AX9124"/>
      <c r="AY9124"/>
    </row>
    <row r="9125" spans="47:51" x14ac:dyDescent="0.2">
      <c r="AU9125"/>
      <c r="AV9125"/>
      <c r="AW9125"/>
      <c r="AX9125"/>
      <c r="AY9125"/>
    </row>
    <row r="9126" spans="47:51" x14ac:dyDescent="0.2">
      <c r="AU9126"/>
      <c r="AV9126"/>
      <c r="AW9126"/>
      <c r="AX9126"/>
      <c r="AY9126"/>
    </row>
    <row r="9127" spans="47:51" x14ac:dyDescent="0.2">
      <c r="AU9127"/>
      <c r="AV9127"/>
      <c r="AW9127"/>
      <c r="AX9127"/>
      <c r="AY9127"/>
    </row>
    <row r="9128" spans="47:51" x14ac:dyDescent="0.2">
      <c r="AU9128"/>
      <c r="AV9128"/>
      <c r="AW9128"/>
      <c r="AX9128"/>
      <c r="AY9128"/>
    </row>
    <row r="9129" spans="47:51" x14ac:dyDescent="0.2">
      <c r="AU9129"/>
      <c r="AV9129"/>
      <c r="AW9129"/>
      <c r="AX9129"/>
      <c r="AY9129"/>
    </row>
    <row r="9130" spans="47:51" x14ac:dyDescent="0.2">
      <c r="AU9130"/>
      <c r="AV9130"/>
      <c r="AW9130"/>
      <c r="AX9130"/>
      <c r="AY9130"/>
    </row>
    <row r="9131" spans="47:51" x14ac:dyDescent="0.2">
      <c r="AU9131"/>
      <c r="AV9131"/>
      <c r="AW9131"/>
      <c r="AX9131"/>
      <c r="AY9131"/>
    </row>
    <row r="9132" spans="47:51" x14ac:dyDescent="0.2">
      <c r="AU9132"/>
      <c r="AV9132"/>
      <c r="AW9132"/>
      <c r="AX9132"/>
      <c r="AY9132"/>
    </row>
    <row r="9133" spans="47:51" x14ac:dyDescent="0.2">
      <c r="AU9133"/>
      <c r="AV9133"/>
      <c r="AW9133"/>
      <c r="AX9133"/>
      <c r="AY9133"/>
    </row>
    <row r="9134" spans="47:51" x14ac:dyDescent="0.2">
      <c r="AU9134"/>
      <c r="AV9134"/>
      <c r="AW9134"/>
      <c r="AX9134"/>
      <c r="AY9134"/>
    </row>
    <row r="9135" spans="47:51" x14ac:dyDescent="0.2">
      <c r="AU9135"/>
      <c r="AV9135"/>
      <c r="AW9135"/>
      <c r="AX9135"/>
      <c r="AY9135"/>
    </row>
    <row r="9136" spans="47:51" x14ac:dyDescent="0.2">
      <c r="AU9136"/>
      <c r="AV9136"/>
      <c r="AW9136"/>
      <c r="AX9136"/>
      <c r="AY9136"/>
    </row>
    <row r="9137" spans="47:51" x14ac:dyDescent="0.2">
      <c r="AU9137"/>
      <c r="AV9137"/>
      <c r="AW9137"/>
      <c r="AX9137"/>
      <c r="AY9137"/>
    </row>
    <row r="9138" spans="47:51" x14ac:dyDescent="0.2">
      <c r="AU9138"/>
      <c r="AV9138"/>
      <c r="AW9138"/>
      <c r="AX9138"/>
      <c r="AY9138"/>
    </row>
    <row r="9139" spans="47:51" x14ac:dyDescent="0.2">
      <c r="AU9139"/>
      <c r="AV9139"/>
      <c r="AW9139"/>
      <c r="AX9139"/>
      <c r="AY9139"/>
    </row>
    <row r="9140" spans="47:51" x14ac:dyDescent="0.2">
      <c r="AU9140"/>
      <c r="AV9140"/>
      <c r="AW9140"/>
      <c r="AX9140"/>
      <c r="AY9140"/>
    </row>
    <row r="9141" spans="47:51" x14ac:dyDescent="0.2">
      <c r="AU9141"/>
      <c r="AV9141"/>
      <c r="AW9141"/>
      <c r="AX9141"/>
      <c r="AY9141"/>
    </row>
    <row r="9142" spans="47:51" x14ac:dyDescent="0.2">
      <c r="AU9142"/>
      <c r="AV9142"/>
      <c r="AW9142"/>
      <c r="AX9142"/>
      <c r="AY9142"/>
    </row>
    <row r="9143" spans="47:51" x14ac:dyDescent="0.2">
      <c r="AU9143"/>
      <c r="AV9143"/>
      <c r="AW9143"/>
      <c r="AX9143"/>
      <c r="AY9143"/>
    </row>
    <row r="9144" spans="47:51" x14ac:dyDescent="0.2">
      <c r="AU9144"/>
      <c r="AV9144"/>
      <c r="AW9144"/>
      <c r="AX9144"/>
      <c r="AY9144"/>
    </row>
    <row r="9145" spans="47:51" x14ac:dyDescent="0.2">
      <c r="AU9145"/>
      <c r="AV9145"/>
      <c r="AW9145"/>
      <c r="AX9145"/>
      <c r="AY9145"/>
    </row>
    <row r="9146" spans="47:51" x14ac:dyDescent="0.2">
      <c r="AU9146"/>
      <c r="AV9146"/>
      <c r="AW9146"/>
      <c r="AX9146"/>
      <c r="AY9146"/>
    </row>
    <row r="9147" spans="47:51" x14ac:dyDescent="0.2">
      <c r="AU9147"/>
      <c r="AV9147"/>
      <c r="AW9147"/>
      <c r="AX9147"/>
      <c r="AY9147"/>
    </row>
    <row r="9148" spans="47:51" x14ac:dyDescent="0.2">
      <c r="AU9148"/>
      <c r="AV9148"/>
      <c r="AW9148"/>
      <c r="AX9148"/>
      <c r="AY9148"/>
    </row>
    <row r="9149" spans="47:51" x14ac:dyDescent="0.2">
      <c r="AU9149"/>
      <c r="AV9149"/>
      <c r="AW9149"/>
      <c r="AX9149"/>
      <c r="AY9149"/>
    </row>
    <row r="9150" spans="47:51" x14ac:dyDescent="0.2">
      <c r="AU9150"/>
      <c r="AV9150"/>
      <c r="AW9150"/>
      <c r="AX9150"/>
      <c r="AY9150"/>
    </row>
    <row r="9151" spans="47:51" x14ac:dyDescent="0.2">
      <c r="AU9151"/>
      <c r="AV9151"/>
      <c r="AW9151"/>
      <c r="AX9151"/>
      <c r="AY9151"/>
    </row>
    <row r="9152" spans="47:51" x14ac:dyDescent="0.2">
      <c r="AU9152"/>
      <c r="AV9152"/>
      <c r="AW9152"/>
      <c r="AX9152"/>
      <c r="AY9152"/>
    </row>
    <row r="9153" spans="47:51" x14ac:dyDescent="0.2">
      <c r="AU9153"/>
      <c r="AV9153"/>
      <c r="AW9153"/>
      <c r="AX9153"/>
      <c r="AY9153"/>
    </row>
    <row r="9154" spans="47:51" x14ac:dyDescent="0.2">
      <c r="AU9154"/>
      <c r="AV9154"/>
      <c r="AW9154"/>
      <c r="AX9154"/>
      <c r="AY9154"/>
    </row>
    <row r="9155" spans="47:51" x14ac:dyDescent="0.2">
      <c r="AU9155"/>
      <c r="AV9155"/>
      <c r="AW9155"/>
      <c r="AX9155"/>
      <c r="AY9155"/>
    </row>
    <row r="9156" spans="47:51" x14ac:dyDescent="0.2">
      <c r="AU9156"/>
      <c r="AV9156"/>
      <c r="AW9156"/>
      <c r="AX9156"/>
      <c r="AY9156"/>
    </row>
    <row r="9157" spans="47:51" x14ac:dyDescent="0.2">
      <c r="AU9157"/>
      <c r="AV9157"/>
      <c r="AW9157"/>
      <c r="AX9157"/>
      <c r="AY9157"/>
    </row>
    <row r="9158" spans="47:51" x14ac:dyDescent="0.2">
      <c r="AU9158"/>
      <c r="AV9158"/>
      <c r="AW9158"/>
      <c r="AX9158"/>
      <c r="AY9158"/>
    </row>
    <row r="9159" spans="47:51" x14ac:dyDescent="0.2">
      <c r="AU9159"/>
      <c r="AV9159"/>
      <c r="AW9159"/>
      <c r="AX9159"/>
      <c r="AY9159"/>
    </row>
    <row r="9160" spans="47:51" x14ac:dyDescent="0.2">
      <c r="AU9160"/>
      <c r="AV9160"/>
      <c r="AW9160"/>
      <c r="AX9160"/>
      <c r="AY9160"/>
    </row>
    <row r="9161" spans="47:51" x14ac:dyDescent="0.2">
      <c r="AU9161"/>
      <c r="AV9161"/>
      <c r="AW9161"/>
      <c r="AX9161"/>
      <c r="AY9161"/>
    </row>
    <row r="9162" spans="47:51" x14ac:dyDescent="0.2">
      <c r="AU9162"/>
      <c r="AV9162"/>
      <c r="AW9162"/>
      <c r="AX9162"/>
      <c r="AY9162"/>
    </row>
    <row r="9163" spans="47:51" x14ac:dyDescent="0.2">
      <c r="AU9163"/>
      <c r="AV9163"/>
      <c r="AW9163"/>
      <c r="AX9163"/>
      <c r="AY9163"/>
    </row>
    <row r="9164" spans="47:51" x14ac:dyDescent="0.2">
      <c r="AU9164"/>
      <c r="AV9164"/>
      <c r="AW9164"/>
      <c r="AX9164"/>
      <c r="AY9164"/>
    </row>
    <row r="9165" spans="47:51" x14ac:dyDescent="0.2">
      <c r="AU9165"/>
      <c r="AV9165"/>
      <c r="AW9165"/>
      <c r="AX9165"/>
      <c r="AY9165"/>
    </row>
    <row r="9166" spans="47:51" x14ac:dyDescent="0.2">
      <c r="AU9166"/>
      <c r="AV9166"/>
      <c r="AW9166"/>
      <c r="AX9166"/>
      <c r="AY9166"/>
    </row>
    <row r="9167" spans="47:51" x14ac:dyDescent="0.2">
      <c r="AU9167"/>
      <c r="AV9167"/>
      <c r="AW9167"/>
      <c r="AX9167"/>
      <c r="AY9167"/>
    </row>
    <row r="9168" spans="47:51" x14ac:dyDescent="0.2">
      <c r="AU9168"/>
      <c r="AV9168"/>
      <c r="AW9168"/>
      <c r="AX9168"/>
      <c r="AY9168"/>
    </row>
    <row r="9169" spans="47:51" x14ac:dyDescent="0.2">
      <c r="AU9169"/>
      <c r="AV9169"/>
      <c r="AW9169"/>
      <c r="AX9169"/>
      <c r="AY9169"/>
    </row>
    <row r="9170" spans="47:51" x14ac:dyDescent="0.2">
      <c r="AU9170"/>
      <c r="AV9170"/>
      <c r="AW9170"/>
      <c r="AX9170"/>
      <c r="AY9170"/>
    </row>
    <row r="9171" spans="47:51" x14ac:dyDescent="0.2">
      <c r="AU9171"/>
      <c r="AV9171"/>
      <c r="AW9171"/>
      <c r="AX9171"/>
      <c r="AY9171"/>
    </row>
    <row r="9172" spans="47:51" x14ac:dyDescent="0.2">
      <c r="AU9172"/>
      <c r="AV9172"/>
      <c r="AW9172"/>
      <c r="AX9172"/>
      <c r="AY9172"/>
    </row>
    <row r="9173" spans="47:51" x14ac:dyDescent="0.2">
      <c r="AU9173"/>
      <c r="AV9173"/>
      <c r="AW9173"/>
      <c r="AX9173"/>
      <c r="AY9173"/>
    </row>
    <row r="9174" spans="47:51" x14ac:dyDescent="0.2">
      <c r="AU9174"/>
      <c r="AV9174"/>
      <c r="AW9174"/>
      <c r="AX9174"/>
      <c r="AY9174"/>
    </row>
    <row r="9175" spans="47:51" x14ac:dyDescent="0.2">
      <c r="AU9175"/>
      <c r="AV9175"/>
      <c r="AW9175"/>
      <c r="AX9175"/>
      <c r="AY9175"/>
    </row>
    <row r="9176" spans="47:51" x14ac:dyDescent="0.2">
      <c r="AU9176"/>
      <c r="AV9176"/>
      <c r="AW9176"/>
      <c r="AX9176"/>
      <c r="AY9176"/>
    </row>
    <row r="9177" spans="47:51" x14ac:dyDescent="0.2">
      <c r="AU9177"/>
      <c r="AV9177"/>
      <c r="AW9177"/>
      <c r="AX9177"/>
      <c r="AY9177"/>
    </row>
    <row r="9178" spans="47:51" x14ac:dyDescent="0.2">
      <c r="AU9178"/>
      <c r="AV9178"/>
      <c r="AW9178"/>
      <c r="AX9178"/>
      <c r="AY9178"/>
    </row>
    <row r="9179" spans="47:51" x14ac:dyDescent="0.2">
      <c r="AU9179"/>
      <c r="AV9179"/>
      <c r="AW9179"/>
      <c r="AX9179"/>
      <c r="AY9179"/>
    </row>
    <row r="9180" spans="47:51" x14ac:dyDescent="0.2">
      <c r="AU9180"/>
      <c r="AV9180"/>
      <c r="AW9180"/>
      <c r="AX9180"/>
      <c r="AY9180"/>
    </row>
    <row r="9181" spans="47:51" x14ac:dyDescent="0.2">
      <c r="AU9181"/>
      <c r="AV9181"/>
      <c r="AW9181"/>
      <c r="AX9181"/>
      <c r="AY9181"/>
    </row>
    <row r="9182" spans="47:51" x14ac:dyDescent="0.2">
      <c r="AU9182"/>
      <c r="AV9182"/>
      <c r="AW9182"/>
      <c r="AX9182"/>
      <c r="AY9182"/>
    </row>
    <row r="9183" spans="47:51" x14ac:dyDescent="0.2">
      <c r="AU9183"/>
      <c r="AV9183"/>
      <c r="AW9183"/>
      <c r="AX9183"/>
      <c r="AY9183"/>
    </row>
    <row r="9184" spans="47:51" x14ac:dyDescent="0.2">
      <c r="AU9184"/>
      <c r="AV9184"/>
      <c r="AW9184"/>
      <c r="AX9184"/>
      <c r="AY9184"/>
    </row>
    <row r="9185" spans="47:51" x14ac:dyDescent="0.2">
      <c r="AU9185"/>
      <c r="AV9185"/>
      <c r="AW9185"/>
      <c r="AX9185"/>
      <c r="AY9185"/>
    </row>
    <row r="9186" spans="47:51" x14ac:dyDescent="0.2">
      <c r="AU9186"/>
      <c r="AV9186"/>
      <c r="AW9186"/>
      <c r="AX9186"/>
      <c r="AY9186"/>
    </row>
    <row r="9187" spans="47:51" x14ac:dyDescent="0.2">
      <c r="AU9187"/>
      <c r="AV9187"/>
      <c r="AW9187"/>
      <c r="AX9187"/>
      <c r="AY9187"/>
    </row>
    <row r="9188" spans="47:51" x14ac:dyDescent="0.2">
      <c r="AU9188"/>
      <c r="AV9188"/>
      <c r="AW9188"/>
      <c r="AX9188"/>
      <c r="AY9188"/>
    </row>
    <row r="9189" spans="47:51" x14ac:dyDescent="0.2">
      <c r="AU9189"/>
      <c r="AV9189"/>
      <c r="AW9189"/>
      <c r="AX9189"/>
      <c r="AY9189"/>
    </row>
    <row r="9190" spans="47:51" x14ac:dyDescent="0.2">
      <c r="AU9190"/>
      <c r="AV9190"/>
      <c r="AW9190"/>
      <c r="AX9190"/>
      <c r="AY9190"/>
    </row>
    <row r="9191" spans="47:51" x14ac:dyDescent="0.2">
      <c r="AU9191"/>
      <c r="AV9191"/>
      <c r="AW9191"/>
      <c r="AX9191"/>
      <c r="AY9191"/>
    </row>
    <row r="9192" spans="47:51" x14ac:dyDescent="0.2">
      <c r="AU9192"/>
      <c r="AV9192"/>
      <c r="AW9192"/>
      <c r="AX9192"/>
      <c r="AY9192"/>
    </row>
    <row r="9193" spans="47:51" x14ac:dyDescent="0.2">
      <c r="AU9193"/>
      <c r="AV9193"/>
      <c r="AW9193"/>
      <c r="AX9193"/>
      <c r="AY9193"/>
    </row>
    <row r="9194" spans="47:51" x14ac:dyDescent="0.2">
      <c r="AU9194"/>
      <c r="AV9194"/>
      <c r="AW9194"/>
      <c r="AX9194"/>
      <c r="AY9194"/>
    </row>
    <row r="9195" spans="47:51" x14ac:dyDescent="0.2">
      <c r="AU9195"/>
      <c r="AV9195"/>
      <c r="AW9195"/>
      <c r="AX9195"/>
      <c r="AY9195"/>
    </row>
    <row r="9196" spans="47:51" x14ac:dyDescent="0.2">
      <c r="AU9196"/>
      <c r="AV9196"/>
      <c r="AW9196"/>
      <c r="AX9196"/>
      <c r="AY9196"/>
    </row>
    <row r="9197" spans="47:51" x14ac:dyDescent="0.2">
      <c r="AU9197"/>
      <c r="AV9197"/>
      <c r="AW9197"/>
      <c r="AX9197"/>
      <c r="AY9197"/>
    </row>
    <row r="9198" spans="47:51" x14ac:dyDescent="0.2">
      <c r="AU9198"/>
      <c r="AV9198"/>
      <c r="AW9198"/>
      <c r="AX9198"/>
      <c r="AY9198"/>
    </row>
    <row r="9199" spans="47:51" x14ac:dyDescent="0.2">
      <c r="AU9199"/>
      <c r="AV9199"/>
      <c r="AW9199"/>
      <c r="AX9199"/>
      <c r="AY9199"/>
    </row>
    <row r="9200" spans="47:51" x14ac:dyDescent="0.2">
      <c r="AU9200"/>
      <c r="AV9200"/>
      <c r="AW9200"/>
      <c r="AX9200"/>
      <c r="AY9200"/>
    </row>
    <row r="9201" spans="47:51" x14ac:dyDescent="0.2">
      <c r="AU9201"/>
      <c r="AV9201"/>
      <c r="AW9201"/>
      <c r="AX9201"/>
      <c r="AY9201"/>
    </row>
    <row r="9202" spans="47:51" x14ac:dyDescent="0.2">
      <c r="AU9202"/>
      <c r="AV9202"/>
      <c r="AW9202"/>
      <c r="AX9202"/>
      <c r="AY9202"/>
    </row>
    <row r="9203" spans="47:51" x14ac:dyDescent="0.2">
      <c r="AU9203"/>
      <c r="AV9203"/>
      <c r="AW9203"/>
      <c r="AX9203"/>
      <c r="AY9203"/>
    </row>
    <row r="9204" spans="47:51" x14ac:dyDescent="0.2">
      <c r="AU9204"/>
      <c r="AV9204"/>
      <c r="AW9204"/>
      <c r="AX9204"/>
      <c r="AY9204"/>
    </row>
    <row r="9205" spans="47:51" x14ac:dyDescent="0.2">
      <c r="AU9205"/>
      <c r="AV9205"/>
      <c r="AW9205"/>
      <c r="AX9205"/>
      <c r="AY9205"/>
    </row>
    <row r="9206" spans="47:51" x14ac:dyDescent="0.2">
      <c r="AU9206"/>
      <c r="AV9206"/>
      <c r="AW9206"/>
      <c r="AX9206"/>
      <c r="AY9206"/>
    </row>
    <row r="9207" spans="47:51" x14ac:dyDescent="0.2">
      <c r="AU9207"/>
      <c r="AV9207"/>
      <c r="AW9207"/>
      <c r="AX9207"/>
      <c r="AY9207"/>
    </row>
    <row r="9208" spans="47:51" x14ac:dyDescent="0.2">
      <c r="AU9208"/>
      <c r="AV9208"/>
      <c r="AW9208"/>
      <c r="AX9208"/>
      <c r="AY9208"/>
    </row>
    <row r="9209" spans="47:51" x14ac:dyDescent="0.2">
      <c r="AU9209"/>
      <c r="AV9209"/>
      <c r="AW9209"/>
      <c r="AX9209"/>
      <c r="AY9209"/>
    </row>
    <row r="9210" spans="47:51" x14ac:dyDescent="0.2">
      <c r="AU9210"/>
      <c r="AV9210"/>
      <c r="AW9210"/>
      <c r="AX9210"/>
      <c r="AY9210"/>
    </row>
    <row r="9211" spans="47:51" x14ac:dyDescent="0.2">
      <c r="AU9211"/>
      <c r="AV9211"/>
      <c r="AW9211"/>
      <c r="AX9211"/>
      <c r="AY9211"/>
    </row>
    <row r="9212" spans="47:51" x14ac:dyDescent="0.2">
      <c r="AU9212"/>
      <c r="AV9212"/>
      <c r="AW9212"/>
      <c r="AX9212"/>
      <c r="AY9212"/>
    </row>
    <row r="9213" spans="47:51" x14ac:dyDescent="0.2">
      <c r="AU9213"/>
      <c r="AV9213"/>
      <c r="AW9213"/>
      <c r="AX9213"/>
      <c r="AY9213"/>
    </row>
    <row r="9214" spans="47:51" x14ac:dyDescent="0.2">
      <c r="AU9214"/>
      <c r="AV9214"/>
      <c r="AW9214"/>
      <c r="AX9214"/>
      <c r="AY9214"/>
    </row>
    <row r="9215" spans="47:51" x14ac:dyDescent="0.2">
      <c r="AU9215"/>
      <c r="AV9215"/>
      <c r="AW9215"/>
      <c r="AX9215"/>
      <c r="AY9215"/>
    </row>
    <row r="9216" spans="47:51" x14ac:dyDescent="0.2">
      <c r="AU9216"/>
      <c r="AV9216"/>
      <c r="AW9216"/>
      <c r="AX9216"/>
      <c r="AY9216"/>
    </row>
    <row r="9217" spans="47:51" x14ac:dyDescent="0.2">
      <c r="AU9217"/>
      <c r="AV9217"/>
      <c r="AW9217"/>
      <c r="AX9217"/>
      <c r="AY9217"/>
    </row>
    <row r="9218" spans="47:51" x14ac:dyDescent="0.2">
      <c r="AU9218"/>
      <c r="AV9218"/>
      <c r="AW9218"/>
      <c r="AX9218"/>
      <c r="AY9218"/>
    </row>
    <row r="9219" spans="47:51" x14ac:dyDescent="0.2">
      <c r="AU9219"/>
      <c r="AV9219"/>
      <c r="AW9219"/>
      <c r="AX9219"/>
      <c r="AY9219"/>
    </row>
    <row r="9220" spans="47:51" x14ac:dyDescent="0.2">
      <c r="AU9220"/>
      <c r="AV9220"/>
      <c r="AW9220"/>
      <c r="AX9220"/>
      <c r="AY9220"/>
    </row>
    <row r="9221" spans="47:51" x14ac:dyDescent="0.2">
      <c r="AU9221"/>
      <c r="AV9221"/>
      <c r="AW9221"/>
      <c r="AX9221"/>
      <c r="AY9221"/>
    </row>
    <row r="9222" spans="47:51" x14ac:dyDescent="0.2">
      <c r="AU9222"/>
      <c r="AV9222"/>
      <c r="AW9222"/>
      <c r="AX9222"/>
      <c r="AY9222"/>
    </row>
    <row r="9223" spans="47:51" x14ac:dyDescent="0.2">
      <c r="AU9223"/>
      <c r="AV9223"/>
      <c r="AW9223"/>
      <c r="AX9223"/>
      <c r="AY9223"/>
    </row>
    <row r="9224" spans="47:51" x14ac:dyDescent="0.2">
      <c r="AU9224"/>
      <c r="AV9224"/>
      <c r="AW9224"/>
      <c r="AX9224"/>
      <c r="AY9224"/>
    </row>
    <row r="9225" spans="47:51" x14ac:dyDescent="0.2">
      <c r="AU9225"/>
      <c r="AV9225"/>
      <c r="AW9225"/>
      <c r="AX9225"/>
      <c r="AY9225"/>
    </row>
    <row r="9226" spans="47:51" x14ac:dyDescent="0.2">
      <c r="AU9226"/>
      <c r="AV9226"/>
      <c r="AW9226"/>
      <c r="AX9226"/>
      <c r="AY9226"/>
    </row>
    <row r="9227" spans="47:51" x14ac:dyDescent="0.2">
      <c r="AU9227"/>
      <c r="AV9227"/>
      <c r="AW9227"/>
      <c r="AX9227"/>
      <c r="AY9227"/>
    </row>
    <row r="9228" spans="47:51" x14ac:dyDescent="0.2">
      <c r="AU9228"/>
      <c r="AV9228"/>
      <c r="AW9228"/>
      <c r="AX9228"/>
      <c r="AY9228"/>
    </row>
    <row r="9229" spans="47:51" x14ac:dyDescent="0.2">
      <c r="AU9229"/>
      <c r="AV9229"/>
      <c r="AW9229"/>
      <c r="AX9229"/>
      <c r="AY9229"/>
    </row>
    <row r="9230" spans="47:51" x14ac:dyDescent="0.2">
      <c r="AU9230"/>
      <c r="AV9230"/>
      <c r="AW9230"/>
      <c r="AX9230"/>
      <c r="AY9230"/>
    </row>
    <row r="9231" spans="47:51" x14ac:dyDescent="0.2">
      <c r="AU9231"/>
      <c r="AV9231"/>
      <c r="AW9231"/>
      <c r="AX9231"/>
      <c r="AY9231"/>
    </row>
    <row r="9232" spans="47:51" x14ac:dyDescent="0.2">
      <c r="AU9232"/>
      <c r="AV9232"/>
      <c r="AW9232"/>
      <c r="AX9232"/>
      <c r="AY9232"/>
    </row>
    <row r="9233" spans="47:51" x14ac:dyDescent="0.2">
      <c r="AU9233"/>
      <c r="AV9233"/>
      <c r="AW9233"/>
      <c r="AX9233"/>
      <c r="AY9233"/>
    </row>
    <row r="9234" spans="47:51" x14ac:dyDescent="0.2">
      <c r="AU9234"/>
      <c r="AV9234"/>
      <c r="AW9234"/>
      <c r="AX9234"/>
      <c r="AY9234"/>
    </row>
    <row r="9235" spans="47:51" x14ac:dyDescent="0.2">
      <c r="AU9235"/>
      <c r="AV9235"/>
      <c r="AW9235"/>
      <c r="AX9235"/>
      <c r="AY9235"/>
    </row>
    <row r="9236" spans="47:51" x14ac:dyDescent="0.2">
      <c r="AU9236"/>
      <c r="AV9236"/>
      <c r="AW9236"/>
      <c r="AX9236"/>
      <c r="AY9236"/>
    </row>
    <row r="9237" spans="47:51" x14ac:dyDescent="0.2">
      <c r="AU9237"/>
      <c r="AV9237"/>
      <c r="AW9237"/>
      <c r="AX9237"/>
      <c r="AY9237"/>
    </row>
    <row r="9238" spans="47:51" x14ac:dyDescent="0.2">
      <c r="AU9238"/>
      <c r="AV9238"/>
      <c r="AW9238"/>
      <c r="AX9238"/>
      <c r="AY9238"/>
    </row>
    <row r="9239" spans="47:51" x14ac:dyDescent="0.2">
      <c r="AU9239"/>
      <c r="AV9239"/>
      <c r="AW9239"/>
      <c r="AX9239"/>
      <c r="AY9239"/>
    </row>
    <row r="9240" spans="47:51" x14ac:dyDescent="0.2">
      <c r="AU9240"/>
      <c r="AV9240"/>
      <c r="AW9240"/>
      <c r="AX9240"/>
      <c r="AY9240"/>
    </row>
    <row r="9241" spans="47:51" x14ac:dyDescent="0.2">
      <c r="AU9241"/>
      <c r="AV9241"/>
      <c r="AW9241"/>
      <c r="AX9241"/>
      <c r="AY9241"/>
    </row>
    <row r="9242" spans="47:51" x14ac:dyDescent="0.2">
      <c r="AU9242"/>
      <c r="AV9242"/>
      <c r="AW9242"/>
      <c r="AX9242"/>
      <c r="AY9242"/>
    </row>
    <row r="9243" spans="47:51" x14ac:dyDescent="0.2">
      <c r="AU9243"/>
      <c r="AV9243"/>
      <c r="AW9243"/>
      <c r="AX9243"/>
      <c r="AY9243"/>
    </row>
    <row r="9244" spans="47:51" x14ac:dyDescent="0.2">
      <c r="AU9244"/>
      <c r="AV9244"/>
      <c r="AW9244"/>
      <c r="AX9244"/>
      <c r="AY9244"/>
    </row>
    <row r="9245" spans="47:51" x14ac:dyDescent="0.2">
      <c r="AU9245"/>
      <c r="AV9245"/>
      <c r="AW9245"/>
      <c r="AX9245"/>
      <c r="AY9245"/>
    </row>
    <row r="9246" spans="47:51" x14ac:dyDescent="0.2">
      <c r="AU9246"/>
      <c r="AV9246"/>
      <c r="AW9246"/>
      <c r="AX9246"/>
      <c r="AY9246"/>
    </row>
    <row r="9247" spans="47:51" x14ac:dyDescent="0.2">
      <c r="AU9247"/>
      <c r="AV9247"/>
      <c r="AW9247"/>
      <c r="AX9247"/>
      <c r="AY9247"/>
    </row>
    <row r="9248" spans="47:51" x14ac:dyDescent="0.2">
      <c r="AU9248"/>
      <c r="AV9248"/>
      <c r="AW9248"/>
      <c r="AX9248"/>
      <c r="AY9248"/>
    </row>
    <row r="9249" spans="47:51" x14ac:dyDescent="0.2">
      <c r="AU9249"/>
      <c r="AV9249"/>
      <c r="AW9249"/>
      <c r="AX9249"/>
      <c r="AY9249"/>
    </row>
    <row r="9250" spans="47:51" x14ac:dyDescent="0.2">
      <c r="AU9250"/>
      <c r="AV9250"/>
      <c r="AW9250"/>
      <c r="AX9250"/>
      <c r="AY9250"/>
    </row>
    <row r="9251" spans="47:51" x14ac:dyDescent="0.2">
      <c r="AU9251"/>
      <c r="AV9251"/>
      <c r="AW9251"/>
      <c r="AX9251"/>
      <c r="AY9251"/>
    </row>
    <row r="9252" spans="47:51" x14ac:dyDescent="0.2">
      <c r="AU9252"/>
      <c r="AV9252"/>
      <c r="AW9252"/>
      <c r="AX9252"/>
      <c r="AY9252"/>
    </row>
    <row r="9253" spans="47:51" x14ac:dyDescent="0.2">
      <c r="AU9253"/>
      <c r="AV9253"/>
      <c r="AW9253"/>
      <c r="AX9253"/>
      <c r="AY9253"/>
    </row>
    <row r="9254" spans="47:51" x14ac:dyDescent="0.2">
      <c r="AU9254"/>
      <c r="AV9254"/>
      <c r="AW9254"/>
      <c r="AX9254"/>
      <c r="AY9254"/>
    </row>
    <row r="9255" spans="47:51" x14ac:dyDescent="0.2">
      <c r="AU9255"/>
      <c r="AV9255"/>
      <c r="AW9255"/>
      <c r="AX9255"/>
      <c r="AY9255"/>
    </row>
    <row r="9256" spans="47:51" x14ac:dyDescent="0.2">
      <c r="AU9256"/>
      <c r="AV9256"/>
      <c r="AW9256"/>
      <c r="AX9256"/>
      <c r="AY9256"/>
    </row>
    <row r="9257" spans="47:51" x14ac:dyDescent="0.2">
      <c r="AU9257"/>
      <c r="AV9257"/>
      <c r="AW9257"/>
      <c r="AX9257"/>
      <c r="AY9257"/>
    </row>
    <row r="9258" spans="47:51" x14ac:dyDescent="0.2">
      <c r="AU9258"/>
      <c r="AV9258"/>
      <c r="AW9258"/>
      <c r="AX9258"/>
      <c r="AY9258"/>
    </row>
    <row r="9259" spans="47:51" x14ac:dyDescent="0.2">
      <c r="AU9259"/>
      <c r="AV9259"/>
      <c r="AW9259"/>
      <c r="AX9259"/>
      <c r="AY9259"/>
    </row>
    <row r="9260" spans="47:51" x14ac:dyDescent="0.2">
      <c r="AU9260"/>
      <c r="AV9260"/>
      <c r="AW9260"/>
      <c r="AX9260"/>
      <c r="AY9260"/>
    </row>
    <row r="9261" spans="47:51" x14ac:dyDescent="0.2">
      <c r="AU9261"/>
      <c r="AV9261"/>
      <c r="AW9261"/>
      <c r="AX9261"/>
      <c r="AY9261"/>
    </row>
    <row r="9262" spans="47:51" x14ac:dyDescent="0.2">
      <c r="AU9262"/>
      <c r="AV9262"/>
      <c r="AW9262"/>
      <c r="AX9262"/>
      <c r="AY9262"/>
    </row>
    <row r="9263" spans="47:51" x14ac:dyDescent="0.2">
      <c r="AU9263"/>
      <c r="AV9263"/>
      <c r="AW9263"/>
      <c r="AX9263"/>
      <c r="AY9263"/>
    </row>
    <row r="9264" spans="47:51" x14ac:dyDescent="0.2">
      <c r="AU9264"/>
      <c r="AV9264"/>
      <c r="AW9264"/>
      <c r="AX9264"/>
      <c r="AY9264"/>
    </row>
    <row r="9265" spans="47:51" x14ac:dyDescent="0.2">
      <c r="AU9265"/>
      <c r="AV9265"/>
      <c r="AW9265"/>
      <c r="AX9265"/>
      <c r="AY9265"/>
    </row>
    <row r="9266" spans="47:51" x14ac:dyDescent="0.2">
      <c r="AU9266"/>
      <c r="AV9266"/>
      <c r="AW9266"/>
      <c r="AX9266"/>
      <c r="AY9266"/>
    </row>
    <row r="9267" spans="47:51" x14ac:dyDescent="0.2">
      <c r="AU9267"/>
      <c r="AV9267"/>
      <c r="AW9267"/>
      <c r="AX9267"/>
      <c r="AY9267"/>
    </row>
    <row r="9268" spans="47:51" x14ac:dyDescent="0.2">
      <c r="AU9268"/>
      <c r="AV9268"/>
      <c r="AW9268"/>
      <c r="AX9268"/>
      <c r="AY9268"/>
    </row>
    <row r="9269" spans="47:51" x14ac:dyDescent="0.2">
      <c r="AU9269"/>
      <c r="AV9269"/>
      <c r="AW9269"/>
      <c r="AX9269"/>
      <c r="AY9269"/>
    </row>
    <row r="9270" spans="47:51" x14ac:dyDescent="0.2">
      <c r="AU9270"/>
      <c r="AV9270"/>
      <c r="AW9270"/>
      <c r="AX9270"/>
      <c r="AY9270"/>
    </row>
    <row r="9271" spans="47:51" x14ac:dyDescent="0.2">
      <c r="AU9271"/>
      <c r="AV9271"/>
      <c r="AW9271"/>
      <c r="AX9271"/>
      <c r="AY9271"/>
    </row>
    <row r="9272" spans="47:51" x14ac:dyDescent="0.2">
      <c r="AU9272"/>
      <c r="AV9272"/>
      <c r="AW9272"/>
      <c r="AX9272"/>
      <c r="AY9272"/>
    </row>
    <row r="9273" spans="47:51" x14ac:dyDescent="0.2">
      <c r="AU9273"/>
      <c r="AV9273"/>
      <c r="AW9273"/>
      <c r="AX9273"/>
      <c r="AY9273"/>
    </row>
    <row r="9274" spans="47:51" x14ac:dyDescent="0.2">
      <c r="AU9274"/>
      <c r="AV9274"/>
      <c r="AW9274"/>
      <c r="AX9274"/>
      <c r="AY9274"/>
    </row>
    <row r="9275" spans="47:51" x14ac:dyDescent="0.2">
      <c r="AU9275"/>
      <c r="AV9275"/>
      <c r="AW9275"/>
      <c r="AX9275"/>
      <c r="AY9275"/>
    </row>
    <row r="9276" spans="47:51" x14ac:dyDescent="0.2">
      <c r="AU9276"/>
      <c r="AV9276"/>
      <c r="AW9276"/>
      <c r="AX9276"/>
      <c r="AY9276"/>
    </row>
    <row r="9277" spans="47:51" x14ac:dyDescent="0.2">
      <c r="AU9277"/>
      <c r="AV9277"/>
      <c r="AW9277"/>
      <c r="AX9277"/>
      <c r="AY9277"/>
    </row>
    <row r="9278" spans="47:51" x14ac:dyDescent="0.2">
      <c r="AU9278"/>
      <c r="AV9278"/>
      <c r="AW9278"/>
      <c r="AX9278"/>
      <c r="AY9278"/>
    </row>
    <row r="9279" spans="47:51" x14ac:dyDescent="0.2">
      <c r="AU9279"/>
      <c r="AV9279"/>
      <c r="AW9279"/>
      <c r="AX9279"/>
      <c r="AY9279"/>
    </row>
    <row r="9280" spans="47:51" x14ac:dyDescent="0.2">
      <c r="AU9280"/>
      <c r="AV9280"/>
      <c r="AW9280"/>
      <c r="AX9280"/>
      <c r="AY9280"/>
    </row>
    <row r="9281" spans="47:51" x14ac:dyDescent="0.2">
      <c r="AU9281"/>
      <c r="AV9281"/>
      <c r="AW9281"/>
      <c r="AX9281"/>
      <c r="AY9281"/>
    </row>
    <row r="9282" spans="47:51" x14ac:dyDescent="0.2">
      <c r="AU9282"/>
      <c r="AV9282"/>
      <c r="AW9282"/>
      <c r="AX9282"/>
      <c r="AY9282"/>
    </row>
    <row r="9283" spans="47:51" x14ac:dyDescent="0.2">
      <c r="AU9283"/>
      <c r="AV9283"/>
      <c r="AW9283"/>
      <c r="AX9283"/>
      <c r="AY9283"/>
    </row>
    <row r="9284" spans="47:51" x14ac:dyDescent="0.2">
      <c r="AU9284"/>
      <c r="AV9284"/>
      <c r="AW9284"/>
      <c r="AX9284"/>
      <c r="AY9284"/>
    </row>
    <row r="9285" spans="47:51" x14ac:dyDescent="0.2">
      <c r="AU9285"/>
      <c r="AV9285"/>
      <c r="AW9285"/>
      <c r="AX9285"/>
      <c r="AY9285"/>
    </row>
    <row r="9286" spans="47:51" x14ac:dyDescent="0.2">
      <c r="AU9286"/>
      <c r="AV9286"/>
      <c r="AW9286"/>
      <c r="AX9286"/>
      <c r="AY9286"/>
    </row>
    <row r="9287" spans="47:51" x14ac:dyDescent="0.2">
      <c r="AU9287"/>
      <c r="AV9287"/>
      <c r="AW9287"/>
      <c r="AX9287"/>
      <c r="AY9287"/>
    </row>
    <row r="9288" spans="47:51" x14ac:dyDescent="0.2">
      <c r="AU9288"/>
      <c r="AV9288"/>
      <c r="AW9288"/>
      <c r="AX9288"/>
      <c r="AY9288"/>
    </row>
    <row r="9289" spans="47:51" x14ac:dyDescent="0.2">
      <c r="AU9289"/>
      <c r="AV9289"/>
      <c r="AW9289"/>
      <c r="AX9289"/>
      <c r="AY9289"/>
    </row>
    <row r="9290" spans="47:51" x14ac:dyDescent="0.2">
      <c r="AU9290"/>
      <c r="AV9290"/>
      <c r="AW9290"/>
      <c r="AX9290"/>
      <c r="AY9290"/>
    </row>
    <row r="9291" spans="47:51" x14ac:dyDescent="0.2">
      <c r="AU9291"/>
      <c r="AV9291"/>
      <c r="AW9291"/>
      <c r="AX9291"/>
      <c r="AY9291"/>
    </row>
    <row r="9292" spans="47:51" x14ac:dyDescent="0.2">
      <c r="AU9292"/>
      <c r="AV9292"/>
      <c r="AW9292"/>
      <c r="AX9292"/>
      <c r="AY9292"/>
    </row>
    <row r="9293" spans="47:51" x14ac:dyDescent="0.2">
      <c r="AU9293"/>
      <c r="AV9293"/>
      <c r="AW9293"/>
      <c r="AX9293"/>
      <c r="AY9293"/>
    </row>
    <row r="9294" spans="47:51" x14ac:dyDescent="0.2">
      <c r="AU9294"/>
      <c r="AV9294"/>
      <c r="AW9294"/>
      <c r="AX9294"/>
      <c r="AY9294"/>
    </row>
    <row r="9295" spans="47:51" x14ac:dyDescent="0.2">
      <c r="AU9295"/>
      <c r="AV9295"/>
      <c r="AW9295"/>
      <c r="AX9295"/>
      <c r="AY9295"/>
    </row>
    <row r="9296" spans="47:51" x14ac:dyDescent="0.2">
      <c r="AU9296"/>
      <c r="AV9296"/>
      <c r="AW9296"/>
      <c r="AX9296"/>
      <c r="AY9296"/>
    </row>
    <row r="9297" spans="47:51" x14ac:dyDescent="0.2">
      <c r="AU9297"/>
      <c r="AV9297"/>
      <c r="AW9297"/>
      <c r="AX9297"/>
      <c r="AY9297"/>
    </row>
    <row r="9298" spans="47:51" x14ac:dyDescent="0.2">
      <c r="AU9298"/>
      <c r="AV9298"/>
      <c r="AW9298"/>
      <c r="AX9298"/>
      <c r="AY9298"/>
    </row>
    <row r="9299" spans="47:51" x14ac:dyDescent="0.2">
      <c r="AU9299"/>
      <c r="AV9299"/>
      <c r="AW9299"/>
      <c r="AX9299"/>
      <c r="AY9299"/>
    </row>
    <row r="9300" spans="47:51" x14ac:dyDescent="0.2">
      <c r="AU9300"/>
      <c r="AV9300"/>
      <c r="AW9300"/>
      <c r="AX9300"/>
      <c r="AY9300"/>
    </row>
    <row r="9301" spans="47:51" x14ac:dyDescent="0.2">
      <c r="AU9301"/>
      <c r="AV9301"/>
      <c r="AW9301"/>
      <c r="AX9301"/>
      <c r="AY9301"/>
    </row>
    <row r="9302" spans="47:51" x14ac:dyDescent="0.2">
      <c r="AU9302"/>
      <c r="AV9302"/>
      <c r="AW9302"/>
      <c r="AX9302"/>
      <c r="AY9302"/>
    </row>
    <row r="9303" spans="47:51" x14ac:dyDescent="0.2">
      <c r="AU9303"/>
      <c r="AV9303"/>
      <c r="AW9303"/>
      <c r="AX9303"/>
      <c r="AY9303"/>
    </row>
    <row r="9304" spans="47:51" x14ac:dyDescent="0.2">
      <c r="AU9304"/>
      <c r="AV9304"/>
      <c r="AW9304"/>
      <c r="AX9304"/>
      <c r="AY9304"/>
    </row>
    <row r="9305" spans="47:51" x14ac:dyDescent="0.2">
      <c r="AU9305"/>
      <c r="AV9305"/>
      <c r="AW9305"/>
      <c r="AX9305"/>
      <c r="AY9305"/>
    </row>
    <row r="9306" spans="47:51" x14ac:dyDescent="0.2">
      <c r="AU9306"/>
      <c r="AV9306"/>
      <c r="AW9306"/>
      <c r="AX9306"/>
      <c r="AY9306"/>
    </row>
    <row r="9307" spans="47:51" x14ac:dyDescent="0.2">
      <c r="AU9307"/>
      <c r="AV9307"/>
      <c r="AW9307"/>
      <c r="AX9307"/>
      <c r="AY9307"/>
    </row>
    <row r="9308" spans="47:51" x14ac:dyDescent="0.2">
      <c r="AU9308"/>
      <c r="AV9308"/>
      <c r="AW9308"/>
      <c r="AX9308"/>
      <c r="AY9308"/>
    </row>
    <row r="9309" spans="47:51" x14ac:dyDescent="0.2">
      <c r="AU9309"/>
      <c r="AV9309"/>
      <c r="AW9309"/>
      <c r="AX9309"/>
      <c r="AY9309"/>
    </row>
    <row r="9310" spans="47:51" x14ac:dyDescent="0.2">
      <c r="AU9310"/>
      <c r="AV9310"/>
      <c r="AW9310"/>
      <c r="AX9310"/>
      <c r="AY9310"/>
    </row>
    <row r="9311" spans="47:51" x14ac:dyDescent="0.2">
      <c r="AU9311"/>
      <c r="AV9311"/>
      <c r="AW9311"/>
      <c r="AX9311"/>
      <c r="AY9311"/>
    </row>
    <row r="9312" spans="47:51" x14ac:dyDescent="0.2">
      <c r="AU9312"/>
      <c r="AV9312"/>
      <c r="AW9312"/>
      <c r="AX9312"/>
      <c r="AY9312"/>
    </row>
    <row r="9313" spans="47:51" x14ac:dyDescent="0.2">
      <c r="AU9313"/>
      <c r="AV9313"/>
      <c r="AW9313"/>
      <c r="AX9313"/>
      <c r="AY9313"/>
    </row>
    <row r="9314" spans="47:51" x14ac:dyDescent="0.2">
      <c r="AU9314"/>
      <c r="AV9314"/>
      <c r="AW9314"/>
      <c r="AX9314"/>
      <c r="AY9314"/>
    </row>
    <row r="9315" spans="47:51" x14ac:dyDescent="0.2">
      <c r="AU9315"/>
      <c r="AV9315"/>
      <c r="AW9315"/>
      <c r="AX9315"/>
      <c r="AY9315"/>
    </row>
    <row r="9316" spans="47:51" x14ac:dyDescent="0.2">
      <c r="AU9316"/>
      <c r="AV9316"/>
      <c r="AW9316"/>
      <c r="AX9316"/>
      <c r="AY9316"/>
    </row>
    <row r="9317" spans="47:51" x14ac:dyDescent="0.2">
      <c r="AU9317"/>
      <c r="AV9317"/>
      <c r="AW9317"/>
      <c r="AX9317"/>
      <c r="AY9317"/>
    </row>
    <row r="9318" spans="47:51" x14ac:dyDescent="0.2">
      <c r="AU9318"/>
      <c r="AV9318"/>
      <c r="AW9318"/>
      <c r="AX9318"/>
      <c r="AY9318"/>
    </row>
    <row r="9319" spans="47:51" x14ac:dyDescent="0.2">
      <c r="AU9319"/>
      <c r="AV9319"/>
      <c r="AW9319"/>
      <c r="AX9319"/>
      <c r="AY9319"/>
    </row>
    <row r="9320" spans="47:51" x14ac:dyDescent="0.2">
      <c r="AU9320"/>
      <c r="AV9320"/>
      <c r="AW9320"/>
      <c r="AX9320"/>
      <c r="AY9320"/>
    </row>
    <row r="9321" spans="47:51" x14ac:dyDescent="0.2">
      <c r="AU9321"/>
      <c r="AV9321"/>
      <c r="AW9321"/>
      <c r="AX9321"/>
      <c r="AY9321"/>
    </row>
    <row r="9322" spans="47:51" x14ac:dyDescent="0.2">
      <c r="AU9322"/>
      <c r="AV9322"/>
      <c r="AW9322"/>
      <c r="AX9322"/>
      <c r="AY9322"/>
    </row>
    <row r="9323" spans="47:51" x14ac:dyDescent="0.2">
      <c r="AU9323"/>
      <c r="AV9323"/>
      <c r="AW9323"/>
      <c r="AX9323"/>
      <c r="AY9323"/>
    </row>
    <row r="9324" spans="47:51" x14ac:dyDescent="0.2">
      <c r="AU9324"/>
      <c r="AV9324"/>
      <c r="AW9324"/>
      <c r="AX9324"/>
      <c r="AY9324"/>
    </row>
    <row r="9325" spans="47:51" x14ac:dyDescent="0.2">
      <c r="AU9325"/>
      <c r="AV9325"/>
      <c r="AW9325"/>
      <c r="AX9325"/>
      <c r="AY9325"/>
    </row>
    <row r="9326" spans="47:51" x14ac:dyDescent="0.2">
      <c r="AU9326"/>
      <c r="AV9326"/>
      <c r="AW9326"/>
      <c r="AX9326"/>
      <c r="AY9326"/>
    </row>
    <row r="9327" spans="47:51" x14ac:dyDescent="0.2">
      <c r="AU9327"/>
      <c r="AV9327"/>
      <c r="AW9327"/>
      <c r="AX9327"/>
      <c r="AY9327"/>
    </row>
    <row r="9328" spans="47:51" x14ac:dyDescent="0.2">
      <c r="AU9328"/>
      <c r="AV9328"/>
      <c r="AW9328"/>
      <c r="AX9328"/>
      <c r="AY9328"/>
    </row>
    <row r="9329" spans="47:51" x14ac:dyDescent="0.2">
      <c r="AU9329"/>
      <c r="AV9329"/>
      <c r="AW9329"/>
      <c r="AX9329"/>
      <c r="AY9329"/>
    </row>
    <row r="9330" spans="47:51" x14ac:dyDescent="0.2">
      <c r="AU9330"/>
      <c r="AV9330"/>
      <c r="AW9330"/>
      <c r="AX9330"/>
      <c r="AY9330"/>
    </row>
    <row r="9331" spans="47:51" x14ac:dyDescent="0.2">
      <c r="AU9331"/>
      <c r="AV9331"/>
      <c r="AW9331"/>
      <c r="AX9331"/>
      <c r="AY9331"/>
    </row>
    <row r="9332" spans="47:51" x14ac:dyDescent="0.2">
      <c r="AU9332"/>
      <c r="AV9332"/>
      <c r="AW9332"/>
      <c r="AX9332"/>
      <c r="AY9332"/>
    </row>
    <row r="9333" spans="47:51" x14ac:dyDescent="0.2">
      <c r="AU9333"/>
      <c r="AV9333"/>
      <c r="AW9333"/>
      <c r="AX9333"/>
      <c r="AY9333"/>
    </row>
    <row r="9334" spans="47:51" x14ac:dyDescent="0.2">
      <c r="AU9334"/>
      <c r="AV9334"/>
      <c r="AW9334"/>
      <c r="AX9334"/>
      <c r="AY9334"/>
    </row>
    <row r="9335" spans="47:51" x14ac:dyDescent="0.2">
      <c r="AU9335"/>
      <c r="AV9335"/>
      <c r="AW9335"/>
      <c r="AX9335"/>
      <c r="AY9335"/>
    </row>
    <row r="9336" spans="47:51" x14ac:dyDescent="0.2">
      <c r="AU9336"/>
      <c r="AV9336"/>
      <c r="AW9336"/>
      <c r="AX9336"/>
      <c r="AY9336"/>
    </row>
    <row r="9337" spans="47:51" x14ac:dyDescent="0.2">
      <c r="AU9337"/>
      <c r="AV9337"/>
      <c r="AW9337"/>
      <c r="AX9337"/>
      <c r="AY9337"/>
    </row>
    <row r="9338" spans="47:51" x14ac:dyDescent="0.2">
      <c r="AU9338"/>
      <c r="AV9338"/>
      <c r="AW9338"/>
      <c r="AX9338"/>
      <c r="AY9338"/>
    </row>
    <row r="9339" spans="47:51" x14ac:dyDescent="0.2">
      <c r="AU9339"/>
      <c r="AV9339"/>
      <c r="AW9339"/>
      <c r="AX9339"/>
      <c r="AY9339"/>
    </row>
    <row r="9340" spans="47:51" x14ac:dyDescent="0.2">
      <c r="AU9340"/>
      <c r="AV9340"/>
      <c r="AW9340"/>
      <c r="AX9340"/>
      <c r="AY9340"/>
    </row>
    <row r="9341" spans="47:51" x14ac:dyDescent="0.2">
      <c r="AU9341"/>
      <c r="AV9341"/>
      <c r="AW9341"/>
      <c r="AX9341"/>
      <c r="AY9341"/>
    </row>
    <row r="9342" spans="47:51" x14ac:dyDescent="0.2">
      <c r="AU9342"/>
      <c r="AV9342"/>
      <c r="AW9342"/>
      <c r="AX9342"/>
      <c r="AY9342"/>
    </row>
    <row r="9343" spans="47:51" x14ac:dyDescent="0.2">
      <c r="AU9343"/>
      <c r="AV9343"/>
      <c r="AW9343"/>
      <c r="AX9343"/>
      <c r="AY9343"/>
    </row>
    <row r="9344" spans="47:51" x14ac:dyDescent="0.2">
      <c r="AU9344"/>
      <c r="AV9344"/>
      <c r="AW9344"/>
      <c r="AX9344"/>
      <c r="AY9344"/>
    </row>
    <row r="9345" spans="47:51" x14ac:dyDescent="0.2">
      <c r="AU9345"/>
      <c r="AV9345"/>
      <c r="AW9345"/>
      <c r="AX9345"/>
      <c r="AY9345"/>
    </row>
    <row r="9346" spans="47:51" x14ac:dyDescent="0.2">
      <c r="AU9346"/>
      <c r="AV9346"/>
      <c r="AW9346"/>
      <c r="AX9346"/>
      <c r="AY9346"/>
    </row>
    <row r="9347" spans="47:51" x14ac:dyDescent="0.2">
      <c r="AU9347"/>
      <c r="AV9347"/>
      <c r="AW9347"/>
      <c r="AX9347"/>
      <c r="AY9347"/>
    </row>
    <row r="9348" spans="47:51" x14ac:dyDescent="0.2">
      <c r="AU9348"/>
      <c r="AV9348"/>
      <c r="AW9348"/>
      <c r="AX9348"/>
      <c r="AY9348"/>
    </row>
    <row r="9349" spans="47:51" x14ac:dyDescent="0.2">
      <c r="AU9349"/>
      <c r="AV9349"/>
      <c r="AW9349"/>
      <c r="AX9349"/>
      <c r="AY9349"/>
    </row>
    <row r="9350" spans="47:51" x14ac:dyDescent="0.2">
      <c r="AU9350"/>
      <c r="AV9350"/>
      <c r="AW9350"/>
      <c r="AX9350"/>
      <c r="AY9350"/>
    </row>
    <row r="9351" spans="47:51" x14ac:dyDescent="0.2">
      <c r="AU9351"/>
      <c r="AV9351"/>
      <c r="AW9351"/>
      <c r="AX9351"/>
      <c r="AY9351"/>
    </row>
    <row r="9352" spans="47:51" x14ac:dyDescent="0.2">
      <c r="AU9352"/>
      <c r="AV9352"/>
      <c r="AW9352"/>
      <c r="AX9352"/>
      <c r="AY9352"/>
    </row>
    <row r="9353" spans="47:51" x14ac:dyDescent="0.2">
      <c r="AU9353"/>
      <c r="AV9353"/>
      <c r="AW9353"/>
      <c r="AX9353"/>
      <c r="AY9353"/>
    </row>
    <row r="9354" spans="47:51" x14ac:dyDescent="0.2">
      <c r="AU9354"/>
      <c r="AV9354"/>
      <c r="AW9354"/>
      <c r="AX9354"/>
      <c r="AY9354"/>
    </row>
    <row r="9355" spans="47:51" x14ac:dyDescent="0.2">
      <c r="AU9355"/>
      <c r="AV9355"/>
      <c r="AW9355"/>
      <c r="AX9355"/>
      <c r="AY9355"/>
    </row>
    <row r="9356" spans="47:51" x14ac:dyDescent="0.2">
      <c r="AU9356"/>
      <c r="AV9356"/>
      <c r="AW9356"/>
      <c r="AX9356"/>
      <c r="AY9356"/>
    </row>
    <row r="9357" spans="47:51" x14ac:dyDescent="0.2">
      <c r="AU9357"/>
      <c r="AV9357"/>
      <c r="AW9357"/>
      <c r="AX9357"/>
      <c r="AY9357"/>
    </row>
    <row r="9358" spans="47:51" x14ac:dyDescent="0.2">
      <c r="AU9358"/>
      <c r="AV9358"/>
      <c r="AW9358"/>
      <c r="AX9358"/>
      <c r="AY9358"/>
    </row>
    <row r="9359" spans="47:51" x14ac:dyDescent="0.2">
      <c r="AU9359"/>
      <c r="AV9359"/>
      <c r="AW9359"/>
      <c r="AX9359"/>
      <c r="AY9359"/>
    </row>
    <row r="9360" spans="47:51" x14ac:dyDescent="0.2">
      <c r="AU9360"/>
      <c r="AV9360"/>
      <c r="AW9360"/>
      <c r="AX9360"/>
      <c r="AY9360"/>
    </row>
    <row r="9361" spans="47:51" x14ac:dyDescent="0.2">
      <c r="AU9361"/>
      <c r="AV9361"/>
      <c r="AW9361"/>
      <c r="AX9361"/>
      <c r="AY9361"/>
    </row>
    <row r="9362" spans="47:51" x14ac:dyDescent="0.2">
      <c r="AU9362"/>
      <c r="AV9362"/>
      <c r="AW9362"/>
      <c r="AX9362"/>
      <c r="AY9362"/>
    </row>
    <row r="9363" spans="47:51" x14ac:dyDescent="0.2">
      <c r="AU9363"/>
      <c r="AV9363"/>
      <c r="AW9363"/>
      <c r="AX9363"/>
      <c r="AY9363"/>
    </row>
    <row r="9364" spans="47:51" x14ac:dyDescent="0.2">
      <c r="AU9364"/>
      <c r="AV9364"/>
      <c r="AW9364"/>
      <c r="AX9364"/>
      <c r="AY9364"/>
    </row>
    <row r="9365" spans="47:51" x14ac:dyDescent="0.2">
      <c r="AU9365"/>
      <c r="AV9365"/>
      <c r="AW9365"/>
      <c r="AX9365"/>
      <c r="AY9365"/>
    </row>
    <row r="9366" spans="47:51" x14ac:dyDescent="0.2">
      <c r="AU9366"/>
      <c r="AV9366"/>
      <c r="AW9366"/>
      <c r="AX9366"/>
      <c r="AY9366"/>
    </row>
    <row r="9367" spans="47:51" x14ac:dyDescent="0.2">
      <c r="AU9367"/>
      <c r="AV9367"/>
      <c r="AW9367"/>
      <c r="AX9367"/>
      <c r="AY9367"/>
    </row>
    <row r="9368" spans="47:51" x14ac:dyDescent="0.2">
      <c r="AU9368"/>
      <c r="AV9368"/>
      <c r="AW9368"/>
      <c r="AX9368"/>
      <c r="AY9368"/>
    </row>
    <row r="9369" spans="47:51" x14ac:dyDescent="0.2">
      <c r="AU9369"/>
      <c r="AV9369"/>
      <c r="AW9369"/>
      <c r="AX9369"/>
      <c r="AY9369"/>
    </row>
    <row r="9370" spans="47:51" x14ac:dyDescent="0.2">
      <c r="AU9370"/>
      <c r="AV9370"/>
      <c r="AW9370"/>
      <c r="AX9370"/>
      <c r="AY9370"/>
    </row>
    <row r="9371" spans="47:51" x14ac:dyDescent="0.2">
      <c r="AU9371"/>
      <c r="AV9371"/>
      <c r="AW9371"/>
      <c r="AX9371"/>
      <c r="AY9371"/>
    </row>
    <row r="9372" spans="47:51" x14ac:dyDescent="0.2">
      <c r="AU9372"/>
      <c r="AV9372"/>
      <c r="AW9372"/>
      <c r="AX9372"/>
      <c r="AY9372"/>
    </row>
    <row r="9373" spans="47:51" x14ac:dyDescent="0.2">
      <c r="AU9373"/>
      <c r="AV9373"/>
      <c r="AW9373"/>
      <c r="AX9373"/>
      <c r="AY9373"/>
    </row>
    <row r="9374" spans="47:51" x14ac:dyDescent="0.2">
      <c r="AU9374"/>
      <c r="AV9374"/>
      <c r="AW9374"/>
      <c r="AX9374"/>
      <c r="AY9374"/>
    </row>
    <row r="9375" spans="47:51" x14ac:dyDescent="0.2">
      <c r="AU9375"/>
      <c r="AV9375"/>
      <c r="AW9375"/>
      <c r="AX9375"/>
      <c r="AY9375"/>
    </row>
    <row r="9376" spans="47:51" x14ac:dyDescent="0.2">
      <c r="AU9376"/>
      <c r="AV9376"/>
      <c r="AW9376"/>
      <c r="AX9376"/>
      <c r="AY9376"/>
    </row>
    <row r="9377" spans="47:51" x14ac:dyDescent="0.2">
      <c r="AU9377"/>
      <c r="AV9377"/>
      <c r="AW9377"/>
      <c r="AX9377"/>
      <c r="AY9377"/>
    </row>
    <row r="9378" spans="47:51" x14ac:dyDescent="0.2">
      <c r="AU9378"/>
      <c r="AV9378"/>
      <c r="AW9378"/>
      <c r="AX9378"/>
      <c r="AY9378"/>
    </row>
    <row r="9379" spans="47:51" x14ac:dyDescent="0.2">
      <c r="AU9379"/>
      <c r="AV9379"/>
      <c r="AW9379"/>
      <c r="AX9379"/>
      <c r="AY9379"/>
    </row>
    <row r="9380" spans="47:51" x14ac:dyDescent="0.2">
      <c r="AU9380"/>
      <c r="AV9380"/>
      <c r="AW9380"/>
      <c r="AX9380"/>
      <c r="AY9380"/>
    </row>
    <row r="9381" spans="47:51" x14ac:dyDescent="0.2">
      <c r="AU9381"/>
      <c r="AV9381"/>
      <c r="AW9381"/>
      <c r="AX9381"/>
      <c r="AY9381"/>
    </row>
    <row r="9382" spans="47:51" x14ac:dyDescent="0.2">
      <c r="AU9382"/>
      <c r="AV9382"/>
      <c r="AW9382"/>
      <c r="AX9382"/>
      <c r="AY9382"/>
    </row>
    <row r="9383" spans="47:51" x14ac:dyDescent="0.2">
      <c r="AU9383"/>
      <c r="AV9383"/>
      <c r="AW9383"/>
      <c r="AX9383"/>
      <c r="AY9383"/>
    </row>
    <row r="9384" spans="47:51" x14ac:dyDescent="0.2">
      <c r="AU9384"/>
      <c r="AV9384"/>
      <c r="AW9384"/>
      <c r="AX9384"/>
      <c r="AY9384"/>
    </row>
    <row r="9385" spans="47:51" x14ac:dyDescent="0.2">
      <c r="AU9385"/>
      <c r="AV9385"/>
      <c r="AW9385"/>
      <c r="AX9385"/>
      <c r="AY9385"/>
    </row>
    <row r="9386" spans="47:51" x14ac:dyDescent="0.2">
      <c r="AU9386"/>
      <c r="AV9386"/>
      <c r="AW9386"/>
      <c r="AX9386"/>
      <c r="AY9386"/>
    </row>
    <row r="9387" spans="47:51" x14ac:dyDescent="0.2">
      <c r="AU9387"/>
      <c r="AV9387"/>
      <c r="AW9387"/>
      <c r="AX9387"/>
      <c r="AY9387"/>
    </row>
    <row r="9388" spans="47:51" x14ac:dyDescent="0.2">
      <c r="AU9388"/>
      <c r="AV9388"/>
      <c r="AW9388"/>
      <c r="AX9388"/>
      <c r="AY9388"/>
    </row>
    <row r="9389" spans="47:51" x14ac:dyDescent="0.2">
      <c r="AU9389"/>
      <c r="AV9389"/>
      <c r="AW9389"/>
      <c r="AX9389"/>
      <c r="AY9389"/>
    </row>
    <row r="9390" spans="47:51" x14ac:dyDescent="0.2">
      <c r="AU9390"/>
      <c r="AV9390"/>
      <c r="AW9390"/>
      <c r="AX9390"/>
      <c r="AY9390"/>
    </row>
    <row r="9391" spans="47:51" x14ac:dyDescent="0.2">
      <c r="AU9391"/>
      <c r="AV9391"/>
      <c r="AW9391"/>
      <c r="AX9391"/>
      <c r="AY9391"/>
    </row>
    <row r="9392" spans="47:51" x14ac:dyDescent="0.2">
      <c r="AU9392"/>
      <c r="AV9392"/>
      <c r="AW9392"/>
      <c r="AX9392"/>
      <c r="AY9392"/>
    </row>
    <row r="9393" spans="47:51" x14ac:dyDescent="0.2">
      <c r="AU9393"/>
      <c r="AV9393"/>
      <c r="AW9393"/>
      <c r="AX9393"/>
      <c r="AY9393"/>
    </row>
    <row r="9394" spans="47:51" x14ac:dyDescent="0.2">
      <c r="AU9394"/>
      <c r="AV9394"/>
      <c r="AW9394"/>
      <c r="AX9394"/>
      <c r="AY9394"/>
    </row>
    <row r="9395" spans="47:51" x14ac:dyDescent="0.2">
      <c r="AU9395"/>
      <c r="AV9395"/>
      <c r="AW9395"/>
      <c r="AX9395"/>
      <c r="AY9395"/>
    </row>
    <row r="9396" spans="47:51" x14ac:dyDescent="0.2">
      <c r="AU9396"/>
      <c r="AV9396"/>
      <c r="AW9396"/>
      <c r="AX9396"/>
      <c r="AY9396"/>
    </row>
    <row r="9397" spans="47:51" x14ac:dyDescent="0.2">
      <c r="AU9397"/>
      <c r="AV9397"/>
      <c r="AW9397"/>
      <c r="AX9397"/>
      <c r="AY9397"/>
    </row>
    <row r="9398" spans="47:51" x14ac:dyDescent="0.2">
      <c r="AU9398"/>
      <c r="AV9398"/>
      <c r="AW9398"/>
      <c r="AX9398"/>
      <c r="AY9398"/>
    </row>
    <row r="9399" spans="47:51" x14ac:dyDescent="0.2">
      <c r="AU9399"/>
      <c r="AV9399"/>
      <c r="AW9399"/>
      <c r="AX9399"/>
      <c r="AY9399"/>
    </row>
    <row r="9400" spans="47:51" x14ac:dyDescent="0.2">
      <c r="AU9400"/>
      <c r="AV9400"/>
      <c r="AW9400"/>
      <c r="AX9400"/>
      <c r="AY9400"/>
    </row>
    <row r="9401" spans="47:51" x14ac:dyDescent="0.2">
      <c r="AU9401"/>
      <c r="AV9401"/>
      <c r="AW9401"/>
      <c r="AX9401"/>
      <c r="AY9401"/>
    </row>
    <row r="9402" spans="47:51" x14ac:dyDescent="0.2">
      <c r="AU9402"/>
      <c r="AV9402"/>
      <c r="AW9402"/>
      <c r="AX9402"/>
      <c r="AY9402"/>
    </row>
    <row r="9403" spans="47:51" x14ac:dyDescent="0.2">
      <c r="AU9403"/>
      <c r="AV9403"/>
      <c r="AW9403"/>
      <c r="AX9403"/>
      <c r="AY9403"/>
    </row>
    <row r="9404" spans="47:51" x14ac:dyDescent="0.2">
      <c r="AU9404"/>
      <c r="AV9404"/>
      <c r="AW9404"/>
      <c r="AX9404"/>
      <c r="AY9404"/>
    </row>
    <row r="9405" spans="47:51" x14ac:dyDescent="0.2">
      <c r="AU9405"/>
      <c r="AV9405"/>
      <c r="AW9405"/>
      <c r="AX9405"/>
      <c r="AY9405"/>
    </row>
    <row r="9406" spans="47:51" x14ac:dyDescent="0.2">
      <c r="AU9406"/>
      <c r="AV9406"/>
      <c r="AW9406"/>
      <c r="AX9406"/>
      <c r="AY9406"/>
    </row>
    <row r="9407" spans="47:51" x14ac:dyDescent="0.2">
      <c r="AU9407"/>
      <c r="AV9407"/>
      <c r="AW9407"/>
      <c r="AX9407"/>
      <c r="AY9407"/>
    </row>
    <row r="9408" spans="47:51" x14ac:dyDescent="0.2">
      <c r="AU9408"/>
      <c r="AV9408"/>
      <c r="AW9408"/>
      <c r="AX9408"/>
      <c r="AY9408"/>
    </row>
    <row r="9409" spans="47:51" x14ac:dyDescent="0.2">
      <c r="AU9409"/>
      <c r="AV9409"/>
      <c r="AW9409"/>
      <c r="AX9409"/>
      <c r="AY9409"/>
    </row>
    <row r="9410" spans="47:51" x14ac:dyDescent="0.2">
      <c r="AU9410"/>
      <c r="AV9410"/>
      <c r="AW9410"/>
      <c r="AX9410"/>
      <c r="AY9410"/>
    </row>
    <row r="9411" spans="47:51" x14ac:dyDescent="0.2">
      <c r="AU9411"/>
      <c r="AV9411"/>
      <c r="AW9411"/>
      <c r="AX9411"/>
      <c r="AY9411"/>
    </row>
    <row r="9412" spans="47:51" x14ac:dyDescent="0.2">
      <c r="AU9412"/>
      <c r="AV9412"/>
      <c r="AW9412"/>
      <c r="AX9412"/>
      <c r="AY9412"/>
    </row>
    <row r="9413" spans="47:51" x14ac:dyDescent="0.2">
      <c r="AU9413"/>
      <c r="AV9413"/>
      <c r="AW9413"/>
      <c r="AX9413"/>
      <c r="AY9413"/>
    </row>
    <row r="9414" spans="47:51" x14ac:dyDescent="0.2">
      <c r="AU9414"/>
      <c r="AV9414"/>
      <c r="AW9414"/>
      <c r="AX9414"/>
      <c r="AY9414"/>
    </row>
    <row r="9415" spans="47:51" x14ac:dyDescent="0.2">
      <c r="AU9415"/>
      <c r="AV9415"/>
      <c r="AW9415"/>
      <c r="AX9415"/>
      <c r="AY9415"/>
    </row>
    <row r="9416" spans="47:51" x14ac:dyDescent="0.2">
      <c r="AU9416"/>
      <c r="AV9416"/>
      <c r="AW9416"/>
      <c r="AX9416"/>
      <c r="AY9416"/>
    </row>
    <row r="9417" spans="47:51" x14ac:dyDescent="0.2">
      <c r="AU9417"/>
      <c r="AV9417"/>
      <c r="AW9417"/>
      <c r="AX9417"/>
      <c r="AY9417"/>
    </row>
    <row r="9418" spans="47:51" x14ac:dyDescent="0.2">
      <c r="AU9418"/>
      <c r="AV9418"/>
      <c r="AW9418"/>
      <c r="AX9418"/>
      <c r="AY9418"/>
    </row>
    <row r="9419" spans="47:51" x14ac:dyDescent="0.2">
      <c r="AU9419"/>
      <c r="AV9419"/>
      <c r="AW9419"/>
      <c r="AX9419"/>
      <c r="AY9419"/>
    </row>
    <row r="9420" spans="47:51" x14ac:dyDescent="0.2">
      <c r="AU9420"/>
      <c r="AV9420"/>
      <c r="AW9420"/>
      <c r="AX9420"/>
      <c r="AY9420"/>
    </row>
    <row r="9421" spans="47:51" x14ac:dyDescent="0.2">
      <c r="AU9421"/>
      <c r="AV9421"/>
      <c r="AW9421"/>
      <c r="AX9421"/>
      <c r="AY9421"/>
    </row>
    <row r="9422" spans="47:51" x14ac:dyDescent="0.2">
      <c r="AU9422"/>
      <c r="AV9422"/>
      <c r="AW9422"/>
      <c r="AX9422"/>
      <c r="AY9422"/>
    </row>
    <row r="9423" spans="47:51" x14ac:dyDescent="0.2">
      <c r="AU9423"/>
      <c r="AV9423"/>
      <c r="AW9423"/>
      <c r="AX9423"/>
      <c r="AY9423"/>
    </row>
    <row r="9424" spans="47:51" x14ac:dyDescent="0.2">
      <c r="AU9424"/>
      <c r="AV9424"/>
      <c r="AW9424"/>
      <c r="AX9424"/>
      <c r="AY9424"/>
    </row>
    <row r="9425" spans="47:51" x14ac:dyDescent="0.2">
      <c r="AU9425"/>
      <c r="AV9425"/>
      <c r="AW9425"/>
      <c r="AX9425"/>
      <c r="AY9425"/>
    </row>
    <row r="9426" spans="47:51" x14ac:dyDescent="0.2">
      <c r="AU9426"/>
      <c r="AV9426"/>
      <c r="AW9426"/>
      <c r="AX9426"/>
      <c r="AY9426"/>
    </row>
    <row r="9427" spans="47:51" x14ac:dyDescent="0.2">
      <c r="AU9427"/>
      <c r="AV9427"/>
      <c r="AW9427"/>
      <c r="AX9427"/>
      <c r="AY9427"/>
    </row>
    <row r="9428" spans="47:51" x14ac:dyDescent="0.2">
      <c r="AU9428"/>
      <c r="AV9428"/>
      <c r="AW9428"/>
      <c r="AX9428"/>
      <c r="AY9428"/>
    </row>
    <row r="9429" spans="47:51" x14ac:dyDescent="0.2">
      <c r="AU9429"/>
      <c r="AV9429"/>
      <c r="AW9429"/>
      <c r="AX9429"/>
      <c r="AY9429"/>
    </row>
    <row r="9430" spans="47:51" x14ac:dyDescent="0.2">
      <c r="AU9430"/>
      <c r="AV9430"/>
      <c r="AW9430"/>
      <c r="AX9430"/>
      <c r="AY9430"/>
    </row>
    <row r="9431" spans="47:51" x14ac:dyDescent="0.2">
      <c r="AU9431"/>
      <c r="AV9431"/>
      <c r="AW9431"/>
      <c r="AX9431"/>
      <c r="AY9431"/>
    </row>
    <row r="9432" spans="47:51" x14ac:dyDescent="0.2">
      <c r="AU9432"/>
      <c r="AV9432"/>
      <c r="AW9432"/>
      <c r="AX9432"/>
      <c r="AY9432"/>
    </row>
    <row r="9433" spans="47:51" x14ac:dyDescent="0.2">
      <c r="AU9433"/>
      <c r="AV9433"/>
      <c r="AW9433"/>
      <c r="AX9433"/>
      <c r="AY9433"/>
    </row>
    <row r="9434" spans="47:51" x14ac:dyDescent="0.2">
      <c r="AU9434"/>
      <c r="AV9434"/>
      <c r="AW9434"/>
      <c r="AX9434"/>
      <c r="AY9434"/>
    </row>
    <row r="9435" spans="47:51" x14ac:dyDescent="0.2">
      <c r="AU9435"/>
      <c r="AV9435"/>
      <c r="AW9435"/>
      <c r="AX9435"/>
      <c r="AY9435"/>
    </row>
    <row r="9436" spans="47:51" x14ac:dyDescent="0.2">
      <c r="AU9436"/>
      <c r="AV9436"/>
      <c r="AW9436"/>
      <c r="AX9436"/>
      <c r="AY9436"/>
    </row>
    <row r="9437" spans="47:51" x14ac:dyDescent="0.2">
      <c r="AU9437"/>
      <c r="AV9437"/>
      <c r="AW9437"/>
      <c r="AX9437"/>
      <c r="AY9437"/>
    </row>
    <row r="9438" spans="47:51" x14ac:dyDescent="0.2">
      <c r="AU9438"/>
      <c r="AV9438"/>
      <c r="AW9438"/>
      <c r="AX9438"/>
      <c r="AY9438"/>
    </row>
    <row r="9439" spans="47:51" x14ac:dyDescent="0.2">
      <c r="AU9439"/>
      <c r="AV9439"/>
      <c r="AW9439"/>
      <c r="AX9439"/>
      <c r="AY9439"/>
    </row>
    <row r="9440" spans="47:51" x14ac:dyDescent="0.2">
      <c r="AU9440"/>
      <c r="AV9440"/>
      <c r="AW9440"/>
      <c r="AX9440"/>
      <c r="AY9440"/>
    </row>
    <row r="9441" spans="47:51" x14ac:dyDescent="0.2">
      <c r="AU9441"/>
      <c r="AV9441"/>
      <c r="AW9441"/>
      <c r="AX9441"/>
      <c r="AY9441"/>
    </row>
    <row r="9442" spans="47:51" x14ac:dyDescent="0.2">
      <c r="AU9442"/>
      <c r="AV9442"/>
      <c r="AW9442"/>
      <c r="AX9442"/>
      <c r="AY9442"/>
    </row>
    <row r="9443" spans="47:51" x14ac:dyDescent="0.2">
      <c r="AU9443"/>
      <c r="AV9443"/>
      <c r="AW9443"/>
      <c r="AX9443"/>
      <c r="AY9443"/>
    </row>
    <row r="9444" spans="47:51" x14ac:dyDescent="0.2">
      <c r="AU9444"/>
      <c r="AV9444"/>
      <c r="AW9444"/>
      <c r="AX9444"/>
      <c r="AY9444"/>
    </row>
    <row r="9445" spans="47:51" x14ac:dyDescent="0.2">
      <c r="AU9445"/>
      <c r="AV9445"/>
      <c r="AW9445"/>
      <c r="AX9445"/>
      <c r="AY9445"/>
    </row>
    <row r="9446" spans="47:51" x14ac:dyDescent="0.2">
      <c r="AU9446"/>
      <c r="AV9446"/>
      <c r="AW9446"/>
      <c r="AX9446"/>
      <c r="AY9446"/>
    </row>
    <row r="9447" spans="47:51" x14ac:dyDescent="0.2">
      <c r="AU9447"/>
      <c r="AV9447"/>
      <c r="AW9447"/>
      <c r="AX9447"/>
      <c r="AY9447"/>
    </row>
    <row r="9448" spans="47:51" x14ac:dyDescent="0.2">
      <c r="AU9448"/>
      <c r="AV9448"/>
      <c r="AW9448"/>
      <c r="AX9448"/>
      <c r="AY9448"/>
    </row>
    <row r="9449" spans="47:51" x14ac:dyDescent="0.2">
      <c r="AU9449"/>
      <c r="AV9449"/>
      <c r="AW9449"/>
      <c r="AX9449"/>
      <c r="AY9449"/>
    </row>
    <row r="9450" spans="47:51" x14ac:dyDescent="0.2">
      <c r="AU9450"/>
      <c r="AV9450"/>
      <c r="AW9450"/>
      <c r="AX9450"/>
      <c r="AY9450"/>
    </row>
    <row r="9451" spans="47:51" x14ac:dyDescent="0.2">
      <c r="AU9451"/>
      <c r="AV9451"/>
      <c r="AW9451"/>
      <c r="AX9451"/>
      <c r="AY9451"/>
    </row>
    <row r="9452" spans="47:51" x14ac:dyDescent="0.2">
      <c r="AU9452"/>
      <c r="AV9452"/>
      <c r="AW9452"/>
      <c r="AX9452"/>
      <c r="AY9452"/>
    </row>
    <row r="9453" spans="47:51" x14ac:dyDescent="0.2">
      <c r="AU9453"/>
      <c r="AV9453"/>
      <c r="AW9453"/>
      <c r="AX9453"/>
      <c r="AY9453"/>
    </row>
    <row r="9454" spans="47:51" x14ac:dyDescent="0.2">
      <c r="AU9454"/>
      <c r="AV9454"/>
      <c r="AW9454"/>
      <c r="AX9454"/>
      <c r="AY9454"/>
    </row>
    <row r="9455" spans="47:51" x14ac:dyDescent="0.2">
      <c r="AU9455"/>
      <c r="AV9455"/>
      <c r="AW9455"/>
      <c r="AX9455"/>
      <c r="AY9455"/>
    </row>
    <row r="9456" spans="47:51" x14ac:dyDescent="0.2">
      <c r="AU9456"/>
      <c r="AV9456"/>
      <c r="AW9456"/>
      <c r="AX9456"/>
      <c r="AY9456"/>
    </row>
    <row r="9457" spans="47:51" x14ac:dyDescent="0.2">
      <c r="AU9457"/>
      <c r="AV9457"/>
      <c r="AW9457"/>
      <c r="AX9457"/>
      <c r="AY9457"/>
    </row>
    <row r="9458" spans="47:51" x14ac:dyDescent="0.2">
      <c r="AU9458"/>
      <c r="AV9458"/>
      <c r="AW9458"/>
      <c r="AX9458"/>
      <c r="AY9458"/>
    </row>
    <row r="9459" spans="47:51" x14ac:dyDescent="0.2">
      <c r="AU9459"/>
      <c r="AV9459"/>
      <c r="AW9459"/>
      <c r="AX9459"/>
      <c r="AY9459"/>
    </row>
    <row r="9460" spans="47:51" x14ac:dyDescent="0.2">
      <c r="AU9460"/>
      <c r="AV9460"/>
      <c r="AW9460"/>
      <c r="AX9460"/>
      <c r="AY9460"/>
    </row>
    <row r="9461" spans="47:51" x14ac:dyDescent="0.2">
      <c r="AU9461"/>
      <c r="AV9461"/>
      <c r="AW9461"/>
      <c r="AX9461"/>
      <c r="AY9461"/>
    </row>
    <row r="9462" spans="47:51" x14ac:dyDescent="0.2">
      <c r="AU9462"/>
      <c r="AV9462"/>
      <c r="AW9462"/>
      <c r="AX9462"/>
      <c r="AY9462"/>
    </row>
    <row r="9463" spans="47:51" x14ac:dyDescent="0.2">
      <c r="AU9463"/>
      <c r="AV9463"/>
      <c r="AW9463"/>
      <c r="AX9463"/>
      <c r="AY9463"/>
    </row>
    <row r="9464" spans="47:51" x14ac:dyDescent="0.2">
      <c r="AU9464"/>
      <c r="AV9464"/>
      <c r="AW9464"/>
      <c r="AX9464"/>
      <c r="AY9464"/>
    </row>
    <row r="9465" spans="47:51" x14ac:dyDescent="0.2">
      <c r="AU9465"/>
      <c r="AV9465"/>
      <c r="AW9465"/>
      <c r="AX9465"/>
      <c r="AY9465"/>
    </row>
    <row r="9466" spans="47:51" x14ac:dyDescent="0.2">
      <c r="AU9466"/>
      <c r="AV9466"/>
      <c r="AW9466"/>
      <c r="AX9466"/>
      <c r="AY9466"/>
    </row>
    <row r="9467" spans="47:51" x14ac:dyDescent="0.2">
      <c r="AU9467"/>
      <c r="AV9467"/>
      <c r="AW9467"/>
      <c r="AX9467"/>
      <c r="AY9467"/>
    </row>
    <row r="9468" spans="47:51" x14ac:dyDescent="0.2">
      <c r="AU9468"/>
      <c r="AV9468"/>
      <c r="AW9468"/>
      <c r="AX9468"/>
      <c r="AY9468"/>
    </row>
    <row r="9469" spans="47:51" x14ac:dyDescent="0.2">
      <c r="AU9469"/>
      <c r="AV9469"/>
      <c r="AW9469"/>
      <c r="AX9469"/>
      <c r="AY9469"/>
    </row>
    <row r="9470" spans="47:51" x14ac:dyDescent="0.2">
      <c r="AU9470"/>
      <c r="AV9470"/>
      <c r="AW9470"/>
      <c r="AX9470"/>
      <c r="AY9470"/>
    </row>
    <row r="9471" spans="47:51" x14ac:dyDescent="0.2">
      <c r="AU9471"/>
      <c r="AV9471"/>
      <c r="AW9471"/>
      <c r="AX9471"/>
      <c r="AY9471"/>
    </row>
    <row r="9472" spans="47:51" x14ac:dyDescent="0.2">
      <c r="AU9472"/>
      <c r="AV9472"/>
      <c r="AW9472"/>
      <c r="AX9472"/>
      <c r="AY9472"/>
    </row>
    <row r="9473" spans="47:51" x14ac:dyDescent="0.2">
      <c r="AU9473"/>
      <c r="AV9473"/>
      <c r="AW9473"/>
      <c r="AX9473"/>
      <c r="AY9473"/>
    </row>
    <row r="9474" spans="47:51" x14ac:dyDescent="0.2">
      <c r="AU9474"/>
      <c r="AV9474"/>
      <c r="AW9474"/>
      <c r="AX9474"/>
      <c r="AY9474"/>
    </row>
    <row r="9475" spans="47:51" x14ac:dyDescent="0.2">
      <c r="AU9475"/>
      <c r="AV9475"/>
      <c r="AW9475"/>
      <c r="AX9475"/>
      <c r="AY9475"/>
    </row>
    <row r="9476" spans="47:51" x14ac:dyDescent="0.2">
      <c r="AU9476"/>
      <c r="AV9476"/>
      <c r="AW9476"/>
      <c r="AX9476"/>
      <c r="AY9476"/>
    </row>
    <row r="9477" spans="47:51" x14ac:dyDescent="0.2">
      <c r="AU9477"/>
      <c r="AV9477"/>
      <c r="AW9477"/>
      <c r="AX9477"/>
      <c r="AY9477"/>
    </row>
    <row r="9478" spans="47:51" x14ac:dyDescent="0.2">
      <c r="AU9478"/>
      <c r="AV9478"/>
      <c r="AW9478"/>
      <c r="AX9478"/>
      <c r="AY9478"/>
    </row>
    <row r="9479" spans="47:51" x14ac:dyDescent="0.2">
      <c r="AU9479"/>
      <c r="AV9479"/>
      <c r="AW9479"/>
      <c r="AX9479"/>
      <c r="AY9479"/>
    </row>
    <row r="9480" spans="47:51" x14ac:dyDescent="0.2">
      <c r="AU9480"/>
      <c r="AV9480"/>
      <c r="AW9480"/>
      <c r="AX9480"/>
      <c r="AY9480"/>
    </row>
    <row r="9481" spans="47:51" x14ac:dyDescent="0.2">
      <c r="AU9481"/>
      <c r="AV9481"/>
      <c r="AW9481"/>
      <c r="AX9481"/>
      <c r="AY9481"/>
    </row>
    <row r="9482" spans="47:51" x14ac:dyDescent="0.2">
      <c r="AU9482"/>
      <c r="AV9482"/>
      <c r="AW9482"/>
      <c r="AX9482"/>
      <c r="AY9482"/>
    </row>
    <row r="9483" spans="47:51" x14ac:dyDescent="0.2">
      <c r="AU9483"/>
      <c r="AV9483"/>
      <c r="AW9483"/>
      <c r="AX9483"/>
      <c r="AY9483"/>
    </row>
    <row r="9484" spans="47:51" x14ac:dyDescent="0.2">
      <c r="AU9484"/>
      <c r="AV9484"/>
      <c r="AW9484"/>
      <c r="AX9484"/>
      <c r="AY9484"/>
    </row>
    <row r="9485" spans="47:51" x14ac:dyDescent="0.2">
      <c r="AU9485"/>
      <c r="AV9485"/>
      <c r="AW9485"/>
      <c r="AX9485"/>
      <c r="AY9485"/>
    </row>
    <row r="9486" spans="47:51" x14ac:dyDescent="0.2">
      <c r="AU9486"/>
      <c r="AV9486"/>
      <c r="AW9486"/>
      <c r="AX9486"/>
      <c r="AY9486"/>
    </row>
    <row r="9487" spans="47:51" x14ac:dyDescent="0.2">
      <c r="AU9487"/>
      <c r="AV9487"/>
      <c r="AW9487"/>
      <c r="AX9487"/>
      <c r="AY9487"/>
    </row>
    <row r="9488" spans="47:51" x14ac:dyDescent="0.2">
      <c r="AU9488"/>
      <c r="AV9488"/>
      <c r="AW9488"/>
      <c r="AX9488"/>
      <c r="AY9488"/>
    </row>
    <row r="9489" spans="47:51" x14ac:dyDescent="0.2">
      <c r="AU9489"/>
      <c r="AV9489"/>
      <c r="AW9489"/>
      <c r="AX9489"/>
      <c r="AY9489"/>
    </row>
    <row r="9490" spans="47:51" x14ac:dyDescent="0.2">
      <c r="AU9490"/>
      <c r="AV9490"/>
      <c r="AW9490"/>
      <c r="AX9490"/>
      <c r="AY9490"/>
    </row>
    <row r="9491" spans="47:51" x14ac:dyDescent="0.2">
      <c r="AU9491"/>
      <c r="AV9491"/>
      <c r="AW9491"/>
      <c r="AX9491"/>
      <c r="AY9491"/>
    </row>
    <row r="9492" spans="47:51" x14ac:dyDescent="0.2">
      <c r="AU9492"/>
      <c r="AV9492"/>
      <c r="AW9492"/>
      <c r="AX9492"/>
      <c r="AY9492"/>
    </row>
    <row r="9493" spans="47:51" x14ac:dyDescent="0.2">
      <c r="AU9493"/>
      <c r="AV9493"/>
      <c r="AW9493"/>
      <c r="AX9493"/>
      <c r="AY9493"/>
    </row>
    <row r="9494" spans="47:51" x14ac:dyDescent="0.2">
      <c r="AU9494"/>
      <c r="AV9494"/>
      <c r="AW9494"/>
      <c r="AX9494"/>
      <c r="AY9494"/>
    </row>
    <row r="9495" spans="47:51" x14ac:dyDescent="0.2">
      <c r="AU9495"/>
      <c r="AV9495"/>
      <c r="AW9495"/>
      <c r="AX9495"/>
      <c r="AY9495"/>
    </row>
    <row r="9496" spans="47:51" x14ac:dyDescent="0.2">
      <c r="AU9496"/>
      <c r="AV9496"/>
      <c r="AW9496"/>
      <c r="AX9496"/>
      <c r="AY9496"/>
    </row>
    <row r="9497" spans="47:51" x14ac:dyDescent="0.2">
      <c r="AU9497"/>
      <c r="AV9497"/>
      <c r="AW9497"/>
      <c r="AX9497"/>
      <c r="AY9497"/>
    </row>
    <row r="9498" spans="47:51" x14ac:dyDescent="0.2">
      <c r="AU9498"/>
      <c r="AV9498"/>
      <c r="AW9498"/>
      <c r="AX9498"/>
      <c r="AY9498"/>
    </row>
    <row r="9499" spans="47:51" x14ac:dyDescent="0.2">
      <c r="AU9499"/>
      <c r="AV9499"/>
      <c r="AW9499"/>
      <c r="AX9499"/>
      <c r="AY9499"/>
    </row>
    <row r="9500" spans="47:51" x14ac:dyDescent="0.2">
      <c r="AU9500"/>
      <c r="AV9500"/>
      <c r="AW9500"/>
      <c r="AX9500"/>
      <c r="AY9500"/>
    </row>
    <row r="9501" spans="47:51" x14ac:dyDescent="0.2">
      <c r="AU9501"/>
      <c r="AV9501"/>
      <c r="AW9501"/>
      <c r="AX9501"/>
      <c r="AY9501"/>
    </row>
    <row r="9502" spans="47:51" x14ac:dyDescent="0.2">
      <c r="AU9502"/>
      <c r="AV9502"/>
      <c r="AW9502"/>
      <c r="AX9502"/>
      <c r="AY9502"/>
    </row>
    <row r="9503" spans="47:51" x14ac:dyDescent="0.2">
      <c r="AU9503"/>
      <c r="AV9503"/>
      <c r="AW9503"/>
      <c r="AX9503"/>
      <c r="AY9503"/>
    </row>
    <row r="9504" spans="47:51" x14ac:dyDescent="0.2">
      <c r="AU9504"/>
      <c r="AV9504"/>
      <c r="AW9504"/>
      <c r="AX9504"/>
      <c r="AY9504"/>
    </row>
    <row r="9505" spans="47:51" x14ac:dyDescent="0.2">
      <c r="AU9505"/>
      <c r="AV9505"/>
      <c r="AW9505"/>
      <c r="AX9505"/>
      <c r="AY9505"/>
    </row>
    <row r="9506" spans="47:51" x14ac:dyDescent="0.2">
      <c r="AU9506"/>
      <c r="AV9506"/>
      <c r="AW9506"/>
      <c r="AX9506"/>
      <c r="AY9506"/>
    </row>
    <row r="9507" spans="47:51" x14ac:dyDescent="0.2">
      <c r="AU9507"/>
      <c r="AV9507"/>
      <c r="AW9507"/>
      <c r="AX9507"/>
      <c r="AY9507"/>
    </row>
    <row r="9508" spans="47:51" x14ac:dyDescent="0.2">
      <c r="AU9508"/>
      <c r="AV9508"/>
      <c r="AW9508"/>
      <c r="AX9508"/>
      <c r="AY9508"/>
    </row>
    <row r="9509" spans="47:51" x14ac:dyDescent="0.2">
      <c r="AU9509"/>
      <c r="AV9509"/>
      <c r="AW9509"/>
      <c r="AX9509"/>
      <c r="AY9509"/>
    </row>
    <row r="9510" spans="47:51" x14ac:dyDescent="0.2">
      <c r="AU9510"/>
      <c r="AV9510"/>
      <c r="AW9510"/>
      <c r="AX9510"/>
      <c r="AY9510"/>
    </row>
    <row r="9511" spans="47:51" x14ac:dyDescent="0.2">
      <c r="AU9511"/>
      <c r="AV9511"/>
      <c r="AW9511"/>
      <c r="AX9511"/>
      <c r="AY9511"/>
    </row>
    <row r="9512" spans="47:51" x14ac:dyDescent="0.2">
      <c r="AU9512"/>
      <c r="AV9512"/>
      <c r="AW9512"/>
      <c r="AX9512"/>
      <c r="AY9512"/>
    </row>
    <row r="9513" spans="47:51" x14ac:dyDescent="0.2">
      <c r="AU9513"/>
      <c r="AV9513"/>
      <c r="AW9513"/>
      <c r="AX9513"/>
      <c r="AY9513"/>
    </row>
    <row r="9514" spans="47:51" x14ac:dyDescent="0.2">
      <c r="AU9514"/>
      <c r="AV9514"/>
      <c r="AW9514"/>
      <c r="AX9514"/>
      <c r="AY9514"/>
    </row>
    <row r="9515" spans="47:51" x14ac:dyDescent="0.2">
      <c r="AU9515"/>
      <c r="AV9515"/>
      <c r="AW9515"/>
      <c r="AX9515"/>
      <c r="AY9515"/>
    </row>
    <row r="9516" spans="47:51" x14ac:dyDescent="0.2">
      <c r="AU9516"/>
      <c r="AV9516"/>
      <c r="AW9516"/>
      <c r="AX9516"/>
      <c r="AY9516"/>
    </row>
    <row r="9517" spans="47:51" x14ac:dyDescent="0.2">
      <c r="AU9517"/>
      <c r="AV9517"/>
      <c r="AW9517"/>
      <c r="AX9517"/>
      <c r="AY9517"/>
    </row>
    <row r="9518" spans="47:51" x14ac:dyDescent="0.2">
      <c r="AU9518"/>
      <c r="AV9518"/>
      <c r="AW9518"/>
      <c r="AX9518"/>
      <c r="AY9518"/>
    </row>
    <row r="9519" spans="47:51" x14ac:dyDescent="0.2">
      <c r="AU9519"/>
      <c r="AV9519"/>
      <c r="AW9519"/>
      <c r="AX9519"/>
      <c r="AY9519"/>
    </row>
    <row r="9520" spans="47:51" x14ac:dyDescent="0.2">
      <c r="AU9520"/>
      <c r="AV9520"/>
      <c r="AW9520"/>
      <c r="AX9520"/>
      <c r="AY9520"/>
    </row>
    <row r="9521" spans="47:51" x14ac:dyDescent="0.2">
      <c r="AU9521"/>
      <c r="AV9521"/>
      <c r="AW9521"/>
      <c r="AX9521"/>
      <c r="AY9521"/>
    </row>
    <row r="9522" spans="47:51" x14ac:dyDescent="0.2">
      <c r="AU9522"/>
      <c r="AV9522"/>
      <c r="AW9522"/>
      <c r="AX9522"/>
      <c r="AY9522"/>
    </row>
    <row r="9523" spans="47:51" x14ac:dyDescent="0.2">
      <c r="AU9523"/>
      <c r="AV9523"/>
      <c r="AW9523"/>
      <c r="AX9523"/>
      <c r="AY9523"/>
    </row>
    <row r="9524" spans="47:51" x14ac:dyDescent="0.2">
      <c r="AU9524"/>
      <c r="AV9524"/>
      <c r="AW9524"/>
      <c r="AX9524"/>
      <c r="AY9524"/>
    </row>
    <row r="9525" spans="47:51" x14ac:dyDescent="0.2">
      <c r="AU9525"/>
      <c r="AV9525"/>
      <c r="AW9525"/>
      <c r="AX9525"/>
      <c r="AY9525"/>
    </row>
    <row r="9526" spans="47:51" x14ac:dyDescent="0.2">
      <c r="AU9526"/>
      <c r="AV9526"/>
      <c r="AW9526"/>
      <c r="AX9526"/>
      <c r="AY9526"/>
    </row>
    <row r="9527" spans="47:51" x14ac:dyDescent="0.2">
      <c r="AU9527"/>
      <c r="AV9527"/>
      <c r="AW9527"/>
      <c r="AX9527"/>
      <c r="AY9527"/>
    </row>
    <row r="9528" spans="47:51" x14ac:dyDescent="0.2">
      <c r="AU9528"/>
      <c r="AV9528"/>
      <c r="AW9528"/>
      <c r="AX9528"/>
      <c r="AY9528"/>
    </row>
    <row r="9529" spans="47:51" x14ac:dyDescent="0.2">
      <c r="AU9529"/>
      <c r="AV9529"/>
      <c r="AW9529"/>
      <c r="AX9529"/>
      <c r="AY9529"/>
    </row>
    <row r="9530" spans="47:51" x14ac:dyDescent="0.2">
      <c r="AU9530"/>
      <c r="AV9530"/>
      <c r="AW9530"/>
      <c r="AX9530"/>
      <c r="AY9530"/>
    </row>
    <row r="9531" spans="47:51" x14ac:dyDescent="0.2">
      <c r="AU9531"/>
      <c r="AV9531"/>
      <c r="AW9531"/>
      <c r="AX9531"/>
      <c r="AY9531"/>
    </row>
    <row r="9532" spans="47:51" x14ac:dyDescent="0.2">
      <c r="AU9532"/>
      <c r="AV9532"/>
      <c r="AW9532"/>
      <c r="AX9532"/>
      <c r="AY9532"/>
    </row>
    <row r="9533" spans="47:51" x14ac:dyDescent="0.2">
      <c r="AU9533"/>
      <c r="AV9533"/>
      <c r="AW9533"/>
      <c r="AX9533"/>
      <c r="AY9533"/>
    </row>
    <row r="9534" spans="47:51" x14ac:dyDescent="0.2">
      <c r="AU9534"/>
      <c r="AV9534"/>
      <c r="AW9534"/>
      <c r="AX9534"/>
      <c r="AY9534"/>
    </row>
    <row r="9535" spans="47:51" x14ac:dyDescent="0.2">
      <c r="AU9535"/>
      <c r="AV9535"/>
      <c r="AW9535"/>
      <c r="AX9535"/>
      <c r="AY9535"/>
    </row>
    <row r="9536" spans="47:51" x14ac:dyDescent="0.2">
      <c r="AU9536"/>
      <c r="AV9536"/>
      <c r="AW9536"/>
      <c r="AX9536"/>
      <c r="AY9536"/>
    </row>
    <row r="9537" spans="47:51" x14ac:dyDescent="0.2">
      <c r="AU9537"/>
      <c r="AV9537"/>
      <c r="AW9537"/>
      <c r="AX9537"/>
      <c r="AY9537"/>
    </row>
    <row r="9538" spans="47:51" x14ac:dyDescent="0.2">
      <c r="AU9538"/>
      <c r="AV9538"/>
      <c r="AW9538"/>
      <c r="AX9538"/>
      <c r="AY9538"/>
    </row>
    <row r="9539" spans="47:51" x14ac:dyDescent="0.2">
      <c r="AU9539"/>
      <c r="AV9539"/>
      <c r="AW9539"/>
      <c r="AX9539"/>
      <c r="AY9539"/>
    </row>
    <row r="9540" spans="47:51" x14ac:dyDescent="0.2">
      <c r="AU9540"/>
      <c r="AV9540"/>
      <c r="AW9540"/>
      <c r="AX9540"/>
      <c r="AY9540"/>
    </row>
    <row r="9541" spans="47:51" x14ac:dyDescent="0.2">
      <c r="AU9541"/>
      <c r="AV9541"/>
      <c r="AW9541"/>
      <c r="AX9541"/>
      <c r="AY9541"/>
    </row>
    <row r="9542" spans="47:51" x14ac:dyDescent="0.2">
      <c r="AU9542"/>
      <c r="AV9542"/>
      <c r="AW9542"/>
      <c r="AX9542"/>
      <c r="AY9542"/>
    </row>
    <row r="9543" spans="47:51" x14ac:dyDescent="0.2">
      <c r="AU9543"/>
      <c r="AV9543"/>
      <c r="AW9543"/>
      <c r="AX9543"/>
      <c r="AY9543"/>
    </row>
    <row r="9544" spans="47:51" x14ac:dyDescent="0.2">
      <c r="AU9544"/>
      <c r="AV9544"/>
      <c r="AW9544"/>
      <c r="AX9544"/>
      <c r="AY9544"/>
    </row>
    <row r="9545" spans="47:51" x14ac:dyDescent="0.2">
      <c r="AU9545"/>
      <c r="AV9545"/>
      <c r="AW9545"/>
      <c r="AX9545"/>
      <c r="AY9545"/>
    </row>
    <row r="9546" spans="47:51" x14ac:dyDescent="0.2">
      <c r="AU9546"/>
      <c r="AV9546"/>
      <c r="AW9546"/>
      <c r="AX9546"/>
      <c r="AY9546"/>
    </row>
    <row r="9547" spans="47:51" x14ac:dyDescent="0.2">
      <c r="AU9547"/>
      <c r="AV9547"/>
      <c r="AW9547"/>
      <c r="AX9547"/>
      <c r="AY9547"/>
    </row>
    <row r="9548" spans="47:51" x14ac:dyDescent="0.2">
      <c r="AU9548"/>
      <c r="AV9548"/>
      <c r="AW9548"/>
      <c r="AX9548"/>
      <c r="AY9548"/>
    </row>
    <row r="9549" spans="47:51" x14ac:dyDescent="0.2">
      <c r="AU9549"/>
      <c r="AV9549"/>
      <c r="AW9549"/>
      <c r="AX9549"/>
      <c r="AY9549"/>
    </row>
    <row r="9550" spans="47:51" x14ac:dyDescent="0.2">
      <c r="AU9550"/>
      <c r="AV9550"/>
      <c r="AW9550"/>
      <c r="AX9550"/>
      <c r="AY9550"/>
    </row>
    <row r="9551" spans="47:51" x14ac:dyDescent="0.2">
      <c r="AU9551"/>
      <c r="AV9551"/>
      <c r="AW9551"/>
      <c r="AX9551"/>
      <c r="AY9551"/>
    </row>
    <row r="9552" spans="47:51" x14ac:dyDescent="0.2">
      <c r="AU9552"/>
      <c r="AV9552"/>
      <c r="AW9552"/>
      <c r="AX9552"/>
      <c r="AY9552"/>
    </row>
    <row r="9553" spans="47:51" x14ac:dyDescent="0.2">
      <c r="AU9553"/>
      <c r="AV9553"/>
      <c r="AW9553"/>
      <c r="AX9553"/>
      <c r="AY9553"/>
    </row>
    <row r="9554" spans="47:51" x14ac:dyDescent="0.2">
      <c r="AU9554"/>
      <c r="AV9554"/>
      <c r="AW9554"/>
      <c r="AX9554"/>
      <c r="AY9554"/>
    </row>
    <row r="9555" spans="47:51" x14ac:dyDescent="0.2">
      <c r="AU9555"/>
      <c r="AV9555"/>
      <c r="AW9555"/>
      <c r="AX9555"/>
      <c r="AY9555"/>
    </row>
    <row r="9556" spans="47:51" x14ac:dyDescent="0.2">
      <c r="AU9556"/>
      <c r="AV9556"/>
      <c r="AW9556"/>
      <c r="AX9556"/>
      <c r="AY9556"/>
    </row>
    <row r="9557" spans="47:51" x14ac:dyDescent="0.2">
      <c r="AU9557"/>
      <c r="AV9557"/>
      <c r="AW9557"/>
      <c r="AX9557"/>
      <c r="AY9557"/>
    </row>
    <row r="9558" spans="47:51" x14ac:dyDescent="0.2">
      <c r="AU9558"/>
      <c r="AV9558"/>
      <c r="AW9558"/>
      <c r="AX9558"/>
      <c r="AY9558"/>
    </row>
    <row r="9559" spans="47:51" x14ac:dyDescent="0.2">
      <c r="AU9559"/>
      <c r="AV9559"/>
      <c r="AW9559"/>
      <c r="AX9559"/>
      <c r="AY9559"/>
    </row>
    <row r="9560" spans="47:51" x14ac:dyDescent="0.2">
      <c r="AU9560"/>
      <c r="AV9560"/>
      <c r="AW9560"/>
      <c r="AX9560"/>
      <c r="AY9560"/>
    </row>
    <row r="9561" spans="47:51" x14ac:dyDescent="0.2">
      <c r="AU9561"/>
      <c r="AV9561"/>
      <c r="AW9561"/>
      <c r="AX9561"/>
      <c r="AY9561"/>
    </row>
    <row r="9562" spans="47:51" x14ac:dyDescent="0.2">
      <c r="AU9562"/>
      <c r="AV9562"/>
      <c r="AW9562"/>
      <c r="AX9562"/>
      <c r="AY9562"/>
    </row>
    <row r="9563" spans="47:51" x14ac:dyDescent="0.2">
      <c r="AU9563"/>
      <c r="AV9563"/>
      <c r="AW9563"/>
      <c r="AX9563"/>
      <c r="AY9563"/>
    </row>
    <row r="9564" spans="47:51" x14ac:dyDescent="0.2">
      <c r="AU9564"/>
      <c r="AV9564"/>
      <c r="AW9564"/>
      <c r="AX9564"/>
      <c r="AY9564"/>
    </row>
    <row r="9565" spans="47:51" x14ac:dyDescent="0.2">
      <c r="AU9565"/>
      <c r="AV9565"/>
      <c r="AW9565"/>
      <c r="AX9565"/>
      <c r="AY9565"/>
    </row>
    <row r="9566" spans="47:51" x14ac:dyDescent="0.2">
      <c r="AU9566"/>
      <c r="AV9566"/>
      <c r="AW9566"/>
      <c r="AX9566"/>
      <c r="AY9566"/>
    </row>
    <row r="9567" spans="47:51" x14ac:dyDescent="0.2">
      <c r="AU9567"/>
      <c r="AV9567"/>
      <c r="AW9567"/>
      <c r="AX9567"/>
      <c r="AY9567"/>
    </row>
    <row r="9568" spans="47:51" x14ac:dyDescent="0.2">
      <c r="AU9568"/>
      <c r="AV9568"/>
      <c r="AW9568"/>
      <c r="AX9568"/>
      <c r="AY9568"/>
    </row>
    <row r="9569" spans="47:51" x14ac:dyDescent="0.2">
      <c r="AU9569"/>
      <c r="AV9569"/>
      <c r="AW9569"/>
      <c r="AX9569"/>
      <c r="AY9569"/>
    </row>
    <row r="9570" spans="47:51" x14ac:dyDescent="0.2">
      <c r="AU9570"/>
      <c r="AV9570"/>
      <c r="AW9570"/>
      <c r="AX9570"/>
      <c r="AY9570"/>
    </row>
    <row r="9571" spans="47:51" x14ac:dyDescent="0.2">
      <c r="AU9571"/>
      <c r="AV9571"/>
      <c r="AW9571"/>
      <c r="AX9571"/>
      <c r="AY9571"/>
    </row>
    <row r="9572" spans="47:51" x14ac:dyDescent="0.2">
      <c r="AU9572"/>
      <c r="AV9572"/>
      <c r="AW9572"/>
      <c r="AX9572"/>
      <c r="AY9572"/>
    </row>
    <row r="9573" spans="47:51" x14ac:dyDescent="0.2">
      <c r="AU9573"/>
      <c r="AV9573"/>
      <c r="AW9573"/>
      <c r="AX9573"/>
      <c r="AY9573"/>
    </row>
    <row r="9574" spans="47:51" x14ac:dyDescent="0.2">
      <c r="AU9574"/>
      <c r="AV9574"/>
      <c r="AW9574"/>
      <c r="AX9574"/>
      <c r="AY9574"/>
    </row>
    <row r="9575" spans="47:51" x14ac:dyDescent="0.2">
      <c r="AU9575"/>
      <c r="AV9575"/>
      <c r="AW9575"/>
      <c r="AX9575"/>
      <c r="AY9575"/>
    </row>
    <row r="9576" spans="47:51" x14ac:dyDescent="0.2">
      <c r="AU9576"/>
      <c r="AV9576"/>
      <c r="AW9576"/>
      <c r="AX9576"/>
      <c r="AY9576"/>
    </row>
    <row r="9577" spans="47:51" x14ac:dyDescent="0.2">
      <c r="AU9577"/>
      <c r="AV9577"/>
      <c r="AW9577"/>
      <c r="AX9577"/>
      <c r="AY9577"/>
    </row>
    <row r="9578" spans="47:51" x14ac:dyDescent="0.2">
      <c r="AU9578"/>
      <c r="AV9578"/>
      <c r="AW9578"/>
      <c r="AX9578"/>
      <c r="AY9578"/>
    </row>
    <row r="9579" spans="47:51" x14ac:dyDescent="0.2">
      <c r="AU9579"/>
      <c r="AV9579"/>
      <c r="AW9579"/>
      <c r="AX9579"/>
      <c r="AY9579"/>
    </row>
    <row r="9580" spans="47:51" x14ac:dyDescent="0.2">
      <c r="AU9580"/>
      <c r="AV9580"/>
      <c r="AW9580"/>
      <c r="AX9580"/>
      <c r="AY9580"/>
    </row>
    <row r="9581" spans="47:51" x14ac:dyDescent="0.2">
      <c r="AU9581"/>
      <c r="AV9581"/>
      <c r="AW9581"/>
      <c r="AX9581"/>
      <c r="AY9581"/>
    </row>
    <row r="9582" spans="47:51" x14ac:dyDescent="0.2">
      <c r="AU9582"/>
      <c r="AV9582"/>
      <c r="AW9582"/>
      <c r="AX9582"/>
      <c r="AY9582"/>
    </row>
    <row r="9583" spans="47:51" x14ac:dyDescent="0.2">
      <c r="AU9583"/>
      <c r="AV9583"/>
      <c r="AW9583"/>
      <c r="AX9583"/>
      <c r="AY9583"/>
    </row>
    <row r="9584" spans="47:51" x14ac:dyDescent="0.2">
      <c r="AU9584"/>
      <c r="AV9584"/>
      <c r="AW9584"/>
      <c r="AX9584"/>
      <c r="AY9584"/>
    </row>
    <row r="9585" spans="47:51" x14ac:dyDescent="0.2">
      <c r="AU9585"/>
      <c r="AV9585"/>
      <c r="AW9585"/>
      <c r="AX9585"/>
      <c r="AY9585"/>
    </row>
    <row r="9586" spans="47:51" x14ac:dyDescent="0.2">
      <c r="AU9586"/>
      <c r="AV9586"/>
      <c r="AW9586"/>
      <c r="AX9586"/>
      <c r="AY9586"/>
    </row>
    <row r="9587" spans="47:51" x14ac:dyDescent="0.2">
      <c r="AU9587"/>
      <c r="AV9587"/>
      <c r="AW9587"/>
      <c r="AX9587"/>
      <c r="AY9587"/>
    </row>
    <row r="9588" spans="47:51" x14ac:dyDescent="0.2">
      <c r="AU9588"/>
      <c r="AV9588"/>
      <c r="AW9588"/>
      <c r="AX9588"/>
      <c r="AY9588"/>
    </row>
    <row r="9589" spans="47:51" x14ac:dyDescent="0.2">
      <c r="AU9589"/>
      <c r="AV9589"/>
      <c r="AW9589"/>
      <c r="AX9589"/>
      <c r="AY9589"/>
    </row>
    <row r="9590" spans="47:51" x14ac:dyDescent="0.2">
      <c r="AU9590"/>
      <c r="AV9590"/>
      <c r="AW9590"/>
      <c r="AX9590"/>
      <c r="AY9590"/>
    </row>
    <row r="9591" spans="47:51" x14ac:dyDescent="0.2">
      <c r="AU9591"/>
      <c r="AV9591"/>
      <c r="AW9591"/>
      <c r="AX9591"/>
      <c r="AY9591"/>
    </row>
    <row r="9592" spans="47:51" x14ac:dyDescent="0.2">
      <c r="AU9592"/>
      <c r="AV9592"/>
      <c r="AW9592"/>
      <c r="AX9592"/>
      <c r="AY9592"/>
    </row>
    <row r="9593" spans="47:51" x14ac:dyDescent="0.2">
      <c r="AU9593"/>
      <c r="AV9593"/>
      <c r="AW9593"/>
      <c r="AX9593"/>
      <c r="AY9593"/>
    </row>
    <row r="9594" spans="47:51" x14ac:dyDescent="0.2">
      <c r="AU9594"/>
      <c r="AV9594"/>
      <c r="AW9594"/>
      <c r="AX9594"/>
      <c r="AY9594"/>
    </row>
    <row r="9595" spans="47:51" x14ac:dyDescent="0.2">
      <c r="AU9595"/>
      <c r="AV9595"/>
      <c r="AW9595"/>
      <c r="AX9595"/>
      <c r="AY9595"/>
    </row>
    <row r="9596" spans="47:51" x14ac:dyDescent="0.2">
      <c r="AU9596"/>
      <c r="AV9596"/>
      <c r="AW9596"/>
      <c r="AX9596"/>
      <c r="AY9596"/>
    </row>
    <row r="9597" spans="47:51" x14ac:dyDescent="0.2">
      <c r="AU9597"/>
      <c r="AV9597"/>
      <c r="AW9597"/>
      <c r="AX9597"/>
      <c r="AY9597"/>
    </row>
    <row r="9598" spans="47:51" x14ac:dyDescent="0.2">
      <c r="AU9598"/>
      <c r="AV9598"/>
      <c r="AW9598"/>
      <c r="AX9598"/>
      <c r="AY9598"/>
    </row>
    <row r="9599" spans="47:51" x14ac:dyDescent="0.2">
      <c r="AU9599"/>
      <c r="AV9599"/>
      <c r="AW9599"/>
      <c r="AX9599"/>
      <c r="AY9599"/>
    </row>
    <row r="9600" spans="47:51" x14ac:dyDescent="0.2">
      <c r="AU9600"/>
      <c r="AV9600"/>
      <c r="AW9600"/>
      <c r="AX9600"/>
      <c r="AY9600"/>
    </row>
    <row r="9601" spans="47:51" x14ac:dyDescent="0.2">
      <c r="AU9601"/>
      <c r="AV9601"/>
      <c r="AW9601"/>
      <c r="AX9601"/>
      <c r="AY9601"/>
    </row>
    <row r="9602" spans="47:51" x14ac:dyDescent="0.2">
      <c r="AU9602"/>
      <c r="AV9602"/>
      <c r="AW9602"/>
      <c r="AX9602"/>
      <c r="AY9602"/>
    </row>
    <row r="9603" spans="47:51" x14ac:dyDescent="0.2">
      <c r="AU9603"/>
      <c r="AV9603"/>
      <c r="AW9603"/>
      <c r="AX9603"/>
      <c r="AY9603"/>
    </row>
    <row r="9604" spans="47:51" x14ac:dyDescent="0.2">
      <c r="AU9604"/>
      <c r="AV9604"/>
      <c r="AW9604"/>
      <c r="AX9604"/>
      <c r="AY9604"/>
    </row>
    <row r="9605" spans="47:51" x14ac:dyDescent="0.2">
      <c r="AU9605"/>
      <c r="AV9605"/>
      <c r="AW9605"/>
      <c r="AX9605"/>
      <c r="AY9605"/>
    </row>
    <row r="9606" spans="47:51" x14ac:dyDescent="0.2">
      <c r="AU9606"/>
      <c r="AV9606"/>
      <c r="AW9606"/>
      <c r="AX9606"/>
      <c r="AY9606"/>
    </row>
    <row r="9607" spans="47:51" x14ac:dyDescent="0.2">
      <c r="AU9607"/>
      <c r="AV9607"/>
      <c r="AW9607"/>
      <c r="AX9607"/>
      <c r="AY9607"/>
    </row>
    <row r="9608" spans="47:51" x14ac:dyDescent="0.2">
      <c r="AU9608"/>
      <c r="AV9608"/>
      <c r="AW9608"/>
      <c r="AX9608"/>
      <c r="AY9608"/>
    </row>
    <row r="9609" spans="47:51" x14ac:dyDescent="0.2">
      <c r="AU9609"/>
      <c r="AV9609"/>
      <c r="AW9609"/>
      <c r="AX9609"/>
      <c r="AY9609"/>
    </row>
    <row r="9610" spans="47:51" x14ac:dyDescent="0.2">
      <c r="AU9610"/>
      <c r="AV9610"/>
      <c r="AW9610"/>
      <c r="AX9610"/>
      <c r="AY9610"/>
    </row>
    <row r="9611" spans="47:51" x14ac:dyDescent="0.2">
      <c r="AU9611"/>
      <c r="AV9611"/>
      <c r="AW9611"/>
      <c r="AX9611"/>
      <c r="AY9611"/>
    </row>
    <row r="9612" spans="47:51" x14ac:dyDescent="0.2">
      <c r="AU9612"/>
      <c r="AV9612"/>
      <c r="AW9612"/>
      <c r="AX9612"/>
      <c r="AY9612"/>
    </row>
    <row r="9613" spans="47:51" x14ac:dyDescent="0.2">
      <c r="AU9613"/>
      <c r="AV9613"/>
      <c r="AW9613"/>
      <c r="AX9613"/>
      <c r="AY9613"/>
    </row>
    <row r="9614" spans="47:51" x14ac:dyDescent="0.2">
      <c r="AU9614"/>
      <c r="AV9614"/>
      <c r="AW9614"/>
      <c r="AX9614"/>
      <c r="AY9614"/>
    </row>
    <row r="9615" spans="47:51" x14ac:dyDescent="0.2">
      <c r="AU9615"/>
      <c r="AV9615"/>
      <c r="AW9615"/>
      <c r="AX9615"/>
      <c r="AY9615"/>
    </row>
    <row r="9616" spans="47:51" x14ac:dyDescent="0.2">
      <c r="AU9616"/>
      <c r="AV9616"/>
      <c r="AW9616"/>
      <c r="AX9616"/>
      <c r="AY9616"/>
    </row>
    <row r="9617" spans="47:51" x14ac:dyDescent="0.2">
      <c r="AU9617"/>
      <c r="AV9617"/>
      <c r="AW9617"/>
      <c r="AX9617"/>
      <c r="AY9617"/>
    </row>
    <row r="9618" spans="47:51" x14ac:dyDescent="0.2">
      <c r="AU9618"/>
      <c r="AV9618"/>
      <c r="AW9618"/>
      <c r="AX9618"/>
      <c r="AY9618"/>
    </row>
    <row r="9619" spans="47:51" x14ac:dyDescent="0.2">
      <c r="AU9619"/>
      <c r="AV9619"/>
      <c r="AW9619"/>
      <c r="AX9619"/>
      <c r="AY9619"/>
    </row>
    <row r="9620" spans="47:51" x14ac:dyDescent="0.2">
      <c r="AU9620"/>
      <c r="AV9620"/>
      <c r="AW9620"/>
      <c r="AX9620"/>
      <c r="AY9620"/>
    </row>
    <row r="9621" spans="47:51" x14ac:dyDescent="0.2">
      <c r="AU9621"/>
      <c r="AV9621"/>
      <c r="AW9621"/>
      <c r="AX9621"/>
      <c r="AY9621"/>
    </row>
    <row r="9622" spans="47:51" x14ac:dyDescent="0.2">
      <c r="AU9622"/>
      <c r="AV9622"/>
      <c r="AW9622"/>
      <c r="AX9622"/>
      <c r="AY9622"/>
    </row>
    <row r="9623" spans="47:51" x14ac:dyDescent="0.2">
      <c r="AU9623"/>
      <c r="AV9623"/>
      <c r="AW9623"/>
      <c r="AX9623"/>
      <c r="AY9623"/>
    </row>
    <row r="9624" spans="47:51" x14ac:dyDescent="0.2">
      <c r="AU9624"/>
      <c r="AV9624"/>
      <c r="AW9624"/>
      <c r="AX9624"/>
      <c r="AY9624"/>
    </row>
    <row r="9625" spans="47:51" x14ac:dyDescent="0.2">
      <c r="AU9625"/>
      <c r="AV9625"/>
      <c r="AW9625"/>
      <c r="AX9625"/>
      <c r="AY9625"/>
    </row>
    <row r="9626" spans="47:51" x14ac:dyDescent="0.2">
      <c r="AU9626"/>
      <c r="AV9626"/>
      <c r="AW9626"/>
      <c r="AX9626"/>
      <c r="AY9626"/>
    </row>
    <row r="9627" spans="47:51" x14ac:dyDescent="0.2">
      <c r="AU9627"/>
      <c r="AV9627"/>
      <c r="AW9627"/>
      <c r="AX9627"/>
      <c r="AY9627"/>
    </row>
    <row r="9628" spans="47:51" x14ac:dyDescent="0.2">
      <c r="AU9628"/>
      <c r="AV9628"/>
      <c r="AW9628"/>
      <c r="AX9628"/>
      <c r="AY9628"/>
    </row>
    <row r="9629" spans="47:51" x14ac:dyDescent="0.2">
      <c r="AU9629"/>
      <c r="AV9629"/>
      <c r="AW9629"/>
      <c r="AX9629"/>
      <c r="AY9629"/>
    </row>
    <row r="9630" spans="47:51" x14ac:dyDescent="0.2">
      <c r="AU9630"/>
      <c r="AV9630"/>
      <c r="AW9630"/>
      <c r="AX9630"/>
      <c r="AY9630"/>
    </row>
    <row r="9631" spans="47:51" x14ac:dyDescent="0.2">
      <c r="AU9631"/>
      <c r="AV9631"/>
      <c r="AW9631"/>
      <c r="AX9631"/>
      <c r="AY9631"/>
    </row>
    <row r="9632" spans="47:51" x14ac:dyDescent="0.2">
      <c r="AU9632"/>
      <c r="AV9632"/>
      <c r="AW9632"/>
      <c r="AX9632"/>
      <c r="AY9632"/>
    </row>
    <row r="9633" spans="47:51" x14ac:dyDescent="0.2">
      <c r="AU9633"/>
      <c r="AV9633"/>
      <c r="AW9633"/>
      <c r="AX9633"/>
      <c r="AY9633"/>
    </row>
    <row r="9634" spans="47:51" x14ac:dyDescent="0.2">
      <c r="AU9634"/>
      <c r="AV9634"/>
      <c r="AW9634"/>
      <c r="AX9634"/>
      <c r="AY9634"/>
    </row>
    <row r="9635" spans="47:51" x14ac:dyDescent="0.2">
      <c r="AU9635"/>
      <c r="AV9635"/>
      <c r="AW9635"/>
      <c r="AX9635"/>
      <c r="AY9635"/>
    </row>
    <row r="9636" spans="47:51" x14ac:dyDescent="0.2">
      <c r="AU9636"/>
      <c r="AV9636"/>
      <c r="AW9636"/>
      <c r="AX9636"/>
      <c r="AY9636"/>
    </row>
    <row r="9637" spans="47:51" x14ac:dyDescent="0.2">
      <c r="AU9637"/>
      <c r="AV9637"/>
      <c r="AW9637"/>
      <c r="AX9637"/>
      <c r="AY9637"/>
    </row>
    <row r="9638" spans="47:51" x14ac:dyDescent="0.2">
      <c r="AU9638"/>
      <c r="AV9638"/>
      <c r="AW9638"/>
      <c r="AX9638"/>
      <c r="AY9638"/>
    </row>
    <row r="9639" spans="47:51" x14ac:dyDescent="0.2">
      <c r="AU9639"/>
      <c r="AV9639"/>
      <c r="AW9639"/>
      <c r="AX9639"/>
      <c r="AY9639"/>
    </row>
    <row r="9640" spans="47:51" x14ac:dyDescent="0.2">
      <c r="AU9640"/>
      <c r="AV9640"/>
      <c r="AW9640"/>
      <c r="AX9640"/>
      <c r="AY9640"/>
    </row>
    <row r="9641" spans="47:51" x14ac:dyDescent="0.2">
      <c r="AU9641"/>
      <c r="AV9641"/>
      <c r="AW9641"/>
      <c r="AX9641"/>
      <c r="AY9641"/>
    </row>
    <row r="9642" spans="47:51" x14ac:dyDescent="0.2">
      <c r="AU9642"/>
      <c r="AV9642"/>
      <c r="AW9642"/>
      <c r="AX9642"/>
      <c r="AY9642"/>
    </row>
    <row r="9643" spans="47:51" x14ac:dyDescent="0.2">
      <c r="AU9643"/>
      <c r="AV9643"/>
      <c r="AW9643"/>
      <c r="AX9643"/>
      <c r="AY9643"/>
    </row>
    <row r="9644" spans="47:51" x14ac:dyDescent="0.2">
      <c r="AU9644"/>
      <c r="AV9644"/>
      <c r="AW9644"/>
      <c r="AX9644"/>
      <c r="AY9644"/>
    </row>
    <row r="9645" spans="47:51" x14ac:dyDescent="0.2">
      <c r="AU9645"/>
      <c r="AV9645"/>
      <c r="AW9645"/>
      <c r="AX9645"/>
      <c r="AY9645"/>
    </row>
    <row r="9646" spans="47:51" x14ac:dyDescent="0.2">
      <c r="AU9646"/>
      <c r="AV9646"/>
      <c r="AW9646"/>
      <c r="AX9646"/>
      <c r="AY9646"/>
    </row>
    <row r="9647" spans="47:51" x14ac:dyDescent="0.2">
      <c r="AU9647"/>
      <c r="AV9647"/>
      <c r="AW9647"/>
      <c r="AX9647"/>
      <c r="AY9647"/>
    </row>
    <row r="9648" spans="47:51" x14ac:dyDescent="0.2">
      <c r="AU9648"/>
      <c r="AV9648"/>
      <c r="AW9648"/>
      <c r="AX9648"/>
      <c r="AY9648"/>
    </row>
    <row r="9649" spans="47:51" x14ac:dyDescent="0.2">
      <c r="AU9649"/>
      <c r="AV9649"/>
      <c r="AW9649"/>
      <c r="AX9649"/>
      <c r="AY9649"/>
    </row>
    <row r="9650" spans="47:51" x14ac:dyDescent="0.2">
      <c r="AU9650"/>
      <c r="AV9650"/>
      <c r="AW9650"/>
      <c r="AX9650"/>
      <c r="AY9650"/>
    </row>
    <row r="9651" spans="47:51" x14ac:dyDescent="0.2">
      <c r="AU9651"/>
      <c r="AV9651"/>
      <c r="AW9651"/>
      <c r="AX9651"/>
      <c r="AY9651"/>
    </row>
    <row r="9652" spans="47:51" x14ac:dyDescent="0.2">
      <c r="AU9652"/>
      <c r="AV9652"/>
      <c r="AW9652"/>
      <c r="AX9652"/>
      <c r="AY9652"/>
    </row>
    <row r="9653" spans="47:51" x14ac:dyDescent="0.2">
      <c r="AU9653"/>
      <c r="AV9653"/>
      <c r="AW9653"/>
      <c r="AX9653"/>
      <c r="AY9653"/>
    </row>
    <row r="9654" spans="47:51" x14ac:dyDescent="0.2">
      <c r="AU9654"/>
      <c r="AV9654"/>
      <c r="AW9654"/>
      <c r="AX9654"/>
      <c r="AY9654"/>
    </row>
    <row r="9655" spans="47:51" x14ac:dyDescent="0.2">
      <c r="AU9655"/>
      <c r="AV9655"/>
      <c r="AW9655"/>
      <c r="AX9655"/>
      <c r="AY9655"/>
    </row>
    <row r="9656" spans="47:51" x14ac:dyDescent="0.2">
      <c r="AU9656"/>
      <c r="AV9656"/>
      <c r="AW9656"/>
      <c r="AX9656"/>
      <c r="AY9656"/>
    </row>
    <row r="9657" spans="47:51" x14ac:dyDescent="0.2">
      <c r="AU9657"/>
      <c r="AV9657"/>
      <c r="AW9657"/>
      <c r="AX9657"/>
      <c r="AY9657"/>
    </row>
    <row r="9658" spans="47:51" x14ac:dyDescent="0.2">
      <c r="AU9658"/>
      <c r="AV9658"/>
      <c r="AW9658"/>
      <c r="AX9658"/>
      <c r="AY9658"/>
    </row>
    <row r="9659" spans="47:51" x14ac:dyDescent="0.2">
      <c r="AU9659"/>
      <c r="AV9659"/>
      <c r="AW9659"/>
      <c r="AX9659"/>
      <c r="AY9659"/>
    </row>
    <row r="9660" spans="47:51" x14ac:dyDescent="0.2">
      <c r="AU9660"/>
      <c r="AV9660"/>
      <c r="AW9660"/>
      <c r="AX9660"/>
      <c r="AY9660"/>
    </row>
    <row r="9661" spans="47:51" x14ac:dyDescent="0.2">
      <c r="AU9661"/>
      <c r="AV9661"/>
      <c r="AW9661"/>
      <c r="AX9661"/>
      <c r="AY9661"/>
    </row>
    <row r="9662" spans="47:51" x14ac:dyDescent="0.2">
      <c r="AU9662"/>
      <c r="AV9662"/>
      <c r="AW9662"/>
      <c r="AX9662"/>
      <c r="AY9662"/>
    </row>
    <row r="9663" spans="47:51" x14ac:dyDescent="0.2">
      <c r="AU9663"/>
      <c r="AV9663"/>
      <c r="AW9663"/>
      <c r="AX9663"/>
      <c r="AY9663"/>
    </row>
    <row r="9664" spans="47:51" x14ac:dyDescent="0.2">
      <c r="AU9664"/>
      <c r="AV9664"/>
      <c r="AW9664"/>
      <c r="AX9664"/>
      <c r="AY9664"/>
    </row>
    <row r="9665" spans="47:51" x14ac:dyDescent="0.2">
      <c r="AU9665"/>
      <c r="AV9665"/>
      <c r="AW9665"/>
      <c r="AX9665"/>
      <c r="AY9665"/>
    </row>
    <row r="9666" spans="47:51" x14ac:dyDescent="0.2">
      <c r="AU9666"/>
      <c r="AV9666"/>
      <c r="AW9666"/>
      <c r="AX9666"/>
      <c r="AY9666"/>
    </row>
    <row r="9667" spans="47:51" x14ac:dyDescent="0.2">
      <c r="AU9667"/>
      <c r="AV9667"/>
      <c r="AW9667"/>
      <c r="AX9667"/>
      <c r="AY9667"/>
    </row>
    <row r="9668" spans="47:51" x14ac:dyDescent="0.2">
      <c r="AU9668"/>
      <c r="AV9668"/>
      <c r="AW9668"/>
      <c r="AX9668"/>
      <c r="AY9668"/>
    </row>
    <row r="9669" spans="47:51" x14ac:dyDescent="0.2">
      <c r="AU9669"/>
      <c r="AV9669"/>
      <c r="AW9669"/>
      <c r="AX9669"/>
      <c r="AY9669"/>
    </row>
    <row r="9670" spans="47:51" x14ac:dyDescent="0.2">
      <c r="AU9670"/>
      <c r="AV9670"/>
      <c r="AW9670"/>
      <c r="AX9670"/>
      <c r="AY9670"/>
    </row>
    <row r="9671" spans="47:51" x14ac:dyDescent="0.2">
      <c r="AU9671"/>
      <c r="AV9671"/>
      <c r="AW9671"/>
      <c r="AX9671"/>
      <c r="AY9671"/>
    </row>
    <row r="9672" spans="47:51" x14ac:dyDescent="0.2">
      <c r="AU9672"/>
      <c r="AV9672"/>
      <c r="AW9672"/>
      <c r="AX9672"/>
      <c r="AY9672"/>
    </row>
    <row r="9673" spans="47:51" x14ac:dyDescent="0.2">
      <c r="AU9673"/>
      <c r="AV9673"/>
      <c r="AW9673"/>
      <c r="AX9673"/>
      <c r="AY9673"/>
    </row>
    <row r="9674" spans="47:51" x14ac:dyDescent="0.2">
      <c r="AU9674"/>
      <c r="AV9674"/>
      <c r="AW9674"/>
      <c r="AX9674"/>
      <c r="AY9674"/>
    </row>
    <row r="9675" spans="47:51" x14ac:dyDescent="0.2">
      <c r="AU9675"/>
      <c r="AV9675"/>
      <c r="AW9675"/>
      <c r="AX9675"/>
      <c r="AY9675"/>
    </row>
    <row r="9676" spans="47:51" x14ac:dyDescent="0.2">
      <c r="AU9676"/>
      <c r="AV9676"/>
      <c r="AW9676"/>
      <c r="AX9676"/>
      <c r="AY9676"/>
    </row>
    <row r="9677" spans="47:51" x14ac:dyDescent="0.2">
      <c r="AU9677"/>
      <c r="AV9677"/>
      <c r="AW9677"/>
      <c r="AX9677"/>
      <c r="AY9677"/>
    </row>
    <row r="9678" spans="47:51" x14ac:dyDescent="0.2">
      <c r="AU9678"/>
      <c r="AV9678"/>
      <c r="AW9678"/>
      <c r="AX9678"/>
      <c r="AY9678"/>
    </row>
    <row r="9679" spans="47:51" x14ac:dyDescent="0.2">
      <c r="AU9679"/>
      <c r="AV9679"/>
      <c r="AW9679"/>
      <c r="AX9679"/>
      <c r="AY9679"/>
    </row>
    <row r="9680" spans="47:51" x14ac:dyDescent="0.2">
      <c r="AU9680"/>
      <c r="AV9680"/>
      <c r="AW9680"/>
      <c r="AX9680"/>
      <c r="AY9680"/>
    </row>
    <row r="9681" spans="47:51" x14ac:dyDescent="0.2">
      <c r="AU9681"/>
      <c r="AV9681"/>
      <c r="AW9681"/>
      <c r="AX9681"/>
      <c r="AY9681"/>
    </row>
    <row r="9682" spans="47:51" x14ac:dyDescent="0.2">
      <c r="AU9682"/>
      <c r="AV9682"/>
      <c r="AW9682"/>
      <c r="AX9682"/>
      <c r="AY9682"/>
    </row>
    <row r="9683" spans="47:51" x14ac:dyDescent="0.2">
      <c r="AU9683"/>
      <c r="AV9683"/>
      <c r="AW9683"/>
      <c r="AX9683"/>
      <c r="AY9683"/>
    </row>
    <row r="9684" spans="47:51" x14ac:dyDescent="0.2">
      <c r="AU9684"/>
      <c r="AV9684"/>
      <c r="AW9684"/>
      <c r="AX9684"/>
      <c r="AY9684"/>
    </row>
    <row r="9685" spans="47:51" x14ac:dyDescent="0.2">
      <c r="AU9685"/>
      <c r="AV9685"/>
      <c r="AW9685"/>
      <c r="AX9685"/>
      <c r="AY9685"/>
    </row>
    <row r="9686" spans="47:51" x14ac:dyDescent="0.2">
      <c r="AU9686"/>
      <c r="AV9686"/>
      <c r="AW9686"/>
      <c r="AX9686"/>
      <c r="AY9686"/>
    </row>
    <row r="9687" spans="47:51" x14ac:dyDescent="0.2">
      <c r="AU9687"/>
      <c r="AV9687"/>
      <c r="AW9687"/>
      <c r="AX9687"/>
      <c r="AY9687"/>
    </row>
    <row r="9688" spans="47:51" x14ac:dyDescent="0.2">
      <c r="AU9688"/>
      <c r="AV9688"/>
      <c r="AW9688"/>
      <c r="AX9688"/>
      <c r="AY9688"/>
    </row>
    <row r="9689" spans="47:51" x14ac:dyDescent="0.2">
      <c r="AU9689"/>
      <c r="AV9689"/>
      <c r="AW9689"/>
      <c r="AX9689"/>
      <c r="AY9689"/>
    </row>
    <row r="9690" spans="47:51" x14ac:dyDescent="0.2">
      <c r="AU9690"/>
      <c r="AV9690"/>
      <c r="AW9690"/>
      <c r="AX9690"/>
      <c r="AY9690"/>
    </row>
    <row r="9691" spans="47:51" x14ac:dyDescent="0.2">
      <c r="AU9691"/>
      <c r="AV9691"/>
      <c r="AW9691"/>
      <c r="AX9691"/>
      <c r="AY9691"/>
    </row>
    <row r="9692" spans="47:51" x14ac:dyDescent="0.2">
      <c r="AU9692"/>
      <c r="AV9692"/>
      <c r="AW9692"/>
      <c r="AX9692"/>
      <c r="AY9692"/>
    </row>
    <row r="9693" spans="47:51" x14ac:dyDescent="0.2">
      <c r="AU9693"/>
      <c r="AV9693"/>
      <c r="AW9693"/>
      <c r="AX9693"/>
      <c r="AY9693"/>
    </row>
    <row r="9694" spans="47:51" x14ac:dyDescent="0.2">
      <c r="AU9694"/>
      <c r="AV9694"/>
      <c r="AW9694"/>
      <c r="AX9694"/>
      <c r="AY9694"/>
    </row>
    <row r="9695" spans="47:51" x14ac:dyDescent="0.2">
      <c r="AU9695"/>
      <c r="AV9695"/>
      <c r="AW9695"/>
      <c r="AX9695"/>
      <c r="AY9695"/>
    </row>
    <row r="9696" spans="47:51" x14ac:dyDescent="0.2">
      <c r="AU9696"/>
      <c r="AV9696"/>
      <c r="AW9696"/>
      <c r="AX9696"/>
      <c r="AY9696"/>
    </row>
    <row r="9697" spans="47:51" x14ac:dyDescent="0.2">
      <c r="AU9697"/>
      <c r="AV9697"/>
      <c r="AW9697"/>
      <c r="AX9697"/>
      <c r="AY9697"/>
    </row>
    <row r="9698" spans="47:51" x14ac:dyDescent="0.2">
      <c r="AU9698"/>
      <c r="AV9698"/>
      <c r="AW9698"/>
      <c r="AX9698"/>
      <c r="AY9698"/>
    </row>
    <row r="9699" spans="47:51" x14ac:dyDescent="0.2">
      <c r="AU9699"/>
      <c r="AV9699"/>
      <c r="AW9699"/>
      <c r="AX9699"/>
      <c r="AY9699"/>
    </row>
    <row r="9700" spans="47:51" x14ac:dyDescent="0.2">
      <c r="AU9700"/>
      <c r="AV9700"/>
      <c r="AW9700"/>
      <c r="AX9700"/>
      <c r="AY9700"/>
    </row>
    <row r="9701" spans="47:51" x14ac:dyDescent="0.2">
      <c r="AU9701"/>
      <c r="AV9701"/>
      <c r="AW9701"/>
      <c r="AX9701"/>
      <c r="AY9701"/>
    </row>
    <row r="9702" spans="47:51" x14ac:dyDescent="0.2">
      <c r="AU9702"/>
      <c r="AV9702"/>
      <c r="AW9702"/>
      <c r="AX9702"/>
      <c r="AY9702"/>
    </row>
    <row r="9703" spans="47:51" x14ac:dyDescent="0.2">
      <c r="AU9703"/>
      <c r="AV9703"/>
      <c r="AW9703"/>
      <c r="AX9703"/>
      <c r="AY9703"/>
    </row>
    <row r="9704" spans="47:51" x14ac:dyDescent="0.2">
      <c r="AU9704"/>
      <c r="AV9704"/>
      <c r="AW9704"/>
      <c r="AX9704"/>
      <c r="AY9704"/>
    </row>
    <row r="9705" spans="47:51" x14ac:dyDescent="0.2">
      <c r="AU9705"/>
      <c r="AV9705"/>
      <c r="AW9705"/>
      <c r="AX9705"/>
      <c r="AY9705"/>
    </row>
    <row r="9706" spans="47:51" x14ac:dyDescent="0.2">
      <c r="AU9706"/>
      <c r="AV9706"/>
      <c r="AW9706"/>
      <c r="AX9706"/>
      <c r="AY9706"/>
    </row>
    <row r="9707" spans="47:51" x14ac:dyDescent="0.2">
      <c r="AU9707"/>
      <c r="AV9707"/>
      <c r="AW9707"/>
      <c r="AX9707"/>
      <c r="AY9707"/>
    </row>
    <row r="9708" spans="47:51" x14ac:dyDescent="0.2">
      <c r="AU9708"/>
      <c r="AV9708"/>
      <c r="AW9708"/>
      <c r="AX9708"/>
      <c r="AY9708"/>
    </row>
    <row r="9709" spans="47:51" x14ac:dyDescent="0.2">
      <c r="AU9709"/>
      <c r="AV9709"/>
      <c r="AW9709"/>
      <c r="AX9709"/>
      <c r="AY9709"/>
    </row>
    <row r="9710" spans="47:51" x14ac:dyDescent="0.2">
      <c r="AU9710"/>
      <c r="AV9710"/>
      <c r="AW9710"/>
      <c r="AX9710"/>
      <c r="AY9710"/>
    </row>
    <row r="9711" spans="47:51" x14ac:dyDescent="0.2">
      <c r="AU9711"/>
      <c r="AV9711"/>
      <c r="AW9711"/>
      <c r="AX9711"/>
      <c r="AY9711"/>
    </row>
    <row r="9712" spans="47:51" x14ac:dyDescent="0.2">
      <c r="AU9712"/>
      <c r="AV9712"/>
      <c r="AW9712"/>
      <c r="AX9712"/>
      <c r="AY9712"/>
    </row>
    <row r="9713" spans="47:51" x14ac:dyDescent="0.2">
      <c r="AU9713"/>
      <c r="AV9713"/>
      <c r="AW9713"/>
      <c r="AX9713"/>
      <c r="AY9713"/>
    </row>
    <row r="9714" spans="47:51" x14ac:dyDescent="0.2">
      <c r="AU9714"/>
      <c r="AV9714"/>
      <c r="AW9714"/>
      <c r="AX9714"/>
      <c r="AY9714"/>
    </row>
    <row r="9715" spans="47:51" x14ac:dyDescent="0.2">
      <c r="AU9715"/>
      <c r="AV9715"/>
      <c r="AW9715"/>
      <c r="AX9715"/>
      <c r="AY9715"/>
    </row>
    <row r="9716" spans="47:51" x14ac:dyDescent="0.2">
      <c r="AU9716"/>
      <c r="AV9716"/>
      <c r="AW9716"/>
      <c r="AX9716"/>
      <c r="AY9716"/>
    </row>
    <row r="9717" spans="47:51" x14ac:dyDescent="0.2">
      <c r="AU9717"/>
      <c r="AV9717"/>
      <c r="AW9717"/>
      <c r="AX9717"/>
      <c r="AY9717"/>
    </row>
    <row r="9718" spans="47:51" x14ac:dyDescent="0.2">
      <c r="AU9718"/>
      <c r="AV9718"/>
      <c r="AW9718"/>
      <c r="AX9718"/>
      <c r="AY9718"/>
    </row>
  </sheetData>
  <sheetProtection formatCells="0" formatColumns="0" formatRows="0" insertColumns="0" insertRows="0" insertHyperlinks="0" deleteColumns="0" deleteRows="0" sort="0" autoFilter="0" pivotTables="0"/>
  <phoneticPr fontId="15" type="noConversion"/>
  <dataValidations count="19">
    <dataValidation type="list" allowBlank="1" showInputMessage="1" showErrorMessage="1" errorTitle="Vælg fra listen" error="Vælg et observationssæt fra listen (baseret på overskrifterne i datatabellen)" promptTitle="Vælg et observationssæt" prompt="Vælg et observationssæt fra listen i drop-down menuen (baseret på overskrifterne i data arket)." sqref="B5" xr:uid="{2C601342-4564-4D84-8007-813212F25AB7}">
      <formula1>DataTitel_liste</formula1>
    </dataValidation>
    <dataValidation allowBlank="1" showInputMessage="1" showErrorMessage="1" promptTitle="Antal observationer" prompt="Antal observationer i det valgte observationssæt." sqref="B30" xr:uid="{248A2953-F291-4F2C-B66C-46EBC4E82B1C}"/>
    <dataValidation allowBlank="1" showInputMessage="1" showErrorMessage="1" promptTitle="Gennemsnit" prompt="Gennemsnit i det valgte observationssæt. _x000a_Forudsætter at data typen er interval." sqref="B31" xr:uid="{D60ED3C7-1A85-48EE-A7A8-7B930CAF7A0E}"/>
    <dataValidation allowBlank="1" showInputMessage="1" showErrorMessage="1" promptTitle="Standardafvigelse" prompt="Standardafvigelse i det valgte observationssæt. _x000a_Forudsætter at data typen er interval." sqref="B32" xr:uid="{07831D72-C382-4062-A739-0D237B91EF19}"/>
    <dataValidation allowBlank="1" showInputMessage="1" showErrorMessage="1" promptTitle="Andel" prompt="Andel i det valgte observationssæt. _x000a_Forudsætter at data typen er nominal, hvor succes er TRUE og øvrige værdier er FALSE. Lokal variant af TRUE/FALSE anvendes, hvis Excel sproget ikke er engelsk, fx (SAND/FALSK)." sqref="B34" xr:uid="{B05798C3-BE52-4035-904A-CCB8D8322F4A}"/>
    <dataValidation allowBlank="1" showInputMessage="1" showErrorMessage="1" promptTitle="Intensitet" prompt="Intensitet i det valgte observationssæt. _x000a_Forudsætter at data typen er antal successer observeret indenfor lige store tidsintervaller." sqref="B35" xr:uid="{9425AC8D-29A9-4746-966B-CF85538CDD40}"/>
    <dataValidation allowBlank="1" showInputMessage="1" showErrorMessage="1" promptTitle="Median" prompt="Median i det valgte observationssæt. _x000a_Forudsætter at data typen er ordinal eller interval." sqref="B38" xr:uid="{6DAD40A4-E29B-410B-B31B-940177480BFF}"/>
    <dataValidation allowBlank="1" showInputMessage="1" showErrorMessage="1" promptTitle="Typetal" prompt="Typetal i det valgte observationssæt. _x000a_Forudsætter at data typen er tal, hvor mindst 2 er ens." sqref="B41" xr:uid="{0C75FAA2-EB30-4760-B092-268212161ED4}"/>
    <dataValidation allowBlank="1" showInputMessage="1" showErrorMessage="1" promptTitle="Variationsbredde" prompt="Variationsbredde i det valgte observationssæt. _x000a_Forudsætter at data typen er ordinal eller interval." sqref="B42" xr:uid="{437F9502-3E02-41E4-AB05-701E5225BC72}"/>
    <dataValidation allowBlank="1" showInputMessage="1" showErrorMessage="1" promptTitle="Interkvartilbredde" prompt="Interkvartilbredde i det valgte observationssæt. _x000a_Forudsætter at data typen er ordinal eller interval." sqref="B43" xr:uid="{98B282D7-AD43-4712-8906-4640486C0114}"/>
    <dataValidation allowBlank="1" showInputMessage="1" showErrorMessage="1" promptTitle="Afrundet simpel brøk" prompt="Afrundet simpel brøk i det valgte observationssæt. _x000a_Forudsætter at data typen er nominal, hvor succes er TRUE og øvrige værdier er FALSE. Lokal variant af TRUE/FALSE anvendes, hvis Excel sproget ikke er engelsk, fx (SAND/FALSK)." sqref="B44" xr:uid="{AA822D92-CE89-4889-8DCB-824AA4DD9325}"/>
    <dataValidation allowBlank="1" showInputMessage="1" showErrorMessage="1" promptTitle="Uforkortet simpel brøk" prompt="Uforkortet simpel brøk i det valgte observationssæt. _x000a_Forudsætter at data typen er nominal, hvor succes er TRUE og øvrige værdier er FALSE. Lokal variant af TRUE/FALSE anvendes, hvis Excel sproget ikke er engelsk, fx (SAND/FALSK)." sqref="B45" xr:uid="{F18A4F5D-DFA0-4745-B7BC-0F2B29D93336}"/>
    <dataValidation allowBlank="1" showInputMessage="1" showErrorMessage="1" promptTitle="Varians" prompt="Varians i det valgte observationssæt. _x000a_Forudsætter at data typen er interval." sqref="B33" xr:uid="{5BFD0F85-B8AD-417D-AE8B-713B24BD4DA9}"/>
    <dataValidation allowBlank="1" showInputMessage="1" showErrorMessage="1" promptTitle="Skævhed" prompt="Skævhed i det valgte observationssæt._x000a_Forudsætter at data typen er interval." sqref="B46" xr:uid="{2838B55D-E9B8-4478-83F8-412B9B187555}"/>
    <dataValidation allowBlank="1" showInputMessage="1" showErrorMessage="1" promptTitle="Minimum" prompt="Minimum for det valgte observationssæt._x000a_Forudsætter at data typen er interval." sqref="B36" xr:uid="{E8BDF522-0B1C-4F42-943F-273E0DB25020}"/>
    <dataValidation allowBlank="1" showInputMessage="1" showErrorMessage="1" promptTitle="Maksimum" prompt="Maksimum i det valgte observationssæt._x000a_Forudsætter at data typen er interval." sqref="B40" xr:uid="{59D171F7-7B43-400B-AA94-13A6505754CB}"/>
    <dataValidation allowBlank="1" showInputMessage="1" showErrorMessage="1" promptTitle="Nedre kvartil" prompt="Nedre kvartil i observationssættet._x000a_Forudsætter at data typen er ordinal eller interval." sqref="B37" xr:uid="{DBB1C6D2-906A-4BE3-A999-3D8DD2A6B008}"/>
    <dataValidation allowBlank="1" showInputMessage="1" showErrorMessage="1" promptTitle="Øvre kvartil" prompt="Øvre kvartil i det valgte observationssæt._x000a_Forudsætter at data typen er ordinal eller interval." sqref="B39" xr:uid="{BB05FD2E-1FBE-4A2C-BD70-CB4C2A79F9F7}"/>
    <dataValidation allowBlank="1" showInputMessage="1" showErrorMessage="1" promptTitle="Kurtosis" prompt="Kurtosis i det valgte observationssæt._x000a_Forudsætter at data typen er interval." sqref="B47" xr:uid="{06E63793-7A2D-4BA7-95C7-433AF31CF3C6}"/>
  </dataValidations>
  <hyperlinks>
    <hyperlink ref="B1" location="V_Manual_Beskrivende_Statistik" display="Gå til Manual i brug af Beskrivende Statistik arket                                     " xr:uid="{2CCA6D64-383A-43DF-87BC-180AF5C98DDB}"/>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1" r:id="rId4" name="Histogram intervalspinner">
              <controlPr defaultSize="0" print="0" autoPict="0">
                <anchor>
                  <from>
                    <xdr:col>7</xdr:col>
                    <xdr:colOff>828675</xdr:colOff>
                    <xdr:row>8</xdr:row>
                    <xdr:rowOff>152400</xdr:rowOff>
                  </from>
                  <to>
                    <xdr:col>7</xdr:col>
                    <xdr:colOff>1133475</xdr:colOff>
                    <xdr:row>11</xdr:row>
                    <xdr:rowOff>114300</xdr:rowOff>
                  </to>
                </anchor>
              </controlPr>
            </control>
          </mc:Choice>
        </mc:AlternateContent>
        <mc:AlternateContent xmlns:mc="http://schemas.openxmlformats.org/markup-compatibility/2006">
          <mc:Choice Requires="x14">
            <control shapeId="2082" r:id="rId5" name="Spinner 34">
              <controlPr defaultSize="0" print="0" autoPict="0">
                <anchor>
                  <from>
                    <xdr:col>11</xdr:col>
                    <xdr:colOff>504825</xdr:colOff>
                    <xdr:row>25</xdr:row>
                    <xdr:rowOff>66675</xdr:rowOff>
                  </from>
                  <to>
                    <xdr:col>11</xdr:col>
                    <xdr:colOff>819150</xdr:colOff>
                    <xdr:row>28</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1D040-3D04-489D-B764-A336F025847F}">
  <sheetPr codeName="Sheet8">
    <tabColor theme="5"/>
  </sheetPr>
  <dimension ref="A1:BC663"/>
  <sheetViews>
    <sheetView showGridLines="0" zoomScaleNormal="100" workbookViewId="0"/>
  </sheetViews>
  <sheetFormatPr defaultColWidth="9" defaultRowHeight="14.25" x14ac:dyDescent="0.2"/>
  <cols>
    <col min="1" max="2" width="36.75" style="42" customWidth="1"/>
    <col min="3" max="3" width="4.75" style="42" customWidth="1"/>
    <col min="4" max="5" width="36.75" style="42" customWidth="1"/>
    <col min="6" max="6" width="4.75" style="42" customWidth="1"/>
    <col min="7" max="8" width="36.75" style="42" customWidth="1"/>
    <col min="9" max="18" width="9" style="42"/>
    <col min="19" max="19" width="4.75" style="42" customWidth="1"/>
    <col min="20" max="20" width="13.5" style="54" bestFit="1" customWidth="1"/>
    <col min="21" max="21" width="13.25" style="54" bestFit="1" customWidth="1"/>
    <col min="22" max="22" width="14.25" style="54" bestFit="1" customWidth="1"/>
    <col min="23" max="23" width="10.25" style="54" bestFit="1" customWidth="1"/>
    <col min="24" max="24" width="12" style="54" customWidth="1"/>
    <col min="25" max="26" width="11" style="54" customWidth="1"/>
    <col min="27" max="27" width="12.625" style="54" bestFit="1" customWidth="1"/>
    <col min="28" max="28" width="19.375" style="54" bestFit="1" customWidth="1"/>
    <col min="29" max="29" width="18.875" style="54" bestFit="1" customWidth="1"/>
    <col min="30" max="30" width="9" style="54" customWidth="1"/>
    <col min="31" max="31" width="18.125" style="54" bestFit="1" customWidth="1"/>
    <col min="32" max="32" width="13.25" style="54" bestFit="1" customWidth="1"/>
    <col min="33" max="33" width="14.25" style="54" bestFit="1" customWidth="1"/>
    <col min="34" max="34" width="10.25" style="54" bestFit="1" customWidth="1"/>
    <col min="35" max="36" width="12" style="54" customWidth="1"/>
    <col min="37" max="39" width="11" style="54" customWidth="1"/>
    <col min="40" max="40" width="12.625" style="54" bestFit="1" customWidth="1"/>
    <col min="41" max="41" width="19.375" style="54" bestFit="1" customWidth="1"/>
    <col min="42" max="42" width="18.875" style="54" bestFit="1" customWidth="1"/>
    <col min="43" max="43" width="9" style="54" customWidth="1"/>
    <col min="44" max="44" width="13.5" style="54" bestFit="1" customWidth="1"/>
    <col min="45" max="45" width="13.25" style="54" bestFit="1" customWidth="1"/>
    <col min="46" max="46" width="14.25" style="54" bestFit="1" customWidth="1"/>
    <col min="47" max="47" width="12" style="54" bestFit="1" customWidth="1"/>
    <col min="48" max="49" width="12" style="54" customWidth="1"/>
    <col min="50" max="52" width="11" style="54" customWidth="1"/>
    <col min="53" max="53" width="12.625" style="54" bestFit="1" customWidth="1"/>
    <col min="54" max="54" width="19.375" style="54" bestFit="1" customWidth="1"/>
    <col min="55" max="55" width="18.875" style="54" bestFit="1" customWidth="1"/>
    <col min="56" max="16384" width="9" style="42"/>
  </cols>
  <sheetData>
    <row r="1" spans="1:55" s="44" customFormat="1" ht="18.75" x14ac:dyDescent="0.2">
      <c r="A1" s="81" t="s">
        <v>338</v>
      </c>
      <c r="B1" s="82" t="s">
        <v>342</v>
      </c>
      <c r="C1" s="42"/>
      <c r="D1" s="42"/>
      <c r="G1" s="42"/>
      <c r="T1" s="53"/>
      <c r="U1" s="53"/>
      <c r="V1" s="53"/>
      <c r="W1" s="53"/>
      <c r="X1" s="53"/>
      <c r="Y1" s="54"/>
      <c r="Z1" s="54"/>
      <c r="AA1" s="54"/>
      <c r="AB1" s="54"/>
      <c r="AC1" s="53"/>
      <c r="AD1" s="53"/>
      <c r="AE1" s="53"/>
      <c r="AF1" s="53"/>
      <c r="AG1" s="53"/>
      <c r="AH1" s="53"/>
      <c r="AI1" s="53"/>
      <c r="AJ1" s="53"/>
      <c r="AK1" s="54"/>
      <c r="AL1" s="54"/>
      <c r="AM1" s="54"/>
      <c r="AN1" s="54"/>
      <c r="AO1" s="54"/>
      <c r="AP1" s="53"/>
      <c r="AQ1" s="53"/>
      <c r="AR1" s="53"/>
      <c r="AS1" s="53"/>
      <c r="AT1" s="53"/>
      <c r="AU1" s="53"/>
      <c r="AV1" s="53"/>
      <c r="AW1" s="53"/>
      <c r="AX1" s="54"/>
      <c r="AY1" s="54"/>
      <c r="AZ1" s="54"/>
      <c r="BA1" s="54"/>
      <c r="BB1" s="54"/>
      <c r="BC1" s="53"/>
    </row>
    <row r="2" spans="1:55" x14ac:dyDescent="0.2">
      <c r="A2" s="45" t="s">
        <v>427</v>
      </c>
    </row>
    <row r="4" spans="1:55" x14ac:dyDescent="0.2">
      <c r="A4" s="57" t="s">
        <v>340</v>
      </c>
      <c r="B4" s="58" t="s">
        <v>373</v>
      </c>
      <c r="D4" s="57" t="s">
        <v>341</v>
      </c>
      <c r="E4" s="58" t="s">
        <v>373</v>
      </c>
      <c r="G4" s="57" t="s">
        <v>486</v>
      </c>
      <c r="H4" s="58" t="s">
        <v>373</v>
      </c>
      <c r="T4" s="54" t="s">
        <v>343</v>
      </c>
      <c r="U4" s="60">
        <f>MAX(S_normal[Indeks (base 0)])</f>
        <v>258</v>
      </c>
      <c r="AB4" s="54" t="s">
        <v>325</v>
      </c>
      <c r="AC4" s="98" t="str">
        <f>ROUND(U6,5)*100&amp;"%
mindre end
"&amp;ROUND(U5,3)</f>
        <v>100%
mindre end
45.445</v>
      </c>
      <c r="AE4" s="54" t="s">
        <v>415</v>
      </c>
      <c r="AF4" s="60">
        <f>MAX(S_binomial[Indeks (base 0)])</f>
        <v>650</v>
      </c>
      <c r="AG4" s="54" t="s">
        <v>357</v>
      </c>
      <c r="AH4" s="83">
        <f>_xlfn.BINOM.DIST(AF5,E5,E6,TRUE)-_xlfn.BINOM.DIST(AF5,E5,E6,FALSE)</f>
        <v>0.20027407008000009</v>
      </c>
      <c r="AM4" s="54" t="s">
        <v>325</v>
      </c>
      <c r="AN4" s="98" t="str">
        <f>ROUND(AH4,5)*100&amp;"%
mindre end "&amp;AF5</f>
        <v>20.027%
mindre end 5</v>
      </c>
      <c r="AO4" s="54" t="s">
        <v>354</v>
      </c>
      <c r="AP4" s="60">
        <f>INDEX(S_binomial[Binomialfordeling],AN7)</f>
        <v>4.261871040000002E-3</v>
      </c>
      <c r="AR4" s="54" t="s">
        <v>343</v>
      </c>
      <c r="AS4" s="60">
        <f>MAX(S_normal27[Indeks (base 0)])</f>
        <v>650</v>
      </c>
      <c r="AT4" s="54" t="s">
        <v>357</v>
      </c>
      <c r="AU4" s="83">
        <f>_xlfn.POISSON.DIST(AS5,$H$5,TRUE)-_xlfn.POISSON.DIST(AS5,$H$5,FALSE)</f>
        <v>0.19914827347145567</v>
      </c>
      <c r="AZ4" s="54" t="s">
        <v>325</v>
      </c>
      <c r="BA4" s="98" t="str">
        <f>ROUND(AU4,5)*100&amp;"%
 mindre end "&amp;AS5</f>
        <v>19.915%
 mindre end 2</v>
      </c>
      <c r="BB4" s="54" t="s">
        <v>354</v>
      </c>
      <c r="BC4" s="60">
        <f>INDEX(S_normal27[Poissonfordeling],BA7)</f>
        <v>0.14936120510359185</v>
      </c>
    </row>
    <row r="5" spans="1:55" x14ac:dyDescent="0.2">
      <c r="A5" s="58" t="s">
        <v>0</v>
      </c>
      <c r="B5" s="77">
        <v>20</v>
      </c>
      <c r="D5" s="58" t="s">
        <v>356</v>
      </c>
      <c r="E5" s="97">
        <v>6</v>
      </c>
      <c r="G5" s="58" t="s">
        <v>3</v>
      </c>
      <c r="H5" s="77">
        <v>3</v>
      </c>
      <c r="T5" s="54" t="s">
        <v>124</v>
      </c>
      <c r="U5" s="60">
        <f>IF(ISBLANK(B8),B7,IF(ISBLANK(B7),_xlfn.NORM.INV(B8,B5,B6),NA()))</f>
        <v>45.44536355878968</v>
      </c>
      <c r="AB5" s="54" t="s">
        <v>327</v>
      </c>
      <c r="AC5" s="98" t="str">
        <f>ROUND(1-U6,5)*100&amp;"%
større end
"&amp;ROUND(U5,3)</f>
        <v>0%
større end
45.445</v>
      </c>
      <c r="AE5" s="54" t="s">
        <v>124</v>
      </c>
      <c r="AF5" s="60">
        <f>IF(ISBLANK(E8),E7,IF(ISBLANK(E7),_xlfn.BINOM.INV(E5,E6,E8),NA()))</f>
        <v>5</v>
      </c>
      <c r="AG5" s="54" t="s">
        <v>358</v>
      </c>
      <c r="AH5" s="98">
        <f>_xlfn.BINOM.DIST(AF5,E5,E6,FALSE)</f>
        <v>0.39515869478400001</v>
      </c>
      <c r="AM5" s="54" t="s">
        <v>326</v>
      </c>
      <c r="AN5" s="98" t="str">
        <f>ROUND(AH5,5)*100&amp;"%
lig med "&amp;AF5</f>
        <v>39.516%
lig med 5</v>
      </c>
      <c r="AO5" s="54" t="s">
        <v>365</v>
      </c>
      <c r="AP5" s="60">
        <f>INDEX(S_binomial[Binomialfordeling],AN8)</f>
        <v>0.39515869478400001</v>
      </c>
      <c r="AR5" s="54" t="s">
        <v>124</v>
      </c>
      <c r="AS5" s="60">
        <f>IFERROR(H6,NA())</f>
        <v>2</v>
      </c>
      <c r="AT5" s="54" t="s">
        <v>358</v>
      </c>
      <c r="AU5" s="98">
        <f>_xlfn.POISSON.DIST(AS5,$H$5,FALSE)</f>
        <v>0.22404180765538775</v>
      </c>
      <c r="AZ5" s="54" t="s">
        <v>326</v>
      </c>
      <c r="BA5" s="98" t="str">
        <f>ROUND(AU5,5)*100&amp;"%
 lig med "&amp;AS5</f>
        <v>22.404%
 lig med 2</v>
      </c>
      <c r="BB5" s="54" t="s">
        <v>365</v>
      </c>
      <c r="BC5" s="60">
        <f>INDEX(S_normal27[Poissonfordeling],BA8)</f>
        <v>0.22404180765538775</v>
      </c>
    </row>
    <row r="6" spans="1:55" x14ac:dyDescent="0.2">
      <c r="A6" s="58" t="s">
        <v>1</v>
      </c>
      <c r="B6" s="77">
        <v>4</v>
      </c>
      <c r="D6" s="58" t="s">
        <v>338</v>
      </c>
      <c r="E6" s="78">
        <v>0.86</v>
      </c>
      <c r="G6" s="58" t="s">
        <v>114</v>
      </c>
      <c r="H6" s="97">
        <v>2</v>
      </c>
      <c r="T6" s="54" t="s">
        <v>338</v>
      </c>
      <c r="U6" s="83">
        <f>IF(ISBLANK(B8),_xlfn.NORM.DIST(B7,B5,B6,TRUE),IF(ISBLANK(B7),B8,NA()))</f>
        <v>0.99999999989999999</v>
      </c>
      <c r="AB6" s="54" t="s">
        <v>352</v>
      </c>
      <c r="AC6" s="60">
        <f>ROUND(_xlfn.AGGREGATE(2,6,S_normal[Venstre])/2,0)</f>
        <v>130</v>
      </c>
      <c r="AE6" s="54" t="s">
        <v>338</v>
      </c>
      <c r="AF6" s="83">
        <f>IF(ISBLANK(E8),_xlfn.BINOM.DIST(E7,E5,E6,TRUE),IF(ISBLANK(E7),E8,NA()))</f>
        <v>0.4</v>
      </c>
      <c r="AG6" s="54" t="s">
        <v>359</v>
      </c>
      <c r="AH6" s="83">
        <f>1-_xlfn.BINOM.DIST(AF5,E5,E6,TRUE)</f>
        <v>0.4045672351359999</v>
      </c>
      <c r="AM6" s="54" t="s">
        <v>327</v>
      </c>
      <c r="AN6" s="60" t="str">
        <f>ROUND(AH6,5)*100&amp;"%
større end "&amp;AF5</f>
        <v>40.457%
større end 5</v>
      </c>
      <c r="AO6" s="54" t="s">
        <v>355</v>
      </c>
      <c r="AP6" s="60">
        <f>INDEX(S_binomial[Binomialfordeling],AN9)</f>
        <v>0.40456723513599996</v>
      </c>
      <c r="AT6" s="54" t="s">
        <v>359</v>
      </c>
      <c r="AU6" s="83">
        <f>1-_xlfn.POISSON.DIST(AS5,$H$5,TRUE)</f>
        <v>0.57680991887315658</v>
      </c>
      <c r="AZ6" s="54" t="s">
        <v>327</v>
      </c>
      <c r="BA6" s="60" t="str">
        <f>ROUND(AU6,5)*100&amp;"%
 større end "&amp;AS5</f>
        <v>57.681%
 større end 2</v>
      </c>
      <c r="BB6" s="54" t="s">
        <v>355</v>
      </c>
      <c r="BC6" s="60">
        <f>INDEX(S_normal27[Poissonfordeling],BA9)</f>
        <v>0.22404180765538778</v>
      </c>
    </row>
    <row r="7" spans="1:55" x14ac:dyDescent="0.2">
      <c r="A7" s="58" t="s">
        <v>114</v>
      </c>
      <c r="B7" s="77"/>
      <c r="D7" s="58" t="s">
        <v>114</v>
      </c>
      <c r="E7" s="97"/>
      <c r="T7" s="54" t="s">
        <v>346</v>
      </c>
      <c r="U7" s="60">
        <f>IF(ISBLANK(B7),(U5-B5)/B6,IF(ISBLANK(B8),(B7-B5)/B6,NA()))</f>
        <v>6.36134088969742</v>
      </c>
      <c r="AB7" s="54" t="s">
        <v>353</v>
      </c>
      <c r="AC7" s="60">
        <f>IF((ROUND((U4-((U7-U$8)/(U$9-U$8)*U$4))/2+((U7-U$8)/(U$9-U$8)*U$4),0)+1)&lt;=0,1,IF((ROUND((U4-((U7-U$8)/(U$9-U$8)*U$4))/2+((U7-U$8)/(U$9-U$8)*U$4),0)+1)&gt;=U4,U4,ROUND((U4-((U7-U$8)/(U$9-U$8)*U$4))/2+((U7-U$8)/(U$9-U$8)*U$4),0)+1))</f>
        <v>258</v>
      </c>
      <c r="AE7" s="54" t="s">
        <v>362</v>
      </c>
      <c r="AF7" s="80">
        <f>IF(ISNA(AF5),NA(),ROUNDDOWN(AF4/(E5+1),0))</f>
        <v>92</v>
      </c>
      <c r="AK7" s="54" t="s">
        <v>352</v>
      </c>
      <c r="AL7" s="60">
        <f>ROUNDDOWN(AF5/2,0)*AF7+1+ROUNDDOWN(AF7/2,0)</f>
        <v>231</v>
      </c>
      <c r="AM7" s="54" t="s">
        <v>352</v>
      </c>
      <c r="AN7" s="60">
        <f>IF(AL7=AL8,NA(),AL7)</f>
        <v>231</v>
      </c>
      <c r="AR7" s="54" t="s">
        <v>489</v>
      </c>
      <c r="AS7" s="60">
        <f>MAX(ROUNDUP(H5*3,0)+1,AS5+2)</f>
        <v>10</v>
      </c>
      <c r="AX7" s="54" t="s">
        <v>352</v>
      </c>
      <c r="AY7" s="60">
        <f>ROUNDDOWN(AS5/2,0)*AS8+1+ROUNDDOWN(AS8/2,0)</f>
        <v>98</v>
      </c>
      <c r="AZ7" s="54" t="s">
        <v>352</v>
      </c>
      <c r="BA7" s="60">
        <f>IF(AY7=AY8,NA(),AY7)</f>
        <v>98</v>
      </c>
      <c r="BB7" s="42"/>
      <c r="BC7" s="42"/>
    </row>
    <row r="8" spans="1:55" x14ac:dyDescent="0.2">
      <c r="A8" s="58" t="s">
        <v>339</v>
      </c>
      <c r="B8" s="78">
        <v>0.99999999989999999</v>
      </c>
      <c r="D8" s="58" t="s">
        <v>339</v>
      </c>
      <c r="E8" s="78">
        <v>0.4</v>
      </c>
      <c r="T8" s="54" t="s">
        <v>30</v>
      </c>
      <c r="U8" s="60">
        <f>_xlfn.NORM.INV(0.001,0,1)</f>
        <v>-3.0902323061678132</v>
      </c>
      <c r="AB8" s="54" t="s">
        <v>354</v>
      </c>
      <c r="AC8" s="60">
        <f>INDEX(S_normal[Normalfordeling],AC6)</f>
        <v>0.3989422804014327</v>
      </c>
      <c r="AE8" s="84" t="s">
        <v>363</v>
      </c>
      <c r="AF8" s="79">
        <f>AF7*(E5+1)</f>
        <v>644</v>
      </c>
      <c r="AK8" s="54" t="s">
        <v>320</v>
      </c>
      <c r="AL8" s="60">
        <f>AF5*AF7+1+ROUNDDOWN(AF7/2,0)</f>
        <v>507</v>
      </c>
      <c r="AM8" s="54" t="s">
        <v>320</v>
      </c>
      <c r="AN8" s="60">
        <f>AL8</f>
        <v>507</v>
      </c>
      <c r="AR8" s="54" t="s">
        <v>362</v>
      </c>
      <c r="AS8" s="80">
        <f>IF(ISNA(AS5),NA(),ROUNDDOWN(AS4/(AS7),0))</f>
        <v>65</v>
      </c>
      <c r="AX8" s="54" t="s">
        <v>320</v>
      </c>
      <c r="AY8" s="60">
        <f>AS5*AS8+1+ROUNDDOWN(AS8/2,0)</f>
        <v>163</v>
      </c>
      <c r="AZ8" s="54" t="s">
        <v>320</v>
      </c>
      <c r="BA8" s="60">
        <f>AY8</f>
        <v>163</v>
      </c>
      <c r="BB8" s="42"/>
      <c r="BC8" s="42"/>
    </row>
    <row r="9" spans="1:55" x14ac:dyDescent="0.2">
      <c r="T9" s="54" t="s">
        <v>31</v>
      </c>
      <c r="U9" s="60">
        <f>_xlfn.NORM.INV(0.999,0,1)</f>
        <v>3.0902323061678132</v>
      </c>
      <c r="AB9" s="54" t="s">
        <v>355</v>
      </c>
      <c r="AC9" s="60">
        <f>INDEX(S_normal[Normalfordeling],AC7)</f>
        <v>3.6247646909920261E-3</v>
      </c>
      <c r="AE9" s="54" t="s">
        <v>53</v>
      </c>
      <c r="AF9" s="60" t="str">
        <f>IFERROR("Binomialfordeling
(Antal forsøg: "&amp;ROUND(E5,0)&amp;" ; Chance for succes: "&amp;ROUND(E6,5)*100&amp;"%)
 P(k &lt; "&amp;AF5&amp;") = "&amp;ROUND(AH4,5)*100&amp;"%
 P(k = "&amp;AF5&amp;") = "&amp;ROUND(AH5,5)*100&amp;"%
 P(k &gt; "&amp;AF5&amp;") = "&amp;ROUND(AH6,5)*100&amp;"%","Binomialfordeling kan ikke vises")</f>
        <v>Binomialfordeling
(Antal forsøg: 6 ; Chance for succes: 86%)
 P(k &lt; 5) = 20.027%
 P(k = 5) = 39.516%
 P(k &gt; 5) = 40.457%</v>
      </c>
      <c r="AK9" s="54" t="s">
        <v>353</v>
      </c>
      <c r="AL9" s="60">
        <f>ROUNDDOWN((E5-AF5+1)/2,0)*AF7+AN8</f>
        <v>599</v>
      </c>
      <c r="AM9" s="54" t="s">
        <v>353</v>
      </c>
      <c r="AN9" s="60">
        <f>IF(AL8=AL9,NA(),AL9)</f>
        <v>599</v>
      </c>
      <c r="AR9" s="84" t="s">
        <v>363</v>
      </c>
      <c r="AS9" s="79">
        <f>AS8*AS7</f>
        <v>650</v>
      </c>
      <c r="AX9" s="54" t="s">
        <v>353</v>
      </c>
      <c r="AY9" s="60">
        <f>ROUNDDOWN(AS5/2+AS5,0)*AS8+1+ROUNDDOWN(AS8/2,0)</f>
        <v>228</v>
      </c>
      <c r="AZ9" s="54" t="s">
        <v>353</v>
      </c>
      <c r="BA9" s="60">
        <f>IF(AY8=AY9,NA(),AY9)</f>
        <v>228</v>
      </c>
      <c r="BB9" s="42"/>
      <c r="BC9" s="42"/>
    </row>
    <row r="10" spans="1:55" x14ac:dyDescent="0.2">
      <c r="T10" s="54" t="s">
        <v>53</v>
      </c>
      <c r="U10" s="54" t="str">
        <f>IFERROR("Normalfordeling
(Gennemsnit: "&amp;ROUND(B5,3)&amp;" ; Standardafvigelse: "&amp;ROUND(B6,3)&amp;")
x = "&amp;ROUND(U5,3)&amp;" P(x) = "&amp;ROUND(U6,5)*100&amp;"%","Normalfordeling kan ikke vises")</f>
        <v>Normalfordeling
(Gennemsnit: 20 ; Standardafvigelse: 4)
x = 45.445 P(x) = 100%</v>
      </c>
      <c r="AR10" s="54" t="s">
        <v>53</v>
      </c>
      <c r="AS10" s="60" t="str">
        <f>IFERROR("Poissonfordeling
(Intensitet: "&amp;ROUND(H5,0)&amp;")
 P(k &lt; "&amp;AS5&amp;") = "&amp;ROUND(AU4,5)*100&amp;"%
 P(k = "&amp;AS5&amp;") = "&amp;ROUND(AU5,5)*100&amp;"%
 P(k &gt; "&amp;AS5&amp;") = "&amp;ROUND(AU6,5)*100&amp;"%","Poissonfordeling kan ikke vises")</f>
        <v>Poissonfordeling
(Intensitet: 3)
 P(k &lt; 2) = 19.915%
 P(k = 2) = 22.404%
 P(k &gt; 2) = 57.681%</v>
      </c>
    </row>
    <row r="12" spans="1:55" x14ac:dyDescent="0.2">
      <c r="T12" s="54" t="s">
        <v>345</v>
      </c>
      <c r="U12" s="54" t="s">
        <v>351</v>
      </c>
      <c r="V12" s="54" t="s">
        <v>344</v>
      </c>
      <c r="W12" s="54" t="s">
        <v>128</v>
      </c>
      <c r="X12" s="54" t="s">
        <v>349</v>
      </c>
      <c r="Y12" s="54" t="s">
        <v>350</v>
      </c>
      <c r="Z12" s="54" t="s">
        <v>347</v>
      </c>
      <c r="AA12" s="54" t="s">
        <v>348</v>
      </c>
      <c r="AB12" s="54" t="s">
        <v>295</v>
      </c>
      <c r="AC12" s="54" t="s">
        <v>150</v>
      </c>
      <c r="AE12" s="54" t="s">
        <v>345</v>
      </c>
      <c r="AF12" s="54" t="s">
        <v>351</v>
      </c>
      <c r="AG12" s="54" t="s">
        <v>344</v>
      </c>
      <c r="AH12" s="54" t="s">
        <v>360</v>
      </c>
      <c r="AI12" s="54" t="s">
        <v>349</v>
      </c>
      <c r="AJ12" s="54" t="s">
        <v>361</v>
      </c>
      <c r="AK12" s="54" t="s">
        <v>350</v>
      </c>
      <c r="AL12" s="54" t="s">
        <v>347</v>
      </c>
      <c r="AM12" s="54" t="s">
        <v>364</v>
      </c>
      <c r="AN12" s="54" t="s">
        <v>348</v>
      </c>
      <c r="AO12" s="54" t="s">
        <v>295</v>
      </c>
      <c r="AP12" s="54" t="s">
        <v>150</v>
      </c>
      <c r="AR12" s="54" t="s">
        <v>345</v>
      </c>
      <c r="AS12" s="54" t="s">
        <v>351</v>
      </c>
      <c r="AT12" s="54" t="s">
        <v>344</v>
      </c>
      <c r="AU12" s="54" t="s">
        <v>488</v>
      </c>
      <c r="AV12" s="54" t="s">
        <v>349</v>
      </c>
      <c r="AW12" s="54" t="s">
        <v>361</v>
      </c>
      <c r="AX12" s="54" t="s">
        <v>350</v>
      </c>
      <c r="AY12" s="54" t="s">
        <v>347</v>
      </c>
      <c r="AZ12" s="54" t="s">
        <v>364</v>
      </c>
      <c r="BA12" s="54" t="s">
        <v>348</v>
      </c>
      <c r="BB12" s="54" t="s">
        <v>295</v>
      </c>
      <c r="BC12" s="54" t="s">
        <v>150</v>
      </c>
    </row>
    <row r="13" spans="1:55" x14ac:dyDescent="0.2">
      <c r="T13" s="54">
        <f t="shared" ref="T13:T76" si="0">ROW(T13)-ROW(T$13)</f>
        <v>0</v>
      </c>
      <c r="U13" s="54">
        <f>S_normal[[#This Row],[Indeks (base 0)]]+1</f>
        <v>1</v>
      </c>
      <c r="V13" s="54">
        <f t="shared" ref="V13:V29" si="1">U$8+(U$9-U$8)/U$4*T13</f>
        <v>-3.0902323061678132</v>
      </c>
      <c r="W13" s="54">
        <f t="shared" ref="W13:W76" si="2">_xlfn.NORM.DIST(V13,0,1,FALSE)</f>
        <v>3.3670900770639959E-3</v>
      </c>
      <c r="X13" s="99" t="b">
        <f>S_normal[[#This Row],[X base]]&lt;U$7</f>
        <v>1</v>
      </c>
      <c r="Y13" s="99" t="b">
        <f>S_normal[[#This Row],[X base]]&gt;U$7</f>
        <v>0</v>
      </c>
      <c r="Z13" s="99">
        <f>IF(S_normal[[#This Row],[Mindre end]],S_normal[[#This Row],[Normalfordeling]],NA())</f>
        <v>3.3670900770639959E-3</v>
      </c>
      <c r="AA13" s="99" t="e">
        <f>IF(S_normal[[#This Row],[Større end]],S_normal[[#This Row],[Normalfordeling]],NA())</f>
        <v>#N/A</v>
      </c>
      <c r="AB13" s="72" t="str">
        <f>_xlfn.IFNA(IF(S_normal[[#This Row],[Indeks (base 0)]]=ROUND((ROUND(S_normal[[#This Row],[X base]],0)-U$8)/(U$9-U$8)*U$4,0),S_normal[[#This Row],[X base]]*B$6+B$5,""),"")</f>
        <v/>
      </c>
      <c r="AC13" s="99" t="str">
        <f t="shared" ref="AC13:AC29" si="3">_xlfn.SWITCH(U13,AC$6,AC$4,AC$7,AC$5," ")</f>
        <v xml:space="preserve"> </v>
      </c>
      <c r="AE13" s="54">
        <f t="shared" ref="AE13:AE76" si="4">ROW(AE13)-ROW(AE$13)</f>
        <v>0</v>
      </c>
      <c r="AF13" s="54">
        <f>S_binomial[[#This Row],[Indeks (base 0)]]+1</f>
        <v>1</v>
      </c>
      <c r="AG13" s="54">
        <f t="shared" ref="AG13:AG76" si="5">IF(AE13&lt;AF$8,ROUNDDOWN(AE13/AF$7,0),NA())</f>
        <v>0</v>
      </c>
      <c r="AH13" s="54" t="e">
        <f>IF(MOD(S_binomial[[#This Row],[Indeks (base 0)]],AF$7)=0,NA(),_xlfn.BINOM.DIST(S_binomial[[#This Row],[X base]],E$5,E$6,FALSE))</f>
        <v>#N/A</v>
      </c>
      <c r="AI13" s="99" t="b">
        <f>S_binomial[[#This Row],[X base]]&lt;AF$5</f>
        <v>1</v>
      </c>
      <c r="AJ13" s="99" t="b">
        <f>S_binomial[[#This Row],[X base]]=AF$5</f>
        <v>0</v>
      </c>
      <c r="AK13" s="99" t="b">
        <f>S_binomial[[#This Row],[X base]]&gt;AF$5</f>
        <v>0</v>
      </c>
      <c r="AL13" s="99" t="e">
        <f>IF(S_binomial[[#This Row],[Mindre end]],S_binomial[[#This Row],[Binomialfordeling]],NA())</f>
        <v>#N/A</v>
      </c>
      <c r="AM13" s="99" t="e">
        <f>IF(S_binomial[[#This Row],[Lig med]],S_binomial[[#This Row],[Binomialfordeling]],NA())</f>
        <v>#N/A</v>
      </c>
      <c r="AN13" s="99" t="e">
        <f>IF(S_binomial[[#This Row],[Større end]],S_binomial[[#This Row],[Binomialfordeling]],NA())</f>
        <v>#N/A</v>
      </c>
      <c r="AO13" s="85" t="str">
        <f>_xlfn.IFNA(IF(MOD(S_binomial[[#This Row],[Indeks (base 0)]],AF$7)=ROUNDDOWN(AF$7/2,0),S_binomial[[#This Row],[X base]],""),"")</f>
        <v/>
      </c>
      <c r="AP13" s="99" t="str">
        <f t="shared" ref="AP13:AP76" si="6">_xlfn.IFNA(_xlfn.SWITCH(AF13,AN$7,AN$4,AN$8,AN$5,AN$9,AN$6," ")," ")</f>
        <v xml:space="preserve"> </v>
      </c>
      <c r="AR13" s="54">
        <f t="shared" ref="AR13:AR76" si="7">ROW(AR13)-ROW(AR$13)</f>
        <v>0</v>
      </c>
      <c r="AS13" s="54">
        <f>S_normal27[[#This Row],[Indeks (base 0)]]+1</f>
        <v>1</v>
      </c>
      <c r="AT13" s="54">
        <f t="shared" ref="AT13" si="8">IF(AR13&lt;AS$9,ROUNDDOWN(AR13/AS$8,0),NA())</f>
        <v>0</v>
      </c>
      <c r="AU13" s="54" t="e">
        <f>IF(MOD(S_normal27[[#This Row],[Indeks (base 0)]],AS$8)=0,NA(),_xlfn.POISSON.DIST(S_normal27[[#This Row],[X base]],$H$5,FALSE))</f>
        <v>#N/A</v>
      </c>
      <c r="AV13" s="99" t="b">
        <f>S_normal27[[#This Row],[X base]]&lt;AS$5</f>
        <v>1</v>
      </c>
      <c r="AW13" s="99" t="b">
        <f>S_normal27[[#This Row],[X base]]=AS$5</f>
        <v>0</v>
      </c>
      <c r="AX13" s="99" t="b">
        <f>S_normal27[[#This Row],[X base]]&gt;AS$5</f>
        <v>0</v>
      </c>
      <c r="AY13" s="99" t="e">
        <f>IF(S_normal27[[#This Row],[Mindre end]],S_normal27[[#This Row],[Poissonfordeling]],NA())</f>
        <v>#N/A</v>
      </c>
      <c r="AZ13" s="99" t="e">
        <f>IF(S_normal27[[#This Row],[Lig med]],S_normal27[[#This Row],[Poissonfordeling]],NA())</f>
        <v>#N/A</v>
      </c>
      <c r="BA13" s="99" t="e">
        <f>IF(S_normal27[[#This Row],[Større end]],S_normal27[[#This Row],[Poissonfordeling]],NA())</f>
        <v>#N/A</v>
      </c>
      <c r="BB13" s="85" t="str">
        <f>_xlfn.IFNA(IF(MOD(S_normal27[[#This Row],[Indeks (base 0)]],AS$8)=ROUNDDOWN(AS$8/2,0),S_normal27[[#This Row],[X base]],""),"")</f>
        <v/>
      </c>
      <c r="BC13" s="99" t="str">
        <f t="shared" ref="BC13:BC76" si="9">_xlfn.IFNA(_xlfn.SWITCH(AS13,BA$7,BA$4,BA$8,BA$5,BA$9,BA$6," ")," ")</f>
        <v xml:space="preserve"> </v>
      </c>
    </row>
    <row r="14" spans="1:55" x14ac:dyDescent="0.2">
      <c r="T14" s="54">
        <f t="shared" si="0"/>
        <v>1</v>
      </c>
      <c r="U14" s="54">
        <f>S_normal[[#This Row],[Indeks (base 0)]]+1</f>
        <v>2</v>
      </c>
      <c r="V14" s="54">
        <f t="shared" si="1"/>
        <v>-3.0662770169727138</v>
      </c>
      <c r="W14" s="54">
        <f t="shared" si="2"/>
        <v>3.6247646909920227E-3</v>
      </c>
      <c r="X14" s="99" t="b">
        <f>S_normal[[#This Row],[X base]]&lt;U$7</f>
        <v>1</v>
      </c>
      <c r="Y14" s="99" t="b">
        <f>S_normal[[#This Row],[X base]]&gt;U$7</f>
        <v>0</v>
      </c>
      <c r="Z14" s="99">
        <f>IF(S_normal[[#This Row],[Mindre end]],S_normal[[#This Row],[Normalfordeling]],NA())</f>
        <v>3.6247646909920227E-3</v>
      </c>
      <c r="AA14" s="99" t="e">
        <f>IF(S_normal[[#This Row],[Større end]],S_normal[[#This Row],[Normalfordeling]],NA())</f>
        <v>#N/A</v>
      </c>
      <c r="AB14" s="72" t="str">
        <f>_xlfn.IFNA(IF(S_normal[[#This Row],[Indeks (base 0)]]=ROUND((ROUND(S_normal[[#This Row],[X base]],0)-U$8)/(U$9-U$8)*U$4,0),S_normal[[#This Row],[X base]]*B$6+B$5,""),"")</f>
        <v/>
      </c>
      <c r="AC14" s="99" t="str">
        <f t="shared" si="3"/>
        <v xml:space="preserve"> </v>
      </c>
      <c r="AE14" s="54">
        <f t="shared" si="4"/>
        <v>1</v>
      </c>
      <c r="AF14" s="54">
        <f>S_binomial[[#This Row],[Indeks (base 0)]]+1</f>
        <v>2</v>
      </c>
      <c r="AG14" s="54">
        <f t="shared" si="5"/>
        <v>0</v>
      </c>
      <c r="AH14" s="54">
        <f>IF(MOD(S_binomial[[#This Row],[Indeks (base 0)]],AF$7)=0,NA(),_xlfn.BINOM.DIST(S_binomial[[#This Row],[X base]],E$5,E$6,FALSE))</f>
        <v>7.529536000000004E-6</v>
      </c>
      <c r="AI14" s="99" t="b">
        <f>S_binomial[[#This Row],[X base]]&lt;AF$5</f>
        <v>1</v>
      </c>
      <c r="AJ14" s="99" t="b">
        <f>S_binomial[[#This Row],[X base]]=AF$5</f>
        <v>0</v>
      </c>
      <c r="AK14" s="99" t="b">
        <f>S_binomial[[#This Row],[X base]]&gt;AF$5</f>
        <v>0</v>
      </c>
      <c r="AL14" s="99">
        <f>IF(S_binomial[[#This Row],[Mindre end]],S_binomial[[#This Row],[Binomialfordeling]],NA())</f>
        <v>7.529536000000004E-6</v>
      </c>
      <c r="AM14" s="99" t="e">
        <f>IF(S_binomial[[#This Row],[Lig med]],S_binomial[[#This Row],[Binomialfordeling]],NA())</f>
        <v>#N/A</v>
      </c>
      <c r="AN14" s="99" t="e">
        <f>IF(S_binomial[[#This Row],[Større end]],S_binomial[[#This Row],[Binomialfordeling]],NA())</f>
        <v>#N/A</v>
      </c>
      <c r="AO14" s="85" t="str">
        <f>_xlfn.IFNA(IF(MOD(S_binomial[[#This Row],[Indeks (base 0)]],AF$7)=ROUNDDOWN(AF$7/2,0),S_binomial[[#This Row],[X base]],""),"")</f>
        <v/>
      </c>
      <c r="AP14" s="99" t="str">
        <f t="shared" si="6"/>
        <v xml:space="preserve"> </v>
      </c>
      <c r="AR14" s="54">
        <f t="shared" si="7"/>
        <v>1</v>
      </c>
      <c r="AS14" s="54">
        <f>S_normal27[[#This Row],[Indeks (base 0)]]+1</f>
        <v>2</v>
      </c>
      <c r="AT14" s="54">
        <f t="shared" ref="AT14:AT77" si="10">IF(AR14&lt;AS$9,ROUNDDOWN(AR14/AS$8,0),NA())</f>
        <v>0</v>
      </c>
      <c r="AU14" s="54">
        <f>IF(MOD(S_normal27[[#This Row],[Indeks (base 0)]],AS$8)=0,NA(),_xlfn.POISSON.DIST(S_normal27[[#This Row],[X base]],$H$5,FALSE))</f>
        <v>4.9787068367863944E-2</v>
      </c>
      <c r="AV14" s="99" t="b">
        <f>S_normal27[[#This Row],[X base]]&lt;AS$5</f>
        <v>1</v>
      </c>
      <c r="AW14" s="99" t="b">
        <f>S_normal27[[#This Row],[X base]]=AS$5</f>
        <v>0</v>
      </c>
      <c r="AX14" s="99" t="b">
        <f>S_normal27[[#This Row],[X base]]&gt;AS$5</f>
        <v>0</v>
      </c>
      <c r="AY14" s="99">
        <f>IF(S_normal27[[#This Row],[Mindre end]],S_normal27[[#This Row],[Poissonfordeling]],NA())</f>
        <v>4.9787068367863944E-2</v>
      </c>
      <c r="AZ14" s="99" t="e">
        <f>IF(S_normal27[[#This Row],[Lig med]],S_normal27[[#This Row],[Poissonfordeling]],NA())</f>
        <v>#N/A</v>
      </c>
      <c r="BA14" s="99" t="e">
        <f>IF(S_normal27[[#This Row],[Større end]],S_normal27[[#This Row],[Poissonfordeling]],NA())</f>
        <v>#N/A</v>
      </c>
      <c r="BB14" s="85" t="str">
        <f>_xlfn.IFNA(IF(MOD(S_normal27[[#This Row],[Indeks (base 0)]],AS$8)=ROUNDDOWN(AS$8/2,0),S_normal27[[#This Row],[X base]],""),"")</f>
        <v/>
      </c>
      <c r="BC14" s="99" t="str">
        <f t="shared" si="9"/>
        <v xml:space="preserve"> </v>
      </c>
    </row>
    <row r="15" spans="1:55" x14ac:dyDescent="0.2">
      <c r="T15" s="54">
        <f t="shared" si="0"/>
        <v>2</v>
      </c>
      <c r="U15" s="54">
        <f>S_normal[[#This Row],[Indeks (base 0)]]+1</f>
        <v>3</v>
      </c>
      <c r="V15" s="54">
        <f t="shared" si="1"/>
        <v>-3.0423217277776144</v>
      </c>
      <c r="W15" s="54">
        <f t="shared" si="2"/>
        <v>3.8999198362770038E-3</v>
      </c>
      <c r="X15" s="99" t="b">
        <f>S_normal[[#This Row],[X base]]&lt;U$7</f>
        <v>1</v>
      </c>
      <c r="Y15" s="99" t="b">
        <f>S_normal[[#This Row],[X base]]&gt;U$7</f>
        <v>0</v>
      </c>
      <c r="Z15" s="99">
        <f>IF(S_normal[[#This Row],[Mindre end]],S_normal[[#This Row],[Normalfordeling]],NA())</f>
        <v>3.8999198362770038E-3</v>
      </c>
      <c r="AA15" s="99" t="e">
        <f>IF(S_normal[[#This Row],[Større end]],S_normal[[#This Row],[Normalfordeling]],NA())</f>
        <v>#N/A</v>
      </c>
      <c r="AB15" s="72" t="str">
        <f>_xlfn.IFNA(IF(S_normal[[#This Row],[Indeks (base 0)]]=ROUND((ROUND(S_normal[[#This Row],[X base]],0)-U$8)/(U$9-U$8)*U$4,0),S_normal[[#This Row],[X base]]*B$6+B$5,""),"")</f>
        <v/>
      </c>
      <c r="AC15" s="99" t="str">
        <f t="shared" si="3"/>
        <v xml:space="preserve"> </v>
      </c>
      <c r="AE15" s="54">
        <f t="shared" si="4"/>
        <v>2</v>
      </c>
      <c r="AF15" s="54">
        <f>S_binomial[[#This Row],[Indeks (base 0)]]+1</f>
        <v>3</v>
      </c>
      <c r="AG15" s="54">
        <f t="shared" si="5"/>
        <v>0</v>
      </c>
      <c r="AH15" s="54">
        <f>IF(MOD(S_binomial[[#This Row],[Indeks (base 0)]],AF$7)=0,NA(),_xlfn.BINOM.DIST(S_binomial[[#This Row],[X base]],E$5,E$6,FALSE))</f>
        <v>7.529536000000004E-6</v>
      </c>
      <c r="AI15" s="99" t="b">
        <f>S_binomial[[#This Row],[X base]]&lt;AF$5</f>
        <v>1</v>
      </c>
      <c r="AJ15" s="99" t="b">
        <f>S_binomial[[#This Row],[X base]]=AF$5</f>
        <v>0</v>
      </c>
      <c r="AK15" s="99" t="b">
        <f>S_binomial[[#This Row],[X base]]&gt;AF$5</f>
        <v>0</v>
      </c>
      <c r="AL15" s="99">
        <f>IF(S_binomial[[#This Row],[Mindre end]],S_binomial[[#This Row],[Binomialfordeling]],NA())</f>
        <v>7.529536000000004E-6</v>
      </c>
      <c r="AM15" s="99" t="e">
        <f>IF(S_binomial[[#This Row],[Lig med]],S_binomial[[#This Row],[Binomialfordeling]],NA())</f>
        <v>#N/A</v>
      </c>
      <c r="AN15" s="99" t="e">
        <f>IF(S_binomial[[#This Row],[Større end]],S_binomial[[#This Row],[Binomialfordeling]],NA())</f>
        <v>#N/A</v>
      </c>
      <c r="AO15" s="85" t="str">
        <f>_xlfn.IFNA(IF(MOD(S_binomial[[#This Row],[Indeks (base 0)]],AF$7)=ROUNDDOWN(AF$7/2,0),S_binomial[[#This Row],[X base]],""),"")</f>
        <v/>
      </c>
      <c r="AP15" s="99" t="str">
        <f t="shared" si="6"/>
        <v xml:space="preserve"> </v>
      </c>
      <c r="AR15" s="54">
        <f t="shared" si="7"/>
        <v>2</v>
      </c>
      <c r="AS15" s="54">
        <f>S_normal27[[#This Row],[Indeks (base 0)]]+1</f>
        <v>3</v>
      </c>
      <c r="AT15" s="54">
        <f t="shared" si="10"/>
        <v>0</v>
      </c>
      <c r="AU15" s="54">
        <f>IF(MOD(S_normal27[[#This Row],[Indeks (base 0)]],AS$8)=0,NA(),_xlfn.POISSON.DIST(S_normal27[[#This Row],[X base]],$H$5,FALSE))</f>
        <v>4.9787068367863944E-2</v>
      </c>
      <c r="AV15" s="99" t="b">
        <f>S_normal27[[#This Row],[X base]]&lt;AS$5</f>
        <v>1</v>
      </c>
      <c r="AW15" s="99" t="b">
        <f>S_normal27[[#This Row],[X base]]=AS$5</f>
        <v>0</v>
      </c>
      <c r="AX15" s="99" t="b">
        <f>S_normal27[[#This Row],[X base]]&gt;AS$5</f>
        <v>0</v>
      </c>
      <c r="AY15" s="99">
        <f>IF(S_normal27[[#This Row],[Mindre end]],S_normal27[[#This Row],[Poissonfordeling]],NA())</f>
        <v>4.9787068367863944E-2</v>
      </c>
      <c r="AZ15" s="99" t="e">
        <f>IF(S_normal27[[#This Row],[Lig med]],S_normal27[[#This Row],[Poissonfordeling]],NA())</f>
        <v>#N/A</v>
      </c>
      <c r="BA15" s="99" t="e">
        <f>IF(S_normal27[[#This Row],[Større end]],S_normal27[[#This Row],[Poissonfordeling]],NA())</f>
        <v>#N/A</v>
      </c>
      <c r="BB15" s="85" t="str">
        <f>_xlfn.IFNA(IF(MOD(S_normal27[[#This Row],[Indeks (base 0)]],AS$8)=ROUNDDOWN(AS$8/2,0),S_normal27[[#This Row],[X base]],""),"")</f>
        <v/>
      </c>
      <c r="BC15" s="99" t="str">
        <f t="shared" si="9"/>
        <v xml:space="preserve"> </v>
      </c>
    </row>
    <row r="16" spans="1:55" x14ac:dyDescent="0.2">
      <c r="T16" s="54">
        <f t="shared" si="0"/>
        <v>3</v>
      </c>
      <c r="U16" s="54">
        <f>S_normal[[#This Row],[Indeks (base 0)]]+1</f>
        <v>4</v>
      </c>
      <c r="V16" s="54">
        <f t="shared" si="1"/>
        <v>-3.0183664385825151</v>
      </c>
      <c r="W16" s="54">
        <f t="shared" si="2"/>
        <v>4.1935547655993473E-3</v>
      </c>
      <c r="X16" s="99" t="b">
        <f>S_normal[[#This Row],[X base]]&lt;U$7</f>
        <v>1</v>
      </c>
      <c r="Y16" s="99" t="b">
        <f>S_normal[[#This Row],[X base]]&gt;U$7</f>
        <v>0</v>
      </c>
      <c r="Z16" s="99">
        <f>IF(S_normal[[#This Row],[Mindre end]],S_normal[[#This Row],[Normalfordeling]],NA())</f>
        <v>4.1935547655993473E-3</v>
      </c>
      <c r="AA16" s="99" t="e">
        <f>IF(S_normal[[#This Row],[Større end]],S_normal[[#This Row],[Normalfordeling]],NA())</f>
        <v>#N/A</v>
      </c>
      <c r="AB16" s="72" t="str">
        <f>_xlfn.IFNA(IF(S_normal[[#This Row],[Indeks (base 0)]]=ROUND((ROUND(S_normal[[#This Row],[X base]],0)-U$8)/(U$9-U$8)*U$4,0),S_normal[[#This Row],[X base]]*B$6+B$5,""),"")</f>
        <v/>
      </c>
      <c r="AC16" s="99" t="str">
        <f t="shared" si="3"/>
        <v xml:space="preserve"> </v>
      </c>
      <c r="AE16" s="54">
        <f t="shared" si="4"/>
        <v>3</v>
      </c>
      <c r="AF16" s="54">
        <f>S_binomial[[#This Row],[Indeks (base 0)]]+1</f>
        <v>4</v>
      </c>
      <c r="AG16" s="54">
        <f t="shared" si="5"/>
        <v>0</v>
      </c>
      <c r="AH16" s="54">
        <f>IF(MOD(S_binomial[[#This Row],[Indeks (base 0)]],AF$7)=0,NA(),_xlfn.BINOM.DIST(S_binomial[[#This Row],[X base]],E$5,E$6,FALSE))</f>
        <v>7.529536000000004E-6</v>
      </c>
      <c r="AI16" s="99" t="b">
        <f>S_binomial[[#This Row],[X base]]&lt;AF$5</f>
        <v>1</v>
      </c>
      <c r="AJ16" s="99" t="b">
        <f>S_binomial[[#This Row],[X base]]=AF$5</f>
        <v>0</v>
      </c>
      <c r="AK16" s="99" t="b">
        <f>S_binomial[[#This Row],[X base]]&gt;AF$5</f>
        <v>0</v>
      </c>
      <c r="AL16" s="99">
        <f>IF(S_binomial[[#This Row],[Mindre end]],S_binomial[[#This Row],[Binomialfordeling]],NA())</f>
        <v>7.529536000000004E-6</v>
      </c>
      <c r="AM16" s="99" t="e">
        <f>IF(S_binomial[[#This Row],[Lig med]],S_binomial[[#This Row],[Binomialfordeling]],NA())</f>
        <v>#N/A</v>
      </c>
      <c r="AN16" s="99" t="e">
        <f>IF(S_binomial[[#This Row],[Større end]],S_binomial[[#This Row],[Binomialfordeling]],NA())</f>
        <v>#N/A</v>
      </c>
      <c r="AO16" s="85" t="str">
        <f>_xlfn.IFNA(IF(MOD(S_binomial[[#This Row],[Indeks (base 0)]],AF$7)=ROUNDDOWN(AF$7/2,0),S_binomial[[#This Row],[X base]],""),"")</f>
        <v/>
      </c>
      <c r="AP16" s="99" t="str">
        <f t="shared" si="6"/>
        <v xml:space="preserve"> </v>
      </c>
      <c r="AR16" s="54">
        <f t="shared" si="7"/>
        <v>3</v>
      </c>
      <c r="AS16" s="54">
        <f>S_normal27[[#This Row],[Indeks (base 0)]]+1</f>
        <v>4</v>
      </c>
      <c r="AT16" s="54">
        <f t="shared" si="10"/>
        <v>0</v>
      </c>
      <c r="AU16" s="54">
        <f>IF(MOD(S_normal27[[#This Row],[Indeks (base 0)]],AS$8)=0,NA(),_xlfn.POISSON.DIST(S_normal27[[#This Row],[X base]],$H$5,FALSE))</f>
        <v>4.9787068367863944E-2</v>
      </c>
      <c r="AV16" s="99" t="b">
        <f>S_normal27[[#This Row],[X base]]&lt;AS$5</f>
        <v>1</v>
      </c>
      <c r="AW16" s="99" t="b">
        <f>S_normal27[[#This Row],[X base]]=AS$5</f>
        <v>0</v>
      </c>
      <c r="AX16" s="99" t="b">
        <f>S_normal27[[#This Row],[X base]]&gt;AS$5</f>
        <v>0</v>
      </c>
      <c r="AY16" s="99">
        <f>IF(S_normal27[[#This Row],[Mindre end]],S_normal27[[#This Row],[Poissonfordeling]],NA())</f>
        <v>4.9787068367863944E-2</v>
      </c>
      <c r="AZ16" s="99" t="e">
        <f>IF(S_normal27[[#This Row],[Lig med]],S_normal27[[#This Row],[Poissonfordeling]],NA())</f>
        <v>#N/A</v>
      </c>
      <c r="BA16" s="99" t="e">
        <f>IF(S_normal27[[#This Row],[Større end]],S_normal27[[#This Row],[Poissonfordeling]],NA())</f>
        <v>#N/A</v>
      </c>
      <c r="BB16" s="85" t="str">
        <f>_xlfn.IFNA(IF(MOD(S_normal27[[#This Row],[Indeks (base 0)]],AS$8)=ROUNDDOWN(AS$8/2,0),S_normal27[[#This Row],[X base]],""),"")</f>
        <v/>
      </c>
      <c r="BC16" s="99" t="str">
        <f t="shared" si="9"/>
        <v xml:space="preserve"> </v>
      </c>
    </row>
    <row r="17" spans="1:55" x14ac:dyDescent="0.2">
      <c r="T17" s="54">
        <f t="shared" si="0"/>
        <v>4</v>
      </c>
      <c r="U17" s="54">
        <f>S_normal[[#This Row],[Indeks (base 0)]]+1</f>
        <v>5</v>
      </c>
      <c r="V17" s="54">
        <f t="shared" si="1"/>
        <v>-2.9944111493874157</v>
      </c>
      <c r="W17" s="54">
        <f t="shared" si="2"/>
        <v>4.5067112740675413E-3</v>
      </c>
      <c r="X17" s="99" t="b">
        <f>S_normal[[#This Row],[X base]]&lt;U$7</f>
        <v>1</v>
      </c>
      <c r="Y17" s="99" t="b">
        <f>S_normal[[#This Row],[X base]]&gt;U$7</f>
        <v>0</v>
      </c>
      <c r="Z17" s="99">
        <f>IF(S_normal[[#This Row],[Mindre end]],S_normal[[#This Row],[Normalfordeling]],NA())</f>
        <v>4.5067112740675413E-3</v>
      </c>
      <c r="AA17" s="99" t="e">
        <f>IF(S_normal[[#This Row],[Større end]],S_normal[[#This Row],[Normalfordeling]],NA())</f>
        <v>#N/A</v>
      </c>
      <c r="AB17" s="72">
        <f>_xlfn.IFNA(IF(S_normal[[#This Row],[Indeks (base 0)]]=ROUND((ROUND(S_normal[[#This Row],[X base]],0)-U$8)/(U$9-U$8)*U$4,0),S_normal[[#This Row],[X base]]*B$6+B$5,""),"")</f>
        <v>8.0223554024503372</v>
      </c>
      <c r="AC17" s="99" t="str">
        <f t="shared" si="3"/>
        <v xml:space="preserve"> </v>
      </c>
      <c r="AE17" s="54">
        <f t="shared" si="4"/>
        <v>4</v>
      </c>
      <c r="AF17" s="54">
        <f>S_binomial[[#This Row],[Indeks (base 0)]]+1</f>
        <v>5</v>
      </c>
      <c r="AG17" s="54">
        <f t="shared" si="5"/>
        <v>0</v>
      </c>
      <c r="AH17" s="54">
        <f>IF(MOD(S_binomial[[#This Row],[Indeks (base 0)]],AF$7)=0,NA(),_xlfn.BINOM.DIST(S_binomial[[#This Row],[X base]],E$5,E$6,FALSE))</f>
        <v>7.529536000000004E-6</v>
      </c>
      <c r="AI17" s="99" t="b">
        <f>S_binomial[[#This Row],[X base]]&lt;AF$5</f>
        <v>1</v>
      </c>
      <c r="AJ17" s="99" t="b">
        <f>S_binomial[[#This Row],[X base]]=AF$5</f>
        <v>0</v>
      </c>
      <c r="AK17" s="99" t="b">
        <f>S_binomial[[#This Row],[X base]]&gt;AF$5</f>
        <v>0</v>
      </c>
      <c r="AL17" s="99">
        <f>IF(S_binomial[[#This Row],[Mindre end]],S_binomial[[#This Row],[Binomialfordeling]],NA())</f>
        <v>7.529536000000004E-6</v>
      </c>
      <c r="AM17" s="99" t="e">
        <f>IF(S_binomial[[#This Row],[Lig med]],S_binomial[[#This Row],[Binomialfordeling]],NA())</f>
        <v>#N/A</v>
      </c>
      <c r="AN17" s="99" t="e">
        <f>IF(S_binomial[[#This Row],[Større end]],S_binomial[[#This Row],[Binomialfordeling]],NA())</f>
        <v>#N/A</v>
      </c>
      <c r="AO17" s="85" t="str">
        <f>_xlfn.IFNA(IF(MOD(S_binomial[[#This Row],[Indeks (base 0)]],AF$7)=ROUNDDOWN(AF$7/2,0),S_binomial[[#This Row],[X base]],""),"")</f>
        <v/>
      </c>
      <c r="AP17" s="99" t="str">
        <f t="shared" si="6"/>
        <v xml:space="preserve"> </v>
      </c>
      <c r="AR17" s="54">
        <f t="shared" si="7"/>
        <v>4</v>
      </c>
      <c r="AS17" s="54">
        <f>S_normal27[[#This Row],[Indeks (base 0)]]+1</f>
        <v>5</v>
      </c>
      <c r="AT17" s="54">
        <f t="shared" si="10"/>
        <v>0</v>
      </c>
      <c r="AU17" s="54">
        <f>IF(MOD(S_normal27[[#This Row],[Indeks (base 0)]],AS$8)=0,NA(),_xlfn.POISSON.DIST(S_normal27[[#This Row],[X base]],$H$5,FALSE))</f>
        <v>4.9787068367863944E-2</v>
      </c>
      <c r="AV17" s="99" t="b">
        <f>S_normal27[[#This Row],[X base]]&lt;AS$5</f>
        <v>1</v>
      </c>
      <c r="AW17" s="99" t="b">
        <f>S_normal27[[#This Row],[X base]]=AS$5</f>
        <v>0</v>
      </c>
      <c r="AX17" s="99" t="b">
        <f>S_normal27[[#This Row],[X base]]&gt;AS$5</f>
        <v>0</v>
      </c>
      <c r="AY17" s="99">
        <f>IF(S_normal27[[#This Row],[Mindre end]],S_normal27[[#This Row],[Poissonfordeling]],NA())</f>
        <v>4.9787068367863944E-2</v>
      </c>
      <c r="AZ17" s="99" t="e">
        <f>IF(S_normal27[[#This Row],[Lig med]],S_normal27[[#This Row],[Poissonfordeling]],NA())</f>
        <v>#N/A</v>
      </c>
      <c r="BA17" s="99" t="e">
        <f>IF(S_normal27[[#This Row],[Større end]],S_normal27[[#This Row],[Poissonfordeling]],NA())</f>
        <v>#N/A</v>
      </c>
      <c r="BB17" s="85" t="str">
        <f>_xlfn.IFNA(IF(MOD(S_normal27[[#This Row],[Indeks (base 0)]],AS$8)=ROUNDDOWN(AS$8/2,0),S_normal27[[#This Row],[X base]],""),"")</f>
        <v/>
      </c>
      <c r="BC17" s="99" t="str">
        <f t="shared" si="9"/>
        <v xml:space="preserve"> </v>
      </c>
    </row>
    <row r="18" spans="1:55" x14ac:dyDescent="0.2">
      <c r="T18" s="54">
        <f t="shared" si="0"/>
        <v>5</v>
      </c>
      <c r="U18" s="54">
        <f>S_normal[[#This Row],[Indeks (base 0)]]+1</f>
        <v>6</v>
      </c>
      <c r="V18" s="54">
        <f t="shared" si="1"/>
        <v>-2.9704558601923168</v>
      </c>
      <c r="W18" s="54">
        <f t="shared" si="2"/>
        <v>4.8404744224978778E-3</v>
      </c>
      <c r="X18" s="99" t="b">
        <f>S_normal[[#This Row],[X base]]&lt;U$7</f>
        <v>1</v>
      </c>
      <c r="Y18" s="99" t="b">
        <f>S_normal[[#This Row],[X base]]&gt;U$7</f>
        <v>0</v>
      </c>
      <c r="Z18" s="99">
        <f>IF(S_normal[[#This Row],[Mindre end]],S_normal[[#This Row],[Normalfordeling]],NA())</f>
        <v>4.8404744224978778E-3</v>
      </c>
      <c r="AA18" s="99" t="e">
        <f>IF(S_normal[[#This Row],[Større end]],S_normal[[#This Row],[Normalfordeling]],NA())</f>
        <v>#N/A</v>
      </c>
      <c r="AB18" s="72" t="str">
        <f>_xlfn.IFNA(IF(S_normal[[#This Row],[Indeks (base 0)]]=ROUND((ROUND(S_normal[[#This Row],[X base]],0)-U$8)/(U$9-U$8)*U$4,0),S_normal[[#This Row],[X base]]*B$6+B$5,""),"")</f>
        <v/>
      </c>
      <c r="AC18" s="99" t="str">
        <f t="shared" si="3"/>
        <v xml:space="preserve"> </v>
      </c>
      <c r="AE18" s="54">
        <f t="shared" si="4"/>
        <v>5</v>
      </c>
      <c r="AF18" s="54">
        <f>S_binomial[[#This Row],[Indeks (base 0)]]+1</f>
        <v>6</v>
      </c>
      <c r="AG18" s="54">
        <f t="shared" si="5"/>
        <v>0</v>
      </c>
      <c r="AH18" s="54">
        <f>IF(MOD(S_binomial[[#This Row],[Indeks (base 0)]],AF$7)=0,NA(),_xlfn.BINOM.DIST(S_binomial[[#This Row],[X base]],E$5,E$6,FALSE))</f>
        <v>7.529536000000004E-6</v>
      </c>
      <c r="AI18" s="99" t="b">
        <f>S_binomial[[#This Row],[X base]]&lt;AF$5</f>
        <v>1</v>
      </c>
      <c r="AJ18" s="99" t="b">
        <f>S_binomial[[#This Row],[X base]]=AF$5</f>
        <v>0</v>
      </c>
      <c r="AK18" s="99" t="b">
        <f>S_binomial[[#This Row],[X base]]&gt;AF$5</f>
        <v>0</v>
      </c>
      <c r="AL18" s="99">
        <f>IF(S_binomial[[#This Row],[Mindre end]],S_binomial[[#This Row],[Binomialfordeling]],NA())</f>
        <v>7.529536000000004E-6</v>
      </c>
      <c r="AM18" s="99" t="e">
        <f>IF(S_binomial[[#This Row],[Lig med]],S_binomial[[#This Row],[Binomialfordeling]],NA())</f>
        <v>#N/A</v>
      </c>
      <c r="AN18" s="99" t="e">
        <f>IF(S_binomial[[#This Row],[Større end]],S_binomial[[#This Row],[Binomialfordeling]],NA())</f>
        <v>#N/A</v>
      </c>
      <c r="AO18" s="85" t="str">
        <f>_xlfn.IFNA(IF(MOD(S_binomial[[#This Row],[Indeks (base 0)]],AF$7)=ROUNDDOWN(AF$7/2,0),S_binomial[[#This Row],[X base]],""),"")</f>
        <v/>
      </c>
      <c r="AP18" s="99" t="str">
        <f t="shared" si="6"/>
        <v xml:space="preserve"> </v>
      </c>
      <c r="AR18" s="54">
        <f t="shared" si="7"/>
        <v>5</v>
      </c>
      <c r="AS18" s="54">
        <f>S_normal27[[#This Row],[Indeks (base 0)]]+1</f>
        <v>6</v>
      </c>
      <c r="AT18" s="54">
        <f t="shared" si="10"/>
        <v>0</v>
      </c>
      <c r="AU18" s="54">
        <f>IF(MOD(S_normal27[[#This Row],[Indeks (base 0)]],AS$8)=0,NA(),_xlfn.POISSON.DIST(S_normal27[[#This Row],[X base]],$H$5,FALSE))</f>
        <v>4.9787068367863944E-2</v>
      </c>
      <c r="AV18" s="99" t="b">
        <f>S_normal27[[#This Row],[X base]]&lt;AS$5</f>
        <v>1</v>
      </c>
      <c r="AW18" s="99" t="b">
        <f>S_normal27[[#This Row],[X base]]=AS$5</f>
        <v>0</v>
      </c>
      <c r="AX18" s="99" t="b">
        <f>S_normal27[[#This Row],[X base]]&gt;AS$5</f>
        <v>0</v>
      </c>
      <c r="AY18" s="99">
        <f>IF(S_normal27[[#This Row],[Mindre end]],S_normal27[[#This Row],[Poissonfordeling]],NA())</f>
        <v>4.9787068367863944E-2</v>
      </c>
      <c r="AZ18" s="99" t="e">
        <f>IF(S_normal27[[#This Row],[Lig med]],S_normal27[[#This Row],[Poissonfordeling]],NA())</f>
        <v>#N/A</v>
      </c>
      <c r="BA18" s="99" t="e">
        <f>IF(S_normal27[[#This Row],[Større end]],S_normal27[[#This Row],[Poissonfordeling]],NA())</f>
        <v>#N/A</v>
      </c>
      <c r="BB18" s="85" t="str">
        <f>_xlfn.IFNA(IF(MOD(S_normal27[[#This Row],[Indeks (base 0)]],AS$8)=ROUNDDOWN(AS$8/2,0),S_normal27[[#This Row],[X base]],""),"")</f>
        <v/>
      </c>
      <c r="BC18" s="99" t="str">
        <f t="shared" si="9"/>
        <v xml:space="preserve"> </v>
      </c>
    </row>
    <row r="19" spans="1:55" x14ac:dyDescent="0.2">
      <c r="T19" s="54">
        <f t="shared" si="0"/>
        <v>6</v>
      </c>
      <c r="U19" s="54">
        <f>S_normal[[#This Row],[Indeks (base 0)]]+1</f>
        <v>7</v>
      </c>
      <c r="V19" s="54">
        <f t="shared" si="1"/>
        <v>-2.9465005709972174</v>
      </c>
      <c r="W19" s="54">
        <f t="shared" si="2"/>
        <v>5.1959731862444456E-3</v>
      </c>
      <c r="X19" s="99" t="b">
        <f>S_normal[[#This Row],[X base]]&lt;U$7</f>
        <v>1</v>
      </c>
      <c r="Y19" s="99" t="b">
        <f>S_normal[[#This Row],[X base]]&gt;U$7</f>
        <v>0</v>
      </c>
      <c r="Z19" s="99">
        <f>IF(S_normal[[#This Row],[Mindre end]],S_normal[[#This Row],[Normalfordeling]],NA())</f>
        <v>5.1959731862444456E-3</v>
      </c>
      <c r="AA19" s="99" t="e">
        <f>IF(S_normal[[#This Row],[Større end]],S_normal[[#This Row],[Normalfordeling]],NA())</f>
        <v>#N/A</v>
      </c>
      <c r="AB19" s="72" t="str">
        <f>_xlfn.IFNA(IF(S_normal[[#This Row],[Indeks (base 0)]]=ROUND((ROUND(S_normal[[#This Row],[X base]],0)-U$8)/(U$9-U$8)*U$4,0),S_normal[[#This Row],[X base]]*B$6+B$5,""),"")</f>
        <v/>
      </c>
      <c r="AC19" s="99" t="str">
        <f t="shared" si="3"/>
        <v xml:space="preserve"> </v>
      </c>
      <c r="AE19" s="54">
        <f t="shared" si="4"/>
        <v>6</v>
      </c>
      <c r="AF19" s="54">
        <f>S_binomial[[#This Row],[Indeks (base 0)]]+1</f>
        <v>7</v>
      </c>
      <c r="AG19" s="54">
        <f t="shared" si="5"/>
        <v>0</v>
      </c>
      <c r="AH19" s="54">
        <f>IF(MOD(S_binomial[[#This Row],[Indeks (base 0)]],AF$7)=0,NA(),_xlfn.BINOM.DIST(S_binomial[[#This Row],[X base]],E$5,E$6,FALSE))</f>
        <v>7.529536000000004E-6</v>
      </c>
      <c r="AI19" s="99" t="b">
        <f>S_binomial[[#This Row],[X base]]&lt;AF$5</f>
        <v>1</v>
      </c>
      <c r="AJ19" s="99" t="b">
        <f>S_binomial[[#This Row],[X base]]=AF$5</f>
        <v>0</v>
      </c>
      <c r="AK19" s="99" t="b">
        <f>S_binomial[[#This Row],[X base]]&gt;AF$5</f>
        <v>0</v>
      </c>
      <c r="AL19" s="99">
        <f>IF(S_binomial[[#This Row],[Mindre end]],S_binomial[[#This Row],[Binomialfordeling]],NA())</f>
        <v>7.529536000000004E-6</v>
      </c>
      <c r="AM19" s="99" t="e">
        <f>IF(S_binomial[[#This Row],[Lig med]],S_binomial[[#This Row],[Binomialfordeling]],NA())</f>
        <v>#N/A</v>
      </c>
      <c r="AN19" s="99" t="e">
        <f>IF(S_binomial[[#This Row],[Større end]],S_binomial[[#This Row],[Binomialfordeling]],NA())</f>
        <v>#N/A</v>
      </c>
      <c r="AO19" s="85" t="str">
        <f>_xlfn.IFNA(IF(MOD(S_binomial[[#This Row],[Indeks (base 0)]],AF$7)=ROUNDDOWN(AF$7/2,0),S_binomial[[#This Row],[X base]],""),"")</f>
        <v/>
      </c>
      <c r="AP19" s="99" t="str">
        <f t="shared" si="6"/>
        <v xml:space="preserve"> </v>
      </c>
      <c r="AR19" s="54">
        <f t="shared" si="7"/>
        <v>6</v>
      </c>
      <c r="AS19" s="54">
        <f>S_normal27[[#This Row],[Indeks (base 0)]]+1</f>
        <v>7</v>
      </c>
      <c r="AT19" s="54">
        <f t="shared" si="10"/>
        <v>0</v>
      </c>
      <c r="AU19" s="54">
        <f>IF(MOD(S_normal27[[#This Row],[Indeks (base 0)]],AS$8)=0,NA(),_xlfn.POISSON.DIST(S_normal27[[#This Row],[X base]],$H$5,FALSE))</f>
        <v>4.9787068367863944E-2</v>
      </c>
      <c r="AV19" s="99" t="b">
        <f>S_normal27[[#This Row],[X base]]&lt;AS$5</f>
        <v>1</v>
      </c>
      <c r="AW19" s="99" t="b">
        <f>S_normal27[[#This Row],[X base]]=AS$5</f>
        <v>0</v>
      </c>
      <c r="AX19" s="99" t="b">
        <f>S_normal27[[#This Row],[X base]]&gt;AS$5</f>
        <v>0</v>
      </c>
      <c r="AY19" s="99">
        <f>IF(S_normal27[[#This Row],[Mindre end]],S_normal27[[#This Row],[Poissonfordeling]],NA())</f>
        <v>4.9787068367863944E-2</v>
      </c>
      <c r="AZ19" s="99" t="e">
        <f>IF(S_normal27[[#This Row],[Lig med]],S_normal27[[#This Row],[Poissonfordeling]],NA())</f>
        <v>#N/A</v>
      </c>
      <c r="BA19" s="99" t="e">
        <f>IF(S_normal27[[#This Row],[Større end]],S_normal27[[#This Row],[Poissonfordeling]],NA())</f>
        <v>#N/A</v>
      </c>
      <c r="BB19" s="85" t="str">
        <f>_xlfn.IFNA(IF(MOD(S_normal27[[#This Row],[Indeks (base 0)]],AS$8)=ROUNDDOWN(AS$8/2,0),S_normal27[[#This Row],[X base]],""),"")</f>
        <v/>
      </c>
      <c r="BC19" s="99" t="str">
        <f t="shared" si="9"/>
        <v xml:space="preserve"> </v>
      </c>
    </row>
    <row r="20" spans="1:55" x14ac:dyDescent="0.2">
      <c r="T20" s="54">
        <f t="shared" si="0"/>
        <v>7</v>
      </c>
      <c r="U20" s="54">
        <f>S_normal[[#This Row],[Indeks (base 0)]]+1</f>
        <v>8</v>
      </c>
      <c r="V20" s="54">
        <f t="shared" si="1"/>
        <v>-2.922545281802118</v>
      </c>
      <c r="W20" s="54">
        <f t="shared" si="2"/>
        <v>5.5743810217063422E-3</v>
      </c>
      <c r="X20" s="99" t="b">
        <f>S_normal[[#This Row],[X base]]&lt;U$7</f>
        <v>1</v>
      </c>
      <c r="Y20" s="99" t="b">
        <f>S_normal[[#This Row],[X base]]&gt;U$7</f>
        <v>0</v>
      </c>
      <c r="Z20" s="99">
        <f>IF(S_normal[[#This Row],[Mindre end]],S_normal[[#This Row],[Normalfordeling]],NA())</f>
        <v>5.5743810217063422E-3</v>
      </c>
      <c r="AA20" s="99" t="e">
        <f>IF(S_normal[[#This Row],[Større end]],S_normal[[#This Row],[Normalfordeling]],NA())</f>
        <v>#N/A</v>
      </c>
      <c r="AB20" s="72" t="str">
        <f>_xlfn.IFNA(IF(S_normal[[#This Row],[Indeks (base 0)]]=ROUND((ROUND(S_normal[[#This Row],[X base]],0)-U$8)/(U$9-U$8)*U$4,0),S_normal[[#This Row],[X base]]*B$6+B$5,""),"")</f>
        <v/>
      </c>
      <c r="AC20" s="99" t="str">
        <f t="shared" si="3"/>
        <v xml:space="preserve"> </v>
      </c>
      <c r="AE20" s="54">
        <f t="shared" si="4"/>
        <v>7</v>
      </c>
      <c r="AF20" s="54">
        <f>S_binomial[[#This Row],[Indeks (base 0)]]+1</f>
        <v>8</v>
      </c>
      <c r="AG20" s="54">
        <f t="shared" si="5"/>
        <v>0</v>
      </c>
      <c r="AH20" s="54">
        <f>IF(MOD(S_binomial[[#This Row],[Indeks (base 0)]],AF$7)=0,NA(),_xlfn.BINOM.DIST(S_binomial[[#This Row],[X base]],E$5,E$6,FALSE))</f>
        <v>7.529536000000004E-6</v>
      </c>
      <c r="AI20" s="99" t="b">
        <f>S_binomial[[#This Row],[X base]]&lt;AF$5</f>
        <v>1</v>
      </c>
      <c r="AJ20" s="99" t="b">
        <f>S_binomial[[#This Row],[X base]]=AF$5</f>
        <v>0</v>
      </c>
      <c r="AK20" s="99" t="b">
        <f>S_binomial[[#This Row],[X base]]&gt;AF$5</f>
        <v>0</v>
      </c>
      <c r="AL20" s="99">
        <f>IF(S_binomial[[#This Row],[Mindre end]],S_binomial[[#This Row],[Binomialfordeling]],NA())</f>
        <v>7.529536000000004E-6</v>
      </c>
      <c r="AM20" s="99" t="e">
        <f>IF(S_binomial[[#This Row],[Lig med]],S_binomial[[#This Row],[Binomialfordeling]],NA())</f>
        <v>#N/A</v>
      </c>
      <c r="AN20" s="99" t="e">
        <f>IF(S_binomial[[#This Row],[Større end]],S_binomial[[#This Row],[Binomialfordeling]],NA())</f>
        <v>#N/A</v>
      </c>
      <c r="AO20" s="85" t="str">
        <f>_xlfn.IFNA(IF(MOD(S_binomial[[#This Row],[Indeks (base 0)]],AF$7)=ROUNDDOWN(AF$7/2,0),S_binomial[[#This Row],[X base]],""),"")</f>
        <v/>
      </c>
      <c r="AP20" s="99" t="str">
        <f t="shared" si="6"/>
        <v xml:space="preserve"> </v>
      </c>
      <c r="AR20" s="54">
        <f t="shared" si="7"/>
        <v>7</v>
      </c>
      <c r="AS20" s="54">
        <f>S_normal27[[#This Row],[Indeks (base 0)]]+1</f>
        <v>8</v>
      </c>
      <c r="AT20" s="54">
        <f t="shared" si="10"/>
        <v>0</v>
      </c>
      <c r="AU20" s="54">
        <f>IF(MOD(S_normal27[[#This Row],[Indeks (base 0)]],AS$8)=0,NA(),_xlfn.POISSON.DIST(S_normal27[[#This Row],[X base]],$H$5,FALSE))</f>
        <v>4.9787068367863944E-2</v>
      </c>
      <c r="AV20" s="99" t="b">
        <f>S_normal27[[#This Row],[X base]]&lt;AS$5</f>
        <v>1</v>
      </c>
      <c r="AW20" s="99" t="b">
        <f>S_normal27[[#This Row],[X base]]=AS$5</f>
        <v>0</v>
      </c>
      <c r="AX20" s="99" t="b">
        <f>S_normal27[[#This Row],[X base]]&gt;AS$5</f>
        <v>0</v>
      </c>
      <c r="AY20" s="99">
        <f>IF(S_normal27[[#This Row],[Mindre end]],S_normal27[[#This Row],[Poissonfordeling]],NA())</f>
        <v>4.9787068367863944E-2</v>
      </c>
      <c r="AZ20" s="99" t="e">
        <f>IF(S_normal27[[#This Row],[Lig med]],S_normal27[[#This Row],[Poissonfordeling]],NA())</f>
        <v>#N/A</v>
      </c>
      <c r="BA20" s="99" t="e">
        <f>IF(S_normal27[[#This Row],[Større end]],S_normal27[[#This Row],[Poissonfordeling]],NA())</f>
        <v>#N/A</v>
      </c>
      <c r="BB20" s="85" t="str">
        <f>_xlfn.IFNA(IF(MOD(S_normal27[[#This Row],[Indeks (base 0)]],AS$8)=ROUNDDOWN(AS$8/2,0),S_normal27[[#This Row],[X base]],""),"")</f>
        <v/>
      </c>
      <c r="BC20" s="99" t="str">
        <f t="shared" si="9"/>
        <v xml:space="preserve"> </v>
      </c>
    </row>
    <row r="21" spans="1:55" x14ac:dyDescent="0.2">
      <c r="T21" s="54">
        <f t="shared" si="0"/>
        <v>8</v>
      </c>
      <c r="U21" s="54">
        <f>S_normal[[#This Row],[Indeks (base 0)]]+1</f>
        <v>9</v>
      </c>
      <c r="V21" s="54">
        <f t="shared" si="1"/>
        <v>-2.8985899926070187</v>
      </c>
      <c r="W21" s="54">
        <f t="shared" si="2"/>
        <v>5.9769163423966454E-3</v>
      </c>
      <c r="X21" s="99" t="b">
        <f>S_normal[[#This Row],[X base]]&lt;U$7</f>
        <v>1</v>
      </c>
      <c r="Y21" s="99" t="b">
        <f>S_normal[[#This Row],[X base]]&gt;U$7</f>
        <v>0</v>
      </c>
      <c r="Z21" s="99">
        <f>IF(S_normal[[#This Row],[Mindre end]],S_normal[[#This Row],[Normalfordeling]],NA())</f>
        <v>5.9769163423966454E-3</v>
      </c>
      <c r="AA21" s="99" t="e">
        <f>IF(S_normal[[#This Row],[Større end]],S_normal[[#This Row],[Normalfordeling]],NA())</f>
        <v>#N/A</v>
      </c>
      <c r="AB21" s="72" t="str">
        <f>_xlfn.IFNA(IF(S_normal[[#This Row],[Indeks (base 0)]]=ROUND((ROUND(S_normal[[#This Row],[X base]],0)-U$8)/(U$9-U$8)*U$4,0),S_normal[[#This Row],[X base]]*B$6+B$5,""),"")</f>
        <v/>
      </c>
      <c r="AC21" s="99" t="str">
        <f t="shared" si="3"/>
        <v xml:space="preserve"> </v>
      </c>
      <c r="AE21" s="54">
        <f t="shared" si="4"/>
        <v>8</v>
      </c>
      <c r="AF21" s="54">
        <f>S_binomial[[#This Row],[Indeks (base 0)]]+1</f>
        <v>9</v>
      </c>
      <c r="AG21" s="54">
        <f t="shared" si="5"/>
        <v>0</v>
      </c>
      <c r="AH21" s="54">
        <f>IF(MOD(S_binomial[[#This Row],[Indeks (base 0)]],AF$7)=0,NA(),_xlfn.BINOM.DIST(S_binomial[[#This Row],[X base]],E$5,E$6,FALSE))</f>
        <v>7.529536000000004E-6</v>
      </c>
      <c r="AI21" s="99" t="b">
        <f>S_binomial[[#This Row],[X base]]&lt;AF$5</f>
        <v>1</v>
      </c>
      <c r="AJ21" s="99" t="b">
        <f>S_binomial[[#This Row],[X base]]=AF$5</f>
        <v>0</v>
      </c>
      <c r="AK21" s="99" t="b">
        <f>S_binomial[[#This Row],[X base]]&gt;AF$5</f>
        <v>0</v>
      </c>
      <c r="AL21" s="99">
        <f>IF(S_binomial[[#This Row],[Mindre end]],S_binomial[[#This Row],[Binomialfordeling]],NA())</f>
        <v>7.529536000000004E-6</v>
      </c>
      <c r="AM21" s="99" t="e">
        <f>IF(S_binomial[[#This Row],[Lig med]],S_binomial[[#This Row],[Binomialfordeling]],NA())</f>
        <v>#N/A</v>
      </c>
      <c r="AN21" s="99" t="e">
        <f>IF(S_binomial[[#This Row],[Større end]],S_binomial[[#This Row],[Binomialfordeling]],NA())</f>
        <v>#N/A</v>
      </c>
      <c r="AO21" s="85" t="str">
        <f>_xlfn.IFNA(IF(MOD(S_binomial[[#This Row],[Indeks (base 0)]],AF$7)=ROUNDDOWN(AF$7/2,0),S_binomial[[#This Row],[X base]],""),"")</f>
        <v/>
      </c>
      <c r="AP21" s="99" t="str">
        <f t="shared" si="6"/>
        <v xml:space="preserve"> </v>
      </c>
      <c r="AR21" s="54">
        <f t="shared" si="7"/>
        <v>8</v>
      </c>
      <c r="AS21" s="54">
        <f>S_normal27[[#This Row],[Indeks (base 0)]]+1</f>
        <v>9</v>
      </c>
      <c r="AT21" s="54">
        <f t="shared" si="10"/>
        <v>0</v>
      </c>
      <c r="AU21" s="54">
        <f>IF(MOD(S_normal27[[#This Row],[Indeks (base 0)]],AS$8)=0,NA(),_xlfn.POISSON.DIST(S_normal27[[#This Row],[X base]],$H$5,FALSE))</f>
        <v>4.9787068367863944E-2</v>
      </c>
      <c r="AV21" s="99" t="b">
        <f>S_normal27[[#This Row],[X base]]&lt;AS$5</f>
        <v>1</v>
      </c>
      <c r="AW21" s="99" t="b">
        <f>S_normal27[[#This Row],[X base]]=AS$5</f>
        <v>0</v>
      </c>
      <c r="AX21" s="99" t="b">
        <f>S_normal27[[#This Row],[X base]]&gt;AS$5</f>
        <v>0</v>
      </c>
      <c r="AY21" s="99">
        <f>IF(S_normal27[[#This Row],[Mindre end]],S_normal27[[#This Row],[Poissonfordeling]],NA())</f>
        <v>4.9787068367863944E-2</v>
      </c>
      <c r="AZ21" s="99" t="e">
        <f>IF(S_normal27[[#This Row],[Lig med]],S_normal27[[#This Row],[Poissonfordeling]],NA())</f>
        <v>#N/A</v>
      </c>
      <c r="BA21" s="99" t="e">
        <f>IF(S_normal27[[#This Row],[Større end]],S_normal27[[#This Row],[Poissonfordeling]],NA())</f>
        <v>#N/A</v>
      </c>
      <c r="BB21" s="85" t="str">
        <f>_xlfn.IFNA(IF(MOD(S_normal27[[#This Row],[Indeks (base 0)]],AS$8)=ROUNDDOWN(AS$8/2,0),S_normal27[[#This Row],[X base]],""),"")</f>
        <v/>
      </c>
      <c r="BC21" s="99" t="str">
        <f t="shared" si="9"/>
        <v xml:space="preserve"> </v>
      </c>
    </row>
    <row r="22" spans="1:55" x14ac:dyDescent="0.2">
      <c r="T22" s="54">
        <f t="shared" si="0"/>
        <v>9</v>
      </c>
      <c r="U22" s="54">
        <f>S_normal[[#This Row],[Indeks (base 0)]]+1</f>
        <v>10</v>
      </c>
      <c r="V22" s="54">
        <f t="shared" si="1"/>
        <v>-2.8746347034119193</v>
      </c>
      <c r="W22" s="54">
        <f t="shared" si="2"/>
        <v>6.4048428962354522E-3</v>
      </c>
      <c r="X22" s="99" t="b">
        <f>S_normal[[#This Row],[X base]]&lt;U$7</f>
        <v>1</v>
      </c>
      <c r="Y22" s="99" t="b">
        <f>S_normal[[#This Row],[X base]]&gt;U$7</f>
        <v>0</v>
      </c>
      <c r="Z22" s="99">
        <f>IF(S_normal[[#This Row],[Mindre end]],S_normal[[#This Row],[Normalfordeling]],NA())</f>
        <v>6.4048428962354522E-3</v>
      </c>
      <c r="AA22" s="99" t="e">
        <f>IF(S_normal[[#This Row],[Større end]],S_normal[[#This Row],[Normalfordeling]],NA())</f>
        <v>#N/A</v>
      </c>
      <c r="AB22" s="72" t="str">
        <f>_xlfn.IFNA(IF(S_normal[[#This Row],[Indeks (base 0)]]=ROUND((ROUND(S_normal[[#This Row],[X base]],0)-U$8)/(U$9-U$8)*U$4,0),S_normal[[#This Row],[X base]]*B$6+B$5,""),"")</f>
        <v/>
      </c>
      <c r="AC22" s="99" t="str">
        <f t="shared" si="3"/>
        <v xml:space="preserve"> </v>
      </c>
      <c r="AE22" s="54">
        <f t="shared" si="4"/>
        <v>9</v>
      </c>
      <c r="AF22" s="54">
        <f>S_binomial[[#This Row],[Indeks (base 0)]]+1</f>
        <v>10</v>
      </c>
      <c r="AG22" s="54">
        <f t="shared" si="5"/>
        <v>0</v>
      </c>
      <c r="AH22" s="54">
        <f>IF(MOD(S_binomial[[#This Row],[Indeks (base 0)]],AF$7)=0,NA(),_xlfn.BINOM.DIST(S_binomial[[#This Row],[X base]],E$5,E$6,FALSE))</f>
        <v>7.529536000000004E-6</v>
      </c>
      <c r="AI22" s="99" t="b">
        <f>S_binomial[[#This Row],[X base]]&lt;AF$5</f>
        <v>1</v>
      </c>
      <c r="AJ22" s="99" t="b">
        <f>S_binomial[[#This Row],[X base]]=AF$5</f>
        <v>0</v>
      </c>
      <c r="AK22" s="99" t="b">
        <f>S_binomial[[#This Row],[X base]]&gt;AF$5</f>
        <v>0</v>
      </c>
      <c r="AL22" s="99">
        <f>IF(S_binomial[[#This Row],[Mindre end]],S_binomial[[#This Row],[Binomialfordeling]],NA())</f>
        <v>7.529536000000004E-6</v>
      </c>
      <c r="AM22" s="99" t="e">
        <f>IF(S_binomial[[#This Row],[Lig med]],S_binomial[[#This Row],[Binomialfordeling]],NA())</f>
        <v>#N/A</v>
      </c>
      <c r="AN22" s="99" t="e">
        <f>IF(S_binomial[[#This Row],[Større end]],S_binomial[[#This Row],[Binomialfordeling]],NA())</f>
        <v>#N/A</v>
      </c>
      <c r="AO22" s="85" t="str">
        <f>_xlfn.IFNA(IF(MOD(S_binomial[[#This Row],[Indeks (base 0)]],AF$7)=ROUNDDOWN(AF$7/2,0),S_binomial[[#This Row],[X base]],""),"")</f>
        <v/>
      </c>
      <c r="AP22" s="99" t="str">
        <f t="shared" si="6"/>
        <v xml:space="preserve"> </v>
      </c>
      <c r="AR22" s="54">
        <f t="shared" si="7"/>
        <v>9</v>
      </c>
      <c r="AS22" s="54">
        <f>S_normal27[[#This Row],[Indeks (base 0)]]+1</f>
        <v>10</v>
      </c>
      <c r="AT22" s="54">
        <f t="shared" si="10"/>
        <v>0</v>
      </c>
      <c r="AU22" s="54">
        <f>IF(MOD(S_normal27[[#This Row],[Indeks (base 0)]],AS$8)=0,NA(),_xlfn.POISSON.DIST(S_normal27[[#This Row],[X base]],$H$5,FALSE))</f>
        <v>4.9787068367863944E-2</v>
      </c>
      <c r="AV22" s="99" t="b">
        <f>S_normal27[[#This Row],[X base]]&lt;AS$5</f>
        <v>1</v>
      </c>
      <c r="AW22" s="99" t="b">
        <f>S_normal27[[#This Row],[X base]]=AS$5</f>
        <v>0</v>
      </c>
      <c r="AX22" s="99" t="b">
        <f>S_normal27[[#This Row],[X base]]&gt;AS$5</f>
        <v>0</v>
      </c>
      <c r="AY22" s="99">
        <f>IF(S_normal27[[#This Row],[Mindre end]],S_normal27[[#This Row],[Poissonfordeling]],NA())</f>
        <v>4.9787068367863944E-2</v>
      </c>
      <c r="AZ22" s="99" t="e">
        <f>IF(S_normal27[[#This Row],[Lig med]],S_normal27[[#This Row],[Poissonfordeling]],NA())</f>
        <v>#N/A</v>
      </c>
      <c r="BA22" s="99" t="e">
        <f>IF(S_normal27[[#This Row],[Større end]],S_normal27[[#This Row],[Poissonfordeling]],NA())</f>
        <v>#N/A</v>
      </c>
      <c r="BB22" s="85" t="str">
        <f>_xlfn.IFNA(IF(MOD(S_normal27[[#This Row],[Indeks (base 0)]],AS$8)=ROUNDDOWN(AS$8/2,0),S_normal27[[#This Row],[X base]],""),"")</f>
        <v/>
      </c>
      <c r="BC22" s="99" t="str">
        <f t="shared" si="9"/>
        <v xml:space="preserve"> </v>
      </c>
    </row>
    <row r="23" spans="1:55" x14ac:dyDescent="0.2">
      <c r="T23" s="54">
        <f t="shared" si="0"/>
        <v>10</v>
      </c>
      <c r="U23" s="54">
        <f>S_normal[[#This Row],[Indeks (base 0)]]+1</f>
        <v>11</v>
      </c>
      <c r="V23" s="54">
        <f t="shared" si="1"/>
        <v>-2.8506794142168199</v>
      </c>
      <c r="W23" s="54">
        <f t="shared" si="2"/>
        <v>6.859470035530551E-3</v>
      </c>
      <c r="X23" s="99" t="b">
        <f>S_normal[[#This Row],[X base]]&lt;U$7</f>
        <v>1</v>
      </c>
      <c r="Y23" s="99" t="b">
        <f>S_normal[[#This Row],[X base]]&gt;U$7</f>
        <v>0</v>
      </c>
      <c r="Z23" s="99">
        <f>IF(S_normal[[#This Row],[Mindre end]],S_normal[[#This Row],[Normalfordeling]],NA())</f>
        <v>6.859470035530551E-3</v>
      </c>
      <c r="AA23" s="99" t="e">
        <f>IF(S_normal[[#This Row],[Større end]],S_normal[[#This Row],[Normalfordeling]],NA())</f>
        <v>#N/A</v>
      </c>
      <c r="AB23" s="72" t="str">
        <f>_xlfn.IFNA(IF(S_normal[[#This Row],[Indeks (base 0)]]=ROUND((ROUND(S_normal[[#This Row],[X base]],0)-U$8)/(U$9-U$8)*U$4,0),S_normal[[#This Row],[X base]]*B$6+B$5,""),"")</f>
        <v/>
      </c>
      <c r="AC23" s="99" t="str">
        <f t="shared" si="3"/>
        <v xml:space="preserve"> </v>
      </c>
      <c r="AE23" s="54">
        <f t="shared" si="4"/>
        <v>10</v>
      </c>
      <c r="AF23" s="54">
        <f>S_binomial[[#This Row],[Indeks (base 0)]]+1</f>
        <v>11</v>
      </c>
      <c r="AG23" s="54">
        <f t="shared" si="5"/>
        <v>0</v>
      </c>
      <c r="AH23" s="54">
        <f>IF(MOD(S_binomial[[#This Row],[Indeks (base 0)]],AF$7)=0,NA(),_xlfn.BINOM.DIST(S_binomial[[#This Row],[X base]],E$5,E$6,FALSE))</f>
        <v>7.529536000000004E-6</v>
      </c>
      <c r="AI23" s="99" t="b">
        <f>S_binomial[[#This Row],[X base]]&lt;AF$5</f>
        <v>1</v>
      </c>
      <c r="AJ23" s="99" t="b">
        <f>S_binomial[[#This Row],[X base]]=AF$5</f>
        <v>0</v>
      </c>
      <c r="AK23" s="99" t="b">
        <f>S_binomial[[#This Row],[X base]]&gt;AF$5</f>
        <v>0</v>
      </c>
      <c r="AL23" s="99">
        <f>IF(S_binomial[[#This Row],[Mindre end]],S_binomial[[#This Row],[Binomialfordeling]],NA())</f>
        <v>7.529536000000004E-6</v>
      </c>
      <c r="AM23" s="99" t="e">
        <f>IF(S_binomial[[#This Row],[Lig med]],S_binomial[[#This Row],[Binomialfordeling]],NA())</f>
        <v>#N/A</v>
      </c>
      <c r="AN23" s="99" t="e">
        <f>IF(S_binomial[[#This Row],[Større end]],S_binomial[[#This Row],[Binomialfordeling]],NA())</f>
        <v>#N/A</v>
      </c>
      <c r="AO23" s="85" t="str">
        <f>_xlfn.IFNA(IF(MOD(S_binomial[[#This Row],[Indeks (base 0)]],AF$7)=ROUNDDOWN(AF$7/2,0),S_binomial[[#This Row],[X base]],""),"")</f>
        <v/>
      </c>
      <c r="AP23" s="99" t="str">
        <f t="shared" si="6"/>
        <v xml:space="preserve"> </v>
      </c>
      <c r="AR23" s="54">
        <f t="shared" si="7"/>
        <v>10</v>
      </c>
      <c r="AS23" s="54">
        <f>S_normal27[[#This Row],[Indeks (base 0)]]+1</f>
        <v>11</v>
      </c>
      <c r="AT23" s="54">
        <f t="shared" si="10"/>
        <v>0</v>
      </c>
      <c r="AU23" s="54">
        <f>IF(MOD(S_normal27[[#This Row],[Indeks (base 0)]],AS$8)=0,NA(),_xlfn.POISSON.DIST(S_normal27[[#This Row],[X base]],$H$5,FALSE))</f>
        <v>4.9787068367863944E-2</v>
      </c>
      <c r="AV23" s="99" t="b">
        <f>S_normal27[[#This Row],[X base]]&lt;AS$5</f>
        <v>1</v>
      </c>
      <c r="AW23" s="99" t="b">
        <f>S_normal27[[#This Row],[X base]]=AS$5</f>
        <v>0</v>
      </c>
      <c r="AX23" s="99" t="b">
        <f>S_normal27[[#This Row],[X base]]&gt;AS$5</f>
        <v>0</v>
      </c>
      <c r="AY23" s="99">
        <f>IF(S_normal27[[#This Row],[Mindre end]],S_normal27[[#This Row],[Poissonfordeling]],NA())</f>
        <v>4.9787068367863944E-2</v>
      </c>
      <c r="AZ23" s="99" t="e">
        <f>IF(S_normal27[[#This Row],[Lig med]],S_normal27[[#This Row],[Poissonfordeling]],NA())</f>
        <v>#N/A</v>
      </c>
      <c r="BA23" s="99" t="e">
        <f>IF(S_normal27[[#This Row],[Større end]],S_normal27[[#This Row],[Poissonfordeling]],NA())</f>
        <v>#N/A</v>
      </c>
      <c r="BB23" s="85" t="str">
        <f>_xlfn.IFNA(IF(MOD(S_normal27[[#This Row],[Indeks (base 0)]],AS$8)=ROUNDDOWN(AS$8/2,0),S_normal27[[#This Row],[X base]],""),"")</f>
        <v/>
      </c>
      <c r="BC23" s="99" t="str">
        <f t="shared" si="9"/>
        <v xml:space="preserve"> </v>
      </c>
    </row>
    <row r="24" spans="1:55" x14ac:dyDescent="0.2">
      <c r="T24" s="54">
        <f t="shared" si="0"/>
        <v>11</v>
      </c>
      <c r="U24" s="54">
        <f>S_normal[[#This Row],[Indeks (base 0)]]+1</f>
        <v>12</v>
      </c>
      <c r="V24" s="54">
        <f t="shared" si="1"/>
        <v>-2.8267241250217205</v>
      </c>
      <c r="W24" s="54">
        <f t="shared" si="2"/>
        <v>7.3421528709367023E-3</v>
      </c>
      <c r="X24" s="99" t="b">
        <f>S_normal[[#This Row],[X base]]&lt;U$7</f>
        <v>1</v>
      </c>
      <c r="Y24" s="99" t="b">
        <f>S_normal[[#This Row],[X base]]&gt;U$7</f>
        <v>0</v>
      </c>
      <c r="Z24" s="99">
        <f>IF(S_normal[[#This Row],[Mindre end]],S_normal[[#This Row],[Normalfordeling]],NA())</f>
        <v>7.3421528709367023E-3</v>
      </c>
      <c r="AA24" s="99" t="e">
        <f>IF(S_normal[[#This Row],[Større end]],S_normal[[#This Row],[Normalfordeling]],NA())</f>
        <v>#N/A</v>
      </c>
      <c r="AB24" s="72" t="str">
        <f>_xlfn.IFNA(IF(S_normal[[#This Row],[Indeks (base 0)]]=ROUND((ROUND(S_normal[[#This Row],[X base]],0)-U$8)/(U$9-U$8)*U$4,0),S_normal[[#This Row],[X base]]*B$6+B$5,""),"")</f>
        <v/>
      </c>
      <c r="AC24" s="99" t="str">
        <f t="shared" si="3"/>
        <v xml:space="preserve"> </v>
      </c>
      <c r="AE24" s="54">
        <f t="shared" si="4"/>
        <v>11</v>
      </c>
      <c r="AF24" s="54">
        <f>S_binomial[[#This Row],[Indeks (base 0)]]+1</f>
        <v>12</v>
      </c>
      <c r="AG24" s="54">
        <f t="shared" si="5"/>
        <v>0</v>
      </c>
      <c r="AH24" s="54">
        <f>IF(MOD(S_binomial[[#This Row],[Indeks (base 0)]],AF$7)=0,NA(),_xlfn.BINOM.DIST(S_binomial[[#This Row],[X base]],E$5,E$6,FALSE))</f>
        <v>7.529536000000004E-6</v>
      </c>
      <c r="AI24" s="99" t="b">
        <f>S_binomial[[#This Row],[X base]]&lt;AF$5</f>
        <v>1</v>
      </c>
      <c r="AJ24" s="99" t="b">
        <f>S_binomial[[#This Row],[X base]]=AF$5</f>
        <v>0</v>
      </c>
      <c r="AK24" s="99" t="b">
        <f>S_binomial[[#This Row],[X base]]&gt;AF$5</f>
        <v>0</v>
      </c>
      <c r="AL24" s="99">
        <f>IF(S_binomial[[#This Row],[Mindre end]],S_binomial[[#This Row],[Binomialfordeling]],NA())</f>
        <v>7.529536000000004E-6</v>
      </c>
      <c r="AM24" s="99" t="e">
        <f>IF(S_binomial[[#This Row],[Lig med]],S_binomial[[#This Row],[Binomialfordeling]],NA())</f>
        <v>#N/A</v>
      </c>
      <c r="AN24" s="99" t="e">
        <f>IF(S_binomial[[#This Row],[Større end]],S_binomial[[#This Row],[Binomialfordeling]],NA())</f>
        <v>#N/A</v>
      </c>
      <c r="AO24" s="85" t="str">
        <f>_xlfn.IFNA(IF(MOD(S_binomial[[#This Row],[Indeks (base 0)]],AF$7)=ROUNDDOWN(AF$7/2,0),S_binomial[[#This Row],[X base]],""),"")</f>
        <v/>
      </c>
      <c r="AP24" s="99" t="str">
        <f t="shared" si="6"/>
        <v xml:space="preserve"> </v>
      </c>
      <c r="AR24" s="54">
        <f t="shared" si="7"/>
        <v>11</v>
      </c>
      <c r="AS24" s="54">
        <f>S_normal27[[#This Row],[Indeks (base 0)]]+1</f>
        <v>12</v>
      </c>
      <c r="AT24" s="54">
        <f t="shared" si="10"/>
        <v>0</v>
      </c>
      <c r="AU24" s="54">
        <f>IF(MOD(S_normal27[[#This Row],[Indeks (base 0)]],AS$8)=0,NA(),_xlfn.POISSON.DIST(S_normal27[[#This Row],[X base]],$H$5,FALSE))</f>
        <v>4.9787068367863944E-2</v>
      </c>
      <c r="AV24" s="99" t="b">
        <f>S_normal27[[#This Row],[X base]]&lt;AS$5</f>
        <v>1</v>
      </c>
      <c r="AW24" s="99" t="b">
        <f>S_normal27[[#This Row],[X base]]=AS$5</f>
        <v>0</v>
      </c>
      <c r="AX24" s="99" t="b">
        <f>S_normal27[[#This Row],[X base]]&gt;AS$5</f>
        <v>0</v>
      </c>
      <c r="AY24" s="99">
        <f>IF(S_normal27[[#This Row],[Mindre end]],S_normal27[[#This Row],[Poissonfordeling]],NA())</f>
        <v>4.9787068367863944E-2</v>
      </c>
      <c r="AZ24" s="99" t="e">
        <f>IF(S_normal27[[#This Row],[Lig med]],S_normal27[[#This Row],[Poissonfordeling]],NA())</f>
        <v>#N/A</v>
      </c>
      <c r="BA24" s="99" t="e">
        <f>IF(S_normal27[[#This Row],[Større end]],S_normal27[[#This Row],[Poissonfordeling]],NA())</f>
        <v>#N/A</v>
      </c>
      <c r="BB24" s="85" t="str">
        <f>_xlfn.IFNA(IF(MOD(S_normal27[[#This Row],[Indeks (base 0)]],AS$8)=ROUNDDOWN(AS$8/2,0),S_normal27[[#This Row],[X base]],""),"")</f>
        <v/>
      </c>
      <c r="BC24" s="99" t="str">
        <f t="shared" si="9"/>
        <v xml:space="preserve"> </v>
      </c>
    </row>
    <row r="25" spans="1:55" x14ac:dyDescent="0.2">
      <c r="T25" s="54">
        <f t="shared" si="0"/>
        <v>12</v>
      </c>
      <c r="U25" s="54">
        <f>S_normal[[#This Row],[Indeks (base 0)]]+1</f>
        <v>13</v>
      </c>
      <c r="V25" s="54">
        <f t="shared" si="1"/>
        <v>-2.8027688358266212</v>
      </c>
      <c r="W25" s="54">
        <f t="shared" si="2"/>
        <v>7.8542923005407734E-3</v>
      </c>
      <c r="X25" s="99" t="b">
        <f>S_normal[[#This Row],[X base]]&lt;U$7</f>
        <v>1</v>
      </c>
      <c r="Y25" s="99" t="b">
        <f>S_normal[[#This Row],[X base]]&gt;U$7</f>
        <v>0</v>
      </c>
      <c r="Z25" s="99">
        <f>IF(S_normal[[#This Row],[Mindre end]],S_normal[[#This Row],[Normalfordeling]],NA())</f>
        <v>7.8542923005407734E-3</v>
      </c>
      <c r="AA25" s="99" t="e">
        <f>IF(S_normal[[#This Row],[Større end]],S_normal[[#This Row],[Normalfordeling]],NA())</f>
        <v>#N/A</v>
      </c>
      <c r="AB25" s="72" t="str">
        <f>_xlfn.IFNA(IF(S_normal[[#This Row],[Indeks (base 0)]]=ROUND((ROUND(S_normal[[#This Row],[X base]],0)-U$8)/(U$9-U$8)*U$4,0),S_normal[[#This Row],[X base]]*B$6+B$5,""),"")</f>
        <v/>
      </c>
      <c r="AC25" s="99" t="str">
        <f t="shared" si="3"/>
        <v xml:space="preserve"> </v>
      </c>
      <c r="AE25" s="54">
        <f t="shared" si="4"/>
        <v>12</v>
      </c>
      <c r="AF25" s="54">
        <f>S_binomial[[#This Row],[Indeks (base 0)]]+1</f>
        <v>13</v>
      </c>
      <c r="AG25" s="54">
        <f t="shared" si="5"/>
        <v>0</v>
      </c>
      <c r="AH25" s="54">
        <f>IF(MOD(S_binomial[[#This Row],[Indeks (base 0)]],AF$7)=0,NA(),_xlfn.BINOM.DIST(S_binomial[[#This Row],[X base]],E$5,E$6,FALSE))</f>
        <v>7.529536000000004E-6</v>
      </c>
      <c r="AI25" s="99" t="b">
        <f>S_binomial[[#This Row],[X base]]&lt;AF$5</f>
        <v>1</v>
      </c>
      <c r="AJ25" s="99" t="b">
        <f>S_binomial[[#This Row],[X base]]=AF$5</f>
        <v>0</v>
      </c>
      <c r="AK25" s="99" t="b">
        <f>S_binomial[[#This Row],[X base]]&gt;AF$5</f>
        <v>0</v>
      </c>
      <c r="AL25" s="99">
        <f>IF(S_binomial[[#This Row],[Mindre end]],S_binomial[[#This Row],[Binomialfordeling]],NA())</f>
        <v>7.529536000000004E-6</v>
      </c>
      <c r="AM25" s="99" t="e">
        <f>IF(S_binomial[[#This Row],[Lig med]],S_binomial[[#This Row],[Binomialfordeling]],NA())</f>
        <v>#N/A</v>
      </c>
      <c r="AN25" s="99" t="e">
        <f>IF(S_binomial[[#This Row],[Større end]],S_binomial[[#This Row],[Binomialfordeling]],NA())</f>
        <v>#N/A</v>
      </c>
      <c r="AO25" s="85" t="str">
        <f>_xlfn.IFNA(IF(MOD(S_binomial[[#This Row],[Indeks (base 0)]],AF$7)=ROUNDDOWN(AF$7/2,0),S_binomial[[#This Row],[X base]],""),"")</f>
        <v/>
      </c>
      <c r="AP25" s="99" t="str">
        <f t="shared" si="6"/>
        <v xml:space="preserve"> </v>
      </c>
      <c r="AR25" s="54">
        <f t="shared" si="7"/>
        <v>12</v>
      </c>
      <c r="AS25" s="54">
        <f>S_normal27[[#This Row],[Indeks (base 0)]]+1</f>
        <v>13</v>
      </c>
      <c r="AT25" s="54">
        <f t="shared" si="10"/>
        <v>0</v>
      </c>
      <c r="AU25" s="54">
        <f>IF(MOD(S_normal27[[#This Row],[Indeks (base 0)]],AS$8)=0,NA(),_xlfn.POISSON.DIST(S_normal27[[#This Row],[X base]],$H$5,FALSE))</f>
        <v>4.9787068367863944E-2</v>
      </c>
      <c r="AV25" s="99" t="b">
        <f>S_normal27[[#This Row],[X base]]&lt;AS$5</f>
        <v>1</v>
      </c>
      <c r="AW25" s="99" t="b">
        <f>S_normal27[[#This Row],[X base]]=AS$5</f>
        <v>0</v>
      </c>
      <c r="AX25" s="99" t="b">
        <f>S_normal27[[#This Row],[X base]]&gt;AS$5</f>
        <v>0</v>
      </c>
      <c r="AY25" s="99">
        <f>IF(S_normal27[[#This Row],[Mindre end]],S_normal27[[#This Row],[Poissonfordeling]],NA())</f>
        <v>4.9787068367863944E-2</v>
      </c>
      <c r="AZ25" s="99" t="e">
        <f>IF(S_normal27[[#This Row],[Lig med]],S_normal27[[#This Row],[Poissonfordeling]],NA())</f>
        <v>#N/A</v>
      </c>
      <c r="BA25" s="99" t="e">
        <f>IF(S_normal27[[#This Row],[Større end]],S_normal27[[#This Row],[Poissonfordeling]],NA())</f>
        <v>#N/A</v>
      </c>
      <c r="BB25" s="85" t="str">
        <f>_xlfn.IFNA(IF(MOD(S_normal27[[#This Row],[Indeks (base 0)]],AS$8)=ROUNDDOWN(AS$8/2,0),S_normal27[[#This Row],[X base]],""),"")</f>
        <v/>
      </c>
      <c r="BC25" s="99" t="str">
        <f t="shared" si="9"/>
        <v xml:space="preserve"> </v>
      </c>
    </row>
    <row r="26" spans="1:55" x14ac:dyDescent="0.2">
      <c r="T26" s="54">
        <f t="shared" si="0"/>
        <v>13</v>
      </c>
      <c r="U26" s="54">
        <f>S_normal[[#This Row],[Indeks (base 0)]]+1</f>
        <v>14</v>
      </c>
      <c r="V26" s="54">
        <f t="shared" si="1"/>
        <v>-2.7788135466315218</v>
      </c>
      <c r="W26" s="54">
        <f t="shared" si="2"/>
        <v>8.3973349051078925E-3</v>
      </c>
      <c r="X26" s="99" t="b">
        <f>S_normal[[#This Row],[X base]]&lt;U$7</f>
        <v>1</v>
      </c>
      <c r="Y26" s="99" t="b">
        <f>S_normal[[#This Row],[X base]]&gt;U$7</f>
        <v>0</v>
      </c>
      <c r="Z26" s="99">
        <f>IF(S_normal[[#This Row],[Mindre end]],S_normal[[#This Row],[Normalfordeling]],NA())</f>
        <v>8.3973349051078925E-3</v>
      </c>
      <c r="AA26" s="99" t="e">
        <f>IF(S_normal[[#This Row],[Større end]],S_normal[[#This Row],[Normalfordeling]],NA())</f>
        <v>#N/A</v>
      </c>
      <c r="AB26" s="72" t="str">
        <f>_xlfn.IFNA(IF(S_normal[[#This Row],[Indeks (base 0)]]=ROUND((ROUND(S_normal[[#This Row],[X base]],0)-U$8)/(U$9-U$8)*U$4,0),S_normal[[#This Row],[X base]]*B$6+B$5,""),"")</f>
        <v/>
      </c>
      <c r="AC26" s="99" t="str">
        <f t="shared" si="3"/>
        <v xml:space="preserve"> </v>
      </c>
      <c r="AE26" s="54">
        <f t="shared" si="4"/>
        <v>13</v>
      </c>
      <c r="AF26" s="54">
        <f>S_binomial[[#This Row],[Indeks (base 0)]]+1</f>
        <v>14</v>
      </c>
      <c r="AG26" s="54">
        <f t="shared" si="5"/>
        <v>0</v>
      </c>
      <c r="AH26" s="54">
        <f>IF(MOD(S_binomial[[#This Row],[Indeks (base 0)]],AF$7)=0,NA(),_xlfn.BINOM.DIST(S_binomial[[#This Row],[X base]],E$5,E$6,FALSE))</f>
        <v>7.529536000000004E-6</v>
      </c>
      <c r="AI26" s="99" t="b">
        <f>S_binomial[[#This Row],[X base]]&lt;AF$5</f>
        <v>1</v>
      </c>
      <c r="AJ26" s="99" t="b">
        <f>S_binomial[[#This Row],[X base]]=AF$5</f>
        <v>0</v>
      </c>
      <c r="AK26" s="99" t="b">
        <f>S_binomial[[#This Row],[X base]]&gt;AF$5</f>
        <v>0</v>
      </c>
      <c r="AL26" s="99">
        <f>IF(S_binomial[[#This Row],[Mindre end]],S_binomial[[#This Row],[Binomialfordeling]],NA())</f>
        <v>7.529536000000004E-6</v>
      </c>
      <c r="AM26" s="99" t="e">
        <f>IF(S_binomial[[#This Row],[Lig med]],S_binomial[[#This Row],[Binomialfordeling]],NA())</f>
        <v>#N/A</v>
      </c>
      <c r="AN26" s="99" t="e">
        <f>IF(S_binomial[[#This Row],[Større end]],S_binomial[[#This Row],[Binomialfordeling]],NA())</f>
        <v>#N/A</v>
      </c>
      <c r="AO26" s="85" t="str">
        <f>_xlfn.IFNA(IF(MOD(S_binomial[[#This Row],[Indeks (base 0)]],AF$7)=ROUNDDOWN(AF$7/2,0),S_binomial[[#This Row],[X base]],""),"")</f>
        <v/>
      </c>
      <c r="AP26" s="99" t="str">
        <f t="shared" si="6"/>
        <v xml:space="preserve"> </v>
      </c>
      <c r="AR26" s="54">
        <f t="shared" si="7"/>
        <v>13</v>
      </c>
      <c r="AS26" s="54">
        <f>S_normal27[[#This Row],[Indeks (base 0)]]+1</f>
        <v>14</v>
      </c>
      <c r="AT26" s="54">
        <f t="shared" si="10"/>
        <v>0</v>
      </c>
      <c r="AU26" s="54">
        <f>IF(MOD(S_normal27[[#This Row],[Indeks (base 0)]],AS$8)=0,NA(),_xlfn.POISSON.DIST(S_normal27[[#This Row],[X base]],$H$5,FALSE))</f>
        <v>4.9787068367863944E-2</v>
      </c>
      <c r="AV26" s="99" t="b">
        <f>S_normal27[[#This Row],[X base]]&lt;AS$5</f>
        <v>1</v>
      </c>
      <c r="AW26" s="99" t="b">
        <f>S_normal27[[#This Row],[X base]]=AS$5</f>
        <v>0</v>
      </c>
      <c r="AX26" s="99" t="b">
        <f>S_normal27[[#This Row],[X base]]&gt;AS$5</f>
        <v>0</v>
      </c>
      <c r="AY26" s="99">
        <f>IF(S_normal27[[#This Row],[Mindre end]],S_normal27[[#This Row],[Poissonfordeling]],NA())</f>
        <v>4.9787068367863944E-2</v>
      </c>
      <c r="AZ26" s="99" t="e">
        <f>IF(S_normal27[[#This Row],[Lig med]],S_normal27[[#This Row],[Poissonfordeling]],NA())</f>
        <v>#N/A</v>
      </c>
      <c r="BA26" s="99" t="e">
        <f>IF(S_normal27[[#This Row],[Større end]],S_normal27[[#This Row],[Poissonfordeling]],NA())</f>
        <v>#N/A</v>
      </c>
      <c r="BB26" s="85" t="str">
        <f>_xlfn.IFNA(IF(MOD(S_normal27[[#This Row],[Indeks (base 0)]],AS$8)=ROUNDDOWN(AS$8/2,0),S_normal27[[#This Row],[X base]],""),"")</f>
        <v/>
      </c>
      <c r="BC26" s="99" t="str">
        <f t="shared" si="9"/>
        <v xml:space="preserve"> </v>
      </c>
    </row>
    <row r="27" spans="1:55" x14ac:dyDescent="0.2">
      <c r="T27" s="54">
        <f t="shared" si="0"/>
        <v>14</v>
      </c>
      <c r="U27" s="54">
        <f>S_normal[[#This Row],[Indeks (base 0)]]+1</f>
        <v>15</v>
      </c>
      <c r="V27" s="54">
        <f t="shared" si="1"/>
        <v>-2.7548582574364224</v>
      </c>
      <c r="W27" s="54">
        <f t="shared" si="2"/>
        <v>8.9727727004466455E-3</v>
      </c>
      <c r="X27" s="99" t="b">
        <f>S_normal[[#This Row],[X base]]&lt;U$7</f>
        <v>1</v>
      </c>
      <c r="Y27" s="99" t="b">
        <f>S_normal[[#This Row],[X base]]&gt;U$7</f>
        <v>0</v>
      </c>
      <c r="Z27" s="99">
        <f>IF(S_normal[[#This Row],[Mindre end]],S_normal[[#This Row],[Normalfordeling]],NA())</f>
        <v>8.9727727004466455E-3</v>
      </c>
      <c r="AA27" s="99" t="e">
        <f>IF(S_normal[[#This Row],[Større end]],S_normal[[#This Row],[Normalfordeling]],NA())</f>
        <v>#N/A</v>
      </c>
      <c r="AB27" s="72" t="str">
        <f>_xlfn.IFNA(IF(S_normal[[#This Row],[Indeks (base 0)]]=ROUND((ROUND(S_normal[[#This Row],[X base]],0)-U$8)/(U$9-U$8)*U$4,0),S_normal[[#This Row],[X base]]*B$6+B$5,""),"")</f>
        <v/>
      </c>
      <c r="AC27" s="99" t="str">
        <f t="shared" si="3"/>
        <v xml:space="preserve"> </v>
      </c>
      <c r="AE27" s="54">
        <f t="shared" si="4"/>
        <v>14</v>
      </c>
      <c r="AF27" s="54">
        <f>S_binomial[[#This Row],[Indeks (base 0)]]+1</f>
        <v>15</v>
      </c>
      <c r="AG27" s="54">
        <f t="shared" si="5"/>
        <v>0</v>
      </c>
      <c r="AH27" s="54">
        <f>IF(MOD(S_binomial[[#This Row],[Indeks (base 0)]],AF$7)=0,NA(),_xlfn.BINOM.DIST(S_binomial[[#This Row],[X base]],E$5,E$6,FALSE))</f>
        <v>7.529536000000004E-6</v>
      </c>
      <c r="AI27" s="99" t="b">
        <f>S_binomial[[#This Row],[X base]]&lt;AF$5</f>
        <v>1</v>
      </c>
      <c r="AJ27" s="99" t="b">
        <f>S_binomial[[#This Row],[X base]]=AF$5</f>
        <v>0</v>
      </c>
      <c r="AK27" s="99" t="b">
        <f>S_binomial[[#This Row],[X base]]&gt;AF$5</f>
        <v>0</v>
      </c>
      <c r="AL27" s="99">
        <f>IF(S_binomial[[#This Row],[Mindre end]],S_binomial[[#This Row],[Binomialfordeling]],NA())</f>
        <v>7.529536000000004E-6</v>
      </c>
      <c r="AM27" s="99" t="e">
        <f>IF(S_binomial[[#This Row],[Lig med]],S_binomial[[#This Row],[Binomialfordeling]],NA())</f>
        <v>#N/A</v>
      </c>
      <c r="AN27" s="99" t="e">
        <f>IF(S_binomial[[#This Row],[Større end]],S_binomial[[#This Row],[Binomialfordeling]],NA())</f>
        <v>#N/A</v>
      </c>
      <c r="AO27" s="85" t="str">
        <f>_xlfn.IFNA(IF(MOD(S_binomial[[#This Row],[Indeks (base 0)]],AF$7)=ROUNDDOWN(AF$7/2,0),S_binomial[[#This Row],[X base]],""),"")</f>
        <v/>
      </c>
      <c r="AP27" s="99" t="str">
        <f t="shared" si="6"/>
        <v xml:space="preserve"> </v>
      </c>
      <c r="AR27" s="54">
        <f t="shared" si="7"/>
        <v>14</v>
      </c>
      <c r="AS27" s="54">
        <f>S_normal27[[#This Row],[Indeks (base 0)]]+1</f>
        <v>15</v>
      </c>
      <c r="AT27" s="54">
        <f t="shared" si="10"/>
        <v>0</v>
      </c>
      <c r="AU27" s="54">
        <f>IF(MOD(S_normal27[[#This Row],[Indeks (base 0)]],AS$8)=0,NA(),_xlfn.POISSON.DIST(S_normal27[[#This Row],[X base]],$H$5,FALSE))</f>
        <v>4.9787068367863944E-2</v>
      </c>
      <c r="AV27" s="99" t="b">
        <f>S_normal27[[#This Row],[X base]]&lt;AS$5</f>
        <v>1</v>
      </c>
      <c r="AW27" s="99" t="b">
        <f>S_normal27[[#This Row],[X base]]=AS$5</f>
        <v>0</v>
      </c>
      <c r="AX27" s="99" t="b">
        <f>S_normal27[[#This Row],[X base]]&gt;AS$5</f>
        <v>0</v>
      </c>
      <c r="AY27" s="99">
        <f>IF(S_normal27[[#This Row],[Mindre end]],S_normal27[[#This Row],[Poissonfordeling]],NA())</f>
        <v>4.9787068367863944E-2</v>
      </c>
      <c r="AZ27" s="99" t="e">
        <f>IF(S_normal27[[#This Row],[Lig med]],S_normal27[[#This Row],[Poissonfordeling]],NA())</f>
        <v>#N/A</v>
      </c>
      <c r="BA27" s="99" t="e">
        <f>IF(S_normal27[[#This Row],[Større end]],S_normal27[[#This Row],[Poissonfordeling]],NA())</f>
        <v>#N/A</v>
      </c>
      <c r="BB27" s="85" t="str">
        <f>_xlfn.IFNA(IF(MOD(S_normal27[[#This Row],[Indeks (base 0)]],AS$8)=ROUNDDOWN(AS$8/2,0),S_normal27[[#This Row],[X base]],""),"")</f>
        <v/>
      </c>
      <c r="BC27" s="99" t="str">
        <f t="shared" si="9"/>
        <v xml:space="preserve"> </v>
      </c>
    </row>
    <row r="28" spans="1:55" x14ac:dyDescent="0.2">
      <c r="T28" s="54">
        <f t="shared" si="0"/>
        <v>15</v>
      </c>
      <c r="U28" s="54">
        <f>S_normal[[#This Row],[Indeks (base 0)]]+1</f>
        <v>16</v>
      </c>
      <c r="V28" s="99">
        <f t="shared" si="1"/>
        <v>-2.7309029682413231</v>
      </c>
      <c r="W28" s="99">
        <f t="shared" si="2"/>
        <v>9.582142737811215E-3</v>
      </c>
      <c r="X28" s="99" t="b">
        <f>S_normal[[#This Row],[X base]]&lt;U$7</f>
        <v>1</v>
      </c>
      <c r="Y28" s="99" t="b">
        <f>S_normal[[#This Row],[X base]]&gt;U$7</f>
        <v>0</v>
      </c>
      <c r="Z28" s="99">
        <f>IF(S_normal[[#This Row],[Mindre end]],S_normal[[#This Row],[Normalfordeling]],NA())</f>
        <v>9.582142737811215E-3</v>
      </c>
      <c r="AA28" s="99" t="e">
        <f>IF(S_normal[[#This Row],[Større end]],S_normal[[#This Row],[Normalfordeling]],NA())</f>
        <v>#N/A</v>
      </c>
      <c r="AB28" s="72" t="str">
        <f>_xlfn.IFNA(IF(S_normal[[#This Row],[Indeks (base 0)]]=ROUND((ROUND(S_normal[[#This Row],[X base]],0)-U$8)/(U$9-U$8)*U$4,0),S_normal[[#This Row],[X base]]*B$6+B$5,""),"")</f>
        <v/>
      </c>
      <c r="AC28" s="99" t="str">
        <f t="shared" si="3"/>
        <v xml:space="preserve"> </v>
      </c>
      <c r="AE28" s="54">
        <f t="shared" si="4"/>
        <v>15</v>
      </c>
      <c r="AF28" s="54">
        <f>S_binomial[[#This Row],[Indeks (base 0)]]+1</f>
        <v>16</v>
      </c>
      <c r="AG28" s="99">
        <f t="shared" si="5"/>
        <v>0</v>
      </c>
      <c r="AH28" s="99">
        <f>IF(MOD(S_binomial[[#This Row],[Indeks (base 0)]],AF$7)=0,NA(),_xlfn.BINOM.DIST(S_binomial[[#This Row],[X base]],E$5,E$6,FALSE))</f>
        <v>7.529536000000004E-6</v>
      </c>
      <c r="AI28" s="99" t="b">
        <f>S_binomial[[#This Row],[X base]]&lt;AF$5</f>
        <v>1</v>
      </c>
      <c r="AJ28" s="99" t="b">
        <f>S_binomial[[#This Row],[X base]]=AF$5</f>
        <v>0</v>
      </c>
      <c r="AK28" s="99" t="b">
        <f>S_binomial[[#This Row],[X base]]&gt;AF$5</f>
        <v>0</v>
      </c>
      <c r="AL28" s="99">
        <f>IF(S_binomial[[#This Row],[Mindre end]],S_binomial[[#This Row],[Binomialfordeling]],NA())</f>
        <v>7.529536000000004E-6</v>
      </c>
      <c r="AM28" s="99" t="e">
        <f>IF(S_binomial[[#This Row],[Lig med]],S_binomial[[#This Row],[Binomialfordeling]],NA())</f>
        <v>#N/A</v>
      </c>
      <c r="AN28" s="99" t="e">
        <f>IF(S_binomial[[#This Row],[Større end]],S_binomial[[#This Row],[Binomialfordeling]],NA())</f>
        <v>#N/A</v>
      </c>
      <c r="AO28" s="85" t="str">
        <f>_xlfn.IFNA(IF(MOD(S_binomial[[#This Row],[Indeks (base 0)]],AF$7)=ROUNDDOWN(AF$7/2,0),S_binomial[[#This Row],[X base]],""),"")</f>
        <v/>
      </c>
      <c r="AP28" s="99" t="str">
        <f t="shared" si="6"/>
        <v xml:space="preserve"> </v>
      </c>
      <c r="AR28" s="54">
        <f t="shared" si="7"/>
        <v>15</v>
      </c>
      <c r="AS28" s="54">
        <f>S_normal27[[#This Row],[Indeks (base 0)]]+1</f>
        <v>16</v>
      </c>
      <c r="AT28" s="54">
        <f t="shared" si="10"/>
        <v>0</v>
      </c>
      <c r="AU28" s="54">
        <f>IF(MOD(S_normal27[[#This Row],[Indeks (base 0)]],AS$8)=0,NA(),_xlfn.POISSON.DIST(S_normal27[[#This Row],[X base]],$H$5,FALSE))</f>
        <v>4.9787068367863944E-2</v>
      </c>
      <c r="AV28" s="99" t="b">
        <f>S_normal27[[#This Row],[X base]]&lt;AS$5</f>
        <v>1</v>
      </c>
      <c r="AW28" s="99" t="b">
        <f>S_normal27[[#This Row],[X base]]=AS$5</f>
        <v>0</v>
      </c>
      <c r="AX28" s="99" t="b">
        <f>S_normal27[[#This Row],[X base]]&gt;AS$5</f>
        <v>0</v>
      </c>
      <c r="AY28" s="99">
        <f>IF(S_normal27[[#This Row],[Mindre end]],S_normal27[[#This Row],[Poissonfordeling]],NA())</f>
        <v>4.9787068367863944E-2</v>
      </c>
      <c r="AZ28" s="99" t="e">
        <f>IF(S_normal27[[#This Row],[Lig med]],S_normal27[[#This Row],[Poissonfordeling]],NA())</f>
        <v>#N/A</v>
      </c>
      <c r="BA28" s="99" t="e">
        <f>IF(S_normal27[[#This Row],[Større end]],S_normal27[[#This Row],[Poissonfordeling]],NA())</f>
        <v>#N/A</v>
      </c>
      <c r="BB28" s="85" t="str">
        <f>_xlfn.IFNA(IF(MOD(S_normal27[[#This Row],[Indeks (base 0)]],AS$8)=ROUNDDOWN(AS$8/2,0),S_normal27[[#This Row],[X base]],""),"")</f>
        <v/>
      </c>
      <c r="BC28" s="99" t="str">
        <f t="shared" si="9"/>
        <v xml:space="preserve"> </v>
      </c>
    </row>
    <row r="29" spans="1:55" x14ac:dyDescent="0.2">
      <c r="A29" s="63" t="s">
        <v>424</v>
      </c>
      <c r="B29" s="96"/>
      <c r="D29" s="63" t="s">
        <v>425</v>
      </c>
      <c r="E29" s="96"/>
      <c r="G29" s="63" t="s">
        <v>490</v>
      </c>
      <c r="H29" s="96"/>
      <c r="T29" s="54">
        <f t="shared" si="0"/>
        <v>16</v>
      </c>
      <c r="U29" s="54">
        <f>S_normal[[#This Row],[Indeks (base 0)]]+1</f>
        <v>17</v>
      </c>
      <c r="V29" s="99">
        <f t="shared" si="1"/>
        <v>-2.7069476790462241</v>
      </c>
      <c r="W29" s="99">
        <f t="shared" si="2"/>
        <v>1.0227026543258957E-2</v>
      </c>
      <c r="X29" s="99" t="b">
        <f>S_normal[[#This Row],[X base]]&lt;U$7</f>
        <v>1</v>
      </c>
      <c r="Y29" s="99" t="b">
        <f>S_normal[[#This Row],[X base]]&gt;U$7</f>
        <v>0</v>
      </c>
      <c r="Z29" s="99">
        <f>IF(S_normal[[#This Row],[Mindre end]],S_normal[[#This Row],[Normalfordeling]],NA())</f>
        <v>1.0227026543258957E-2</v>
      </c>
      <c r="AA29" s="99" t="e">
        <f>IF(S_normal[[#This Row],[Større end]],S_normal[[#This Row],[Normalfordeling]],NA())</f>
        <v>#N/A</v>
      </c>
      <c r="AB29" s="72" t="str">
        <f>_xlfn.IFNA(IF(S_normal[[#This Row],[Indeks (base 0)]]=ROUND((ROUND(S_normal[[#This Row],[X base]],0)-U$8)/(U$9-U$8)*U$4,0),S_normal[[#This Row],[X base]]*B$6+B$5,""),"")</f>
        <v/>
      </c>
      <c r="AC29" s="99" t="str">
        <f t="shared" si="3"/>
        <v xml:space="preserve"> </v>
      </c>
      <c r="AE29" s="54">
        <f t="shared" si="4"/>
        <v>16</v>
      </c>
      <c r="AF29" s="54">
        <f>S_binomial[[#This Row],[Indeks (base 0)]]+1</f>
        <v>17</v>
      </c>
      <c r="AG29" s="99">
        <f t="shared" si="5"/>
        <v>0</v>
      </c>
      <c r="AH29" s="99">
        <f>IF(MOD(S_binomial[[#This Row],[Indeks (base 0)]],AF$7)=0,NA(),_xlfn.BINOM.DIST(S_binomial[[#This Row],[X base]],E$5,E$6,FALSE))</f>
        <v>7.529536000000004E-6</v>
      </c>
      <c r="AI29" s="99" t="b">
        <f>S_binomial[[#This Row],[X base]]&lt;AF$5</f>
        <v>1</v>
      </c>
      <c r="AJ29" s="99" t="b">
        <f>S_binomial[[#This Row],[X base]]=AF$5</f>
        <v>0</v>
      </c>
      <c r="AK29" s="99" t="b">
        <f>S_binomial[[#This Row],[X base]]&gt;AF$5</f>
        <v>0</v>
      </c>
      <c r="AL29" s="99">
        <f>IF(S_binomial[[#This Row],[Mindre end]],S_binomial[[#This Row],[Binomialfordeling]],NA())</f>
        <v>7.529536000000004E-6</v>
      </c>
      <c r="AM29" s="99" t="e">
        <f>IF(S_binomial[[#This Row],[Lig med]],S_binomial[[#This Row],[Binomialfordeling]],NA())</f>
        <v>#N/A</v>
      </c>
      <c r="AN29" s="99" t="e">
        <f>IF(S_binomial[[#This Row],[Større end]],S_binomial[[#This Row],[Binomialfordeling]],NA())</f>
        <v>#N/A</v>
      </c>
      <c r="AO29" s="85" t="str">
        <f>_xlfn.IFNA(IF(MOD(S_binomial[[#This Row],[Indeks (base 0)]],AF$7)=ROUNDDOWN(AF$7/2,0),S_binomial[[#This Row],[X base]],""),"")</f>
        <v/>
      </c>
      <c r="AP29" s="99" t="str">
        <f t="shared" si="6"/>
        <v xml:space="preserve"> </v>
      </c>
      <c r="AR29" s="54">
        <f t="shared" si="7"/>
        <v>16</v>
      </c>
      <c r="AS29" s="54">
        <f>S_normal27[[#This Row],[Indeks (base 0)]]+1</f>
        <v>17</v>
      </c>
      <c r="AT29" s="54">
        <f t="shared" si="10"/>
        <v>0</v>
      </c>
      <c r="AU29" s="54">
        <f>IF(MOD(S_normal27[[#This Row],[Indeks (base 0)]],AS$8)=0,NA(),_xlfn.POISSON.DIST(S_normal27[[#This Row],[X base]],$H$5,FALSE))</f>
        <v>4.9787068367863944E-2</v>
      </c>
      <c r="AV29" s="99" t="b">
        <f>S_normal27[[#This Row],[X base]]&lt;AS$5</f>
        <v>1</v>
      </c>
      <c r="AW29" s="99" t="b">
        <f>S_normal27[[#This Row],[X base]]=AS$5</f>
        <v>0</v>
      </c>
      <c r="AX29" s="99" t="b">
        <f>S_normal27[[#This Row],[X base]]&gt;AS$5</f>
        <v>0</v>
      </c>
      <c r="AY29" s="99">
        <f>IF(S_normal27[[#This Row],[Mindre end]],S_normal27[[#This Row],[Poissonfordeling]],NA())</f>
        <v>4.9787068367863944E-2</v>
      </c>
      <c r="AZ29" s="99" t="e">
        <f>IF(S_normal27[[#This Row],[Lig med]],S_normal27[[#This Row],[Poissonfordeling]],NA())</f>
        <v>#N/A</v>
      </c>
      <c r="BA29" s="99" t="e">
        <f>IF(S_normal27[[#This Row],[Større end]],S_normal27[[#This Row],[Poissonfordeling]],NA())</f>
        <v>#N/A</v>
      </c>
      <c r="BB29" s="85" t="str">
        <f>_xlfn.IFNA(IF(MOD(S_normal27[[#This Row],[Indeks (base 0)]],AS$8)=ROUNDDOWN(AS$8/2,0),S_normal27[[#This Row],[X base]],""),"")</f>
        <v/>
      </c>
      <c r="BC29" s="99" t="str">
        <f t="shared" si="9"/>
        <v xml:space="preserve"> </v>
      </c>
    </row>
    <row r="30" spans="1:55" x14ac:dyDescent="0.2">
      <c r="A30" s="75" t="s">
        <v>138</v>
      </c>
      <c r="B30" s="75" t="s">
        <v>373</v>
      </c>
      <c r="D30" s="75" t="s">
        <v>138</v>
      </c>
      <c r="E30" s="75" t="s">
        <v>373</v>
      </c>
      <c r="G30" s="75" t="s">
        <v>138</v>
      </c>
      <c r="H30" s="75" t="s">
        <v>373</v>
      </c>
      <c r="T30" s="54">
        <f t="shared" si="0"/>
        <v>17</v>
      </c>
      <c r="U30" s="54">
        <f>S_normal[[#This Row],[Indeks (base 0)]]+1</f>
        <v>18</v>
      </c>
      <c r="V30" s="99">
        <f t="shared" ref="V30:V55" si="11">U$8+(U$9-U$8)/U$4*T30</f>
        <v>-2.6829923898511248</v>
      </c>
      <c r="W30" s="99">
        <f t="shared" si="2"/>
        <v>1.0909049386925537E-2</v>
      </c>
      <c r="X30" s="99" t="b">
        <f>S_normal[[#This Row],[X base]]&lt;U$7</f>
        <v>1</v>
      </c>
      <c r="Y30" s="99" t="b">
        <f>S_normal[[#This Row],[X base]]&gt;U$7</f>
        <v>0</v>
      </c>
      <c r="Z30" s="99">
        <f>IF(S_normal[[#This Row],[Mindre end]],S_normal[[#This Row],[Normalfordeling]],NA())</f>
        <v>1.0909049386925537E-2</v>
      </c>
      <c r="AA30" s="99" t="e">
        <f>IF(S_normal[[#This Row],[Større end]],S_normal[[#This Row],[Normalfordeling]],NA())</f>
        <v>#N/A</v>
      </c>
      <c r="AB30" s="72" t="str">
        <f>_xlfn.IFNA(IF(S_normal[[#This Row],[Indeks (base 0)]]=ROUND((ROUND(S_normal[[#This Row],[X base]],0)-U$8)/(U$9-U$8)*U$4,0),S_normal[[#This Row],[X base]]*B$6+B$5,""),"")</f>
        <v/>
      </c>
      <c r="AC30" s="99" t="str">
        <f t="shared" ref="AC30:AC55" si="12">_xlfn.SWITCH(U30,AC$6,AC$4,AC$7,AC$5," ")</f>
        <v xml:space="preserve"> </v>
      </c>
      <c r="AE30" s="54">
        <f t="shared" si="4"/>
        <v>17</v>
      </c>
      <c r="AF30" s="54">
        <f>S_binomial[[#This Row],[Indeks (base 0)]]+1</f>
        <v>18</v>
      </c>
      <c r="AG30" s="99">
        <f t="shared" si="5"/>
        <v>0</v>
      </c>
      <c r="AH30" s="99">
        <f>IF(MOD(S_binomial[[#This Row],[Indeks (base 0)]],AF$7)=0,NA(),_xlfn.BINOM.DIST(S_binomial[[#This Row],[X base]],E$5,E$6,FALSE))</f>
        <v>7.529536000000004E-6</v>
      </c>
      <c r="AI30" s="99" t="b">
        <f>S_binomial[[#This Row],[X base]]&lt;AF$5</f>
        <v>1</v>
      </c>
      <c r="AJ30" s="99" t="b">
        <f>S_binomial[[#This Row],[X base]]=AF$5</f>
        <v>0</v>
      </c>
      <c r="AK30" s="99" t="b">
        <f>S_binomial[[#This Row],[X base]]&gt;AF$5</f>
        <v>0</v>
      </c>
      <c r="AL30" s="99">
        <f>IF(S_binomial[[#This Row],[Mindre end]],S_binomial[[#This Row],[Binomialfordeling]],NA())</f>
        <v>7.529536000000004E-6</v>
      </c>
      <c r="AM30" s="99" t="e">
        <f>IF(S_binomial[[#This Row],[Lig med]],S_binomial[[#This Row],[Binomialfordeling]],NA())</f>
        <v>#N/A</v>
      </c>
      <c r="AN30" s="99" t="e">
        <f>IF(S_binomial[[#This Row],[Større end]],S_binomial[[#This Row],[Binomialfordeling]],NA())</f>
        <v>#N/A</v>
      </c>
      <c r="AO30" s="85" t="str">
        <f>_xlfn.IFNA(IF(MOD(S_binomial[[#This Row],[Indeks (base 0)]],AF$7)=ROUNDDOWN(AF$7/2,0),S_binomial[[#This Row],[X base]],""),"")</f>
        <v/>
      </c>
      <c r="AP30" s="99" t="str">
        <f t="shared" si="6"/>
        <v xml:space="preserve"> </v>
      </c>
      <c r="AR30" s="54">
        <f t="shared" si="7"/>
        <v>17</v>
      </c>
      <c r="AS30" s="54">
        <f>S_normal27[[#This Row],[Indeks (base 0)]]+1</f>
        <v>18</v>
      </c>
      <c r="AT30" s="54">
        <f t="shared" si="10"/>
        <v>0</v>
      </c>
      <c r="AU30" s="54">
        <f>IF(MOD(S_normal27[[#This Row],[Indeks (base 0)]],AS$8)=0,NA(),_xlfn.POISSON.DIST(S_normal27[[#This Row],[X base]],$H$5,FALSE))</f>
        <v>4.9787068367863944E-2</v>
      </c>
      <c r="AV30" s="99" t="b">
        <f>S_normal27[[#This Row],[X base]]&lt;AS$5</f>
        <v>1</v>
      </c>
      <c r="AW30" s="99" t="b">
        <f>S_normal27[[#This Row],[X base]]=AS$5</f>
        <v>0</v>
      </c>
      <c r="AX30" s="99" t="b">
        <f>S_normal27[[#This Row],[X base]]&gt;AS$5</f>
        <v>0</v>
      </c>
      <c r="AY30" s="99">
        <f>IF(S_normal27[[#This Row],[Mindre end]],S_normal27[[#This Row],[Poissonfordeling]],NA())</f>
        <v>4.9787068367863944E-2</v>
      </c>
      <c r="AZ30" s="99" t="e">
        <f>IF(S_normal27[[#This Row],[Lig med]],S_normal27[[#This Row],[Poissonfordeling]],NA())</f>
        <v>#N/A</v>
      </c>
      <c r="BA30" s="99" t="e">
        <f>IF(S_normal27[[#This Row],[Større end]],S_normal27[[#This Row],[Poissonfordeling]],NA())</f>
        <v>#N/A</v>
      </c>
      <c r="BB30" s="85" t="str">
        <f>_xlfn.IFNA(IF(MOD(S_normal27[[#This Row],[Indeks (base 0)]],AS$8)=ROUNDDOWN(AS$8/2,0),S_normal27[[#This Row],[X base]],""),"")</f>
        <v/>
      </c>
      <c r="BC30" s="99" t="str">
        <f t="shared" si="9"/>
        <v xml:space="preserve"> </v>
      </c>
    </row>
    <row r="31" spans="1:55" x14ac:dyDescent="0.2">
      <c r="A31" s="58" t="s">
        <v>0</v>
      </c>
      <c r="B31" s="135">
        <f>B5</f>
        <v>20</v>
      </c>
      <c r="D31" s="58" t="s">
        <v>356</v>
      </c>
      <c r="E31" s="136">
        <f>E5</f>
        <v>6</v>
      </c>
      <c r="G31" s="58" t="s">
        <v>3</v>
      </c>
      <c r="H31" s="138">
        <f>H5</f>
        <v>3</v>
      </c>
      <c r="T31" s="54">
        <f t="shared" si="0"/>
        <v>18</v>
      </c>
      <c r="U31" s="54">
        <f>S_normal[[#This Row],[Indeks (base 0)]]+1</f>
        <v>19</v>
      </c>
      <c r="V31" s="99">
        <f t="shared" si="11"/>
        <v>-2.6590371006560254</v>
      </c>
      <c r="W31" s="99">
        <f t="shared" si="2"/>
        <v>1.1629879373268774E-2</v>
      </c>
      <c r="X31" s="99" t="b">
        <f>S_normal[[#This Row],[X base]]&lt;U$7</f>
        <v>1</v>
      </c>
      <c r="Y31" s="99" t="b">
        <f>S_normal[[#This Row],[X base]]&gt;U$7</f>
        <v>0</v>
      </c>
      <c r="Z31" s="99">
        <f>IF(S_normal[[#This Row],[Mindre end]],S_normal[[#This Row],[Normalfordeling]],NA())</f>
        <v>1.1629879373268774E-2</v>
      </c>
      <c r="AA31" s="99" t="e">
        <f>IF(S_normal[[#This Row],[Større end]],S_normal[[#This Row],[Normalfordeling]],NA())</f>
        <v>#N/A</v>
      </c>
      <c r="AB31" s="72" t="str">
        <f>_xlfn.IFNA(IF(S_normal[[#This Row],[Indeks (base 0)]]=ROUND((ROUND(S_normal[[#This Row],[X base]],0)-U$8)/(U$9-U$8)*U$4,0),S_normal[[#This Row],[X base]]*B$6+B$5,""),"")</f>
        <v/>
      </c>
      <c r="AC31" s="99" t="str">
        <f t="shared" si="12"/>
        <v xml:space="preserve"> </v>
      </c>
      <c r="AE31" s="54">
        <f t="shared" si="4"/>
        <v>18</v>
      </c>
      <c r="AF31" s="54">
        <f>S_binomial[[#This Row],[Indeks (base 0)]]+1</f>
        <v>19</v>
      </c>
      <c r="AG31" s="99">
        <f t="shared" si="5"/>
        <v>0</v>
      </c>
      <c r="AH31" s="99">
        <f>IF(MOD(S_binomial[[#This Row],[Indeks (base 0)]],AF$7)=0,NA(),_xlfn.BINOM.DIST(S_binomial[[#This Row],[X base]],E$5,E$6,FALSE))</f>
        <v>7.529536000000004E-6</v>
      </c>
      <c r="AI31" s="99" t="b">
        <f>S_binomial[[#This Row],[X base]]&lt;AF$5</f>
        <v>1</v>
      </c>
      <c r="AJ31" s="99" t="b">
        <f>S_binomial[[#This Row],[X base]]=AF$5</f>
        <v>0</v>
      </c>
      <c r="AK31" s="99" t="b">
        <f>S_binomial[[#This Row],[X base]]&gt;AF$5</f>
        <v>0</v>
      </c>
      <c r="AL31" s="99">
        <f>IF(S_binomial[[#This Row],[Mindre end]],S_binomial[[#This Row],[Binomialfordeling]],NA())</f>
        <v>7.529536000000004E-6</v>
      </c>
      <c r="AM31" s="99" t="e">
        <f>IF(S_binomial[[#This Row],[Lig med]],S_binomial[[#This Row],[Binomialfordeling]],NA())</f>
        <v>#N/A</v>
      </c>
      <c r="AN31" s="99" t="e">
        <f>IF(S_binomial[[#This Row],[Større end]],S_binomial[[#This Row],[Binomialfordeling]],NA())</f>
        <v>#N/A</v>
      </c>
      <c r="AO31" s="85" t="str">
        <f>_xlfn.IFNA(IF(MOD(S_binomial[[#This Row],[Indeks (base 0)]],AF$7)=ROUNDDOWN(AF$7/2,0),S_binomial[[#This Row],[X base]],""),"")</f>
        <v/>
      </c>
      <c r="AP31" s="99" t="str">
        <f t="shared" si="6"/>
        <v xml:space="preserve"> </v>
      </c>
      <c r="AR31" s="54">
        <f t="shared" si="7"/>
        <v>18</v>
      </c>
      <c r="AS31" s="54">
        <f>S_normal27[[#This Row],[Indeks (base 0)]]+1</f>
        <v>19</v>
      </c>
      <c r="AT31" s="54">
        <f t="shared" si="10"/>
        <v>0</v>
      </c>
      <c r="AU31" s="54">
        <f>IF(MOD(S_normal27[[#This Row],[Indeks (base 0)]],AS$8)=0,NA(),_xlfn.POISSON.DIST(S_normal27[[#This Row],[X base]],$H$5,FALSE))</f>
        <v>4.9787068367863944E-2</v>
      </c>
      <c r="AV31" s="99" t="b">
        <f>S_normal27[[#This Row],[X base]]&lt;AS$5</f>
        <v>1</v>
      </c>
      <c r="AW31" s="99" t="b">
        <f>S_normal27[[#This Row],[X base]]=AS$5</f>
        <v>0</v>
      </c>
      <c r="AX31" s="99" t="b">
        <f>S_normal27[[#This Row],[X base]]&gt;AS$5</f>
        <v>0</v>
      </c>
      <c r="AY31" s="99">
        <f>IF(S_normal27[[#This Row],[Mindre end]],S_normal27[[#This Row],[Poissonfordeling]],NA())</f>
        <v>4.9787068367863944E-2</v>
      </c>
      <c r="AZ31" s="99" t="e">
        <f>IF(S_normal27[[#This Row],[Lig med]],S_normal27[[#This Row],[Poissonfordeling]],NA())</f>
        <v>#N/A</v>
      </c>
      <c r="BA31" s="99" t="e">
        <f>IF(S_normal27[[#This Row],[Større end]],S_normal27[[#This Row],[Poissonfordeling]],NA())</f>
        <v>#N/A</v>
      </c>
      <c r="BB31" s="85" t="str">
        <f>_xlfn.IFNA(IF(MOD(S_normal27[[#This Row],[Indeks (base 0)]],AS$8)=ROUNDDOWN(AS$8/2,0),S_normal27[[#This Row],[X base]],""),"")</f>
        <v/>
      </c>
      <c r="BC31" s="99" t="str">
        <f t="shared" si="9"/>
        <v xml:space="preserve"> </v>
      </c>
    </row>
    <row r="32" spans="1:55" x14ac:dyDescent="0.2">
      <c r="A32" s="58" t="s">
        <v>1</v>
      </c>
      <c r="B32" s="135">
        <f>B6</f>
        <v>4</v>
      </c>
      <c r="D32" s="58" t="s">
        <v>338</v>
      </c>
      <c r="E32" s="134">
        <f>E6</f>
        <v>0.86</v>
      </c>
      <c r="G32" s="58" t="s">
        <v>114</v>
      </c>
      <c r="H32" s="136">
        <f>H6</f>
        <v>2</v>
      </c>
      <c r="T32" s="54">
        <f t="shared" si="0"/>
        <v>19</v>
      </c>
      <c r="U32" s="54">
        <f>S_normal[[#This Row],[Indeks (base 0)]]+1</f>
        <v>20</v>
      </c>
      <c r="V32" s="99">
        <f t="shared" si="11"/>
        <v>-2.635081811460926</v>
      </c>
      <c r="W32" s="99">
        <f t="shared" si="2"/>
        <v>1.2391226343470816E-2</v>
      </c>
      <c r="X32" s="99" t="b">
        <f>S_normal[[#This Row],[X base]]&lt;U$7</f>
        <v>1</v>
      </c>
      <c r="Y32" s="99" t="b">
        <f>S_normal[[#This Row],[X base]]&gt;U$7</f>
        <v>0</v>
      </c>
      <c r="Z32" s="99">
        <f>IF(S_normal[[#This Row],[Mindre end]],S_normal[[#This Row],[Normalfordeling]],NA())</f>
        <v>1.2391226343470816E-2</v>
      </c>
      <c r="AA32" s="99" t="e">
        <f>IF(S_normal[[#This Row],[Større end]],S_normal[[#This Row],[Normalfordeling]],NA())</f>
        <v>#N/A</v>
      </c>
      <c r="AB32" s="72" t="str">
        <f>_xlfn.IFNA(IF(S_normal[[#This Row],[Indeks (base 0)]]=ROUND((ROUND(S_normal[[#This Row],[X base]],0)-U$8)/(U$9-U$8)*U$4,0),S_normal[[#This Row],[X base]]*B$6+B$5,""),"")</f>
        <v/>
      </c>
      <c r="AC32" s="99" t="str">
        <f t="shared" si="12"/>
        <v xml:space="preserve"> </v>
      </c>
      <c r="AE32" s="54">
        <f t="shared" si="4"/>
        <v>19</v>
      </c>
      <c r="AF32" s="54">
        <f>S_binomial[[#This Row],[Indeks (base 0)]]+1</f>
        <v>20</v>
      </c>
      <c r="AG32" s="99">
        <f t="shared" si="5"/>
        <v>0</v>
      </c>
      <c r="AH32" s="99">
        <f>IF(MOD(S_binomial[[#This Row],[Indeks (base 0)]],AF$7)=0,NA(),_xlfn.BINOM.DIST(S_binomial[[#This Row],[X base]],E$5,E$6,FALSE))</f>
        <v>7.529536000000004E-6</v>
      </c>
      <c r="AI32" s="99" t="b">
        <f>S_binomial[[#This Row],[X base]]&lt;AF$5</f>
        <v>1</v>
      </c>
      <c r="AJ32" s="99" t="b">
        <f>S_binomial[[#This Row],[X base]]=AF$5</f>
        <v>0</v>
      </c>
      <c r="AK32" s="99" t="b">
        <f>S_binomial[[#This Row],[X base]]&gt;AF$5</f>
        <v>0</v>
      </c>
      <c r="AL32" s="99">
        <f>IF(S_binomial[[#This Row],[Mindre end]],S_binomial[[#This Row],[Binomialfordeling]],NA())</f>
        <v>7.529536000000004E-6</v>
      </c>
      <c r="AM32" s="99" t="e">
        <f>IF(S_binomial[[#This Row],[Lig med]],S_binomial[[#This Row],[Binomialfordeling]],NA())</f>
        <v>#N/A</v>
      </c>
      <c r="AN32" s="99" t="e">
        <f>IF(S_binomial[[#This Row],[Større end]],S_binomial[[#This Row],[Binomialfordeling]],NA())</f>
        <v>#N/A</v>
      </c>
      <c r="AO32" s="85" t="str">
        <f>_xlfn.IFNA(IF(MOD(S_binomial[[#This Row],[Indeks (base 0)]],AF$7)=ROUNDDOWN(AF$7/2,0),S_binomial[[#This Row],[X base]],""),"")</f>
        <v/>
      </c>
      <c r="AP32" s="99" t="str">
        <f t="shared" si="6"/>
        <v xml:space="preserve"> </v>
      </c>
      <c r="AR32" s="54">
        <f t="shared" si="7"/>
        <v>19</v>
      </c>
      <c r="AS32" s="54">
        <f>S_normal27[[#This Row],[Indeks (base 0)]]+1</f>
        <v>20</v>
      </c>
      <c r="AT32" s="54">
        <f t="shared" si="10"/>
        <v>0</v>
      </c>
      <c r="AU32" s="54">
        <f>IF(MOD(S_normal27[[#This Row],[Indeks (base 0)]],AS$8)=0,NA(),_xlfn.POISSON.DIST(S_normal27[[#This Row],[X base]],$H$5,FALSE))</f>
        <v>4.9787068367863944E-2</v>
      </c>
      <c r="AV32" s="99" t="b">
        <f>S_normal27[[#This Row],[X base]]&lt;AS$5</f>
        <v>1</v>
      </c>
      <c r="AW32" s="99" t="b">
        <f>S_normal27[[#This Row],[X base]]=AS$5</f>
        <v>0</v>
      </c>
      <c r="AX32" s="99" t="b">
        <f>S_normal27[[#This Row],[X base]]&gt;AS$5</f>
        <v>0</v>
      </c>
      <c r="AY32" s="99">
        <f>IF(S_normal27[[#This Row],[Mindre end]],S_normal27[[#This Row],[Poissonfordeling]],NA())</f>
        <v>4.9787068367863944E-2</v>
      </c>
      <c r="AZ32" s="99" t="e">
        <f>IF(S_normal27[[#This Row],[Lig med]],S_normal27[[#This Row],[Poissonfordeling]],NA())</f>
        <v>#N/A</v>
      </c>
      <c r="BA32" s="99" t="e">
        <f>IF(S_normal27[[#This Row],[Større end]],S_normal27[[#This Row],[Poissonfordeling]],NA())</f>
        <v>#N/A</v>
      </c>
      <c r="BB32" s="85" t="str">
        <f>_xlfn.IFNA(IF(MOD(S_normal27[[#This Row],[Indeks (base 0)]],AS$8)=ROUNDDOWN(AS$8/2,0),S_normal27[[#This Row],[X base]],""),"")</f>
        <v/>
      </c>
      <c r="BC32" s="99" t="str">
        <f t="shared" si="9"/>
        <v xml:space="preserve"> </v>
      </c>
    </row>
    <row r="33" spans="1:55" x14ac:dyDescent="0.2">
      <c r="A33" s="75" t="s">
        <v>487</v>
      </c>
      <c r="B33" s="138">
        <f>U5</f>
        <v>45.44536355878968</v>
      </c>
      <c r="D33" s="58" t="s">
        <v>114</v>
      </c>
      <c r="E33" s="136">
        <f>E7</f>
        <v>0</v>
      </c>
      <c r="G33" s="75" t="s">
        <v>422</v>
      </c>
      <c r="H33" s="137">
        <f>AU4</f>
        <v>0.19914827347145567</v>
      </c>
      <c r="T33" s="54">
        <f t="shared" si="0"/>
        <v>20</v>
      </c>
      <c r="U33" s="54">
        <f>S_normal[[#This Row],[Indeks (base 0)]]+1</f>
        <v>21</v>
      </c>
      <c r="V33" s="99">
        <f t="shared" si="11"/>
        <v>-2.6111265222658266</v>
      </c>
      <c r="W33" s="99">
        <f t="shared" si="2"/>
        <v>1.319484058137666E-2</v>
      </c>
      <c r="X33" s="99" t="b">
        <f>S_normal[[#This Row],[X base]]&lt;U$7</f>
        <v>1</v>
      </c>
      <c r="Y33" s="99" t="b">
        <f>S_normal[[#This Row],[X base]]&gt;U$7</f>
        <v>0</v>
      </c>
      <c r="Z33" s="99">
        <f>IF(S_normal[[#This Row],[Mindre end]],S_normal[[#This Row],[Normalfordeling]],NA())</f>
        <v>1.319484058137666E-2</v>
      </c>
      <c r="AA33" s="99" t="e">
        <f>IF(S_normal[[#This Row],[Større end]],S_normal[[#This Row],[Normalfordeling]],NA())</f>
        <v>#N/A</v>
      </c>
      <c r="AB33" s="72" t="str">
        <f>_xlfn.IFNA(IF(S_normal[[#This Row],[Indeks (base 0)]]=ROUND((ROUND(S_normal[[#This Row],[X base]],0)-U$8)/(U$9-U$8)*U$4,0),S_normal[[#This Row],[X base]]*B$6+B$5,""),"")</f>
        <v/>
      </c>
      <c r="AC33" s="99" t="str">
        <f t="shared" si="12"/>
        <v xml:space="preserve"> </v>
      </c>
      <c r="AE33" s="54">
        <f t="shared" si="4"/>
        <v>20</v>
      </c>
      <c r="AF33" s="54">
        <f>S_binomial[[#This Row],[Indeks (base 0)]]+1</f>
        <v>21</v>
      </c>
      <c r="AG33" s="99">
        <f t="shared" si="5"/>
        <v>0</v>
      </c>
      <c r="AH33" s="99">
        <f>IF(MOD(S_binomial[[#This Row],[Indeks (base 0)]],AF$7)=0,NA(),_xlfn.BINOM.DIST(S_binomial[[#This Row],[X base]],E$5,E$6,FALSE))</f>
        <v>7.529536000000004E-6</v>
      </c>
      <c r="AI33" s="99" t="b">
        <f>S_binomial[[#This Row],[X base]]&lt;AF$5</f>
        <v>1</v>
      </c>
      <c r="AJ33" s="99" t="b">
        <f>S_binomial[[#This Row],[X base]]=AF$5</f>
        <v>0</v>
      </c>
      <c r="AK33" s="99" t="b">
        <f>S_binomial[[#This Row],[X base]]&gt;AF$5</f>
        <v>0</v>
      </c>
      <c r="AL33" s="99">
        <f>IF(S_binomial[[#This Row],[Mindre end]],S_binomial[[#This Row],[Binomialfordeling]],NA())</f>
        <v>7.529536000000004E-6</v>
      </c>
      <c r="AM33" s="99" t="e">
        <f>IF(S_binomial[[#This Row],[Lig med]],S_binomial[[#This Row],[Binomialfordeling]],NA())</f>
        <v>#N/A</v>
      </c>
      <c r="AN33" s="99" t="e">
        <f>IF(S_binomial[[#This Row],[Større end]],S_binomial[[#This Row],[Binomialfordeling]],NA())</f>
        <v>#N/A</v>
      </c>
      <c r="AO33" s="85" t="str">
        <f>_xlfn.IFNA(IF(MOD(S_binomial[[#This Row],[Indeks (base 0)]],AF$7)=ROUNDDOWN(AF$7/2,0),S_binomial[[#This Row],[X base]],""),"")</f>
        <v/>
      </c>
      <c r="AP33" s="99" t="str">
        <f t="shared" si="6"/>
        <v xml:space="preserve"> </v>
      </c>
      <c r="AR33" s="54">
        <f t="shared" si="7"/>
        <v>20</v>
      </c>
      <c r="AS33" s="54">
        <f>S_normal27[[#This Row],[Indeks (base 0)]]+1</f>
        <v>21</v>
      </c>
      <c r="AT33" s="54">
        <f t="shared" si="10"/>
        <v>0</v>
      </c>
      <c r="AU33" s="54">
        <f>IF(MOD(S_normal27[[#This Row],[Indeks (base 0)]],AS$8)=0,NA(),_xlfn.POISSON.DIST(S_normal27[[#This Row],[X base]],$H$5,FALSE))</f>
        <v>4.9787068367863944E-2</v>
      </c>
      <c r="AV33" s="99" t="b">
        <f>S_normal27[[#This Row],[X base]]&lt;AS$5</f>
        <v>1</v>
      </c>
      <c r="AW33" s="99" t="b">
        <f>S_normal27[[#This Row],[X base]]=AS$5</f>
        <v>0</v>
      </c>
      <c r="AX33" s="99" t="b">
        <f>S_normal27[[#This Row],[X base]]&gt;AS$5</f>
        <v>0</v>
      </c>
      <c r="AY33" s="99">
        <f>IF(S_normal27[[#This Row],[Mindre end]],S_normal27[[#This Row],[Poissonfordeling]],NA())</f>
        <v>4.9787068367863944E-2</v>
      </c>
      <c r="AZ33" s="99" t="e">
        <f>IF(S_normal27[[#This Row],[Lig med]],S_normal27[[#This Row],[Poissonfordeling]],NA())</f>
        <v>#N/A</v>
      </c>
      <c r="BA33" s="99" t="e">
        <f>IF(S_normal27[[#This Row],[Større end]],S_normal27[[#This Row],[Poissonfordeling]],NA())</f>
        <v>#N/A</v>
      </c>
      <c r="BB33" s="85" t="str">
        <f>_xlfn.IFNA(IF(MOD(S_normal27[[#This Row],[Indeks (base 0)]],AS$8)=ROUNDDOWN(AS$8/2,0),S_normal27[[#This Row],[X base]],""),"")</f>
        <v/>
      </c>
      <c r="BC33" s="99" t="str">
        <f t="shared" si="9"/>
        <v xml:space="preserve"> </v>
      </c>
    </row>
    <row r="34" spans="1:55" x14ac:dyDescent="0.2">
      <c r="A34" s="75" t="s">
        <v>422</v>
      </c>
      <c r="B34" s="134">
        <f>U6</f>
        <v>0.99999999989999999</v>
      </c>
      <c r="D34" s="75" t="s">
        <v>422</v>
      </c>
      <c r="E34" s="137">
        <f>AH4</f>
        <v>0.20027407008000009</v>
      </c>
      <c r="G34" s="75" t="s">
        <v>426</v>
      </c>
      <c r="H34" s="137">
        <f t="shared" ref="H34:H35" si="13">AU5</f>
        <v>0.22404180765538775</v>
      </c>
      <c r="T34" s="54">
        <f t="shared" si="0"/>
        <v>21</v>
      </c>
      <c r="U34" s="54">
        <f>S_normal[[#This Row],[Indeks (base 0)]]+1</f>
        <v>22</v>
      </c>
      <c r="V34" s="99">
        <f t="shared" si="11"/>
        <v>-2.5871712330707273</v>
      </c>
      <c r="W34" s="99">
        <f t="shared" si="2"/>
        <v>1.4042511314589688E-2</v>
      </c>
      <c r="X34" s="99" t="b">
        <f>S_normal[[#This Row],[X base]]&lt;U$7</f>
        <v>1</v>
      </c>
      <c r="Y34" s="99" t="b">
        <f>S_normal[[#This Row],[X base]]&gt;U$7</f>
        <v>0</v>
      </c>
      <c r="Z34" s="99">
        <f>IF(S_normal[[#This Row],[Mindre end]],S_normal[[#This Row],[Normalfordeling]],NA())</f>
        <v>1.4042511314589688E-2</v>
      </c>
      <c r="AA34" s="99" t="e">
        <f>IF(S_normal[[#This Row],[Større end]],S_normal[[#This Row],[Normalfordeling]],NA())</f>
        <v>#N/A</v>
      </c>
      <c r="AB34" s="72" t="str">
        <f>_xlfn.IFNA(IF(S_normal[[#This Row],[Indeks (base 0)]]=ROUND((ROUND(S_normal[[#This Row],[X base]],0)-U$8)/(U$9-U$8)*U$4,0),S_normal[[#This Row],[X base]]*B$6+B$5,""),"")</f>
        <v/>
      </c>
      <c r="AC34" s="99" t="str">
        <f t="shared" si="12"/>
        <v xml:space="preserve"> </v>
      </c>
      <c r="AE34" s="54">
        <f t="shared" si="4"/>
        <v>21</v>
      </c>
      <c r="AF34" s="54">
        <f>S_binomial[[#This Row],[Indeks (base 0)]]+1</f>
        <v>22</v>
      </c>
      <c r="AG34" s="99">
        <f t="shared" si="5"/>
        <v>0</v>
      </c>
      <c r="AH34" s="99">
        <f>IF(MOD(S_binomial[[#This Row],[Indeks (base 0)]],AF$7)=0,NA(),_xlfn.BINOM.DIST(S_binomial[[#This Row],[X base]],E$5,E$6,FALSE))</f>
        <v>7.529536000000004E-6</v>
      </c>
      <c r="AI34" s="99" t="b">
        <f>S_binomial[[#This Row],[X base]]&lt;AF$5</f>
        <v>1</v>
      </c>
      <c r="AJ34" s="99" t="b">
        <f>S_binomial[[#This Row],[X base]]=AF$5</f>
        <v>0</v>
      </c>
      <c r="AK34" s="99" t="b">
        <f>S_binomial[[#This Row],[X base]]&gt;AF$5</f>
        <v>0</v>
      </c>
      <c r="AL34" s="99">
        <f>IF(S_binomial[[#This Row],[Mindre end]],S_binomial[[#This Row],[Binomialfordeling]],NA())</f>
        <v>7.529536000000004E-6</v>
      </c>
      <c r="AM34" s="99" t="e">
        <f>IF(S_binomial[[#This Row],[Lig med]],S_binomial[[#This Row],[Binomialfordeling]],NA())</f>
        <v>#N/A</v>
      </c>
      <c r="AN34" s="99" t="e">
        <f>IF(S_binomial[[#This Row],[Større end]],S_binomial[[#This Row],[Binomialfordeling]],NA())</f>
        <v>#N/A</v>
      </c>
      <c r="AO34" s="85" t="str">
        <f>_xlfn.IFNA(IF(MOD(S_binomial[[#This Row],[Indeks (base 0)]],AF$7)=ROUNDDOWN(AF$7/2,0),S_binomial[[#This Row],[X base]],""),"")</f>
        <v/>
      </c>
      <c r="AP34" s="99" t="str">
        <f t="shared" si="6"/>
        <v xml:space="preserve"> </v>
      </c>
      <c r="AR34" s="54">
        <f t="shared" si="7"/>
        <v>21</v>
      </c>
      <c r="AS34" s="54">
        <f>S_normal27[[#This Row],[Indeks (base 0)]]+1</f>
        <v>22</v>
      </c>
      <c r="AT34" s="54">
        <f t="shared" si="10"/>
        <v>0</v>
      </c>
      <c r="AU34" s="54">
        <f>IF(MOD(S_normal27[[#This Row],[Indeks (base 0)]],AS$8)=0,NA(),_xlfn.POISSON.DIST(S_normal27[[#This Row],[X base]],$H$5,FALSE))</f>
        <v>4.9787068367863944E-2</v>
      </c>
      <c r="AV34" s="99" t="b">
        <f>S_normal27[[#This Row],[X base]]&lt;AS$5</f>
        <v>1</v>
      </c>
      <c r="AW34" s="99" t="b">
        <f>S_normal27[[#This Row],[X base]]=AS$5</f>
        <v>0</v>
      </c>
      <c r="AX34" s="99" t="b">
        <f>S_normal27[[#This Row],[X base]]&gt;AS$5</f>
        <v>0</v>
      </c>
      <c r="AY34" s="99">
        <f>IF(S_normal27[[#This Row],[Mindre end]],S_normal27[[#This Row],[Poissonfordeling]],NA())</f>
        <v>4.9787068367863944E-2</v>
      </c>
      <c r="AZ34" s="99" t="e">
        <f>IF(S_normal27[[#This Row],[Lig med]],S_normal27[[#This Row],[Poissonfordeling]],NA())</f>
        <v>#N/A</v>
      </c>
      <c r="BA34" s="99" t="e">
        <f>IF(S_normal27[[#This Row],[Større end]],S_normal27[[#This Row],[Poissonfordeling]],NA())</f>
        <v>#N/A</v>
      </c>
      <c r="BB34" s="85" t="str">
        <f>_xlfn.IFNA(IF(MOD(S_normal27[[#This Row],[Indeks (base 0)]],AS$8)=ROUNDDOWN(AS$8/2,0),S_normal27[[#This Row],[X base]],""),"")</f>
        <v/>
      </c>
      <c r="BC34" s="99" t="str">
        <f t="shared" si="9"/>
        <v xml:space="preserve"> </v>
      </c>
    </row>
    <row r="35" spans="1:55" x14ac:dyDescent="0.2">
      <c r="A35" s="75" t="s">
        <v>423</v>
      </c>
      <c r="B35" s="134">
        <f>1-U6</f>
        <v>1.000000082740371E-10</v>
      </c>
      <c r="D35" s="75" t="s">
        <v>426</v>
      </c>
      <c r="E35" s="137">
        <f>AH5</f>
        <v>0.39515869478400001</v>
      </c>
      <c r="G35" s="75" t="s">
        <v>423</v>
      </c>
      <c r="H35" s="137">
        <f t="shared" si="13"/>
        <v>0.57680991887315658</v>
      </c>
      <c r="T35" s="54">
        <f t="shared" si="0"/>
        <v>22</v>
      </c>
      <c r="U35" s="54">
        <f>S_normal[[#This Row],[Indeks (base 0)]]+1</f>
        <v>23</v>
      </c>
      <c r="V35" s="99">
        <f t="shared" si="11"/>
        <v>-2.5632159438756279</v>
      </c>
      <c r="W35" s="99">
        <f t="shared" si="2"/>
        <v>1.4936065002642981E-2</v>
      </c>
      <c r="X35" s="99" t="b">
        <f>S_normal[[#This Row],[X base]]&lt;U$7</f>
        <v>1</v>
      </c>
      <c r="Y35" s="99" t="b">
        <f>S_normal[[#This Row],[X base]]&gt;U$7</f>
        <v>0</v>
      </c>
      <c r="Z35" s="99">
        <f>IF(S_normal[[#This Row],[Mindre end]],S_normal[[#This Row],[Normalfordeling]],NA())</f>
        <v>1.4936065002642981E-2</v>
      </c>
      <c r="AA35" s="99" t="e">
        <f>IF(S_normal[[#This Row],[Større end]],S_normal[[#This Row],[Normalfordeling]],NA())</f>
        <v>#N/A</v>
      </c>
      <c r="AB35" s="72" t="str">
        <f>_xlfn.IFNA(IF(S_normal[[#This Row],[Indeks (base 0)]]=ROUND((ROUND(S_normal[[#This Row],[X base]],0)-U$8)/(U$9-U$8)*U$4,0),S_normal[[#This Row],[X base]]*B$6+B$5,""),"")</f>
        <v/>
      </c>
      <c r="AC35" s="99" t="str">
        <f t="shared" si="12"/>
        <v xml:space="preserve"> </v>
      </c>
      <c r="AE35" s="54">
        <f t="shared" si="4"/>
        <v>22</v>
      </c>
      <c r="AF35" s="54">
        <f>S_binomial[[#This Row],[Indeks (base 0)]]+1</f>
        <v>23</v>
      </c>
      <c r="AG35" s="99">
        <f t="shared" si="5"/>
        <v>0</v>
      </c>
      <c r="AH35" s="99">
        <f>IF(MOD(S_binomial[[#This Row],[Indeks (base 0)]],AF$7)=0,NA(),_xlfn.BINOM.DIST(S_binomial[[#This Row],[X base]],E$5,E$6,FALSE))</f>
        <v>7.529536000000004E-6</v>
      </c>
      <c r="AI35" s="99" t="b">
        <f>S_binomial[[#This Row],[X base]]&lt;AF$5</f>
        <v>1</v>
      </c>
      <c r="AJ35" s="99" t="b">
        <f>S_binomial[[#This Row],[X base]]=AF$5</f>
        <v>0</v>
      </c>
      <c r="AK35" s="99" t="b">
        <f>S_binomial[[#This Row],[X base]]&gt;AF$5</f>
        <v>0</v>
      </c>
      <c r="AL35" s="99">
        <f>IF(S_binomial[[#This Row],[Mindre end]],S_binomial[[#This Row],[Binomialfordeling]],NA())</f>
        <v>7.529536000000004E-6</v>
      </c>
      <c r="AM35" s="99" t="e">
        <f>IF(S_binomial[[#This Row],[Lig med]],S_binomial[[#This Row],[Binomialfordeling]],NA())</f>
        <v>#N/A</v>
      </c>
      <c r="AN35" s="99" t="e">
        <f>IF(S_binomial[[#This Row],[Større end]],S_binomial[[#This Row],[Binomialfordeling]],NA())</f>
        <v>#N/A</v>
      </c>
      <c r="AO35" s="85" t="str">
        <f>_xlfn.IFNA(IF(MOD(S_binomial[[#This Row],[Indeks (base 0)]],AF$7)=ROUNDDOWN(AF$7/2,0),S_binomial[[#This Row],[X base]],""),"")</f>
        <v/>
      </c>
      <c r="AP35" s="99" t="str">
        <f t="shared" si="6"/>
        <v xml:space="preserve"> </v>
      </c>
      <c r="AR35" s="54">
        <f t="shared" si="7"/>
        <v>22</v>
      </c>
      <c r="AS35" s="54">
        <f>S_normal27[[#This Row],[Indeks (base 0)]]+1</f>
        <v>23</v>
      </c>
      <c r="AT35" s="54">
        <f t="shared" si="10"/>
        <v>0</v>
      </c>
      <c r="AU35" s="54">
        <f>IF(MOD(S_normal27[[#This Row],[Indeks (base 0)]],AS$8)=0,NA(),_xlfn.POISSON.DIST(S_normal27[[#This Row],[X base]],$H$5,FALSE))</f>
        <v>4.9787068367863944E-2</v>
      </c>
      <c r="AV35" s="99" t="b">
        <f>S_normal27[[#This Row],[X base]]&lt;AS$5</f>
        <v>1</v>
      </c>
      <c r="AW35" s="99" t="b">
        <f>S_normal27[[#This Row],[X base]]=AS$5</f>
        <v>0</v>
      </c>
      <c r="AX35" s="99" t="b">
        <f>S_normal27[[#This Row],[X base]]&gt;AS$5</f>
        <v>0</v>
      </c>
      <c r="AY35" s="99">
        <f>IF(S_normal27[[#This Row],[Mindre end]],S_normal27[[#This Row],[Poissonfordeling]],NA())</f>
        <v>4.9787068367863944E-2</v>
      </c>
      <c r="AZ35" s="99" t="e">
        <f>IF(S_normal27[[#This Row],[Lig med]],S_normal27[[#This Row],[Poissonfordeling]],NA())</f>
        <v>#N/A</v>
      </c>
      <c r="BA35" s="99" t="e">
        <f>IF(S_normal27[[#This Row],[Større end]],S_normal27[[#This Row],[Poissonfordeling]],NA())</f>
        <v>#N/A</v>
      </c>
      <c r="BB35" s="85" t="str">
        <f>_xlfn.IFNA(IF(MOD(S_normal27[[#This Row],[Indeks (base 0)]],AS$8)=ROUNDDOWN(AS$8/2,0),S_normal27[[#This Row],[X base]],""),"")</f>
        <v/>
      </c>
      <c r="BC35" s="99" t="str">
        <f t="shared" si="9"/>
        <v xml:space="preserve"> </v>
      </c>
    </row>
    <row r="36" spans="1:55" x14ac:dyDescent="0.2">
      <c r="D36" s="75" t="s">
        <v>423</v>
      </c>
      <c r="E36" s="137">
        <f>AH6</f>
        <v>0.4045672351359999</v>
      </c>
      <c r="T36" s="54">
        <f t="shared" si="0"/>
        <v>23</v>
      </c>
      <c r="U36" s="54">
        <f>S_normal[[#This Row],[Indeks (base 0)]]+1</f>
        <v>24</v>
      </c>
      <c r="V36" s="99">
        <f t="shared" si="11"/>
        <v>-2.5392606546805285</v>
      </c>
      <c r="W36" s="99">
        <f t="shared" si="2"/>
        <v>1.5877363404520849E-2</v>
      </c>
      <c r="X36" s="99" t="b">
        <f>S_normal[[#This Row],[X base]]&lt;U$7</f>
        <v>1</v>
      </c>
      <c r="Y36" s="99" t="b">
        <f>S_normal[[#This Row],[X base]]&gt;U$7</f>
        <v>0</v>
      </c>
      <c r="Z36" s="99">
        <f>IF(S_normal[[#This Row],[Mindre end]],S_normal[[#This Row],[Normalfordeling]],NA())</f>
        <v>1.5877363404520849E-2</v>
      </c>
      <c r="AA36" s="99" t="e">
        <f>IF(S_normal[[#This Row],[Større end]],S_normal[[#This Row],[Normalfordeling]],NA())</f>
        <v>#N/A</v>
      </c>
      <c r="AB36" s="72" t="str">
        <f>_xlfn.IFNA(IF(S_normal[[#This Row],[Indeks (base 0)]]=ROUND((ROUND(S_normal[[#This Row],[X base]],0)-U$8)/(U$9-U$8)*U$4,0),S_normal[[#This Row],[X base]]*B$6+B$5,""),"")</f>
        <v/>
      </c>
      <c r="AC36" s="99" t="str">
        <f t="shared" si="12"/>
        <v xml:space="preserve"> </v>
      </c>
      <c r="AE36" s="54">
        <f t="shared" si="4"/>
        <v>23</v>
      </c>
      <c r="AF36" s="54">
        <f>S_binomial[[#This Row],[Indeks (base 0)]]+1</f>
        <v>24</v>
      </c>
      <c r="AG36" s="99">
        <f t="shared" si="5"/>
        <v>0</v>
      </c>
      <c r="AH36" s="99">
        <f>IF(MOD(S_binomial[[#This Row],[Indeks (base 0)]],AF$7)=0,NA(),_xlfn.BINOM.DIST(S_binomial[[#This Row],[X base]],E$5,E$6,FALSE))</f>
        <v>7.529536000000004E-6</v>
      </c>
      <c r="AI36" s="99" t="b">
        <f>S_binomial[[#This Row],[X base]]&lt;AF$5</f>
        <v>1</v>
      </c>
      <c r="AJ36" s="99" t="b">
        <f>S_binomial[[#This Row],[X base]]=AF$5</f>
        <v>0</v>
      </c>
      <c r="AK36" s="99" t="b">
        <f>S_binomial[[#This Row],[X base]]&gt;AF$5</f>
        <v>0</v>
      </c>
      <c r="AL36" s="99">
        <f>IF(S_binomial[[#This Row],[Mindre end]],S_binomial[[#This Row],[Binomialfordeling]],NA())</f>
        <v>7.529536000000004E-6</v>
      </c>
      <c r="AM36" s="99" t="e">
        <f>IF(S_binomial[[#This Row],[Lig med]],S_binomial[[#This Row],[Binomialfordeling]],NA())</f>
        <v>#N/A</v>
      </c>
      <c r="AN36" s="99" t="e">
        <f>IF(S_binomial[[#This Row],[Større end]],S_binomial[[#This Row],[Binomialfordeling]],NA())</f>
        <v>#N/A</v>
      </c>
      <c r="AO36" s="85" t="str">
        <f>_xlfn.IFNA(IF(MOD(S_binomial[[#This Row],[Indeks (base 0)]],AF$7)=ROUNDDOWN(AF$7/2,0),S_binomial[[#This Row],[X base]],""),"")</f>
        <v/>
      </c>
      <c r="AP36" s="99" t="str">
        <f t="shared" si="6"/>
        <v xml:space="preserve"> </v>
      </c>
      <c r="AR36" s="54">
        <f t="shared" si="7"/>
        <v>23</v>
      </c>
      <c r="AS36" s="54">
        <f>S_normal27[[#This Row],[Indeks (base 0)]]+1</f>
        <v>24</v>
      </c>
      <c r="AT36" s="54">
        <f t="shared" si="10"/>
        <v>0</v>
      </c>
      <c r="AU36" s="54">
        <f>IF(MOD(S_normal27[[#This Row],[Indeks (base 0)]],AS$8)=0,NA(),_xlfn.POISSON.DIST(S_normal27[[#This Row],[X base]],$H$5,FALSE))</f>
        <v>4.9787068367863944E-2</v>
      </c>
      <c r="AV36" s="99" t="b">
        <f>S_normal27[[#This Row],[X base]]&lt;AS$5</f>
        <v>1</v>
      </c>
      <c r="AW36" s="99" t="b">
        <f>S_normal27[[#This Row],[X base]]=AS$5</f>
        <v>0</v>
      </c>
      <c r="AX36" s="99" t="b">
        <f>S_normal27[[#This Row],[X base]]&gt;AS$5</f>
        <v>0</v>
      </c>
      <c r="AY36" s="99">
        <f>IF(S_normal27[[#This Row],[Mindre end]],S_normal27[[#This Row],[Poissonfordeling]],NA())</f>
        <v>4.9787068367863944E-2</v>
      </c>
      <c r="AZ36" s="99" t="e">
        <f>IF(S_normal27[[#This Row],[Lig med]],S_normal27[[#This Row],[Poissonfordeling]],NA())</f>
        <v>#N/A</v>
      </c>
      <c r="BA36" s="99" t="e">
        <f>IF(S_normal27[[#This Row],[Større end]],S_normal27[[#This Row],[Poissonfordeling]],NA())</f>
        <v>#N/A</v>
      </c>
      <c r="BB36" s="85" t="str">
        <f>_xlfn.IFNA(IF(MOD(S_normal27[[#This Row],[Indeks (base 0)]],AS$8)=ROUNDDOWN(AS$8/2,0),S_normal27[[#This Row],[X base]],""),"")</f>
        <v/>
      </c>
      <c r="BC36" s="99" t="str">
        <f t="shared" si="9"/>
        <v xml:space="preserve"> </v>
      </c>
    </row>
    <row r="37" spans="1:55" x14ac:dyDescent="0.2">
      <c r="T37" s="54">
        <f t="shared" si="0"/>
        <v>24</v>
      </c>
      <c r="U37" s="54">
        <f>S_normal[[#This Row],[Indeks (base 0)]]+1</f>
        <v>25</v>
      </c>
      <c r="V37" s="99">
        <f t="shared" si="11"/>
        <v>-2.5153053654854292</v>
      </c>
      <c r="W37" s="99">
        <f t="shared" si="2"/>
        <v>1.6868301418220717E-2</v>
      </c>
      <c r="X37" s="99" t="b">
        <f>S_normal[[#This Row],[X base]]&lt;U$7</f>
        <v>1</v>
      </c>
      <c r="Y37" s="99" t="b">
        <f>S_normal[[#This Row],[X base]]&gt;U$7</f>
        <v>0</v>
      </c>
      <c r="Z37" s="99">
        <f>IF(S_normal[[#This Row],[Mindre end]],S_normal[[#This Row],[Normalfordeling]],NA())</f>
        <v>1.6868301418220717E-2</v>
      </c>
      <c r="AA37" s="99" t="e">
        <f>IF(S_normal[[#This Row],[Større end]],S_normal[[#This Row],[Normalfordeling]],NA())</f>
        <v>#N/A</v>
      </c>
      <c r="AB37" s="72" t="str">
        <f>_xlfn.IFNA(IF(S_normal[[#This Row],[Indeks (base 0)]]=ROUND((ROUND(S_normal[[#This Row],[X base]],0)-U$8)/(U$9-U$8)*U$4,0),S_normal[[#This Row],[X base]]*B$6+B$5,""),"")</f>
        <v/>
      </c>
      <c r="AC37" s="99" t="str">
        <f t="shared" si="12"/>
        <v xml:space="preserve"> </v>
      </c>
      <c r="AE37" s="54">
        <f t="shared" si="4"/>
        <v>24</v>
      </c>
      <c r="AF37" s="54">
        <f>S_binomial[[#This Row],[Indeks (base 0)]]+1</f>
        <v>25</v>
      </c>
      <c r="AG37" s="99">
        <f t="shared" si="5"/>
        <v>0</v>
      </c>
      <c r="AH37" s="99">
        <f>IF(MOD(S_binomial[[#This Row],[Indeks (base 0)]],AF$7)=0,NA(),_xlfn.BINOM.DIST(S_binomial[[#This Row],[X base]],E$5,E$6,FALSE))</f>
        <v>7.529536000000004E-6</v>
      </c>
      <c r="AI37" s="99" t="b">
        <f>S_binomial[[#This Row],[X base]]&lt;AF$5</f>
        <v>1</v>
      </c>
      <c r="AJ37" s="99" t="b">
        <f>S_binomial[[#This Row],[X base]]=AF$5</f>
        <v>0</v>
      </c>
      <c r="AK37" s="99" t="b">
        <f>S_binomial[[#This Row],[X base]]&gt;AF$5</f>
        <v>0</v>
      </c>
      <c r="AL37" s="99">
        <f>IF(S_binomial[[#This Row],[Mindre end]],S_binomial[[#This Row],[Binomialfordeling]],NA())</f>
        <v>7.529536000000004E-6</v>
      </c>
      <c r="AM37" s="99" t="e">
        <f>IF(S_binomial[[#This Row],[Lig med]],S_binomial[[#This Row],[Binomialfordeling]],NA())</f>
        <v>#N/A</v>
      </c>
      <c r="AN37" s="99" t="e">
        <f>IF(S_binomial[[#This Row],[Større end]],S_binomial[[#This Row],[Binomialfordeling]],NA())</f>
        <v>#N/A</v>
      </c>
      <c r="AO37" s="85" t="str">
        <f>_xlfn.IFNA(IF(MOD(S_binomial[[#This Row],[Indeks (base 0)]],AF$7)=ROUNDDOWN(AF$7/2,0),S_binomial[[#This Row],[X base]],""),"")</f>
        <v/>
      </c>
      <c r="AP37" s="99" t="str">
        <f t="shared" si="6"/>
        <v xml:space="preserve"> </v>
      </c>
      <c r="AR37" s="54">
        <f t="shared" si="7"/>
        <v>24</v>
      </c>
      <c r="AS37" s="54">
        <f>S_normal27[[#This Row],[Indeks (base 0)]]+1</f>
        <v>25</v>
      </c>
      <c r="AT37" s="54">
        <f t="shared" si="10"/>
        <v>0</v>
      </c>
      <c r="AU37" s="54">
        <f>IF(MOD(S_normal27[[#This Row],[Indeks (base 0)]],AS$8)=0,NA(),_xlfn.POISSON.DIST(S_normal27[[#This Row],[X base]],$H$5,FALSE))</f>
        <v>4.9787068367863944E-2</v>
      </c>
      <c r="AV37" s="99" t="b">
        <f>S_normal27[[#This Row],[X base]]&lt;AS$5</f>
        <v>1</v>
      </c>
      <c r="AW37" s="99" t="b">
        <f>S_normal27[[#This Row],[X base]]=AS$5</f>
        <v>0</v>
      </c>
      <c r="AX37" s="99" t="b">
        <f>S_normal27[[#This Row],[X base]]&gt;AS$5</f>
        <v>0</v>
      </c>
      <c r="AY37" s="99">
        <f>IF(S_normal27[[#This Row],[Mindre end]],S_normal27[[#This Row],[Poissonfordeling]],NA())</f>
        <v>4.9787068367863944E-2</v>
      </c>
      <c r="AZ37" s="99" t="e">
        <f>IF(S_normal27[[#This Row],[Lig med]],S_normal27[[#This Row],[Poissonfordeling]],NA())</f>
        <v>#N/A</v>
      </c>
      <c r="BA37" s="99" t="e">
        <f>IF(S_normal27[[#This Row],[Større end]],S_normal27[[#This Row],[Poissonfordeling]],NA())</f>
        <v>#N/A</v>
      </c>
      <c r="BB37" s="85" t="str">
        <f>_xlfn.IFNA(IF(MOD(S_normal27[[#This Row],[Indeks (base 0)]],AS$8)=ROUNDDOWN(AS$8/2,0),S_normal27[[#This Row],[X base]],""),"")</f>
        <v/>
      </c>
      <c r="BC37" s="99" t="str">
        <f t="shared" si="9"/>
        <v xml:space="preserve"> </v>
      </c>
    </row>
    <row r="38" spans="1:55" x14ac:dyDescent="0.2">
      <c r="T38" s="54">
        <f t="shared" si="0"/>
        <v>25</v>
      </c>
      <c r="U38" s="54">
        <f>S_normal[[#This Row],[Indeks (base 0)]]+1</f>
        <v>26</v>
      </c>
      <c r="V38" s="99">
        <f t="shared" si="11"/>
        <v>-2.4913500762903302</v>
      </c>
      <c r="W38" s="99">
        <f t="shared" si="2"/>
        <v>1.7910804685522155E-2</v>
      </c>
      <c r="X38" s="99" t="b">
        <f>S_normal[[#This Row],[X base]]&lt;U$7</f>
        <v>1</v>
      </c>
      <c r="Y38" s="99" t="b">
        <f>S_normal[[#This Row],[X base]]&gt;U$7</f>
        <v>0</v>
      </c>
      <c r="Z38" s="99">
        <f>IF(S_normal[[#This Row],[Mindre end]],S_normal[[#This Row],[Normalfordeling]],NA())</f>
        <v>1.7910804685522155E-2</v>
      </c>
      <c r="AA38" s="99" t="e">
        <f>IF(S_normal[[#This Row],[Større end]],S_normal[[#This Row],[Normalfordeling]],NA())</f>
        <v>#N/A</v>
      </c>
      <c r="AB38" s="72" t="str">
        <f>_xlfn.IFNA(IF(S_normal[[#This Row],[Indeks (base 0)]]=ROUND((ROUND(S_normal[[#This Row],[X base]],0)-U$8)/(U$9-U$8)*U$4,0),S_normal[[#This Row],[X base]]*B$6+B$5,""),"")</f>
        <v/>
      </c>
      <c r="AC38" s="99" t="str">
        <f t="shared" si="12"/>
        <v xml:space="preserve"> </v>
      </c>
      <c r="AE38" s="54">
        <f t="shared" si="4"/>
        <v>25</v>
      </c>
      <c r="AF38" s="54">
        <f>S_binomial[[#This Row],[Indeks (base 0)]]+1</f>
        <v>26</v>
      </c>
      <c r="AG38" s="99">
        <f t="shared" si="5"/>
        <v>0</v>
      </c>
      <c r="AH38" s="99">
        <f>IF(MOD(S_binomial[[#This Row],[Indeks (base 0)]],AF$7)=0,NA(),_xlfn.BINOM.DIST(S_binomial[[#This Row],[X base]],E$5,E$6,FALSE))</f>
        <v>7.529536000000004E-6</v>
      </c>
      <c r="AI38" s="99" t="b">
        <f>S_binomial[[#This Row],[X base]]&lt;AF$5</f>
        <v>1</v>
      </c>
      <c r="AJ38" s="99" t="b">
        <f>S_binomial[[#This Row],[X base]]=AF$5</f>
        <v>0</v>
      </c>
      <c r="AK38" s="99" t="b">
        <f>S_binomial[[#This Row],[X base]]&gt;AF$5</f>
        <v>0</v>
      </c>
      <c r="AL38" s="99">
        <f>IF(S_binomial[[#This Row],[Mindre end]],S_binomial[[#This Row],[Binomialfordeling]],NA())</f>
        <v>7.529536000000004E-6</v>
      </c>
      <c r="AM38" s="99" t="e">
        <f>IF(S_binomial[[#This Row],[Lig med]],S_binomial[[#This Row],[Binomialfordeling]],NA())</f>
        <v>#N/A</v>
      </c>
      <c r="AN38" s="99" t="e">
        <f>IF(S_binomial[[#This Row],[Større end]],S_binomial[[#This Row],[Binomialfordeling]],NA())</f>
        <v>#N/A</v>
      </c>
      <c r="AO38" s="85" t="str">
        <f>_xlfn.IFNA(IF(MOD(S_binomial[[#This Row],[Indeks (base 0)]],AF$7)=ROUNDDOWN(AF$7/2,0),S_binomial[[#This Row],[X base]],""),"")</f>
        <v/>
      </c>
      <c r="AP38" s="99" t="str">
        <f t="shared" si="6"/>
        <v xml:space="preserve"> </v>
      </c>
      <c r="AR38" s="54">
        <f t="shared" si="7"/>
        <v>25</v>
      </c>
      <c r="AS38" s="54">
        <f>S_normal27[[#This Row],[Indeks (base 0)]]+1</f>
        <v>26</v>
      </c>
      <c r="AT38" s="54">
        <f t="shared" si="10"/>
        <v>0</v>
      </c>
      <c r="AU38" s="54">
        <f>IF(MOD(S_normal27[[#This Row],[Indeks (base 0)]],AS$8)=0,NA(),_xlfn.POISSON.DIST(S_normal27[[#This Row],[X base]],$H$5,FALSE))</f>
        <v>4.9787068367863944E-2</v>
      </c>
      <c r="AV38" s="99" t="b">
        <f>S_normal27[[#This Row],[X base]]&lt;AS$5</f>
        <v>1</v>
      </c>
      <c r="AW38" s="99" t="b">
        <f>S_normal27[[#This Row],[X base]]=AS$5</f>
        <v>0</v>
      </c>
      <c r="AX38" s="99" t="b">
        <f>S_normal27[[#This Row],[X base]]&gt;AS$5</f>
        <v>0</v>
      </c>
      <c r="AY38" s="99">
        <f>IF(S_normal27[[#This Row],[Mindre end]],S_normal27[[#This Row],[Poissonfordeling]],NA())</f>
        <v>4.9787068367863944E-2</v>
      </c>
      <c r="AZ38" s="99" t="e">
        <f>IF(S_normal27[[#This Row],[Lig med]],S_normal27[[#This Row],[Poissonfordeling]],NA())</f>
        <v>#N/A</v>
      </c>
      <c r="BA38" s="99" t="e">
        <f>IF(S_normal27[[#This Row],[Større end]],S_normal27[[#This Row],[Poissonfordeling]],NA())</f>
        <v>#N/A</v>
      </c>
      <c r="BB38" s="85" t="str">
        <f>_xlfn.IFNA(IF(MOD(S_normal27[[#This Row],[Indeks (base 0)]],AS$8)=ROUNDDOWN(AS$8/2,0),S_normal27[[#This Row],[X base]],""),"")</f>
        <v/>
      </c>
      <c r="BC38" s="99" t="str">
        <f t="shared" si="9"/>
        <v xml:space="preserve"> </v>
      </c>
    </row>
    <row r="39" spans="1:55" x14ac:dyDescent="0.2">
      <c r="T39" s="54">
        <f t="shared" si="0"/>
        <v>26</v>
      </c>
      <c r="U39" s="54">
        <f>S_normal[[#This Row],[Indeks (base 0)]]+1</f>
        <v>27</v>
      </c>
      <c r="V39" s="99">
        <f t="shared" si="11"/>
        <v>-2.4673947870952309</v>
      </c>
      <c r="W39" s="99">
        <f t="shared" si="2"/>
        <v>1.9006826955669413E-2</v>
      </c>
      <c r="X39" s="99" t="b">
        <f>S_normal[[#This Row],[X base]]&lt;U$7</f>
        <v>1</v>
      </c>
      <c r="Y39" s="99" t="b">
        <f>S_normal[[#This Row],[X base]]&gt;U$7</f>
        <v>0</v>
      </c>
      <c r="Z39" s="99">
        <f>IF(S_normal[[#This Row],[Mindre end]],S_normal[[#This Row],[Normalfordeling]],NA())</f>
        <v>1.9006826955669413E-2</v>
      </c>
      <c r="AA39" s="99" t="e">
        <f>IF(S_normal[[#This Row],[Større end]],S_normal[[#This Row],[Normalfordeling]],NA())</f>
        <v>#N/A</v>
      </c>
      <c r="AB39" s="72" t="str">
        <f>_xlfn.IFNA(IF(S_normal[[#This Row],[Indeks (base 0)]]=ROUND((ROUND(S_normal[[#This Row],[X base]],0)-U$8)/(U$9-U$8)*U$4,0),S_normal[[#This Row],[X base]]*B$6+B$5,""),"")</f>
        <v/>
      </c>
      <c r="AC39" s="99" t="str">
        <f t="shared" si="12"/>
        <v xml:space="preserve"> </v>
      </c>
      <c r="AE39" s="54">
        <f t="shared" si="4"/>
        <v>26</v>
      </c>
      <c r="AF39" s="54">
        <f>S_binomial[[#This Row],[Indeks (base 0)]]+1</f>
        <v>27</v>
      </c>
      <c r="AG39" s="99">
        <f t="shared" si="5"/>
        <v>0</v>
      </c>
      <c r="AH39" s="99">
        <f>IF(MOD(S_binomial[[#This Row],[Indeks (base 0)]],AF$7)=0,NA(),_xlfn.BINOM.DIST(S_binomial[[#This Row],[X base]],E$5,E$6,FALSE))</f>
        <v>7.529536000000004E-6</v>
      </c>
      <c r="AI39" s="99" t="b">
        <f>S_binomial[[#This Row],[X base]]&lt;AF$5</f>
        <v>1</v>
      </c>
      <c r="AJ39" s="99" t="b">
        <f>S_binomial[[#This Row],[X base]]=AF$5</f>
        <v>0</v>
      </c>
      <c r="AK39" s="99" t="b">
        <f>S_binomial[[#This Row],[X base]]&gt;AF$5</f>
        <v>0</v>
      </c>
      <c r="AL39" s="99">
        <f>IF(S_binomial[[#This Row],[Mindre end]],S_binomial[[#This Row],[Binomialfordeling]],NA())</f>
        <v>7.529536000000004E-6</v>
      </c>
      <c r="AM39" s="99" t="e">
        <f>IF(S_binomial[[#This Row],[Lig med]],S_binomial[[#This Row],[Binomialfordeling]],NA())</f>
        <v>#N/A</v>
      </c>
      <c r="AN39" s="99" t="e">
        <f>IF(S_binomial[[#This Row],[Større end]],S_binomial[[#This Row],[Binomialfordeling]],NA())</f>
        <v>#N/A</v>
      </c>
      <c r="AO39" s="85" t="str">
        <f>_xlfn.IFNA(IF(MOD(S_binomial[[#This Row],[Indeks (base 0)]],AF$7)=ROUNDDOWN(AF$7/2,0),S_binomial[[#This Row],[X base]],""),"")</f>
        <v/>
      </c>
      <c r="AP39" s="99" t="str">
        <f t="shared" si="6"/>
        <v xml:space="preserve"> </v>
      </c>
      <c r="AR39" s="54">
        <f t="shared" si="7"/>
        <v>26</v>
      </c>
      <c r="AS39" s="54">
        <f>S_normal27[[#This Row],[Indeks (base 0)]]+1</f>
        <v>27</v>
      </c>
      <c r="AT39" s="54">
        <f t="shared" si="10"/>
        <v>0</v>
      </c>
      <c r="AU39" s="54">
        <f>IF(MOD(S_normal27[[#This Row],[Indeks (base 0)]],AS$8)=0,NA(),_xlfn.POISSON.DIST(S_normal27[[#This Row],[X base]],$H$5,FALSE))</f>
        <v>4.9787068367863944E-2</v>
      </c>
      <c r="AV39" s="99" t="b">
        <f>S_normal27[[#This Row],[X base]]&lt;AS$5</f>
        <v>1</v>
      </c>
      <c r="AW39" s="99" t="b">
        <f>S_normal27[[#This Row],[X base]]=AS$5</f>
        <v>0</v>
      </c>
      <c r="AX39" s="99" t="b">
        <f>S_normal27[[#This Row],[X base]]&gt;AS$5</f>
        <v>0</v>
      </c>
      <c r="AY39" s="99">
        <f>IF(S_normal27[[#This Row],[Mindre end]],S_normal27[[#This Row],[Poissonfordeling]],NA())</f>
        <v>4.9787068367863944E-2</v>
      </c>
      <c r="AZ39" s="99" t="e">
        <f>IF(S_normal27[[#This Row],[Lig med]],S_normal27[[#This Row],[Poissonfordeling]],NA())</f>
        <v>#N/A</v>
      </c>
      <c r="BA39" s="99" t="e">
        <f>IF(S_normal27[[#This Row],[Større end]],S_normal27[[#This Row],[Poissonfordeling]],NA())</f>
        <v>#N/A</v>
      </c>
      <c r="BB39" s="85" t="str">
        <f>_xlfn.IFNA(IF(MOD(S_normal27[[#This Row],[Indeks (base 0)]],AS$8)=ROUNDDOWN(AS$8/2,0),S_normal27[[#This Row],[X base]],""),"")</f>
        <v/>
      </c>
      <c r="BC39" s="99" t="str">
        <f t="shared" si="9"/>
        <v xml:space="preserve"> </v>
      </c>
    </row>
    <row r="40" spans="1:55" x14ac:dyDescent="0.2">
      <c r="T40" s="54">
        <f t="shared" si="0"/>
        <v>27</v>
      </c>
      <c r="U40" s="54">
        <f>S_normal[[#This Row],[Indeks (base 0)]]+1</f>
        <v>28</v>
      </c>
      <c r="V40" s="99">
        <f t="shared" si="11"/>
        <v>-2.4434394979001315</v>
      </c>
      <c r="W40" s="99">
        <f t="shared" si="2"/>
        <v>2.0158347202276675E-2</v>
      </c>
      <c r="X40" s="99" t="b">
        <f>S_normal[[#This Row],[X base]]&lt;U$7</f>
        <v>1</v>
      </c>
      <c r="Y40" s="99" t="b">
        <f>S_normal[[#This Row],[X base]]&gt;U$7</f>
        <v>0</v>
      </c>
      <c r="Z40" s="99">
        <f>IF(S_normal[[#This Row],[Mindre end]],S_normal[[#This Row],[Normalfordeling]],NA())</f>
        <v>2.0158347202276675E-2</v>
      </c>
      <c r="AA40" s="99" t="e">
        <f>IF(S_normal[[#This Row],[Større end]],S_normal[[#This Row],[Normalfordeling]],NA())</f>
        <v>#N/A</v>
      </c>
      <c r="AB40" s="72" t="str">
        <f>_xlfn.IFNA(IF(S_normal[[#This Row],[Indeks (base 0)]]=ROUND((ROUND(S_normal[[#This Row],[X base]],0)-U$8)/(U$9-U$8)*U$4,0),S_normal[[#This Row],[X base]]*B$6+B$5,""),"")</f>
        <v/>
      </c>
      <c r="AC40" s="99" t="str">
        <f t="shared" si="12"/>
        <v xml:space="preserve"> </v>
      </c>
      <c r="AE40" s="54">
        <f t="shared" si="4"/>
        <v>27</v>
      </c>
      <c r="AF40" s="54">
        <f>S_binomial[[#This Row],[Indeks (base 0)]]+1</f>
        <v>28</v>
      </c>
      <c r="AG40" s="99">
        <f t="shared" si="5"/>
        <v>0</v>
      </c>
      <c r="AH40" s="99">
        <f>IF(MOD(S_binomial[[#This Row],[Indeks (base 0)]],AF$7)=0,NA(),_xlfn.BINOM.DIST(S_binomial[[#This Row],[X base]],E$5,E$6,FALSE))</f>
        <v>7.529536000000004E-6</v>
      </c>
      <c r="AI40" s="99" t="b">
        <f>S_binomial[[#This Row],[X base]]&lt;AF$5</f>
        <v>1</v>
      </c>
      <c r="AJ40" s="99" t="b">
        <f>S_binomial[[#This Row],[X base]]=AF$5</f>
        <v>0</v>
      </c>
      <c r="AK40" s="99" t="b">
        <f>S_binomial[[#This Row],[X base]]&gt;AF$5</f>
        <v>0</v>
      </c>
      <c r="AL40" s="99">
        <f>IF(S_binomial[[#This Row],[Mindre end]],S_binomial[[#This Row],[Binomialfordeling]],NA())</f>
        <v>7.529536000000004E-6</v>
      </c>
      <c r="AM40" s="99" t="e">
        <f>IF(S_binomial[[#This Row],[Lig med]],S_binomial[[#This Row],[Binomialfordeling]],NA())</f>
        <v>#N/A</v>
      </c>
      <c r="AN40" s="99" t="e">
        <f>IF(S_binomial[[#This Row],[Større end]],S_binomial[[#This Row],[Binomialfordeling]],NA())</f>
        <v>#N/A</v>
      </c>
      <c r="AO40" s="85" t="str">
        <f>_xlfn.IFNA(IF(MOD(S_binomial[[#This Row],[Indeks (base 0)]],AF$7)=ROUNDDOWN(AF$7/2,0),S_binomial[[#This Row],[X base]],""),"")</f>
        <v/>
      </c>
      <c r="AP40" s="99" t="str">
        <f t="shared" si="6"/>
        <v xml:space="preserve"> </v>
      </c>
      <c r="AR40" s="54">
        <f t="shared" si="7"/>
        <v>27</v>
      </c>
      <c r="AS40" s="54">
        <f>S_normal27[[#This Row],[Indeks (base 0)]]+1</f>
        <v>28</v>
      </c>
      <c r="AT40" s="54">
        <f t="shared" si="10"/>
        <v>0</v>
      </c>
      <c r="AU40" s="54">
        <f>IF(MOD(S_normal27[[#This Row],[Indeks (base 0)]],AS$8)=0,NA(),_xlfn.POISSON.DIST(S_normal27[[#This Row],[X base]],$H$5,FALSE))</f>
        <v>4.9787068367863944E-2</v>
      </c>
      <c r="AV40" s="99" t="b">
        <f>S_normal27[[#This Row],[X base]]&lt;AS$5</f>
        <v>1</v>
      </c>
      <c r="AW40" s="99" t="b">
        <f>S_normal27[[#This Row],[X base]]=AS$5</f>
        <v>0</v>
      </c>
      <c r="AX40" s="99" t="b">
        <f>S_normal27[[#This Row],[X base]]&gt;AS$5</f>
        <v>0</v>
      </c>
      <c r="AY40" s="99">
        <f>IF(S_normal27[[#This Row],[Mindre end]],S_normal27[[#This Row],[Poissonfordeling]],NA())</f>
        <v>4.9787068367863944E-2</v>
      </c>
      <c r="AZ40" s="99" t="e">
        <f>IF(S_normal27[[#This Row],[Lig med]],S_normal27[[#This Row],[Poissonfordeling]],NA())</f>
        <v>#N/A</v>
      </c>
      <c r="BA40" s="99" t="e">
        <f>IF(S_normal27[[#This Row],[Større end]],S_normal27[[#This Row],[Poissonfordeling]],NA())</f>
        <v>#N/A</v>
      </c>
      <c r="BB40" s="85" t="str">
        <f>_xlfn.IFNA(IF(MOD(S_normal27[[#This Row],[Indeks (base 0)]],AS$8)=ROUNDDOWN(AS$8/2,0),S_normal27[[#This Row],[X base]],""),"")</f>
        <v/>
      </c>
      <c r="BC40" s="99" t="str">
        <f t="shared" si="9"/>
        <v xml:space="preserve"> </v>
      </c>
    </row>
    <row r="41" spans="1:55" x14ac:dyDescent="0.2">
      <c r="T41" s="54">
        <f t="shared" si="0"/>
        <v>28</v>
      </c>
      <c r="U41" s="54">
        <f>S_normal[[#This Row],[Indeks (base 0)]]+1</f>
        <v>29</v>
      </c>
      <c r="V41" s="99">
        <f t="shared" si="11"/>
        <v>-2.4194842087050321</v>
      </c>
      <c r="W41" s="99">
        <f t="shared" si="2"/>
        <v>2.1367366488433549E-2</v>
      </c>
      <c r="X41" s="99" t="b">
        <f>S_normal[[#This Row],[X base]]&lt;U$7</f>
        <v>1</v>
      </c>
      <c r="Y41" s="99" t="b">
        <f>S_normal[[#This Row],[X base]]&gt;U$7</f>
        <v>0</v>
      </c>
      <c r="Z41" s="99">
        <f>IF(S_normal[[#This Row],[Mindre end]],S_normal[[#This Row],[Normalfordeling]],NA())</f>
        <v>2.1367366488433549E-2</v>
      </c>
      <c r="AA41" s="99" t="e">
        <f>IF(S_normal[[#This Row],[Større end]],S_normal[[#This Row],[Normalfordeling]],NA())</f>
        <v>#N/A</v>
      </c>
      <c r="AB41" s="72" t="str">
        <f>_xlfn.IFNA(IF(S_normal[[#This Row],[Indeks (base 0)]]=ROUND((ROUND(S_normal[[#This Row],[X base]],0)-U$8)/(U$9-U$8)*U$4,0),S_normal[[#This Row],[X base]]*B$6+B$5,""),"")</f>
        <v/>
      </c>
      <c r="AC41" s="99" t="str">
        <f t="shared" si="12"/>
        <v xml:space="preserve"> </v>
      </c>
      <c r="AE41" s="54">
        <f t="shared" si="4"/>
        <v>28</v>
      </c>
      <c r="AF41" s="54">
        <f>S_binomial[[#This Row],[Indeks (base 0)]]+1</f>
        <v>29</v>
      </c>
      <c r="AG41" s="99">
        <f t="shared" si="5"/>
        <v>0</v>
      </c>
      <c r="AH41" s="99">
        <f>IF(MOD(S_binomial[[#This Row],[Indeks (base 0)]],AF$7)=0,NA(),_xlfn.BINOM.DIST(S_binomial[[#This Row],[X base]],E$5,E$6,FALSE))</f>
        <v>7.529536000000004E-6</v>
      </c>
      <c r="AI41" s="99" t="b">
        <f>S_binomial[[#This Row],[X base]]&lt;AF$5</f>
        <v>1</v>
      </c>
      <c r="AJ41" s="99" t="b">
        <f>S_binomial[[#This Row],[X base]]=AF$5</f>
        <v>0</v>
      </c>
      <c r="AK41" s="99" t="b">
        <f>S_binomial[[#This Row],[X base]]&gt;AF$5</f>
        <v>0</v>
      </c>
      <c r="AL41" s="99">
        <f>IF(S_binomial[[#This Row],[Mindre end]],S_binomial[[#This Row],[Binomialfordeling]],NA())</f>
        <v>7.529536000000004E-6</v>
      </c>
      <c r="AM41" s="99" t="e">
        <f>IF(S_binomial[[#This Row],[Lig med]],S_binomial[[#This Row],[Binomialfordeling]],NA())</f>
        <v>#N/A</v>
      </c>
      <c r="AN41" s="99" t="e">
        <f>IF(S_binomial[[#This Row],[Større end]],S_binomial[[#This Row],[Binomialfordeling]],NA())</f>
        <v>#N/A</v>
      </c>
      <c r="AO41" s="85" t="str">
        <f>_xlfn.IFNA(IF(MOD(S_binomial[[#This Row],[Indeks (base 0)]],AF$7)=ROUNDDOWN(AF$7/2,0),S_binomial[[#This Row],[X base]],""),"")</f>
        <v/>
      </c>
      <c r="AP41" s="99" t="str">
        <f t="shared" si="6"/>
        <v xml:space="preserve"> </v>
      </c>
      <c r="AR41" s="54">
        <f t="shared" si="7"/>
        <v>28</v>
      </c>
      <c r="AS41" s="54">
        <f>S_normal27[[#This Row],[Indeks (base 0)]]+1</f>
        <v>29</v>
      </c>
      <c r="AT41" s="54">
        <f t="shared" si="10"/>
        <v>0</v>
      </c>
      <c r="AU41" s="54">
        <f>IF(MOD(S_normal27[[#This Row],[Indeks (base 0)]],AS$8)=0,NA(),_xlfn.POISSON.DIST(S_normal27[[#This Row],[X base]],$H$5,FALSE))</f>
        <v>4.9787068367863944E-2</v>
      </c>
      <c r="AV41" s="99" t="b">
        <f>S_normal27[[#This Row],[X base]]&lt;AS$5</f>
        <v>1</v>
      </c>
      <c r="AW41" s="99" t="b">
        <f>S_normal27[[#This Row],[X base]]=AS$5</f>
        <v>0</v>
      </c>
      <c r="AX41" s="99" t="b">
        <f>S_normal27[[#This Row],[X base]]&gt;AS$5</f>
        <v>0</v>
      </c>
      <c r="AY41" s="99">
        <f>IF(S_normal27[[#This Row],[Mindre end]],S_normal27[[#This Row],[Poissonfordeling]],NA())</f>
        <v>4.9787068367863944E-2</v>
      </c>
      <c r="AZ41" s="99" t="e">
        <f>IF(S_normal27[[#This Row],[Lig med]],S_normal27[[#This Row],[Poissonfordeling]],NA())</f>
        <v>#N/A</v>
      </c>
      <c r="BA41" s="99" t="e">
        <f>IF(S_normal27[[#This Row],[Større end]],S_normal27[[#This Row],[Poissonfordeling]],NA())</f>
        <v>#N/A</v>
      </c>
      <c r="BB41" s="85" t="str">
        <f>_xlfn.IFNA(IF(MOD(S_normal27[[#This Row],[Indeks (base 0)]],AS$8)=ROUNDDOWN(AS$8/2,0),S_normal27[[#This Row],[X base]],""),"")</f>
        <v/>
      </c>
      <c r="BC41" s="99" t="str">
        <f t="shared" si="9"/>
        <v xml:space="preserve"> </v>
      </c>
    </row>
    <row r="42" spans="1:55" x14ac:dyDescent="0.2">
      <c r="T42" s="54">
        <f t="shared" si="0"/>
        <v>29</v>
      </c>
      <c r="U42" s="54">
        <f>S_normal[[#This Row],[Indeks (base 0)]]+1</f>
        <v>30</v>
      </c>
      <c r="V42" s="99">
        <f t="shared" si="11"/>
        <v>-2.3955289195099327</v>
      </c>
      <c r="W42" s="99">
        <f t="shared" si="2"/>
        <v>2.2635904575720501E-2</v>
      </c>
      <c r="X42" s="99" t="b">
        <f>S_normal[[#This Row],[X base]]&lt;U$7</f>
        <v>1</v>
      </c>
      <c r="Y42" s="99" t="b">
        <f>S_normal[[#This Row],[X base]]&gt;U$7</f>
        <v>0</v>
      </c>
      <c r="Z42" s="99">
        <f>IF(S_normal[[#This Row],[Mindre end]],S_normal[[#This Row],[Normalfordeling]],NA())</f>
        <v>2.2635904575720501E-2</v>
      </c>
      <c r="AA42" s="99" t="e">
        <f>IF(S_normal[[#This Row],[Større end]],S_normal[[#This Row],[Normalfordeling]],NA())</f>
        <v>#N/A</v>
      </c>
      <c r="AB42" s="72" t="str">
        <f>_xlfn.IFNA(IF(S_normal[[#This Row],[Indeks (base 0)]]=ROUND((ROUND(S_normal[[#This Row],[X base]],0)-U$8)/(U$9-U$8)*U$4,0),S_normal[[#This Row],[X base]]*B$6+B$5,""),"")</f>
        <v/>
      </c>
      <c r="AC42" s="99" t="str">
        <f t="shared" si="12"/>
        <v xml:space="preserve"> </v>
      </c>
      <c r="AE42" s="54">
        <f t="shared" si="4"/>
        <v>29</v>
      </c>
      <c r="AF42" s="54">
        <f>S_binomial[[#This Row],[Indeks (base 0)]]+1</f>
        <v>30</v>
      </c>
      <c r="AG42" s="99">
        <f t="shared" si="5"/>
        <v>0</v>
      </c>
      <c r="AH42" s="99">
        <f>IF(MOD(S_binomial[[#This Row],[Indeks (base 0)]],AF$7)=0,NA(),_xlfn.BINOM.DIST(S_binomial[[#This Row],[X base]],E$5,E$6,FALSE))</f>
        <v>7.529536000000004E-6</v>
      </c>
      <c r="AI42" s="99" t="b">
        <f>S_binomial[[#This Row],[X base]]&lt;AF$5</f>
        <v>1</v>
      </c>
      <c r="AJ42" s="99" t="b">
        <f>S_binomial[[#This Row],[X base]]=AF$5</f>
        <v>0</v>
      </c>
      <c r="AK42" s="99" t="b">
        <f>S_binomial[[#This Row],[X base]]&gt;AF$5</f>
        <v>0</v>
      </c>
      <c r="AL42" s="99">
        <f>IF(S_binomial[[#This Row],[Mindre end]],S_binomial[[#This Row],[Binomialfordeling]],NA())</f>
        <v>7.529536000000004E-6</v>
      </c>
      <c r="AM42" s="99" t="e">
        <f>IF(S_binomial[[#This Row],[Lig med]],S_binomial[[#This Row],[Binomialfordeling]],NA())</f>
        <v>#N/A</v>
      </c>
      <c r="AN42" s="99" t="e">
        <f>IF(S_binomial[[#This Row],[Større end]],S_binomial[[#This Row],[Binomialfordeling]],NA())</f>
        <v>#N/A</v>
      </c>
      <c r="AO42" s="85" t="str">
        <f>_xlfn.IFNA(IF(MOD(S_binomial[[#This Row],[Indeks (base 0)]],AF$7)=ROUNDDOWN(AF$7/2,0),S_binomial[[#This Row],[X base]],""),"")</f>
        <v/>
      </c>
      <c r="AP42" s="99" t="str">
        <f t="shared" si="6"/>
        <v xml:space="preserve"> </v>
      </c>
      <c r="AR42" s="54">
        <f t="shared" si="7"/>
        <v>29</v>
      </c>
      <c r="AS42" s="54">
        <f>S_normal27[[#This Row],[Indeks (base 0)]]+1</f>
        <v>30</v>
      </c>
      <c r="AT42" s="54">
        <f t="shared" si="10"/>
        <v>0</v>
      </c>
      <c r="AU42" s="54">
        <f>IF(MOD(S_normal27[[#This Row],[Indeks (base 0)]],AS$8)=0,NA(),_xlfn.POISSON.DIST(S_normal27[[#This Row],[X base]],$H$5,FALSE))</f>
        <v>4.9787068367863944E-2</v>
      </c>
      <c r="AV42" s="99" t="b">
        <f>S_normal27[[#This Row],[X base]]&lt;AS$5</f>
        <v>1</v>
      </c>
      <c r="AW42" s="99" t="b">
        <f>S_normal27[[#This Row],[X base]]=AS$5</f>
        <v>0</v>
      </c>
      <c r="AX42" s="99" t="b">
        <f>S_normal27[[#This Row],[X base]]&gt;AS$5</f>
        <v>0</v>
      </c>
      <c r="AY42" s="99">
        <f>IF(S_normal27[[#This Row],[Mindre end]],S_normal27[[#This Row],[Poissonfordeling]],NA())</f>
        <v>4.9787068367863944E-2</v>
      </c>
      <c r="AZ42" s="99" t="e">
        <f>IF(S_normal27[[#This Row],[Lig med]],S_normal27[[#This Row],[Poissonfordeling]],NA())</f>
        <v>#N/A</v>
      </c>
      <c r="BA42" s="99" t="e">
        <f>IF(S_normal27[[#This Row],[Større end]],S_normal27[[#This Row],[Poissonfordeling]],NA())</f>
        <v>#N/A</v>
      </c>
      <c r="BB42" s="85" t="str">
        <f>_xlfn.IFNA(IF(MOD(S_normal27[[#This Row],[Indeks (base 0)]],AS$8)=ROUNDDOWN(AS$8/2,0),S_normal27[[#This Row],[X base]],""),"")</f>
        <v/>
      </c>
      <c r="BC42" s="99" t="str">
        <f t="shared" si="9"/>
        <v xml:space="preserve"> </v>
      </c>
    </row>
    <row r="43" spans="1:55" x14ac:dyDescent="0.2">
      <c r="T43" s="54">
        <f t="shared" si="0"/>
        <v>30</v>
      </c>
      <c r="U43" s="54">
        <f>S_normal[[#This Row],[Indeks (base 0)]]+1</f>
        <v>31</v>
      </c>
      <c r="V43" s="99">
        <f t="shared" si="11"/>
        <v>-2.3715736303148334</v>
      </c>
      <c r="W43" s="99">
        <f t="shared" si="2"/>
        <v>2.3965996273642005E-2</v>
      </c>
      <c r="X43" s="99" t="b">
        <f>S_normal[[#This Row],[X base]]&lt;U$7</f>
        <v>1</v>
      </c>
      <c r="Y43" s="99" t="b">
        <f>S_normal[[#This Row],[X base]]&gt;U$7</f>
        <v>0</v>
      </c>
      <c r="Z43" s="99">
        <f>IF(S_normal[[#This Row],[Mindre end]],S_normal[[#This Row],[Normalfordeling]],NA())</f>
        <v>2.3965996273642005E-2</v>
      </c>
      <c r="AA43" s="99" t="e">
        <f>IF(S_normal[[#This Row],[Større end]],S_normal[[#This Row],[Normalfordeling]],NA())</f>
        <v>#N/A</v>
      </c>
      <c r="AB43" s="72" t="str">
        <f>_xlfn.IFNA(IF(S_normal[[#This Row],[Indeks (base 0)]]=ROUND((ROUND(S_normal[[#This Row],[X base]],0)-U$8)/(U$9-U$8)*U$4,0),S_normal[[#This Row],[X base]]*B$6+B$5,""),"")</f>
        <v/>
      </c>
      <c r="AC43" s="99" t="str">
        <f t="shared" si="12"/>
        <v xml:space="preserve"> </v>
      </c>
      <c r="AE43" s="54">
        <f t="shared" si="4"/>
        <v>30</v>
      </c>
      <c r="AF43" s="54">
        <f>S_binomial[[#This Row],[Indeks (base 0)]]+1</f>
        <v>31</v>
      </c>
      <c r="AG43" s="99">
        <f t="shared" si="5"/>
        <v>0</v>
      </c>
      <c r="AH43" s="99">
        <f>IF(MOD(S_binomial[[#This Row],[Indeks (base 0)]],AF$7)=0,NA(),_xlfn.BINOM.DIST(S_binomial[[#This Row],[X base]],E$5,E$6,FALSE))</f>
        <v>7.529536000000004E-6</v>
      </c>
      <c r="AI43" s="99" t="b">
        <f>S_binomial[[#This Row],[X base]]&lt;AF$5</f>
        <v>1</v>
      </c>
      <c r="AJ43" s="99" t="b">
        <f>S_binomial[[#This Row],[X base]]=AF$5</f>
        <v>0</v>
      </c>
      <c r="AK43" s="99" t="b">
        <f>S_binomial[[#This Row],[X base]]&gt;AF$5</f>
        <v>0</v>
      </c>
      <c r="AL43" s="99">
        <f>IF(S_binomial[[#This Row],[Mindre end]],S_binomial[[#This Row],[Binomialfordeling]],NA())</f>
        <v>7.529536000000004E-6</v>
      </c>
      <c r="AM43" s="99" t="e">
        <f>IF(S_binomial[[#This Row],[Lig med]],S_binomial[[#This Row],[Binomialfordeling]],NA())</f>
        <v>#N/A</v>
      </c>
      <c r="AN43" s="99" t="e">
        <f>IF(S_binomial[[#This Row],[Større end]],S_binomial[[#This Row],[Binomialfordeling]],NA())</f>
        <v>#N/A</v>
      </c>
      <c r="AO43" s="85" t="str">
        <f>_xlfn.IFNA(IF(MOD(S_binomial[[#This Row],[Indeks (base 0)]],AF$7)=ROUNDDOWN(AF$7/2,0),S_binomial[[#This Row],[X base]],""),"")</f>
        <v/>
      </c>
      <c r="AP43" s="99" t="str">
        <f t="shared" si="6"/>
        <v xml:space="preserve"> </v>
      </c>
      <c r="AR43" s="54">
        <f t="shared" si="7"/>
        <v>30</v>
      </c>
      <c r="AS43" s="54">
        <f>S_normal27[[#This Row],[Indeks (base 0)]]+1</f>
        <v>31</v>
      </c>
      <c r="AT43" s="54">
        <f t="shared" si="10"/>
        <v>0</v>
      </c>
      <c r="AU43" s="54">
        <f>IF(MOD(S_normal27[[#This Row],[Indeks (base 0)]],AS$8)=0,NA(),_xlfn.POISSON.DIST(S_normal27[[#This Row],[X base]],$H$5,FALSE))</f>
        <v>4.9787068367863944E-2</v>
      </c>
      <c r="AV43" s="99" t="b">
        <f>S_normal27[[#This Row],[X base]]&lt;AS$5</f>
        <v>1</v>
      </c>
      <c r="AW43" s="99" t="b">
        <f>S_normal27[[#This Row],[X base]]=AS$5</f>
        <v>0</v>
      </c>
      <c r="AX43" s="99" t="b">
        <f>S_normal27[[#This Row],[X base]]&gt;AS$5</f>
        <v>0</v>
      </c>
      <c r="AY43" s="99">
        <f>IF(S_normal27[[#This Row],[Mindre end]],S_normal27[[#This Row],[Poissonfordeling]],NA())</f>
        <v>4.9787068367863944E-2</v>
      </c>
      <c r="AZ43" s="99" t="e">
        <f>IF(S_normal27[[#This Row],[Lig med]],S_normal27[[#This Row],[Poissonfordeling]],NA())</f>
        <v>#N/A</v>
      </c>
      <c r="BA43" s="99" t="e">
        <f>IF(S_normal27[[#This Row],[Større end]],S_normal27[[#This Row],[Poissonfordeling]],NA())</f>
        <v>#N/A</v>
      </c>
      <c r="BB43" s="85" t="str">
        <f>_xlfn.IFNA(IF(MOD(S_normal27[[#This Row],[Indeks (base 0)]],AS$8)=ROUNDDOWN(AS$8/2,0),S_normal27[[#This Row],[X base]],""),"")</f>
        <v/>
      </c>
      <c r="BC43" s="99" t="str">
        <f t="shared" si="9"/>
        <v xml:space="preserve"> </v>
      </c>
    </row>
    <row r="44" spans="1:55" x14ac:dyDescent="0.2">
      <c r="T44" s="54">
        <f t="shared" si="0"/>
        <v>31</v>
      </c>
      <c r="U44" s="54">
        <f>S_normal[[#This Row],[Indeks (base 0)]]+1</f>
        <v>32</v>
      </c>
      <c r="V44" s="99">
        <f t="shared" si="11"/>
        <v>-2.347618341119734</v>
      </c>
      <c r="W44" s="99">
        <f t="shared" si="2"/>
        <v>2.5359687526847842E-2</v>
      </c>
      <c r="X44" s="99" t="b">
        <f>S_normal[[#This Row],[X base]]&lt;U$7</f>
        <v>1</v>
      </c>
      <c r="Y44" s="99" t="b">
        <f>S_normal[[#This Row],[X base]]&gt;U$7</f>
        <v>0</v>
      </c>
      <c r="Z44" s="99">
        <f>IF(S_normal[[#This Row],[Mindre end]],S_normal[[#This Row],[Normalfordeling]],NA())</f>
        <v>2.5359687526847842E-2</v>
      </c>
      <c r="AA44" s="99" t="e">
        <f>IF(S_normal[[#This Row],[Større end]],S_normal[[#This Row],[Normalfordeling]],NA())</f>
        <v>#N/A</v>
      </c>
      <c r="AB44" s="72" t="str">
        <f>_xlfn.IFNA(IF(S_normal[[#This Row],[Indeks (base 0)]]=ROUND((ROUND(S_normal[[#This Row],[X base]],0)-U$8)/(U$9-U$8)*U$4,0),S_normal[[#This Row],[X base]]*B$6+B$5,""),"")</f>
        <v/>
      </c>
      <c r="AC44" s="99" t="str">
        <f t="shared" si="12"/>
        <v xml:space="preserve"> </v>
      </c>
      <c r="AE44" s="54">
        <f t="shared" si="4"/>
        <v>31</v>
      </c>
      <c r="AF44" s="54">
        <f>S_binomial[[#This Row],[Indeks (base 0)]]+1</f>
        <v>32</v>
      </c>
      <c r="AG44" s="99">
        <f t="shared" si="5"/>
        <v>0</v>
      </c>
      <c r="AH44" s="99">
        <f>IF(MOD(S_binomial[[#This Row],[Indeks (base 0)]],AF$7)=0,NA(),_xlfn.BINOM.DIST(S_binomial[[#This Row],[X base]],E$5,E$6,FALSE))</f>
        <v>7.529536000000004E-6</v>
      </c>
      <c r="AI44" s="99" t="b">
        <f>S_binomial[[#This Row],[X base]]&lt;AF$5</f>
        <v>1</v>
      </c>
      <c r="AJ44" s="99" t="b">
        <f>S_binomial[[#This Row],[X base]]=AF$5</f>
        <v>0</v>
      </c>
      <c r="AK44" s="99" t="b">
        <f>S_binomial[[#This Row],[X base]]&gt;AF$5</f>
        <v>0</v>
      </c>
      <c r="AL44" s="99">
        <f>IF(S_binomial[[#This Row],[Mindre end]],S_binomial[[#This Row],[Binomialfordeling]],NA())</f>
        <v>7.529536000000004E-6</v>
      </c>
      <c r="AM44" s="99" t="e">
        <f>IF(S_binomial[[#This Row],[Lig med]],S_binomial[[#This Row],[Binomialfordeling]],NA())</f>
        <v>#N/A</v>
      </c>
      <c r="AN44" s="99" t="e">
        <f>IF(S_binomial[[#This Row],[Større end]],S_binomial[[#This Row],[Binomialfordeling]],NA())</f>
        <v>#N/A</v>
      </c>
      <c r="AO44" s="85" t="str">
        <f>_xlfn.IFNA(IF(MOD(S_binomial[[#This Row],[Indeks (base 0)]],AF$7)=ROUNDDOWN(AF$7/2,0),S_binomial[[#This Row],[X base]],""),"")</f>
        <v/>
      </c>
      <c r="AP44" s="99" t="str">
        <f t="shared" si="6"/>
        <v xml:space="preserve"> </v>
      </c>
      <c r="AR44" s="54">
        <f t="shared" si="7"/>
        <v>31</v>
      </c>
      <c r="AS44" s="54">
        <f>S_normal27[[#This Row],[Indeks (base 0)]]+1</f>
        <v>32</v>
      </c>
      <c r="AT44" s="54">
        <f t="shared" si="10"/>
        <v>0</v>
      </c>
      <c r="AU44" s="54">
        <f>IF(MOD(S_normal27[[#This Row],[Indeks (base 0)]],AS$8)=0,NA(),_xlfn.POISSON.DIST(S_normal27[[#This Row],[X base]],$H$5,FALSE))</f>
        <v>4.9787068367863944E-2</v>
      </c>
      <c r="AV44" s="99" t="b">
        <f>S_normal27[[#This Row],[X base]]&lt;AS$5</f>
        <v>1</v>
      </c>
      <c r="AW44" s="99" t="b">
        <f>S_normal27[[#This Row],[X base]]=AS$5</f>
        <v>0</v>
      </c>
      <c r="AX44" s="99" t="b">
        <f>S_normal27[[#This Row],[X base]]&gt;AS$5</f>
        <v>0</v>
      </c>
      <c r="AY44" s="99">
        <f>IF(S_normal27[[#This Row],[Mindre end]],S_normal27[[#This Row],[Poissonfordeling]],NA())</f>
        <v>4.9787068367863944E-2</v>
      </c>
      <c r="AZ44" s="99" t="e">
        <f>IF(S_normal27[[#This Row],[Lig med]],S_normal27[[#This Row],[Poissonfordeling]],NA())</f>
        <v>#N/A</v>
      </c>
      <c r="BA44" s="99" t="e">
        <f>IF(S_normal27[[#This Row],[Større end]],S_normal27[[#This Row],[Poissonfordeling]],NA())</f>
        <v>#N/A</v>
      </c>
      <c r="BB44" s="85" t="str">
        <f>_xlfn.IFNA(IF(MOD(S_normal27[[#This Row],[Indeks (base 0)]],AS$8)=ROUNDDOWN(AS$8/2,0),S_normal27[[#This Row],[X base]],""),"")</f>
        <v/>
      </c>
      <c r="BC44" s="99" t="str">
        <f t="shared" si="9"/>
        <v xml:space="preserve"> </v>
      </c>
    </row>
    <row r="45" spans="1:55" x14ac:dyDescent="0.2">
      <c r="T45" s="54">
        <f t="shared" si="0"/>
        <v>32</v>
      </c>
      <c r="U45" s="54">
        <f>S_normal[[#This Row],[Indeks (base 0)]]+1</f>
        <v>33</v>
      </c>
      <c r="V45" s="99">
        <f t="shared" si="11"/>
        <v>-2.3236630519246346</v>
      </c>
      <c r="W45" s="99">
        <f t="shared" si="2"/>
        <v>2.681903123843965E-2</v>
      </c>
      <c r="X45" s="99" t="b">
        <f>S_normal[[#This Row],[X base]]&lt;U$7</f>
        <v>1</v>
      </c>
      <c r="Y45" s="99" t="b">
        <f>S_normal[[#This Row],[X base]]&gt;U$7</f>
        <v>0</v>
      </c>
      <c r="Z45" s="99">
        <f>IF(S_normal[[#This Row],[Mindre end]],S_normal[[#This Row],[Normalfordeling]],NA())</f>
        <v>2.681903123843965E-2</v>
      </c>
      <c r="AA45" s="99" t="e">
        <f>IF(S_normal[[#This Row],[Større end]],S_normal[[#This Row],[Normalfordeling]],NA())</f>
        <v>#N/A</v>
      </c>
      <c r="AB45" s="72" t="str">
        <f>_xlfn.IFNA(IF(S_normal[[#This Row],[Indeks (base 0)]]=ROUND((ROUND(S_normal[[#This Row],[X base]],0)-U$8)/(U$9-U$8)*U$4,0),S_normal[[#This Row],[X base]]*B$6+B$5,""),"")</f>
        <v/>
      </c>
      <c r="AC45" s="99" t="str">
        <f t="shared" si="12"/>
        <v xml:space="preserve"> </v>
      </c>
      <c r="AE45" s="54">
        <f t="shared" si="4"/>
        <v>32</v>
      </c>
      <c r="AF45" s="54">
        <f>S_binomial[[#This Row],[Indeks (base 0)]]+1</f>
        <v>33</v>
      </c>
      <c r="AG45" s="99">
        <f t="shared" si="5"/>
        <v>0</v>
      </c>
      <c r="AH45" s="99">
        <f>IF(MOD(S_binomial[[#This Row],[Indeks (base 0)]],AF$7)=0,NA(),_xlfn.BINOM.DIST(S_binomial[[#This Row],[X base]],E$5,E$6,FALSE))</f>
        <v>7.529536000000004E-6</v>
      </c>
      <c r="AI45" s="99" t="b">
        <f>S_binomial[[#This Row],[X base]]&lt;AF$5</f>
        <v>1</v>
      </c>
      <c r="AJ45" s="99" t="b">
        <f>S_binomial[[#This Row],[X base]]=AF$5</f>
        <v>0</v>
      </c>
      <c r="AK45" s="99" t="b">
        <f>S_binomial[[#This Row],[X base]]&gt;AF$5</f>
        <v>0</v>
      </c>
      <c r="AL45" s="99">
        <f>IF(S_binomial[[#This Row],[Mindre end]],S_binomial[[#This Row],[Binomialfordeling]],NA())</f>
        <v>7.529536000000004E-6</v>
      </c>
      <c r="AM45" s="99" t="e">
        <f>IF(S_binomial[[#This Row],[Lig med]],S_binomial[[#This Row],[Binomialfordeling]],NA())</f>
        <v>#N/A</v>
      </c>
      <c r="AN45" s="99" t="e">
        <f>IF(S_binomial[[#This Row],[Større end]],S_binomial[[#This Row],[Binomialfordeling]],NA())</f>
        <v>#N/A</v>
      </c>
      <c r="AO45" s="85" t="str">
        <f>_xlfn.IFNA(IF(MOD(S_binomial[[#This Row],[Indeks (base 0)]],AF$7)=ROUNDDOWN(AF$7/2,0),S_binomial[[#This Row],[X base]],""),"")</f>
        <v/>
      </c>
      <c r="AP45" s="99" t="str">
        <f t="shared" si="6"/>
        <v xml:space="preserve"> </v>
      </c>
      <c r="AR45" s="54">
        <f t="shared" si="7"/>
        <v>32</v>
      </c>
      <c r="AS45" s="54">
        <f>S_normal27[[#This Row],[Indeks (base 0)]]+1</f>
        <v>33</v>
      </c>
      <c r="AT45" s="54">
        <f t="shared" si="10"/>
        <v>0</v>
      </c>
      <c r="AU45" s="54">
        <f>IF(MOD(S_normal27[[#This Row],[Indeks (base 0)]],AS$8)=0,NA(),_xlfn.POISSON.DIST(S_normal27[[#This Row],[X base]],$H$5,FALSE))</f>
        <v>4.9787068367863944E-2</v>
      </c>
      <c r="AV45" s="99" t="b">
        <f>S_normal27[[#This Row],[X base]]&lt;AS$5</f>
        <v>1</v>
      </c>
      <c r="AW45" s="99" t="b">
        <f>S_normal27[[#This Row],[X base]]=AS$5</f>
        <v>0</v>
      </c>
      <c r="AX45" s="99" t="b">
        <f>S_normal27[[#This Row],[X base]]&gt;AS$5</f>
        <v>0</v>
      </c>
      <c r="AY45" s="99">
        <f>IF(S_normal27[[#This Row],[Mindre end]],S_normal27[[#This Row],[Poissonfordeling]],NA())</f>
        <v>4.9787068367863944E-2</v>
      </c>
      <c r="AZ45" s="99" t="e">
        <f>IF(S_normal27[[#This Row],[Lig med]],S_normal27[[#This Row],[Poissonfordeling]],NA())</f>
        <v>#N/A</v>
      </c>
      <c r="BA45" s="99" t="e">
        <f>IF(S_normal27[[#This Row],[Større end]],S_normal27[[#This Row],[Poissonfordeling]],NA())</f>
        <v>#N/A</v>
      </c>
      <c r="BB45" s="85">
        <f>_xlfn.IFNA(IF(MOD(S_normal27[[#This Row],[Indeks (base 0)]],AS$8)=ROUNDDOWN(AS$8/2,0),S_normal27[[#This Row],[X base]],""),"")</f>
        <v>0</v>
      </c>
      <c r="BC45" s="99" t="str">
        <f t="shared" si="9"/>
        <v xml:space="preserve"> </v>
      </c>
    </row>
    <row r="46" spans="1:55" x14ac:dyDescent="0.2">
      <c r="T46" s="54">
        <f t="shared" si="0"/>
        <v>33</v>
      </c>
      <c r="U46" s="54">
        <f>S_normal[[#This Row],[Indeks (base 0)]]+1</f>
        <v>34</v>
      </c>
      <c r="V46" s="99">
        <f t="shared" si="11"/>
        <v>-2.2997077627295353</v>
      </c>
      <c r="W46" s="99">
        <f t="shared" si="2"/>
        <v>2.8346082828649768E-2</v>
      </c>
      <c r="X46" s="99" t="b">
        <f>S_normal[[#This Row],[X base]]&lt;U$7</f>
        <v>1</v>
      </c>
      <c r="Y46" s="99" t="b">
        <f>S_normal[[#This Row],[X base]]&gt;U$7</f>
        <v>0</v>
      </c>
      <c r="Z46" s="99">
        <f>IF(S_normal[[#This Row],[Mindre end]],S_normal[[#This Row],[Normalfordeling]],NA())</f>
        <v>2.8346082828649768E-2</v>
      </c>
      <c r="AA46" s="99" t="e">
        <f>IF(S_normal[[#This Row],[Større end]],S_normal[[#This Row],[Normalfordeling]],NA())</f>
        <v>#N/A</v>
      </c>
      <c r="AB46" s="72" t="str">
        <f>_xlfn.IFNA(IF(S_normal[[#This Row],[Indeks (base 0)]]=ROUND((ROUND(S_normal[[#This Row],[X base]],0)-U$8)/(U$9-U$8)*U$4,0),S_normal[[#This Row],[X base]]*B$6+B$5,""),"")</f>
        <v/>
      </c>
      <c r="AC46" s="99" t="str">
        <f t="shared" si="12"/>
        <v xml:space="preserve"> </v>
      </c>
      <c r="AE46" s="54">
        <f t="shared" si="4"/>
        <v>33</v>
      </c>
      <c r="AF46" s="54">
        <f>S_binomial[[#This Row],[Indeks (base 0)]]+1</f>
        <v>34</v>
      </c>
      <c r="AG46" s="99">
        <f t="shared" si="5"/>
        <v>0</v>
      </c>
      <c r="AH46" s="99">
        <f>IF(MOD(S_binomial[[#This Row],[Indeks (base 0)]],AF$7)=0,NA(),_xlfn.BINOM.DIST(S_binomial[[#This Row],[X base]],E$5,E$6,FALSE))</f>
        <v>7.529536000000004E-6</v>
      </c>
      <c r="AI46" s="99" t="b">
        <f>S_binomial[[#This Row],[X base]]&lt;AF$5</f>
        <v>1</v>
      </c>
      <c r="AJ46" s="99" t="b">
        <f>S_binomial[[#This Row],[X base]]=AF$5</f>
        <v>0</v>
      </c>
      <c r="AK46" s="99" t="b">
        <f>S_binomial[[#This Row],[X base]]&gt;AF$5</f>
        <v>0</v>
      </c>
      <c r="AL46" s="99">
        <f>IF(S_binomial[[#This Row],[Mindre end]],S_binomial[[#This Row],[Binomialfordeling]],NA())</f>
        <v>7.529536000000004E-6</v>
      </c>
      <c r="AM46" s="99" t="e">
        <f>IF(S_binomial[[#This Row],[Lig med]],S_binomial[[#This Row],[Binomialfordeling]],NA())</f>
        <v>#N/A</v>
      </c>
      <c r="AN46" s="99" t="e">
        <f>IF(S_binomial[[#This Row],[Større end]],S_binomial[[#This Row],[Binomialfordeling]],NA())</f>
        <v>#N/A</v>
      </c>
      <c r="AO46" s="85" t="str">
        <f>_xlfn.IFNA(IF(MOD(S_binomial[[#This Row],[Indeks (base 0)]],AF$7)=ROUNDDOWN(AF$7/2,0),S_binomial[[#This Row],[X base]],""),"")</f>
        <v/>
      </c>
      <c r="AP46" s="99" t="str">
        <f t="shared" si="6"/>
        <v xml:space="preserve"> </v>
      </c>
      <c r="AR46" s="54">
        <f t="shared" si="7"/>
        <v>33</v>
      </c>
      <c r="AS46" s="54">
        <f>S_normal27[[#This Row],[Indeks (base 0)]]+1</f>
        <v>34</v>
      </c>
      <c r="AT46" s="54">
        <f t="shared" si="10"/>
        <v>0</v>
      </c>
      <c r="AU46" s="54">
        <f>IF(MOD(S_normal27[[#This Row],[Indeks (base 0)]],AS$8)=0,NA(),_xlfn.POISSON.DIST(S_normal27[[#This Row],[X base]],$H$5,FALSE))</f>
        <v>4.9787068367863944E-2</v>
      </c>
      <c r="AV46" s="99" t="b">
        <f>S_normal27[[#This Row],[X base]]&lt;AS$5</f>
        <v>1</v>
      </c>
      <c r="AW46" s="99" t="b">
        <f>S_normal27[[#This Row],[X base]]=AS$5</f>
        <v>0</v>
      </c>
      <c r="AX46" s="99" t="b">
        <f>S_normal27[[#This Row],[X base]]&gt;AS$5</f>
        <v>0</v>
      </c>
      <c r="AY46" s="99">
        <f>IF(S_normal27[[#This Row],[Mindre end]],S_normal27[[#This Row],[Poissonfordeling]],NA())</f>
        <v>4.9787068367863944E-2</v>
      </c>
      <c r="AZ46" s="99" t="e">
        <f>IF(S_normal27[[#This Row],[Lig med]],S_normal27[[#This Row],[Poissonfordeling]],NA())</f>
        <v>#N/A</v>
      </c>
      <c r="BA46" s="99" t="e">
        <f>IF(S_normal27[[#This Row],[Større end]],S_normal27[[#This Row],[Poissonfordeling]],NA())</f>
        <v>#N/A</v>
      </c>
      <c r="BB46" s="85" t="str">
        <f>_xlfn.IFNA(IF(MOD(S_normal27[[#This Row],[Indeks (base 0)]],AS$8)=ROUNDDOWN(AS$8/2,0),S_normal27[[#This Row],[X base]],""),"")</f>
        <v/>
      </c>
      <c r="BC46" s="99" t="str">
        <f t="shared" si="9"/>
        <v xml:space="preserve"> </v>
      </c>
    </row>
    <row r="47" spans="1:55" x14ac:dyDescent="0.2">
      <c r="T47" s="54">
        <f t="shared" si="0"/>
        <v>34</v>
      </c>
      <c r="U47" s="54">
        <f>S_normal[[#This Row],[Indeks (base 0)]]+1</f>
        <v>35</v>
      </c>
      <c r="V47" s="99">
        <f t="shared" si="11"/>
        <v>-2.2757524735344363</v>
      </c>
      <c r="W47" s="99">
        <f t="shared" si="2"/>
        <v>2.9942895529230493E-2</v>
      </c>
      <c r="X47" s="99" t="b">
        <f>S_normal[[#This Row],[X base]]&lt;U$7</f>
        <v>1</v>
      </c>
      <c r="Y47" s="99" t="b">
        <f>S_normal[[#This Row],[X base]]&gt;U$7</f>
        <v>0</v>
      </c>
      <c r="Z47" s="99">
        <f>IF(S_normal[[#This Row],[Mindre end]],S_normal[[#This Row],[Normalfordeling]],NA())</f>
        <v>2.9942895529230493E-2</v>
      </c>
      <c r="AA47" s="99" t="e">
        <f>IF(S_normal[[#This Row],[Større end]],S_normal[[#This Row],[Normalfordeling]],NA())</f>
        <v>#N/A</v>
      </c>
      <c r="AB47" s="72" t="str">
        <f>_xlfn.IFNA(IF(S_normal[[#This Row],[Indeks (base 0)]]=ROUND((ROUND(S_normal[[#This Row],[X base]],0)-U$8)/(U$9-U$8)*U$4,0),S_normal[[#This Row],[X base]]*B$6+B$5,""),"")</f>
        <v/>
      </c>
      <c r="AC47" s="99" t="str">
        <f t="shared" si="12"/>
        <v xml:space="preserve"> </v>
      </c>
      <c r="AE47" s="54">
        <f t="shared" si="4"/>
        <v>34</v>
      </c>
      <c r="AF47" s="54">
        <f>S_binomial[[#This Row],[Indeks (base 0)]]+1</f>
        <v>35</v>
      </c>
      <c r="AG47" s="99">
        <f t="shared" si="5"/>
        <v>0</v>
      </c>
      <c r="AH47" s="99">
        <f>IF(MOD(S_binomial[[#This Row],[Indeks (base 0)]],AF$7)=0,NA(),_xlfn.BINOM.DIST(S_binomial[[#This Row],[X base]],E$5,E$6,FALSE))</f>
        <v>7.529536000000004E-6</v>
      </c>
      <c r="AI47" s="99" t="b">
        <f>S_binomial[[#This Row],[X base]]&lt;AF$5</f>
        <v>1</v>
      </c>
      <c r="AJ47" s="99" t="b">
        <f>S_binomial[[#This Row],[X base]]=AF$5</f>
        <v>0</v>
      </c>
      <c r="AK47" s="99" t="b">
        <f>S_binomial[[#This Row],[X base]]&gt;AF$5</f>
        <v>0</v>
      </c>
      <c r="AL47" s="99">
        <f>IF(S_binomial[[#This Row],[Mindre end]],S_binomial[[#This Row],[Binomialfordeling]],NA())</f>
        <v>7.529536000000004E-6</v>
      </c>
      <c r="AM47" s="99" t="e">
        <f>IF(S_binomial[[#This Row],[Lig med]],S_binomial[[#This Row],[Binomialfordeling]],NA())</f>
        <v>#N/A</v>
      </c>
      <c r="AN47" s="99" t="e">
        <f>IF(S_binomial[[#This Row],[Større end]],S_binomial[[#This Row],[Binomialfordeling]],NA())</f>
        <v>#N/A</v>
      </c>
      <c r="AO47" s="85" t="str">
        <f>_xlfn.IFNA(IF(MOD(S_binomial[[#This Row],[Indeks (base 0)]],AF$7)=ROUNDDOWN(AF$7/2,0),S_binomial[[#This Row],[X base]],""),"")</f>
        <v/>
      </c>
      <c r="AP47" s="99" t="str">
        <f t="shared" si="6"/>
        <v xml:space="preserve"> </v>
      </c>
      <c r="AR47" s="54">
        <f t="shared" si="7"/>
        <v>34</v>
      </c>
      <c r="AS47" s="54">
        <f>S_normal27[[#This Row],[Indeks (base 0)]]+1</f>
        <v>35</v>
      </c>
      <c r="AT47" s="54">
        <f t="shared" si="10"/>
        <v>0</v>
      </c>
      <c r="AU47" s="54">
        <f>IF(MOD(S_normal27[[#This Row],[Indeks (base 0)]],AS$8)=0,NA(),_xlfn.POISSON.DIST(S_normal27[[#This Row],[X base]],$H$5,FALSE))</f>
        <v>4.9787068367863944E-2</v>
      </c>
      <c r="AV47" s="99" t="b">
        <f>S_normal27[[#This Row],[X base]]&lt;AS$5</f>
        <v>1</v>
      </c>
      <c r="AW47" s="99" t="b">
        <f>S_normal27[[#This Row],[X base]]=AS$5</f>
        <v>0</v>
      </c>
      <c r="AX47" s="99" t="b">
        <f>S_normal27[[#This Row],[X base]]&gt;AS$5</f>
        <v>0</v>
      </c>
      <c r="AY47" s="99">
        <f>IF(S_normal27[[#This Row],[Mindre end]],S_normal27[[#This Row],[Poissonfordeling]],NA())</f>
        <v>4.9787068367863944E-2</v>
      </c>
      <c r="AZ47" s="99" t="e">
        <f>IF(S_normal27[[#This Row],[Lig med]],S_normal27[[#This Row],[Poissonfordeling]],NA())</f>
        <v>#N/A</v>
      </c>
      <c r="BA47" s="99" t="e">
        <f>IF(S_normal27[[#This Row],[Større end]],S_normal27[[#This Row],[Poissonfordeling]],NA())</f>
        <v>#N/A</v>
      </c>
      <c r="BB47" s="85" t="str">
        <f>_xlfn.IFNA(IF(MOD(S_normal27[[#This Row],[Indeks (base 0)]],AS$8)=ROUNDDOWN(AS$8/2,0),S_normal27[[#This Row],[X base]],""),"")</f>
        <v/>
      </c>
      <c r="BC47" s="99" t="str">
        <f t="shared" si="9"/>
        <v xml:space="preserve"> </v>
      </c>
    </row>
    <row r="48" spans="1:55" x14ac:dyDescent="0.2">
      <c r="T48" s="54">
        <f t="shared" si="0"/>
        <v>35</v>
      </c>
      <c r="U48" s="54">
        <f>S_normal[[#This Row],[Indeks (base 0)]]+1</f>
        <v>36</v>
      </c>
      <c r="V48" s="99">
        <f t="shared" si="11"/>
        <v>-2.2517971843393365</v>
      </c>
      <c r="W48" s="99">
        <f t="shared" si="2"/>
        <v>3.161151541500333E-2</v>
      </c>
      <c r="X48" s="99" t="b">
        <f>S_normal[[#This Row],[X base]]&lt;U$7</f>
        <v>1</v>
      </c>
      <c r="Y48" s="99" t="b">
        <f>S_normal[[#This Row],[X base]]&gt;U$7</f>
        <v>0</v>
      </c>
      <c r="Z48" s="99">
        <f>IF(S_normal[[#This Row],[Mindre end]],S_normal[[#This Row],[Normalfordeling]],NA())</f>
        <v>3.161151541500333E-2</v>
      </c>
      <c r="AA48" s="99" t="e">
        <f>IF(S_normal[[#This Row],[Større end]],S_normal[[#This Row],[Normalfordeling]],NA())</f>
        <v>#N/A</v>
      </c>
      <c r="AB48" s="72" t="str">
        <f>_xlfn.IFNA(IF(S_normal[[#This Row],[Indeks (base 0)]]=ROUND((ROUND(S_normal[[#This Row],[X base]],0)-U$8)/(U$9-U$8)*U$4,0),S_normal[[#This Row],[X base]]*B$6+B$5,""),"")</f>
        <v/>
      </c>
      <c r="AC48" s="99" t="str">
        <f t="shared" si="12"/>
        <v xml:space="preserve"> </v>
      </c>
      <c r="AE48" s="54">
        <f t="shared" si="4"/>
        <v>35</v>
      </c>
      <c r="AF48" s="54">
        <f>S_binomial[[#This Row],[Indeks (base 0)]]+1</f>
        <v>36</v>
      </c>
      <c r="AG48" s="99">
        <f t="shared" si="5"/>
        <v>0</v>
      </c>
      <c r="AH48" s="99">
        <f>IF(MOD(S_binomial[[#This Row],[Indeks (base 0)]],AF$7)=0,NA(),_xlfn.BINOM.DIST(S_binomial[[#This Row],[X base]],E$5,E$6,FALSE))</f>
        <v>7.529536000000004E-6</v>
      </c>
      <c r="AI48" s="99" t="b">
        <f>S_binomial[[#This Row],[X base]]&lt;AF$5</f>
        <v>1</v>
      </c>
      <c r="AJ48" s="99" t="b">
        <f>S_binomial[[#This Row],[X base]]=AF$5</f>
        <v>0</v>
      </c>
      <c r="AK48" s="99" t="b">
        <f>S_binomial[[#This Row],[X base]]&gt;AF$5</f>
        <v>0</v>
      </c>
      <c r="AL48" s="99">
        <f>IF(S_binomial[[#This Row],[Mindre end]],S_binomial[[#This Row],[Binomialfordeling]],NA())</f>
        <v>7.529536000000004E-6</v>
      </c>
      <c r="AM48" s="99" t="e">
        <f>IF(S_binomial[[#This Row],[Lig med]],S_binomial[[#This Row],[Binomialfordeling]],NA())</f>
        <v>#N/A</v>
      </c>
      <c r="AN48" s="99" t="e">
        <f>IF(S_binomial[[#This Row],[Større end]],S_binomial[[#This Row],[Binomialfordeling]],NA())</f>
        <v>#N/A</v>
      </c>
      <c r="AO48" s="85" t="str">
        <f>_xlfn.IFNA(IF(MOD(S_binomial[[#This Row],[Indeks (base 0)]],AF$7)=ROUNDDOWN(AF$7/2,0),S_binomial[[#This Row],[X base]],""),"")</f>
        <v/>
      </c>
      <c r="AP48" s="99" t="str">
        <f t="shared" si="6"/>
        <v xml:space="preserve"> </v>
      </c>
      <c r="AR48" s="54">
        <f t="shared" si="7"/>
        <v>35</v>
      </c>
      <c r="AS48" s="54">
        <f>S_normal27[[#This Row],[Indeks (base 0)]]+1</f>
        <v>36</v>
      </c>
      <c r="AT48" s="54">
        <f t="shared" si="10"/>
        <v>0</v>
      </c>
      <c r="AU48" s="54">
        <f>IF(MOD(S_normal27[[#This Row],[Indeks (base 0)]],AS$8)=0,NA(),_xlfn.POISSON.DIST(S_normal27[[#This Row],[X base]],$H$5,FALSE))</f>
        <v>4.9787068367863944E-2</v>
      </c>
      <c r="AV48" s="99" t="b">
        <f>S_normal27[[#This Row],[X base]]&lt;AS$5</f>
        <v>1</v>
      </c>
      <c r="AW48" s="99" t="b">
        <f>S_normal27[[#This Row],[X base]]=AS$5</f>
        <v>0</v>
      </c>
      <c r="AX48" s="99" t="b">
        <f>S_normal27[[#This Row],[X base]]&gt;AS$5</f>
        <v>0</v>
      </c>
      <c r="AY48" s="99">
        <f>IF(S_normal27[[#This Row],[Mindre end]],S_normal27[[#This Row],[Poissonfordeling]],NA())</f>
        <v>4.9787068367863944E-2</v>
      </c>
      <c r="AZ48" s="99" t="e">
        <f>IF(S_normal27[[#This Row],[Lig med]],S_normal27[[#This Row],[Poissonfordeling]],NA())</f>
        <v>#N/A</v>
      </c>
      <c r="BA48" s="99" t="e">
        <f>IF(S_normal27[[#This Row],[Større end]],S_normal27[[#This Row],[Poissonfordeling]],NA())</f>
        <v>#N/A</v>
      </c>
      <c r="BB48" s="85" t="str">
        <f>_xlfn.IFNA(IF(MOD(S_normal27[[#This Row],[Indeks (base 0)]],AS$8)=ROUNDDOWN(AS$8/2,0),S_normal27[[#This Row],[X base]],""),"")</f>
        <v/>
      </c>
      <c r="BC48" s="99" t="str">
        <f t="shared" si="9"/>
        <v xml:space="preserve"> </v>
      </c>
    </row>
    <row r="49" spans="20:55" x14ac:dyDescent="0.2">
      <c r="T49" s="54">
        <f t="shared" si="0"/>
        <v>36</v>
      </c>
      <c r="U49" s="54">
        <f>S_normal[[#This Row],[Indeks (base 0)]]+1</f>
        <v>37</v>
      </c>
      <c r="V49" s="99">
        <f t="shared" si="11"/>
        <v>-2.2278418951442376</v>
      </c>
      <c r="W49" s="99">
        <f t="shared" si="2"/>
        <v>3.3353976175184367E-2</v>
      </c>
      <c r="X49" s="99" t="b">
        <f>S_normal[[#This Row],[X base]]&lt;U$7</f>
        <v>1</v>
      </c>
      <c r="Y49" s="99" t="b">
        <f>S_normal[[#This Row],[X base]]&gt;U$7</f>
        <v>0</v>
      </c>
      <c r="Z49" s="99">
        <f>IF(S_normal[[#This Row],[Mindre end]],S_normal[[#This Row],[Normalfordeling]],NA())</f>
        <v>3.3353976175184367E-2</v>
      </c>
      <c r="AA49" s="99" t="e">
        <f>IF(S_normal[[#This Row],[Større end]],S_normal[[#This Row],[Normalfordeling]],NA())</f>
        <v>#N/A</v>
      </c>
      <c r="AB49" s="72" t="str">
        <f>_xlfn.IFNA(IF(S_normal[[#This Row],[Indeks (base 0)]]=ROUND((ROUND(S_normal[[#This Row],[X base]],0)-U$8)/(U$9-U$8)*U$4,0),S_normal[[#This Row],[X base]]*B$6+B$5,""),"")</f>
        <v/>
      </c>
      <c r="AC49" s="99" t="str">
        <f t="shared" si="12"/>
        <v xml:space="preserve"> </v>
      </c>
      <c r="AE49" s="54">
        <f t="shared" si="4"/>
        <v>36</v>
      </c>
      <c r="AF49" s="54">
        <f>S_binomial[[#This Row],[Indeks (base 0)]]+1</f>
        <v>37</v>
      </c>
      <c r="AG49" s="99">
        <f t="shared" si="5"/>
        <v>0</v>
      </c>
      <c r="AH49" s="99">
        <f>IF(MOD(S_binomial[[#This Row],[Indeks (base 0)]],AF$7)=0,NA(),_xlfn.BINOM.DIST(S_binomial[[#This Row],[X base]],E$5,E$6,FALSE))</f>
        <v>7.529536000000004E-6</v>
      </c>
      <c r="AI49" s="99" t="b">
        <f>S_binomial[[#This Row],[X base]]&lt;AF$5</f>
        <v>1</v>
      </c>
      <c r="AJ49" s="99" t="b">
        <f>S_binomial[[#This Row],[X base]]=AF$5</f>
        <v>0</v>
      </c>
      <c r="AK49" s="99" t="b">
        <f>S_binomial[[#This Row],[X base]]&gt;AF$5</f>
        <v>0</v>
      </c>
      <c r="AL49" s="99">
        <f>IF(S_binomial[[#This Row],[Mindre end]],S_binomial[[#This Row],[Binomialfordeling]],NA())</f>
        <v>7.529536000000004E-6</v>
      </c>
      <c r="AM49" s="99" t="e">
        <f>IF(S_binomial[[#This Row],[Lig med]],S_binomial[[#This Row],[Binomialfordeling]],NA())</f>
        <v>#N/A</v>
      </c>
      <c r="AN49" s="99" t="e">
        <f>IF(S_binomial[[#This Row],[Større end]],S_binomial[[#This Row],[Binomialfordeling]],NA())</f>
        <v>#N/A</v>
      </c>
      <c r="AO49" s="85" t="str">
        <f>_xlfn.IFNA(IF(MOD(S_binomial[[#This Row],[Indeks (base 0)]],AF$7)=ROUNDDOWN(AF$7/2,0),S_binomial[[#This Row],[X base]],""),"")</f>
        <v/>
      </c>
      <c r="AP49" s="99" t="str">
        <f t="shared" si="6"/>
        <v xml:space="preserve"> </v>
      </c>
      <c r="AR49" s="54">
        <f t="shared" si="7"/>
        <v>36</v>
      </c>
      <c r="AS49" s="54">
        <f>S_normal27[[#This Row],[Indeks (base 0)]]+1</f>
        <v>37</v>
      </c>
      <c r="AT49" s="54">
        <f t="shared" si="10"/>
        <v>0</v>
      </c>
      <c r="AU49" s="54">
        <f>IF(MOD(S_normal27[[#This Row],[Indeks (base 0)]],AS$8)=0,NA(),_xlfn.POISSON.DIST(S_normal27[[#This Row],[X base]],$H$5,FALSE))</f>
        <v>4.9787068367863944E-2</v>
      </c>
      <c r="AV49" s="99" t="b">
        <f>S_normal27[[#This Row],[X base]]&lt;AS$5</f>
        <v>1</v>
      </c>
      <c r="AW49" s="99" t="b">
        <f>S_normal27[[#This Row],[X base]]=AS$5</f>
        <v>0</v>
      </c>
      <c r="AX49" s="99" t="b">
        <f>S_normal27[[#This Row],[X base]]&gt;AS$5</f>
        <v>0</v>
      </c>
      <c r="AY49" s="99">
        <f>IF(S_normal27[[#This Row],[Mindre end]],S_normal27[[#This Row],[Poissonfordeling]],NA())</f>
        <v>4.9787068367863944E-2</v>
      </c>
      <c r="AZ49" s="99" t="e">
        <f>IF(S_normal27[[#This Row],[Lig med]],S_normal27[[#This Row],[Poissonfordeling]],NA())</f>
        <v>#N/A</v>
      </c>
      <c r="BA49" s="99" t="e">
        <f>IF(S_normal27[[#This Row],[Større end]],S_normal27[[#This Row],[Poissonfordeling]],NA())</f>
        <v>#N/A</v>
      </c>
      <c r="BB49" s="85" t="str">
        <f>_xlfn.IFNA(IF(MOD(S_normal27[[#This Row],[Indeks (base 0)]],AS$8)=ROUNDDOWN(AS$8/2,0),S_normal27[[#This Row],[X base]],""),"")</f>
        <v/>
      </c>
      <c r="BC49" s="99" t="str">
        <f t="shared" si="9"/>
        <v xml:space="preserve"> </v>
      </c>
    </row>
    <row r="50" spans="20:55" x14ac:dyDescent="0.2">
      <c r="T50" s="54">
        <f t="shared" si="0"/>
        <v>37</v>
      </c>
      <c r="U50" s="54">
        <f>S_normal[[#This Row],[Indeks (base 0)]]+1</f>
        <v>38</v>
      </c>
      <c r="V50" s="99">
        <f t="shared" si="11"/>
        <v>-2.2038866059491382</v>
      </c>
      <c r="W50" s="99">
        <f t="shared" si="2"/>
        <v>3.5172293628326232E-2</v>
      </c>
      <c r="X50" s="99" t="b">
        <f>S_normal[[#This Row],[X base]]&lt;U$7</f>
        <v>1</v>
      </c>
      <c r="Y50" s="99" t="b">
        <f>S_normal[[#This Row],[X base]]&gt;U$7</f>
        <v>0</v>
      </c>
      <c r="Z50" s="99">
        <f>IF(S_normal[[#This Row],[Mindre end]],S_normal[[#This Row],[Normalfordeling]],NA())</f>
        <v>3.5172293628326232E-2</v>
      </c>
      <c r="AA50" s="99" t="e">
        <f>IF(S_normal[[#This Row],[Større end]],S_normal[[#This Row],[Normalfordeling]],NA())</f>
        <v>#N/A</v>
      </c>
      <c r="AB50" s="72" t="str">
        <f>_xlfn.IFNA(IF(S_normal[[#This Row],[Indeks (base 0)]]=ROUND((ROUND(S_normal[[#This Row],[X base]],0)-U$8)/(U$9-U$8)*U$4,0),S_normal[[#This Row],[X base]]*B$6+B$5,""),"")</f>
        <v/>
      </c>
      <c r="AC50" s="99" t="str">
        <f t="shared" si="12"/>
        <v xml:space="preserve"> </v>
      </c>
      <c r="AE50" s="54">
        <f t="shared" si="4"/>
        <v>37</v>
      </c>
      <c r="AF50" s="54">
        <f>S_binomial[[#This Row],[Indeks (base 0)]]+1</f>
        <v>38</v>
      </c>
      <c r="AG50" s="99">
        <f t="shared" si="5"/>
        <v>0</v>
      </c>
      <c r="AH50" s="99">
        <f>IF(MOD(S_binomial[[#This Row],[Indeks (base 0)]],AF$7)=0,NA(),_xlfn.BINOM.DIST(S_binomial[[#This Row],[X base]],E$5,E$6,FALSE))</f>
        <v>7.529536000000004E-6</v>
      </c>
      <c r="AI50" s="99" t="b">
        <f>S_binomial[[#This Row],[X base]]&lt;AF$5</f>
        <v>1</v>
      </c>
      <c r="AJ50" s="99" t="b">
        <f>S_binomial[[#This Row],[X base]]=AF$5</f>
        <v>0</v>
      </c>
      <c r="AK50" s="99" t="b">
        <f>S_binomial[[#This Row],[X base]]&gt;AF$5</f>
        <v>0</v>
      </c>
      <c r="AL50" s="99">
        <f>IF(S_binomial[[#This Row],[Mindre end]],S_binomial[[#This Row],[Binomialfordeling]],NA())</f>
        <v>7.529536000000004E-6</v>
      </c>
      <c r="AM50" s="99" t="e">
        <f>IF(S_binomial[[#This Row],[Lig med]],S_binomial[[#This Row],[Binomialfordeling]],NA())</f>
        <v>#N/A</v>
      </c>
      <c r="AN50" s="99" t="e">
        <f>IF(S_binomial[[#This Row],[Større end]],S_binomial[[#This Row],[Binomialfordeling]],NA())</f>
        <v>#N/A</v>
      </c>
      <c r="AO50" s="85" t="str">
        <f>_xlfn.IFNA(IF(MOD(S_binomial[[#This Row],[Indeks (base 0)]],AF$7)=ROUNDDOWN(AF$7/2,0),S_binomial[[#This Row],[X base]],""),"")</f>
        <v/>
      </c>
      <c r="AP50" s="99" t="str">
        <f t="shared" si="6"/>
        <v xml:space="preserve"> </v>
      </c>
      <c r="AR50" s="54">
        <f t="shared" si="7"/>
        <v>37</v>
      </c>
      <c r="AS50" s="54">
        <f>S_normal27[[#This Row],[Indeks (base 0)]]+1</f>
        <v>38</v>
      </c>
      <c r="AT50" s="54">
        <f t="shared" si="10"/>
        <v>0</v>
      </c>
      <c r="AU50" s="54">
        <f>IF(MOD(S_normal27[[#This Row],[Indeks (base 0)]],AS$8)=0,NA(),_xlfn.POISSON.DIST(S_normal27[[#This Row],[X base]],$H$5,FALSE))</f>
        <v>4.9787068367863944E-2</v>
      </c>
      <c r="AV50" s="99" t="b">
        <f>S_normal27[[#This Row],[X base]]&lt;AS$5</f>
        <v>1</v>
      </c>
      <c r="AW50" s="99" t="b">
        <f>S_normal27[[#This Row],[X base]]=AS$5</f>
        <v>0</v>
      </c>
      <c r="AX50" s="99" t="b">
        <f>S_normal27[[#This Row],[X base]]&gt;AS$5</f>
        <v>0</v>
      </c>
      <c r="AY50" s="99">
        <f>IF(S_normal27[[#This Row],[Mindre end]],S_normal27[[#This Row],[Poissonfordeling]],NA())</f>
        <v>4.9787068367863944E-2</v>
      </c>
      <c r="AZ50" s="99" t="e">
        <f>IF(S_normal27[[#This Row],[Lig med]],S_normal27[[#This Row],[Poissonfordeling]],NA())</f>
        <v>#N/A</v>
      </c>
      <c r="BA50" s="99" t="e">
        <f>IF(S_normal27[[#This Row],[Større end]],S_normal27[[#This Row],[Poissonfordeling]],NA())</f>
        <v>#N/A</v>
      </c>
      <c r="BB50" s="85" t="str">
        <f>_xlfn.IFNA(IF(MOD(S_normal27[[#This Row],[Indeks (base 0)]],AS$8)=ROUNDDOWN(AS$8/2,0),S_normal27[[#This Row],[X base]],""),"")</f>
        <v/>
      </c>
      <c r="BC50" s="99" t="str">
        <f t="shared" si="9"/>
        <v xml:space="preserve"> </v>
      </c>
    </row>
    <row r="51" spans="20:55" x14ac:dyDescent="0.2">
      <c r="T51" s="54">
        <f t="shared" si="0"/>
        <v>38</v>
      </c>
      <c r="U51" s="54">
        <f>S_normal[[#This Row],[Indeks (base 0)]]+1</f>
        <v>39</v>
      </c>
      <c r="V51" s="99">
        <f t="shared" si="11"/>
        <v>-2.1799313167540388</v>
      </c>
      <c r="W51" s="99">
        <f t="shared" si="2"/>
        <v>3.706845998598688E-2</v>
      </c>
      <c r="X51" s="99" t="b">
        <f>S_normal[[#This Row],[X base]]&lt;U$7</f>
        <v>1</v>
      </c>
      <c r="Y51" s="99" t="b">
        <f>S_normal[[#This Row],[X base]]&gt;U$7</f>
        <v>0</v>
      </c>
      <c r="Z51" s="99">
        <f>IF(S_normal[[#This Row],[Mindre end]],S_normal[[#This Row],[Normalfordeling]],NA())</f>
        <v>3.706845998598688E-2</v>
      </c>
      <c r="AA51" s="99" t="e">
        <f>IF(S_normal[[#This Row],[Større end]],S_normal[[#This Row],[Normalfordeling]],NA())</f>
        <v>#N/A</v>
      </c>
      <c r="AB51" s="72" t="str">
        <f>_xlfn.IFNA(IF(S_normal[[#This Row],[Indeks (base 0)]]=ROUND((ROUND(S_normal[[#This Row],[X base]],0)-U$8)/(U$9-U$8)*U$4,0),S_normal[[#This Row],[X base]]*B$6+B$5,""),"")</f>
        <v/>
      </c>
      <c r="AC51" s="99" t="str">
        <f t="shared" si="12"/>
        <v xml:space="preserve"> </v>
      </c>
      <c r="AE51" s="54">
        <f t="shared" si="4"/>
        <v>38</v>
      </c>
      <c r="AF51" s="54">
        <f>S_binomial[[#This Row],[Indeks (base 0)]]+1</f>
        <v>39</v>
      </c>
      <c r="AG51" s="99">
        <f t="shared" si="5"/>
        <v>0</v>
      </c>
      <c r="AH51" s="99">
        <f>IF(MOD(S_binomial[[#This Row],[Indeks (base 0)]],AF$7)=0,NA(),_xlfn.BINOM.DIST(S_binomial[[#This Row],[X base]],E$5,E$6,FALSE))</f>
        <v>7.529536000000004E-6</v>
      </c>
      <c r="AI51" s="99" t="b">
        <f>S_binomial[[#This Row],[X base]]&lt;AF$5</f>
        <v>1</v>
      </c>
      <c r="AJ51" s="99" t="b">
        <f>S_binomial[[#This Row],[X base]]=AF$5</f>
        <v>0</v>
      </c>
      <c r="AK51" s="99" t="b">
        <f>S_binomial[[#This Row],[X base]]&gt;AF$5</f>
        <v>0</v>
      </c>
      <c r="AL51" s="99">
        <f>IF(S_binomial[[#This Row],[Mindre end]],S_binomial[[#This Row],[Binomialfordeling]],NA())</f>
        <v>7.529536000000004E-6</v>
      </c>
      <c r="AM51" s="99" t="e">
        <f>IF(S_binomial[[#This Row],[Lig med]],S_binomial[[#This Row],[Binomialfordeling]],NA())</f>
        <v>#N/A</v>
      </c>
      <c r="AN51" s="99" t="e">
        <f>IF(S_binomial[[#This Row],[Større end]],S_binomial[[#This Row],[Binomialfordeling]],NA())</f>
        <v>#N/A</v>
      </c>
      <c r="AO51" s="85" t="str">
        <f>_xlfn.IFNA(IF(MOD(S_binomial[[#This Row],[Indeks (base 0)]],AF$7)=ROUNDDOWN(AF$7/2,0),S_binomial[[#This Row],[X base]],""),"")</f>
        <v/>
      </c>
      <c r="AP51" s="99" t="str">
        <f t="shared" si="6"/>
        <v xml:space="preserve"> </v>
      </c>
      <c r="AR51" s="54">
        <f t="shared" si="7"/>
        <v>38</v>
      </c>
      <c r="AS51" s="54">
        <f>S_normal27[[#This Row],[Indeks (base 0)]]+1</f>
        <v>39</v>
      </c>
      <c r="AT51" s="54">
        <f t="shared" si="10"/>
        <v>0</v>
      </c>
      <c r="AU51" s="54">
        <f>IF(MOD(S_normal27[[#This Row],[Indeks (base 0)]],AS$8)=0,NA(),_xlfn.POISSON.DIST(S_normal27[[#This Row],[X base]],$H$5,FALSE))</f>
        <v>4.9787068367863944E-2</v>
      </c>
      <c r="AV51" s="99" t="b">
        <f>S_normal27[[#This Row],[X base]]&lt;AS$5</f>
        <v>1</v>
      </c>
      <c r="AW51" s="99" t="b">
        <f>S_normal27[[#This Row],[X base]]=AS$5</f>
        <v>0</v>
      </c>
      <c r="AX51" s="99" t="b">
        <f>S_normal27[[#This Row],[X base]]&gt;AS$5</f>
        <v>0</v>
      </c>
      <c r="AY51" s="99">
        <f>IF(S_normal27[[#This Row],[Mindre end]],S_normal27[[#This Row],[Poissonfordeling]],NA())</f>
        <v>4.9787068367863944E-2</v>
      </c>
      <c r="AZ51" s="99" t="e">
        <f>IF(S_normal27[[#This Row],[Lig med]],S_normal27[[#This Row],[Poissonfordeling]],NA())</f>
        <v>#N/A</v>
      </c>
      <c r="BA51" s="99" t="e">
        <f>IF(S_normal27[[#This Row],[Større end]],S_normal27[[#This Row],[Poissonfordeling]],NA())</f>
        <v>#N/A</v>
      </c>
      <c r="BB51" s="85" t="str">
        <f>_xlfn.IFNA(IF(MOD(S_normal27[[#This Row],[Indeks (base 0)]],AS$8)=ROUNDDOWN(AS$8/2,0),S_normal27[[#This Row],[X base]],""),"")</f>
        <v/>
      </c>
      <c r="BC51" s="99" t="str">
        <f t="shared" si="9"/>
        <v xml:space="preserve"> </v>
      </c>
    </row>
    <row r="52" spans="20:55" x14ac:dyDescent="0.2">
      <c r="T52" s="54">
        <f t="shared" si="0"/>
        <v>39</v>
      </c>
      <c r="U52" s="54">
        <f>S_normal[[#This Row],[Indeks (base 0)]]+1</f>
        <v>40</v>
      </c>
      <c r="V52" s="99">
        <f t="shared" si="11"/>
        <v>-2.1559760275589395</v>
      </c>
      <c r="W52" s="99">
        <f t="shared" si="2"/>
        <v>3.9044437871557765E-2</v>
      </c>
      <c r="X52" s="99" t="b">
        <f>S_normal[[#This Row],[X base]]&lt;U$7</f>
        <v>1</v>
      </c>
      <c r="Y52" s="99" t="b">
        <f>S_normal[[#This Row],[X base]]&gt;U$7</f>
        <v>0</v>
      </c>
      <c r="Z52" s="99">
        <f>IF(S_normal[[#This Row],[Mindre end]],S_normal[[#This Row],[Normalfordeling]],NA())</f>
        <v>3.9044437871557765E-2</v>
      </c>
      <c r="AA52" s="99" t="e">
        <f>IF(S_normal[[#This Row],[Større end]],S_normal[[#This Row],[Normalfordeling]],NA())</f>
        <v>#N/A</v>
      </c>
      <c r="AB52" s="72" t="str">
        <f>_xlfn.IFNA(IF(S_normal[[#This Row],[Indeks (base 0)]]=ROUND((ROUND(S_normal[[#This Row],[X base]],0)-U$8)/(U$9-U$8)*U$4,0),S_normal[[#This Row],[X base]]*B$6+B$5,""),"")</f>
        <v/>
      </c>
      <c r="AC52" s="99" t="str">
        <f t="shared" si="12"/>
        <v xml:space="preserve"> </v>
      </c>
      <c r="AE52" s="54">
        <f t="shared" si="4"/>
        <v>39</v>
      </c>
      <c r="AF52" s="54">
        <f>S_binomial[[#This Row],[Indeks (base 0)]]+1</f>
        <v>40</v>
      </c>
      <c r="AG52" s="99">
        <f t="shared" si="5"/>
        <v>0</v>
      </c>
      <c r="AH52" s="99">
        <f>IF(MOD(S_binomial[[#This Row],[Indeks (base 0)]],AF$7)=0,NA(),_xlfn.BINOM.DIST(S_binomial[[#This Row],[X base]],E$5,E$6,FALSE))</f>
        <v>7.529536000000004E-6</v>
      </c>
      <c r="AI52" s="99" t="b">
        <f>S_binomial[[#This Row],[X base]]&lt;AF$5</f>
        <v>1</v>
      </c>
      <c r="AJ52" s="99" t="b">
        <f>S_binomial[[#This Row],[X base]]=AF$5</f>
        <v>0</v>
      </c>
      <c r="AK52" s="99" t="b">
        <f>S_binomial[[#This Row],[X base]]&gt;AF$5</f>
        <v>0</v>
      </c>
      <c r="AL52" s="99">
        <f>IF(S_binomial[[#This Row],[Mindre end]],S_binomial[[#This Row],[Binomialfordeling]],NA())</f>
        <v>7.529536000000004E-6</v>
      </c>
      <c r="AM52" s="99" t="e">
        <f>IF(S_binomial[[#This Row],[Lig med]],S_binomial[[#This Row],[Binomialfordeling]],NA())</f>
        <v>#N/A</v>
      </c>
      <c r="AN52" s="99" t="e">
        <f>IF(S_binomial[[#This Row],[Større end]],S_binomial[[#This Row],[Binomialfordeling]],NA())</f>
        <v>#N/A</v>
      </c>
      <c r="AO52" s="85" t="str">
        <f>_xlfn.IFNA(IF(MOD(S_binomial[[#This Row],[Indeks (base 0)]],AF$7)=ROUNDDOWN(AF$7/2,0),S_binomial[[#This Row],[X base]],""),"")</f>
        <v/>
      </c>
      <c r="AP52" s="99" t="str">
        <f t="shared" si="6"/>
        <v xml:space="preserve"> </v>
      </c>
      <c r="AR52" s="54">
        <f t="shared" si="7"/>
        <v>39</v>
      </c>
      <c r="AS52" s="54">
        <f>S_normal27[[#This Row],[Indeks (base 0)]]+1</f>
        <v>40</v>
      </c>
      <c r="AT52" s="54">
        <f t="shared" si="10"/>
        <v>0</v>
      </c>
      <c r="AU52" s="54">
        <f>IF(MOD(S_normal27[[#This Row],[Indeks (base 0)]],AS$8)=0,NA(),_xlfn.POISSON.DIST(S_normal27[[#This Row],[X base]],$H$5,FALSE))</f>
        <v>4.9787068367863944E-2</v>
      </c>
      <c r="AV52" s="99" t="b">
        <f>S_normal27[[#This Row],[X base]]&lt;AS$5</f>
        <v>1</v>
      </c>
      <c r="AW52" s="99" t="b">
        <f>S_normal27[[#This Row],[X base]]=AS$5</f>
        <v>0</v>
      </c>
      <c r="AX52" s="99" t="b">
        <f>S_normal27[[#This Row],[X base]]&gt;AS$5</f>
        <v>0</v>
      </c>
      <c r="AY52" s="99">
        <f>IF(S_normal27[[#This Row],[Mindre end]],S_normal27[[#This Row],[Poissonfordeling]],NA())</f>
        <v>4.9787068367863944E-2</v>
      </c>
      <c r="AZ52" s="99" t="e">
        <f>IF(S_normal27[[#This Row],[Lig med]],S_normal27[[#This Row],[Poissonfordeling]],NA())</f>
        <v>#N/A</v>
      </c>
      <c r="BA52" s="99" t="e">
        <f>IF(S_normal27[[#This Row],[Større end]],S_normal27[[#This Row],[Poissonfordeling]],NA())</f>
        <v>#N/A</v>
      </c>
      <c r="BB52" s="85" t="str">
        <f>_xlfn.IFNA(IF(MOD(S_normal27[[#This Row],[Indeks (base 0)]],AS$8)=ROUNDDOWN(AS$8/2,0),S_normal27[[#This Row],[X base]],""),"")</f>
        <v/>
      </c>
      <c r="BC52" s="99" t="str">
        <f t="shared" si="9"/>
        <v xml:space="preserve"> </v>
      </c>
    </row>
    <row r="53" spans="20:55" x14ac:dyDescent="0.2">
      <c r="T53" s="54">
        <f t="shared" si="0"/>
        <v>40</v>
      </c>
      <c r="U53" s="54">
        <f>S_normal[[#This Row],[Indeks (base 0)]]+1</f>
        <v>41</v>
      </c>
      <c r="V53" s="99">
        <f t="shared" si="11"/>
        <v>-2.1320207383638401</v>
      </c>
      <c r="W53" s="99">
        <f t="shared" si="2"/>
        <v>4.1102154102044132E-2</v>
      </c>
      <c r="X53" s="99" t="b">
        <f>S_normal[[#This Row],[X base]]&lt;U$7</f>
        <v>1</v>
      </c>
      <c r="Y53" s="99" t="b">
        <f>S_normal[[#This Row],[X base]]&gt;U$7</f>
        <v>0</v>
      </c>
      <c r="Z53" s="99">
        <f>IF(S_normal[[#This Row],[Mindre end]],S_normal[[#This Row],[Normalfordeling]],NA())</f>
        <v>4.1102154102044132E-2</v>
      </c>
      <c r="AA53" s="99" t="e">
        <f>IF(S_normal[[#This Row],[Større end]],S_normal[[#This Row],[Normalfordeling]],NA())</f>
        <v>#N/A</v>
      </c>
      <c r="AB53" s="72" t="str">
        <f>_xlfn.IFNA(IF(S_normal[[#This Row],[Indeks (base 0)]]=ROUND((ROUND(S_normal[[#This Row],[X base]],0)-U$8)/(U$9-U$8)*U$4,0),S_normal[[#This Row],[X base]]*B$6+B$5,""),"")</f>
        <v/>
      </c>
      <c r="AC53" s="99" t="str">
        <f t="shared" si="12"/>
        <v xml:space="preserve"> </v>
      </c>
      <c r="AE53" s="54">
        <f t="shared" si="4"/>
        <v>40</v>
      </c>
      <c r="AF53" s="54">
        <f>S_binomial[[#This Row],[Indeks (base 0)]]+1</f>
        <v>41</v>
      </c>
      <c r="AG53" s="99">
        <f t="shared" si="5"/>
        <v>0</v>
      </c>
      <c r="AH53" s="99">
        <f>IF(MOD(S_binomial[[#This Row],[Indeks (base 0)]],AF$7)=0,NA(),_xlfn.BINOM.DIST(S_binomial[[#This Row],[X base]],E$5,E$6,FALSE))</f>
        <v>7.529536000000004E-6</v>
      </c>
      <c r="AI53" s="99" t="b">
        <f>S_binomial[[#This Row],[X base]]&lt;AF$5</f>
        <v>1</v>
      </c>
      <c r="AJ53" s="99" t="b">
        <f>S_binomial[[#This Row],[X base]]=AF$5</f>
        <v>0</v>
      </c>
      <c r="AK53" s="99" t="b">
        <f>S_binomial[[#This Row],[X base]]&gt;AF$5</f>
        <v>0</v>
      </c>
      <c r="AL53" s="99">
        <f>IF(S_binomial[[#This Row],[Mindre end]],S_binomial[[#This Row],[Binomialfordeling]],NA())</f>
        <v>7.529536000000004E-6</v>
      </c>
      <c r="AM53" s="99" t="e">
        <f>IF(S_binomial[[#This Row],[Lig med]],S_binomial[[#This Row],[Binomialfordeling]],NA())</f>
        <v>#N/A</v>
      </c>
      <c r="AN53" s="99" t="e">
        <f>IF(S_binomial[[#This Row],[Større end]],S_binomial[[#This Row],[Binomialfordeling]],NA())</f>
        <v>#N/A</v>
      </c>
      <c r="AO53" s="85" t="str">
        <f>_xlfn.IFNA(IF(MOD(S_binomial[[#This Row],[Indeks (base 0)]],AF$7)=ROUNDDOWN(AF$7/2,0),S_binomial[[#This Row],[X base]],""),"")</f>
        <v/>
      </c>
      <c r="AP53" s="99" t="str">
        <f t="shared" si="6"/>
        <v xml:space="preserve"> </v>
      </c>
      <c r="AR53" s="54">
        <f t="shared" si="7"/>
        <v>40</v>
      </c>
      <c r="AS53" s="54">
        <f>S_normal27[[#This Row],[Indeks (base 0)]]+1</f>
        <v>41</v>
      </c>
      <c r="AT53" s="54">
        <f t="shared" si="10"/>
        <v>0</v>
      </c>
      <c r="AU53" s="54">
        <f>IF(MOD(S_normal27[[#This Row],[Indeks (base 0)]],AS$8)=0,NA(),_xlfn.POISSON.DIST(S_normal27[[#This Row],[X base]],$H$5,FALSE))</f>
        <v>4.9787068367863944E-2</v>
      </c>
      <c r="AV53" s="99" t="b">
        <f>S_normal27[[#This Row],[X base]]&lt;AS$5</f>
        <v>1</v>
      </c>
      <c r="AW53" s="99" t="b">
        <f>S_normal27[[#This Row],[X base]]=AS$5</f>
        <v>0</v>
      </c>
      <c r="AX53" s="99" t="b">
        <f>S_normal27[[#This Row],[X base]]&gt;AS$5</f>
        <v>0</v>
      </c>
      <c r="AY53" s="99">
        <f>IF(S_normal27[[#This Row],[Mindre end]],S_normal27[[#This Row],[Poissonfordeling]],NA())</f>
        <v>4.9787068367863944E-2</v>
      </c>
      <c r="AZ53" s="99" t="e">
        <f>IF(S_normal27[[#This Row],[Lig med]],S_normal27[[#This Row],[Poissonfordeling]],NA())</f>
        <v>#N/A</v>
      </c>
      <c r="BA53" s="99" t="e">
        <f>IF(S_normal27[[#This Row],[Større end]],S_normal27[[#This Row],[Poissonfordeling]],NA())</f>
        <v>#N/A</v>
      </c>
      <c r="BB53" s="85" t="str">
        <f>_xlfn.IFNA(IF(MOD(S_normal27[[#This Row],[Indeks (base 0)]],AS$8)=ROUNDDOWN(AS$8/2,0),S_normal27[[#This Row],[X base]],""),"")</f>
        <v/>
      </c>
      <c r="BC53" s="99" t="str">
        <f t="shared" si="9"/>
        <v xml:space="preserve"> </v>
      </c>
    </row>
    <row r="54" spans="20:55" x14ac:dyDescent="0.2">
      <c r="T54" s="54">
        <f t="shared" si="0"/>
        <v>41</v>
      </c>
      <c r="U54" s="54">
        <f>S_normal[[#This Row],[Indeks (base 0)]]+1</f>
        <v>42</v>
      </c>
      <c r="V54" s="99">
        <f t="shared" si="11"/>
        <v>-2.1080654491687407</v>
      </c>
      <c r="W54" s="99">
        <f t="shared" si="2"/>
        <v>4.3243493241990262E-2</v>
      </c>
      <c r="X54" s="99" t="b">
        <f>S_normal[[#This Row],[X base]]&lt;U$7</f>
        <v>1</v>
      </c>
      <c r="Y54" s="99" t="b">
        <f>S_normal[[#This Row],[X base]]&gt;U$7</f>
        <v>0</v>
      </c>
      <c r="Z54" s="99">
        <f>IF(S_normal[[#This Row],[Mindre end]],S_normal[[#This Row],[Normalfordeling]],NA())</f>
        <v>4.3243493241990262E-2</v>
      </c>
      <c r="AA54" s="99" t="e">
        <f>IF(S_normal[[#This Row],[Større end]],S_normal[[#This Row],[Normalfordeling]],NA())</f>
        <v>#N/A</v>
      </c>
      <c r="AB54" s="72" t="str">
        <f>_xlfn.IFNA(IF(S_normal[[#This Row],[Indeks (base 0)]]=ROUND((ROUND(S_normal[[#This Row],[X base]],0)-U$8)/(U$9-U$8)*U$4,0),S_normal[[#This Row],[X base]]*B$6+B$5,""),"")</f>
        <v/>
      </c>
      <c r="AC54" s="99" t="str">
        <f t="shared" si="12"/>
        <v xml:space="preserve"> </v>
      </c>
      <c r="AE54" s="54">
        <f t="shared" si="4"/>
        <v>41</v>
      </c>
      <c r="AF54" s="54">
        <f>S_binomial[[#This Row],[Indeks (base 0)]]+1</f>
        <v>42</v>
      </c>
      <c r="AG54" s="99">
        <f t="shared" si="5"/>
        <v>0</v>
      </c>
      <c r="AH54" s="99">
        <f>IF(MOD(S_binomial[[#This Row],[Indeks (base 0)]],AF$7)=0,NA(),_xlfn.BINOM.DIST(S_binomial[[#This Row],[X base]],E$5,E$6,FALSE))</f>
        <v>7.529536000000004E-6</v>
      </c>
      <c r="AI54" s="99" t="b">
        <f>S_binomial[[#This Row],[X base]]&lt;AF$5</f>
        <v>1</v>
      </c>
      <c r="AJ54" s="99" t="b">
        <f>S_binomial[[#This Row],[X base]]=AF$5</f>
        <v>0</v>
      </c>
      <c r="AK54" s="99" t="b">
        <f>S_binomial[[#This Row],[X base]]&gt;AF$5</f>
        <v>0</v>
      </c>
      <c r="AL54" s="99">
        <f>IF(S_binomial[[#This Row],[Mindre end]],S_binomial[[#This Row],[Binomialfordeling]],NA())</f>
        <v>7.529536000000004E-6</v>
      </c>
      <c r="AM54" s="99" t="e">
        <f>IF(S_binomial[[#This Row],[Lig med]],S_binomial[[#This Row],[Binomialfordeling]],NA())</f>
        <v>#N/A</v>
      </c>
      <c r="AN54" s="99" t="e">
        <f>IF(S_binomial[[#This Row],[Større end]],S_binomial[[#This Row],[Binomialfordeling]],NA())</f>
        <v>#N/A</v>
      </c>
      <c r="AO54" s="85" t="str">
        <f>_xlfn.IFNA(IF(MOD(S_binomial[[#This Row],[Indeks (base 0)]],AF$7)=ROUNDDOWN(AF$7/2,0),S_binomial[[#This Row],[X base]],""),"")</f>
        <v/>
      </c>
      <c r="AP54" s="99" t="str">
        <f t="shared" si="6"/>
        <v xml:space="preserve"> </v>
      </c>
      <c r="AR54" s="54">
        <f t="shared" si="7"/>
        <v>41</v>
      </c>
      <c r="AS54" s="54">
        <f>S_normal27[[#This Row],[Indeks (base 0)]]+1</f>
        <v>42</v>
      </c>
      <c r="AT54" s="54">
        <f t="shared" si="10"/>
        <v>0</v>
      </c>
      <c r="AU54" s="54">
        <f>IF(MOD(S_normal27[[#This Row],[Indeks (base 0)]],AS$8)=0,NA(),_xlfn.POISSON.DIST(S_normal27[[#This Row],[X base]],$H$5,FALSE))</f>
        <v>4.9787068367863944E-2</v>
      </c>
      <c r="AV54" s="99" t="b">
        <f>S_normal27[[#This Row],[X base]]&lt;AS$5</f>
        <v>1</v>
      </c>
      <c r="AW54" s="99" t="b">
        <f>S_normal27[[#This Row],[X base]]=AS$5</f>
        <v>0</v>
      </c>
      <c r="AX54" s="99" t="b">
        <f>S_normal27[[#This Row],[X base]]&gt;AS$5</f>
        <v>0</v>
      </c>
      <c r="AY54" s="99">
        <f>IF(S_normal27[[#This Row],[Mindre end]],S_normal27[[#This Row],[Poissonfordeling]],NA())</f>
        <v>4.9787068367863944E-2</v>
      </c>
      <c r="AZ54" s="99" t="e">
        <f>IF(S_normal27[[#This Row],[Lig med]],S_normal27[[#This Row],[Poissonfordeling]],NA())</f>
        <v>#N/A</v>
      </c>
      <c r="BA54" s="99" t="e">
        <f>IF(S_normal27[[#This Row],[Større end]],S_normal27[[#This Row],[Poissonfordeling]],NA())</f>
        <v>#N/A</v>
      </c>
      <c r="BB54" s="85" t="str">
        <f>_xlfn.IFNA(IF(MOD(S_normal27[[#This Row],[Indeks (base 0)]],AS$8)=ROUNDDOWN(AS$8/2,0),S_normal27[[#This Row],[X base]],""),"")</f>
        <v/>
      </c>
      <c r="BC54" s="99" t="str">
        <f t="shared" si="9"/>
        <v xml:space="preserve"> </v>
      </c>
    </row>
    <row r="55" spans="20:55" x14ac:dyDescent="0.2">
      <c r="T55" s="54">
        <f t="shared" si="0"/>
        <v>42</v>
      </c>
      <c r="U55" s="54">
        <f>S_normal[[#This Row],[Indeks (base 0)]]+1</f>
        <v>43</v>
      </c>
      <c r="V55" s="99">
        <f t="shared" si="11"/>
        <v>-2.0841101599736414</v>
      </c>
      <c r="W55" s="99">
        <f t="shared" si="2"/>
        <v>4.5470290940174081E-2</v>
      </c>
      <c r="X55" s="99" t="b">
        <f>S_normal[[#This Row],[X base]]&lt;U$7</f>
        <v>1</v>
      </c>
      <c r="Y55" s="99" t="b">
        <f>S_normal[[#This Row],[X base]]&gt;U$7</f>
        <v>0</v>
      </c>
      <c r="Z55" s="99">
        <f>IF(S_normal[[#This Row],[Mindre end]],S_normal[[#This Row],[Normalfordeling]],NA())</f>
        <v>4.5470290940174081E-2</v>
      </c>
      <c r="AA55" s="99" t="e">
        <f>IF(S_normal[[#This Row],[Større end]],S_normal[[#This Row],[Normalfordeling]],NA())</f>
        <v>#N/A</v>
      </c>
      <c r="AB55" s="72" t="str">
        <f>_xlfn.IFNA(IF(S_normal[[#This Row],[Indeks (base 0)]]=ROUND((ROUND(S_normal[[#This Row],[X base]],0)-U$8)/(U$9-U$8)*U$4,0),S_normal[[#This Row],[X base]]*B$6+B$5,""),"")</f>
        <v/>
      </c>
      <c r="AC55" s="99" t="str">
        <f t="shared" si="12"/>
        <v xml:space="preserve"> </v>
      </c>
      <c r="AE55" s="54">
        <f t="shared" si="4"/>
        <v>42</v>
      </c>
      <c r="AF55" s="54">
        <f>S_binomial[[#This Row],[Indeks (base 0)]]+1</f>
        <v>43</v>
      </c>
      <c r="AG55" s="99">
        <f t="shared" si="5"/>
        <v>0</v>
      </c>
      <c r="AH55" s="99">
        <f>IF(MOD(S_binomial[[#This Row],[Indeks (base 0)]],AF$7)=0,NA(),_xlfn.BINOM.DIST(S_binomial[[#This Row],[X base]],E$5,E$6,FALSE))</f>
        <v>7.529536000000004E-6</v>
      </c>
      <c r="AI55" s="99" t="b">
        <f>S_binomial[[#This Row],[X base]]&lt;AF$5</f>
        <v>1</v>
      </c>
      <c r="AJ55" s="99" t="b">
        <f>S_binomial[[#This Row],[X base]]=AF$5</f>
        <v>0</v>
      </c>
      <c r="AK55" s="99" t="b">
        <f>S_binomial[[#This Row],[X base]]&gt;AF$5</f>
        <v>0</v>
      </c>
      <c r="AL55" s="99">
        <f>IF(S_binomial[[#This Row],[Mindre end]],S_binomial[[#This Row],[Binomialfordeling]],NA())</f>
        <v>7.529536000000004E-6</v>
      </c>
      <c r="AM55" s="99" t="e">
        <f>IF(S_binomial[[#This Row],[Lig med]],S_binomial[[#This Row],[Binomialfordeling]],NA())</f>
        <v>#N/A</v>
      </c>
      <c r="AN55" s="99" t="e">
        <f>IF(S_binomial[[#This Row],[Større end]],S_binomial[[#This Row],[Binomialfordeling]],NA())</f>
        <v>#N/A</v>
      </c>
      <c r="AO55" s="85" t="str">
        <f>_xlfn.IFNA(IF(MOD(S_binomial[[#This Row],[Indeks (base 0)]],AF$7)=ROUNDDOWN(AF$7/2,0),S_binomial[[#This Row],[X base]],""),"")</f>
        <v/>
      </c>
      <c r="AP55" s="99" t="str">
        <f t="shared" si="6"/>
        <v xml:space="preserve"> </v>
      </c>
      <c r="AR55" s="54">
        <f t="shared" si="7"/>
        <v>42</v>
      </c>
      <c r="AS55" s="54">
        <f>S_normal27[[#This Row],[Indeks (base 0)]]+1</f>
        <v>43</v>
      </c>
      <c r="AT55" s="54">
        <f t="shared" si="10"/>
        <v>0</v>
      </c>
      <c r="AU55" s="54">
        <f>IF(MOD(S_normal27[[#This Row],[Indeks (base 0)]],AS$8)=0,NA(),_xlfn.POISSON.DIST(S_normal27[[#This Row],[X base]],$H$5,FALSE))</f>
        <v>4.9787068367863944E-2</v>
      </c>
      <c r="AV55" s="99" t="b">
        <f>S_normal27[[#This Row],[X base]]&lt;AS$5</f>
        <v>1</v>
      </c>
      <c r="AW55" s="99" t="b">
        <f>S_normal27[[#This Row],[X base]]=AS$5</f>
        <v>0</v>
      </c>
      <c r="AX55" s="99" t="b">
        <f>S_normal27[[#This Row],[X base]]&gt;AS$5</f>
        <v>0</v>
      </c>
      <c r="AY55" s="99">
        <f>IF(S_normal27[[#This Row],[Mindre end]],S_normal27[[#This Row],[Poissonfordeling]],NA())</f>
        <v>4.9787068367863944E-2</v>
      </c>
      <c r="AZ55" s="99" t="e">
        <f>IF(S_normal27[[#This Row],[Lig med]],S_normal27[[#This Row],[Poissonfordeling]],NA())</f>
        <v>#N/A</v>
      </c>
      <c r="BA55" s="99" t="e">
        <f>IF(S_normal27[[#This Row],[Større end]],S_normal27[[#This Row],[Poissonfordeling]],NA())</f>
        <v>#N/A</v>
      </c>
      <c r="BB55" s="85" t="str">
        <f>_xlfn.IFNA(IF(MOD(S_normal27[[#This Row],[Indeks (base 0)]],AS$8)=ROUNDDOWN(AS$8/2,0),S_normal27[[#This Row],[X base]],""),"")</f>
        <v/>
      </c>
      <c r="BC55" s="99" t="str">
        <f t="shared" si="9"/>
        <v xml:space="preserve"> </v>
      </c>
    </row>
    <row r="56" spans="20:55" x14ac:dyDescent="0.2">
      <c r="T56" s="54">
        <f t="shared" si="0"/>
        <v>43</v>
      </c>
      <c r="U56" s="54">
        <f>S_normal[[#This Row],[Indeks (base 0)]]+1</f>
        <v>44</v>
      </c>
      <c r="V56" s="99">
        <f t="shared" ref="V56:V119" si="14">U$8+(U$9-U$8)/U$4*T56</f>
        <v>-2.0601548707785424</v>
      </c>
      <c r="W56" s="99">
        <f t="shared" si="2"/>
        <v>4.7784327061153015E-2</v>
      </c>
      <c r="X56" s="99" t="b">
        <f>S_normal[[#This Row],[X base]]&lt;U$7</f>
        <v>1</v>
      </c>
      <c r="Y56" s="99" t="b">
        <f>S_normal[[#This Row],[X base]]&gt;U$7</f>
        <v>0</v>
      </c>
      <c r="Z56" s="99">
        <f>IF(S_normal[[#This Row],[Mindre end]],S_normal[[#This Row],[Normalfordeling]],NA())</f>
        <v>4.7784327061153015E-2</v>
      </c>
      <c r="AA56" s="99" t="e">
        <f>IF(S_normal[[#This Row],[Større end]],S_normal[[#This Row],[Normalfordeling]],NA())</f>
        <v>#N/A</v>
      </c>
      <c r="AB56" s="72" t="str">
        <f>_xlfn.IFNA(IF(S_normal[[#This Row],[Indeks (base 0)]]=ROUND((ROUND(S_normal[[#This Row],[X base]],0)-U$8)/(U$9-U$8)*U$4,0),S_normal[[#This Row],[X base]]*B$6+B$5,""),"")</f>
        <v/>
      </c>
      <c r="AC56" s="99" t="str">
        <f t="shared" ref="AC56:AC119" si="15">_xlfn.SWITCH(U56,AC$6,AC$4,AC$7,AC$5," ")</f>
        <v xml:space="preserve"> </v>
      </c>
      <c r="AE56" s="54">
        <f t="shared" si="4"/>
        <v>43</v>
      </c>
      <c r="AF56" s="54">
        <f>S_binomial[[#This Row],[Indeks (base 0)]]+1</f>
        <v>44</v>
      </c>
      <c r="AG56" s="99">
        <f t="shared" si="5"/>
        <v>0</v>
      </c>
      <c r="AH56" s="99">
        <f>IF(MOD(S_binomial[[#This Row],[Indeks (base 0)]],AF$7)=0,NA(),_xlfn.BINOM.DIST(S_binomial[[#This Row],[X base]],E$5,E$6,FALSE))</f>
        <v>7.529536000000004E-6</v>
      </c>
      <c r="AI56" s="99" t="b">
        <f>S_binomial[[#This Row],[X base]]&lt;AF$5</f>
        <v>1</v>
      </c>
      <c r="AJ56" s="99" t="b">
        <f>S_binomial[[#This Row],[X base]]=AF$5</f>
        <v>0</v>
      </c>
      <c r="AK56" s="99" t="b">
        <f>S_binomial[[#This Row],[X base]]&gt;AF$5</f>
        <v>0</v>
      </c>
      <c r="AL56" s="99">
        <f>IF(S_binomial[[#This Row],[Mindre end]],S_binomial[[#This Row],[Binomialfordeling]],NA())</f>
        <v>7.529536000000004E-6</v>
      </c>
      <c r="AM56" s="99" t="e">
        <f>IF(S_binomial[[#This Row],[Lig med]],S_binomial[[#This Row],[Binomialfordeling]],NA())</f>
        <v>#N/A</v>
      </c>
      <c r="AN56" s="99" t="e">
        <f>IF(S_binomial[[#This Row],[Større end]],S_binomial[[#This Row],[Binomialfordeling]],NA())</f>
        <v>#N/A</v>
      </c>
      <c r="AO56" s="85" t="str">
        <f>_xlfn.IFNA(IF(MOD(S_binomial[[#This Row],[Indeks (base 0)]],AF$7)=ROUNDDOWN(AF$7/2,0),S_binomial[[#This Row],[X base]],""),"")</f>
        <v/>
      </c>
      <c r="AP56" s="99" t="str">
        <f t="shared" si="6"/>
        <v xml:space="preserve"> </v>
      </c>
      <c r="AR56" s="54">
        <f t="shared" si="7"/>
        <v>43</v>
      </c>
      <c r="AS56" s="54">
        <f>S_normal27[[#This Row],[Indeks (base 0)]]+1</f>
        <v>44</v>
      </c>
      <c r="AT56" s="54">
        <f t="shared" si="10"/>
        <v>0</v>
      </c>
      <c r="AU56" s="54">
        <f>IF(MOD(S_normal27[[#This Row],[Indeks (base 0)]],AS$8)=0,NA(),_xlfn.POISSON.DIST(S_normal27[[#This Row],[X base]],$H$5,FALSE))</f>
        <v>4.9787068367863944E-2</v>
      </c>
      <c r="AV56" s="99" t="b">
        <f>S_normal27[[#This Row],[X base]]&lt;AS$5</f>
        <v>1</v>
      </c>
      <c r="AW56" s="99" t="b">
        <f>S_normal27[[#This Row],[X base]]=AS$5</f>
        <v>0</v>
      </c>
      <c r="AX56" s="99" t="b">
        <f>S_normal27[[#This Row],[X base]]&gt;AS$5</f>
        <v>0</v>
      </c>
      <c r="AY56" s="99">
        <f>IF(S_normal27[[#This Row],[Mindre end]],S_normal27[[#This Row],[Poissonfordeling]],NA())</f>
        <v>4.9787068367863944E-2</v>
      </c>
      <c r="AZ56" s="99" t="e">
        <f>IF(S_normal27[[#This Row],[Lig med]],S_normal27[[#This Row],[Poissonfordeling]],NA())</f>
        <v>#N/A</v>
      </c>
      <c r="BA56" s="99" t="e">
        <f>IF(S_normal27[[#This Row],[Større end]],S_normal27[[#This Row],[Poissonfordeling]],NA())</f>
        <v>#N/A</v>
      </c>
      <c r="BB56" s="85" t="str">
        <f>_xlfn.IFNA(IF(MOD(S_normal27[[#This Row],[Indeks (base 0)]],AS$8)=ROUNDDOWN(AS$8/2,0),S_normal27[[#This Row],[X base]],""),"")</f>
        <v/>
      </c>
      <c r="BC56" s="99" t="str">
        <f t="shared" si="9"/>
        <v xml:space="preserve"> </v>
      </c>
    </row>
    <row r="57" spans="20:55" x14ac:dyDescent="0.2">
      <c r="T57" s="54">
        <f t="shared" si="0"/>
        <v>44</v>
      </c>
      <c r="U57" s="54">
        <f>S_normal[[#This Row],[Indeks (base 0)]]+1</f>
        <v>45</v>
      </c>
      <c r="V57" s="99">
        <f t="shared" si="14"/>
        <v>-2.0361995815834426</v>
      </c>
      <c r="W57" s="99">
        <f t="shared" si="2"/>
        <v>5.0187318625221689E-2</v>
      </c>
      <c r="X57" s="99" t="b">
        <f>S_normal[[#This Row],[X base]]&lt;U$7</f>
        <v>1</v>
      </c>
      <c r="Y57" s="99" t="b">
        <f>S_normal[[#This Row],[X base]]&gt;U$7</f>
        <v>0</v>
      </c>
      <c r="Z57" s="99">
        <f>IF(S_normal[[#This Row],[Mindre end]],S_normal[[#This Row],[Normalfordeling]],NA())</f>
        <v>5.0187318625221689E-2</v>
      </c>
      <c r="AA57" s="99" t="e">
        <f>IF(S_normal[[#This Row],[Større end]],S_normal[[#This Row],[Normalfordeling]],NA())</f>
        <v>#N/A</v>
      </c>
      <c r="AB57" s="72" t="str">
        <f>_xlfn.IFNA(IF(S_normal[[#This Row],[Indeks (base 0)]]=ROUND((ROUND(S_normal[[#This Row],[X base]],0)-U$8)/(U$9-U$8)*U$4,0),S_normal[[#This Row],[X base]]*B$6+B$5,""),"")</f>
        <v/>
      </c>
      <c r="AC57" s="99" t="str">
        <f t="shared" si="15"/>
        <v xml:space="preserve"> </v>
      </c>
      <c r="AE57" s="54">
        <f t="shared" si="4"/>
        <v>44</v>
      </c>
      <c r="AF57" s="54">
        <f>S_binomial[[#This Row],[Indeks (base 0)]]+1</f>
        <v>45</v>
      </c>
      <c r="AG57" s="99">
        <f t="shared" si="5"/>
        <v>0</v>
      </c>
      <c r="AH57" s="99">
        <f>IF(MOD(S_binomial[[#This Row],[Indeks (base 0)]],AF$7)=0,NA(),_xlfn.BINOM.DIST(S_binomial[[#This Row],[X base]],E$5,E$6,FALSE))</f>
        <v>7.529536000000004E-6</v>
      </c>
      <c r="AI57" s="99" t="b">
        <f>S_binomial[[#This Row],[X base]]&lt;AF$5</f>
        <v>1</v>
      </c>
      <c r="AJ57" s="99" t="b">
        <f>S_binomial[[#This Row],[X base]]=AF$5</f>
        <v>0</v>
      </c>
      <c r="AK57" s="99" t="b">
        <f>S_binomial[[#This Row],[X base]]&gt;AF$5</f>
        <v>0</v>
      </c>
      <c r="AL57" s="99">
        <f>IF(S_binomial[[#This Row],[Mindre end]],S_binomial[[#This Row],[Binomialfordeling]],NA())</f>
        <v>7.529536000000004E-6</v>
      </c>
      <c r="AM57" s="99" t="e">
        <f>IF(S_binomial[[#This Row],[Lig med]],S_binomial[[#This Row],[Binomialfordeling]],NA())</f>
        <v>#N/A</v>
      </c>
      <c r="AN57" s="99" t="e">
        <f>IF(S_binomial[[#This Row],[Større end]],S_binomial[[#This Row],[Binomialfordeling]],NA())</f>
        <v>#N/A</v>
      </c>
      <c r="AO57" s="85" t="str">
        <f>_xlfn.IFNA(IF(MOD(S_binomial[[#This Row],[Indeks (base 0)]],AF$7)=ROUNDDOWN(AF$7/2,0),S_binomial[[#This Row],[X base]],""),"")</f>
        <v/>
      </c>
      <c r="AP57" s="99" t="str">
        <f t="shared" si="6"/>
        <v xml:space="preserve"> </v>
      </c>
      <c r="AR57" s="54">
        <f t="shared" si="7"/>
        <v>44</v>
      </c>
      <c r="AS57" s="54">
        <f>S_normal27[[#This Row],[Indeks (base 0)]]+1</f>
        <v>45</v>
      </c>
      <c r="AT57" s="54">
        <f t="shared" si="10"/>
        <v>0</v>
      </c>
      <c r="AU57" s="54">
        <f>IF(MOD(S_normal27[[#This Row],[Indeks (base 0)]],AS$8)=0,NA(),_xlfn.POISSON.DIST(S_normal27[[#This Row],[X base]],$H$5,FALSE))</f>
        <v>4.9787068367863944E-2</v>
      </c>
      <c r="AV57" s="99" t="b">
        <f>S_normal27[[#This Row],[X base]]&lt;AS$5</f>
        <v>1</v>
      </c>
      <c r="AW57" s="99" t="b">
        <f>S_normal27[[#This Row],[X base]]=AS$5</f>
        <v>0</v>
      </c>
      <c r="AX57" s="99" t="b">
        <f>S_normal27[[#This Row],[X base]]&gt;AS$5</f>
        <v>0</v>
      </c>
      <c r="AY57" s="99">
        <f>IF(S_normal27[[#This Row],[Mindre end]],S_normal27[[#This Row],[Poissonfordeling]],NA())</f>
        <v>4.9787068367863944E-2</v>
      </c>
      <c r="AZ57" s="99" t="e">
        <f>IF(S_normal27[[#This Row],[Lig med]],S_normal27[[#This Row],[Poissonfordeling]],NA())</f>
        <v>#N/A</v>
      </c>
      <c r="BA57" s="99" t="e">
        <f>IF(S_normal27[[#This Row],[Større end]],S_normal27[[#This Row],[Poissonfordeling]],NA())</f>
        <v>#N/A</v>
      </c>
      <c r="BB57" s="85" t="str">
        <f>_xlfn.IFNA(IF(MOD(S_normal27[[#This Row],[Indeks (base 0)]],AS$8)=ROUNDDOWN(AS$8/2,0),S_normal27[[#This Row],[X base]],""),"")</f>
        <v/>
      </c>
      <c r="BC57" s="99" t="str">
        <f t="shared" si="9"/>
        <v xml:space="preserve"> </v>
      </c>
    </row>
    <row r="58" spans="20:55" x14ac:dyDescent="0.2">
      <c r="T58" s="54">
        <f t="shared" si="0"/>
        <v>45</v>
      </c>
      <c r="U58" s="54">
        <f>S_normal[[#This Row],[Indeks (base 0)]]+1</f>
        <v>46</v>
      </c>
      <c r="V58" s="99">
        <f t="shared" si="14"/>
        <v>-2.0122442923883437</v>
      </c>
      <c r="W58" s="99">
        <f t="shared" si="2"/>
        <v>5.2680912571830774E-2</v>
      </c>
      <c r="X58" s="99" t="b">
        <f>S_normal[[#This Row],[X base]]&lt;U$7</f>
        <v>1</v>
      </c>
      <c r="Y58" s="99" t="b">
        <f>S_normal[[#This Row],[X base]]&gt;U$7</f>
        <v>0</v>
      </c>
      <c r="Z58" s="99">
        <f>IF(S_normal[[#This Row],[Mindre end]],S_normal[[#This Row],[Normalfordeling]],NA())</f>
        <v>5.2680912571830774E-2</v>
      </c>
      <c r="AA58" s="99" t="e">
        <f>IF(S_normal[[#This Row],[Større end]],S_normal[[#This Row],[Normalfordeling]],NA())</f>
        <v>#N/A</v>
      </c>
      <c r="AB58" s="72" t="str">
        <f>_xlfn.IFNA(IF(S_normal[[#This Row],[Indeks (base 0)]]=ROUND((ROUND(S_normal[[#This Row],[X base]],0)-U$8)/(U$9-U$8)*U$4,0),S_normal[[#This Row],[X base]]*B$6+B$5,""),"")</f>
        <v/>
      </c>
      <c r="AC58" s="99" t="str">
        <f t="shared" si="15"/>
        <v xml:space="preserve"> </v>
      </c>
      <c r="AE58" s="54">
        <f t="shared" si="4"/>
        <v>45</v>
      </c>
      <c r="AF58" s="54">
        <f>S_binomial[[#This Row],[Indeks (base 0)]]+1</f>
        <v>46</v>
      </c>
      <c r="AG58" s="99">
        <f t="shared" si="5"/>
        <v>0</v>
      </c>
      <c r="AH58" s="99">
        <f>IF(MOD(S_binomial[[#This Row],[Indeks (base 0)]],AF$7)=0,NA(),_xlfn.BINOM.DIST(S_binomial[[#This Row],[X base]],E$5,E$6,FALSE))</f>
        <v>7.529536000000004E-6</v>
      </c>
      <c r="AI58" s="99" t="b">
        <f>S_binomial[[#This Row],[X base]]&lt;AF$5</f>
        <v>1</v>
      </c>
      <c r="AJ58" s="99" t="b">
        <f>S_binomial[[#This Row],[X base]]=AF$5</f>
        <v>0</v>
      </c>
      <c r="AK58" s="99" t="b">
        <f>S_binomial[[#This Row],[X base]]&gt;AF$5</f>
        <v>0</v>
      </c>
      <c r="AL58" s="99">
        <f>IF(S_binomial[[#This Row],[Mindre end]],S_binomial[[#This Row],[Binomialfordeling]],NA())</f>
        <v>7.529536000000004E-6</v>
      </c>
      <c r="AM58" s="99" t="e">
        <f>IF(S_binomial[[#This Row],[Lig med]],S_binomial[[#This Row],[Binomialfordeling]],NA())</f>
        <v>#N/A</v>
      </c>
      <c r="AN58" s="99" t="e">
        <f>IF(S_binomial[[#This Row],[Større end]],S_binomial[[#This Row],[Binomialfordeling]],NA())</f>
        <v>#N/A</v>
      </c>
      <c r="AO58" s="85" t="str">
        <f>_xlfn.IFNA(IF(MOD(S_binomial[[#This Row],[Indeks (base 0)]],AF$7)=ROUNDDOWN(AF$7/2,0),S_binomial[[#This Row],[X base]],""),"")</f>
        <v/>
      </c>
      <c r="AP58" s="99" t="str">
        <f t="shared" si="6"/>
        <v xml:space="preserve"> </v>
      </c>
      <c r="AR58" s="54">
        <f t="shared" si="7"/>
        <v>45</v>
      </c>
      <c r="AS58" s="54">
        <f>S_normal27[[#This Row],[Indeks (base 0)]]+1</f>
        <v>46</v>
      </c>
      <c r="AT58" s="54">
        <f t="shared" si="10"/>
        <v>0</v>
      </c>
      <c r="AU58" s="54">
        <f>IF(MOD(S_normal27[[#This Row],[Indeks (base 0)]],AS$8)=0,NA(),_xlfn.POISSON.DIST(S_normal27[[#This Row],[X base]],$H$5,FALSE))</f>
        <v>4.9787068367863944E-2</v>
      </c>
      <c r="AV58" s="99" t="b">
        <f>S_normal27[[#This Row],[X base]]&lt;AS$5</f>
        <v>1</v>
      </c>
      <c r="AW58" s="99" t="b">
        <f>S_normal27[[#This Row],[X base]]=AS$5</f>
        <v>0</v>
      </c>
      <c r="AX58" s="99" t="b">
        <f>S_normal27[[#This Row],[X base]]&gt;AS$5</f>
        <v>0</v>
      </c>
      <c r="AY58" s="99">
        <f>IF(S_normal27[[#This Row],[Mindre end]],S_normal27[[#This Row],[Poissonfordeling]],NA())</f>
        <v>4.9787068367863944E-2</v>
      </c>
      <c r="AZ58" s="99" t="e">
        <f>IF(S_normal27[[#This Row],[Lig med]],S_normal27[[#This Row],[Poissonfordeling]],NA())</f>
        <v>#N/A</v>
      </c>
      <c r="BA58" s="99" t="e">
        <f>IF(S_normal27[[#This Row],[Større end]],S_normal27[[#This Row],[Poissonfordeling]],NA())</f>
        <v>#N/A</v>
      </c>
      <c r="BB58" s="85" t="str">
        <f>_xlfn.IFNA(IF(MOD(S_normal27[[#This Row],[Indeks (base 0)]],AS$8)=ROUNDDOWN(AS$8/2,0),S_normal27[[#This Row],[X base]],""),"")</f>
        <v/>
      </c>
      <c r="BC58" s="99" t="str">
        <f t="shared" si="9"/>
        <v xml:space="preserve"> </v>
      </c>
    </row>
    <row r="59" spans="20:55" x14ac:dyDescent="0.2">
      <c r="T59" s="54">
        <f t="shared" si="0"/>
        <v>46</v>
      </c>
      <c r="U59" s="54">
        <f>S_normal[[#This Row],[Indeks (base 0)]]+1</f>
        <v>47</v>
      </c>
      <c r="V59" s="99">
        <f t="shared" si="14"/>
        <v>-1.9882890031932441</v>
      </c>
      <c r="W59" s="99">
        <f t="shared" si="2"/>
        <v>5.5266678363017151E-2</v>
      </c>
      <c r="X59" s="99" t="b">
        <f>S_normal[[#This Row],[X base]]&lt;U$7</f>
        <v>1</v>
      </c>
      <c r="Y59" s="99" t="b">
        <f>S_normal[[#This Row],[X base]]&gt;U$7</f>
        <v>0</v>
      </c>
      <c r="Z59" s="99">
        <f>IF(S_normal[[#This Row],[Mindre end]],S_normal[[#This Row],[Normalfordeling]],NA())</f>
        <v>5.5266678363017151E-2</v>
      </c>
      <c r="AA59" s="99" t="e">
        <f>IF(S_normal[[#This Row],[Større end]],S_normal[[#This Row],[Normalfordeling]],NA())</f>
        <v>#N/A</v>
      </c>
      <c r="AB59" s="72">
        <f>_xlfn.IFNA(IF(S_normal[[#This Row],[Indeks (base 0)]]=ROUND((ROUND(S_normal[[#This Row],[X base]],0)-U$8)/(U$9-U$8)*U$4,0),S_normal[[#This Row],[X base]]*B$6+B$5,""),"")</f>
        <v>12.046843987227025</v>
      </c>
      <c r="AC59" s="99" t="str">
        <f t="shared" si="15"/>
        <v xml:space="preserve"> </v>
      </c>
      <c r="AE59" s="54">
        <f t="shared" si="4"/>
        <v>46</v>
      </c>
      <c r="AF59" s="54">
        <f>S_binomial[[#This Row],[Indeks (base 0)]]+1</f>
        <v>47</v>
      </c>
      <c r="AG59" s="99">
        <f t="shared" si="5"/>
        <v>0</v>
      </c>
      <c r="AH59" s="99">
        <f>IF(MOD(S_binomial[[#This Row],[Indeks (base 0)]],AF$7)=0,NA(),_xlfn.BINOM.DIST(S_binomial[[#This Row],[X base]],E$5,E$6,FALSE))</f>
        <v>7.529536000000004E-6</v>
      </c>
      <c r="AI59" s="99" t="b">
        <f>S_binomial[[#This Row],[X base]]&lt;AF$5</f>
        <v>1</v>
      </c>
      <c r="AJ59" s="99" t="b">
        <f>S_binomial[[#This Row],[X base]]=AF$5</f>
        <v>0</v>
      </c>
      <c r="AK59" s="99" t="b">
        <f>S_binomial[[#This Row],[X base]]&gt;AF$5</f>
        <v>0</v>
      </c>
      <c r="AL59" s="99">
        <f>IF(S_binomial[[#This Row],[Mindre end]],S_binomial[[#This Row],[Binomialfordeling]],NA())</f>
        <v>7.529536000000004E-6</v>
      </c>
      <c r="AM59" s="99" t="e">
        <f>IF(S_binomial[[#This Row],[Lig med]],S_binomial[[#This Row],[Binomialfordeling]],NA())</f>
        <v>#N/A</v>
      </c>
      <c r="AN59" s="99" t="e">
        <f>IF(S_binomial[[#This Row],[Større end]],S_binomial[[#This Row],[Binomialfordeling]],NA())</f>
        <v>#N/A</v>
      </c>
      <c r="AO59" s="85">
        <f>_xlfn.IFNA(IF(MOD(S_binomial[[#This Row],[Indeks (base 0)]],AF$7)=ROUNDDOWN(AF$7/2,0),S_binomial[[#This Row],[X base]],""),"")</f>
        <v>0</v>
      </c>
      <c r="AP59" s="99" t="str">
        <f t="shared" si="6"/>
        <v xml:space="preserve"> </v>
      </c>
      <c r="AR59" s="54">
        <f t="shared" si="7"/>
        <v>46</v>
      </c>
      <c r="AS59" s="54">
        <f>S_normal27[[#This Row],[Indeks (base 0)]]+1</f>
        <v>47</v>
      </c>
      <c r="AT59" s="54">
        <f t="shared" si="10"/>
        <v>0</v>
      </c>
      <c r="AU59" s="54">
        <f>IF(MOD(S_normal27[[#This Row],[Indeks (base 0)]],AS$8)=0,NA(),_xlfn.POISSON.DIST(S_normal27[[#This Row],[X base]],$H$5,FALSE))</f>
        <v>4.9787068367863944E-2</v>
      </c>
      <c r="AV59" s="99" t="b">
        <f>S_normal27[[#This Row],[X base]]&lt;AS$5</f>
        <v>1</v>
      </c>
      <c r="AW59" s="99" t="b">
        <f>S_normal27[[#This Row],[X base]]=AS$5</f>
        <v>0</v>
      </c>
      <c r="AX59" s="99" t="b">
        <f>S_normal27[[#This Row],[X base]]&gt;AS$5</f>
        <v>0</v>
      </c>
      <c r="AY59" s="99">
        <f>IF(S_normal27[[#This Row],[Mindre end]],S_normal27[[#This Row],[Poissonfordeling]],NA())</f>
        <v>4.9787068367863944E-2</v>
      </c>
      <c r="AZ59" s="99" t="e">
        <f>IF(S_normal27[[#This Row],[Lig med]],S_normal27[[#This Row],[Poissonfordeling]],NA())</f>
        <v>#N/A</v>
      </c>
      <c r="BA59" s="99" t="e">
        <f>IF(S_normal27[[#This Row],[Større end]],S_normal27[[#This Row],[Poissonfordeling]],NA())</f>
        <v>#N/A</v>
      </c>
      <c r="BB59" s="85" t="str">
        <f>_xlfn.IFNA(IF(MOD(S_normal27[[#This Row],[Indeks (base 0)]],AS$8)=ROUNDDOWN(AS$8/2,0),S_normal27[[#This Row],[X base]],""),"")</f>
        <v/>
      </c>
      <c r="BC59" s="99" t="str">
        <f t="shared" si="9"/>
        <v xml:space="preserve"> </v>
      </c>
    </row>
    <row r="60" spans="20:55" x14ac:dyDescent="0.2">
      <c r="T60" s="54">
        <f t="shared" si="0"/>
        <v>47</v>
      </c>
      <c r="U60" s="54">
        <f>S_normal[[#This Row],[Indeks (base 0)]]+1</f>
        <v>48</v>
      </c>
      <c r="V60" s="99">
        <f t="shared" si="14"/>
        <v>-1.9643337139981449</v>
      </c>
      <c r="W60" s="99">
        <f t="shared" si="2"/>
        <v>5.7946100444885101E-2</v>
      </c>
      <c r="X60" s="99" t="b">
        <f>S_normal[[#This Row],[X base]]&lt;U$7</f>
        <v>1</v>
      </c>
      <c r="Y60" s="99" t="b">
        <f>S_normal[[#This Row],[X base]]&gt;U$7</f>
        <v>0</v>
      </c>
      <c r="Z60" s="99">
        <f>IF(S_normal[[#This Row],[Mindre end]],S_normal[[#This Row],[Normalfordeling]],NA())</f>
        <v>5.7946100444885101E-2</v>
      </c>
      <c r="AA60" s="99" t="e">
        <f>IF(S_normal[[#This Row],[Større end]],S_normal[[#This Row],[Normalfordeling]],NA())</f>
        <v>#N/A</v>
      </c>
      <c r="AB60" s="72" t="str">
        <f>_xlfn.IFNA(IF(S_normal[[#This Row],[Indeks (base 0)]]=ROUND((ROUND(S_normal[[#This Row],[X base]],0)-U$8)/(U$9-U$8)*U$4,0),S_normal[[#This Row],[X base]]*B$6+B$5,""),"")</f>
        <v/>
      </c>
      <c r="AC60" s="99" t="str">
        <f t="shared" si="15"/>
        <v xml:space="preserve"> </v>
      </c>
      <c r="AE60" s="54">
        <f t="shared" si="4"/>
        <v>47</v>
      </c>
      <c r="AF60" s="54">
        <f>S_binomial[[#This Row],[Indeks (base 0)]]+1</f>
        <v>48</v>
      </c>
      <c r="AG60" s="99">
        <f t="shared" si="5"/>
        <v>0</v>
      </c>
      <c r="AH60" s="99">
        <f>IF(MOD(S_binomial[[#This Row],[Indeks (base 0)]],AF$7)=0,NA(),_xlfn.BINOM.DIST(S_binomial[[#This Row],[X base]],E$5,E$6,FALSE))</f>
        <v>7.529536000000004E-6</v>
      </c>
      <c r="AI60" s="99" t="b">
        <f>S_binomial[[#This Row],[X base]]&lt;AF$5</f>
        <v>1</v>
      </c>
      <c r="AJ60" s="99" t="b">
        <f>S_binomial[[#This Row],[X base]]=AF$5</f>
        <v>0</v>
      </c>
      <c r="AK60" s="99" t="b">
        <f>S_binomial[[#This Row],[X base]]&gt;AF$5</f>
        <v>0</v>
      </c>
      <c r="AL60" s="99">
        <f>IF(S_binomial[[#This Row],[Mindre end]],S_binomial[[#This Row],[Binomialfordeling]],NA())</f>
        <v>7.529536000000004E-6</v>
      </c>
      <c r="AM60" s="99" t="e">
        <f>IF(S_binomial[[#This Row],[Lig med]],S_binomial[[#This Row],[Binomialfordeling]],NA())</f>
        <v>#N/A</v>
      </c>
      <c r="AN60" s="99" t="e">
        <f>IF(S_binomial[[#This Row],[Større end]],S_binomial[[#This Row],[Binomialfordeling]],NA())</f>
        <v>#N/A</v>
      </c>
      <c r="AO60" s="85" t="str">
        <f>_xlfn.IFNA(IF(MOD(S_binomial[[#This Row],[Indeks (base 0)]],AF$7)=ROUNDDOWN(AF$7/2,0),S_binomial[[#This Row],[X base]],""),"")</f>
        <v/>
      </c>
      <c r="AP60" s="99" t="str">
        <f t="shared" si="6"/>
        <v xml:space="preserve"> </v>
      </c>
      <c r="AR60" s="54">
        <f t="shared" si="7"/>
        <v>47</v>
      </c>
      <c r="AS60" s="54">
        <f>S_normal27[[#This Row],[Indeks (base 0)]]+1</f>
        <v>48</v>
      </c>
      <c r="AT60" s="54">
        <f t="shared" si="10"/>
        <v>0</v>
      </c>
      <c r="AU60" s="54">
        <f>IF(MOD(S_normal27[[#This Row],[Indeks (base 0)]],AS$8)=0,NA(),_xlfn.POISSON.DIST(S_normal27[[#This Row],[X base]],$H$5,FALSE))</f>
        <v>4.9787068367863944E-2</v>
      </c>
      <c r="AV60" s="99" t="b">
        <f>S_normal27[[#This Row],[X base]]&lt;AS$5</f>
        <v>1</v>
      </c>
      <c r="AW60" s="99" t="b">
        <f>S_normal27[[#This Row],[X base]]=AS$5</f>
        <v>0</v>
      </c>
      <c r="AX60" s="99" t="b">
        <f>S_normal27[[#This Row],[X base]]&gt;AS$5</f>
        <v>0</v>
      </c>
      <c r="AY60" s="99">
        <f>IF(S_normal27[[#This Row],[Mindre end]],S_normal27[[#This Row],[Poissonfordeling]],NA())</f>
        <v>4.9787068367863944E-2</v>
      </c>
      <c r="AZ60" s="99" t="e">
        <f>IF(S_normal27[[#This Row],[Lig med]],S_normal27[[#This Row],[Poissonfordeling]],NA())</f>
        <v>#N/A</v>
      </c>
      <c r="BA60" s="99" t="e">
        <f>IF(S_normal27[[#This Row],[Større end]],S_normal27[[#This Row],[Poissonfordeling]],NA())</f>
        <v>#N/A</v>
      </c>
      <c r="BB60" s="85" t="str">
        <f>_xlfn.IFNA(IF(MOD(S_normal27[[#This Row],[Indeks (base 0)]],AS$8)=ROUNDDOWN(AS$8/2,0),S_normal27[[#This Row],[X base]],""),"")</f>
        <v/>
      </c>
      <c r="BC60" s="99" t="str">
        <f t="shared" si="9"/>
        <v xml:space="preserve"> </v>
      </c>
    </row>
    <row r="61" spans="20:55" x14ac:dyDescent="0.2">
      <c r="T61" s="54">
        <f t="shared" si="0"/>
        <v>48</v>
      </c>
      <c r="U61" s="54">
        <f>S_normal[[#This Row],[Indeks (base 0)]]+1</f>
        <v>49</v>
      </c>
      <c r="V61" s="99">
        <f t="shared" si="14"/>
        <v>-1.9403784248030456</v>
      </c>
      <c r="W61" s="99">
        <f t="shared" si="2"/>
        <v>6.0720570586669888E-2</v>
      </c>
      <c r="X61" s="99" t="b">
        <f>S_normal[[#This Row],[X base]]&lt;U$7</f>
        <v>1</v>
      </c>
      <c r="Y61" s="99" t="b">
        <f>S_normal[[#This Row],[X base]]&gt;U$7</f>
        <v>0</v>
      </c>
      <c r="Z61" s="99">
        <f>IF(S_normal[[#This Row],[Mindre end]],S_normal[[#This Row],[Normalfordeling]],NA())</f>
        <v>6.0720570586669888E-2</v>
      </c>
      <c r="AA61" s="99" t="e">
        <f>IF(S_normal[[#This Row],[Større end]],S_normal[[#This Row],[Normalfordeling]],NA())</f>
        <v>#N/A</v>
      </c>
      <c r="AB61" s="72" t="str">
        <f>_xlfn.IFNA(IF(S_normal[[#This Row],[Indeks (base 0)]]=ROUND((ROUND(S_normal[[#This Row],[X base]],0)-U$8)/(U$9-U$8)*U$4,0),S_normal[[#This Row],[X base]]*B$6+B$5,""),"")</f>
        <v/>
      </c>
      <c r="AC61" s="99" t="str">
        <f t="shared" si="15"/>
        <v xml:space="preserve"> </v>
      </c>
      <c r="AE61" s="54">
        <f t="shared" si="4"/>
        <v>48</v>
      </c>
      <c r="AF61" s="54">
        <f>S_binomial[[#This Row],[Indeks (base 0)]]+1</f>
        <v>49</v>
      </c>
      <c r="AG61" s="99">
        <f t="shared" si="5"/>
        <v>0</v>
      </c>
      <c r="AH61" s="99">
        <f>IF(MOD(S_binomial[[#This Row],[Indeks (base 0)]],AF$7)=0,NA(),_xlfn.BINOM.DIST(S_binomial[[#This Row],[X base]],E$5,E$6,FALSE))</f>
        <v>7.529536000000004E-6</v>
      </c>
      <c r="AI61" s="99" t="b">
        <f>S_binomial[[#This Row],[X base]]&lt;AF$5</f>
        <v>1</v>
      </c>
      <c r="AJ61" s="99" t="b">
        <f>S_binomial[[#This Row],[X base]]=AF$5</f>
        <v>0</v>
      </c>
      <c r="AK61" s="99" t="b">
        <f>S_binomial[[#This Row],[X base]]&gt;AF$5</f>
        <v>0</v>
      </c>
      <c r="AL61" s="99">
        <f>IF(S_binomial[[#This Row],[Mindre end]],S_binomial[[#This Row],[Binomialfordeling]],NA())</f>
        <v>7.529536000000004E-6</v>
      </c>
      <c r="AM61" s="99" t="e">
        <f>IF(S_binomial[[#This Row],[Lig med]],S_binomial[[#This Row],[Binomialfordeling]],NA())</f>
        <v>#N/A</v>
      </c>
      <c r="AN61" s="99" t="e">
        <f>IF(S_binomial[[#This Row],[Større end]],S_binomial[[#This Row],[Binomialfordeling]],NA())</f>
        <v>#N/A</v>
      </c>
      <c r="AO61" s="85" t="str">
        <f>_xlfn.IFNA(IF(MOD(S_binomial[[#This Row],[Indeks (base 0)]],AF$7)=ROUNDDOWN(AF$7/2,0),S_binomial[[#This Row],[X base]],""),"")</f>
        <v/>
      </c>
      <c r="AP61" s="99" t="str">
        <f t="shared" si="6"/>
        <v xml:space="preserve"> </v>
      </c>
      <c r="AR61" s="54">
        <f t="shared" si="7"/>
        <v>48</v>
      </c>
      <c r="AS61" s="54">
        <f>S_normal27[[#This Row],[Indeks (base 0)]]+1</f>
        <v>49</v>
      </c>
      <c r="AT61" s="54">
        <f t="shared" si="10"/>
        <v>0</v>
      </c>
      <c r="AU61" s="54">
        <f>IF(MOD(S_normal27[[#This Row],[Indeks (base 0)]],AS$8)=0,NA(),_xlfn.POISSON.DIST(S_normal27[[#This Row],[X base]],$H$5,FALSE))</f>
        <v>4.9787068367863944E-2</v>
      </c>
      <c r="AV61" s="99" t="b">
        <f>S_normal27[[#This Row],[X base]]&lt;AS$5</f>
        <v>1</v>
      </c>
      <c r="AW61" s="99" t="b">
        <f>S_normal27[[#This Row],[X base]]=AS$5</f>
        <v>0</v>
      </c>
      <c r="AX61" s="99" t="b">
        <f>S_normal27[[#This Row],[X base]]&gt;AS$5</f>
        <v>0</v>
      </c>
      <c r="AY61" s="99">
        <f>IF(S_normal27[[#This Row],[Mindre end]],S_normal27[[#This Row],[Poissonfordeling]],NA())</f>
        <v>4.9787068367863944E-2</v>
      </c>
      <c r="AZ61" s="99" t="e">
        <f>IF(S_normal27[[#This Row],[Lig med]],S_normal27[[#This Row],[Poissonfordeling]],NA())</f>
        <v>#N/A</v>
      </c>
      <c r="BA61" s="99" t="e">
        <f>IF(S_normal27[[#This Row],[Større end]],S_normal27[[#This Row],[Poissonfordeling]],NA())</f>
        <v>#N/A</v>
      </c>
      <c r="BB61" s="85" t="str">
        <f>_xlfn.IFNA(IF(MOD(S_normal27[[#This Row],[Indeks (base 0)]],AS$8)=ROUNDDOWN(AS$8/2,0),S_normal27[[#This Row],[X base]],""),"")</f>
        <v/>
      </c>
      <c r="BC61" s="99" t="str">
        <f t="shared" si="9"/>
        <v xml:space="preserve"> </v>
      </c>
    </row>
    <row r="62" spans="20:55" x14ac:dyDescent="0.2">
      <c r="T62" s="54">
        <f t="shared" si="0"/>
        <v>49</v>
      </c>
      <c r="U62" s="54">
        <f>S_normal[[#This Row],[Indeks (base 0)]]+1</f>
        <v>50</v>
      </c>
      <c r="V62" s="99">
        <f t="shared" si="14"/>
        <v>-1.9164231356079462</v>
      </c>
      <c r="W62" s="99">
        <f t="shared" si="2"/>
        <v>6.3591380118377214E-2</v>
      </c>
      <c r="X62" s="99" t="b">
        <f>S_normal[[#This Row],[X base]]&lt;U$7</f>
        <v>1</v>
      </c>
      <c r="Y62" s="99" t="b">
        <f>S_normal[[#This Row],[X base]]&gt;U$7</f>
        <v>0</v>
      </c>
      <c r="Z62" s="99">
        <f>IF(S_normal[[#This Row],[Mindre end]],S_normal[[#This Row],[Normalfordeling]],NA())</f>
        <v>6.3591380118377214E-2</v>
      </c>
      <c r="AA62" s="99" t="e">
        <f>IF(S_normal[[#This Row],[Større end]],S_normal[[#This Row],[Normalfordeling]],NA())</f>
        <v>#N/A</v>
      </c>
      <c r="AB62" s="72" t="str">
        <f>_xlfn.IFNA(IF(S_normal[[#This Row],[Indeks (base 0)]]=ROUND((ROUND(S_normal[[#This Row],[X base]],0)-U$8)/(U$9-U$8)*U$4,0),S_normal[[#This Row],[X base]]*B$6+B$5,""),"")</f>
        <v/>
      </c>
      <c r="AC62" s="99" t="str">
        <f t="shared" si="15"/>
        <v xml:space="preserve"> </v>
      </c>
      <c r="AE62" s="54">
        <f t="shared" si="4"/>
        <v>49</v>
      </c>
      <c r="AF62" s="54">
        <f>S_binomial[[#This Row],[Indeks (base 0)]]+1</f>
        <v>50</v>
      </c>
      <c r="AG62" s="99">
        <f t="shared" si="5"/>
        <v>0</v>
      </c>
      <c r="AH62" s="99">
        <f>IF(MOD(S_binomial[[#This Row],[Indeks (base 0)]],AF$7)=0,NA(),_xlfn.BINOM.DIST(S_binomial[[#This Row],[X base]],E$5,E$6,FALSE))</f>
        <v>7.529536000000004E-6</v>
      </c>
      <c r="AI62" s="99" t="b">
        <f>S_binomial[[#This Row],[X base]]&lt;AF$5</f>
        <v>1</v>
      </c>
      <c r="AJ62" s="99" t="b">
        <f>S_binomial[[#This Row],[X base]]=AF$5</f>
        <v>0</v>
      </c>
      <c r="AK62" s="99" t="b">
        <f>S_binomial[[#This Row],[X base]]&gt;AF$5</f>
        <v>0</v>
      </c>
      <c r="AL62" s="99">
        <f>IF(S_binomial[[#This Row],[Mindre end]],S_binomial[[#This Row],[Binomialfordeling]],NA())</f>
        <v>7.529536000000004E-6</v>
      </c>
      <c r="AM62" s="99" t="e">
        <f>IF(S_binomial[[#This Row],[Lig med]],S_binomial[[#This Row],[Binomialfordeling]],NA())</f>
        <v>#N/A</v>
      </c>
      <c r="AN62" s="99" t="e">
        <f>IF(S_binomial[[#This Row],[Større end]],S_binomial[[#This Row],[Binomialfordeling]],NA())</f>
        <v>#N/A</v>
      </c>
      <c r="AO62" s="85" t="str">
        <f>_xlfn.IFNA(IF(MOD(S_binomial[[#This Row],[Indeks (base 0)]],AF$7)=ROUNDDOWN(AF$7/2,0),S_binomial[[#This Row],[X base]],""),"")</f>
        <v/>
      </c>
      <c r="AP62" s="99" t="str">
        <f t="shared" si="6"/>
        <v xml:space="preserve"> </v>
      </c>
      <c r="AR62" s="54">
        <f t="shared" si="7"/>
        <v>49</v>
      </c>
      <c r="AS62" s="54">
        <f>S_normal27[[#This Row],[Indeks (base 0)]]+1</f>
        <v>50</v>
      </c>
      <c r="AT62" s="54">
        <f t="shared" si="10"/>
        <v>0</v>
      </c>
      <c r="AU62" s="54">
        <f>IF(MOD(S_normal27[[#This Row],[Indeks (base 0)]],AS$8)=0,NA(),_xlfn.POISSON.DIST(S_normal27[[#This Row],[X base]],$H$5,FALSE))</f>
        <v>4.9787068367863944E-2</v>
      </c>
      <c r="AV62" s="99" t="b">
        <f>S_normal27[[#This Row],[X base]]&lt;AS$5</f>
        <v>1</v>
      </c>
      <c r="AW62" s="99" t="b">
        <f>S_normal27[[#This Row],[X base]]=AS$5</f>
        <v>0</v>
      </c>
      <c r="AX62" s="99" t="b">
        <f>S_normal27[[#This Row],[X base]]&gt;AS$5</f>
        <v>0</v>
      </c>
      <c r="AY62" s="99">
        <f>IF(S_normal27[[#This Row],[Mindre end]],S_normal27[[#This Row],[Poissonfordeling]],NA())</f>
        <v>4.9787068367863944E-2</v>
      </c>
      <c r="AZ62" s="99" t="e">
        <f>IF(S_normal27[[#This Row],[Lig med]],S_normal27[[#This Row],[Poissonfordeling]],NA())</f>
        <v>#N/A</v>
      </c>
      <c r="BA62" s="99" t="e">
        <f>IF(S_normal27[[#This Row],[Større end]],S_normal27[[#This Row],[Poissonfordeling]],NA())</f>
        <v>#N/A</v>
      </c>
      <c r="BB62" s="85" t="str">
        <f>_xlfn.IFNA(IF(MOD(S_normal27[[#This Row],[Indeks (base 0)]],AS$8)=ROUNDDOWN(AS$8/2,0),S_normal27[[#This Row],[X base]],""),"")</f>
        <v/>
      </c>
      <c r="BC62" s="99" t="str">
        <f t="shared" si="9"/>
        <v xml:space="preserve"> </v>
      </c>
    </row>
    <row r="63" spans="20:55" x14ac:dyDescent="0.2">
      <c r="T63" s="54">
        <f t="shared" si="0"/>
        <v>50</v>
      </c>
      <c r="U63" s="54">
        <f>S_normal[[#This Row],[Indeks (base 0)]]+1</f>
        <v>51</v>
      </c>
      <c r="V63" s="99">
        <f t="shared" si="14"/>
        <v>-1.8924678464128468</v>
      </c>
      <c r="W63" s="99">
        <f t="shared" si="2"/>
        <v>6.6559712089436965E-2</v>
      </c>
      <c r="X63" s="99" t="b">
        <f>S_normal[[#This Row],[X base]]&lt;U$7</f>
        <v>1</v>
      </c>
      <c r="Y63" s="99" t="b">
        <f>S_normal[[#This Row],[X base]]&gt;U$7</f>
        <v>0</v>
      </c>
      <c r="Z63" s="99">
        <f>IF(S_normal[[#This Row],[Mindre end]],S_normal[[#This Row],[Normalfordeling]],NA())</f>
        <v>6.6559712089436965E-2</v>
      </c>
      <c r="AA63" s="99" t="e">
        <f>IF(S_normal[[#This Row],[Større end]],S_normal[[#This Row],[Normalfordeling]],NA())</f>
        <v>#N/A</v>
      </c>
      <c r="AB63" s="72" t="str">
        <f>_xlfn.IFNA(IF(S_normal[[#This Row],[Indeks (base 0)]]=ROUND((ROUND(S_normal[[#This Row],[X base]],0)-U$8)/(U$9-U$8)*U$4,0),S_normal[[#This Row],[X base]]*B$6+B$5,""),"")</f>
        <v/>
      </c>
      <c r="AC63" s="99" t="str">
        <f t="shared" si="15"/>
        <v xml:space="preserve"> </v>
      </c>
      <c r="AE63" s="54">
        <f t="shared" si="4"/>
        <v>50</v>
      </c>
      <c r="AF63" s="54">
        <f>S_binomial[[#This Row],[Indeks (base 0)]]+1</f>
        <v>51</v>
      </c>
      <c r="AG63" s="99">
        <f t="shared" si="5"/>
        <v>0</v>
      </c>
      <c r="AH63" s="99">
        <f>IF(MOD(S_binomial[[#This Row],[Indeks (base 0)]],AF$7)=0,NA(),_xlfn.BINOM.DIST(S_binomial[[#This Row],[X base]],E$5,E$6,FALSE))</f>
        <v>7.529536000000004E-6</v>
      </c>
      <c r="AI63" s="99" t="b">
        <f>S_binomial[[#This Row],[X base]]&lt;AF$5</f>
        <v>1</v>
      </c>
      <c r="AJ63" s="99" t="b">
        <f>S_binomial[[#This Row],[X base]]=AF$5</f>
        <v>0</v>
      </c>
      <c r="AK63" s="99" t="b">
        <f>S_binomial[[#This Row],[X base]]&gt;AF$5</f>
        <v>0</v>
      </c>
      <c r="AL63" s="99">
        <f>IF(S_binomial[[#This Row],[Mindre end]],S_binomial[[#This Row],[Binomialfordeling]],NA())</f>
        <v>7.529536000000004E-6</v>
      </c>
      <c r="AM63" s="99" t="e">
        <f>IF(S_binomial[[#This Row],[Lig med]],S_binomial[[#This Row],[Binomialfordeling]],NA())</f>
        <v>#N/A</v>
      </c>
      <c r="AN63" s="99" t="e">
        <f>IF(S_binomial[[#This Row],[Større end]],S_binomial[[#This Row],[Binomialfordeling]],NA())</f>
        <v>#N/A</v>
      </c>
      <c r="AO63" s="85" t="str">
        <f>_xlfn.IFNA(IF(MOD(S_binomial[[#This Row],[Indeks (base 0)]],AF$7)=ROUNDDOWN(AF$7/2,0),S_binomial[[#This Row],[X base]],""),"")</f>
        <v/>
      </c>
      <c r="AP63" s="99" t="str">
        <f t="shared" si="6"/>
        <v xml:space="preserve"> </v>
      </c>
      <c r="AR63" s="54">
        <f t="shared" si="7"/>
        <v>50</v>
      </c>
      <c r="AS63" s="54">
        <f>S_normal27[[#This Row],[Indeks (base 0)]]+1</f>
        <v>51</v>
      </c>
      <c r="AT63" s="54">
        <f t="shared" si="10"/>
        <v>0</v>
      </c>
      <c r="AU63" s="54">
        <f>IF(MOD(S_normal27[[#This Row],[Indeks (base 0)]],AS$8)=0,NA(),_xlfn.POISSON.DIST(S_normal27[[#This Row],[X base]],$H$5,FALSE))</f>
        <v>4.9787068367863944E-2</v>
      </c>
      <c r="AV63" s="99" t="b">
        <f>S_normal27[[#This Row],[X base]]&lt;AS$5</f>
        <v>1</v>
      </c>
      <c r="AW63" s="99" t="b">
        <f>S_normal27[[#This Row],[X base]]=AS$5</f>
        <v>0</v>
      </c>
      <c r="AX63" s="99" t="b">
        <f>S_normal27[[#This Row],[X base]]&gt;AS$5</f>
        <v>0</v>
      </c>
      <c r="AY63" s="99">
        <f>IF(S_normal27[[#This Row],[Mindre end]],S_normal27[[#This Row],[Poissonfordeling]],NA())</f>
        <v>4.9787068367863944E-2</v>
      </c>
      <c r="AZ63" s="99" t="e">
        <f>IF(S_normal27[[#This Row],[Lig med]],S_normal27[[#This Row],[Poissonfordeling]],NA())</f>
        <v>#N/A</v>
      </c>
      <c r="BA63" s="99" t="e">
        <f>IF(S_normal27[[#This Row],[Større end]],S_normal27[[#This Row],[Poissonfordeling]],NA())</f>
        <v>#N/A</v>
      </c>
      <c r="BB63" s="85" t="str">
        <f>_xlfn.IFNA(IF(MOD(S_normal27[[#This Row],[Indeks (base 0)]],AS$8)=ROUNDDOWN(AS$8/2,0),S_normal27[[#This Row],[X base]],""),"")</f>
        <v/>
      </c>
      <c r="BC63" s="99" t="str">
        <f t="shared" si="9"/>
        <v xml:space="preserve"> </v>
      </c>
    </row>
    <row r="64" spans="20:55" x14ac:dyDescent="0.2">
      <c r="T64" s="54">
        <f t="shared" si="0"/>
        <v>51</v>
      </c>
      <c r="U64" s="54">
        <f>S_normal[[#This Row],[Indeks (base 0)]]+1</f>
        <v>52</v>
      </c>
      <c r="V64" s="99">
        <f t="shared" si="14"/>
        <v>-1.8685125572177474</v>
      </c>
      <c r="W64" s="99">
        <f t="shared" si="2"/>
        <v>6.962663337221206E-2</v>
      </c>
      <c r="X64" s="99" t="b">
        <f>S_normal[[#This Row],[X base]]&lt;U$7</f>
        <v>1</v>
      </c>
      <c r="Y64" s="99" t="b">
        <f>S_normal[[#This Row],[X base]]&gt;U$7</f>
        <v>0</v>
      </c>
      <c r="Z64" s="99">
        <f>IF(S_normal[[#This Row],[Mindre end]],S_normal[[#This Row],[Normalfordeling]],NA())</f>
        <v>6.962663337221206E-2</v>
      </c>
      <c r="AA64" s="99" t="e">
        <f>IF(S_normal[[#This Row],[Større end]],S_normal[[#This Row],[Normalfordeling]],NA())</f>
        <v>#N/A</v>
      </c>
      <c r="AB64" s="72" t="str">
        <f>_xlfn.IFNA(IF(S_normal[[#This Row],[Indeks (base 0)]]=ROUND((ROUND(S_normal[[#This Row],[X base]],0)-U$8)/(U$9-U$8)*U$4,0),S_normal[[#This Row],[X base]]*B$6+B$5,""),"")</f>
        <v/>
      </c>
      <c r="AC64" s="99" t="str">
        <f t="shared" si="15"/>
        <v xml:space="preserve"> </v>
      </c>
      <c r="AE64" s="54">
        <f t="shared" si="4"/>
        <v>51</v>
      </c>
      <c r="AF64" s="54">
        <f>S_binomial[[#This Row],[Indeks (base 0)]]+1</f>
        <v>52</v>
      </c>
      <c r="AG64" s="99">
        <f t="shared" si="5"/>
        <v>0</v>
      </c>
      <c r="AH64" s="99">
        <f>IF(MOD(S_binomial[[#This Row],[Indeks (base 0)]],AF$7)=0,NA(),_xlfn.BINOM.DIST(S_binomial[[#This Row],[X base]],E$5,E$6,FALSE))</f>
        <v>7.529536000000004E-6</v>
      </c>
      <c r="AI64" s="99" t="b">
        <f>S_binomial[[#This Row],[X base]]&lt;AF$5</f>
        <v>1</v>
      </c>
      <c r="AJ64" s="99" t="b">
        <f>S_binomial[[#This Row],[X base]]=AF$5</f>
        <v>0</v>
      </c>
      <c r="AK64" s="99" t="b">
        <f>S_binomial[[#This Row],[X base]]&gt;AF$5</f>
        <v>0</v>
      </c>
      <c r="AL64" s="99">
        <f>IF(S_binomial[[#This Row],[Mindre end]],S_binomial[[#This Row],[Binomialfordeling]],NA())</f>
        <v>7.529536000000004E-6</v>
      </c>
      <c r="AM64" s="99" t="e">
        <f>IF(S_binomial[[#This Row],[Lig med]],S_binomial[[#This Row],[Binomialfordeling]],NA())</f>
        <v>#N/A</v>
      </c>
      <c r="AN64" s="99" t="e">
        <f>IF(S_binomial[[#This Row],[Større end]],S_binomial[[#This Row],[Binomialfordeling]],NA())</f>
        <v>#N/A</v>
      </c>
      <c r="AO64" s="85" t="str">
        <f>_xlfn.IFNA(IF(MOD(S_binomial[[#This Row],[Indeks (base 0)]],AF$7)=ROUNDDOWN(AF$7/2,0),S_binomial[[#This Row],[X base]],""),"")</f>
        <v/>
      </c>
      <c r="AP64" s="99" t="str">
        <f t="shared" si="6"/>
        <v xml:space="preserve"> </v>
      </c>
      <c r="AR64" s="54">
        <f t="shared" si="7"/>
        <v>51</v>
      </c>
      <c r="AS64" s="54">
        <f>S_normal27[[#This Row],[Indeks (base 0)]]+1</f>
        <v>52</v>
      </c>
      <c r="AT64" s="54">
        <f t="shared" si="10"/>
        <v>0</v>
      </c>
      <c r="AU64" s="54">
        <f>IF(MOD(S_normal27[[#This Row],[Indeks (base 0)]],AS$8)=0,NA(),_xlfn.POISSON.DIST(S_normal27[[#This Row],[X base]],$H$5,FALSE))</f>
        <v>4.9787068367863944E-2</v>
      </c>
      <c r="AV64" s="99" t="b">
        <f>S_normal27[[#This Row],[X base]]&lt;AS$5</f>
        <v>1</v>
      </c>
      <c r="AW64" s="99" t="b">
        <f>S_normal27[[#This Row],[X base]]=AS$5</f>
        <v>0</v>
      </c>
      <c r="AX64" s="99" t="b">
        <f>S_normal27[[#This Row],[X base]]&gt;AS$5</f>
        <v>0</v>
      </c>
      <c r="AY64" s="99">
        <f>IF(S_normal27[[#This Row],[Mindre end]],S_normal27[[#This Row],[Poissonfordeling]],NA())</f>
        <v>4.9787068367863944E-2</v>
      </c>
      <c r="AZ64" s="99" t="e">
        <f>IF(S_normal27[[#This Row],[Lig med]],S_normal27[[#This Row],[Poissonfordeling]],NA())</f>
        <v>#N/A</v>
      </c>
      <c r="BA64" s="99" t="e">
        <f>IF(S_normal27[[#This Row],[Større end]],S_normal27[[#This Row],[Poissonfordeling]],NA())</f>
        <v>#N/A</v>
      </c>
      <c r="BB64" s="85" t="str">
        <f>_xlfn.IFNA(IF(MOD(S_normal27[[#This Row],[Indeks (base 0)]],AS$8)=ROUNDDOWN(AS$8/2,0),S_normal27[[#This Row],[X base]],""),"")</f>
        <v/>
      </c>
      <c r="BC64" s="99" t="str">
        <f t="shared" si="9"/>
        <v xml:space="preserve"> </v>
      </c>
    </row>
    <row r="65" spans="20:55" x14ac:dyDescent="0.2">
      <c r="T65" s="54">
        <f t="shared" si="0"/>
        <v>52</v>
      </c>
      <c r="U65" s="54">
        <f>S_normal[[#This Row],[Indeks (base 0)]]+1</f>
        <v>53</v>
      </c>
      <c r="V65" s="99">
        <f t="shared" si="14"/>
        <v>-1.8445572680226483</v>
      </c>
      <c r="W65" s="99">
        <f t="shared" si="2"/>
        <v>7.279308673556574E-2</v>
      </c>
      <c r="X65" s="99" t="b">
        <f>S_normal[[#This Row],[X base]]&lt;U$7</f>
        <v>1</v>
      </c>
      <c r="Y65" s="99" t="b">
        <f>S_normal[[#This Row],[X base]]&gt;U$7</f>
        <v>0</v>
      </c>
      <c r="Z65" s="99">
        <f>IF(S_normal[[#This Row],[Mindre end]],S_normal[[#This Row],[Normalfordeling]],NA())</f>
        <v>7.279308673556574E-2</v>
      </c>
      <c r="AA65" s="99" t="e">
        <f>IF(S_normal[[#This Row],[Større end]],S_normal[[#This Row],[Normalfordeling]],NA())</f>
        <v>#N/A</v>
      </c>
      <c r="AB65" s="72" t="str">
        <f>_xlfn.IFNA(IF(S_normal[[#This Row],[Indeks (base 0)]]=ROUND((ROUND(S_normal[[#This Row],[X base]],0)-U$8)/(U$9-U$8)*U$4,0),S_normal[[#This Row],[X base]]*B$6+B$5,""),"")</f>
        <v/>
      </c>
      <c r="AC65" s="99" t="str">
        <f t="shared" si="15"/>
        <v xml:space="preserve"> </v>
      </c>
      <c r="AE65" s="54">
        <f t="shared" si="4"/>
        <v>52</v>
      </c>
      <c r="AF65" s="54">
        <f>S_binomial[[#This Row],[Indeks (base 0)]]+1</f>
        <v>53</v>
      </c>
      <c r="AG65" s="99">
        <f t="shared" si="5"/>
        <v>0</v>
      </c>
      <c r="AH65" s="99">
        <f>IF(MOD(S_binomial[[#This Row],[Indeks (base 0)]],AF$7)=0,NA(),_xlfn.BINOM.DIST(S_binomial[[#This Row],[X base]],E$5,E$6,FALSE))</f>
        <v>7.529536000000004E-6</v>
      </c>
      <c r="AI65" s="99" t="b">
        <f>S_binomial[[#This Row],[X base]]&lt;AF$5</f>
        <v>1</v>
      </c>
      <c r="AJ65" s="99" t="b">
        <f>S_binomial[[#This Row],[X base]]=AF$5</f>
        <v>0</v>
      </c>
      <c r="AK65" s="99" t="b">
        <f>S_binomial[[#This Row],[X base]]&gt;AF$5</f>
        <v>0</v>
      </c>
      <c r="AL65" s="99">
        <f>IF(S_binomial[[#This Row],[Mindre end]],S_binomial[[#This Row],[Binomialfordeling]],NA())</f>
        <v>7.529536000000004E-6</v>
      </c>
      <c r="AM65" s="99" t="e">
        <f>IF(S_binomial[[#This Row],[Lig med]],S_binomial[[#This Row],[Binomialfordeling]],NA())</f>
        <v>#N/A</v>
      </c>
      <c r="AN65" s="99" t="e">
        <f>IF(S_binomial[[#This Row],[Større end]],S_binomial[[#This Row],[Binomialfordeling]],NA())</f>
        <v>#N/A</v>
      </c>
      <c r="AO65" s="85" t="str">
        <f>_xlfn.IFNA(IF(MOD(S_binomial[[#This Row],[Indeks (base 0)]],AF$7)=ROUNDDOWN(AF$7/2,0),S_binomial[[#This Row],[X base]],""),"")</f>
        <v/>
      </c>
      <c r="AP65" s="99" t="str">
        <f t="shared" si="6"/>
        <v xml:space="preserve"> </v>
      </c>
      <c r="AR65" s="54">
        <f t="shared" si="7"/>
        <v>52</v>
      </c>
      <c r="AS65" s="54">
        <f>S_normal27[[#This Row],[Indeks (base 0)]]+1</f>
        <v>53</v>
      </c>
      <c r="AT65" s="54">
        <f t="shared" si="10"/>
        <v>0</v>
      </c>
      <c r="AU65" s="54">
        <f>IF(MOD(S_normal27[[#This Row],[Indeks (base 0)]],AS$8)=0,NA(),_xlfn.POISSON.DIST(S_normal27[[#This Row],[X base]],$H$5,FALSE))</f>
        <v>4.9787068367863944E-2</v>
      </c>
      <c r="AV65" s="99" t="b">
        <f>S_normal27[[#This Row],[X base]]&lt;AS$5</f>
        <v>1</v>
      </c>
      <c r="AW65" s="99" t="b">
        <f>S_normal27[[#This Row],[X base]]=AS$5</f>
        <v>0</v>
      </c>
      <c r="AX65" s="99" t="b">
        <f>S_normal27[[#This Row],[X base]]&gt;AS$5</f>
        <v>0</v>
      </c>
      <c r="AY65" s="99">
        <f>IF(S_normal27[[#This Row],[Mindre end]],S_normal27[[#This Row],[Poissonfordeling]],NA())</f>
        <v>4.9787068367863944E-2</v>
      </c>
      <c r="AZ65" s="99" t="e">
        <f>IF(S_normal27[[#This Row],[Lig med]],S_normal27[[#This Row],[Poissonfordeling]],NA())</f>
        <v>#N/A</v>
      </c>
      <c r="BA65" s="99" t="e">
        <f>IF(S_normal27[[#This Row],[Større end]],S_normal27[[#This Row],[Poissonfordeling]],NA())</f>
        <v>#N/A</v>
      </c>
      <c r="BB65" s="85" t="str">
        <f>_xlfn.IFNA(IF(MOD(S_normal27[[#This Row],[Indeks (base 0)]],AS$8)=ROUNDDOWN(AS$8/2,0),S_normal27[[#This Row],[X base]],""),"")</f>
        <v/>
      </c>
      <c r="BC65" s="99" t="str">
        <f t="shared" si="9"/>
        <v xml:space="preserve"> </v>
      </c>
    </row>
    <row r="66" spans="20:55" x14ac:dyDescent="0.2">
      <c r="T66" s="54">
        <f t="shared" si="0"/>
        <v>53</v>
      </c>
      <c r="U66" s="54">
        <f>S_normal[[#This Row],[Indeks (base 0)]]+1</f>
        <v>54</v>
      </c>
      <c r="V66" s="99">
        <f t="shared" si="14"/>
        <v>-1.8206019788275489</v>
      </c>
      <c r="W66" s="99">
        <f t="shared" si="2"/>
        <v>7.6059882914996185E-2</v>
      </c>
      <c r="X66" s="99" t="b">
        <f>S_normal[[#This Row],[X base]]&lt;U$7</f>
        <v>1</v>
      </c>
      <c r="Y66" s="99" t="b">
        <f>S_normal[[#This Row],[X base]]&gt;U$7</f>
        <v>0</v>
      </c>
      <c r="Z66" s="99">
        <f>IF(S_normal[[#This Row],[Mindre end]],S_normal[[#This Row],[Normalfordeling]],NA())</f>
        <v>7.6059882914996185E-2</v>
      </c>
      <c r="AA66" s="99" t="e">
        <f>IF(S_normal[[#This Row],[Større end]],S_normal[[#This Row],[Normalfordeling]],NA())</f>
        <v>#N/A</v>
      </c>
      <c r="AB66" s="72" t="str">
        <f>_xlfn.IFNA(IF(S_normal[[#This Row],[Indeks (base 0)]]=ROUND((ROUND(S_normal[[#This Row],[X base]],0)-U$8)/(U$9-U$8)*U$4,0),S_normal[[#This Row],[X base]]*B$6+B$5,""),"")</f>
        <v/>
      </c>
      <c r="AC66" s="99" t="str">
        <f t="shared" si="15"/>
        <v xml:space="preserve"> </v>
      </c>
      <c r="AE66" s="54">
        <f t="shared" si="4"/>
        <v>53</v>
      </c>
      <c r="AF66" s="54">
        <f>S_binomial[[#This Row],[Indeks (base 0)]]+1</f>
        <v>54</v>
      </c>
      <c r="AG66" s="99">
        <f t="shared" si="5"/>
        <v>0</v>
      </c>
      <c r="AH66" s="99">
        <f>IF(MOD(S_binomial[[#This Row],[Indeks (base 0)]],AF$7)=0,NA(),_xlfn.BINOM.DIST(S_binomial[[#This Row],[X base]],E$5,E$6,FALSE))</f>
        <v>7.529536000000004E-6</v>
      </c>
      <c r="AI66" s="99" t="b">
        <f>S_binomial[[#This Row],[X base]]&lt;AF$5</f>
        <v>1</v>
      </c>
      <c r="AJ66" s="99" t="b">
        <f>S_binomial[[#This Row],[X base]]=AF$5</f>
        <v>0</v>
      </c>
      <c r="AK66" s="99" t="b">
        <f>S_binomial[[#This Row],[X base]]&gt;AF$5</f>
        <v>0</v>
      </c>
      <c r="AL66" s="99">
        <f>IF(S_binomial[[#This Row],[Mindre end]],S_binomial[[#This Row],[Binomialfordeling]],NA())</f>
        <v>7.529536000000004E-6</v>
      </c>
      <c r="AM66" s="99" t="e">
        <f>IF(S_binomial[[#This Row],[Lig med]],S_binomial[[#This Row],[Binomialfordeling]],NA())</f>
        <v>#N/A</v>
      </c>
      <c r="AN66" s="99" t="e">
        <f>IF(S_binomial[[#This Row],[Større end]],S_binomial[[#This Row],[Binomialfordeling]],NA())</f>
        <v>#N/A</v>
      </c>
      <c r="AO66" s="85" t="str">
        <f>_xlfn.IFNA(IF(MOD(S_binomial[[#This Row],[Indeks (base 0)]],AF$7)=ROUNDDOWN(AF$7/2,0),S_binomial[[#This Row],[X base]],""),"")</f>
        <v/>
      </c>
      <c r="AP66" s="99" t="str">
        <f t="shared" si="6"/>
        <v xml:space="preserve"> </v>
      </c>
      <c r="AR66" s="54">
        <f t="shared" si="7"/>
        <v>53</v>
      </c>
      <c r="AS66" s="54">
        <f>S_normal27[[#This Row],[Indeks (base 0)]]+1</f>
        <v>54</v>
      </c>
      <c r="AT66" s="54">
        <f t="shared" si="10"/>
        <v>0</v>
      </c>
      <c r="AU66" s="54">
        <f>IF(MOD(S_normal27[[#This Row],[Indeks (base 0)]],AS$8)=0,NA(),_xlfn.POISSON.DIST(S_normal27[[#This Row],[X base]],$H$5,FALSE))</f>
        <v>4.9787068367863944E-2</v>
      </c>
      <c r="AV66" s="99" t="b">
        <f>S_normal27[[#This Row],[X base]]&lt;AS$5</f>
        <v>1</v>
      </c>
      <c r="AW66" s="99" t="b">
        <f>S_normal27[[#This Row],[X base]]=AS$5</f>
        <v>0</v>
      </c>
      <c r="AX66" s="99" t="b">
        <f>S_normal27[[#This Row],[X base]]&gt;AS$5</f>
        <v>0</v>
      </c>
      <c r="AY66" s="99">
        <f>IF(S_normal27[[#This Row],[Mindre end]],S_normal27[[#This Row],[Poissonfordeling]],NA())</f>
        <v>4.9787068367863944E-2</v>
      </c>
      <c r="AZ66" s="99" t="e">
        <f>IF(S_normal27[[#This Row],[Lig med]],S_normal27[[#This Row],[Poissonfordeling]],NA())</f>
        <v>#N/A</v>
      </c>
      <c r="BA66" s="99" t="e">
        <f>IF(S_normal27[[#This Row],[Større end]],S_normal27[[#This Row],[Poissonfordeling]],NA())</f>
        <v>#N/A</v>
      </c>
      <c r="BB66" s="85" t="str">
        <f>_xlfn.IFNA(IF(MOD(S_normal27[[#This Row],[Indeks (base 0)]],AS$8)=ROUNDDOWN(AS$8/2,0),S_normal27[[#This Row],[X base]],""),"")</f>
        <v/>
      </c>
      <c r="BC66" s="99" t="str">
        <f t="shared" si="9"/>
        <v xml:space="preserve"> </v>
      </c>
    </row>
    <row r="67" spans="20:55" x14ac:dyDescent="0.2">
      <c r="T67" s="54">
        <f t="shared" si="0"/>
        <v>54</v>
      </c>
      <c r="U67" s="54">
        <f>S_normal[[#This Row],[Indeks (base 0)]]+1</f>
        <v>55</v>
      </c>
      <c r="V67" s="99">
        <f t="shared" si="14"/>
        <v>-1.7966466896324496</v>
      </c>
      <c r="W67" s="99">
        <f t="shared" si="2"/>
        <v>7.9427692707090408E-2</v>
      </c>
      <c r="X67" s="99" t="b">
        <f>S_normal[[#This Row],[X base]]&lt;U$7</f>
        <v>1</v>
      </c>
      <c r="Y67" s="99" t="b">
        <f>S_normal[[#This Row],[X base]]&gt;U$7</f>
        <v>0</v>
      </c>
      <c r="Z67" s="99">
        <f>IF(S_normal[[#This Row],[Mindre end]],S_normal[[#This Row],[Normalfordeling]],NA())</f>
        <v>7.9427692707090408E-2</v>
      </c>
      <c r="AA67" s="99" t="e">
        <f>IF(S_normal[[#This Row],[Større end]],S_normal[[#This Row],[Normalfordeling]],NA())</f>
        <v>#N/A</v>
      </c>
      <c r="AB67" s="72" t="str">
        <f>_xlfn.IFNA(IF(S_normal[[#This Row],[Indeks (base 0)]]=ROUND((ROUND(S_normal[[#This Row],[X base]],0)-U$8)/(U$9-U$8)*U$4,0),S_normal[[#This Row],[X base]]*B$6+B$5,""),"")</f>
        <v/>
      </c>
      <c r="AC67" s="99" t="str">
        <f t="shared" si="15"/>
        <v xml:space="preserve"> </v>
      </c>
      <c r="AE67" s="54">
        <f t="shared" si="4"/>
        <v>54</v>
      </c>
      <c r="AF67" s="54">
        <f>S_binomial[[#This Row],[Indeks (base 0)]]+1</f>
        <v>55</v>
      </c>
      <c r="AG67" s="99">
        <f t="shared" si="5"/>
        <v>0</v>
      </c>
      <c r="AH67" s="99">
        <f>IF(MOD(S_binomial[[#This Row],[Indeks (base 0)]],AF$7)=0,NA(),_xlfn.BINOM.DIST(S_binomial[[#This Row],[X base]],E$5,E$6,FALSE))</f>
        <v>7.529536000000004E-6</v>
      </c>
      <c r="AI67" s="99" t="b">
        <f>S_binomial[[#This Row],[X base]]&lt;AF$5</f>
        <v>1</v>
      </c>
      <c r="AJ67" s="99" t="b">
        <f>S_binomial[[#This Row],[X base]]=AF$5</f>
        <v>0</v>
      </c>
      <c r="AK67" s="99" t="b">
        <f>S_binomial[[#This Row],[X base]]&gt;AF$5</f>
        <v>0</v>
      </c>
      <c r="AL67" s="99">
        <f>IF(S_binomial[[#This Row],[Mindre end]],S_binomial[[#This Row],[Binomialfordeling]],NA())</f>
        <v>7.529536000000004E-6</v>
      </c>
      <c r="AM67" s="99" t="e">
        <f>IF(S_binomial[[#This Row],[Lig med]],S_binomial[[#This Row],[Binomialfordeling]],NA())</f>
        <v>#N/A</v>
      </c>
      <c r="AN67" s="99" t="e">
        <f>IF(S_binomial[[#This Row],[Større end]],S_binomial[[#This Row],[Binomialfordeling]],NA())</f>
        <v>#N/A</v>
      </c>
      <c r="AO67" s="85" t="str">
        <f>_xlfn.IFNA(IF(MOD(S_binomial[[#This Row],[Indeks (base 0)]],AF$7)=ROUNDDOWN(AF$7/2,0),S_binomial[[#This Row],[X base]],""),"")</f>
        <v/>
      </c>
      <c r="AP67" s="99" t="str">
        <f t="shared" si="6"/>
        <v xml:space="preserve"> </v>
      </c>
      <c r="AR67" s="54">
        <f t="shared" si="7"/>
        <v>54</v>
      </c>
      <c r="AS67" s="54">
        <f>S_normal27[[#This Row],[Indeks (base 0)]]+1</f>
        <v>55</v>
      </c>
      <c r="AT67" s="54">
        <f t="shared" si="10"/>
        <v>0</v>
      </c>
      <c r="AU67" s="54">
        <f>IF(MOD(S_normal27[[#This Row],[Indeks (base 0)]],AS$8)=0,NA(),_xlfn.POISSON.DIST(S_normal27[[#This Row],[X base]],$H$5,FALSE))</f>
        <v>4.9787068367863944E-2</v>
      </c>
      <c r="AV67" s="99" t="b">
        <f>S_normal27[[#This Row],[X base]]&lt;AS$5</f>
        <v>1</v>
      </c>
      <c r="AW67" s="99" t="b">
        <f>S_normal27[[#This Row],[X base]]=AS$5</f>
        <v>0</v>
      </c>
      <c r="AX67" s="99" t="b">
        <f>S_normal27[[#This Row],[X base]]&gt;AS$5</f>
        <v>0</v>
      </c>
      <c r="AY67" s="99">
        <f>IF(S_normal27[[#This Row],[Mindre end]],S_normal27[[#This Row],[Poissonfordeling]],NA())</f>
        <v>4.9787068367863944E-2</v>
      </c>
      <c r="AZ67" s="99" t="e">
        <f>IF(S_normal27[[#This Row],[Lig med]],S_normal27[[#This Row],[Poissonfordeling]],NA())</f>
        <v>#N/A</v>
      </c>
      <c r="BA67" s="99" t="e">
        <f>IF(S_normal27[[#This Row],[Større end]],S_normal27[[#This Row],[Poissonfordeling]],NA())</f>
        <v>#N/A</v>
      </c>
      <c r="BB67" s="85" t="str">
        <f>_xlfn.IFNA(IF(MOD(S_normal27[[#This Row],[Indeks (base 0)]],AS$8)=ROUNDDOWN(AS$8/2,0),S_normal27[[#This Row],[X base]],""),"")</f>
        <v/>
      </c>
      <c r="BC67" s="99" t="str">
        <f t="shared" si="9"/>
        <v xml:space="preserve"> </v>
      </c>
    </row>
    <row r="68" spans="20:55" x14ac:dyDescent="0.2">
      <c r="T68" s="54">
        <f t="shared" si="0"/>
        <v>55</v>
      </c>
      <c r="U68" s="54">
        <f>S_normal[[#This Row],[Indeks (base 0)]]+1</f>
        <v>56</v>
      </c>
      <c r="V68" s="99">
        <f t="shared" si="14"/>
        <v>-1.7726914004373502</v>
      </c>
      <c r="W68" s="99">
        <f t="shared" si="2"/>
        <v>8.2897039117220475E-2</v>
      </c>
      <c r="X68" s="99" t="b">
        <f>S_normal[[#This Row],[X base]]&lt;U$7</f>
        <v>1</v>
      </c>
      <c r="Y68" s="99" t="b">
        <f>S_normal[[#This Row],[X base]]&gt;U$7</f>
        <v>0</v>
      </c>
      <c r="Z68" s="99">
        <f>IF(S_normal[[#This Row],[Mindre end]],S_normal[[#This Row],[Normalfordeling]],NA())</f>
        <v>8.2897039117220475E-2</v>
      </c>
      <c r="AA68" s="99" t="e">
        <f>IF(S_normal[[#This Row],[Større end]],S_normal[[#This Row],[Normalfordeling]],NA())</f>
        <v>#N/A</v>
      </c>
      <c r="AB68" s="72" t="str">
        <f>_xlfn.IFNA(IF(S_normal[[#This Row],[Indeks (base 0)]]=ROUND((ROUND(S_normal[[#This Row],[X base]],0)-U$8)/(U$9-U$8)*U$4,0),S_normal[[#This Row],[X base]]*B$6+B$5,""),"")</f>
        <v/>
      </c>
      <c r="AC68" s="99" t="str">
        <f t="shared" si="15"/>
        <v xml:space="preserve"> </v>
      </c>
      <c r="AE68" s="54">
        <f t="shared" si="4"/>
        <v>55</v>
      </c>
      <c r="AF68" s="54">
        <f>S_binomial[[#This Row],[Indeks (base 0)]]+1</f>
        <v>56</v>
      </c>
      <c r="AG68" s="99">
        <f t="shared" si="5"/>
        <v>0</v>
      </c>
      <c r="AH68" s="99">
        <f>IF(MOD(S_binomial[[#This Row],[Indeks (base 0)]],AF$7)=0,NA(),_xlfn.BINOM.DIST(S_binomial[[#This Row],[X base]],E$5,E$6,FALSE))</f>
        <v>7.529536000000004E-6</v>
      </c>
      <c r="AI68" s="99" t="b">
        <f>S_binomial[[#This Row],[X base]]&lt;AF$5</f>
        <v>1</v>
      </c>
      <c r="AJ68" s="99" t="b">
        <f>S_binomial[[#This Row],[X base]]=AF$5</f>
        <v>0</v>
      </c>
      <c r="AK68" s="99" t="b">
        <f>S_binomial[[#This Row],[X base]]&gt;AF$5</f>
        <v>0</v>
      </c>
      <c r="AL68" s="99">
        <f>IF(S_binomial[[#This Row],[Mindre end]],S_binomial[[#This Row],[Binomialfordeling]],NA())</f>
        <v>7.529536000000004E-6</v>
      </c>
      <c r="AM68" s="99" t="e">
        <f>IF(S_binomial[[#This Row],[Lig med]],S_binomial[[#This Row],[Binomialfordeling]],NA())</f>
        <v>#N/A</v>
      </c>
      <c r="AN68" s="99" t="e">
        <f>IF(S_binomial[[#This Row],[Større end]],S_binomial[[#This Row],[Binomialfordeling]],NA())</f>
        <v>#N/A</v>
      </c>
      <c r="AO68" s="85" t="str">
        <f>_xlfn.IFNA(IF(MOD(S_binomial[[#This Row],[Indeks (base 0)]],AF$7)=ROUNDDOWN(AF$7/2,0),S_binomial[[#This Row],[X base]],""),"")</f>
        <v/>
      </c>
      <c r="AP68" s="99" t="str">
        <f t="shared" si="6"/>
        <v xml:space="preserve"> </v>
      </c>
      <c r="AR68" s="54">
        <f t="shared" si="7"/>
        <v>55</v>
      </c>
      <c r="AS68" s="54">
        <f>S_normal27[[#This Row],[Indeks (base 0)]]+1</f>
        <v>56</v>
      </c>
      <c r="AT68" s="54">
        <f t="shared" si="10"/>
        <v>0</v>
      </c>
      <c r="AU68" s="54">
        <f>IF(MOD(S_normal27[[#This Row],[Indeks (base 0)]],AS$8)=0,NA(),_xlfn.POISSON.DIST(S_normal27[[#This Row],[X base]],$H$5,FALSE))</f>
        <v>4.9787068367863944E-2</v>
      </c>
      <c r="AV68" s="99" t="b">
        <f>S_normal27[[#This Row],[X base]]&lt;AS$5</f>
        <v>1</v>
      </c>
      <c r="AW68" s="99" t="b">
        <f>S_normal27[[#This Row],[X base]]=AS$5</f>
        <v>0</v>
      </c>
      <c r="AX68" s="99" t="b">
        <f>S_normal27[[#This Row],[X base]]&gt;AS$5</f>
        <v>0</v>
      </c>
      <c r="AY68" s="99">
        <f>IF(S_normal27[[#This Row],[Mindre end]],S_normal27[[#This Row],[Poissonfordeling]],NA())</f>
        <v>4.9787068367863944E-2</v>
      </c>
      <c r="AZ68" s="99" t="e">
        <f>IF(S_normal27[[#This Row],[Lig med]],S_normal27[[#This Row],[Poissonfordeling]],NA())</f>
        <v>#N/A</v>
      </c>
      <c r="BA68" s="99" t="e">
        <f>IF(S_normal27[[#This Row],[Større end]],S_normal27[[#This Row],[Poissonfordeling]],NA())</f>
        <v>#N/A</v>
      </c>
      <c r="BB68" s="85" t="str">
        <f>_xlfn.IFNA(IF(MOD(S_normal27[[#This Row],[Indeks (base 0)]],AS$8)=ROUNDDOWN(AS$8/2,0),S_normal27[[#This Row],[X base]],""),"")</f>
        <v/>
      </c>
      <c r="BC68" s="99" t="str">
        <f t="shared" si="9"/>
        <v xml:space="preserve"> </v>
      </c>
    </row>
    <row r="69" spans="20:55" x14ac:dyDescent="0.2">
      <c r="T69" s="54">
        <f t="shared" si="0"/>
        <v>56</v>
      </c>
      <c r="U69" s="54">
        <f>S_normal[[#This Row],[Indeks (base 0)]]+1</f>
        <v>57</v>
      </c>
      <c r="V69" s="99">
        <f t="shared" si="14"/>
        <v>-1.7487361112422508</v>
      </c>
      <c r="W69" s="99">
        <f t="shared" si="2"/>
        <v>8.6468289590491687E-2</v>
      </c>
      <c r="X69" s="99" t="b">
        <f>S_normal[[#This Row],[X base]]&lt;U$7</f>
        <v>1</v>
      </c>
      <c r="Y69" s="99" t="b">
        <f>S_normal[[#This Row],[X base]]&gt;U$7</f>
        <v>0</v>
      </c>
      <c r="Z69" s="99">
        <f>IF(S_normal[[#This Row],[Mindre end]],S_normal[[#This Row],[Normalfordeling]],NA())</f>
        <v>8.6468289590491687E-2</v>
      </c>
      <c r="AA69" s="99" t="e">
        <f>IF(S_normal[[#This Row],[Større end]],S_normal[[#This Row],[Normalfordeling]],NA())</f>
        <v>#N/A</v>
      </c>
      <c r="AB69" s="72" t="str">
        <f>_xlfn.IFNA(IF(S_normal[[#This Row],[Indeks (base 0)]]=ROUND((ROUND(S_normal[[#This Row],[X base]],0)-U$8)/(U$9-U$8)*U$4,0),S_normal[[#This Row],[X base]]*B$6+B$5,""),"")</f>
        <v/>
      </c>
      <c r="AC69" s="99" t="str">
        <f t="shared" si="15"/>
        <v xml:space="preserve"> </v>
      </c>
      <c r="AE69" s="54">
        <f t="shared" si="4"/>
        <v>56</v>
      </c>
      <c r="AF69" s="54">
        <f>S_binomial[[#This Row],[Indeks (base 0)]]+1</f>
        <v>57</v>
      </c>
      <c r="AG69" s="99">
        <f t="shared" si="5"/>
        <v>0</v>
      </c>
      <c r="AH69" s="99">
        <f>IF(MOD(S_binomial[[#This Row],[Indeks (base 0)]],AF$7)=0,NA(),_xlfn.BINOM.DIST(S_binomial[[#This Row],[X base]],E$5,E$6,FALSE))</f>
        <v>7.529536000000004E-6</v>
      </c>
      <c r="AI69" s="99" t="b">
        <f>S_binomial[[#This Row],[X base]]&lt;AF$5</f>
        <v>1</v>
      </c>
      <c r="AJ69" s="99" t="b">
        <f>S_binomial[[#This Row],[X base]]=AF$5</f>
        <v>0</v>
      </c>
      <c r="AK69" s="99" t="b">
        <f>S_binomial[[#This Row],[X base]]&gt;AF$5</f>
        <v>0</v>
      </c>
      <c r="AL69" s="99">
        <f>IF(S_binomial[[#This Row],[Mindre end]],S_binomial[[#This Row],[Binomialfordeling]],NA())</f>
        <v>7.529536000000004E-6</v>
      </c>
      <c r="AM69" s="99" t="e">
        <f>IF(S_binomial[[#This Row],[Lig med]],S_binomial[[#This Row],[Binomialfordeling]],NA())</f>
        <v>#N/A</v>
      </c>
      <c r="AN69" s="99" t="e">
        <f>IF(S_binomial[[#This Row],[Større end]],S_binomial[[#This Row],[Binomialfordeling]],NA())</f>
        <v>#N/A</v>
      </c>
      <c r="AO69" s="85" t="str">
        <f>_xlfn.IFNA(IF(MOD(S_binomial[[#This Row],[Indeks (base 0)]],AF$7)=ROUNDDOWN(AF$7/2,0),S_binomial[[#This Row],[X base]],""),"")</f>
        <v/>
      </c>
      <c r="AP69" s="99" t="str">
        <f t="shared" si="6"/>
        <v xml:space="preserve"> </v>
      </c>
      <c r="AR69" s="54">
        <f t="shared" si="7"/>
        <v>56</v>
      </c>
      <c r="AS69" s="54">
        <f>S_normal27[[#This Row],[Indeks (base 0)]]+1</f>
        <v>57</v>
      </c>
      <c r="AT69" s="54">
        <f t="shared" si="10"/>
        <v>0</v>
      </c>
      <c r="AU69" s="54">
        <f>IF(MOD(S_normal27[[#This Row],[Indeks (base 0)]],AS$8)=0,NA(),_xlfn.POISSON.DIST(S_normal27[[#This Row],[X base]],$H$5,FALSE))</f>
        <v>4.9787068367863944E-2</v>
      </c>
      <c r="AV69" s="99" t="b">
        <f>S_normal27[[#This Row],[X base]]&lt;AS$5</f>
        <v>1</v>
      </c>
      <c r="AW69" s="99" t="b">
        <f>S_normal27[[#This Row],[X base]]=AS$5</f>
        <v>0</v>
      </c>
      <c r="AX69" s="99" t="b">
        <f>S_normal27[[#This Row],[X base]]&gt;AS$5</f>
        <v>0</v>
      </c>
      <c r="AY69" s="99">
        <f>IF(S_normal27[[#This Row],[Mindre end]],S_normal27[[#This Row],[Poissonfordeling]],NA())</f>
        <v>4.9787068367863944E-2</v>
      </c>
      <c r="AZ69" s="99" t="e">
        <f>IF(S_normal27[[#This Row],[Lig med]],S_normal27[[#This Row],[Poissonfordeling]],NA())</f>
        <v>#N/A</v>
      </c>
      <c r="BA69" s="99" t="e">
        <f>IF(S_normal27[[#This Row],[Større end]],S_normal27[[#This Row],[Poissonfordeling]],NA())</f>
        <v>#N/A</v>
      </c>
      <c r="BB69" s="85" t="str">
        <f>_xlfn.IFNA(IF(MOD(S_normal27[[#This Row],[Indeks (base 0)]],AS$8)=ROUNDDOWN(AS$8/2,0),S_normal27[[#This Row],[X base]],""),"")</f>
        <v/>
      </c>
      <c r="BC69" s="99" t="str">
        <f t="shared" si="9"/>
        <v xml:space="preserve"> </v>
      </c>
    </row>
    <row r="70" spans="20:55" x14ac:dyDescent="0.2">
      <c r="T70" s="54">
        <f t="shared" si="0"/>
        <v>57</v>
      </c>
      <c r="U70" s="54">
        <f>S_normal[[#This Row],[Indeks (base 0)]]+1</f>
        <v>58</v>
      </c>
      <c r="V70" s="99">
        <f t="shared" si="14"/>
        <v>-1.7247808220471517</v>
      </c>
      <c r="W70" s="99">
        <f t="shared" si="2"/>
        <v>9.014164835694867E-2</v>
      </c>
      <c r="X70" s="99" t="b">
        <f>S_normal[[#This Row],[X base]]&lt;U$7</f>
        <v>1</v>
      </c>
      <c r="Y70" s="99" t="b">
        <f>S_normal[[#This Row],[X base]]&gt;U$7</f>
        <v>0</v>
      </c>
      <c r="Z70" s="99">
        <f>IF(S_normal[[#This Row],[Mindre end]],S_normal[[#This Row],[Normalfordeling]],NA())</f>
        <v>9.014164835694867E-2</v>
      </c>
      <c r="AA70" s="99" t="e">
        <f>IF(S_normal[[#This Row],[Større end]],S_normal[[#This Row],[Normalfordeling]],NA())</f>
        <v>#N/A</v>
      </c>
      <c r="AB70" s="72" t="str">
        <f>_xlfn.IFNA(IF(S_normal[[#This Row],[Indeks (base 0)]]=ROUND((ROUND(S_normal[[#This Row],[X base]],0)-U$8)/(U$9-U$8)*U$4,0),S_normal[[#This Row],[X base]]*B$6+B$5,""),"")</f>
        <v/>
      </c>
      <c r="AC70" s="99" t="str">
        <f t="shared" si="15"/>
        <v xml:space="preserve"> </v>
      </c>
      <c r="AE70" s="54">
        <f t="shared" si="4"/>
        <v>57</v>
      </c>
      <c r="AF70" s="54">
        <f>S_binomial[[#This Row],[Indeks (base 0)]]+1</f>
        <v>58</v>
      </c>
      <c r="AG70" s="99">
        <f t="shared" si="5"/>
        <v>0</v>
      </c>
      <c r="AH70" s="99">
        <f>IF(MOD(S_binomial[[#This Row],[Indeks (base 0)]],AF$7)=0,NA(),_xlfn.BINOM.DIST(S_binomial[[#This Row],[X base]],E$5,E$6,FALSE))</f>
        <v>7.529536000000004E-6</v>
      </c>
      <c r="AI70" s="99" t="b">
        <f>S_binomial[[#This Row],[X base]]&lt;AF$5</f>
        <v>1</v>
      </c>
      <c r="AJ70" s="99" t="b">
        <f>S_binomial[[#This Row],[X base]]=AF$5</f>
        <v>0</v>
      </c>
      <c r="AK70" s="99" t="b">
        <f>S_binomial[[#This Row],[X base]]&gt;AF$5</f>
        <v>0</v>
      </c>
      <c r="AL70" s="99">
        <f>IF(S_binomial[[#This Row],[Mindre end]],S_binomial[[#This Row],[Binomialfordeling]],NA())</f>
        <v>7.529536000000004E-6</v>
      </c>
      <c r="AM70" s="99" t="e">
        <f>IF(S_binomial[[#This Row],[Lig med]],S_binomial[[#This Row],[Binomialfordeling]],NA())</f>
        <v>#N/A</v>
      </c>
      <c r="AN70" s="99" t="e">
        <f>IF(S_binomial[[#This Row],[Større end]],S_binomial[[#This Row],[Binomialfordeling]],NA())</f>
        <v>#N/A</v>
      </c>
      <c r="AO70" s="85" t="str">
        <f>_xlfn.IFNA(IF(MOD(S_binomial[[#This Row],[Indeks (base 0)]],AF$7)=ROUNDDOWN(AF$7/2,0),S_binomial[[#This Row],[X base]],""),"")</f>
        <v/>
      </c>
      <c r="AP70" s="99" t="str">
        <f t="shared" si="6"/>
        <v xml:space="preserve"> </v>
      </c>
      <c r="AR70" s="54">
        <f t="shared" si="7"/>
        <v>57</v>
      </c>
      <c r="AS70" s="54">
        <f>S_normal27[[#This Row],[Indeks (base 0)]]+1</f>
        <v>58</v>
      </c>
      <c r="AT70" s="54">
        <f t="shared" si="10"/>
        <v>0</v>
      </c>
      <c r="AU70" s="54">
        <f>IF(MOD(S_normal27[[#This Row],[Indeks (base 0)]],AS$8)=0,NA(),_xlfn.POISSON.DIST(S_normal27[[#This Row],[X base]],$H$5,FALSE))</f>
        <v>4.9787068367863944E-2</v>
      </c>
      <c r="AV70" s="99" t="b">
        <f>S_normal27[[#This Row],[X base]]&lt;AS$5</f>
        <v>1</v>
      </c>
      <c r="AW70" s="99" t="b">
        <f>S_normal27[[#This Row],[X base]]=AS$5</f>
        <v>0</v>
      </c>
      <c r="AX70" s="99" t="b">
        <f>S_normal27[[#This Row],[X base]]&gt;AS$5</f>
        <v>0</v>
      </c>
      <c r="AY70" s="99">
        <f>IF(S_normal27[[#This Row],[Mindre end]],S_normal27[[#This Row],[Poissonfordeling]],NA())</f>
        <v>4.9787068367863944E-2</v>
      </c>
      <c r="AZ70" s="99" t="e">
        <f>IF(S_normal27[[#This Row],[Lig med]],S_normal27[[#This Row],[Poissonfordeling]],NA())</f>
        <v>#N/A</v>
      </c>
      <c r="BA70" s="99" t="e">
        <f>IF(S_normal27[[#This Row],[Større end]],S_normal27[[#This Row],[Poissonfordeling]],NA())</f>
        <v>#N/A</v>
      </c>
      <c r="BB70" s="85" t="str">
        <f>_xlfn.IFNA(IF(MOD(S_normal27[[#This Row],[Indeks (base 0)]],AS$8)=ROUNDDOWN(AS$8/2,0),S_normal27[[#This Row],[X base]],""),"")</f>
        <v/>
      </c>
      <c r="BC70" s="99" t="str">
        <f t="shared" si="9"/>
        <v xml:space="preserve"> </v>
      </c>
    </row>
    <row r="71" spans="20:55" x14ac:dyDescent="0.2">
      <c r="T71" s="54">
        <f t="shared" si="0"/>
        <v>58</v>
      </c>
      <c r="U71" s="54">
        <f>S_normal[[#This Row],[Indeks (base 0)]]+1</f>
        <v>59</v>
      </c>
      <c r="V71" s="99">
        <f t="shared" si="14"/>
        <v>-1.7008255328520523</v>
      </c>
      <c r="W71" s="99">
        <f t="shared" si="2"/>
        <v>9.3917148922940161E-2</v>
      </c>
      <c r="X71" s="99" t="b">
        <f>S_normal[[#This Row],[X base]]&lt;U$7</f>
        <v>1</v>
      </c>
      <c r="Y71" s="99" t="b">
        <f>S_normal[[#This Row],[X base]]&gt;U$7</f>
        <v>0</v>
      </c>
      <c r="Z71" s="99">
        <f>IF(S_normal[[#This Row],[Mindre end]],S_normal[[#This Row],[Normalfordeling]],NA())</f>
        <v>9.3917148922940161E-2</v>
      </c>
      <c r="AA71" s="99" t="e">
        <f>IF(S_normal[[#This Row],[Større end]],S_normal[[#This Row],[Normalfordeling]],NA())</f>
        <v>#N/A</v>
      </c>
      <c r="AB71" s="72" t="str">
        <f>_xlfn.IFNA(IF(S_normal[[#This Row],[Indeks (base 0)]]=ROUND((ROUND(S_normal[[#This Row],[X base]],0)-U$8)/(U$9-U$8)*U$4,0),S_normal[[#This Row],[X base]]*B$6+B$5,""),"")</f>
        <v/>
      </c>
      <c r="AC71" s="99" t="str">
        <f t="shared" si="15"/>
        <v xml:space="preserve"> </v>
      </c>
      <c r="AE71" s="54">
        <f t="shared" si="4"/>
        <v>58</v>
      </c>
      <c r="AF71" s="54">
        <f>S_binomial[[#This Row],[Indeks (base 0)]]+1</f>
        <v>59</v>
      </c>
      <c r="AG71" s="99">
        <f t="shared" si="5"/>
        <v>0</v>
      </c>
      <c r="AH71" s="99">
        <f>IF(MOD(S_binomial[[#This Row],[Indeks (base 0)]],AF$7)=0,NA(),_xlfn.BINOM.DIST(S_binomial[[#This Row],[X base]],E$5,E$6,FALSE))</f>
        <v>7.529536000000004E-6</v>
      </c>
      <c r="AI71" s="99" t="b">
        <f>S_binomial[[#This Row],[X base]]&lt;AF$5</f>
        <v>1</v>
      </c>
      <c r="AJ71" s="99" t="b">
        <f>S_binomial[[#This Row],[X base]]=AF$5</f>
        <v>0</v>
      </c>
      <c r="AK71" s="99" t="b">
        <f>S_binomial[[#This Row],[X base]]&gt;AF$5</f>
        <v>0</v>
      </c>
      <c r="AL71" s="99">
        <f>IF(S_binomial[[#This Row],[Mindre end]],S_binomial[[#This Row],[Binomialfordeling]],NA())</f>
        <v>7.529536000000004E-6</v>
      </c>
      <c r="AM71" s="99" t="e">
        <f>IF(S_binomial[[#This Row],[Lig med]],S_binomial[[#This Row],[Binomialfordeling]],NA())</f>
        <v>#N/A</v>
      </c>
      <c r="AN71" s="99" t="e">
        <f>IF(S_binomial[[#This Row],[Større end]],S_binomial[[#This Row],[Binomialfordeling]],NA())</f>
        <v>#N/A</v>
      </c>
      <c r="AO71" s="85" t="str">
        <f>_xlfn.IFNA(IF(MOD(S_binomial[[#This Row],[Indeks (base 0)]],AF$7)=ROUNDDOWN(AF$7/2,0),S_binomial[[#This Row],[X base]],""),"")</f>
        <v/>
      </c>
      <c r="AP71" s="99" t="str">
        <f t="shared" si="6"/>
        <v xml:space="preserve"> </v>
      </c>
      <c r="AR71" s="54">
        <f t="shared" si="7"/>
        <v>58</v>
      </c>
      <c r="AS71" s="54">
        <f>S_normal27[[#This Row],[Indeks (base 0)]]+1</f>
        <v>59</v>
      </c>
      <c r="AT71" s="54">
        <f t="shared" si="10"/>
        <v>0</v>
      </c>
      <c r="AU71" s="54">
        <f>IF(MOD(S_normal27[[#This Row],[Indeks (base 0)]],AS$8)=0,NA(),_xlfn.POISSON.DIST(S_normal27[[#This Row],[X base]],$H$5,FALSE))</f>
        <v>4.9787068367863944E-2</v>
      </c>
      <c r="AV71" s="99" t="b">
        <f>S_normal27[[#This Row],[X base]]&lt;AS$5</f>
        <v>1</v>
      </c>
      <c r="AW71" s="99" t="b">
        <f>S_normal27[[#This Row],[X base]]=AS$5</f>
        <v>0</v>
      </c>
      <c r="AX71" s="99" t="b">
        <f>S_normal27[[#This Row],[X base]]&gt;AS$5</f>
        <v>0</v>
      </c>
      <c r="AY71" s="99">
        <f>IF(S_normal27[[#This Row],[Mindre end]],S_normal27[[#This Row],[Poissonfordeling]],NA())</f>
        <v>4.9787068367863944E-2</v>
      </c>
      <c r="AZ71" s="99" t="e">
        <f>IF(S_normal27[[#This Row],[Lig med]],S_normal27[[#This Row],[Poissonfordeling]],NA())</f>
        <v>#N/A</v>
      </c>
      <c r="BA71" s="99" t="e">
        <f>IF(S_normal27[[#This Row],[Større end]],S_normal27[[#This Row],[Poissonfordeling]],NA())</f>
        <v>#N/A</v>
      </c>
      <c r="BB71" s="85" t="str">
        <f>_xlfn.IFNA(IF(MOD(S_normal27[[#This Row],[Indeks (base 0)]],AS$8)=ROUNDDOWN(AS$8/2,0),S_normal27[[#This Row],[X base]],""),"")</f>
        <v/>
      </c>
      <c r="BC71" s="99" t="str">
        <f t="shared" si="9"/>
        <v xml:space="preserve"> </v>
      </c>
    </row>
    <row r="72" spans="20:55" x14ac:dyDescent="0.2">
      <c r="T72" s="54">
        <f t="shared" si="0"/>
        <v>59</v>
      </c>
      <c r="U72" s="54">
        <f>S_normal[[#This Row],[Indeks (base 0)]]+1</f>
        <v>60</v>
      </c>
      <c r="V72" s="99">
        <f t="shared" si="14"/>
        <v>-1.6768702436569529</v>
      </c>
      <c r="W72" s="99">
        <f t="shared" si="2"/>
        <v>9.7794646741325916E-2</v>
      </c>
      <c r="X72" s="99" t="b">
        <f>S_normal[[#This Row],[X base]]&lt;U$7</f>
        <v>1</v>
      </c>
      <c r="Y72" s="99" t="b">
        <f>S_normal[[#This Row],[X base]]&gt;U$7</f>
        <v>0</v>
      </c>
      <c r="Z72" s="99">
        <f>IF(S_normal[[#This Row],[Mindre end]],S_normal[[#This Row],[Normalfordeling]],NA())</f>
        <v>9.7794646741325916E-2</v>
      </c>
      <c r="AA72" s="99" t="e">
        <f>IF(S_normal[[#This Row],[Større end]],S_normal[[#This Row],[Normalfordeling]],NA())</f>
        <v>#N/A</v>
      </c>
      <c r="AB72" s="72" t="str">
        <f>_xlfn.IFNA(IF(S_normal[[#This Row],[Indeks (base 0)]]=ROUND((ROUND(S_normal[[#This Row],[X base]],0)-U$8)/(U$9-U$8)*U$4,0),S_normal[[#This Row],[X base]]*B$6+B$5,""),"")</f>
        <v/>
      </c>
      <c r="AC72" s="99" t="str">
        <f t="shared" si="15"/>
        <v xml:space="preserve"> </v>
      </c>
      <c r="AE72" s="54">
        <f t="shared" si="4"/>
        <v>59</v>
      </c>
      <c r="AF72" s="54">
        <f>S_binomial[[#This Row],[Indeks (base 0)]]+1</f>
        <v>60</v>
      </c>
      <c r="AG72" s="99">
        <f t="shared" si="5"/>
        <v>0</v>
      </c>
      <c r="AH72" s="99">
        <f>IF(MOD(S_binomial[[#This Row],[Indeks (base 0)]],AF$7)=0,NA(),_xlfn.BINOM.DIST(S_binomial[[#This Row],[X base]],E$5,E$6,FALSE))</f>
        <v>7.529536000000004E-6</v>
      </c>
      <c r="AI72" s="99" t="b">
        <f>S_binomial[[#This Row],[X base]]&lt;AF$5</f>
        <v>1</v>
      </c>
      <c r="AJ72" s="99" t="b">
        <f>S_binomial[[#This Row],[X base]]=AF$5</f>
        <v>0</v>
      </c>
      <c r="AK72" s="99" t="b">
        <f>S_binomial[[#This Row],[X base]]&gt;AF$5</f>
        <v>0</v>
      </c>
      <c r="AL72" s="99">
        <f>IF(S_binomial[[#This Row],[Mindre end]],S_binomial[[#This Row],[Binomialfordeling]],NA())</f>
        <v>7.529536000000004E-6</v>
      </c>
      <c r="AM72" s="99" t="e">
        <f>IF(S_binomial[[#This Row],[Lig med]],S_binomial[[#This Row],[Binomialfordeling]],NA())</f>
        <v>#N/A</v>
      </c>
      <c r="AN72" s="99" t="e">
        <f>IF(S_binomial[[#This Row],[Større end]],S_binomial[[#This Row],[Binomialfordeling]],NA())</f>
        <v>#N/A</v>
      </c>
      <c r="AO72" s="85" t="str">
        <f>_xlfn.IFNA(IF(MOD(S_binomial[[#This Row],[Indeks (base 0)]],AF$7)=ROUNDDOWN(AF$7/2,0),S_binomial[[#This Row],[X base]],""),"")</f>
        <v/>
      </c>
      <c r="AP72" s="99" t="str">
        <f t="shared" si="6"/>
        <v xml:space="preserve"> </v>
      </c>
      <c r="AR72" s="54">
        <f t="shared" si="7"/>
        <v>59</v>
      </c>
      <c r="AS72" s="54">
        <f>S_normal27[[#This Row],[Indeks (base 0)]]+1</f>
        <v>60</v>
      </c>
      <c r="AT72" s="54">
        <f t="shared" si="10"/>
        <v>0</v>
      </c>
      <c r="AU72" s="54">
        <f>IF(MOD(S_normal27[[#This Row],[Indeks (base 0)]],AS$8)=0,NA(),_xlfn.POISSON.DIST(S_normal27[[#This Row],[X base]],$H$5,FALSE))</f>
        <v>4.9787068367863944E-2</v>
      </c>
      <c r="AV72" s="99" t="b">
        <f>S_normal27[[#This Row],[X base]]&lt;AS$5</f>
        <v>1</v>
      </c>
      <c r="AW72" s="99" t="b">
        <f>S_normal27[[#This Row],[X base]]=AS$5</f>
        <v>0</v>
      </c>
      <c r="AX72" s="99" t="b">
        <f>S_normal27[[#This Row],[X base]]&gt;AS$5</f>
        <v>0</v>
      </c>
      <c r="AY72" s="99">
        <f>IF(S_normal27[[#This Row],[Mindre end]],S_normal27[[#This Row],[Poissonfordeling]],NA())</f>
        <v>4.9787068367863944E-2</v>
      </c>
      <c r="AZ72" s="99" t="e">
        <f>IF(S_normal27[[#This Row],[Lig med]],S_normal27[[#This Row],[Poissonfordeling]],NA())</f>
        <v>#N/A</v>
      </c>
      <c r="BA72" s="99" t="e">
        <f>IF(S_normal27[[#This Row],[Større end]],S_normal27[[#This Row],[Poissonfordeling]],NA())</f>
        <v>#N/A</v>
      </c>
      <c r="BB72" s="85" t="str">
        <f>_xlfn.IFNA(IF(MOD(S_normal27[[#This Row],[Indeks (base 0)]],AS$8)=ROUNDDOWN(AS$8/2,0),S_normal27[[#This Row],[X base]],""),"")</f>
        <v/>
      </c>
      <c r="BC72" s="99" t="str">
        <f t="shared" si="9"/>
        <v xml:space="preserve"> </v>
      </c>
    </row>
    <row r="73" spans="20:55" x14ac:dyDescent="0.2">
      <c r="T73" s="54">
        <f t="shared" si="0"/>
        <v>60</v>
      </c>
      <c r="U73" s="54">
        <f>S_normal[[#This Row],[Indeks (base 0)]]+1</f>
        <v>61</v>
      </c>
      <c r="V73" s="99">
        <f t="shared" si="14"/>
        <v>-1.6529149544618535</v>
      </c>
      <c r="W73" s="99">
        <f t="shared" si="2"/>
        <v>0.10177381209387595</v>
      </c>
      <c r="X73" s="99" t="b">
        <f>S_normal[[#This Row],[X base]]&lt;U$7</f>
        <v>1</v>
      </c>
      <c r="Y73" s="99" t="b">
        <f>S_normal[[#This Row],[X base]]&gt;U$7</f>
        <v>0</v>
      </c>
      <c r="Z73" s="99">
        <f>IF(S_normal[[#This Row],[Mindre end]],S_normal[[#This Row],[Normalfordeling]],NA())</f>
        <v>0.10177381209387595</v>
      </c>
      <c r="AA73" s="99" t="e">
        <f>IF(S_normal[[#This Row],[Større end]],S_normal[[#This Row],[Normalfordeling]],NA())</f>
        <v>#N/A</v>
      </c>
      <c r="AB73" s="72" t="str">
        <f>_xlfn.IFNA(IF(S_normal[[#This Row],[Indeks (base 0)]]=ROUND((ROUND(S_normal[[#This Row],[X base]],0)-U$8)/(U$9-U$8)*U$4,0),S_normal[[#This Row],[X base]]*B$6+B$5,""),"")</f>
        <v/>
      </c>
      <c r="AC73" s="99" t="str">
        <f t="shared" si="15"/>
        <v xml:space="preserve"> </v>
      </c>
      <c r="AE73" s="54">
        <f t="shared" si="4"/>
        <v>60</v>
      </c>
      <c r="AF73" s="54">
        <f>S_binomial[[#This Row],[Indeks (base 0)]]+1</f>
        <v>61</v>
      </c>
      <c r="AG73" s="99">
        <f t="shared" si="5"/>
        <v>0</v>
      </c>
      <c r="AH73" s="99">
        <f>IF(MOD(S_binomial[[#This Row],[Indeks (base 0)]],AF$7)=0,NA(),_xlfn.BINOM.DIST(S_binomial[[#This Row],[X base]],E$5,E$6,FALSE))</f>
        <v>7.529536000000004E-6</v>
      </c>
      <c r="AI73" s="99" t="b">
        <f>S_binomial[[#This Row],[X base]]&lt;AF$5</f>
        <v>1</v>
      </c>
      <c r="AJ73" s="99" t="b">
        <f>S_binomial[[#This Row],[X base]]=AF$5</f>
        <v>0</v>
      </c>
      <c r="AK73" s="99" t="b">
        <f>S_binomial[[#This Row],[X base]]&gt;AF$5</f>
        <v>0</v>
      </c>
      <c r="AL73" s="99">
        <f>IF(S_binomial[[#This Row],[Mindre end]],S_binomial[[#This Row],[Binomialfordeling]],NA())</f>
        <v>7.529536000000004E-6</v>
      </c>
      <c r="AM73" s="99" t="e">
        <f>IF(S_binomial[[#This Row],[Lig med]],S_binomial[[#This Row],[Binomialfordeling]],NA())</f>
        <v>#N/A</v>
      </c>
      <c r="AN73" s="99" t="e">
        <f>IF(S_binomial[[#This Row],[Større end]],S_binomial[[#This Row],[Binomialfordeling]],NA())</f>
        <v>#N/A</v>
      </c>
      <c r="AO73" s="85" t="str">
        <f>_xlfn.IFNA(IF(MOD(S_binomial[[#This Row],[Indeks (base 0)]],AF$7)=ROUNDDOWN(AF$7/2,0),S_binomial[[#This Row],[X base]],""),"")</f>
        <v/>
      </c>
      <c r="AP73" s="99" t="str">
        <f t="shared" si="6"/>
        <v xml:space="preserve"> </v>
      </c>
      <c r="AR73" s="54">
        <f t="shared" si="7"/>
        <v>60</v>
      </c>
      <c r="AS73" s="54">
        <f>S_normal27[[#This Row],[Indeks (base 0)]]+1</f>
        <v>61</v>
      </c>
      <c r="AT73" s="54">
        <f t="shared" si="10"/>
        <v>0</v>
      </c>
      <c r="AU73" s="54">
        <f>IF(MOD(S_normal27[[#This Row],[Indeks (base 0)]],AS$8)=0,NA(),_xlfn.POISSON.DIST(S_normal27[[#This Row],[X base]],$H$5,FALSE))</f>
        <v>4.9787068367863944E-2</v>
      </c>
      <c r="AV73" s="99" t="b">
        <f>S_normal27[[#This Row],[X base]]&lt;AS$5</f>
        <v>1</v>
      </c>
      <c r="AW73" s="99" t="b">
        <f>S_normal27[[#This Row],[X base]]=AS$5</f>
        <v>0</v>
      </c>
      <c r="AX73" s="99" t="b">
        <f>S_normal27[[#This Row],[X base]]&gt;AS$5</f>
        <v>0</v>
      </c>
      <c r="AY73" s="99">
        <f>IF(S_normal27[[#This Row],[Mindre end]],S_normal27[[#This Row],[Poissonfordeling]],NA())</f>
        <v>4.9787068367863944E-2</v>
      </c>
      <c r="AZ73" s="99" t="e">
        <f>IF(S_normal27[[#This Row],[Lig med]],S_normal27[[#This Row],[Poissonfordeling]],NA())</f>
        <v>#N/A</v>
      </c>
      <c r="BA73" s="99" t="e">
        <f>IF(S_normal27[[#This Row],[Større end]],S_normal27[[#This Row],[Poissonfordeling]],NA())</f>
        <v>#N/A</v>
      </c>
      <c r="BB73" s="85" t="str">
        <f>_xlfn.IFNA(IF(MOD(S_normal27[[#This Row],[Indeks (base 0)]],AS$8)=ROUNDDOWN(AS$8/2,0),S_normal27[[#This Row],[X base]],""),"")</f>
        <v/>
      </c>
      <c r="BC73" s="99" t="str">
        <f t="shared" si="9"/>
        <v xml:space="preserve"> </v>
      </c>
    </row>
    <row r="74" spans="20:55" x14ac:dyDescent="0.2">
      <c r="T74" s="54">
        <f t="shared" si="0"/>
        <v>61</v>
      </c>
      <c r="U74" s="54">
        <f>S_normal[[#This Row],[Indeks (base 0)]]+1</f>
        <v>62</v>
      </c>
      <c r="V74" s="99">
        <f t="shared" si="14"/>
        <v>-1.6289596652667542</v>
      </c>
      <c r="W74" s="99">
        <f t="shared" si="2"/>
        <v>0.10585412321974697</v>
      </c>
      <c r="X74" s="99" t="b">
        <f>S_normal[[#This Row],[X base]]&lt;U$7</f>
        <v>1</v>
      </c>
      <c r="Y74" s="99" t="b">
        <f>S_normal[[#This Row],[X base]]&gt;U$7</f>
        <v>0</v>
      </c>
      <c r="Z74" s="99">
        <f>IF(S_normal[[#This Row],[Mindre end]],S_normal[[#This Row],[Normalfordeling]],NA())</f>
        <v>0.10585412321974697</v>
      </c>
      <c r="AA74" s="99" t="e">
        <f>IF(S_normal[[#This Row],[Større end]],S_normal[[#This Row],[Normalfordeling]],NA())</f>
        <v>#N/A</v>
      </c>
      <c r="AB74" s="72" t="str">
        <f>_xlfn.IFNA(IF(S_normal[[#This Row],[Indeks (base 0)]]=ROUND((ROUND(S_normal[[#This Row],[X base]],0)-U$8)/(U$9-U$8)*U$4,0),S_normal[[#This Row],[X base]]*B$6+B$5,""),"")</f>
        <v/>
      </c>
      <c r="AC74" s="99" t="str">
        <f t="shared" si="15"/>
        <v xml:space="preserve"> </v>
      </c>
      <c r="AE74" s="54">
        <f t="shared" si="4"/>
        <v>61</v>
      </c>
      <c r="AF74" s="54">
        <f>S_binomial[[#This Row],[Indeks (base 0)]]+1</f>
        <v>62</v>
      </c>
      <c r="AG74" s="99">
        <f t="shared" si="5"/>
        <v>0</v>
      </c>
      <c r="AH74" s="99">
        <f>IF(MOD(S_binomial[[#This Row],[Indeks (base 0)]],AF$7)=0,NA(),_xlfn.BINOM.DIST(S_binomial[[#This Row],[X base]],E$5,E$6,FALSE))</f>
        <v>7.529536000000004E-6</v>
      </c>
      <c r="AI74" s="99" t="b">
        <f>S_binomial[[#This Row],[X base]]&lt;AF$5</f>
        <v>1</v>
      </c>
      <c r="AJ74" s="99" t="b">
        <f>S_binomial[[#This Row],[X base]]=AF$5</f>
        <v>0</v>
      </c>
      <c r="AK74" s="99" t="b">
        <f>S_binomial[[#This Row],[X base]]&gt;AF$5</f>
        <v>0</v>
      </c>
      <c r="AL74" s="99">
        <f>IF(S_binomial[[#This Row],[Mindre end]],S_binomial[[#This Row],[Binomialfordeling]],NA())</f>
        <v>7.529536000000004E-6</v>
      </c>
      <c r="AM74" s="99" t="e">
        <f>IF(S_binomial[[#This Row],[Lig med]],S_binomial[[#This Row],[Binomialfordeling]],NA())</f>
        <v>#N/A</v>
      </c>
      <c r="AN74" s="99" t="e">
        <f>IF(S_binomial[[#This Row],[Større end]],S_binomial[[#This Row],[Binomialfordeling]],NA())</f>
        <v>#N/A</v>
      </c>
      <c r="AO74" s="85" t="str">
        <f>_xlfn.IFNA(IF(MOD(S_binomial[[#This Row],[Indeks (base 0)]],AF$7)=ROUNDDOWN(AF$7/2,0),S_binomial[[#This Row],[X base]],""),"")</f>
        <v/>
      </c>
      <c r="AP74" s="99" t="str">
        <f t="shared" si="6"/>
        <v xml:space="preserve"> </v>
      </c>
      <c r="AR74" s="54">
        <f t="shared" si="7"/>
        <v>61</v>
      </c>
      <c r="AS74" s="54">
        <f>S_normal27[[#This Row],[Indeks (base 0)]]+1</f>
        <v>62</v>
      </c>
      <c r="AT74" s="54">
        <f t="shared" si="10"/>
        <v>0</v>
      </c>
      <c r="AU74" s="54">
        <f>IF(MOD(S_normal27[[#This Row],[Indeks (base 0)]],AS$8)=0,NA(),_xlfn.POISSON.DIST(S_normal27[[#This Row],[X base]],$H$5,FALSE))</f>
        <v>4.9787068367863944E-2</v>
      </c>
      <c r="AV74" s="99" t="b">
        <f>S_normal27[[#This Row],[X base]]&lt;AS$5</f>
        <v>1</v>
      </c>
      <c r="AW74" s="99" t="b">
        <f>S_normal27[[#This Row],[X base]]=AS$5</f>
        <v>0</v>
      </c>
      <c r="AX74" s="99" t="b">
        <f>S_normal27[[#This Row],[X base]]&gt;AS$5</f>
        <v>0</v>
      </c>
      <c r="AY74" s="99">
        <f>IF(S_normal27[[#This Row],[Mindre end]],S_normal27[[#This Row],[Poissonfordeling]],NA())</f>
        <v>4.9787068367863944E-2</v>
      </c>
      <c r="AZ74" s="99" t="e">
        <f>IF(S_normal27[[#This Row],[Lig med]],S_normal27[[#This Row],[Poissonfordeling]],NA())</f>
        <v>#N/A</v>
      </c>
      <c r="BA74" s="99" t="e">
        <f>IF(S_normal27[[#This Row],[Større end]],S_normal27[[#This Row],[Poissonfordeling]],NA())</f>
        <v>#N/A</v>
      </c>
      <c r="BB74" s="85" t="str">
        <f>_xlfn.IFNA(IF(MOD(S_normal27[[#This Row],[Indeks (base 0)]],AS$8)=ROUNDDOWN(AS$8/2,0),S_normal27[[#This Row],[X base]],""),"")</f>
        <v/>
      </c>
      <c r="BC74" s="99" t="str">
        <f t="shared" si="9"/>
        <v xml:space="preserve"> </v>
      </c>
    </row>
    <row r="75" spans="20:55" x14ac:dyDescent="0.2">
      <c r="T75" s="54">
        <f t="shared" si="0"/>
        <v>62</v>
      </c>
      <c r="U75" s="54">
        <f>S_normal[[#This Row],[Indeks (base 0)]]+1</f>
        <v>63</v>
      </c>
      <c r="V75" s="99">
        <f t="shared" si="14"/>
        <v>-1.605004376071655</v>
      </c>
      <c r="W75" s="99">
        <f t="shared" si="2"/>
        <v>0.11003485972432274</v>
      </c>
      <c r="X75" s="99" t="b">
        <f>S_normal[[#This Row],[X base]]&lt;U$7</f>
        <v>1</v>
      </c>
      <c r="Y75" s="99" t="b">
        <f>S_normal[[#This Row],[X base]]&gt;U$7</f>
        <v>0</v>
      </c>
      <c r="Z75" s="99">
        <f>IF(S_normal[[#This Row],[Mindre end]],S_normal[[#This Row],[Normalfordeling]],NA())</f>
        <v>0.11003485972432274</v>
      </c>
      <c r="AA75" s="99" t="e">
        <f>IF(S_normal[[#This Row],[Større end]],S_normal[[#This Row],[Normalfordeling]],NA())</f>
        <v>#N/A</v>
      </c>
      <c r="AB75" s="72" t="str">
        <f>_xlfn.IFNA(IF(S_normal[[#This Row],[Indeks (base 0)]]=ROUND((ROUND(S_normal[[#This Row],[X base]],0)-U$8)/(U$9-U$8)*U$4,0),S_normal[[#This Row],[X base]]*B$6+B$5,""),"")</f>
        <v/>
      </c>
      <c r="AC75" s="99" t="str">
        <f t="shared" si="15"/>
        <v xml:space="preserve"> </v>
      </c>
      <c r="AE75" s="54">
        <f t="shared" si="4"/>
        <v>62</v>
      </c>
      <c r="AF75" s="54">
        <f>S_binomial[[#This Row],[Indeks (base 0)]]+1</f>
        <v>63</v>
      </c>
      <c r="AG75" s="99">
        <f t="shared" si="5"/>
        <v>0</v>
      </c>
      <c r="AH75" s="99">
        <f>IF(MOD(S_binomial[[#This Row],[Indeks (base 0)]],AF$7)=0,NA(),_xlfn.BINOM.DIST(S_binomial[[#This Row],[X base]],E$5,E$6,FALSE))</f>
        <v>7.529536000000004E-6</v>
      </c>
      <c r="AI75" s="99" t="b">
        <f>S_binomial[[#This Row],[X base]]&lt;AF$5</f>
        <v>1</v>
      </c>
      <c r="AJ75" s="99" t="b">
        <f>S_binomial[[#This Row],[X base]]=AF$5</f>
        <v>0</v>
      </c>
      <c r="AK75" s="99" t="b">
        <f>S_binomial[[#This Row],[X base]]&gt;AF$5</f>
        <v>0</v>
      </c>
      <c r="AL75" s="99">
        <f>IF(S_binomial[[#This Row],[Mindre end]],S_binomial[[#This Row],[Binomialfordeling]],NA())</f>
        <v>7.529536000000004E-6</v>
      </c>
      <c r="AM75" s="99" t="e">
        <f>IF(S_binomial[[#This Row],[Lig med]],S_binomial[[#This Row],[Binomialfordeling]],NA())</f>
        <v>#N/A</v>
      </c>
      <c r="AN75" s="99" t="e">
        <f>IF(S_binomial[[#This Row],[Større end]],S_binomial[[#This Row],[Binomialfordeling]],NA())</f>
        <v>#N/A</v>
      </c>
      <c r="AO75" s="85" t="str">
        <f>_xlfn.IFNA(IF(MOD(S_binomial[[#This Row],[Indeks (base 0)]],AF$7)=ROUNDDOWN(AF$7/2,0),S_binomial[[#This Row],[X base]],""),"")</f>
        <v/>
      </c>
      <c r="AP75" s="99" t="str">
        <f t="shared" si="6"/>
        <v xml:space="preserve"> </v>
      </c>
      <c r="AR75" s="54">
        <f t="shared" si="7"/>
        <v>62</v>
      </c>
      <c r="AS75" s="54">
        <f>S_normal27[[#This Row],[Indeks (base 0)]]+1</f>
        <v>63</v>
      </c>
      <c r="AT75" s="54">
        <f t="shared" si="10"/>
        <v>0</v>
      </c>
      <c r="AU75" s="54">
        <f>IF(MOD(S_normal27[[#This Row],[Indeks (base 0)]],AS$8)=0,NA(),_xlfn.POISSON.DIST(S_normal27[[#This Row],[X base]],$H$5,FALSE))</f>
        <v>4.9787068367863944E-2</v>
      </c>
      <c r="AV75" s="99" t="b">
        <f>S_normal27[[#This Row],[X base]]&lt;AS$5</f>
        <v>1</v>
      </c>
      <c r="AW75" s="99" t="b">
        <f>S_normal27[[#This Row],[X base]]=AS$5</f>
        <v>0</v>
      </c>
      <c r="AX75" s="99" t="b">
        <f>S_normal27[[#This Row],[X base]]&gt;AS$5</f>
        <v>0</v>
      </c>
      <c r="AY75" s="99">
        <f>IF(S_normal27[[#This Row],[Mindre end]],S_normal27[[#This Row],[Poissonfordeling]],NA())</f>
        <v>4.9787068367863944E-2</v>
      </c>
      <c r="AZ75" s="99" t="e">
        <f>IF(S_normal27[[#This Row],[Lig med]],S_normal27[[#This Row],[Poissonfordeling]],NA())</f>
        <v>#N/A</v>
      </c>
      <c r="BA75" s="99" t="e">
        <f>IF(S_normal27[[#This Row],[Større end]],S_normal27[[#This Row],[Poissonfordeling]],NA())</f>
        <v>#N/A</v>
      </c>
      <c r="BB75" s="85" t="str">
        <f>_xlfn.IFNA(IF(MOD(S_normal27[[#This Row],[Indeks (base 0)]],AS$8)=ROUNDDOWN(AS$8/2,0),S_normal27[[#This Row],[X base]],""),"")</f>
        <v/>
      </c>
      <c r="BC75" s="99" t="str">
        <f t="shared" si="9"/>
        <v xml:space="preserve"> </v>
      </c>
    </row>
    <row r="76" spans="20:55" x14ac:dyDescent="0.2">
      <c r="T76" s="54">
        <f t="shared" si="0"/>
        <v>63</v>
      </c>
      <c r="U76" s="54">
        <f>S_normal[[#This Row],[Indeks (base 0)]]+1</f>
        <v>64</v>
      </c>
      <c r="V76" s="99">
        <f t="shared" si="14"/>
        <v>-1.5810490868765557</v>
      </c>
      <c r="W76" s="99">
        <f t="shared" si="2"/>
        <v>0.11431509630296084</v>
      </c>
      <c r="X76" s="99" t="b">
        <f>S_normal[[#This Row],[X base]]&lt;U$7</f>
        <v>1</v>
      </c>
      <c r="Y76" s="99" t="b">
        <f>S_normal[[#This Row],[X base]]&gt;U$7</f>
        <v>0</v>
      </c>
      <c r="Z76" s="99">
        <f>IF(S_normal[[#This Row],[Mindre end]],S_normal[[#This Row],[Normalfordeling]],NA())</f>
        <v>0.11431509630296084</v>
      </c>
      <c r="AA76" s="99" t="e">
        <f>IF(S_normal[[#This Row],[Større end]],S_normal[[#This Row],[Normalfordeling]],NA())</f>
        <v>#N/A</v>
      </c>
      <c r="AB76" s="72" t="str">
        <f>_xlfn.IFNA(IF(S_normal[[#This Row],[Indeks (base 0)]]=ROUND((ROUND(S_normal[[#This Row],[X base]],0)-U$8)/(U$9-U$8)*U$4,0),S_normal[[#This Row],[X base]]*B$6+B$5,""),"")</f>
        <v/>
      </c>
      <c r="AC76" s="99" t="str">
        <f t="shared" si="15"/>
        <v xml:space="preserve"> </v>
      </c>
      <c r="AE76" s="54">
        <f t="shared" si="4"/>
        <v>63</v>
      </c>
      <c r="AF76" s="54">
        <f>S_binomial[[#This Row],[Indeks (base 0)]]+1</f>
        <v>64</v>
      </c>
      <c r="AG76" s="99">
        <f t="shared" si="5"/>
        <v>0</v>
      </c>
      <c r="AH76" s="99">
        <f>IF(MOD(S_binomial[[#This Row],[Indeks (base 0)]],AF$7)=0,NA(),_xlfn.BINOM.DIST(S_binomial[[#This Row],[X base]],E$5,E$6,FALSE))</f>
        <v>7.529536000000004E-6</v>
      </c>
      <c r="AI76" s="99" t="b">
        <f>S_binomial[[#This Row],[X base]]&lt;AF$5</f>
        <v>1</v>
      </c>
      <c r="AJ76" s="99" t="b">
        <f>S_binomial[[#This Row],[X base]]=AF$5</f>
        <v>0</v>
      </c>
      <c r="AK76" s="99" t="b">
        <f>S_binomial[[#This Row],[X base]]&gt;AF$5</f>
        <v>0</v>
      </c>
      <c r="AL76" s="99">
        <f>IF(S_binomial[[#This Row],[Mindre end]],S_binomial[[#This Row],[Binomialfordeling]],NA())</f>
        <v>7.529536000000004E-6</v>
      </c>
      <c r="AM76" s="99" t="e">
        <f>IF(S_binomial[[#This Row],[Lig med]],S_binomial[[#This Row],[Binomialfordeling]],NA())</f>
        <v>#N/A</v>
      </c>
      <c r="AN76" s="99" t="e">
        <f>IF(S_binomial[[#This Row],[Større end]],S_binomial[[#This Row],[Binomialfordeling]],NA())</f>
        <v>#N/A</v>
      </c>
      <c r="AO76" s="85" t="str">
        <f>_xlfn.IFNA(IF(MOD(S_binomial[[#This Row],[Indeks (base 0)]],AF$7)=ROUNDDOWN(AF$7/2,0),S_binomial[[#This Row],[X base]],""),"")</f>
        <v/>
      </c>
      <c r="AP76" s="99" t="str">
        <f t="shared" si="6"/>
        <v xml:space="preserve"> </v>
      </c>
      <c r="AR76" s="54">
        <f t="shared" si="7"/>
        <v>63</v>
      </c>
      <c r="AS76" s="54">
        <f>S_normal27[[#This Row],[Indeks (base 0)]]+1</f>
        <v>64</v>
      </c>
      <c r="AT76" s="54">
        <f t="shared" si="10"/>
        <v>0</v>
      </c>
      <c r="AU76" s="54">
        <f>IF(MOD(S_normal27[[#This Row],[Indeks (base 0)]],AS$8)=0,NA(),_xlfn.POISSON.DIST(S_normal27[[#This Row],[X base]],$H$5,FALSE))</f>
        <v>4.9787068367863944E-2</v>
      </c>
      <c r="AV76" s="99" t="b">
        <f>S_normal27[[#This Row],[X base]]&lt;AS$5</f>
        <v>1</v>
      </c>
      <c r="AW76" s="99" t="b">
        <f>S_normal27[[#This Row],[X base]]=AS$5</f>
        <v>0</v>
      </c>
      <c r="AX76" s="99" t="b">
        <f>S_normal27[[#This Row],[X base]]&gt;AS$5</f>
        <v>0</v>
      </c>
      <c r="AY76" s="99">
        <f>IF(S_normal27[[#This Row],[Mindre end]],S_normal27[[#This Row],[Poissonfordeling]],NA())</f>
        <v>4.9787068367863944E-2</v>
      </c>
      <c r="AZ76" s="99" t="e">
        <f>IF(S_normal27[[#This Row],[Lig med]],S_normal27[[#This Row],[Poissonfordeling]],NA())</f>
        <v>#N/A</v>
      </c>
      <c r="BA76" s="99" t="e">
        <f>IF(S_normal27[[#This Row],[Større end]],S_normal27[[#This Row],[Poissonfordeling]],NA())</f>
        <v>#N/A</v>
      </c>
      <c r="BB76" s="85" t="str">
        <f>_xlfn.IFNA(IF(MOD(S_normal27[[#This Row],[Indeks (base 0)]],AS$8)=ROUNDDOWN(AS$8/2,0),S_normal27[[#This Row],[X base]],""),"")</f>
        <v/>
      </c>
      <c r="BC76" s="99" t="str">
        <f t="shared" si="9"/>
        <v xml:space="preserve"> </v>
      </c>
    </row>
    <row r="77" spans="20:55" x14ac:dyDescent="0.2">
      <c r="T77" s="54">
        <f t="shared" ref="T77:T140" si="16">ROW(T77)-ROW(T$13)</f>
        <v>64</v>
      </c>
      <c r="U77" s="54">
        <f>S_normal[[#This Row],[Indeks (base 0)]]+1</f>
        <v>65</v>
      </c>
      <c r="V77" s="99">
        <f t="shared" si="14"/>
        <v>-1.5570937976814563</v>
      </c>
      <c r="W77" s="99">
        <f t="shared" ref="W77:W140" si="17">_xlfn.NORM.DIST(V77,0,1,FALSE)</f>
        <v>0.11869369681429402</v>
      </c>
      <c r="X77" s="99" t="b">
        <f>S_normal[[#This Row],[X base]]&lt;U$7</f>
        <v>1</v>
      </c>
      <c r="Y77" s="99" t="b">
        <f>S_normal[[#This Row],[X base]]&gt;U$7</f>
        <v>0</v>
      </c>
      <c r="Z77" s="99">
        <f>IF(S_normal[[#This Row],[Mindre end]],S_normal[[#This Row],[Normalfordeling]],NA())</f>
        <v>0.11869369681429402</v>
      </c>
      <c r="AA77" s="99" t="e">
        <f>IF(S_normal[[#This Row],[Større end]],S_normal[[#This Row],[Normalfordeling]],NA())</f>
        <v>#N/A</v>
      </c>
      <c r="AB77" s="72" t="str">
        <f>_xlfn.IFNA(IF(S_normal[[#This Row],[Indeks (base 0)]]=ROUND((ROUND(S_normal[[#This Row],[X base]],0)-U$8)/(U$9-U$8)*U$4,0),S_normal[[#This Row],[X base]]*B$6+B$5,""),"")</f>
        <v/>
      </c>
      <c r="AC77" s="99" t="str">
        <f t="shared" si="15"/>
        <v xml:space="preserve"> </v>
      </c>
      <c r="AE77" s="54">
        <f t="shared" ref="AE77:AE140" si="18">ROW(AE77)-ROW(AE$13)</f>
        <v>64</v>
      </c>
      <c r="AF77" s="54">
        <f>S_binomial[[#This Row],[Indeks (base 0)]]+1</f>
        <v>65</v>
      </c>
      <c r="AG77" s="99">
        <f t="shared" ref="AG77:AG140" si="19">IF(AE77&lt;AF$8,ROUNDDOWN(AE77/AF$7,0),NA())</f>
        <v>0</v>
      </c>
      <c r="AH77" s="99">
        <f>IF(MOD(S_binomial[[#This Row],[Indeks (base 0)]],AF$7)=0,NA(),_xlfn.BINOM.DIST(S_binomial[[#This Row],[X base]],E$5,E$6,FALSE))</f>
        <v>7.529536000000004E-6</v>
      </c>
      <c r="AI77" s="99" t="b">
        <f>S_binomial[[#This Row],[X base]]&lt;AF$5</f>
        <v>1</v>
      </c>
      <c r="AJ77" s="99" t="b">
        <f>S_binomial[[#This Row],[X base]]=AF$5</f>
        <v>0</v>
      </c>
      <c r="AK77" s="99" t="b">
        <f>S_binomial[[#This Row],[X base]]&gt;AF$5</f>
        <v>0</v>
      </c>
      <c r="AL77" s="99">
        <f>IF(S_binomial[[#This Row],[Mindre end]],S_binomial[[#This Row],[Binomialfordeling]],NA())</f>
        <v>7.529536000000004E-6</v>
      </c>
      <c r="AM77" s="99" t="e">
        <f>IF(S_binomial[[#This Row],[Lig med]],S_binomial[[#This Row],[Binomialfordeling]],NA())</f>
        <v>#N/A</v>
      </c>
      <c r="AN77" s="99" t="e">
        <f>IF(S_binomial[[#This Row],[Større end]],S_binomial[[#This Row],[Binomialfordeling]],NA())</f>
        <v>#N/A</v>
      </c>
      <c r="AO77" s="85" t="str">
        <f>_xlfn.IFNA(IF(MOD(S_binomial[[#This Row],[Indeks (base 0)]],AF$7)=ROUNDDOWN(AF$7/2,0),S_binomial[[#This Row],[X base]],""),"")</f>
        <v/>
      </c>
      <c r="AP77" s="99" t="str">
        <f t="shared" ref="AP77:AP140" si="20">_xlfn.IFNA(_xlfn.SWITCH(AF77,AN$7,AN$4,AN$8,AN$5,AN$9,AN$6," ")," ")</f>
        <v xml:space="preserve"> </v>
      </c>
      <c r="AR77" s="54">
        <f t="shared" ref="AR77:AR140" si="21">ROW(AR77)-ROW(AR$13)</f>
        <v>64</v>
      </c>
      <c r="AS77" s="54">
        <f>S_normal27[[#This Row],[Indeks (base 0)]]+1</f>
        <v>65</v>
      </c>
      <c r="AT77" s="54">
        <f t="shared" si="10"/>
        <v>0</v>
      </c>
      <c r="AU77" s="54">
        <f>IF(MOD(S_normal27[[#This Row],[Indeks (base 0)]],AS$8)=0,NA(),_xlfn.POISSON.DIST(S_normal27[[#This Row],[X base]],$H$5,FALSE))</f>
        <v>4.9787068367863944E-2</v>
      </c>
      <c r="AV77" s="99" t="b">
        <f>S_normal27[[#This Row],[X base]]&lt;AS$5</f>
        <v>1</v>
      </c>
      <c r="AW77" s="99" t="b">
        <f>S_normal27[[#This Row],[X base]]=AS$5</f>
        <v>0</v>
      </c>
      <c r="AX77" s="99" t="b">
        <f>S_normal27[[#This Row],[X base]]&gt;AS$5</f>
        <v>0</v>
      </c>
      <c r="AY77" s="99">
        <f>IF(S_normal27[[#This Row],[Mindre end]],S_normal27[[#This Row],[Poissonfordeling]],NA())</f>
        <v>4.9787068367863944E-2</v>
      </c>
      <c r="AZ77" s="99" t="e">
        <f>IF(S_normal27[[#This Row],[Lig med]],S_normal27[[#This Row],[Poissonfordeling]],NA())</f>
        <v>#N/A</v>
      </c>
      <c r="BA77" s="99" t="e">
        <f>IF(S_normal27[[#This Row],[Større end]],S_normal27[[#This Row],[Poissonfordeling]],NA())</f>
        <v>#N/A</v>
      </c>
      <c r="BB77" s="85" t="str">
        <f>_xlfn.IFNA(IF(MOD(S_normal27[[#This Row],[Indeks (base 0)]],AS$8)=ROUNDDOWN(AS$8/2,0),S_normal27[[#This Row],[X base]],""),"")</f>
        <v/>
      </c>
      <c r="BC77" s="99" t="str">
        <f t="shared" ref="BC77:BC140" si="22">_xlfn.IFNA(_xlfn.SWITCH(AS77,BA$7,BA$4,BA$8,BA$5,BA$9,BA$6," ")," ")</f>
        <v xml:space="preserve"> </v>
      </c>
    </row>
    <row r="78" spans="20:55" x14ac:dyDescent="0.2">
      <c r="T78" s="54">
        <f t="shared" si="16"/>
        <v>65</v>
      </c>
      <c r="U78" s="54">
        <f>S_normal[[#This Row],[Indeks (base 0)]]+1</f>
        <v>66</v>
      </c>
      <c r="V78" s="99">
        <f t="shared" si="14"/>
        <v>-1.5331385084863569</v>
      </c>
      <c r="W78" s="99">
        <f t="shared" si="17"/>
        <v>0.12316930873768142</v>
      </c>
      <c r="X78" s="99" t="b">
        <f>S_normal[[#This Row],[X base]]&lt;U$7</f>
        <v>1</v>
      </c>
      <c r="Y78" s="99" t="b">
        <f>S_normal[[#This Row],[X base]]&gt;U$7</f>
        <v>0</v>
      </c>
      <c r="Z78" s="99">
        <f>IF(S_normal[[#This Row],[Mindre end]],S_normal[[#This Row],[Normalfordeling]],NA())</f>
        <v>0.12316930873768142</v>
      </c>
      <c r="AA78" s="99" t="e">
        <f>IF(S_normal[[#This Row],[Større end]],S_normal[[#This Row],[Normalfordeling]],NA())</f>
        <v>#N/A</v>
      </c>
      <c r="AB78" s="72" t="str">
        <f>_xlfn.IFNA(IF(S_normal[[#This Row],[Indeks (base 0)]]=ROUND((ROUND(S_normal[[#This Row],[X base]],0)-U$8)/(U$9-U$8)*U$4,0),S_normal[[#This Row],[X base]]*B$6+B$5,""),"")</f>
        <v/>
      </c>
      <c r="AC78" s="99" t="str">
        <f t="shared" si="15"/>
        <v xml:space="preserve"> </v>
      </c>
      <c r="AE78" s="54">
        <f t="shared" si="18"/>
        <v>65</v>
      </c>
      <c r="AF78" s="54">
        <f>S_binomial[[#This Row],[Indeks (base 0)]]+1</f>
        <v>66</v>
      </c>
      <c r="AG78" s="99">
        <f t="shared" si="19"/>
        <v>0</v>
      </c>
      <c r="AH78" s="99">
        <f>IF(MOD(S_binomial[[#This Row],[Indeks (base 0)]],AF$7)=0,NA(),_xlfn.BINOM.DIST(S_binomial[[#This Row],[X base]],E$5,E$6,FALSE))</f>
        <v>7.529536000000004E-6</v>
      </c>
      <c r="AI78" s="99" t="b">
        <f>S_binomial[[#This Row],[X base]]&lt;AF$5</f>
        <v>1</v>
      </c>
      <c r="AJ78" s="99" t="b">
        <f>S_binomial[[#This Row],[X base]]=AF$5</f>
        <v>0</v>
      </c>
      <c r="AK78" s="99" t="b">
        <f>S_binomial[[#This Row],[X base]]&gt;AF$5</f>
        <v>0</v>
      </c>
      <c r="AL78" s="99">
        <f>IF(S_binomial[[#This Row],[Mindre end]],S_binomial[[#This Row],[Binomialfordeling]],NA())</f>
        <v>7.529536000000004E-6</v>
      </c>
      <c r="AM78" s="99" t="e">
        <f>IF(S_binomial[[#This Row],[Lig med]],S_binomial[[#This Row],[Binomialfordeling]],NA())</f>
        <v>#N/A</v>
      </c>
      <c r="AN78" s="99" t="e">
        <f>IF(S_binomial[[#This Row],[Større end]],S_binomial[[#This Row],[Binomialfordeling]],NA())</f>
        <v>#N/A</v>
      </c>
      <c r="AO78" s="85" t="str">
        <f>_xlfn.IFNA(IF(MOD(S_binomial[[#This Row],[Indeks (base 0)]],AF$7)=ROUNDDOWN(AF$7/2,0),S_binomial[[#This Row],[X base]],""),"")</f>
        <v/>
      </c>
      <c r="AP78" s="99" t="str">
        <f t="shared" si="20"/>
        <v xml:space="preserve"> </v>
      </c>
      <c r="AR78" s="54">
        <f t="shared" si="21"/>
        <v>65</v>
      </c>
      <c r="AS78" s="54">
        <f>S_normal27[[#This Row],[Indeks (base 0)]]+1</f>
        <v>66</v>
      </c>
      <c r="AT78" s="54">
        <f t="shared" ref="AT78:AT141" si="23">IF(AR78&lt;AS$9,ROUNDDOWN(AR78/AS$8,0),NA())</f>
        <v>1</v>
      </c>
      <c r="AU78" s="54" t="e">
        <f>IF(MOD(S_normal27[[#This Row],[Indeks (base 0)]],AS$8)=0,NA(),_xlfn.POISSON.DIST(S_normal27[[#This Row],[X base]],$H$5,FALSE))</f>
        <v>#N/A</v>
      </c>
      <c r="AV78" s="99" t="b">
        <f>S_normal27[[#This Row],[X base]]&lt;AS$5</f>
        <v>1</v>
      </c>
      <c r="AW78" s="99" t="b">
        <f>S_normal27[[#This Row],[X base]]=AS$5</f>
        <v>0</v>
      </c>
      <c r="AX78" s="99" t="b">
        <f>S_normal27[[#This Row],[X base]]&gt;AS$5</f>
        <v>0</v>
      </c>
      <c r="AY78" s="99" t="e">
        <f>IF(S_normal27[[#This Row],[Mindre end]],S_normal27[[#This Row],[Poissonfordeling]],NA())</f>
        <v>#N/A</v>
      </c>
      <c r="AZ78" s="99" t="e">
        <f>IF(S_normal27[[#This Row],[Lig med]],S_normal27[[#This Row],[Poissonfordeling]],NA())</f>
        <v>#N/A</v>
      </c>
      <c r="BA78" s="99" t="e">
        <f>IF(S_normal27[[#This Row],[Større end]],S_normal27[[#This Row],[Poissonfordeling]],NA())</f>
        <v>#N/A</v>
      </c>
      <c r="BB78" s="85" t="str">
        <f>_xlfn.IFNA(IF(MOD(S_normal27[[#This Row],[Indeks (base 0)]],AS$8)=ROUNDDOWN(AS$8/2,0),S_normal27[[#This Row],[X base]],""),"")</f>
        <v/>
      </c>
      <c r="BC78" s="99" t="str">
        <f t="shared" si="22"/>
        <v xml:space="preserve"> </v>
      </c>
    </row>
    <row r="79" spans="20:55" x14ac:dyDescent="0.2">
      <c r="T79" s="54">
        <f t="shared" si="16"/>
        <v>66</v>
      </c>
      <c r="U79" s="54">
        <f>S_normal[[#This Row],[Indeks (base 0)]]+1</f>
        <v>67</v>
      </c>
      <c r="V79" s="99">
        <f t="shared" si="14"/>
        <v>-1.5091832192912575</v>
      </c>
      <c r="W79" s="99">
        <f t="shared" si="17"/>
        <v>0.12774035804918907</v>
      </c>
      <c r="X79" s="99" t="b">
        <f>S_normal[[#This Row],[X base]]&lt;U$7</f>
        <v>1</v>
      </c>
      <c r="Y79" s="99" t="b">
        <f>S_normal[[#This Row],[X base]]&gt;U$7</f>
        <v>0</v>
      </c>
      <c r="Z79" s="99">
        <f>IF(S_normal[[#This Row],[Mindre end]],S_normal[[#This Row],[Normalfordeling]],NA())</f>
        <v>0.12774035804918907</v>
      </c>
      <c r="AA79" s="99" t="e">
        <f>IF(S_normal[[#This Row],[Større end]],S_normal[[#This Row],[Normalfordeling]],NA())</f>
        <v>#N/A</v>
      </c>
      <c r="AB79" s="72" t="str">
        <f>_xlfn.IFNA(IF(S_normal[[#This Row],[Indeks (base 0)]]=ROUND((ROUND(S_normal[[#This Row],[X base]],0)-U$8)/(U$9-U$8)*U$4,0),S_normal[[#This Row],[X base]]*B$6+B$5,""),"")</f>
        <v/>
      </c>
      <c r="AC79" s="99" t="str">
        <f t="shared" si="15"/>
        <v xml:space="preserve"> </v>
      </c>
      <c r="AE79" s="54">
        <f t="shared" si="18"/>
        <v>66</v>
      </c>
      <c r="AF79" s="54">
        <f>S_binomial[[#This Row],[Indeks (base 0)]]+1</f>
        <v>67</v>
      </c>
      <c r="AG79" s="99">
        <f t="shared" si="19"/>
        <v>0</v>
      </c>
      <c r="AH79" s="99">
        <f>IF(MOD(S_binomial[[#This Row],[Indeks (base 0)]],AF$7)=0,NA(),_xlfn.BINOM.DIST(S_binomial[[#This Row],[X base]],E$5,E$6,FALSE))</f>
        <v>7.529536000000004E-6</v>
      </c>
      <c r="AI79" s="99" t="b">
        <f>S_binomial[[#This Row],[X base]]&lt;AF$5</f>
        <v>1</v>
      </c>
      <c r="AJ79" s="99" t="b">
        <f>S_binomial[[#This Row],[X base]]=AF$5</f>
        <v>0</v>
      </c>
      <c r="AK79" s="99" t="b">
        <f>S_binomial[[#This Row],[X base]]&gt;AF$5</f>
        <v>0</v>
      </c>
      <c r="AL79" s="99">
        <f>IF(S_binomial[[#This Row],[Mindre end]],S_binomial[[#This Row],[Binomialfordeling]],NA())</f>
        <v>7.529536000000004E-6</v>
      </c>
      <c r="AM79" s="99" t="e">
        <f>IF(S_binomial[[#This Row],[Lig med]],S_binomial[[#This Row],[Binomialfordeling]],NA())</f>
        <v>#N/A</v>
      </c>
      <c r="AN79" s="99" t="e">
        <f>IF(S_binomial[[#This Row],[Større end]],S_binomial[[#This Row],[Binomialfordeling]],NA())</f>
        <v>#N/A</v>
      </c>
      <c r="AO79" s="85" t="str">
        <f>_xlfn.IFNA(IF(MOD(S_binomial[[#This Row],[Indeks (base 0)]],AF$7)=ROUNDDOWN(AF$7/2,0),S_binomial[[#This Row],[X base]],""),"")</f>
        <v/>
      </c>
      <c r="AP79" s="99" t="str">
        <f t="shared" si="20"/>
        <v xml:space="preserve"> </v>
      </c>
      <c r="AR79" s="54">
        <f t="shared" si="21"/>
        <v>66</v>
      </c>
      <c r="AS79" s="54">
        <f>S_normal27[[#This Row],[Indeks (base 0)]]+1</f>
        <v>67</v>
      </c>
      <c r="AT79" s="54">
        <f t="shared" si="23"/>
        <v>1</v>
      </c>
      <c r="AU79" s="54">
        <f>IF(MOD(S_normal27[[#This Row],[Indeks (base 0)]],AS$8)=0,NA(),_xlfn.POISSON.DIST(S_normal27[[#This Row],[X base]],$H$5,FALSE))</f>
        <v>0.14936120510359185</v>
      </c>
      <c r="AV79" s="99" t="b">
        <f>S_normal27[[#This Row],[X base]]&lt;AS$5</f>
        <v>1</v>
      </c>
      <c r="AW79" s="99" t="b">
        <f>S_normal27[[#This Row],[X base]]=AS$5</f>
        <v>0</v>
      </c>
      <c r="AX79" s="99" t="b">
        <f>S_normal27[[#This Row],[X base]]&gt;AS$5</f>
        <v>0</v>
      </c>
      <c r="AY79" s="99">
        <f>IF(S_normal27[[#This Row],[Mindre end]],S_normal27[[#This Row],[Poissonfordeling]],NA())</f>
        <v>0.14936120510359185</v>
      </c>
      <c r="AZ79" s="99" t="e">
        <f>IF(S_normal27[[#This Row],[Lig med]],S_normal27[[#This Row],[Poissonfordeling]],NA())</f>
        <v>#N/A</v>
      </c>
      <c r="BA79" s="99" t="e">
        <f>IF(S_normal27[[#This Row],[Større end]],S_normal27[[#This Row],[Poissonfordeling]],NA())</f>
        <v>#N/A</v>
      </c>
      <c r="BB79" s="85" t="str">
        <f>_xlfn.IFNA(IF(MOD(S_normal27[[#This Row],[Indeks (base 0)]],AS$8)=ROUNDDOWN(AS$8/2,0),S_normal27[[#This Row],[X base]],""),"")</f>
        <v/>
      </c>
      <c r="BC79" s="99" t="str">
        <f t="shared" si="22"/>
        <v xml:space="preserve"> </v>
      </c>
    </row>
    <row r="80" spans="20:55" x14ac:dyDescent="0.2">
      <c r="T80" s="54">
        <f t="shared" si="16"/>
        <v>67</v>
      </c>
      <c r="U80" s="54">
        <f>S_normal[[#This Row],[Indeks (base 0)]]+1</f>
        <v>68</v>
      </c>
      <c r="V80" s="99">
        <f t="shared" si="14"/>
        <v>-1.4852279300961584</v>
      </c>
      <c r="W80" s="99">
        <f t="shared" si="17"/>
        <v>0.13240504455009261</v>
      </c>
      <c r="X80" s="99" t="b">
        <f>S_normal[[#This Row],[X base]]&lt;U$7</f>
        <v>1</v>
      </c>
      <c r="Y80" s="99" t="b">
        <f>S_normal[[#This Row],[X base]]&gt;U$7</f>
        <v>0</v>
      </c>
      <c r="Z80" s="99">
        <f>IF(S_normal[[#This Row],[Mindre end]],S_normal[[#This Row],[Normalfordeling]],NA())</f>
        <v>0.13240504455009261</v>
      </c>
      <c r="AA80" s="99" t="e">
        <f>IF(S_normal[[#This Row],[Større end]],S_normal[[#This Row],[Normalfordeling]],NA())</f>
        <v>#N/A</v>
      </c>
      <c r="AB80" s="72" t="str">
        <f>_xlfn.IFNA(IF(S_normal[[#This Row],[Indeks (base 0)]]=ROUND((ROUND(S_normal[[#This Row],[X base]],0)-U$8)/(U$9-U$8)*U$4,0),S_normal[[#This Row],[X base]]*B$6+B$5,""),"")</f>
        <v/>
      </c>
      <c r="AC80" s="99" t="str">
        <f t="shared" si="15"/>
        <v xml:space="preserve"> </v>
      </c>
      <c r="AE80" s="54">
        <f t="shared" si="18"/>
        <v>67</v>
      </c>
      <c r="AF80" s="54">
        <f>S_binomial[[#This Row],[Indeks (base 0)]]+1</f>
        <v>68</v>
      </c>
      <c r="AG80" s="99">
        <f t="shared" si="19"/>
        <v>0</v>
      </c>
      <c r="AH80" s="99">
        <f>IF(MOD(S_binomial[[#This Row],[Indeks (base 0)]],AF$7)=0,NA(),_xlfn.BINOM.DIST(S_binomial[[#This Row],[X base]],E$5,E$6,FALSE))</f>
        <v>7.529536000000004E-6</v>
      </c>
      <c r="AI80" s="99" t="b">
        <f>S_binomial[[#This Row],[X base]]&lt;AF$5</f>
        <v>1</v>
      </c>
      <c r="AJ80" s="99" t="b">
        <f>S_binomial[[#This Row],[X base]]=AF$5</f>
        <v>0</v>
      </c>
      <c r="AK80" s="99" t="b">
        <f>S_binomial[[#This Row],[X base]]&gt;AF$5</f>
        <v>0</v>
      </c>
      <c r="AL80" s="99">
        <f>IF(S_binomial[[#This Row],[Mindre end]],S_binomial[[#This Row],[Binomialfordeling]],NA())</f>
        <v>7.529536000000004E-6</v>
      </c>
      <c r="AM80" s="99" t="e">
        <f>IF(S_binomial[[#This Row],[Lig med]],S_binomial[[#This Row],[Binomialfordeling]],NA())</f>
        <v>#N/A</v>
      </c>
      <c r="AN80" s="99" t="e">
        <f>IF(S_binomial[[#This Row],[Større end]],S_binomial[[#This Row],[Binomialfordeling]],NA())</f>
        <v>#N/A</v>
      </c>
      <c r="AO80" s="85" t="str">
        <f>_xlfn.IFNA(IF(MOD(S_binomial[[#This Row],[Indeks (base 0)]],AF$7)=ROUNDDOWN(AF$7/2,0),S_binomial[[#This Row],[X base]],""),"")</f>
        <v/>
      </c>
      <c r="AP80" s="99" t="str">
        <f t="shared" si="20"/>
        <v xml:space="preserve"> </v>
      </c>
      <c r="AR80" s="54">
        <f t="shared" si="21"/>
        <v>67</v>
      </c>
      <c r="AS80" s="54">
        <f>S_normal27[[#This Row],[Indeks (base 0)]]+1</f>
        <v>68</v>
      </c>
      <c r="AT80" s="54">
        <f t="shared" si="23"/>
        <v>1</v>
      </c>
      <c r="AU80" s="54">
        <f>IF(MOD(S_normal27[[#This Row],[Indeks (base 0)]],AS$8)=0,NA(),_xlfn.POISSON.DIST(S_normal27[[#This Row],[X base]],$H$5,FALSE))</f>
        <v>0.14936120510359185</v>
      </c>
      <c r="AV80" s="99" t="b">
        <f>S_normal27[[#This Row],[X base]]&lt;AS$5</f>
        <v>1</v>
      </c>
      <c r="AW80" s="99" t="b">
        <f>S_normal27[[#This Row],[X base]]=AS$5</f>
        <v>0</v>
      </c>
      <c r="AX80" s="99" t="b">
        <f>S_normal27[[#This Row],[X base]]&gt;AS$5</f>
        <v>0</v>
      </c>
      <c r="AY80" s="99">
        <f>IF(S_normal27[[#This Row],[Mindre end]],S_normal27[[#This Row],[Poissonfordeling]],NA())</f>
        <v>0.14936120510359185</v>
      </c>
      <c r="AZ80" s="99" t="e">
        <f>IF(S_normal27[[#This Row],[Lig med]],S_normal27[[#This Row],[Poissonfordeling]],NA())</f>
        <v>#N/A</v>
      </c>
      <c r="BA80" s="99" t="e">
        <f>IF(S_normal27[[#This Row],[Større end]],S_normal27[[#This Row],[Poissonfordeling]],NA())</f>
        <v>#N/A</v>
      </c>
      <c r="BB80" s="85" t="str">
        <f>_xlfn.IFNA(IF(MOD(S_normal27[[#This Row],[Indeks (base 0)]],AS$8)=ROUNDDOWN(AS$8/2,0),S_normal27[[#This Row],[X base]],""),"")</f>
        <v/>
      </c>
      <c r="BC80" s="99" t="str">
        <f t="shared" si="22"/>
        <v xml:space="preserve"> </v>
      </c>
    </row>
    <row r="81" spans="20:55" x14ac:dyDescent="0.2">
      <c r="T81" s="54">
        <f t="shared" si="16"/>
        <v>68</v>
      </c>
      <c r="U81" s="54">
        <f>S_normal[[#This Row],[Indeks (base 0)]]+1</f>
        <v>69</v>
      </c>
      <c r="V81" s="99">
        <f t="shared" si="14"/>
        <v>-1.461272640901059</v>
      </c>
      <c r="W81" s="99">
        <f t="shared" si="17"/>
        <v>0.13716133768133662</v>
      </c>
      <c r="X81" s="99" t="b">
        <f>S_normal[[#This Row],[X base]]&lt;U$7</f>
        <v>1</v>
      </c>
      <c r="Y81" s="99" t="b">
        <f>S_normal[[#This Row],[X base]]&gt;U$7</f>
        <v>0</v>
      </c>
      <c r="Z81" s="99">
        <f>IF(S_normal[[#This Row],[Mindre end]],S_normal[[#This Row],[Normalfordeling]],NA())</f>
        <v>0.13716133768133662</v>
      </c>
      <c r="AA81" s="99" t="e">
        <f>IF(S_normal[[#This Row],[Større end]],S_normal[[#This Row],[Normalfordeling]],NA())</f>
        <v>#N/A</v>
      </c>
      <c r="AB81" s="72" t="str">
        <f>_xlfn.IFNA(IF(S_normal[[#This Row],[Indeks (base 0)]]=ROUND((ROUND(S_normal[[#This Row],[X base]],0)-U$8)/(U$9-U$8)*U$4,0),S_normal[[#This Row],[X base]]*B$6+B$5,""),"")</f>
        <v/>
      </c>
      <c r="AC81" s="99" t="str">
        <f t="shared" si="15"/>
        <v xml:space="preserve"> </v>
      </c>
      <c r="AE81" s="54">
        <f t="shared" si="18"/>
        <v>68</v>
      </c>
      <c r="AF81" s="54">
        <f>S_binomial[[#This Row],[Indeks (base 0)]]+1</f>
        <v>69</v>
      </c>
      <c r="AG81" s="99">
        <f t="shared" si="19"/>
        <v>0</v>
      </c>
      <c r="AH81" s="99">
        <f>IF(MOD(S_binomial[[#This Row],[Indeks (base 0)]],AF$7)=0,NA(),_xlfn.BINOM.DIST(S_binomial[[#This Row],[X base]],E$5,E$6,FALSE))</f>
        <v>7.529536000000004E-6</v>
      </c>
      <c r="AI81" s="99" t="b">
        <f>S_binomial[[#This Row],[X base]]&lt;AF$5</f>
        <v>1</v>
      </c>
      <c r="AJ81" s="99" t="b">
        <f>S_binomial[[#This Row],[X base]]=AF$5</f>
        <v>0</v>
      </c>
      <c r="AK81" s="99" t="b">
        <f>S_binomial[[#This Row],[X base]]&gt;AF$5</f>
        <v>0</v>
      </c>
      <c r="AL81" s="99">
        <f>IF(S_binomial[[#This Row],[Mindre end]],S_binomial[[#This Row],[Binomialfordeling]],NA())</f>
        <v>7.529536000000004E-6</v>
      </c>
      <c r="AM81" s="99" t="e">
        <f>IF(S_binomial[[#This Row],[Lig med]],S_binomial[[#This Row],[Binomialfordeling]],NA())</f>
        <v>#N/A</v>
      </c>
      <c r="AN81" s="99" t="e">
        <f>IF(S_binomial[[#This Row],[Større end]],S_binomial[[#This Row],[Binomialfordeling]],NA())</f>
        <v>#N/A</v>
      </c>
      <c r="AO81" s="85" t="str">
        <f>_xlfn.IFNA(IF(MOD(S_binomial[[#This Row],[Indeks (base 0)]],AF$7)=ROUNDDOWN(AF$7/2,0),S_binomial[[#This Row],[X base]],""),"")</f>
        <v/>
      </c>
      <c r="AP81" s="99" t="str">
        <f t="shared" si="20"/>
        <v xml:space="preserve"> </v>
      </c>
      <c r="AR81" s="54">
        <f t="shared" si="21"/>
        <v>68</v>
      </c>
      <c r="AS81" s="54">
        <f>S_normal27[[#This Row],[Indeks (base 0)]]+1</f>
        <v>69</v>
      </c>
      <c r="AT81" s="54">
        <f t="shared" si="23"/>
        <v>1</v>
      </c>
      <c r="AU81" s="54">
        <f>IF(MOD(S_normal27[[#This Row],[Indeks (base 0)]],AS$8)=0,NA(),_xlfn.POISSON.DIST(S_normal27[[#This Row],[X base]],$H$5,FALSE))</f>
        <v>0.14936120510359185</v>
      </c>
      <c r="AV81" s="99" t="b">
        <f>S_normal27[[#This Row],[X base]]&lt;AS$5</f>
        <v>1</v>
      </c>
      <c r="AW81" s="99" t="b">
        <f>S_normal27[[#This Row],[X base]]=AS$5</f>
        <v>0</v>
      </c>
      <c r="AX81" s="99" t="b">
        <f>S_normal27[[#This Row],[X base]]&gt;AS$5</f>
        <v>0</v>
      </c>
      <c r="AY81" s="99">
        <f>IF(S_normal27[[#This Row],[Mindre end]],S_normal27[[#This Row],[Poissonfordeling]],NA())</f>
        <v>0.14936120510359185</v>
      </c>
      <c r="AZ81" s="99" t="e">
        <f>IF(S_normal27[[#This Row],[Lig med]],S_normal27[[#This Row],[Poissonfordeling]],NA())</f>
        <v>#N/A</v>
      </c>
      <c r="BA81" s="99" t="e">
        <f>IF(S_normal27[[#This Row],[Større end]],S_normal27[[#This Row],[Poissonfordeling]],NA())</f>
        <v>#N/A</v>
      </c>
      <c r="BB81" s="85" t="str">
        <f>_xlfn.IFNA(IF(MOD(S_normal27[[#This Row],[Indeks (base 0)]],AS$8)=ROUNDDOWN(AS$8/2,0),S_normal27[[#This Row],[X base]],""),"")</f>
        <v/>
      </c>
      <c r="BC81" s="99" t="str">
        <f t="shared" si="22"/>
        <v xml:space="preserve"> </v>
      </c>
    </row>
    <row r="82" spans="20:55" x14ac:dyDescent="0.2">
      <c r="T82" s="54">
        <f t="shared" si="16"/>
        <v>69</v>
      </c>
      <c r="U82" s="54">
        <f>S_normal[[#This Row],[Indeks (base 0)]]+1</f>
        <v>70</v>
      </c>
      <c r="V82" s="99">
        <f t="shared" si="14"/>
        <v>-1.4373173517059596</v>
      </c>
      <c r="W82" s="99">
        <f t="shared" si="17"/>
        <v>0.14200697285664771</v>
      </c>
      <c r="X82" s="99" t="b">
        <f>S_normal[[#This Row],[X base]]&lt;U$7</f>
        <v>1</v>
      </c>
      <c r="Y82" s="99" t="b">
        <f>S_normal[[#This Row],[X base]]&gt;U$7</f>
        <v>0</v>
      </c>
      <c r="Z82" s="99">
        <f>IF(S_normal[[#This Row],[Mindre end]],S_normal[[#This Row],[Normalfordeling]],NA())</f>
        <v>0.14200697285664771</v>
      </c>
      <c r="AA82" s="99" t="e">
        <f>IF(S_normal[[#This Row],[Større end]],S_normal[[#This Row],[Normalfordeling]],NA())</f>
        <v>#N/A</v>
      </c>
      <c r="AB82" s="72" t="str">
        <f>_xlfn.IFNA(IF(S_normal[[#This Row],[Indeks (base 0)]]=ROUND((ROUND(S_normal[[#This Row],[X base]],0)-U$8)/(U$9-U$8)*U$4,0),S_normal[[#This Row],[X base]]*B$6+B$5,""),"")</f>
        <v/>
      </c>
      <c r="AC82" s="99" t="str">
        <f t="shared" si="15"/>
        <v xml:space="preserve"> </v>
      </c>
      <c r="AE82" s="54">
        <f t="shared" si="18"/>
        <v>69</v>
      </c>
      <c r="AF82" s="54">
        <f>S_binomial[[#This Row],[Indeks (base 0)]]+1</f>
        <v>70</v>
      </c>
      <c r="AG82" s="99">
        <f t="shared" si="19"/>
        <v>0</v>
      </c>
      <c r="AH82" s="99">
        <f>IF(MOD(S_binomial[[#This Row],[Indeks (base 0)]],AF$7)=0,NA(),_xlfn.BINOM.DIST(S_binomial[[#This Row],[X base]],E$5,E$6,FALSE))</f>
        <v>7.529536000000004E-6</v>
      </c>
      <c r="AI82" s="99" t="b">
        <f>S_binomial[[#This Row],[X base]]&lt;AF$5</f>
        <v>1</v>
      </c>
      <c r="AJ82" s="99" t="b">
        <f>S_binomial[[#This Row],[X base]]=AF$5</f>
        <v>0</v>
      </c>
      <c r="AK82" s="99" t="b">
        <f>S_binomial[[#This Row],[X base]]&gt;AF$5</f>
        <v>0</v>
      </c>
      <c r="AL82" s="99">
        <f>IF(S_binomial[[#This Row],[Mindre end]],S_binomial[[#This Row],[Binomialfordeling]],NA())</f>
        <v>7.529536000000004E-6</v>
      </c>
      <c r="AM82" s="99" t="e">
        <f>IF(S_binomial[[#This Row],[Lig med]],S_binomial[[#This Row],[Binomialfordeling]],NA())</f>
        <v>#N/A</v>
      </c>
      <c r="AN82" s="99" t="e">
        <f>IF(S_binomial[[#This Row],[Større end]],S_binomial[[#This Row],[Binomialfordeling]],NA())</f>
        <v>#N/A</v>
      </c>
      <c r="AO82" s="85" t="str">
        <f>_xlfn.IFNA(IF(MOD(S_binomial[[#This Row],[Indeks (base 0)]],AF$7)=ROUNDDOWN(AF$7/2,0),S_binomial[[#This Row],[X base]],""),"")</f>
        <v/>
      </c>
      <c r="AP82" s="99" t="str">
        <f t="shared" si="20"/>
        <v xml:space="preserve"> </v>
      </c>
      <c r="AR82" s="54">
        <f t="shared" si="21"/>
        <v>69</v>
      </c>
      <c r="AS82" s="54">
        <f>S_normal27[[#This Row],[Indeks (base 0)]]+1</f>
        <v>70</v>
      </c>
      <c r="AT82" s="54">
        <f t="shared" si="23"/>
        <v>1</v>
      </c>
      <c r="AU82" s="54">
        <f>IF(MOD(S_normal27[[#This Row],[Indeks (base 0)]],AS$8)=0,NA(),_xlfn.POISSON.DIST(S_normal27[[#This Row],[X base]],$H$5,FALSE))</f>
        <v>0.14936120510359185</v>
      </c>
      <c r="AV82" s="99" t="b">
        <f>S_normal27[[#This Row],[X base]]&lt;AS$5</f>
        <v>1</v>
      </c>
      <c r="AW82" s="99" t="b">
        <f>S_normal27[[#This Row],[X base]]=AS$5</f>
        <v>0</v>
      </c>
      <c r="AX82" s="99" t="b">
        <f>S_normal27[[#This Row],[X base]]&gt;AS$5</f>
        <v>0</v>
      </c>
      <c r="AY82" s="99">
        <f>IF(S_normal27[[#This Row],[Mindre end]],S_normal27[[#This Row],[Poissonfordeling]],NA())</f>
        <v>0.14936120510359185</v>
      </c>
      <c r="AZ82" s="99" t="e">
        <f>IF(S_normal27[[#This Row],[Lig med]],S_normal27[[#This Row],[Poissonfordeling]],NA())</f>
        <v>#N/A</v>
      </c>
      <c r="BA82" s="99" t="e">
        <f>IF(S_normal27[[#This Row],[Større end]],S_normal27[[#This Row],[Poissonfordeling]],NA())</f>
        <v>#N/A</v>
      </c>
      <c r="BB82" s="85" t="str">
        <f>_xlfn.IFNA(IF(MOD(S_normal27[[#This Row],[Indeks (base 0)]],AS$8)=ROUNDDOWN(AS$8/2,0),S_normal27[[#This Row],[X base]],""),"")</f>
        <v/>
      </c>
      <c r="BC82" s="99" t="str">
        <f t="shared" si="22"/>
        <v xml:space="preserve"> </v>
      </c>
    </row>
    <row r="83" spans="20:55" x14ac:dyDescent="0.2">
      <c r="T83" s="54">
        <f t="shared" si="16"/>
        <v>70</v>
      </c>
      <c r="U83" s="54">
        <f>S_normal[[#This Row],[Indeks (base 0)]]+1</f>
        <v>71</v>
      </c>
      <c r="V83" s="99">
        <f t="shared" si="14"/>
        <v>-1.4133620625108603</v>
      </c>
      <c r="W83" s="99">
        <f t="shared" si="17"/>
        <v>0.14693944834608266</v>
      </c>
      <c r="X83" s="99" t="b">
        <f>S_normal[[#This Row],[X base]]&lt;U$7</f>
        <v>1</v>
      </c>
      <c r="Y83" s="99" t="b">
        <f>S_normal[[#This Row],[X base]]&gt;U$7</f>
        <v>0</v>
      </c>
      <c r="Z83" s="99">
        <f>IF(S_normal[[#This Row],[Mindre end]],S_normal[[#This Row],[Normalfordeling]],NA())</f>
        <v>0.14693944834608266</v>
      </c>
      <c r="AA83" s="99" t="e">
        <f>IF(S_normal[[#This Row],[Større end]],S_normal[[#This Row],[Normalfordeling]],NA())</f>
        <v>#N/A</v>
      </c>
      <c r="AB83" s="72" t="str">
        <f>_xlfn.IFNA(IF(S_normal[[#This Row],[Indeks (base 0)]]=ROUND((ROUND(S_normal[[#This Row],[X base]],0)-U$8)/(U$9-U$8)*U$4,0),S_normal[[#This Row],[X base]]*B$6+B$5,""),"")</f>
        <v/>
      </c>
      <c r="AC83" s="99" t="str">
        <f t="shared" si="15"/>
        <v xml:space="preserve"> </v>
      </c>
      <c r="AE83" s="54">
        <f t="shared" si="18"/>
        <v>70</v>
      </c>
      <c r="AF83" s="54">
        <f>S_binomial[[#This Row],[Indeks (base 0)]]+1</f>
        <v>71</v>
      </c>
      <c r="AG83" s="99">
        <f t="shared" si="19"/>
        <v>0</v>
      </c>
      <c r="AH83" s="99">
        <f>IF(MOD(S_binomial[[#This Row],[Indeks (base 0)]],AF$7)=0,NA(),_xlfn.BINOM.DIST(S_binomial[[#This Row],[X base]],E$5,E$6,FALSE))</f>
        <v>7.529536000000004E-6</v>
      </c>
      <c r="AI83" s="99" t="b">
        <f>S_binomial[[#This Row],[X base]]&lt;AF$5</f>
        <v>1</v>
      </c>
      <c r="AJ83" s="99" t="b">
        <f>S_binomial[[#This Row],[X base]]=AF$5</f>
        <v>0</v>
      </c>
      <c r="AK83" s="99" t="b">
        <f>S_binomial[[#This Row],[X base]]&gt;AF$5</f>
        <v>0</v>
      </c>
      <c r="AL83" s="99">
        <f>IF(S_binomial[[#This Row],[Mindre end]],S_binomial[[#This Row],[Binomialfordeling]],NA())</f>
        <v>7.529536000000004E-6</v>
      </c>
      <c r="AM83" s="99" t="e">
        <f>IF(S_binomial[[#This Row],[Lig med]],S_binomial[[#This Row],[Binomialfordeling]],NA())</f>
        <v>#N/A</v>
      </c>
      <c r="AN83" s="99" t="e">
        <f>IF(S_binomial[[#This Row],[Større end]],S_binomial[[#This Row],[Binomialfordeling]],NA())</f>
        <v>#N/A</v>
      </c>
      <c r="AO83" s="85" t="str">
        <f>_xlfn.IFNA(IF(MOD(S_binomial[[#This Row],[Indeks (base 0)]],AF$7)=ROUNDDOWN(AF$7/2,0),S_binomial[[#This Row],[X base]],""),"")</f>
        <v/>
      </c>
      <c r="AP83" s="99" t="str">
        <f t="shared" si="20"/>
        <v xml:space="preserve"> </v>
      </c>
      <c r="AR83" s="54">
        <f t="shared" si="21"/>
        <v>70</v>
      </c>
      <c r="AS83" s="54">
        <f>S_normal27[[#This Row],[Indeks (base 0)]]+1</f>
        <v>71</v>
      </c>
      <c r="AT83" s="54">
        <f t="shared" si="23"/>
        <v>1</v>
      </c>
      <c r="AU83" s="54">
        <f>IF(MOD(S_normal27[[#This Row],[Indeks (base 0)]],AS$8)=0,NA(),_xlfn.POISSON.DIST(S_normal27[[#This Row],[X base]],$H$5,FALSE))</f>
        <v>0.14936120510359185</v>
      </c>
      <c r="AV83" s="99" t="b">
        <f>S_normal27[[#This Row],[X base]]&lt;AS$5</f>
        <v>1</v>
      </c>
      <c r="AW83" s="99" t="b">
        <f>S_normal27[[#This Row],[X base]]=AS$5</f>
        <v>0</v>
      </c>
      <c r="AX83" s="99" t="b">
        <f>S_normal27[[#This Row],[X base]]&gt;AS$5</f>
        <v>0</v>
      </c>
      <c r="AY83" s="99">
        <f>IF(S_normal27[[#This Row],[Mindre end]],S_normal27[[#This Row],[Poissonfordeling]],NA())</f>
        <v>0.14936120510359185</v>
      </c>
      <c r="AZ83" s="99" t="e">
        <f>IF(S_normal27[[#This Row],[Lig med]],S_normal27[[#This Row],[Poissonfordeling]],NA())</f>
        <v>#N/A</v>
      </c>
      <c r="BA83" s="99" t="e">
        <f>IF(S_normal27[[#This Row],[Større end]],S_normal27[[#This Row],[Poissonfordeling]],NA())</f>
        <v>#N/A</v>
      </c>
      <c r="BB83" s="85" t="str">
        <f>_xlfn.IFNA(IF(MOD(S_normal27[[#This Row],[Indeks (base 0)]],AS$8)=ROUNDDOWN(AS$8/2,0),S_normal27[[#This Row],[X base]],""),"")</f>
        <v/>
      </c>
      <c r="BC83" s="99" t="str">
        <f t="shared" si="22"/>
        <v xml:space="preserve"> </v>
      </c>
    </row>
    <row r="84" spans="20:55" x14ac:dyDescent="0.2">
      <c r="T84" s="54">
        <f t="shared" si="16"/>
        <v>71</v>
      </c>
      <c r="U84" s="54">
        <f>S_normal[[#This Row],[Indeks (base 0)]]+1</f>
        <v>72</v>
      </c>
      <c r="V84" s="99">
        <f t="shared" si="14"/>
        <v>-1.3894067733157609</v>
      </c>
      <c r="W84" s="99">
        <f t="shared" si="17"/>
        <v>0.15195602274069356</v>
      </c>
      <c r="X84" s="99" t="b">
        <f>S_normal[[#This Row],[X base]]&lt;U$7</f>
        <v>1</v>
      </c>
      <c r="Y84" s="99" t="b">
        <f>S_normal[[#This Row],[X base]]&gt;U$7</f>
        <v>0</v>
      </c>
      <c r="Z84" s="99">
        <f>IF(S_normal[[#This Row],[Mindre end]],S_normal[[#This Row],[Normalfordeling]],NA())</f>
        <v>0.15195602274069356</v>
      </c>
      <c r="AA84" s="99" t="e">
        <f>IF(S_normal[[#This Row],[Større end]],S_normal[[#This Row],[Normalfordeling]],NA())</f>
        <v>#N/A</v>
      </c>
      <c r="AB84" s="72" t="str">
        <f>_xlfn.IFNA(IF(S_normal[[#This Row],[Indeks (base 0)]]=ROUND((ROUND(S_normal[[#This Row],[X base]],0)-U$8)/(U$9-U$8)*U$4,0),S_normal[[#This Row],[X base]]*B$6+B$5,""),"")</f>
        <v/>
      </c>
      <c r="AC84" s="99" t="str">
        <f t="shared" si="15"/>
        <v xml:space="preserve"> </v>
      </c>
      <c r="AE84" s="54">
        <f t="shared" si="18"/>
        <v>71</v>
      </c>
      <c r="AF84" s="54">
        <f>S_binomial[[#This Row],[Indeks (base 0)]]+1</f>
        <v>72</v>
      </c>
      <c r="AG84" s="99">
        <f t="shared" si="19"/>
        <v>0</v>
      </c>
      <c r="AH84" s="99">
        <f>IF(MOD(S_binomial[[#This Row],[Indeks (base 0)]],AF$7)=0,NA(),_xlfn.BINOM.DIST(S_binomial[[#This Row],[X base]],E$5,E$6,FALSE))</f>
        <v>7.529536000000004E-6</v>
      </c>
      <c r="AI84" s="99" t="b">
        <f>S_binomial[[#This Row],[X base]]&lt;AF$5</f>
        <v>1</v>
      </c>
      <c r="AJ84" s="99" t="b">
        <f>S_binomial[[#This Row],[X base]]=AF$5</f>
        <v>0</v>
      </c>
      <c r="AK84" s="99" t="b">
        <f>S_binomial[[#This Row],[X base]]&gt;AF$5</f>
        <v>0</v>
      </c>
      <c r="AL84" s="99">
        <f>IF(S_binomial[[#This Row],[Mindre end]],S_binomial[[#This Row],[Binomialfordeling]],NA())</f>
        <v>7.529536000000004E-6</v>
      </c>
      <c r="AM84" s="99" t="e">
        <f>IF(S_binomial[[#This Row],[Lig med]],S_binomial[[#This Row],[Binomialfordeling]],NA())</f>
        <v>#N/A</v>
      </c>
      <c r="AN84" s="99" t="e">
        <f>IF(S_binomial[[#This Row],[Større end]],S_binomial[[#This Row],[Binomialfordeling]],NA())</f>
        <v>#N/A</v>
      </c>
      <c r="AO84" s="85" t="str">
        <f>_xlfn.IFNA(IF(MOD(S_binomial[[#This Row],[Indeks (base 0)]],AF$7)=ROUNDDOWN(AF$7/2,0),S_binomial[[#This Row],[X base]],""),"")</f>
        <v/>
      </c>
      <c r="AP84" s="99" t="str">
        <f t="shared" si="20"/>
        <v xml:space="preserve"> </v>
      </c>
      <c r="AR84" s="54">
        <f t="shared" si="21"/>
        <v>71</v>
      </c>
      <c r="AS84" s="54">
        <f>S_normal27[[#This Row],[Indeks (base 0)]]+1</f>
        <v>72</v>
      </c>
      <c r="AT84" s="54">
        <f t="shared" si="23"/>
        <v>1</v>
      </c>
      <c r="AU84" s="54">
        <f>IF(MOD(S_normal27[[#This Row],[Indeks (base 0)]],AS$8)=0,NA(),_xlfn.POISSON.DIST(S_normal27[[#This Row],[X base]],$H$5,FALSE))</f>
        <v>0.14936120510359185</v>
      </c>
      <c r="AV84" s="99" t="b">
        <f>S_normal27[[#This Row],[X base]]&lt;AS$5</f>
        <v>1</v>
      </c>
      <c r="AW84" s="99" t="b">
        <f>S_normal27[[#This Row],[X base]]=AS$5</f>
        <v>0</v>
      </c>
      <c r="AX84" s="99" t="b">
        <f>S_normal27[[#This Row],[X base]]&gt;AS$5</f>
        <v>0</v>
      </c>
      <c r="AY84" s="99">
        <f>IF(S_normal27[[#This Row],[Mindre end]],S_normal27[[#This Row],[Poissonfordeling]],NA())</f>
        <v>0.14936120510359185</v>
      </c>
      <c r="AZ84" s="99" t="e">
        <f>IF(S_normal27[[#This Row],[Lig med]],S_normal27[[#This Row],[Poissonfordeling]],NA())</f>
        <v>#N/A</v>
      </c>
      <c r="BA84" s="99" t="e">
        <f>IF(S_normal27[[#This Row],[Større end]],S_normal27[[#This Row],[Poissonfordeling]],NA())</f>
        <v>#N/A</v>
      </c>
      <c r="BB84" s="85" t="str">
        <f>_xlfn.IFNA(IF(MOD(S_normal27[[#This Row],[Indeks (base 0)]],AS$8)=ROUNDDOWN(AS$8/2,0),S_normal27[[#This Row],[X base]],""),"")</f>
        <v/>
      </c>
      <c r="BC84" s="99" t="str">
        <f t="shared" si="22"/>
        <v xml:space="preserve"> </v>
      </c>
    </row>
    <row r="85" spans="20:55" x14ac:dyDescent="0.2">
      <c r="T85" s="54">
        <f t="shared" si="16"/>
        <v>72</v>
      </c>
      <c r="U85" s="54">
        <f>S_normal[[#This Row],[Indeks (base 0)]]+1</f>
        <v>73</v>
      </c>
      <c r="V85" s="99">
        <f t="shared" si="14"/>
        <v>-1.3654514841206618</v>
      </c>
      <c r="W85" s="99">
        <f t="shared" si="17"/>
        <v>0.1570537130277106</v>
      </c>
      <c r="X85" s="99" t="b">
        <f>S_normal[[#This Row],[X base]]&lt;U$7</f>
        <v>1</v>
      </c>
      <c r="Y85" s="99" t="b">
        <f>S_normal[[#This Row],[X base]]&gt;U$7</f>
        <v>0</v>
      </c>
      <c r="Z85" s="99">
        <f>IF(S_normal[[#This Row],[Mindre end]],S_normal[[#This Row],[Normalfordeling]],NA())</f>
        <v>0.1570537130277106</v>
      </c>
      <c r="AA85" s="99" t="e">
        <f>IF(S_normal[[#This Row],[Større end]],S_normal[[#This Row],[Normalfordeling]],NA())</f>
        <v>#N/A</v>
      </c>
      <c r="AB85" s="72" t="str">
        <f>_xlfn.IFNA(IF(S_normal[[#This Row],[Indeks (base 0)]]=ROUND((ROUND(S_normal[[#This Row],[X base]],0)-U$8)/(U$9-U$8)*U$4,0),S_normal[[#This Row],[X base]]*B$6+B$5,""),"")</f>
        <v/>
      </c>
      <c r="AC85" s="99" t="str">
        <f t="shared" si="15"/>
        <v xml:space="preserve"> </v>
      </c>
      <c r="AE85" s="54">
        <f t="shared" si="18"/>
        <v>72</v>
      </c>
      <c r="AF85" s="54">
        <f>S_binomial[[#This Row],[Indeks (base 0)]]+1</f>
        <v>73</v>
      </c>
      <c r="AG85" s="99">
        <f t="shared" si="19"/>
        <v>0</v>
      </c>
      <c r="AH85" s="99">
        <f>IF(MOD(S_binomial[[#This Row],[Indeks (base 0)]],AF$7)=0,NA(),_xlfn.BINOM.DIST(S_binomial[[#This Row],[X base]],E$5,E$6,FALSE))</f>
        <v>7.529536000000004E-6</v>
      </c>
      <c r="AI85" s="99" t="b">
        <f>S_binomial[[#This Row],[X base]]&lt;AF$5</f>
        <v>1</v>
      </c>
      <c r="AJ85" s="99" t="b">
        <f>S_binomial[[#This Row],[X base]]=AF$5</f>
        <v>0</v>
      </c>
      <c r="AK85" s="99" t="b">
        <f>S_binomial[[#This Row],[X base]]&gt;AF$5</f>
        <v>0</v>
      </c>
      <c r="AL85" s="99">
        <f>IF(S_binomial[[#This Row],[Mindre end]],S_binomial[[#This Row],[Binomialfordeling]],NA())</f>
        <v>7.529536000000004E-6</v>
      </c>
      <c r="AM85" s="99" t="e">
        <f>IF(S_binomial[[#This Row],[Lig med]],S_binomial[[#This Row],[Binomialfordeling]],NA())</f>
        <v>#N/A</v>
      </c>
      <c r="AN85" s="99" t="e">
        <f>IF(S_binomial[[#This Row],[Større end]],S_binomial[[#This Row],[Binomialfordeling]],NA())</f>
        <v>#N/A</v>
      </c>
      <c r="AO85" s="85" t="str">
        <f>_xlfn.IFNA(IF(MOD(S_binomial[[#This Row],[Indeks (base 0)]],AF$7)=ROUNDDOWN(AF$7/2,0),S_binomial[[#This Row],[X base]],""),"")</f>
        <v/>
      </c>
      <c r="AP85" s="99" t="str">
        <f t="shared" si="20"/>
        <v xml:space="preserve"> </v>
      </c>
      <c r="AR85" s="54">
        <f t="shared" si="21"/>
        <v>72</v>
      </c>
      <c r="AS85" s="54">
        <f>S_normal27[[#This Row],[Indeks (base 0)]]+1</f>
        <v>73</v>
      </c>
      <c r="AT85" s="54">
        <f t="shared" si="23"/>
        <v>1</v>
      </c>
      <c r="AU85" s="54">
        <f>IF(MOD(S_normal27[[#This Row],[Indeks (base 0)]],AS$8)=0,NA(),_xlfn.POISSON.DIST(S_normal27[[#This Row],[X base]],$H$5,FALSE))</f>
        <v>0.14936120510359185</v>
      </c>
      <c r="AV85" s="99" t="b">
        <f>S_normal27[[#This Row],[X base]]&lt;AS$5</f>
        <v>1</v>
      </c>
      <c r="AW85" s="99" t="b">
        <f>S_normal27[[#This Row],[X base]]=AS$5</f>
        <v>0</v>
      </c>
      <c r="AX85" s="99" t="b">
        <f>S_normal27[[#This Row],[X base]]&gt;AS$5</f>
        <v>0</v>
      </c>
      <c r="AY85" s="99">
        <f>IF(S_normal27[[#This Row],[Mindre end]],S_normal27[[#This Row],[Poissonfordeling]],NA())</f>
        <v>0.14936120510359185</v>
      </c>
      <c r="AZ85" s="99" t="e">
        <f>IF(S_normal27[[#This Row],[Lig med]],S_normal27[[#This Row],[Poissonfordeling]],NA())</f>
        <v>#N/A</v>
      </c>
      <c r="BA85" s="99" t="e">
        <f>IF(S_normal27[[#This Row],[Større end]],S_normal27[[#This Row],[Poissonfordeling]],NA())</f>
        <v>#N/A</v>
      </c>
      <c r="BB85" s="85" t="str">
        <f>_xlfn.IFNA(IF(MOD(S_normal27[[#This Row],[Indeks (base 0)]],AS$8)=ROUNDDOWN(AS$8/2,0),S_normal27[[#This Row],[X base]],""),"")</f>
        <v/>
      </c>
      <c r="BC85" s="99" t="str">
        <f t="shared" si="22"/>
        <v xml:space="preserve"> </v>
      </c>
    </row>
    <row r="86" spans="20:55" x14ac:dyDescent="0.2">
      <c r="T86" s="54">
        <f t="shared" si="16"/>
        <v>73</v>
      </c>
      <c r="U86" s="54">
        <f>S_normal[[#This Row],[Indeks (base 0)]]+1</f>
        <v>74</v>
      </c>
      <c r="V86" s="99">
        <f t="shared" si="14"/>
        <v>-1.3414961949255624</v>
      </c>
      <c r="W86" s="99">
        <f t="shared" si="17"/>
        <v>0.16222929330418059</v>
      </c>
      <c r="X86" s="99" t="b">
        <f>S_normal[[#This Row],[X base]]&lt;U$7</f>
        <v>1</v>
      </c>
      <c r="Y86" s="99" t="b">
        <f>S_normal[[#This Row],[X base]]&gt;U$7</f>
        <v>0</v>
      </c>
      <c r="Z86" s="99">
        <f>IF(S_normal[[#This Row],[Mindre end]],S_normal[[#This Row],[Normalfordeling]],NA())</f>
        <v>0.16222929330418059</v>
      </c>
      <c r="AA86" s="99" t="e">
        <f>IF(S_normal[[#This Row],[Større end]],S_normal[[#This Row],[Normalfordeling]],NA())</f>
        <v>#N/A</v>
      </c>
      <c r="AB86" s="72" t="str">
        <f>_xlfn.IFNA(IF(S_normal[[#This Row],[Indeks (base 0)]]=ROUND((ROUND(S_normal[[#This Row],[X base]],0)-U$8)/(U$9-U$8)*U$4,0),S_normal[[#This Row],[X base]]*B$6+B$5,""),"")</f>
        <v/>
      </c>
      <c r="AC86" s="99" t="str">
        <f t="shared" si="15"/>
        <v xml:space="preserve"> </v>
      </c>
      <c r="AE86" s="54">
        <f t="shared" si="18"/>
        <v>73</v>
      </c>
      <c r="AF86" s="54">
        <f>S_binomial[[#This Row],[Indeks (base 0)]]+1</f>
        <v>74</v>
      </c>
      <c r="AG86" s="99">
        <f t="shared" si="19"/>
        <v>0</v>
      </c>
      <c r="AH86" s="99">
        <f>IF(MOD(S_binomial[[#This Row],[Indeks (base 0)]],AF$7)=0,NA(),_xlfn.BINOM.DIST(S_binomial[[#This Row],[X base]],E$5,E$6,FALSE))</f>
        <v>7.529536000000004E-6</v>
      </c>
      <c r="AI86" s="99" t="b">
        <f>S_binomial[[#This Row],[X base]]&lt;AF$5</f>
        <v>1</v>
      </c>
      <c r="AJ86" s="99" t="b">
        <f>S_binomial[[#This Row],[X base]]=AF$5</f>
        <v>0</v>
      </c>
      <c r="AK86" s="99" t="b">
        <f>S_binomial[[#This Row],[X base]]&gt;AF$5</f>
        <v>0</v>
      </c>
      <c r="AL86" s="99">
        <f>IF(S_binomial[[#This Row],[Mindre end]],S_binomial[[#This Row],[Binomialfordeling]],NA())</f>
        <v>7.529536000000004E-6</v>
      </c>
      <c r="AM86" s="99" t="e">
        <f>IF(S_binomial[[#This Row],[Lig med]],S_binomial[[#This Row],[Binomialfordeling]],NA())</f>
        <v>#N/A</v>
      </c>
      <c r="AN86" s="99" t="e">
        <f>IF(S_binomial[[#This Row],[Større end]],S_binomial[[#This Row],[Binomialfordeling]],NA())</f>
        <v>#N/A</v>
      </c>
      <c r="AO86" s="85" t="str">
        <f>_xlfn.IFNA(IF(MOD(S_binomial[[#This Row],[Indeks (base 0)]],AF$7)=ROUNDDOWN(AF$7/2,0),S_binomial[[#This Row],[X base]],""),"")</f>
        <v/>
      </c>
      <c r="AP86" s="99" t="str">
        <f t="shared" si="20"/>
        <v xml:space="preserve"> </v>
      </c>
      <c r="AR86" s="54">
        <f t="shared" si="21"/>
        <v>73</v>
      </c>
      <c r="AS86" s="54">
        <f>S_normal27[[#This Row],[Indeks (base 0)]]+1</f>
        <v>74</v>
      </c>
      <c r="AT86" s="54">
        <f t="shared" si="23"/>
        <v>1</v>
      </c>
      <c r="AU86" s="54">
        <f>IF(MOD(S_normal27[[#This Row],[Indeks (base 0)]],AS$8)=0,NA(),_xlfn.POISSON.DIST(S_normal27[[#This Row],[X base]],$H$5,FALSE))</f>
        <v>0.14936120510359185</v>
      </c>
      <c r="AV86" s="99" t="b">
        <f>S_normal27[[#This Row],[X base]]&lt;AS$5</f>
        <v>1</v>
      </c>
      <c r="AW86" s="99" t="b">
        <f>S_normal27[[#This Row],[X base]]=AS$5</f>
        <v>0</v>
      </c>
      <c r="AX86" s="99" t="b">
        <f>S_normal27[[#This Row],[X base]]&gt;AS$5</f>
        <v>0</v>
      </c>
      <c r="AY86" s="99">
        <f>IF(S_normal27[[#This Row],[Mindre end]],S_normal27[[#This Row],[Poissonfordeling]],NA())</f>
        <v>0.14936120510359185</v>
      </c>
      <c r="AZ86" s="99" t="e">
        <f>IF(S_normal27[[#This Row],[Lig med]],S_normal27[[#This Row],[Poissonfordeling]],NA())</f>
        <v>#N/A</v>
      </c>
      <c r="BA86" s="99" t="e">
        <f>IF(S_normal27[[#This Row],[Større end]],S_normal27[[#This Row],[Poissonfordeling]],NA())</f>
        <v>#N/A</v>
      </c>
      <c r="BB86" s="85" t="str">
        <f>_xlfn.IFNA(IF(MOD(S_normal27[[#This Row],[Indeks (base 0)]],AS$8)=ROUNDDOWN(AS$8/2,0),S_normal27[[#This Row],[X base]],""),"")</f>
        <v/>
      </c>
      <c r="BC86" s="99" t="str">
        <f t="shared" si="22"/>
        <v xml:space="preserve"> </v>
      </c>
    </row>
    <row r="87" spans="20:55" x14ac:dyDescent="0.2">
      <c r="T87" s="54">
        <f t="shared" si="16"/>
        <v>74</v>
      </c>
      <c r="U87" s="54">
        <f>S_normal[[#This Row],[Indeks (base 0)]]+1</f>
        <v>75</v>
      </c>
      <c r="V87" s="99">
        <f t="shared" si="14"/>
        <v>-1.317540905730463</v>
      </c>
      <c r="W87" s="99">
        <f t="shared" si="17"/>
        <v>0.16747929415535215</v>
      </c>
      <c r="X87" s="99" t="b">
        <f>S_normal[[#This Row],[X base]]&lt;U$7</f>
        <v>1</v>
      </c>
      <c r="Y87" s="99" t="b">
        <f>S_normal[[#This Row],[X base]]&gt;U$7</f>
        <v>0</v>
      </c>
      <c r="Z87" s="99">
        <f>IF(S_normal[[#This Row],[Mindre end]],S_normal[[#This Row],[Normalfordeling]],NA())</f>
        <v>0.16747929415535215</v>
      </c>
      <c r="AA87" s="99" t="e">
        <f>IF(S_normal[[#This Row],[Større end]],S_normal[[#This Row],[Normalfordeling]],NA())</f>
        <v>#N/A</v>
      </c>
      <c r="AB87" s="72" t="str">
        <f>_xlfn.IFNA(IF(S_normal[[#This Row],[Indeks (base 0)]]=ROUND((ROUND(S_normal[[#This Row],[X base]],0)-U$8)/(U$9-U$8)*U$4,0),S_normal[[#This Row],[X base]]*B$6+B$5,""),"")</f>
        <v/>
      </c>
      <c r="AC87" s="99" t="str">
        <f t="shared" si="15"/>
        <v xml:space="preserve"> </v>
      </c>
      <c r="AE87" s="54">
        <f t="shared" si="18"/>
        <v>74</v>
      </c>
      <c r="AF87" s="54">
        <f>S_binomial[[#This Row],[Indeks (base 0)]]+1</f>
        <v>75</v>
      </c>
      <c r="AG87" s="99">
        <f t="shared" si="19"/>
        <v>0</v>
      </c>
      <c r="AH87" s="99">
        <f>IF(MOD(S_binomial[[#This Row],[Indeks (base 0)]],AF$7)=0,NA(),_xlfn.BINOM.DIST(S_binomial[[#This Row],[X base]],E$5,E$6,FALSE))</f>
        <v>7.529536000000004E-6</v>
      </c>
      <c r="AI87" s="99" t="b">
        <f>S_binomial[[#This Row],[X base]]&lt;AF$5</f>
        <v>1</v>
      </c>
      <c r="AJ87" s="99" t="b">
        <f>S_binomial[[#This Row],[X base]]=AF$5</f>
        <v>0</v>
      </c>
      <c r="AK87" s="99" t="b">
        <f>S_binomial[[#This Row],[X base]]&gt;AF$5</f>
        <v>0</v>
      </c>
      <c r="AL87" s="99">
        <f>IF(S_binomial[[#This Row],[Mindre end]],S_binomial[[#This Row],[Binomialfordeling]],NA())</f>
        <v>7.529536000000004E-6</v>
      </c>
      <c r="AM87" s="99" t="e">
        <f>IF(S_binomial[[#This Row],[Lig med]],S_binomial[[#This Row],[Binomialfordeling]],NA())</f>
        <v>#N/A</v>
      </c>
      <c r="AN87" s="99" t="e">
        <f>IF(S_binomial[[#This Row],[Større end]],S_binomial[[#This Row],[Binomialfordeling]],NA())</f>
        <v>#N/A</v>
      </c>
      <c r="AO87" s="85" t="str">
        <f>_xlfn.IFNA(IF(MOD(S_binomial[[#This Row],[Indeks (base 0)]],AF$7)=ROUNDDOWN(AF$7/2,0),S_binomial[[#This Row],[X base]],""),"")</f>
        <v/>
      </c>
      <c r="AP87" s="99" t="str">
        <f t="shared" si="20"/>
        <v xml:space="preserve"> </v>
      </c>
      <c r="AR87" s="54">
        <f t="shared" si="21"/>
        <v>74</v>
      </c>
      <c r="AS87" s="54">
        <f>S_normal27[[#This Row],[Indeks (base 0)]]+1</f>
        <v>75</v>
      </c>
      <c r="AT87" s="54">
        <f t="shared" si="23"/>
        <v>1</v>
      </c>
      <c r="AU87" s="54">
        <f>IF(MOD(S_normal27[[#This Row],[Indeks (base 0)]],AS$8)=0,NA(),_xlfn.POISSON.DIST(S_normal27[[#This Row],[X base]],$H$5,FALSE))</f>
        <v>0.14936120510359185</v>
      </c>
      <c r="AV87" s="99" t="b">
        <f>S_normal27[[#This Row],[X base]]&lt;AS$5</f>
        <v>1</v>
      </c>
      <c r="AW87" s="99" t="b">
        <f>S_normal27[[#This Row],[X base]]=AS$5</f>
        <v>0</v>
      </c>
      <c r="AX87" s="99" t="b">
        <f>S_normal27[[#This Row],[X base]]&gt;AS$5</f>
        <v>0</v>
      </c>
      <c r="AY87" s="99">
        <f>IF(S_normal27[[#This Row],[Mindre end]],S_normal27[[#This Row],[Poissonfordeling]],NA())</f>
        <v>0.14936120510359185</v>
      </c>
      <c r="AZ87" s="99" t="e">
        <f>IF(S_normal27[[#This Row],[Lig med]],S_normal27[[#This Row],[Poissonfordeling]],NA())</f>
        <v>#N/A</v>
      </c>
      <c r="BA87" s="99" t="e">
        <f>IF(S_normal27[[#This Row],[Større end]],S_normal27[[#This Row],[Poissonfordeling]],NA())</f>
        <v>#N/A</v>
      </c>
      <c r="BB87" s="85" t="str">
        <f>_xlfn.IFNA(IF(MOD(S_normal27[[#This Row],[Indeks (base 0)]],AS$8)=ROUNDDOWN(AS$8/2,0),S_normal27[[#This Row],[X base]],""),"")</f>
        <v/>
      </c>
      <c r="BC87" s="99" t="str">
        <f t="shared" si="22"/>
        <v xml:space="preserve"> </v>
      </c>
    </row>
    <row r="88" spans="20:55" x14ac:dyDescent="0.2">
      <c r="T88" s="54">
        <f t="shared" si="16"/>
        <v>75</v>
      </c>
      <c r="U88" s="54">
        <f>S_normal[[#This Row],[Indeks (base 0)]]+1</f>
        <v>76</v>
      </c>
      <c r="V88" s="99">
        <f t="shared" si="14"/>
        <v>-1.2935856165353636</v>
      </c>
      <c r="W88" s="99">
        <f t="shared" si="17"/>
        <v>0.17280000272227752</v>
      </c>
      <c r="X88" s="99" t="b">
        <f>S_normal[[#This Row],[X base]]&lt;U$7</f>
        <v>1</v>
      </c>
      <c r="Y88" s="99" t="b">
        <f>S_normal[[#This Row],[X base]]&gt;U$7</f>
        <v>0</v>
      </c>
      <c r="Z88" s="99">
        <f>IF(S_normal[[#This Row],[Mindre end]],S_normal[[#This Row],[Normalfordeling]],NA())</f>
        <v>0.17280000272227752</v>
      </c>
      <c r="AA88" s="99" t="e">
        <f>IF(S_normal[[#This Row],[Større end]],S_normal[[#This Row],[Normalfordeling]],NA())</f>
        <v>#N/A</v>
      </c>
      <c r="AB88" s="72" t="str">
        <f>_xlfn.IFNA(IF(S_normal[[#This Row],[Indeks (base 0)]]=ROUND((ROUND(S_normal[[#This Row],[X base]],0)-U$8)/(U$9-U$8)*U$4,0),S_normal[[#This Row],[X base]]*B$6+B$5,""),"")</f>
        <v/>
      </c>
      <c r="AC88" s="99" t="str">
        <f t="shared" si="15"/>
        <v xml:space="preserve"> </v>
      </c>
      <c r="AE88" s="54">
        <f t="shared" si="18"/>
        <v>75</v>
      </c>
      <c r="AF88" s="54">
        <f>S_binomial[[#This Row],[Indeks (base 0)]]+1</f>
        <v>76</v>
      </c>
      <c r="AG88" s="99">
        <f t="shared" si="19"/>
        <v>0</v>
      </c>
      <c r="AH88" s="99">
        <f>IF(MOD(S_binomial[[#This Row],[Indeks (base 0)]],AF$7)=0,NA(),_xlfn.BINOM.DIST(S_binomial[[#This Row],[X base]],E$5,E$6,FALSE))</f>
        <v>7.529536000000004E-6</v>
      </c>
      <c r="AI88" s="99" t="b">
        <f>S_binomial[[#This Row],[X base]]&lt;AF$5</f>
        <v>1</v>
      </c>
      <c r="AJ88" s="99" t="b">
        <f>S_binomial[[#This Row],[X base]]=AF$5</f>
        <v>0</v>
      </c>
      <c r="AK88" s="99" t="b">
        <f>S_binomial[[#This Row],[X base]]&gt;AF$5</f>
        <v>0</v>
      </c>
      <c r="AL88" s="99">
        <f>IF(S_binomial[[#This Row],[Mindre end]],S_binomial[[#This Row],[Binomialfordeling]],NA())</f>
        <v>7.529536000000004E-6</v>
      </c>
      <c r="AM88" s="99" t="e">
        <f>IF(S_binomial[[#This Row],[Lig med]],S_binomial[[#This Row],[Binomialfordeling]],NA())</f>
        <v>#N/A</v>
      </c>
      <c r="AN88" s="99" t="e">
        <f>IF(S_binomial[[#This Row],[Større end]],S_binomial[[#This Row],[Binomialfordeling]],NA())</f>
        <v>#N/A</v>
      </c>
      <c r="AO88" s="85" t="str">
        <f>_xlfn.IFNA(IF(MOD(S_binomial[[#This Row],[Indeks (base 0)]],AF$7)=ROUNDDOWN(AF$7/2,0),S_binomial[[#This Row],[X base]],""),"")</f>
        <v/>
      </c>
      <c r="AP88" s="99" t="str">
        <f t="shared" si="20"/>
        <v xml:space="preserve"> </v>
      </c>
      <c r="AR88" s="54">
        <f t="shared" si="21"/>
        <v>75</v>
      </c>
      <c r="AS88" s="54">
        <f>S_normal27[[#This Row],[Indeks (base 0)]]+1</f>
        <v>76</v>
      </c>
      <c r="AT88" s="54">
        <f t="shared" si="23"/>
        <v>1</v>
      </c>
      <c r="AU88" s="54">
        <f>IF(MOD(S_normal27[[#This Row],[Indeks (base 0)]],AS$8)=0,NA(),_xlfn.POISSON.DIST(S_normal27[[#This Row],[X base]],$H$5,FALSE))</f>
        <v>0.14936120510359185</v>
      </c>
      <c r="AV88" s="99" t="b">
        <f>S_normal27[[#This Row],[X base]]&lt;AS$5</f>
        <v>1</v>
      </c>
      <c r="AW88" s="99" t="b">
        <f>S_normal27[[#This Row],[X base]]=AS$5</f>
        <v>0</v>
      </c>
      <c r="AX88" s="99" t="b">
        <f>S_normal27[[#This Row],[X base]]&gt;AS$5</f>
        <v>0</v>
      </c>
      <c r="AY88" s="99">
        <f>IF(S_normal27[[#This Row],[Mindre end]],S_normal27[[#This Row],[Poissonfordeling]],NA())</f>
        <v>0.14936120510359185</v>
      </c>
      <c r="AZ88" s="99" t="e">
        <f>IF(S_normal27[[#This Row],[Lig med]],S_normal27[[#This Row],[Poissonfordeling]],NA())</f>
        <v>#N/A</v>
      </c>
      <c r="BA88" s="99" t="e">
        <f>IF(S_normal27[[#This Row],[Større end]],S_normal27[[#This Row],[Poissonfordeling]],NA())</f>
        <v>#N/A</v>
      </c>
      <c r="BB88" s="85" t="str">
        <f>_xlfn.IFNA(IF(MOD(S_normal27[[#This Row],[Indeks (base 0)]],AS$8)=ROUNDDOWN(AS$8/2,0),S_normal27[[#This Row],[X base]],""),"")</f>
        <v/>
      </c>
      <c r="BC88" s="99" t="str">
        <f t="shared" si="22"/>
        <v xml:space="preserve"> </v>
      </c>
    </row>
    <row r="89" spans="20:55" x14ac:dyDescent="0.2">
      <c r="T89" s="54">
        <f t="shared" si="16"/>
        <v>76</v>
      </c>
      <c r="U89" s="54">
        <f>S_normal[[#This Row],[Indeks (base 0)]]+1</f>
        <v>77</v>
      </c>
      <c r="V89" s="99">
        <f t="shared" si="14"/>
        <v>-1.2696303273402643</v>
      </c>
      <c r="W89" s="99">
        <f t="shared" si="17"/>
        <v>0.17818746348109932</v>
      </c>
      <c r="X89" s="99" t="b">
        <f>S_normal[[#This Row],[X base]]&lt;U$7</f>
        <v>1</v>
      </c>
      <c r="Y89" s="99" t="b">
        <f>S_normal[[#This Row],[X base]]&gt;U$7</f>
        <v>0</v>
      </c>
      <c r="Z89" s="99">
        <f>IF(S_normal[[#This Row],[Mindre end]],S_normal[[#This Row],[Normalfordeling]],NA())</f>
        <v>0.17818746348109932</v>
      </c>
      <c r="AA89" s="99" t="e">
        <f>IF(S_normal[[#This Row],[Større end]],S_normal[[#This Row],[Normalfordeling]],NA())</f>
        <v>#N/A</v>
      </c>
      <c r="AB89" s="72" t="str">
        <f>_xlfn.IFNA(IF(S_normal[[#This Row],[Indeks (base 0)]]=ROUND((ROUND(S_normal[[#This Row],[X base]],0)-U$8)/(U$9-U$8)*U$4,0),S_normal[[#This Row],[X base]]*B$6+B$5,""),"")</f>
        <v/>
      </c>
      <c r="AC89" s="99" t="str">
        <f t="shared" si="15"/>
        <v xml:space="preserve"> </v>
      </c>
      <c r="AE89" s="54">
        <f t="shared" si="18"/>
        <v>76</v>
      </c>
      <c r="AF89" s="54">
        <f>S_binomial[[#This Row],[Indeks (base 0)]]+1</f>
        <v>77</v>
      </c>
      <c r="AG89" s="99">
        <f t="shared" si="19"/>
        <v>0</v>
      </c>
      <c r="AH89" s="99">
        <f>IF(MOD(S_binomial[[#This Row],[Indeks (base 0)]],AF$7)=0,NA(),_xlfn.BINOM.DIST(S_binomial[[#This Row],[X base]],E$5,E$6,FALSE))</f>
        <v>7.529536000000004E-6</v>
      </c>
      <c r="AI89" s="99" t="b">
        <f>S_binomial[[#This Row],[X base]]&lt;AF$5</f>
        <v>1</v>
      </c>
      <c r="AJ89" s="99" t="b">
        <f>S_binomial[[#This Row],[X base]]=AF$5</f>
        <v>0</v>
      </c>
      <c r="AK89" s="99" t="b">
        <f>S_binomial[[#This Row],[X base]]&gt;AF$5</f>
        <v>0</v>
      </c>
      <c r="AL89" s="99">
        <f>IF(S_binomial[[#This Row],[Mindre end]],S_binomial[[#This Row],[Binomialfordeling]],NA())</f>
        <v>7.529536000000004E-6</v>
      </c>
      <c r="AM89" s="99" t="e">
        <f>IF(S_binomial[[#This Row],[Lig med]],S_binomial[[#This Row],[Binomialfordeling]],NA())</f>
        <v>#N/A</v>
      </c>
      <c r="AN89" s="99" t="e">
        <f>IF(S_binomial[[#This Row],[Større end]],S_binomial[[#This Row],[Binomialfordeling]],NA())</f>
        <v>#N/A</v>
      </c>
      <c r="AO89" s="85" t="str">
        <f>_xlfn.IFNA(IF(MOD(S_binomial[[#This Row],[Indeks (base 0)]],AF$7)=ROUNDDOWN(AF$7/2,0),S_binomial[[#This Row],[X base]],""),"")</f>
        <v/>
      </c>
      <c r="AP89" s="99" t="str">
        <f t="shared" si="20"/>
        <v xml:space="preserve"> </v>
      </c>
      <c r="AR89" s="54">
        <f t="shared" si="21"/>
        <v>76</v>
      </c>
      <c r="AS89" s="54">
        <f>S_normal27[[#This Row],[Indeks (base 0)]]+1</f>
        <v>77</v>
      </c>
      <c r="AT89" s="54">
        <f t="shared" si="23"/>
        <v>1</v>
      </c>
      <c r="AU89" s="54">
        <f>IF(MOD(S_normal27[[#This Row],[Indeks (base 0)]],AS$8)=0,NA(),_xlfn.POISSON.DIST(S_normal27[[#This Row],[X base]],$H$5,FALSE))</f>
        <v>0.14936120510359185</v>
      </c>
      <c r="AV89" s="99" t="b">
        <f>S_normal27[[#This Row],[X base]]&lt;AS$5</f>
        <v>1</v>
      </c>
      <c r="AW89" s="99" t="b">
        <f>S_normal27[[#This Row],[X base]]=AS$5</f>
        <v>0</v>
      </c>
      <c r="AX89" s="99" t="b">
        <f>S_normal27[[#This Row],[X base]]&gt;AS$5</f>
        <v>0</v>
      </c>
      <c r="AY89" s="99">
        <f>IF(S_normal27[[#This Row],[Mindre end]],S_normal27[[#This Row],[Poissonfordeling]],NA())</f>
        <v>0.14936120510359185</v>
      </c>
      <c r="AZ89" s="99" t="e">
        <f>IF(S_normal27[[#This Row],[Lig med]],S_normal27[[#This Row],[Poissonfordeling]],NA())</f>
        <v>#N/A</v>
      </c>
      <c r="BA89" s="99" t="e">
        <f>IF(S_normal27[[#This Row],[Større end]],S_normal27[[#This Row],[Poissonfordeling]],NA())</f>
        <v>#N/A</v>
      </c>
      <c r="BB89" s="85" t="str">
        <f>_xlfn.IFNA(IF(MOD(S_normal27[[#This Row],[Indeks (base 0)]],AS$8)=ROUNDDOWN(AS$8/2,0),S_normal27[[#This Row],[X base]],""),"")</f>
        <v/>
      </c>
      <c r="BC89" s="99" t="str">
        <f t="shared" si="22"/>
        <v xml:space="preserve"> </v>
      </c>
    </row>
    <row r="90" spans="20:55" x14ac:dyDescent="0.2">
      <c r="T90" s="54">
        <f t="shared" si="16"/>
        <v>77</v>
      </c>
      <c r="U90" s="54">
        <f>S_normal[[#This Row],[Indeks (base 0)]]+1</f>
        <v>78</v>
      </c>
      <c r="V90" s="99">
        <f t="shared" si="14"/>
        <v>-1.2456750381451651</v>
      </c>
      <c r="W90" s="99">
        <f t="shared" si="17"/>
        <v>0.18363747975432293</v>
      </c>
      <c r="X90" s="99" t="b">
        <f>S_normal[[#This Row],[X base]]&lt;U$7</f>
        <v>1</v>
      </c>
      <c r="Y90" s="99" t="b">
        <f>S_normal[[#This Row],[X base]]&gt;U$7</f>
        <v>0</v>
      </c>
      <c r="Z90" s="99">
        <f>IF(S_normal[[#This Row],[Mindre end]],S_normal[[#This Row],[Normalfordeling]],NA())</f>
        <v>0.18363747975432293</v>
      </c>
      <c r="AA90" s="99" t="e">
        <f>IF(S_normal[[#This Row],[Større end]],S_normal[[#This Row],[Normalfordeling]],NA())</f>
        <v>#N/A</v>
      </c>
      <c r="AB90" s="72" t="str">
        <f>_xlfn.IFNA(IF(S_normal[[#This Row],[Indeks (base 0)]]=ROUND((ROUND(S_normal[[#This Row],[X base]],0)-U$8)/(U$9-U$8)*U$4,0),S_normal[[#This Row],[X base]]*B$6+B$5,""),"")</f>
        <v/>
      </c>
      <c r="AC90" s="99" t="str">
        <f t="shared" si="15"/>
        <v xml:space="preserve"> </v>
      </c>
      <c r="AE90" s="54">
        <f t="shared" si="18"/>
        <v>77</v>
      </c>
      <c r="AF90" s="54">
        <f>S_binomial[[#This Row],[Indeks (base 0)]]+1</f>
        <v>78</v>
      </c>
      <c r="AG90" s="99">
        <f t="shared" si="19"/>
        <v>0</v>
      </c>
      <c r="AH90" s="99">
        <f>IF(MOD(S_binomial[[#This Row],[Indeks (base 0)]],AF$7)=0,NA(),_xlfn.BINOM.DIST(S_binomial[[#This Row],[X base]],E$5,E$6,FALSE))</f>
        <v>7.529536000000004E-6</v>
      </c>
      <c r="AI90" s="99" t="b">
        <f>S_binomial[[#This Row],[X base]]&lt;AF$5</f>
        <v>1</v>
      </c>
      <c r="AJ90" s="99" t="b">
        <f>S_binomial[[#This Row],[X base]]=AF$5</f>
        <v>0</v>
      </c>
      <c r="AK90" s="99" t="b">
        <f>S_binomial[[#This Row],[X base]]&gt;AF$5</f>
        <v>0</v>
      </c>
      <c r="AL90" s="99">
        <f>IF(S_binomial[[#This Row],[Mindre end]],S_binomial[[#This Row],[Binomialfordeling]],NA())</f>
        <v>7.529536000000004E-6</v>
      </c>
      <c r="AM90" s="99" t="e">
        <f>IF(S_binomial[[#This Row],[Lig med]],S_binomial[[#This Row],[Binomialfordeling]],NA())</f>
        <v>#N/A</v>
      </c>
      <c r="AN90" s="99" t="e">
        <f>IF(S_binomial[[#This Row],[Større end]],S_binomial[[#This Row],[Binomialfordeling]],NA())</f>
        <v>#N/A</v>
      </c>
      <c r="AO90" s="85" t="str">
        <f>_xlfn.IFNA(IF(MOD(S_binomial[[#This Row],[Indeks (base 0)]],AF$7)=ROUNDDOWN(AF$7/2,0),S_binomial[[#This Row],[X base]],""),"")</f>
        <v/>
      </c>
      <c r="AP90" s="99" t="str">
        <f t="shared" si="20"/>
        <v xml:space="preserve"> </v>
      </c>
      <c r="AR90" s="54">
        <f t="shared" si="21"/>
        <v>77</v>
      </c>
      <c r="AS90" s="54">
        <f>S_normal27[[#This Row],[Indeks (base 0)]]+1</f>
        <v>78</v>
      </c>
      <c r="AT90" s="54">
        <f t="shared" si="23"/>
        <v>1</v>
      </c>
      <c r="AU90" s="54">
        <f>IF(MOD(S_normal27[[#This Row],[Indeks (base 0)]],AS$8)=0,NA(),_xlfn.POISSON.DIST(S_normal27[[#This Row],[X base]],$H$5,FALSE))</f>
        <v>0.14936120510359185</v>
      </c>
      <c r="AV90" s="99" t="b">
        <f>S_normal27[[#This Row],[X base]]&lt;AS$5</f>
        <v>1</v>
      </c>
      <c r="AW90" s="99" t="b">
        <f>S_normal27[[#This Row],[X base]]=AS$5</f>
        <v>0</v>
      </c>
      <c r="AX90" s="99" t="b">
        <f>S_normal27[[#This Row],[X base]]&gt;AS$5</f>
        <v>0</v>
      </c>
      <c r="AY90" s="99">
        <f>IF(S_normal27[[#This Row],[Mindre end]],S_normal27[[#This Row],[Poissonfordeling]],NA())</f>
        <v>0.14936120510359185</v>
      </c>
      <c r="AZ90" s="99" t="e">
        <f>IF(S_normal27[[#This Row],[Lig med]],S_normal27[[#This Row],[Poissonfordeling]],NA())</f>
        <v>#N/A</v>
      </c>
      <c r="BA90" s="99" t="e">
        <f>IF(S_normal27[[#This Row],[Større end]],S_normal27[[#This Row],[Poissonfordeling]],NA())</f>
        <v>#N/A</v>
      </c>
      <c r="BB90" s="85" t="str">
        <f>_xlfn.IFNA(IF(MOD(S_normal27[[#This Row],[Indeks (base 0)]],AS$8)=ROUNDDOWN(AS$8/2,0),S_normal27[[#This Row],[X base]],""),"")</f>
        <v/>
      </c>
      <c r="BC90" s="99" t="str">
        <f t="shared" si="22"/>
        <v xml:space="preserve"> </v>
      </c>
    </row>
    <row r="91" spans="20:55" x14ac:dyDescent="0.2">
      <c r="T91" s="54">
        <f t="shared" si="16"/>
        <v>78</v>
      </c>
      <c r="U91" s="54">
        <f>S_normal[[#This Row],[Indeks (base 0)]]+1</f>
        <v>79</v>
      </c>
      <c r="V91" s="99">
        <f t="shared" si="14"/>
        <v>-1.2217197489500657</v>
      </c>
      <c r="W91" s="99">
        <f t="shared" si="17"/>
        <v>0.18914561597203963</v>
      </c>
      <c r="X91" s="99" t="b">
        <f>S_normal[[#This Row],[X base]]&lt;U$7</f>
        <v>1</v>
      </c>
      <c r="Y91" s="99" t="b">
        <f>S_normal[[#This Row],[X base]]&gt;U$7</f>
        <v>0</v>
      </c>
      <c r="Z91" s="99">
        <f>IF(S_normal[[#This Row],[Mindre end]],S_normal[[#This Row],[Normalfordeling]],NA())</f>
        <v>0.18914561597203963</v>
      </c>
      <c r="AA91" s="99" t="e">
        <f>IF(S_normal[[#This Row],[Større end]],S_normal[[#This Row],[Normalfordeling]],NA())</f>
        <v>#N/A</v>
      </c>
      <c r="AB91" s="72" t="str">
        <f>_xlfn.IFNA(IF(S_normal[[#This Row],[Indeks (base 0)]]=ROUND((ROUND(S_normal[[#This Row],[X base]],0)-U$8)/(U$9-U$8)*U$4,0),S_normal[[#This Row],[X base]]*B$6+B$5,""),"")</f>
        <v/>
      </c>
      <c r="AC91" s="99" t="str">
        <f t="shared" si="15"/>
        <v xml:space="preserve"> </v>
      </c>
      <c r="AE91" s="54">
        <f t="shared" si="18"/>
        <v>78</v>
      </c>
      <c r="AF91" s="54">
        <f>S_binomial[[#This Row],[Indeks (base 0)]]+1</f>
        <v>79</v>
      </c>
      <c r="AG91" s="99">
        <f t="shared" si="19"/>
        <v>0</v>
      </c>
      <c r="AH91" s="99">
        <f>IF(MOD(S_binomial[[#This Row],[Indeks (base 0)]],AF$7)=0,NA(),_xlfn.BINOM.DIST(S_binomial[[#This Row],[X base]],E$5,E$6,FALSE))</f>
        <v>7.529536000000004E-6</v>
      </c>
      <c r="AI91" s="99" t="b">
        <f>S_binomial[[#This Row],[X base]]&lt;AF$5</f>
        <v>1</v>
      </c>
      <c r="AJ91" s="99" t="b">
        <f>S_binomial[[#This Row],[X base]]=AF$5</f>
        <v>0</v>
      </c>
      <c r="AK91" s="99" t="b">
        <f>S_binomial[[#This Row],[X base]]&gt;AF$5</f>
        <v>0</v>
      </c>
      <c r="AL91" s="99">
        <f>IF(S_binomial[[#This Row],[Mindre end]],S_binomial[[#This Row],[Binomialfordeling]],NA())</f>
        <v>7.529536000000004E-6</v>
      </c>
      <c r="AM91" s="99" t="e">
        <f>IF(S_binomial[[#This Row],[Lig med]],S_binomial[[#This Row],[Binomialfordeling]],NA())</f>
        <v>#N/A</v>
      </c>
      <c r="AN91" s="99" t="e">
        <f>IF(S_binomial[[#This Row],[Større end]],S_binomial[[#This Row],[Binomialfordeling]],NA())</f>
        <v>#N/A</v>
      </c>
      <c r="AO91" s="85" t="str">
        <f>_xlfn.IFNA(IF(MOD(S_binomial[[#This Row],[Indeks (base 0)]],AF$7)=ROUNDDOWN(AF$7/2,0),S_binomial[[#This Row],[X base]],""),"")</f>
        <v/>
      </c>
      <c r="AP91" s="99" t="str">
        <f t="shared" si="20"/>
        <v xml:space="preserve"> </v>
      </c>
      <c r="AR91" s="54">
        <f t="shared" si="21"/>
        <v>78</v>
      </c>
      <c r="AS91" s="54">
        <f>S_normal27[[#This Row],[Indeks (base 0)]]+1</f>
        <v>79</v>
      </c>
      <c r="AT91" s="54">
        <f t="shared" si="23"/>
        <v>1</v>
      </c>
      <c r="AU91" s="54">
        <f>IF(MOD(S_normal27[[#This Row],[Indeks (base 0)]],AS$8)=0,NA(),_xlfn.POISSON.DIST(S_normal27[[#This Row],[X base]],$H$5,FALSE))</f>
        <v>0.14936120510359185</v>
      </c>
      <c r="AV91" s="99" t="b">
        <f>S_normal27[[#This Row],[X base]]&lt;AS$5</f>
        <v>1</v>
      </c>
      <c r="AW91" s="99" t="b">
        <f>S_normal27[[#This Row],[X base]]=AS$5</f>
        <v>0</v>
      </c>
      <c r="AX91" s="99" t="b">
        <f>S_normal27[[#This Row],[X base]]&gt;AS$5</f>
        <v>0</v>
      </c>
      <c r="AY91" s="99">
        <f>IF(S_normal27[[#This Row],[Mindre end]],S_normal27[[#This Row],[Poissonfordeling]],NA())</f>
        <v>0.14936120510359185</v>
      </c>
      <c r="AZ91" s="99" t="e">
        <f>IF(S_normal27[[#This Row],[Lig med]],S_normal27[[#This Row],[Poissonfordeling]],NA())</f>
        <v>#N/A</v>
      </c>
      <c r="BA91" s="99" t="e">
        <f>IF(S_normal27[[#This Row],[Større end]],S_normal27[[#This Row],[Poissonfordeling]],NA())</f>
        <v>#N/A</v>
      </c>
      <c r="BB91" s="85" t="str">
        <f>_xlfn.IFNA(IF(MOD(S_normal27[[#This Row],[Indeks (base 0)]],AS$8)=ROUNDDOWN(AS$8/2,0),S_normal27[[#This Row],[X base]],""),"")</f>
        <v/>
      </c>
      <c r="BC91" s="99" t="str">
        <f t="shared" si="22"/>
        <v xml:space="preserve"> </v>
      </c>
    </row>
    <row r="92" spans="20:55" x14ac:dyDescent="0.2">
      <c r="T92" s="54">
        <f t="shared" si="16"/>
        <v>79</v>
      </c>
      <c r="U92" s="54">
        <f>S_normal[[#This Row],[Indeks (base 0)]]+1</f>
        <v>80</v>
      </c>
      <c r="V92" s="99">
        <f t="shared" si="14"/>
        <v>-1.1977644597549664</v>
      </c>
      <c r="W92" s="99">
        <f t="shared" si="17"/>
        <v>0.19470720069857361</v>
      </c>
      <c r="X92" s="99" t="b">
        <f>S_normal[[#This Row],[X base]]&lt;U$7</f>
        <v>1</v>
      </c>
      <c r="Y92" s="99" t="b">
        <f>S_normal[[#This Row],[X base]]&gt;U$7</f>
        <v>0</v>
      </c>
      <c r="Z92" s="99">
        <f>IF(S_normal[[#This Row],[Mindre end]],S_normal[[#This Row],[Normalfordeling]],NA())</f>
        <v>0.19470720069857361</v>
      </c>
      <c r="AA92" s="99" t="e">
        <f>IF(S_normal[[#This Row],[Større end]],S_normal[[#This Row],[Normalfordeling]],NA())</f>
        <v>#N/A</v>
      </c>
      <c r="AB92" s="72" t="str">
        <f>_xlfn.IFNA(IF(S_normal[[#This Row],[Indeks (base 0)]]=ROUND((ROUND(S_normal[[#This Row],[X base]],0)-U$8)/(U$9-U$8)*U$4,0),S_normal[[#This Row],[X base]]*B$6+B$5,""),"")</f>
        <v/>
      </c>
      <c r="AC92" s="99" t="str">
        <f t="shared" si="15"/>
        <v xml:space="preserve"> </v>
      </c>
      <c r="AE92" s="54">
        <f t="shared" si="18"/>
        <v>79</v>
      </c>
      <c r="AF92" s="54">
        <f>S_binomial[[#This Row],[Indeks (base 0)]]+1</f>
        <v>80</v>
      </c>
      <c r="AG92" s="99">
        <f t="shared" si="19"/>
        <v>0</v>
      </c>
      <c r="AH92" s="99">
        <f>IF(MOD(S_binomial[[#This Row],[Indeks (base 0)]],AF$7)=0,NA(),_xlfn.BINOM.DIST(S_binomial[[#This Row],[X base]],E$5,E$6,FALSE))</f>
        <v>7.529536000000004E-6</v>
      </c>
      <c r="AI92" s="99" t="b">
        <f>S_binomial[[#This Row],[X base]]&lt;AF$5</f>
        <v>1</v>
      </c>
      <c r="AJ92" s="99" t="b">
        <f>S_binomial[[#This Row],[X base]]=AF$5</f>
        <v>0</v>
      </c>
      <c r="AK92" s="99" t="b">
        <f>S_binomial[[#This Row],[X base]]&gt;AF$5</f>
        <v>0</v>
      </c>
      <c r="AL92" s="99">
        <f>IF(S_binomial[[#This Row],[Mindre end]],S_binomial[[#This Row],[Binomialfordeling]],NA())</f>
        <v>7.529536000000004E-6</v>
      </c>
      <c r="AM92" s="99" t="e">
        <f>IF(S_binomial[[#This Row],[Lig med]],S_binomial[[#This Row],[Binomialfordeling]],NA())</f>
        <v>#N/A</v>
      </c>
      <c r="AN92" s="99" t="e">
        <f>IF(S_binomial[[#This Row],[Større end]],S_binomial[[#This Row],[Binomialfordeling]],NA())</f>
        <v>#N/A</v>
      </c>
      <c r="AO92" s="85" t="str">
        <f>_xlfn.IFNA(IF(MOD(S_binomial[[#This Row],[Indeks (base 0)]],AF$7)=ROUNDDOWN(AF$7/2,0),S_binomial[[#This Row],[X base]],""),"")</f>
        <v/>
      </c>
      <c r="AP92" s="99" t="str">
        <f t="shared" si="20"/>
        <v xml:space="preserve"> </v>
      </c>
      <c r="AR92" s="54">
        <f t="shared" si="21"/>
        <v>79</v>
      </c>
      <c r="AS92" s="54">
        <f>S_normal27[[#This Row],[Indeks (base 0)]]+1</f>
        <v>80</v>
      </c>
      <c r="AT92" s="54">
        <f t="shared" si="23"/>
        <v>1</v>
      </c>
      <c r="AU92" s="54">
        <f>IF(MOD(S_normal27[[#This Row],[Indeks (base 0)]],AS$8)=0,NA(),_xlfn.POISSON.DIST(S_normal27[[#This Row],[X base]],$H$5,FALSE))</f>
        <v>0.14936120510359185</v>
      </c>
      <c r="AV92" s="99" t="b">
        <f>S_normal27[[#This Row],[X base]]&lt;AS$5</f>
        <v>1</v>
      </c>
      <c r="AW92" s="99" t="b">
        <f>S_normal27[[#This Row],[X base]]=AS$5</f>
        <v>0</v>
      </c>
      <c r="AX92" s="99" t="b">
        <f>S_normal27[[#This Row],[X base]]&gt;AS$5</f>
        <v>0</v>
      </c>
      <c r="AY92" s="99">
        <f>IF(S_normal27[[#This Row],[Mindre end]],S_normal27[[#This Row],[Poissonfordeling]],NA())</f>
        <v>0.14936120510359185</v>
      </c>
      <c r="AZ92" s="99" t="e">
        <f>IF(S_normal27[[#This Row],[Lig med]],S_normal27[[#This Row],[Poissonfordeling]],NA())</f>
        <v>#N/A</v>
      </c>
      <c r="BA92" s="99" t="e">
        <f>IF(S_normal27[[#This Row],[Større end]],S_normal27[[#This Row],[Poissonfordeling]],NA())</f>
        <v>#N/A</v>
      </c>
      <c r="BB92" s="85" t="str">
        <f>_xlfn.IFNA(IF(MOD(S_normal27[[#This Row],[Indeks (base 0)]],AS$8)=ROUNDDOWN(AS$8/2,0),S_normal27[[#This Row],[X base]],""),"")</f>
        <v/>
      </c>
      <c r="BC92" s="99" t="str">
        <f t="shared" si="22"/>
        <v xml:space="preserve"> </v>
      </c>
    </row>
    <row r="93" spans="20:55" x14ac:dyDescent="0.2">
      <c r="T93" s="54">
        <f t="shared" si="16"/>
        <v>80</v>
      </c>
      <c r="U93" s="54">
        <f>S_normal[[#This Row],[Indeks (base 0)]]+1</f>
        <v>81</v>
      </c>
      <c r="V93" s="99">
        <f t="shared" si="14"/>
        <v>-1.173809170559867</v>
      </c>
      <c r="W93" s="99">
        <f t="shared" si="17"/>
        <v>0.20031733043738451</v>
      </c>
      <c r="X93" s="99" t="b">
        <f>S_normal[[#This Row],[X base]]&lt;U$7</f>
        <v>1</v>
      </c>
      <c r="Y93" s="99" t="b">
        <f>S_normal[[#This Row],[X base]]&gt;U$7</f>
        <v>0</v>
      </c>
      <c r="Z93" s="99">
        <f>IF(S_normal[[#This Row],[Mindre end]],S_normal[[#This Row],[Normalfordeling]],NA())</f>
        <v>0.20031733043738451</v>
      </c>
      <c r="AA93" s="99" t="e">
        <f>IF(S_normal[[#This Row],[Større end]],S_normal[[#This Row],[Normalfordeling]],NA())</f>
        <v>#N/A</v>
      </c>
      <c r="AB93" s="72" t="str">
        <f>_xlfn.IFNA(IF(S_normal[[#This Row],[Indeks (base 0)]]=ROUND((ROUND(S_normal[[#This Row],[X base]],0)-U$8)/(U$9-U$8)*U$4,0),S_normal[[#This Row],[X base]]*B$6+B$5,""),"")</f>
        <v/>
      </c>
      <c r="AC93" s="99" t="str">
        <f t="shared" si="15"/>
        <v xml:space="preserve"> </v>
      </c>
      <c r="AE93" s="54">
        <f t="shared" si="18"/>
        <v>80</v>
      </c>
      <c r="AF93" s="54">
        <f>S_binomial[[#This Row],[Indeks (base 0)]]+1</f>
        <v>81</v>
      </c>
      <c r="AG93" s="99">
        <f t="shared" si="19"/>
        <v>0</v>
      </c>
      <c r="AH93" s="99">
        <f>IF(MOD(S_binomial[[#This Row],[Indeks (base 0)]],AF$7)=0,NA(),_xlfn.BINOM.DIST(S_binomial[[#This Row],[X base]],E$5,E$6,FALSE))</f>
        <v>7.529536000000004E-6</v>
      </c>
      <c r="AI93" s="99" t="b">
        <f>S_binomial[[#This Row],[X base]]&lt;AF$5</f>
        <v>1</v>
      </c>
      <c r="AJ93" s="99" t="b">
        <f>S_binomial[[#This Row],[X base]]=AF$5</f>
        <v>0</v>
      </c>
      <c r="AK93" s="99" t="b">
        <f>S_binomial[[#This Row],[X base]]&gt;AF$5</f>
        <v>0</v>
      </c>
      <c r="AL93" s="99">
        <f>IF(S_binomial[[#This Row],[Mindre end]],S_binomial[[#This Row],[Binomialfordeling]],NA())</f>
        <v>7.529536000000004E-6</v>
      </c>
      <c r="AM93" s="99" t="e">
        <f>IF(S_binomial[[#This Row],[Lig med]],S_binomial[[#This Row],[Binomialfordeling]],NA())</f>
        <v>#N/A</v>
      </c>
      <c r="AN93" s="99" t="e">
        <f>IF(S_binomial[[#This Row],[Større end]],S_binomial[[#This Row],[Binomialfordeling]],NA())</f>
        <v>#N/A</v>
      </c>
      <c r="AO93" s="85" t="str">
        <f>_xlfn.IFNA(IF(MOD(S_binomial[[#This Row],[Indeks (base 0)]],AF$7)=ROUNDDOWN(AF$7/2,0),S_binomial[[#This Row],[X base]],""),"")</f>
        <v/>
      </c>
      <c r="AP93" s="99" t="str">
        <f t="shared" si="20"/>
        <v xml:space="preserve"> </v>
      </c>
      <c r="AR93" s="54">
        <f t="shared" si="21"/>
        <v>80</v>
      </c>
      <c r="AS93" s="54">
        <f>S_normal27[[#This Row],[Indeks (base 0)]]+1</f>
        <v>81</v>
      </c>
      <c r="AT93" s="54">
        <f t="shared" si="23"/>
        <v>1</v>
      </c>
      <c r="AU93" s="54">
        <f>IF(MOD(S_normal27[[#This Row],[Indeks (base 0)]],AS$8)=0,NA(),_xlfn.POISSON.DIST(S_normal27[[#This Row],[X base]],$H$5,FALSE))</f>
        <v>0.14936120510359185</v>
      </c>
      <c r="AV93" s="99" t="b">
        <f>S_normal27[[#This Row],[X base]]&lt;AS$5</f>
        <v>1</v>
      </c>
      <c r="AW93" s="99" t="b">
        <f>S_normal27[[#This Row],[X base]]=AS$5</f>
        <v>0</v>
      </c>
      <c r="AX93" s="99" t="b">
        <f>S_normal27[[#This Row],[X base]]&gt;AS$5</f>
        <v>0</v>
      </c>
      <c r="AY93" s="99">
        <f>IF(S_normal27[[#This Row],[Mindre end]],S_normal27[[#This Row],[Poissonfordeling]],NA())</f>
        <v>0.14936120510359185</v>
      </c>
      <c r="AZ93" s="99" t="e">
        <f>IF(S_normal27[[#This Row],[Lig med]],S_normal27[[#This Row],[Poissonfordeling]],NA())</f>
        <v>#N/A</v>
      </c>
      <c r="BA93" s="99" t="e">
        <f>IF(S_normal27[[#This Row],[Større end]],S_normal27[[#This Row],[Poissonfordeling]],NA())</f>
        <v>#N/A</v>
      </c>
      <c r="BB93" s="85" t="str">
        <f>_xlfn.IFNA(IF(MOD(S_normal27[[#This Row],[Indeks (base 0)]],AS$8)=ROUNDDOWN(AS$8/2,0),S_normal27[[#This Row],[X base]],""),"")</f>
        <v/>
      </c>
      <c r="BC93" s="99" t="str">
        <f t="shared" si="22"/>
        <v xml:space="preserve"> </v>
      </c>
    </row>
    <row r="94" spans="20:55" x14ac:dyDescent="0.2">
      <c r="T94" s="54">
        <f t="shared" si="16"/>
        <v>81</v>
      </c>
      <c r="U94" s="54">
        <f>S_normal[[#This Row],[Indeks (base 0)]]+1</f>
        <v>82</v>
      </c>
      <c r="V94" s="99">
        <f t="shared" si="14"/>
        <v>-1.1498538813647676</v>
      </c>
      <c r="W94" s="99">
        <f t="shared" si="17"/>
        <v>0.2059708742242739</v>
      </c>
      <c r="X94" s="99" t="b">
        <f>S_normal[[#This Row],[X base]]&lt;U$7</f>
        <v>1</v>
      </c>
      <c r="Y94" s="99" t="b">
        <f>S_normal[[#This Row],[X base]]&gt;U$7</f>
        <v>0</v>
      </c>
      <c r="Z94" s="99">
        <f>IF(S_normal[[#This Row],[Mindre end]],S_normal[[#This Row],[Normalfordeling]],NA())</f>
        <v>0.2059708742242739</v>
      </c>
      <c r="AA94" s="99" t="e">
        <f>IF(S_normal[[#This Row],[Større end]],S_normal[[#This Row],[Normalfordeling]],NA())</f>
        <v>#N/A</v>
      </c>
      <c r="AB94" s="72" t="str">
        <f>_xlfn.IFNA(IF(S_normal[[#This Row],[Indeks (base 0)]]=ROUND((ROUND(S_normal[[#This Row],[X base]],0)-U$8)/(U$9-U$8)*U$4,0),S_normal[[#This Row],[X base]]*B$6+B$5,""),"")</f>
        <v/>
      </c>
      <c r="AC94" s="99" t="str">
        <f t="shared" si="15"/>
        <v xml:space="preserve"> </v>
      </c>
      <c r="AE94" s="54">
        <f t="shared" si="18"/>
        <v>81</v>
      </c>
      <c r="AF94" s="54">
        <f>S_binomial[[#This Row],[Indeks (base 0)]]+1</f>
        <v>82</v>
      </c>
      <c r="AG94" s="99">
        <f t="shared" si="19"/>
        <v>0</v>
      </c>
      <c r="AH94" s="99">
        <f>IF(MOD(S_binomial[[#This Row],[Indeks (base 0)]],AF$7)=0,NA(),_xlfn.BINOM.DIST(S_binomial[[#This Row],[X base]],E$5,E$6,FALSE))</f>
        <v>7.529536000000004E-6</v>
      </c>
      <c r="AI94" s="99" t="b">
        <f>S_binomial[[#This Row],[X base]]&lt;AF$5</f>
        <v>1</v>
      </c>
      <c r="AJ94" s="99" t="b">
        <f>S_binomial[[#This Row],[X base]]=AF$5</f>
        <v>0</v>
      </c>
      <c r="AK94" s="99" t="b">
        <f>S_binomial[[#This Row],[X base]]&gt;AF$5</f>
        <v>0</v>
      </c>
      <c r="AL94" s="99">
        <f>IF(S_binomial[[#This Row],[Mindre end]],S_binomial[[#This Row],[Binomialfordeling]],NA())</f>
        <v>7.529536000000004E-6</v>
      </c>
      <c r="AM94" s="99" t="e">
        <f>IF(S_binomial[[#This Row],[Lig med]],S_binomial[[#This Row],[Binomialfordeling]],NA())</f>
        <v>#N/A</v>
      </c>
      <c r="AN94" s="99" t="e">
        <f>IF(S_binomial[[#This Row],[Større end]],S_binomial[[#This Row],[Binomialfordeling]],NA())</f>
        <v>#N/A</v>
      </c>
      <c r="AO94" s="85" t="str">
        <f>_xlfn.IFNA(IF(MOD(S_binomial[[#This Row],[Indeks (base 0)]],AF$7)=ROUNDDOWN(AF$7/2,0),S_binomial[[#This Row],[X base]],""),"")</f>
        <v/>
      </c>
      <c r="AP94" s="99" t="str">
        <f t="shared" si="20"/>
        <v xml:space="preserve"> </v>
      </c>
      <c r="AR94" s="54">
        <f t="shared" si="21"/>
        <v>81</v>
      </c>
      <c r="AS94" s="54">
        <f>S_normal27[[#This Row],[Indeks (base 0)]]+1</f>
        <v>82</v>
      </c>
      <c r="AT94" s="54">
        <f t="shared" si="23"/>
        <v>1</v>
      </c>
      <c r="AU94" s="54">
        <f>IF(MOD(S_normal27[[#This Row],[Indeks (base 0)]],AS$8)=0,NA(),_xlfn.POISSON.DIST(S_normal27[[#This Row],[X base]],$H$5,FALSE))</f>
        <v>0.14936120510359185</v>
      </c>
      <c r="AV94" s="99" t="b">
        <f>S_normal27[[#This Row],[X base]]&lt;AS$5</f>
        <v>1</v>
      </c>
      <c r="AW94" s="99" t="b">
        <f>S_normal27[[#This Row],[X base]]=AS$5</f>
        <v>0</v>
      </c>
      <c r="AX94" s="99" t="b">
        <f>S_normal27[[#This Row],[X base]]&gt;AS$5</f>
        <v>0</v>
      </c>
      <c r="AY94" s="99">
        <f>IF(S_normal27[[#This Row],[Mindre end]],S_normal27[[#This Row],[Poissonfordeling]],NA())</f>
        <v>0.14936120510359185</v>
      </c>
      <c r="AZ94" s="99" t="e">
        <f>IF(S_normal27[[#This Row],[Lig med]],S_normal27[[#This Row],[Poissonfordeling]],NA())</f>
        <v>#N/A</v>
      </c>
      <c r="BA94" s="99" t="e">
        <f>IF(S_normal27[[#This Row],[Større end]],S_normal27[[#This Row],[Poissonfordeling]],NA())</f>
        <v>#N/A</v>
      </c>
      <c r="BB94" s="85" t="str">
        <f>_xlfn.IFNA(IF(MOD(S_normal27[[#This Row],[Indeks (base 0)]],AS$8)=ROUNDDOWN(AS$8/2,0),S_normal27[[#This Row],[X base]],""),"")</f>
        <v/>
      </c>
      <c r="BC94" s="99" t="str">
        <f t="shared" si="22"/>
        <v xml:space="preserve"> </v>
      </c>
    </row>
    <row r="95" spans="20:55" x14ac:dyDescent="0.2">
      <c r="T95" s="54">
        <f t="shared" si="16"/>
        <v>82</v>
      </c>
      <c r="U95" s="54">
        <f>S_normal[[#This Row],[Indeks (base 0)]]+1</f>
        <v>83</v>
      </c>
      <c r="V95" s="99">
        <f t="shared" si="14"/>
        <v>-1.1258985921696685</v>
      </c>
      <c r="W95" s="99">
        <f t="shared" si="17"/>
        <v>0.21166247901603158</v>
      </c>
      <c r="X95" s="99" t="b">
        <f>S_normal[[#This Row],[X base]]&lt;U$7</f>
        <v>1</v>
      </c>
      <c r="Y95" s="99" t="b">
        <f>S_normal[[#This Row],[X base]]&gt;U$7</f>
        <v>0</v>
      </c>
      <c r="Z95" s="99">
        <f>IF(S_normal[[#This Row],[Mindre end]],S_normal[[#This Row],[Normalfordeling]],NA())</f>
        <v>0.21166247901603158</v>
      </c>
      <c r="AA95" s="99" t="e">
        <f>IF(S_normal[[#This Row],[Større end]],S_normal[[#This Row],[Normalfordeling]],NA())</f>
        <v>#N/A</v>
      </c>
      <c r="AB95" s="72" t="str">
        <f>_xlfn.IFNA(IF(S_normal[[#This Row],[Indeks (base 0)]]=ROUND((ROUND(S_normal[[#This Row],[X base]],0)-U$8)/(U$9-U$8)*U$4,0),S_normal[[#This Row],[X base]]*B$6+B$5,""),"")</f>
        <v/>
      </c>
      <c r="AC95" s="99" t="str">
        <f t="shared" si="15"/>
        <v xml:space="preserve"> </v>
      </c>
      <c r="AE95" s="54">
        <f t="shared" si="18"/>
        <v>82</v>
      </c>
      <c r="AF95" s="54">
        <f>S_binomial[[#This Row],[Indeks (base 0)]]+1</f>
        <v>83</v>
      </c>
      <c r="AG95" s="99">
        <f t="shared" si="19"/>
        <v>0</v>
      </c>
      <c r="AH95" s="99">
        <f>IF(MOD(S_binomial[[#This Row],[Indeks (base 0)]],AF$7)=0,NA(),_xlfn.BINOM.DIST(S_binomial[[#This Row],[X base]],E$5,E$6,FALSE))</f>
        <v>7.529536000000004E-6</v>
      </c>
      <c r="AI95" s="99" t="b">
        <f>S_binomial[[#This Row],[X base]]&lt;AF$5</f>
        <v>1</v>
      </c>
      <c r="AJ95" s="99" t="b">
        <f>S_binomial[[#This Row],[X base]]=AF$5</f>
        <v>0</v>
      </c>
      <c r="AK95" s="99" t="b">
        <f>S_binomial[[#This Row],[X base]]&gt;AF$5</f>
        <v>0</v>
      </c>
      <c r="AL95" s="99">
        <f>IF(S_binomial[[#This Row],[Mindre end]],S_binomial[[#This Row],[Binomialfordeling]],NA())</f>
        <v>7.529536000000004E-6</v>
      </c>
      <c r="AM95" s="99" t="e">
        <f>IF(S_binomial[[#This Row],[Lig med]],S_binomial[[#This Row],[Binomialfordeling]],NA())</f>
        <v>#N/A</v>
      </c>
      <c r="AN95" s="99" t="e">
        <f>IF(S_binomial[[#This Row],[Større end]],S_binomial[[#This Row],[Binomialfordeling]],NA())</f>
        <v>#N/A</v>
      </c>
      <c r="AO95" s="85" t="str">
        <f>_xlfn.IFNA(IF(MOD(S_binomial[[#This Row],[Indeks (base 0)]],AF$7)=ROUNDDOWN(AF$7/2,0),S_binomial[[#This Row],[X base]],""),"")</f>
        <v/>
      </c>
      <c r="AP95" s="99" t="str">
        <f t="shared" si="20"/>
        <v xml:space="preserve"> </v>
      </c>
      <c r="AR95" s="54">
        <f t="shared" si="21"/>
        <v>82</v>
      </c>
      <c r="AS95" s="54">
        <f>S_normal27[[#This Row],[Indeks (base 0)]]+1</f>
        <v>83</v>
      </c>
      <c r="AT95" s="54">
        <f t="shared" si="23"/>
        <v>1</v>
      </c>
      <c r="AU95" s="54">
        <f>IF(MOD(S_normal27[[#This Row],[Indeks (base 0)]],AS$8)=0,NA(),_xlfn.POISSON.DIST(S_normal27[[#This Row],[X base]],$H$5,FALSE))</f>
        <v>0.14936120510359185</v>
      </c>
      <c r="AV95" s="99" t="b">
        <f>S_normal27[[#This Row],[X base]]&lt;AS$5</f>
        <v>1</v>
      </c>
      <c r="AW95" s="99" t="b">
        <f>S_normal27[[#This Row],[X base]]=AS$5</f>
        <v>0</v>
      </c>
      <c r="AX95" s="99" t="b">
        <f>S_normal27[[#This Row],[X base]]&gt;AS$5</f>
        <v>0</v>
      </c>
      <c r="AY95" s="99">
        <f>IF(S_normal27[[#This Row],[Mindre end]],S_normal27[[#This Row],[Poissonfordeling]],NA())</f>
        <v>0.14936120510359185</v>
      </c>
      <c r="AZ95" s="99" t="e">
        <f>IF(S_normal27[[#This Row],[Lig med]],S_normal27[[#This Row],[Poissonfordeling]],NA())</f>
        <v>#N/A</v>
      </c>
      <c r="BA95" s="99" t="e">
        <f>IF(S_normal27[[#This Row],[Større end]],S_normal27[[#This Row],[Poissonfordeling]],NA())</f>
        <v>#N/A</v>
      </c>
      <c r="BB95" s="85" t="str">
        <f>_xlfn.IFNA(IF(MOD(S_normal27[[#This Row],[Indeks (base 0)]],AS$8)=ROUNDDOWN(AS$8/2,0),S_normal27[[#This Row],[X base]],""),"")</f>
        <v/>
      </c>
      <c r="BC95" s="99" t="str">
        <f t="shared" si="22"/>
        <v xml:space="preserve"> </v>
      </c>
    </row>
    <row r="96" spans="20:55" x14ac:dyDescent="0.2">
      <c r="T96" s="54">
        <f t="shared" si="16"/>
        <v>83</v>
      </c>
      <c r="U96" s="54">
        <f>S_normal[[#This Row],[Indeks (base 0)]]+1</f>
        <v>84</v>
      </c>
      <c r="V96" s="99">
        <f t="shared" si="14"/>
        <v>-1.1019433029745691</v>
      </c>
      <c r="W96" s="99">
        <f t="shared" si="17"/>
        <v>0.21738657587862623</v>
      </c>
      <c r="X96" s="99" t="b">
        <f>S_normal[[#This Row],[X base]]&lt;U$7</f>
        <v>1</v>
      </c>
      <c r="Y96" s="99" t="b">
        <f>S_normal[[#This Row],[X base]]&gt;U$7</f>
        <v>0</v>
      </c>
      <c r="Z96" s="99">
        <f>IF(S_normal[[#This Row],[Mindre end]],S_normal[[#This Row],[Normalfordeling]],NA())</f>
        <v>0.21738657587862623</v>
      </c>
      <c r="AA96" s="99" t="e">
        <f>IF(S_normal[[#This Row],[Større end]],S_normal[[#This Row],[Normalfordeling]],NA())</f>
        <v>#N/A</v>
      </c>
      <c r="AB96" s="72" t="str">
        <f>_xlfn.IFNA(IF(S_normal[[#This Row],[Indeks (base 0)]]=ROUND((ROUND(S_normal[[#This Row],[X base]],0)-U$8)/(U$9-U$8)*U$4,0),S_normal[[#This Row],[X base]]*B$6+B$5,""),"")</f>
        <v/>
      </c>
      <c r="AC96" s="99" t="str">
        <f t="shared" si="15"/>
        <v xml:space="preserve"> </v>
      </c>
      <c r="AE96" s="54">
        <f t="shared" si="18"/>
        <v>83</v>
      </c>
      <c r="AF96" s="54">
        <f>S_binomial[[#This Row],[Indeks (base 0)]]+1</f>
        <v>84</v>
      </c>
      <c r="AG96" s="99">
        <f t="shared" si="19"/>
        <v>0</v>
      </c>
      <c r="AH96" s="99">
        <f>IF(MOD(S_binomial[[#This Row],[Indeks (base 0)]],AF$7)=0,NA(),_xlfn.BINOM.DIST(S_binomial[[#This Row],[X base]],E$5,E$6,FALSE))</f>
        <v>7.529536000000004E-6</v>
      </c>
      <c r="AI96" s="99" t="b">
        <f>S_binomial[[#This Row],[X base]]&lt;AF$5</f>
        <v>1</v>
      </c>
      <c r="AJ96" s="99" t="b">
        <f>S_binomial[[#This Row],[X base]]=AF$5</f>
        <v>0</v>
      </c>
      <c r="AK96" s="99" t="b">
        <f>S_binomial[[#This Row],[X base]]&gt;AF$5</f>
        <v>0</v>
      </c>
      <c r="AL96" s="99">
        <f>IF(S_binomial[[#This Row],[Mindre end]],S_binomial[[#This Row],[Binomialfordeling]],NA())</f>
        <v>7.529536000000004E-6</v>
      </c>
      <c r="AM96" s="99" t="e">
        <f>IF(S_binomial[[#This Row],[Lig med]],S_binomial[[#This Row],[Binomialfordeling]],NA())</f>
        <v>#N/A</v>
      </c>
      <c r="AN96" s="99" t="e">
        <f>IF(S_binomial[[#This Row],[Større end]],S_binomial[[#This Row],[Binomialfordeling]],NA())</f>
        <v>#N/A</v>
      </c>
      <c r="AO96" s="85" t="str">
        <f>_xlfn.IFNA(IF(MOD(S_binomial[[#This Row],[Indeks (base 0)]],AF$7)=ROUNDDOWN(AF$7/2,0),S_binomial[[#This Row],[X base]],""),"")</f>
        <v/>
      </c>
      <c r="AP96" s="99" t="str">
        <f t="shared" si="20"/>
        <v xml:space="preserve"> </v>
      </c>
      <c r="AR96" s="54">
        <f t="shared" si="21"/>
        <v>83</v>
      </c>
      <c r="AS96" s="54">
        <f>S_normal27[[#This Row],[Indeks (base 0)]]+1</f>
        <v>84</v>
      </c>
      <c r="AT96" s="54">
        <f t="shared" si="23"/>
        <v>1</v>
      </c>
      <c r="AU96" s="54">
        <f>IF(MOD(S_normal27[[#This Row],[Indeks (base 0)]],AS$8)=0,NA(),_xlfn.POISSON.DIST(S_normal27[[#This Row],[X base]],$H$5,FALSE))</f>
        <v>0.14936120510359185</v>
      </c>
      <c r="AV96" s="99" t="b">
        <f>S_normal27[[#This Row],[X base]]&lt;AS$5</f>
        <v>1</v>
      </c>
      <c r="AW96" s="99" t="b">
        <f>S_normal27[[#This Row],[X base]]=AS$5</f>
        <v>0</v>
      </c>
      <c r="AX96" s="99" t="b">
        <f>S_normal27[[#This Row],[X base]]&gt;AS$5</f>
        <v>0</v>
      </c>
      <c r="AY96" s="99">
        <f>IF(S_normal27[[#This Row],[Mindre end]],S_normal27[[#This Row],[Poissonfordeling]],NA())</f>
        <v>0.14936120510359185</v>
      </c>
      <c r="AZ96" s="99" t="e">
        <f>IF(S_normal27[[#This Row],[Lig med]],S_normal27[[#This Row],[Poissonfordeling]],NA())</f>
        <v>#N/A</v>
      </c>
      <c r="BA96" s="99" t="e">
        <f>IF(S_normal27[[#This Row],[Større end]],S_normal27[[#This Row],[Poissonfordeling]],NA())</f>
        <v>#N/A</v>
      </c>
      <c r="BB96" s="85" t="str">
        <f>_xlfn.IFNA(IF(MOD(S_normal27[[#This Row],[Indeks (base 0)]],AS$8)=ROUNDDOWN(AS$8/2,0),S_normal27[[#This Row],[X base]],""),"")</f>
        <v/>
      </c>
      <c r="BC96" s="99" t="str">
        <f t="shared" si="22"/>
        <v xml:space="preserve"> </v>
      </c>
    </row>
    <row r="97" spans="20:55" x14ac:dyDescent="0.2">
      <c r="T97" s="54">
        <f t="shared" si="16"/>
        <v>84</v>
      </c>
      <c r="U97" s="54">
        <f>S_normal[[#This Row],[Indeks (base 0)]]+1</f>
        <v>85</v>
      </c>
      <c r="V97" s="99">
        <f t="shared" si="14"/>
        <v>-1.07798801377947</v>
      </c>
      <c r="W97" s="99">
        <f t="shared" si="17"/>
        <v>0.22313738697590677</v>
      </c>
      <c r="X97" s="99" t="b">
        <f>S_normal[[#This Row],[X base]]&lt;U$7</f>
        <v>1</v>
      </c>
      <c r="Y97" s="99" t="b">
        <f>S_normal[[#This Row],[X base]]&gt;U$7</f>
        <v>0</v>
      </c>
      <c r="Z97" s="99">
        <f>IF(S_normal[[#This Row],[Mindre end]],S_normal[[#This Row],[Normalfordeling]],NA())</f>
        <v>0.22313738697590677</v>
      </c>
      <c r="AA97" s="99" t="e">
        <f>IF(S_normal[[#This Row],[Større end]],S_normal[[#This Row],[Normalfordeling]],NA())</f>
        <v>#N/A</v>
      </c>
      <c r="AB97" s="72" t="str">
        <f>_xlfn.IFNA(IF(S_normal[[#This Row],[Indeks (base 0)]]=ROUND((ROUND(S_normal[[#This Row],[X base]],0)-U$8)/(U$9-U$8)*U$4,0),S_normal[[#This Row],[X base]]*B$6+B$5,""),"")</f>
        <v/>
      </c>
      <c r="AC97" s="99" t="str">
        <f t="shared" si="15"/>
        <v xml:space="preserve"> </v>
      </c>
      <c r="AE97" s="54">
        <f t="shared" si="18"/>
        <v>84</v>
      </c>
      <c r="AF97" s="54">
        <f>S_binomial[[#This Row],[Indeks (base 0)]]+1</f>
        <v>85</v>
      </c>
      <c r="AG97" s="99">
        <f t="shared" si="19"/>
        <v>0</v>
      </c>
      <c r="AH97" s="99">
        <f>IF(MOD(S_binomial[[#This Row],[Indeks (base 0)]],AF$7)=0,NA(),_xlfn.BINOM.DIST(S_binomial[[#This Row],[X base]],E$5,E$6,FALSE))</f>
        <v>7.529536000000004E-6</v>
      </c>
      <c r="AI97" s="99" t="b">
        <f>S_binomial[[#This Row],[X base]]&lt;AF$5</f>
        <v>1</v>
      </c>
      <c r="AJ97" s="99" t="b">
        <f>S_binomial[[#This Row],[X base]]=AF$5</f>
        <v>0</v>
      </c>
      <c r="AK97" s="99" t="b">
        <f>S_binomial[[#This Row],[X base]]&gt;AF$5</f>
        <v>0</v>
      </c>
      <c r="AL97" s="99">
        <f>IF(S_binomial[[#This Row],[Mindre end]],S_binomial[[#This Row],[Binomialfordeling]],NA())</f>
        <v>7.529536000000004E-6</v>
      </c>
      <c r="AM97" s="99" t="e">
        <f>IF(S_binomial[[#This Row],[Lig med]],S_binomial[[#This Row],[Binomialfordeling]],NA())</f>
        <v>#N/A</v>
      </c>
      <c r="AN97" s="99" t="e">
        <f>IF(S_binomial[[#This Row],[Større end]],S_binomial[[#This Row],[Binomialfordeling]],NA())</f>
        <v>#N/A</v>
      </c>
      <c r="AO97" s="85" t="str">
        <f>_xlfn.IFNA(IF(MOD(S_binomial[[#This Row],[Indeks (base 0)]],AF$7)=ROUNDDOWN(AF$7/2,0),S_binomial[[#This Row],[X base]],""),"")</f>
        <v/>
      </c>
      <c r="AP97" s="99" t="str">
        <f t="shared" si="20"/>
        <v xml:space="preserve"> </v>
      </c>
      <c r="AR97" s="54">
        <f t="shared" si="21"/>
        <v>84</v>
      </c>
      <c r="AS97" s="54">
        <f>S_normal27[[#This Row],[Indeks (base 0)]]+1</f>
        <v>85</v>
      </c>
      <c r="AT97" s="54">
        <f t="shared" si="23"/>
        <v>1</v>
      </c>
      <c r="AU97" s="54">
        <f>IF(MOD(S_normal27[[#This Row],[Indeks (base 0)]],AS$8)=0,NA(),_xlfn.POISSON.DIST(S_normal27[[#This Row],[X base]],$H$5,FALSE))</f>
        <v>0.14936120510359185</v>
      </c>
      <c r="AV97" s="99" t="b">
        <f>S_normal27[[#This Row],[X base]]&lt;AS$5</f>
        <v>1</v>
      </c>
      <c r="AW97" s="99" t="b">
        <f>S_normal27[[#This Row],[X base]]=AS$5</f>
        <v>0</v>
      </c>
      <c r="AX97" s="99" t="b">
        <f>S_normal27[[#This Row],[X base]]&gt;AS$5</f>
        <v>0</v>
      </c>
      <c r="AY97" s="99">
        <f>IF(S_normal27[[#This Row],[Mindre end]],S_normal27[[#This Row],[Poissonfordeling]],NA())</f>
        <v>0.14936120510359185</v>
      </c>
      <c r="AZ97" s="99" t="e">
        <f>IF(S_normal27[[#This Row],[Lig med]],S_normal27[[#This Row],[Poissonfordeling]],NA())</f>
        <v>#N/A</v>
      </c>
      <c r="BA97" s="99" t="e">
        <f>IF(S_normal27[[#This Row],[Større end]],S_normal27[[#This Row],[Poissonfordeling]],NA())</f>
        <v>#N/A</v>
      </c>
      <c r="BB97" s="85" t="str">
        <f>_xlfn.IFNA(IF(MOD(S_normal27[[#This Row],[Indeks (base 0)]],AS$8)=ROUNDDOWN(AS$8/2,0),S_normal27[[#This Row],[X base]],""),"")</f>
        <v/>
      </c>
      <c r="BC97" s="99" t="str">
        <f t="shared" si="22"/>
        <v xml:space="preserve"> </v>
      </c>
    </row>
    <row r="98" spans="20:55" x14ac:dyDescent="0.2">
      <c r="T98" s="54">
        <f t="shared" si="16"/>
        <v>85</v>
      </c>
      <c r="U98" s="54">
        <f>S_normal[[#This Row],[Indeks (base 0)]]+1</f>
        <v>86</v>
      </c>
      <c r="V98" s="99">
        <f t="shared" si="14"/>
        <v>-1.0540327245843706</v>
      </c>
      <c r="W98" s="99">
        <f t="shared" si="17"/>
        <v>0.22890893335654983</v>
      </c>
      <c r="X98" s="99" t="b">
        <f>S_normal[[#This Row],[X base]]&lt;U$7</f>
        <v>1</v>
      </c>
      <c r="Y98" s="99" t="b">
        <f>S_normal[[#This Row],[X base]]&gt;U$7</f>
        <v>0</v>
      </c>
      <c r="Z98" s="99">
        <f>IF(S_normal[[#This Row],[Mindre end]],S_normal[[#This Row],[Normalfordeling]],NA())</f>
        <v>0.22890893335654983</v>
      </c>
      <c r="AA98" s="99" t="e">
        <f>IF(S_normal[[#This Row],[Større end]],S_normal[[#This Row],[Normalfordeling]],NA())</f>
        <v>#N/A</v>
      </c>
      <c r="AB98" s="72" t="str">
        <f>_xlfn.IFNA(IF(S_normal[[#This Row],[Indeks (base 0)]]=ROUND((ROUND(S_normal[[#This Row],[X base]],0)-U$8)/(U$9-U$8)*U$4,0),S_normal[[#This Row],[X base]]*B$6+B$5,""),"")</f>
        <v/>
      </c>
      <c r="AC98" s="99" t="str">
        <f t="shared" si="15"/>
        <v xml:space="preserve"> </v>
      </c>
      <c r="AE98" s="54">
        <f t="shared" si="18"/>
        <v>85</v>
      </c>
      <c r="AF98" s="54">
        <f>S_binomial[[#This Row],[Indeks (base 0)]]+1</f>
        <v>86</v>
      </c>
      <c r="AG98" s="99">
        <f t="shared" si="19"/>
        <v>0</v>
      </c>
      <c r="AH98" s="99">
        <f>IF(MOD(S_binomial[[#This Row],[Indeks (base 0)]],AF$7)=0,NA(),_xlfn.BINOM.DIST(S_binomial[[#This Row],[X base]],E$5,E$6,FALSE))</f>
        <v>7.529536000000004E-6</v>
      </c>
      <c r="AI98" s="99" t="b">
        <f>S_binomial[[#This Row],[X base]]&lt;AF$5</f>
        <v>1</v>
      </c>
      <c r="AJ98" s="99" t="b">
        <f>S_binomial[[#This Row],[X base]]=AF$5</f>
        <v>0</v>
      </c>
      <c r="AK98" s="99" t="b">
        <f>S_binomial[[#This Row],[X base]]&gt;AF$5</f>
        <v>0</v>
      </c>
      <c r="AL98" s="99">
        <f>IF(S_binomial[[#This Row],[Mindre end]],S_binomial[[#This Row],[Binomialfordeling]],NA())</f>
        <v>7.529536000000004E-6</v>
      </c>
      <c r="AM98" s="99" t="e">
        <f>IF(S_binomial[[#This Row],[Lig med]],S_binomial[[#This Row],[Binomialfordeling]],NA())</f>
        <v>#N/A</v>
      </c>
      <c r="AN98" s="99" t="e">
        <f>IF(S_binomial[[#This Row],[Større end]],S_binomial[[#This Row],[Binomialfordeling]],NA())</f>
        <v>#N/A</v>
      </c>
      <c r="AO98" s="85" t="str">
        <f>_xlfn.IFNA(IF(MOD(S_binomial[[#This Row],[Indeks (base 0)]],AF$7)=ROUNDDOWN(AF$7/2,0),S_binomial[[#This Row],[X base]],""),"")</f>
        <v/>
      </c>
      <c r="AP98" s="99" t="str">
        <f t="shared" si="20"/>
        <v xml:space="preserve"> </v>
      </c>
      <c r="AR98" s="54">
        <f t="shared" si="21"/>
        <v>85</v>
      </c>
      <c r="AS98" s="54">
        <f>S_normal27[[#This Row],[Indeks (base 0)]]+1</f>
        <v>86</v>
      </c>
      <c r="AT98" s="54">
        <f t="shared" si="23"/>
        <v>1</v>
      </c>
      <c r="AU98" s="54">
        <f>IF(MOD(S_normal27[[#This Row],[Indeks (base 0)]],AS$8)=0,NA(),_xlfn.POISSON.DIST(S_normal27[[#This Row],[X base]],$H$5,FALSE))</f>
        <v>0.14936120510359185</v>
      </c>
      <c r="AV98" s="99" t="b">
        <f>S_normal27[[#This Row],[X base]]&lt;AS$5</f>
        <v>1</v>
      </c>
      <c r="AW98" s="99" t="b">
        <f>S_normal27[[#This Row],[X base]]=AS$5</f>
        <v>0</v>
      </c>
      <c r="AX98" s="99" t="b">
        <f>S_normal27[[#This Row],[X base]]&gt;AS$5</f>
        <v>0</v>
      </c>
      <c r="AY98" s="99">
        <f>IF(S_normal27[[#This Row],[Mindre end]],S_normal27[[#This Row],[Poissonfordeling]],NA())</f>
        <v>0.14936120510359185</v>
      </c>
      <c r="AZ98" s="99" t="e">
        <f>IF(S_normal27[[#This Row],[Lig med]],S_normal27[[#This Row],[Poissonfordeling]],NA())</f>
        <v>#N/A</v>
      </c>
      <c r="BA98" s="99" t="e">
        <f>IF(S_normal27[[#This Row],[Større end]],S_normal27[[#This Row],[Poissonfordeling]],NA())</f>
        <v>#N/A</v>
      </c>
      <c r="BB98" s="85" t="str">
        <f>_xlfn.IFNA(IF(MOD(S_normal27[[#This Row],[Indeks (base 0)]],AS$8)=ROUNDDOWN(AS$8/2,0),S_normal27[[#This Row],[X base]],""),"")</f>
        <v/>
      </c>
      <c r="BC98" s="99" t="str">
        <f t="shared" si="22"/>
        <v xml:space="preserve"> </v>
      </c>
    </row>
    <row r="99" spans="20:55" x14ac:dyDescent="0.2">
      <c r="T99" s="54">
        <f t="shared" si="16"/>
        <v>86</v>
      </c>
      <c r="U99" s="54">
        <f>S_normal[[#This Row],[Indeks (base 0)]]+1</f>
        <v>87</v>
      </c>
      <c r="V99" s="99">
        <f t="shared" si="14"/>
        <v>-1.0300774353892712</v>
      </c>
      <c r="W99" s="99">
        <f t="shared" si="17"/>
        <v>0.23469504353367848</v>
      </c>
      <c r="X99" s="99" t="b">
        <f>S_normal[[#This Row],[X base]]&lt;U$7</f>
        <v>1</v>
      </c>
      <c r="Y99" s="99" t="b">
        <f>S_normal[[#This Row],[X base]]&gt;U$7</f>
        <v>0</v>
      </c>
      <c r="Z99" s="99">
        <f>IF(S_normal[[#This Row],[Mindre end]],S_normal[[#This Row],[Normalfordeling]],NA())</f>
        <v>0.23469504353367848</v>
      </c>
      <c r="AA99" s="99" t="e">
        <f>IF(S_normal[[#This Row],[Større end]],S_normal[[#This Row],[Normalfordeling]],NA())</f>
        <v>#N/A</v>
      </c>
      <c r="AB99" s="72" t="str">
        <f>_xlfn.IFNA(IF(S_normal[[#This Row],[Indeks (base 0)]]=ROUND((ROUND(S_normal[[#This Row],[X base]],0)-U$8)/(U$9-U$8)*U$4,0),S_normal[[#This Row],[X base]]*B$6+B$5,""),"")</f>
        <v/>
      </c>
      <c r="AC99" s="99" t="str">
        <f t="shared" si="15"/>
        <v xml:space="preserve"> </v>
      </c>
      <c r="AE99" s="54">
        <f t="shared" si="18"/>
        <v>86</v>
      </c>
      <c r="AF99" s="54">
        <f>S_binomial[[#This Row],[Indeks (base 0)]]+1</f>
        <v>87</v>
      </c>
      <c r="AG99" s="99">
        <f t="shared" si="19"/>
        <v>0</v>
      </c>
      <c r="AH99" s="99">
        <f>IF(MOD(S_binomial[[#This Row],[Indeks (base 0)]],AF$7)=0,NA(),_xlfn.BINOM.DIST(S_binomial[[#This Row],[X base]],E$5,E$6,FALSE))</f>
        <v>7.529536000000004E-6</v>
      </c>
      <c r="AI99" s="99" t="b">
        <f>S_binomial[[#This Row],[X base]]&lt;AF$5</f>
        <v>1</v>
      </c>
      <c r="AJ99" s="99" t="b">
        <f>S_binomial[[#This Row],[X base]]=AF$5</f>
        <v>0</v>
      </c>
      <c r="AK99" s="99" t="b">
        <f>S_binomial[[#This Row],[X base]]&gt;AF$5</f>
        <v>0</v>
      </c>
      <c r="AL99" s="99">
        <f>IF(S_binomial[[#This Row],[Mindre end]],S_binomial[[#This Row],[Binomialfordeling]],NA())</f>
        <v>7.529536000000004E-6</v>
      </c>
      <c r="AM99" s="99" t="e">
        <f>IF(S_binomial[[#This Row],[Lig med]],S_binomial[[#This Row],[Binomialfordeling]],NA())</f>
        <v>#N/A</v>
      </c>
      <c r="AN99" s="99" t="e">
        <f>IF(S_binomial[[#This Row],[Større end]],S_binomial[[#This Row],[Binomialfordeling]],NA())</f>
        <v>#N/A</v>
      </c>
      <c r="AO99" s="85" t="str">
        <f>_xlfn.IFNA(IF(MOD(S_binomial[[#This Row],[Indeks (base 0)]],AF$7)=ROUNDDOWN(AF$7/2,0),S_binomial[[#This Row],[X base]],""),"")</f>
        <v/>
      </c>
      <c r="AP99" s="99" t="str">
        <f t="shared" si="20"/>
        <v xml:space="preserve"> </v>
      </c>
      <c r="AR99" s="54">
        <f t="shared" si="21"/>
        <v>86</v>
      </c>
      <c r="AS99" s="54">
        <f>S_normal27[[#This Row],[Indeks (base 0)]]+1</f>
        <v>87</v>
      </c>
      <c r="AT99" s="54">
        <f t="shared" si="23"/>
        <v>1</v>
      </c>
      <c r="AU99" s="54">
        <f>IF(MOD(S_normal27[[#This Row],[Indeks (base 0)]],AS$8)=0,NA(),_xlfn.POISSON.DIST(S_normal27[[#This Row],[X base]],$H$5,FALSE))</f>
        <v>0.14936120510359185</v>
      </c>
      <c r="AV99" s="99" t="b">
        <f>S_normal27[[#This Row],[X base]]&lt;AS$5</f>
        <v>1</v>
      </c>
      <c r="AW99" s="99" t="b">
        <f>S_normal27[[#This Row],[X base]]=AS$5</f>
        <v>0</v>
      </c>
      <c r="AX99" s="99" t="b">
        <f>S_normal27[[#This Row],[X base]]&gt;AS$5</f>
        <v>0</v>
      </c>
      <c r="AY99" s="99">
        <f>IF(S_normal27[[#This Row],[Mindre end]],S_normal27[[#This Row],[Poissonfordeling]],NA())</f>
        <v>0.14936120510359185</v>
      </c>
      <c r="AZ99" s="99" t="e">
        <f>IF(S_normal27[[#This Row],[Lig med]],S_normal27[[#This Row],[Poissonfordeling]],NA())</f>
        <v>#N/A</v>
      </c>
      <c r="BA99" s="99" t="e">
        <f>IF(S_normal27[[#This Row],[Større end]],S_normal27[[#This Row],[Poissonfordeling]],NA())</f>
        <v>#N/A</v>
      </c>
      <c r="BB99" s="85" t="str">
        <f>_xlfn.IFNA(IF(MOD(S_normal27[[#This Row],[Indeks (base 0)]],AS$8)=ROUNDDOWN(AS$8/2,0),S_normal27[[#This Row],[X base]],""),"")</f>
        <v/>
      </c>
      <c r="BC99" s="99" t="str">
        <f t="shared" si="22"/>
        <v xml:space="preserve"> </v>
      </c>
    </row>
    <row r="100" spans="20:55" x14ac:dyDescent="0.2">
      <c r="T100" s="54">
        <f t="shared" si="16"/>
        <v>87</v>
      </c>
      <c r="U100" s="54">
        <f>S_normal[[#This Row],[Indeks (base 0)]]+1</f>
        <v>88</v>
      </c>
      <c r="V100" s="99">
        <f t="shared" si="14"/>
        <v>-1.0061221461941718</v>
      </c>
      <c r="W100" s="99">
        <f t="shared" si="17"/>
        <v>0.24048936284820582</v>
      </c>
      <c r="X100" s="99" t="b">
        <f>S_normal[[#This Row],[X base]]&lt;U$7</f>
        <v>1</v>
      </c>
      <c r="Y100" s="99" t="b">
        <f>S_normal[[#This Row],[X base]]&gt;U$7</f>
        <v>0</v>
      </c>
      <c r="Z100" s="99">
        <f>IF(S_normal[[#This Row],[Mindre end]],S_normal[[#This Row],[Normalfordeling]],NA())</f>
        <v>0.24048936284820582</v>
      </c>
      <c r="AA100" s="99" t="e">
        <f>IF(S_normal[[#This Row],[Større end]],S_normal[[#This Row],[Normalfordeling]],NA())</f>
        <v>#N/A</v>
      </c>
      <c r="AB100" s="72">
        <f>_xlfn.IFNA(IF(S_normal[[#This Row],[Indeks (base 0)]]=ROUND((ROUND(S_normal[[#This Row],[X base]],0)-U$8)/(U$9-U$8)*U$4,0),S_normal[[#This Row],[X base]]*B$6+B$5,""),"")</f>
        <v>15.975511415223313</v>
      </c>
      <c r="AC100" s="99" t="str">
        <f t="shared" si="15"/>
        <v xml:space="preserve"> </v>
      </c>
      <c r="AE100" s="54">
        <f t="shared" si="18"/>
        <v>87</v>
      </c>
      <c r="AF100" s="54">
        <f>S_binomial[[#This Row],[Indeks (base 0)]]+1</f>
        <v>88</v>
      </c>
      <c r="AG100" s="99">
        <f t="shared" si="19"/>
        <v>0</v>
      </c>
      <c r="AH100" s="99">
        <f>IF(MOD(S_binomial[[#This Row],[Indeks (base 0)]],AF$7)=0,NA(),_xlfn.BINOM.DIST(S_binomial[[#This Row],[X base]],E$5,E$6,FALSE))</f>
        <v>7.529536000000004E-6</v>
      </c>
      <c r="AI100" s="99" t="b">
        <f>S_binomial[[#This Row],[X base]]&lt;AF$5</f>
        <v>1</v>
      </c>
      <c r="AJ100" s="99" t="b">
        <f>S_binomial[[#This Row],[X base]]=AF$5</f>
        <v>0</v>
      </c>
      <c r="AK100" s="99" t="b">
        <f>S_binomial[[#This Row],[X base]]&gt;AF$5</f>
        <v>0</v>
      </c>
      <c r="AL100" s="99">
        <f>IF(S_binomial[[#This Row],[Mindre end]],S_binomial[[#This Row],[Binomialfordeling]],NA())</f>
        <v>7.529536000000004E-6</v>
      </c>
      <c r="AM100" s="99" t="e">
        <f>IF(S_binomial[[#This Row],[Lig med]],S_binomial[[#This Row],[Binomialfordeling]],NA())</f>
        <v>#N/A</v>
      </c>
      <c r="AN100" s="99" t="e">
        <f>IF(S_binomial[[#This Row],[Større end]],S_binomial[[#This Row],[Binomialfordeling]],NA())</f>
        <v>#N/A</v>
      </c>
      <c r="AO100" s="85" t="str">
        <f>_xlfn.IFNA(IF(MOD(S_binomial[[#This Row],[Indeks (base 0)]],AF$7)=ROUNDDOWN(AF$7/2,0),S_binomial[[#This Row],[X base]],""),"")</f>
        <v/>
      </c>
      <c r="AP100" s="99" t="str">
        <f t="shared" si="20"/>
        <v xml:space="preserve"> </v>
      </c>
      <c r="AR100" s="54">
        <f t="shared" si="21"/>
        <v>87</v>
      </c>
      <c r="AS100" s="54">
        <f>S_normal27[[#This Row],[Indeks (base 0)]]+1</f>
        <v>88</v>
      </c>
      <c r="AT100" s="54">
        <f t="shared" si="23"/>
        <v>1</v>
      </c>
      <c r="AU100" s="54">
        <f>IF(MOD(S_normal27[[#This Row],[Indeks (base 0)]],AS$8)=0,NA(),_xlfn.POISSON.DIST(S_normal27[[#This Row],[X base]],$H$5,FALSE))</f>
        <v>0.14936120510359185</v>
      </c>
      <c r="AV100" s="99" t="b">
        <f>S_normal27[[#This Row],[X base]]&lt;AS$5</f>
        <v>1</v>
      </c>
      <c r="AW100" s="99" t="b">
        <f>S_normal27[[#This Row],[X base]]=AS$5</f>
        <v>0</v>
      </c>
      <c r="AX100" s="99" t="b">
        <f>S_normal27[[#This Row],[X base]]&gt;AS$5</f>
        <v>0</v>
      </c>
      <c r="AY100" s="99">
        <f>IF(S_normal27[[#This Row],[Mindre end]],S_normal27[[#This Row],[Poissonfordeling]],NA())</f>
        <v>0.14936120510359185</v>
      </c>
      <c r="AZ100" s="99" t="e">
        <f>IF(S_normal27[[#This Row],[Lig med]],S_normal27[[#This Row],[Poissonfordeling]],NA())</f>
        <v>#N/A</v>
      </c>
      <c r="BA100" s="99" t="e">
        <f>IF(S_normal27[[#This Row],[Større end]],S_normal27[[#This Row],[Poissonfordeling]],NA())</f>
        <v>#N/A</v>
      </c>
      <c r="BB100" s="85" t="str">
        <f>_xlfn.IFNA(IF(MOD(S_normal27[[#This Row],[Indeks (base 0)]],AS$8)=ROUNDDOWN(AS$8/2,0),S_normal27[[#This Row],[X base]],""),"")</f>
        <v/>
      </c>
      <c r="BC100" s="99" t="str">
        <f t="shared" si="22"/>
        <v xml:space="preserve"> </v>
      </c>
    </row>
    <row r="101" spans="20:55" x14ac:dyDescent="0.2">
      <c r="T101" s="54">
        <f t="shared" si="16"/>
        <v>88</v>
      </c>
      <c r="U101" s="54">
        <f>S_normal[[#This Row],[Indeks (base 0)]]+1</f>
        <v>89</v>
      </c>
      <c r="V101" s="99">
        <f t="shared" si="14"/>
        <v>-0.98216685699907247</v>
      </c>
      <c r="W101" s="99">
        <f t="shared" si="17"/>
        <v>0.24628536360353334</v>
      </c>
      <c r="X101" s="99" t="b">
        <f>S_normal[[#This Row],[X base]]&lt;U$7</f>
        <v>1</v>
      </c>
      <c r="Y101" s="99" t="b">
        <f>S_normal[[#This Row],[X base]]&gt;U$7</f>
        <v>0</v>
      </c>
      <c r="Z101" s="99">
        <f>IF(S_normal[[#This Row],[Mindre end]],S_normal[[#This Row],[Normalfordeling]],NA())</f>
        <v>0.24628536360353334</v>
      </c>
      <c r="AA101" s="99" t="e">
        <f>IF(S_normal[[#This Row],[Større end]],S_normal[[#This Row],[Normalfordeling]],NA())</f>
        <v>#N/A</v>
      </c>
      <c r="AB101" s="72" t="str">
        <f>_xlfn.IFNA(IF(S_normal[[#This Row],[Indeks (base 0)]]=ROUND((ROUND(S_normal[[#This Row],[X base]],0)-U$8)/(U$9-U$8)*U$4,0),S_normal[[#This Row],[X base]]*B$6+B$5,""),"")</f>
        <v/>
      </c>
      <c r="AC101" s="99" t="str">
        <f t="shared" si="15"/>
        <v xml:space="preserve"> </v>
      </c>
      <c r="AE101" s="54">
        <f t="shared" si="18"/>
        <v>88</v>
      </c>
      <c r="AF101" s="54">
        <f>S_binomial[[#This Row],[Indeks (base 0)]]+1</f>
        <v>89</v>
      </c>
      <c r="AG101" s="99">
        <f t="shared" si="19"/>
        <v>0</v>
      </c>
      <c r="AH101" s="99">
        <f>IF(MOD(S_binomial[[#This Row],[Indeks (base 0)]],AF$7)=0,NA(),_xlfn.BINOM.DIST(S_binomial[[#This Row],[X base]],E$5,E$6,FALSE))</f>
        <v>7.529536000000004E-6</v>
      </c>
      <c r="AI101" s="99" t="b">
        <f>S_binomial[[#This Row],[X base]]&lt;AF$5</f>
        <v>1</v>
      </c>
      <c r="AJ101" s="99" t="b">
        <f>S_binomial[[#This Row],[X base]]=AF$5</f>
        <v>0</v>
      </c>
      <c r="AK101" s="99" t="b">
        <f>S_binomial[[#This Row],[X base]]&gt;AF$5</f>
        <v>0</v>
      </c>
      <c r="AL101" s="99">
        <f>IF(S_binomial[[#This Row],[Mindre end]],S_binomial[[#This Row],[Binomialfordeling]],NA())</f>
        <v>7.529536000000004E-6</v>
      </c>
      <c r="AM101" s="99" t="e">
        <f>IF(S_binomial[[#This Row],[Lig med]],S_binomial[[#This Row],[Binomialfordeling]],NA())</f>
        <v>#N/A</v>
      </c>
      <c r="AN101" s="99" t="e">
        <f>IF(S_binomial[[#This Row],[Større end]],S_binomial[[#This Row],[Binomialfordeling]],NA())</f>
        <v>#N/A</v>
      </c>
      <c r="AO101" s="85" t="str">
        <f>_xlfn.IFNA(IF(MOD(S_binomial[[#This Row],[Indeks (base 0)]],AF$7)=ROUNDDOWN(AF$7/2,0),S_binomial[[#This Row],[X base]],""),"")</f>
        <v/>
      </c>
      <c r="AP101" s="99" t="str">
        <f t="shared" si="20"/>
        <v xml:space="preserve"> </v>
      </c>
      <c r="AR101" s="54">
        <f t="shared" si="21"/>
        <v>88</v>
      </c>
      <c r="AS101" s="54">
        <f>S_normal27[[#This Row],[Indeks (base 0)]]+1</f>
        <v>89</v>
      </c>
      <c r="AT101" s="54">
        <f t="shared" si="23"/>
        <v>1</v>
      </c>
      <c r="AU101" s="54">
        <f>IF(MOD(S_normal27[[#This Row],[Indeks (base 0)]],AS$8)=0,NA(),_xlfn.POISSON.DIST(S_normal27[[#This Row],[X base]],$H$5,FALSE))</f>
        <v>0.14936120510359185</v>
      </c>
      <c r="AV101" s="99" t="b">
        <f>S_normal27[[#This Row],[X base]]&lt;AS$5</f>
        <v>1</v>
      </c>
      <c r="AW101" s="99" t="b">
        <f>S_normal27[[#This Row],[X base]]=AS$5</f>
        <v>0</v>
      </c>
      <c r="AX101" s="99" t="b">
        <f>S_normal27[[#This Row],[X base]]&gt;AS$5</f>
        <v>0</v>
      </c>
      <c r="AY101" s="99">
        <f>IF(S_normal27[[#This Row],[Mindre end]],S_normal27[[#This Row],[Poissonfordeling]],NA())</f>
        <v>0.14936120510359185</v>
      </c>
      <c r="AZ101" s="99" t="e">
        <f>IF(S_normal27[[#This Row],[Lig med]],S_normal27[[#This Row],[Poissonfordeling]],NA())</f>
        <v>#N/A</v>
      </c>
      <c r="BA101" s="99" t="e">
        <f>IF(S_normal27[[#This Row],[Større end]],S_normal27[[#This Row],[Poissonfordeling]],NA())</f>
        <v>#N/A</v>
      </c>
      <c r="BB101" s="85" t="str">
        <f>_xlfn.IFNA(IF(MOD(S_normal27[[#This Row],[Indeks (base 0)]],AS$8)=ROUNDDOWN(AS$8/2,0),S_normal27[[#This Row],[X base]],""),"")</f>
        <v/>
      </c>
      <c r="BC101" s="99" t="str">
        <f t="shared" si="22"/>
        <v xml:space="preserve"> </v>
      </c>
    </row>
    <row r="102" spans="20:55" x14ac:dyDescent="0.2">
      <c r="T102" s="54">
        <f t="shared" si="16"/>
        <v>89</v>
      </c>
      <c r="U102" s="54">
        <f>S_normal[[#This Row],[Indeks (base 0)]]+1</f>
        <v>90</v>
      </c>
      <c r="V102" s="99">
        <f t="shared" si="14"/>
        <v>-0.9582115678039731</v>
      </c>
      <c r="W102" s="99">
        <f t="shared" si="17"/>
        <v>0.25207635595578487</v>
      </c>
      <c r="X102" s="99" t="b">
        <f>S_normal[[#This Row],[X base]]&lt;U$7</f>
        <v>1</v>
      </c>
      <c r="Y102" s="99" t="b">
        <f>S_normal[[#This Row],[X base]]&gt;U$7</f>
        <v>0</v>
      </c>
      <c r="Z102" s="99">
        <f>IF(S_normal[[#This Row],[Mindre end]],S_normal[[#This Row],[Normalfordeling]],NA())</f>
        <v>0.25207635595578487</v>
      </c>
      <c r="AA102" s="99" t="e">
        <f>IF(S_normal[[#This Row],[Større end]],S_normal[[#This Row],[Normalfordeling]],NA())</f>
        <v>#N/A</v>
      </c>
      <c r="AB102" s="72" t="str">
        <f>_xlfn.IFNA(IF(S_normal[[#This Row],[Indeks (base 0)]]=ROUND((ROUND(S_normal[[#This Row],[X base]],0)-U$8)/(U$9-U$8)*U$4,0),S_normal[[#This Row],[X base]]*B$6+B$5,""),"")</f>
        <v/>
      </c>
      <c r="AC102" s="99" t="str">
        <f t="shared" si="15"/>
        <v xml:space="preserve"> </v>
      </c>
      <c r="AE102" s="54">
        <f t="shared" si="18"/>
        <v>89</v>
      </c>
      <c r="AF102" s="54">
        <f>S_binomial[[#This Row],[Indeks (base 0)]]+1</f>
        <v>90</v>
      </c>
      <c r="AG102" s="99">
        <f t="shared" si="19"/>
        <v>0</v>
      </c>
      <c r="AH102" s="99">
        <f>IF(MOD(S_binomial[[#This Row],[Indeks (base 0)]],AF$7)=0,NA(),_xlfn.BINOM.DIST(S_binomial[[#This Row],[X base]],E$5,E$6,FALSE))</f>
        <v>7.529536000000004E-6</v>
      </c>
      <c r="AI102" s="99" t="b">
        <f>S_binomial[[#This Row],[X base]]&lt;AF$5</f>
        <v>1</v>
      </c>
      <c r="AJ102" s="99" t="b">
        <f>S_binomial[[#This Row],[X base]]=AF$5</f>
        <v>0</v>
      </c>
      <c r="AK102" s="99" t="b">
        <f>S_binomial[[#This Row],[X base]]&gt;AF$5</f>
        <v>0</v>
      </c>
      <c r="AL102" s="99">
        <f>IF(S_binomial[[#This Row],[Mindre end]],S_binomial[[#This Row],[Binomialfordeling]],NA())</f>
        <v>7.529536000000004E-6</v>
      </c>
      <c r="AM102" s="99" t="e">
        <f>IF(S_binomial[[#This Row],[Lig med]],S_binomial[[#This Row],[Binomialfordeling]],NA())</f>
        <v>#N/A</v>
      </c>
      <c r="AN102" s="99" t="e">
        <f>IF(S_binomial[[#This Row],[Større end]],S_binomial[[#This Row],[Binomialfordeling]],NA())</f>
        <v>#N/A</v>
      </c>
      <c r="AO102" s="85" t="str">
        <f>_xlfn.IFNA(IF(MOD(S_binomial[[#This Row],[Indeks (base 0)]],AF$7)=ROUNDDOWN(AF$7/2,0),S_binomial[[#This Row],[X base]],""),"")</f>
        <v/>
      </c>
      <c r="AP102" s="99" t="str">
        <f t="shared" si="20"/>
        <v xml:space="preserve"> </v>
      </c>
      <c r="AR102" s="54">
        <f t="shared" si="21"/>
        <v>89</v>
      </c>
      <c r="AS102" s="54">
        <f>S_normal27[[#This Row],[Indeks (base 0)]]+1</f>
        <v>90</v>
      </c>
      <c r="AT102" s="54">
        <f t="shared" si="23"/>
        <v>1</v>
      </c>
      <c r="AU102" s="54">
        <f>IF(MOD(S_normal27[[#This Row],[Indeks (base 0)]],AS$8)=0,NA(),_xlfn.POISSON.DIST(S_normal27[[#This Row],[X base]],$H$5,FALSE))</f>
        <v>0.14936120510359185</v>
      </c>
      <c r="AV102" s="99" t="b">
        <f>S_normal27[[#This Row],[X base]]&lt;AS$5</f>
        <v>1</v>
      </c>
      <c r="AW102" s="99" t="b">
        <f>S_normal27[[#This Row],[X base]]=AS$5</f>
        <v>0</v>
      </c>
      <c r="AX102" s="99" t="b">
        <f>S_normal27[[#This Row],[X base]]&gt;AS$5</f>
        <v>0</v>
      </c>
      <c r="AY102" s="99">
        <f>IF(S_normal27[[#This Row],[Mindre end]],S_normal27[[#This Row],[Poissonfordeling]],NA())</f>
        <v>0.14936120510359185</v>
      </c>
      <c r="AZ102" s="99" t="e">
        <f>IF(S_normal27[[#This Row],[Lig med]],S_normal27[[#This Row],[Poissonfordeling]],NA())</f>
        <v>#N/A</v>
      </c>
      <c r="BA102" s="99" t="e">
        <f>IF(S_normal27[[#This Row],[Større end]],S_normal27[[#This Row],[Poissonfordeling]],NA())</f>
        <v>#N/A</v>
      </c>
      <c r="BB102" s="85" t="str">
        <f>_xlfn.IFNA(IF(MOD(S_normal27[[#This Row],[Indeks (base 0)]],AS$8)=ROUNDDOWN(AS$8/2,0),S_normal27[[#This Row],[X base]],""),"")</f>
        <v/>
      </c>
      <c r="BC102" s="99" t="str">
        <f t="shared" si="22"/>
        <v xml:space="preserve"> </v>
      </c>
    </row>
    <row r="103" spans="20:55" x14ac:dyDescent="0.2">
      <c r="T103" s="54">
        <f t="shared" si="16"/>
        <v>90</v>
      </c>
      <c r="U103" s="54">
        <f>S_normal[[#This Row],[Indeks (base 0)]]+1</f>
        <v>91</v>
      </c>
      <c r="V103" s="99">
        <f t="shared" si="14"/>
        <v>-0.93425627860887372</v>
      </c>
      <c r="W103" s="99">
        <f t="shared" si="17"/>
        <v>0.25785549954028941</v>
      </c>
      <c r="X103" s="99" t="b">
        <f>S_normal[[#This Row],[X base]]&lt;U$7</f>
        <v>1</v>
      </c>
      <c r="Y103" s="99" t="b">
        <f>S_normal[[#This Row],[X base]]&gt;U$7</f>
        <v>0</v>
      </c>
      <c r="Z103" s="99">
        <f>IF(S_normal[[#This Row],[Mindre end]],S_normal[[#This Row],[Normalfordeling]],NA())</f>
        <v>0.25785549954028941</v>
      </c>
      <c r="AA103" s="99" t="e">
        <f>IF(S_normal[[#This Row],[Større end]],S_normal[[#This Row],[Normalfordeling]],NA())</f>
        <v>#N/A</v>
      </c>
      <c r="AB103" s="72" t="str">
        <f>_xlfn.IFNA(IF(S_normal[[#This Row],[Indeks (base 0)]]=ROUND((ROUND(S_normal[[#This Row],[X base]],0)-U$8)/(U$9-U$8)*U$4,0),S_normal[[#This Row],[X base]]*B$6+B$5,""),"")</f>
        <v/>
      </c>
      <c r="AC103" s="99" t="str">
        <f t="shared" si="15"/>
        <v xml:space="preserve"> </v>
      </c>
      <c r="AE103" s="54">
        <f t="shared" si="18"/>
        <v>90</v>
      </c>
      <c r="AF103" s="54">
        <f>S_binomial[[#This Row],[Indeks (base 0)]]+1</f>
        <v>91</v>
      </c>
      <c r="AG103" s="99">
        <f t="shared" si="19"/>
        <v>0</v>
      </c>
      <c r="AH103" s="99">
        <f>IF(MOD(S_binomial[[#This Row],[Indeks (base 0)]],AF$7)=0,NA(),_xlfn.BINOM.DIST(S_binomial[[#This Row],[X base]],E$5,E$6,FALSE))</f>
        <v>7.529536000000004E-6</v>
      </c>
      <c r="AI103" s="99" t="b">
        <f>S_binomial[[#This Row],[X base]]&lt;AF$5</f>
        <v>1</v>
      </c>
      <c r="AJ103" s="99" t="b">
        <f>S_binomial[[#This Row],[X base]]=AF$5</f>
        <v>0</v>
      </c>
      <c r="AK103" s="99" t="b">
        <f>S_binomial[[#This Row],[X base]]&gt;AF$5</f>
        <v>0</v>
      </c>
      <c r="AL103" s="99">
        <f>IF(S_binomial[[#This Row],[Mindre end]],S_binomial[[#This Row],[Binomialfordeling]],NA())</f>
        <v>7.529536000000004E-6</v>
      </c>
      <c r="AM103" s="99" t="e">
        <f>IF(S_binomial[[#This Row],[Lig med]],S_binomial[[#This Row],[Binomialfordeling]],NA())</f>
        <v>#N/A</v>
      </c>
      <c r="AN103" s="99" t="e">
        <f>IF(S_binomial[[#This Row],[Større end]],S_binomial[[#This Row],[Binomialfordeling]],NA())</f>
        <v>#N/A</v>
      </c>
      <c r="AO103" s="85" t="str">
        <f>_xlfn.IFNA(IF(MOD(S_binomial[[#This Row],[Indeks (base 0)]],AF$7)=ROUNDDOWN(AF$7/2,0),S_binomial[[#This Row],[X base]],""),"")</f>
        <v/>
      </c>
      <c r="AP103" s="99" t="str">
        <f t="shared" si="20"/>
        <v xml:space="preserve"> </v>
      </c>
      <c r="AR103" s="54">
        <f t="shared" si="21"/>
        <v>90</v>
      </c>
      <c r="AS103" s="54">
        <f>S_normal27[[#This Row],[Indeks (base 0)]]+1</f>
        <v>91</v>
      </c>
      <c r="AT103" s="54">
        <f t="shared" si="23"/>
        <v>1</v>
      </c>
      <c r="AU103" s="54">
        <f>IF(MOD(S_normal27[[#This Row],[Indeks (base 0)]],AS$8)=0,NA(),_xlfn.POISSON.DIST(S_normal27[[#This Row],[X base]],$H$5,FALSE))</f>
        <v>0.14936120510359185</v>
      </c>
      <c r="AV103" s="99" t="b">
        <f>S_normal27[[#This Row],[X base]]&lt;AS$5</f>
        <v>1</v>
      </c>
      <c r="AW103" s="99" t="b">
        <f>S_normal27[[#This Row],[X base]]=AS$5</f>
        <v>0</v>
      </c>
      <c r="AX103" s="99" t="b">
        <f>S_normal27[[#This Row],[X base]]&gt;AS$5</f>
        <v>0</v>
      </c>
      <c r="AY103" s="99">
        <f>IF(S_normal27[[#This Row],[Mindre end]],S_normal27[[#This Row],[Poissonfordeling]],NA())</f>
        <v>0.14936120510359185</v>
      </c>
      <c r="AZ103" s="99" t="e">
        <f>IF(S_normal27[[#This Row],[Lig med]],S_normal27[[#This Row],[Poissonfordeling]],NA())</f>
        <v>#N/A</v>
      </c>
      <c r="BA103" s="99" t="e">
        <f>IF(S_normal27[[#This Row],[Større end]],S_normal27[[#This Row],[Poissonfordeling]],NA())</f>
        <v>#N/A</v>
      </c>
      <c r="BB103" s="85" t="str">
        <f>_xlfn.IFNA(IF(MOD(S_normal27[[#This Row],[Indeks (base 0)]],AS$8)=ROUNDDOWN(AS$8/2,0),S_normal27[[#This Row],[X base]],""),"")</f>
        <v/>
      </c>
      <c r="BC103" s="99" t="str">
        <f t="shared" si="22"/>
        <v xml:space="preserve"> </v>
      </c>
    </row>
    <row r="104" spans="20:55" x14ac:dyDescent="0.2">
      <c r="T104" s="54">
        <f t="shared" si="16"/>
        <v>91</v>
      </c>
      <c r="U104" s="54">
        <f>S_normal[[#This Row],[Indeks (base 0)]]+1</f>
        <v>92</v>
      </c>
      <c r="V104" s="99">
        <f t="shared" si="14"/>
        <v>-0.91030098941377435</v>
      </c>
      <c r="W104" s="99">
        <f t="shared" si="17"/>
        <v>0.26361581581156529</v>
      </c>
      <c r="X104" s="99" t="b">
        <f>S_normal[[#This Row],[X base]]&lt;U$7</f>
        <v>1</v>
      </c>
      <c r="Y104" s="99" t="b">
        <f>S_normal[[#This Row],[X base]]&gt;U$7</f>
        <v>0</v>
      </c>
      <c r="Z104" s="99">
        <f>IF(S_normal[[#This Row],[Mindre end]],S_normal[[#This Row],[Normalfordeling]],NA())</f>
        <v>0.26361581581156529</v>
      </c>
      <c r="AA104" s="99" t="e">
        <f>IF(S_normal[[#This Row],[Større end]],S_normal[[#This Row],[Normalfordeling]],NA())</f>
        <v>#N/A</v>
      </c>
      <c r="AB104" s="72" t="str">
        <f>_xlfn.IFNA(IF(S_normal[[#This Row],[Indeks (base 0)]]=ROUND((ROUND(S_normal[[#This Row],[X base]],0)-U$8)/(U$9-U$8)*U$4,0),S_normal[[#This Row],[X base]]*B$6+B$5,""),"")</f>
        <v/>
      </c>
      <c r="AC104" s="99" t="str">
        <f t="shared" si="15"/>
        <v xml:space="preserve"> </v>
      </c>
      <c r="AE104" s="54">
        <f t="shared" si="18"/>
        <v>91</v>
      </c>
      <c r="AF104" s="54">
        <f>S_binomial[[#This Row],[Indeks (base 0)]]+1</f>
        <v>92</v>
      </c>
      <c r="AG104" s="99">
        <f t="shared" si="19"/>
        <v>0</v>
      </c>
      <c r="AH104" s="99">
        <f>IF(MOD(S_binomial[[#This Row],[Indeks (base 0)]],AF$7)=0,NA(),_xlfn.BINOM.DIST(S_binomial[[#This Row],[X base]],E$5,E$6,FALSE))</f>
        <v>7.529536000000004E-6</v>
      </c>
      <c r="AI104" s="99" t="b">
        <f>S_binomial[[#This Row],[X base]]&lt;AF$5</f>
        <v>1</v>
      </c>
      <c r="AJ104" s="99" t="b">
        <f>S_binomial[[#This Row],[X base]]=AF$5</f>
        <v>0</v>
      </c>
      <c r="AK104" s="99" t="b">
        <f>S_binomial[[#This Row],[X base]]&gt;AF$5</f>
        <v>0</v>
      </c>
      <c r="AL104" s="99">
        <f>IF(S_binomial[[#This Row],[Mindre end]],S_binomial[[#This Row],[Binomialfordeling]],NA())</f>
        <v>7.529536000000004E-6</v>
      </c>
      <c r="AM104" s="99" t="e">
        <f>IF(S_binomial[[#This Row],[Lig med]],S_binomial[[#This Row],[Binomialfordeling]],NA())</f>
        <v>#N/A</v>
      </c>
      <c r="AN104" s="99" t="e">
        <f>IF(S_binomial[[#This Row],[Større end]],S_binomial[[#This Row],[Binomialfordeling]],NA())</f>
        <v>#N/A</v>
      </c>
      <c r="AO104" s="85" t="str">
        <f>_xlfn.IFNA(IF(MOD(S_binomial[[#This Row],[Indeks (base 0)]],AF$7)=ROUNDDOWN(AF$7/2,0),S_binomial[[#This Row],[X base]],""),"")</f>
        <v/>
      </c>
      <c r="AP104" s="99" t="str">
        <f t="shared" si="20"/>
        <v xml:space="preserve"> </v>
      </c>
      <c r="AR104" s="54">
        <f t="shared" si="21"/>
        <v>91</v>
      </c>
      <c r="AS104" s="54">
        <f>S_normal27[[#This Row],[Indeks (base 0)]]+1</f>
        <v>92</v>
      </c>
      <c r="AT104" s="54">
        <f t="shared" si="23"/>
        <v>1</v>
      </c>
      <c r="AU104" s="54">
        <f>IF(MOD(S_normal27[[#This Row],[Indeks (base 0)]],AS$8)=0,NA(),_xlfn.POISSON.DIST(S_normal27[[#This Row],[X base]],$H$5,FALSE))</f>
        <v>0.14936120510359185</v>
      </c>
      <c r="AV104" s="99" t="b">
        <f>S_normal27[[#This Row],[X base]]&lt;AS$5</f>
        <v>1</v>
      </c>
      <c r="AW104" s="99" t="b">
        <f>S_normal27[[#This Row],[X base]]=AS$5</f>
        <v>0</v>
      </c>
      <c r="AX104" s="99" t="b">
        <f>S_normal27[[#This Row],[X base]]&gt;AS$5</f>
        <v>0</v>
      </c>
      <c r="AY104" s="99">
        <f>IF(S_normal27[[#This Row],[Mindre end]],S_normal27[[#This Row],[Poissonfordeling]],NA())</f>
        <v>0.14936120510359185</v>
      </c>
      <c r="AZ104" s="99" t="e">
        <f>IF(S_normal27[[#This Row],[Lig med]],S_normal27[[#This Row],[Poissonfordeling]],NA())</f>
        <v>#N/A</v>
      </c>
      <c r="BA104" s="99" t="e">
        <f>IF(S_normal27[[#This Row],[Større end]],S_normal27[[#This Row],[Poissonfordeling]],NA())</f>
        <v>#N/A</v>
      </c>
      <c r="BB104" s="85" t="str">
        <f>_xlfn.IFNA(IF(MOD(S_normal27[[#This Row],[Indeks (base 0)]],AS$8)=ROUNDDOWN(AS$8/2,0),S_normal27[[#This Row],[X base]],""),"")</f>
        <v/>
      </c>
      <c r="BC104" s="99" t="str">
        <f t="shared" si="22"/>
        <v xml:space="preserve"> </v>
      </c>
    </row>
    <row r="105" spans="20:55" x14ac:dyDescent="0.2">
      <c r="T105" s="54">
        <f t="shared" si="16"/>
        <v>92</v>
      </c>
      <c r="U105" s="54">
        <f>S_normal[[#This Row],[Indeks (base 0)]]+1</f>
        <v>93</v>
      </c>
      <c r="V105" s="99">
        <f t="shared" si="14"/>
        <v>-0.88634570021867498</v>
      </c>
      <c r="W105" s="99">
        <f t="shared" si="17"/>
        <v>0.26935020107061902</v>
      </c>
      <c r="X105" s="99" t="b">
        <f>S_normal[[#This Row],[X base]]&lt;U$7</f>
        <v>1</v>
      </c>
      <c r="Y105" s="99" t="b">
        <f>S_normal[[#This Row],[X base]]&gt;U$7</f>
        <v>0</v>
      </c>
      <c r="Z105" s="99">
        <f>IF(S_normal[[#This Row],[Mindre end]],S_normal[[#This Row],[Normalfordeling]],NA())</f>
        <v>0.26935020107061902</v>
      </c>
      <c r="AA105" s="99" t="e">
        <f>IF(S_normal[[#This Row],[Større end]],S_normal[[#This Row],[Normalfordeling]],NA())</f>
        <v>#N/A</v>
      </c>
      <c r="AB105" s="72" t="str">
        <f>_xlfn.IFNA(IF(S_normal[[#This Row],[Indeks (base 0)]]=ROUND((ROUND(S_normal[[#This Row],[X base]],0)-U$8)/(U$9-U$8)*U$4,0),S_normal[[#This Row],[X base]]*B$6+B$5,""),"")</f>
        <v/>
      </c>
      <c r="AC105" s="99" t="str">
        <f t="shared" si="15"/>
        <v xml:space="preserve"> </v>
      </c>
      <c r="AE105" s="54">
        <f t="shared" si="18"/>
        <v>92</v>
      </c>
      <c r="AF105" s="54">
        <f>S_binomial[[#This Row],[Indeks (base 0)]]+1</f>
        <v>93</v>
      </c>
      <c r="AG105" s="99">
        <f t="shared" si="19"/>
        <v>1</v>
      </c>
      <c r="AH105" s="99" t="e">
        <f>IF(MOD(S_binomial[[#This Row],[Indeks (base 0)]],AF$7)=0,NA(),_xlfn.BINOM.DIST(S_binomial[[#This Row],[X base]],E$5,E$6,FALSE))</f>
        <v>#N/A</v>
      </c>
      <c r="AI105" s="99" t="b">
        <f>S_binomial[[#This Row],[X base]]&lt;AF$5</f>
        <v>1</v>
      </c>
      <c r="AJ105" s="99" t="b">
        <f>S_binomial[[#This Row],[X base]]=AF$5</f>
        <v>0</v>
      </c>
      <c r="AK105" s="99" t="b">
        <f>S_binomial[[#This Row],[X base]]&gt;AF$5</f>
        <v>0</v>
      </c>
      <c r="AL105" s="99" t="e">
        <f>IF(S_binomial[[#This Row],[Mindre end]],S_binomial[[#This Row],[Binomialfordeling]],NA())</f>
        <v>#N/A</v>
      </c>
      <c r="AM105" s="99" t="e">
        <f>IF(S_binomial[[#This Row],[Lig med]],S_binomial[[#This Row],[Binomialfordeling]],NA())</f>
        <v>#N/A</v>
      </c>
      <c r="AN105" s="99" t="e">
        <f>IF(S_binomial[[#This Row],[Større end]],S_binomial[[#This Row],[Binomialfordeling]],NA())</f>
        <v>#N/A</v>
      </c>
      <c r="AO105" s="85" t="str">
        <f>_xlfn.IFNA(IF(MOD(S_binomial[[#This Row],[Indeks (base 0)]],AF$7)=ROUNDDOWN(AF$7/2,0),S_binomial[[#This Row],[X base]],""),"")</f>
        <v/>
      </c>
      <c r="AP105" s="99" t="str">
        <f t="shared" si="20"/>
        <v xml:space="preserve"> </v>
      </c>
      <c r="AR105" s="54">
        <f t="shared" si="21"/>
        <v>92</v>
      </c>
      <c r="AS105" s="54">
        <f>S_normal27[[#This Row],[Indeks (base 0)]]+1</f>
        <v>93</v>
      </c>
      <c r="AT105" s="54">
        <f t="shared" si="23"/>
        <v>1</v>
      </c>
      <c r="AU105" s="54">
        <f>IF(MOD(S_normal27[[#This Row],[Indeks (base 0)]],AS$8)=0,NA(),_xlfn.POISSON.DIST(S_normal27[[#This Row],[X base]],$H$5,FALSE))</f>
        <v>0.14936120510359185</v>
      </c>
      <c r="AV105" s="99" t="b">
        <f>S_normal27[[#This Row],[X base]]&lt;AS$5</f>
        <v>1</v>
      </c>
      <c r="AW105" s="99" t="b">
        <f>S_normal27[[#This Row],[X base]]=AS$5</f>
        <v>0</v>
      </c>
      <c r="AX105" s="99" t="b">
        <f>S_normal27[[#This Row],[X base]]&gt;AS$5</f>
        <v>0</v>
      </c>
      <c r="AY105" s="99">
        <f>IF(S_normal27[[#This Row],[Mindre end]],S_normal27[[#This Row],[Poissonfordeling]],NA())</f>
        <v>0.14936120510359185</v>
      </c>
      <c r="AZ105" s="99" t="e">
        <f>IF(S_normal27[[#This Row],[Lig med]],S_normal27[[#This Row],[Poissonfordeling]],NA())</f>
        <v>#N/A</v>
      </c>
      <c r="BA105" s="99" t="e">
        <f>IF(S_normal27[[#This Row],[Større end]],S_normal27[[#This Row],[Poissonfordeling]],NA())</f>
        <v>#N/A</v>
      </c>
      <c r="BB105" s="85" t="str">
        <f>_xlfn.IFNA(IF(MOD(S_normal27[[#This Row],[Indeks (base 0)]],AS$8)=ROUNDDOWN(AS$8/2,0),S_normal27[[#This Row],[X base]],""),"")</f>
        <v/>
      </c>
      <c r="BC105" s="99" t="str">
        <f t="shared" si="22"/>
        <v xml:space="preserve"> </v>
      </c>
    </row>
    <row r="106" spans="20:55" x14ac:dyDescent="0.2">
      <c r="T106" s="54">
        <f t="shared" si="16"/>
        <v>93</v>
      </c>
      <c r="U106" s="54">
        <f>S_normal[[#This Row],[Indeks (base 0)]]+1</f>
        <v>94</v>
      </c>
      <c r="V106" s="99">
        <f t="shared" si="14"/>
        <v>-0.86239041102357561</v>
      </c>
      <c r="W106" s="99">
        <f t="shared" si="17"/>
        <v>0.27505144014997257</v>
      </c>
      <c r="X106" s="99" t="b">
        <f>S_normal[[#This Row],[X base]]&lt;U$7</f>
        <v>1</v>
      </c>
      <c r="Y106" s="99" t="b">
        <f>S_normal[[#This Row],[X base]]&gt;U$7</f>
        <v>0</v>
      </c>
      <c r="Z106" s="99">
        <f>IF(S_normal[[#This Row],[Mindre end]],S_normal[[#This Row],[Normalfordeling]],NA())</f>
        <v>0.27505144014997257</v>
      </c>
      <c r="AA106" s="99" t="e">
        <f>IF(S_normal[[#This Row],[Større end]],S_normal[[#This Row],[Normalfordeling]],NA())</f>
        <v>#N/A</v>
      </c>
      <c r="AB106" s="72" t="str">
        <f>_xlfn.IFNA(IF(S_normal[[#This Row],[Indeks (base 0)]]=ROUND((ROUND(S_normal[[#This Row],[X base]],0)-U$8)/(U$9-U$8)*U$4,0),S_normal[[#This Row],[X base]]*B$6+B$5,""),"")</f>
        <v/>
      </c>
      <c r="AC106" s="99" t="str">
        <f t="shared" si="15"/>
        <v xml:space="preserve"> </v>
      </c>
      <c r="AE106" s="54">
        <f t="shared" si="18"/>
        <v>93</v>
      </c>
      <c r="AF106" s="54">
        <f>S_binomial[[#This Row],[Indeks (base 0)]]+1</f>
        <v>94</v>
      </c>
      <c r="AG106" s="99">
        <f t="shared" si="19"/>
        <v>1</v>
      </c>
      <c r="AH106" s="99">
        <f>IF(MOD(S_binomial[[#This Row],[Indeks (base 0)]],AF$7)=0,NA(),_xlfn.BINOM.DIST(S_binomial[[#This Row],[X base]],E$5,E$6,FALSE))</f>
        <v>2.7751718400000021E-4</v>
      </c>
      <c r="AI106" s="99" t="b">
        <f>S_binomial[[#This Row],[X base]]&lt;AF$5</f>
        <v>1</v>
      </c>
      <c r="AJ106" s="99" t="b">
        <f>S_binomial[[#This Row],[X base]]=AF$5</f>
        <v>0</v>
      </c>
      <c r="AK106" s="99" t="b">
        <f>S_binomial[[#This Row],[X base]]&gt;AF$5</f>
        <v>0</v>
      </c>
      <c r="AL106" s="99">
        <f>IF(S_binomial[[#This Row],[Mindre end]],S_binomial[[#This Row],[Binomialfordeling]],NA())</f>
        <v>2.7751718400000021E-4</v>
      </c>
      <c r="AM106" s="99" t="e">
        <f>IF(S_binomial[[#This Row],[Lig med]],S_binomial[[#This Row],[Binomialfordeling]],NA())</f>
        <v>#N/A</v>
      </c>
      <c r="AN106" s="99" t="e">
        <f>IF(S_binomial[[#This Row],[Større end]],S_binomial[[#This Row],[Binomialfordeling]],NA())</f>
        <v>#N/A</v>
      </c>
      <c r="AO106" s="85" t="str">
        <f>_xlfn.IFNA(IF(MOD(S_binomial[[#This Row],[Indeks (base 0)]],AF$7)=ROUNDDOWN(AF$7/2,0),S_binomial[[#This Row],[X base]],""),"")</f>
        <v/>
      </c>
      <c r="AP106" s="99" t="str">
        <f t="shared" si="20"/>
        <v xml:space="preserve"> </v>
      </c>
      <c r="AR106" s="54">
        <f t="shared" si="21"/>
        <v>93</v>
      </c>
      <c r="AS106" s="54">
        <f>S_normal27[[#This Row],[Indeks (base 0)]]+1</f>
        <v>94</v>
      </c>
      <c r="AT106" s="54">
        <f t="shared" si="23"/>
        <v>1</v>
      </c>
      <c r="AU106" s="54">
        <f>IF(MOD(S_normal27[[#This Row],[Indeks (base 0)]],AS$8)=0,NA(),_xlfn.POISSON.DIST(S_normal27[[#This Row],[X base]],$H$5,FALSE))</f>
        <v>0.14936120510359185</v>
      </c>
      <c r="AV106" s="99" t="b">
        <f>S_normal27[[#This Row],[X base]]&lt;AS$5</f>
        <v>1</v>
      </c>
      <c r="AW106" s="99" t="b">
        <f>S_normal27[[#This Row],[X base]]=AS$5</f>
        <v>0</v>
      </c>
      <c r="AX106" s="99" t="b">
        <f>S_normal27[[#This Row],[X base]]&gt;AS$5</f>
        <v>0</v>
      </c>
      <c r="AY106" s="99">
        <f>IF(S_normal27[[#This Row],[Mindre end]],S_normal27[[#This Row],[Poissonfordeling]],NA())</f>
        <v>0.14936120510359185</v>
      </c>
      <c r="AZ106" s="99" t="e">
        <f>IF(S_normal27[[#This Row],[Lig med]],S_normal27[[#This Row],[Poissonfordeling]],NA())</f>
        <v>#N/A</v>
      </c>
      <c r="BA106" s="99" t="e">
        <f>IF(S_normal27[[#This Row],[Større end]],S_normal27[[#This Row],[Poissonfordeling]],NA())</f>
        <v>#N/A</v>
      </c>
      <c r="BB106" s="85" t="str">
        <f>_xlfn.IFNA(IF(MOD(S_normal27[[#This Row],[Indeks (base 0)]],AS$8)=ROUNDDOWN(AS$8/2,0),S_normal27[[#This Row],[X base]],""),"")</f>
        <v/>
      </c>
      <c r="BC106" s="99" t="str">
        <f t="shared" si="22"/>
        <v xml:space="preserve"> </v>
      </c>
    </row>
    <row r="107" spans="20:55" x14ac:dyDescent="0.2">
      <c r="T107" s="54">
        <f t="shared" si="16"/>
        <v>94</v>
      </c>
      <c r="U107" s="54">
        <f>S_normal[[#This Row],[Indeks (base 0)]]+1</f>
        <v>95</v>
      </c>
      <c r="V107" s="99">
        <f t="shared" si="14"/>
        <v>-0.83843512182847668</v>
      </c>
      <c r="W107" s="99">
        <f t="shared" si="17"/>
        <v>0.28071222072349411</v>
      </c>
      <c r="X107" s="99" t="b">
        <f>S_normal[[#This Row],[X base]]&lt;U$7</f>
        <v>1</v>
      </c>
      <c r="Y107" s="99" t="b">
        <f>S_normal[[#This Row],[X base]]&gt;U$7</f>
        <v>0</v>
      </c>
      <c r="Z107" s="99">
        <f>IF(S_normal[[#This Row],[Mindre end]],S_normal[[#This Row],[Normalfordeling]],NA())</f>
        <v>0.28071222072349411</v>
      </c>
      <c r="AA107" s="99" t="e">
        <f>IF(S_normal[[#This Row],[Større end]],S_normal[[#This Row],[Normalfordeling]],NA())</f>
        <v>#N/A</v>
      </c>
      <c r="AB107" s="72" t="str">
        <f>_xlfn.IFNA(IF(S_normal[[#This Row],[Indeks (base 0)]]=ROUND((ROUND(S_normal[[#This Row],[X base]],0)-U$8)/(U$9-U$8)*U$4,0),S_normal[[#This Row],[X base]]*B$6+B$5,""),"")</f>
        <v/>
      </c>
      <c r="AC107" s="99" t="str">
        <f t="shared" si="15"/>
        <v xml:space="preserve"> </v>
      </c>
      <c r="AE107" s="54">
        <f t="shared" si="18"/>
        <v>94</v>
      </c>
      <c r="AF107" s="54">
        <f>S_binomial[[#This Row],[Indeks (base 0)]]+1</f>
        <v>95</v>
      </c>
      <c r="AG107" s="99">
        <f t="shared" si="19"/>
        <v>1</v>
      </c>
      <c r="AH107" s="99">
        <f>IF(MOD(S_binomial[[#This Row],[Indeks (base 0)]],AF$7)=0,NA(),_xlfn.BINOM.DIST(S_binomial[[#This Row],[X base]],E$5,E$6,FALSE))</f>
        <v>2.7751718400000021E-4</v>
      </c>
      <c r="AI107" s="99" t="b">
        <f>S_binomial[[#This Row],[X base]]&lt;AF$5</f>
        <v>1</v>
      </c>
      <c r="AJ107" s="99" t="b">
        <f>S_binomial[[#This Row],[X base]]=AF$5</f>
        <v>0</v>
      </c>
      <c r="AK107" s="99" t="b">
        <f>S_binomial[[#This Row],[X base]]&gt;AF$5</f>
        <v>0</v>
      </c>
      <c r="AL107" s="99">
        <f>IF(S_binomial[[#This Row],[Mindre end]],S_binomial[[#This Row],[Binomialfordeling]],NA())</f>
        <v>2.7751718400000021E-4</v>
      </c>
      <c r="AM107" s="99" t="e">
        <f>IF(S_binomial[[#This Row],[Lig med]],S_binomial[[#This Row],[Binomialfordeling]],NA())</f>
        <v>#N/A</v>
      </c>
      <c r="AN107" s="99" t="e">
        <f>IF(S_binomial[[#This Row],[Større end]],S_binomial[[#This Row],[Binomialfordeling]],NA())</f>
        <v>#N/A</v>
      </c>
      <c r="AO107" s="85" t="str">
        <f>_xlfn.IFNA(IF(MOD(S_binomial[[#This Row],[Indeks (base 0)]],AF$7)=ROUNDDOWN(AF$7/2,0),S_binomial[[#This Row],[X base]],""),"")</f>
        <v/>
      </c>
      <c r="AP107" s="99" t="str">
        <f t="shared" si="20"/>
        <v xml:space="preserve"> </v>
      </c>
      <c r="AR107" s="54">
        <f t="shared" si="21"/>
        <v>94</v>
      </c>
      <c r="AS107" s="54">
        <f>S_normal27[[#This Row],[Indeks (base 0)]]+1</f>
        <v>95</v>
      </c>
      <c r="AT107" s="54">
        <f t="shared" si="23"/>
        <v>1</v>
      </c>
      <c r="AU107" s="54">
        <f>IF(MOD(S_normal27[[#This Row],[Indeks (base 0)]],AS$8)=0,NA(),_xlfn.POISSON.DIST(S_normal27[[#This Row],[X base]],$H$5,FALSE))</f>
        <v>0.14936120510359185</v>
      </c>
      <c r="AV107" s="99" t="b">
        <f>S_normal27[[#This Row],[X base]]&lt;AS$5</f>
        <v>1</v>
      </c>
      <c r="AW107" s="99" t="b">
        <f>S_normal27[[#This Row],[X base]]=AS$5</f>
        <v>0</v>
      </c>
      <c r="AX107" s="99" t="b">
        <f>S_normal27[[#This Row],[X base]]&gt;AS$5</f>
        <v>0</v>
      </c>
      <c r="AY107" s="99">
        <f>IF(S_normal27[[#This Row],[Mindre end]],S_normal27[[#This Row],[Poissonfordeling]],NA())</f>
        <v>0.14936120510359185</v>
      </c>
      <c r="AZ107" s="99" t="e">
        <f>IF(S_normal27[[#This Row],[Lig med]],S_normal27[[#This Row],[Poissonfordeling]],NA())</f>
        <v>#N/A</v>
      </c>
      <c r="BA107" s="99" t="e">
        <f>IF(S_normal27[[#This Row],[Større end]],S_normal27[[#This Row],[Poissonfordeling]],NA())</f>
        <v>#N/A</v>
      </c>
      <c r="BB107" s="85" t="str">
        <f>_xlfn.IFNA(IF(MOD(S_normal27[[#This Row],[Indeks (base 0)]],AS$8)=ROUNDDOWN(AS$8/2,0),S_normal27[[#This Row],[X base]],""),"")</f>
        <v/>
      </c>
      <c r="BC107" s="99" t="str">
        <f t="shared" si="22"/>
        <v xml:space="preserve"> </v>
      </c>
    </row>
    <row r="108" spans="20:55" x14ac:dyDescent="0.2">
      <c r="T108" s="54">
        <f t="shared" si="16"/>
        <v>95</v>
      </c>
      <c r="U108" s="54">
        <f>S_normal[[#This Row],[Indeks (base 0)]]+1</f>
        <v>96</v>
      </c>
      <c r="V108" s="99">
        <f t="shared" si="14"/>
        <v>-0.81447983263337731</v>
      </c>
      <c r="W108" s="99">
        <f t="shared" si="17"/>
        <v>0.28632514820484678</v>
      </c>
      <c r="X108" s="99" t="b">
        <f>S_normal[[#This Row],[X base]]&lt;U$7</f>
        <v>1</v>
      </c>
      <c r="Y108" s="99" t="b">
        <f>S_normal[[#This Row],[X base]]&gt;U$7</f>
        <v>0</v>
      </c>
      <c r="Z108" s="99">
        <f>IF(S_normal[[#This Row],[Mindre end]],S_normal[[#This Row],[Normalfordeling]],NA())</f>
        <v>0.28632514820484678</v>
      </c>
      <c r="AA108" s="99" t="e">
        <f>IF(S_normal[[#This Row],[Større end]],S_normal[[#This Row],[Normalfordeling]],NA())</f>
        <v>#N/A</v>
      </c>
      <c r="AB108" s="72" t="str">
        <f>_xlfn.IFNA(IF(S_normal[[#This Row],[Indeks (base 0)]]=ROUND((ROUND(S_normal[[#This Row],[X base]],0)-U$8)/(U$9-U$8)*U$4,0),S_normal[[#This Row],[X base]]*B$6+B$5,""),"")</f>
        <v/>
      </c>
      <c r="AC108" s="99" t="str">
        <f t="shared" si="15"/>
        <v xml:space="preserve"> </v>
      </c>
      <c r="AE108" s="54">
        <f t="shared" si="18"/>
        <v>95</v>
      </c>
      <c r="AF108" s="54">
        <f>S_binomial[[#This Row],[Indeks (base 0)]]+1</f>
        <v>96</v>
      </c>
      <c r="AG108" s="99">
        <f t="shared" si="19"/>
        <v>1</v>
      </c>
      <c r="AH108" s="99">
        <f>IF(MOD(S_binomial[[#This Row],[Indeks (base 0)]],AF$7)=0,NA(),_xlfn.BINOM.DIST(S_binomial[[#This Row],[X base]],E$5,E$6,FALSE))</f>
        <v>2.7751718400000021E-4</v>
      </c>
      <c r="AI108" s="99" t="b">
        <f>S_binomial[[#This Row],[X base]]&lt;AF$5</f>
        <v>1</v>
      </c>
      <c r="AJ108" s="99" t="b">
        <f>S_binomial[[#This Row],[X base]]=AF$5</f>
        <v>0</v>
      </c>
      <c r="AK108" s="99" t="b">
        <f>S_binomial[[#This Row],[X base]]&gt;AF$5</f>
        <v>0</v>
      </c>
      <c r="AL108" s="99">
        <f>IF(S_binomial[[#This Row],[Mindre end]],S_binomial[[#This Row],[Binomialfordeling]],NA())</f>
        <v>2.7751718400000021E-4</v>
      </c>
      <c r="AM108" s="99" t="e">
        <f>IF(S_binomial[[#This Row],[Lig med]],S_binomial[[#This Row],[Binomialfordeling]],NA())</f>
        <v>#N/A</v>
      </c>
      <c r="AN108" s="99" t="e">
        <f>IF(S_binomial[[#This Row],[Større end]],S_binomial[[#This Row],[Binomialfordeling]],NA())</f>
        <v>#N/A</v>
      </c>
      <c r="AO108" s="85" t="str">
        <f>_xlfn.IFNA(IF(MOD(S_binomial[[#This Row],[Indeks (base 0)]],AF$7)=ROUNDDOWN(AF$7/2,0),S_binomial[[#This Row],[X base]],""),"")</f>
        <v/>
      </c>
      <c r="AP108" s="99" t="str">
        <f t="shared" si="20"/>
        <v xml:space="preserve"> </v>
      </c>
      <c r="AR108" s="54">
        <f t="shared" si="21"/>
        <v>95</v>
      </c>
      <c r="AS108" s="54">
        <f>S_normal27[[#This Row],[Indeks (base 0)]]+1</f>
        <v>96</v>
      </c>
      <c r="AT108" s="54">
        <f t="shared" si="23"/>
        <v>1</v>
      </c>
      <c r="AU108" s="54">
        <f>IF(MOD(S_normal27[[#This Row],[Indeks (base 0)]],AS$8)=0,NA(),_xlfn.POISSON.DIST(S_normal27[[#This Row],[X base]],$H$5,FALSE))</f>
        <v>0.14936120510359185</v>
      </c>
      <c r="AV108" s="99" t="b">
        <f>S_normal27[[#This Row],[X base]]&lt;AS$5</f>
        <v>1</v>
      </c>
      <c r="AW108" s="99" t="b">
        <f>S_normal27[[#This Row],[X base]]=AS$5</f>
        <v>0</v>
      </c>
      <c r="AX108" s="99" t="b">
        <f>S_normal27[[#This Row],[X base]]&gt;AS$5</f>
        <v>0</v>
      </c>
      <c r="AY108" s="99">
        <f>IF(S_normal27[[#This Row],[Mindre end]],S_normal27[[#This Row],[Poissonfordeling]],NA())</f>
        <v>0.14936120510359185</v>
      </c>
      <c r="AZ108" s="99" t="e">
        <f>IF(S_normal27[[#This Row],[Lig med]],S_normal27[[#This Row],[Poissonfordeling]],NA())</f>
        <v>#N/A</v>
      </c>
      <c r="BA108" s="99" t="e">
        <f>IF(S_normal27[[#This Row],[Større end]],S_normal27[[#This Row],[Poissonfordeling]],NA())</f>
        <v>#N/A</v>
      </c>
      <c r="BB108" s="85" t="str">
        <f>_xlfn.IFNA(IF(MOD(S_normal27[[#This Row],[Indeks (base 0)]],AS$8)=ROUNDDOWN(AS$8/2,0),S_normal27[[#This Row],[X base]],""),"")</f>
        <v/>
      </c>
      <c r="BC108" s="99" t="str">
        <f t="shared" si="22"/>
        <v xml:space="preserve"> </v>
      </c>
    </row>
    <row r="109" spans="20:55" x14ac:dyDescent="0.2">
      <c r="T109" s="54">
        <f t="shared" si="16"/>
        <v>96</v>
      </c>
      <c r="U109" s="54">
        <f>S_normal[[#This Row],[Indeks (base 0)]]+1</f>
        <v>97</v>
      </c>
      <c r="V109" s="99">
        <f t="shared" si="14"/>
        <v>-0.79052454343827794</v>
      </c>
      <c r="W109" s="99">
        <f t="shared" si="17"/>
        <v>0.29188276119520318</v>
      </c>
      <c r="X109" s="99" t="b">
        <f>S_normal[[#This Row],[X base]]&lt;U$7</f>
        <v>1</v>
      </c>
      <c r="Y109" s="99" t="b">
        <f>S_normal[[#This Row],[X base]]&gt;U$7</f>
        <v>0</v>
      </c>
      <c r="Z109" s="99">
        <f>IF(S_normal[[#This Row],[Mindre end]],S_normal[[#This Row],[Normalfordeling]],NA())</f>
        <v>0.29188276119520318</v>
      </c>
      <c r="AA109" s="99" t="e">
        <f>IF(S_normal[[#This Row],[Større end]],S_normal[[#This Row],[Normalfordeling]],NA())</f>
        <v>#N/A</v>
      </c>
      <c r="AB109" s="72" t="str">
        <f>_xlfn.IFNA(IF(S_normal[[#This Row],[Indeks (base 0)]]=ROUND((ROUND(S_normal[[#This Row],[X base]],0)-U$8)/(U$9-U$8)*U$4,0),S_normal[[#This Row],[X base]]*B$6+B$5,""),"")</f>
        <v/>
      </c>
      <c r="AC109" s="99" t="str">
        <f t="shared" si="15"/>
        <v xml:space="preserve"> </v>
      </c>
      <c r="AE109" s="54">
        <f t="shared" si="18"/>
        <v>96</v>
      </c>
      <c r="AF109" s="54">
        <f>S_binomial[[#This Row],[Indeks (base 0)]]+1</f>
        <v>97</v>
      </c>
      <c r="AG109" s="99">
        <f t="shared" si="19"/>
        <v>1</v>
      </c>
      <c r="AH109" s="99">
        <f>IF(MOD(S_binomial[[#This Row],[Indeks (base 0)]],AF$7)=0,NA(),_xlfn.BINOM.DIST(S_binomial[[#This Row],[X base]],E$5,E$6,FALSE))</f>
        <v>2.7751718400000021E-4</v>
      </c>
      <c r="AI109" s="99" t="b">
        <f>S_binomial[[#This Row],[X base]]&lt;AF$5</f>
        <v>1</v>
      </c>
      <c r="AJ109" s="99" t="b">
        <f>S_binomial[[#This Row],[X base]]=AF$5</f>
        <v>0</v>
      </c>
      <c r="AK109" s="99" t="b">
        <f>S_binomial[[#This Row],[X base]]&gt;AF$5</f>
        <v>0</v>
      </c>
      <c r="AL109" s="99">
        <f>IF(S_binomial[[#This Row],[Mindre end]],S_binomial[[#This Row],[Binomialfordeling]],NA())</f>
        <v>2.7751718400000021E-4</v>
      </c>
      <c r="AM109" s="99" t="e">
        <f>IF(S_binomial[[#This Row],[Lig med]],S_binomial[[#This Row],[Binomialfordeling]],NA())</f>
        <v>#N/A</v>
      </c>
      <c r="AN109" s="99" t="e">
        <f>IF(S_binomial[[#This Row],[Større end]],S_binomial[[#This Row],[Binomialfordeling]],NA())</f>
        <v>#N/A</v>
      </c>
      <c r="AO109" s="85" t="str">
        <f>_xlfn.IFNA(IF(MOD(S_binomial[[#This Row],[Indeks (base 0)]],AF$7)=ROUNDDOWN(AF$7/2,0),S_binomial[[#This Row],[X base]],""),"")</f>
        <v/>
      </c>
      <c r="AP109" s="99" t="str">
        <f t="shared" si="20"/>
        <v xml:space="preserve"> </v>
      </c>
      <c r="AR109" s="54">
        <f t="shared" si="21"/>
        <v>96</v>
      </c>
      <c r="AS109" s="54">
        <f>S_normal27[[#This Row],[Indeks (base 0)]]+1</f>
        <v>97</v>
      </c>
      <c r="AT109" s="54">
        <f t="shared" si="23"/>
        <v>1</v>
      </c>
      <c r="AU109" s="54">
        <f>IF(MOD(S_normal27[[#This Row],[Indeks (base 0)]],AS$8)=0,NA(),_xlfn.POISSON.DIST(S_normal27[[#This Row],[X base]],$H$5,FALSE))</f>
        <v>0.14936120510359185</v>
      </c>
      <c r="AV109" s="99" t="b">
        <f>S_normal27[[#This Row],[X base]]&lt;AS$5</f>
        <v>1</v>
      </c>
      <c r="AW109" s="99" t="b">
        <f>S_normal27[[#This Row],[X base]]=AS$5</f>
        <v>0</v>
      </c>
      <c r="AX109" s="99" t="b">
        <f>S_normal27[[#This Row],[X base]]&gt;AS$5</f>
        <v>0</v>
      </c>
      <c r="AY109" s="99">
        <f>IF(S_normal27[[#This Row],[Mindre end]],S_normal27[[#This Row],[Poissonfordeling]],NA())</f>
        <v>0.14936120510359185</v>
      </c>
      <c r="AZ109" s="99" t="e">
        <f>IF(S_normal27[[#This Row],[Lig med]],S_normal27[[#This Row],[Poissonfordeling]],NA())</f>
        <v>#N/A</v>
      </c>
      <c r="BA109" s="99" t="e">
        <f>IF(S_normal27[[#This Row],[Større end]],S_normal27[[#This Row],[Poissonfordeling]],NA())</f>
        <v>#N/A</v>
      </c>
      <c r="BB109" s="85" t="str">
        <f>_xlfn.IFNA(IF(MOD(S_normal27[[#This Row],[Indeks (base 0)]],AS$8)=ROUNDDOWN(AS$8/2,0),S_normal27[[#This Row],[X base]],""),"")</f>
        <v/>
      </c>
      <c r="BC109" s="99" t="str">
        <f t="shared" si="22"/>
        <v xml:space="preserve"> </v>
      </c>
    </row>
    <row r="110" spans="20:55" x14ac:dyDescent="0.2">
      <c r="T110" s="54">
        <f t="shared" si="16"/>
        <v>97</v>
      </c>
      <c r="U110" s="54">
        <f>S_normal[[#This Row],[Indeks (base 0)]]+1</f>
        <v>98</v>
      </c>
      <c r="V110" s="99">
        <f t="shared" si="14"/>
        <v>-0.76656925424317857</v>
      </c>
      <c r="W110" s="99">
        <f t="shared" si="17"/>
        <v>0.29737754743782796</v>
      </c>
      <c r="X110" s="99" t="b">
        <f>S_normal[[#This Row],[X base]]&lt;U$7</f>
        <v>1</v>
      </c>
      <c r="Y110" s="99" t="b">
        <f>S_normal[[#This Row],[X base]]&gt;U$7</f>
        <v>0</v>
      </c>
      <c r="Z110" s="99">
        <f>IF(S_normal[[#This Row],[Mindre end]],S_normal[[#This Row],[Normalfordeling]],NA())</f>
        <v>0.29737754743782796</v>
      </c>
      <c r="AA110" s="99" t="e">
        <f>IF(S_normal[[#This Row],[Større end]],S_normal[[#This Row],[Normalfordeling]],NA())</f>
        <v>#N/A</v>
      </c>
      <c r="AB110" s="72" t="str">
        <f>_xlfn.IFNA(IF(S_normal[[#This Row],[Indeks (base 0)]]=ROUND((ROUND(S_normal[[#This Row],[X base]],0)-U$8)/(U$9-U$8)*U$4,0),S_normal[[#This Row],[X base]]*B$6+B$5,""),"")</f>
        <v/>
      </c>
      <c r="AC110" s="99" t="str">
        <f t="shared" si="15"/>
        <v xml:space="preserve"> </v>
      </c>
      <c r="AE110" s="54">
        <f t="shared" si="18"/>
        <v>97</v>
      </c>
      <c r="AF110" s="54">
        <f>S_binomial[[#This Row],[Indeks (base 0)]]+1</f>
        <v>98</v>
      </c>
      <c r="AG110" s="99">
        <f t="shared" si="19"/>
        <v>1</v>
      </c>
      <c r="AH110" s="99">
        <f>IF(MOD(S_binomial[[#This Row],[Indeks (base 0)]],AF$7)=0,NA(),_xlfn.BINOM.DIST(S_binomial[[#This Row],[X base]],E$5,E$6,FALSE))</f>
        <v>2.7751718400000021E-4</v>
      </c>
      <c r="AI110" s="99" t="b">
        <f>S_binomial[[#This Row],[X base]]&lt;AF$5</f>
        <v>1</v>
      </c>
      <c r="AJ110" s="99" t="b">
        <f>S_binomial[[#This Row],[X base]]=AF$5</f>
        <v>0</v>
      </c>
      <c r="AK110" s="99" t="b">
        <f>S_binomial[[#This Row],[X base]]&gt;AF$5</f>
        <v>0</v>
      </c>
      <c r="AL110" s="99">
        <f>IF(S_binomial[[#This Row],[Mindre end]],S_binomial[[#This Row],[Binomialfordeling]],NA())</f>
        <v>2.7751718400000021E-4</v>
      </c>
      <c r="AM110" s="99" t="e">
        <f>IF(S_binomial[[#This Row],[Lig med]],S_binomial[[#This Row],[Binomialfordeling]],NA())</f>
        <v>#N/A</v>
      </c>
      <c r="AN110" s="99" t="e">
        <f>IF(S_binomial[[#This Row],[Større end]],S_binomial[[#This Row],[Binomialfordeling]],NA())</f>
        <v>#N/A</v>
      </c>
      <c r="AO110" s="85" t="str">
        <f>_xlfn.IFNA(IF(MOD(S_binomial[[#This Row],[Indeks (base 0)]],AF$7)=ROUNDDOWN(AF$7/2,0),S_binomial[[#This Row],[X base]],""),"")</f>
        <v/>
      </c>
      <c r="AP110" s="99" t="str">
        <f t="shared" si="20"/>
        <v xml:space="preserve"> </v>
      </c>
      <c r="AR110" s="54">
        <f t="shared" si="21"/>
        <v>97</v>
      </c>
      <c r="AS110" s="54">
        <f>S_normal27[[#This Row],[Indeks (base 0)]]+1</f>
        <v>98</v>
      </c>
      <c r="AT110" s="54">
        <f t="shared" si="23"/>
        <v>1</v>
      </c>
      <c r="AU110" s="54">
        <f>IF(MOD(S_normal27[[#This Row],[Indeks (base 0)]],AS$8)=0,NA(),_xlfn.POISSON.DIST(S_normal27[[#This Row],[X base]],$H$5,FALSE))</f>
        <v>0.14936120510359185</v>
      </c>
      <c r="AV110" s="99" t="b">
        <f>S_normal27[[#This Row],[X base]]&lt;AS$5</f>
        <v>1</v>
      </c>
      <c r="AW110" s="99" t="b">
        <f>S_normal27[[#This Row],[X base]]=AS$5</f>
        <v>0</v>
      </c>
      <c r="AX110" s="99" t="b">
        <f>S_normal27[[#This Row],[X base]]&gt;AS$5</f>
        <v>0</v>
      </c>
      <c r="AY110" s="99">
        <f>IF(S_normal27[[#This Row],[Mindre end]],S_normal27[[#This Row],[Poissonfordeling]],NA())</f>
        <v>0.14936120510359185</v>
      </c>
      <c r="AZ110" s="99" t="e">
        <f>IF(S_normal27[[#This Row],[Lig med]],S_normal27[[#This Row],[Poissonfordeling]],NA())</f>
        <v>#N/A</v>
      </c>
      <c r="BA110" s="99" t="e">
        <f>IF(S_normal27[[#This Row],[Større end]],S_normal27[[#This Row],[Poissonfordeling]],NA())</f>
        <v>#N/A</v>
      </c>
      <c r="BB110" s="85">
        <f>_xlfn.IFNA(IF(MOD(S_normal27[[#This Row],[Indeks (base 0)]],AS$8)=ROUNDDOWN(AS$8/2,0),S_normal27[[#This Row],[X base]],""),"")</f>
        <v>1</v>
      </c>
      <c r="BC110" s="99" t="str">
        <f t="shared" si="22"/>
        <v>19.915%
 mindre end 2</v>
      </c>
    </row>
    <row r="111" spans="20:55" x14ac:dyDescent="0.2">
      <c r="T111" s="54">
        <f t="shared" si="16"/>
        <v>98</v>
      </c>
      <c r="U111" s="54">
        <f>S_normal[[#This Row],[Indeks (base 0)]]+1</f>
        <v>99</v>
      </c>
      <c r="V111" s="99">
        <f t="shared" si="14"/>
        <v>-0.74261396504807919</v>
      </c>
      <c r="W111" s="99">
        <f t="shared" si="17"/>
        <v>0.30280196023421319</v>
      </c>
      <c r="X111" s="99" t="b">
        <f>S_normal[[#This Row],[X base]]&lt;U$7</f>
        <v>1</v>
      </c>
      <c r="Y111" s="99" t="b">
        <f>S_normal[[#This Row],[X base]]&gt;U$7</f>
        <v>0</v>
      </c>
      <c r="Z111" s="99">
        <f>IF(S_normal[[#This Row],[Mindre end]],S_normal[[#This Row],[Normalfordeling]],NA())</f>
        <v>0.30280196023421319</v>
      </c>
      <c r="AA111" s="99" t="e">
        <f>IF(S_normal[[#This Row],[Større end]],S_normal[[#This Row],[Normalfordeling]],NA())</f>
        <v>#N/A</v>
      </c>
      <c r="AB111" s="72" t="str">
        <f>_xlfn.IFNA(IF(S_normal[[#This Row],[Indeks (base 0)]]=ROUND((ROUND(S_normal[[#This Row],[X base]],0)-U$8)/(U$9-U$8)*U$4,0),S_normal[[#This Row],[X base]]*B$6+B$5,""),"")</f>
        <v/>
      </c>
      <c r="AC111" s="99" t="str">
        <f t="shared" si="15"/>
        <v xml:space="preserve"> </v>
      </c>
      <c r="AE111" s="54">
        <f t="shared" si="18"/>
        <v>98</v>
      </c>
      <c r="AF111" s="54">
        <f>S_binomial[[#This Row],[Indeks (base 0)]]+1</f>
        <v>99</v>
      </c>
      <c r="AG111" s="99">
        <f t="shared" si="19"/>
        <v>1</v>
      </c>
      <c r="AH111" s="99">
        <f>IF(MOD(S_binomial[[#This Row],[Indeks (base 0)]],AF$7)=0,NA(),_xlfn.BINOM.DIST(S_binomial[[#This Row],[X base]],E$5,E$6,FALSE))</f>
        <v>2.7751718400000021E-4</v>
      </c>
      <c r="AI111" s="99" t="b">
        <f>S_binomial[[#This Row],[X base]]&lt;AF$5</f>
        <v>1</v>
      </c>
      <c r="AJ111" s="99" t="b">
        <f>S_binomial[[#This Row],[X base]]=AF$5</f>
        <v>0</v>
      </c>
      <c r="AK111" s="99" t="b">
        <f>S_binomial[[#This Row],[X base]]&gt;AF$5</f>
        <v>0</v>
      </c>
      <c r="AL111" s="99">
        <f>IF(S_binomial[[#This Row],[Mindre end]],S_binomial[[#This Row],[Binomialfordeling]],NA())</f>
        <v>2.7751718400000021E-4</v>
      </c>
      <c r="AM111" s="99" t="e">
        <f>IF(S_binomial[[#This Row],[Lig med]],S_binomial[[#This Row],[Binomialfordeling]],NA())</f>
        <v>#N/A</v>
      </c>
      <c r="AN111" s="99" t="e">
        <f>IF(S_binomial[[#This Row],[Større end]],S_binomial[[#This Row],[Binomialfordeling]],NA())</f>
        <v>#N/A</v>
      </c>
      <c r="AO111" s="85" t="str">
        <f>_xlfn.IFNA(IF(MOD(S_binomial[[#This Row],[Indeks (base 0)]],AF$7)=ROUNDDOWN(AF$7/2,0),S_binomial[[#This Row],[X base]],""),"")</f>
        <v/>
      </c>
      <c r="AP111" s="99" t="str">
        <f t="shared" si="20"/>
        <v xml:space="preserve"> </v>
      </c>
      <c r="AR111" s="54">
        <f t="shared" si="21"/>
        <v>98</v>
      </c>
      <c r="AS111" s="54">
        <f>S_normal27[[#This Row],[Indeks (base 0)]]+1</f>
        <v>99</v>
      </c>
      <c r="AT111" s="54">
        <f t="shared" si="23"/>
        <v>1</v>
      </c>
      <c r="AU111" s="54">
        <f>IF(MOD(S_normal27[[#This Row],[Indeks (base 0)]],AS$8)=0,NA(),_xlfn.POISSON.DIST(S_normal27[[#This Row],[X base]],$H$5,FALSE))</f>
        <v>0.14936120510359185</v>
      </c>
      <c r="AV111" s="99" t="b">
        <f>S_normal27[[#This Row],[X base]]&lt;AS$5</f>
        <v>1</v>
      </c>
      <c r="AW111" s="99" t="b">
        <f>S_normal27[[#This Row],[X base]]=AS$5</f>
        <v>0</v>
      </c>
      <c r="AX111" s="99" t="b">
        <f>S_normal27[[#This Row],[X base]]&gt;AS$5</f>
        <v>0</v>
      </c>
      <c r="AY111" s="99">
        <f>IF(S_normal27[[#This Row],[Mindre end]],S_normal27[[#This Row],[Poissonfordeling]],NA())</f>
        <v>0.14936120510359185</v>
      </c>
      <c r="AZ111" s="99" t="e">
        <f>IF(S_normal27[[#This Row],[Lig med]],S_normal27[[#This Row],[Poissonfordeling]],NA())</f>
        <v>#N/A</v>
      </c>
      <c r="BA111" s="99" t="e">
        <f>IF(S_normal27[[#This Row],[Større end]],S_normal27[[#This Row],[Poissonfordeling]],NA())</f>
        <v>#N/A</v>
      </c>
      <c r="BB111" s="85" t="str">
        <f>_xlfn.IFNA(IF(MOD(S_normal27[[#This Row],[Indeks (base 0)]],AS$8)=ROUNDDOWN(AS$8/2,0),S_normal27[[#This Row],[X base]],""),"")</f>
        <v/>
      </c>
      <c r="BC111" s="99" t="str">
        <f t="shared" si="22"/>
        <v xml:space="preserve"> </v>
      </c>
    </row>
    <row r="112" spans="20:55" x14ac:dyDescent="0.2">
      <c r="T112" s="54">
        <f t="shared" si="16"/>
        <v>99</v>
      </c>
      <c r="U112" s="54">
        <f>S_normal[[#This Row],[Indeks (base 0)]]+1</f>
        <v>100</v>
      </c>
      <c r="V112" s="99">
        <f t="shared" si="14"/>
        <v>-0.71865867585297982</v>
      </c>
      <c r="W112" s="99">
        <f t="shared" si="17"/>
        <v>0.30814843527368829</v>
      </c>
      <c r="X112" s="99" t="b">
        <f>S_normal[[#This Row],[X base]]&lt;U$7</f>
        <v>1</v>
      </c>
      <c r="Y112" s="99" t="b">
        <f>S_normal[[#This Row],[X base]]&gt;U$7</f>
        <v>0</v>
      </c>
      <c r="Z112" s="99">
        <f>IF(S_normal[[#This Row],[Mindre end]],S_normal[[#This Row],[Normalfordeling]],NA())</f>
        <v>0.30814843527368829</v>
      </c>
      <c r="AA112" s="99" t="e">
        <f>IF(S_normal[[#This Row],[Større end]],S_normal[[#This Row],[Normalfordeling]],NA())</f>
        <v>#N/A</v>
      </c>
      <c r="AB112" s="72" t="str">
        <f>_xlfn.IFNA(IF(S_normal[[#This Row],[Indeks (base 0)]]=ROUND((ROUND(S_normal[[#This Row],[X base]],0)-U$8)/(U$9-U$8)*U$4,0),S_normal[[#This Row],[X base]]*B$6+B$5,""),"")</f>
        <v/>
      </c>
      <c r="AC112" s="99" t="str">
        <f t="shared" si="15"/>
        <v xml:space="preserve"> </v>
      </c>
      <c r="AE112" s="54">
        <f t="shared" si="18"/>
        <v>99</v>
      </c>
      <c r="AF112" s="54">
        <f>S_binomial[[#This Row],[Indeks (base 0)]]+1</f>
        <v>100</v>
      </c>
      <c r="AG112" s="99">
        <f t="shared" si="19"/>
        <v>1</v>
      </c>
      <c r="AH112" s="99">
        <f>IF(MOD(S_binomial[[#This Row],[Indeks (base 0)]],AF$7)=0,NA(),_xlfn.BINOM.DIST(S_binomial[[#This Row],[X base]],E$5,E$6,FALSE))</f>
        <v>2.7751718400000021E-4</v>
      </c>
      <c r="AI112" s="99" t="b">
        <f>S_binomial[[#This Row],[X base]]&lt;AF$5</f>
        <v>1</v>
      </c>
      <c r="AJ112" s="99" t="b">
        <f>S_binomial[[#This Row],[X base]]=AF$5</f>
        <v>0</v>
      </c>
      <c r="AK112" s="99" t="b">
        <f>S_binomial[[#This Row],[X base]]&gt;AF$5</f>
        <v>0</v>
      </c>
      <c r="AL112" s="99">
        <f>IF(S_binomial[[#This Row],[Mindre end]],S_binomial[[#This Row],[Binomialfordeling]],NA())</f>
        <v>2.7751718400000021E-4</v>
      </c>
      <c r="AM112" s="99" t="e">
        <f>IF(S_binomial[[#This Row],[Lig med]],S_binomial[[#This Row],[Binomialfordeling]],NA())</f>
        <v>#N/A</v>
      </c>
      <c r="AN112" s="99" t="e">
        <f>IF(S_binomial[[#This Row],[Større end]],S_binomial[[#This Row],[Binomialfordeling]],NA())</f>
        <v>#N/A</v>
      </c>
      <c r="AO112" s="85" t="str">
        <f>_xlfn.IFNA(IF(MOD(S_binomial[[#This Row],[Indeks (base 0)]],AF$7)=ROUNDDOWN(AF$7/2,0),S_binomial[[#This Row],[X base]],""),"")</f>
        <v/>
      </c>
      <c r="AP112" s="99" t="str">
        <f t="shared" si="20"/>
        <v xml:space="preserve"> </v>
      </c>
      <c r="AR112" s="54">
        <f t="shared" si="21"/>
        <v>99</v>
      </c>
      <c r="AS112" s="54">
        <f>S_normal27[[#This Row],[Indeks (base 0)]]+1</f>
        <v>100</v>
      </c>
      <c r="AT112" s="54">
        <f t="shared" si="23"/>
        <v>1</v>
      </c>
      <c r="AU112" s="54">
        <f>IF(MOD(S_normal27[[#This Row],[Indeks (base 0)]],AS$8)=0,NA(),_xlfn.POISSON.DIST(S_normal27[[#This Row],[X base]],$H$5,FALSE))</f>
        <v>0.14936120510359185</v>
      </c>
      <c r="AV112" s="99" t="b">
        <f>S_normal27[[#This Row],[X base]]&lt;AS$5</f>
        <v>1</v>
      </c>
      <c r="AW112" s="99" t="b">
        <f>S_normal27[[#This Row],[X base]]=AS$5</f>
        <v>0</v>
      </c>
      <c r="AX112" s="99" t="b">
        <f>S_normal27[[#This Row],[X base]]&gt;AS$5</f>
        <v>0</v>
      </c>
      <c r="AY112" s="99">
        <f>IF(S_normal27[[#This Row],[Mindre end]],S_normal27[[#This Row],[Poissonfordeling]],NA())</f>
        <v>0.14936120510359185</v>
      </c>
      <c r="AZ112" s="99" t="e">
        <f>IF(S_normal27[[#This Row],[Lig med]],S_normal27[[#This Row],[Poissonfordeling]],NA())</f>
        <v>#N/A</v>
      </c>
      <c r="BA112" s="99" t="e">
        <f>IF(S_normal27[[#This Row],[Større end]],S_normal27[[#This Row],[Poissonfordeling]],NA())</f>
        <v>#N/A</v>
      </c>
      <c r="BB112" s="85" t="str">
        <f>_xlfn.IFNA(IF(MOD(S_normal27[[#This Row],[Indeks (base 0)]],AS$8)=ROUNDDOWN(AS$8/2,0),S_normal27[[#This Row],[X base]],""),"")</f>
        <v/>
      </c>
      <c r="BC112" s="99" t="str">
        <f t="shared" si="22"/>
        <v xml:space="preserve"> </v>
      </c>
    </row>
    <row r="113" spans="20:55" x14ac:dyDescent="0.2">
      <c r="T113" s="54">
        <f t="shared" si="16"/>
        <v>100</v>
      </c>
      <c r="U113" s="54">
        <f>S_normal[[#This Row],[Indeks (base 0)]]+1</f>
        <v>101</v>
      </c>
      <c r="V113" s="99">
        <f t="shared" si="14"/>
        <v>-0.69470338665788045</v>
      </c>
      <c r="W113" s="99">
        <f t="shared" si="17"/>
        <v>0.31340940782583288</v>
      </c>
      <c r="X113" s="99" t="b">
        <f>S_normal[[#This Row],[X base]]&lt;U$7</f>
        <v>1</v>
      </c>
      <c r="Y113" s="99" t="b">
        <f>S_normal[[#This Row],[X base]]&gt;U$7</f>
        <v>0</v>
      </c>
      <c r="Z113" s="99">
        <f>IF(S_normal[[#This Row],[Mindre end]],S_normal[[#This Row],[Normalfordeling]],NA())</f>
        <v>0.31340940782583288</v>
      </c>
      <c r="AA113" s="99" t="e">
        <f>IF(S_normal[[#This Row],[Større end]],S_normal[[#This Row],[Normalfordeling]],NA())</f>
        <v>#N/A</v>
      </c>
      <c r="AB113" s="72" t="str">
        <f>_xlfn.IFNA(IF(S_normal[[#This Row],[Indeks (base 0)]]=ROUND((ROUND(S_normal[[#This Row],[X base]],0)-U$8)/(U$9-U$8)*U$4,0),S_normal[[#This Row],[X base]]*B$6+B$5,""),"")</f>
        <v/>
      </c>
      <c r="AC113" s="99" t="str">
        <f t="shared" si="15"/>
        <v xml:space="preserve"> </v>
      </c>
      <c r="AE113" s="54">
        <f t="shared" si="18"/>
        <v>100</v>
      </c>
      <c r="AF113" s="54">
        <f>S_binomial[[#This Row],[Indeks (base 0)]]+1</f>
        <v>101</v>
      </c>
      <c r="AG113" s="99">
        <f t="shared" si="19"/>
        <v>1</v>
      </c>
      <c r="AH113" s="99">
        <f>IF(MOD(S_binomial[[#This Row],[Indeks (base 0)]],AF$7)=0,NA(),_xlfn.BINOM.DIST(S_binomial[[#This Row],[X base]],E$5,E$6,FALSE))</f>
        <v>2.7751718400000021E-4</v>
      </c>
      <c r="AI113" s="99" t="b">
        <f>S_binomial[[#This Row],[X base]]&lt;AF$5</f>
        <v>1</v>
      </c>
      <c r="AJ113" s="99" t="b">
        <f>S_binomial[[#This Row],[X base]]=AF$5</f>
        <v>0</v>
      </c>
      <c r="AK113" s="99" t="b">
        <f>S_binomial[[#This Row],[X base]]&gt;AF$5</f>
        <v>0</v>
      </c>
      <c r="AL113" s="99">
        <f>IF(S_binomial[[#This Row],[Mindre end]],S_binomial[[#This Row],[Binomialfordeling]],NA())</f>
        <v>2.7751718400000021E-4</v>
      </c>
      <c r="AM113" s="99" t="e">
        <f>IF(S_binomial[[#This Row],[Lig med]],S_binomial[[#This Row],[Binomialfordeling]],NA())</f>
        <v>#N/A</v>
      </c>
      <c r="AN113" s="99" t="e">
        <f>IF(S_binomial[[#This Row],[Større end]],S_binomial[[#This Row],[Binomialfordeling]],NA())</f>
        <v>#N/A</v>
      </c>
      <c r="AO113" s="85" t="str">
        <f>_xlfn.IFNA(IF(MOD(S_binomial[[#This Row],[Indeks (base 0)]],AF$7)=ROUNDDOWN(AF$7/2,0),S_binomial[[#This Row],[X base]],""),"")</f>
        <v/>
      </c>
      <c r="AP113" s="99" t="str">
        <f t="shared" si="20"/>
        <v xml:space="preserve"> </v>
      </c>
      <c r="AR113" s="54">
        <f t="shared" si="21"/>
        <v>100</v>
      </c>
      <c r="AS113" s="54">
        <f>S_normal27[[#This Row],[Indeks (base 0)]]+1</f>
        <v>101</v>
      </c>
      <c r="AT113" s="54">
        <f t="shared" si="23"/>
        <v>1</v>
      </c>
      <c r="AU113" s="54">
        <f>IF(MOD(S_normal27[[#This Row],[Indeks (base 0)]],AS$8)=0,NA(),_xlfn.POISSON.DIST(S_normal27[[#This Row],[X base]],$H$5,FALSE))</f>
        <v>0.14936120510359185</v>
      </c>
      <c r="AV113" s="99" t="b">
        <f>S_normal27[[#This Row],[X base]]&lt;AS$5</f>
        <v>1</v>
      </c>
      <c r="AW113" s="99" t="b">
        <f>S_normal27[[#This Row],[X base]]=AS$5</f>
        <v>0</v>
      </c>
      <c r="AX113" s="99" t="b">
        <f>S_normal27[[#This Row],[X base]]&gt;AS$5</f>
        <v>0</v>
      </c>
      <c r="AY113" s="99">
        <f>IF(S_normal27[[#This Row],[Mindre end]],S_normal27[[#This Row],[Poissonfordeling]],NA())</f>
        <v>0.14936120510359185</v>
      </c>
      <c r="AZ113" s="99" t="e">
        <f>IF(S_normal27[[#This Row],[Lig med]],S_normal27[[#This Row],[Poissonfordeling]],NA())</f>
        <v>#N/A</v>
      </c>
      <c r="BA113" s="99" t="e">
        <f>IF(S_normal27[[#This Row],[Større end]],S_normal27[[#This Row],[Poissonfordeling]],NA())</f>
        <v>#N/A</v>
      </c>
      <c r="BB113" s="85" t="str">
        <f>_xlfn.IFNA(IF(MOD(S_normal27[[#This Row],[Indeks (base 0)]],AS$8)=ROUNDDOWN(AS$8/2,0),S_normal27[[#This Row],[X base]],""),"")</f>
        <v/>
      </c>
      <c r="BC113" s="99" t="str">
        <f t="shared" si="22"/>
        <v xml:space="preserve"> </v>
      </c>
    </row>
    <row r="114" spans="20:55" x14ac:dyDescent="0.2">
      <c r="T114" s="54">
        <f t="shared" si="16"/>
        <v>101</v>
      </c>
      <c r="U114" s="54">
        <f>S_normal[[#This Row],[Indeks (base 0)]]+1</f>
        <v>102</v>
      </c>
      <c r="V114" s="99">
        <f t="shared" si="14"/>
        <v>-0.67074809746278108</v>
      </c>
      <c r="W114" s="99">
        <f t="shared" si="17"/>
        <v>0.31857733024261109</v>
      </c>
      <c r="X114" s="99" t="b">
        <f>S_normal[[#This Row],[X base]]&lt;U$7</f>
        <v>1</v>
      </c>
      <c r="Y114" s="99" t="b">
        <f>S_normal[[#This Row],[X base]]&gt;U$7</f>
        <v>0</v>
      </c>
      <c r="Z114" s="99">
        <f>IF(S_normal[[#This Row],[Mindre end]],S_normal[[#This Row],[Normalfordeling]],NA())</f>
        <v>0.31857733024261109</v>
      </c>
      <c r="AA114" s="99" t="e">
        <f>IF(S_normal[[#This Row],[Større end]],S_normal[[#This Row],[Normalfordeling]],NA())</f>
        <v>#N/A</v>
      </c>
      <c r="AB114" s="72" t="str">
        <f>_xlfn.IFNA(IF(S_normal[[#This Row],[Indeks (base 0)]]=ROUND((ROUND(S_normal[[#This Row],[X base]],0)-U$8)/(U$9-U$8)*U$4,0),S_normal[[#This Row],[X base]]*B$6+B$5,""),"")</f>
        <v/>
      </c>
      <c r="AC114" s="99" t="str">
        <f t="shared" si="15"/>
        <v xml:space="preserve"> </v>
      </c>
      <c r="AE114" s="54">
        <f t="shared" si="18"/>
        <v>101</v>
      </c>
      <c r="AF114" s="54">
        <f>S_binomial[[#This Row],[Indeks (base 0)]]+1</f>
        <v>102</v>
      </c>
      <c r="AG114" s="99">
        <f t="shared" si="19"/>
        <v>1</v>
      </c>
      <c r="AH114" s="99">
        <f>IF(MOD(S_binomial[[#This Row],[Indeks (base 0)]],AF$7)=0,NA(),_xlfn.BINOM.DIST(S_binomial[[#This Row],[X base]],E$5,E$6,FALSE))</f>
        <v>2.7751718400000021E-4</v>
      </c>
      <c r="AI114" s="99" t="b">
        <f>S_binomial[[#This Row],[X base]]&lt;AF$5</f>
        <v>1</v>
      </c>
      <c r="AJ114" s="99" t="b">
        <f>S_binomial[[#This Row],[X base]]=AF$5</f>
        <v>0</v>
      </c>
      <c r="AK114" s="99" t="b">
        <f>S_binomial[[#This Row],[X base]]&gt;AF$5</f>
        <v>0</v>
      </c>
      <c r="AL114" s="99">
        <f>IF(S_binomial[[#This Row],[Mindre end]],S_binomial[[#This Row],[Binomialfordeling]],NA())</f>
        <v>2.7751718400000021E-4</v>
      </c>
      <c r="AM114" s="99" t="e">
        <f>IF(S_binomial[[#This Row],[Lig med]],S_binomial[[#This Row],[Binomialfordeling]],NA())</f>
        <v>#N/A</v>
      </c>
      <c r="AN114" s="99" t="e">
        <f>IF(S_binomial[[#This Row],[Større end]],S_binomial[[#This Row],[Binomialfordeling]],NA())</f>
        <v>#N/A</v>
      </c>
      <c r="AO114" s="85" t="str">
        <f>_xlfn.IFNA(IF(MOD(S_binomial[[#This Row],[Indeks (base 0)]],AF$7)=ROUNDDOWN(AF$7/2,0),S_binomial[[#This Row],[X base]],""),"")</f>
        <v/>
      </c>
      <c r="AP114" s="99" t="str">
        <f t="shared" si="20"/>
        <v xml:space="preserve"> </v>
      </c>
      <c r="AR114" s="54">
        <f t="shared" si="21"/>
        <v>101</v>
      </c>
      <c r="AS114" s="54">
        <f>S_normal27[[#This Row],[Indeks (base 0)]]+1</f>
        <v>102</v>
      </c>
      <c r="AT114" s="54">
        <f t="shared" si="23"/>
        <v>1</v>
      </c>
      <c r="AU114" s="54">
        <f>IF(MOD(S_normal27[[#This Row],[Indeks (base 0)]],AS$8)=0,NA(),_xlfn.POISSON.DIST(S_normal27[[#This Row],[X base]],$H$5,FALSE))</f>
        <v>0.14936120510359185</v>
      </c>
      <c r="AV114" s="99" t="b">
        <f>S_normal27[[#This Row],[X base]]&lt;AS$5</f>
        <v>1</v>
      </c>
      <c r="AW114" s="99" t="b">
        <f>S_normal27[[#This Row],[X base]]=AS$5</f>
        <v>0</v>
      </c>
      <c r="AX114" s="99" t="b">
        <f>S_normal27[[#This Row],[X base]]&gt;AS$5</f>
        <v>0</v>
      </c>
      <c r="AY114" s="99">
        <f>IF(S_normal27[[#This Row],[Mindre end]],S_normal27[[#This Row],[Poissonfordeling]],NA())</f>
        <v>0.14936120510359185</v>
      </c>
      <c r="AZ114" s="99" t="e">
        <f>IF(S_normal27[[#This Row],[Lig med]],S_normal27[[#This Row],[Poissonfordeling]],NA())</f>
        <v>#N/A</v>
      </c>
      <c r="BA114" s="99" t="e">
        <f>IF(S_normal27[[#This Row],[Større end]],S_normal27[[#This Row],[Poissonfordeling]],NA())</f>
        <v>#N/A</v>
      </c>
      <c r="BB114" s="85" t="str">
        <f>_xlfn.IFNA(IF(MOD(S_normal27[[#This Row],[Indeks (base 0)]],AS$8)=ROUNDDOWN(AS$8/2,0),S_normal27[[#This Row],[X base]],""),"")</f>
        <v/>
      </c>
      <c r="BC114" s="99" t="str">
        <f t="shared" si="22"/>
        <v xml:space="preserve"> </v>
      </c>
    </row>
    <row r="115" spans="20:55" x14ac:dyDescent="0.2">
      <c r="T115" s="54">
        <f t="shared" si="16"/>
        <v>102</v>
      </c>
      <c r="U115" s="54">
        <f>S_normal[[#This Row],[Indeks (base 0)]]+1</f>
        <v>103</v>
      </c>
      <c r="V115" s="99">
        <f t="shared" si="14"/>
        <v>-0.64679280826768171</v>
      </c>
      <c r="W115" s="99">
        <f t="shared" si="17"/>
        <v>0.32364468971493993</v>
      </c>
      <c r="X115" s="99" t="b">
        <f>S_normal[[#This Row],[X base]]&lt;U$7</f>
        <v>1</v>
      </c>
      <c r="Y115" s="99" t="b">
        <f>S_normal[[#This Row],[X base]]&gt;U$7</f>
        <v>0</v>
      </c>
      <c r="Z115" s="99">
        <f>IF(S_normal[[#This Row],[Mindre end]],S_normal[[#This Row],[Normalfordeling]],NA())</f>
        <v>0.32364468971493993</v>
      </c>
      <c r="AA115" s="99" t="e">
        <f>IF(S_normal[[#This Row],[Større end]],S_normal[[#This Row],[Normalfordeling]],NA())</f>
        <v>#N/A</v>
      </c>
      <c r="AB115" s="72" t="str">
        <f>_xlfn.IFNA(IF(S_normal[[#This Row],[Indeks (base 0)]]=ROUND((ROUND(S_normal[[#This Row],[X base]],0)-U$8)/(U$9-U$8)*U$4,0),S_normal[[#This Row],[X base]]*B$6+B$5,""),"")</f>
        <v/>
      </c>
      <c r="AC115" s="99" t="str">
        <f t="shared" si="15"/>
        <v xml:space="preserve"> </v>
      </c>
      <c r="AE115" s="54">
        <f t="shared" si="18"/>
        <v>102</v>
      </c>
      <c r="AF115" s="54">
        <f>S_binomial[[#This Row],[Indeks (base 0)]]+1</f>
        <v>103</v>
      </c>
      <c r="AG115" s="99">
        <f t="shared" si="19"/>
        <v>1</v>
      </c>
      <c r="AH115" s="99">
        <f>IF(MOD(S_binomial[[#This Row],[Indeks (base 0)]],AF$7)=0,NA(),_xlfn.BINOM.DIST(S_binomial[[#This Row],[X base]],E$5,E$6,FALSE))</f>
        <v>2.7751718400000021E-4</v>
      </c>
      <c r="AI115" s="99" t="b">
        <f>S_binomial[[#This Row],[X base]]&lt;AF$5</f>
        <v>1</v>
      </c>
      <c r="AJ115" s="99" t="b">
        <f>S_binomial[[#This Row],[X base]]=AF$5</f>
        <v>0</v>
      </c>
      <c r="AK115" s="99" t="b">
        <f>S_binomial[[#This Row],[X base]]&gt;AF$5</f>
        <v>0</v>
      </c>
      <c r="AL115" s="99">
        <f>IF(S_binomial[[#This Row],[Mindre end]],S_binomial[[#This Row],[Binomialfordeling]],NA())</f>
        <v>2.7751718400000021E-4</v>
      </c>
      <c r="AM115" s="99" t="e">
        <f>IF(S_binomial[[#This Row],[Lig med]],S_binomial[[#This Row],[Binomialfordeling]],NA())</f>
        <v>#N/A</v>
      </c>
      <c r="AN115" s="99" t="e">
        <f>IF(S_binomial[[#This Row],[Større end]],S_binomial[[#This Row],[Binomialfordeling]],NA())</f>
        <v>#N/A</v>
      </c>
      <c r="AO115" s="85" t="str">
        <f>_xlfn.IFNA(IF(MOD(S_binomial[[#This Row],[Indeks (base 0)]],AF$7)=ROUNDDOWN(AF$7/2,0),S_binomial[[#This Row],[X base]],""),"")</f>
        <v/>
      </c>
      <c r="AP115" s="99" t="str">
        <f t="shared" si="20"/>
        <v xml:space="preserve"> </v>
      </c>
      <c r="AR115" s="54">
        <f t="shared" si="21"/>
        <v>102</v>
      </c>
      <c r="AS115" s="54">
        <f>S_normal27[[#This Row],[Indeks (base 0)]]+1</f>
        <v>103</v>
      </c>
      <c r="AT115" s="54">
        <f t="shared" si="23"/>
        <v>1</v>
      </c>
      <c r="AU115" s="54">
        <f>IF(MOD(S_normal27[[#This Row],[Indeks (base 0)]],AS$8)=0,NA(),_xlfn.POISSON.DIST(S_normal27[[#This Row],[X base]],$H$5,FALSE))</f>
        <v>0.14936120510359185</v>
      </c>
      <c r="AV115" s="99" t="b">
        <f>S_normal27[[#This Row],[X base]]&lt;AS$5</f>
        <v>1</v>
      </c>
      <c r="AW115" s="99" t="b">
        <f>S_normal27[[#This Row],[X base]]=AS$5</f>
        <v>0</v>
      </c>
      <c r="AX115" s="99" t="b">
        <f>S_normal27[[#This Row],[X base]]&gt;AS$5</f>
        <v>0</v>
      </c>
      <c r="AY115" s="99">
        <f>IF(S_normal27[[#This Row],[Mindre end]],S_normal27[[#This Row],[Poissonfordeling]],NA())</f>
        <v>0.14936120510359185</v>
      </c>
      <c r="AZ115" s="99" t="e">
        <f>IF(S_normal27[[#This Row],[Lig med]],S_normal27[[#This Row],[Poissonfordeling]],NA())</f>
        <v>#N/A</v>
      </c>
      <c r="BA115" s="99" t="e">
        <f>IF(S_normal27[[#This Row],[Større end]],S_normal27[[#This Row],[Poissonfordeling]],NA())</f>
        <v>#N/A</v>
      </c>
      <c r="BB115" s="85" t="str">
        <f>_xlfn.IFNA(IF(MOD(S_normal27[[#This Row],[Indeks (base 0)]],AS$8)=ROUNDDOWN(AS$8/2,0),S_normal27[[#This Row],[X base]],""),"")</f>
        <v/>
      </c>
      <c r="BC115" s="99" t="str">
        <f t="shared" si="22"/>
        <v xml:space="preserve"> </v>
      </c>
    </row>
    <row r="116" spans="20:55" x14ac:dyDescent="0.2">
      <c r="T116" s="54">
        <f t="shared" si="16"/>
        <v>103</v>
      </c>
      <c r="U116" s="54">
        <f>S_normal[[#This Row],[Indeks (base 0)]]+1</f>
        <v>104</v>
      </c>
      <c r="V116" s="99">
        <f t="shared" si="14"/>
        <v>-0.62283751907258234</v>
      </c>
      <c r="W116" s="99">
        <f t="shared" si="17"/>
        <v>0.3286040262264141</v>
      </c>
      <c r="X116" s="99" t="b">
        <f>S_normal[[#This Row],[X base]]&lt;U$7</f>
        <v>1</v>
      </c>
      <c r="Y116" s="99" t="b">
        <f>S_normal[[#This Row],[X base]]&gt;U$7</f>
        <v>0</v>
      </c>
      <c r="Z116" s="99">
        <f>IF(S_normal[[#This Row],[Mindre end]],S_normal[[#This Row],[Normalfordeling]],NA())</f>
        <v>0.3286040262264141</v>
      </c>
      <c r="AA116" s="99" t="e">
        <f>IF(S_normal[[#This Row],[Større end]],S_normal[[#This Row],[Normalfordeling]],NA())</f>
        <v>#N/A</v>
      </c>
      <c r="AB116" s="72" t="str">
        <f>_xlfn.IFNA(IF(S_normal[[#This Row],[Indeks (base 0)]]=ROUND((ROUND(S_normal[[#This Row],[X base]],0)-U$8)/(U$9-U$8)*U$4,0),S_normal[[#This Row],[X base]]*B$6+B$5,""),"")</f>
        <v/>
      </c>
      <c r="AC116" s="99" t="str">
        <f t="shared" si="15"/>
        <v xml:space="preserve"> </v>
      </c>
      <c r="AE116" s="54">
        <f t="shared" si="18"/>
        <v>103</v>
      </c>
      <c r="AF116" s="54">
        <f>S_binomial[[#This Row],[Indeks (base 0)]]+1</f>
        <v>104</v>
      </c>
      <c r="AG116" s="99">
        <f t="shared" si="19"/>
        <v>1</v>
      </c>
      <c r="AH116" s="99">
        <f>IF(MOD(S_binomial[[#This Row],[Indeks (base 0)]],AF$7)=0,NA(),_xlfn.BINOM.DIST(S_binomial[[#This Row],[X base]],E$5,E$6,FALSE))</f>
        <v>2.7751718400000021E-4</v>
      </c>
      <c r="AI116" s="99" t="b">
        <f>S_binomial[[#This Row],[X base]]&lt;AF$5</f>
        <v>1</v>
      </c>
      <c r="AJ116" s="99" t="b">
        <f>S_binomial[[#This Row],[X base]]=AF$5</f>
        <v>0</v>
      </c>
      <c r="AK116" s="99" t="b">
        <f>S_binomial[[#This Row],[X base]]&gt;AF$5</f>
        <v>0</v>
      </c>
      <c r="AL116" s="99">
        <f>IF(S_binomial[[#This Row],[Mindre end]],S_binomial[[#This Row],[Binomialfordeling]],NA())</f>
        <v>2.7751718400000021E-4</v>
      </c>
      <c r="AM116" s="99" t="e">
        <f>IF(S_binomial[[#This Row],[Lig med]],S_binomial[[#This Row],[Binomialfordeling]],NA())</f>
        <v>#N/A</v>
      </c>
      <c r="AN116" s="99" t="e">
        <f>IF(S_binomial[[#This Row],[Større end]],S_binomial[[#This Row],[Binomialfordeling]],NA())</f>
        <v>#N/A</v>
      </c>
      <c r="AO116" s="85" t="str">
        <f>_xlfn.IFNA(IF(MOD(S_binomial[[#This Row],[Indeks (base 0)]],AF$7)=ROUNDDOWN(AF$7/2,0),S_binomial[[#This Row],[X base]],""),"")</f>
        <v/>
      </c>
      <c r="AP116" s="99" t="str">
        <f t="shared" si="20"/>
        <v xml:space="preserve"> </v>
      </c>
      <c r="AR116" s="54">
        <f t="shared" si="21"/>
        <v>103</v>
      </c>
      <c r="AS116" s="54">
        <f>S_normal27[[#This Row],[Indeks (base 0)]]+1</f>
        <v>104</v>
      </c>
      <c r="AT116" s="54">
        <f t="shared" si="23"/>
        <v>1</v>
      </c>
      <c r="AU116" s="54">
        <f>IF(MOD(S_normal27[[#This Row],[Indeks (base 0)]],AS$8)=0,NA(),_xlfn.POISSON.DIST(S_normal27[[#This Row],[X base]],$H$5,FALSE))</f>
        <v>0.14936120510359185</v>
      </c>
      <c r="AV116" s="99" t="b">
        <f>S_normal27[[#This Row],[X base]]&lt;AS$5</f>
        <v>1</v>
      </c>
      <c r="AW116" s="99" t="b">
        <f>S_normal27[[#This Row],[X base]]=AS$5</f>
        <v>0</v>
      </c>
      <c r="AX116" s="99" t="b">
        <f>S_normal27[[#This Row],[X base]]&gt;AS$5</f>
        <v>0</v>
      </c>
      <c r="AY116" s="99">
        <f>IF(S_normal27[[#This Row],[Mindre end]],S_normal27[[#This Row],[Poissonfordeling]],NA())</f>
        <v>0.14936120510359185</v>
      </c>
      <c r="AZ116" s="99" t="e">
        <f>IF(S_normal27[[#This Row],[Lig med]],S_normal27[[#This Row],[Poissonfordeling]],NA())</f>
        <v>#N/A</v>
      </c>
      <c r="BA116" s="99" t="e">
        <f>IF(S_normal27[[#This Row],[Større end]],S_normal27[[#This Row],[Poissonfordeling]],NA())</f>
        <v>#N/A</v>
      </c>
      <c r="BB116" s="85" t="str">
        <f>_xlfn.IFNA(IF(MOD(S_normal27[[#This Row],[Indeks (base 0)]],AS$8)=ROUNDDOWN(AS$8/2,0),S_normal27[[#This Row],[X base]],""),"")</f>
        <v/>
      </c>
      <c r="BC116" s="99" t="str">
        <f t="shared" si="22"/>
        <v xml:space="preserve"> </v>
      </c>
    </row>
    <row r="117" spans="20:55" x14ac:dyDescent="0.2">
      <c r="T117" s="54">
        <f t="shared" si="16"/>
        <v>104</v>
      </c>
      <c r="U117" s="54">
        <f>S_normal[[#This Row],[Indeks (base 0)]]+1</f>
        <v>105</v>
      </c>
      <c r="V117" s="99">
        <f t="shared" si="14"/>
        <v>-0.59888222987748341</v>
      </c>
      <c r="W117" s="99">
        <f t="shared" si="17"/>
        <v>0.3334479506451507</v>
      </c>
      <c r="X117" s="99" t="b">
        <f>S_normal[[#This Row],[X base]]&lt;U$7</f>
        <v>1</v>
      </c>
      <c r="Y117" s="99" t="b">
        <f>S_normal[[#This Row],[X base]]&gt;U$7</f>
        <v>0</v>
      </c>
      <c r="Z117" s="99">
        <f>IF(S_normal[[#This Row],[Mindre end]],S_normal[[#This Row],[Normalfordeling]],NA())</f>
        <v>0.3334479506451507</v>
      </c>
      <c r="AA117" s="99" t="e">
        <f>IF(S_normal[[#This Row],[Større end]],S_normal[[#This Row],[Normalfordeling]],NA())</f>
        <v>#N/A</v>
      </c>
      <c r="AB117" s="72" t="str">
        <f>_xlfn.IFNA(IF(S_normal[[#This Row],[Indeks (base 0)]]=ROUND((ROUND(S_normal[[#This Row],[X base]],0)-U$8)/(U$9-U$8)*U$4,0),S_normal[[#This Row],[X base]]*B$6+B$5,""),"")</f>
        <v/>
      </c>
      <c r="AC117" s="99" t="str">
        <f t="shared" si="15"/>
        <v xml:space="preserve"> </v>
      </c>
      <c r="AE117" s="54">
        <f t="shared" si="18"/>
        <v>104</v>
      </c>
      <c r="AF117" s="54">
        <f>S_binomial[[#This Row],[Indeks (base 0)]]+1</f>
        <v>105</v>
      </c>
      <c r="AG117" s="99">
        <f t="shared" si="19"/>
        <v>1</v>
      </c>
      <c r="AH117" s="99">
        <f>IF(MOD(S_binomial[[#This Row],[Indeks (base 0)]],AF$7)=0,NA(),_xlfn.BINOM.DIST(S_binomial[[#This Row],[X base]],E$5,E$6,FALSE))</f>
        <v>2.7751718400000021E-4</v>
      </c>
      <c r="AI117" s="99" t="b">
        <f>S_binomial[[#This Row],[X base]]&lt;AF$5</f>
        <v>1</v>
      </c>
      <c r="AJ117" s="99" t="b">
        <f>S_binomial[[#This Row],[X base]]=AF$5</f>
        <v>0</v>
      </c>
      <c r="AK117" s="99" t="b">
        <f>S_binomial[[#This Row],[X base]]&gt;AF$5</f>
        <v>0</v>
      </c>
      <c r="AL117" s="99">
        <f>IF(S_binomial[[#This Row],[Mindre end]],S_binomial[[#This Row],[Binomialfordeling]],NA())</f>
        <v>2.7751718400000021E-4</v>
      </c>
      <c r="AM117" s="99" t="e">
        <f>IF(S_binomial[[#This Row],[Lig med]],S_binomial[[#This Row],[Binomialfordeling]],NA())</f>
        <v>#N/A</v>
      </c>
      <c r="AN117" s="99" t="e">
        <f>IF(S_binomial[[#This Row],[Større end]],S_binomial[[#This Row],[Binomialfordeling]],NA())</f>
        <v>#N/A</v>
      </c>
      <c r="AO117" s="85" t="str">
        <f>_xlfn.IFNA(IF(MOD(S_binomial[[#This Row],[Indeks (base 0)]],AF$7)=ROUNDDOWN(AF$7/2,0),S_binomial[[#This Row],[X base]],""),"")</f>
        <v/>
      </c>
      <c r="AP117" s="99" t="str">
        <f t="shared" si="20"/>
        <v xml:space="preserve"> </v>
      </c>
      <c r="AR117" s="54">
        <f t="shared" si="21"/>
        <v>104</v>
      </c>
      <c r="AS117" s="54">
        <f>S_normal27[[#This Row],[Indeks (base 0)]]+1</f>
        <v>105</v>
      </c>
      <c r="AT117" s="54">
        <f t="shared" si="23"/>
        <v>1</v>
      </c>
      <c r="AU117" s="54">
        <f>IF(MOD(S_normal27[[#This Row],[Indeks (base 0)]],AS$8)=0,NA(),_xlfn.POISSON.DIST(S_normal27[[#This Row],[X base]],$H$5,FALSE))</f>
        <v>0.14936120510359185</v>
      </c>
      <c r="AV117" s="99" t="b">
        <f>S_normal27[[#This Row],[X base]]&lt;AS$5</f>
        <v>1</v>
      </c>
      <c r="AW117" s="99" t="b">
        <f>S_normal27[[#This Row],[X base]]=AS$5</f>
        <v>0</v>
      </c>
      <c r="AX117" s="99" t="b">
        <f>S_normal27[[#This Row],[X base]]&gt;AS$5</f>
        <v>0</v>
      </c>
      <c r="AY117" s="99">
        <f>IF(S_normal27[[#This Row],[Mindre end]],S_normal27[[#This Row],[Poissonfordeling]],NA())</f>
        <v>0.14936120510359185</v>
      </c>
      <c r="AZ117" s="99" t="e">
        <f>IF(S_normal27[[#This Row],[Lig med]],S_normal27[[#This Row],[Poissonfordeling]],NA())</f>
        <v>#N/A</v>
      </c>
      <c r="BA117" s="99" t="e">
        <f>IF(S_normal27[[#This Row],[Større end]],S_normal27[[#This Row],[Poissonfordeling]],NA())</f>
        <v>#N/A</v>
      </c>
      <c r="BB117" s="85" t="str">
        <f>_xlfn.IFNA(IF(MOD(S_normal27[[#This Row],[Indeks (base 0)]],AS$8)=ROUNDDOWN(AS$8/2,0),S_normal27[[#This Row],[X base]],""),"")</f>
        <v/>
      </c>
      <c r="BC117" s="99" t="str">
        <f t="shared" si="22"/>
        <v xml:space="preserve"> </v>
      </c>
    </row>
    <row r="118" spans="20:55" x14ac:dyDescent="0.2">
      <c r="T118" s="54">
        <f t="shared" si="16"/>
        <v>105</v>
      </c>
      <c r="U118" s="54">
        <f>S_normal[[#This Row],[Indeks (base 0)]]+1</f>
        <v>106</v>
      </c>
      <c r="V118" s="99">
        <f t="shared" si="14"/>
        <v>-0.57492694068238404</v>
      </c>
      <c r="W118" s="99">
        <f t="shared" si="17"/>
        <v>0.33816916289320309</v>
      </c>
      <c r="X118" s="99" t="b">
        <f>S_normal[[#This Row],[X base]]&lt;U$7</f>
        <v>1</v>
      </c>
      <c r="Y118" s="99" t="b">
        <f>S_normal[[#This Row],[X base]]&gt;U$7</f>
        <v>0</v>
      </c>
      <c r="Z118" s="99">
        <f>IF(S_normal[[#This Row],[Mindre end]],S_normal[[#This Row],[Normalfordeling]],NA())</f>
        <v>0.33816916289320309</v>
      </c>
      <c r="AA118" s="99" t="e">
        <f>IF(S_normal[[#This Row],[Større end]],S_normal[[#This Row],[Normalfordeling]],NA())</f>
        <v>#N/A</v>
      </c>
      <c r="AB118" s="72" t="str">
        <f>_xlfn.IFNA(IF(S_normal[[#This Row],[Indeks (base 0)]]=ROUND((ROUND(S_normal[[#This Row],[X base]],0)-U$8)/(U$9-U$8)*U$4,0),S_normal[[#This Row],[X base]]*B$6+B$5,""),"")</f>
        <v/>
      </c>
      <c r="AC118" s="99" t="str">
        <f t="shared" si="15"/>
        <v xml:space="preserve"> </v>
      </c>
      <c r="AE118" s="54">
        <f t="shared" si="18"/>
        <v>105</v>
      </c>
      <c r="AF118" s="54">
        <f>S_binomial[[#This Row],[Indeks (base 0)]]+1</f>
        <v>106</v>
      </c>
      <c r="AG118" s="99">
        <f t="shared" si="19"/>
        <v>1</v>
      </c>
      <c r="AH118" s="99">
        <f>IF(MOD(S_binomial[[#This Row],[Indeks (base 0)]],AF$7)=0,NA(),_xlfn.BINOM.DIST(S_binomial[[#This Row],[X base]],E$5,E$6,FALSE))</f>
        <v>2.7751718400000021E-4</v>
      </c>
      <c r="AI118" s="99" t="b">
        <f>S_binomial[[#This Row],[X base]]&lt;AF$5</f>
        <v>1</v>
      </c>
      <c r="AJ118" s="99" t="b">
        <f>S_binomial[[#This Row],[X base]]=AF$5</f>
        <v>0</v>
      </c>
      <c r="AK118" s="99" t="b">
        <f>S_binomial[[#This Row],[X base]]&gt;AF$5</f>
        <v>0</v>
      </c>
      <c r="AL118" s="99">
        <f>IF(S_binomial[[#This Row],[Mindre end]],S_binomial[[#This Row],[Binomialfordeling]],NA())</f>
        <v>2.7751718400000021E-4</v>
      </c>
      <c r="AM118" s="99" t="e">
        <f>IF(S_binomial[[#This Row],[Lig med]],S_binomial[[#This Row],[Binomialfordeling]],NA())</f>
        <v>#N/A</v>
      </c>
      <c r="AN118" s="99" t="e">
        <f>IF(S_binomial[[#This Row],[Større end]],S_binomial[[#This Row],[Binomialfordeling]],NA())</f>
        <v>#N/A</v>
      </c>
      <c r="AO118" s="85" t="str">
        <f>_xlfn.IFNA(IF(MOD(S_binomial[[#This Row],[Indeks (base 0)]],AF$7)=ROUNDDOWN(AF$7/2,0),S_binomial[[#This Row],[X base]],""),"")</f>
        <v/>
      </c>
      <c r="AP118" s="99" t="str">
        <f t="shared" si="20"/>
        <v xml:space="preserve"> </v>
      </c>
      <c r="AR118" s="54">
        <f t="shared" si="21"/>
        <v>105</v>
      </c>
      <c r="AS118" s="54">
        <f>S_normal27[[#This Row],[Indeks (base 0)]]+1</f>
        <v>106</v>
      </c>
      <c r="AT118" s="54">
        <f t="shared" si="23"/>
        <v>1</v>
      </c>
      <c r="AU118" s="54">
        <f>IF(MOD(S_normal27[[#This Row],[Indeks (base 0)]],AS$8)=0,NA(),_xlfn.POISSON.DIST(S_normal27[[#This Row],[X base]],$H$5,FALSE))</f>
        <v>0.14936120510359185</v>
      </c>
      <c r="AV118" s="99" t="b">
        <f>S_normal27[[#This Row],[X base]]&lt;AS$5</f>
        <v>1</v>
      </c>
      <c r="AW118" s="99" t="b">
        <f>S_normal27[[#This Row],[X base]]=AS$5</f>
        <v>0</v>
      </c>
      <c r="AX118" s="99" t="b">
        <f>S_normal27[[#This Row],[X base]]&gt;AS$5</f>
        <v>0</v>
      </c>
      <c r="AY118" s="99">
        <f>IF(S_normal27[[#This Row],[Mindre end]],S_normal27[[#This Row],[Poissonfordeling]],NA())</f>
        <v>0.14936120510359185</v>
      </c>
      <c r="AZ118" s="99" t="e">
        <f>IF(S_normal27[[#This Row],[Lig med]],S_normal27[[#This Row],[Poissonfordeling]],NA())</f>
        <v>#N/A</v>
      </c>
      <c r="BA118" s="99" t="e">
        <f>IF(S_normal27[[#This Row],[Større end]],S_normal27[[#This Row],[Poissonfordeling]],NA())</f>
        <v>#N/A</v>
      </c>
      <c r="BB118" s="85" t="str">
        <f>_xlfn.IFNA(IF(MOD(S_normal27[[#This Row],[Indeks (base 0)]],AS$8)=ROUNDDOWN(AS$8/2,0),S_normal27[[#This Row],[X base]],""),"")</f>
        <v/>
      </c>
      <c r="BC118" s="99" t="str">
        <f t="shared" si="22"/>
        <v xml:space="preserve"> </v>
      </c>
    </row>
    <row r="119" spans="20:55" x14ac:dyDescent="0.2">
      <c r="T119" s="54">
        <f t="shared" si="16"/>
        <v>106</v>
      </c>
      <c r="U119" s="54">
        <f>S_normal[[#This Row],[Indeks (base 0)]]+1</f>
        <v>107</v>
      </c>
      <c r="V119" s="99">
        <f t="shared" si="14"/>
        <v>-0.55097165148728466</v>
      </c>
      <c r="W119" s="99">
        <f t="shared" si="17"/>
        <v>0.34276047013173222</v>
      </c>
      <c r="X119" s="99" t="b">
        <f>S_normal[[#This Row],[X base]]&lt;U$7</f>
        <v>1</v>
      </c>
      <c r="Y119" s="99" t="b">
        <f>S_normal[[#This Row],[X base]]&gt;U$7</f>
        <v>0</v>
      </c>
      <c r="Z119" s="99">
        <f>IF(S_normal[[#This Row],[Mindre end]],S_normal[[#This Row],[Normalfordeling]],NA())</f>
        <v>0.34276047013173222</v>
      </c>
      <c r="AA119" s="99" t="e">
        <f>IF(S_normal[[#This Row],[Større end]],S_normal[[#This Row],[Normalfordeling]],NA())</f>
        <v>#N/A</v>
      </c>
      <c r="AB119" s="72" t="str">
        <f>_xlfn.IFNA(IF(S_normal[[#This Row],[Indeks (base 0)]]=ROUND((ROUND(S_normal[[#This Row],[X base]],0)-U$8)/(U$9-U$8)*U$4,0),S_normal[[#This Row],[X base]]*B$6+B$5,""),"")</f>
        <v/>
      </c>
      <c r="AC119" s="99" t="str">
        <f t="shared" si="15"/>
        <v xml:space="preserve"> </v>
      </c>
      <c r="AE119" s="54">
        <f t="shared" si="18"/>
        <v>106</v>
      </c>
      <c r="AF119" s="54">
        <f>S_binomial[[#This Row],[Indeks (base 0)]]+1</f>
        <v>107</v>
      </c>
      <c r="AG119" s="99">
        <f t="shared" si="19"/>
        <v>1</v>
      </c>
      <c r="AH119" s="99">
        <f>IF(MOD(S_binomial[[#This Row],[Indeks (base 0)]],AF$7)=0,NA(),_xlfn.BINOM.DIST(S_binomial[[#This Row],[X base]],E$5,E$6,FALSE))</f>
        <v>2.7751718400000021E-4</v>
      </c>
      <c r="AI119" s="99" t="b">
        <f>S_binomial[[#This Row],[X base]]&lt;AF$5</f>
        <v>1</v>
      </c>
      <c r="AJ119" s="99" t="b">
        <f>S_binomial[[#This Row],[X base]]=AF$5</f>
        <v>0</v>
      </c>
      <c r="AK119" s="99" t="b">
        <f>S_binomial[[#This Row],[X base]]&gt;AF$5</f>
        <v>0</v>
      </c>
      <c r="AL119" s="99">
        <f>IF(S_binomial[[#This Row],[Mindre end]],S_binomial[[#This Row],[Binomialfordeling]],NA())</f>
        <v>2.7751718400000021E-4</v>
      </c>
      <c r="AM119" s="99" t="e">
        <f>IF(S_binomial[[#This Row],[Lig med]],S_binomial[[#This Row],[Binomialfordeling]],NA())</f>
        <v>#N/A</v>
      </c>
      <c r="AN119" s="99" t="e">
        <f>IF(S_binomial[[#This Row],[Større end]],S_binomial[[#This Row],[Binomialfordeling]],NA())</f>
        <v>#N/A</v>
      </c>
      <c r="AO119" s="85" t="str">
        <f>_xlfn.IFNA(IF(MOD(S_binomial[[#This Row],[Indeks (base 0)]],AF$7)=ROUNDDOWN(AF$7/2,0),S_binomial[[#This Row],[X base]],""),"")</f>
        <v/>
      </c>
      <c r="AP119" s="99" t="str">
        <f t="shared" si="20"/>
        <v xml:space="preserve"> </v>
      </c>
      <c r="AR119" s="54">
        <f t="shared" si="21"/>
        <v>106</v>
      </c>
      <c r="AS119" s="54">
        <f>S_normal27[[#This Row],[Indeks (base 0)]]+1</f>
        <v>107</v>
      </c>
      <c r="AT119" s="54">
        <f t="shared" si="23"/>
        <v>1</v>
      </c>
      <c r="AU119" s="54">
        <f>IF(MOD(S_normal27[[#This Row],[Indeks (base 0)]],AS$8)=0,NA(),_xlfn.POISSON.DIST(S_normal27[[#This Row],[X base]],$H$5,FALSE))</f>
        <v>0.14936120510359185</v>
      </c>
      <c r="AV119" s="99" t="b">
        <f>S_normal27[[#This Row],[X base]]&lt;AS$5</f>
        <v>1</v>
      </c>
      <c r="AW119" s="99" t="b">
        <f>S_normal27[[#This Row],[X base]]=AS$5</f>
        <v>0</v>
      </c>
      <c r="AX119" s="99" t="b">
        <f>S_normal27[[#This Row],[X base]]&gt;AS$5</f>
        <v>0</v>
      </c>
      <c r="AY119" s="99">
        <f>IF(S_normal27[[#This Row],[Mindre end]],S_normal27[[#This Row],[Poissonfordeling]],NA())</f>
        <v>0.14936120510359185</v>
      </c>
      <c r="AZ119" s="99" t="e">
        <f>IF(S_normal27[[#This Row],[Lig med]],S_normal27[[#This Row],[Poissonfordeling]],NA())</f>
        <v>#N/A</v>
      </c>
      <c r="BA119" s="99" t="e">
        <f>IF(S_normal27[[#This Row],[Større end]],S_normal27[[#This Row],[Poissonfordeling]],NA())</f>
        <v>#N/A</v>
      </c>
      <c r="BB119" s="85" t="str">
        <f>_xlfn.IFNA(IF(MOD(S_normal27[[#This Row],[Indeks (base 0)]],AS$8)=ROUNDDOWN(AS$8/2,0),S_normal27[[#This Row],[X base]],""),"")</f>
        <v/>
      </c>
      <c r="BC119" s="99" t="str">
        <f t="shared" si="22"/>
        <v xml:space="preserve"> </v>
      </c>
    </row>
    <row r="120" spans="20:55" x14ac:dyDescent="0.2">
      <c r="T120" s="54">
        <f t="shared" si="16"/>
        <v>107</v>
      </c>
      <c r="U120" s="54">
        <f>S_normal[[#This Row],[Indeks (base 0)]]+1</f>
        <v>108</v>
      </c>
      <c r="V120" s="99">
        <f t="shared" ref="V120:V183" si="24">U$8+(U$9-U$8)/U$4*T120</f>
        <v>-0.52701636229218529</v>
      </c>
      <c r="W120" s="99">
        <f t="shared" si="17"/>
        <v>0.34721480489913414</v>
      </c>
      <c r="X120" s="99" t="b">
        <f>S_normal[[#This Row],[X base]]&lt;U$7</f>
        <v>1</v>
      </c>
      <c r="Y120" s="99" t="b">
        <f>S_normal[[#This Row],[X base]]&gt;U$7</f>
        <v>0</v>
      </c>
      <c r="Z120" s="99">
        <f>IF(S_normal[[#This Row],[Mindre end]],S_normal[[#This Row],[Normalfordeling]],NA())</f>
        <v>0.34721480489913414</v>
      </c>
      <c r="AA120" s="99" t="e">
        <f>IF(S_normal[[#This Row],[Større end]],S_normal[[#This Row],[Normalfordeling]],NA())</f>
        <v>#N/A</v>
      </c>
      <c r="AB120" s="72" t="str">
        <f>_xlfn.IFNA(IF(S_normal[[#This Row],[Indeks (base 0)]]=ROUND((ROUND(S_normal[[#This Row],[X base]],0)-U$8)/(U$9-U$8)*U$4,0),S_normal[[#This Row],[X base]]*B$6+B$5,""),"")</f>
        <v/>
      </c>
      <c r="AC120" s="99" t="str">
        <f t="shared" ref="AC120:AC183" si="25">_xlfn.SWITCH(U120,AC$6,AC$4,AC$7,AC$5," ")</f>
        <v xml:space="preserve"> </v>
      </c>
      <c r="AE120" s="54">
        <f t="shared" si="18"/>
        <v>107</v>
      </c>
      <c r="AF120" s="54">
        <f>S_binomial[[#This Row],[Indeks (base 0)]]+1</f>
        <v>108</v>
      </c>
      <c r="AG120" s="99">
        <f t="shared" si="19"/>
        <v>1</v>
      </c>
      <c r="AH120" s="99">
        <f>IF(MOD(S_binomial[[#This Row],[Indeks (base 0)]],AF$7)=0,NA(),_xlfn.BINOM.DIST(S_binomial[[#This Row],[X base]],E$5,E$6,FALSE))</f>
        <v>2.7751718400000021E-4</v>
      </c>
      <c r="AI120" s="99" t="b">
        <f>S_binomial[[#This Row],[X base]]&lt;AF$5</f>
        <v>1</v>
      </c>
      <c r="AJ120" s="99" t="b">
        <f>S_binomial[[#This Row],[X base]]=AF$5</f>
        <v>0</v>
      </c>
      <c r="AK120" s="99" t="b">
        <f>S_binomial[[#This Row],[X base]]&gt;AF$5</f>
        <v>0</v>
      </c>
      <c r="AL120" s="99">
        <f>IF(S_binomial[[#This Row],[Mindre end]],S_binomial[[#This Row],[Binomialfordeling]],NA())</f>
        <v>2.7751718400000021E-4</v>
      </c>
      <c r="AM120" s="99" t="e">
        <f>IF(S_binomial[[#This Row],[Lig med]],S_binomial[[#This Row],[Binomialfordeling]],NA())</f>
        <v>#N/A</v>
      </c>
      <c r="AN120" s="99" t="e">
        <f>IF(S_binomial[[#This Row],[Større end]],S_binomial[[#This Row],[Binomialfordeling]],NA())</f>
        <v>#N/A</v>
      </c>
      <c r="AO120" s="85" t="str">
        <f>_xlfn.IFNA(IF(MOD(S_binomial[[#This Row],[Indeks (base 0)]],AF$7)=ROUNDDOWN(AF$7/2,0),S_binomial[[#This Row],[X base]],""),"")</f>
        <v/>
      </c>
      <c r="AP120" s="99" t="str">
        <f t="shared" si="20"/>
        <v xml:space="preserve"> </v>
      </c>
      <c r="AR120" s="54">
        <f t="shared" si="21"/>
        <v>107</v>
      </c>
      <c r="AS120" s="54">
        <f>S_normal27[[#This Row],[Indeks (base 0)]]+1</f>
        <v>108</v>
      </c>
      <c r="AT120" s="54">
        <f t="shared" si="23"/>
        <v>1</v>
      </c>
      <c r="AU120" s="54">
        <f>IF(MOD(S_normal27[[#This Row],[Indeks (base 0)]],AS$8)=0,NA(),_xlfn.POISSON.DIST(S_normal27[[#This Row],[X base]],$H$5,FALSE))</f>
        <v>0.14936120510359185</v>
      </c>
      <c r="AV120" s="99" t="b">
        <f>S_normal27[[#This Row],[X base]]&lt;AS$5</f>
        <v>1</v>
      </c>
      <c r="AW120" s="99" t="b">
        <f>S_normal27[[#This Row],[X base]]=AS$5</f>
        <v>0</v>
      </c>
      <c r="AX120" s="99" t="b">
        <f>S_normal27[[#This Row],[X base]]&gt;AS$5</f>
        <v>0</v>
      </c>
      <c r="AY120" s="99">
        <f>IF(S_normal27[[#This Row],[Mindre end]],S_normal27[[#This Row],[Poissonfordeling]],NA())</f>
        <v>0.14936120510359185</v>
      </c>
      <c r="AZ120" s="99" t="e">
        <f>IF(S_normal27[[#This Row],[Lig med]],S_normal27[[#This Row],[Poissonfordeling]],NA())</f>
        <v>#N/A</v>
      </c>
      <c r="BA120" s="99" t="e">
        <f>IF(S_normal27[[#This Row],[Større end]],S_normal27[[#This Row],[Poissonfordeling]],NA())</f>
        <v>#N/A</v>
      </c>
      <c r="BB120" s="85" t="str">
        <f>_xlfn.IFNA(IF(MOD(S_normal27[[#This Row],[Indeks (base 0)]],AS$8)=ROUNDDOWN(AS$8/2,0),S_normal27[[#This Row],[X base]],""),"")</f>
        <v/>
      </c>
      <c r="BC120" s="99" t="str">
        <f t="shared" si="22"/>
        <v xml:space="preserve"> </v>
      </c>
    </row>
    <row r="121" spans="20:55" x14ac:dyDescent="0.2">
      <c r="T121" s="54">
        <f t="shared" si="16"/>
        <v>108</v>
      </c>
      <c r="U121" s="54">
        <f>S_normal[[#This Row],[Indeks (base 0)]]+1</f>
        <v>109</v>
      </c>
      <c r="V121" s="99">
        <f t="shared" si="24"/>
        <v>-0.50306107309708592</v>
      </c>
      <c r="W121" s="99">
        <f t="shared" si="17"/>
        <v>0.35152524313860362</v>
      </c>
      <c r="X121" s="99" t="b">
        <f>S_normal[[#This Row],[X base]]&lt;U$7</f>
        <v>1</v>
      </c>
      <c r="Y121" s="99" t="b">
        <f>S_normal[[#This Row],[X base]]&gt;U$7</f>
        <v>0</v>
      </c>
      <c r="Z121" s="99">
        <f>IF(S_normal[[#This Row],[Mindre end]],S_normal[[#This Row],[Normalfordeling]],NA())</f>
        <v>0.35152524313860362</v>
      </c>
      <c r="AA121" s="99" t="e">
        <f>IF(S_normal[[#This Row],[Større end]],S_normal[[#This Row],[Normalfordeling]],NA())</f>
        <v>#N/A</v>
      </c>
      <c r="AB121" s="72" t="str">
        <f>_xlfn.IFNA(IF(S_normal[[#This Row],[Indeks (base 0)]]=ROUND((ROUND(S_normal[[#This Row],[X base]],0)-U$8)/(U$9-U$8)*U$4,0),S_normal[[#This Row],[X base]]*B$6+B$5,""),"")</f>
        <v/>
      </c>
      <c r="AC121" s="99" t="str">
        <f t="shared" si="25"/>
        <v xml:space="preserve"> </v>
      </c>
      <c r="AE121" s="54">
        <f t="shared" si="18"/>
        <v>108</v>
      </c>
      <c r="AF121" s="54">
        <f>S_binomial[[#This Row],[Indeks (base 0)]]+1</f>
        <v>109</v>
      </c>
      <c r="AG121" s="99">
        <f t="shared" si="19"/>
        <v>1</v>
      </c>
      <c r="AH121" s="99">
        <f>IF(MOD(S_binomial[[#This Row],[Indeks (base 0)]],AF$7)=0,NA(),_xlfn.BINOM.DIST(S_binomial[[#This Row],[X base]],E$5,E$6,FALSE))</f>
        <v>2.7751718400000021E-4</v>
      </c>
      <c r="AI121" s="99" t="b">
        <f>S_binomial[[#This Row],[X base]]&lt;AF$5</f>
        <v>1</v>
      </c>
      <c r="AJ121" s="99" t="b">
        <f>S_binomial[[#This Row],[X base]]=AF$5</f>
        <v>0</v>
      </c>
      <c r="AK121" s="99" t="b">
        <f>S_binomial[[#This Row],[X base]]&gt;AF$5</f>
        <v>0</v>
      </c>
      <c r="AL121" s="99">
        <f>IF(S_binomial[[#This Row],[Mindre end]],S_binomial[[#This Row],[Binomialfordeling]],NA())</f>
        <v>2.7751718400000021E-4</v>
      </c>
      <c r="AM121" s="99" t="e">
        <f>IF(S_binomial[[#This Row],[Lig med]],S_binomial[[#This Row],[Binomialfordeling]],NA())</f>
        <v>#N/A</v>
      </c>
      <c r="AN121" s="99" t="e">
        <f>IF(S_binomial[[#This Row],[Større end]],S_binomial[[#This Row],[Binomialfordeling]],NA())</f>
        <v>#N/A</v>
      </c>
      <c r="AO121" s="85" t="str">
        <f>_xlfn.IFNA(IF(MOD(S_binomial[[#This Row],[Indeks (base 0)]],AF$7)=ROUNDDOWN(AF$7/2,0),S_binomial[[#This Row],[X base]],""),"")</f>
        <v/>
      </c>
      <c r="AP121" s="99" t="str">
        <f t="shared" si="20"/>
        <v xml:space="preserve"> </v>
      </c>
      <c r="AR121" s="54">
        <f t="shared" si="21"/>
        <v>108</v>
      </c>
      <c r="AS121" s="54">
        <f>S_normal27[[#This Row],[Indeks (base 0)]]+1</f>
        <v>109</v>
      </c>
      <c r="AT121" s="54">
        <f t="shared" si="23"/>
        <v>1</v>
      </c>
      <c r="AU121" s="54">
        <f>IF(MOD(S_normal27[[#This Row],[Indeks (base 0)]],AS$8)=0,NA(),_xlfn.POISSON.DIST(S_normal27[[#This Row],[X base]],$H$5,FALSE))</f>
        <v>0.14936120510359185</v>
      </c>
      <c r="AV121" s="99" t="b">
        <f>S_normal27[[#This Row],[X base]]&lt;AS$5</f>
        <v>1</v>
      </c>
      <c r="AW121" s="99" t="b">
        <f>S_normal27[[#This Row],[X base]]=AS$5</f>
        <v>0</v>
      </c>
      <c r="AX121" s="99" t="b">
        <f>S_normal27[[#This Row],[X base]]&gt;AS$5</f>
        <v>0</v>
      </c>
      <c r="AY121" s="99">
        <f>IF(S_normal27[[#This Row],[Mindre end]],S_normal27[[#This Row],[Poissonfordeling]],NA())</f>
        <v>0.14936120510359185</v>
      </c>
      <c r="AZ121" s="99" t="e">
        <f>IF(S_normal27[[#This Row],[Lig med]],S_normal27[[#This Row],[Poissonfordeling]],NA())</f>
        <v>#N/A</v>
      </c>
      <c r="BA121" s="99" t="e">
        <f>IF(S_normal27[[#This Row],[Større end]],S_normal27[[#This Row],[Poissonfordeling]],NA())</f>
        <v>#N/A</v>
      </c>
      <c r="BB121" s="85" t="str">
        <f>_xlfn.IFNA(IF(MOD(S_normal27[[#This Row],[Indeks (base 0)]],AS$8)=ROUNDDOWN(AS$8/2,0),S_normal27[[#This Row],[X base]],""),"")</f>
        <v/>
      </c>
      <c r="BC121" s="99" t="str">
        <f t="shared" si="22"/>
        <v xml:space="preserve"> </v>
      </c>
    </row>
    <row r="122" spans="20:55" x14ac:dyDescent="0.2">
      <c r="T122" s="54">
        <f t="shared" si="16"/>
        <v>109</v>
      </c>
      <c r="U122" s="54">
        <f>S_normal[[#This Row],[Indeks (base 0)]]+1</f>
        <v>110</v>
      </c>
      <c r="V122" s="99">
        <f t="shared" si="24"/>
        <v>-0.47910578390198655</v>
      </c>
      <c r="W122" s="99">
        <f t="shared" si="17"/>
        <v>0.35568502205117924</v>
      </c>
      <c r="X122" s="99" t="b">
        <f>S_normal[[#This Row],[X base]]&lt;U$7</f>
        <v>1</v>
      </c>
      <c r="Y122" s="99" t="b">
        <f>S_normal[[#This Row],[X base]]&gt;U$7</f>
        <v>0</v>
      </c>
      <c r="Z122" s="99">
        <f>IF(S_normal[[#This Row],[Mindre end]],S_normal[[#This Row],[Normalfordeling]],NA())</f>
        <v>0.35568502205117924</v>
      </c>
      <c r="AA122" s="99" t="e">
        <f>IF(S_normal[[#This Row],[Større end]],S_normal[[#This Row],[Normalfordeling]],NA())</f>
        <v>#N/A</v>
      </c>
      <c r="AB122" s="72" t="str">
        <f>_xlfn.IFNA(IF(S_normal[[#This Row],[Indeks (base 0)]]=ROUND((ROUND(S_normal[[#This Row],[X base]],0)-U$8)/(U$9-U$8)*U$4,0),S_normal[[#This Row],[X base]]*B$6+B$5,""),"")</f>
        <v/>
      </c>
      <c r="AC122" s="99" t="str">
        <f t="shared" si="25"/>
        <v xml:space="preserve"> </v>
      </c>
      <c r="AE122" s="54">
        <f t="shared" si="18"/>
        <v>109</v>
      </c>
      <c r="AF122" s="54">
        <f>S_binomial[[#This Row],[Indeks (base 0)]]+1</f>
        <v>110</v>
      </c>
      <c r="AG122" s="99">
        <f t="shared" si="19"/>
        <v>1</v>
      </c>
      <c r="AH122" s="99">
        <f>IF(MOD(S_binomial[[#This Row],[Indeks (base 0)]],AF$7)=0,NA(),_xlfn.BINOM.DIST(S_binomial[[#This Row],[X base]],E$5,E$6,FALSE))</f>
        <v>2.7751718400000021E-4</v>
      </c>
      <c r="AI122" s="99" t="b">
        <f>S_binomial[[#This Row],[X base]]&lt;AF$5</f>
        <v>1</v>
      </c>
      <c r="AJ122" s="99" t="b">
        <f>S_binomial[[#This Row],[X base]]=AF$5</f>
        <v>0</v>
      </c>
      <c r="AK122" s="99" t="b">
        <f>S_binomial[[#This Row],[X base]]&gt;AF$5</f>
        <v>0</v>
      </c>
      <c r="AL122" s="99">
        <f>IF(S_binomial[[#This Row],[Mindre end]],S_binomial[[#This Row],[Binomialfordeling]],NA())</f>
        <v>2.7751718400000021E-4</v>
      </c>
      <c r="AM122" s="99" t="e">
        <f>IF(S_binomial[[#This Row],[Lig med]],S_binomial[[#This Row],[Binomialfordeling]],NA())</f>
        <v>#N/A</v>
      </c>
      <c r="AN122" s="99" t="e">
        <f>IF(S_binomial[[#This Row],[Større end]],S_binomial[[#This Row],[Binomialfordeling]],NA())</f>
        <v>#N/A</v>
      </c>
      <c r="AO122" s="85" t="str">
        <f>_xlfn.IFNA(IF(MOD(S_binomial[[#This Row],[Indeks (base 0)]],AF$7)=ROUNDDOWN(AF$7/2,0),S_binomial[[#This Row],[X base]],""),"")</f>
        <v/>
      </c>
      <c r="AP122" s="99" t="str">
        <f t="shared" si="20"/>
        <v xml:space="preserve"> </v>
      </c>
      <c r="AR122" s="54">
        <f t="shared" si="21"/>
        <v>109</v>
      </c>
      <c r="AS122" s="54">
        <f>S_normal27[[#This Row],[Indeks (base 0)]]+1</f>
        <v>110</v>
      </c>
      <c r="AT122" s="54">
        <f t="shared" si="23"/>
        <v>1</v>
      </c>
      <c r="AU122" s="54">
        <f>IF(MOD(S_normal27[[#This Row],[Indeks (base 0)]],AS$8)=0,NA(),_xlfn.POISSON.DIST(S_normal27[[#This Row],[X base]],$H$5,FALSE))</f>
        <v>0.14936120510359185</v>
      </c>
      <c r="AV122" s="99" t="b">
        <f>S_normal27[[#This Row],[X base]]&lt;AS$5</f>
        <v>1</v>
      </c>
      <c r="AW122" s="99" t="b">
        <f>S_normal27[[#This Row],[X base]]=AS$5</f>
        <v>0</v>
      </c>
      <c r="AX122" s="99" t="b">
        <f>S_normal27[[#This Row],[X base]]&gt;AS$5</f>
        <v>0</v>
      </c>
      <c r="AY122" s="99">
        <f>IF(S_normal27[[#This Row],[Mindre end]],S_normal27[[#This Row],[Poissonfordeling]],NA())</f>
        <v>0.14936120510359185</v>
      </c>
      <c r="AZ122" s="99" t="e">
        <f>IF(S_normal27[[#This Row],[Lig med]],S_normal27[[#This Row],[Poissonfordeling]],NA())</f>
        <v>#N/A</v>
      </c>
      <c r="BA122" s="99" t="e">
        <f>IF(S_normal27[[#This Row],[Større end]],S_normal27[[#This Row],[Poissonfordeling]],NA())</f>
        <v>#N/A</v>
      </c>
      <c r="BB122" s="85" t="str">
        <f>_xlfn.IFNA(IF(MOD(S_normal27[[#This Row],[Indeks (base 0)]],AS$8)=ROUNDDOWN(AS$8/2,0),S_normal27[[#This Row],[X base]],""),"")</f>
        <v/>
      </c>
      <c r="BC122" s="99" t="str">
        <f t="shared" si="22"/>
        <v xml:space="preserve"> </v>
      </c>
    </row>
    <row r="123" spans="20:55" x14ac:dyDescent="0.2">
      <c r="T123" s="54">
        <f t="shared" si="16"/>
        <v>110</v>
      </c>
      <c r="U123" s="54">
        <f>S_normal[[#This Row],[Indeks (base 0)]]+1</f>
        <v>111</v>
      </c>
      <c r="V123" s="99">
        <f t="shared" si="24"/>
        <v>-0.45515049470688718</v>
      </c>
      <c r="W123" s="99">
        <f t="shared" si="17"/>
        <v>0.35968755771017369</v>
      </c>
      <c r="X123" s="99" t="b">
        <f>S_normal[[#This Row],[X base]]&lt;U$7</f>
        <v>1</v>
      </c>
      <c r="Y123" s="99" t="b">
        <f>S_normal[[#This Row],[X base]]&gt;U$7</f>
        <v>0</v>
      </c>
      <c r="Z123" s="99">
        <f>IF(S_normal[[#This Row],[Mindre end]],S_normal[[#This Row],[Normalfordeling]],NA())</f>
        <v>0.35968755771017369</v>
      </c>
      <c r="AA123" s="99" t="e">
        <f>IF(S_normal[[#This Row],[Større end]],S_normal[[#This Row],[Normalfordeling]],NA())</f>
        <v>#N/A</v>
      </c>
      <c r="AB123" s="72" t="str">
        <f>_xlfn.IFNA(IF(S_normal[[#This Row],[Indeks (base 0)]]=ROUND((ROUND(S_normal[[#This Row],[X base]],0)-U$8)/(U$9-U$8)*U$4,0),S_normal[[#This Row],[X base]]*B$6+B$5,""),"")</f>
        <v/>
      </c>
      <c r="AC123" s="99" t="str">
        <f t="shared" si="25"/>
        <v xml:space="preserve"> </v>
      </c>
      <c r="AE123" s="54">
        <f t="shared" si="18"/>
        <v>110</v>
      </c>
      <c r="AF123" s="54">
        <f>S_binomial[[#This Row],[Indeks (base 0)]]+1</f>
        <v>111</v>
      </c>
      <c r="AG123" s="99">
        <f t="shared" si="19"/>
        <v>1</v>
      </c>
      <c r="AH123" s="99">
        <f>IF(MOD(S_binomial[[#This Row],[Indeks (base 0)]],AF$7)=0,NA(),_xlfn.BINOM.DIST(S_binomial[[#This Row],[X base]],E$5,E$6,FALSE))</f>
        <v>2.7751718400000021E-4</v>
      </c>
      <c r="AI123" s="99" t="b">
        <f>S_binomial[[#This Row],[X base]]&lt;AF$5</f>
        <v>1</v>
      </c>
      <c r="AJ123" s="99" t="b">
        <f>S_binomial[[#This Row],[X base]]=AF$5</f>
        <v>0</v>
      </c>
      <c r="AK123" s="99" t="b">
        <f>S_binomial[[#This Row],[X base]]&gt;AF$5</f>
        <v>0</v>
      </c>
      <c r="AL123" s="99">
        <f>IF(S_binomial[[#This Row],[Mindre end]],S_binomial[[#This Row],[Binomialfordeling]],NA())</f>
        <v>2.7751718400000021E-4</v>
      </c>
      <c r="AM123" s="99" t="e">
        <f>IF(S_binomial[[#This Row],[Lig med]],S_binomial[[#This Row],[Binomialfordeling]],NA())</f>
        <v>#N/A</v>
      </c>
      <c r="AN123" s="99" t="e">
        <f>IF(S_binomial[[#This Row],[Større end]],S_binomial[[#This Row],[Binomialfordeling]],NA())</f>
        <v>#N/A</v>
      </c>
      <c r="AO123" s="85" t="str">
        <f>_xlfn.IFNA(IF(MOD(S_binomial[[#This Row],[Indeks (base 0)]],AF$7)=ROUNDDOWN(AF$7/2,0),S_binomial[[#This Row],[X base]],""),"")</f>
        <v/>
      </c>
      <c r="AP123" s="99" t="str">
        <f t="shared" si="20"/>
        <v xml:space="preserve"> </v>
      </c>
      <c r="AR123" s="54">
        <f t="shared" si="21"/>
        <v>110</v>
      </c>
      <c r="AS123" s="54">
        <f>S_normal27[[#This Row],[Indeks (base 0)]]+1</f>
        <v>111</v>
      </c>
      <c r="AT123" s="54">
        <f t="shared" si="23"/>
        <v>1</v>
      </c>
      <c r="AU123" s="54">
        <f>IF(MOD(S_normal27[[#This Row],[Indeks (base 0)]],AS$8)=0,NA(),_xlfn.POISSON.DIST(S_normal27[[#This Row],[X base]],$H$5,FALSE))</f>
        <v>0.14936120510359185</v>
      </c>
      <c r="AV123" s="99" t="b">
        <f>S_normal27[[#This Row],[X base]]&lt;AS$5</f>
        <v>1</v>
      </c>
      <c r="AW123" s="99" t="b">
        <f>S_normal27[[#This Row],[X base]]=AS$5</f>
        <v>0</v>
      </c>
      <c r="AX123" s="99" t="b">
        <f>S_normal27[[#This Row],[X base]]&gt;AS$5</f>
        <v>0</v>
      </c>
      <c r="AY123" s="99">
        <f>IF(S_normal27[[#This Row],[Mindre end]],S_normal27[[#This Row],[Poissonfordeling]],NA())</f>
        <v>0.14936120510359185</v>
      </c>
      <c r="AZ123" s="99" t="e">
        <f>IF(S_normal27[[#This Row],[Lig med]],S_normal27[[#This Row],[Poissonfordeling]],NA())</f>
        <v>#N/A</v>
      </c>
      <c r="BA123" s="99" t="e">
        <f>IF(S_normal27[[#This Row],[Større end]],S_normal27[[#This Row],[Poissonfordeling]],NA())</f>
        <v>#N/A</v>
      </c>
      <c r="BB123" s="85" t="str">
        <f>_xlfn.IFNA(IF(MOD(S_normal27[[#This Row],[Indeks (base 0)]],AS$8)=ROUNDDOWN(AS$8/2,0),S_normal27[[#This Row],[X base]],""),"")</f>
        <v/>
      </c>
      <c r="BC123" s="99" t="str">
        <f t="shared" si="22"/>
        <v xml:space="preserve"> </v>
      </c>
    </row>
    <row r="124" spans="20:55" x14ac:dyDescent="0.2">
      <c r="T124" s="54">
        <f t="shared" si="16"/>
        <v>111</v>
      </c>
      <c r="U124" s="54">
        <f>S_normal[[#This Row],[Indeks (base 0)]]+1</f>
        <v>112</v>
      </c>
      <c r="V124" s="99">
        <f t="shared" si="24"/>
        <v>-0.4311952055117878</v>
      </c>
      <c r="W124" s="99">
        <f t="shared" si="17"/>
        <v>0.36352646237304004</v>
      </c>
      <c r="X124" s="99" t="b">
        <f>S_normal[[#This Row],[X base]]&lt;U$7</f>
        <v>1</v>
      </c>
      <c r="Y124" s="99" t="b">
        <f>S_normal[[#This Row],[X base]]&gt;U$7</f>
        <v>0</v>
      </c>
      <c r="Z124" s="99">
        <f>IF(S_normal[[#This Row],[Mindre end]],S_normal[[#This Row],[Normalfordeling]],NA())</f>
        <v>0.36352646237304004</v>
      </c>
      <c r="AA124" s="99" t="e">
        <f>IF(S_normal[[#This Row],[Større end]],S_normal[[#This Row],[Normalfordeling]],NA())</f>
        <v>#N/A</v>
      </c>
      <c r="AB124" s="72" t="str">
        <f>_xlfn.IFNA(IF(S_normal[[#This Row],[Indeks (base 0)]]=ROUND((ROUND(S_normal[[#This Row],[X base]],0)-U$8)/(U$9-U$8)*U$4,0),S_normal[[#This Row],[X base]]*B$6+B$5,""),"")</f>
        <v/>
      </c>
      <c r="AC124" s="99" t="str">
        <f t="shared" si="25"/>
        <v xml:space="preserve"> </v>
      </c>
      <c r="AE124" s="54">
        <f t="shared" si="18"/>
        <v>111</v>
      </c>
      <c r="AF124" s="54">
        <f>S_binomial[[#This Row],[Indeks (base 0)]]+1</f>
        <v>112</v>
      </c>
      <c r="AG124" s="99">
        <f t="shared" si="19"/>
        <v>1</v>
      </c>
      <c r="AH124" s="99">
        <f>IF(MOD(S_binomial[[#This Row],[Indeks (base 0)]],AF$7)=0,NA(),_xlfn.BINOM.DIST(S_binomial[[#This Row],[X base]],E$5,E$6,FALSE))</f>
        <v>2.7751718400000021E-4</v>
      </c>
      <c r="AI124" s="99" t="b">
        <f>S_binomial[[#This Row],[X base]]&lt;AF$5</f>
        <v>1</v>
      </c>
      <c r="AJ124" s="99" t="b">
        <f>S_binomial[[#This Row],[X base]]=AF$5</f>
        <v>0</v>
      </c>
      <c r="AK124" s="99" t="b">
        <f>S_binomial[[#This Row],[X base]]&gt;AF$5</f>
        <v>0</v>
      </c>
      <c r="AL124" s="99">
        <f>IF(S_binomial[[#This Row],[Mindre end]],S_binomial[[#This Row],[Binomialfordeling]],NA())</f>
        <v>2.7751718400000021E-4</v>
      </c>
      <c r="AM124" s="99" t="e">
        <f>IF(S_binomial[[#This Row],[Lig med]],S_binomial[[#This Row],[Binomialfordeling]],NA())</f>
        <v>#N/A</v>
      </c>
      <c r="AN124" s="99" t="e">
        <f>IF(S_binomial[[#This Row],[Større end]],S_binomial[[#This Row],[Binomialfordeling]],NA())</f>
        <v>#N/A</v>
      </c>
      <c r="AO124" s="85" t="str">
        <f>_xlfn.IFNA(IF(MOD(S_binomial[[#This Row],[Indeks (base 0)]],AF$7)=ROUNDDOWN(AF$7/2,0),S_binomial[[#This Row],[X base]],""),"")</f>
        <v/>
      </c>
      <c r="AP124" s="99" t="str">
        <f t="shared" si="20"/>
        <v xml:space="preserve"> </v>
      </c>
      <c r="AR124" s="54">
        <f t="shared" si="21"/>
        <v>111</v>
      </c>
      <c r="AS124" s="54">
        <f>S_normal27[[#This Row],[Indeks (base 0)]]+1</f>
        <v>112</v>
      </c>
      <c r="AT124" s="54">
        <f t="shared" si="23"/>
        <v>1</v>
      </c>
      <c r="AU124" s="54">
        <f>IF(MOD(S_normal27[[#This Row],[Indeks (base 0)]],AS$8)=0,NA(),_xlfn.POISSON.DIST(S_normal27[[#This Row],[X base]],$H$5,FALSE))</f>
        <v>0.14936120510359185</v>
      </c>
      <c r="AV124" s="99" t="b">
        <f>S_normal27[[#This Row],[X base]]&lt;AS$5</f>
        <v>1</v>
      </c>
      <c r="AW124" s="99" t="b">
        <f>S_normal27[[#This Row],[X base]]=AS$5</f>
        <v>0</v>
      </c>
      <c r="AX124" s="99" t="b">
        <f>S_normal27[[#This Row],[X base]]&gt;AS$5</f>
        <v>0</v>
      </c>
      <c r="AY124" s="99">
        <f>IF(S_normal27[[#This Row],[Mindre end]],S_normal27[[#This Row],[Poissonfordeling]],NA())</f>
        <v>0.14936120510359185</v>
      </c>
      <c r="AZ124" s="99" t="e">
        <f>IF(S_normal27[[#This Row],[Lig med]],S_normal27[[#This Row],[Poissonfordeling]],NA())</f>
        <v>#N/A</v>
      </c>
      <c r="BA124" s="99" t="e">
        <f>IF(S_normal27[[#This Row],[Større end]],S_normal27[[#This Row],[Poissonfordeling]],NA())</f>
        <v>#N/A</v>
      </c>
      <c r="BB124" s="85" t="str">
        <f>_xlfn.IFNA(IF(MOD(S_normal27[[#This Row],[Indeks (base 0)]],AS$8)=ROUNDDOWN(AS$8/2,0),S_normal27[[#This Row],[X base]],""),"")</f>
        <v/>
      </c>
      <c r="BC124" s="99" t="str">
        <f t="shared" si="22"/>
        <v xml:space="preserve"> </v>
      </c>
    </row>
    <row r="125" spans="20:55" x14ac:dyDescent="0.2">
      <c r="T125" s="54">
        <f t="shared" si="16"/>
        <v>112</v>
      </c>
      <c r="U125" s="54">
        <f>S_normal[[#This Row],[Indeks (base 0)]]+1</f>
        <v>113</v>
      </c>
      <c r="V125" s="99">
        <f t="shared" si="24"/>
        <v>-0.40723991631668843</v>
      </c>
      <c r="W125" s="99">
        <f t="shared" si="17"/>
        <v>0.36719556142717458</v>
      </c>
      <c r="X125" s="99" t="b">
        <f>S_normal[[#This Row],[X base]]&lt;U$7</f>
        <v>1</v>
      </c>
      <c r="Y125" s="99" t="b">
        <f>S_normal[[#This Row],[X base]]&gt;U$7</f>
        <v>0</v>
      </c>
      <c r="Z125" s="99">
        <f>IF(S_normal[[#This Row],[Mindre end]],S_normal[[#This Row],[Normalfordeling]],NA())</f>
        <v>0.36719556142717458</v>
      </c>
      <c r="AA125" s="99" t="e">
        <f>IF(S_normal[[#This Row],[Større end]],S_normal[[#This Row],[Normalfordeling]],NA())</f>
        <v>#N/A</v>
      </c>
      <c r="AB125" s="72" t="str">
        <f>_xlfn.IFNA(IF(S_normal[[#This Row],[Indeks (base 0)]]=ROUND((ROUND(S_normal[[#This Row],[X base]],0)-U$8)/(U$9-U$8)*U$4,0),S_normal[[#This Row],[X base]]*B$6+B$5,""),"")</f>
        <v/>
      </c>
      <c r="AC125" s="99" t="str">
        <f t="shared" si="25"/>
        <v xml:space="preserve"> </v>
      </c>
      <c r="AE125" s="54">
        <f t="shared" si="18"/>
        <v>112</v>
      </c>
      <c r="AF125" s="54">
        <f>S_binomial[[#This Row],[Indeks (base 0)]]+1</f>
        <v>113</v>
      </c>
      <c r="AG125" s="99">
        <f t="shared" si="19"/>
        <v>1</v>
      </c>
      <c r="AH125" s="99">
        <f>IF(MOD(S_binomial[[#This Row],[Indeks (base 0)]],AF$7)=0,NA(),_xlfn.BINOM.DIST(S_binomial[[#This Row],[X base]],E$5,E$6,FALSE))</f>
        <v>2.7751718400000021E-4</v>
      </c>
      <c r="AI125" s="99" t="b">
        <f>S_binomial[[#This Row],[X base]]&lt;AF$5</f>
        <v>1</v>
      </c>
      <c r="AJ125" s="99" t="b">
        <f>S_binomial[[#This Row],[X base]]=AF$5</f>
        <v>0</v>
      </c>
      <c r="AK125" s="99" t="b">
        <f>S_binomial[[#This Row],[X base]]&gt;AF$5</f>
        <v>0</v>
      </c>
      <c r="AL125" s="99">
        <f>IF(S_binomial[[#This Row],[Mindre end]],S_binomial[[#This Row],[Binomialfordeling]],NA())</f>
        <v>2.7751718400000021E-4</v>
      </c>
      <c r="AM125" s="99" t="e">
        <f>IF(S_binomial[[#This Row],[Lig med]],S_binomial[[#This Row],[Binomialfordeling]],NA())</f>
        <v>#N/A</v>
      </c>
      <c r="AN125" s="99" t="e">
        <f>IF(S_binomial[[#This Row],[Større end]],S_binomial[[#This Row],[Binomialfordeling]],NA())</f>
        <v>#N/A</v>
      </c>
      <c r="AO125" s="85" t="str">
        <f>_xlfn.IFNA(IF(MOD(S_binomial[[#This Row],[Indeks (base 0)]],AF$7)=ROUNDDOWN(AF$7/2,0),S_binomial[[#This Row],[X base]],""),"")</f>
        <v/>
      </c>
      <c r="AP125" s="99" t="str">
        <f t="shared" si="20"/>
        <v xml:space="preserve"> </v>
      </c>
      <c r="AR125" s="54">
        <f t="shared" si="21"/>
        <v>112</v>
      </c>
      <c r="AS125" s="54">
        <f>S_normal27[[#This Row],[Indeks (base 0)]]+1</f>
        <v>113</v>
      </c>
      <c r="AT125" s="54">
        <f t="shared" si="23"/>
        <v>1</v>
      </c>
      <c r="AU125" s="54">
        <f>IF(MOD(S_normal27[[#This Row],[Indeks (base 0)]],AS$8)=0,NA(),_xlfn.POISSON.DIST(S_normal27[[#This Row],[X base]],$H$5,FALSE))</f>
        <v>0.14936120510359185</v>
      </c>
      <c r="AV125" s="99" t="b">
        <f>S_normal27[[#This Row],[X base]]&lt;AS$5</f>
        <v>1</v>
      </c>
      <c r="AW125" s="99" t="b">
        <f>S_normal27[[#This Row],[X base]]=AS$5</f>
        <v>0</v>
      </c>
      <c r="AX125" s="99" t="b">
        <f>S_normal27[[#This Row],[X base]]&gt;AS$5</f>
        <v>0</v>
      </c>
      <c r="AY125" s="99">
        <f>IF(S_normal27[[#This Row],[Mindre end]],S_normal27[[#This Row],[Poissonfordeling]],NA())</f>
        <v>0.14936120510359185</v>
      </c>
      <c r="AZ125" s="99" t="e">
        <f>IF(S_normal27[[#This Row],[Lig med]],S_normal27[[#This Row],[Poissonfordeling]],NA())</f>
        <v>#N/A</v>
      </c>
      <c r="BA125" s="99" t="e">
        <f>IF(S_normal27[[#This Row],[Større end]],S_normal27[[#This Row],[Poissonfordeling]],NA())</f>
        <v>#N/A</v>
      </c>
      <c r="BB125" s="85" t="str">
        <f>_xlfn.IFNA(IF(MOD(S_normal27[[#This Row],[Indeks (base 0)]],AS$8)=ROUNDDOWN(AS$8/2,0),S_normal27[[#This Row],[X base]],""),"")</f>
        <v/>
      </c>
      <c r="BC125" s="99" t="str">
        <f t="shared" si="22"/>
        <v xml:space="preserve"> </v>
      </c>
    </row>
    <row r="126" spans="20:55" x14ac:dyDescent="0.2">
      <c r="T126" s="54">
        <f t="shared" si="16"/>
        <v>113</v>
      </c>
      <c r="U126" s="54">
        <f>S_normal[[#This Row],[Indeks (base 0)]]+1</f>
        <v>114</v>
      </c>
      <c r="V126" s="99">
        <f t="shared" si="24"/>
        <v>-0.38328462712158906</v>
      </c>
      <c r="W126" s="99">
        <f t="shared" si="17"/>
        <v>0.37068890990689796</v>
      </c>
      <c r="X126" s="99" t="b">
        <f>S_normal[[#This Row],[X base]]&lt;U$7</f>
        <v>1</v>
      </c>
      <c r="Y126" s="99" t="b">
        <f>S_normal[[#This Row],[X base]]&gt;U$7</f>
        <v>0</v>
      </c>
      <c r="Z126" s="99">
        <f>IF(S_normal[[#This Row],[Mindre end]],S_normal[[#This Row],[Normalfordeling]],NA())</f>
        <v>0.37068890990689796</v>
      </c>
      <c r="AA126" s="99" t="e">
        <f>IF(S_normal[[#This Row],[Større end]],S_normal[[#This Row],[Normalfordeling]],NA())</f>
        <v>#N/A</v>
      </c>
      <c r="AB126" s="72" t="str">
        <f>_xlfn.IFNA(IF(S_normal[[#This Row],[Indeks (base 0)]]=ROUND((ROUND(S_normal[[#This Row],[X base]],0)-U$8)/(U$9-U$8)*U$4,0),S_normal[[#This Row],[X base]]*B$6+B$5,""),"")</f>
        <v/>
      </c>
      <c r="AC126" s="99" t="str">
        <f t="shared" si="25"/>
        <v xml:space="preserve"> </v>
      </c>
      <c r="AE126" s="54">
        <f t="shared" si="18"/>
        <v>113</v>
      </c>
      <c r="AF126" s="54">
        <f>S_binomial[[#This Row],[Indeks (base 0)]]+1</f>
        <v>114</v>
      </c>
      <c r="AG126" s="99">
        <f t="shared" si="19"/>
        <v>1</v>
      </c>
      <c r="AH126" s="99">
        <f>IF(MOD(S_binomial[[#This Row],[Indeks (base 0)]],AF$7)=0,NA(),_xlfn.BINOM.DIST(S_binomial[[#This Row],[X base]],E$5,E$6,FALSE))</f>
        <v>2.7751718400000021E-4</v>
      </c>
      <c r="AI126" s="99" t="b">
        <f>S_binomial[[#This Row],[X base]]&lt;AF$5</f>
        <v>1</v>
      </c>
      <c r="AJ126" s="99" t="b">
        <f>S_binomial[[#This Row],[X base]]=AF$5</f>
        <v>0</v>
      </c>
      <c r="AK126" s="99" t="b">
        <f>S_binomial[[#This Row],[X base]]&gt;AF$5</f>
        <v>0</v>
      </c>
      <c r="AL126" s="99">
        <f>IF(S_binomial[[#This Row],[Mindre end]],S_binomial[[#This Row],[Binomialfordeling]],NA())</f>
        <v>2.7751718400000021E-4</v>
      </c>
      <c r="AM126" s="99" t="e">
        <f>IF(S_binomial[[#This Row],[Lig med]],S_binomial[[#This Row],[Binomialfordeling]],NA())</f>
        <v>#N/A</v>
      </c>
      <c r="AN126" s="99" t="e">
        <f>IF(S_binomial[[#This Row],[Større end]],S_binomial[[#This Row],[Binomialfordeling]],NA())</f>
        <v>#N/A</v>
      </c>
      <c r="AO126" s="85" t="str">
        <f>_xlfn.IFNA(IF(MOD(S_binomial[[#This Row],[Indeks (base 0)]],AF$7)=ROUNDDOWN(AF$7/2,0),S_binomial[[#This Row],[X base]],""),"")</f>
        <v/>
      </c>
      <c r="AP126" s="99" t="str">
        <f t="shared" si="20"/>
        <v xml:space="preserve"> </v>
      </c>
      <c r="AR126" s="54">
        <f t="shared" si="21"/>
        <v>113</v>
      </c>
      <c r="AS126" s="54">
        <f>S_normal27[[#This Row],[Indeks (base 0)]]+1</f>
        <v>114</v>
      </c>
      <c r="AT126" s="54">
        <f t="shared" si="23"/>
        <v>1</v>
      </c>
      <c r="AU126" s="54">
        <f>IF(MOD(S_normal27[[#This Row],[Indeks (base 0)]],AS$8)=0,NA(),_xlfn.POISSON.DIST(S_normal27[[#This Row],[X base]],$H$5,FALSE))</f>
        <v>0.14936120510359185</v>
      </c>
      <c r="AV126" s="99" t="b">
        <f>S_normal27[[#This Row],[X base]]&lt;AS$5</f>
        <v>1</v>
      </c>
      <c r="AW126" s="99" t="b">
        <f>S_normal27[[#This Row],[X base]]=AS$5</f>
        <v>0</v>
      </c>
      <c r="AX126" s="99" t="b">
        <f>S_normal27[[#This Row],[X base]]&gt;AS$5</f>
        <v>0</v>
      </c>
      <c r="AY126" s="99">
        <f>IF(S_normal27[[#This Row],[Mindre end]],S_normal27[[#This Row],[Poissonfordeling]],NA())</f>
        <v>0.14936120510359185</v>
      </c>
      <c r="AZ126" s="99" t="e">
        <f>IF(S_normal27[[#This Row],[Lig med]],S_normal27[[#This Row],[Poissonfordeling]],NA())</f>
        <v>#N/A</v>
      </c>
      <c r="BA126" s="99" t="e">
        <f>IF(S_normal27[[#This Row],[Større end]],S_normal27[[#This Row],[Poissonfordeling]],NA())</f>
        <v>#N/A</v>
      </c>
      <c r="BB126" s="85" t="str">
        <f>_xlfn.IFNA(IF(MOD(S_normal27[[#This Row],[Indeks (base 0)]],AS$8)=ROUNDDOWN(AS$8/2,0),S_normal27[[#This Row],[X base]],""),"")</f>
        <v/>
      </c>
      <c r="BC126" s="99" t="str">
        <f t="shared" si="22"/>
        <v xml:space="preserve"> </v>
      </c>
    </row>
    <row r="127" spans="20:55" x14ac:dyDescent="0.2">
      <c r="T127" s="54">
        <f t="shared" si="16"/>
        <v>114</v>
      </c>
      <c r="U127" s="54">
        <f>S_normal[[#This Row],[Indeks (base 0)]]+1</f>
        <v>115</v>
      </c>
      <c r="V127" s="99">
        <f t="shared" si="24"/>
        <v>-0.35932933792649013</v>
      </c>
      <c r="W127" s="99">
        <f t="shared" si="17"/>
        <v>0.37400080851990369</v>
      </c>
      <c r="X127" s="99" t="b">
        <f>S_normal[[#This Row],[X base]]&lt;U$7</f>
        <v>1</v>
      </c>
      <c r="Y127" s="99" t="b">
        <f>S_normal[[#This Row],[X base]]&gt;U$7</f>
        <v>0</v>
      </c>
      <c r="Z127" s="99">
        <f>IF(S_normal[[#This Row],[Mindre end]],S_normal[[#This Row],[Normalfordeling]],NA())</f>
        <v>0.37400080851990369</v>
      </c>
      <c r="AA127" s="99" t="e">
        <f>IF(S_normal[[#This Row],[Større end]],S_normal[[#This Row],[Normalfordeling]],NA())</f>
        <v>#N/A</v>
      </c>
      <c r="AB127" s="72" t="str">
        <f>_xlfn.IFNA(IF(S_normal[[#This Row],[Indeks (base 0)]]=ROUND((ROUND(S_normal[[#This Row],[X base]],0)-U$8)/(U$9-U$8)*U$4,0),S_normal[[#This Row],[X base]]*B$6+B$5,""),"")</f>
        <v/>
      </c>
      <c r="AC127" s="99" t="str">
        <f t="shared" si="25"/>
        <v xml:space="preserve"> </v>
      </c>
      <c r="AE127" s="54">
        <f t="shared" si="18"/>
        <v>114</v>
      </c>
      <c r="AF127" s="54">
        <f>S_binomial[[#This Row],[Indeks (base 0)]]+1</f>
        <v>115</v>
      </c>
      <c r="AG127" s="99">
        <f t="shared" si="19"/>
        <v>1</v>
      </c>
      <c r="AH127" s="99">
        <f>IF(MOD(S_binomial[[#This Row],[Indeks (base 0)]],AF$7)=0,NA(),_xlfn.BINOM.DIST(S_binomial[[#This Row],[X base]],E$5,E$6,FALSE))</f>
        <v>2.7751718400000021E-4</v>
      </c>
      <c r="AI127" s="99" t="b">
        <f>S_binomial[[#This Row],[X base]]&lt;AF$5</f>
        <v>1</v>
      </c>
      <c r="AJ127" s="99" t="b">
        <f>S_binomial[[#This Row],[X base]]=AF$5</f>
        <v>0</v>
      </c>
      <c r="AK127" s="99" t="b">
        <f>S_binomial[[#This Row],[X base]]&gt;AF$5</f>
        <v>0</v>
      </c>
      <c r="AL127" s="99">
        <f>IF(S_binomial[[#This Row],[Mindre end]],S_binomial[[#This Row],[Binomialfordeling]],NA())</f>
        <v>2.7751718400000021E-4</v>
      </c>
      <c r="AM127" s="99" t="e">
        <f>IF(S_binomial[[#This Row],[Lig med]],S_binomial[[#This Row],[Binomialfordeling]],NA())</f>
        <v>#N/A</v>
      </c>
      <c r="AN127" s="99" t="e">
        <f>IF(S_binomial[[#This Row],[Større end]],S_binomial[[#This Row],[Binomialfordeling]],NA())</f>
        <v>#N/A</v>
      </c>
      <c r="AO127" s="85" t="str">
        <f>_xlfn.IFNA(IF(MOD(S_binomial[[#This Row],[Indeks (base 0)]],AF$7)=ROUNDDOWN(AF$7/2,0),S_binomial[[#This Row],[X base]],""),"")</f>
        <v/>
      </c>
      <c r="AP127" s="99" t="str">
        <f t="shared" si="20"/>
        <v xml:space="preserve"> </v>
      </c>
      <c r="AR127" s="54">
        <f t="shared" si="21"/>
        <v>114</v>
      </c>
      <c r="AS127" s="54">
        <f>S_normal27[[#This Row],[Indeks (base 0)]]+1</f>
        <v>115</v>
      </c>
      <c r="AT127" s="54">
        <f t="shared" si="23"/>
        <v>1</v>
      </c>
      <c r="AU127" s="54">
        <f>IF(MOD(S_normal27[[#This Row],[Indeks (base 0)]],AS$8)=0,NA(),_xlfn.POISSON.DIST(S_normal27[[#This Row],[X base]],$H$5,FALSE))</f>
        <v>0.14936120510359185</v>
      </c>
      <c r="AV127" s="99" t="b">
        <f>S_normal27[[#This Row],[X base]]&lt;AS$5</f>
        <v>1</v>
      </c>
      <c r="AW127" s="99" t="b">
        <f>S_normal27[[#This Row],[X base]]=AS$5</f>
        <v>0</v>
      </c>
      <c r="AX127" s="99" t="b">
        <f>S_normal27[[#This Row],[X base]]&gt;AS$5</f>
        <v>0</v>
      </c>
      <c r="AY127" s="99">
        <f>IF(S_normal27[[#This Row],[Mindre end]],S_normal27[[#This Row],[Poissonfordeling]],NA())</f>
        <v>0.14936120510359185</v>
      </c>
      <c r="AZ127" s="99" t="e">
        <f>IF(S_normal27[[#This Row],[Lig med]],S_normal27[[#This Row],[Poissonfordeling]],NA())</f>
        <v>#N/A</v>
      </c>
      <c r="BA127" s="99" t="e">
        <f>IF(S_normal27[[#This Row],[Større end]],S_normal27[[#This Row],[Poissonfordeling]],NA())</f>
        <v>#N/A</v>
      </c>
      <c r="BB127" s="85" t="str">
        <f>_xlfn.IFNA(IF(MOD(S_normal27[[#This Row],[Indeks (base 0)]],AS$8)=ROUNDDOWN(AS$8/2,0),S_normal27[[#This Row],[X base]],""),"")</f>
        <v/>
      </c>
      <c r="BC127" s="99" t="str">
        <f t="shared" si="22"/>
        <v xml:space="preserve"> </v>
      </c>
    </row>
    <row r="128" spans="20:55" x14ac:dyDescent="0.2">
      <c r="T128" s="54">
        <f t="shared" si="16"/>
        <v>115</v>
      </c>
      <c r="U128" s="54">
        <f>S_normal[[#This Row],[Indeks (base 0)]]+1</f>
        <v>116</v>
      </c>
      <c r="V128" s="99">
        <f t="shared" si="24"/>
        <v>-0.33537404873139076</v>
      </c>
      <c r="W128" s="99">
        <f t="shared" si="17"/>
        <v>0.37712581912279941</v>
      </c>
      <c r="X128" s="99" t="b">
        <f>S_normal[[#This Row],[X base]]&lt;U$7</f>
        <v>1</v>
      </c>
      <c r="Y128" s="99" t="b">
        <f>S_normal[[#This Row],[X base]]&gt;U$7</f>
        <v>0</v>
      </c>
      <c r="Z128" s="99">
        <f>IF(S_normal[[#This Row],[Mindre end]],S_normal[[#This Row],[Normalfordeling]],NA())</f>
        <v>0.37712581912279941</v>
      </c>
      <c r="AA128" s="99" t="e">
        <f>IF(S_normal[[#This Row],[Større end]],S_normal[[#This Row],[Normalfordeling]],NA())</f>
        <v>#N/A</v>
      </c>
      <c r="AB128" s="72" t="str">
        <f>_xlfn.IFNA(IF(S_normal[[#This Row],[Indeks (base 0)]]=ROUND((ROUND(S_normal[[#This Row],[X base]],0)-U$8)/(U$9-U$8)*U$4,0),S_normal[[#This Row],[X base]]*B$6+B$5,""),"")</f>
        <v/>
      </c>
      <c r="AC128" s="99" t="str">
        <f t="shared" si="25"/>
        <v xml:space="preserve"> </v>
      </c>
      <c r="AE128" s="54">
        <f t="shared" si="18"/>
        <v>115</v>
      </c>
      <c r="AF128" s="54">
        <f>S_binomial[[#This Row],[Indeks (base 0)]]+1</f>
        <v>116</v>
      </c>
      <c r="AG128" s="99">
        <f t="shared" si="19"/>
        <v>1</v>
      </c>
      <c r="AH128" s="99">
        <f>IF(MOD(S_binomial[[#This Row],[Indeks (base 0)]],AF$7)=0,NA(),_xlfn.BINOM.DIST(S_binomial[[#This Row],[X base]],E$5,E$6,FALSE))</f>
        <v>2.7751718400000021E-4</v>
      </c>
      <c r="AI128" s="99" t="b">
        <f>S_binomial[[#This Row],[X base]]&lt;AF$5</f>
        <v>1</v>
      </c>
      <c r="AJ128" s="99" t="b">
        <f>S_binomial[[#This Row],[X base]]=AF$5</f>
        <v>0</v>
      </c>
      <c r="AK128" s="99" t="b">
        <f>S_binomial[[#This Row],[X base]]&gt;AF$5</f>
        <v>0</v>
      </c>
      <c r="AL128" s="99">
        <f>IF(S_binomial[[#This Row],[Mindre end]],S_binomial[[#This Row],[Binomialfordeling]],NA())</f>
        <v>2.7751718400000021E-4</v>
      </c>
      <c r="AM128" s="99" t="e">
        <f>IF(S_binomial[[#This Row],[Lig med]],S_binomial[[#This Row],[Binomialfordeling]],NA())</f>
        <v>#N/A</v>
      </c>
      <c r="AN128" s="99" t="e">
        <f>IF(S_binomial[[#This Row],[Større end]],S_binomial[[#This Row],[Binomialfordeling]],NA())</f>
        <v>#N/A</v>
      </c>
      <c r="AO128" s="85" t="str">
        <f>_xlfn.IFNA(IF(MOD(S_binomial[[#This Row],[Indeks (base 0)]],AF$7)=ROUNDDOWN(AF$7/2,0),S_binomial[[#This Row],[X base]],""),"")</f>
        <v/>
      </c>
      <c r="AP128" s="99" t="str">
        <f t="shared" si="20"/>
        <v xml:space="preserve"> </v>
      </c>
      <c r="AR128" s="54">
        <f t="shared" si="21"/>
        <v>115</v>
      </c>
      <c r="AS128" s="54">
        <f>S_normal27[[#This Row],[Indeks (base 0)]]+1</f>
        <v>116</v>
      </c>
      <c r="AT128" s="54">
        <f t="shared" si="23"/>
        <v>1</v>
      </c>
      <c r="AU128" s="54">
        <f>IF(MOD(S_normal27[[#This Row],[Indeks (base 0)]],AS$8)=0,NA(),_xlfn.POISSON.DIST(S_normal27[[#This Row],[X base]],$H$5,FALSE))</f>
        <v>0.14936120510359185</v>
      </c>
      <c r="AV128" s="99" t="b">
        <f>S_normal27[[#This Row],[X base]]&lt;AS$5</f>
        <v>1</v>
      </c>
      <c r="AW128" s="99" t="b">
        <f>S_normal27[[#This Row],[X base]]=AS$5</f>
        <v>0</v>
      </c>
      <c r="AX128" s="99" t="b">
        <f>S_normal27[[#This Row],[X base]]&gt;AS$5</f>
        <v>0</v>
      </c>
      <c r="AY128" s="99">
        <f>IF(S_normal27[[#This Row],[Mindre end]],S_normal27[[#This Row],[Poissonfordeling]],NA())</f>
        <v>0.14936120510359185</v>
      </c>
      <c r="AZ128" s="99" t="e">
        <f>IF(S_normal27[[#This Row],[Lig med]],S_normal27[[#This Row],[Poissonfordeling]],NA())</f>
        <v>#N/A</v>
      </c>
      <c r="BA128" s="99" t="e">
        <f>IF(S_normal27[[#This Row],[Større end]],S_normal27[[#This Row],[Poissonfordeling]],NA())</f>
        <v>#N/A</v>
      </c>
      <c r="BB128" s="85" t="str">
        <f>_xlfn.IFNA(IF(MOD(S_normal27[[#This Row],[Indeks (base 0)]],AS$8)=ROUNDDOWN(AS$8/2,0),S_normal27[[#This Row],[X base]],""),"")</f>
        <v/>
      </c>
      <c r="BC128" s="99" t="str">
        <f t="shared" si="22"/>
        <v xml:space="preserve"> </v>
      </c>
    </row>
    <row r="129" spans="20:55" x14ac:dyDescent="0.2">
      <c r="T129" s="54">
        <f t="shared" si="16"/>
        <v>116</v>
      </c>
      <c r="U129" s="54">
        <f>S_normal[[#This Row],[Indeks (base 0)]]+1</f>
        <v>117</v>
      </c>
      <c r="V129" s="99">
        <f t="shared" si="24"/>
        <v>-0.31141875953629139</v>
      </c>
      <c r="W129" s="99">
        <f t="shared" si="17"/>
        <v>0.38005877958699552</v>
      </c>
      <c r="X129" s="99" t="b">
        <f>S_normal[[#This Row],[X base]]&lt;U$7</f>
        <v>1</v>
      </c>
      <c r="Y129" s="99" t="b">
        <f>S_normal[[#This Row],[X base]]&gt;U$7</f>
        <v>0</v>
      </c>
      <c r="Z129" s="99">
        <f>IF(S_normal[[#This Row],[Mindre end]],S_normal[[#This Row],[Normalfordeling]],NA())</f>
        <v>0.38005877958699552</v>
      </c>
      <c r="AA129" s="99" t="e">
        <f>IF(S_normal[[#This Row],[Større end]],S_normal[[#This Row],[Normalfordeling]],NA())</f>
        <v>#N/A</v>
      </c>
      <c r="AB129" s="72" t="str">
        <f>_xlfn.IFNA(IF(S_normal[[#This Row],[Indeks (base 0)]]=ROUND((ROUND(S_normal[[#This Row],[X base]],0)-U$8)/(U$9-U$8)*U$4,0),S_normal[[#This Row],[X base]]*B$6+B$5,""),"")</f>
        <v/>
      </c>
      <c r="AC129" s="99" t="str">
        <f t="shared" si="25"/>
        <v xml:space="preserve"> </v>
      </c>
      <c r="AE129" s="54">
        <f t="shared" si="18"/>
        <v>116</v>
      </c>
      <c r="AF129" s="54">
        <f>S_binomial[[#This Row],[Indeks (base 0)]]+1</f>
        <v>117</v>
      </c>
      <c r="AG129" s="99">
        <f t="shared" si="19"/>
        <v>1</v>
      </c>
      <c r="AH129" s="99">
        <f>IF(MOD(S_binomial[[#This Row],[Indeks (base 0)]],AF$7)=0,NA(),_xlfn.BINOM.DIST(S_binomial[[#This Row],[X base]],E$5,E$6,FALSE))</f>
        <v>2.7751718400000021E-4</v>
      </c>
      <c r="AI129" s="99" t="b">
        <f>S_binomial[[#This Row],[X base]]&lt;AF$5</f>
        <v>1</v>
      </c>
      <c r="AJ129" s="99" t="b">
        <f>S_binomial[[#This Row],[X base]]=AF$5</f>
        <v>0</v>
      </c>
      <c r="AK129" s="99" t="b">
        <f>S_binomial[[#This Row],[X base]]&gt;AF$5</f>
        <v>0</v>
      </c>
      <c r="AL129" s="99">
        <f>IF(S_binomial[[#This Row],[Mindre end]],S_binomial[[#This Row],[Binomialfordeling]],NA())</f>
        <v>2.7751718400000021E-4</v>
      </c>
      <c r="AM129" s="99" t="e">
        <f>IF(S_binomial[[#This Row],[Lig med]],S_binomial[[#This Row],[Binomialfordeling]],NA())</f>
        <v>#N/A</v>
      </c>
      <c r="AN129" s="99" t="e">
        <f>IF(S_binomial[[#This Row],[Større end]],S_binomial[[#This Row],[Binomialfordeling]],NA())</f>
        <v>#N/A</v>
      </c>
      <c r="AO129" s="85" t="str">
        <f>_xlfn.IFNA(IF(MOD(S_binomial[[#This Row],[Indeks (base 0)]],AF$7)=ROUNDDOWN(AF$7/2,0),S_binomial[[#This Row],[X base]],""),"")</f>
        <v/>
      </c>
      <c r="AP129" s="99" t="str">
        <f t="shared" si="20"/>
        <v xml:space="preserve"> </v>
      </c>
      <c r="AR129" s="54">
        <f t="shared" si="21"/>
        <v>116</v>
      </c>
      <c r="AS129" s="54">
        <f>S_normal27[[#This Row],[Indeks (base 0)]]+1</f>
        <v>117</v>
      </c>
      <c r="AT129" s="54">
        <f t="shared" si="23"/>
        <v>1</v>
      </c>
      <c r="AU129" s="54">
        <f>IF(MOD(S_normal27[[#This Row],[Indeks (base 0)]],AS$8)=0,NA(),_xlfn.POISSON.DIST(S_normal27[[#This Row],[X base]],$H$5,FALSE))</f>
        <v>0.14936120510359185</v>
      </c>
      <c r="AV129" s="99" t="b">
        <f>S_normal27[[#This Row],[X base]]&lt;AS$5</f>
        <v>1</v>
      </c>
      <c r="AW129" s="99" t="b">
        <f>S_normal27[[#This Row],[X base]]=AS$5</f>
        <v>0</v>
      </c>
      <c r="AX129" s="99" t="b">
        <f>S_normal27[[#This Row],[X base]]&gt;AS$5</f>
        <v>0</v>
      </c>
      <c r="AY129" s="99">
        <f>IF(S_normal27[[#This Row],[Mindre end]],S_normal27[[#This Row],[Poissonfordeling]],NA())</f>
        <v>0.14936120510359185</v>
      </c>
      <c r="AZ129" s="99" t="e">
        <f>IF(S_normal27[[#This Row],[Lig med]],S_normal27[[#This Row],[Poissonfordeling]],NA())</f>
        <v>#N/A</v>
      </c>
      <c r="BA129" s="99" t="e">
        <f>IF(S_normal27[[#This Row],[Større end]],S_normal27[[#This Row],[Poissonfordeling]],NA())</f>
        <v>#N/A</v>
      </c>
      <c r="BB129" s="85" t="str">
        <f>_xlfn.IFNA(IF(MOD(S_normal27[[#This Row],[Indeks (base 0)]],AS$8)=ROUNDDOWN(AS$8/2,0),S_normal27[[#This Row],[X base]],""),"")</f>
        <v/>
      </c>
      <c r="BC129" s="99" t="str">
        <f t="shared" si="22"/>
        <v xml:space="preserve"> </v>
      </c>
    </row>
    <row r="130" spans="20:55" x14ac:dyDescent="0.2">
      <c r="T130" s="54">
        <f t="shared" si="16"/>
        <v>117</v>
      </c>
      <c r="U130" s="54">
        <f>S_normal[[#This Row],[Indeks (base 0)]]+1</f>
        <v>118</v>
      </c>
      <c r="V130" s="99">
        <f t="shared" si="24"/>
        <v>-0.28746347034119202</v>
      </c>
      <c r="W130" s="99">
        <f t="shared" si="17"/>
        <v>0.38279481799811688</v>
      </c>
      <c r="X130" s="99" t="b">
        <f>S_normal[[#This Row],[X base]]&lt;U$7</f>
        <v>1</v>
      </c>
      <c r="Y130" s="99" t="b">
        <f>S_normal[[#This Row],[X base]]&gt;U$7</f>
        <v>0</v>
      </c>
      <c r="Z130" s="99">
        <f>IF(S_normal[[#This Row],[Mindre end]],S_normal[[#This Row],[Normalfordeling]],NA())</f>
        <v>0.38279481799811688</v>
      </c>
      <c r="AA130" s="99" t="e">
        <f>IF(S_normal[[#This Row],[Større end]],S_normal[[#This Row],[Normalfordeling]],NA())</f>
        <v>#N/A</v>
      </c>
      <c r="AB130" s="72" t="str">
        <f>_xlfn.IFNA(IF(S_normal[[#This Row],[Indeks (base 0)]]=ROUND((ROUND(S_normal[[#This Row],[X base]],0)-U$8)/(U$9-U$8)*U$4,0),S_normal[[#This Row],[X base]]*B$6+B$5,""),"")</f>
        <v/>
      </c>
      <c r="AC130" s="99" t="str">
        <f t="shared" si="25"/>
        <v xml:space="preserve"> </v>
      </c>
      <c r="AE130" s="54">
        <f t="shared" si="18"/>
        <v>117</v>
      </c>
      <c r="AF130" s="54">
        <f>S_binomial[[#This Row],[Indeks (base 0)]]+1</f>
        <v>118</v>
      </c>
      <c r="AG130" s="99">
        <f t="shared" si="19"/>
        <v>1</v>
      </c>
      <c r="AH130" s="99">
        <f>IF(MOD(S_binomial[[#This Row],[Indeks (base 0)]],AF$7)=0,NA(),_xlfn.BINOM.DIST(S_binomial[[#This Row],[X base]],E$5,E$6,FALSE))</f>
        <v>2.7751718400000021E-4</v>
      </c>
      <c r="AI130" s="99" t="b">
        <f>S_binomial[[#This Row],[X base]]&lt;AF$5</f>
        <v>1</v>
      </c>
      <c r="AJ130" s="99" t="b">
        <f>S_binomial[[#This Row],[X base]]=AF$5</f>
        <v>0</v>
      </c>
      <c r="AK130" s="99" t="b">
        <f>S_binomial[[#This Row],[X base]]&gt;AF$5</f>
        <v>0</v>
      </c>
      <c r="AL130" s="99">
        <f>IF(S_binomial[[#This Row],[Mindre end]],S_binomial[[#This Row],[Binomialfordeling]],NA())</f>
        <v>2.7751718400000021E-4</v>
      </c>
      <c r="AM130" s="99" t="e">
        <f>IF(S_binomial[[#This Row],[Lig med]],S_binomial[[#This Row],[Binomialfordeling]],NA())</f>
        <v>#N/A</v>
      </c>
      <c r="AN130" s="99" t="e">
        <f>IF(S_binomial[[#This Row],[Større end]],S_binomial[[#This Row],[Binomialfordeling]],NA())</f>
        <v>#N/A</v>
      </c>
      <c r="AO130" s="85" t="str">
        <f>_xlfn.IFNA(IF(MOD(S_binomial[[#This Row],[Indeks (base 0)]],AF$7)=ROUNDDOWN(AF$7/2,0),S_binomial[[#This Row],[X base]],""),"")</f>
        <v/>
      </c>
      <c r="AP130" s="99" t="str">
        <f t="shared" si="20"/>
        <v xml:space="preserve"> </v>
      </c>
      <c r="AR130" s="54">
        <f t="shared" si="21"/>
        <v>117</v>
      </c>
      <c r="AS130" s="54">
        <f>S_normal27[[#This Row],[Indeks (base 0)]]+1</f>
        <v>118</v>
      </c>
      <c r="AT130" s="54">
        <f t="shared" si="23"/>
        <v>1</v>
      </c>
      <c r="AU130" s="54">
        <f>IF(MOD(S_normal27[[#This Row],[Indeks (base 0)]],AS$8)=0,NA(),_xlfn.POISSON.DIST(S_normal27[[#This Row],[X base]],$H$5,FALSE))</f>
        <v>0.14936120510359185</v>
      </c>
      <c r="AV130" s="99" t="b">
        <f>S_normal27[[#This Row],[X base]]&lt;AS$5</f>
        <v>1</v>
      </c>
      <c r="AW130" s="99" t="b">
        <f>S_normal27[[#This Row],[X base]]=AS$5</f>
        <v>0</v>
      </c>
      <c r="AX130" s="99" t="b">
        <f>S_normal27[[#This Row],[X base]]&gt;AS$5</f>
        <v>0</v>
      </c>
      <c r="AY130" s="99">
        <f>IF(S_normal27[[#This Row],[Mindre end]],S_normal27[[#This Row],[Poissonfordeling]],NA())</f>
        <v>0.14936120510359185</v>
      </c>
      <c r="AZ130" s="99" t="e">
        <f>IF(S_normal27[[#This Row],[Lig med]],S_normal27[[#This Row],[Poissonfordeling]],NA())</f>
        <v>#N/A</v>
      </c>
      <c r="BA130" s="99" t="e">
        <f>IF(S_normal27[[#This Row],[Større end]],S_normal27[[#This Row],[Poissonfordeling]],NA())</f>
        <v>#N/A</v>
      </c>
      <c r="BB130" s="85" t="str">
        <f>_xlfn.IFNA(IF(MOD(S_normal27[[#This Row],[Indeks (base 0)]],AS$8)=ROUNDDOWN(AS$8/2,0),S_normal27[[#This Row],[X base]],""),"")</f>
        <v/>
      </c>
      <c r="BC130" s="99" t="str">
        <f t="shared" si="22"/>
        <v xml:space="preserve"> </v>
      </c>
    </row>
    <row r="131" spans="20:55" x14ac:dyDescent="0.2">
      <c r="T131" s="54">
        <f t="shared" si="16"/>
        <v>118</v>
      </c>
      <c r="U131" s="54">
        <f>S_normal[[#This Row],[Indeks (base 0)]]+1</f>
        <v>119</v>
      </c>
      <c r="V131" s="99">
        <f t="shared" si="24"/>
        <v>-0.26350818114609265</v>
      </c>
      <c r="W131" s="99">
        <f t="shared" si="17"/>
        <v>0.38532936613430413</v>
      </c>
      <c r="X131" s="99" t="b">
        <f>S_normal[[#This Row],[X base]]&lt;U$7</f>
        <v>1</v>
      </c>
      <c r="Y131" s="99" t="b">
        <f>S_normal[[#This Row],[X base]]&gt;U$7</f>
        <v>0</v>
      </c>
      <c r="Z131" s="99">
        <f>IF(S_normal[[#This Row],[Mindre end]],S_normal[[#This Row],[Normalfordeling]],NA())</f>
        <v>0.38532936613430413</v>
      </c>
      <c r="AA131" s="99" t="e">
        <f>IF(S_normal[[#This Row],[Større end]],S_normal[[#This Row],[Normalfordeling]],NA())</f>
        <v>#N/A</v>
      </c>
      <c r="AB131" s="72" t="str">
        <f>_xlfn.IFNA(IF(S_normal[[#This Row],[Indeks (base 0)]]=ROUND((ROUND(S_normal[[#This Row],[X base]],0)-U$8)/(U$9-U$8)*U$4,0),S_normal[[#This Row],[X base]]*B$6+B$5,""),"")</f>
        <v/>
      </c>
      <c r="AC131" s="99" t="str">
        <f t="shared" si="25"/>
        <v xml:space="preserve"> </v>
      </c>
      <c r="AE131" s="54">
        <f t="shared" si="18"/>
        <v>118</v>
      </c>
      <c r="AF131" s="54">
        <f>S_binomial[[#This Row],[Indeks (base 0)]]+1</f>
        <v>119</v>
      </c>
      <c r="AG131" s="99">
        <f t="shared" si="19"/>
        <v>1</v>
      </c>
      <c r="AH131" s="99">
        <f>IF(MOD(S_binomial[[#This Row],[Indeks (base 0)]],AF$7)=0,NA(),_xlfn.BINOM.DIST(S_binomial[[#This Row],[X base]],E$5,E$6,FALSE))</f>
        <v>2.7751718400000021E-4</v>
      </c>
      <c r="AI131" s="99" t="b">
        <f>S_binomial[[#This Row],[X base]]&lt;AF$5</f>
        <v>1</v>
      </c>
      <c r="AJ131" s="99" t="b">
        <f>S_binomial[[#This Row],[X base]]=AF$5</f>
        <v>0</v>
      </c>
      <c r="AK131" s="99" t="b">
        <f>S_binomial[[#This Row],[X base]]&gt;AF$5</f>
        <v>0</v>
      </c>
      <c r="AL131" s="99">
        <f>IF(S_binomial[[#This Row],[Mindre end]],S_binomial[[#This Row],[Binomialfordeling]],NA())</f>
        <v>2.7751718400000021E-4</v>
      </c>
      <c r="AM131" s="99" t="e">
        <f>IF(S_binomial[[#This Row],[Lig med]],S_binomial[[#This Row],[Binomialfordeling]],NA())</f>
        <v>#N/A</v>
      </c>
      <c r="AN131" s="99" t="e">
        <f>IF(S_binomial[[#This Row],[Større end]],S_binomial[[#This Row],[Binomialfordeling]],NA())</f>
        <v>#N/A</v>
      </c>
      <c r="AO131" s="85" t="str">
        <f>_xlfn.IFNA(IF(MOD(S_binomial[[#This Row],[Indeks (base 0)]],AF$7)=ROUNDDOWN(AF$7/2,0),S_binomial[[#This Row],[X base]],""),"")</f>
        <v/>
      </c>
      <c r="AP131" s="99" t="str">
        <f t="shared" si="20"/>
        <v xml:space="preserve"> </v>
      </c>
      <c r="AR131" s="54">
        <f t="shared" si="21"/>
        <v>118</v>
      </c>
      <c r="AS131" s="54">
        <f>S_normal27[[#This Row],[Indeks (base 0)]]+1</f>
        <v>119</v>
      </c>
      <c r="AT131" s="54">
        <f t="shared" si="23"/>
        <v>1</v>
      </c>
      <c r="AU131" s="54">
        <f>IF(MOD(S_normal27[[#This Row],[Indeks (base 0)]],AS$8)=0,NA(),_xlfn.POISSON.DIST(S_normal27[[#This Row],[X base]],$H$5,FALSE))</f>
        <v>0.14936120510359185</v>
      </c>
      <c r="AV131" s="99" t="b">
        <f>S_normal27[[#This Row],[X base]]&lt;AS$5</f>
        <v>1</v>
      </c>
      <c r="AW131" s="99" t="b">
        <f>S_normal27[[#This Row],[X base]]=AS$5</f>
        <v>0</v>
      </c>
      <c r="AX131" s="99" t="b">
        <f>S_normal27[[#This Row],[X base]]&gt;AS$5</f>
        <v>0</v>
      </c>
      <c r="AY131" s="99">
        <f>IF(S_normal27[[#This Row],[Mindre end]],S_normal27[[#This Row],[Poissonfordeling]],NA())</f>
        <v>0.14936120510359185</v>
      </c>
      <c r="AZ131" s="99" t="e">
        <f>IF(S_normal27[[#This Row],[Lig med]],S_normal27[[#This Row],[Poissonfordeling]],NA())</f>
        <v>#N/A</v>
      </c>
      <c r="BA131" s="99" t="e">
        <f>IF(S_normal27[[#This Row],[Større end]],S_normal27[[#This Row],[Poissonfordeling]],NA())</f>
        <v>#N/A</v>
      </c>
      <c r="BB131" s="85" t="str">
        <f>_xlfn.IFNA(IF(MOD(S_normal27[[#This Row],[Indeks (base 0)]],AS$8)=ROUNDDOWN(AS$8/2,0),S_normal27[[#This Row],[X base]],""),"")</f>
        <v/>
      </c>
      <c r="BC131" s="99" t="str">
        <f t="shared" si="22"/>
        <v xml:space="preserve"> </v>
      </c>
    </row>
    <row r="132" spans="20:55" x14ac:dyDescent="0.2">
      <c r="T132" s="54">
        <f t="shared" si="16"/>
        <v>119</v>
      </c>
      <c r="U132" s="54">
        <f>S_normal[[#This Row],[Indeks (base 0)]]+1</f>
        <v>120</v>
      </c>
      <c r="V132" s="99">
        <f t="shared" si="24"/>
        <v>-0.23955289195099327</v>
      </c>
      <c r="W132" s="99">
        <f t="shared" si="17"/>
        <v>0.38765817217124104</v>
      </c>
      <c r="X132" s="99" t="b">
        <f>S_normal[[#This Row],[X base]]&lt;U$7</f>
        <v>1</v>
      </c>
      <c r="Y132" s="99" t="b">
        <f>S_normal[[#This Row],[X base]]&gt;U$7</f>
        <v>0</v>
      </c>
      <c r="Z132" s="99">
        <f>IF(S_normal[[#This Row],[Mindre end]],S_normal[[#This Row],[Normalfordeling]],NA())</f>
        <v>0.38765817217124104</v>
      </c>
      <c r="AA132" s="99" t="e">
        <f>IF(S_normal[[#This Row],[Større end]],S_normal[[#This Row],[Normalfordeling]],NA())</f>
        <v>#N/A</v>
      </c>
      <c r="AB132" s="72" t="str">
        <f>_xlfn.IFNA(IF(S_normal[[#This Row],[Indeks (base 0)]]=ROUND((ROUND(S_normal[[#This Row],[X base]],0)-U$8)/(U$9-U$8)*U$4,0),S_normal[[#This Row],[X base]]*B$6+B$5,""),"")</f>
        <v/>
      </c>
      <c r="AC132" s="99" t="str">
        <f t="shared" si="25"/>
        <v xml:space="preserve"> </v>
      </c>
      <c r="AE132" s="54">
        <f t="shared" si="18"/>
        <v>119</v>
      </c>
      <c r="AF132" s="54">
        <f>S_binomial[[#This Row],[Indeks (base 0)]]+1</f>
        <v>120</v>
      </c>
      <c r="AG132" s="99">
        <f t="shared" si="19"/>
        <v>1</v>
      </c>
      <c r="AH132" s="99">
        <f>IF(MOD(S_binomial[[#This Row],[Indeks (base 0)]],AF$7)=0,NA(),_xlfn.BINOM.DIST(S_binomial[[#This Row],[X base]],E$5,E$6,FALSE))</f>
        <v>2.7751718400000021E-4</v>
      </c>
      <c r="AI132" s="99" t="b">
        <f>S_binomial[[#This Row],[X base]]&lt;AF$5</f>
        <v>1</v>
      </c>
      <c r="AJ132" s="99" t="b">
        <f>S_binomial[[#This Row],[X base]]=AF$5</f>
        <v>0</v>
      </c>
      <c r="AK132" s="99" t="b">
        <f>S_binomial[[#This Row],[X base]]&gt;AF$5</f>
        <v>0</v>
      </c>
      <c r="AL132" s="99">
        <f>IF(S_binomial[[#This Row],[Mindre end]],S_binomial[[#This Row],[Binomialfordeling]],NA())</f>
        <v>2.7751718400000021E-4</v>
      </c>
      <c r="AM132" s="99" t="e">
        <f>IF(S_binomial[[#This Row],[Lig med]],S_binomial[[#This Row],[Binomialfordeling]],NA())</f>
        <v>#N/A</v>
      </c>
      <c r="AN132" s="99" t="e">
        <f>IF(S_binomial[[#This Row],[Større end]],S_binomial[[#This Row],[Binomialfordeling]],NA())</f>
        <v>#N/A</v>
      </c>
      <c r="AO132" s="85" t="str">
        <f>_xlfn.IFNA(IF(MOD(S_binomial[[#This Row],[Indeks (base 0)]],AF$7)=ROUNDDOWN(AF$7/2,0),S_binomial[[#This Row],[X base]],""),"")</f>
        <v/>
      </c>
      <c r="AP132" s="99" t="str">
        <f t="shared" si="20"/>
        <v xml:space="preserve"> </v>
      </c>
      <c r="AR132" s="54">
        <f t="shared" si="21"/>
        <v>119</v>
      </c>
      <c r="AS132" s="54">
        <f>S_normal27[[#This Row],[Indeks (base 0)]]+1</f>
        <v>120</v>
      </c>
      <c r="AT132" s="54">
        <f t="shared" si="23"/>
        <v>1</v>
      </c>
      <c r="AU132" s="54">
        <f>IF(MOD(S_normal27[[#This Row],[Indeks (base 0)]],AS$8)=0,NA(),_xlfn.POISSON.DIST(S_normal27[[#This Row],[X base]],$H$5,FALSE))</f>
        <v>0.14936120510359185</v>
      </c>
      <c r="AV132" s="99" t="b">
        <f>S_normal27[[#This Row],[X base]]&lt;AS$5</f>
        <v>1</v>
      </c>
      <c r="AW132" s="99" t="b">
        <f>S_normal27[[#This Row],[X base]]=AS$5</f>
        <v>0</v>
      </c>
      <c r="AX132" s="99" t="b">
        <f>S_normal27[[#This Row],[X base]]&gt;AS$5</f>
        <v>0</v>
      </c>
      <c r="AY132" s="99">
        <f>IF(S_normal27[[#This Row],[Mindre end]],S_normal27[[#This Row],[Poissonfordeling]],NA())</f>
        <v>0.14936120510359185</v>
      </c>
      <c r="AZ132" s="99" t="e">
        <f>IF(S_normal27[[#This Row],[Lig med]],S_normal27[[#This Row],[Poissonfordeling]],NA())</f>
        <v>#N/A</v>
      </c>
      <c r="BA132" s="99" t="e">
        <f>IF(S_normal27[[#This Row],[Større end]],S_normal27[[#This Row],[Poissonfordeling]],NA())</f>
        <v>#N/A</v>
      </c>
      <c r="BB132" s="85" t="str">
        <f>_xlfn.IFNA(IF(MOD(S_normal27[[#This Row],[Indeks (base 0)]],AS$8)=ROUNDDOWN(AS$8/2,0),S_normal27[[#This Row],[X base]],""),"")</f>
        <v/>
      </c>
      <c r="BC132" s="99" t="str">
        <f t="shared" si="22"/>
        <v xml:space="preserve"> </v>
      </c>
    </row>
    <row r="133" spans="20:55" x14ac:dyDescent="0.2">
      <c r="T133" s="54">
        <f t="shared" si="16"/>
        <v>120</v>
      </c>
      <c r="U133" s="54">
        <f>S_normal[[#This Row],[Indeks (base 0)]]+1</f>
        <v>121</v>
      </c>
      <c r="V133" s="99">
        <f t="shared" si="24"/>
        <v>-0.2155976027558939</v>
      </c>
      <c r="W133" s="99">
        <f t="shared" si="17"/>
        <v>0.38977731256446624</v>
      </c>
      <c r="X133" s="99" t="b">
        <f>S_normal[[#This Row],[X base]]&lt;U$7</f>
        <v>1</v>
      </c>
      <c r="Y133" s="99" t="b">
        <f>S_normal[[#This Row],[X base]]&gt;U$7</f>
        <v>0</v>
      </c>
      <c r="Z133" s="99">
        <f>IF(S_normal[[#This Row],[Mindre end]],S_normal[[#This Row],[Normalfordeling]],NA())</f>
        <v>0.38977731256446624</v>
      </c>
      <c r="AA133" s="99" t="e">
        <f>IF(S_normal[[#This Row],[Større end]],S_normal[[#This Row],[Normalfordeling]],NA())</f>
        <v>#N/A</v>
      </c>
      <c r="AB133" s="72" t="str">
        <f>_xlfn.IFNA(IF(S_normal[[#This Row],[Indeks (base 0)]]=ROUND((ROUND(S_normal[[#This Row],[X base]],0)-U$8)/(U$9-U$8)*U$4,0),S_normal[[#This Row],[X base]]*B$6+B$5,""),"")</f>
        <v/>
      </c>
      <c r="AC133" s="99" t="str">
        <f t="shared" si="25"/>
        <v xml:space="preserve"> </v>
      </c>
      <c r="AE133" s="54">
        <f t="shared" si="18"/>
        <v>120</v>
      </c>
      <c r="AF133" s="54">
        <f>S_binomial[[#This Row],[Indeks (base 0)]]+1</f>
        <v>121</v>
      </c>
      <c r="AG133" s="99">
        <f t="shared" si="19"/>
        <v>1</v>
      </c>
      <c r="AH133" s="99">
        <f>IF(MOD(S_binomial[[#This Row],[Indeks (base 0)]],AF$7)=0,NA(),_xlfn.BINOM.DIST(S_binomial[[#This Row],[X base]],E$5,E$6,FALSE))</f>
        <v>2.7751718400000021E-4</v>
      </c>
      <c r="AI133" s="99" t="b">
        <f>S_binomial[[#This Row],[X base]]&lt;AF$5</f>
        <v>1</v>
      </c>
      <c r="AJ133" s="99" t="b">
        <f>S_binomial[[#This Row],[X base]]=AF$5</f>
        <v>0</v>
      </c>
      <c r="AK133" s="99" t="b">
        <f>S_binomial[[#This Row],[X base]]&gt;AF$5</f>
        <v>0</v>
      </c>
      <c r="AL133" s="99">
        <f>IF(S_binomial[[#This Row],[Mindre end]],S_binomial[[#This Row],[Binomialfordeling]],NA())</f>
        <v>2.7751718400000021E-4</v>
      </c>
      <c r="AM133" s="99" t="e">
        <f>IF(S_binomial[[#This Row],[Lig med]],S_binomial[[#This Row],[Binomialfordeling]],NA())</f>
        <v>#N/A</v>
      </c>
      <c r="AN133" s="99" t="e">
        <f>IF(S_binomial[[#This Row],[Større end]],S_binomial[[#This Row],[Binomialfordeling]],NA())</f>
        <v>#N/A</v>
      </c>
      <c r="AO133" s="85" t="str">
        <f>_xlfn.IFNA(IF(MOD(S_binomial[[#This Row],[Indeks (base 0)]],AF$7)=ROUNDDOWN(AF$7/2,0),S_binomial[[#This Row],[X base]],""),"")</f>
        <v/>
      </c>
      <c r="AP133" s="99" t="str">
        <f t="shared" si="20"/>
        <v xml:space="preserve"> </v>
      </c>
      <c r="AR133" s="54">
        <f t="shared" si="21"/>
        <v>120</v>
      </c>
      <c r="AS133" s="54">
        <f>S_normal27[[#This Row],[Indeks (base 0)]]+1</f>
        <v>121</v>
      </c>
      <c r="AT133" s="54">
        <f t="shared" si="23"/>
        <v>1</v>
      </c>
      <c r="AU133" s="54">
        <f>IF(MOD(S_normal27[[#This Row],[Indeks (base 0)]],AS$8)=0,NA(),_xlfn.POISSON.DIST(S_normal27[[#This Row],[X base]],$H$5,FALSE))</f>
        <v>0.14936120510359185</v>
      </c>
      <c r="AV133" s="99" t="b">
        <f>S_normal27[[#This Row],[X base]]&lt;AS$5</f>
        <v>1</v>
      </c>
      <c r="AW133" s="99" t="b">
        <f>S_normal27[[#This Row],[X base]]=AS$5</f>
        <v>0</v>
      </c>
      <c r="AX133" s="99" t="b">
        <f>S_normal27[[#This Row],[X base]]&gt;AS$5</f>
        <v>0</v>
      </c>
      <c r="AY133" s="99">
        <f>IF(S_normal27[[#This Row],[Mindre end]],S_normal27[[#This Row],[Poissonfordeling]],NA())</f>
        <v>0.14936120510359185</v>
      </c>
      <c r="AZ133" s="99" t="e">
        <f>IF(S_normal27[[#This Row],[Lig med]],S_normal27[[#This Row],[Poissonfordeling]],NA())</f>
        <v>#N/A</v>
      </c>
      <c r="BA133" s="99" t="e">
        <f>IF(S_normal27[[#This Row],[Større end]],S_normal27[[#This Row],[Poissonfordeling]],NA())</f>
        <v>#N/A</v>
      </c>
      <c r="BB133" s="85" t="str">
        <f>_xlfn.IFNA(IF(MOD(S_normal27[[#This Row],[Indeks (base 0)]],AS$8)=ROUNDDOWN(AS$8/2,0),S_normal27[[#This Row],[X base]],""),"")</f>
        <v/>
      </c>
      <c r="BC133" s="99" t="str">
        <f t="shared" si="22"/>
        <v xml:space="preserve"> </v>
      </c>
    </row>
    <row r="134" spans="20:55" x14ac:dyDescent="0.2">
      <c r="T134" s="54">
        <f t="shared" si="16"/>
        <v>121</v>
      </c>
      <c r="U134" s="54">
        <f>S_normal[[#This Row],[Indeks (base 0)]]+1</f>
        <v>122</v>
      </c>
      <c r="V134" s="99">
        <f t="shared" si="24"/>
        <v>-0.19164231356079453</v>
      </c>
      <c r="W134" s="99">
        <f t="shared" si="17"/>
        <v>0.39168320306250204</v>
      </c>
      <c r="X134" s="99" t="b">
        <f>S_normal[[#This Row],[X base]]&lt;U$7</f>
        <v>1</v>
      </c>
      <c r="Y134" s="99" t="b">
        <f>S_normal[[#This Row],[X base]]&gt;U$7</f>
        <v>0</v>
      </c>
      <c r="Z134" s="99">
        <f>IF(S_normal[[#This Row],[Mindre end]],S_normal[[#This Row],[Normalfordeling]],NA())</f>
        <v>0.39168320306250204</v>
      </c>
      <c r="AA134" s="99" t="e">
        <f>IF(S_normal[[#This Row],[Større end]],S_normal[[#This Row],[Normalfordeling]],NA())</f>
        <v>#N/A</v>
      </c>
      <c r="AB134" s="72" t="str">
        <f>_xlfn.IFNA(IF(S_normal[[#This Row],[Indeks (base 0)]]=ROUND((ROUND(S_normal[[#This Row],[X base]],0)-U$8)/(U$9-U$8)*U$4,0),S_normal[[#This Row],[X base]]*B$6+B$5,""),"")</f>
        <v/>
      </c>
      <c r="AC134" s="99" t="str">
        <f t="shared" si="25"/>
        <v xml:space="preserve"> </v>
      </c>
      <c r="AE134" s="54">
        <f t="shared" si="18"/>
        <v>121</v>
      </c>
      <c r="AF134" s="54">
        <f>S_binomial[[#This Row],[Indeks (base 0)]]+1</f>
        <v>122</v>
      </c>
      <c r="AG134" s="99">
        <f t="shared" si="19"/>
        <v>1</v>
      </c>
      <c r="AH134" s="99">
        <f>IF(MOD(S_binomial[[#This Row],[Indeks (base 0)]],AF$7)=0,NA(),_xlfn.BINOM.DIST(S_binomial[[#This Row],[X base]],E$5,E$6,FALSE))</f>
        <v>2.7751718400000021E-4</v>
      </c>
      <c r="AI134" s="99" t="b">
        <f>S_binomial[[#This Row],[X base]]&lt;AF$5</f>
        <v>1</v>
      </c>
      <c r="AJ134" s="99" t="b">
        <f>S_binomial[[#This Row],[X base]]=AF$5</f>
        <v>0</v>
      </c>
      <c r="AK134" s="99" t="b">
        <f>S_binomial[[#This Row],[X base]]&gt;AF$5</f>
        <v>0</v>
      </c>
      <c r="AL134" s="99">
        <f>IF(S_binomial[[#This Row],[Mindre end]],S_binomial[[#This Row],[Binomialfordeling]],NA())</f>
        <v>2.7751718400000021E-4</v>
      </c>
      <c r="AM134" s="99" t="e">
        <f>IF(S_binomial[[#This Row],[Lig med]],S_binomial[[#This Row],[Binomialfordeling]],NA())</f>
        <v>#N/A</v>
      </c>
      <c r="AN134" s="99" t="e">
        <f>IF(S_binomial[[#This Row],[Større end]],S_binomial[[#This Row],[Binomialfordeling]],NA())</f>
        <v>#N/A</v>
      </c>
      <c r="AO134" s="85" t="str">
        <f>_xlfn.IFNA(IF(MOD(S_binomial[[#This Row],[Indeks (base 0)]],AF$7)=ROUNDDOWN(AF$7/2,0),S_binomial[[#This Row],[X base]],""),"")</f>
        <v/>
      </c>
      <c r="AP134" s="99" t="str">
        <f t="shared" si="20"/>
        <v xml:space="preserve"> </v>
      </c>
      <c r="AR134" s="54">
        <f t="shared" si="21"/>
        <v>121</v>
      </c>
      <c r="AS134" s="54">
        <f>S_normal27[[#This Row],[Indeks (base 0)]]+1</f>
        <v>122</v>
      </c>
      <c r="AT134" s="54">
        <f t="shared" si="23"/>
        <v>1</v>
      </c>
      <c r="AU134" s="54">
        <f>IF(MOD(S_normal27[[#This Row],[Indeks (base 0)]],AS$8)=0,NA(),_xlfn.POISSON.DIST(S_normal27[[#This Row],[X base]],$H$5,FALSE))</f>
        <v>0.14936120510359185</v>
      </c>
      <c r="AV134" s="99" t="b">
        <f>S_normal27[[#This Row],[X base]]&lt;AS$5</f>
        <v>1</v>
      </c>
      <c r="AW134" s="99" t="b">
        <f>S_normal27[[#This Row],[X base]]=AS$5</f>
        <v>0</v>
      </c>
      <c r="AX134" s="99" t="b">
        <f>S_normal27[[#This Row],[X base]]&gt;AS$5</f>
        <v>0</v>
      </c>
      <c r="AY134" s="99">
        <f>IF(S_normal27[[#This Row],[Mindre end]],S_normal27[[#This Row],[Poissonfordeling]],NA())</f>
        <v>0.14936120510359185</v>
      </c>
      <c r="AZ134" s="99" t="e">
        <f>IF(S_normal27[[#This Row],[Lig med]],S_normal27[[#This Row],[Poissonfordeling]],NA())</f>
        <v>#N/A</v>
      </c>
      <c r="BA134" s="99" t="e">
        <f>IF(S_normal27[[#This Row],[Større end]],S_normal27[[#This Row],[Poissonfordeling]],NA())</f>
        <v>#N/A</v>
      </c>
      <c r="BB134" s="85" t="str">
        <f>_xlfn.IFNA(IF(MOD(S_normal27[[#This Row],[Indeks (base 0)]],AS$8)=ROUNDDOWN(AS$8/2,0),S_normal27[[#This Row],[X base]],""),"")</f>
        <v/>
      </c>
      <c r="BC134" s="99" t="str">
        <f t="shared" si="22"/>
        <v xml:space="preserve"> </v>
      </c>
    </row>
    <row r="135" spans="20:55" x14ac:dyDescent="0.2">
      <c r="T135" s="54">
        <f t="shared" si="16"/>
        <v>122</v>
      </c>
      <c r="U135" s="54">
        <f>S_normal[[#This Row],[Indeks (base 0)]]+1</f>
        <v>123</v>
      </c>
      <c r="V135" s="99">
        <f t="shared" si="24"/>
        <v>-0.16768702436569516</v>
      </c>
      <c r="W135" s="99">
        <f t="shared" si="17"/>
        <v>0.39337260880753866</v>
      </c>
      <c r="X135" s="99" t="b">
        <f>S_normal[[#This Row],[X base]]&lt;U$7</f>
        <v>1</v>
      </c>
      <c r="Y135" s="99" t="b">
        <f>S_normal[[#This Row],[X base]]&gt;U$7</f>
        <v>0</v>
      </c>
      <c r="Z135" s="99">
        <f>IF(S_normal[[#This Row],[Mindre end]],S_normal[[#This Row],[Normalfordeling]],NA())</f>
        <v>0.39337260880753866</v>
      </c>
      <c r="AA135" s="99" t="e">
        <f>IF(S_normal[[#This Row],[Større end]],S_normal[[#This Row],[Normalfordeling]],NA())</f>
        <v>#N/A</v>
      </c>
      <c r="AB135" s="72" t="str">
        <f>_xlfn.IFNA(IF(S_normal[[#This Row],[Indeks (base 0)]]=ROUND((ROUND(S_normal[[#This Row],[X base]],0)-U$8)/(U$9-U$8)*U$4,0),S_normal[[#This Row],[X base]]*B$6+B$5,""),"")</f>
        <v/>
      </c>
      <c r="AC135" s="99" t="str">
        <f t="shared" si="25"/>
        <v xml:space="preserve"> </v>
      </c>
      <c r="AE135" s="54">
        <f t="shared" si="18"/>
        <v>122</v>
      </c>
      <c r="AF135" s="54">
        <f>S_binomial[[#This Row],[Indeks (base 0)]]+1</f>
        <v>123</v>
      </c>
      <c r="AG135" s="99">
        <f t="shared" si="19"/>
        <v>1</v>
      </c>
      <c r="AH135" s="99">
        <f>IF(MOD(S_binomial[[#This Row],[Indeks (base 0)]],AF$7)=0,NA(),_xlfn.BINOM.DIST(S_binomial[[#This Row],[X base]],E$5,E$6,FALSE))</f>
        <v>2.7751718400000021E-4</v>
      </c>
      <c r="AI135" s="99" t="b">
        <f>S_binomial[[#This Row],[X base]]&lt;AF$5</f>
        <v>1</v>
      </c>
      <c r="AJ135" s="99" t="b">
        <f>S_binomial[[#This Row],[X base]]=AF$5</f>
        <v>0</v>
      </c>
      <c r="AK135" s="99" t="b">
        <f>S_binomial[[#This Row],[X base]]&gt;AF$5</f>
        <v>0</v>
      </c>
      <c r="AL135" s="99">
        <f>IF(S_binomial[[#This Row],[Mindre end]],S_binomial[[#This Row],[Binomialfordeling]],NA())</f>
        <v>2.7751718400000021E-4</v>
      </c>
      <c r="AM135" s="99" t="e">
        <f>IF(S_binomial[[#This Row],[Lig med]],S_binomial[[#This Row],[Binomialfordeling]],NA())</f>
        <v>#N/A</v>
      </c>
      <c r="AN135" s="99" t="e">
        <f>IF(S_binomial[[#This Row],[Større end]],S_binomial[[#This Row],[Binomialfordeling]],NA())</f>
        <v>#N/A</v>
      </c>
      <c r="AO135" s="85" t="str">
        <f>_xlfn.IFNA(IF(MOD(S_binomial[[#This Row],[Indeks (base 0)]],AF$7)=ROUNDDOWN(AF$7/2,0),S_binomial[[#This Row],[X base]],""),"")</f>
        <v/>
      </c>
      <c r="AP135" s="99" t="str">
        <f t="shared" si="20"/>
        <v xml:space="preserve"> </v>
      </c>
      <c r="AR135" s="54">
        <f t="shared" si="21"/>
        <v>122</v>
      </c>
      <c r="AS135" s="54">
        <f>S_normal27[[#This Row],[Indeks (base 0)]]+1</f>
        <v>123</v>
      </c>
      <c r="AT135" s="54">
        <f t="shared" si="23"/>
        <v>1</v>
      </c>
      <c r="AU135" s="54">
        <f>IF(MOD(S_normal27[[#This Row],[Indeks (base 0)]],AS$8)=0,NA(),_xlfn.POISSON.DIST(S_normal27[[#This Row],[X base]],$H$5,FALSE))</f>
        <v>0.14936120510359185</v>
      </c>
      <c r="AV135" s="99" t="b">
        <f>S_normal27[[#This Row],[X base]]&lt;AS$5</f>
        <v>1</v>
      </c>
      <c r="AW135" s="99" t="b">
        <f>S_normal27[[#This Row],[X base]]=AS$5</f>
        <v>0</v>
      </c>
      <c r="AX135" s="99" t="b">
        <f>S_normal27[[#This Row],[X base]]&gt;AS$5</f>
        <v>0</v>
      </c>
      <c r="AY135" s="99">
        <f>IF(S_normal27[[#This Row],[Mindre end]],S_normal27[[#This Row],[Poissonfordeling]],NA())</f>
        <v>0.14936120510359185</v>
      </c>
      <c r="AZ135" s="99" t="e">
        <f>IF(S_normal27[[#This Row],[Lig med]],S_normal27[[#This Row],[Poissonfordeling]],NA())</f>
        <v>#N/A</v>
      </c>
      <c r="BA135" s="99" t="e">
        <f>IF(S_normal27[[#This Row],[Større end]],S_normal27[[#This Row],[Poissonfordeling]],NA())</f>
        <v>#N/A</v>
      </c>
      <c r="BB135" s="85" t="str">
        <f>_xlfn.IFNA(IF(MOD(S_normal27[[#This Row],[Indeks (base 0)]],AS$8)=ROUNDDOWN(AS$8/2,0),S_normal27[[#This Row],[X base]],""),"")</f>
        <v/>
      </c>
      <c r="BC135" s="99" t="str">
        <f t="shared" si="22"/>
        <v xml:space="preserve"> </v>
      </c>
    </row>
    <row r="136" spans="20:55" x14ac:dyDescent="0.2">
      <c r="T136" s="54">
        <f t="shared" si="16"/>
        <v>123</v>
      </c>
      <c r="U136" s="54">
        <f>S_normal[[#This Row],[Indeks (base 0)]]+1</f>
        <v>124</v>
      </c>
      <c r="V136" s="99">
        <f t="shared" si="24"/>
        <v>-0.14373173517059579</v>
      </c>
      <c r="W136" s="99">
        <f t="shared" si="17"/>
        <v>0.39484265348383518</v>
      </c>
      <c r="X136" s="99" t="b">
        <f>S_normal[[#This Row],[X base]]&lt;U$7</f>
        <v>1</v>
      </c>
      <c r="Y136" s="99" t="b">
        <f>S_normal[[#This Row],[X base]]&gt;U$7</f>
        <v>0</v>
      </c>
      <c r="Z136" s="99">
        <f>IF(S_normal[[#This Row],[Mindre end]],S_normal[[#This Row],[Normalfordeling]],NA())</f>
        <v>0.39484265348383518</v>
      </c>
      <c r="AA136" s="99" t="e">
        <f>IF(S_normal[[#This Row],[Større end]],S_normal[[#This Row],[Normalfordeling]],NA())</f>
        <v>#N/A</v>
      </c>
      <c r="AB136" s="72" t="str">
        <f>_xlfn.IFNA(IF(S_normal[[#This Row],[Indeks (base 0)]]=ROUND((ROUND(S_normal[[#This Row],[X base]],0)-U$8)/(U$9-U$8)*U$4,0),S_normal[[#This Row],[X base]]*B$6+B$5,""),"")</f>
        <v/>
      </c>
      <c r="AC136" s="99" t="str">
        <f t="shared" si="25"/>
        <v xml:space="preserve"> </v>
      </c>
      <c r="AE136" s="54">
        <f t="shared" si="18"/>
        <v>123</v>
      </c>
      <c r="AF136" s="54">
        <f>S_binomial[[#This Row],[Indeks (base 0)]]+1</f>
        <v>124</v>
      </c>
      <c r="AG136" s="99">
        <f t="shared" si="19"/>
        <v>1</v>
      </c>
      <c r="AH136" s="99">
        <f>IF(MOD(S_binomial[[#This Row],[Indeks (base 0)]],AF$7)=0,NA(),_xlfn.BINOM.DIST(S_binomial[[#This Row],[X base]],E$5,E$6,FALSE))</f>
        <v>2.7751718400000021E-4</v>
      </c>
      <c r="AI136" s="99" t="b">
        <f>S_binomial[[#This Row],[X base]]&lt;AF$5</f>
        <v>1</v>
      </c>
      <c r="AJ136" s="99" t="b">
        <f>S_binomial[[#This Row],[X base]]=AF$5</f>
        <v>0</v>
      </c>
      <c r="AK136" s="99" t="b">
        <f>S_binomial[[#This Row],[X base]]&gt;AF$5</f>
        <v>0</v>
      </c>
      <c r="AL136" s="99">
        <f>IF(S_binomial[[#This Row],[Mindre end]],S_binomial[[#This Row],[Binomialfordeling]],NA())</f>
        <v>2.7751718400000021E-4</v>
      </c>
      <c r="AM136" s="99" t="e">
        <f>IF(S_binomial[[#This Row],[Lig med]],S_binomial[[#This Row],[Binomialfordeling]],NA())</f>
        <v>#N/A</v>
      </c>
      <c r="AN136" s="99" t="e">
        <f>IF(S_binomial[[#This Row],[Større end]],S_binomial[[#This Row],[Binomialfordeling]],NA())</f>
        <v>#N/A</v>
      </c>
      <c r="AO136" s="85" t="str">
        <f>_xlfn.IFNA(IF(MOD(S_binomial[[#This Row],[Indeks (base 0)]],AF$7)=ROUNDDOWN(AF$7/2,0),S_binomial[[#This Row],[X base]],""),"")</f>
        <v/>
      </c>
      <c r="AP136" s="99" t="str">
        <f t="shared" si="20"/>
        <v xml:space="preserve"> </v>
      </c>
      <c r="AR136" s="54">
        <f t="shared" si="21"/>
        <v>123</v>
      </c>
      <c r="AS136" s="54">
        <f>S_normal27[[#This Row],[Indeks (base 0)]]+1</f>
        <v>124</v>
      </c>
      <c r="AT136" s="54">
        <f t="shared" si="23"/>
        <v>1</v>
      </c>
      <c r="AU136" s="54">
        <f>IF(MOD(S_normal27[[#This Row],[Indeks (base 0)]],AS$8)=0,NA(),_xlfn.POISSON.DIST(S_normal27[[#This Row],[X base]],$H$5,FALSE))</f>
        <v>0.14936120510359185</v>
      </c>
      <c r="AV136" s="99" t="b">
        <f>S_normal27[[#This Row],[X base]]&lt;AS$5</f>
        <v>1</v>
      </c>
      <c r="AW136" s="99" t="b">
        <f>S_normal27[[#This Row],[X base]]=AS$5</f>
        <v>0</v>
      </c>
      <c r="AX136" s="99" t="b">
        <f>S_normal27[[#This Row],[X base]]&gt;AS$5</f>
        <v>0</v>
      </c>
      <c r="AY136" s="99">
        <f>IF(S_normal27[[#This Row],[Mindre end]],S_normal27[[#This Row],[Poissonfordeling]],NA())</f>
        <v>0.14936120510359185</v>
      </c>
      <c r="AZ136" s="99" t="e">
        <f>IF(S_normal27[[#This Row],[Lig med]],S_normal27[[#This Row],[Poissonfordeling]],NA())</f>
        <v>#N/A</v>
      </c>
      <c r="BA136" s="99" t="e">
        <f>IF(S_normal27[[#This Row],[Større end]],S_normal27[[#This Row],[Poissonfordeling]],NA())</f>
        <v>#N/A</v>
      </c>
      <c r="BB136" s="85" t="str">
        <f>_xlfn.IFNA(IF(MOD(S_normal27[[#This Row],[Indeks (base 0)]],AS$8)=ROUNDDOWN(AS$8/2,0),S_normal27[[#This Row],[X base]],""),"")</f>
        <v/>
      </c>
      <c r="BC136" s="99" t="str">
        <f t="shared" si="22"/>
        <v xml:space="preserve"> </v>
      </c>
    </row>
    <row r="137" spans="20:55" x14ac:dyDescent="0.2">
      <c r="T137" s="54">
        <f t="shared" si="16"/>
        <v>124</v>
      </c>
      <c r="U137" s="54">
        <f>S_normal[[#This Row],[Indeks (base 0)]]+1</f>
        <v>125</v>
      </c>
      <c r="V137" s="99">
        <f t="shared" si="24"/>
        <v>-0.11977644597549686</v>
      </c>
      <c r="W137" s="99">
        <f t="shared" si="17"/>
        <v>0.39609082747762636</v>
      </c>
      <c r="X137" s="99" t="b">
        <f>S_normal[[#This Row],[X base]]&lt;U$7</f>
        <v>1</v>
      </c>
      <c r="Y137" s="99" t="b">
        <f>S_normal[[#This Row],[X base]]&gt;U$7</f>
        <v>0</v>
      </c>
      <c r="Z137" s="99">
        <f>IF(S_normal[[#This Row],[Mindre end]],S_normal[[#This Row],[Normalfordeling]],NA())</f>
        <v>0.39609082747762636</v>
      </c>
      <c r="AA137" s="99" t="e">
        <f>IF(S_normal[[#This Row],[Større end]],S_normal[[#This Row],[Normalfordeling]],NA())</f>
        <v>#N/A</v>
      </c>
      <c r="AB137" s="72" t="str">
        <f>_xlfn.IFNA(IF(S_normal[[#This Row],[Indeks (base 0)]]=ROUND((ROUND(S_normal[[#This Row],[X base]],0)-U$8)/(U$9-U$8)*U$4,0),S_normal[[#This Row],[X base]]*B$6+B$5,""),"")</f>
        <v/>
      </c>
      <c r="AC137" s="99" t="str">
        <f t="shared" si="25"/>
        <v xml:space="preserve"> </v>
      </c>
      <c r="AE137" s="54">
        <f t="shared" si="18"/>
        <v>124</v>
      </c>
      <c r="AF137" s="54">
        <f>S_binomial[[#This Row],[Indeks (base 0)]]+1</f>
        <v>125</v>
      </c>
      <c r="AG137" s="99">
        <f t="shared" si="19"/>
        <v>1</v>
      </c>
      <c r="AH137" s="99">
        <f>IF(MOD(S_binomial[[#This Row],[Indeks (base 0)]],AF$7)=0,NA(),_xlfn.BINOM.DIST(S_binomial[[#This Row],[X base]],E$5,E$6,FALSE))</f>
        <v>2.7751718400000021E-4</v>
      </c>
      <c r="AI137" s="99" t="b">
        <f>S_binomial[[#This Row],[X base]]&lt;AF$5</f>
        <v>1</v>
      </c>
      <c r="AJ137" s="99" t="b">
        <f>S_binomial[[#This Row],[X base]]=AF$5</f>
        <v>0</v>
      </c>
      <c r="AK137" s="99" t="b">
        <f>S_binomial[[#This Row],[X base]]&gt;AF$5</f>
        <v>0</v>
      </c>
      <c r="AL137" s="99">
        <f>IF(S_binomial[[#This Row],[Mindre end]],S_binomial[[#This Row],[Binomialfordeling]],NA())</f>
        <v>2.7751718400000021E-4</v>
      </c>
      <c r="AM137" s="99" t="e">
        <f>IF(S_binomial[[#This Row],[Lig med]],S_binomial[[#This Row],[Binomialfordeling]],NA())</f>
        <v>#N/A</v>
      </c>
      <c r="AN137" s="99" t="e">
        <f>IF(S_binomial[[#This Row],[Større end]],S_binomial[[#This Row],[Binomialfordeling]],NA())</f>
        <v>#N/A</v>
      </c>
      <c r="AO137" s="85" t="str">
        <f>_xlfn.IFNA(IF(MOD(S_binomial[[#This Row],[Indeks (base 0)]],AF$7)=ROUNDDOWN(AF$7/2,0),S_binomial[[#This Row],[X base]],""),"")</f>
        <v/>
      </c>
      <c r="AP137" s="99" t="str">
        <f t="shared" si="20"/>
        <v xml:space="preserve"> </v>
      </c>
      <c r="AR137" s="54">
        <f t="shared" si="21"/>
        <v>124</v>
      </c>
      <c r="AS137" s="54">
        <f>S_normal27[[#This Row],[Indeks (base 0)]]+1</f>
        <v>125</v>
      </c>
      <c r="AT137" s="54">
        <f t="shared" si="23"/>
        <v>1</v>
      </c>
      <c r="AU137" s="54">
        <f>IF(MOD(S_normal27[[#This Row],[Indeks (base 0)]],AS$8)=0,NA(),_xlfn.POISSON.DIST(S_normal27[[#This Row],[X base]],$H$5,FALSE))</f>
        <v>0.14936120510359185</v>
      </c>
      <c r="AV137" s="99" t="b">
        <f>S_normal27[[#This Row],[X base]]&lt;AS$5</f>
        <v>1</v>
      </c>
      <c r="AW137" s="99" t="b">
        <f>S_normal27[[#This Row],[X base]]=AS$5</f>
        <v>0</v>
      </c>
      <c r="AX137" s="99" t="b">
        <f>S_normal27[[#This Row],[X base]]&gt;AS$5</f>
        <v>0</v>
      </c>
      <c r="AY137" s="99">
        <f>IF(S_normal27[[#This Row],[Mindre end]],S_normal27[[#This Row],[Poissonfordeling]],NA())</f>
        <v>0.14936120510359185</v>
      </c>
      <c r="AZ137" s="99" t="e">
        <f>IF(S_normal27[[#This Row],[Lig med]],S_normal27[[#This Row],[Poissonfordeling]],NA())</f>
        <v>#N/A</v>
      </c>
      <c r="BA137" s="99" t="e">
        <f>IF(S_normal27[[#This Row],[Større end]],S_normal27[[#This Row],[Poissonfordeling]],NA())</f>
        <v>#N/A</v>
      </c>
      <c r="BB137" s="85" t="str">
        <f>_xlfn.IFNA(IF(MOD(S_normal27[[#This Row],[Indeks (base 0)]],AS$8)=ROUNDDOWN(AS$8/2,0),S_normal27[[#This Row],[X base]],""),"")</f>
        <v/>
      </c>
      <c r="BC137" s="99" t="str">
        <f t="shared" si="22"/>
        <v xml:space="preserve"> </v>
      </c>
    </row>
    <row r="138" spans="20:55" x14ac:dyDescent="0.2">
      <c r="T138" s="54">
        <f t="shared" si="16"/>
        <v>125</v>
      </c>
      <c r="U138" s="54">
        <f>S_normal[[#This Row],[Indeks (base 0)]]+1</f>
        <v>126</v>
      </c>
      <c r="V138" s="99">
        <f t="shared" si="24"/>
        <v>-9.5821156780397487E-2</v>
      </c>
      <c r="W138" s="99">
        <f t="shared" si="17"/>
        <v>0.39711499501613434</v>
      </c>
      <c r="X138" s="99" t="b">
        <f>S_normal[[#This Row],[X base]]&lt;U$7</f>
        <v>1</v>
      </c>
      <c r="Y138" s="99" t="b">
        <f>S_normal[[#This Row],[X base]]&gt;U$7</f>
        <v>0</v>
      </c>
      <c r="Z138" s="99">
        <f>IF(S_normal[[#This Row],[Mindre end]],S_normal[[#This Row],[Normalfordeling]],NA())</f>
        <v>0.39711499501613434</v>
      </c>
      <c r="AA138" s="99" t="e">
        <f>IF(S_normal[[#This Row],[Større end]],S_normal[[#This Row],[Normalfordeling]],NA())</f>
        <v>#N/A</v>
      </c>
      <c r="AB138" s="72" t="str">
        <f>_xlfn.IFNA(IF(S_normal[[#This Row],[Indeks (base 0)]]=ROUND((ROUND(S_normal[[#This Row],[X base]],0)-U$8)/(U$9-U$8)*U$4,0),S_normal[[#This Row],[X base]]*B$6+B$5,""),"")</f>
        <v/>
      </c>
      <c r="AC138" s="99" t="str">
        <f t="shared" si="25"/>
        <v xml:space="preserve"> </v>
      </c>
      <c r="AE138" s="54">
        <f t="shared" si="18"/>
        <v>125</v>
      </c>
      <c r="AF138" s="54">
        <f>S_binomial[[#This Row],[Indeks (base 0)]]+1</f>
        <v>126</v>
      </c>
      <c r="AG138" s="99">
        <f t="shared" si="19"/>
        <v>1</v>
      </c>
      <c r="AH138" s="99">
        <f>IF(MOD(S_binomial[[#This Row],[Indeks (base 0)]],AF$7)=0,NA(),_xlfn.BINOM.DIST(S_binomial[[#This Row],[X base]],E$5,E$6,FALSE))</f>
        <v>2.7751718400000021E-4</v>
      </c>
      <c r="AI138" s="99" t="b">
        <f>S_binomial[[#This Row],[X base]]&lt;AF$5</f>
        <v>1</v>
      </c>
      <c r="AJ138" s="99" t="b">
        <f>S_binomial[[#This Row],[X base]]=AF$5</f>
        <v>0</v>
      </c>
      <c r="AK138" s="99" t="b">
        <f>S_binomial[[#This Row],[X base]]&gt;AF$5</f>
        <v>0</v>
      </c>
      <c r="AL138" s="99">
        <f>IF(S_binomial[[#This Row],[Mindre end]],S_binomial[[#This Row],[Binomialfordeling]],NA())</f>
        <v>2.7751718400000021E-4</v>
      </c>
      <c r="AM138" s="99" t="e">
        <f>IF(S_binomial[[#This Row],[Lig med]],S_binomial[[#This Row],[Binomialfordeling]],NA())</f>
        <v>#N/A</v>
      </c>
      <c r="AN138" s="99" t="e">
        <f>IF(S_binomial[[#This Row],[Større end]],S_binomial[[#This Row],[Binomialfordeling]],NA())</f>
        <v>#N/A</v>
      </c>
      <c r="AO138" s="85" t="str">
        <f>_xlfn.IFNA(IF(MOD(S_binomial[[#This Row],[Indeks (base 0)]],AF$7)=ROUNDDOWN(AF$7/2,0),S_binomial[[#This Row],[X base]],""),"")</f>
        <v/>
      </c>
      <c r="AP138" s="99" t="str">
        <f t="shared" si="20"/>
        <v xml:space="preserve"> </v>
      </c>
      <c r="AR138" s="54">
        <f t="shared" si="21"/>
        <v>125</v>
      </c>
      <c r="AS138" s="54">
        <f>S_normal27[[#This Row],[Indeks (base 0)]]+1</f>
        <v>126</v>
      </c>
      <c r="AT138" s="54">
        <f t="shared" si="23"/>
        <v>1</v>
      </c>
      <c r="AU138" s="54">
        <f>IF(MOD(S_normal27[[#This Row],[Indeks (base 0)]],AS$8)=0,NA(),_xlfn.POISSON.DIST(S_normal27[[#This Row],[X base]],$H$5,FALSE))</f>
        <v>0.14936120510359185</v>
      </c>
      <c r="AV138" s="99" t="b">
        <f>S_normal27[[#This Row],[X base]]&lt;AS$5</f>
        <v>1</v>
      </c>
      <c r="AW138" s="99" t="b">
        <f>S_normal27[[#This Row],[X base]]=AS$5</f>
        <v>0</v>
      </c>
      <c r="AX138" s="99" t="b">
        <f>S_normal27[[#This Row],[X base]]&gt;AS$5</f>
        <v>0</v>
      </c>
      <c r="AY138" s="99">
        <f>IF(S_normal27[[#This Row],[Mindre end]],S_normal27[[#This Row],[Poissonfordeling]],NA())</f>
        <v>0.14936120510359185</v>
      </c>
      <c r="AZ138" s="99" t="e">
        <f>IF(S_normal27[[#This Row],[Lig med]],S_normal27[[#This Row],[Poissonfordeling]],NA())</f>
        <v>#N/A</v>
      </c>
      <c r="BA138" s="99" t="e">
        <f>IF(S_normal27[[#This Row],[Større end]],S_normal27[[#This Row],[Poissonfordeling]],NA())</f>
        <v>#N/A</v>
      </c>
      <c r="BB138" s="85" t="str">
        <f>_xlfn.IFNA(IF(MOD(S_normal27[[#This Row],[Indeks (base 0)]],AS$8)=ROUNDDOWN(AS$8/2,0),S_normal27[[#This Row],[X base]],""),"")</f>
        <v/>
      </c>
      <c r="BC138" s="99" t="str">
        <f t="shared" si="22"/>
        <v xml:space="preserve"> </v>
      </c>
    </row>
    <row r="139" spans="20:55" x14ac:dyDescent="0.2">
      <c r="T139" s="54">
        <f t="shared" si="16"/>
        <v>126</v>
      </c>
      <c r="U139" s="54">
        <f>S_normal[[#This Row],[Indeks (base 0)]]+1</f>
        <v>127</v>
      </c>
      <c r="V139" s="99">
        <f t="shared" si="24"/>
        <v>-7.1865867585298115E-2</v>
      </c>
      <c r="W139" s="99">
        <f t="shared" si="17"/>
        <v>0.39791340025725958</v>
      </c>
      <c r="X139" s="99" t="b">
        <f>S_normal[[#This Row],[X base]]&lt;U$7</f>
        <v>1</v>
      </c>
      <c r="Y139" s="99" t="b">
        <f>S_normal[[#This Row],[X base]]&gt;U$7</f>
        <v>0</v>
      </c>
      <c r="Z139" s="99">
        <f>IF(S_normal[[#This Row],[Mindre end]],S_normal[[#This Row],[Normalfordeling]],NA())</f>
        <v>0.39791340025725958</v>
      </c>
      <c r="AA139" s="99" t="e">
        <f>IF(S_normal[[#This Row],[Større end]],S_normal[[#This Row],[Normalfordeling]],NA())</f>
        <v>#N/A</v>
      </c>
      <c r="AB139" s="72" t="str">
        <f>_xlfn.IFNA(IF(S_normal[[#This Row],[Indeks (base 0)]]=ROUND((ROUND(S_normal[[#This Row],[X base]],0)-U$8)/(U$9-U$8)*U$4,0),S_normal[[#This Row],[X base]]*B$6+B$5,""),"")</f>
        <v/>
      </c>
      <c r="AC139" s="99" t="str">
        <f t="shared" si="25"/>
        <v xml:space="preserve"> </v>
      </c>
      <c r="AE139" s="54">
        <f t="shared" si="18"/>
        <v>126</v>
      </c>
      <c r="AF139" s="54">
        <f>S_binomial[[#This Row],[Indeks (base 0)]]+1</f>
        <v>127</v>
      </c>
      <c r="AG139" s="99">
        <f t="shared" si="19"/>
        <v>1</v>
      </c>
      <c r="AH139" s="99">
        <f>IF(MOD(S_binomial[[#This Row],[Indeks (base 0)]],AF$7)=0,NA(),_xlfn.BINOM.DIST(S_binomial[[#This Row],[X base]],E$5,E$6,FALSE))</f>
        <v>2.7751718400000021E-4</v>
      </c>
      <c r="AI139" s="99" t="b">
        <f>S_binomial[[#This Row],[X base]]&lt;AF$5</f>
        <v>1</v>
      </c>
      <c r="AJ139" s="99" t="b">
        <f>S_binomial[[#This Row],[X base]]=AF$5</f>
        <v>0</v>
      </c>
      <c r="AK139" s="99" t="b">
        <f>S_binomial[[#This Row],[X base]]&gt;AF$5</f>
        <v>0</v>
      </c>
      <c r="AL139" s="99">
        <f>IF(S_binomial[[#This Row],[Mindre end]],S_binomial[[#This Row],[Binomialfordeling]],NA())</f>
        <v>2.7751718400000021E-4</v>
      </c>
      <c r="AM139" s="99" t="e">
        <f>IF(S_binomial[[#This Row],[Lig med]],S_binomial[[#This Row],[Binomialfordeling]],NA())</f>
        <v>#N/A</v>
      </c>
      <c r="AN139" s="99" t="e">
        <f>IF(S_binomial[[#This Row],[Større end]],S_binomial[[#This Row],[Binomialfordeling]],NA())</f>
        <v>#N/A</v>
      </c>
      <c r="AO139" s="85" t="str">
        <f>_xlfn.IFNA(IF(MOD(S_binomial[[#This Row],[Indeks (base 0)]],AF$7)=ROUNDDOWN(AF$7/2,0),S_binomial[[#This Row],[X base]],""),"")</f>
        <v/>
      </c>
      <c r="AP139" s="99" t="str">
        <f t="shared" si="20"/>
        <v xml:space="preserve"> </v>
      </c>
      <c r="AR139" s="54">
        <f t="shared" si="21"/>
        <v>126</v>
      </c>
      <c r="AS139" s="54">
        <f>S_normal27[[#This Row],[Indeks (base 0)]]+1</f>
        <v>127</v>
      </c>
      <c r="AT139" s="54">
        <f t="shared" si="23"/>
        <v>1</v>
      </c>
      <c r="AU139" s="54">
        <f>IF(MOD(S_normal27[[#This Row],[Indeks (base 0)]],AS$8)=0,NA(),_xlfn.POISSON.DIST(S_normal27[[#This Row],[X base]],$H$5,FALSE))</f>
        <v>0.14936120510359185</v>
      </c>
      <c r="AV139" s="99" t="b">
        <f>S_normal27[[#This Row],[X base]]&lt;AS$5</f>
        <v>1</v>
      </c>
      <c r="AW139" s="99" t="b">
        <f>S_normal27[[#This Row],[X base]]=AS$5</f>
        <v>0</v>
      </c>
      <c r="AX139" s="99" t="b">
        <f>S_normal27[[#This Row],[X base]]&gt;AS$5</f>
        <v>0</v>
      </c>
      <c r="AY139" s="99">
        <f>IF(S_normal27[[#This Row],[Mindre end]],S_normal27[[#This Row],[Poissonfordeling]],NA())</f>
        <v>0.14936120510359185</v>
      </c>
      <c r="AZ139" s="99" t="e">
        <f>IF(S_normal27[[#This Row],[Lig med]],S_normal27[[#This Row],[Poissonfordeling]],NA())</f>
        <v>#N/A</v>
      </c>
      <c r="BA139" s="99" t="e">
        <f>IF(S_normal27[[#This Row],[Større end]],S_normal27[[#This Row],[Poissonfordeling]],NA())</f>
        <v>#N/A</v>
      </c>
      <c r="BB139" s="85" t="str">
        <f>_xlfn.IFNA(IF(MOD(S_normal27[[#This Row],[Indeks (base 0)]],AS$8)=ROUNDDOWN(AS$8/2,0),S_normal27[[#This Row],[X base]],""),"")</f>
        <v/>
      </c>
      <c r="BC139" s="99" t="str">
        <f t="shared" si="22"/>
        <v xml:space="preserve"> </v>
      </c>
    </row>
    <row r="140" spans="20:55" x14ac:dyDescent="0.2">
      <c r="T140" s="54">
        <f t="shared" si="16"/>
        <v>127</v>
      </c>
      <c r="U140" s="54">
        <f>S_normal[[#This Row],[Indeks (base 0)]]+1</f>
        <v>128</v>
      </c>
      <c r="V140" s="99">
        <f t="shared" si="24"/>
        <v>-4.7910578390198744E-2</v>
      </c>
      <c r="W140" s="99">
        <f t="shared" si="17"/>
        <v>0.39848467230564738</v>
      </c>
      <c r="X140" s="99" t="b">
        <f>S_normal[[#This Row],[X base]]&lt;U$7</f>
        <v>1</v>
      </c>
      <c r="Y140" s="99" t="b">
        <f>S_normal[[#This Row],[X base]]&gt;U$7</f>
        <v>0</v>
      </c>
      <c r="Z140" s="99">
        <f>IF(S_normal[[#This Row],[Mindre end]],S_normal[[#This Row],[Normalfordeling]],NA())</f>
        <v>0.39848467230564738</v>
      </c>
      <c r="AA140" s="99" t="e">
        <f>IF(S_normal[[#This Row],[Større end]],S_normal[[#This Row],[Normalfordeling]],NA())</f>
        <v>#N/A</v>
      </c>
      <c r="AB140" s="72" t="str">
        <f>_xlfn.IFNA(IF(S_normal[[#This Row],[Indeks (base 0)]]=ROUND((ROUND(S_normal[[#This Row],[X base]],0)-U$8)/(U$9-U$8)*U$4,0),S_normal[[#This Row],[X base]]*B$6+B$5,""),"")</f>
        <v/>
      </c>
      <c r="AC140" s="99" t="str">
        <f t="shared" si="25"/>
        <v xml:space="preserve"> </v>
      </c>
      <c r="AE140" s="54">
        <f t="shared" si="18"/>
        <v>127</v>
      </c>
      <c r="AF140" s="54">
        <f>S_binomial[[#This Row],[Indeks (base 0)]]+1</f>
        <v>128</v>
      </c>
      <c r="AG140" s="99">
        <f t="shared" si="19"/>
        <v>1</v>
      </c>
      <c r="AH140" s="99">
        <f>IF(MOD(S_binomial[[#This Row],[Indeks (base 0)]],AF$7)=0,NA(),_xlfn.BINOM.DIST(S_binomial[[#This Row],[X base]],E$5,E$6,FALSE))</f>
        <v>2.7751718400000021E-4</v>
      </c>
      <c r="AI140" s="99" t="b">
        <f>S_binomial[[#This Row],[X base]]&lt;AF$5</f>
        <v>1</v>
      </c>
      <c r="AJ140" s="99" t="b">
        <f>S_binomial[[#This Row],[X base]]=AF$5</f>
        <v>0</v>
      </c>
      <c r="AK140" s="99" t="b">
        <f>S_binomial[[#This Row],[X base]]&gt;AF$5</f>
        <v>0</v>
      </c>
      <c r="AL140" s="99">
        <f>IF(S_binomial[[#This Row],[Mindre end]],S_binomial[[#This Row],[Binomialfordeling]],NA())</f>
        <v>2.7751718400000021E-4</v>
      </c>
      <c r="AM140" s="99" t="e">
        <f>IF(S_binomial[[#This Row],[Lig med]],S_binomial[[#This Row],[Binomialfordeling]],NA())</f>
        <v>#N/A</v>
      </c>
      <c r="AN140" s="99" t="e">
        <f>IF(S_binomial[[#This Row],[Større end]],S_binomial[[#This Row],[Binomialfordeling]],NA())</f>
        <v>#N/A</v>
      </c>
      <c r="AO140" s="85" t="str">
        <f>_xlfn.IFNA(IF(MOD(S_binomial[[#This Row],[Indeks (base 0)]],AF$7)=ROUNDDOWN(AF$7/2,0),S_binomial[[#This Row],[X base]],""),"")</f>
        <v/>
      </c>
      <c r="AP140" s="99" t="str">
        <f t="shared" si="20"/>
        <v xml:space="preserve"> </v>
      </c>
      <c r="AR140" s="54">
        <f t="shared" si="21"/>
        <v>127</v>
      </c>
      <c r="AS140" s="54">
        <f>S_normal27[[#This Row],[Indeks (base 0)]]+1</f>
        <v>128</v>
      </c>
      <c r="AT140" s="54">
        <f t="shared" si="23"/>
        <v>1</v>
      </c>
      <c r="AU140" s="54">
        <f>IF(MOD(S_normal27[[#This Row],[Indeks (base 0)]],AS$8)=0,NA(),_xlfn.POISSON.DIST(S_normal27[[#This Row],[X base]],$H$5,FALSE))</f>
        <v>0.14936120510359185</v>
      </c>
      <c r="AV140" s="99" t="b">
        <f>S_normal27[[#This Row],[X base]]&lt;AS$5</f>
        <v>1</v>
      </c>
      <c r="AW140" s="99" t="b">
        <f>S_normal27[[#This Row],[X base]]=AS$5</f>
        <v>0</v>
      </c>
      <c r="AX140" s="99" t="b">
        <f>S_normal27[[#This Row],[X base]]&gt;AS$5</f>
        <v>0</v>
      </c>
      <c r="AY140" s="99">
        <f>IF(S_normal27[[#This Row],[Mindre end]],S_normal27[[#This Row],[Poissonfordeling]],NA())</f>
        <v>0.14936120510359185</v>
      </c>
      <c r="AZ140" s="99" t="e">
        <f>IF(S_normal27[[#This Row],[Lig med]],S_normal27[[#This Row],[Poissonfordeling]],NA())</f>
        <v>#N/A</v>
      </c>
      <c r="BA140" s="99" t="e">
        <f>IF(S_normal27[[#This Row],[Større end]],S_normal27[[#This Row],[Poissonfordeling]],NA())</f>
        <v>#N/A</v>
      </c>
      <c r="BB140" s="85" t="str">
        <f>_xlfn.IFNA(IF(MOD(S_normal27[[#This Row],[Indeks (base 0)]],AS$8)=ROUNDDOWN(AS$8/2,0),S_normal27[[#This Row],[X base]],""),"")</f>
        <v/>
      </c>
      <c r="BC140" s="99" t="str">
        <f t="shared" si="22"/>
        <v xml:space="preserve"> </v>
      </c>
    </row>
    <row r="141" spans="20:55" x14ac:dyDescent="0.2">
      <c r="T141" s="54">
        <f t="shared" ref="T141:T204" si="26">ROW(T141)-ROW(T$13)</f>
        <v>128</v>
      </c>
      <c r="U141" s="54">
        <f>S_normal[[#This Row],[Indeks (base 0)]]+1</f>
        <v>129</v>
      </c>
      <c r="V141" s="99">
        <f t="shared" si="24"/>
        <v>-2.3955289195099372E-2</v>
      </c>
      <c r="W141" s="99">
        <f t="shared" ref="W141:W204" si="27">_xlfn.NORM.DIST(V141,0,1,FALSE)</f>
        <v>0.39882782913507253</v>
      </c>
      <c r="X141" s="99" t="b">
        <f>S_normal[[#This Row],[X base]]&lt;U$7</f>
        <v>1</v>
      </c>
      <c r="Y141" s="99" t="b">
        <f>S_normal[[#This Row],[X base]]&gt;U$7</f>
        <v>0</v>
      </c>
      <c r="Z141" s="99">
        <f>IF(S_normal[[#This Row],[Mindre end]],S_normal[[#This Row],[Normalfordeling]],NA())</f>
        <v>0.39882782913507253</v>
      </c>
      <c r="AA141" s="99" t="e">
        <f>IF(S_normal[[#This Row],[Større end]],S_normal[[#This Row],[Normalfordeling]],NA())</f>
        <v>#N/A</v>
      </c>
      <c r="AB141" s="72" t="str">
        <f>_xlfn.IFNA(IF(S_normal[[#This Row],[Indeks (base 0)]]=ROUND((ROUND(S_normal[[#This Row],[X base]],0)-U$8)/(U$9-U$8)*U$4,0),S_normal[[#This Row],[X base]]*B$6+B$5,""),"")</f>
        <v/>
      </c>
      <c r="AC141" s="99" t="str">
        <f t="shared" si="25"/>
        <v xml:space="preserve"> </v>
      </c>
      <c r="AE141" s="54">
        <f t="shared" ref="AE141:AE204" si="28">ROW(AE141)-ROW(AE$13)</f>
        <v>128</v>
      </c>
      <c r="AF141" s="54">
        <f>S_binomial[[#This Row],[Indeks (base 0)]]+1</f>
        <v>129</v>
      </c>
      <c r="AG141" s="99">
        <f t="shared" ref="AG141:AG204" si="29">IF(AE141&lt;AF$8,ROUNDDOWN(AE141/AF$7,0),NA())</f>
        <v>1</v>
      </c>
      <c r="AH141" s="99">
        <f>IF(MOD(S_binomial[[#This Row],[Indeks (base 0)]],AF$7)=0,NA(),_xlfn.BINOM.DIST(S_binomial[[#This Row],[X base]],E$5,E$6,FALSE))</f>
        <v>2.7751718400000021E-4</v>
      </c>
      <c r="AI141" s="99" t="b">
        <f>S_binomial[[#This Row],[X base]]&lt;AF$5</f>
        <v>1</v>
      </c>
      <c r="AJ141" s="99" t="b">
        <f>S_binomial[[#This Row],[X base]]=AF$5</f>
        <v>0</v>
      </c>
      <c r="AK141" s="99" t="b">
        <f>S_binomial[[#This Row],[X base]]&gt;AF$5</f>
        <v>0</v>
      </c>
      <c r="AL141" s="99">
        <f>IF(S_binomial[[#This Row],[Mindre end]],S_binomial[[#This Row],[Binomialfordeling]],NA())</f>
        <v>2.7751718400000021E-4</v>
      </c>
      <c r="AM141" s="99" t="e">
        <f>IF(S_binomial[[#This Row],[Lig med]],S_binomial[[#This Row],[Binomialfordeling]],NA())</f>
        <v>#N/A</v>
      </c>
      <c r="AN141" s="99" t="e">
        <f>IF(S_binomial[[#This Row],[Større end]],S_binomial[[#This Row],[Binomialfordeling]],NA())</f>
        <v>#N/A</v>
      </c>
      <c r="AO141" s="85" t="str">
        <f>_xlfn.IFNA(IF(MOD(S_binomial[[#This Row],[Indeks (base 0)]],AF$7)=ROUNDDOWN(AF$7/2,0),S_binomial[[#This Row],[X base]],""),"")</f>
        <v/>
      </c>
      <c r="AP141" s="99" t="str">
        <f t="shared" ref="AP141:AP204" si="30">_xlfn.IFNA(_xlfn.SWITCH(AF141,AN$7,AN$4,AN$8,AN$5,AN$9,AN$6," ")," ")</f>
        <v xml:space="preserve"> </v>
      </c>
      <c r="AR141" s="54">
        <f t="shared" ref="AR141:AR204" si="31">ROW(AR141)-ROW(AR$13)</f>
        <v>128</v>
      </c>
      <c r="AS141" s="54">
        <f>S_normal27[[#This Row],[Indeks (base 0)]]+1</f>
        <v>129</v>
      </c>
      <c r="AT141" s="54">
        <f t="shared" si="23"/>
        <v>1</v>
      </c>
      <c r="AU141" s="54">
        <f>IF(MOD(S_normal27[[#This Row],[Indeks (base 0)]],AS$8)=0,NA(),_xlfn.POISSON.DIST(S_normal27[[#This Row],[X base]],$H$5,FALSE))</f>
        <v>0.14936120510359185</v>
      </c>
      <c r="AV141" s="99" t="b">
        <f>S_normal27[[#This Row],[X base]]&lt;AS$5</f>
        <v>1</v>
      </c>
      <c r="AW141" s="99" t="b">
        <f>S_normal27[[#This Row],[X base]]=AS$5</f>
        <v>0</v>
      </c>
      <c r="AX141" s="99" t="b">
        <f>S_normal27[[#This Row],[X base]]&gt;AS$5</f>
        <v>0</v>
      </c>
      <c r="AY141" s="99">
        <f>IF(S_normal27[[#This Row],[Mindre end]],S_normal27[[#This Row],[Poissonfordeling]],NA())</f>
        <v>0.14936120510359185</v>
      </c>
      <c r="AZ141" s="99" t="e">
        <f>IF(S_normal27[[#This Row],[Lig med]],S_normal27[[#This Row],[Poissonfordeling]],NA())</f>
        <v>#N/A</v>
      </c>
      <c r="BA141" s="99" t="e">
        <f>IF(S_normal27[[#This Row],[Større end]],S_normal27[[#This Row],[Poissonfordeling]],NA())</f>
        <v>#N/A</v>
      </c>
      <c r="BB141" s="85" t="str">
        <f>_xlfn.IFNA(IF(MOD(S_normal27[[#This Row],[Indeks (base 0)]],AS$8)=ROUNDDOWN(AS$8/2,0),S_normal27[[#This Row],[X base]],""),"")</f>
        <v/>
      </c>
      <c r="BC141" s="99" t="str">
        <f t="shared" ref="BC141:BC204" si="32">_xlfn.IFNA(_xlfn.SWITCH(AS141,BA$7,BA$4,BA$8,BA$5,BA$9,BA$6," ")," ")</f>
        <v xml:space="preserve"> </v>
      </c>
    </row>
    <row r="142" spans="20:55" x14ac:dyDescent="0.2">
      <c r="T142" s="54">
        <f t="shared" si="26"/>
        <v>129</v>
      </c>
      <c r="U142" s="54">
        <f>S_normal[[#This Row],[Indeks (base 0)]]+1</f>
        <v>130</v>
      </c>
      <c r="V142" s="99">
        <f t="shared" si="24"/>
        <v>0</v>
      </c>
      <c r="W142" s="99">
        <f t="shared" si="27"/>
        <v>0.3989422804014327</v>
      </c>
      <c r="X142" s="99" t="b">
        <f>S_normal[[#This Row],[X base]]&lt;U$7</f>
        <v>1</v>
      </c>
      <c r="Y142" s="99" t="b">
        <f>S_normal[[#This Row],[X base]]&gt;U$7</f>
        <v>0</v>
      </c>
      <c r="Z142" s="99">
        <f>IF(S_normal[[#This Row],[Mindre end]],S_normal[[#This Row],[Normalfordeling]],NA())</f>
        <v>0.3989422804014327</v>
      </c>
      <c r="AA142" s="99" t="e">
        <f>IF(S_normal[[#This Row],[Større end]],S_normal[[#This Row],[Normalfordeling]],NA())</f>
        <v>#N/A</v>
      </c>
      <c r="AB142" s="72">
        <f>_xlfn.IFNA(IF(S_normal[[#This Row],[Indeks (base 0)]]=ROUND((ROUND(S_normal[[#This Row],[X base]],0)-U$8)/(U$9-U$8)*U$4,0),S_normal[[#This Row],[X base]]*B$6+B$5,""),"")</f>
        <v>20</v>
      </c>
      <c r="AC142" s="99" t="str">
        <f t="shared" si="25"/>
        <v>100%
mindre end
45.445</v>
      </c>
      <c r="AE142" s="54">
        <f t="shared" si="28"/>
        <v>129</v>
      </c>
      <c r="AF142" s="54">
        <f>S_binomial[[#This Row],[Indeks (base 0)]]+1</f>
        <v>130</v>
      </c>
      <c r="AG142" s="99">
        <f t="shared" si="29"/>
        <v>1</v>
      </c>
      <c r="AH142" s="99">
        <f>IF(MOD(S_binomial[[#This Row],[Indeks (base 0)]],AF$7)=0,NA(),_xlfn.BINOM.DIST(S_binomial[[#This Row],[X base]],E$5,E$6,FALSE))</f>
        <v>2.7751718400000021E-4</v>
      </c>
      <c r="AI142" s="99" t="b">
        <f>S_binomial[[#This Row],[X base]]&lt;AF$5</f>
        <v>1</v>
      </c>
      <c r="AJ142" s="99" t="b">
        <f>S_binomial[[#This Row],[X base]]=AF$5</f>
        <v>0</v>
      </c>
      <c r="AK142" s="99" t="b">
        <f>S_binomial[[#This Row],[X base]]&gt;AF$5</f>
        <v>0</v>
      </c>
      <c r="AL142" s="99">
        <f>IF(S_binomial[[#This Row],[Mindre end]],S_binomial[[#This Row],[Binomialfordeling]],NA())</f>
        <v>2.7751718400000021E-4</v>
      </c>
      <c r="AM142" s="99" t="e">
        <f>IF(S_binomial[[#This Row],[Lig med]],S_binomial[[#This Row],[Binomialfordeling]],NA())</f>
        <v>#N/A</v>
      </c>
      <c r="AN142" s="99" t="e">
        <f>IF(S_binomial[[#This Row],[Større end]],S_binomial[[#This Row],[Binomialfordeling]],NA())</f>
        <v>#N/A</v>
      </c>
      <c r="AO142" s="85" t="str">
        <f>_xlfn.IFNA(IF(MOD(S_binomial[[#This Row],[Indeks (base 0)]],AF$7)=ROUNDDOWN(AF$7/2,0),S_binomial[[#This Row],[X base]],""),"")</f>
        <v/>
      </c>
      <c r="AP142" s="99" t="str">
        <f t="shared" si="30"/>
        <v xml:space="preserve"> </v>
      </c>
      <c r="AR142" s="54">
        <f t="shared" si="31"/>
        <v>129</v>
      </c>
      <c r="AS142" s="54">
        <f>S_normal27[[#This Row],[Indeks (base 0)]]+1</f>
        <v>130</v>
      </c>
      <c r="AT142" s="54">
        <f t="shared" ref="AT142:AT205" si="33">IF(AR142&lt;AS$9,ROUNDDOWN(AR142/AS$8,0),NA())</f>
        <v>1</v>
      </c>
      <c r="AU142" s="54">
        <f>IF(MOD(S_normal27[[#This Row],[Indeks (base 0)]],AS$8)=0,NA(),_xlfn.POISSON.DIST(S_normal27[[#This Row],[X base]],$H$5,FALSE))</f>
        <v>0.14936120510359185</v>
      </c>
      <c r="AV142" s="99" t="b">
        <f>S_normal27[[#This Row],[X base]]&lt;AS$5</f>
        <v>1</v>
      </c>
      <c r="AW142" s="99" t="b">
        <f>S_normal27[[#This Row],[X base]]=AS$5</f>
        <v>0</v>
      </c>
      <c r="AX142" s="99" t="b">
        <f>S_normal27[[#This Row],[X base]]&gt;AS$5</f>
        <v>0</v>
      </c>
      <c r="AY142" s="99">
        <f>IF(S_normal27[[#This Row],[Mindre end]],S_normal27[[#This Row],[Poissonfordeling]],NA())</f>
        <v>0.14936120510359185</v>
      </c>
      <c r="AZ142" s="99" t="e">
        <f>IF(S_normal27[[#This Row],[Lig med]],S_normal27[[#This Row],[Poissonfordeling]],NA())</f>
        <v>#N/A</v>
      </c>
      <c r="BA142" s="99" t="e">
        <f>IF(S_normal27[[#This Row],[Større end]],S_normal27[[#This Row],[Poissonfordeling]],NA())</f>
        <v>#N/A</v>
      </c>
      <c r="BB142" s="85" t="str">
        <f>_xlfn.IFNA(IF(MOD(S_normal27[[#This Row],[Indeks (base 0)]],AS$8)=ROUNDDOWN(AS$8/2,0),S_normal27[[#This Row],[X base]],""),"")</f>
        <v/>
      </c>
      <c r="BC142" s="99" t="str">
        <f t="shared" si="32"/>
        <v xml:space="preserve"> </v>
      </c>
    </row>
    <row r="143" spans="20:55" x14ac:dyDescent="0.2">
      <c r="T143" s="54">
        <f t="shared" si="26"/>
        <v>130</v>
      </c>
      <c r="U143" s="54">
        <f>S_normal[[#This Row],[Indeks (base 0)]]+1</f>
        <v>131</v>
      </c>
      <c r="V143" s="99">
        <f t="shared" si="24"/>
        <v>2.3955289195099372E-2</v>
      </c>
      <c r="W143" s="99">
        <f t="shared" si="27"/>
        <v>0.39882782913507253</v>
      </c>
      <c r="X143" s="99" t="b">
        <f>S_normal[[#This Row],[X base]]&lt;U$7</f>
        <v>1</v>
      </c>
      <c r="Y143" s="99" t="b">
        <f>S_normal[[#This Row],[X base]]&gt;U$7</f>
        <v>0</v>
      </c>
      <c r="Z143" s="99">
        <f>IF(S_normal[[#This Row],[Mindre end]],S_normal[[#This Row],[Normalfordeling]],NA())</f>
        <v>0.39882782913507253</v>
      </c>
      <c r="AA143" s="99" t="e">
        <f>IF(S_normal[[#This Row],[Større end]],S_normal[[#This Row],[Normalfordeling]],NA())</f>
        <v>#N/A</v>
      </c>
      <c r="AB143" s="72" t="str">
        <f>_xlfn.IFNA(IF(S_normal[[#This Row],[Indeks (base 0)]]=ROUND((ROUND(S_normal[[#This Row],[X base]],0)-U$8)/(U$9-U$8)*U$4,0),S_normal[[#This Row],[X base]]*B$6+B$5,""),"")</f>
        <v/>
      </c>
      <c r="AC143" s="99" t="str">
        <f t="shared" si="25"/>
        <v xml:space="preserve"> </v>
      </c>
      <c r="AE143" s="54">
        <f t="shared" si="28"/>
        <v>130</v>
      </c>
      <c r="AF143" s="54">
        <f>S_binomial[[#This Row],[Indeks (base 0)]]+1</f>
        <v>131</v>
      </c>
      <c r="AG143" s="99">
        <f t="shared" si="29"/>
        <v>1</v>
      </c>
      <c r="AH143" s="99">
        <f>IF(MOD(S_binomial[[#This Row],[Indeks (base 0)]],AF$7)=0,NA(),_xlfn.BINOM.DIST(S_binomial[[#This Row],[X base]],E$5,E$6,FALSE))</f>
        <v>2.7751718400000021E-4</v>
      </c>
      <c r="AI143" s="99" t="b">
        <f>S_binomial[[#This Row],[X base]]&lt;AF$5</f>
        <v>1</v>
      </c>
      <c r="AJ143" s="99" t="b">
        <f>S_binomial[[#This Row],[X base]]=AF$5</f>
        <v>0</v>
      </c>
      <c r="AK143" s="99" t="b">
        <f>S_binomial[[#This Row],[X base]]&gt;AF$5</f>
        <v>0</v>
      </c>
      <c r="AL143" s="99">
        <f>IF(S_binomial[[#This Row],[Mindre end]],S_binomial[[#This Row],[Binomialfordeling]],NA())</f>
        <v>2.7751718400000021E-4</v>
      </c>
      <c r="AM143" s="99" t="e">
        <f>IF(S_binomial[[#This Row],[Lig med]],S_binomial[[#This Row],[Binomialfordeling]],NA())</f>
        <v>#N/A</v>
      </c>
      <c r="AN143" s="99" t="e">
        <f>IF(S_binomial[[#This Row],[Større end]],S_binomial[[#This Row],[Binomialfordeling]],NA())</f>
        <v>#N/A</v>
      </c>
      <c r="AO143" s="85" t="str">
        <f>_xlfn.IFNA(IF(MOD(S_binomial[[#This Row],[Indeks (base 0)]],AF$7)=ROUNDDOWN(AF$7/2,0),S_binomial[[#This Row],[X base]],""),"")</f>
        <v/>
      </c>
      <c r="AP143" s="99" t="str">
        <f t="shared" si="30"/>
        <v xml:space="preserve"> </v>
      </c>
      <c r="AR143" s="54">
        <f t="shared" si="31"/>
        <v>130</v>
      </c>
      <c r="AS143" s="54">
        <f>S_normal27[[#This Row],[Indeks (base 0)]]+1</f>
        <v>131</v>
      </c>
      <c r="AT143" s="54">
        <f t="shared" si="33"/>
        <v>2</v>
      </c>
      <c r="AU143" s="54" t="e">
        <f>IF(MOD(S_normal27[[#This Row],[Indeks (base 0)]],AS$8)=0,NA(),_xlfn.POISSON.DIST(S_normal27[[#This Row],[X base]],$H$5,FALSE))</f>
        <v>#N/A</v>
      </c>
      <c r="AV143" s="99" t="b">
        <f>S_normal27[[#This Row],[X base]]&lt;AS$5</f>
        <v>0</v>
      </c>
      <c r="AW143" s="99" t="b">
        <f>S_normal27[[#This Row],[X base]]=AS$5</f>
        <v>1</v>
      </c>
      <c r="AX143" s="99" t="b">
        <f>S_normal27[[#This Row],[X base]]&gt;AS$5</f>
        <v>0</v>
      </c>
      <c r="AY143" s="99" t="e">
        <f>IF(S_normal27[[#This Row],[Mindre end]],S_normal27[[#This Row],[Poissonfordeling]],NA())</f>
        <v>#N/A</v>
      </c>
      <c r="AZ143" s="99" t="e">
        <f>IF(S_normal27[[#This Row],[Lig med]],S_normal27[[#This Row],[Poissonfordeling]],NA())</f>
        <v>#N/A</v>
      </c>
      <c r="BA143" s="99" t="e">
        <f>IF(S_normal27[[#This Row],[Større end]],S_normal27[[#This Row],[Poissonfordeling]],NA())</f>
        <v>#N/A</v>
      </c>
      <c r="BB143" s="85" t="str">
        <f>_xlfn.IFNA(IF(MOD(S_normal27[[#This Row],[Indeks (base 0)]],AS$8)=ROUNDDOWN(AS$8/2,0),S_normal27[[#This Row],[X base]],""),"")</f>
        <v/>
      </c>
      <c r="BC143" s="99" t="str">
        <f t="shared" si="32"/>
        <v xml:space="preserve"> </v>
      </c>
    </row>
    <row r="144" spans="20:55" x14ac:dyDescent="0.2">
      <c r="T144" s="54">
        <f t="shared" si="26"/>
        <v>131</v>
      </c>
      <c r="U144" s="54">
        <f>S_normal[[#This Row],[Indeks (base 0)]]+1</f>
        <v>132</v>
      </c>
      <c r="V144" s="99">
        <f t="shared" si="24"/>
        <v>4.7910578390198744E-2</v>
      </c>
      <c r="W144" s="99">
        <f t="shared" si="27"/>
        <v>0.39848467230564738</v>
      </c>
      <c r="X144" s="99" t="b">
        <f>S_normal[[#This Row],[X base]]&lt;U$7</f>
        <v>1</v>
      </c>
      <c r="Y144" s="99" t="b">
        <f>S_normal[[#This Row],[X base]]&gt;U$7</f>
        <v>0</v>
      </c>
      <c r="Z144" s="99">
        <f>IF(S_normal[[#This Row],[Mindre end]],S_normal[[#This Row],[Normalfordeling]],NA())</f>
        <v>0.39848467230564738</v>
      </c>
      <c r="AA144" s="99" t="e">
        <f>IF(S_normal[[#This Row],[Større end]],S_normal[[#This Row],[Normalfordeling]],NA())</f>
        <v>#N/A</v>
      </c>
      <c r="AB144" s="72" t="str">
        <f>_xlfn.IFNA(IF(S_normal[[#This Row],[Indeks (base 0)]]=ROUND((ROUND(S_normal[[#This Row],[X base]],0)-U$8)/(U$9-U$8)*U$4,0),S_normal[[#This Row],[X base]]*B$6+B$5,""),"")</f>
        <v/>
      </c>
      <c r="AC144" s="99" t="str">
        <f t="shared" si="25"/>
        <v xml:space="preserve"> </v>
      </c>
      <c r="AE144" s="54">
        <f t="shared" si="28"/>
        <v>131</v>
      </c>
      <c r="AF144" s="54">
        <f>S_binomial[[#This Row],[Indeks (base 0)]]+1</f>
        <v>132</v>
      </c>
      <c r="AG144" s="99">
        <f t="shared" si="29"/>
        <v>1</v>
      </c>
      <c r="AH144" s="99">
        <f>IF(MOD(S_binomial[[#This Row],[Indeks (base 0)]],AF$7)=0,NA(),_xlfn.BINOM.DIST(S_binomial[[#This Row],[X base]],E$5,E$6,FALSE))</f>
        <v>2.7751718400000021E-4</v>
      </c>
      <c r="AI144" s="99" t="b">
        <f>S_binomial[[#This Row],[X base]]&lt;AF$5</f>
        <v>1</v>
      </c>
      <c r="AJ144" s="99" t="b">
        <f>S_binomial[[#This Row],[X base]]=AF$5</f>
        <v>0</v>
      </c>
      <c r="AK144" s="99" t="b">
        <f>S_binomial[[#This Row],[X base]]&gt;AF$5</f>
        <v>0</v>
      </c>
      <c r="AL144" s="99">
        <f>IF(S_binomial[[#This Row],[Mindre end]],S_binomial[[#This Row],[Binomialfordeling]],NA())</f>
        <v>2.7751718400000021E-4</v>
      </c>
      <c r="AM144" s="99" t="e">
        <f>IF(S_binomial[[#This Row],[Lig med]],S_binomial[[#This Row],[Binomialfordeling]],NA())</f>
        <v>#N/A</v>
      </c>
      <c r="AN144" s="99" t="e">
        <f>IF(S_binomial[[#This Row],[Større end]],S_binomial[[#This Row],[Binomialfordeling]],NA())</f>
        <v>#N/A</v>
      </c>
      <c r="AO144" s="85" t="str">
        <f>_xlfn.IFNA(IF(MOD(S_binomial[[#This Row],[Indeks (base 0)]],AF$7)=ROUNDDOWN(AF$7/2,0),S_binomial[[#This Row],[X base]],""),"")</f>
        <v/>
      </c>
      <c r="AP144" s="99" t="str">
        <f t="shared" si="30"/>
        <v xml:space="preserve"> </v>
      </c>
      <c r="AR144" s="54">
        <f t="shared" si="31"/>
        <v>131</v>
      </c>
      <c r="AS144" s="54">
        <f>S_normal27[[#This Row],[Indeks (base 0)]]+1</f>
        <v>132</v>
      </c>
      <c r="AT144" s="54">
        <f t="shared" si="33"/>
        <v>2</v>
      </c>
      <c r="AU144" s="54">
        <f>IF(MOD(S_normal27[[#This Row],[Indeks (base 0)]],AS$8)=0,NA(),_xlfn.POISSON.DIST(S_normal27[[#This Row],[X base]],$H$5,FALSE))</f>
        <v>0.22404180765538775</v>
      </c>
      <c r="AV144" s="99" t="b">
        <f>S_normal27[[#This Row],[X base]]&lt;AS$5</f>
        <v>0</v>
      </c>
      <c r="AW144" s="99" t="b">
        <f>S_normal27[[#This Row],[X base]]=AS$5</f>
        <v>1</v>
      </c>
      <c r="AX144" s="99" t="b">
        <f>S_normal27[[#This Row],[X base]]&gt;AS$5</f>
        <v>0</v>
      </c>
      <c r="AY144" s="99" t="e">
        <f>IF(S_normal27[[#This Row],[Mindre end]],S_normal27[[#This Row],[Poissonfordeling]],NA())</f>
        <v>#N/A</v>
      </c>
      <c r="AZ144" s="99">
        <f>IF(S_normal27[[#This Row],[Lig med]],S_normal27[[#This Row],[Poissonfordeling]],NA())</f>
        <v>0.22404180765538775</v>
      </c>
      <c r="BA144" s="99" t="e">
        <f>IF(S_normal27[[#This Row],[Større end]],S_normal27[[#This Row],[Poissonfordeling]],NA())</f>
        <v>#N/A</v>
      </c>
      <c r="BB144" s="85" t="str">
        <f>_xlfn.IFNA(IF(MOD(S_normal27[[#This Row],[Indeks (base 0)]],AS$8)=ROUNDDOWN(AS$8/2,0),S_normal27[[#This Row],[X base]],""),"")</f>
        <v/>
      </c>
      <c r="BC144" s="99" t="str">
        <f t="shared" si="32"/>
        <v xml:space="preserve"> </v>
      </c>
    </row>
    <row r="145" spans="20:55" x14ac:dyDescent="0.2">
      <c r="T145" s="54">
        <f t="shared" si="26"/>
        <v>132</v>
      </c>
      <c r="U145" s="54">
        <f>S_normal[[#This Row],[Indeks (base 0)]]+1</f>
        <v>133</v>
      </c>
      <c r="V145" s="99">
        <f t="shared" si="24"/>
        <v>7.1865867585298115E-2</v>
      </c>
      <c r="W145" s="99">
        <f t="shared" si="27"/>
        <v>0.39791340025725958</v>
      </c>
      <c r="X145" s="99" t="b">
        <f>S_normal[[#This Row],[X base]]&lt;U$7</f>
        <v>1</v>
      </c>
      <c r="Y145" s="99" t="b">
        <f>S_normal[[#This Row],[X base]]&gt;U$7</f>
        <v>0</v>
      </c>
      <c r="Z145" s="99">
        <f>IF(S_normal[[#This Row],[Mindre end]],S_normal[[#This Row],[Normalfordeling]],NA())</f>
        <v>0.39791340025725958</v>
      </c>
      <c r="AA145" s="99" t="e">
        <f>IF(S_normal[[#This Row],[Større end]],S_normal[[#This Row],[Normalfordeling]],NA())</f>
        <v>#N/A</v>
      </c>
      <c r="AB145" s="72" t="str">
        <f>_xlfn.IFNA(IF(S_normal[[#This Row],[Indeks (base 0)]]=ROUND((ROUND(S_normal[[#This Row],[X base]],0)-U$8)/(U$9-U$8)*U$4,0),S_normal[[#This Row],[X base]]*B$6+B$5,""),"")</f>
        <v/>
      </c>
      <c r="AC145" s="99" t="str">
        <f t="shared" si="25"/>
        <v xml:space="preserve"> </v>
      </c>
      <c r="AE145" s="54">
        <f t="shared" si="28"/>
        <v>132</v>
      </c>
      <c r="AF145" s="54">
        <f>S_binomial[[#This Row],[Indeks (base 0)]]+1</f>
        <v>133</v>
      </c>
      <c r="AG145" s="99">
        <f t="shared" si="29"/>
        <v>1</v>
      </c>
      <c r="AH145" s="99">
        <f>IF(MOD(S_binomial[[#This Row],[Indeks (base 0)]],AF$7)=0,NA(),_xlfn.BINOM.DIST(S_binomial[[#This Row],[X base]],E$5,E$6,FALSE))</f>
        <v>2.7751718400000021E-4</v>
      </c>
      <c r="AI145" s="99" t="b">
        <f>S_binomial[[#This Row],[X base]]&lt;AF$5</f>
        <v>1</v>
      </c>
      <c r="AJ145" s="99" t="b">
        <f>S_binomial[[#This Row],[X base]]=AF$5</f>
        <v>0</v>
      </c>
      <c r="AK145" s="99" t="b">
        <f>S_binomial[[#This Row],[X base]]&gt;AF$5</f>
        <v>0</v>
      </c>
      <c r="AL145" s="99">
        <f>IF(S_binomial[[#This Row],[Mindre end]],S_binomial[[#This Row],[Binomialfordeling]],NA())</f>
        <v>2.7751718400000021E-4</v>
      </c>
      <c r="AM145" s="99" t="e">
        <f>IF(S_binomial[[#This Row],[Lig med]],S_binomial[[#This Row],[Binomialfordeling]],NA())</f>
        <v>#N/A</v>
      </c>
      <c r="AN145" s="99" t="e">
        <f>IF(S_binomial[[#This Row],[Større end]],S_binomial[[#This Row],[Binomialfordeling]],NA())</f>
        <v>#N/A</v>
      </c>
      <c r="AO145" s="85" t="str">
        <f>_xlfn.IFNA(IF(MOD(S_binomial[[#This Row],[Indeks (base 0)]],AF$7)=ROUNDDOWN(AF$7/2,0),S_binomial[[#This Row],[X base]],""),"")</f>
        <v/>
      </c>
      <c r="AP145" s="99" t="str">
        <f t="shared" si="30"/>
        <v xml:space="preserve"> </v>
      </c>
      <c r="AR145" s="54">
        <f t="shared" si="31"/>
        <v>132</v>
      </c>
      <c r="AS145" s="54">
        <f>S_normal27[[#This Row],[Indeks (base 0)]]+1</f>
        <v>133</v>
      </c>
      <c r="AT145" s="54">
        <f t="shared" si="33"/>
        <v>2</v>
      </c>
      <c r="AU145" s="54">
        <f>IF(MOD(S_normal27[[#This Row],[Indeks (base 0)]],AS$8)=0,NA(),_xlfn.POISSON.DIST(S_normal27[[#This Row],[X base]],$H$5,FALSE))</f>
        <v>0.22404180765538775</v>
      </c>
      <c r="AV145" s="99" t="b">
        <f>S_normal27[[#This Row],[X base]]&lt;AS$5</f>
        <v>0</v>
      </c>
      <c r="AW145" s="99" t="b">
        <f>S_normal27[[#This Row],[X base]]=AS$5</f>
        <v>1</v>
      </c>
      <c r="AX145" s="99" t="b">
        <f>S_normal27[[#This Row],[X base]]&gt;AS$5</f>
        <v>0</v>
      </c>
      <c r="AY145" s="99" t="e">
        <f>IF(S_normal27[[#This Row],[Mindre end]],S_normal27[[#This Row],[Poissonfordeling]],NA())</f>
        <v>#N/A</v>
      </c>
      <c r="AZ145" s="99">
        <f>IF(S_normal27[[#This Row],[Lig med]],S_normal27[[#This Row],[Poissonfordeling]],NA())</f>
        <v>0.22404180765538775</v>
      </c>
      <c r="BA145" s="99" t="e">
        <f>IF(S_normal27[[#This Row],[Større end]],S_normal27[[#This Row],[Poissonfordeling]],NA())</f>
        <v>#N/A</v>
      </c>
      <c r="BB145" s="85" t="str">
        <f>_xlfn.IFNA(IF(MOD(S_normal27[[#This Row],[Indeks (base 0)]],AS$8)=ROUNDDOWN(AS$8/2,0),S_normal27[[#This Row],[X base]],""),"")</f>
        <v/>
      </c>
      <c r="BC145" s="99" t="str">
        <f t="shared" si="32"/>
        <v xml:space="preserve"> </v>
      </c>
    </row>
    <row r="146" spans="20:55" x14ac:dyDescent="0.2">
      <c r="T146" s="54">
        <f t="shared" si="26"/>
        <v>133</v>
      </c>
      <c r="U146" s="54">
        <f>S_normal[[#This Row],[Indeks (base 0)]]+1</f>
        <v>134</v>
      </c>
      <c r="V146" s="99">
        <f t="shared" si="24"/>
        <v>9.5821156780397043E-2</v>
      </c>
      <c r="W146" s="99">
        <f t="shared" si="27"/>
        <v>0.39711499501613434</v>
      </c>
      <c r="X146" s="99" t="b">
        <f>S_normal[[#This Row],[X base]]&lt;U$7</f>
        <v>1</v>
      </c>
      <c r="Y146" s="99" t="b">
        <f>S_normal[[#This Row],[X base]]&gt;U$7</f>
        <v>0</v>
      </c>
      <c r="Z146" s="99">
        <f>IF(S_normal[[#This Row],[Mindre end]],S_normal[[#This Row],[Normalfordeling]],NA())</f>
        <v>0.39711499501613434</v>
      </c>
      <c r="AA146" s="99" t="e">
        <f>IF(S_normal[[#This Row],[Større end]],S_normal[[#This Row],[Normalfordeling]],NA())</f>
        <v>#N/A</v>
      </c>
      <c r="AB146" s="72" t="str">
        <f>_xlfn.IFNA(IF(S_normal[[#This Row],[Indeks (base 0)]]=ROUND((ROUND(S_normal[[#This Row],[X base]],0)-U$8)/(U$9-U$8)*U$4,0),S_normal[[#This Row],[X base]]*B$6+B$5,""),"")</f>
        <v/>
      </c>
      <c r="AC146" s="99" t="str">
        <f t="shared" si="25"/>
        <v xml:space="preserve"> </v>
      </c>
      <c r="AE146" s="54">
        <f t="shared" si="28"/>
        <v>133</v>
      </c>
      <c r="AF146" s="54">
        <f>S_binomial[[#This Row],[Indeks (base 0)]]+1</f>
        <v>134</v>
      </c>
      <c r="AG146" s="99">
        <f t="shared" si="29"/>
        <v>1</v>
      </c>
      <c r="AH146" s="99">
        <f>IF(MOD(S_binomial[[#This Row],[Indeks (base 0)]],AF$7)=0,NA(),_xlfn.BINOM.DIST(S_binomial[[#This Row],[X base]],E$5,E$6,FALSE))</f>
        <v>2.7751718400000021E-4</v>
      </c>
      <c r="AI146" s="99" t="b">
        <f>S_binomial[[#This Row],[X base]]&lt;AF$5</f>
        <v>1</v>
      </c>
      <c r="AJ146" s="99" t="b">
        <f>S_binomial[[#This Row],[X base]]=AF$5</f>
        <v>0</v>
      </c>
      <c r="AK146" s="99" t="b">
        <f>S_binomial[[#This Row],[X base]]&gt;AF$5</f>
        <v>0</v>
      </c>
      <c r="AL146" s="99">
        <f>IF(S_binomial[[#This Row],[Mindre end]],S_binomial[[#This Row],[Binomialfordeling]],NA())</f>
        <v>2.7751718400000021E-4</v>
      </c>
      <c r="AM146" s="99" t="e">
        <f>IF(S_binomial[[#This Row],[Lig med]],S_binomial[[#This Row],[Binomialfordeling]],NA())</f>
        <v>#N/A</v>
      </c>
      <c r="AN146" s="99" t="e">
        <f>IF(S_binomial[[#This Row],[Større end]],S_binomial[[#This Row],[Binomialfordeling]],NA())</f>
        <v>#N/A</v>
      </c>
      <c r="AO146" s="85" t="str">
        <f>_xlfn.IFNA(IF(MOD(S_binomial[[#This Row],[Indeks (base 0)]],AF$7)=ROUNDDOWN(AF$7/2,0),S_binomial[[#This Row],[X base]],""),"")</f>
        <v/>
      </c>
      <c r="AP146" s="99" t="str">
        <f t="shared" si="30"/>
        <v xml:space="preserve"> </v>
      </c>
      <c r="AR146" s="54">
        <f t="shared" si="31"/>
        <v>133</v>
      </c>
      <c r="AS146" s="54">
        <f>S_normal27[[#This Row],[Indeks (base 0)]]+1</f>
        <v>134</v>
      </c>
      <c r="AT146" s="54">
        <f t="shared" si="33"/>
        <v>2</v>
      </c>
      <c r="AU146" s="54">
        <f>IF(MOD(S_normal27[[#This Row],[Indeks (base 0)]],AS$8)=0,NA(),_xlfn.POISSON.DIST(S_normal27[[#This Row],[X base]],$H$5,FALSE))</f>
        <v>0.22404180765538775</v>
      </c>
      <c r="AV146" s="99" t="b">
        <f>S_normal27[[#This Row],[X base]]&lt;AS$5</f>
        <v>0</v>
      </c>
      <c r="AW146" s="99" t="b">
        <f>S_normal27[[#This Row],[X base]]=AS$5</f>
        <v>1</v>
      </c>
      <c r="AX146" s="99" t="b">
        <f>S_normal27[[#This Row],[X base]]&gt;AS$5</f>
        <v>0</v>
      </c>
      <c r="AY146" s="99" t="e">
        <f>IF(S_normal27[[#This Row],[Mindre end]],S_normal27[[#This Row],[Poissonfordeling]],NA())</f>
        <v>#N/A</v>
      </c>
      <c r="AZ146" s="99">
        <f>IF(S_normal27[[#This Row],[Lig med]],S_normal27[[#This Row],[Poissonfordeling]],NA())</f>
        <v>0.22404180765538775</v>
      </c>
      <c r="BA146" s="99" t="e">
        <f>IF(S_normal27[[#This Row],[Større end]],S_normal27[[#This Row],[Poissonfordeling]],NA())</f>
        <v>#N/A</v>
      </c>
      <c r="BB146" s="85" t="str">
        <f>_xlfn.IFNA(IF(MOD(S_normal27[[#This Row],[Indeks (base 0)]],AS$8)=ROUNDDOWN(AS$8/2,0),S_normal27[[#This Row],[X base]],""),"")</f>
        <v/>
      </c>
      <c r="BC146" s="99" t="str">
        <f t="shared" si="32"/>
        <v xml:space="preserve"> </v>
      </c>
    </row>
    <row r="147" spans="20:55" x14ac:dyDescent="0.2">
      <c r="T147" s="54">
        <f t="shared" si="26"/>
        <v>134</v>
      </c>
      <c r="U147" s="54">
        <f>S_normal[[#This Row],[Indeks (base 0)]]+1</f>
        <v>135</v>
      </c>
      <c r="V147" s="99">
        <f t="shared" si="24"/>
        <v>0.11977644597549642</v>
      </c>
      <c r="W147" s="99">
        <f t="shared" si="27"/>
        <v>0.39609082747762636</v>
      </c>
      <c r="X147" s="99" t="b">
        <f>S_normal[[#This Row],[X base]]&lt;U$7</f>
        <v>1</v>
      </c>
      <c r="Y147" s="99" t="b">
        <f>S_normal[[#This Row],[X base]]&gt;U$7</f>
        <v>0</v>
      </c>
      <c r="Z147" s="99">
        <f>IF(S_normal[[#This Row],[Mindre end]],S_normal[[#This Row],[Normalfordeling]],NA())</f>
        <v>0.39609082747762636</v>
      </c>
      <c r="AA147" s="99" t="e">
        <f>IF(S_normal[[#This Row],[Større end]],S_normal[[#This Row],[Normalfordeling]],NA())</f>
        <v>#N/A</v>
      </c>
      <c r="AB147" s="72" t="str">
        <f>_xlfn.IFNA(IF(S_normal[[#This Row],[Indeks (base 0)]]=ROUND((ROUND(S_normal[[#This Row],[X base]],0)-U$8)/(U$9-U$8)*U$4,0),S_normal[[#This Row],[X base]]*B$6+B$5,""),"")</f>
        <v/>
      </c>
      <c r="AC147" s="99" t="str">
        <f t="shared" si="25"/>
        <v xml:space="preserve"> </v>
      </c>
      <c r="AE147" s="54">
        <f t="shared" si="28"/>
        <v>134</v>
      </c>
      <c r="AF147" s="54">
        <f>S_binomial[[#This Row],[Indeks (base 0)]]+1</f>
        <v>135</v>
      </c>
      <c r="AG147" s="99">
        <f t="shared" si="29"/>
        <v>1</v>
      </c>
      <c r="AH147" s="99">
        <f>IF(MOD(S_binomial[[#This Row],[Indeks (base 0)]],AF$7)=0,NA(),_xlfn.BINOM.DIST(S_binomial[[#This Row],[X base]],E$5,E$6,FALSE))</f>
        <v>2.7751718400000021E-4</v>
      </c>
      <c r="AI147" s="99" t="b">
        <f>S_binomial[[#This Row],[X base]]&lt;AF$5</f>
        <v>1</v>
      </c>
      <c r="AJ147" s="99" t="b">
        <f>S_binomial[[#This Row],[X base]]=AF$5</f>
        <v>0</v>
      </c>
      <c r="AK147" s="99" t="b">
        <f>S_binomial[[#This Row],[X base]]&gt;AF$5</f>
        <v>0</v>
      </c>
      <c r="AL147" s="99">
        <f>IF(S_binomial[[#This Row],[Mindre end]],S_binomial[[#This Row],[Binomialfordeling]],NA())</f>
        <v>2.7751718400000021E-4</v>
      </c>
      <c r="AM147" s="99" t="e">
        <f>IF(S_binomial[[#This Row],[Lig med]],S_binomial[[#This Row],[Binomialfordeling]],NA())</f>
        <v>#N/A</v>
      </c>
      <c r="AN147" s="99" t="e">
        <f>IF(S_binomial[[#This Row],[Større end]],S_binomial[[#This Row],[Binomialfordeling]],NA())</f>
        <v>#N/A</v>
      </c>
      <c r="AO147" s="85" t="str">
        <f>_xlfn.IFNA(IF(MOD(S_binomial[[#This Row],[Indeks (base 0)]],AF$7)=ROUNDDOWN(AF$7/2,0),S_binomial[[#This Row],[X base]],""),"")</f>
        <v/>
      </c>
      <c r="AP147" s="99" t="str">
        <f t="shared" si="30"/>
        <v xml:space="preserve"> </v>
      </c>
      <c r="AR147" s="54">
        <f t="shared" si="31"/>
        <v>134</v>
      </c>
      <c r="AS147" s="54">
        <f>S_normal27[[#This Row],[Indeks (base 0)]]+1</f>
        <v>135</v>
      </c>
      <c r="AT147" s="54">
        <f t="shared" si="33"/>
        <v>2</v>
      </c>
      <c r="AU147" s="54">
        <f>IF(MOD(S_normal27[[#This Row],[Indeks (base 0)]],AS$8)=0,NA(),_xlfn.POISSON.DIST(S_normal27[[#This Row],[X base]],$H$5,FALSE))</f>
        <v>0.22404180765538775</v>
      </c>
      <c r="AV147" s="99" t="b">
        <f>S_normal27[[#This Row],[X base]]&lt;AS$5</f>
        <v>0</v>
      </c>
      <c r="AW147" s="99" t="b">
        <f>S_normal27[[#This Row],[X base]]=AS$5</f>
        <v>1</v>
      </c>
      <c r="AX147" s="99" t="b">
        <f>S_normal27[[#This Row],[X base]]&gt;AS$5</f>
        <v>0</v>
      </c>
      <c r="AY147" s="99" t="e">
        <f>IF(S_normal27[[#This Row],[Mindre end]],S_normal27[[#This Row],[Poissonfordeling]],NA())</f>
        <v>#N/A</v>
      </c>
      <c r="AZ147" s="99">
        <f>IF(S_normal27[[#This Row],[Lig med]],S_normal27[[#This Row],[Poissonfordeling]],NA())</f>
        <v>0.22404180765538775</v>
      </c>
      <c r="BA147" s="99" t="e">
        <f>IF(S_normal27[[#This Row],[Større end]],S_normal27[[#This Row],[Poissonfordeling]],NA())</f>
        <v>#N/A</v>
      </c>
      <c r="BB147" s="85" t="str">
        <f>_xlfn.IFNA(IF(MOD(S_normal27[[#This Row],[Indeks (base 0)]],AS$8)=ROUNDDOWN(AS$8/2,0),S_normal27[[#This Row],[X base]],""),"")</f>
        <v/>
      </c>
      <c r="BC147" s="99" t="str">
        <f t="shared" si="32"/>
        <v xml:space="preserve"> </v>
      </c>
    </row>
    <row r="148" spans="20:55" x14ac:dyDescent="0.2">
      <c r="T148" s="54">
        <f t="shared" si="26"/>
        <v>135</v>
      </c>
      <c r="U148" s="54">
        <f>S_normal[[#This Row],[Indeks (base 0)]]+1</f>
        <v>136</v>
      </c>
      <c r="V148" s="99">
        <f t="shared" si="24"/>
        <v>0.14373173517059579</v>
      </c>
      <c r="W148" s="99">
        <f t="shared" si="27"/>
        <v>0.39484265348383518</v>
      </c>
      <c r="X148" s="99" t="b">
        <f>S_normal[[#This Row],[X base]]&lt;U$7</f>
        <v>1</v>
      </c>
      <c r="Y148" s="99" t="b">
        <f>S_normal[[#This Row],[X base]]&gt;U$7</f>
        <v>0</v>
      </c>
      <c r="Z148" s="99">
        <f>IF(S_normal[[#This Row],[Mindre end]],S_normal[[#This Row],[Normalfordeling]],NA())</f>
        <v>0.39484265348383518</v>
      </c>
      <c r="AA148" s="99" t="e">
        <f>IF(S_normal[[#This Row],[Større end]],S_normal[[#This Row],[Normalfordeling]],NA())</f>
        <v>#N/A</v>
      </c>
      <c r="AB148" s="72" t="str">
        <f>_xlfn.IFNA(IF(S_normal[[#This Row],[Indeks (base 0)]]=ROUND((ROUND(S_normal[[#This Row],[X base]],0)-U$8)/(U$9-U$8)*U$4,0),S_normal[[#This Row],[X base]]*B$6+B$5,""),"")</f>
        <v/>
      </c>
      <c r="AC148" s="99" t="str">
        <f t="shared" si="25"/>
        <v xml:space="preserve"> </v>
      </c>
      <c r="AE148" s="54">
        <f t="shared" si="28"/>
        <v>135</v>
      </c>
      <c r="AF148" s="54">
        <f>S_binomial[[#This Row],[Indeks (base 0)]]+1</f>
        <v>136</v>
      </c>
      <c r="AG148" s="99">
        <f t="shared" si="29"/>
        <v>1</v>
      </c>
      <c r="AH148" s="99">
        <f>IF(MOD(S_binomial[[#This Row],[Indeks (base 0)]],AF$7)=0,NA(),_xlfn.BINOM.DIST(S_binomial[[#This Row],[X base]],E$5,E$6,FALSE))</f>
        <v>2.7751718400000021E-4</v>
      </c>
      <c r="AI148" s="99" t="b">
        <f>S_binomial[[#This Row],[X base]]&lt;AF$5</f>
        <v>1</v>
      </c>
      <c r="AJ148" s="99" t="b">
        <f>S_binomial[[#This Row],[X base]]=AF$5</f>
        <v>0</v>
      </c>
      <c r="AK148" s="99" t="b">
        <f>S_binomial[[#This Row],[X base]]&gt;AF$5</f>
        <v>0</v>
      </c>
      <c r="AL148" s="99">
        <f>IF(S_binomial[[#This Row],[Mindre end]],S_binomial[[#This Row],[Binomialfordeling]],NA())</f>
        <v>2.7751718400000021E-4</v>
      </c>
      <c r="AM148" s="99" t="e">
        <f>IF(S_binomial[[#This Row],[Lig med]],S_binomial[[#This Row],[Binomialfordeling]],NA())</f>
        <v>#N/A</v>
      </c>
      <c r="AN148" s="99" t="e">
        <f>IF(S_binomial[[#This Row],[Større end]],S_binomial[[#This Row],[Binomialfordeling]],NA())</f>
        <v>#N/A</v>
      </c>
      <c r="AO148" s="85" t="str">
        <f>_xlfn.IFNA(IF(MOD(S_binomial[[#This Row],[Indeks (base 0)]],AF$7)=ROUNDDOWN(AF$7/2,0),S_binomial[[#This Row],[X base]],""),"")</f>
        <v/>
      </c>
      <c r="AP148" s="99" t="str">
        <f t="shared" si="30"/>
        <v xml:space="preserve"> </v>
      </c>
      <c r="AR148" s="54">
        <f t="shared" si="31"/>
        <v>135</v>
      </c>
      <c r="AS148" s="54">
        <f>S_normal27[[#This Row],[Indeks (base 0)]]+1</f>
        <v>136</v>
      </c>
      <c r="AT148" s="54">
        <f t="shared" si="33"/>
        <v>2</v>
      </c>
      <c r="AU148" s="54">
        <f>IF(MOD(S_normal27[[#This Row],[Indeks (base 0)]],AS$8)=0,NA(),_xlfn.POISSON.DIST(S_normal27[[#This Row],[X base]],$H$5,FALSE))</f>
        <v>0.22404180765538775</v>
      </c>
      <c r="AV148" s="99" t="b">
        <f>S_normal27[[#This Row],[X base]]&lt;AS$5</f>
        <v>0</v>
      </c>
      <c r="AW148" s="99" t="b">
        <f>S_normal27[[#This Row],[X base]]=AS$5</f>
        <v>1</v>
      </c>
      <c r="AX148" s="99" t="b">
        <f>S_normal27[[#This Row],[X base]]&gt;AS$5</f>
        <v>0</v>
      </c>
      <c r="AY148" s="99" t="e">
        <f>IF(S_normal27[[#This Row],[Mindre end]],S_normal27[[#This Row],[Poissonfordeling]],NA())</f>
        <v>#N/A</v>
      </c>
      <c r="AZ148" s="99">
        <f>IF(S_normal27[[#This Row],[Lig med]],S_normal27[[#This Row],[Poissonfordeling]],NA())</f>
        <v>0.22404180765538775</v>
      </c>
      <c r="BA148" s="99" t="e">
        <f>IF(S_normal27[[#This Row],[Større end]],S_normal27[[#This Row],[Poissonfordeling]],NA())</f>
        <v>#N/A</v>
      </c>
      <c r="BB148" s="85" t="str">
        <f>_xlfn.IFNA(IF(MOD(S_normal27[[#This Row],[Indeks (base 0)]],AS$8)=ROUNDDOWN(AS$8/2,0),S_normal27[[#This Row],[X base]],""),"")</f>
        <v/>
      </c>
      <c r="BC148" s="99" t="str">
        <f t="shared" si="32"/>
        <v xml:space="preserve"> </v>
      </c>
    </row>
    <row r="149" spans="20:55" x14ac:dyDescent="0.2">
      <c r="T149" s="54">
        <f t="shared" si="26"/>
        <v>136</v>
      </c>
      <c r="U149" s="54">
        <f>S_normal[[#This Row],[Indeks (base 0)]]+1</f>
        <v>137</v>
      </c>
      <c r="V149" s="99">
        <f t="shared" si="24"/>
        <v>0.16768702436569516</v>
      </c>
      <c r="W149" s="99">
        <f t="shared" si="27"/>
        <v>0.39337260880753866</v>
      </c>
      <c r="X149" s="99" t="b">
        <f>S_normal[[#This Row],[X base]]&lt;U$7</f>
        <v>1</v>
      </c>
      <c r="Y149" s="99" t="b">
        <f>S_normal[[#This Row],[X base]]&gt;U$7</f>
        <v>0</v>
      </c>
      <c r="Z149" s="99">
        <f>IF(S_normal[[#This Row],[Mindre end]],S_normal[[#This Row],[Normalfordeling]],NA())</f>
        <v>0.39337260880753866</v>
      </c>
      <c r="AA149" s="99" t="e">
        <f>IF(S_normal[[#This Row],[Større end]],S_normal[[#This Row],[Normalfordeling]],NA())</f>
        <v>#N/A</v>
      </c>
      <c r="AB149" s="72" t="str">
        <f>_xlfn.IFNA(IF(S_normal[[#This Row],[Indeks (base 0)]]=ROUND((ROUND(S_normal[[#This Row],[X base]],0)-U$8)/(U$9-U$8)*U$4,0),S_normal[[#This Row],[X base]]*B$6+B$5,""),"")</f>
        <v/>
      </c>
      <c r="AC149" s="99" t="str">
        <f t="shared" si="25"/>
        <v xml:space="preserve"> </v>
      </c>
      <c r="AE149" s="54">
        <f t="shared" si="28"/>
        <v>136</v>
      </c>
      <c r="AF149" s="54">
        <f>S_binomial[[#This Row],[Indeks (base 0)]]+1</f>
        <v>137</v>
      </c>
      <c r="AG149" s="99">
        <f t="shared" si="29"/>
        <v>1</v>
      </c>
      <c r="AH149" s="99">
        <f>IF(MOD(S_binomial[[#This Row],[Indeks (base 0)]],AF$7)=0,NA(),_xlfn.BINOM.DIST(S_binomial[[#This Row],[X base]],E$5,E$6,FALSE))</f>
        <v>2.7751718400000021E-4</v>
      </c>
      <c r="AI149" s="99" t="b">
        <f>S_binomial[[#This Row],[X base]]&lt;AF$5</f>
        <v>1</v>
      </c>
      <c r="AJ149" s="99" t="b">
        <f>S_binomial[[#This Row],[X base]]=AF$5</f>
        <v>0</v>
      </c>
      <c r="AK149" s="99" t="b">
        <f>S_binomial[[#This Row],[X base]]&gt;AF$5</f>
        <v>0</v>
      </c>
      <c r="AL149" s="99">
        <f>IF(S_binomial[[#This Row],[Mindre end]],S_binomial[[#This Row],[Binomialfordeling]],NA())</f>
        <v>2.7751718400000021E-4</v>
      </c>
      <c r="AM149" s="99" t="e">
        <f>IF(S_binomial[[#This Row],[Lig med]],S_binomial[[#This Row],[Binomialfordeling]],NA())</f>
        <v>#N/A</v>
      </c>
      <c r="AN149" s="99" t="e">
        <f>IF(S_binomial[[#This Row],[Større end]],S_binomial[[#This Row],[Binomialfordeling]],NA())</f>
        <v>#N/A</v>
      </c>
      <c r="AO149" s="85" t="str">
        <f>_xlfn.IFNA(IF(MOD(S_binomial[[#This Row],[Indeks (base 0)]],AF$7)=ROUNDDOWN(AF$7/2,0),S_binomial[[#This Row],[X base]],""),"")</f>
        <v/>
      </c>
      <c r="AP149" s="99" t="str">
        <f t="shared" si="30"/>
        <v xml:space="preserve"> </v>
      </c>
      <c r="AR149" s="54">
        <f t="shared" si="31"/>
        <v>136</v>
      </c>
      <c r="AS149" s="54">
        <f>S_normal27[[#This Row],[Indeks (base 0)]]+1</f>
        <v>137</v>
      </c>
      <c r="AT149" s="54">
        <f t="shared" si="33"/>
        <v>2</v>
      </c>
      <c r="AU149" s="54">
        <f>IF(MOD(S_normal27[[#This Row],[Indeks (base 0)]],AS$8)=0,NA(),_xlfn.POISSON.DIST(S_normal27[[#This Row],[X base]],$H$5,FALSE))</f>
        <v>0.22404180765538775</v>
      </c>
      <c r="AV149" s="99" t="b">
        <f>S_normal27[[#This Row],[X base]]&lt;AS$5</f>
        <v>0</v>
      </c>
      <c r="AW149" s="99" t="b">
        <f>S_normal27[[#This Row],[X base]]=AS$5</f>
        <v>1</v>
      </c>
      <c r="AX149" s="99" t="b">
        <f>S_normal27[[#This Row],[X base]]&gt;AS$5</f>
        <v>0</v>
      </c>
      <c r="AY149" s="99" t="e">
        <f>IF(S_normal27[[#This Row],[Mindre end]],S_normal27[[#This Row],[Poissonfordeling]],NA())</f>
        <v>#N/A</v>
      </c>
      <c r="AZ149" s="99">
        <f>IF(S_normal27[[#This Row],[Lig med]],S_normal27[[#This Row],[Poissonfordeling]],NA())</f>
        <v>0.22404180765538775</v>
      </c>
      <c r="BA149" s="99" t="e">
        <f>IF(S_normal27[[#This Row],[Større end]],S_normal27[[#This Row],[Poissonfordeling]],NA())</f>
        <v>#N/A</v>
      </c>
      <c r="BB149" s="85" t="str">
        <f>_xlfn.IFNA(IF(MOD(S_normal27[[#This Row],[Indeks (base 0)]],AS$8)=ROUNDDOWN(AS$8/2,0),S_normal27[[#This Row],[X base]],""),"")</f>
        <v/>
      </c>
      <c r="BC149" s="99" t="str">
        <f t="shared" si="32"/>
        <v xml:space="preserve"> </v>
      </c>
    </row>
    <row r="150" spans="20:55" x14ac:dyDescent="0.2">
      <c r="T150" s="54">
        <f t="shared" si="26"/>
        <v>137</v>
      </c>
      <c r="U150" s="54">
        <f>S_normal[[#This Row],[Indeks (base 0)]]+1</f>
        <v>138</v>
      </c>
      <c r="V150" s="99">
        <f t="shared" si="24"/>
        <v>0.19164231356079453</v>
      </c>
      <c r="W150" s="99">
        <f t="shared" si="27"/>
        <v>0.39168320306250204</v>
      </c>
      <c r="X150" s="99" t="b">
        <f>S_normal[[#This Row],[X base]]&lt;U$7</f>
        <v>1</v>
      </c>
      <c r="Y150" s="99" t="b">
        <f>S_normal[[#This Row],[X base]]&gt;U$7</f>
        <v>0</v>
      </c>
      <c r="Z150" s="99">
        <f>IF(S_normal[[#This Row],[Mindre end]],S_normal[[#This Row],[Normalfordeling]],NA())</f>
        <v>0.39168320306250204</v>
      </c>
      <c r="AA150" s="99" t="e">
        <f>IF(S_normal[[#This Row],[Større end]],S_normal[[#This Row],[Normalfordeling]],NA())</f>
        <v>#N/A</v>
      </c>
      <c r="AB150" s="72" t="str">
        <f>_xlfn.IFNA(IF(S_normal[[#This Row],[Indeks (base 0)]]=ROUND((ROUND(S_normal[[#This Row],[X base]],0)-U$8)/(U$9-U$8)*U$4,0),S_normal[[#This Row],[X base]]*B$6+B$5,""),"")</f>
        <v/>
      </c>
      <c r="AC150" s="99" t="str">
        <f t="shared" si="25"/>
        <v xml:space="preserve"> </v>
      </c>
      <c r="AE150" s="54">
        <f t="shared" si="28"/>
        <v>137</v>
      </c>
      <c r="AF150" s="54">
        <f>S_binomial[[#This Row],[Indeks (base 0)]]+1</f>
        <v>138</v>
      </c>
      <c r="AG150" s="99">
        <f t="shared" si="29"/>
        <v>1</v>
      </c>
      <c r="AH150" s="99">
        <f>IF(MOD(S_binomial[[#This Row],[Indeks (base 0)]],AF$7)=0,NA(),_xlfn.BINOM.DIST(S_binomial[[#This Row],[X base]],E$5,E$6,FALSE))</f>
        <v>2.7751718400000021E-4</v>
      </c>
      <c r="AI150" s="99" t="b">
        <f>S_binomial[[#This Row],[X base]]&lt;AF$5</f>
        <v>1</v>
      </c>
      <c r="AJ150" s="99" t="b">
        <f>S_binomial[[#This Row],[X base]]=AF$5</f>
        <v>0</v>
      </c>
      <c r="AK150" s="99" t="b">
        <f>S_binomial[[#This Row],[X base]]&gt;AF$5</f>
        <v>0</v>
      </c>
      <c r="AL150" s="99">
        <f>IF(S_binomial[[#This Row],[Mindre end]],S_binomial[[#This Row],[Binomialfordeling]],NA())</f>
        <v>2.7751718400000021E-4</v>
      </c>
      <c r="AM150" s="99" t="e">
        <f>IF(S_binomial[[#This Row],[Lig med]],S_binomial[[#This Row],[Binomialfordeling]],NA())</f>
        <v>#N/A</v>
      </c>
      <c r="AN150" s="99" t="e">
        <f>IF(S_binomial[[#This Row],[Større end]],S_binomial[[#This Row],[Binomialfordeling]],NA())</f>
        <v>#N/A</v>
      </c>
      <c r="AO150" s="85" t="str">
        <f>_xlfn.IFNA(IF(MOD(S_binomial[[#This Row],[Indeks (base 0)]],AF$7)=ROUNDDOWN(AF$7/2,0),S_binomial[[#This Row],[X base]],""),"")</f>
        <v/>
      </c>
      <c r="AP150" s="99" t="str">
        <f t="shared" si="30"/>
        <v xml:space="preserve"> </v>
      </c>
      <c r="AR150" s="54">
        <f t="shared" si="31"/>
        <v>137</v>
      </c>
      <c r="AS150" s="54">
        <f>S_normal27[[#This Row],[Indeks (base 0)]]+1</f>
        <v>138</v>
      </c>
      <c r="AT150" s="54">
        <f t="shared" si="33"/>
        <v>2</v>
      </c>
      <c r="AU150" s="54">
        <f>IF(MOD(S_normal27[[#This Row],[Indeks (base 0)]],AS$8)=0,NA(),_xlfn.POISSON.DIST(S_normal27[[#This Row],[X base]],$H$5,FALSE))</f>
        <v>0.22404180765538775</v>
      </c>
      <c r="AV150" s="99" t="b">
        <f>S_normal27[[#This Row],[X base]]&lt;AS$5</f>
        <v>0</v>
      </c>
      <c r="AW150" s="99" t="b">
        <f>S_normal27[[#This Row],[X base]]=AS$5</f>
        <v>1</v>
      </c>
      <c r="AX150" s="99" t="b">
        <f>S_normal27[[#This Row],[X base]]&gt;AS$5</f>
        <v>0</v>
      </c>
      <c r="AY150" s="99" t="e">
        <f>IF(S_normal27[[#This Row],[Mindre end]],S_normal27[[#This Row],[Poissonfordeling]],NA())</f>
        <v>#N/A</v>
      </c>
      <c r="AZ150" s="99">
        <f>IF(S_normal27[[#This Row],[Lig med]],S_normal27[[#This Row],[Poissonfordeling]],NA())</f>
        <v>0.22404180765538775</v>
      </c>
      <c r="BA150" s="99" t="e">
        <f>IF(S_normal27[[#This Row],[Større end]],S_normal27[[#This Row],[Poissonfordeling]],NA())</f>
        <v>#N/A</v>
      </c>
      <c r="BB150" s="85" t="str">
        <f>_xlfn.IFNA(IF(MOD(S_normal27[[#This Row],[Indeks (base 0)]],AS$8)=ROUNDDOWN(AS$8/2,0),S_normal27[[#This Row],[X base]],""),"")</f>
        <v/>
      </c>
      <c r="BC150" s="99" t="str">
        <f t="shared" si="32"/>
        <v xml:space="preserve"> </v>
      </c>
    </row>
    <row r="151" spans="20:55" x14ac:dyDescent="0.2">
      <c r="T151" s="54">
        <f t="shared" si="26"/>
        <v>138</v>
      </c>
      <c r="U151" s="54">
        <f>S_normal[[#This Row],[Indeks (base 0)]]+1</f>
        <v>139</v>
      </c>
      <c r="V151" s="99">
        <f t="shared" si="24"/>
        <v>0.2155976027558939</v>
      </c>
      <c r="W151" s="99">
        <f t="shared" si="27"/>
        <v>0.38977731256446624</v>
      </c>
      <c r="X151" s="99" t="b">
        <f>S_normal[[#This Row],[X base]]&lt;U$7</f>
        <v>1</v>
      </c>
      <c r="Y151" s="99" t="b">
        <f>S_normal[[#This Row],[X base]]&gt;U$7</f>
        <v>0</v>
      </c>
      <c r="Z151" s="99">
        <f>IF(S_normal[[#This Row],[Mindre end]],S_normal[[#This Row],[Normalfordeling]],NA())</f>
        <v>0.38977731256446624</v>
      </c>
      <c r="AA151" s="99" t="e">
        <f>IF(S_normal[[#This Row],[Større end]],S_normal[[#This Row],[Normalfordeling]],NA())</f>
        <v>#N/A</v>
      </c>
      <c r="AB151" s="72" t="str">
        <f>_xlfn.IFNA(IF(S_normal[[#This Row],[Indeks (base 0)]]=ROUND((ROUND(S_normal[[#This Row],[X base]],0)-U$8)/(U$9-U$8)*U$4,0),S_normal[[#This Row],[X base]]*B$6+B$5,""),"")</f>
        <v/>
      </c>
      <c r="AC151" s="99" t="str">
        <f t="shared" si="25"/>
        <v xml:space="preserve"> </v>
      </c>
      <c r="AE151" s="54">
        <f t="shared" si="28"/>
        <v>138</v>
      </c>
      <c r="AF151" s="54">
        <f>S_binomial[[#This Row],[Indeks (base 0)]]+1</f>
        <v>139</v>
      </c>
      <c r="AG151" s="99">
        <f t="shared" si="29"/>
        <v>1</v>
      </c>
      <c r="AH151" s="99">
        <f>IF(MOD(S_binomial[[#This Row],[Indeks (base 0)]],AF$7)=0,NA(),_xlfn.BINOM.DIST(S_binomial[[#This Row],[X base]],E$5,E$6,FALSE))</f>
        <v>2.7751718400000021E-4</v>
      </c>
      <c r="AI151" s="99" t="b">
        <f>S_binomial[[#This Row],[X base]]&lt;AF$5</f>
        <v>1</v>
      </c>
      <c r="AJ151" s="99" t="b">
        <f>S_binomial[[#This Row],[X base]]=AF$5</f>
        <v>0</v>
      </c>
      <c r="AK151" s="99" t="b">
        <f>S_binomial[[#This Row],[X base]]&gt;AF$5</f>
        <v>0</v>
      </c>
      <c r="AL151" s="99">
        <f>IF(S_binomial[[#This Row],[Mindre end]],S_binomial[[#This Row],[Binomialfordeling]],NA())</f>
        <v>2.7751718400000021E-4</v>
      </c>
      <c r="AM151" s="99" t="e">
        <f>IF(S_binomial[[#This Row],[Lig med]],S_binomial[[#This Row],[Binomialfordeling]],NA())</f>
        <v>#N/A</v>
      </c>
      <c r="AN151" s="99" t="e">
        <f>IF(S_binomial[[#This Row],[Større end]],S_binomial[[#This Row],[Binomialfordeling]],NA())</f>
        <v>#N/A</v>
      </c>
      <c r="AO151" s="85">
        <f>_xlfn.IFNA(IF(MOD(S_binomial[[#This Row],[Indeks (base 0)]],AF$7)=ROUNDDOWN(AF$7/2,0),S_binomial[[#This Row],[X base]],""),"")</f>
        <v>1</v>
      </c>
      <c r="AP151" s="99" t="str">
        <f t="shared" si="30"/>
        <v xml:space="preserve"> </v>
      </c>
      <c r="AR151" s="54">
        <f t="shared" si="31"/>
        <v>138</v>
      </c>
      <c r="AS151" s="54">
        <f>S_normal27[[#This Row],[Indeks (base 0)]]+1</f>
        <v>139</v>
      </c>
      <c r="AT151" s="54">
        <f t="shared" si="33"/>
        <v>2</v>
      </c>
      <c r="AU151" s="54">
        <f>IF(MOD(S_normal27[[#This Row],[Indeks (base 0)]],AS$8)=0,NA(),_xlfn.POISSON.DIST(S_normal27[[#This Row],[X base]],$H$5,FALSE))</f>
        <v>0.22404180765538775</v>
      </c>
      <c r="AV151" s="99" t="b">
        <f>S_normal27[[#This Row],[X base]]&lt;AS$5</f>
        <v>0</v>
      </c>
      <c r="AW151" s="99" t="b">
        <f>S_normal27[[#This Row],[X base]]=AS$5</f>
        <v>1</v>
      </c>
      <c r="AX151" s="99" t="b">
        <f>S_normal27[[#This Row],[X base]]&gt;AS$5</f>
        <v>0</v>
      </c>
      <c r="AY151" s="99" t="e">
        <f>IF(S_normal27[[#This Row],[Mindre end]],S_normal27[[#This Row],[Poissonfordeling]],NA())</f>
        <v>#N/A</v>
      </c>
      <c r="AZ151" s="99">
        <f>IF(S_normal27[[#This Row],[Lig med]],S_normal27[[#This Row],[Poissonfordeling]],NA())</f>
        <v>0.22404180765538775</v>
      </c>
      <c r="BA151" s="99" t="e">
        <f>IF(S_normal27[[#This Row],[Større end]],S_normal27[[#This Row],[Poissonfordeling]],NA())</f>
        <v>#N/A</v>
      </c>
      <c r="BB151" s="85" t="str">
        <f>_xlfn.IFNA(IF(MOD(S_normal27[[#This Row],[Indeks (base 0)]],AS$8)=ROUNDDOWN(AS$8/2,0),S_normal27[[#This Row],[X base]],""),"")</f>
        <v/>
      </c>
      <c r="BC151" s="99" t="str">
        <f t="shared" si="32"/>
        <v xml:space="preserve"> </v>
      </c>
    </row>
    <row r="152" spans="20:55" x14ac:dyDescent="0.2">
      <c r="T152" s="54">
        <f t="shared" si="26"/>
        <v>139</v>
      </c>
      <c r="U152" s="54">
        <f>S_normal[[#This Row],[Indeks (base 0)]]+1</f>
        <v>140</v>
      </c>
      <c r="V152" s="99">
        <f t="shared" si="24"/>
        <v>0.23955289195099327</v>
      </c>
      <c r="W152" s="99">
        <f t="shared" si="27"/>
        <v>0.38765817217124104</v>
      </c>
      <c r="X152" s="99" t="b">
        <f>S_normal[[#This Row],[X base]]&lt;U$7</f>
        <v>1</v>
      </c>
      <c r="Y152" s="99" t="b">
        <f>S_normal[[#This Row],[X base]]&gt;U$7</f>
        <v>0</v>
      </c>
      <c r="Z152" s="99">
        <f>IF(S_normal[[#This Row],[Mindre end]],S_normal[[#This Row],[Normalfordeling]],NA())</f>
        <v>0.38765817217124104</v>
      </c>
      <c r="AA152" s="99" t="e">
        <f>IF(S_normal[[#This Row],[Større end]],S_normal[[#This Row],[Normalfordeling]],NA())</f>
        <v>#N/A</v>
      </c>
      <c r="AB152" s="72" t="str">
        <f>_xlfn.IFNA(IF(S_normal[[#This Row],[Indeks (base 0)]]=ROUND((ROUND(S_normal[[#This Row],[X base]],0)-U$8)/(U$9-U$8)*U$4,0),S_normal[[#This Row],[X base]]*B$6+B$5,""),"")</f>
        <v/>
      </c>
      <c r="AC152" s="99" t="str">
        <f t="shared" si="25"/>
        <v xml:space="preserve"> </v>
      </c>
      <c r="AE152" s="54">
        <f t="shared" si="28"/>
        <v>139</v>
      </c>
      <c r="AF152" s="54">
        <f>S_binomial[[#This Row],[Indeks (base 0)]]+1</f>
        <v>140</v>
      </c>
      <c r="AG152" s="99">
        <f t="shared" si="29"/>
        <v>1</v>
      </c>
      <c r="AH152" s="99">
        <f>IF(MOD(S_binomial[[#This Row],[Indeks (base 0)]],AF$7)=0,NA(),_xlfn.BINOM.DIST(S_binomial[[#This Row],[X base]],E$5,E$6,FALSE))</f>
        <v>2.7751718400000021E-4</v>
      </c>
      <c r="AI152" s="99" t="b">
        <f>S_binomial[[#This Row],[X base]]&lt;AF$5</f>
        <v>1</v>
      </c>
      <c r="AJ152" s="99" t="b">
        <f>S_binomial[[#This Row],[X base]]=AF$5</f>
        <v>0</v>
      </c>
      <c r="AK152" s="99" t="b">
        <f>S_binomial[[#This Row],[X base]]&gt;AF$5</f>
        <v>0</v>
      </c>
      <c r="AL152" s="99">
        <f>IF(S_binomial[[#This Row],[Mindre end]],S_binomial[[#This Row],[Binomialfordeling]],NA())</f>
        <v>2.7751718400000021E-4</v>
      </c>
      <c r="AM152" s="99" t="e">
        <f>IF(S_binomial[[#This Row],[Lig med]],S_binomial[[#This Row],[Binomialfordeling]],NA())</f>
        <v>#N/A</v>
      </c>
      <c r="AN152" s="99" t="e">
        <f>IF(S_binomial[[#This Row],[Større end]],S_binomial[[#This Row],[Binomialfordeling]],NA())</f>
        <v>#N/A</v>
      </c>
      <c r="AO152" s="85" t="str">
        <f>_xlfn.IFNA(IF(MOD(S_binomial[[#This Row],[Indeks (base 0)]],AF$7)=ROUNDDOWN(AF$7/2,0),S_binomial[[#This Row],[X base]],""),"")</f>
        <v/>
      </c>
      <c r="AP152" s="99" t="str">
        <f t="shared" si="30"/>
        <v xml:space="preserve"> </v>
      </c>
      <c r="AR152" s="54">
        <f t="shared" si="31"/>
        <v>139</v>
      </c>
      <c r="AS152" s="54">
        <f>S_normal27[[#This Row],[Indeks (base 0)]]+1</f>
        <v>140</v>
      </c>
      <c r="AT152" s="54">
        <f t="shared" si="33"/>
        <v>2</v>
      </c>
      <c r="AU152" s="54">
        <f>IF(MOD(S_normal27[[#This Row],[Indeks (base 0)]],AS$8)=0,NA(),_xlfn.POISSON.DIST(S_normal27[[#This Row],[X base]],$H$5,FALSE))</f>
        <v>0.22404180765538775</v>
      </c>
      <c r="AV152" s="99" t="b">
        <f>S_normal27[[#This Row],[X base]]&lt;AS$5</f>
        <v>0</v>
      </c>
      <c r="AW152" s="99" t="b">
        <f>S_normal27[[#This Row],[X base]]=AS$5</f>
        <v>1</v>
      </c>
      <c r="AX152" s="99" t="b">
        <f>S_normal27[[#This Row],[X base]]&gt;AS$5</f>
        <v>0</v>
      </c>
      <c r="AY152" s="99" t="e">
        <f>IF(S_normal27[[#This Row],[Mindre end]],S_normal27[[#This Row],[Poissonfordeling]],NA())</f>
        <v>#N/A</v>
      </c>
      <c r="AZ152" s="99">
        <f>IF(S_normal27[[#This Row],[Lig med]],S_normal27[[#This Row],[Poissonfordeling]],NA())</f>
        <v>0.22404180765538775</v>
      </c>
      <c r="BA152" s="99" t="e">
        <f>IF(S_normal27[[#This Row],[Større end]],S_normal27[[#This Row],[Poissonfordeling]],NA())</f>
        <v>#N/A</v>
      </c>
      <c r="BB152" s="85" t="str">
        <f>_xlfn.IFNA(IF(MOD(S_normal27[[#This Row],[Indeks (base 0)]],AS$8)=ROUNDDOWN(AS$8/2,0),S_normal27[[#This Row],[X base]],""),"")</f>
        <v/>
      </c>
      <c r="BC152" s="99" t="str">
        <f t="shared" si="32"/>
        <v xml:space="preserve"> </v>
      </c>
    </row>
    <row r="153" spans="20:55" x14ac:dyDescent="0.2">
      <c r="T153" s="54">
        <f t="shared" si="26"/>
        <v>140</v>
      </c>
      <c r="U153" s="54">
        <f>S_normal[[#This Row],[Indeks (base 0)]]+1</f>
        <v>141</v>
      </c>
      <c r="V153" s="99">
        <f t="shared" si="24"/>
        <v>0.26350818114609265</v>
      </c>
      <c r="W153" s="99">
        <f t="shared" si="27"/>
        <v>0.38532936613430413</v>
      </c>
      <c r="X153" s="99" t="b">
        <f>S_normal[[#This Row],[X base]]&lt;U$7</f>
        <v>1</v>
      </c>
      <c r="Y153" s="99" t="b">
        <f>S_normal[[#This Row],[X base]]&gt;U$7</f>
        <v>0</v>
      </c>
      <c r="Z153" s="99">
        <f>IF(S_normal[[#This Row],[Mindre end]],S_normal[[#This Row],[Normalfordeling]],NA())</f>
        <v>0.38532936613430413</v>
      </c>
      <c r="AA153" s="99" t="e">
        <f>IF(S_normal[[#This Row],[Større end]],S_normal[[#This Row],[Normalfordeling]],NA())</f>
        <v>#N/A</v>
      </c>
      <c r="AB153" s="72" t="str">
        <f>_xlfn.IFNA(IF(S_normal[[#This Row],[Indeks (base 0)]]=ROUND((ROUND(S_normal[[#This Row],[X base]],0)-U$8)/(U$9-U$8)*U$4,0),S_normal[[#This Row],[X base]]*B$6+B$5,""),"")</f>
        <v/>
      </c>
      <c r="AC153" s="99" t="str">
        <f t="shared" si="25"/>
        <v xml:space="preserve"> </v>
      </c>
      <c r="AE153" s="54">
        <f t="shared" si="28"/>
        <v>140</v>
      </c>
      <c r="AF153" s="54">
        <f>S_binomial[[#This Row],[Indeks (base 0)]]+1</f>
        <v>141</v>
      </c>
      <c r="AG153" s="99">
        <f t="shared" si="29"/>
        <v>1</v>
      </c>
      <c r="AH153" s="99">
        <f>IF(MOD(S_binomial[[#This Row],[Indeks (base 0)]],AF$7)=0,NA(),_xlfn.BINOM.DIST(S_binomial[[#This Row],[X base]],E$5,E$6,FALSE))</f>
        <v>2.7751718400000021E-4</v>
      </c>
      <c r="AI153" s="99" t="b">
        <f>S_binomial[[#This Row],[X base]]&lt;AF$5</f>
        <v>1</v>
      </c>
      <c r="AJ153" s="99" t="b">
        <f>S_binomial[[#This Row],[X base]]=AF$5</f>
        <v>0</v>
      </c>
      <c r="AK153" s="99" t="b">
        <f>S_binomial[[#This Row],[X base]]&gt;AF$5</f>
        <v>0</v>
      </c>
      <c r="AL153" s="99">
        <f>IF(S_binomial[[#This Row],[Mindre end]],S_binomial[[#This Row],[Binomialfordeling]],NA())</f>
        <v>2.7751718400000021E-4</v>
      </c>
      <c r="AM153" s="99" t="e">
        <f>IF(S_binomial[[#This Row],[Lig med]],S_binomial[[#This Row],[Binomialfordeling]],NA())</f>
        <v>#N/A</v>
      </c>
      <c r="AN153" s="99" t="e">
        <f>IF(S_binomial[[#This Row],[Større end]],S_binomial[[#This Row],[Binomialfordeling]],NA())</f>
        <v>#N/A</v>
      </c>
      <c r="AO153" s="85" t="str">
        <f>_xlfn.IFNA(IF(MOD(S_binomial[[#This Row],[Indeks (base 0)]],AF$7)=ROUNDDOWN(AF$7/2,0),S_binomial[[#This Row],[X base]],""),"")</f>
        <v/>
      </c>
      <c r="AP153" s="99" t="str">
        <f t="shared" si="30"/>
        <v xml:space="preserve"> </v>
      </c>
      <c r="AR153" s="54">
        <f t="shared" si="31"/>
        <v>140</v>
      </c>
      <c r="AS153" s="54">
        <f>S_normal27[[#This Row],[Indeks (base 0)]]+1</f>
        <v>141</v>
      </c>
      <c r="AT153" s="54">
        <f t="shared" si="33"/>
        <v>2</v>
      </c>
      <c r="AU153" s="54">
        <f>IF(MOD(S_normal27[[#This Row],[Indeks (base 0)]],AS$8)=0,NA(),_xlfn.POISSON.DIST(S_normal27[[#This Row],[X base]],$H$5,FALSE))</f>
        <v>0.22404180765538775</v>
      </c>
      <c r="AV153" s="99" t="b">
        <f>S_normal27[[#This Row],[X base]]&lt;AS$5</f>
        <v>0</v>
      </c>
      <c r="AW153" s="99" t="b">
        <f>S_normal27[[#This Row],[X base]]=AS$5</f>
        <v>1</v>
      </c>
      <c r="AX153" s="99" t="b">
        <f>S_normal27[[#This Row],[X base]]&gt;AS$5</f>
        <v>0</v>
      </c>
      <c r="AY153" s="99" t="e">
        <f>IF(S_normal27[[#This Row],[Mindre end]],S_normal27[[#This Row],[Poissonfordeling]],NA())</f>
        <v>#N/A</v>
      </c>
      <c r="AZ153" s="99">
        <f>IF(S_normal27[[#This Row],[Lig med]],S_normal27[[#This Row],[Poissonfordeling]],NA())</f>
        <v>0.22404180765538775</v>
      </c>
      <c r="BA153" s="99" t="e">
        <f>IF(S_normal27[[#This Row],[Større end]],S_normal27[[#This Row],[Poissonfordeling]],NA())</f>
        <v>#N/A</v>
      </c>
      <c r="BB153" s="85" t="str">
        <f>_xlfn.IFNA(IF(MOD(S_normal27[[#This Row],[Indeks (base 0)]],AS$8)=ROUNDDOWN(AS$8/2,0),S_normal27[[#This Row],[X base]],""),"")</f>
        <v/>
      </c>
      <c r="BC153" s="99" t="str">
        <f t="shared" si="32"/>
        <v xml:space="preserve"> </v>
      </c>
    </row>
    <row r="154" spans="20:55" x14ac:dyDescent="0.2">
      <c r="T154" s="54">
        <f t="shared" si="26"/>
        <v>141</v>
      </c>
      <c r="U154" s="54">
        <f>S_normal[[#This Row],[Indeks (base 0)]]+1</f>
        <v>142</v>
      </c>
      <c r="V154" s="99">
        <f t="shared" si="24"/>
        <v>0.28746347034119202</v>
      </c>
      <c r="W154" s="99">
        <f t="shared" si="27"/>
        <v>0.38279481799811688</v>
      </c>
      <c r="X154" s="99" t="b">
        <f>S_normal[[#This Row],[X base]]&lt;U$7</f>
        <v>1</v>
      </c>
      <c r="Y154" s="99" t="b">
        <f>S_normal[[#This Row],[X base]]&gt;U$7</f>
        <v>0</v>
      </c>
      <c r="Z154" s="99">
        <f>IF(S_normal[[#This Row],[Mindre end]],S_normal[[#This Row],[Normalfordeling]],NA())</f>
        <v>0.38279481799811688</v>
      </c>
      <c r="AA154" s="99" t="e">
        <f>IF(S_normal[[#This Row],[Større end]],S_normal[[#This Row],[Normalfordeling]],NA())</f>
        <v>#N/A</v>
      </c>
      <c r="AB154" s="72" t="str">
        <f>_xlfn.IFNA(IF(S_normal[[#This Row],[Indeks (base 0)]]=ROUND((ROUND(S_normal[[#This Row],[X base]],0)-U$8)/(U$9-U$8)*U$4,0),S_normal[[#This Row],[X base]]*B$6+B$5,""),"")</f>
        <v/>
      </c>
      <c r="AC154" s="99" t="str">
        <f t="shared" si="25"/>
        <v xml:space="preserve"> </v>
      </c>
      <c r="AE154" s="54">
        <f t="shared" si="28"/>
        <v>141</v>
      </c>
      <c r="AF154" s="54">
        <f>S_binomial[[#This Row],[Indeks (base 0)]]+1</f>
        <v>142</v>
      </c>
      <c r="AG154" s="99">
        <f t="shared" si="29"/>
        <v>1</v>
      </c>
      <c r="AH154" s="99">
        <f>IF(MOD(S_binomial[[#This Row],[Indeks (base 0)]],AF$7)=0,NA(),_xlfn.BINOM.DIST(S_binomial[[#This Row],[X base]],E$5,E$6,FALSE))</f>
        <v>2.7751718400000021E-4</v>
      </c>
      <c r="AI154" s="99" t="b">
        <f>S_binomial[[#This Row],[X base]]&lt;AF$5</f>
        <v>1</v>
      </c>
      <c r="AJ154" s="99" t="b">
        <f>S_binomial[[#This Row],[X base]]=AF$5</f>
        <v>0</v>
      </c>
      <c r="AK154" s="99" t="b">
        <f>S_binomial[[#This Row],[X base]]&gt;AF$5</f>
        <v>0</v>
      </c>
      <c r="AL154" s="99">
        <f>IF(S_binomial[[#This Row],[Mindre end]],S_binomial[[#This Row],[Binomialfordeling]],NA())</f>
        <v>2.7751718400000021E-4</v>
      </c>
      <c r="AM154" s="99" t="e">
        <f>IF(S_binomial[[#This Row],[Lig med]],S_binomial[[#This Row],[Binomialfordeling]],NA())</f>
        <v>#N/A</v>
      </c>
      <c r="AN154" s="99" t="e">
        <f>IF(S_binomial[[#This Row],[Større end]],S_binomial[[#This Row],[Binomialfordeling]],NA())</f>
        <v>#N/A</v>
      </c>
      <c r="AO154" s="85" t="str">
        <f>_xlfn.IFNA(IF(MOD(S_binomial[[#This Row],[Indeks (base 0)]],AF$7)=ROUNDDOWN(AF$7/2,0),S_binomial[[#This Row],[X base]],""),"")</f>
        <v/>
      </c>
      <c r="AP154" s="99" t="str">
        <f t="shared" si="30"/>
        <v xml:space="preserve"> </v>
      </c>
      <c r="AR154" s="54">
        <f t="shared" si="31"/>
        <v>141</v>
      </c>
      <c r="AS154" s="54">
        <f>S_normal27[[#This Row],[Indeks (base 0)]]+1</f>
        <v>142</v>
      </c>
      <c r="AT154" s="54">
        <f t="shared" si="33"/>
        <v>2</v>
      </c>
      <c r="AU154" s="54">
        <f>IF(MOD(S_normal27[[#This Row],[Indeks (base 0)]],AS$8)=0,NA(),_xlfn.POISSON.DIST(S_normal27[[#This Row],[X base]],$H$5,FALSE))</f>
        <v>0.22404180765538775</v>
      </c>
      <c r="AV154" s="99" t="b">
        <f>S_normal27[[#This Row],[X base]]&lt;AS$5</f>
        <v>0</v>
      </c>
      <c r="AW154" s="99" t="b">
        <f>S_normal27[[#This Row],[X base]]=AS$5</f>
        <v>1</v>
      </c>
      <c r="AX154" s="99" t="b">
        <f>S_normal27[[#This Row],[X base]]&gt;AS$5</f>
        <v>0</v>
      </c>
      <c r="AY154" s="99" t="e">
        <f>IF(S_normal27[[#This Row],[Mindre end]],S_normal27[[#This Row],[Poissonfordeling]],NA())</f>
        <v>#N/A</v>
      </c>
      <c r="AZ154" s="99">
        <f>IF(S_normal27[[#This Row],[Lig med]],S_normal27[[#This Row],[Poissonfordeling]],NA())</f>
        <v>0.22404180765538775</v>
      </c>
      <c r="BA154" s="99" t="e">
        <f>IF(S_normal27[[#This Row],[Større end]],S_normal27[[#This Row],[Poissonfordeling]],NA())</f>
        <v>#N/A</v>
      </c>
      <c r="BB154" s="85" t="str">
        <f>_xlfn.IFNA(IF(MOD(S_normal27[[#This Row],[Indeks (base 0)]],AS$8)=ROUNDDOWN(AS$8/2,0),S_normal27[[#This Row],[X base]],""),"")</f>
        <v/>
      </c>
      <c r="BC154" s="99" t="str">
        <f t="shared" si="32"/>
        <v xml:space="preserve"> </v>
      </c>
    </row>
    <row r="155" spans="20:55" x14ac:dyDescent="0.2">
      <c r="T155" s="54">
        <f t="shared" si="26"/>
        <v>142</v>
      </c>
      <c r="U155" s="54">
        <f>S_normal[[#This Row],[Indeks (base 0)]]+1</f>
        <v>143</v>
      </c>
      <c r="V155" s="99">
        <f t="shared" si="24"/>
        <v>0.31141875953629139</v>
      </c>
      <c r="W155" s="99">
        <f t="shared" si="27"/>
        <v>0.38005877958699552</v>
      </c>
      <c r="X155" s="99" t="b">
        <f>S_normal[[#This Row],[X base]]&lt;U$7</f>
        <v>1</v>
      </c>
      <c r="Y155" s="99" t="b">
        <f>S_normal[[#This Row],[X base]]&gt;U$7</f>
        <v>0</v>
      </c>
      <c r="Z155" s="99">
        <f>IF(S_normal[[#This Row],[Mindre end]],S_normal[[#This Row],[Normalfordeling]],NA())</f>
        <v>0.38005877958699552</v>
      </c>
      <c r="AA155" s="99" t="e">
        <f>IF(S_normal[[#This Row],[Større end]],S_normal[[#This Row],[Normalfordeling]],NA())</f>
        <v>#N/A</v>
      </c>
      <c r="AB155" s="72" t="str">
        <f>_xlfn.IFNA(IF(S_normal[[#This Row],[Indeks (base 0)]]=ROUND((ROUND(S_normal[[#This Row],[X base]],0)-U$8)/(U$9-U$8)*U$4,0),S_normal[[#This Row],[X base]]*B$6+B$5,""),"")</f>
        <v/>
      </c>
      <c r="AC155" s="99" t="str">
        <f t="shared" si="25"/>
        <v xml:space="preserve"> </v>
      </c>
      <c r="AE155" s="54">
        <f t="shared" si="28"/>
        <v>142</v>
      </c>
      <c r="AF155" s="54">
        <f>S_binomial[[#This Row],[Indeks (base 0)]]+1</f>
        <v>143</v>
      </c>
      <c r="AG155" s="99">
        <f t="shared" si="29"/>
        <v>1</v>
      </c>
      <c r="AH155" s="99">
        <f>IF(MOD(S_binomial[[#This Row],[Indeks (base 0)]],AF$7)=0,NA(),_xlfn.BINOM.DIST(S_binomial[[#This Row],[X base]],E$5,E$6,FALSE))</f>
        <v>2.7751718400000021E-4</v>
      </c>
      <c r="AI155" s="99" t="b">
        <f>S_binomial[[#This Row],[X base]]&lt;AF$5</f>
        <v>1</v>
      </c>
      <c r="AJ155" s="99" t="b">
        <f>S_binomial[[#This Row],[X base]]=AF$5</f>
        <v>0</v>
      </c>
      <c r="AK155" s="99" t="b">
        <f>S_binomial[[#This Row],[X base]]&gt;AF$5</f>
        <v>0</v>
      </c>
      <c r="AL155" s="99">
        <f>IF(S_binomial[[#This Row],[Mindre end]],S_binomial[[#This Row],[Binomialfordeling]],NA())</f>
        <v>2.7751718400000021E-4</v>
      </c>
      <c r="AM155" s="99" t="e">
        <f>IF(S_binomial[[#This Row],[Lig med]],S_binomial[[#This Row],[Binomialfordeling]],NA())</f>
        <v>#N/A</v>
      </c>
      <c r="AN155" s="99" t="e">
        <f>IF(S_binomial[[#This Row],[Større end]],S_binomial[[#This Row],[Binomialfordeling]],NA())</f>
        <v>#N/A</v>
      </c>
      <c r="AO155" s="85" t="str">
        <f>_xlfn.IFNA(IF(MOD(S_binomial[[#This Row],[Indeks (base 0)]],AF$7)=ROUNDDOWN(AF$7/2,0),S_binomial[[#This Row],[X base]],""),"")</f>
        <v/>
      </c>
      <c r="AP155" s="99" t="str">
        <f t="shared" si="30"/>
        <v xml:space="preserve"> </v>
      </c>
      <c r="AR155" s="54">
        <f t="shared" si="31"/>
        <v>142</v>
      </c>
      <c r="AS155" s="54">
        <f>S_normal27[[#This Row],[Indeks (base 0)]]+1</f>
        <v>143</v>
      </c>
      <c r="AT155" s="54">
        <f t="shared" si="33"/>
        <v>2</v>
      </c>
      <c r="AU155" s="54">
        <f>IF(MOD(S_normal27[[#This Row],[Indeks (base 0)]],AS$8)=0,NA(),_xlfn.POISSON.DIST(S_normal27[[#This Row],[X base]],$H$5,FALSE))</f>
        <v>0.22404180765538775</v>
      </c>
      <c r="AV155" s="99" t="b">
        <f>S_normal27[[#This Row],[X base]]&lt;AS$5</f>
        <v>0</v>
      </c>
      <c r="AW155" s="99" t="b">
        <f>S_normal27[[#This Row],[X base]]=AS$5</f>
        <v>1</v>
      </c>
      <c r="AX155" s="99" t="b">
        <f>S_normal27[[#This Row],[X base]]&gt;AS$5</f>
        <v>0</v>
      </c>
      <c r="AY155" s="99" t="e">
        <f>IF(S_normal27[[#This Row],[Mindre end]],S_normal27[[#This Row],[Poissonfordeling]],NA())</f>
        <v>#N/A</v>
      </c>
      <c r="AZ155" s="99">
        <f>IF(S_normal27[[#This Row],[Lig med]],S_normal27[[#This Row],[Poissonfordeling]],NA())</f>
        <v>0.22404180765538775</v>
      </c>
      <c r="BA155" s="99" t="e">
        <f>IF(S_normal27[[#This Row],[Større end]],S_normal27[[#This Row],[Poissonfordeling]],NA())</f>
        <v>#N/A</v>
      </c>
      <c r="BB155" s="85" t="str">
        <f>_xlfn.IFNA(IF(MOD(S_normal27[[#This Row],[Indeks (base 0)]],AS$8)=ROUNDDOWN(AS$8/2,0),S_normal27[[#This Row],[X base]],""),"")</f>
        <v/>
      </c>
      <c r="BC155" s="99" t="str">
        <f t="shared" si="32"/>
        <v xml:space="preserve"> </v>
      </c>
    </row>
    <row r="156" spans="20:55" x14ac:dyDescent="0.2">
      <c r="T156" s="54">
        <f t="shared" si="26"/>
        <v>143</v>
      </c>
      <c r="U156" s="54">
        <f>S_normal[[#This Row],[Indeks (base 0)]]+1</f>
        <v>144</v>
      </c>
      <c r="V156" s="99">
        <f t="shared" si="24"/>
        <v>0.33537404873139032</v>
      </c>
      <c r="W156" s="99">
        <f t="shared" si="27"/>
        <v>0.37712581912279947</v>
      </c>
      <c r="X156" s="99" t="b">
        <f>S_normal[[#This Row],[X base]]&lt;U$7</f>
        <v>1</v>
      </c>
      <c r="Y156" s="99" t="b">
        <f>S_normal[[#This Row],[X base]]&gt;U$7</f>
        <v>0</v>
      </c>
      <c r="Z156" s="99">
        <f>IF(S_normal[[#This Row],[Mindre end]],S_normal[[#This Row],[Normalfordeling]],NA())</f>
        <v>0.37712581912279947</v>
      </c>
      <c r="AA156" s="99" t="e">
        <f>IF(S_normal[[#This Row],[Større end]],S_normal[[#This Row],[Normalfordeling]],NA())</f>
        <v>#N/A</v>
      </c>
      <c r="AB156" s="72" t="str">
        <f>_xlfn.IFNA(IF(S_normal[[#This Row],[Indeks (base 0)]]=ROUND((ROUND(S_normal[[#This Row],[X base]],0)-U$8)/(U$9-U$8)*U$4,0),S_normal[[#This Row],[X base]]*B$6+B$5,""),"")</f>
        <v/>
      </c>
      <c r="AC156" s="99" t="str">
        <f t="shared" si="25"/>
        <v xml:space="preserve"> </v>
      </c>
      <c r="AE156" s="54">
        <f t="shared" si="28"/>
        <v>143</v>
      </c>
      <c r="AF156" s="54">
        <f>S_binomial[[#This Row],[Indeks (base 0)]]+1</f>
        <v>144</v>
      </c>
      <c r="AG156" s="99">
        <f t="shared" si="29"/>
        <v>1</v>
      </c>
      <c r="AH156" s="99">
        <f>IF(MOD(S_binomial[[#This Row],[Indeks (base 0)]],AF$7)=0,NA(),_xlfn.BINOM.DIST(S_binomial[[#This Row],[X base]],E$5,E$6,FALSE))</f>
        <v>2.7751718400000021E-4</v>
      </c>
      <c r="AI156" s="99" t="b">
        <f>S_binomial[[#This Row],[X base]]&lt;AF$5</f>
        <v>1</v>
      </c>
      <c r="AJ156" s="99" t="b">
        <f>S_binomial[[#This Row],[X base]]=AF$5</f>
        <v>0</v>
      </c>
      <c r="AK156" s="99" t="b">
        <f>S_binomial[[#This Row],[X base]]&gt;AF$5</f>
        <v>0</v>
      </c>
      <c r="AL156" s="99">
        <f>IF(S_binomial[[#This Row],[Mindre end]],S_binomial[[#This Row],[Binomialfordeling]],NA())</f>
        <v>2.7751718400000021E-4</v>
      </c>
      <c r="AM156" s="99" t="e">
        <f>IF(S_binomial[[#This Row],[Lig med]],S_binomial[[#This Row],[Binomialfordeling]],NA())</f>
        <v>#N/A</v>
      </c>
      <c r="AN156" s="99" t="e">
        <f>IF(S_binomial[[#This Row],[Større end]],S_binomial[[#This Row],[Binomialfordeling]],NA())</f>
        <v>#N/A</v>
      </c>
      <c r="AO156" s="85" t="str">
        <f>_xlfn.IFNA(IF(MOD(S_binomial[[#This Row],[Indeks (base 0)]],AF$7)=ROUNDDOWN(AF$7/2,0),S_binomial[[#This Row],[X base]],""),"")</f>
        <v/>
      </c>
      <c r="AP156" s="99" t="str">
        <f t="shared" si="30"/>
        <v xml:space="preserve"> </v>
      </c>
      <c r="AR156" s="54">
        <f t="shared" si="31"/>
        <v>143</v>
      </c>
      <c r="AS156" s="54">
        <f>S_normal27[[#This Row],[Indeks (base 0)]]+1</f>
        <v>144</v>
      </c>
      <c r="AT156" s="54">
        <f t="shared" si="33"/>
        <v>2</v>
      </c>
      <c r="AU156" s="54">
        <f>IF(MOD(S_normal27[[#This Row],[Indeks (base 0)]],AS$8)=0,NA(),_xlfn.POISSON.DIST(S_normal27[[#This Row],[X base]],$H$5,FALSE))</f>
        <v>0.22404180765538775</v>
      </c>
      <c r="AV156" s="99" t="b">
        <f>S_normal27[[#This Row],[X base]]&lt;AS$5</f>
        <v>0</v>
      </c>
      <c r="AW156" s="99" t="b">
        <f>S_normal27[[#This Row],[X base]]=AS$5</f>
        <v>1</v>
      </c>
      <c r="AX156" s="99" t="b">
        <f>S_normal27[[#This Row],[X base]]&gt;AS$5</f>
        <v>0</v>
      </c>
      <c r="AY156" s="99" t="e">
        <f>IF(S_normal27[[#This Row],[Mindre end]],S_normal27[[#This Row],[Poissonfordeling]],NA())</f>
        <v>#N/A</v>
      </c>
      <c r="AZ156" s="99">
        <f>IF(S_normal27[[#This Row],[Lig med]],S_normal27[[#This Row],[Poissonfordeling]],NA())</f>
        <v>0.22404180765538775</v>
      </c>
      <c r="BA156" s="99" t="e">
        <f>IF(S_normal27[[#This Row],[Større end]],S_normal27[[#This Row],[Poissonfordeling]],NA())</f>
        <v>#N/A</v>
      </c>
      <c r="BB156" s="85" t="str">
        <f>_xlfn.IFNA(IF(MOD(S_normal27[[#This Row],[Indeks (base 0)]],AS$8)=ROUNDDOWN(AS$8/2,0),S_normal27[[#This Row],[X base]],""),"")</f>
        <v/>
      </c>
      <c r="BC156" s="99" t="str">
        <f t="shared" si="32"/>
        <v xml:space="preserve"> </v>
      </c>
    </row>
    <row r="157" spans="20:55" x14ac:dyDescent="0.2">
      <c r="T157" s="54">
        <f t="shared" si="26"/>
        <v>144</v>
      </c>
      <c r="U157" s="54">
        <f>S_normal[[#This Row],[Indeks (base 0)]]+1</f>
        <v>145</v>
      </c>
      <c r="V157" s="99">
        <f t="shared" si="24"/>
        <v>0.35932933792648969</v>
      </c>
      <c r="W157" s="99">
        <f t="shared" si="27"/>
        <v>0.37400080851990375</v>
      </c>
      <c r="X157" s="99" t="b">
        <f>S_normal[[#This Row],[X base]]&lt;U$7</f>
        <v>1</v>
      </c>
      <c r="Y157" s="99" t="b">
        <f>S_normal[[#This Row],[X base]]&gt;U$7</f>
        <v>0</v>
      </c>
      <c r="Z157" s="99">
        <f>IF(S_normal[[#This Row],[Mindre end]],S_normal[[#This Row],[Normalfordeling]],NA())</f>
        <v>0.37400080851990375</v>
      </c>
      <c r="AA157" s="99" t="e">
        <f>IF(S_normal[[#This Row],[Større end]],S_normal[[#This Row],[Normalfordeling]],NA())</f>
        <v>#N/A</v>
      </c>
      <c r="AB157" s="72" t="str">
        <f>_xlfn.IFNA(IF(S_normal[[#This Row],[Indeks (base 0)]]=ROUND((ROUND(S_normal[[#This Row],[X base]],0)-U$8)/(U$9-U$8)*U$4,0),S_normal[[#This Row],[X base]]*B$6+B$5,""),"")</f>
        <v/>
      </c>
      <c r="AC157" s="99" t="str">
        <f t="shared" si="25"/>
        <v xml:space="preserve"> </v>
      </c>
      <c r="AE157" s="54">
        <f t="shared" si="28"/>
        <v>144</v>
      </c>
      <c r="AF157" s="54">
        <f>S_binomial[[#This Row],[Indeks (base 0)]]+1</f>
        <v>145</v>
      </c>
      <c r="AG157" s="99">
        <f t="shared" si="29"/>
        <v>1</v>
      </c>
      <c r="AH157" s="99">
        <f>IF(MOD(S_binomial[[#This Row],[Indeks (base 0)]],AF$7)=0,NA(),_xlfn.BINOM.DIST(S_binomial[[#This Row],[X base]],E$5,E$6,FALSE))</f>
        <v>2.7751718400000021E-4</v>
      </c>
      <c r="AI157" s="99" t="b">
        <f>S_binomial[[#This Row],[X base]]&lt;AF$5</f>
        <v>1</v>
      </c>
      <c r="AJ157" s="99" t="b">
        <f>S_binomial[[#This Row],[X base]]=AF$5</f>
        <v>0</v>
      </c>
      <c r="AK157" s="99" t="b">
        <f>S_binomial[[#This Row],[X base]]&gt;AF$5</f>
        <v>0</v>
      </c>
      <c r="AL157" s="99">
        <f>IF(S_binomial[[#This Row],[Mindre end]],S_binomial[[#This Row],[Binomialfordeling]],NA())</f>
        <v>2.7751718400000021E-4</v>
      </c>
      <c r="AM157" s="99" t="e">
        <f>IF(S_binomial[[#This Row],[Lig med]],S_binomial[[#This Row],[Binomialfordeling]],NA())</f>
        <v>#N/A</v>
      </c>
      <c r="AN157" s="99" t="e">
        <f>IF(S_binomial[[#This Row],[Større end]],S_binomial[[#This Row],[Binomialfordeling]],NA())</f>
        <v>#N/A</v>
      </c>
      <c r="AO157" s="85" t="str">
        <f>_xlfn.IFNA(IF(MOD(S_binomial[[#This Row],[Indeks (base 0)]],AF$7)=ROUNDDOWN(AF$7/2,0),S_binomial[[#This Row],[X base]],""),"")</f>
        <v/>
      </c>
      <c r="AP157" s="99" t="str">
        <f t="shared" si="30"/>
        <v xml:space="preserve"> </v>
      </c>
      <c r="AR157" s="54">
        <f t="shared" si="31"/>
        <v>144</v>
      </c>
      <c r="AS157" s="54">
        <f>S_normal27[[#This Row],[Indeks (base 0)]]+1</f>
        <v>145</v>
      </c>
      <c r="AT157" s="54">
        <f t="shared" si="33"/>
        <v>2</v>
      </c>
      <c r="AU157" s="54">
        <f>IF(MOD(S_normal27[[#This Row],[Indeks (base 0)]],AS$8)=0,NA(),_xlfn.POISSON.DIST(S_normal27[[#This Row],[X base]],$H$5,FALSE))</f>
        <v>0.22404180765538775</v>
      </c>
      <c r="AV157" s="99" t="b">
        <f>S_normal27[[#This Row],[X base]]&lt;AS$5</f>
        <v>0</v>
      </c>
      <c r="AW157" s="99" t="b">
        <f>S_normal27[[#This Row],[X base]]=AS$5</f>
        <v>1</v>
      </c>
      <c r="AX157" s="99" t="b">
        <f>S_normal27[[#This Row],[X base]]&gt;AS$5</f>
        <v>0</v>
      </c>
      <c r="AY157" s="99" t="e">
        <f>IF(S_normal27[[#This Row],[Mindre end]],S_normal27[[#This Row],[Poissonfordeling]],NA())</f>
        <v>#N/A</v>
      </c>
      <c r="AZ157" s="99">
        <f>IF(S_normal27[[#This Row],[Lig med]],S_normal27[[#This Row],[Poissonfordeling]],NA())</f>
        <v>0.22404180765538775</v>
      </c>
      <c r="BA157" s="99" t="e">
        <f>IF(S_normal27[[#This Row],[Større end]],S_normal27[[#This Row],[Poissonfordeling]],NA())</f>
        <v>#N/A</v>
      </c>
      <c r="BB157" s="85" t="str">
        <f>_xlfn.IFNA(IF(MOD(S_normal27[[#This Row],[Indeks (base 0)]],AS$8)=ROUNDDOWN(AS$8/2,0),S_normal27[[#This Row],[X base]],""),"")</f>
        <v/>
      </c>
      <c r="BC157" s="99" t="str">
        <f t="shared" si="32"/>
        <v xml:space="preserve"> </v>
      </c>
    </row>
    <row r="158" spans="20:55" x14ac:dyDescent="0.2">
      <c r="T158" s="54">
        <f t="shared" si="26"/>
        <v>145</v>
      </c>
      <c r="U158" s="54">
        <f>S_normal[[#This Row],[Indeks (base 0)]]+1</f>
        <v>146</v>
      </c>
      <c r="V158" s="99">
        <f t="shared" si="24"/>
        <v>0.38328462712158906</v>
      </c>
      <c r="W158" s="99">
        <f t="shared" si="27"/>
        <v>0.37068890990689796</v>
      </c>
      <c r="X158" s="99" t="b">
        <f>S_normal[[#This Row],[X base]]&lt;U$7</f>
        <v>1</v>
      </c>
      <c r="Y158" s="99" t="b">
        <f>S_normal[[#This Row],[X base]]&gt;U$7</f>
        <v>0</v>
      </c>
      <c r="Z158" s="99">
        <f>IF(S_normal[[#This Row],[Mindre end]],S_normal[[#This Row],[Normalfordeling]],NA())</f>
        <v>0.37068890990689796</v>
      </c>
      <c r="AA158" s="99" t="e">
        <f>IF(S_normal[[#This Row],[Større end]],S_normal[[#This Row],[Normalfordeling]],NA())</f>
        <v>#N/A</v>
      </c>
      <c r="AB158" s="72" t="str">
        <f>_xlfn.IFNA(IF(S_normal[[#This Row],[Indeks (base 0)]]=ROUND((ROUND(S_normal[[#This Row],[X base]],0)-U$8)/(U$9-U$8)*U$4,0),S_normal[[#This Row],[X base]]*B$6+B$5,""),"")</f>
        <v/>
      </c>
      <c r="AC158" s="99" t="str">
        <f t="shared" si="25"/>
        <v xml:space="preserve"> </v>
      </c>
      <c r="AE158" s="54">
        <f t="shared" si="28"/>
        <v>145</v>
      </c>
      <c r="AF158" s="54">
        <f>S_binomial[[#This Row],[Indeks (base 0)]]+1</f>
        <v>146</v>
      </c>
      <c r="AG158" s="99">
        <f t="shared" si="29"/>
        <v>1</v>
      </c>
      <c r="AH158" s="99">
        <f>IF(MOD(S_binomial[[#This Row],[Indeks (base 0)]],AF$7)=0,NA(),_xlfn.BINOM.DIST(S_binomial[[#This Row],[X base]],E$5,E$6,FALSE))</f>
        <v>2.7751718400000021E-4</v>
      </c>
      <c r="AI158" s="99" t="b">
        <f>S_binomial[[#This Row],[X base]]&lt;AF$5</f>
        <v>1</v>
      </c>
      <c r="AJ158" s="99" t="b">
        <f>S_binomial[[#This Row],[X base]]=AF$5</f>
        <v>0</v>
      </c>
      <c r="AK158" s="99" t="b">
        <f>S_binomial[[#This Row],[X base]]&gt;AF$5</f>
        <v>0</v>
      </c>
      <c r="AL158" s="99">
        <f>IF(S_binomial[[#This Row],[Mindre end]],S_binomial[[#This Row],[Binomialfordeling]],NA())</f>
        <v>2.7751718400000021E-4</v>
      </c>
      <c r="AM158" s="99" t="e">
        <f>IF(S_binomial[[#This Row],[Lig med]],S_binomial[[#This Row],[Binomialfordeling]],NA())</f>
        <v>#N/A</v>
      </c>
      <c r="AN158" s="99" t="e">
        <f>IF(S_binomial[[#This Row],[Større end]],S_binomial[[#This Row],[Binomialfordeling]],NA())</f>
        <v>#N/A</v>
      </c>
      <c r="AO158" s="85" t="str">
        <f>_xlfn.IFNA(IF(MOD(S_binomial[[#This Row],[Indeks (base 0)]],AF$7)=ROUNDDOWN(AF$7/2,0),S_binomial[[#This Row],[X base]],""),"")</f>
        <v/>
      </c>
      <c r="AP158" s="99" t="str">
        <f t="shared" si="30"/>
        <v xml:space="preserve"> </v>
      </c>
      <c r="AR158" s="54">
        <f t="shared" si="31"/>
        <v>145</v>
      </c>
      <c r="AS158" s="54">
        <f>S_normal27[[#This Row],[Indeks (base 0)]]+1</f>
        <v>146</v>
      </c>
      <c r="AT158" s="54">
        <f t="shared" si="33"/>
        <v>2</v>
      </c>
      <c r="AU158" s="54">
        <f>IF(MOD(S_normal27[[#This Row],[Indeks (base 0)]],AS$8)=0,NA(),_xlfn.POISSON.DIST(S_normal27[[#This Row],[X base]],$H$5,FALSE))</f>
        <v>0.22404180765538775</v>
      </c>
      <c r="AV158" s="99" t="b">
        <f>S_normal27[[#This Row],[X base]]&lt;AS$5</f>
        <v>0</v>
      </c>
      <c r="AW158" s="99" t="b">
        <f>S_normal27[[#This Row],[X base]]=AS$5</f>
        <v>1</v>
      </c>
      <c r="AX158" s="99" t="b">
        <f>S_normal27[[#This Row],[X base]]&gt;AS$5</f>
        <v>0</v>
      </c>
      <c r="AY158" s="99" t="e">
        <f>IF(S_normal27[[#This Row],[Mindre end]],S_normal27[[#This Row],[Poissonfordeling]],NA())</f>
        <v>#N/A</v>
      </c>
      <c r="AZ158" s="99">
        <f>IF(S_normal27[[#This Row],[Lig med]],S_normal27[[#This Row],[Poissonfordeling]],NA())</f>
        <v>0.22404180765538775</v>
      </c>
      <c r="BA158" s="99" t="e">
        <f>IF(S_normal27[[#This Row],[Større end]],S_normal27[[#This Row],[Poissonfordeling]],NA())</f>
        <v>#N/A</v>
      </c>
      <c r="BB158" s="85" t="str">
        <f>_xlfn.IFNA(IF(MOD(S_normal27[[#This Row],[Indeks (base 0)]],AS$8)=ROUNDDOWN(AS$8/2,0),S_normal27[[#This Row],[X base]],""),"")</f>
        <v/>
      </c>
      <c r="BC158" s="99" t="str">
        <f t="shared" si="32"/>
        <v xml:space="preserve"> </v>
      </c>
    </row>
    <row r="159" spans="20:55" x14ac:dyDescent="0.2">
      <c r="T159" s="54">
        <f t="shared" si="26"/>
        <v>146</v>
      </c>
      <c r="U159" s="54">
        <f>S_normal[[#This Row],[Indeks (base 0)]]+1</f>
        <v>147</v>
      </c>
      <c r="V159" s="99">
        <f t="shared" si="24"/>
        <v>0.40723991631668843</v>
      </c>
      <c r="W159" s="99">
        <f t="shared" si="27"/>
        <v>0.36719556142717458</v>
      </c>
      <c r="X159" s="99" t="b">
        <f>S_normal[[#This Row],[X base]]&lt;U$7</f>
        <v>1</v>
      </c>
      <c r="Y159" s="99" t="b">
        <f>S_normal[[#This Row],[X base]]&gt;U$7</f>
        <v>0</v>
      </c>
      <c r="Z159" s="99">
        <f>IF(S_normal[[#This Row],[Mindre end]],S_normal[[#This Row],[Normalfordeling]],NA())</f>
        <v>0.36719556142717458</v>
      </c>
      <c r="AA159" s="99" t="e">
        <f>IF(S_normal[[#This Row],[Større end]],S_normal[[#This Row],[Normalfordeling]],NA())</f>
        <v>#N/A</v>
      </c>
      <c r="AB159" s="72" t="str">
        <f>_xlfn.IFNA(IF(S_normal[[#This Row],[Indeks (base 0)]]=ROUND((ROUND(S_normal[[#This Row],[X base]],0)-U$8)/(U$9-U$8)*U$4,0),S_normal[[#This Row],[X base]]*B$6+B$5,""),"")</f>
        <v/>
      </c>
      <c r="AC159" s="99" t="str">
        <f t="shared" si="25"/>
        <v xml:space="preserve"> </v>
      </c>
      <c r="AE159" s="54">
        <f t="shared" si="28"/>
        <v>146</v>
      </c>
      <c r="AF159" s="54">
        <f>S_binomial[[#This Row],[Indeks (base 0)]]+1</f>
        <v>147</v>
      </c>
      <c r="AG159" s="99">
        <f t="shared" si="29"/>
        <v>1</v>
      </c>
      <c r="AH159" s="99">
        <f>IF(MOD(S_binomial[[#This Row],[Indeks (base 0)]],AF$7)=0,NA(),_xlfn.BINOM.DIST(S_binomial[[#This Row],[X base]],E$5,E$6,FALSE))</f>
        <v>2.7751718400000021E-4</v>
      </c>
      <c r="AI159" s="99" t="b">
        <f>S_binomial[[#This Row],[X base]]&lt;AF$5</f>
        <v>1</v>
      </c>
      <c r="AJ159" s="99" t="b">
        <f>S_binomial[[#This Row],[X base]]=AF$5</f>
        <v>0</v>
      </c>
      <c r="AK159" s="99" t="b">
        <f>S_binomial[[#This Row],[X base]]&gt;AF$5</f>
        <v>0</v>
      </c>
      <c r="AL159" s="99">
        <f>IF(S_binomial[[#This Row],[Mindre end]],S_binomial[[#This Row],[Binomialfordeling]],NA())</f>
        <v>2.7751718400000021E-4</v>
      </c>
      <c r="AM159" s="99" t="e">
        <f>IF(S_binomial[[#This Row],[Lig med]],S_binomial[[#This Row],[Binomialfordeling]],NA())</f>
        <v>#N/A</v>
      </c>
      <c r="AN159" s="99" t="e">
        <f>IF(S_binomial[[#This Row],[Større end]],S_binomial[[#This Row],[Binomialfordeling]],NA())</f>
        <v>#N/A</v>
      </c>
      <c r="AO159" s="85" t="str">
        <f>_xlfn.IFNA(IF(MOD(S_binomial[[#This Row],[Indeks (base 0)]],AF$7)=ROUNDDOWN(AF$7/2,0),S_binomial[[#This Row],[X base]],""),"")</f>
        <v/>
      </c>
      <c r="AP159" s="99" t="str">
        <f t="shared" si="30"/>
        <v xml:space="preserve"> </v>
      </c>
      <c r="AR159" s="54">
        <f t="shared" si="31"/>
        <v>146</v>
      </c>
      <c r="AS159" s="54">
        <f>S_normal27[[#This Row],[Indeks (base 0)]]+1</f>
        <v>147</v>
      </c>
      <c r="AT159" s="54">
        <f t="shared" si="33"/>
        <v>2</v>
      </c>
      <c r="AU159" s="54">
        <f>IF(MOD(S_normal27[[#This Row],[Indeks (base 0)]],AS$8)=0,NA(),_xlfn.POISSON.DIST(S_normal27[[#This Row],[X base]],$H$5,FALSE))</f>
        <v>0.22404180765538775</v>
      </c>
      <c r="AV159" s="99" t="b">
        <f>S_normal27[[#This Row],[X base]]&lt;AS$5</f>
        <v>0</v>
      </c>
      <c r="AW159" s="99" t="b">
        <f>S_normal27[[#This Row],[X base]]=AS$5</f>
        <v>1</v>
      </c>
      <c r="AX159" s="99" t="b">
        <f>S_normal27[[#This Row],[X base]]&gt;AS$5</f>
        <v>0</v>
      </c>
      <c r="AY159" s="99" t="e">
        <f>IF(S_normal27[[#This Row],[Mindre end]],S_normal27[[#This Row],[Poissonfordeling]],NA())</f>
        <v>#N/A</v>
      </c>
      <c r="AZ159" s="99">
        <f>IF(S_normal27[[#This Row],[Lig med]],S_normal27[[#This Row],[Poissonfordeling]],NA())</f>
        <v>0.22404180765538775</v>
      </c>
      <c r="BA159" s="99" t="e">
        <f>IF(S_normal27[[#This Row],[Større end]],S_normal27[[#This Row],[Poissonfordeling]],NA())</f>
        <v>#N/A</v>
      </c>
      <c r="BB159" s="85" t="str">
        <f>_xlfn.IFNA(IF(MOD(S_normal27[[#This Row],[Indeks (base 0)]],AS$8)=ROUNDDOWN(AS$8/2,0),S_normal27[[#This Row],[X base]],""),"")</f>
        <v/>
      </c>
      <c r="BC159" s="99" t="str">
        <f t="shared" si="32"/>
        <v xml:space="preserve"> </v>
      </c>
    </row>
    <row r="160" spans="20:55" x14ac:dyDescent="0.2">
      <c r="T160" s="54">
        <f t="shared" si="26"/>
        <v>147</v>
      </c>
      <c r="U160" s="54">
        <f>S_normal[[#This Row],[Indeks (base 0)]]+1</f>
        <v>148</v>
      </c>
      <c r="V160" s="99">
        <f t="shared" si="24"/>
        <v>0.4311952055117878</v>
      </c>
      <c r="W160" s="99">
        <f t="shared" si="27"/>
        <v>0.36352646237304004</v>
      </c>
      <c r="X160" s="99" t="b">
        <f>S_normal[[#This Row],[X base]]&lt;U$7</f>
        <v>1</v>
      </c>
      <c r="Y160" s="99" t="b">
        <f>S_normal[[#This Row],[X base]]&gt;U$7</f>
        <v>0</v>
      </c>
      <c r="Z160" s="99">
        <f>IF(S_normal[[#This Row],[Mindre end]],S_normal[[#This Row],[Normalfordeling]],NA())</f>
        <v>0.36352646237304004</v>
      </c>
      <c r="AA160" s="99" t="e">
        <f>IF(S_normal[[#This Row],[Større end]],S_normal[[#This Row],[Normalfordeling]],NA())</f>
        <v>#N/A</v>
      </c>
      <c r="AB160" s="72" t="str">
        <f>_xlfn.IFNA(IF(S_normal[[#This Row],[Indeks (base 0)]]=ROUND((ROUND(S_normal[[#This Row],[X base]],0)-U$8)/(U$9-U$8)*U$4,0),S_normal[[#This Row],[X base]]*B$6+B$5,""),"")</f>
        <v/>
      </c>
      <c r="AC160" s="99" t="str">
        <f t="shared" si="25"/>
        <v xml:space="preserve"> </v>
      </c>
      <c r="AE160" s="54">
        <f t="shared" si="28"/>
        <v>147</v>
      </c>
      <c r="AF160" s="54">
        <f>S_binomial[[#This Row],[Indeks (base 0)]]+1</f>
        <v>148</v>
      </c>
      <c r="AG160" s="99">
        <f t="shared" si="29"/>
        <v>1</v>
      </c>
      <c r="AH160" s="99">
        <f>IF(MOD(S_binomial[[#This Row],[Indeks (base 0)]],AF$7)=0,NA(),_xlfn.BINOM.DIST(S_binomial[[#This Row],[X base]],E$5,E$6,FALSE))</f>
        <v>2.7751718400000021E-4</v>
      </c>
      <c r="AI160" s="99" t="b">
        <f>S_binomial[[#This Row],[X base]]&lt;AF$5</f>
        <v>1</v>
      </c>
      <c r="AJ160" s="99" t="b">
        <f>S_binomial[[#This Row],[X base]]=AF$5</f>
        <v>0</v>
      </c>
      <c r="AK160" s="99" t="b">
        <f>S_binomial[[#This Row],[X base]]&gt;AF$5</f>
        <v>0</v>
      </c>
      <c r="AL160" s="99">
        <f>IF(S_binomial[[#This Row],[Mindre end]],S_binomial[[#This Row],[Binomialfordeling]],NA())</f>
        <v>2.7751718400000021E-4</v>
      </c>
      <c r="AM160" s="99" t="e">
        <f>IF(S_binomial[[#This Row],[Lig med]],S_binomial[[#This Row],[Binomialfordeling]],NA())</f>
        <v>#N/A</v>
      </c>
      <c r="AN160" s="99" t="e">
        <f>IF(S_binomial[[#This Row],[Større end]],S_binomial[[#This Row],[Binomialfordeling]],NA())</f>
        <v>#N/A</v>
      </c>
      <c r="AO160" s="85" t="str">
        <f>_xlfn.IFNA(IF(MOD(S_binomial[[#This Row],[Indeks (base 0)]],AF$7)=ROUNDDOWN(AF$7/2,0),S_binomial[[#This Row],[X base]],""),"")</f>
        <v/>
      </c>
      <c r="AP160" s="99" t="str">
        <f t="shared" si="30"/>
        <v xml:space="preserve"> </v>
      </c>
      <c r="AR160" s="54">
        <f t="shared" si="31"/>
        <v>147</v>
      </c>
      <c r="AS160" s="54">
        <f>S_normal27[[#This Row],[Indeks (base 0)]]+1</f>
        <v>148</v>
      </c>
      <c r="AT160" s="54">
        <f t="shared" si="33"/>
        <v>2</v>
      </c>
      <c r="AU160" s="54">
        <f>IF(MOD(S_normal27[[#This Row],[Indeks (base 0)]],AS$8)=0,NA(),_xlfn.POISSON.DIST(S_normal27[[#This Row],[X base]],$H$5,FALSE))</f>
        <v>0.22404180765538775</v>
      </c>
      <c r="AV160" s="99" t="b">
        <f>S_normal27[[#This Row],[X base]]&lt;AS$5</f>
        <v>0</v>
      </c>
      <c r="AW160" s="99" t="b">
        <f>S_normal27[[#This Row],[X base]]=AS$5</f>
        <v>1</v>
      </c>
      <c r="AX160" s="99" t="b">
        <f>S_normal27[[#This Row],[X base]]&gt;AS$5</f>
        <v>0</v>
      </c>
      <c r="AY160" s="99" t="e">
        <f>IF(S_normal27[[#This Row],[Mindre end]],S_normal27[[#This Row],[Poissonfordeling]],NA())</f>
        <v>#N/A</v>
      </c>
      <c r="AZ160" s="99">
        <f>IF(S_normal27[[#This Row],[Lig med]],S_normal27[[#This Row],[Poissonfordeling]],NA())</f>
        <v>0.22404180765538775</v>
      </c>
      <c r="BA160" s="99" t="e">
        <f>IF(S_normal27[[#This Row],[Større end]],S_normal27[[#This Row],[Poissonfordeling]],NA())</f>
        <v>#N/A</v>
      </c>
      <c r="BB160" s="85" t="str">
        <f>_xlfn.IFNA(IF(MOD(S_normal27[[#This Row],[Indeks (base 0)]],AS$8)=ROUNDDOWN(AS$8/2,0),S_normal27[[#This Row],[X base]],""),"")</f>
        <v/>
      </c>
      <c r="BC160" s="99" t="str">
        <f t="shared" si="32"/>
        <v xml:space="preserve"> </v>
      </c>
    </row>
    <row r="161" spans="20:55" x14ac:dyDescent="0.2">
      <c r="T161" s="54">
        <f t="shared" si="26"/>
        <v>148</v>
      </c>
      <c r="U161" s="54">
        <f>S_normal[[#This Row],[Indeks (base 0)]]+1</f>
        <v>149</v>
      </c>
      <c r="V161" s="99">
        <f t="shared" si="24"/>
        <v>0.45515049470688718</v>
      </c>
      <c r="W161" s="99">
        <f t="shared" si="27"/>
        <v>0.35968755771017369</v>
      </c>
      <c r="X161" s="99" t="b">
        <f>S_normal[[#This Row],[X base]]&lt;U$7</f>
        <v>1</v>
      </c>
      <c r="Y161" s="99" t="b">
        <f>S_normal[[#This Row],[X base]]&gt;U$7</f>
        <v>0</v>
      </c>
      <c r="Z161" s="99">
        <f>IF(S_normal[[#This Row],[Mindre end]],S_normal[[#This Row],[Normalfordeling]],NA())</f>
        <v>0.35968755771017369</v>
      </c>
      <c r="AA161" s="99" t="e">
        <f>IF(S_normal[[#This Row],[Større end]],S_normal[[#This Row],[Normalfordeling]],NA())</f>
        <v>#N/A</v>
      </c>
      <c r="AB161" s="72" t="str">
        <f>_xlfn.IFNA(IF(S_normal[[#This Row],[Indeks (base 0)]]=ROUND((ROUND(S_normal[[#This Row],[X base]],0)-U$8)/(U$9-U$8)*U$4,0),S_normal[[#This Row],[X base]]*B$6+B$5,""),"")</f>
        <v/>
      </c>
      <c r="AC161" s="99" t="str">
        <f t="shared" si="25"/>
        <v xml:space="preserve"> </v>
      </c>
      <c r="AE161" s="54">
        <f t="shared" si="28"/>
        <v>148</v>
      </c>
      <c r="AF161" s="54">
        <f>S_binomial[[#This Row],[Indeks (base 0)]]+1</f>
        <v>149</v>
      </c>
      <c r="AG161" s="99">
        <f t="shared" si="29"/>
        <v>1</v>
      </c>
      <c r="AH161" s="99">
        <f>IF(MOD(S_binomial[[#This Row],[Indeks (base 0)]],AF$7)=0,NA(),_xlfn.BINOM.DIST(S_binomial[[#This Row],[X base]],E$5,E$6,FALSE))</f>
        <v>2.7751718400000021E-4</v>
      </c>
      <c r="AI161" s="99" t="b">
        <f>S_binomial[[#This Row],[X base]]&lt;AF$5</f>
        <v>1</v>
      </c>
      <c r="AJ161" s="99" t="b">
        <f>S_binomial[[#This Row],[X base]]=AF$5</f>
        <v>0</v>
      </c>
      <c r="AK161" s="99" t="b">
        <f>S_binomial[[#This Row],[X base]]&gt;AF$5</f>
        <v>0</v>
      </c>
      <c r="AL161" s="99">
        <f>IF(S_binomial[[#This Row],[Mindre end]],S_binomial[[#This Row],[Binomialfordeling]],NA())</f>
        <v>2.7751718400000021E-4</v>
      </c>
      <c r="AM161" s="99" t="e">
        <f>IF(S_binomial[[#This Row],[Lig med]],S_binomial[[#This Row],[Binomialfordeling]],NA())</f>
        <v>#N/A</v>
      </c>
      <c r="AN161" s="99" t="e">
        <f>IF(S_binomial[[#This Row],[Større end]],S_binomial[[#This Row],[Binomialfordeling]],NA())</f>
        <v>#N/A</v>
      </c>
      <c r="AO161" s="85" t="str">
        <f>_xlfn.IFNA(IF(MOD(S_binomial[[#This Row],[Indeks (base 0)]],AF$7)=ROUNDDOWN(AF$7/2,0),S_binomial[[#This Row],[X base]],""),"")</f>
        <v/>
      </c>
      <c r="AP161" s="99" t="str">
        <f t="shared" si="30"/>
        <v xml:space="preserve"> </v>
      </c>
      <c r="AR161" s="54">
        <f t="shared" si="31"/>
        <v>148</v>
      </c>
      <c r="AS161" s="54">
        <f>S_normal27[[#This Row],[Indeks (base 0)]]+1</f>
        <v>149</v>
      </c>
      <c r="AT161" s="54">
        <f t="shared" si="33"/>
        <v>2</v>
      </c>
      <c r="AU161" s="54">
        <f>IF(MOD(S_normal27[[#This Row],[Indeks (base 0)]],AS$8)=0,NA(),_xlfn.POISSON.DIST(S_normal27[[#This Row],[X base]],$H$5,FALSE))</f>
        <v>0.22404180765538775</v>
      </c>
      <c r="AV161" s="99" t="b">
        <f>S_normal27[[#This Row],[X base]]&lt;AS$5</f>
        <v>0</v>
      </c>
      <c r="AW161" s="99" t="b">
        <f>S_normal27[[#This Row],[X base]]=AS$5</f>
        <v>1</v>
      </c>
      <c r="AX161" s="99" t="b">
        <f>S_normal27[[#This Row],[X base]]&gt;AS$5</f>
        <v>0</v>
      </c>
      <c r="AY161" s="99" t="e">
        <f>IF(S_normal27[[#This Row],[Mindre end]],S_normal27[[#This Row],[Poissonfordeling]],NA())</f>
        <v>#N/A</v>
      </c>
      <c r="AZ161" s="99">
        <f>IF(S_normal27[[#This Row],[Lig med]],S_normal27[[#This Row],[Poissonfordeling]],NA())</f>
        <v>0.22404180765538775</v>
      </c>
      <c r="BA161" s="99" t="e">
        <f>IF(S_normal27[[#This Row],[Større end]],S_normal27[[#This Row],[Poissonfordeling]],NA())</f>
        <v>#N/A</v>
      </c>
      <c r="BB161" s="85" t="str">
        <f>_xlfn.IFNA(IF(MOD(S_normal27[[#This Row],[Indeks (base 0)]],AS$8)=ROUNDDOWN(AS$8/2,0),S_normal27[[#This Row],[X base]],""),"")</f>
        <v/>
      </c>
      <c r="BC161" s="99" t="str">
        <f t="shared" si="32"/>
        <v xml:space="preserve"> </v>
      </c>
    </row>
    <row r="162" spans="20:55" x14ac:dyDescent="0.2">
      <c r="T162" s="54">
        <f t="shared" si="26"/>
        <v>149</v>
      </c>
      <c r="U162" s="54">
        <f>S_normal[[#This Row],[Indeks (base 0)]]+1</f>
        <v>150</v>
      </c>
      <c r="V162" s="99">
        <f t="shared" si="24"/>
        <v>0.47910578390198655</v>
      </c>
      <c r="W162" s="99">
        <f t="shared" si="27"/>
        <v>0.35568502205117924</v>
      </c>
      <c r="X162" s="99" t="b">
        <f>S_normal[[#This Row],[X base]]&lt;U$7</f>
        <v>1</v>
      </c>
      <c r="Y162" s="99" t="b">
        <f>S_normal[[#This Row],[X base]]&gt;U$7</f>
        <v>0</v>
      </c>
      <c r="Z162" s="99">
        <f>IF(S_normal[[#This Row],[Mindre end]],S_normal[[#This Row],[Normalfordeling]],NA())</f>
        <v>0.35568502205117924</v>
      </c>
      <c r="AA162" s="99" t="e">
        <f>IF(S_normal[[#This Row],[Større end]],S_normal[[#This Row],[Normalfordeling]],NA())</f>
        <v>#N/A</v>
      </c>
      <c r="AB162" s="72" t="str">
        <f>_xlfn.IFNA(IF(S_normal[[#This Row],[Indeks (base 0)]]=ROUND((ROUND(S_normal[[#This Row],[X base]],0)-U$8)/(U$9-U$8)*U$4,0),S_normal[[#This Row],[X base]]*B$6+B$5,""),"")</f>
        <v/>
      </c>
      <c r="AC162" s="99" t="str">
        <f t="shared" si="25"/>
        <v xml:space="preserve"> </v>
      </c>
      <c r="AE162" s="54">
        <f t="shared" si="28"/>
        <v>149</v>
      </c>
      <c r="AF162" s="54">
        <f>S_binomial[[#This Row],[Indeks (base 0)]]+1</f>
        <v>150</v>
      </c>
      <c r="AG162" s="99">
        <f t="shared" si="29"/>
        <v>1</v>
      </c>
      <c r="AH162" s="99">
        <f>IF(MOD(S_binomial[[#This Row],[Indeks (base 0)]],AF$7)=0,NA(),_xlfn.BINOM.DIST(S_binomial[[#This Row],[X base]],E$5,E$6,FALSE))</f>
        <v>2.7751718400000021E-4</v>
      </c>
      <c r="AI162" s="99" t="b">
        <f>S_binomial[[#This Row],[X base]]&lt;AF$5</f>
        <v>1</v>
      </c>
      <c r="AJ162" s="99" t="b">
        <f>S_binomial[[#This Row],[X base]]=AF$5</f>
        <v>0</v>
      </c>
      <c r="AK162" s="99" t="b">
        <f>S_binomial[[#This Row],[X base]]&gt;AF$5</f>
        <v>0</v>
      </c>
      <c r="AL162" s="99">
        <f>IF(S_binomial[[#This Row],[Mindre end]],S_binomial[[#This Row],[Binomialfordeling]],NA())</f>
        <v>2.7751718400000021E-4</v>
      </c>
      <c r="AM162" s="99" t="e">
        <f>IF(S_binomial[[#This Row],[Lig med]],S_binomial[[#This Row],[Binomialfordeling]],NA())</f>
        <v>#N/A</v>
      </c>
      <c r="AN162" s="99" t="e">
        <f>IF(S_binomial[[#This Row],[Større end]],S_binomial[[#This Row],[Binomialfordeling]],NA())</f>
        <v>#N/A</v>
      </c>
      <c r="AO162" s="85" t="str">
        <f>_xlfn.IFNA(IF(MOD(S_binomial[[#This Row],[Indeks (base 0)]],AF$7)=ROUNDDOWN(AF$7/2,0),S_binomial[[#This Row],[X base]],""),"")</f>
        <v/>
      </c>
      <c r="AP162" s="99" t="str">
        <f t="shared" si="30"/>
        <v xml:space="preserve"> </v>
      </c>
      <c r="AR162" s="54">
        <f t="shared" si="31"/>
        <v>149</v>
      </c>
      <c r="AS162" s="54">
        <f>S_normal27[[#This Row],[Indeks (base 0)]]+1</f>
        <v>150</v>
      </c>
      <c r="AT162" s="54">
        <f t="shared" si="33"/>
        <v>2</v>
      </c>
      <c r="AU162" s="54">
        <f>IF(MOD(S_normal27[[#This Row],[Indeks (base 0)]],AS$8)=0,NA(),_xlfn.POISSON.DIST(S_normal27[[#This Row],[X base]],$H$5,FALSE))</f>
        <v>0.22404180765538775</v>
      </c>
      <c r="AV162" s="99" t="b">
        <f>S_normal27[[#This Row],[X base]]&lt;AS$5</f>
        <v>0</v>
      </c>
      <c r="AW162" s="99" t="b">
        <f>S_normal27[[#This Row],[X base]]=AS$5</f>
        <v>1</v>
      </c>
      <c r="AX162" s="99" t="b">
        <f>S_normal27[[#This Row],[X base]]&gt;AS$5</f>
        <v>0</v>
      </c>
      <c r="AY162" s="99" t="e">
        <f>IF(S_normal27[[#This Row],[Mindre end]],S_normal27[[#This Row],[Poissonfordeling]],NA())</f>
        <v>#N/A</v>
      </c>
      <c r="AZ162" s="99">
        <f>IF(S_normal27[[#This Row],[Lig med]],S_normal27[[#This Row],[Poissonfordeling]],NA())</f>
        <v>0.22404180765538775</v>
      </c>
      <c r="BA162" s="99" t="e">
        <f>IF(S_normal27[[#This Row],[Større end]],S_normal27[[#This Row],[Poissonfordeling]],NA())</f>
        <v>#N/A</v>
      </c>
      <c r="BB162" s="85" t="str">
        <f>_xlfn.IFNA(IF(MOD(S_normal27[[#This Row],[Indeks (base 0)]],AS$8)=ROUNDDOWN(AS$8/2,0),S_normal27[[#This Row],[X base]],""),"")</f>
        <v/>
      </c>
      <c r="BC162" s="99" t="str">
        <f t="shared" si="32"/>
        <v xml:space="preserve"> </v>
      </c>
    </row>
    <row r="163" spans="20:55" x14ac:dyDescent="0.2">
      <c r="T163" s="54">
        <f t="shared" si="26"/>
        <v>150</v>
      </c>
      <c r="U163" s="54">
        <f>S_normal[[#This Row],[Indeks (base 0)]]+1</f>
        <v>151</v>
      </c>
      <c r="V163" s="99">
        <f t="shared" si="24"/>
        <v>0.50306107309708592</v>
      </c>
      <c r="W163" s="99">
        <f t="shared" si="27"/>
        <v>0.35152524313860362</v>
      </c>
      <c r="X163" s="99" t="b">
        <f>S_normal[[#This Row],[X base]]&lt;U$7</f>
        <v>1</v>
      </c>
      <c r="Y163" s="99" t="b">
        <f>S_normal[[#This Row],[X base]]&gt;U$7</f>
        <v>0</v>
      </c>
      <c r="Z163" s="99">
        <f>IF(S_normal[[#This Row],[Mindre end]],S_normal[[#This Row],[Normalfordeling]],NA())</f>
        <v>0.35152524313860362</v>
      </c>
      <c r="AA163" s="99" t="e">
        <f>IF(S_normal[[#This Row],[Større end]],S_normal[[#This Row],[Normalfordeling]],NA())</f>
        <v>#N/A</v>
      </c>
      <c r="AB163" s="72" t="str">
        <f>_xlfn.IFNA(IF(S_normal[[#This Row],[Indeks (base 0)]]=ROUND((ROUND(S_normal[[#This Row],[X base]],0)-U$8)/(U$9-U$8)*U$4,0),S_normal[[#This Row],[X base]]*B$6+B$5,""),"")</f>
        <v/>
      </c>
      <c r="AC163" s="99" t="str">
        <f t="shared" si="25"/>
        <v xml:space="preserve"> </v>
      </c>
      <c r="AE163" s="54">
        <f t="shared" si="28"/>
        <v>150</v>
      </c>
      <c r="AF163" s="54">
        <f>S_binomial[[#This Row],[Indeks (base 0)]]+1</f>
        <v>151</v>
      </c>
      <c r="AG163" s="99">
        <f t="shared" si="29"/>
        <v>1</v>
      </c>
      <c r="AH163" s="99">
        <f>IF(MOD(S_binomial[[#This Row],[Indeks (base 0)]],AF$7)=0,NA(),_xlfn.BINOM.DIST(S_binomial[[#This Row],[X base]],E$5,E$6,FALSE))</f>
        <v>2.7751718400000021E-4</v>
      </c>
      <c r="AI163" s="99" t="b">
        <f>S_binomial[[#This Row],[X base]]&lt;AF$5</f>
        <v>1</v>
      </c>
      <c r="AJ163" s="99" t="b">
        <f>S_binomial[[#This Row],[X base]]=AF$5</f>
        <v>0</v>
      </c>
      <c r="AK163" s="99" t="b">
        <f>S_binomial[[#This Row],[X base]]&gt;AF$5</f>
        <v>0</v>
      </c>
      <c r="AL163" s="99">
        <f>IF(S_binomial[[#This Row],[Mindre end]],S_binomial[[#This Row],[Binomialfordeling]],NA())</f>
        <v>2.7751718400000021E-4</v>
      </c>
      <c r="AM163" s="99" t="e">
        <f>IF(S_binomial[[#This Row],[Lig med]],S_binomial[[#This Row],[Binomialfordeling]],NA())</f>
        <v>#N/A</v>
      </c>
      <c r="AN163" s="99" t="e">
        <f>IF(S_binomial[[#This Row],[Større end]],S_binomial[[#This Row],[Binomialfordeling]],NA())</f>
        <v>#N/A</v>
      </c>
      <c r="AO163" s="85" t="str">
        <f>_xlfn.IFNA(IF(MOD(S_binomial[[#This Row],[Indeks (base 0)]],AF$7)=ROUNDDOWN(AF$7/2,0),S_binomial[[#This Row],[X base]],""),"")</f>
        <v/>
      </c>
      <c r="AP163" s="99" t="str">
        <f t="shared" si="30"/>
        <v xml:space="preserve"> </v>
      </c>
      <c r="AR163" s="54">
        <f t="shared" si="31"/>
        <v>150</v>
      </c>
      <c r="AS163" s="54">
        <f>S_normal27[[#This Row],[Indeks (base 0)]]+1</f>
        <v>151</v>
      </c>
      <c r="AT163" s="54">
        <f t="shared" si="33"/>
        <v>2</v>
      </c>
      <c r="AU163" s="54">
        <f>IF(MOD(S_normal27[[#This Row],[Indeks (base 0)]],AS$8)=0,NA(),_xlfn.POISSON.DIST(S_normal27[[#This Row],[X base]],$H$5,FALSE))</f>
        <v>0.22404180765538775</v>
      </c>
      <c r="AV163" s="99" t="b">
        <f>S_normal27[[#This Row],[X base]]&lt;AS$5</f>
        <v>0</v>
      </c>
      <c r="AW163" s="99" t="b">
        <f>S_normal27[[#This Row],[X base]]=AS$5</f>
        <v>1</v>
      </c>
      <c r="AX163" s="99" t="b">
        <f>S_normal27[[#This Row],[X base]]&gt;AS$5</f>
        <v>0</v>
      </c>
      <c r="AY163" s="99" t="e">
        <f>IF(S_normal27[[#This Row],[Mindre end]],S_normal27[[#This Row],[Poissonfordeling]],NA())</f>
        <v>#N/A</v>
      </c>
      <c r="AZ163" s="99">
        <f>IF(S_normal27[[#This Row],[Lig med]],S_normal27[[#This Row],[Poissonfordeling]],NA())</f>
        <v>0.22404180765538775</v>
      </c>
      <c r="BA163" s="99" t="e">
        <f>IF(S_normal27[[#This Row],[Større end]],S_normal27[[#This Row],[Poissonfordeling]],NA())</f>
        <v>#N/A</v>
      </c>
      <c r="BB163" s="85" t="str">
        <f>_xlfn.IFNA(IF(MOD(S_normal27[[#This Row],[Indeks (base 0)]],AS$8)=ROUNDDOWN(AS$8/2,0),S_normal27[[#This Row],[X base]],""),"")</f>
        <v/>
      </c>
      <c r="BC163" s="99" t="str">
        <f t="shared" si="32"/>
        <v xml:space="preserve"> </v>
      </c>
    </row>
    <row r="164" spans="20:55" x14ac:dyDescent="0.2">
      <c r="T164" s="54">
        <f t="shared" si="26"/>
        <v>151</v>
      </c>
      <c r="U164" s="54">
        <f>S_normal[[#This Row],[Indeks (base 0)]]+1</f>
        <v>152</v>
      </c>
      <c r="V164" s="99">
        <f t="shared" si="24"/>
        <v>0.52701636229218529</v>
      </c>
      <c r="W164" s="99">
        <f t="shared" si="27"/>
        <v>0.34721480489913414</v>
      </c>
      <c r="X164" s="99" t="b">
        <f>S_normal[[#This Row],[X base]]&lt;U$7</f>
        <v>1</v>
      </c>
      <c r="Y164" s="99" t="b">
        <f>S_normal[[#This Row],[X base]]&gt;U$7</f>
        <v>0</v>
      </c>
      <c r="Z164" s="99">
        <f>IF(S_normal[[#This Row],[Mindre end]],S_normal[[#This Row],[Normalfordeling]],NA())</f>
        <v>0.34721480489913414</v>
      </c>
      <c r="AA164" s="99" t="e">
        <f>IF(S_normal[[#This Row],[Større end]],S_normal[[#This Row],[Normalfordeling]],NA())</f>
        <v>#N/A</v>
      </c>
      <c r="AB164" s="72" t="str">
        <f>_xlfn.IFNA(IF(S_normal[[#This Row],[Indeks (base 0)]]=ROUND((ROUND(S_normal[[#This Row],[X base]],0)-U$8)/(U$9-U$8)*U$4,0),S_normal[[#This Row],[X base]]*B$6+B$5,""),"")</f>
        <v/>
      </c>
      <c r="AC164" s="99" t="str">
        <f t="shared" si="25"/>
        <v xml:space="preserve"> </v>
      </c>
      <c r="AE164" s="54">
        <f t="shared" si="28"/>
        <v>151</v>
      </c>
      <c r="AF164" s="54">
        <f>S_binomial[[#This Row],[Indeks (base 0)]]+1</f>
        <v>152</v>
      </c>
      <c r="AG164" s="99">
        <f t="shared" si="29"/>
        <v>1</v>
      </c>
      <c r="AH164" s="99">
        <f>IF(MOD(S_binomial[[#This Row],[Indeks (base 0)]],AF$7)=0,NA(),_xlfn.BINOM.DIST(S_binomial[[#This Row],[X base]],E$5,E$6,FALSE))</f>
        <v>2.7751718400000021E-4</v>
      </c>
      <c r="AI164" s="99" t="b">
        <f>S_binomial[[#This Row],[X base]]&lt;AF$5</f>
        <v>1</v>
      </c>
      <c r="AJ164" s="99" t="b">
        <f>S_binomial[[#This Row],[X base]]=AF$5</f>
        <v>0</v>
      </c>
      <c r="AK164" s="99" t="b">
        <f>S_binomial[[#This Row],[X base]]&gt;AF$5</f>
        <v>0</v>
      </c>
      <c r="AL164" s="99">
        <f>IF(S_binomial[[#This Row],[Mindre end]],S_binomial[[#This Row],[Binomialfordeling]],NA())</f>
        <v>2.7751718400000021E-4</v>
      </c>
      <c r="AM164" s="99" t="e">
        <f>IF(S_binomial[[#This Row],[Lig med]],S_binomial[[#This Row],[Binomialfordeling]],NA())</f>
        <v>#N/A</v>
      </c>
      <c r="AN164" s="99" t="e">
        <f>IF(S_binomial[[#This Row],[Større end]],S_binomial[[#This Row],[Binomialfordeling]],NA())</f>
        <v>#N/A</v>
      </c>
      <c r="AO164" s="85" t="str">
        <f>_xlfn.IFNA(IF(MOD(S_binomial[[#This Row],[Indeks (base 0)]],AF$7)=ROUNDDOWN(AF$7/2,0),S_binomial[[#This Row],[X base]],""),"")</f>
        <v/>
      </c>
      <c r="AP164" s="99" t="str">
        <f t="shared" si="30"/>
        <v xml:space="preserve"> </v>
      </c>
      <c r="AR164" s="54">
        <f t="shared" si="31"/>
        <v>151</v>
      </c>
      <c r="AS164" s="54">
        <f>S_normal27[[#This Row],[Indeks (base 0)]]+1</f>
        <v>152</v>
      </c>
      <c r="AT164" s="54">
        <f t="shared" si="33"/>
        <v>2</v>
      </c>
      <c r="AU164" s="54">
        <f>IF(MOD(S_normal27[[#This Row],[Indeks (base 0)]],AS$8)=0,NA(),_xlfn.POISSON.DIST(S_normal27[[#This Row],[X base]],$H$5,FALSE))</f>
        <v>0.22404180765538775</v>
      </c>
      <c r="AV164" s="99" t="b">
        <f>S_normal27[[#This Row],[X base]]&lt;AS$5</f>
        <v>0</v>
      </c>
      <c r="AW164" s="99" t="b">
        <f>S_normal27[[#This Row],[X base]]=AS$5</f>
        <v>1</v>
      </c>
      <c r="AX164" s="99" t="b">
        <f>S_normal27[[#This Row],[X base]]&gt;AS$5</f>
        <v>0</v>
      </c>
      <c r="AY164" s="99" t="e">
        <f>IF(S_normal27[[#This Row],[Mindre end]],S_normal27[[#This Row],[Poissonfordeling]],NA())</f>
        <v>#N/A</v>
      </c>
      <c r="AZ164" s="99">
        <f>IF(S_normal27[[#This Row],[Lig med]],S_normal27[[#This Row],[Poissonfordeling]],NA())</f>
        <v>0.22404180765538775</v>
      </c>
      <c r="BA164" s="99" t="e">
        <f>IF(S_normal27[[#This Row],[Større end]],S_normal27[[#This Row],[Poissonfordeling]],NA())</f>
        <v>#N/A</v>
      </c>
      <c r="BB164" s="85" t="str">
        <f>_xlfn.IFNA(IF(MOD(S_normal27[[#This Row],[Indeks (base 0)]],AS$8)=ROUNDDOWN(AS$8/2,0),S_normal27[[#This Row],[X base]],""),"")</f>
        <v/>
      </c>
      <c r="BC164" s="99" t="str">
        <f t="shared" si="32"/>
        <v xml:space="preserve"> </v>
      </c>
    </row>
    <row r="165" spans="20:55" x14ac:dyDescent="0.2">
      <c r="T165" s="54">
        <f t="shared" si="26"/>
        <v>152</v>
      </c>
      <c r="U165" s="54">
        <f>S_normal[[#This Row],[Indeks (base 0)]]+1</f>
        <v>153</v>
      </c>
      <c r="V165" s="99">
        <f t="shared" si="24"/>
        <v>0.55097165148728466</v>
      </c>
      <c r="W165" s="99">
        <f t="shared" si="27"/>
        <v>0.34276047013173222</v>
      </c>
      <c r="X165" s="99" t="b">
        <f>S_normal[[#This Row],[X base]]&lt;U$7</f>
        <v>1</v>
      </c>
      <c r="Y165" s="99" t="b">
        <f>S_normal[[#This Row],[X base]]&gt;U$7</f>
        <v>0</v>
      </c>
      <c r="Z165" s="99">
        <f>IF(S_normal[[#This Row],[Mindre end]],S_normal[[#This Row],[Normalfordeling]],NA())</f>
        <v>0.34276047013173222</v>
      </c>
      <c r="AA165" s="99" t="e">
        <f>IF(S_normal[[#This Row],[Større end]],S_normal[[#This Row],[Normalfordeling]],NA())</f>
        <v>#N/A</v>
      </c>
      <c r="AB165" s="72" t="str">
        <f>_xlfn.IFNA(IF(S_normal[[#This Row],[Indeks (base 0)]]=ROUND((ROUND(S_normal[[#This Row],[X base]],0)-U$8)/(U$9-U$8)*U$4,0),S_normal[[#This Row],[X base]]*B$6+B$5,""),"")</f>
        <v/>
      </c>
      <c r="AC165" s="99" t="str">
        <f t="shared" si="25"/>
        <v xml:space="preserve"> </v>
      </c>
      <c r="AE165" s="54">
        <f t="shared" si="28"/>
        <v>152</v>
      </c>
      <c r="AF165" s="54">
        <f>S_binomial[[#This Row],[Indeks (base 0)]]+1</f>
        <v>153</v>
      </c>
      <c r="AG165" s="99">
        <f t="shared" si="29"/>
        <v>1</v>
      </c>
      <c r="AH165" s="99">
        <f>IF(MOD(S_binomial[[#This Row],[Indeks (base 0)]],AF$7)=0,NA(),_xlfn.BINOM.DIST(S_binomial[[#This Row],[X base]],E$5,E$6,FALSE))</f>
        <v>2.7751718400000021E-4</v>
      </c>
      <c r="AI165" s="99" t="b">
        <f>S_binomial[[#This Row],[X base]]&lt;AF$5</f>
        <v>1</v>
      </c>
      <c r="AJ165" s="99" t="b">
        <f>S_binomial[[#This Row],[X base]]=AF$5</f>
        <v>0</v>
      </c>
      <c r="AK165" s="99" t="b">
        <f>S_binomial[[#This Row],[X base]]&gt;AF$5</f>
        <v>0</v>
      </c>
      <c r="AL165" s="99">
        <f>IF(S_binomial[[#This Row],[Mindre end]],S_binomial[[#This Row],[Binomialfordeling]],NA())</f>
        <v>2.7751718400000021E-4</v>
      </c>
      <c r="AM165" s="99" t="e">
        <f>IF(S_binomial[[#This Row],[Lig med]],S_binomial[[#This Row],[Binomialfordeling]],NA())</f>
        <v>#N/A</v>
      </c>
      <c r="AN165" s="99" t="e">
        <f>IF(S_binomial[[#This Row],[Større end]],S_binomial[[#This Row],[Binomialfordeling]],NA())</f>
        <v>#N/A</v>
      </c>
      <c r="AO165" s="85" t="str">
        <f>_xlfn.IFNA(IF(MOD(S_binomial[[#This Row],[Indeks (base 0)]],AF$7)=ROUNDDOWN(AF$7/2,0),S_binomial[[#This Row],[X base]],""),"")</f>
        <v/>
      </c>
      <c r="AP165" s="99" t="str">
        <f t="shared" si="30"/>
        <v xml:space="preserve"> </v>
      </c>
      <c r="AR165" s="54">
        <f t="shared" si="31"/>
        <v>152</v>
      </c>
      <c r="AS165" s="54">
        <f>S_normal27[[#This Row],[Indeks (base 0)]]+1</f>
        <v>153</v>
      </c>
      <c r="AT165" s="54">
        <f t="shared" si="33"/>
        <v>2</v>
      </c>
      <c r="AU165" s="54">
        <f>IF(MOD(S_normal27[[#This Row],[Indeks (base 0)]],AS$8)=0,NA(),_xlfn.POISSON.DIST(S_normal27[[#This Row],[X base]],$H$5,FALSE))</f>
        <v>0.22404180765538775</v>
      </c>
      <c r="AV165" s="99" t="b">
        <f>S_normal27[[#This Row],[X base]]&lt;AS$5</f>
        <v>0</v>
      </c>
      <c r="AW165" s="99" t="b">
        <f>S_normal27[[#This Row],[X base]]=AS$5</f>
        <v>1</v>
      </c>
      <c r="AX165" s="99" t="b">
        <f>S_normal27[[#This Row],[X base]]&gt;AS$5</f>
        <v>0</v>
      </c>
      <c r="AY165" s="99" t="e">
        <f>IF(S_normal27[[#This Row],[Mindre end]],S_normal27[[#This Row],[Poissonfordeling]],NA())</f>
        <v>#N/A</v>
      </c>
      <c r="AZ165" s="99">
        <f>IF(S_normal27[[#This Row],[Lig med]],S_normal27[[#This Row],[Poissonfordeling]],NA())</f>
        <v>0.22404180765538775</v>
      </c>
      <c r="BA165" s="99" t="e">
        <f>IF(S_normal27[[#This Row],[Større end]],S_normal27[[#This Row],[Poissonfordeling]],NA())</f>
        <v>#N/A</v>
      </c>
      <c r="BB165" s="85" t="str">
        <f>_xlfn.IFNA(IF(MOD(S_normal27[[#This Row],[Indeks (base 0)]],AS$8)=ROUNDDOWN(AS$8/2,0),S_normal27[[#This Row],[X base]],""),"")</f>
        <v/>
      </c>
      <c r="BC165" s="99" t="str">
        <f t="shared" si="32"/>
        <v xml:space="preserve"> </v>
      </c>
    </row>
    <row r="166" spans="20:55" x14ac:dyDescent="0.2">
      <c r="T166" s="54">
        <f t="shared" si="26"/>
        <v>153</v>
      </c>
      <c r="U166" s="54">
        <f>S_normal[[#This Row],[Indeks (base 0)]]+1</f>
        <v>154</v>
      </c>
      <c r="V166" s="99">
        <f t="shared" si="24"/>
        <v>0.57492694068238359</v>
      </c>
      <c r="W166" s="99">
        <f t="shared" si="27"/>
        <v>0.3381691628932032</v>
      </c>
      <c r="X166" s="99" t="b">
        <f>S_normal[[#This Row],[X base]]&lt;U$7</f>
        <v>1</v>
      </c>
      <c r="Y166" s="99" t="b">
        <f>S_normal[[#This Row],[X base]]&gt;U$7</f>
        <v>0</v>
      </c>
      <c r="Z166" s="99">
        <f>IF(S_normal[[#This Row],[Mindre end]],S_normal[[#This Row],[Normalfordeling]],NA())</f>
        <v>0.3381691628932032</v>
      </c>
      <c r="AA166" s="99" t="e">
        <f>IF(S_normal[[#This Row],[Større end]],S_normal[[#This Row],[Normalfordeling]],NA())</f>
        <v>#N/A</v>
      </c>
      <c r="AB166" s="72" t="str">
        <f>_xlfn.IFNA(IF(S_normal[[#This Row],[Indeks (base 0)]]=ROUND((ROUND(S_normal[[#This Row],[X base]],0)-U$8)/(U$9-U$8)*U$4,0),S_normal[[#This Row],[X base]]*B$6+B$5,""),"")</f>
        <v/>
      </c>
      <c r="AC166" s="99" t="str">
        <f t="shared" si="25"/>
        <v xml:space="preserve"> </v>
      </c>
      <c r="AE166" s="54">
        <f t="shared" si="28"/>
        <v>153</v>
      </c>
      <c r="AF166" s="54">
        <f>S_binomial[[#This Row],[Indeks (base 0)]]+1</f>
        <v>154</v>
      </c>
      <c r="AG166" s="99">
        <f t="shared" si="29"/>
        <v>1</v>
      </c>
      <c r="AH166" s="99">
        <f>IF(MOD(S_binomial[[#This Row],[Indeks (base 0)]],AF$7)=0,NA(),_xlfn.BINOM.DIST(S_binomial[[#This Row],[X base]],E$5,E$6,FALSE))</f>
        <v>2.7751718400000021E-4</v>
      </c>
      <c r="AI166" s="99" t="b">
        <f>S_binomial[[#This Row],[X base]]&lt;AF$5</f>
        <v>1</v>
      </c>
      <c r="AJ166" s="99" t="b">
        <f>S_binomial[[#This Row],[X base]]=AF$5</f>
        <v>0</v>
      </c>
      <c r="AK166" s="99" t="b">
        <f>S_binomial[[#This Row],[X base]]&gt;AF$5</f>
        <v>0</v>
      </c>
      <c r="AL166" s="99">
        <f>IF(S_binomial[[#This Row],[Mindre end]],S_binomial[[#This Row],[Binomialfordeling]],NA())</f>
        <v>2.7751718400000021E-4</v>
      </c>
      <c r="AM166" s="99" t="e">
        <f>IF(S_binomial[[#This Row],[Lig med]],S_binomial[[#This Row],[Binomialfordeling]],NA())</f>
        <v>#N/A</v>
      </c>
      <c r="AN166" s="99" t="e">
        <f>IF(S_binomial[[#This Row],[Større end]],S_binomial[[#This Row],[Binomialfordeling]],NA())</f>
        <v>#N/A</v>
      </c>
      <c r="AO166" s="85" t="str">
        <f>_xlfn.IFNA(IF(MOD(S_binomial[[#This Row],[Indeks (base 0)]],AF$7)=ROUNDDOWN(AF$7/2,0),S_binomial[[#This Row],[X base]],""),"")</f>
        <v/>
      </c>
      <c r="AP166" s="99" t="str">
        <f t="shared" si="30"/>
        <v xml:space="preserve"> </v>
      </c>
      <c r="AR166" s="54">
        <f t="shared" si="31"/>
        <v>153</v>
      </c>
      <c r="AS166" s="54">
        <f>S_normal27[[#This Row],[Indeks (base 0)]]+1</f>
        <v>154</v>
      </c>
      <c r="AT166" s="54">
        <f t="shared" si="33"/>
        <v>2</v>
      </c>
      <c r="AU166" s="54">
        <f>IF(MOD(S_normal27[[#This Row],[Indeks (base 0)]],AS$8)=0,NA(),_xlfn.POISSON.DIST(S_normal27[[#This Row],[X base]],$H$5,FALSE))</f>
        <v>0.22404180765538775</v>
      </c>
      <c r="AV166" s="99" t="b">
        <f>S_normal27[[#This Row],[X base]]&lt;AS$5</f>
        <v>0</v>
      </c>
      <c r="AW166" s="99" t="b">
        <f>S_normal27[[#This Row],[X base]]=AS$5</f>
        <v>1</v>
      </c>
      <c r="AX166" s="99" t="b">
        <f>S_normal27[[#This Row],[X base]]&gt;AS$5</f>
        <v>0</v>
      </c>
      <c r="AY166" s="99" t="e">
        <f>IF(S_normal27[[#This Row],[Mindre end]],S_normal27[[#This Row],[Poissonfordeling]],NA())</f>
        <v>#N/A</v>
      </c>
      <c r="AZ166" s="99">
        <f>IF(S_normal27[[#This Row],[Lig med]],S_normal27[[#This Row],[Poissonfordeling]],NA())</f>
        <v>0.22404180765538775</v>
      </c>
      <c r="BA166" s="99" t="e">
        <f>IF(S_normal27[[#This Row],[Større end]],S_normal27[[#This Row],[Poissonfordeling]],NA())</f>
        <v>#N/A</v>
      </c>
      <c r="BB166" s="85" t="str">
        <f>_xlfn.IFNA(IF(MOD(S_normal27[[#This Row],[Indeks (base 0)]],AS$8)=ROUNDDOWN(AS$8/2,0),S_normal27[[#This Row],[X base]],""),"")</f>
        <v/>
      </c>
      <c r="BC166" s="99" t="str">
        <f t="shared" si="32"/>
        <v xml:space="preserve"> </v>
      </c>
    </row>
    <row r="167" spans="20:55" x14ac:dyDescent="0.2">
      <c r="T167" s="54">
        <f t="shared" si="26"/>
        <v>154</v>
      </c>
      <c r="U167" s="54">
        <f>S_normal[[#This Row],[Indeks (base 0)]]+1</f>
        <v>155</v>
      </c>
      <c r="V167" s="99">
        <f t="shared" si="24"/>
        <v>0.59888222987748296</v>
      </c>
      <c r="W167" s="99">
        <f t="shared" si="27"/>
        <v>0.33344795064515081</v>
      </c>
      <c r="X167" s="99" t="b">
        <f>S_normal[[#This Row],[X base]]&lt;U$7</f>
        <v>1</v>
      </c>
      <c r="Y167" s="99" t="b">
        <f>S_normal[[#This Row],[X base]]&gt;U$7</f>
        <v>0</v>
      </c>
      <c r="Z167" s="99">
        <f>IF(S_normal[[#This Row],[Mindre end]],S_normal[[#This Row],[Normalfordeling]],NA())</f>
        <v>0.33344795064515081</v>
      </c>
      <c r="AA167" s="99" t="e">
        <f>IF(S_normal[[#This Row],[Større end]],S_normal[[#This Row],[Normalfordeling]],NA())</f>
        <v>#N/A</v>
      </c>
      <c r="AB167" s="72" t="str">
        <f>_xlfn.IFNA(IF(S_normal[[#This Row],[Indeks (base 0)]]=ROUND((ROUND(S_normal[[#This Row],[X base]],0)-U$8)/(U$9-U$8)*U$4,0),S_normal[[#This Row],[X base]]*B$6+B$5,""),"")</f>
        <v/>
      </c>
      <c r="AC167" s="99" t="str">
        <f t="shared" si="25"/>
        <v xml:space="preserve"> </v>
      </c>
      <c r="AE167" s="54">
        <f t="shared" si="28"/>
        <v>154</v>
      </c>
      <c r="AF167" s="54">
        <f>S_binomial[[#This Row],[Indeks (base 0)]]+1</f>
        <v>155</v>
      </c>
      <c r="AG167" s="99">
        <f t="shared" si="29"/>
        <v>1</v>
      </c>
      <c r="AH167" s="99">
        <f>IF(MOD(S_binomial[[#This Row],[Indeks (base 0)]],AF$7)=0,NA(),_xlfn.BINOM.DIST(S_binomial[[#This Row],[X base]],E$5,E$6,FALSE))</f>
        <v>2.7751718400000021E-4</v>
      </c>
      <c r="AI167" s="99" t="b">
        <f>S_binomial[[#This Row],[X base]]&lt;AF$5</f>
        <v>1</v>
      </c>
      <c r="AJ167" s="99" t="b">
        <f>S_binomial[[#This Row],[X base]]=AF$5</f>
        <v>0</v>
      </c>
      <c r="AK167" s="99" t="b">
        <f>S_binomial[[#This Row],[X base]]&gt;AF$5</f>
        <v>0</v>
      </c>
      <c r="AL167" s="99">
        <f>IF(S_binomial[[#This Row],[Mindre end]],S_binomial[[#This Row],[Binomialfordeling]],NA())</f>
        <v>2.7751718400000021E-4</v>
      </c>
      <c r="AM167" s="99" t="e">
        <f>IF(S_binomial[[#This Row],[Lig med]],S_binomial[[#This Row],[Binomialfordeling]],NA())</f>
        <v>#N/A</v>
      </c>
      <c r="AN167" s="99" t="e">
        <f>IF(S_binomial[[#This Row],[Større end]],S_binomial[[#This Row],[Binomialfordeling]],NA())</f>
        <v>#N/A</v>
      </c>
      <c r="AO167" s="85" t="str">
        <f>_xlfn.IFNA(IF(MOD(S_binomial[[#This Row],[Indeks (base 0)]],AF$7)=ROUNDDOWN(AF$7/2,0),S_binomial[[#This Row],[X base]],""),"")</f>
        <v/>
      </c>
      <c r="AP167" s="99" t="str">
        <f t="shared" si="30"/>
        <v xml:space="preserve"> </v>
      </c>
      <c r="AR167" s="54">
        <f t="shared" si="31"/>
        <v>154</v>
      </c>
      <c r="AS167" s="54">
        <f>S_normal27[[#This Row],[Indeks (base 0)]]+1</f>
        <v>155</v>
      </c>
      <c r="AT167" s="54">
        <f t="shared" si="33"/>
        <v>2</v>
      </c>
      <c r="AU167" s="54">
        <f>IF(MOD(S_normal27[[#This Row],[Indeks (base 0)]],AS$8)=0,NA(),_xlfn.POISSON.DIST(S_normal27[[#This Row],[X base]],$H$5,FALSE))</f>
        <v>0.22404180765538775</v>
      </c>
      <c r="AV167" s="99" t="b">
        <f>S_normal27[[#This Row],[X base]]&lt;AS$5</f>
        <v>0</v>
      </c>
      <c r="AW167" s="99" t="b">
        <f>S_normal27[[#This Row],[X base]]=AS$5</f>
        <v>1</v>
      </c>
      <c r="AX167" s="99" t="b">
        <f>S_normal27[[#This Row],[X base]]&gt;AS$5</f>
        <v>0</v>
      </c>
      <c r="AY167" s="99" t="e">
        <f>IF(S_normal27[[#This Row],[Mindre end]],S_normal27[[#This Row],[Poissonfordeling]],NA())</f>
        <v>#N/A</v>
      </c>
      <c r="AZ167" s="99">
        <f>IF(S_normal27[[#This Row],[Lig med]],S_normal27[[#This Row],[Poissonfordeling]],NA())</f>
        <v>0.22404180765538775</v>
      </c>
      <c r="BA167" s="99" t="e">
        <f>IF(S_normal27[[#This Row],[Større end]],S_normal27[[#This Row],[Poissonfordeling]],NA())</f>
        <v>#N/A</v>
      </c>
      <c r="BB167" s="85" t="str">
        <f>_xlfn.IFNA(IF(MOD(S_normal27[[#This Row],[Indeks (base 0)]],AS$8)=ROUNDDOWN(AS$8/2,0),S_normal27[[#This Row],[X base]],""),"")</f>
        <v/>
      </c>
      <c r="BC167" s="99" t="str">
        <f t="shared" si="32"/>
        <v xml:space="preserve"> </v>
      </c>
    </row>
    <row r="168" spans="20:55" x14ac:dyDescent="0.2">
      <c r="T168" s="54">
        <f t="shared" si="26"/>
        <v>155</v>
      </c>
      <c r="U168" s="54">
        <f>S_normal[[#This Row],[Indeks (base 0)]]+1</f>
        <v>156</v>
      </c>
      <c r="V168" s="99">
        <f t="shared" si="24"/>
        <v>0.62283751907258234</v>
      </c>
      <c r="W168" s="99">
        <f t="shared" si="27"/>
        <v>0.3286040262264141</v>
      </c>
      <c r="X168" s="99" t="b">
        <f>S_normal[[#This Row],[X base]]&lt;U$7</f>
        <v>1</v>
      </c>
      <c r="Y168" s="99" t="b">
        <f>S_normal[[#This Row],[X base]]&gt;U$7</f>
        <v>0</v>
      </c>
      <c r="Z168" s="99">
        <f>IF(S_normal[[#This Row],[Mindre end]],S_normal[[#This Row],[Normalfordeling]],NA())</f>
        <v>0.3286040262264141</v>
      </c>
      <c r="AA168" s="99" t="e">
        <f>IF(S_normal[[#This Row],[Større end]],S_normal[[#This Row],[Normalfordeling]],NA())</f>
        <v>#N/A</v>
      </c>
      <c r="AB168" s="72" t="str">
        <f>_xlfn.IFNA(IF(S_normal[[#This Row],[Indeks (base 0)]]=ROUND((ROUND(S_normal[[#This Row],[X base]],0)-U$8)/(U$9-U$8)*U$4,0),S_normal[[#This Row],[X base]]*B$6+B$5,""),"")</f>
        <v/>
      </c>
      <c r="AC168" s="99" t="str">
        <f t="shared" si="25"/>
        <v xml:space="preserve"> </v>
      </c>
      <c r="AE168" s="54">
        <f t="shared" si="28"/>
        <v>155</v>
      </c>
      <c r="AF168" s="54">
        <f>S_binomial[[#This Row],[Indeks (base 0)]]+1</f>
        <v>156</v>
      </c>
      <c r="AG168" s="99">
        <f t="shared" si="29"/>
        <v>1</v>
      </c>
      <c r="AH168" s="99">
        <f>IF(MOD(S_binomial[[#This Row],[Indeks (base 0)]],AF$7)=0,NA(),_xlfn.BINOM.DIST(S_binomial[[#This Row],[X base]],E$5,E$6,FALSE))</f>
        <v>2.7751718400000021E-4</v>
      </c>
      <c r="AI168" s="99" t="b">
        <f>S_binomial[[#This Row],[X base]]&lt;AF$5</f>
        <v>1</v>
      </c>
      <c r="AJ168" s="99" t="b">
        <f>S_binomial[[#This Row],[X base]]=AF$5</f>
        <v>0</v>
      </c>
      <c r="AK168" s="99" t="b">
        <f>S_binomial[[#This Row],[X base]]&gt;AF$5</f>
        <v>0</v>
      </c>
      <c r="AL168" s="99">
        <f>IF(S_binomial[[#This Row],[Mindre end]],S_binomial[[#This Row],[Binomialfordeling]],NA())</f>
        <v>2.7751718400000021E-4</v>
      </c>
      <c r="AM168" s="99" t="e">
        <f>IF(S_binomial[[#This Row],[Lig med]],S_binomial[[#This Row],[Binomialfordeling]],NA())</f>
        <v>#N/A</v>
      </c>
      <c r="AN168" s="99" t="e">
        <f>IF(S_binomial[[#This Row],[Større end]],S_binomial[[#This Row],[Binomialfordeling]],NA())</f>
        <v>#N/A</v>
      </c>
      <c r="AO168" s="85" t="str">
        <f>_xlfn.IFNA(IF(MOD(S_binomial[[#This Row],[Indeks (base 0)]],AF$7)=ROUNDDOWN(AF$7/2,0),S_binomial[[#This Row],[X base]],""),"")</f>
        <v/>
      </c>
      <c r="AP168" s="99" t="str">
        <f t="shared" si="30"/>
        <v xml:space="preserve"> </v>
      </c>
      <c r="AR168" s="54">
        <f t="shared" si="31"/>
        <v>155</v>
      </c>
      <c r="AS168" s="54">
        <f>S_normal27[[#This Row],[Indeks (base 0)]]+1</f>
        <v>156</v>
      </c>
      <c r="AT168" s="54">
        <f t="shared" si="33"/>
        <v>2</v>
      </c>
      <c r="AU168" s="54">
        <f>IF(MOD(S_normal27[[#This Row],[Indeks (base 0)]],AS$8)=0,NA(),_xlfn.POISSON.DIST(S_normal27[[#This Row],[X base]],$H$5,FALSE))</f>
        <v>0.22404180765538775</v>
      </c>
      <c r="AV168" s="99" t="b">
        <f>S_normal27[[#This Row],[X base]]&lt;AS$5</f>
        <v>0</v>
      </c>
      <c r="AW168" s="99" t="b">
        <f>S_normal27[[#This Row],[X base]]=AS$5</f>
        <v>1</v>
      </c>
      <c r="AX168" s="99" t="b">
        <f>S_normal27[[#This Row],[X base]]&gt;AS$5</f>
        <v>0</v>
      </c>
      <c r="AY168" s="99" t="e">
        <f>IF(S_normal27[[#This Row],[Mindre end]],S_normal27[[#This Row],[Poissonfordeling]],NA())</f>
        <v>#N/A</v>
      </c>
      <c r="AZ168" s="99">
        <f>IF(S_normal27[[#This Row],[Lig med]],S_normal27[[#This Row],[Poissonfordeling]],NA())</f>
        <v>0.22404180765538775</v>
      </c>
      <c r="BA168" s="99" t="e">
        <f>IF(S_normal27[[#This Row],[Større end]],S_normal27[[#This Row],[Poissonfordeling]],NA())</f>
        <v>#N/A</v>
      </c>
      <c r="BB168" s="85" t="str">
        <f>_xlfn.IFNA(IF(MOD(S_normal27[[#This Row],[Indeks (base 0)]],AS$8)=ROUNDDOWN(AS$8/2,0),S_normal27[[#This Row],[X base]],""),"")</f>
        <v/>
      </c>
      <c r="BC168" s="99" t="str">
        <f t="shared" si="32"/>
        <v xml:space="preserve"> </v>
      </c>
    </row>
    <row r="169" spans="20:55" x14ac:dyDescent="0.2">
      <c r="T169" s="54">
        <f t="shared" si="26"/>
        <v>156</v>
      </c>
      <c r="U169" s="54">
        <f>S_normal[[#This Row],[Indeks (base 0)]]+1</f>
        <v>157</v>
      </c>
      <c r="V169" s="99">
        <f t="shared" si="24"/>
        <v>0.64679280826768171</v>
      </c>
      <c r="W169" s="99">
        <f t="shared" si="27"/>
        <v>0.32364468971493993</v>
      </c>
      <c r="X169" s="99" t="b">
        <f>S_normal[[#This Row],[X base]]&lt;U$7</f>
        <v>1</v>
      </c>
      <c r="Y169" s="99" t="b">
        <f>S_normal[[#This Row],[X base]]&gt;U$7</f>
        <v>0</v>
      </c>
      <c r="Z169" s="99">
        <f>IF(S_normal[[#This Row],[Mindre end]],S_normal[[#This Row],[Normalfordeling]],NA())</f>
        <v>0.32364468971493993</v>
      </c>
      <c r="AA169" s="99" t="e">
        <f>IF(S_normal[[#This Row],[Større end]],S_normal[[#This Row],[Normalfordeling]],NA())</f>
        <v>#N/A</v>
      </c>
      <c r="AB169" s="72" t="str">
        <f>_xlfn.IFNA(IF(S_normal[[#This Row],[Indeks (base 0)]]=ROUND((ROUND(S_normal[[#This Row],[X base]],0)-U$8)/(U$9-U$8)*U$4,0),S_normal[[#This Row],[X base]]*B$6+B$5,""),"")</f>
        <v/>
      </c>
      <c r="AC169" s="99" t="str">
        <f t="shared" si="25"/>
        <v xml:space="preserve"> </v>
      </c>
      <c r="AE169" s="54">
        <f t="shared" si="28"/>
        <v>156</v>
      </c>
      <c r="AF169" s="54">
        <f>S_binomial[[#This Row],[Indeks (base 0)]]+1</f>
        <v>157</v>
      </c>
      <c r="AG169" s="99">
        <f t="shared" si="29"/>
        <v>1</v>
      </c>
      <c r="AH169" s="99">
        <f>IF(MOD(S_binomial[[#This Row],[Indeks (base 0)]],AF$7)=0,NA(),_xlfn.BINOM.DIST(S_binomial[[#This Row],[X base]],E$5,E$6,FALSE))</f>
        <v>2.7751718400000021E-4</v>
      </c>
      <c r="AI169" s="99" t="b">
        <f>S_binomial[[#This Row],[X base]]&lt;AF$5</f>
        <v>1</v>
      </c>
      <c r="AJ169" s="99" t="b">
        <f>S_binomial[[#This Row],[X base]]=AF$5</f>
        <v>0</v>
      </c>
      <c r="AK169" s="99" t="b">
        <f>S_binomial[[#This Row],[X base]]&gt;AF$5</f>
        <v>0</v>
      </c>
      <c r="AL169" s="99">
        <f>IF(S_binomial[[#This Row],[Mindre end]],S_binomial[[#This Row],[Binomialfordeling]],NA())</f>
        <v>2.7751718400000021E-4</v>
      </c>
      <c r="AM169" s="99" t="e">
        <f>IF(S_binomial[[#This Row],[Lig med]],S_binomial[[#This Row],[Binomialfordeling]],NA())</f>
        <v>#N/A</v>
      </c>
      <c r="AN169" s="99" t="e">
        <f>IF(S_binomial[[#This Row],[Større end]],S_binomial[[#This Row],[Binomialfordeling]],NA())</f>
        <v>#N/A</v>
      </c>
      <c r="AO169" s="85" t="str">
        <f>_xlfn.IFNA(IF(MOD(S_binomial[[#This Row],[Indeks (base 0)]],AF$7)=ROUNDDOWN(AF$7/2,0),S_binomial[[#This Row],[X base]],""),"")</f>
        <v/>
      </c>
      <c r="AP169" s="99" t="str">
        <f t="shared" si="30"/>
        <v xml:space="preserve"> </v>
      </c>
      <c r="AR169" s="54">
        <f t="shared" si="31"/>
        <v>156</v>
      </c>
      <c r="AS169" s="54">
        <f>S_normal27[[#This Row],[Indeks (base 0)]]+1</f>
        <v>157</v>
      </c>
      <c r="AT169" s="54">
        <f t="shared" si="33"/>
        <v>2</v>
      </c>
      <c r="AU169" s="54">
        <f>IF(MOD(S_normal27[[#This Row],[Indeks (base 0)]],AS$8)=0,NA(),_xlfn.POISSON.DIST(S_normal27[[#This Row],[X base]],$H$5,FALSE))</f>
        <v>0.22404180765538775</v>
      </c>
      <c r="AV169" s="99" t="b">
        <f>S_normal27[[#This Row],[X base]]&lt;AS$5</f>
        <v>0</v>
      </c>
      <c r="AW169" s="99" t="b">
        <f>S_normal27[[#This Row],[X base]]=AS$5</f>
        <v>1</v>
      </c>
      <c r="AX169" s="99" t="b">
        <f>S_normal27[[#This Row],[X base]]&gt;AS$5</f>
        <v>0</v>
      </c>
      <c r="AY169" s="99" t="e">
        <f>IF(S_normal27[[#This Row],[Mindre end]],S_normal27[[#This Row],[Poissonfordeling]],NA())</f>
        <v>#N/A</v>
      </c>
      <c r="AZ169" s="99">
        <f>IF(S_normal27[[#This Row],[Lig med]],S_normal27[[#This Row],[Poissonfordeling]],NA())</f>
        <v>0.22404180765538775</v>
      </c>
      <c r="BA169" s="99" t="e">
        <f>IF(S_normal27[[#This Row],[Større end]],S_normal27[[#This Row],[Poissonfordeling]],NA())</f>
        <v>#N/A</v>
      </c>
      <c r="BB169" s="85" t="str">
        <f>_xlfn.IFNA(IF(MOD(S_normal27[[#This Row],[Indeks (base 0)]],AS$8)=ROUNDDOWN(AS$8/2,0),S_normal27[[#This Row],[X base]],""),"")</f>
        <v/>
      </c>
      <c r="BC169" s="99" t="str">
        <f t="shared" si="32"/>
        <v xml:space="preserve"> </v>
      </c>
    </row>
    <row r="170" spans="20:55" x14ac:dyDescent="0.2">
      <c r="T170" s="54">
        <f t="shared" si="26"/>
        <v>157</v>
      </c>
      <c r="U170" s="54">
        <f>S_normal[[#This Row],[Indeks (base 0)]]+1</f>
        <v>158</v>
      </c>
      <c r="V170" s="99">
        <f t="shared" si="24"/>
        <v>0.67074809746278108</v>
      </c>
      <c r="W170" s="99">
        <f t="shared" si="27"/>
        <v>0.31857733024261109</v>
      </c>
      <c r="X170" s="99" t="b">
        <f>S_normal[[#This Row],[X base]]&lt;U$7</f>
        <v>1</v>
      </c>
      <c r="Y170" s="99" t="b">
        <f>S_normal[[#This Row],[X base]]&gt;U$7</f>
        <v>0</v>
      </c>
      <c r="Z170" s="99">
        <f>IF(S_normal[[#This Row],[Mindre end]],S_normal[[#This Row],[Normalfordeling]],NA())</f>
        <v>0.31857733024261109</v>
      </c>
      <c r="AA170" s="99" t="e">
        <f>IF(S_normal[[#This Row],[Større end]],S_normal[[#This Row],[Normalfordeling]],NA())</f>
        <v>#N/A</v>
      </c>
      <c r="AB170" s="72" t="str">
        <f>_xlfn.IFNA(IF(S_normal[[#This Row],[Indeks (base 0)]]=ROUND((ROUND(S_normal[[#This Row],[X base]],0)-U$8)/(U$9-U$8)*U$4,0),S_normal[[#This Row],[X base]]*B$6+B$5,""),"")</f>
        <v/>
      </c>
      <c r="AC170" s="99" t="str">
        <f t="shared" si="25"/>
        <v xml:space="preserve"> </v>
      </c>
      <c r="AE170" s="54">
        <f t="shared" si="28"/>
        <v>157</v>
      </c>
      <c r="AF170" s="54">
        <f>S_binomial[[#This Row],[Indeks (base 0)]]+1</f>
        <v>158</v>
      </c>
      <c r="AG170" s="99">
        <f t="shared" si="29"/>
        <v>1</v>
      </c>
      <c r="AH170" s="99">
        <f>IF(MOD(S_binomial[[#This Row],[Indeks (base 0)]],AF$7)=0,NA(),_xlfn.BINOM.DIST(S_binomial[[#This Row],[X base]],E$5,E$6,FALSE))</f>
        <v>2.7751718400000021E-4</v>
      </c>
      <c r="AI170" s="99" t="b">
        <f>S_binomial[[#This Row],[X base]]&lt;AF$5</f>
        <v>1</v>
      </c>
      <c r="AJ170" s="99" t="b">
        <f>S_binomial[[#This Row],[X base]]=AF$5</f>
        <v>0</v>
      </c>
      <c r="AK170" s="99" t="b">
        <f>S_binomial[[#This Row],[X base]]&gt;AF$5</f>
        <v>0</v>
      </c>
      <c r="AL170" s="99">
        <f>IF(S_binomial[[#This Row],[Mindre end]],S_binomial[[#This Row],[Binomialfordeling]],NA())</f>
        <v>2.7751718400000021E-4</v>
      </c>
      <c r="AM170" s="99" t="e">
        <f>IF(S_binomial[[#This Row],[Lig med]],S_binomial[[#This Row],[Binomialfordeling]],NA())</f>
        <v>#N/A</v>
      </c>
      <c r="AN170" s="99" t="e">
        <f>IF(S_binomial[[#This Row],[Større end]],S_binomial[[#This Row],[Binomialfordeling]],NA())</f>
        <v>#N/A</v>
      </c>
      <c r="AO170" s="85" t="str">
        <f>_xlfn.IFNA(IF(MOD(S_binomial[[#This Row],[Indeks (base 0)]],AF$7)=ROUNDDOWN(AF$7/2,0),S_binomial[[#This Row],[X base]],""),"")</f>
        <v/>
      </c>
      <c r="AP170" s="99" t="str">
        <f t="shared" si="30"/>
        <v xml:space="preserve"> </v>
      </c>
      <c r="AR170" s="54">
        <f t="shared" si="31"/>
        <v>157</v>
      </c>
      <c r="AS170" s="54">
        <f>S_normal27[[#This Row],[Indeks (base 0)]]+1</f>
        <v>158</v>
      </c>
      <c r="AT170" s="54">
        <f t="shared" si="33"/>
        <v>2</v>
      </c>
      <c r="AU170" s="54">
        <f>IF(MOD(S_normal27[[#This Row],[Indeks (base 0)]],AS$8)=0,NA(),_xlfn.POISSON.DIST(S_normal27[[#This Row],[X base]],$H$5,FALSE))</f>
        <v>0.22404180765538775</v>
      </c>
      <c r="AV170" s="99" t="b">
        <f>S_normal27[[#This Row],[X base]]&lt;AS$5</f>
        <v>0</v>
      </c>
      <c r="AW170" s="99" t="b">
        <f>S_normal27[[#This Row],[X base]]=AS$5</f>
        <v>1</v>
      </c>
      <c r="AX170" s="99" t="b">
        <f>S_normal27[[#This Row],[X base]]&gt;AS$5</f>
        <v>0</v>
      </c>
      <c r="AY170" s="99" t="e">
        <f>IF(S_normal27[[#This Row],[Mindre end]],S_normal27[[#This Row],[Poissonfordeling]],NA())</f>
        <v>#N/A</v>
      </c>
      <c r="AZ170" s="99">
        <f>IF(S_normal27[[#This Row],[Lig med]],S_normal27[[#This Row],[Poissonfordeling]],NA())</f>
        <v>0.22404180765538775</v>
      </c>
      <c r="BA170" s="99" t="e">
        <f>IF(S_normal27[[#This Row],[Større end]],S_normal27[[#This Row],[Poissonfordeling]],NA())</f>
        <v>#N/A</v>
      </c>
      <c r="BB170" s="85" t="str">
        <f>_xlfn.IFNA(IF(MOD(S_normal27[[#This Row],[Indeks (base 0)]],AS$8)=ROUNDDOWN(AS$8/2,0),S_normal27[[#This Row],[X base]],""),"")</f>
        <v/>
      </c>
      <c r="BC170" s="99" t="str">
        <f t="shared" si="32"/>
        <v xml:space="preserve"> </v>
      </c>
    </row>
    <row r="171" spans="20:55" x14ac:dyDescent="0.2">
      <c r="T171" s="54">
        <f t="shared" si="26"/>
        <v>158</v>
      </c>
      <c r="U171" s="54">
        <f>S_normal[[#This Row],[Indeks (base 0)]]+1</f>
        <v>159</v>
      </c>
      <c r="V171" s="99">
        <f t="shared" si="24"/>
        <v>0.69470338665788045</v>
      </c>
      <c r="W171" s="99">
        <f t="shared" si="27"/>
        <v>0.31340940782583288</v>
      </c>
      <c r="X171" s="99" t="b">
        <f>S_normal[[#This Row],[X base]]&lt;U$7</f>
        <v>1</v>
      </c>
      <c r="Y171" s="99" t="b">
        <f>S_normal[[#This Row],[X base]]&gt;U$7</f>
        <v>0</v>
      </c>
      <c r="Z171" s="99">
        <f>IF(S_normal[[#This Row],[Mindre end]],S_normal[[#This Row],[Normalfordeling]],NA())</f>
        <v>0.31340940782583288</v>
      </c>
      <c r="AA171" s="99" t="e">
        <f>IF(S_normal[[#This Row],[Større end]],S_normal[[#This Row],[Normalfordeling]],NA())</f>
        <v>#N/A</v>
      </c>
      <c r="AB171" s="72" t="str">
        <f>_xlfn.IFNA(IF(S_normal[[#This Row],[Indeks (base 0)]]=ROUND((ROUND(S_normal[[#This Row],[X base]],0)-U$8)/(U$9-U$8)*U$4,0),S_normal[[#This Row],[X base]]*B$6+B$5,""),"")</f>
        <v/>
      </c>
      <c r="AC171" s="99" t="str">
        <f t="shared" si="25"/>
        <v xml:space="preserve"> </v>
      </c>
      <c r="AE171" s="54">
        <f t="shared" si="28"/>
        <v>158</v>
      </c>
      <c r="AF171" s="54">
        <f>S_binomial[[#This Row],[Indeks (base 0)]]+1</f>
        <v>159</v>
      </c>
      <c r="AG171" s="99">
        <f t="shared" si="29"/>
        <v>1</v>
      </c>
      <c r="AH171" s="99">
        <f>IF(MOD(S_binomial[[#This Row],[Indeks (base 0)]],AF$7)=0,NA(),_xlfn.BINOM.DIST(S_binomial[[#This Row],[X base]],E$5,E$6,FALSE))</f>
        <v>2.7751718400000021E-4</v>
      </c>
      <c r="AI171" s="99" t="b">
        <f>S_binomial[[#This Row],[X base]]&lt;AF$5</f>
        <v>1</v>
      </c>
      <c r="AJ171" s="99" t="b">
        <f>S_binomial[[#This Row],[X base]]=AF$5</f>
        <v>0</v>
      </c>
      <c r="AK171" s="99" t="b">
        <f>S_binomial[[#This Row],[X base]]&gt;AF$5</f>
        <v>0</v>
      </c>
      <c r="AL171" s="99">
        <f>IF(S_binomial[[#This Row],[Mindre end]],S_binomial[[#This Row],[Binomialfordeling]],NA())</f>
        <v>2.7751718400000021E-4</v>
      </c>
      <c r="AM171" s="99" t="e">
        <f>IF(S_binomial[[#This Row],[Lig med]],S_binomial[[#This Row],[Binomialfordeling]],NA())</f>
        <v>#N/A</v>
      </c>
      <c r="AN171" s="99" t="e">
        <f>IF(S_binomial[[#This Row],[Større end]],S_binomial[[#This Row],[Binomialfordeling]],NA())</f>
        <v>#N/A</v>
      </c>
      <c r="AO171" s="85" t="str">
        <f>_xlfn.IFNA(IF(MOD(S_binomial[[#This Row],[Indeks (base 0)]],AF$7)=ROUNDDOWN(AF$7/2,0),S_binomial[[#This Row],[X base]],""),"")</f>
        <v/>
      </c>
      <c r="AP171" s="99" t="str">
        <f t="shared" si="30"/>
        <v xml:space="preserve"> </v>
      </c>
      <c r="AR171" s="54">
        <f t="shared" si="31"/>
        <v>158</v>
      </c>
      <c r="AS171" s="54">
        <f>S_normal27[[#This Row],[Indeks (base 0)]]+1</f>
        <v>159</v>
      </c>
      <c r="AT171" s="54">
        <f t="shared" si="33"/>
        <v>2</v>
      </c>
      <c r="AU171" s="54">
        <f>IF(MOD(S_normal27[[#This Row],[Indeks (base 0)]],AS$8)=0,NA(),_xlfn.POISSON.DIST(S_normal27[[#This Row],[X base]],$H$5,FALSE))</f>
        <v>0.22404180765538775</v>
      </c>
      <c r="AV171" s="99" t="b">
        <f>S_normal27[[#This Row],[X base]]&lt;AS$5</f>
        <v>0</v>
      </c>
      <c r="AW171" s="99" t="b">
        <f>S_normal27[[#This Row],[X base]]=AS$5</f>
        <v>1</v>
      </c>
      <c r="AX171" s="99" t="b">
        <f>S_normal27[[#This Row],[X base]]&gt;AS$5</f>
        <v>0</v>
      </c>
      <c r="AY171" s="99" t="e">
        <f>IF(S_normal27[[#This Row],[Mindre end]],S_normal27[[#This Row],[Poissonfordeling]],NA())</f>
        <v>#N/A</v>
      </c>
      <c r="AZ171" s="99">
        <f>IF(S_normal27[[#This Row],[Lig med]],S_normal27[[#This Row],[Poissonfordeling]],NA())</f>
        <v>0.22404180765538775</v>
      </c>
      <c r="BA171" s="99" t="e">
        <f>IF(S_normal27[[#This Row],[Større end]],S_normal27[[#This Row],[Poissonfordeling]],NA())</f>
        <v>#N/A</v>
      </c>
      <c r="BB171" s="85" t="str">
        <f>_xlfn.IFNA(IF(MOD(S_normal27[[#This Row],[Indeks (base 0)]],AS$8)=ROUNDDOWN(AS$8/2,0),S_normal27[[#This Row],[X base]],""),"")</f>
        <v/>
      </c>
      <c r="BC171" s="99" t="str">
        <f t="shared" si="32"/>
        <v xml:space="preserve"> </v>
      </c>
    </row>
    <row r="172" spans="20:55" x14ac:dyDescent="0.2">
      <c r="T172" s="54">
        <f t="shared" si="26"/>
        <v>159</v>
      </c>
      <c r="U172" s="54">
        <f>S_normal[[#This Row],[Indeks (base 0)]]+1</f>
        <v>160</v>
      </c>
      <c r="V172" s="99">
        <f t="shared" si="24"/>
        <v>0.71865867585297982</v>
      </c>
      <c r="W172" s="99">
        <f t="shared" si="27"/>
        <v>0.30814843527368829</v>
      </c>
      <c r="X172" s="99" t="b">
        <f>S_normal[[#This Row],[X base]]&lt;U$7</f>
        <v>1</v>
      </c>
      <c r="Y172" s="99" t="b">
        <f>S_normal[[#This Row],[X base]]&gt;U$7</f>
        <v>0</v>
      </c>
      <c r="Z172" s="99">
        <f>IF(S_normal[[#This Row],[Mindre end]],S_normal[[#This Row],[Normalfordeling]],NA())</f>
        <v>0.30814843527368829</v>
      </c>
      <c r="AA172" s="99" t="e">
        <f>IF(S_normal[[#This Row],[Større end]],S_normal[[#This Row],[Normalfordeling]],NA())</f>
        <v>#N/A</v>
      </c>
      <c r="AB172" s="72" t="str">
        <f>_xlfn.IFNA(IF(S_normal[[#This Row],[Indeks (base 0)]]=ROUND((ROUND(S_normal[[#This Row],[X base]],0)-U$8)/(U$9-U$8)*U$4,0),S_normal[[#This Row],[X base]]*B$6+B$5,""),"")</f>
        <v/>
      </c>
      <c r="AC172" s="99" t="str">
        <f t="shared" si="25"/>
        <v xml:space="preserve"> </v>
      </c>
      <c r="AE172" s="54">
        <f t="shared" si="28"/>
        <v>159</v>
      </c>
      <c r="AF172" s="54">
        <f>S_binomial[[#This Row],[Indeks (base 0)]]+1</f>
        <v>160</v>
      </c>
      <c r="AG172" s="99">
        <f t="shared" si="29"/>
        <v>1</v>
      </c>
      <c r="AH172" s="99">
        <f>IF(MOD(S_binomial[[#This Row],[Indeks (base 0)]],AF$7)=0,NA(),_xlfn.BINOM.DIST(S_binomial[[#This Row],[X base]],E$5,E$6,FALSE))</f>
        <v>2.7751718400000021E-4</v>
      </c>
      <c r="AI172" s="99" t="b">
        <f>S_binomial[[#This Row],[X base]]&lt;AF$5</f>
        <v>1</v>
      </c>
      <c r="AJ172" s="99" t="b">
        <f>S_binomial[[#This Row],[X base]]=AF$5</f>
        <v>0</v>
      </c>
      <c r="AK172" s="99" t="b">
        <f>S_binomial[[#This Row],[X base]]&gt;AF$5</f>
        <v>0</v>
      </c>
      <c r="AL172" s="99">
        <f>IF(S_binomial[[#This Row],[Mindre end]],S_binomial[[#This Row],[Binomialfordeling]],NA())</f>
        <v>2.7751718400000021E-4</v>
      </c>
      <c r="AM172" s="99" t="e">
        <f>IF(S_binomial[[#This Row],[Lig med]],S_binomial[[#This Row],[Binomialfordeling]],NA())</f>
        <v>#N/A</v>
      </c>
      <c r="AN172" s="99" t="e">
        <f>IF(S_binomial[[#This Row],[Større end]],S_binomial[[#This Row],[Binomialfordeling]],NA())</f>
        <v>#N/A</v>
      </c>
      <c r="AO172" s="85" t="str">
        <f>_xlfn.IFNA(IF(MOD(S_binomial[[#This Row],[Indeks (base 0)]],AF$7)=ROUNDDOWN(AF$7/2,0),S_binomial[[#This Row],[X base]],""),"")</f>
        <v/>
      </c>
      <c r="AP172" s="99" t="str">
        <f t="shared" si="30"/>
        <v xml:space="preserve"> </v>
      </c>
      <c r="AR172" s="54">
        <f t="shared" si="31"/>
        <v>159</v>
      </c>
      <c r="AS172" s="54">
        <f>S_normal27[[#This Row],[Indeks (base 0)]]+1</f>
        <v>160</v>
      </c>
      <c r="AT172" s="54">
        <f t="shared" si="33"/>
        <v>2</v>
      </c>
      <c r="AU172" s="54">
        <f>IF(MOD(S_normal27[[#This Row],[Indeks (base 0)]],AS$8)=0,NA(),_xlfn.POISSON.DIST(S_normal27[[#This Row],[X base]],$H$5,FALSE))</f>
        <v>0.22404180765538775</v>
      </c>
      <c r="AV172" s="99" t="b">
        <f>S_normal27[[#This Row],[X base]]&lt;AS$5</f>
        <v>0</v>
      </c>
      <c r="AW172" s="99" t="b">
        <f>S_normal27[[#This Row],[X base]]=AS$5</f>
        <v>1</v>
      </c>
      <c r="AX172" s="99" t="b">
        <f>S_normal27[[#This Row],[X base]]&gt;AS$5</f>
        <v>0</v>
      </c>
      <c r="AY172" s="99" t="e">
        <f>IF(S_normal27[[#This Row],[Mindre end]],S_normal27[[#This Row],[Poissonfordeling]],NA())</f>
        <v>#N/A</v>
      </c>
      <c r="AZ172" s="99">
        <f>IF(S_normal27[[#This Row],[Lig med]],S_normal27[[#This Row],[Poissonfordeling]],NA())</f>
        <v>0.22404180765538775</v>
      </c>
      <c r="BA172" s="99" t="e">
        <f>IF(S_normal27[[#This Row],[Større end]],S_normal27[[#This Row],[Poissonfordeling]],NA())</f>
        <v>#N/A</v>
      </c>
      <c r="BB172" s="85" t="str">
        <f>_xlfn.IFNA(IF(MOD(S_normal27[[#This Row],[Indeks (base 0)]],AS$8)=ROUNDDOWN(AS$8/2,0),S_normal27[[#This Row],[X base]],""),"")</f>
        <v/>
      </c>
      <c r="BC172" s="99" t="str">
        <f t="shared" si="32"/>
        <v xml:space="preserve"> </v>
      </c>
    </row>
    <row r="173" spans="20:55" x14ac:dyDescent="0.2">
      <c r="T173" s="54">
        <f t="shared" si="26"/>
        <v>160</v>
      </c>
      <c r="U173" s="54">
        <f>S_normal[[#This Row],[Indeks (base 0)]]+1</f>
        <v>161</v>
      </c>
      <c r="V173" s="99">
        <f t="shared" si="24"/>
        <v>0.74261396504807919</v>
      </c>
      <c r="W173" s="99">
        <f t="shared" si="27"/>
        <v>0.30280196023421319</v>
      </c>
      <c r="X173" s="99" t="b">
        <f>S_normal[[#This Row],[X base]]&lt;U$7</f>
        <v>1</v>
      </c>
      <c r="Y173" s="99" t="b">
        <f>S_normal[[#This Row],[X base]]&gt;U$7</f>
        <v>0</v>
      </c>
      <c r="Z173" s="99">
        <f>IF(S_normal[[#This Row],[Mindre end]],S_normal[[#This Row],[Normalfordeling]],NA())</f>
        <v>0.30280196023421319</v>
      </c>
      <c r="AA173" s="99" t="e">
        <f>IF(S_normal[[#This Row],[Større end]],S_normal[[#This Row],[Normalfordeling]],NA())</f>
        <v>#N/A</v>
      </c>
      <c r="AB173" s="72" t="str">
        <f>_xlfn.IFNA(IF(S_normal[[#This Row],[Indeks (base 0)]]=ROUND((ROUND(S_normal[[#This Row],[X base]],0)-U$8)/(U$9-U$8)*U$4,0),S_normal[[#This Row],[X base]]*B$6+B$5,""),"")</f>
        <v/>
      </c>
      <c r="AC173" s="99" t="str">
        <f t="shared" si="25"/>
        <v xml:space="preserve"> </v>
      </c>
      <c r="AE173" s="54">
        <f t="shared" si="28"/>
        <v>160</v>
      </c>
      <c r="AF173" s="54">
        <f>S_binomial[[#This Row],[Indeks (base 0)]]+1</f>
        <v>161</v>
      </c>
      <c r="AG173" s="99">
        <f t="shared" si="29"/>
        <v>1</v>
      </c>
      <c r="AH173" s="99">
        <f>IF(MOD(S_binomial[[#This Row],[Indeks (base 0)]],AF$7)=0,NA(),_xlfn.BINOM.DIST(S_binomial[[#This Row],[X base]],E$5,E$6,FALSE))</f>
        <v>2.7751718400000021E-4</v>
      </c>
      <c r="AI173" s="99" t="b">
        <f>S_binomial[[#This Row],[X base]]&lt;AF$5</f>
        <v>1</v>
      </c>
      <c r="AJ173" s="99" t="b">
        <f>S_binomial[[#This Row],[X base]]=AF$5</f>
        <v>0</v>
      </c>
      <c r="AK173" s="99" t="b">
        <f>S_binomial[[#This Row],[X base]]&gt;AF$5</f>
        <v>0</v>
      </c>
      <c r="AL173" s="99">
        <f>IF(S_binomial[[#This Row],[Mindre end]],S_binomial[[#This Row],[Binomialfordeling]],NA())</f>
        <v>2.7751718400000021E-4</v>
      </c>
      <c r="AM173" s="99" t="e">
        <f>IF(S_binomial[[#This Row],[Lig med]],S_binomial[[#This Row],[Binomialfordeling]],NA())</f>
        <v>#N/A</v>
      </c>
      <c r="AN173" s="99" t="e">
        <f>IF(S_binomial[[#This Row],[Større end]],S_binomial[[#This Row],[Binomialfordeling]],NA())</f>
        <v>#N/A</v>
      </c>
      <c r="AO173" s="85" t="str">
        <f>_xlfn.IFNA(IF(MOD(S_binomial[[#This Row],[Indeks (base 0)]],AF$7)=ROUNDDOWN(AF$7/2,0),S_binomial[[#This Row],[X base]],""),"")</f>
        <v/>
      </c>
      <c r="AP173" s="99" t="str">
        <f t="shared" si="30"/>
        <v xml:space="preserve"> </v>
      </c>
      <c r="AR173" s="54">
        <f t="shared" si="31"/>
        <v>160</v>
      </c>
      <c r="AS173" s="54">
        <f>S_normal27[[#This Row],[Indeks (base 0)]]+1</f>
        <v>161</v>
      </c>
      <c r="AT173" s="54">
        <f t="shared" si="33"/>
        <v>2</v>
      </c>
      <c r="AU173" s="54">
        <f>IF(MOD(S_normal27[[#This Row],[Indeks (base 0)]],AS$8)=0,NA(),_xlfn.POISSON.DIST(S_normal27[[#This Row],[X base]],$H$5,FALSE))</f>
        <v>0.22404180765538775</v>
      </c>
      <c r="AV173" s="99" t="b">
        <f>S_normal27[[#This Row],[X base]]&lt;AS$5</f>
        <v>0</v>
      </c>
      <c r="AW173" s="99" t="b">
        <f>S_normal27[[#This Row],[X base]]=AS$5</f>
        <v>1</v>
      </c>
      <c r="AX173" s="99" t="b">
        <f>S_normal27[[#This Row],[X base]]&gt;AS$5</f>
        <v>0</v>
      </c>
      <c r="AY173" s="99" t="e">
        <f>IF(S_normal27[[#This Row],[Mindre end]],S_normal27[[#This Row],[Poissonfordeling]],NA())</f>
        <v>#N/A</v>
      </c>
      <c r="AZ173" s="99">
        <f>IF(S_normal27[[#This Row],[Lig med]],S_normal27[[#This Row],[Poissonfordeling]],NA())</f>
        <v>0.22404180765538775</v>
      </c>
      <c r="BA173" s="99" t="e">
        <f>IF(S_normal27[[#This Row],[Større end]],S_normal27[[#This Row],[Poissonfordeling]],NA())</f>
        <v>#N/A</v>
      </c>
      <c r="BB173" s="85" t="str">
        <f>_xlfn.IFNA(IF(MOD(S_normal27[[#This Row],[Indeks (base 0)]],AS$8)=ROUNDDOWN(AS$8/2,0),S_normal27[[#This Row],[X base]],""),"")</f>
        <v/>
      </c>
      <c r="BC173" s="99" t="str">
        <f t="shared" si="32"/>
        <v xml:space="preserve"> </v>
      </c>
    </row>
    <row r="174" spans="20:55" x14ac:dyDescent="0.2">
      <c r="T174" s="54">
        <f t="shared" si="26"/>
        <v>161</v>
      </c>
      <c r="U174" s="54">
        <f>S_normal[[#This Row],[Indeks (base 0)]]+1</f>
        <v>162</v>
      </c>
      <c r="V174" s="99">
        <f t="shared" si="24"/>
        <v>0.76656925424317857</v>
      </c>
      <c r="W174" s="99">
        <f t="shared" si="27"/>
        <v>0.29737754743782796</v>
      </c>
      <c r="X174" s="99" t="b">
        <f>S_normal[[#This Row],[X base]]&lt;U$7</f>
        <v>1</v>
      </c>
      <c r="Y174" s="99" t="b">
        <f>S_normal[[#This Row],[X base]]&gt;U$7</f>
        <v>0</v>
      </c>
      <c r="Z174" s="99">
        <f>IF(S_normal[[#This Row],[Mindre end]],S_normal[[#This Row],[Normalfordeling]],NA())</f>
        <v>0.29737754743782796</v>
      </c>
      <c r="AA174" s="99" t="e">
        <f>IF(S_normal[[#This Row],[Større end]],S_normal[[#This Row],[Normalfordeling]],NA())</f>
        <v>#N/A</v>
      </c>
      <c r="AB174" s="72" t="str">
        <f>_xlfn.IFNA(IF(S_normal[[#This Row],[Indeks (base 0)]]=ROUND((ROUND(S_normal[[#This Row],[X base]],0)-U$8)/(U$9-U$8)*U$4,0),S_normal[[#This Row],[X base]]*B$6+B$5,""),"")</f>
        <v/>
      </c>
      <c r="AC174" s="99" t="str">
        <f t="shared" si="25"/>
        <v xml:space="preserve"> </v>
      </c>
      <c r="AE174" s="54">
        <f t="shared" si="28"/>
        <v>161</v>
      </c>
      <c r="AF174" s="54">
        <f>S_binomial[[#This Row],[Indeks (base 0)]]+1</f>
        <v>162</v>
      </c>
      <c r="AG174" s="99">
        <f t="shared" si="29"/>
        <v>1</v>
      </c>
      <c r="AH174" s="99">
        <f>IF(MOD(S_binomial[[#This Row],[Indeks (base 0)]],AF$7)=0,NA(),_xlfn.BINOM.DIST(S_binomial[[#This Row],[X base]],E$5,E$6,FALSE))</f>
        <v>2.7751718400000021E-4</v>
      </c>
      <c r="AI174" s="99" t="b">
        <f>S_binomial[[#This Row],[X base]]&lt;AF$5</f>
        <v>1</v>
      </c>
      <c r="AJ174" s="99" t="b">
        <f>S_binomial[[#This Row],[X base]]=AF$5</f>
        <v>0</v>
      </c>
      <c r="AK174" s="99" t="b">
        <f>S_binomial[[#This Row],[X base]]&gt;AF$5</f>
        <v>0</v>
      </c>
      <c r="AL174" s="99">
        <f>IF(S_binomial[[#This Row],[Mindre end]],S_binomial[[#This Row],[Binomialfordeling]],NA())</f>
        <v>2.7751718400000021E-4</v>
      </c>
      <c r="AM174" s="99" t="e">
        <f>IF(S_binomial[[#This Row],[Lig med]],S_binomial[[#This Row],[Binomialfordeling]],NA())</f>
        <v>#N/A</v>
      </c>
      <c r="AN174" s="99" t="e">
        <f>IF(S_binomial[[#This Row],[Større end]],S_binomial[[#This Row],[Binomialfordeling]],NA())</f>
        <v>#N/A</v>
      </c>
      <c r="AO174" s="85" t="str">
        <f>_xlfn.IFNA(IF(MOD(S_binomial[[#This Row],[Indeks (base 0)]],AF$7)=ROUNDDOWN(AF$7/2,0),S_binomial[[#This Row],[X base]],""),"")</f>
        <v/>
      </c>
      <c r="AP174" s="99" t="str">
        <f t="shared" si="30"/>
        <v xml:space="preserve"> </v>
      </c>
      <c r="AR174" s="54">
        <f t="shared" si="31"/>
        <v>161</v>
      </c>
      <c r="AS174" s="54">
        <f>S_normal27[[#This Row],[Indeks (base 0)]]+1</f>
        <v>162</v>
      </c>
      <c r="AT174" s="54">
        <f t="shared" si="33"/>
        <v>2</v>
      </c>
      <c r="AU174" s="54">
        <f>IF(MOD(S_normal27[[#This Row],[Indeks (base 0)]],AS$8)=0,NA(),_xlfn.POISSON.DIST(S_normal27[[#This Row],[X base]],$H$5,FALSE))</f>
        <v>0.22404180765538775</v>
      </c>
      <c r="AV174" s="99" t="b">
        <f>S_normal27[[#This Row],[X base]]&lt;AS$5</f>
        <v>0</v>
      </c>
      <c r="AW174" s="99" t="b">
        <f>S_normal27[[#This Row],[X base]]=AS$5</f>
        <v>1</v>
      </c>
      <c r="AX174" s="99" t="b">
        <f>S_normal27[[#This Row],[X base]]&gt;AS$5</f>
        <v>0</v>
      </c>
      <c r="AY174" s="99" t="e">
        <f>IF(S_normal27[[#This Row],[Mindre end]],S_normal27[[#This Row],[Poissonfordeling]],NA())</f>
        <v>#N/A</v>
      </c>
      <c r="AZ174" s="99">
        <f>IF(S_normal27[[#This Row],[Lig med]],S_normal27[[#This Row],[Poissonfordeling]],NA())</f>
        <v>0.22404180765538775</v>
      </c>
      <c r="BA174" s="99" t="e">
        <f>IF(S_normal27[[#This Row],[Større end]],S_normal27[[#This Row],[Poissonfordeling]],NA())</f>
        <v>#N/A</v>
      </c>
      <c r="BB174" s="85" t="str">
        <f>_xlfn.IFNA(IF(MOD(S_normal27[[#This Row],[Indeks (base 0)]],AS$8)=ROUNDDOWN(AS$8/2,0),S_normal27[[#This Row],[X base]],""),"")</f>
        <v/>
      </c>
      <c r="BC174" s="99" t="str">
        <f t="shared" si="32"/>
        <v xml:space="preserve"> </v>
      </c>
    </row>
    <row r="175" spans="20:55" x14ac:dyDescent="0.2">
      <c r="T175" s="54">
        <f t="shared" si="26"/>
        <v>162</v>
      </c>
      <c r="U175" s="54">
        <f>S_normal[[#This Row],[Indeks (base 0)]]+1</f>
        <v>163</v>
      </c>
      <c r="V175" s="99">
        <f t="shared" si="24"/>
        <v>0.79052454343827794</v>
      </c>
      <c r="W175" s="99">
        <f t="shared" si="27"/>
        <v>0.29188276119520318</v>
      </c>
      <c r="X175" s="99" t="b">
        <f>S_normal[[#This Row],[X base]]&lt;U$7</f>
        <v>1</v>
      </c>
      <c r="Y175" s="99" t="b">
        <f>S_normal[[#This Row],[X base]]&gt;U$7</f>
        <v>0</v>
      </c>
      <c r="Z175" s="99">
        <f>IF(S_normal[[#This Row],[Mindre end]],S_normal[[#This Row],[Normalfordeling]],NA())</f>
        <v>0.29188276119520318</v>
      </c>
      <c r="AA175" s="99" t="e">
        <f>IF(S_normal[[#This Row],[Større end]],S_normal[[#This Row],[Normalfordeling]],NA())</f>
        <v>#N/A</v>
      </c>
      <c r="AB175" s="72" t="str">
        <f>_xlfn.IFNA(IF(S_normal[[#This Row],[Indeks (base 0)]]=ROUND((ROUND(S_normal[[#This Row],[X base]],0)-U$8)/(U$9-U$8)*U$4,0),S_normal[[#This Row],[X base]]*B$6+B$5,""),"")</f>
        <v/>
      </c>
      <c r="AC175" s="99" t="str">
        <f t="shared" si="25"/>
        <v xml:space="preserve"> </v>
      </c>
      <c r="AE175" s="54">
        <f t="shared" si="28"/>
        <v>162</v>
      </c>
      <c r="AF175" s="54">
        <f>S_binomial[[#This Row],[Indeks (base 0)]]+1</f>
        <v>163</v>
      </c>
      <c r="AG175" s="99">
        <f t="shared" si="29"/>
        <v>1</v>
      </c>
      <c r="AH175" s="99">
        <f>IF(MOD(S_binomial[[#This Row],[Indeks (base 0)]],AF$7)=0,NA(),_xlfn.BINOM.DIST(S_binomial[[#This Row],[X base]],E$5,E$6,FALSE))</f>
        <v>2.7751718400000021E-4</v>
      </c>
      <c r="AI175" s="99" t="b">
        <f>S_binomial[[#This Row],[X base]]&lt;AF$5</f>
        <v>1</v>
      </c>
      <c r="AJ175" s="99" t="b">
        <f>S_binomial[[#This Row],[X base]]=AF$5</f>
        <v>0</v>
      </c>
      <c r="AK175" s="99" t="b">
        <f>S_binomial[[#This Row],[X base]]&gt;AF$5</f>
        <v>0</v>
      </c>
      <c r="AL175" s="99">
        <f>IF(S_binomial[[#This Row],[Mindre end]],S_binomial[[#This Row],[Binomialfordeling]],NA())</f>
        <v>2.7751718400000021E-4</v>
      </c>
      <c r="AM175" s="99" t="e">
        <f>IF(S_binomial[[#This Row],[Lig med]],S_binomial[[#This Row],[Binomialfordeling]],NA())</f>
        <v>#N/A</v>
      </c>
      <c r="AN175" s="99" t="e">
        <f>IF(S_binomial[[#This Row],[Større end]],S_binomial[[#This Row],[Binomialfordeling]],NA())</f>
        <v>#N/A</v>
      </c>
      <c r="AO175" s="85" t="str">
        <f>_xlfn.IFNA(IF(MOD(S_binomial[[#This Row],[Indeks (base 0)]],AF$7)=ROUNDDOWN(AF$7/2,0),S_binomial[[#This Row],[X base]],""),"")</f>
        <v/>
      </c>
      <c r="AP175" s="99" t="str">
        <f t="shared" si="30"/>
        <v xml:space="preserve"> </v>
      </c>
      <c r="AR175" s="54">
        <f t="shared" si="31"/>
        <v>162</v>
      </c>
      <c r="AS175" s="54">
        <f>S_normal27[[#This Row],[Indeks (base 0)]]+1</f>
        <v>163</v>
      </c>
      <c r="AT175" s="54">
        <f t="shared" si="33"/>
        <v>2</v>
      </c>
      <c r="AU175" s="54">
        <f>IF(MOD(S_normal27[[#This Row],[Indeks (base 0)]],AS$8)=0,NA(),_xlfn.POISSON.DIST(S_normal27[[#This Row],[X base]],$H$5,FALSE))</f>
        <v>0.22404180765538775</v>
      </c>
      <c r="AV175" s="99" t="b">
        <f>S_normal27[[#This Row],[X base]]&lt;AS$5</f>
        <v>0</v>
      </c>
      <c r="AW175" s="99" t="b">
        <f>S_normal27[[#This Row],[X base]]=AS$5</f>
        <v>1</v>
      </c>
      <c r="AX175" s="99" t="b">
        <f>S_normal27[[#This Row],[X base]]&gt;AS$5</f>
        <v>0</v>
      </c>
      <c r="AY175" s="99" t="e">
        <f>IF(S_normal27[[#This Row],[Mindre end]],S_normal27[[#This Row],[Poissonfordeling]],NA())</f>
        <v>#N/A</v>
      </c>
      <c r="AZ175" s="99">
        <f>IF(S_normal27[[#This Row],[Lig med]],S_normal27[[#This Row],[Poissonfordeling]],NA())</f>
        <v>0.22404180765538775</v>
      </c>
      <c r="BA175" s="99" t="e">
        <f>IF(S_normal27[[#This Row],[Større end]],S_normal27[[#This Row],[Poissonfordeling]],NA())</f>
        <v>#N/A</v>
      </c>
      <c r="BB175" s="85">
        <f>_xlfn.IFNA(IF(MOD(S_normal27[[#This Row],[Indeks (base 0)]],AS$8)=ROUNDDOWN(AS$8/2,0),S_normal27[[#This Row],[X base]],""),"")</f>
        <v>2</v>
      </c>
      <c r="BC175" s="99" t="str">
        <f t="shared" si="32"/>
        <v>22.404%
 lig med 2</v>
      </c>
    </row>
    <row r="176" spans="20:55" x14ac:dyDescent="0.2">
      <c r="T176" s="54">
        <f t="shared" si="26"/>
        <v>163</v>
      </c>
      <c r="U176" s="54">
        <f>S_normal[[#This Row],[Indeks (base 0)]]+1</f>
        <v>164</v>
      </c>
      <c r="V176" s="99">
        <f t="shared" si="24"/>
        <v>0.81447983263337687</v>
      </c>
      <c r="W176" s="99">
        <f t="shared" si="27"/>
        <v>0.28632514820484689</v>
      </c>
      <c r="X176" s="99" t="b">
        <f>S_normal[[#This Row],[X base]]&lt;U$7</f>
        <v>1</v>
      </c>
      <c r="Y176" s="99" t="b">
        <f>S_normal[[#This Row],[X base]]&gt;U$7</f>
        <v>0</v>
      </c>
      <c r="Z176" s="99">
        <f>IF(S_normal[[#This Row],[Mindre end]],S_normal[[#This Row],[Normalfordeling]],NA())</f>
        <v>0.28632514820484689</v>
      </c>
      <c r="AA176" s="99" t="e">
        <f>IF(S_normal[[#This Row],[Større end]],S_normal[[#This Row],[Normalfordeling]],NA())</f>
        <v>#N/A</v>
      </c>
      <c r="AB176" s="72" t="str">
        <f>_xlfn.IFNA(IF(S_normal[[#This Row],[Indeks (base 0)]]=ROUND((ROUND(S_normal[[#This Row],[X base]],0)-U$8)/(U$9-U$8)*U$4,0),S_normal[[#This Row],[X base]]*B$6+B$5,""),"")</f>
        <v/>
      </c>
      <c r="AC176" s="99" t="str">
        <f t="shared" si="25"/>
        <v xml:space="preserve"> </v>
      </c>
      <c r="AE176" s="54">
        <f t="shared" si="28"/>
        <v>163</v>
      </c>
      <c r="AF176" s="54">
        <f>S_binomial[[#This Row],[Indeks (base 0)]]+1</f>
        <v>164</v>
      </c>
      <c r="AG176" s="99">
        <f t="shared" si="29"/>
        <v>1</v>
      </c>
      <c r="AH176" s="99">
        <f>IF(MOD(S_binomial[[#This Row],[Indeks (base 0)]],AF$7)=0,NA(),_xlfn.BINOM.DIST(S_binomial[[#This Row],[X base]],E$5,E$6,FALSE))</f>
        <v>2.7751718400000021E-4</v>
      </c>
      <c r="AI176" s="99" t="b">
        <f>S_binomial[[#This Row],[X base]]&lt;AF$5</f>
        <v>1</v>
      </c>
      <c r="AJ176" s="99" t="b">
        <f>S_binomial[[#This Row],[X base]]=AF$5</f>
        <v>0</v>
      </c>
      <c r="AK176" s="99" t="b">
        <f>S_binomial[[#This Row],[X base]]&gt;AF$5</f>
        <v>0</v>
      </c>
      <c r="AL176" s="99">
        <f>IF(S_binomial[[#This Row],[Mindre end]],S_binomial[[#This Row],[Binomialfordeling]],NA())</f>
        <v>2.7751718400000021E-4</v>
      </c>
      <c r="AM176" s="99" t="e">
        <f>IF(S_binomial[[#This Row],[Lig med]],S_binomial[[#This Row],[Binomialfordeling]],NA())</f>
        <v>#N/A</v>
      </c>
      <c r="AN176" s="99" t="e">
        <f>IF(S_binomial[[#This Row],[Større end]],S_binomial[[#This Row],[Binomialfordeling]],NA())</f>
        <v>#N/A</v>
      </c>
      <c r="AO176" s="85" t="str">
        <f>_xlfn.IFNA(IF(MOD(S_binomial[[#This Row],[Indeks (base 0)]],AF$7)=ROUNDDOWN(AF$7/2,0),S_binomial[[#This Row],[X base]],""),"")</f>
        <v/>
      </c>
      <c r="AP176" s="99" t="str">
        <f t="shared" si="30"/>
        <v xml:space="preserve"> </v>
      </c>
      <c r="AR176" s="54">
        <f t="shared" si="31"/>
        <v>163</v>
      </c>
      <c r="AS176" s="54">
        <f>S_normal27[[#This Row],[Indeks (base 0)]]+1</f>
        <v>164</v>
      </c>
      <c r="AT176" s="54">
        <f t="shared" si="33"/>
        <v>2</v>
      </c>
      <c r="AU176" s="54">
        <f>IF(MOD(S_normal27[[#This Row],[Indeks (base 0)]],AS$8)=0,NA(),_xlfn.POISSON.DIST(S_normal27[[#This Row],[X base]],$H$5,FALSE))</f>
        <v>0.22404180765538775</v>
      </c>
      <c r="AV176" s="99" t="b">
        <f>S_normal27[[#This Row],[X base]]&lt;AS$5</f>
        <v>0</v>
      </c>
      <c r="AW176" s="99" t="b">
        <f>S_normal27[[#This Row],[X base]]=AS$5</f>
        <v>1</v>
      </c>
      <c r="AX176" s="99" t="b">
        <f>S_normal27[[#This Row],[X base]]&gt;AS$5</f>
        <v>0</v>
      </c>
      <c r="AY176" s="99" t="e">
        <f>IF(S_normal27[[#This Row],[Mindre end]],S_normal27[[#This Row],[Poissonfordeling]],NA())</f>
        <v>#N/A</v>
      </c>
      <c r="AZ176" s="99">
        <f>IF(S_normal27[[#This Row],[Lig med]],S_normal27[[#This Row],[Poissonfordeling]],NA())</f>
        <v>0.22404180765538775</v>
      </c>
      <c r="BA176" s="99" t="e">
        <f>IF(S_normal27[[#This Row],[Større end]],S_normal27[[#This Row],[Poissonfordeling]],NA())</f>
        <v>#N/A</v>
      </c>
      <c r="BB176" s="85" t="str">
        <f>_xlfn.IFNA(IF(MOD(S_normal27[[#This Row],[Indeks (base 0)]],AS$8)=ROUNDDOWN(AS$8/2,0),S_normal27[[#This Row],[X base]],""),"")</f>
        <v/>
      </c>
      <c r="BC176" s="99" t="str">
        <f t="shared" si="32"/>
        <v xml:space="preserve"> </v>
      </c>
    </row>
    <row r="177" spans="20:55" x14ac:dyDescent="0.2">
      <c r="T177" s="54">
        <f t="shared" si="26"/>
        <v>164</v>
      </c>
      <c r="U177" s="54">
        <f>S_normal[[#This Row],[Indeks (base 0)]]+1</f>
        <v>165</v>
      </c>
      <c r="V177" s="99">
        <f t="shared" si="24"/>
        <v>0.83843512182847624</v>
      </c>
      <c r="W177" s="99">
        <f t="shared" si="27"/>
        <v>0.28071222072349422</v>
      </c>
      <c r="X177" s="99" t="b">
        <f>S_normal[[#This Row],[X base]]&lt;U$7</f>
        <v>1</v>
      </c>
      <c r="Y177" s="99" t="b">
        <f>S_normal[[#This Row],[X base]]&gt;U$7</f>
        <v>0</v>
      </c>
      <c r="Z177" s="99">
        <f>IF(S_normal[[#This Row],[Mindre end]],S_normal[[#This Row],[Normalfordeling]],NA())</f>
        <v>0.28071222072349422</v>
      </c>
      <c r="AA177" s="99" t="e">
        <f>IF(S_normal[[#This Row],[Større end]],S_normal[[#This Row],[Normalfordeling]],NA())</f>
        <v>#N/A</v>
      </c>
      <c r="AB177" s="72" t="str">
        <f>_xlfn.IFNA(IF(S_normal[[#This Row],[Indeks (base 0)]]=ROUND((ROUND(S_normal[[#This Row],[X base]],0)-U$8)/(U$9-U$8)*U$4,0),S_normal[[#This Row],[X base]]*B$6+B$5,""),"")</f>
        <v/>
      </c>
      <c r="AC177" s="99" t="str">
        <f t="shared" si="25"/>
        <v xml:space="preserve"> </v>
      </c>
      <c r="AE177" s="54">
        <f t="shared" si="28"/>
        <v>164</v>
      </c>
      <c r="AF177" s="54">
        <f>S_binomial[[#This Row],[Indeks (base 0)]]+1</f>
        <v>165</v>
      </c>
      <c r="AG177" s="99">
        <f t="shared" si="29"/>
        <v>1</v>
      </c>
      <c r="AH177" s="99">
        <f>IF(MOD(S_binomial[[#This Row],[Indeks (base 0)]],AF$7)=0,NA(),_xlfn.BINOM.DIST(S_binomial[[#This Row],[X base]],E$5,E$6,FALSE))</f>
        <v>2.7751718400000021E-4</v>
      </c>
      <c r="AI177" s="99" t="b">
        <f>S_binomial[[#This Row],[X base]]&lt;AF$5</f>
        <v>1</v>
      </c>
      <c r="AJ177" s="99" t="b">
        <f>S_binomial[[#This Row],[X base]]=AF$5</f>
        <v>0</v>
      </c>
      <c r="AK177" s="99" t="b">
        <f>S_binomial[[#This Row],[X base]]&gt;AF$5</f>
        <v>0</v>
      </c>
      <c r="AL177" s="99">
        <f>IF(S_binomial[[#This Row],[Mindre end]],S_binomial[[#This Row],[Binomialfordeling]],NA())</f>
        <v>2.7751718400000021E-4</v>
      </c>
      <c r="AM177" s="99" t="e">
        <f>IF(S_binomial[[#This Row],[Lig med]],S_binomial[[#This Row],[Binomialfordeling]],NA())</f>
        <v>#N/A</v>
      </c>
      <c r="AN177" s="99" t="e">
        <f>IF(S_binomial[[#This Row],[Større end]],S_binomial[[#This Row],[Binomialfordeling]],NA())</f>
        <v>#N/A</v>
      </c>
      <c r="AO177" s="85" t="str">
        <f>_xlfn.IFNA(IF(MOD(S_binomial[[#This Row],[Indeks (base 0)]],AF$7)=ROUNDDOWN(AF$7/2,0),S_binomial[[#This Row],[X base]],""),"")</f>
        <v/>
      </c>
      <c r="AP177" s="99" t="str">
        <f t="shared" si="30"/>
        <v xml:space="preserve"> </v>
      </c>
      <c r="AR177" s="54">
        <f t="shared" si="31"/>
        <v>164</v>
      </c>
      <c r="AS177" s="54">
        <f>S_normal27[[#This Row],[Indeks (base 0)]]+1</f>
        <v>165</v>
      </c>
      <c r="AT177" s="54">
        <f t="shared" si="33"/>
        <v>2</v>
      </c>
      <c r="AU177" s="54">
        <f>IF(MOD(S_normal27[[#This Row],[Indeks (base 0)]],AS$8)=0,NA(),_xlfn.POISSON.DIST(S_normal27[[#This Row],[X base]],$H$5,FALSE))</f>
        <v>0.22404180765538775</v>
      </c>
      <c r="AV177" s="99" t="b">
        <f>S_normal27[[#This Row],[X base]]&lt;AS$5</f>
        <v>0</v>
      </c>
      <c r="AW177" s="99" t="b">
        <f>S_normal27[[#This Row],[X base]]=AS$5</f>
        <v>1</v>
      </c>
      <c r="AX177" s="99" t="b">
        <f>S_normal27[[#This Row],[X base]]&gt;AS$5</f>
        <v>0</v>
      </c>
      <c r="AY177" s="99" t="e">
        <f>IF(S_normal27[[#This Row],[Mindre end]],S_normal27[[#This Row],[Poissonfordeling]],NA())</f>
        <v>#N/A</v>
      </c>
      <c r="AZ177" s="99">
        <f>IF(S_normal27[[#This Row],[Lig med]],S_normal27[[#This Row],[Poissonfordeling]],NA())</f>
        <v>0.22404180765538775</v>
      </c>
      <c r="BA177" s="99" t="e">
        <f>IF(S_normal27[[#This Row],[Større end]],S_normal27[[#This Row],[Poissonfordeling]],NA())</f>
        <v>#N/A</v>
      </c>
      <c r="BB177" s="85" t="str">
        <f>_xlfn.IFNA(IF(MOD(S_normal27[[#This Row],[Indeks (base 0)]],AS$8)=ROUNDDOWN(AS$8/2,0),S_normal27[[#This Row],[X base]],""),"")</f>
        <v/>
      </c>
      <c r="BC177" s="99" t="str">
        <f t="shared" si="32"/>
        <v xml:space="preserve"> </v>
      </c>
    </row>
    <row r="178" spans="20:55" x14ac:dyDescent="0.2">
      <c r="T178" s="54">
        <f t="shared" si="26"/>
        <v>165</v>
      </c>
      <c r="U178" s="54">
        <f>S_normal[[#This Row],[Indeks (base 0)]]+1</f>
        <v>166</v>
      </c>
      <c r="V178" s="99">
        <f t="shared" si="24"/>
        <v>0.86239041102357561</v>
      </c>
      <c r="W178" s="99">
        <f t="shared" si="27"/>
        <v>0.27505144014997257</v>
      </c>
      <c r="X178" s="99" t="b">
        <f>S_normal[[#This Row],[X base]]&lt;U$7</f>
        <v>1</v>
      </c>
      <c r="Y178" s="99" t="b">
        <f>S_normal[[#This Row],[X base]]&gt;U$7</f>
        <v>0</v>
      </c>
      <c r="Z178" s="99">
        <f>IF(S_normal[[#This Row],[Mindre end]],S_normal[[#This Row],[Normalfordeling]],NA())</f>
        <v>0.27505144014997257</v>
      </c>
      <c r="AA178" s="99" t="e">
        <f>IF(S_normal[[#This Row],[Større end]],S_normal[[#This Row],[Normalfordeling]],NA())</f>
        <v>#N/A</v>
      </c>
      <c r="AB178" s="72" t="str">
        <f>_xlfn.IFNA(IF(S_normal[[#This Row],[Indeks (base 0)]]=ROUND((ROUND(S_normal[[#This Row],[X base]],0)-U$8)/(U$9-U$8)*U$4,0),S_normal[[#This Row],[X base]]*B$6+B$5,""),"")</f>
        <v/>
      </c>
      <c r="AC178" s="99" t="str">
        <f t="shared" si="25"/>
        <v xml:space="preserve"> </v>
      </c>
      <c r="AE178" s="54">
        <f t="shared" si="28"/>
        <v>165</v>
      </c>
      <c r="AF178" s="54">
        <f>S_binomial[[#This Row],[Indeks (base 0)]]+1</f>
        <v>166</v>
      </c>
      <c r="AG178" s="99">
        <f t="shared" si="29"/>
        <v>1</v>
      </c>
      <c r="AH178" s="99">
        <f>IF(MOD(S_binomial[[#This Row],[Indeks (base 0)]],AF$7)=0,NA(),_xlfn.BINOM.DIST(S_binomial[[#This Row],[X base]],E$5,E$6,FALSE))</f>
        <v>2.7751718400000021E-4</v>
      </c>
      <c r="AI178" s="99" t="b">
        <f>S_binomial[[#This Row],[X base]]&lt;AF$5</f>
        <v>1</v>
      </c>
      <c r="AJ178" s="99" t="b">
        <f>S_binomial[[#This Row],[X base]]=AF$5</f>
        <v>0</v>
      </c>
      <c r="AK178" s="99" t="b">
        <f>S_binomial[[#This Row],[X base]]&gt;AF$5</f>
        <v>0</v>
      </c>
      <c r="AL178" s="99">
        <f>IF(S_binomial[[#This Row],[Mindre end]],S_binomial[[#This Row],[Binomialfordeling]],NA())</f>
        <v>2.7751718400000021E-4</v>
      </c>
      <c r="AM178" s="99" t="e">
        <f>IF(S_binomial[[#This Row],[Lig med]],S_binomial[[#This Row],[Binomialfordeling]],NA())</f>
        <v>#N/A</v>
      </c>
      <c r="AN178" s="99" t="e">
        <f>IF(S_binomial[[#This Row],[Større end]],S_binomial[[#This Row],[Binomialfordeling]],NA())</f>
        <v>#N/A</v>
      </c>
      <c r="AO178" s="85" t="str">
        <f>_xlfn.IFNA(IF(MOD(S_binomial[[#This Row],[Indeks (base 0)]],AF$7)=ROUNDDOWN(AF$7/2,0),S_binomial[[#This Row],[X base]],""),"")</f>
        <v/>
      </c>
      <c r="AP178" s="99" t="str">
        <f t="shared" si="30"/>
        <v xml:space="preserve"> </v>
      </c>
      <c r="AR178" s="54">
        <f t="shared" si="31"/>
        <v>165</v>
      </c>
      <c r="AS178" s="54">
        <f>S_normal27[[#This Row],[Indeks (base 0)]]+1</f>
        <v>166</v>
      </c>
      <c r="AT178" s="54">
        <f t="shared" si="33"/>
        <v>2</v>
      </c>
      <c r="AU178" s="54">
        <f>IF(MOD(S_normal27[[#This Row],[Indeks (base 0)]],AS$8)=0,NA(),_xlfn.POISSON.DIST(S_normal27[[#This Row],[X base]],$H$5,FALSE))</f>
        <v>0.22404180765538775</v>
      </c>
      <c r="AV178" s="99" t="b">
        <f>S_normal27[[#This Row],[X base]]&lt;AS$5</f>
        <v>0</v>
      </c>
      <c r="AW178" s="99" t="b">
        <f>S_normal27[[#This Row],[X base]]=AS$5</f>
        <v>1</v>
      </c>
      <c r="AX178" s="99" t="b">
        <f>S_normal27[[#This Row],[X base]]&gt;AS$5</f>
        <v>0</v>
      </c>
      <c r="AY178" s="99" t="e">
        <f>IF(S_normal27[[#This Row],[Mindre end]],S_normal27[[#This Row],[Poissonfordeling]],NA())</f>
        <v>#N/A</v>
      </c>
      <c r="AZ178" s="99">
        <f>IF(S_normal27[[#This Row],[Lig med]],S_normal27[[#This Row],[Poissonfordeling]],NA())</f>
        <v>0.22404180765538775</v>
      </c>
      <c r="BA178" s="99" t="e">
        <f>IF(S_normal27[[#This Row],[Større end]],S_normal27[[#This Row],[Poissonfordeling]],NA())</f>
        <v>#N/A</v>
      </c>
      <c r="BB178" s="85" t="str">
        <f>_xlfn.IFNA(IF(MOD(S_normal27[[#This Row],[Indeks (base 0)]],AS$8)=ROUNDDOWN(AS$8/2,0),S_normal27[[#This Row],[X base]],""),"")</f>
        <v/>
      </c>
      <c r="BC178" s="99" t="str">
        <f t="shared" si="32"/>
        <v xml:space="preserve"> </v>
      </c>
    </row>
    <row r="179" spans="20:55" x14ac:dyDescent="0.2">
      <c r="T179" s="54">
        <f t="shared" si="26"/>
        <v>166</v>
      </c>
      <c r="U179" s="54">
        <f>S_normal[[#This Row],[Indeks (base 0)]]+1</f>
        <v>167</v>
      </c>
      <c r="V179" s="99">
        <f t="shared" si="24"/>
        <v>0.88634570021867498</v>
      </c>
      <c r="W179" s="99">
        <f t="shared" si="27"/>
        <v>0.26935020107061902</v>
      </c>
      <c r="X179" s="99" t="b">
        <f>S_normal[[#This Row],[X base]]&lt;U$7</f>
        <v>1</v>
      </c>
      <c r="Y179" s="99" t="b">
        <f>S_normal[[#This Row],[X base]]&gt;U$7</f>
        <v>0</v>
      </c>
      <c r="Z179" s="99">
        <f>IF(S_normal[[#This Row],[Mindre end]],S_normal[[#This Row],[Normalfordeling]],NA())</f>
        <v>0.26935020107061902</v>
      </c>
      <c r="AA179" s="99" t="e">
        <f>IF(S_normal[[#This Row],[Større end]],S_normal[[#This Row],[Normalfordeling]],NA())</f>
        <v>#N/A</v>
      </c>
      <c r="AB179" s="72" t="str">
        <f>_xlfn.IFNA(IF(S_normal[[#This Row],[Indeks (base 0)]]=ROUND((ROUND(S_normal[[#This Row],[X base]],0)-U$8)/(U$9-U$8)*U$4,0),S_normal[[#This Row],[X base]]*B$6+B$5,""),"")</f>
        <v/>
      </c>
      <c r="AC179" s="99" t="str">
        <f t="shared" si="25"/>
        <v xml:space="preserve"> </v>
      </c>
      <c r="AE179" s="54">
        <f t="shared" si="28"/>
        <v>166</v>
      </c>
      <c r="AF179" s="54">
        <f>S_binomial[[#This Row],[Indeks (base 0)]]+1</f>
        <v>167</v>
      </c>
      <c r="AG179" s="99">
        <f t="shared" si="29"/>
        <v>1</v>
      </c>
      <c r="AH179" s="99">
        <f>IF(MOD(S_binomial[[#This Row],[Indeks (base 0)]],AF$7)=0,NA(),_xlfn.BINOM.DIST(S_binomial[[#This Row],[X base]],E$5,E$6,FALSE))</f>
        <v>2.7751718400000021E-4</v>
      </c>
      <c r="AI179" s="99" t="b">
        <f>S_binomial[[#This Row],[X base]]&lt;AF$5</f>
        <v>1</v>
      </c>
      <c r="AJ179" s="99" t="b">
        <f>S_binomial[[#This Row],[X base]]=AF$5</f>
        <v>0</v>
      </c>
      <c r="AK179" s="99" t="b">
        <f>S_binomial[[#This Row],[X base]]&gt;AF$5</f>
        <v>0</v>
      </c>
      <c r="AL179" s="99">
        <f>IF(S_binomial[[#This Row],[Mindre end]],S_binomial[[#This Row],[Binomialfordeling]],NA())</f>
        <v>2.7751718400000021E-4</v>
      </c>
      <c r="AM179" s="99" t="e">
        <f>IF(S_binomial[[#This Row],[Lig med]],S_binomial[[#This Row],[Binomialfordeling]],NA())</f>
        <v>#N/A</v>
      </c>
      <c r="AN179" s="99" t="e">
        <f>IF(S_binomial[[#This Row],[Større end]],S_binomial[[#This Row],[Binomialfordeling]],NA())</f>
        <v>#N/A</v>
      </c>
      <c r="AO179" s="85" t="str">
        <f>_xlfn.IFNA(IF(MOD(S_binomial[[#This Row],[Indeks (base 0)]],AF$7)=ROUNDDOWN(AF$7/2,0),S_binomial[[#This Row],[X base]],""),"")</f>
        <v/>
      </c>
      <c r="AP179" s="99" t="str">
        <f t="shared" si="30"/>
        <v xml:space="preserve"> </v>
      </c>
      <c r="AR179" s="54">
        <f t="shared" si="31"/>
        <v>166</v>
      </c>
      <c r="AS179" s="54">
        <f>S_normal27[[#This Row],[Indeks (base 0)]]+1</f>
        <v>167</v>
      </c>
      <c r="AT179" s="54">
        <f t="shared" si="33"/>
        <v>2</v>
      </c>
      <c r="AU179" s="54">
        <f>IF(MOD(S_normal27[[#This Row],[Indeks (base 0)]],AS$8)=0,NA(),_xlfn.POISSON.DIST(S_normal27[[#This Row],[X base]],$H$5,FALSE))</f>
        <v>0.22404180765538775</v>
      </c>
      <c r="AV179" s="99" t="b">
        <f>S_normal27[[#This Row],[X base]]&lt;AS$5</f>
        <v>0</v>
      </c>
      <c r="AW179" s="99" t="b">
        <f>S_normal27[[#This Row],[X base]]=AS$5</f>
        <v>1</v>
      </c>
      <c r="AX179" s="99" t="b">
        <f>S_normal27[[#This Row],[X base]]&gt;AS$5</f>
        <v>0</v>
      </c>
      <c r="AY179" s="99" t="e">
        <f>IF(S_normal27[[#This Row],[Mindre end]],S_normal27[[#This Row],[Poissonfordeling]],NA())</f>
        <v>#N/A</v>
      </c>
      <c r="AZ179" s="99">
        <f>IF(S_normal27[[#This Row],[Lig med]],S_normal27[[#This Row],[Poissonfordeling]],NA())</f>
        <v>0.22404180765538775</v>
      </c>
      <c r="BA179" s="99" t="e">
        <f>IF(S_normal27[[#This Row],[Større end]],S_normal27[[#This Row],[Poissonfordeling]],NA())</f>
        <v>#N/A</v>
      </c>
      <c r="BB179" s="85" t="str">
        <f>_xlfn.IFNA(IF(MOD(S_normal27[[#This Row],[Indeks (base 0)]],AS$8)=ROUNDDOWN(AS$8/2,0),S_normal27[[#This Row],[X base]],""),"")</f>
        <v/>
      </c>
      <c r="BC179" s="99" t="str">
        <f t="shared" si="32"/>
        <v xml:space="preserve"> </v>
      </c>
    </row>
    <row r="180" spans="20:55" x14ac:dyDescent="0.2">
      <c r="T180" s="54">
        <f t="shared" si="26"/>
        <v>167</v>
      </c>
      <c r="U180" s="54">
        <f>S_normal[[#This Row],[Indeks (base 0)]]+1</f>
        <v>168</v>
      </c>
      <c r="V180" s="99">
        <f t="shared" si="24"/>
        <v>0.91030098941377435</v>
      </c>
      <c r="W180" s="99">
        <f t="shared" si="27"/>
        <v>0.26361581581156529</v>
      </c>
      <c r="X180" s="99" t="b">
        <f>S_normal[[#This Row],[X base]]&lt;U$7</f>
        <v>1</v>
      </c>
      <c r="Y180" s="99" t="b">
        <f>S_normal[[#This Row],[X base]]&gt;U$7</f>
        <v>0</v>
      </c>
      <c r="Z180" s="99">
        <f>IF(S_normal[[#This Row],[Mindre end]],S_normal[[#This Row],[Normalfordeling]],NA())</f>
        <v>0.26361581581156529</v>
      </c>
      <c r="AA180" s="99" t="e">
        <f>IF(S_normal[[#This Row],[Større end]],S_normal[[#This Row],[Normalfordeling]],NA())</f>
        <v>#N/A</v>
      </c>
      <c r="AB180" s="72" t="str">
        <f>_xlfn.IFNA(IF(S_normal[[#This Row],[Indeks (base 0)]]=ROUND((ROUND(S_normal[[#This Row],[X base]],0)-U$8)/(U$9-U$8)*U$4,0),S_normal[[#This Row],[X base]]*B$6+B$5,""),"")</f>
        <v/>
      </c>
      <c r="AC180" s="99" t="str">
        <f t="shared" si="25"/>
        <v xml:space="preserve"> </v>
      </c>
      <c r="AE180" s="54">
        <f t="shared" si="28"/>
        <v>167</v>
      </c>
      <c r="AF180" s="54">
        <f>S_binomial[[#This Row],[Indeks (base 0)]]+1</f>
        <v>168</v>
      </c>
      <c r="AG180" s="99">
        <f t="shared" si="29"/>
        <v>1</v>
      </c>
      <c r="AH180" s="99">
        <f>IF(MOD(S_binomial[[#This Row],[Indeks (base 0)]],AF$7)=0,NA(),_xlfn.BINOM.DIST(S_binomial[[#This Row],[X base]],E$5,E$6,FALSE))</f>
        <v>2.7751718400000021E-4</v>
      </c>
      <c r="AI180" s="99" t="b">
        <f>S_binomial[[#This Row],[X base]]&lt;AF$5</f>
        <v>1</v>
      </c>
      <c r="AJ180" s="99" t="b">
        <f>S_binomial[[#This Row],[X base]]=AF$5</f>
        <v>0</v>
      </c>
      <c r="AK180" s="99" t="b">
        <f>S_binomial[[#This Row],[X base]]&gt;AF$5</f>
        <v>0</v>
      </c>
      <c r="AL180" s="99">
        <f>IF(S_binomial[[#This Row],[Mindre end]],S_binomial[[#This Row],[Binomialfordeling]],NA())</f>
        <v>2.7751718400000021E-4</v>
      </c>
      <c r="AM180" s="99" t="e">
        <f>IF(S_binomial[[#This Row],[Lig med]],S_binomial[[#This Row],[Binomialfordeling]],NA())</f>
        <v>#N/A</v>
      </c>
      <c r="AN180" s="99" t="e">
        <f>IF(S_binomial[[#This Row],[Større end]],S_binomial[[#This Row],[Binomialfordeling]],NA())</f>
        <v>#N/A</v>
      </c>
      <c r="AO180" s="85" t="str">
        <f>_xlfn.IFNA(IF(MOD(S_binomial[[#This Row],[Indeks (base 0)]],AF$7)=ROUNDDOWN(AF$7/2,0),S_binomial[[#This Row],[X base]],""),"")</f>
        <v/>
      </c>
      <c r="AP180" s="99" t="str">
        <f t="shared" si="30"/>
        <v xml:space="preserve"> </v>
      </c>
      <c r="AR180" s="54">
        <f t="shared" si="31"/>
        <v>167</v>
      </c>
      <c r="AS180" s="54">
        <f>S_normal27[[#This Row],[Indeks (base 0)]]+1</f>
        <v>168</v>
      </c>
      <c r="AT180" s="54">
        <f t="shared" si="33"/>
        <v>2</v>
      </c>
      <c r="AU180" s="54">
        <f>IF(MOD(S_normal27[[#This Row],[Indeks (base 0)]],AS$8)=0,NA(),_xlfn.POISSON.DIST(S_normal27[[#This Row],[X base]],$H$5,FALSE))</f>
        <v>0.22404180765538775</v>
      </c>
      <c r="AV180" s="99" t="b">
        <f>S_normal27[[#This Row],[X base]]&lt;AS$5</f>
        <v>0</v>
      </c>
      <c r="AW180" s="99" t="b">
        <f>S_normal27[[#This Row],[X base]]=AS$5</f>
        <v>1</v>
      </c>
      <c r="AX180" s="99" t="b">
        <f>S_normal27[[#This Row],[X base]]&gt;AS$5</f>
        <v>0</v>
      </c>
      <c r="AY180" s="99" t="e">
        <f>IF(S_normal27[[#This Row],[Mindre end]],S_normal27[[#This Row],[Poissonfordeling]],NA())</f>
        <v>#N/A</v>
      </c>
      <c r="AZ180" s="99">
        <f>IF(S_normal27[[#This Row],[Lig med]],S_normal27[[#This Row],[Poissonfordeling]],NA())</f>
        <v>0.22404180765538775</v>
      </c>
      <c r="BA180" s="99" t="e">
        <f>IF(S_normal27[[#This Row],[Større end]],S_normal27[[#This Row],[Poissonfordeling]],NA())</f>
        <v>#N/A</v>
      </c>
      <c r="BB180" s="85" t="str">
        <f>_xlfn.IFNA(IF(MOD(S_normal27[[#This Row],[Indeks (base 0)]],AS$8)=ROUNDDOWN(AS$8/2,0),S_normal27[[#This Row],[X base]],""),"")</f>
        <v/>
      </c>
      <c r="BC180" s="99" t="str">
        <f t="shared" si="32"/>
        <v xml:space="preserve"> </v>
      </c>
    </row>
    <row r="181" spans="20:55" x14ac:dyDescent="0.2">
      <c r="T181" s="54">
        <f t="shared" si="26"/>
        <v>168</v>
      </c>
      <c r="U181" s="54">
        <f>S_normal[[#This Row],[Indeks (base 0)]]+1</f>
        <v>169</v>
      </c>
      <c r="V181" s="99">
        <f t="shared" si="24"/>
        <v>0.93425627860887328</v>
      </c>
      <c r="W181" s="99">
        <f t="shared" si="27"/>
        <v>0.25785549954028952</v>
      </c>
      <c r="X181" s="99" t="b">
        <f>S_normal[[#This Row],[X base]]&lt;U$7</f>
        <v>1</v>
      </c>
      <c r="Y181" s="99" t="b">
        <f>S_normal[[#This Row],[X base]]&gt;U$7</f>
        <v>0</v>
      </c>
      <c r="Z181" s="99">
        <f>IF(S_normal[[#This Row],[Mindre end]],S_normal[[#This Row],[Normalfordeling]],NA())</f>
        <v>0.25785549954028952</v>
      </c>
      <c r="AA181" s="99" t="e">
        <f>IF(S_normal[[#This Row],[Større end]],S_normal[[#This Row],[Normalfordeling]],NA())</f>
        <v>#N/A</v>
      </c>
      <c r="AB181" s="72" t="str">
        <f>_xlfn.IFNA(IF(S_normal[[#This Row],[Indeks (base 0)]]=ROUND((ROUND(S_normal[[#This Row],[X base]],0)-U$8)/(U$9-U$8)*U$4,0),S_normal[[#This Row],[X base]]*B$6+B$5,""),"")</f>
        <v/>
      </c>
      <c r="AC181" s="99" t="str">
        <f t="shared" si="25"/>
        <v xml:space="preserve"> </v>
      </c>
      <c r="AE181" s="54">
        <f t="shared" si="28"/>
        <v>168</v>
      </c>
      <c r="AF181" s="54">
        <f>S_binomial[[#This Row],[Indeks (base 0)]]+1</f>
        <v>169</v>
      </c>
      <c r="AG181" s="99">
        <f t="shared" si="29"/>
        <v>1</v>
      </c>
      <c r="AH181" s="99">
        <f>IF(MOD(S_binomial[[#This Row],[Indeks (base 0)]],AF$7)=0,NA(),_xlfn.BINOM.DIST(S_binomial[[#This Row],[X base]],E$5,E$6,FALSE))</f>
        <v>2.7751718400000021E-4</v>
      </c>
      <c r="AI181" s="99" t="b">
        <f>S_binomial[[#This Row],[X base]]&lt;AF$5</f>
        <v>1</v>
      </c>
      <c r="AJ181" s="99" t="b">
        <f>S_binomial[[#This Row],[X base]]=AF$5</f>
        <v>0</v>
      </c>
      <c r="AK181" s="99" t="b">
        <f>S_binomial[[#This Row],[X base]]&gt;AF$5</f>
        <v>0</v>
      </c>
      <c r="AL181" s="99">
        <f>IF(S_binomial[[#This Row],[Mindre end]],S_binomial[[#This Row],[Binomialfordeling]],NA())</f>
        <v>2.7751718400000021E-4</v>
      </c>
      <c r="AM181" s="99" t="e">
        <f>IF(S_binomial[[#This Row],[Lig med]],S_binomial[[#This Row],[Binomialfordeling]],NA())</f>
        <v>#N/A</v>
      </c>
      <c r="AN181" s="99" t="e">
        <f>IF(S_binomial[[#This Row],[Større end]],S_binomial[[#This Row],[Binomialfordeling]],NA())</f>
        <v>#N/A</v>
      </c>
      <c r="AO181" s="85" t="str">
        <f>_xlfn.IFNA(IF(MOD(S_binomial[[#This Row],[Indeks (base 0)]],AF$7)=ROUNDDOWN(AF$7/2,0),S_binomial[[#This Row],[X base]],""),"")</f>
        <v/>
      </c>
      <c r="AP181" s="99" t="str">
        <f t="shared" si="30"/>
        <v xml:space="preserve"> </v>
      </c>
      <c r="AR181" s="54">
        <f t="shared" si="31"/>
        <v>168</v>
      </c>
      <c r="AS181" s="54">
        <f>S_normal27[[#This Row],[Indeks (base 0)]]+1</f>
        <v>169</v>
      </c>
      <c r="AT181" s="54">
        <f t="shared" si="33"/>
        <v>2</v>
      </c>
      <c r="AU181" s="54">
        <f>IF(MOD(S_normal27[[#This Row],[Indeks (base 0)]],AS$8)=0,NA(),_xlfn.POISSON.DIST(S_normal27[[#This Row],[X base]],$H$5,FALSE))</f>
        <v>0.22404180765538775</v>
      </c>
      <c r="AV181" s="99" t="b">
        <f>S_normal27[[#This Row],[X base]]&lt;AS$5</f>
        <v>0</v>
      </c>
      <c r="AW181" s="99" t="b">
        <f>S_normal27[[#This Row],[X base]]=AS$5</f>
        <v>1</v>
      </c>
      <c r="AX181" s="99" t="b">
        <f>S_normal27[[#This Row],[X base]]&gt;AS$5</f>
        <v>0</v>
      </c>
      <c r="AY181" s="99" t="e">
        <f>IF(S_normal27[[#This Row],[Mindre end]],S_normal27[[#This Row],[Poissonfordeling]],NA())</f>
        <v>#N/A</v>
      </c>
      <c r="AZ181" s="99">
        <f>IF(S_normal27[[#This Row],[Lig med]],S_normal27[[#This Row],[Poissonfordeling]],NA())</f>
        <v>0.22404180765538775</v>
      </c>
      <c r="BA181" s="99" t="e">
        <f>IF(S_normal27[[#This Row],[Større end]],S_normal27[[#This Row],[Poissonfordeling]],NA())</f>
        <v>#N/A</v>
      </c>
      <c r="BB181" s="85" t="str">
        <f>_xlfn.IFNA(IF(MOD(S_normal27[[#This Row],[Indeks (base 0)]],AS$8)=ROUNDDOWN(AS$8/2,0),S_normal27[[#This Row],[X base]],""),"")</f>
        <v/>
      </c>
      <c r="BC181" s="99" t="str">
        <f t="shared" si="32"/>
        <v xml:space="preserve"> </v>
      </c>
    </row>
    <row r="182" spans="20:55" x14ac:dyDescent="0.2">
      <c r="T182" s="54">
        <f t="shared" si="26"/>
        <v>169</v>
      </c>
      <c r="U182" s="54">
        <f>S_normal[[#This Row],[Indeks (base 0)]]+1</f>
        <v>170</v>
      </c>
      <c r="V182" s="99">
        <f t="shared" si="24"/>
        <v>0.9582115678039731</v>
      </c>
      <c r="W182" s="99">
        <f t="shared" si="27"/>
        <v>0.25207635595578487</v>
      </c>
      <c r="X182" s="99" t="b">
        <f>S_normal[[#This Row],[X base]]&lt;U$7</f>
        <v>1</v>
      </c>
      <c r="Y182" s="99" t="b">
        <f>S_normal[[#This Row],[X base]]&gt;U$7</f>
        <v>0</v>
      </c>
      <c r="Z182" s="99">
        <f>IF(S_normal[[#This Row],[Mindre end]],S_normal[[#This Row],[Normalfordeling]],NA())</f>
        <v>0.25207635595578487</v>
      </c>
      <c r="AA182" s="99" t="e">
        <f>IF(S_normal[[#This Row],[Større end]],S_normal[[#This Row],[Normalfordeling]],NA())</f>
        <v>#N/A</v>
      </c>
      <c r="AB182" s="72" t="str">
        <f>_xlfn.IFNA(IF(S_normal[[#This Row],[Indeks (base 0)]]=ROUND((ROUND(S_normal[[#This Row],[X base]],0)-U$8)/(U$9-U$8)*U$4,0),S_normal[[#This Row],[X base]]*B$6+B$5,""),"")</f>
        <v/>
      </c>
      <c r="AC182" s="99" t="str">
        <f t="shared" si="25"/>
        <v xml:space="preserve"> </v>
      </c>
      <c r="AE182" s="54">
        <f t="shared" si="28"/>
        <v>169</v>
      </c>
      <c r="AF182" s="54">
        <f>S_binomial[[#This Row],[Indeks (base 0)]]+1</f>
        <v>170</v>
      </c>
      <c r="AG182" s="99">
        <f t="shared" si="29"/>
        <v>1</v>
      </c>
      <c r="AH182" s="99">
        <f>IF(MOD(S_binomial[[#This Row],[Indeks (base 0)]],AF$7)=0,NA(),_xlfn.BINOM.DIST(S_binomial[[#This Row],[X base]],E$5,E$6,FALSE))</f>
        <v>2.7751718400000021E-4</v>
      </c>
      <c r="AI182" s="99" t="b">
        <f>S_binomial[[#This Row],[X base]]&lt;AF$5</f>
        <v>1</v>
      </c>
      <c r="AJ182" s="99" t="b">
        <f>S_binomial[[#This Row],[X base]]=AF$5</f>
        <v>0</v>
      </c>
      <c r="AK182" s="99" t="b">
        <f>S_binomial[[#This Row],[X base]]&gt;AF$5</f>
        <v>0</v>
      </c>
      <c r="AL182" s="99">
        <f>IF(S_binomial[[#This Row],[Mindre end]],S_binomial[[#This Row],[Binomialfordeling]],NA())</f>
        <v>2.7751718400000021E-4</v>
      </c>
      <c r="AM182" s="99" t="e">
        <f>IF(S_binomial[[#This Row],[Lig med]],S_binomial[[#This Row],[Binomialfordeling]],NA())</f>
        <v>#N/A</v>
      </c>
      <c r="AN182" s="99" t="e">
        <f>IF(S_binomial[[#This Row],[Større end]],S_binomial[[#This Row],[Binomialfordeling]],NA())</f>
        <v>#N/A</v>
      </c>
      <c r="AO182" s="85" t="str">
        <f>_xlfn.IFNA(IF(MOD(S_binomial[[#This Row],[Indeks (base 0)]],AF$7)=ROUNDDOWN(AF$7/2,0),S_binomial[[#This Row],[X base]],""),"")</f>
        <v/>
      </c>
      <c r="AP182" s="99" t="str">
        <f t="shared" si="30"/>
        <v xml:space="preserve"> </v>
      </c>
      <c r="AR182" s="54">
        <f t="shared" si="31"/>
        <v>169</v>
      </c>
      <c r="AS182" s="54">
        <f>S_normal27[[#This Row],[Indeks (base 0)]]+1</f>
        <v>170</v>
      </c>
      <c r="AT182" s="54">
        <f t="shared" si="33"/>
        <v>2</v>
      </c>
      <c r="AU182" s="54">
        <f>IF(MOD(S_normal27[[#This Row],[Indeks (base 0)]],AS$8)=0,NA(),_xlfn.POISSON.DIST(S_normal27[[#This Row],[X base]],$H$5,FALSE))</f>
        <v>0.22404180765538775</v>
      </c>
      <c r="AV182" s="99" t="b">
        <f>S_normal27[[#This Row],[X base]]&lt;AS$5</f>
        <v>0</v>
      </c>
      <c r="AW182" s="99" t="b">
        <f>S_normal27[[#This Row],[X base]]=AS$5</f>
        <v>1</v>
      </c>
      <c r="AX182" s="99" t="b">
        <f>S_normal27[[#This Row],[X base]]&gt;AS$5</f>
        <v>0</v>
      </c>
      <c r="AY182" s="99" t="e">
        <f>IF(S_normal27[[#This Row],[Mindre end]],S_normal27[[#This Row],[Poissonfordeling]],NA())</f>
        <v>#N/A</v>
      </c>
      <c r="AZ182" s="99">
        <f>IF(S_normal27[[#This Row],[Lig med]],S_normal27[[#This Row],[Poissonfordeling]],NA())</f>
        <v>0.22404180765538775</v>
      </c>
      <c r="BA182" s="99" t="e">
        <f>IF(S_normal27[[#This Row],[Større end]],S_normal27[[#This Row],[Poissonfordeling]],NA())</f>
        <v>#N/A</v>
      </c>
      <c r="BB182" s="85" t="str">
        <f>_xlfn.IFNA(IF(MOD(S_normal27[[#This Row],[Indeks (base 0)]],AS$8)=ROUNDDOWN(AS$8/2,0),S_normal27[[#This Row],[X base]],""),"")</f>
        <v/>
      </c>
      <c r="BC182" s="99" t="str">
        <f t="shared" si="32"/>
        <v xml:space="preserve"> </v>
      </c>
    </row>
    <row r="183" spans="20:55" x14ac:dyDescent="0.2">
      <c r="T183" s="54">
        <f t="shared" si="26"/>
        <v>170</v>
      </c>
      <c r="U183" s="54">
        <f>S_normal[[#This Row],[Indeks (base 0)]]+1</f>
        <v>171</v>
      </c>
      <c r="V183" s="99">
        <f t="shared" si="24"/>
        <v>0.98216685699907202</v>
      </c>
      <c r="W183" s="99">
        <f t="shared" si="27"/>
        <v>0.24628536360353348</v>
      </c>
      <c r="X183" s="99" t="b">
        <f>S_normal[[#This Row],[X base]]&lt;U$7</f>
        <v>1</v>
      </c>
      <c r="Y183" s="99" t="b">
        <f>S_normal[[#This Row],[X base]]&gt;U$7</f>
        <v>0</v>
      </c>
      <c r="Z183" s="99">
        <f>IF(S_normal[[#This Row],[Mindre end]],S_normal[[#This Row],[Normalfordeling]],NA())</f>
        <v>0.24628536360353348</v>
      </c>
      <c r="AA183" s="99" t="e">
        <f>IF(S_normal[[#This Row],[Større end]],S_normal[[#This Row],[Normalfordeling]],NA())</f>
        <v>#N/A</v>
      </c>
      <c r="AB183" s="72" t="str">
        <f>_xlfn.IFNA(IF(S_normal[[#This Row],[Indeks (base 0)]]=ROUND((ROUND(S_normal[[#This Row],[X base]],0)-U$8)/(U$9-U$8)*U$4,0),S_normal[[#This Row],[X base]]*B$6+B$5,""),"")</f>
        <v/>
      </c>
      <c r="AC183" s="99" t="str">
        <f t="shared" si="25"/>
        <v xml:space="preserve"> </v>
      </c>
      <c r="AE183" s="54">
        <f t="shared" si="28"/>
        <v>170</v>
      </c>
      <c r="AF183" s="54">
        <f>S_binomial[[#This Row],[Indeks (base 0)]]+1</f>
        <v>171</v>
      </c>
      <c r="AG183" s="99">
        <f t="shared" si="29"/>
        <v>1</v>
      </c>
      <c r="AH183" s="99">
        <f>IF(MOD(S_binomial[[#This Row],[Indeks (base 0)]],AF$7)=0,NA(),_xlfn.BINOM.DIST(S_binomial[[#This Row],[X base]],E$5,E$6,FALSE))</f>
        <v>2.7751718400000021E-4</v>
      </c>
      <c r="AI183" s="99" t="b">
        <f>S_binomial[[#This Row],[X base]]&lt;AF$5</f>
        <v>1</v>
      </c>
      <c r="AJ183" s="99" t="b">
        <f>S_binomial[[#This Row],[X base]]=AF$5</f>
        <v>0</v>
      </c>
      <c r="AK183" s="99" t="b">
        <f>S_binomial[[#This Row],[X base]]&gt;AF$5</f>
        <v>0</v>
      </c>
      <c r="AL183" s="99">
        <f>IF(S_binomial[[#This Row],[Mindre end]],S_binomial[[#This Row],[Binomialfordeling]],NA())</f>
        <v>2.7751718400000021E-4</v>
      </c>
      <c r="AM183" s="99" t="e">
        <f>IF(S_binomial[[#This Row],[Lig med]],S_binomial[[#This Row],[Binomialfordeling]],NA())</f>
        <v>#N/A</v>
      </c>
      <c r="AN183" s="99" t="e">
        <f>IF(S_binomial[[#This Row],[Større end]],S_binomial[[#This Row],[Binomialfordeling]],NA())</f>
        <v>#N/A</v>
      </c>
      <c r="AO183" s="85" t="str">
        <f>_xlfn.IFNA(IF(MOD(S_binomial[[#This Row],[Indeks (base 0)]],AF$7)=ROUNDDOWN(AF$7/2,0),S_binomial[[#This Row],[X base]],""),"")</f>
        <v/>
      </c>
      <c r="AP183" s="99" t="str">
        <f t="shared" si="30"/>
        <v xml:space="preserve"> </v>
      </c>
      <c r="AR183" s="54">
        <f t="shared" si="31"/>
        <v>170</v>
      </c>
      <c r="AS183" s="54">
        <f>S_normal27[[#This Row],[Indeks (base 0)]]+1</f>
        <v>171</v>
      </c>
      <c r="AT183" s="54">
        <f t="shared" si="33"/>
        <v>2</v>
      </c>
      <c r="AU183" s="54">
        <f>IF(MOD(S_normal27[[#This Row],[Indeks (base 0)]],AS$8)=0,NA(),_xlfn.POISSON.DIST(S_normal27[[#This Row],[X base]],$H$5,FALSE))</f>
        <v>0.22404180765538775</v>
      </c>
      <c r="AV183" s="99" t="b">
        <f>S_normal27[[#This Row],[X base]]&lt;AS$5</f>
        <v>0</v>
      </c>
      <c r="AW183" s="99" t="b">
        <f>S_normal27[[#This Row],[X base]]=AS$5</f>
        <v>1</v>
      </c>
      <c r="AX183" s="99" t="b">
        <f>S_normal27[[#This Row],[X base]]&gt;AS$5</f>
        <v>0</v>
      </c>
      <c r="AY183" s="99" t="e">
        <f>IF(S_normal27[[#This Row],[Mindre end]],S_normal27[[#This Row],[Poissonfordeling]],NA())</f>
        <v>#N/A</v>
      </c>
      <c r="AZ183" s="99">
        <f>IF(S_normal27[[#This Row],[Lig med]],S_normal27[[#This Row],[Poissonfordeling]],NA())</f>
        <v>0.22404180765538775</v>
      </c>
      <c r="BA183" s="99" t="e">
        <f>IF(S_normal27[[#This Row],[Større end]],S_normal27[[#This Row],[Poissonfordeling]],NA())</f>
        <v>#N/A</v>
      </c>
      <c r="BB183" s="85" t="str">
        <f>_xlfn.IFNA(IF(MOD(S_normal27[[#This Row],[Indeks (base 0)]],AS$8)=ROUNDDOWN(AS$8/2,0),S_normal27[[#This Row],[X base]],""),"")</f>
        <v/>
      </c>
      <c r="BC183" s="99" t="str">
        <f t="shared" si="32"/>
        <v xml:space="preserve"> </v>
      </c>
    </row>
    <row r="184" spans="20:55" x14ac:dyDescent="0.2">
      <c r="T184" s="54">
        <f t="shared" si="26"/>
        <v>171</v>
      </c>
      <c r="U184" s="54">
        <f>S_normal[[#This Row],[Indeks (base 0)]]+1</f>
        <v>172</v>
      </c>
      <c r="V184" s="99">
        <f t="shared" ref="V184:V245" si="34">U$8+(U$9-U$8)/U$4*T184</f>
        <v>1.0061221461941718</v>
      </c>
      <c r="W184" s="99">
        <f t="shared" si="27"/>
        <v>0.24048936284820582</v>
      </c>
      <c r="X184" s="99" t="b">
        <f>S_normal[[#This Row],[X base]]&lt;U$7</f>
        <v>1</v>
      </c>
      <c r="Y184" s="99" t="b">
        <f>S_normal[[#This Row],[X base]]&gt;U$7</f>
        <v>0</v>
      </c>
      <c r="Z184" s="99">
        <f>IF(S_normal[[#This Row],[Mindre end]],S_normal[[#This Row],[Normalfordeling]],NA())</f>
        <v>0.24048936284820582</v>
      </c>
      <c r="AA184" s="99" t="e">
        <f>IF(S_normal[[#This Row],[Større end]],S_normal[[#This Row],[Normalfordeling]],NA())</f>
        <v>#N/A</v>
      </c>
      <c r="AB184" s="72">
        <f>_xlfn.IFNA(IF(S_normal[[#This Row],[Indeks (base 0)]]=ROUND((ROUND(S_normal[[#This Row],[X base]],0)-U$8)/(U$9-U$8)*U$4,0),S_normal[[#This Row],[X base]]*B$6+B$5,""),"")</f>
        <v>24.024488584776687</v>
      </c>
      <c r="AC184" s="99" t="str">
        <f t="shared" ref="AC184:AC245" si="35">_xlfn.SWITCH(U184,AC$6,AC$4,AC$7,AC$5," ")</f>
        <v xml:space="preserve"> </v>
      </c>
      <c r="AE184" s="54">
        <f t="shared" si="28"/>
        <v>171</v>
      </c>
      <c r="AF184" s="54">
        <f>S_binomial[[#This Row],[Indeks (base 0)]]+1</f>
        <v>172</v>
      </c>
      <c r="AG184" s="99">
        <f t="shared" si="29"/>
        <v>1</v>
      </c>
      <c r="AH184" s="99">
        <f>IF(MOD(S_binomial[[#This Row],[Indeks (base 0)]],AF$7)=0,NA(),_xlfn.BINOM.DIST(S_binomial[[#This Row],[X base]],E$5,E$6,FALSE))</f>
        <v>2.7751718400000021E-4</v>
      </c>
      <c r="AI184" s="99" t="b">
        <f>S_binomial[[#This Row],[X base]]&lt;AF$5</f>
        <v>1</v>
      </c>
      <c r="AJ184" s="99" t="b">
        <f>S_binomial[[#This Row],[X base]]=AF$5</f>
        <v>0</v>
      </c>
      <c r="AK184" s="99" t="b">
        <f>S_binomial[[#This Row],[X base]]&gt;AF$5</f>
        <v>0</v>
      </c>
      <c r="AL184" s="99">
        <f>IF(S_binomial[[#This Row],[Mindre end]],S_binomial[[#This Row],[Binomialfordeling]],NA())</f>
        <v>2.7751718400000021E-4</v>
      </c>
      <c r="AM184" s="99" t="e">
        <f>IF(S_binomial[[#This Row],[Lig med]],S_binomial[[#This Row],[Binomialfordeling]],NA())</f>
        <v>#N/A</v>
      </c>
      <c r="AN184" s="99" t="e">
        <f>IF(S_binomial[[#This Row],[Større end]],S_binomial[[#This Row],[Binomialfordeling]],NA())</f>
        <v>#N/A</v>
      </c>
      <c r="AO184" s="85" t="str">
        <f>_xlfn.IFNA(IF(MOD(S_binomial[[#This Row],[Indeks (base 0)]],AF$7)=ROUNDDOWN(AF$7/2,0),S_binomial[[#This Row],[X base]],""),"")</f>
        <v/>
      </c>
      <c r="AP184" s="99" t="str">
        <f t="shared" si="30"/>
        <v xml:space="preserve"> </v>
      </c>
      <c r="AR184" s="54">
        <f t="shared" si="31"/>
        <v>171</v>
      </c>
      <c r="AS184" s="54">
        <f>S_normal27[[#This Row],[Indeks (base 0)]]+1</f>
        <v>172</v>
      </c>
      <c r="AT184" s="54">
        <f t="shared" si="33"/>
        <v>2</v>
      </c>
      <c r="AU184" s="54">
        <f>IF(MOD(S_normal27[[#This Row],[Indeks (base 0)]],AS$8)=0,NA(),_xlfn.POISSON.DIST(S_normal27[[#This Row],[X base]],$H$5,FALSE))</f>
        <v>0.22404180765538775</v>
      </c>
      <c r="AV184" s="99" t="b">
        <f>S_normal27[[#This Row],[X base]]&lt;AS$5</f>
        <v>0</v>
      </c>
      <c r="AW184" s="99" t="b">
        <f>S_normal27[[#This Row],[X base]]=AS$5</f>
        <v>1</v>
      </c>
      <c r="AX184" s="99" t="b">
        <f>S_normal27[[#This Row],[X base]]&gt;AS$5</f>
        <v>0</v>
      </c>
      <c r="AY184" s="99" t="e">
        <f>IF(S_normal27[[#This Row],[Mindre end]],S_normal27[[#This Row],[Poissonfordeling]],NA())</f>
        <v>#N/A</v>
      </c>
      <c r="AZ184" s="99">
        <f>IF(S_normal27[[#This Row],[Lig med]],S_normal27[[#This Row],[Poissonfordeling]],NA())</f>
        <v>0.22404180765538775</v>
      </c>
      <c r="BA184" s="99" t="e">
        <f>IF(S_normal27[[#This Row],[Større end]],S_normal27[[#This Row],[Poissonfordeling]],NA())</f>
        <v>#N/A</v>
      </c>
      <c r="BB184" s="85" t="str">
        <f>_xlfn.IFNA(IF(MOD(S_normal27[[#This Row],[Indeks (base 0)]],AS$8)=ROUNDDOWN(AS$8/2,0),S_normal27[[#This Row],[X base]],""),"")</f>
        <v/>
      </c>
      <c r="BC184" s="99" t="str">
        <f t="shared" si="32"/>
        <v xml:space="preserve"> </v>
      </c>
    </row>
    <row r="185" spans="20:55" x14ac:dyDescent="0.2">
      <c r="T185" s="54">
        <f t="shared" si="26"/>
        <v>172</v>
      </c>
      <c r="U185" s="54">
        <f>S_normal[[#This Row],[Indeks (base 0)]]+1</f>
        <v>173</v>
      </c>
      <c r="V185" s="99">
        <f t="shared" si="34"/>
        <v>1.0300774353892708</v>
      </c>
      <c r="W185" s="99">
        <f t="shared" si="27"/>
        <v>0.23469504353367862</v>
      </c>
      <c r="X185" s="99" t="b">
        <f>S_normal[[#This Row],[X base]]&lt;U$7</f>
        <v>1</v>
      </c>
      <c r="Y185" s="99" t="b">
        <f>S_normal[[#This Row],[X base]]&gt;U$7</f>
        <v>0</v>
      </c>
      <c r="Z185" s="99">
        <f>IF(S_normal[[#This Row],[Mindre end]],S_normal[[#This Row],[Normalfordeling]],NA())</f>
        <v>0.23469504353367862</v>
      </c>
      <c r="AA185" s="99" t="e">
        <f>IF(S_normal[[#This Row],[Større end]],S_normal[[#This Row],[Normalfordeling]],NA())</f>
        <v>#N/A</v>
      </c>
      <c r="AB185" s="72" t="str">
        <f>_xlfn.IFNA(IF(S_normal[[#This Row],[Indeks (base 0)]]=ROUND((ROUND(S_normal[[#This Row],[X base]],0)-U$8)/(U$9-U$8)*U$4,0),S_normal[[#This Row],[X base]]*B$6+B$5,""),"")</f>
        <v/>
      </c>
      <c r="AC185" s="99" t="str">
        <f t="shared" si="35"/>
        <v xml:space="preserve"> </v>
      </c>
      <c r="AE185" s="54">
        <f t="shared" si="28"/>
        <v>172</v>
      </c>
      <c r="AF185" s="54">
        <f>S_binomial[[#This Row],[Indeks (base 0)]]+1</f>
        <v>173</v>
      </c>
      <c r="AG185" s="99">
        <f t="shared" si="29"/>
        <v>1</v>
      </c>
      <c r="AH185" s="99">
        <f>IF(MOD(S_binomial[[#This Row],[Indeks (base 0)]],AF$7)=0,NA(),_xlfn.BINOM.DIST(S_binomial[[#This Row],[X base]],E$5,E$6,FALSE))</f>
        <v>2.7751718400000021E-4</v>
      </c>
      <c r="AI185" s="99" t="b">
        <f>S_binomial[[#This Row],[X base]]&lt;AF$5</f>
        <v>1</v>
      </c>
      <c r="AJ185" s="99" t="b">
        <f>S_binomial[[#This Row],[X base]]=AF$5</f>
        <v>0</v>
      </c>
      <c r="AK185" s="99" t="b">
        <f>S_binomial[[#This Row],[X base]]&gt;AF$5</f>
        <v>0</v>
      </c>
      <c r="AL185" s="99">
        <f>IF(S_binomial[[#This Row],[Mindre end]],S_binomial[[#This Row],[Binomialfordeling]],NA())</f>
        <v>2.7751718400000021E-4</v>
      </c>
      <c r="AM185" s="99" t="e">
        <f>IF(S_binomial[[#This Row],[Lig med]],S_binomial[[#This Row],[Binomialfordeling]],NA())</f>
        <v>#N/A</v>
      </c>
      <c r="AN185" s="99" t="e">
        <f>IF(S_binomial[[#This Row],[Større end]],S_binomial[[#This Row],[Binomialfordeling]],NA())</f>
        <v>#N/A</v>
      </c>
      <c r="AO185" s="85" t="str">
        <f>_xlfn.IFNA(IF(MOD(S_binomial[[#This Row],[Indeks (base 0)]],AF$7)=ROUNDDOWN(AF$7/2,0),S_binomial[[#This Row],[X base]],""),"")</f>
        <v/>
      </c>
      <c r="AP185" s="99" t="str">
        <f t="shared" si="30"/>
        <v xml:space="preserve"> </v>
      </c>
      <c r="AR185" s="54">
        <f t="shared" si="31"/>
        <v>172</v>
      </c>
      <c r="AS185" s="54">
        <f>S_normal27[[#This Row],[Indeks (base 0)]]+1</f>
        <v>173</v>
      </c>
      <c r="AT185" s="54">
        <f t="shared" si="33"/>
        <v>2</v>
      </c>
      <c r="AU185" s="54">
        <f>IF(MOD(S_normal27[[#This Row],[Indeks (base 0)]],AS$8)=0,NA(),_xlfn.POISSON.DIST(S_normal27[[#This Row],[X base]],$H$5,FALSE))</f>
        <v>0.22404180765538775</v>
      </c>
      <c r="AV185" s="99" t="b">
        <f>S_normal27[[#This Row],[X base]]&lt;AS$5</f>
        <v>0</v>
      </c>
      <c r="AW185" s="99" t="b">
        <f>S_normal27[[#This Row],[X base]]=AS$5</f>
        <v>1</v>
      </c>
      <c r="AX185" s="99" t="b">
        <f>S_normal27[[#This Row],[X base]]&gt;AS$5</f>
        <v>0</v>
      </c>
      <c r="AY185" s="99" t="e">
        <f>IF(S_normal27[[#This Row],[Mindre end]],S_normal27[[#This Row],[Poissonfordeling]],NA())</f>
        <v>#N/A</v>
      </c>
      <c r="AZ185" s="99">
        <f>IF(S_normal27[[#This Row],[Lig med]],S_normal27[[#This Row],[Poissonfordeling]],NA())</f>
        <v>0.22404180765538775</v>
      </c>
      <c r="BA185" s="99" t="e">
        <f>IF(S_normal27[[#This Row],[Større end]],S_normal27[[#This Row],[Poissonfordeling]],NA())</f>
        <v>#N/A</v>
      </c>
      <c r="BB185" s="85" t="str">
        <f>_xlfn.IFNA(IF(MOD(S_normal27[[#This Row],[Indeks (base 0)]],AS$8)=ROUNDDOWN(AS$8/2,0),S_normal27[[#This Row],[X base]],""),"")</f>
        <v/>
      </c>
      <c r="BC185" s="99" t="str">
        <f t="shared" si="32"/>
        <v xml:space="preserve"> </v>
      </c>
    </row>
    <row r="186" spans="20:55" x14ac:dyDescent="0.2">
      <c r="T186" s="54">
        <f t="shared" si="26"/>
        <v>173</v>
      </c>
      <c r="U186" s="54">
        <f>S_normal[[#This Row],[Indeks (base 0)]]+1</f>
        <v>174</v>
      </c>
      <c r="V186" s="99">
        <f t="shared" si="34"/>
        <v>1.0540327245843706</v>
      </c>
      <c r="W186" s="99">
        <f t="shared" si="27"/>
        <v>0.22890893335654983</v>
      </c>
      <c r="X186" s="99" t="b">
        <f>S_normal[[#This Row],[X base]]&lt;U$7</f>
        <v>1</v>
      </c>
      <c r="Y186" s="99" t="b">
        <f>S_normal[[#This Row],[X base]]&gt;U$7</f>
        <v>0</v>
      </c>
      <c r="Z186" s="99">
        <f>IF(S_normal[[#This Row],[Mindre end]],S_normal[[#This Row],[Normalfordeling]],NA())</f>
        <v>0.22890893335654983</v>
      </c>
      <c r="AA186" s="99" t="e">
        <f>IF(S_normal[[#This Row],[Større end]],S_normal[[#This Row],[Normalfordeling]],NA())</f>
        <v>#N/A</v>
      </c>
      <c r="AB186" s="72" t="str">
        <f>_xlfn.IFNA(IF(S_normal[[#This Row],[Indeks (base 0)]]=ROUND((ROUND(S_normal[[#This Row],[X base]],0)-U$8)/(U$9-U$8)*U$4,0),S_normal[[#This Row],[X base]]*B$6+B$5,""),"")</f>
        <v/>
      </c>
      <c r="AC186" s="99" t="str">
        <f t="shared" si="35"/>
        <v xml:space="preserve"> </v>
      </c>
      <c r="AE186" s="54">
        <f t="shared" si="28"/>
        <v>173</v>
      </c>
      <c r="AF186" s="54">
        <f>S_binomial[[#This Row],[Indeks (base 0)]]+1</f>
        <v>174</v>
      </c>
      <c r="AG186" s="99">
        <f t="shared" si="29"/>
        <v>1</v>
      </c>
      <c r="AH186" s="99">
        <f>IF(MOD(S_binomial[[#This Row],[Indeks (base 0)]],AF$7)=0,NA(),_xlfn.BINOM.DIST(S_binomial[[#This Row],[X base]],E$5,E$6,FALSE))</f>
        <v>2.7751718400000021E-4</v>
      </c>
      <c r="AI186" s="99" t="b">
        <f>S_binomial[[#This Row],[X base]]&lt;AF$5</f>
        <v>1</v>
      </c>
      <c r="AJ186" s="99" t="b">
        <f>S_binomial[[#This Row],[X base]]=AF$5</f>
        <v>0</v>
      </c>
      <c r="AK186" s="99" t="b">
        <f>S_binomial[[#This Row],[X base]]&gt;AF$5</f>
        <v>0</v>
      </c>
      <c r="AL186" s="99">
        <f>IF(S_binomial[[#This Row],[Mindre end]],S_binomial[[#This Row],[Binomialfordeling]],NA())</f>
        <v>2.7751718400000021E-4</v>
      </c>
      <c r="AM186" s="99" t="e">
        <f>IF(S_binomial[[#This Row],[Lig med]],S_binomial[[#This Row],[Binomialfordeling]],NA())</f>
        <v>#N/A</v>
      </c>
      <c r="AN186" s="99" t="e">
        <f>IF(S_binomial[[#This Row],[Større end]],S_binomial[[#This Row],[Binomialfordeling]],NA())</f>
        <v>#N/A</v>
      </c>
      <c r="AO186" s="85" t="str">
        <f>_xlfn.IFNA(IF(MOD(S_binomial[[#This Row],[Indeks (base 0)]],AF$7)=ROUNDDOWN(AF$7/2,0),S_binomial[[#This Row],[X base]],""),"")</f>
        <v/>
      </c>
      <c r="AP186" s="99" t="str">
        <f t="shared" si="30"/>
        <v xml:space="preserve"> </v>
      </c>
      <c r="AR186" s="54">
        <f t="shared" si="31"/>
        <v>173</v>
      </c>
      <c r="AS186" s="54">
        <f>S_normal27[[#This Row],[Indeks (base 0)]]+1</f>
        <v>174</v>
      </c>
      <c r="AT186" s="54">
        <f t="shared" si="33"/>
        <v>2</v>
      </c>
      <c r="AU186" s="54">
        <f>IF(MOD(S_normal27[[#This Row],[Indeks (base 0)]],AS$8)=0,NA(),_xlfn.POISSON.DIST(S_normal27[[#This Row],[X base]],$H$5,FALSE))</f>
        <v>0.22404180765538775</v>
      </c>
      <c r="AV186" s="99" t="b">
        <f>S_normal27[[#This Row],[X base]]&lt;AS$5</f>
        <v>0</v>
      </c>
      <c r="AW186" s="99" t="b">
        <f>S_normal27[[#This Row],[X base]]=AS$5</f>
        <v>1</v>
      </c>
      <c r="AX186" s="99" t="b">
        <f>S_normal27[[#This Row],[X base]]&gt;AS$5</f>
        <v>0</v>
      </c>
      <c r="AY186" s="99" t="e">
        <f>IF(S_normal27[[#This Row],[Mindre end]],S_normal27[[#This Row],[Poissonfordeling]],NA())</f>
        <v>#N/A</v>
      </c>
      <c r="AZ186" s="99">
        <f>IF(S_normal27[[#This Row],[Lig med]],S_normal27[[#This Row],[Poissonfordeling]],NA())</f>
        <v>0.22404180765538775</v>
      </c>
      <c r="BA186" s="99" t="e">
        <f>IF(S_normal27[[#This Row],[Større end]],S_normal27[[#This Row],[Poissonfordeling]],NA())</f>
        <v>#N/A</v>
      </c>
      <c r="BB186" s="85" t="str">
        <f>_xlfn.IFNA(IF(MOD(S_normal27[[#This Row],[Indeks (base 0)]],AS$8)=ROUNDDOWN(AS$8/2,0),S_normal27[[#This Row],[X base]],""),"")</f>
        <v/>
      </c>
      <c r="BC186" s="99" t="str">
        <f t="shared" si="32"/>
        <v xml:space="preserve"> </v>
      </c>
    </row>
    <row r="187" spans="20:55" x14ac:dyDescent="0.2">
      <c r="T187" s="54">
        <f t="shared" si="26"/>
        <v>174</v>
      </c>
      <c r="U187" s="54">
        <f>S_normal[[#This Row],[Indeks (base 0)]]+1</f>
        <v>175</v>
      </c>
      <c r="V187" s="99">
        <f t="shared" si="34"/>
        <v>1.0779880137794695</v>
      </c>
      <c r="W187" s="99">
        <f t="shared" si="27"/>
        <v>0.2231373869759069</v>
      </c>
      <c r="X187" s="99" t="b">
        <f>S_normal[[#This Row],[X base]]&lt;U$7</f>
        <v>1</v>
      </c>
      <c r="Y187" s="99" t="b">
        <f>S_normal[[#This Row],[X base]]&gt;U$7</f>
        <v>0</v>
      </c>
      <c r="Z187" s="99">
        <f>IF(S_normal[[#This Row],[Mindre end]],S_normal[[#This Row],[Normalfordeling]],NA())</f>
        <v>0.2231373869759069</v>
      </c>
      <c r="AA187" s="99" t="e">
        <f>IF(S_normal[[#This Row],[Større end]],S_normal[[#This Row],[Normalfordeling]],NA())</f>
        <v>#N/A</v>
      </c>
      <c r="AB187" s="72" t="str">
        <f>_xlfn.IFNA(IF(S_normal[[#This Row],[Indeks (base 0)]]=ROUND((ROUND(S_normal[[#This Row],[X base]],0)-U$8)/(U$9-U$8)*U$4,0),S_normal[[#This Row],[X base]]*B$6+B$5,""),"")</f>
        <v/>
      </c>
      <c r="AC187" s="99" t="str">
        <f t="shared" si="35"/>
        <v xml:space="preserve"> </v>
      </c>
      <c r="AE187" s="54">
        <f t="shared" si="28"/>
        <v>174</v>
      </c>
      <c r="AF187" s="54">
        <f>S_binomial[[#This Row],[Indeks (base 0)]]+1</f>
        <v>175</v>
      </c>
      <c r="AG187" s="99">
        <f t="shared" si="29"/>
        <v>1</v>
      </c>
      <c r="AH187" s="99">
        <f>IF(MOD(S_binomial[[#This Row],[Indeks (base 0)]],AF$7)=0,NA(),_xlfn.BINOM.DIST(S_binomial[[#This Row],[X base]],E$5,E$6,FALSE))</f>
        <v>2.7751718400000021E-4</v>
      </c>
      <c r="AI187" s="99" t="b">
        <f>S_binomial[[#This Row],[X base]]&lt;AF$5</f>
        <v>1</v>
      </c>
      <c r="AJ187" s="99" t="b">
        <f>S_binomial[[#This Row],[X base]]=AF$5</f>
        <v>0</v>
      </c>
      <c r="AK187" s="99" t="b">
        <f>S_binomial[[#This Row],[X base]]&gt;AF$5</f>
        <v>0</v>
      </c>
      <c r="AL187" s="99">
        <f>IF(S_binomial[[#This Row],[Mindre end]],S_binomial[[#This Row],[Binomialfordeling]],NA())</f>
        <v>2.7751718400000021E-4</v>
      </c>
      <c r="AM187" s="99" t="e">
        <f>IF(S_binomial[[#This Row],[Lig med]],S_binomial[[#This Row],[Binomialfordeling]],NA())</f>
        <v>#N/A</v>
      </c>
      <c r="AN187" s="99" t="e">
        <f>IF(S_binomial[[#This Row],[Større end]],S_binomial[[#This Row],[Binomialfordeling]],NA())</f>
        <v>#N/A</v>
      </c>
      <c r="AO187" s="85" t="str">
        <f>_xlfn.IFNA(IF(MOD(S_binomial[[#This Row],[Indeks (base 0)]],AF$7)=ROUNDDOWN(AF$7/2,0),S_binomial[[#This Row],[X base]],""),"")</f>
        <v/>
      </c>
      <c r="AP187" s="99" t="str">
        <f t="shared" si="30"/>
        <v xml:space="preserve"> </v>
      </c>
      <c r="AR187" s="54">
        <f t="shared" si="31"/>
        <v>174</v>
      </c>
      <c r="AS187" s="54">
        <f>S_normal27[[#This Row],[Indeks (base 0)]]+1</f>
        <v>175</v>
      </c>
      <c r="AT187" s="54">
        <f t="shared" si="33"/>
        <v>2</v>
      </c>
      <c r="AU187" s="54">
        <f>IF(MOD(S_normal27[[#This Row],[Indeks (base 0)]],AS$8)=0,NA(),_xlfn.POISSON.DIST(S_normal27[[#This Row],[X base]],$H$5,FALSE))</f>
        <v>0.22404180765538775</v>
      </c>
      <c r="AV187" s="99" t="b">
        <f>S_normal27[[#This Row],[X base]]&lt;AS$5</f>
        <v>0</v>
      </c>
      <c r="AW187" s="99" t="b">
        <f>S_normal27[[#This Row],[X base]]=AS$5</f>
        <v>1</v>
      </c>
      <c r="AX187" s="99" t="b">
        <f>S_normal27[[#This Row],[X base]]&gt;AS$5</f>
        <v>0</v>
      </c>
      <c r="AY187" s="99" t="e">
        <f>IF(S_normal27[[#This Row],[Mindre end]],S_normal27[[#This Row],[Poissonfordeling]],NA())</f>
        <v>#N/A</v>
      </c>
      <c r="AZ187" s="99">
        <f>IF(S_normal27[[#This Row],[Lig med]],S_normal27[[#This Row],[Poissonfordeling]],NA())</f>
        <v>0.22404180765538775</v>
      </c>
      <c r="BA187" s="99" t="e">
        <f>IF(S_normal27[[#This Row],[Større end]],S_normal27[[#This Row],[Poissonfordeling]],NA())</f>
        <v>#N/A</v>
      </c>
      <c r="BB187" s="85" t="str">
        <f>_xlfn.IFNA(IF(MOD(S_normal27[[#This Row],[Indeks (base 0)]],AS$8)=ROUNDDOWN(AS$8/2,0),S_normal27[[#This Row],[X base]],""),"")</f>
        <v/>
      </c>
      <c r="BC187" s="99" t="str">
        <f t="shared" si="32"/>
        <v xml:space="preserve"> </v>
      </c>
    </row>
    <row r="188" spans="20:55" x14ac:dyDescent="0.2">
      <c r="T188" s="54">
        <f t="shared" si="26"/>
        <v>175</v>
      </c>
      <c r="U188" s="54">
        <f>S_normal[[#This Row],[Indeks (base 0)]]+1</f>
        <v>176</v>
      </c>
      <c r="V188" s="99">
        <f t="shared" si="34"/>
        <v>1.1019433029745693</v>
      </c>
      <c r="W188" s="99">
        <f t="shared" si="27"/>
        <v>0.2173865758786262</v>
      </c>
      <c r="X188" s="99" t="b">
        <f>S_normal[[#This Row],[X base]]&lt;U$7</f>
        <v>1</v>
      </c>
      <c r="Y188" s="99" t="b">
        <f>S_normal[[#This Row],[X base]]&gt;U$7</f>
        <v>0</v>
      </c>
      <c r="Z188" s="99">
        <f>IF(S_normal[[#This Row],[Mindre end]],S_normal[[#This Row],[Normalfordeling]],NA())</f>
        <v>0.2173865758786262</v>
      </c>
      <c r="AA188" s="99" t="e">
        <f>IF(S_normal[[#This Row],[Større end]],S_normal[[#This Row],[Normalfordeling]],NA())</f>
        <v>#N/A</v>
      </c>
      <c r="AB188" s="72" t="str">
        <f>_xlfn.IFNA(IF(S_normal[[#This Row],[Indeks (base 0)]]=ROUND((ROUND(S_normal[[#This Row],[X base]],0)-U$8)/(U$9-U$8)*U$4,0),S_normal[[#This Row],[X base]]*B$6+B$5,""),"")</f>
        <v/>
      </c>
      <c r="AC188" s="99" t="str">
        <f t="shared" si="35"/>
        <v xml:space="preserve"> </v>
      </c>
      <c r="AE188" s="54">
        <f t="shared" si="28"/>
        <v>175</v>
      </c>
      <c r="AF188" s="54">
        <f>S_binomial[[#This Row],[Indeks (base 0)]]+1</f>
        <v>176</v>
      </c>
      <c r="AG188" s="99">
        <f t="shared" si="29"/>
        <v>1</v>
      </c>
      <c r="AH188" s="99">
        <f>IF(MOD(S_binomial[[#This Row],[Indeks (base 0)]],AF$7)=0,NA(),_xlfn.BINOM.DIST(S_binomial[[#This Row],[X base]],E$5,E$6,FALSE))</f>
        <v>2.7751718400000021E-4</v>
      </c>
      <c r="AI188" s="99" t="b">
        <f>S_binomial[[#This Row],[X base]]&lt;AF$5</f>
        <v>1</v>
      </c>
      <c r="AJ188" s="99" t="b">
        <f>S_binomial[[#This Row],[X base]]=AF$5</f>
        <v>0</v>
      </c>
      <c r="AK188" s="99" t="b">
        <f>S_binomial[[#This Row],[X base]]&gt;AF$5</f>
        <v>0</v>
      </c>
      <c r="AL188" s="99">
        <f>IF(S_binomial[[#This Row],[Mindre end]],S_binomial[[#This Row],[Binomialfordeling]],NA())</f>
        <v>2.7751718400000021E-4</v>
      </c>
      <c r="AM188" s="99" t="e">
        <f>IF(S_binomial[[#This Row],[Lig med]],S_binomial[[#This Row],[Binomialfordeling]],NA())</f>
        <v>#N/A</v>
      </c>
      <c r="AN188" s="99" t="e">
        <f>IF(S_binomial[[#This Row],[Større end]],S_binomial[[#This Row],[Binomialfordeling]],NA())</f>
        <v>#N/A</v>
      </c>
      <c r="AO188" s="85" t="str">
        <f>_xlfn.IFNA(IF(MOD(S_binomial[[#This Row],[Indeks (base 0)]],AF$7)=ROUNDDOWN(AF$7/2,0),S_binomial[[#This Row],[X base]],""),"")</f>
        <v/>
      </c>
      <c r="AP188" s="99" t="str">
        <f t="shared" si="30"/>
        <v xml:space="preserve"> </v>
      </c>
      <c r="AR188" s="54">
        <f t="shared" si="31"/>
        <v>175</v>
      </c>
      <c r="AS188" s="54">
        <f>S_normal27[[#This Row],[Indeks (base 0)]]+1</f>
        <v>176</v>
      </c>
      <c r="AT188" s="54">
        <f t="shared" si="33"/>
        <v>2</v>
      </c>
      <c r="AU188" s="54">
        <f>IF(MOD(S_normal27[[#This Row],[Indeks (base 0)]],AS$8)=0,NA(),_xlfn.POISSON.DIST(S_normal27[[#This Row],[X base]],$H$5,FALSE))</f>
        <v>0.22404180765538775</v>
      </c>
      <c r="AV188" s="99" t="b">
        <f>S_normal27[[#This Row],[X base]]&lt;AS$5</f>
        <v>0</v>
      </c>
      <c r="AW188" s="99" t="b">
        <f>S_normal27[[#This Row],[X base]]=AS$5</f>
        <v>1</v>
      </c>
      <c r="AX188" s="99" t="b">
        <f>S_normal27[[#This Row],[X base]]&gt;AS$5</f>
        <v>0</v>
      </c>
      <c r="AY188" s="99" t="e">
        <f>IF(S_normal27[[#This Row],[Mindre end]],S_normal27[[#This Row],[Poissonfordeling]],NA())</f>
        <v>#N/A</v>
      </c>
      <c r="AZ188" s="99">
        <f>IF(S_normal27[[#This Row],[Lig med]],S_normal27[[#This Row],[Poissonfordeling]],NA())</f>
        <v>0.22404180765538775</v>
      </c>
      <c r="BA188" s="99" t="e">
        <f>IF(S_normal27[[#This Row],[Større end]],S_normal27[[#This Row],[Poissonfordeling]],NA())</f>
        <v>#N/A</v>
      </c>
      <c r="BB188" s="85" t="str">
        <f>_xlfn.IFNA(IF(MOD(S_normal27[[#This Row],[Indeks (base 0)]],AS$8)=ROUNDDOWN(AS$8/2,0),S_normal27[[#This Row],[X base]],""),"")</f>
        <v/>
      </c>
      <c r="BC188" s="99" t="str">
        <f t="shared" si="32"/>
        <v xml:space="preserve"> </v>
      </c>
    </row>
    <row r="189" spans="20:55" x14ac:dyDescent="0.2">
      <c r="T189" s="54">
        <f t="shared" si="26"/>
        <v>176</v>
      </c>
      <c r="U189" s="54">
        <f>S_normal[[#This Row],[Indeks (base 0)]]+1</f>
        <v>177</v>
      </c>
      <c r="V189" s="99">
        <f t="shared" si="34"/>
        <v>1.1258985921696683</v>
      </c>
      <c r="W189" s="99">
        <f t="shared" si="27"/>
        <v>0.21166247901603161</v>
      </c>
      <c r="X189" s="99" t="b">
        <f>S_normal[[#This Row],[X base]]&lt;U$7</f>
        <v>1</v>
      </c>
      <c r="Y189" s="99" t="b">
        <f>S_normal[[#This Row],[X base]]&gt;U$7</f>
        <v>0</v>
      </c>
      <c r="Z189" s="99">
        <f>IF(S_normal[[#This Row],[Mindre end]],S_normal[[#This Row],[Normalfordeling]],NA())</f>
        <v>0.21166247901603161</v>
      </c>
      <c r="AA189" s="99" t="e">
        <f>IF(S_normal[[#This Row],[Større end]],S_normal[[#This Row],[Normalfordeling]],NA())</f>
        <v>#N/A</v>
      </c>
      <c r="AB189" s="72" t="str">
        <f>_xlfn.IFNA(IF(S_normal[[#This Row],[Indeks (base 0)]]=ROUND((ROUND(S_normal[[#This Row],[X base]],0)-U$8)/(U$9-U$8)*U$4,0),S_normal[[#This Row],[X base]]*B$6+B$5,""),"")</f>
        <v/>
      </c>
      <c r="AC189" s="99" t="str">
        <f t="shared" si="35"/>
        <v xml:space="preserve"> </v>
      </c>
      <c r="AE189" s="54">
        <f t="shared" si="28"/>
        <v>176</v>
      </c>
      <c r="AF189" s="54">
        <f>S_binomial[[#This Row],[Indeks (base 0)]]+1</f>
        <v>177</v>
      </c>
      <c r="AG189" s="99">
        <f t="shared" si="29"/>
        <v>1</v>
      </c>
      <c r="AH189" s="99">
        <f>IF(MOD(S_binomial[[#This Row],[Indeks (base 0)]],AF$7)=0,NA(),_xlfn.BINOM.DIST(S_binomial[[#This Row],[X base]],E$5,E$6,FALSE))</f>
        <v>2.7751718400000021E-4</v>
      </c>
      <c r="AI189" s="99" t="b">
        <f>S_binomial[[#This Row],[X base]]&lt;AF$5</f>
        <v>1</v>
      </c>
      <c r="AJ189" s="99" t="b">
        <f>S_binomial[[#This Row],[X base]]=AF$5</f>
        <v>0</v>
      </c>
      <c r="AK189" s="99" t="b">
        <f>S_binomial[[#This Row],[X base]]&gt;AF$5</f>
        <v>0</v>
      </c>
      <c r="AL189" s="99">
        <f>IF(S_binomial[[#This Row],[Mindre end]],S_binomial[[#This Row],[Binomialfordeling]],NA())</f>
        <v>2.7751718400000021E-4</v>
      </c>
      <c r="AM189" s="99" t="e">
        <f>IF(S_binomial[[#This Row],[Lig med]],S_binomial[[#This Row],[Binomialfordeling]],NA())</f>
        <v>#N/A</v>
      </c>
      <c r="AN189" s="99" t="e">
        <f>IF(S_binomial[[#This Row],[Større end]],S_binomial[[#This Row],[Binomialfordeling]],NA())</f>
        <v>#N/A</v>
      </c>
      <c r="AO189" s="85" t="str">
        <f>_xlfn.IFNA(IF(MOD(S_binomial[[#This Row],[Indeks (base 0)]],AF$7)=ROUNDDOWN(AF$7/2,0),S_binomial[[#This Row],[X base]],""),"")</f>
        <v/>
      </c>
      <c r="AP189" s="99" t="str">
        <f t="shared" si="30"/>
        <v xml:space="preserve"> </v>
      </c>
      <c r="AR189" s="54">
        <f t="shared" si="31"/>
        <v>176</v>
      </c>
      <c r="AS189" s="54">
        <f>S_normal27[[#This Row],[Indeks (base 0)]]+1</f>
        <v>177</v>
      </c>
      <c r="AT189" s="54">
        <f t="shared" si="33"/>
        <v>2</v>
      </c>
      <c r="AU189" s="54">
        <f>IF(MOD(S_normal27[[#This Row],[Indeks (base 0)]],AS$8)=0,NA(),_xlfn.POISSON.DIST(S_normal27[[#This Row],[X base]],$H$5,FALSE))</f>
        <v>0.22404180765538775</v>
      </c>
      <c r="AV189" s="99" t="b">
        <f>S_normal27[[#This Row],[X base]]&lt;AS$5</f>
        <v>0</v>
      </c>
      <c r="AW189" s="99" t="b">
        <f>S_normal27[[#This Row],[X base]]=AS$5</f>
        <v>1</v>
      </c>
      <c r="AX189" s="99" t="b">
        <f>S_normal27[[#This Row],[X base]]&gt;AS$5</f>
        <v>0</v>
      </c>
      <c r="AY189" s="99" t="e">
        <f>IF(S_normal27[[#This Row],[Mindre end]],S_normal27[[#This Row],[Poissonfordeling]],NA())</f>
        <v>#N/A</v>
      </c>
      <c r="AZ189" s="99">
        <f>IF(S_normal27[[#This Row],[Lig med]],S_normal27[[#This Row],[Poissonfordeling]],NA())</f>
        <v>0.22404180765538775</v>
      </c>
      <c r="BA189" s="99" t="e">
        <f>IF(S_normal27[[#This Row],[Større end]],S_normal27[[#This Row],[Poissonfordeling]],NA())</f>
        <v>#N/A</v>
      </c>
      <c r="BB189" s="85" t="str">
        <f>_xlfn.IFNA(IF(MOD(S_normal27[[#This Row],[Indeks (base 0)]],AS$8)=ROUNDDOWN(AS$8/2,0),S_normal27[[#This Row],[X base]],""),"")</f>
        <v/>
      </c>
      <c r="BC189" s="99" t="str">
        <f t="shared" si="32"/>
        <v xml:space="preserve"> </v>
      </c>
    </row>
    <row r="190" spans="20:55" x14ac:dyDescent="0.2">
      <c r="T190" s="54">
        <f t="shared" si="26"/>
        <v>177</v>
      </c>
      <c r="U190" s="54">
        <f>S_normal[[#This Row],[Indeks (base 0)]]+1</f>
        <v>178</v>
      </c>
      <c r="V190" s="99">
        <f t="shared" si="34"/>
        <v>1.1498538813647681</v>
      </c>
      <c r="W190" s="99">
        <f t="shared" si="27"/>
        <v>0.20597087422427382</v>
      </c>
      <c r="X190" s="99" t="b">
        <f>S_normal[[#This Row],[X base]]&lt;U$7</f>
        <v>1</v>
      </c>
      <c r="Y190" s="99" t="b">
        <f>S_normal[[#This Row],[X base]]&gt;U$7</f>
        <v>0</v>
      </c>
      <c r="Z190" s="99">
        <f>IF(S_normal[[#This Row],[Mindre end]],S_normal[[#This Row],[Normalfordeling]],NA())</f>
        <v>0.20597087422427382</v>
      </c>
      <c r="AA190" s="99" t="e">
        <f>IF(S_normal[[#This Row],[Større end]],S_normal[[#This Row],[Normalfordeling]],NA())</f>
        <v>#N/A</v>
      </c>
      <c r="AB190" s="72" t="str">
        <f>_xlfn.IFNA(IF(S_normal[[#This Row],[Indeks (base 0)]]=ROUND((ROUND(S_normal[[#This Row],[X base]],0)-U$8)/(U$9-U$8)*U$4,0),S_normal[[#This Row],[X base]]*B$6+B$5,""),"")</f>
        <v/>
      </c>
      <c r="AC190" s="99" t="str">
        <f t="shared" si="35"/>
        <v xml:space="preserve"> </v>
      </c>
      <c r="AE190" s="54">
        <f t="shared" si="28"/>
        <v>177</v>
      </c>
      <c r="AF190" s="54">
        <f>S_binomial[[#This Row],[Indeks (base 0)]]+1</f>
        <v>178</v>
      </c>
      <c r="AG190" s="99">
        <f t="shared" si="29"/>
        <v>1</v>
      </c>
      <c r="AH190" s="99">
        <f>IF(MOD(S_binomial[[#This Row],[Indeks (base 0)]],AF$7)=0,NA(),_xlfn.BINOM.DIST(S_binomial[[#This Row],[X base]],E$5,E$6,FALSE))</f>
        <v>2.7751718400000021E-4</v>
      </c>
      <c r="AI190" s="99" t="b">
        <f>S_binomial[[#This Row],[X base]]&lt;AF$5</f>
        <v>1</v>
      </c>
      <c r="AJ190" s="99" t="b">
        <f>S_binomial[[#This Row],[X base]]=AF$5</f>
        <v>0</v>
      </c>
      <c r="AK190" s="99" t="b">
        <f>S_binomial[[#This Row],[X base]]&gt;AF$5</f>
        <v>0</v>
      </c>
      <c r="AL190" s="99">
        <f>IF(S_binomial[[#This Row],[Mindre end]],S_binomial[[#This Row],[Binomialfordeling]],NA())</f>
        <v>2.7751718400000021E-4</v>
      </c>
      <c r="AM190" s="99" t="e">
        <f>IF(S_binomial[[#This Row],[Lig med]],S_binomial[[#This Row],[Binomialfordeling]],NA())</f>
        <v>#N/A</v>
      </c>
      <c r="AN190" s="99" t="e">
        <f>IF(S_binomial[[#This Row],[Større end]],S_binomial[[#This Row],[Binomialfordeling]],NA())</f>
        <v>#N/A</v>
      </c>
      <c r="AO190" s="85" t="str">
        <f>_xlfn.IFNA(IF(MOD(S_binomial[[#This Row],[Indeks (base 0)]],AF$7)=ROUNDDOWN(AF$7/2,0),S_binomial[[#This Row],[X base]],""),"")</f>
        <v/>
      </c>
      <c r="AP190" s="99" t="str">
        <f t="shared" si="30"/>
        <v xml:space="preserve"> </v>
      </c>
      <c r="AR190" s="54">
        <f t="shared" si="31"/>
        <v>177</v>
      </c>
      <c r="AS190" s="54">
        <f>S_normal27[[#This Row],[Indeks (base 0)]]+1</f>
        <v>178</v>
      </c>
      <c r="AT190" s="54">
        <f t="shared" si="33"/>
        <v>2</v>
      </c>
      <c r="AU190" s="54">
        <f>IF(MOD(S_normal27[[#This Row],[Indeks (base 0)]],AS$8)=0,NA(),_xlfn.POISSON.DIST(S_normal27[[#This Row],[X base]],$H$5,FALSE))</f>
        <v>0.22404180765538775</v>
      </c>
      <c r="AV190" s="99" t="b">
        <f>S_normal27[[#This Row],[X base]]&lt;AS$5</f>
        <v>0</v>
      </c>
      <c r="AW190" s="99" t="b">
        <f>S_normal27[[#This Row],[X base]]=AS$5</f>
        <v>1</v>
      </c>
      <c r="AX190" s="99" t="b">
        <f>S_normal27[[#This Row],[X base]]&gt;AS$5</f>
        <v>0</v>
      </c>
      <c r="AY190" s="99" t="e">
        <f>IF(S_normal27[[#This Row],[Mindre end]],S_normal27[[#This Row],[Poissonfordeling]],NA())</f>
        <v>#N/A</v>
      </c>
      <c r="AZ190" s="99">
        <f>IF(S_normal27[[#This Row],[Lig med]],S_normal27[[#This Row],[Poissonfordeling]],NA())</f>
        <v>0.22404180765538775</v>
      </c>
      <c r="BA190" s="99" t="e">
        <f>IF(S_normal27[[#This Row],[Større end]],S_normal27[[#This Row],[Poissonfordeling]],NA())</f>
        <v>#N/A</v>
      </c>
      <c r="BB190" s="85" t="str">
        <f>_xlfn.IFNA(IF(MOD(S_normal27[[#This Row],[Indeks (base 0)]],AS$8)=ROUNDDOWN(AS$8/2,0),S_normal27[[#This Row],[X base]],""),"")</f>
        <v/>
      </c>
      <c r="BC190" s="99" t="str">
        <f t="shared" si="32"/>
        <v xml:space="preserve"> </v>
      </c>
    </row>
    <row r="191" spans="20:55" x14ac:dyDescent="0.2">
      <c r="T191" s="54">
        <f t="shared" si="26"/>
        <v>178</v>
      </c>
      <c r="U191" s="54">
        <f>S_normal[[#This Row],[Indeks (base 0)]]+1</f>
        <v>179</v>
      </c>
      <c r="V191" s="99">
        <f t="shared" si="34"/>
        <v>1.173809170559867</v>
      </c>
      <c r="W191" s="99">
        <f t="shared" si="27"/>
        <v>0.20031733043738451</v>
      </c>
      <c r="X191" s="99" t="b">
        <f>S_normal[[#This Row],[X base]]&lt;U$7</f>
        <v>1</v>
      </c>
      <c r="Y191" s="99" t="b">
        <f>S_normal[[#This Row],[X base]]&gt;U$7</f>
        <v>0</v>
      </c>
      <c r="Z191" s="99">
        <f>IF(S_normal[[#This Row],[Mindre end]],S_normal[[#This Row],[Normalfordeling]],NA())</f>
        <v>0.20031733043738451</v>
      </c>
      <c r="AA191" s="99" t="e">
        <f>IF(S_normal[[#This Row],[Større end]],S_normal[[#This Row],[Normalfordeling]],NA())</f>
        <v>#N/A</v>
      </c>
      <c r="AB191" s="72" t="str">
        <f>_xlfn.IFNA(IF(S_normal[[#This Row],[Indeks (base 0)]]=ROUND((ROUND(S_normal[[#This Row],[X base]],0)-U$8)/(U$9-U$8)*U$4,0),S_normal[[#This Row],[X base]]*B$6+B$5,""),"")</f>
        <v/>
      </c>
      <c r="AC191" s="99" t="str">
        <f t="shared" si="35"/>
        <v xml:space="preserve"> </v>
      </c>
      <c r="AE191" s="54">
        <f t="shared" si="28"/>
        <v>178</v>
      </c>
      <c r="AF191" s="54">
        <f>S_binomial[[#This Row],[Indeks (base 0)]]+1</f>
        <v>179</v>
      </c>
      <c r="AG191" s="99">
        <f t="shared" si="29"/>
        <v>1</v>
      </c>
      <c r="AH191" s="99">
        <f>IF(MOD(S_binomial[[#This Row],[Indeks (base 0)]],AF$7)=0,NA(),_xlfn.BINOM.DIST(S_binomial[[#This Row],[X base]],E$5,E$6,FALSE))</f>
        <v>2.7751718400000021E-4</v>
      </c>
      <c r="AI191" s="99" t="b">
        <f>S_binomial[[#This Row],[X base]]&lt;AF$5</f>
        <v>1</v>
      </c>
      <c r="AJ191" s="99" t="b">
        <f>S_binomial[[#This Row],[X base]]=AF$5</f>
        <v>0</v>
      </c>
      <c r="AK191" s="99" t="b">
        <f>S_binomial[[#This Row],[X base]]&gt;AF$5</f>
        <v>0</v>
      </c>
      <c r="AL191" s="99">
        <f>IF(S_binomial[[#This Row],[Mindre end]],S_binomial[[#This Row],[Binomialfordeling]],NA())</f>
        <v>2.7751718400000021E-4</v>
      </c>
      <c r="AM191" s="99" t="e">
        <f>IF(S_binomial[[#This Row],[Lig med]],S_binomial[[#This Row],[Binomialfordeling]],NA())</f>
        <v>#N/A</v>
      </c>
      <c r="AN191" s="99" t="e">
        <f>IF(S_binomial[[#This Row],[Større end]],S_binomial[[#This Row],[Binomialfordeling]],NA())</f>
        <v>#N/A</v>
      </c>
      <c r="AO191" s="85" t="str">
        <f>_xlfn.IFNA(IF(MOD(S_binomial[[#This Row],[Indeks (base 0)]],AF$7)=ROUNDDOWN(AF$7/2,0),S_binomial[[#This Row],[X base]],""),"")</f>
        <v/>
      </c>
      <c r="AP191" s="99" t="str">
        <f t="shared" si="30"/>
        <v xml:space="preserve"> </v>
      </c>
      <c r="AR191" s="54">
        <f t="shared" si="31"/>
        <v>178</v>
      </c>
      <c r="AS191" s="54">
        <f>S_normal27[[#This Row],[Indeks (base 0)]]+1</f>
        <v>179</v>
      </c>
      <c r="AT191" s="54">
        <f t="shared" si="33"/>
        <v>2</v>
      </c>
      <c r="AU191" s="54">
        <f>IF(MOD(S_normal27[[#This Row],[Indeks (base 0)]],AS$8)=0,NA(),_xlfn.POISSON.DIST(S_normal27[[#This Row],[X base]],$H$5,FALSE))</f>
        <v>0.22404180765538775</v>
      </c>
      <c r="AV191" s="99" t="b">
        <f>S_normal27[[#This Row],[X base]]&lt;AS$5</f>
        <v>0</v>
      </c>
      <c r="AW191" s="99" t="b">
        <f>S_normal27[[#This Row],[X base]]=AS$5</f>
        <v>1</v>
      </c>
      <c r="AX191" s="99" t="b">
        <f>S_normal27[[#This Row],[X base]]&gt;AS$5</f>
        <v>0</v>
      </c>
      <c r="AY191" s="99" t="e">
        <f>IF(S_normal27[[#This Row],[Mindre end]],S_normal27[[#This Row],[Poissonfordeling]],NA())</f>
        <v>#N/A</v>
      </c>
      <c r="AZ191" s="99">
        <f>IF(S_normal27[[#This Row],[Lig med]],S_normal27[[#This Row],[Poissonfordeling]],NA())</f>
        <v>0.22404180765538775</v>
      </c>
      <c r="BA191" s="99" t="e">
        <f>IF(S_normal27[[#This Row],[Større end]],S_normal27[[#This Row],[Poissonfordeling]],NA())</f>
        <v>#N/A</v>
      </c>
      <c r="BB191" s="85" t="str">
        <f>_xlfn.IFNA(IF(MOD(S_normal27[[#This Row],[Indeks (base 0)]],AS$8)=ROUNDDOWN(AS$8/2,0),S_normal27[[#This Row],[X base]],""),"")</f>
        <v/>
      </c>
      <c r="BC191" s="99" t="str">
        <f t="shared" si="32"/>
        <v xml:space="preserve"> </v>
      </c>
    </row>
    <row r="192" spans="20:55" x14ac:dyDescent="0.2">
      <c r="T192" s="54">
        <f t="shared" si="26"/>
        <v>179</v>
      </c>
      <c r="U192" s="54">
        <f>S_normal[[#This Row],[Indeks (base 0)]]+1</f>
        <v>180</v>
      </c>
      <c r="V192" s="99">
        <f t="shared" si="34"/>
        <v>1.1977644597549659</v>
      </c>
      <c r="W192" s="99">
        <f t="shared" si="27"/>
        <v>0.1947072006985737</v>
      </c>
      <c r="X192" s="99" t="b">
        <f>S_normal[[#This Row],[X base]]&lt;U$7</f>
        <v>1</v>
      </c>
      <c r="Y192" s="99" t="b">
        <f>S_normal[[#This Row],[X base]]&gt;U$7</f>
        <v>0</v>
      </c>
      <c r="Z192" s="99">
        <f>IF(S_normal[[#This Row],[Mindre end]],S_normal[[#This Row],[Normalfordeling]],NA())</f>
        <v>0.1947072006985737</v>
      </c>
      <c r="AA192" s="99" t="e">
        <f>IF(S_normal[[#This Row],[Større end]],S_normal[[#This Row],[Normalfordeling]],NA())</f>
        <v>#N/A</v>
      </c>
      <c r="AB192" s="72" t="str">
        <f>_xlfn.IFNA(IF(S_normal[[#This Row],[Indeks (base 0)]]=ROUND((ROUND(S_normal[[#This Row],[X base]],0)-U$8)/(U$9-U$8)*U$4,0),S_normal[[#This Row],[X base]]*B$6+B$5,""),"")</f>
        <v/>
      </c>
      <c r="AC192" s="99" t="str">
        <f t="shared" si="35"/>
        <v xml:space="preserve"> </v>
      </c>
      <c r="AE192" s="54">
        <f t="shared" si="28"/>
        <v>179</v>
      </c>
      <c r="AF192" s="54">
        <f>S_binomial[[#This Row],[Indeks (base 0)]]+1</f>
        <v>180</v>
      </c>
      <c r="AG192" s="99">
        <f t="shared" si="29"/>
        <v>1</v>
      </c>
      <c r="AH192" s="99">
        <f>IF(MOD(S_binomial[[#This Row],[Indeks (base 0)]],AF$7)=0,NA(),_xlfn.BINOM.DIST(S_binomial[[#This Row],[X base]],E$5,E$6,FALSE))</f>
        <v>2.7751718400000021E-4</v>
      </c>
      <c r="AI192" s="99" t="b">
        <f>S_binomial[[#This Row],[X base]]&lt;AF$5</f>
        <v>1</v>
      </c>
      <c r="AJ192" s="99" t="b">
        <f>S_binomial[[#This Row],[X base]]=AF$5</f>
        <v>0</v>
      </c>
      <c r="AK192" s="99" t="b">
        <f>S_binomial[[#This Row],[X base]]&gt;AF$5</f>
        <v>0</v>
      </c>
      <c r="AL192" s="99">
        <f>IF(S_binomial[[#This Row],[Mindre end]],S_binomial[[#This Row],[Binomialfordeling]],NA())</f>
        <v>2.7751718400000021E-4</v>
      </c>
      <c r="AM192" s="99" t="e">
        <f>IF(S_binomial[[#This Row],[Lig med]],S_binomial[[#This Row],[Binomialfordeling]],NA())</f>
        <v>#N/A</v>
      </c>
      <c r="AN192" s="99" t="e">
        <f>IF(S_binomial[[#This Row],[Større end]],S_binomial[[#This Row],[Binomialfordeling]],NA())</f>
        <v>#N/A</v>
      </c>
      <c r="AO192" s="85" t="str">
        <f>_xlfn.IFNA(IF(MOD(S_binomial[[#This Row],[Indeks (base 0)]],AF$7)=ROUNDDOWN(AF$7/2,0),S_binomial[[#This Row],[X base]],""),"")</f>
        <v/>
      </c>
      <c r="AP192" s="99" t="str">
        <f t="shared" si="30"/>
        <v xml:space="preserve"> </v>
      </c>
      <c r="AR192" s="54">
        <f t="shared" si="31"/>
        <v>179</v>
      </c>
      <c r="AS192" s="54">
        <f>S_normal27[[#This Row],[Indeks (base 0)]]+1</f>
        <v>180</v>
      </c>
      <c r="AT192" s="54">
        <f t="shared" si="33"/>
        <v>2</v>
      </c>
      <c r="AU192" s="54">
        <f>IF(MOD(S_normal27[[#This Row],[Indeks (base 0)]],AS$8)=0,NA(),_xlfn.POISSON.DIST(S_normal27[[#This Row],[X base]],$H$5,FALSE))</f>
        <v>0.22404180765538775</v>
      </c>
      <c r="AV192" s="99" t="b">
        <f>S_normal27[[#This Row],[X base]]&lt;AS$5</f>
        <v>0</v>
      </c>
      <c r="AW192" s="99" t="b">
        <f>S_normal27[[#This Row],[X base]]=AS$5</f>
        <v>1</v>
      </c>
      <c r="AX192" s="99" t="b">
        <f>S_normal27[[#This Row],[X base]]&gt;AS$5</f>
        <v>0</v>
      </c>
      <c r="AY192" s="99" t="e">
        <f>IF(S_normal27[[#This Row],[Mindre end]],S_normal27[[#This Row],[Poissonfordeling]],NA())</f>
        <v>#N/A</v>
      </c>
      <c r="AZ192" s="99">
        <f>IF(S_normal27[[#This Row],[Lig med]],S_normal27[[#This Row],[Poissonfordeling]],NA())</f>
        <v>0.22404180765538775</v>
      </c>
      <c r="BA192" s="99" t="e">
        <f>IF(S_normal27[[#This Row],[Større end]],S_normal27[[#This Row],[Poissonfordeling]],NA())</f>
        <v>#N/A</v>
      </c>
      <c r="BB192" s="85" t="str">
        <f>_xlfn.IFNA(IF(MOD(S_normal27[[#This Row],[Indeks (base 0)]],AS$8)=ROUNDDOWN(AS$8/2,0),S_normal27[[#This Row],[X base]],""),"")</f>
        <v/>
      </c>
      <c r="BC192" s="99" t="str">
        <f t="shared" si="32"/>
        <v xml:space="preserve"> </v>
      </c>
    </row>
    <row r="193" spans="20:55" x14ac:dyDescent="0.2">
      <c r="T193" s="54">
        <f t="shared" si="26"/>
        <v>180</v>
      </c>
      <c r="U193" s="54">
        <f>S_normal[[#This Row],[Indeks (base 0)]]+1</f>
        <v>181</v>
      </c>
      <c r="V193" s="99">
        <f t="shared" si="34"/>
        <v>1.2217197489500657</v>
      </c>
      <c r="W193" s="99">
        <f t="shared" si="27"/>
        <v>0.18914561597203963</v>
      </c>
      <c r="X193" s="99" t="b">
        <f>S_normal[[#This Row],[X base]]&lt;U$7</f>
        <v>1</v>
      </c>
      <c r="Y193" s="99" t="b">
        <f>S_normal[[#This Row],[X base]]&gt;U$7</f>
        <v>0</v>
      </c>
      <c r="Z193" s="99">
        <f>IF(S_normal[[#This Row],[Mindre end]],S_normal[[#This Row],[Normalfordeling]],NA())</f>
        <v>0.18914561597203963</v>
      </c>
      <c r="AA193" s="99" t="e">
        <f>IF(S_normal[[#This Row],[Større end]],S_normal[[#This Row],[Normalfordeling]],NA())</f>
        <v>#N/A</v>
      </c>
      <c r="AB193" s="72" t="str">
        <f>_xlfn.IFNA(IF(S_normal[[#This Row],[Indeks (base 0)]]=ROUND((ROUND(S_normal[[#This Row],[X base]],0)-U$8)/(U$9-U$8)*U$4,0),S_normal[[#This Row],[X base]]*B$6+B$5,""),"")</f>
        <v/>
      </c>
      <c r="AC193" s="99" t="str">
        <f t="shared" si="35"/>
        <v xml:space="preserve"> </v>
      </c>
      <c r="AE193" s="54">
        <f t="shared" si="28"/>
        <v>180</v>
      </c>
      <c r="AF193" s="54">
        <f>S_binomial[[#This Row],[Indeks (base 0)]]+1</f>
        <v>181</v>
      </c>
      <c r="AG193" s="99">
        <f t="shared" si="29"/>
        <v>1</v>
      </c>
      <c r="AH193" s="99">
        <f>IF(MOD(S_binomial[[#This Row],[Indeks (base 0)]],AF$7)=0,NA(),_xlfn.BINOM.DIST(S_binomial[[#This Row],[X base]],E$5,E$6,FALSE))</f>
        <v>2.7751718400000021E-4</v>
      </c>
      <c r="AI193" s="99" t="b">
        <f>S_binomial[[#This Row],[X base]]&lt;AF$5</f>
        <v>1</v>
      </c>
      <c r="AJ193" s="99" t="b">
        <f>S_binomial[[#This Row],[X base]]=AF$5</f>
        <v>0</v>
      </c>
      <c r="AK193" s="99" t="b">
        <f>S_binomial[[#This Row],[X base]]&gt;AF$5</f>
        <v>0</v>
      </c>
      <c r="AL193" s="99">
        <f>IF(S_binomial[[#This Row],[Mindre end]],S_binomial[[#This Row],[Binomialfordeling]],NA())</f>
        <v>2.7751718400000021E-4</v>
      </c>
      <c r="AM193" s="99" t="e">
        <f>IF(S_binomial[[#This Row],[Lig med]],S_binomial[[#This Row],[Binomialfordeling]],NA())</f>
        <v>#N/A</v>
      </c>
      <c r="AN193" s="99" t="e">
        <f>IF(S_binomial[[#This Row],[Større end]],S_binomial[[#This Row],[Binomialfordeling]],NA())</f>
        <v>#N/A</v>
      </c>
      <c r="AO193" s="85" t="str">
        <f>_xlfn.IFNA(IF(MOD(S_binomial[[#This Row],[Indeks (base 0)]],AF$7)=ROUNDDOWN(AF$7/2,0),S_binomial[[#This Row],[X base]],""),"")</f>
        <v/>
      </c>
      <c r="AP193" s="99" t="str">
        <f t="shared" si="30"/>
        <v xml:space="preserve"> </v>
      </c>
      <c r="AR193" s="54">
        <f t="shared" si="31"/>
        <v>180</v>
      </c>
      <c r="AS193" s="54">
        <f>S_normal27[[#This Row],[Indeks (base 0)]]+1</f>
        <v>181</v>
      </c>
      <c r="AT193" s="54">
        <f t="shared" si="33"/>
        <v>2</v>
      </c>
      <c r="AU193" s="54">
        <f>IF(MOD(S_normal27[[#This Row],[Indeks (base 0)]],AS$8)=0,NA(),_xlfn.POISSON.DIST(S_normal27[[#This Row],[X base]],$H$5,FALSE))</f>
        <v>0.22404180765538775</v>
      </c>
      <c r="AV193" s="99" t="b">
        <f>S_normal27[[#This Row],[X base]]&lt;AS$5</f>
        <v>0</v>
      </c>
      <c r="AW193" s="99" t="b">
        <f>S_normal27[[#This Row],[X base]]=AS$5</f>
        <v>1</v>
      </c>
      <c r="AX193" s="99" t="b">
        <f>S_normal27[[#This Row],[X base]]&gt;AS$5</f>
        <v>0</v>
      </c>
      <c r="AY193" s="99" t="e">
        <f>IF(S_normal27[[#This Row],[Mindre end]],S_normal27[[#This Row],[Poissonfordeling]],NA())</f>
        <v>#N/A</v>
      </c>
      <c r="AZ193" s="99">
        <f>IF(S_normal27[[#This Row],[Lig med]],S_normal27[[#This Row],[Poissonfordeling]],NA())</f>
        <v>0.22404180765538775</v>
      </c>
      <c r="BA193" s="99" t="e">
        <f>IF(S_normal27[[#This Row],[Større end]],S_normal27[[#This Row],[Poissonfordeling]],NA())</f>
        <v>#N/A</v>
      </c>
      <c r="BB193" s="85" t="str">
        <f>_xlfn.IFNA(IF(MOD(S_normal27[[#This Row],[Indeks (base 0)]],AS$8)=ROUNDDOWN(AS$8/2,0),S_normal27[[#This Row],[X base]],""),"")</f>
        <v/>
      </c>
      <c r="BC193" s="99" t="str">
        <f t="shared" si="32"/>
        <v xml:space="preserve"> </v>
      </c>
    </row>
    <row r="194" spans="20:55" x14ac:dyDescent="0.2">
      <c r="T194" s="54">
        <f t="shared" si="26"/>
        <v>181</v>
      </c>
      <c r="U194" s="54">
        <f>S_normal[[#This Row],[Indeks (base 0)]]+1</f>
        <v>182</v>
      </c>
      <c r="V194" s="99">
        <f t="shared" si="34"/>
        <v>1.2456750381451647</v>
      </c>
      <c r="W194" s="99">
        <f t="shared" si="27"/>
        <v>0.18363747975432304</v>
      </c>
      <c r="X194" s="99" t="b">
        <f>S_normal[[#This Row],[X base]]&lt;U$7</f>
        <v>1</v>
      </c>
      <c r="Y194" s="99" t="b">
        <f>S_normal[[#This Row],[X base]]&gt;U$7</f>
        <v>0</v>
      </c>
      <c r="Z194" s="99">
        <f>IF(S_normal[[#This Row],[Mindre end]],S_normal[[#This Row],[Normalfordeling]],NA())</f>
        <v>0.18363747975432304</v>
      </c>
      <c r="AA194" s="99" t="e">
        <f>IF(S_normal[[#This Row],[Større end]],S_normal[[#This Row],[Normalfordeling]],NA())</f>
        <v>#N/A</v>
      </c>
      <c r="AB194" s="72" t="str">
        <f>_xlfn.IFNA(IF(S_normal[[#This Row],[Indeks (base 0)]]=ROUND((ROUND(S_normal[[#This Row],[X base]],0)-U$8)/(U$9-U$8)*U$4,0),S_normal[[#This Row],[X base]]*B$6+B$5,""),"")</f>
        <v/>
      </c>
      <c r="AC194" s="99" t="str">
        <f t="shared" si="35"/>
        <v xml:space="preserve"> </v>
      </c>
      <c r="AE194" s="54">
        <f t="shared" si="28"/>
        <v>181</v>
      </c>
      <c r="AF194" s="54">
        <f>S_binomial[[#This Row],[Indeks (base 0)]]+1</f>
        <v>182</v>
      </c>
      <c r="AG194" s="99">
        <f t="shared" si="29"/>
        <v>1</v>
      </c>
      <c r="AH194" s="99">
        <f>IF(MOD(S_binomial[[#This Row],[Indeks (base 0)]],AF$7)=0,NA(),_xlfn.BINOM.DIST(S_binomial[[#This Row],[X base]],E$5,E$6,FALSE))</f>
        <v>2.7751718400000021E-4</v>
      </c>
      <c r="AI194" s="99" t="b">
        <f>S_binomial[[#This Row],[X base]]&lt;AF$5</f>
        <v>1</v>
      </c>
      <c r="AJ194" s="99" t="b">
        <f>S_binomial[[#This Row],[X base]]=AF$5</f>
        <v>0</v>
      </c>
      <c r="AK194" s="99" t="b">
        <f>S_binomial[[#This Row],[X base]]&gt;AF$5</f>
        <v>0</v>
      </c>
      <c r="AL194" s="99">
        <f>IF(S_binomial[[#This Row],[Mindre end]],S_binomial[[#This Row],[Binomialfordeling]],NA())</f>
        <v>2.7751718400000021E-4</v>
      </c>
      <c r="AM194" s="99" t="e">
        <f>IF(S_binomial[[#This Row],[Lig med]],S_binomial[[#This Row],[Binomialfordeling]],NA())</f>
        <v>#N/A</v>
      </c>
      <c r="AN194" s="99" t="e">
        <f>IF(S_binomial[[#This Row],[Større end]],S_binomial[[#This Row],[Binomialfordeling]],NA())</f>
        <v>#N/A</v>
      </c>
      <c r="AO194" s="85" t="str">
        <f>_xlfn.IFNA(IF(MOD(S_binomial[[#This Row],[Indeks (base 0)]],AF$7)=ROUNDDOWN(AF$7/2,0),S_binomial[[#This Row],[X base]],""),"")</f>
        <v/>
      </c>
      <c r="AP194" s="99" t="str">
        <f t="shared" si="30"/>
        <v xml:space="preserve"> </v>
      </c>
      <c r="AR194" s="54">
        <f t="shared" si="31"/>
        <v>181</v>
      </c>
      <c r="AS194" s="54">
        <f>S_normal27[[#This Row],[Indeks (base 0)]]+1</f>
        <v>182</v>
      </c>
      <c r="AT194" s="54">
        <f t="shared" si="33"/>
        <v>2</v>
      </c>
      <c r="AU194" s="54">
        <f>IF(MOD(S_normal27[[#This Row],[Indeks (base 0)]],AS$8)=0,NA(),_xlfn.POISSON.DIST(S_normal27[[#This Row],[X base]],$H$5,FALSE))</f>
        <v>0.22404180765538775</v>
      </c>
      <c r="AV194" s="99" t="b">
        <f>S_normal27[[#This Row],[X base]]&lt;AS$5</f>
        <v>0</v>
      </c>
      <c r="AW194" s="99" t="b">
        <f>S_normal27[[#This Row],[X base]]=AS$5</f>
        <v>1</v>
      </c>
      <c r="AX194" s="99" t="b">
        <f>S_normal27[[#This Row],[X base]]&gt;AS$5</f>
        <v>0</v>
      </c>
      <c r="AY194" s="99" t="e">
        <f>IF(S_normal27[[#This Row],[Mindre end]],S_normal27[[#This Row],[Poissonfordeling]],NA())</f>
        <v>#N/A</v>
      </c>
      <c r="AZ194" s="99">
        <f>IF(S_normal27[[#This Row],[Lig med]],S_normal27[[#This Row],[Poissonfordeling]],NA())</f>
        <v>0.22404180765538775</v>
      </c>
      <c r="BA194" s="99" t="e">
        <f>IF(S_normal27[[#This Row],[Større end]],S_normal27[[#This Row],[Poissonfordeling]],NA())</f>
        <v>#N/A</v>
      </c>
      <c r="BB194" s="85" t="str">
        <f>_xlfn.IFNA(IF(MOD(S_normal27[[#This Row],[Indeks (base 0)]],AS$8)=ROUNDDOWN(AS$8/2,0),S_normal27[[#This Row],[X base]],""),"")</f>
        <v/>
      </c>
      <c r="BC194" s="99" t="str">
        <f t="shared" si="32"/>
        <v xml:space="preserve"> </v>
      </c>
    </row>
    <row r="195" spans="20:55" x14ac:dyDescent="0.2">
      <c r="T195" s="54">
        <f t="shared" si="26"/>
        <v>182</v>
      </c>
      <c r="U195" s="54">
        <f>S_normal[[#This Row],[Indeks (base 0)]]+1</f>
        <v>183</v>
      </c>
      <c r="V195" s="99">
        <f t="shared" si="34"/>
        <v>1.2696303273402645</v>
      </c>
      <c r="W195" s="99">
        <f t="shared" si="27"/>
        <v>0.17818746348109929</v>
      </c>
      <c r="X195" s="99" t="b">
        <f>S_normal[[#This Row],[X base]]&lt;U$7</f>
        <v>1</v>
      </c>
      <c r="Y195" s="99" t="b">
        <f>S_normal[[#This Row],[X base]]&gt;U$7</f>
        <v>0</v>
      </c>
      <c r="Z195" s="99">
        <f>IF(S_normal[[#This Row],[Mindre end]],S_normal[[#This Row],[Normalfordeling]],NA())</f>
        <v>0.17818746348109929</v>
      </c>
      <c r="AA195" s="99" t="e">
        <f>IF(S_normal[[#This Row],[Større end]],S_normal[[#This Row],[Normalfordeling]],NA())</f>
        <v>#N/A</v>
      </c>
      <c r="AB195" s="72" t="str">
        <f>_xlfn.IFNA(IF(S_normal[[#This Row],[Indeks (base 0)]]=ROUND((ROUND(S_normal[[#This Row],[X base]],0)-U$8)/(U$9-U$8)*U$4,0),S_normal[[#This Row],[X base]]*B$6+B$5,""),"")</f>
        <v/>
      </c>
      <c r="AC195" s="99" t="str">
        <f t="shared" si="35"/>
        <v xml:space="preserve"> </v>
      </c>
      <c r="AE195" s="54">
        <f t="shared" si="28"/>
        <v>182</v>
      </c>
      <c r="AF195" s="54">
        <f>S_binomial[[#This Row],[Indeks (base 0)]]+1</f>
        <v>183</v>
      </c>
      <c r="AG195" s="99">
        <f t="shared" si="29"/>
        <v>1</v>
      </c>
      <c r="AH195" s="99">
        <f>IF(MOD(S_binomial[[#This Row],[Indeks (base 0)]],AF$7)=0,NA(),_xlfn.BINOM.DIST(S_binomial[[#This Row],[X base]],E$5,E$6,FALSE))</f>
        <v>2.7751718400000021E-4</v>
      </c>
      <c r="AI195" s="99" t="b">
        <f>S_binomial[[#This Row],[X base]]&lt;AF$5</f>
        <v>1</v>
      </c>
      <c r="AJ195" s="99" t="b">
        <f>S_binomial[[#This Row],[X base]]=AF$5</f>
        <v>0</v>
      </c>
      <c r="AK195" s="99" t="b">
        <f>S_binomial[[#This Row],[X base]]&gt;AF$5</f>
        <v>0</v>
      </c>
      <c r="AL195" s="99">
        <f>IF(S_binomial[[#This Row],[Mindre end]],S_binomial[[#This Row],[Binomialfordeling]],NA())</f>
        <v>2.7751718400000021E-4</v>
      </c>
      <c r="AM195" s="99" t="e">
        <f>IF(S_binomial[[#This Row],[Lig med]],S_binomial[[#This Row],[Binomialfordeling]],NA())</f>
        <v>#N/A</v>
      </c>
      <c r="AN195" s="99" t="e">
        <f>IF(S_binomial[[#This Row],[Større end]],S_binomial[[#This Row],[Binomialfordeling]],NA())</f>
        <v>#N/A</v>
      </c>
      <c r="AO195" s="85" t="str">
        <f>_xlfn.IFNA(IF(MOD(S_binomial[[#This Row],[Indeks (base 0)]],AF$7)=ROUNDDOWN(AF$7/2,0),S_binomial[[#This Row],[X base]],""),"")</f>
        <v/>
      </c>
      <c r="AP195" s="99" t="str">
        <f t="shared" si="30"/>
        <v xml:space="preserve"> </v>
      </c>
      <c r="AR195" s="54">
        <f t="shared" si="31"/>
        <v>182</v>
      </c>
      <c r="AS195" s="54">
        <f>S_normal27[[#This Row],[Indeks (base 0)]]+1</f>
        <v>183</v>
      </c>
      <c r="AT195" s="54">
        <f t="shared" si="33"/>
        <v>2</v>
      </c>
      <c r="AU195" s="54">
        <f>IF(MOD(S_normal27[[#This Row],[Indeks (base 0)]],AS$8)=0,NA(),_xlfn.POISSON.DIST(S_normal27[[#This Row],[X base]],$H$5,FALSE))</f>
        <v>0.22404180765538775</v>
      </c>
      <c r="AV195" s="99" t="b">
        <f>S_normal27[[#This Row],[X base]]&lt;AS$5</f>
        <v>0</v>
      </c>
      <c r="AW195" s="99" t="b">
        <f>S_normal27[[#This Row],[X base]]=AS$5</f>
        <v>1</v>
      </c>
      <c r="AX195" s="99" t="b">
        <f>S_normal27[[#This Row],[X base]]&gt;AS$5</f>
        <v>0</v>
      </c>
      <c r="AY195" s="99" t="e">
        <f>IF(S_normal27[[#This Row],[Mindre end]],S_normal27[[#This Row],[Poissonfordeling]],NA())</f>
        <v>#N/A</v>
      </c>
      <c r="AZ195" s="99">
        <f>IF(S_normal27[[#This Row],[Lig med]],S_normal27[[#This Row],[Poissonfordeling]],NA())</f>
        <v>0.22404180765538775</v>
      </c>
      <c r="BA195" s="99" t="e">
        <f>IF(S_normal27[[#This Row],[Større end]],S_normal27[[#This Row],[Poissonfordeling]],NA())</f>
        <v>#N/A</v>
      </c>
      <c r="BB195" s="85" t="str">
        <f>_xlfn.IFNA(IF(MOD(S_normal27[[#This Row],[Indeks (base 0)]],AS$8)=ROUNDDOWN(AS$8/2,0),S_normal27[[#This Row],[X base]],""),"")</f>
        <v/>
      </c>
      <c r="BC195" s="99" t="str">
        <f t="shared" si="32"/>
        <v xml:space="preserve"> </v>
      </c>
    </row>
    <row r="196" spans="20:55" x14ac:dyDescent="0.2">
      <c r="T196" s="54">
        <f t="shared" si="26"/>
        <v>183</v>
      </c>
      <c r="U196" s="54">
        <f>S_normal[[#This Row],[Indeks (base 0)]]+1</f>
        <v>184</v>
      </c>
      <c r="V196" s="99">
        <f t="shared" si="34"/>
        <v>1.2935856165353634</v>
      </c>
      <c r="W196" s="99">
        <f t="shared" si="27"/>
        <v>0.17280000272227755</v>
      </c>
      <c r="X196" s="99" t="b">
        <f>S_normal[[#This Row],[X base]]&lt;U$7</f>
        <v>1</v>
      </c>
      <c r="Y196" s="99" t="b">
        <f>S_normal[[#This Row],[X base]]&gt;U$7</f>
        <v>0</v>
      </c>
      <c r="Z196" s="99">
        <f>IF(S_normal[[#This Row],[Mindre end]],S_normal[[#This Row],[Normalfordeling]],NA())</f>
        <v>0.17280000272227755</v>
      </c>
      <c r="AA196" s="99" t="e">
        <f>IF(S_normal[[#This Row],[Større end]],S_normal[[#This Row],[Normalfordeling]],NA())</f>
        <v>#N/A</v>
      </c>
      <c r="AB196" s="72" t="str">
        <f>_xlfn.IFNA(IF(S_normal[[#This Row],[Indeks (base 0)]]=ROUND((ROUND(S_normal[[#This Row],[X base]],0)-U$8)/(U$9-U$8)*U$4,0),S_normal[[#This Row],[X base]]*B$6+B$5,""),"")</f>
        <v/>
      </c>
      <c r="AC196" s="99" t="str">
        <f t="shared" si="35"/>
        <v xml:space="preserve"> </v>
      </c>
      <c r="AE196" s="54">
        <f t="shared" si="28"/>
        <v>183</v>
      </c>
      <c r="AF196" s="54">
        <f>S_binomial[[#This Row],[Indeks (base 0)]]+1</f>
        <v>184</v>
      </c>
      <c r="AG196" s="99">
        <f t="shared" si="29"/>
        <v>1</v>
      </c>
      <c r="AH196" s="99">
        <f>IF(MOD(S_binomial[[#This Row],[Indeks (base 0)]],AF$7)=0,NA(),_xlfn.BINOM.DIST(S_binomial[[#This Row],[X base]],E$5,E$6,FALSE))</f>
        <v>2.7751718400000021E-4</v>
      </c>
      <c r="AI196" s="99" t="b">
        <f>S_binomial[[#This Row],[X base]]&lt;AF$5</f>
        <v>1</v>
      </c>
      <c r="AJ196" s="99" t="b">
        <f>S_binomial[[#This Row],[X base]]=AF$5</f>
        <v>0</v>
      </c>
      <c r="AK196" s="99" t="b">
        <f>S_binomial[[#This Row],[X base]]&gt;AF$5</f>
        <v>0</v>
      </c>
      <c r="AL196" s="99">
        <f>IF(S_binomial[[#This Row],[Mindre end]],S_binomial[[#This Row],[Binomialfordeling]],NA())</f>
        <v>2.7751718400000021E-4</v>
      </c>
      <c r="AM196" s="99" t="e">
        <f>IF(S_binomial[[#This Row],[Lig med]],S_binomial[[#This Row],[Binomialfordeling]],NA())</f>
        <v>#N/A</v>
      </c>
      <c r="AN196" s="99" t="e">
        <f>IF(S_binomial[[#This Row],[Større end]],S_binomial[[#This Row],[Binomialfordeling]],NA())</f>
        <v>#N/A</v>
      </c>
      <c r="AO196" s="85" t="str">
        <f>_xlfn.IFNA(IF(MOD(S_binomial[[#This Row],[Indeks (base 0)]],AF$7)=ROUNDDOWN(AF$7/2,0),S_binomial[[#This Row],[X base]],""),"")</f>
        <v/>
      </c>
      <c r="AP196" s="99" t="str">
        <f t="shared" si="30"/>
        <v xml:space="preserve"> </v>
      </c>
      <c r="AR196" s="54">
        <f t="shared" si="31"/>
        <v>183</v>
      </c>
      <c r="AS196" s="54">
        <f>S_normal27[[#This Row],[Indeks (base 0)]]+1</f>
        <v>184</v>
      </c>
      <c r="AT196" s="54">
        <f t="shared" si="33"/>
        <v>2</v>
      </c>
      <c r="AU196" s="54">
        <f>IF(MOD(S_normal27[[#This Row],[Indeks (base 0)]],AS$8)=0,NA(),_xlfn.POISSON.DIST(S_normal27[[#This Row],[X base]],$H$5,FALSE))</f>
        <v>0.22404180765538775</v>
      </c>
      <c r="AV196" s="99" t="b">
        <f>S_normal27[[#This Row],[X base]]&lt;AS$5</f>
        <v>0</v>
      </c>
      <c r="AW196" s="99" t="b">
        <f>S_normal27[[#This Row],[X base]]=AS$5</f>
        <v>1</v>
      </c>
      <c r="AX196" s="99" t="b">
        <f>S_normal27[[#This Row],[X base]]&gt;AS$5</f>
        <v>0</v>
      </c>
      <c r="AY196" s="99" t="e">
        <f>IF(S_normal27[[#This Row],[Mindre end]],S_normal27[[#This Row],[Poissonfordeling]],NA())</f>
        <v>#N/A</v>
      </c>
      <c r="AZ196" s="99">
        <f>IF(S_normal27[[#This Row],[Lig med]],S_normal27[[#This Row],[Poissonfordeling]],NA())</f>
        <v>0.22404180765538775</v>
      </c>
      <c r="BA196" s="99" t="e">
        <f>IF(S_normal27[[#This Row],[Større end]],S_normal27[[#This Row],[Poissonfordeling]],NA())</f>
        <v>#N/A</v>
      </c>
      <c r="BB196" s="85" t="str">
        <f>_xlfn.IFNA(IF(MOD(S_normal27[[#This Row],[Indeks (base 0)]],AS$8)=ROUNDDOWN(AS$8/2,0),S_normal27[[#This Row],[X base]],""),"")</f>
        <v/>
      </c>
      <c r="BC196" s="99" t="str">
        <f t="shared" si="32"/>
        <v xml:space="preserve"> </v>
      </c>
    </row>
    <row r="197" spans="20:55" x14ac:dyDescent="0.2">
      <c r="T197" s="54">
        <f t="shared" si="26"/>
        <v>184</v>
      </c>
      <c r="U197" s="54">
        <f>S_normal[[#This Row],[Indeks (base 0)]]+1</f>
        <v>185</v>
      </c>
      <c r="V197" s="99">
        <f t="shared" si="34"/>
        <v>1.3175409057304632</v>
      </c>
      <c r="W197" s="99">
        <f t="shared" si="27"/>
        <v>0.16747929415535212</v>
      </c>
      <c r="X197" s="99" t="b">
        <f>S_normal[[#This Row],[X base]]&lt;U$7</f>
        <v>1</v>
      </c>
      <c r="Y197" s="99" t="b">
        <f>S_normal[[#This Row],[X base]]&gt;U$7</f>
        <v>0</v>
      </c>
      <c r="Z197" s="99">
        <f>IF(S_normal[[#This Row],[Mindre end]],S_normal[[#This Row],[Normalfordeling]],NA())</f>
        <v>0.16747929415535212</v>
      </c>
      <c r="AA197" s="99" t="e">
        <f>IF(S_normal[[#This Row],[Større end]],S_normal[[#This Row],[Normalfordeling]],NA())</f>
        <v>#N/A</v>
      </c>
      <c r="AB197" s="72" t="str">
        <f>_xlfn.IFNA(IF(S_normal[[#This Row],[Indeks (base 0)]]=ROUND((ROUND(S_normal[[#This Row],[X base]],0)-U$8)/(U$9-U$8)*U$4,0),S_normal[[#This Row],[X base]]*B$6+B$5,""),"")</f>
        <v/>
      </c>
      <c r="AC197" s="99" t="str">
        <f t="shared" si="35"/>
        <v xml:space="preserve"> </v>
      </c>
      <c r="AE197" s="54">
        <f t="shared" si="28"/>
        <v>184</v>
      </c>
      <c r="AF197" s="54">
        <f>S_binomial[[#This Row],[Indeks (base 0)]]+1</f>
        <v>185</v>
      </c>
      <c r="AG197" s="99">
        <f t="shared" si="29"/>
        <v>2</v>
      </c>
      <c r="AH197" s="99" t="e">
        <f>IF(MOD(S_binomial[[#This Row],[Indeks (base 0)]],AF$7)=0,NA(),_xlfn.BINOM.DIST(S_binomial[[#This Row],[X base]],E$5,E$6,FALSE))</f>
        <v>#N/A</v>
      </c>
      <c r="AI197" s="99" t="b">
        <f>S_binomial[[#This Row],[X base]]&lt;AF$5</f>
        <v>1</v>
      </c>
      <c r="AJ197" s="99" t="b">
        <f>S_binomial[[#This Row],[X base]]=AF$5</f>
        <v>0</v>
      </c>
      <c r="AK197" s="99" t="b">
        <f>S_binomial[[#This Row],[X base]]&gt;AF$5</f>
        <v>0</v>
      </c>
      <c r="AL197" s="99" t="e">
        <f>IF(S_binomial[[#This Row],[Mindre end]],S_binomial[[#This Row],[Binomialfordeling]],NA())</f>
        <v>#N/A</v>
      </c>
      <c r="AM197" s="99" t="e">
        <f>IF(S_binomial[[#This Row],[Lig med]],S_binomial[[#This Row],[Binomialfordeling]],NA())</f>
        <v>#N/A</v>
      </c>
      <c r="AN197" s="99" t="e">
        <f>IF(S_binomial[[#This Row],[Større end]],S_binomial[[#This Row],[Binomialfordeling]],NA())</f>
        <v>#N/A</v>
      </c>
      <c r="AO197" s="85" t="str">
        <f>_xlfn.IFNA(IF(MOD(S_binomial[[#This Row],[Indeks (base 0)]],AF$7)=ROUNDDOWN(AF$7/2,0),S_binomial[[#This Row],[X base]],""),"")</f>
        <v/>
      </c>
      <c r="AP197" s="99" t="str">
        <f t="shared" si="30"/>
        <v xml:space="preserve"> </v>
      </c>
      <c r="AR197" s="54">
        <f t="shared" si="31"/>
        <v>184</v>
      </c>
      <c r="AS197" s="54">
        <f>S_normal27[[#This Row],[Indeks (base 0)]]+1</f>
        <v>185</v>
      </c>
      <c r="AT197" s="54">
        <f t="shared" si="33"/>
        <v>2</v>
      </c>
      <c r="AU197" s="54">
        <f>IF(MOD(S_normal27[[#This Row],[Indeks (base 0)]],AS$8)=0,NA(),_xlfn.POISSON.DIST(S_normal27[[#This Row],[X base]],$H$5,FALSE))</f>
        <v>0.22404180765538775</v>
      </c>
      <c r="AV197" s="99" t="b">
        <f>S_normal27[[#This Row],[X base]]&lt;AS$5</f>
        <v>0</v>
      </c>
      <c r="AW197" s="99" t="b">
        <f>S_normal27[[#This Row],[X base]]=AS$5</f>
        <v>1</v>
      </c>
      <c r="AX197" s="99" t="b">
        <f>S_normal27[[#This Row],[X base]]&gt;AS$5</f>
        <v>0</v>
      </c>
      <c r="AY197" s="99" t="e">
        <f>IF(S_normal27[[#This Row],[Mindre end]],S_normal27[[#This Row],[Poissonfordeling]],NA())</f>
        <v>#N/A</v>
      </c>
      <c r="AZ197" s="99">
        <f>IF(S_normal27[[#This Row],[Lig med]],S_normal27[[#This Row],[Poissonfordeling]],NA())</f>
        <v>0.22404180765538775</v>
      </c>
      <c r="BA197" s="99" t="e">
        <f>IF(S_normal27[[#This Row],[Større end]],S_normal27[[#This Row],[Poissonfordeling]],NA())</f>
        <v>#N/A</v>
      </c>
      <c r="BB197" s="85" t="str">
        <f>_xlfn.IFNA(IF(MOD(S_normal27[[#This Row],[Indeks (base 0)]],AS$8)=ROUNDDOWN(AS$8/2,0),S_normal27[[#This Row],[X base]],""),"")</f>
        <v/>
      </c>
      <c r="BC197" s="99" t="str">
        <f t="shared" si="32"/>
        <v xml:space="preserve"> </v>
      </c>
    </row>
    <row r="198" spans="20:55" x14ac:dyDescent="0.2">
      <c r="T198" s="54">
        <f t="shared" si="26"/>
        <v>185</v>
      </c>
      <c r="U198" s="54">
        <f>S_normal[[#This Row],[Indeks (base 0)]]+1</f>
        <v>186</v>
      </c>
      <c r="V198" s="99">
        <f t="shared" si="34"/>
        <v>1.3414961949255622</v>
      </c>
      <c r="W198" s="99">
        <f t="shared" si="27"/>
        <v>0.16222929330418065</v>
      </c>
      <c r="X198" s="99" t="b">
        <f>S_normal[[#This Row],[X base]]&lt;U$7</f>
        <v>1</v>
      </c>
      <c r="Y198" s="99" t="b">
        <f>S_normal[[#This Row],[X base]]&gt;U$7</f>
        <v>0</v>
      </c>
      <c r="Z198" s="99">
        <f>IF(S_normal[[#This Row],[Mindre end]],S_normal[[#This Row],[Normalfordeling]],NA())</f>
        <v>0.16222929330418065</v>
      </c>
      <c r="AA198" s="99" t="e">
        <f>IF(S_normal[[#This Row],[Større end]],S_normal[[#This Row],[Normalfordeling]],NA())</f>
        <v>#N/A</v>
      </c>
      <c r="AB198" s="72" t="str">
        <f>_xlfn.IFNA(IF(S_normal[[#This Row],[Indeks (base 0)]]=ROUND((ROUND(S_normal[[#This Row],[X base]],0)-U$8)/(U$9-U$8)*U$4,0),S_normal[[#This Row],[X base]]*B$6+B$5,""),"")</f>
        <v/>
      </c>
      <c r="AC198" s="99" t="str">
        <f t="shared" si="35"/>
        <v xml:space="preserve"> </v>
      </c>
      <c r="AE198" s="54">
        <f t="shared" si="28"/>
        <v>185</v>
      </c>
      <c r="AF198" s="54">
        <f>S_binomial[[#This Row],[Indeks (base 0)]]+1</f>
        <v>186</v>
      </c>
      <c r="AG198" s="99">
        <f t="shared" si="29"/>
        <v>2</v>
      </c>
      <c r="AH198" s="99">
        <f>IF(MOD(S_binomial[[#This Row],[Indeks (base 0)]],AF$7)=0,NA(),_xlfn.BINOM.DIST(S_binomial[[#This Row],[X base]],E$5,E$6,FALSE))</f>
        <v>4.261871040000002E-3</v>
      </c>
      <c r="AI198" s="99" t="b">
        <f>S_binomial[[#This Row],[X base]]&lt;AF$5</f>
        <v>1</v>
      </c>
      <c r="AJ198" s="99" t="b">
        <f>S_binomial[[#This Row],[X base]]=AF$5</f>
        <v>0</v>
      </c>
      <c r="AK198" s="99" t="b">
        <f>S_binomial[[#This Row],[X base]]&gt;AF$5</f>
        <v>0</v>
      </c>
      <c r="AL198" s="99">
        <f>IF(S_binomial[[#This Row],[Mindre end]],S_binomial[[#This Row],[Binomialfordeling]],NA())</f>
        <v>4.261871040000002E-3</v>
      </c>
      <c r="AM198" s="99" t="e">
        <f>IF(S_binomial[[#This Row],[Lig med]],S_binomial[[#This Row],[Binomialfordeling]],NA())</f>
        <v>#N/A</v>
      </c>
      <c r="AN198" s="99" t="e">
        <f>IF(S_binomial[[#This Row],[Større end]],S_binomial[[#This Row],[Binomialfordeling]],NA())</f>
        <v>#N/A</v>
      </c>
      <c r="AO198" s="85" t="str">
        <f>_xlfn.IFNA(IF(MOD(S_binomial[[#This Row],[Indeks (base 0)]],AF$7)=ROUNDDOWN(AF$7/2,0),S_binomial[[#This Row],[X base]],""),"")</f>
        <v/>
      </c>
      <c r="AP198" s="99" t="str">
        <f t="shared" si="30"/>
        <v xml:space="preserve"> </v>
      </c>
      <c r="AR198" s="54">
        <f t="shared" si="31"/>
        <v>185</v>
      </c>
      <c r="AS198" s="54">
        <f>S_normal27[[#This Row],[Indeks (base 0)]]+1</f>
        <v>186</v>
      </c>
      <c r="AT198" s="54">
        <f t="shared" si="33"/>
        <v>2</v>
      </c>
      <c r="AU198" s="54">
        <f>IF(MOD(S_normal27[[#This Row],[Indeks (base 0)]],AS$8)=0,NA(),_xlfn.POISSON.DIST(S_normal27[[#This Row],[X base]],$H$5,FALSE))</f>
        <v>0.22404180765538775</v>
      </c>
      <c r="AV198" s="99" t="b">
        <f>S_normal27[[#This Row],[X base]]&lt;AS$5</f>
        <v>0</v>
      </c>
      <c r="AW198" s="99" t="b">
        <f>S_normal27[[#This Row],[X base]]=AS$5</f>
        <v>1</v>
      </c>
      <c r="AX198" s="99" t="b">
        <f>S_normal27[[#This Row],[X base]]&gt;AS$5</f>
        <v>0</v>
      </c>
      <c r="AY198" s="99" t="e">
        <f>IF(S_normal27[[#This Row],[Mindre end]],S_normal27[[#This Row],[Poissonfordeling]],NA())</f>
        <v>#N/A</v>
      </c>
      <c r="AZ198" s="99">
        <f>IF(S_normal27[[#This Row],[Lig med]],S_normal27[[#This Row],[Poissonfordeling]],NA())</f>
        <v>0.22404180765538775</v>
      </c>
      <c r="BA198" s="99" t="e">
        <f>IF(S_normal27[[#This Row],[Større end]],S_normal27[[#This Row],[Poissonfordeling]],NA())</f>
        <v>#N/A</v>
      </c>
      <c r="BB198" s="85" t="str">
        <f>_xlfn.IFNA(IF(MOD(S_normal27[[#This Row],[Indeks (base 0)]],AS$8)=ROUNDDOWN(AS$8/2,0),S_normal27[[#This Row],[X base]],""),"")</f>
        <v/>
      </c>
      <c r="BC198" s="99" t="str">
        <f t="shared" si="32"/>
        <v xml:space="preserve"> </v>
      </c>
    </row>
    <row r="199" spans="20:55" x14ac:dyDescent="0.2">
      <c r="T199" s="54">
        <f t="shared" si="26"/>
        <v>186</v>
      </c>
      <c r="U199" s="54">
        <f>S_normal[[#This Row],[Indeks (base 0)]]+1</f>
        <v>187</v>
      </c>
      <c r="V199" s="99">
        <f t="shared" si="34"/>
        <v>1.365451484120662</v>
      </c>
      <c r="W199" s="99">
        <f t="shared" si="27"/>
        <v>0.1570537130277106</v>
      </c>
      <c r="X199" s="99" t="b">
        <f>S_normal[[#This Row],[X base]]&lt;U$7</f>
        <v>1</v>
      </c>
      <c r="Y199" s="99" t="b">
        <f>S_normal[[#This Row],[X base]]&gt;U$7</f>
        <v>0</v>
      </c>
      <c r="Z199" s="99">
        <f>IF(S_normal[[#This Row],[Mindre end]],S_normal[[#This Row],[Normalfordeling]],NA())</f>
        <v>0.1570537130277106</v>
      </c>
      <c r="AA199" s="99" t="e">
        <f>IF(S_normal[[#This Row],[Større end]],S_normal[[#This Row],[Normalfordeling]],NA())</f>
        <v>#N/A</v>
      </c>
      <c r="AB199" s="72" t="str">
        <f>_xlfn.IFNA(IF(S_normal[[#This Row],[Indeks (base 0)]]=ROUND((ROUND(S_normal[[#This Row],[X base]],0)-U$8)/(U$9-U$8)*U$4,0),S_normal[[#This Row],[X base]]*B$6+B$5,""),"")</f>
        <v/>
      </c>
      <c r="AC199" s="99" t="str">
        <f t="shared" si="35"/>
        <v xml:space="preserve"> </v>
      </c>
      <c r="AE199" s="54">
        <f t="shared" si="28"/>
        <v>186</v>
      </c>
      <c r="AF199" s="54">
        <f>S_binomial[[#This Row],[Indeks (base 0)]]+1</f>
        <v>187</v>
      </c>
      <c r="AG199" s="99">
        <f t="shared" si="29"/>
        <v>2</v>
      </c>
      <c r="AH199" s="99">
        <f>IF(MOD(S_binomial[[#This Row],[Indeks (base 0)]],AF$7)=0,NA(),_xlfn.BINOM.DIST(S_binomial[[#This Row],[X base]],E$5,E$6,FALSE))</f>
        <v>4.261871040000002E-3</v>
      </c>
      <c r="AI199" s="99" t="b">
        <f>S_binomial[[#This Row],[X base]]&lt;AF$5</f>
        <v>1</v>
      </c>
      <c r="AJ199" s="99" t="b">
        <f>S_binomial[[#This Row],[X base]]=AF$5</f>
        <v>0</v>
      </c>
      <c r="AK199" s="99" t="b">
        <f>S_binomial[[#This Row],[X base]]&gt;AF$5</f>
        <v>0</v>
      </c>
      <c r="AL199" s="99">
        <f>IF(S_binomial[[#This Row],[Mindre end]],S_binomial[[#This Row],[Binomialfordeling]],NA())</f>
        <v>4.261871040000002E-3</v>
      </c>
      <c r="AM199" s="99" t="e">
        <f>IF(S_binomial[[#This Row],[Lig med]],S_binomial[[#This Row],[Binomialfordeling]],NA())</f>
        <v>#N/A</v>
      </c>
      <c r="AN199" s="99" t="e">
        <f>IF(S_binomial[[#This Row],[Større end]],S_binomial[[#This Row],[Binomialfordeling]],NA())</f>
        <v>#N/A</v>
      </c>
      <c r="AO199" s="85" t="str">
        <f>_xlfn.IFNA(IF(MOD(S_binomial[[#This Row],[Indeks (base 0)]],AF$7)=ROUNDDOWN(AF$7/2,0),S_binomial[[#This Row],[X base]],""),"")</f>
        <v/>
      </c>
      <c r="AP199" s="99" t="str">
        <f t="shared" si="30"/>
        <v xml:space="preserve"> </v>
      </c>
      <c r="AR199" s="54">
        <f t="shared" si="31"/>
        <v>186</v>
      </c>
      <c r="AS199" s="54">
        <f>S_normal27[[#This Row],[Indeks (base 0)]]+1</f>
        <v>187</v>
      </c>
      <c r="AT199" s="54">
        <f t="shared" si="33"/>
        <v>2</v>
      </c>
      <c r="AU199" s="54">
        <f>IF(MOD(S_normal27[[#This Row],[Indeks (base 0)]],AS$8)=0,NA(),_xlfn.POISSON.DIST(S_normal27[[#This Row],[X base]],$H$5,FALSE))</f>
        <v>0.22404180765538775</v>
      </c>
      <c r="AV199" s="99" t="b">
        <f>S_normal27[[#This Row],[X base]]&lt;AS$5</f>
        <v>0</v>
      </c>
      <c r="AW199" s="99" t="b">
        <f>S_normal27[[#This Row],[X base]]=AS$5</f>
        <v>1</v>
      </c>
      <c r="AX199" s="99" t="b">
        <f>S_normal27[[#This Row],[X base]]&gt;AS$5</f>
        <v>0</v>
      </c>
      <c r="AY199" s="99" t="e">
        <f>IF(S_normal27[[#This Row],[Mindre end]],S_normal27[[#This Row],[Poissonfordeling]],NA())</f>
        <v>#N/A</v>
      </c>
      <c r="AZ199" s="99">
        <f>IF(S_normal27[[#This Row],[Lig med]],S_normal27[[#This Row],[Poissonfordeling]],NA())</f>
        <v>0.22404180765538775</v>
      </c>
      <c r="BA199" s="99" t="e">
        <f>IF(S_normal27[[#This Row],[Større end]],S_normal27[[#This Row],[Poissonfordeling]],NA())</f>
        <v>#N/A</v>
      </c>
      <c r="BB199" s="85" t="str">
        <f>_xlfn.IFNA(IF(MOD(S_normal27[[#This Row],[Indeks (base 0)]],AS$8)=ROUNDDOWN(AS$8/2,0),S_normal27[[#This Row],[X base]],""),"")</f>
        <v/>
      </c>
      <c r="BC199" s="99" t="str">
        <f t="shared" si="32"/>
        <v xml:space="preserve"> </v>
      </c>
    </row>
    <row r="200" spans="20:55" x14ac:dyDescent="0.2">
      <c r="T200" s="54">
        <f t="shared" si="26"/>
        <v>187</v>
      </c>
      <c r="U200" s="54">
        <f>S_normal[[#This Row],[Indeks (base 0)]]+1</f>
        <v>188</v>
      </c>
      <c r="V200" s="99">
        <f t="shared" si="34"/>
        <v>1.3894067733157609</v>
      </c>
      <c r="W200" s="99">
        <f t="shared" si="27"/>
        <v>0.15195602274069356</v>
      </c>
      <c r="X200" s="99" t="b">
        <f>S_normal[[#This Row],[X base]]&lt;U$7</f>
        <v>1</v>
      </c>
      <c r="Y200" s="99" t="b">
        <f>S_normal[[#This Row],[X base]]&gt;U$7</f>
        <v>0</v>
      </c>
      <c r="Z200" s="99">
        <f>IF(S_normal[[#This Row],[Mindre end]],S_normal[[#This Row],[Normalfordeling]],NA())</f>
        <v>0.15195602274069356</v>
      </c>
      <c r="AA200" s="99" t="e">
        <f>IF(S_normal[[#This Row],[Større end]],S_normal[[#This Row],[Normalfordeling]],NA())</f>
        <v>#N/A</v>
      </c>
      <c r="AB200" s="72" t="str">
        <f>_xlfn.IFNA(IF(S_normal[[#This Row],[Indeks (base 0)]]=ROUND((ROUND(S_normal[[#This Row],[X base]],0)-U$8)/(U$9-U$8)*U$4,0),S_normal[[#This Row],[X base]]*B$6+B$5,""),"")</f>
        <v/>
      </c>
      <c r="AC200" s="99" t="str">
        <f t="shared" si="35"/>
        <v xml:space="preserve"> </v>
      </c>
      <c r="AE200" s="54">
        <f t="shared" si="28"/>
        <v>187</v>
      </c>
      <c r="AF200" s="54">
        <f>S_binomial[[#This Row],[Indeks (base 0)]]+1</f>
        <v>188</v>
      </c>
      <c r="AG200" s="99">
        <f t="shared" si="29"/>
        <v>2</v>
      </c>
      <c r="AH200" s="99">
        <f>IF(MOD(S_binomial[[#This Row],[Indeks (base 0)]],AF$7)=0,NA(),_xlfn.BINOM.DIST(S_binomial[[#This Row],[X base]],E$5,E$6,FALSE))</f>
        <v>4.261871040000002E-3</v>
      </c>
      <c r="AI200" s="99" t="b">
        <f>S_binomial[[#This Row],[X base]]&lt;AF$5</f>
        <v>1</v>
      </c>
      <c r="AJ200" s="99" t="b">
        <f>S_binomial[[#This Row],[X base]]=AF$5</f>
        <v>0</v>
      </c>
      <c r="AK200" s="99" t="b">
        <f>S_binomial[[#This Row],[X base]]&gt;AF$5</f>
        <v>0</v>
      </c>
      <c r="AL200" s="99">
        <f>IF(S_binomial[[#This Row],[Mindre end]],S_binomial[[#This Row],[Binomialfordeling]],NA())</f>
        <v>4.261871040000002E-3</v>
      </c>
      <c r="AM200" s="99" t="e">
        <f>IF(S_binomial[[#This Row],[Lig med]],S_binomial[[#This Row],[Binomialfordeling]],NA())</f>
        <v>#N/A</v>
      </c>
      <c r="AN200" s="99" t="e">
        <f>IF(S_binomial[[#This Row],[Større end]],S_binomial[[#This Row],[Binomialfordeling]],NA())</f>
        <v>#N/A</v>
      </c>
      <c r="AO200" s="85" t="str">
        <f>_xlfn.IFNA(IF(MOD(S_binomial[[#This Row],[Indeks (base 0)]],AF$7)=ROUNDDOWN(AF$7/2,0),S_binomial[[#This Row],[X base]],""),"")</f>
        <v/>
      </c>
      <c r="AP200" s="99" t="str">
        <f t="shared" si="30"/>
        <v xml:space="preserve"> </v>
      </c>
      <c r="AR200" s="54">
        <f t="shared" si="31"/>
        <v>187</v>
      </c>
      <c r="AS200" s="54">
        <f>S_normal27[[#This Row],[Indeks (base 0)]]+1</f>
        <v>188</v>
      </c>
      <c r="AT200" s="54">
        <f t="shared" si="33"/>
        <v>2</v>
      </c>
      <c r="AU200" s="54">
        <f>IF(MOD(S_normal27[[#This Row],[Indeks (base 0)]],AS$8)=0,NA(),_xlfn.POISSON.DIST(S_normal27[[#This Row],[X base]],$H$5,FALSE))</f>
        <v>0.22404180765538775</v>
      </c>
      <c r="AV200" s="99" t="b">
        <f>S_normal27[[#This Row],[X base]]&lt;AS$5</f>
        <v>0</v>
      </c>
      <c r="AW200" s="99" t="b">
        <f>S_normal27[[#This Row],[X base]]=AS$5</f>
        <v>1</v>
      </c>
      <c r="AX200" s="99" t="b">
        <f>S_normal27[[#This Row],[X base]]&gt;AS$5</f>
        <v>0</v>
      </c>
      <c r="AY200" s="99" t="e">
        <f>IF(S_normal27[[#This Row],[Mindre end]],S_normal27[[#This Row],[Poissonfordeling]],NA())</f>
        <v>#N/A</v>
      </c>
      <c r="AZ200" s="99">
        <f>IF(S_normal27[[#This Row],[Lig med]],S_normal27[[#This Row],[Poissonfordeling]],NA())</f>
        <v>0.22404180765538775</v>
      </c>
      <c r="BA200" s="99" t="e">
        <f>IF(S_normal27[[#This Row],[Større end]],S_normal27[[#This Row],[Poissonfordeling]],NA())</f>
        <v>#N/A</v>
      </c>
      <c r="BB200" s="85" t="str">
        <f>_xlfn.IFNA(IF(MOD(S_normal27[[#This Row],[Indeks (base 0)]],AS$8)=ROUNDDOWN(AS$8/2,0),S_normal27[[#This Row],[X base]],""),"")</f>
        <v/>
      </c>
      <c r="BC200" s="99" t="str">
        <f t="shared" si="32"/>
        <v xml:space="preserve"> </v>
      </c>
    </row>
    <row r="201" spans="20:55" x14ac:dyDescent="0.2">
      <c r="T201" s="54">
        <f t="shared" si="26"/>
        <v>188</v>
      </c>
      <c r="U201" s="54">
        <f>S_normal[[#This Row],[Indeks (base 0)]]+1</f>
        <v>189</v>
      </c>
      <c r="V201" s="99">
        <f t="shared" si="34"/>
        <v>1.4133620625108598</v>
      </c>
      <c r="W201" s="99">
        <f t="shared" si="27"/>
        <v>0.14693944834608277</v>
      </c>
      <c r="X201" s="99" t="b">
        <f>S_normal[[#This Row],[X base]]&lt;U$7</f>
        <v>1</v>
      </c>
      <c r="Y201" s="99" t="b">
        <f>S_normal[[#This Row],[X base]]&gt;U$7</f>
        <v>0</v>
      </c>
      <c r="Z201" s="99">
        <f>IF(S_normal[[#This Row],[Mindre end]],S_normal[[#This Row],[Normalfordeling]],NA())</f>
        <v>0.14693944834608277</v>
      </c>
      <c r="AA201" s="99" t="e">
        <f>IF(S_normal[[#This Row],[Større end]],S_normal[[#This Row],[Normalfordeling]],NA())</f>
        <v>#N/A</v>
      </c>
      <c r="AB201" s="72" t="str">
        <f>_xlfn.IFNA(IF(S_normal[[#This Row],[Indeks (base 0)]]=ROUND((ROUND(S_normal[[#This Row],[X base]],0)-U$8)/(U$9-U$8)*U$4,0),S_normal[[#This Row],[X base]]*B$6+B$5,""),"")</f>
        <v/>
      </c>
      <c r="AC201" s="99" t="str">
        <f t="shared" si="35"/>
        <v xml:space="preserve"> </v>
      </c>
      <c r="AE201" s="54">
        <f t="shared" si="28"/>
        <v>188</v>
      </c>
      <c r="AF201" s="54">
        <f>S_binomial[[#This Row],[Indeks (base 0)]]+1</f>
        <v>189</v>
      </c>
      <c r="AG201" s="99">
        <f t="shared" si="29"/>
        <v>2</v>
      </c>
      <c r="AH201" s="99">
        <f>IF(MOD(S_binomial[[#This Row],[Indeks (base 0)]],AF$7)=0,NA(),_xlfn.BINOM.DIST(S_binomial[[#This Row],[X base]],E$5,E$6,FALSE))</f>
        <v>4.261871040000002E-3</v>
      </c>
      <c r="AI201" s="99" t="b">
        <f>S_binomial[[#This Row],[X base]]&lt;AF$5</f>
        <v>1</v>
      </c>
      <c r="AJ201" s="99" t="b">
        <f>S_binomial[[#This Row],[X base]]=AF$5</f>
        <v>0</v>
      </c>
      <c r="AK201" s="99" t="b">
        <f>S_binomial[[#This Row],[X base]]&gt;AF$5</f>
        <v>0</v>
      </c>
      <c r="AL201" s="99">
        <f>IF(S_binomial[[#This Row],[Mindre end]],S_binomial[[#This Row],[Binomialfordeling]],NA())</f>
        <v>4.261871040000002E-3</v>
      </c>
      <c r="AM201" s="99" t="e">
        <f>IF(S_binomial[[#This Row],[Lig med]],S_binomial[[#This Row],[Binomialfordeling]],NA())</f>
        <v>#N/A</v>
      </c>
      <c r="AN201" s="99" t="e">
        <f>IF(S_binomial[[#This Row],[Større end]],S_binomial[[#This Row],[Binomialfordeling]],NA())</f>
        <v>#N/A</v>
      </c>
      <c r="AO201" s="85" t="str">
        <f>_xlfn.IFNA(IF(MOD(S_binomial[[#This Row],[Indeks (base 0)]],AF$7)=ROUNDDOWN(AF$7/2,0),S_binomial[[#This Row],[X base]],""),"")</f>
        <v/>
      </c>
      <c r="AP201" s="99" t="str">
        <f t="shared" si="30"/>
        <v xml:space="preserve"> </v>
      </c>
      <c r="AR201" s="54">
        <f t="shared" si="31"/>
        <v>188</v>
      </c>
      <c r="AS201" s="54">
        <f>S_normal27[[#This Row],[Indeks (base 0)]]+1</f>
        <v>189</v>
      </c>
      <c r="AT201" s="54">
        <f t="shared" si="33"/>
        <v>2</v>
      </c>
      <c r="AU201" s="54">
        <f>IF(MOD(S_normal27[[#This Row],[Indeks (base 0)]],AS$8)=0,NA(),_xlfn.POISSON.DIST(S_normal27[[#This Row],[X base]],$H$5,FALSE))</f>
        <v>0.22404180765538775</v>
      </c>
      <c r="AV201" s="99" t="b">
        <f>S_normal27[[#This Row],[X base]]&lt;AS$5</f>
        <v>0</v>
      </c>
      <c r="AW201" s="99" t="b">
        <f>S_normal27[[#This Row],[X base]]=AS$5</f>
        <v>1</v>
      </c>
      <c r="AX201" s="99" t="b">
        <f>S_normal27[[#This Row],[X base]]&gt;AS$5</f>
        <v>0</v>
      </c>
      <c r="AY201" s="99" t="e">
        <f>IF(S_normal27[[#This Row],[Mindre end]],S_normal27[[#This Row],[Poissonfordeling]],NA())</f>
        <v>#N/A</v>
      </c>
      <c r="AZ201" s="99">
        <f>IF(S_normal27[[#This Row],[Lig med]],S_normal27[[#This Row],[Poissonfordeling]],NA())</f>
        <v>0.22404180765538775</v>
      </c>
      <c r="BA201" s="99" t="e">
        <f>IF(S_normal27[[#This Row],[Større end]],S_normal27[[#This Row],[Poissonfordeling]],NA())</f>
        <v>#N/A</v>
      </c>
      <c r="BB201" s="85" t="str">
        <f>_xlfn.IFNA(IF(MOD(S_normal27[[#This Row],[Indeks (base 0)]],AS$8)=ROUNDDOWN(AS$8/2,0),S_normal27[[#This Row],[X base]],""),"")</f>
        <v/>
      </c>
      <c r="BC201" s="99" t="str">
        <f t="shared" si="32"/>
        <v xml:space="preserve"> </v>
      </c>
    </row>
    <row r="202" spans="20:55" x14ac:dyDescent="0.2">
      <c r="T202" s="54">
        <f t="shared" si="26"/>
        <v>189</v>
      </c>
      <c r="U202" s="54">
        <f>S_normal[[#This Row],[Indeks (base 0)]]+1</f>
        <v>190</v>
      </c>
      <c r="V202" s="99">
        <f t="shared" si="34"/>
        <v>1.4373173517059596</v>
      </c>
      <c r="W202" s="99">
        <f t="shared" si="27"/>
        <v>0.14200697285664771</v>
      </c>
      <c r="X202" s="99" t="b">
        <f>S_normal[[#This Row],[X base]]&lt;U$7</f>
        <v>1</v>
      </c>
      <c r="Y202" s="99" t="b">
        <f>S_normal[[#This Row],[X base]]&gt;U$7</f>
        <v>0</v>
      </c>
      <c r="Z202" s="99">
        <f>IF(S_normal[[#This Row],[Mindre end]],S_normal[[#This Row],[Normalfordeling]],NA())</f>
        <v>0.14200697285664771</v>
      </c>
      <c r="AA202" s="99" t="e">
        <f>IF(S_normal[[#This Row],[Større end]],S_normal[[#This Row],[Normalfordeling]],NA())</f>
        <v>#N/A</v>
      </c>
      <c r="AB202" s="72" t="str">
        <f>_xlfn.IFNA(IF(S_normal[[#This Row],[Indeks (base 0)]]=ROUND((ROUND(S_normal[[#This Row],[X base]],0)-U$8)/(U$9-U$8)*U$4,0),S_normal[[#This Row],[X base]]*B$6+B$5,""),"")</f>
        <v/>
      </c>
      <c r="AC202" s="99" t="str">
        <f t="shared" si="35"/>
        <v xml:space="preserve"> </v>
      </c>
      <c r="AE202" s="54">
        <f t="shared" si="28"/>
        <v>189</v>
      </c>
      <c r="AF202" s="54">
        <f>S_binomial[[#This Row],[Indeks (base 0)]]+1</f>
        <v>190</v>
      </c>
      <c r="AG202" s="99">
        <f t="shared" si="29"/>
        <v>2</v>
      </c>
      <c r="AH202" s="99">
        <f>IF(MOD(S_binomial[[#This Row],[Indeks (base 0)]],AF$7)=0,NA(),_xlfn.BINOM.DIST(S_binomial[[#This Row],[X base]],E$5,E$6,FALSE))</f>
        <v>4.261871040000002E-3</v>
      </c>
      <c r="AI202" s="99" t="b">
        <f>S_binomial[[#This Row],[X base]]&lt;AF$5</f>
        <v>1</v>
      </c>
      <c r="AJ202" s="99" t="b">
        <f>S_binomial[[#This Row],[X base]]=AF$5</f>
        <v>0</v>
      </c>
      <c r="AK202" s="99" t="b">
        <f>S_binomial[[#This Row],[X base]]&gt;AF$5</f>
        <v>0</v>
      </c>
      <c r="AL202" s="99">
        <f>IF(S_binomial[[#This Row],[Mindre end]],S_binomial[[#This Row],[Binomialfordeling]],NA())</f>
        <v>4.261871040000002E-3</v>
      </c>
      <c r="AM202" s="99" t="e">
        <f>IF(S_binomial[[#This Row],[Lig med]],S_binomial[[#This Row],[Binomialfordeling]],NA())</f>
        <v>#N/A</v>
      </c>
      <c r="AN202" s="99" t="e">
        <f>IF(S_binomial[[#This Row],[Større end]],S_binomial[[#This Row],[Binomialfordeling]],NA())</f>
        <v>#N/A</v>
      </c>
      <c r="AO202" s="85" t="str">
        <f>_xlfn.IFNA(IF(MOD(S_binomial[[#This Row],[Indeks (base 0)]],AF$7)=ROUNDDOWN(AF$7/2,0),S_binomial[[#This Row],[X base]],""),"")</f>
        <v/>
      </c>
      <c r="AP202" s="99" t="str">
        <f t="shared" si="30"/>
        <v xml:space="preserve"> </v>
      </c>
      <c r="AR202" s="54">
        <f t="shared" si="31"/>
        <v>189</v>
      </c>
      <c r="AS202" s="54">
        <f>S_normal27[[#This Row],[Indeks (base 0)]]+1</f>
        <v>190</v>
      </c>
      <c r="AT202" s="54">
        <f t="shared" si="33"/>
        <v>2</v>
      </c>
      <c r="AU202" s="54">
        <f>IF(MOD(S_normal27[[#This Row],[Indeks (base 0)]],AS$8)=0,NA(),_xlfn.POISSON.DIST(S_normal27[[#This Row],[X base]],$H$5,FALSE))</f>
        <v>0.22404180765538775</v>
      </c>
      <c r="AV202" s="99" t="b">
        <f>S_normal27[[#This Row],[X base]]&lt;AS$5</f>
        <v>0</v>
      </c>
      <c r="AW202" s="99" t="b">
        <f>S_normal27[[#This Row],[X base]]=AS$5</f>
        <v>1</v>
      </c>
      <c r="AX202" s="99" t="b">
        <f>S_normal27[[#This Row],[X base]]&gt;AS$5</f>
        <v>0</v>
      </c>
      <c r="AY202" s="99" t="e">
        <f>IF(S_normal27[[#This Row],[Mindre end]],S_normal27[[#This Row],[Poissonfordeling]],NA())</f>
        <v>#N/A</v>
      </c>
      <c r="AZ202" s="99">
        <f>IF(S_normal27[[#This Row],[Lig med]],S_normal27[[#This Row],[Poissonfordeling]],NA())</f>
        <v>0.22404180765538775</v>
      </c>
      <c r="BA202" s="99" t="e">
        <f>IF(S_normal27[[#This Row],[Større end]],S_normal27[[#This Row],[Poissonfordeling]],NA())</f>
        <v>#N/A</v>
      </c>
      <c r="BB202" s="85" t="str">
        <f>_xlfn.IFNA(IF(MOD(S_normal27[[#This Row],[Indeks (base 0)]],AS$8)=ROUNDDOWN(AS$8/2,0),S_normal27[[#This Row],[X base]],""),"")</f>
        <v/>
      </c>
      <c r="BC202" s="99" t="str">
        <f t="shared" si="32"/>
        <v xml:space="preserve"> </v>
      </c>
    </row>
    <row r="203" spans="20:55" x14ac:dyDescent="0.2">
      <c r="T203" s="54">
        <f t="shared" si="26"/>
        <v>190</v>
      </c>
      <c r="U203" s="54">
        <f>S_normal[[#This Row],[Indeks (base 0)]]+1</f>
        <v>191</v>
      </c>
      <c r="V203" s="99">
        <f t="shared" si="34"/>
        <v>1.4612726409010586</v>
      </c>
      <c r="W203" s="99">
        <f t="shared" si="27"/>
        <v>0.1371613376813367</v>
      </c>
      <c r="X203" s="99" t="b">
        <f>S_normal[[#This Row],[X base]]&lt;U$7</f>
        <v>1</v>
      </c>
      <c r="Y203" s="99" t="b">
        <f>S_normal[[#This Row],[X base]]&gt;U$7</f>
        <v>0</v>
      </c>
      <c r="Z203" s="99">
        <f>IF(S_normal[[#This Row],[Mindre end]],S_normal[[#This Row],[Normalfordeling]],NA())</f>
        <v>0.1371613376813367</v>
      </c>
      <c r="AA203" s="99" t="e">
        <f>IF(S_normal[[#This Row],[Større end]],S_normal[[#This Row],[Normalfordeling]],NA())</f>
        <v>#N/A</v>
      </c>
      <c r="AB203" s="72" t="str">
        <f>_xlfn.IFNA(IF(S_normal[[#This Row],[Indeks (base 0)]]=ROUND((ROUND(S_normal[[#This Row],[X base]],0)-U$8)/(U$9-U$8)*U$4,0),S_normal[[#This Row],[X base]]*B$6+B$5,""),"")</f>
        <v/>
      </c>
      <c r="AC203" s="99" t="str">
        <f t="shared" si="35"/>
        <v xml:space="preserve"> </v>
      </c>
      <c r="AE203" s="54">
        <f t="shared" si="28"/>
        <v>190</v>
      </c>
      <c r="AF203" s="54">
        <f>S_binomial[[#This Row],[Indeks (base 0)]]+1</f>
        <v>191</v>
      </c>
      <c r="AG203" s="99">
        <f t="shared" si="29"/>
        <v>2</v>
      </c>
      <c r="AH203" s="99">
        <f>IF(MOD(S_binomial[[#This Row],[Indeks (base 0)]],AF$7)=0,NA(),_xlfn.BINOM.DIST(S_binomial[[#This Row],[X base]],E$5,E$6,FALSE))</f>
        <v>4.261871040000002E-3</v>
      </c>
      <c r="AI203" s="99" t="b">
        <f>S_binomial[[#This Row],[X base]]&lt;AF$5</f>
        <v>1</v>
      </c>
      <c r="AJ203" s="99" t="b">
        <f>S_binomial[[#This Row],[X base]]=AF$5</f>
        <v>0</v>
      </c>
      <c r="AK203" s="99" t="b">
        <f>S_binomial[[#This Row],[X base]]&gt;AF$5</f>
        <v>0</v>
      </c>
      <c r="AL203" s="99">
        <f>IF(S_binomial[[#This Row],[Mindre end]],S_binomial[[#This Row],[Binomialfordeling]],NA())</f>
        <v>4.261871040000002E-3</v>
      </c>
      <c r="AM203" s="99" t="e">
        <f>IF(S_binomial[[#This Row],[Lig med]],S_binomial[[#This Row],[Binomialfordeling]],NA())</f>
        <v>#N/A</v>
      </c>
      <c r="AN203" s="99" t="e">
        <f>IF(S_binomial[[#This Row],[Større end]],S_binomial[[#This Row],[Binomialfordeling]],NA())</f>
        <v>#N/A</v>
      </c>
      <c r="AO203" s="85" t="str">
        <f>_xlfn.IFNA(IF(MOD(S_binomial[[#This Row],[Indeks (base 0)]],AF$7)=ROUNDDOWN(AF$7/2,0),S_binomial[[#This Row],[X base]],""),"")</f>
        <v/>
      </c>
      <c r="AP203" s="99" t="str">
        <f t="shared" si="30"/>
        <v xml:space="preserve"> </v>
      </c>
      <c r="AR203" s="54">
        <f t="shared" si="31"/>
        <v>190</v>
      </c>
      <c r="AS203" s="54">
        <f>S_normal27[[#This Row],[Indeks (base 0)]]+1</f>
        <v>191</v>
      </c>
      <c r="AT203" s="54">
        <f t="shared" si="33"/>
        <v>2</v>
      </c>
      <c r="AU203" s="54">
        <f>IF(MOD(S_normal27[[#This Row],[Indeks (base 0)]],AS$8)=0,NA(),_xlfn.POISSON.DIST(S_normal27[[#This Row],[X base]],$H$5,FALSE))</f>
        <v>0.22404180765538775</v>
      </c>
      <c r="AV203" s="99" t="b">
        <f>S_normal27[[#This Row],[X base]]&lt;AS$5</f>
        <v>0</v>
      </c>
      <c r="AW203" s="99" t="b">
        <f>S_normal27[[#This Row],[X base]]=AS$5</f>
        <v>1</v>
      </c>
      <c r="AX203" s="99" t="b">
        <f>S_normal27[[#This Row],[X base]]&gt;AS$5</f>
        <v>0</v>
      </c>
      <c r="AY203" s="99" t="e">
        <f>IF(S_normal27[[#This Row],[Mindre end]],S_normal27[[#This Row],[Poissonfordeling]],NA())</f>
        <v>#N/A</v>
      </c>
      <c r="AZ203" s="99">
        <f>IF(S_normal27[[#This Row],[Lig med]],S_normal27[[#This Row],[Poissonfordeling]],NA())</f>
        <v>0.22404180765538775</v>
      </c>
      <c r="BA203" s="99" t="e">
        <f>IF(S_normal27[[#This Row],[Større end]],S_normal27[[#This Row],[Poissonfordeling]],NA())</f>
        <v>#N/A</v>
      </c>
      <c r="BB203" s="85" t="str">
        <f>_xlfn.IFNA(IF(MOD(S_normal27[[#This Row],[Indeks (base 0)]],AS$8)=ROUNDDOWN(AS$8/2,0),S_normal27[[#This Row],[X base]],""),"")</f>
        <v/>
      </c>
      <c r="BC203" s="99" t="str">
        <f t="shared" si="32"/>
        <v xml:space="preserve"> </v>
      </c>
    </row>
    <row r="204" spans="20:55" x14ac:dyDescent="0.2">
      <c r="T204" s="54">
        <f t="shared" si="26"/>
        <v>191</v>
      </c>
      <c r="U204" s="54">
        <f>S_normal[[#This Row],[Indeks (base 0)]]+1</f>
        <v>192</v>
      </c>
      <c r="V204" s="99">
        <f t="shared" si="34"/>
        <v>1.4852279300961584</v>
      </c>
      <c r="W204" s="99">
        <f t="shared" si="27"/>
        <v>0.13240504455009261</v>
      </c>
      <c r="X204" s="99" t="b">
        <f>S_normal[[#This Row],[X base]]&lt;U$7</f>
        <v>1</v>
      </c>
      <c r="Y204" s="99" t="b">
        <f>S_normal[[#This Row],[X base]]&gt;U$7</f>
        <v>0</v>
      </c>
      <c r="Z204" s="99">
        <f>IF(S_normal[[#This Row],[Mindre end]],S_normal[[#This Row],[Normalfordeling]],NA())</f>
        <v>0.13240504455009261</v>
      </c>
      <c r="AA204" s="99" t="e">
        <f>IF(S_normal[[#This Row],[Større end]],S_normal[[#This Row],[Normalfordeling]],NA())</f>
        <v>#N/A</v>
      </c>
      <c r="AB204" s="72" t="str">
        <f>_xlfn.IFNA(IF(S_normal[[#This Row],[Indeks (base 0)]]=ROUND((ROUND(S_normal[[#This Row],[X base]],0)-U$8)/(U$9-U$8)*U$4,0),S_normal[[#This Row],[X base]]*B$6+B$5,""),"")</f>
        <v/>
      </c>
      <c r="AC204" s="99" t="str">
        <f t="shared" si="35"/>
        <v xml:space="preserve"> </v>
      </c>
      <c r="AE204" s="54">
        <f t="shared" si="28"/>
        <v>191</v>
      </c>
      <c r="AF204" s="54">
        <f>S_binomial[[#This Row],[Indeks (base 0)]]+1</f>
        <v>192</v>
      </c>
      <c r="AG204" s="99">
        <f t="shared" si="29"/>
        <v>2</v>
      </c>
      <c r="AH204" s="99">
        <f>IF(MOD(S_binomial[[#This Row],[Indeks (base 0)]],AF$7)=0,NA(),_xlfn.BINOM.DIST(S_binomial[[#This Row],[X base]],E$5,E$6,FALSE))</f>
        <v>4.261871040000002E-3</v>
      </c>
      <c r="AI204" s="99" t="b">
        <f>S_binomial[[#This Row],[X base]]&lt;AF$5</f>
        <v>1</v>
      </c>
      <c r="AJ204" s="99" t="b">
        <f>S_binomial[[#This Row],[X base]]=AF$5</f>
        <v>0</v>
      </c>
      <c r="AK204" s="99" t="b">
        <f>S_binomial[[#This Row],[X base]]&gt;AF$5</f>
        <v>0</v>
      </c>
      <c r="AL204" s="99">
        <f>IF(S_binomial[[#This Row],[Mindre end]],S_binomial[[#This Row],[Binomialfordeling]],NA())</f>
        <v>4.261871040000002E-3</v>
      </c>
      <c r="AM204" s="99" t="e">
        <f>IF(S_binomial[[#This Row],[Lig med]],S_binomial[[#This Row],[Binomialfordeling]],NA())</f>
        <v>#N/A</v>
      </c>
      <c r="AN204" s="99" t="e">
        <f>IF(S_binomial[[#This Row],[Større end]],S_binomial[[#This Row],[Binomialfordeling]],NA())</f>
        <v>#N/A</v>
      </c>
      <c r="AO204" s="85" t="str">
        <f>_xlfn.IFNA(IF(MOD(S_binomial[[#This Row],[Indeks (base 0)]],AF$7)=ROUNDDOWN(AF$7/2,0),S_binomial[[#This Row],[X base]],""),"")</f>
        <v/>
      </c>
      <c r="AP204" s="99" t="str">
        <f t="shared" si="30"/>
        <v xml:space="preserve"> </v>
      </c>
      <c r="AR204" s="54">
        <f t="shared" si="31"/>
        <v>191</v>
      </c>
      <c r="AS204" s="54">
        <f>S_normal27[[#This Row],[Indeks (base 0)]]+1</f>
        <v>192</v>
      </c>
      <c r="AT204" s="54">
        <f t="shared" si="33"/>
        <v>2</v>
      </c>
      <c r="AU204" s="54">
        <f>IF(MOD(S_normal27[[#This Row],[Indeks (base 0)]],AS$8)=0,NA(),_xlfn.POISSON.DIST(S_normal27[[#This Row],[X base]],$H$5,FALSE))</f>
        <v>0.22404180765538775</v>
      </c>
      <c r="AV204" s="99" t="b">
        <f>S_normal27[[#This Row],[X base]]&lt;AS$5</f>
        <v>0</v>
      </c>
      <c r="AW204" s="99" t="b">
        <f>S_normal27[[#This Row],[X base]]=AS$5</f>
        <v>1</v>
      </c>
      <c r="AX204" s="99" t="b">
        <f>S_normal27[[#This Row],[X base]]&gt;AS$5</f>
        <v>0</v>
      </c>
      <c r="AY204" s="99" t="e">
        <f>IF(S_normal27[[#This Row],[Mindre end]],S_normal27[[#This Row],[Poissonfordeling]],NA())</f>
        <v>#N/A</v>
      </c>
      <c r="AZ204" s="99">
        <f>IF(S_normal27[[#This Row],[Lig med]],S_normal27[[#This Row],[Poissonfordeling]],NA())</f>
        <v>0.22404180765538775</v>
      </c>
      <c r="BA204" s="99" t="e">
        <f>IF(S_normal27[[#This Row],[Større end]],S_normal27[[#This Row],[Poissonfordeling]],NA())</f>
        <v>#N/A</v>
      </c>
      <c r="BB204" s="85" t="str">
        <f>_xlfn.IFNA(IF(MOD(S_normal27[[#This Row],[Indeks (base 0)]],AS$8)=ROUNDDOWN(AS$8/2,0),S_normal27[[#This Row],[X base]],""),"")</f>
        <v/>
      </c>
      <c r="BC204" s="99" t="str">
        <f t="shared" si="32"/>
        <v xml:space="preserve"> </v>
      </c>
    </row>
    <row r="205" spans="20:55" x14ac:dyDescent="0.2">
      <c r="T205" s="54">
        <f t="shared" ref="T205:T268" si="36">ROW(T205)-ROW(T$13)</f>
        <v>192</v>
      </c>
      <c r="U205" s="54">
        <f>S_normal[[#This Row],[Indeks (base 0)]]+1</f>
        <v>193</v>
      </c>
      <c r="V205" s="99">
        <f t="shared" si="34"/>
        <v>1.5091832192912573</v>
      </c>
      <c r="W205" s="99">
        <f t="shared" ref="W205:W268" si="37">_xlfn.NORM.DIST(V205,0,1,FALSE)</f>
        <v>0.12774035804918912</v>
      </c>
      <c r="X205" s="99" t="b">
        <f>S_normal[[#This Row],[X base]]&lt;U$7</f>
        <v>1</v>
      </c>
      <c r="Y205" s="99" t="b">
        <f>S_normal[[#This Row],[X base]]&gt;U$7</f>
        <v>0</v>
      </c>
      <c r="Z205" s="99">
        <f>IF(S_normal[[#This Row],[Mindre end]],S_normal[[#This Row],[Normalfordeling]],NA())</f>
        <v>0.12774035804918912</v>
      </c>
      <c r="AA205" s="99" t="e">
        <f>IF(S_normal[[#This Row],[Større end]],S_normal[[#This Row],[Normalfordeling]],NA())</f>
        <v>#N/A</v>
      </c>
      <c r="AB205" s="72" t="str">
        <f>_xlfn.IFNA(IF(S_normal[[#This Row],[Indeks (base 0)]]=ROUND((ROUND(S_normal[[#This Row],[X base]],0)-U$8)/(U$9-U$8)*U$4,0),S_normal[[#This Row],[X base]]*B$6+B$5,""),"")</f>
        <v/>
      </c>
      <c r="AC205" s="99" t="str">
        <f t="shared" si="35"/>
        <v xml:space="preserve"> </v>
      </c>
      <c r="AE205" s="54">
        <f t="shared" ref="AE205:AE271" si="38">ROW(AE205)-ROW(AE$13)</f>
        <v>192</v>
      </c>
      <c r="AF205" s="54">
        <f>S_binomial[[#This Row],[Indeks (base 0)]]+1</f>
        <v>193</v>
      </c>
      <c r="AG205" s="99">
        <f t="shared" ref="AG205:AG268" si="39">IF(AE205&lt;AF$8,ROUNDDOWN(AE205/AF$7,0),NA())</f>
        <v>2</v>
      </c>
      <c r="AH205" s="99">
        <f>IF(MOD(S_binomial[[#This Row],[Indeks (base 0)]],AF$7)=0,NA(),_xlfn.BINOM.DIST(S_binomial[[#This Row],[X base]],E$5,E$6,FALSE))</f>
        <v>4.261871040000002E-3</v>
      </c>
      <c r="AI205" s="99" t="b">
        <f>S_binomial[[#This Row],[X base]]&lt;AF$5</f>
        <v>1</v>
      </c>
      <c r="AJ205" s="99" t="b">
        <f>S_binomial[[#This Row],[X base]]=AF$5</f>
        <v>0</v>
      </c>
      <c r="AK205" s="99" t="b">
        <f>S_binomial[[#This Row],[X base]]&gt;AF$5</f>
        <v>0</v>
      </c>
      <c r="AL205" s="99">
        <f>IF(S_binomial[[#This Row],[Mindre end]],S_binomial[[#This Row],[Binomialfordeling]],NA())</f>
        <v>4.261871040000002E-3</v>
      </c>
      <c r="AM205" s="99" t="e">
        <f>IF(S_binomial[[#This Row],[Lig med]],S_binomial[[#This Row],[Binomialfordeling]],NA())</f>
        <v>#N/A</v>
      </c>
      <c r="AN205" s="99" t="e">
        <f>IF(S_binomial[[#This Row],[Større end]],S_binomial[[#This Row],[Binomialfordeling]],NA())</f>
        <v>#N/A</v>
      </c>
      <c r="AO205" s="85" t="str">
        <f>_xlfn.IFNA(IF(MOD(S_binomial[[#This Row],[Indeks (base 0)]],AF$7)=ROUNDDOWN(AF$7/2,0),S_binomial[[#This Row],[X base]],""),"")</f>
        <v/>
      </c>
      <c r="AP205" s="99" t="str">
        <f t="shared" ref="AP205:AP271" si="40">_xlfn.IFNA(_xlfn.SWITCH(AF205,AN$7,AN$4,AN$8,AN$5,AN$9,AN$6," ")," ")</f>
        <v xml:space="preserve"> </v>
      </c>
      <c r="AR205" s="54">
        <f t="shared" ref="AR205:AR268" si="41">ROW(AR205)-ROW(AR$13)</f>
        <v>192</v>
      </c>
      <c r="AS205" s="54">
        <f>S_normal27[[#This Row],[Indeks (base 0)]]+1</f>
        <v>193</v>
      </c>
      <c r="AT205" s="54">
        <f t="shared" si="33"/>
        <v>2</v>
      </c>
      <c r="AU205" s="54">
        <f>IF(MOD(S_normal27[[#This Row],[Indeks (base 0)]],AS$8)=0,NA(),_xlfn.POISSON.DIST(S_normal27[[#This Row],[X base]],$H$5,FALSE))</f>
        <v>0.22404180765538775</v>
      </c>
      <c r="AV205" s="99" t="b">
        <f>S_normal27[[#This Row],[X base]]&lt;AS$5</f>
        <v>0</v>
      </c>
      <c r="AW205" s="99" t="b">
        <f>S_normal27[[#This Row],[X base]]=AS$5</f>
        <v>1</v>
      </c>
      <c r="AX205" s="99" t="b">
        <f>S_normal27[[#This Row],[X base]]&gt;AS$5</f>
        <v>0</v>
      </c>
      <c r="AY205" s="99" t="e">
        <f>IF(S_normal27[[#This Row],[Mindre end]],S_normal27[[#This Row],[Poissonfordeling]],NA())</f>
        <v>#N/A</v>
      </c>
      <c r="AZ205" s="99">
        <f>IF(S_normal27[[#This Row],[Lig med]],S_normal27[[#This Row],[Poissonfordeling]],NA())</f>
        <v>0.22404180765538775</v>
      </c>
      <c r="BA205" s="99" t="e">
        <f>IF(S_normal27[[#This Row],[Større end]],S_normal27[[#This Row],[Poissonfordeling]],NA())</f>
        <v>#N/A</v>
      </c>
      <c r="BB205" s="85" t="str">
        <f>_xlfn.IFNA(IF(MOD(S_normal27[[#This Row],[Indeks (base 0)]],AS$8)=ROUNDDOWN(AS$8/2,0),S_normal27[[#This Row],[X base]],""),"")</f>
        <v/>
      </c>
      <c r="BC205" s="99" t="str">
        <f t="shared" ref="BC205:BC268" si="42">_xlfn.IFNA(_xlfn.SWITCH(AS205,BA$7,BA$4,BA$8,BA$5,BA$9,BA$6," ")," ")</f>
        <v xml:space="preserve"> </v>
      </c>
    </row>
    <row r="206" spans="20:55" x14ac:dyDescent="0.2">
      <c r="T206" s="54">
        <f t="shared" si="36"/>
        <v>193</v>
      </c>
      <c r="U206" s="54">
        <f>S_normal[[#This Row],[Indeks (base 0)]]+1</f>
        <v>194</v>
      </c>
      <c r="V206" s="99">
        <f t="shared" si="34"/>
        <v>1.5331385084863571</v>
      </c>
      <c r="W206" s="99">
        <f t="shared" si="37"/>
        <v>0.12316930873768138</v>
      </c>
      <c r="X206" s="99" t="b">
        <f>S_normal[[#This Row],[X base]]&lt;U$7</f>
        <v>1</v>
      </c>
      <c r="Y206" s="99" t="b">
        <f>S_normal[[#This Row],[X base]]&gt;U$7</f>
        <v>0</v>
      </c>
      <c r="Z206" s="99">
        <f>IF(S_normal[[#This Row],[Mindre end]],S_normal[[#This Row],[Normalfordeling]],NA())</f>
        <v>0.12316930873768138</v>
      </c>
      <c r="AA206" s="99" t="e">
        <f>IF(S_normal[[#This Row],[Større end]],S_normal[[#This Row],[Normalfordeling]],NA())</f>
        <v>#N/A</v>
      </c>
      <c r="AB206" s="72" t="str">
        <f>_xlfn.IFNA(IF(S_normal[[#This Row],[Indeks (base 0)]]=ROUND((ROUND(S_normal[[#This Row],[X base]],0)-U$8)/(U$9-U$8)*U$4,0),S_normal[[#This Row],[X base]]*B$6+B$5,""),"")</f>
        <v/>
      </c>
      <c r="AC206" s="99" t="str">
        <f t="shared" si="35"/>
        <v xml:space="preserve"> </v>
      </c>
      <c r="AE206" s="54">
        <f t="shared" si="38"/>
        <v>193</v>
      </c>
      <c r="AF206" s="54">
        <f>S_binomial[[#This Row],[Indeks (base 0)]]+1</f>
        <v>194</v>
      </c>
      <c r="AG206" s="99">
        <f t="shared" si="39"/>
        <v>2</v>
      </c>
      <c r="AH206" s="99">
        <f>IF(MOD(S_binomial[[#This Row],[Indeks (base 0)]],AF$7)=0,NA(),_xlfn.BINOM.DIST(S_binomial[[#This Row],[X base]],E$5,E$6,FALSE))</f>
        <v>4.261871040000002E-3</v>
      </c>
      <c r="AI206" s="99" t="b">
        <f>S_binomial[[#This Row],[X base]]&lt;AF$5</f>
        <v>1</v>
      </c>
      <c r="AJ206" s="99" t="b">
        <f>S_binomial[[#This Row],[X base]]=AF$5</f>
        <v>0</v>
      </c>
      <c r="AK206" s="99" t="b">
        <f>S_binomial[[#This Row],[X base]]&gt;AF$5</f>
        <v>0</v>
      </c>
      <c r="AL206" s="99">
        <f>IF(S_binomial[[#This Row],[Mindre end]],S_binomial[[#This Row],[Binomialfordeling]],NA())</f>
        <v>4.261871040000002E-3</v>
      </c>
      <c r="AM206" s="99" t="e">
        <f>IF(S_binomial[[#This Row],[Lig med]],S_binomial[[#This Row],[Binomialfordeling]],NA())</f>
        <v>#N/A</v>
      </c>
      <c r="AN206" s="99" t="e">
        <f>IF(S_binomial[[#This Row],[Større end]],S_binomial[[#This Row],[Binomialfordeling]],NA())</f>
        <v>#N/A</v>
      </c>
      <c r="AO206" s="85" t="str">
        <f>_xlfn.IFNA(IF(MOD(S_binomial[[#This Row],[Indeks (base 0)]],AF$7)=ROUNDDOWN(AF$7/2,0),S_binomial[[#This Row],[X base]],""),"")</f>
        <v/>
      </c>
      <c r="AP206" s="99" t="str">
        <f t="shared" si="40"/>
        <v xml:space="preserve"> </v>
      </c>
      <c r="AR206" s="54">
        <f t="shared" si="41"/>
        <v>193</v>
      </c>
      <c r="AS206" s="54">
        <f>S_normal27[[#This Row],[Indeks (base 0)]]+1</f>
        <v>194</v>
      </c>
      <c r="AT206" s="54">
        <f t="shared" ref="AT206:AT269" si="43">IF(AR206&lt;AS$9,ROUNDDOWN(AR206/AS$8,0),NA())</f>
        <v>2</v>
      </c>
      <c r="AU206" s="54">
        <f>IF(MOD(S_normal27[[#This Row],[Indeks (base 0)]],AS$8)=0,NA(),_xlfn.POISSON.DIST(S_normal27[[#This Row],[X base]],$H$5,FALSE))</f>
        <v>0.22404180765538775</v>
      </c>
      <c r="AV206" s="99" t="b">
        <f>S_normal27[[#This Row],[X base]]&lt;AS$5</f>
        <v>0</v>
      </c>
      <c r="AW206" s="99" t="b">
        <f>S_normal27[[#This Row],[X base]]=AS$5</f>
        <v>1</v>
      </c>
      <c r="AX206" s="99" t="b">
        <f>S_normal27[[#This Row],[X base]]&gt;AS$5</f>
        <v>0</v>
      </c>
      <c r="AY206" s="99" t="e">
        <f>IF(S_normal27[[#This Row],[Mindre end]],S_normal27[[#This Row],[Poissonfordeling]],NA())</f>
        <v>#N/A</v>
      </c>
      <c r="AZ206" s="99">
        <f>IF(S_normal27[[#This Row],[Lig med]],S_normal27[[#This Row],[Poissonfordeling]],NA())</f>
        <v>0.22404180765538775</v>
      </c>
      <c r="BA206" s="99" t="e">
        <f>IF(S_normal27[[#This Row],[Større end]],S_normal27[[#This Row],[Poissonfordeling]],NA())</f>
        <v>#N/A</v>
      </c>
      <c r="BB206" s="85" t="str">
        <f>_xlfn.IFNA(IF(MOD(S_normal27[[#This Row],[Indeks (base 0)]],AS$8)=ROUNDDOWN(AS$8/2,0),S_normal27[[#This Row],[X base]],""),"")</f>
        <v/>
      </c>
      <c r="BC206" s="99" t="str">
        <f t="shared" si="42"/>
        <v xml:space="preserve"> </v>
      </c>
    </row>
    <row r="207" spans="20:55" x14ac:dyDescent="0.2">
      <c r="T207" s="54">
        <f t="shared" si="36"/>
        <v>194</v>
      </c>
      <c r="U207" s="54">
        <f>S_normal[[#This Row],[Indeks (base 0)]]+1</f>
        <v>195</v>
      </c>
      <c r="V207" s="99">
        <f t="shared" si="34"/>
        <v>1.5570937976814561</v>
      </c>
      <c r="W207" s="99">
        <f t="shared" si="37"/>
        <v>0.11869369681429406</v>
      </c>
      <c r="X207" s="99" t="b">
        <f>S_normal[[#This Row],[X base]]&lt;U$7</f>
        <v>1</v>
      </c>
      <c r="Y207" s="99" t="b">
        <f>S_normal[[#This Row],[X base]]&gt;U$7</f>
        <v>0</v>
      </c>
      <c r="Z207" s="99">
        <f>IF(S_normal[[#This Row],[Mindre end]],S_normal[[#This Row],[Normalfordeling]],NA())</f>
        <v>0.11869369681429406</v>
      </c>
      <c r="AA207" s="99" t="e">
        <f>IF(S_normal[[#This Row],[Større end]],S_normal[[#This Row],[Normalfordeling]],NA())</f>
        <v>#N/A</v>
      </c>
      <c r="AB207" s="72" t="str">
        <f>_xlfn.IFNA(IF(S_normal[[#This Row],[Indeks (base 0)]]=ROUND((ROUND(S_normal[[#This Row],[X base]],0)-U$8)/(U$9-U$8)*U$4,0),S_normal[[#This Row],[X base]]*B$6+B$5,""),"")</f>
        <v/>
      </c>
      <c r="AC207" s="99" t="str">
        <f t="shared" si="35"/>
        <v xml:space="preserve"> </v>
      </c>
      <c r="AE207" s="54">
        <f t="shared" si="38"/>
        <v>194</v>
      </c>
      <c r="AF207" s="54">
        <f>S_binomial[[#This Row],[Indeks (base 0)]]+1</f>
        <v>195</v>
      </c>
      <c r="AG207" s="99">
        <f t="shared" si="39"/>
        <v>2</v>
      </c>
      <c r="AH207" s="99">
        <f>IF(MOD(S_binomial[[#This Row],[Indeks (base 0)]],AF$7)=0,NA(),_xlfn.BINOM.DIST(S_binomial[[#This Row],[X base]],E$5,E$6,FALSE))</f>
        <v>4.261871040000002E-3</v>
      </c>
      <c r="AI207" s="99" t="b">
        <f>S_binomial[[#This Row],[X base]]&lt;AF$5</f>
        <v>1</v>
      </c>
      <c r="AJ207" s="99" t="b">
        <f>S_binomial[[#This Row],[X base]]=AF$5</f>
        <v>0</v>
      </c>
      <c r="AK207" s="99" t="b">
        <f>S_binomial[[#This Row],[X base]]&gt;AF$5</f>
        <v>0</v>
      </c>
      <c r="AL207" s="99">
        <f>IF(S_binomial[[#This Row],[Mindre end]],S_binomial[[#This Row],[Binomialfordeling]],NA())</f>
        <v>4.261871040000002E-3</v>
      </c>
      <c r="AM207" s="99" t="e">
        <f>IF(S_binomial[[#This Row],[Lig med]],S_binomial[[#This Row],[Binomialfordeling]],NA())</f>
        <v>#N/A</v>
      </c>
      <c r="AN207" s="99" t="e">
        <f>IF(S_binomial[[#This Row],[Større end]],S_binomial[[#This Row],[Binomialfordeling]],NA())</f>
        <v>#N/A</v>
      </c>
      <c r="AO207" s="85" t="str">
        <f>_xlfn.IFNA(IF(MOD(S_binomial[[#This Row],[Indeks (base 0)]],AF$7)=ROUNDDOWN(AF$7/2,0),S_binomial[[#This Row],[X base]],""),"")</f>
        <v/>
      </c>
      <c r="AP207" s="99" t="str">
        <f t="shared" si="40"/>
        <v xml:space="preserve"> </v>
      </c>
      <c r="AR207" s="54">
        <f t="shared" si="41"/>
        <v>194</v>
      </c>
      <c r="AS207" s="54">
        <f>S_normal27[[#This Row],[Indeks (base 0)]]+1</f>
        <v>195</v>
      </c>
      <c r="AT207" s="54">
        <f t="shared" si="43"/>
        <v>2</v>
      </c>
      <c r="AU207" s="54">
        <f>IF(MOD(S_normal27[[#This Row],[Indeks (base 0)]],AS$8)=0,NA(),_xlfn.POISSON.DIST(S_normal27[[#This Row],[X base]],$H$5,FALSE))</f>
        <v>0.22404180765538775</v>
      </c>
      <c r="AV207" s="99" t="b">
        <f>S_normal27[[#This Row],[X base]]&lt;AS$5</f>
        <v>0</v>
      </c>
      <c r="AW207" s="99" t="b">
        <f>S_normal27[[#This Row],[X base]]=AS$5</f>
        <v>1</v>
      </c>
      <c r="AX207" s="99" t="b">
        <f>S_normal27[[#This Row],[X base]]&gt;AS$5</f>
        <v>0</v>
      </c>
      <c r="AY207" s="99" t="e">
        <f>IF(S_normal27[[#This Row],[Mindre end]],S_normal27[[#This Row],[Poissonfordeling]],NA())</f>
        <v>#N/A</v>
      </c>
      <c r="AZ207" s="99">
        <f>IF(S_normal27[[#This Row],[Lig med]],S_normal27[[#This Row],[Poissonfordeling]],NA())</f>
        <v>0.22404180765538775</v>
      </c>
      <c r="BA207" s="99" t="e">
        <f>IF(S_normal27[[#This Row],[Større end]],S_normal27[[#This Row],[Poissonfordeling]],NA())</f>
        <v>#N/A</v>
      </c>
      <c r="BB207" s="85" t="str">
        <f>_xlfn.IFNA(IF(MOD(S_normal27[[#This Row],[Indeks (base 0)]],AS$8)=ROUNDDOWN(AS$8/2,0),S_normal27[[#This Row],[X base]],""),"")</f>
        <v/>
      </c>
      <c r="BC207" s="99" t="str">
        <f t="shared" si="42"/>
        <v xml:space="preserve"> </v>
      </c>
    </row>
    <row r="208" spans="20:55" x14ac:dyDescent="0.2">
      <c r="T208" s="54">
        <f t="shared" si="36"/>
        <v>195</v>
      </c>
      <c r="U208" s="54">
        <f>S_normal[[#This Row],[Indeks (base 0)]]+1</f>
        <v>196</v>
      </c>
      <c r="V208" s="99">
        <f t="shared" si="34"/>
        <v>1.5810490868765559</v>
      </c>
      <c r="W208" s="99">
        <f t="shared" si="37"/>
        <v>0.11431509630296083</v>
      </c>
      <c r="X208" s="99" t="b">
        <f>S_normal[[#This Row],[X base]]&lt;U$7</f>
        <v>1</v>
      </c>
      <c r="Y208" s="99" t="b">
        <f>S_normal[[#This Row],[X base]]&gt;U$7</f>
        <v>0</v>
      </c>
      <c r="Z208" s="99">
        <f>IF(S_normal[[#This Row],[Mindre end]],S_normal[[#This Row],[Normalfordeling]],NA())</f>
        <v>0.11431509630296083</v>
      </c>
      <c r="AA208" s="99" t="e">
        <f>IF(S_normal[[#This Row],[Større end]],S_normal[[#This Row],[Normalfordeling]],NA())</f>
        <v>#N/A</v>
      </c>
      <c r="AB208" s="72" t="str">
        <f>_xlfn.IFNA(IF(S_normal[[#This Row],[Indeks (base 0)]]=ROUND((ROUND(S_normal[[#This Row],[X base]],0)-U$8)/(U$9-U$8)*U$4,0),S_normal[[#This Row],[X base]]*B$6+B$5,""),"")</f>
        <v/>
      </c>
      <c r="AC208" s="99" t="str">
        <f t="shared" si="35"/>
        <v xml:space="preserve"> </v>
      </c>
      <c r="AE208" s="54">
        <f t="shared" si="38"/>
        <v>195</v>
      </c>
      <c r="AF208" s="54">
        <f>S_binomial[[#This Row],[Indeks (base 0)]]+1</f>
        <v>196</v>
      </c>
      <c r="AG208" s="99">
        <f t="shared" si="39"/>
        <v>2</v>
      </c>
      <c r="AH208" s="99">
        <f>IF(MOD(S_binomial[[#This Row],[Indeks (base 0)]],AF$7)=0,NA(),_xlfn.BINOM.DIST(S_binomial[[#This Row],[X base]],E$5,E$6,FALSE))</f>
        <v>4.261871040000002E-3</v>
      </c>
      <c r="AI208" s="99" t="b">
        <f>S_binomial[[#This Row],[X base]]&lt;AF$5</f>
        <v>1</v>
      </c>
      <c r="AJ208" s="99" t="b">
        <f>S_binomial[[#This Row],[X base]]=AF$5</f>
        <v>0</v>
      </c>
      <c r="AK208" s="99" t="b">
        <f>S_binomial[[#This Row],[X base]]&gt;AF$5</f>
        <v>0</v>
      </c>
      <c r="AL208" s="99">
        <f>IF(S_binomial[[#This Row],[Mindre end]],S_binomial[[#This Row],[Binomialfordeling]],NA())</f>
        <v>4.261871040000002E-3</v>
      </c>
      <c r="AM208" s="99" t="e">
        <f>IF(S_binomial[[#This Row],[Lig med]],S_binomial[[#This Row],[Binomialfordeling]],NA())</f>
        <v>#N/A</v>
      </c>
      <c r="AN208" s="99" t="e">
        <f>IF(S_binomial[[#This Row],[Større end]],S_binomial[[#This Row],[Binomialfordeling]],NA())</f>
        <v>#N/A</v>
      </c>
      <c r="AO208" s="85" t="str">
        <f>_xlfn.IFNA(IF(MOD(S_binomial[[#This Row],[Indeks (base 0)]],AF$7)=ROUNDDOWN(AF$7/2,0),S_binomial[[#This Row],[X base]],""),"")</f>
        <v/>
      </c>
      <c r="AP208" s="99" t="str">
        <f t="shared" si="40"/>
        <v xml:space="preserve"> </v>
      </c>
      <c r="AR208" s="54">
        <f t="shared" si="41"/>
        <v>195</v>
      </c>
      <c r="AS208" s="54">
        <f>S_normal27[[#This Row],[Indeks (base 0)]]+1</f>
        <v>196</v>
      </c>
      <c r="AT208" s="54">
        <f t="shared" si="43"/>
        <v>3</v>
      </c>
      <c r="AU208" s="54" t="e">
        <f>IF(MOD(S_normal27[[#This Row],[Indeks (base 0)]],AS$8)=0,NA(),_xlfn.POISSON.DIST(S_normal27[[#This Row],[X base]],$H$5,FALSE))</f>
        <v>#N/A</v>
      </c>
      <c r="AV208" s="99" t="b">
        <f>S_normal27[[#This Row],[X base]]&lt;AS$5</f>
        <v>0</v>
      </c>
      <c r="AW208" s="99" t="b">
        <f>S_normal27[[#This Row],[X base]]=AS$5</f>
        <v>0</v>
      </c>
      <c r="AX208" s="99" t="b">
        <f>S_normal27[[#This Row],[X base]]&gt;AS$5</f>
        <v>1</v>
      </c>
      <c r="AY208" s="99" t="e">
        <f>IF(S_normal27[[#This Row],[Mindre end]],S_normal27[[#This Row],[Poissonfordeling]],NA())</f>
        <v>#N/A</v>
      </c>
      <c r="AZ208" s="99" t="e">
        <f>IF(S_normal27[[#This Row],[Lig med]],S_normal27[[#This Row],[Poissonfordeling]],NA())</f>
        <v>#N/A</v>
      </c>
      <c r="BA208" s="99" t="e">
        <f>IF(S_normal27[[#This Row],[Større end]],S_normal27[[#This Row],[Poissonfordeling]],NA())</f>
        <v>#N/A</v>
      </c>
      <c r="BB208" s="85" t="str">
        <f>_xlfn.IFNA(IF(MOD(S_normal27[[#This Row],[Indeks (base 0)]],AS$8)=ROUNDDOWN(AS$8/2,0),S_normal27[[#This Row],[X base]],""),"")</f>
        <v/>
      </c>
      <c r="BC208" s="99" t="str">
        <f t="shared" si="42"/>
        <v xml:space="preserve"> </v>
      </c>
    </row>
    <row r="209" spans="20:55" x14ac:dyDescent="0.2">
      <c r="T209" s="54">
        <f t="shared" si="36"/>
        <v>196</v>
      </c>
      <c r="U209" s="54">
        <f>S_normal[[#This Row],[Indeks (base 0)]]+1</f>
        <v>197</v>
      </c>
      <c r="V209" s="99">
        <f t="shared" si="34"/>
        <v>1.6050043760716548</v>
      </c>
      <c r="W209" s="99">
        <f t="shared" si="37"/>
        <v>0.11003485972432277</v>
      </c>
      <c r="X209" s="99" t="b">
        <f>S_normal[[#This Row],[X base]]&lt;U$7</f>
        <v>1</v>
      </c>
      <c r="Y209" s="99" t="b">
        <f>S_normal[[#This Row],[X base]]&gt;U$7</f>
        <v>0</v>
      </c>
      <c r="Z209" s="99">
        <f>IF(S_normal[[#This Row],[Mindre end]],S_normal[[#This Row],[Normalfordeling]],NA())</f>
        <v>0.11003485972432277</v>
      </c>
      <c r="AA209" s="99" t="e">
        <f>IF(S_normal[[#This Row],[Større end]],S_normal[[#This Row],[Normalfordeling]],NA())</f>
        <v>#N/A</v>
      </c>
      <c r="AB209" s="72" t="str">
        <f>_xlfn.IFNA(IF(S_normal[[#This Row],[Indeks (base 0)]]=ROUND((ROUND(S_normal[[#This Row],[X base]],0)-U$8)/(U$9-U$8)*U$4,0),S_normal[[#This Row],[X base]]*B$6+B$5,""),"")</f>
        <v/>
      </c>
      <c r="AC209" s="99" t="str">
        <f t="shared" si="35"/>
        <v xml:space="preserve"> </v>
      </c>
      <c r="AE209" s="54">
        <f t="shared" si="38"/>
        <v>196</v>
      </c>
      <c r="AF209" s="54">
        <f>S_binomial[[#This Row],[Indeks (base 0)]]+1</f>
        <v>197</v>
      </c>
      <c r="AG209" s="99">
        <f t="shared" si="39"/>
        <v>2</v>
      </c>
      <c r="AH209" s="99">
        <f>IF(MOD(S_binomial[[#This Row],[Indeks (base 0)]],AF$7)=0,NA(),_xlfn.BINOM.DIST(S_binomial[[#This Row],[X base]],E$5,E$6,FALSE))</f>
        <v>4.261871040000002E-3</v>
      </c>
      <c r="AI209" s="99" t="b">
        <f>S_binomial[[#This Row],[X base]]&lt;AF$5</f>
        <v>1</v>
      </c>
      <c r="AJ209" s="99" t="b">
        <f>S_binomial[[#This Row],[X base]]=AF$5</f>
        <v>0</v>
      </c>
      <c r="AK209" s="99" t="b">
        <f>S_binomial[[#This Row],[X base]]&gt;AF$5</f>
        <v>0</v>
      </c>
      <c r="AL209" s="99">
        <f>IF(S_binomial[[#This Row],[Mindre end]],S_binomial[[#This Row],[Binomialfordeling]],NA())</f>
        <v>4.261871040000002E-3</v>
      </c>
      <c r="AM209" s="99" t="e">
        <f>IF(S_binomial[[#This Row],[Lig med]],S_binomial[[#This Row],[Binomialfordeling]],NA())</f>
        <v>#N/A</v>
      </c>
      <c r="AN209" s="99" t="e">
        <f>IF(S_binomial[[#This Row],[Større end]],S_binomial[[#This Row],[Binomialfordeling]],NA())</f>
        <v>#N/A</v>
      </c>
      <c r="AO209" s="85" t="str">
        <f>_xlfn.IFNA(IF(MOD(S_binomial[[#This Row],[Indeks (base 0)]],AF$7)=ROUNDDOWN(AF$7/2,0),S_binomial[[#This Row],[X base]],""),"")</f>
        <v/>
      </c>
      <c r="AP209" s="99" t="str">
        <f t="shared" si="40"/>
        <v xml:space="preserve"> </v>
      </c>
      <c r="AR209" s="54">
        <f t="shared" si="41"/>
        <v>196</v>
      </c>
      <c r="AS209" s="54">
        <f>S_normal27[[#This Row],[Indeks (base 0)]]+1</f>
        <v>197</v>
      </c>
      <c r="AT209" s="54">
        <f t="shared" si="43"/>
        <v>3</v>
      </c>
      <c r="AU209" s="54">
        <f>IF(MOD(S_normal27[[#This Row],[Indeks (base 0)]],AS$8)=0,NA(),_xlfn.POISSON.DIST(S_normal27[[#This Row],[X base]],$H$5,FALSE))</f>
        <v>0.22404180765538778</v>
      </c>
      <c r="AV209" s="99" t="b">
        <f>S_normal27[[#This Row],[X base]]&lt;AS$5</f>
        <v>0</v>
      </c>
      <c r="AW209" s="99" t="b">
        <f>S_normal27[[#This Row],[X base]]=AS$5</f>
        <v>0</v>
      </c>
      <c r="AX209" s="99" t="b">
        <f>S_normal27[[#This Row],[X base]]&gt;AS$5</f>
        <v>1</v>
      </c>
      <c r="AY209" s="99" t="e">
        <f>IF(S_normal27[[#This Row],[Mindre end]],S_normal27[[#This Row],[Poissonfordeling]],NA())</f>
        <v>#N/A</v>
      </c>
      <c r="AZ209" s="99" t="e">
        <f>IF(S_normal27[[#This Row],[Lig med]],S_normal27[[#This Row],[Poissonfordeling]],NA())</f>
        <v>#N/A</v>
      </c>
      <c r="BA209" s="99">
        <f>IF(S_normal27[[#This Row],[Større end]],S_normal27[[#This Row],[Poissonfordeling]],NA())</f>
        <v>0.22404180765538778</v>
      </c>
      <c r="BB209" s="85" t="str">
        <f>_xlfn.IFNA(IF(MOD(S_normal27[[#This Row],[Indeks (base 0)]],AS$8)=ROUNDDOWN(AS$8/2,0),S_normal27[[#This Row],[X base]],""),"")</f>
        <v/>
      </c>
      <c r="BC209" s="99" t="str">
        <f t="shared" si="42"/>
        <v xml:space="preserve"> </v>
      </c>
    </row>
    <row r="210" spans="20:55" x14ac:dyDescent="0.2">
      <c r="T210" s="54">
        <f t="shared" si="36"/>
        <v>197</v>
      </c>
      <c r="U210" s="54">
        <f>S_normal[[#This Row],[Indeks (base 0)]]+1</f>
        <v>198</v>
      </c>
      <c r="V210" s="99">
        <f t="shared" si="34"/>
        <v>1.6289596652667537</v>
      </c>
      <c r="W210" s="99">
        <f t="shared" si="37"/>
        <v>0.10585412321974706</v>
      </c>
      <c r="X210" s="99" t="b">
        <f>S_normal[[#This Row],[X base]]&lt;U$7</f>
        <v>1</v>
      </c>
      <c r="Y210" s="99" t="b">
        <f>S_normal[[#This Row],[X base]]&gt;U$7</f>
        <v>0</v>
      </c>
      <c r="Z210" s="99">
        <f>IF(S_normal[[#This Row],[Mindre end]],S_normal[[#This Row],[Normalfordeling]],NA())</f>
        <v>0.10585412321974706</v>
      </c>
      <c r="AA210" s="99" t="e">
        <f>IF(S_normal[[#This Row],[Større end]],S_normal[[#This Row],[Normalfordeling]],NA())</f>
        <v>#N/A</v>
      </c>
      <c r="AB210" s="72" t="str">
        <f>_xlfn.IFNA(IF(S_normal[[#This Row],[Indeks (base 0)]]=ROUND((ROUND(S_normal[[#This Row],[X base]],0)-U$8)/(U$9-U$8)*U$4,0),S_normal[[#This Row],[X base]]*B$6+B$5,""),"")</f>
        <v/>
      </c>
      <c r="AC210" s="99" t="str">
        <f t="shared" si="35"/>
        <v xml:space="preserve"> </v>
      </c>
      <c r="AE210" s="54">
        <f t="shared" si="38"/>
        <v>197</v>
      </c>
      <c r="AF210" s="54">
        <f>S_binomial[[#This Row],[Indeks (base 0)]]+1</f>
        <v>198</v>
      </c>
      <c r="AG210" s="99">
        <f t="shared" si="39"/>
        <v>2</v>
      </c>
      <c r="AH210" s="99">
        <f>IF(MOD(S_binomial[[#This Row],[Indeks (base 0)]],AF$7)=0,NA(),_xlfn.BINOM.DIST(S_binomial[[#This Row],[X base]],E$5,E$6,FALSE))</f>
        <v>4.261871040000002E-3</v>
      </c>
      <c r="AI210" s="99" t="b">
        <f>S_binomial[[#This Row],[X base]]&lt;AF$5</f>
        <v>1</v>
      </c>
      <c r="AJ210" s="99" t="b">
        <f>S_binomial[[#This Row],[X base]]=AF$5</f>
        <v>0</v>
      </c>
      <c r="AK210" s="99" t="b">
        <f>S_binomial[[#This Row],[X base]]&gt;AF$5</f>
        <v>0</v>
      </c>
      <c r="AL210" s="99">
        <f>IF(S_binomial[[#This Row],[Mindre end]],S_binomial[[#This Row],[Binomialfordeling]],NA())</f>
        <v>4.261871040000002E-3</v>
      </c>
      <c r="AM210" s="99" t="e">
        <f>IF(S_binomial[[#This Row],[Lig med]],S_binomial[[#This Row],[Binomialfordeling]],NA())</f>
        <v>#N/A</v>
      </c>
      <c r="AN210" s="99" t="e">
        <f>IF(S_binomial[[#This Row],[Større end]],S_binomial[[#This Row],[Binomialfordeling]],NA())</f>
        <v>#N/A</v>
      </c>
      <c r="AO210" s="85" t="str">
        <f>_xlfn.IFNA(IF(MOD(S_binomial[[#This Row],[Indeks (base 0)]],AF$7)=ROUNDDOWN(AF$7/2,0),S_binomial[[#This Row],[X base]],""),"")</f>
        <v/>
      </c>
      <c r="AP210" s="99" t="str">
        <f t="shared" si="40"/>
        <v xml:space="preserve"> </v>
      </c>
      <c r="AR210" s="54">
        <f t="shared" si="41"/>
        <v>197</v>
      </c>
      <c r="AS210" s="54">
        <f>S_normal27[[#This Row],[Indeks (base 0)]]+1</f>
        <v>198</v>
      </c>
      <c r="AT210" s="54">
        <f t="shared" si="43"/>
        <v>3</v>
      </c>
      <c r="AU210" s="54">
        <f>IF(MOD(S_normal27[[#This Row],[Indeks (base 0)]],AS$8)=0,NA(),_xlfn.POISSON.DIST(S_normal27[[#This Row],[X base]],$H$5,FALSE))</f>
        <v>0.22404180765538778</v>
      </c>
      <c r="AV210" s="99" t="b">
        <f>S_normal27[[#This Row],[X base]]&lt;AS$5</f>
        <v>0</v>
      </c>
      <c r="AW210" s="99" t="b">
        <f>S_normal27[[#This Row],[X base]]=AS$5</f>
        <v>0</v>
      </c>
      <c r="AX210" s="99" t="b">
        <f>S_normal27[[#This Row],[X base]]&gt;AS$5</f>
        <v>1</v>
      </c>
      <c r="AY210" s="99" t="e">
        <f>IF(S_normal27[[#This Row],[Mindre end]],S_normal27[[#This Row],[Poissonfordeling]],NA())</f>
        <v>#N/A</v>
      </c>
      <c r="AZ210" s="99" t="e">
        <f>IF(S_normal27[[#This Row],[Lig med]],S_normal27[[#This Row],[Poissonfordeling]],NA())</f>
        <v>#N/A</v>
      </c>
      <c r="BA210" s="99">
        <f>IF(S_normal27[[#This Row],[Større end]],S_normal27[[#This Row],[Poissonfordeling]],NA())</f>
        <v>0.22404180765538778</v>
      </c>
      <c r="BB210" s="85" t="str">
        <f>_xlfn.IFNA(IF(MOD(S_normal27[[#This Row],[Indeks (base 0)]],AS$8)=ROUNDDOWN(AS$8/2,0),S_normal27[[#This Row],[X base]],""),"")</f>
        <v/>
      </c>
      <c r="BC210" s="99" t="str">
        <f t="shared" si="42"/>
        <v xml:space="preserve"> </v>
      </c>
    </row>
    <row r="211" spans="20:55" x14ac:dyDescent="0.2">
      <c r="T211" s="54">
        <f t="shared" si="36"/>
        <v>198</v>
      </c>
      <c r="U211" s="54">
        <f>S_normal[[#This Row],[Indeks (base 0)]]+1</f>
        <v>199</v>
      </c>
      <c r="V211" s="99">
        <f t="shared" si="34"/>
        <v>1.6529149544618535</v>
      </c>
      <c r="W211" s="99">
        <f t="shared" si="37"/>
        <v>0.10177381209387595</v>
      </c>
      <c r="X211" s="99" t="b">
        <f>S_normal[[#This Row],[X base]]&lt;U$7</f>
        <v>1</v>
      </c>
      <c r="Y211" s="99" t="b">
        <f>S_normal[[#This Row],[X base]]&gt;U$7</f>
        <v>0</v>
      </c>
      <c r="Z211" s="99">
        <f>IF(S_normal[[#This Row],[Mindre end]],S_normal[[#This Row],[Normalfordeling]],NA())</f>
        <v>0.10177381209387595</v>
      </c>
      <c r="AA211" s="99" t="e">
        <f>IF(S_normal[[#This Row],[Større end]],S_normal[[#This Row],[Normalfordeling]],NA())</f>
        <v>#N/A</v>
      </c>
      <c r="AB211" s="72" t="str">
        <f>_xlfn.IFNA(IF(S_normal[[#This Row],[Indeks (base 0)]]=ROUND((ROUND(S_normal[[#This Row],[X base]],0)-U$8)/(U$9-U$8)*U$4,0),S_normal[[#This Row],[X base]]*B$6+B$5,""),"")</f>
        <v/>
      </c>
      <c r="AC211" s="99" t="str">
        <f t="shared" si="35"/>
        <v xml:space="preserve"> </v>
      </c>
      <c r="AE211" s="54">
        <f t="shared" si="38"/>
        <v>198</v>
      </c>
      <c r="AF211" s="54">
        <f>S_binomial[[#This Row],[Indeks (base 0)]]+1</f>
        <v>199</v>
      </c>
      <c r="AG211" s="99">
        <f t="shared" si="39"/>
        <v>2</v>
      </c>
      <c r="AH211" s="99">
        <f>IF(MOD(S_binomial[[#This Row],[Indeks (base 0)]],AF$7)=0,NA(),_xlfn.BINOM.DIST(S_binomial[[#This Row],[X base]],E$5,E$6,FALSE))</f>
        <v>4.261871040000002E-3</v>
      </c>
      <c r="AI211" s="99" t="b">
        <f>S_binomial[[#This Row],[X base]]&lt;AF$5</f>
        <v>1</v>
      </c>
      <c r="AJ211" s="99" t="b">
        <f>S_binomial[[#This Row],[X base]]=AF$5</f>
        <v>0</v>
      </c>
      <c r="AK211" s="99" t="b">
        <f>S_binomial[[#This Row],[X base]]&gt;AF$5</f>
        <v>0</v>
      </c>
      <c r="AL211" s="99">
        <f>IF(S_binomial[[#This Row],[Mindre end]],S_binomial[[#This Row],[Binomialfordeling]],NA())</f>
        <v>4.261871040000002E-3</v>
      </c>
      <c r="AM211" s="99" t="e">
        <f>IF(S_binomial[[#This Row],[Lig med]],S_binomial[[#This Row],[Binomialfordeling]],NA())</f>
        <v>#N/A</v>
      </c>
      <c r="AN211" s="99" t="e">
        <f>IF(S_binomial[[#This Row],[Større end]],S_binomial[[#This Row],[Binomialfordeling]],NA())</f>
        <v>#N/A</v>
      </c>
      <c r="AO211" s="85" t="str">
        <f>_xlfn.IFNA(IF(MOD(S_binomial[[#This Row],[Indeks (base 0)]],AF$7)=ROUNDDOWN(AF$7/2,0),S_binomial[[#This Row],[X base]],""),"")</f>
        <v/>
      </c>
      <c r="AP211" s="99" t="str">
        <f t="shared" si="40"/>
        <v xml:space="preserve"> </v>
      </c>
      <c r="AR211" s="54">
        <f t="shared" si="41"/>
        <v>198</v>
      </c>
      <c r="AS211" s="54">
        <f>S_normal27[[#This Row],[Indeks (base 0)]]+1</f>
        <v>199</v>
      </c>
      <c r="AT211" s="54">
        <f t="shared" si="43"/>
        <v>3</v>
      </c>
      <c r="AU211" s="54">
        <f>IF(MOD(S_normal27[[#This Row],[Indeks (base 0)]],AS$8)=0,NA(),_xlfn.POISSON.DIST(S_normal27[[#This Row],[X base]],$H$5,FALSE))</f>
        <v>0.22404180765538778</v>
      </c>
      <c r="AV211" s="99" t="b">
        <f>S_normal27[[#This Row],[X base]]&lt;AS$5</f>
        <v>0</v>
      </c>
      <c r="AW211" s="99" t="b">
        <f>S_normal27[[#This Row],[X base]]=AS$5</f>
        <v>0</v>
      </c>
      <c r="AX211" s="99" t="b">
        <f>S_normal27[[#This Row],[X base]]&gt;AS$5</f>
        <v>1</v>
      </c>
      <c r="AY211" s="99" t="e">
        <f>IF(S_normal27[[#This Row],[Mindre end]],S_normal27[[#This Row],[Poissonfordeling]],NA())</f>
        <v>#N/A</v>
      </c>
      <c r="AZ211" s="99" t="e">
        <f>IF(S_normal27[[#This Row],[Lig med]],S_normal27[[#This Row],[Poissonfordeling]],NA())</f>
        <v>#N/A</v>
      </c>
      <c r="BA211" s="99">
        <f>IF(S_normal27[[#This Row],[Større end]],S_normal27[[#This Row],[Poissonfordeling]],NA())</f>
        <v>0.22404180765538778</v>
      </c>
      <c r="BB211" s="85" t="str">
        <f>_xlfn.IFNA(IF(MOD(S_normal27[[#This Row],[Indeks (base 0)]],AS$8)=ROUNDDOWN(AS$8/2,0),S_normal27[[#This Row],[X base]],""),"")</f>
        <v/>
      </c>
      <c r="BC211" s="99" t="str">
        <f t="shared" si="42"/>
        <v xml:space="preserve"> </v>
      </c>
    </row>
    <row r="212" spans="20:55" x14ac:dyDescent="0.2">
      <c r="T212" s="54">
        <f t="shared" si="36"/>
        <v>199</v>
      </c>
      <c r="U212" s="54">
        <f>S_normal[[#This Row],[Indeks (base 0)]]+1</f>
        <v>200</v>
      </c>
      <c r="V212" s="99">
        <f t="shared" si="34"/>
        <v>1.6768702436569525</v>
      </c>
      <c r="W212" s="99">
        <f t="shared" si="37"/>
        <v>9.7794646741326E-2</v>
      </c>
      <c r="X212" s="99" t="b">
        <f>S_normal[[#This Row],[X base]]&lt;U$7</f>
        <v>1</v>
      </c>
      <c r="Y212" s="99" t="b">
        <f>S_normal[[#This Row],[X base]]&gt;U$7</f>
        <v>0</v>
      </c>
      <c r="Z212" s="99">
        <f>IF(S_normal[[#This Row],[Mindre end]],S_normal[[#This Row],[Normalfordeling]],NA())</f>
        <v>9.7794646741326E-2</v>
      </c>
      <c r="AA212" s="99" t="e">
        <f>IF(S_normal[[#This Row],[Større end]],S_normal[[#This Row],[Normalfordeling]],NA())</f>
        <v>#N/A</v>
      </c>
      <c r="AB212" s="72" t="str">
        <f>_xlfn.IFNA(IF(S_normal[[#This Row],[Indeks (base 0)]]=ROUND((ROUND(S_normal[[#This Row],[X base]],0)-U$8)/(U$9-U$8)*U$4,0),S_normal[[#This Row],[X base]]*B$6+B$5,""),"")</f>
        <v/>
      </c>
      <c r="AC212" s="99" t="str">
        <f t="shared" si="35"/>
        <v xml:space="preserve"> </v>
      </c>
      <c r="AE212" s="54">
        <f t="shared" si="38"/>
        <v>199</v>
      </c>
      <c r="AF212" s="54">
        <f>S_binomial[[#This Row],[Indeks (base 0)]]+1</f>
        <v>200</v>
      </c>
      <c r="AG212" s="99">
        <f t="shared" si="39"/>
        <v>2</v>
      </c>
      <c r="AH212" s="99">
        <f>IF(MOD(S_binomial[[#This Row],[Indeks (base 0)]],AF$7)=0,NA(),_xlfn.BINOM.DIST(S_binomial[[#This Row],[X base]],E$5,E$6,FALSE))</f>
        <v>4.261871040000002E-3</v>
      </c>
      <c r="AI212" s="99" t="b">
        <f>S_binomial[[#This Row],[X base]]&lt;AF$5</f>
        <v>1</v>
      </c>
      <c r="AJ212" s="99" t="b">
        <f>S_binomial[[#This Row],[X base]]=AF$5</f>
        <v>0</v>
      </c>
      <c r="AK212" s="99" t="b">
        <f>S_binomial[[#This Row],[X base]]&gt;AF$5</f>
        <v>0</v>
      </c>
      <c r="AL212" s="99">
        <f>IF(S_binomial[[#This Row],[Mindre end]],S_binomial[[#This Row],[Binomialfordeling]],NA())</f>
        <v>4.261871040000002E-3</v>
      </c>
      <c r="AM212" s="99" t="e">
        <f>IF(S_binomial[[#This Row],[Lig med]],S_binomial[[#This Row],[Binomialfordeling]],NA())</f>
        <v>#N/A</v>
      </c>
      <c r="AN212" s="99" t="e">
        <f>IF(S_binomial[[#This Row],[Større end]],S_binomial[[#This Row],[Binomialfordeling]],NA())</f>
        <v>#N/A</v>
      </c>
      <c r="AO212" s="85" t="str">
        <f>_xlfn.IFNA(IF(MOD(S_binomial[[#This Row],[Indeks (base 0)]],AF$7)=ROUNDDOWN(AF$7/2,0),S_binomial[[#This Row],[X base]],""),"")</f>
        <v/>
      </c>
      <c r="AP212" s="99" t="str">
        <f t="shared" si="40"/>
        <v xml:space="preserve"> </v>
      </c>
      <c r="AR212" s="54">
        <f t="shared" si="41"/>
        <v>199</v>
      </c>
      <c r="AS212" s="54">
        <f>S_normal27[[#This Row],[Indeks (base 0)]]+1</f>
        <v>200</v>
      </c>
      <c r="AT212" s="54">
        <f t="shared" si="43"/>
        <v>3</v>
      </c>
      <c r="AU212" s="54">
        <f>IF(MOD(S_normal27[[#This Row],[Indeks (base 0)]],AS$8)=0,NA(),_xlfn.POISSON.DIST(S_normal27[[#This Row],[X base]],$H$5,FALSE))</f>
        <v>0.22404180765538778</v>
      </c>
      <c r="AV212" s="99" t="b">
        <f>S_normal27[[#This Row],[X base]]&lt;AS$5</f>
        <v>0</v>
      </c>
      <c r="AW212" s="99" t="b">
        <f>S_normal27[[#This Row],[X base]]=AS$5</f>
        <v>0</v>
      </c>
      <c r="AX212" s="99" t="b">
        <f>S_normal27[[#This Row],[X base]]&gt;AS$5</f>
        <v>1</v>
      </c>
      <c r="AY212" s="99" t="e">
        <f>IF(S_normal27[[#This Row],[Mindre end]],S_normal27[[#This Row],[Poissonfordeling]],NA())</f>
        <v>#N/A</v>
      </c>
      <c r="AZ212" s="99" t="e">
        <f>IF(S_normal27[[#This Row],[Lig med]],S_normal27[[#This Row],[Poissonfordeling]],NA())</f>
        <v>#N/A</v>
      </c>
      <c r="BA212" s="99">
        <f>IF(S_normal27[[#This Row],[Større end]],S_normal27[[#This Row],[Poissonfordeling]],NA())</f>
        <v>0.22404180765538778</v>
      </c>
      <c r="BB212" s="85" t="str">
        <f>_xlfn.IFNA(IF(MOD(S_normal27[[#This Row],[Indeks (base 0)]],AS$8)=ROUNDDOWN(AS$8/2,0),S_normal27[[#This Row],[X base]],""),"")</f>
        <v/>
      </c>
      <c r="BC212" s="99" t="str">
        <f t="shared" si="42"/>
        <v xml:space="preserve"> </v>
      </c>
    </row>
    <row r="213" spans="20:55" x14ac:dyDescent="0.2">
      <c r="T213" s="54">
        <f t="shared" si="36"/>
        <v>200</v>
      </c>
      <c r="U213" s="54">
        <f>S_normal[[#This Row],[Indeks (base 0)]]+1</f>
        <v>201</v>
      </c>
      <c r="V213" s="99">
        <f t="shared" si="34"/>
        <v>1.7008255328520523</v>
      </c>
      <c r="W213" s="99">
        <f t="shared" si="37"/>
        <v>9.3917148922940161E-2</v>
      </c>
      <c r="X213" s="99" t="b">
        <f>S_normal[[#This Row],[X base]]&lt;U$7</f>
        <v>1</v>
      </c>
      <c r="Y213" s="99" t="b">
        <f>S_normal[[#This Row],[X base]]&gt;U$7</f>
        <v>0</v>
      </c>
      <c r="Z213" s="99">
        <f>IF(S_normal[[#This Row],[Mindre end]],S_normal[[#This Row],[Normalfordeling]],NA())</f>
        <v>9.3917148922940161E-2</v>
      </c>
      <c r="AA213" s="99" t="e">
        <f>IF(S_normal[[#This Row],[Større end]],S_normal[[#This Row],[Normalfordeling]],NA())</f>
        <v>#N/A</v>
      </c>
      <c r="AB213" s="72" t="str">
        <f>_xlfn.IFNA(IF(S_normal[[#This Row],[Indeks (base 0)]]=ROUND((ROUND(S_normal[[#This Row],[X base]],0)-U$8)/(U$9-U$8)*U$4,0),S_normal[[#This Row],[X base]]*B$6+B$5,""),"")</f>
        <v/>
      </c>
      <c r="AC213" s="99" t="str">
        <f t="shared" si="35"/>
        <v xml:space="preserve"> </v>
      </c>
      <c r="AE213" s="54">
        <f t="shared" si="38"/>
        <v>200</v>
      </c>
      <c r="AF213" s="54">
        <f>S_binomial[[#This Row],[Indeks (base 0)]]+1</f>
        <v>201</v>
      </c>
      <c r="AG213" s="99">
        <f t="shared" si="39"/>
        <v>2</v>
      </c>
      <c r="AH213" s="99">
        <f>IF(MOD(S_binomial[[#This Row],[Indeks (base 0)]],AF$7)=0,NA(),_xlfn.BINOM.DIST(S_binomial[[#This Row],[X base]],E$5,E$6,FALSE))</f>
        <v>4.261871040000002E-3</v>
      </c>
      <c r="AI213" s="99" t="b">
        <f>S_binomial[[#This Row],[X base]]&lt;AF$5</f>
        <v>1</v>
      </c>
      <c r="AJ213" s="99" t="b">
        <f>S_binomial[[#This Row],[X base]]=AF$5</f>
        <v>0</v>
      </c>
      <c r="AK213" s="99" t="b">
        <f>S_binomial[[#This Row],[X base]]&gt;AF$5</f>
        <v>0</v>
      </c>
      <c r="AL213" s="99">
        <f>IF(S_binomial[[#This Row],[Mindre end]],S_binomial[[#This Row],[Binomialfordeling]],NA())</f>
        <v>4.261871040000002E-3</v>
      </c>
      <c r="AM213" s="99" t="e">
        <f>IF(S_binomial[[#This Row],[Lig med]],S_binomial[[#This Row],[Binomialfordeling]],NA())</f>
        <v>#N/A</v>
      </c>
      <c r="AN213" s="99" t="e">
        <f>IF(S_binomial[[#This Row],[Større end]],S_binomial[[#This Row],[Binomialfordeling]],NA())</f>
        <v>#N/A</v>
      </c>
      <c r="AO213" s="85" t="str">
        <f>_xlfn.IFNA(IF(MOD(S_binomial[[#This Row],[Indeks (base 0)]],AF$7)=ROUNDDOWN(AF$7/2,0),S_binomial[[#This Row],[X base]],""),"")</f>
        <v/>
      </c>
      <c r="AP213" s="99" t="str">
        <f t="shared" si="40"/>
        <v xml:space="preserve"> </v>
      </c>
      <c r="AR213" s="54">
        <f t="shared" si="41"/>
        <v>200</v>
      </c>
      <c r="AS213" s="54">
        <f>S_normal27[[#This Row],[Indeks (base 0)]]+1</f>
        <v>201</v>
      </c>
      <c r="AT213" s="54">
        <f t="shared" si="43"/>
        <v>3</v>
      </c>
      <c r="AU213" s="54">
        <f>IF(MOD(S_normal27[[#This Row],[Indeks (base 0)]],AS$8)=0,NA(),_xlfn.POISSON.DIST(S_normal27[[#This Row],[X base]],$H$5,FALSE))</f>
        <v>0.22404180765538778</v>
      </c>
      <c r="AV213" s="99" t="b">
        <f>S_normal27[[#This Row],[X base]]&lt;AS$5</f>
        <v>0</v>
      </c>
      <c r="AW213" s="99" t="b">
        <f>S_normal27[[#This Row],[X base]]=AS$5</f>
        <v>0</v>
      </c>
      <c r="AX213" s="99" t="b">
        <f>S_normal27[[#This Row],[X base]]&gt;AS$5</f>
        <v>1</v>
      </c>
      <c r="AY213" s="99" t="e">
        <f>IF(S_normal27[[#This Row],[Mindre end]],S_normal27[[#This Row],[Poissonfordeling]],NA())</f>
        <v>#N/A</v>
      </c>
      <c r="AZ213" s="99" t="e">
        <f>IF(S_normal27[[#This Row],[Lig med]],S_normal27[[#This Row],[Poissonfordeling]],NA())</f>
        <v>#N/A</v>
      </c>
      <c r="BA213" s="99">
        <f>IF(S_normal27[[#This Row],[Større end]],S_normal27[[#This Row],[Poissonfordeling]],NA())</f>
        <v>0.22404180765538778</v>
      </c>
      <c r="BB213" s="85" t="str">
        <f>_xlfn.IFNA(IF(MOD(S_normal27[[#This Row],[Indeks (base 0)]],AS$8)=ROUNDDOWN(AS$8/2,0),S_normal27[[#This Row],[X base]],""),"")</f>
        <v/>
      </c>
      <c r="BC213" s="99" t="str">
        <f t="shared" si="42"/>
        <v xml:space="preserve"> </v>
      </c>
    </row>
    <row r="214" spans="20:55" x14ac:dyDescent="0.2">
      <c r="T214" s="54">
        <f t="shared" si="36"/>
        <v>201</v>
      </c>
      <c r="U214" s="54">
        <f>S_normal[[#This Row],[Indeks (base 0)]]+1</f>
        <v>202</v>
      </c>
      <c r="V214" s="99">
        <f t="shared" si="34"/>
        <v>1.7247808220471512</v>
      </c>
      <c r="W214" s="99">
        <f t="shared" si="37"/>
        <v>9.0141648356948725E-2</v>
      </c>
      <c r="X214" s="99" t="b">
        <f>S_normal[[#This Row],[X base]]&lt;U$7</f>
        <v>1</v>
      </c>
      <c r="Y214" s="99" t="b">
        <f>S_normal[[#This Row],[X base]]&gt;U$7</f>
        <v>0</v>
      </c>
      <c r="Z214" s="99">
        <f>IF(S_normal[[#This Row],[Mindre end]],S_normal[[#This Row],[Normalfordeling]],NA())</f>
        <v>9.0141648356948725E-2</v>
      </c>
      <c r="AA214" s="99" t="e">
        <f>IF(S_normal[[#This Row],[Større end]],S_normal[[#This Row],[Normalfordeling]],NA())</f>
        <v>#N/A</v>
      </c>
      <c r="AB214" s="72" t="str">
        <f>_xlfn.IFNA(IF(S_normal[[#This Row],[Indeks (base 0)]]=ROUND((ROUND(S_normal[[#This Row],[X base]],0)-U$8)/(U$9-U$8)*U$4,0),S_normal[[#This Row],[X base]]*B$6+B$5,""),"")</f>
        <v/>
      </c>
      <c r="AC214" s="99" t="str">
        <f t="shared" si="35"/>
        <v xml:space="preserve"> </v>
      </c>
      <c r="AE214" s="54">
        <f t="shared" si="38"/>
        <v>201</v>
      </c>
      <c r="AF214" s="54">
        <f>S_binomial[[#This Row],[Indeks (base 0)]]+1</f>
        <v>202</v>
      </c>
      <c r="AG214" s="99">
        <f t="shared" si="39"/>
        <v>2</v>
      </c>
      <c r="AH214" s="99">
        <f>IF(MOD(S_binomial[[#This Row],[Indeks (base 0)]],AF$7)=0,NA(),_xlfn.BINOM.DIST(S_binomial[[#This Row],[X base]],E$5,E$6,FALSE))</f>
        <v>4.261871040000002E-3</v>
      </c>
      <c r="AI214" s="99" t="b">
        <f>S_binomial[[#This Row],[X base]]&lt;AF$5</f>
        <v>1</v>
      </c>
      <c r="AJ214" s="99" t="b">
        <f>S_binomial[[#This Row],[X base]]=AF$5</f>
        <v>0</v>
      </c>
      <c r="AK214" s="99" t="b">
        <f>S_binomial[[#This Row],[X base]]&gt;AF$5</f>
        <v>0</v>
      </c>
      <c r="AL214" s="99">
        <f>IF(S_binomial[[#This Row],[Mindre end]],S_binomial[[#This Row],[Binomialfordeling]],NA())</f>
        <v>4.261871040000002E-3</v>
      </c>
      <c r="AM214" s="99" t="e">
        <f>IF(S_binomial[[#This Row],[Lig med]],S_binomial[[#This Row],[Binomialfordeling]],NA())</f>
        <v>#N/A</v>
      </c>
      <c r="AN214" s="99" t="e">
        <f>IF(S_binomial[[#This Row],[Større end]],S_binomial[[#This Row],[Binomialfordeling]],NA())</f>
        <v>#N/A</v>
      </c>
      <c r="AO214" s="85" t="str">
        <f>_xlfn.IFNA(IF(MOD(S_binomial[[#This Row],[Indeks (base 0)]],AF$7)=ROUNDDOWN(AF$7/2,0),S_binomial[[#This Row],[X base]],""),"")</f>
        <v/>
      </c>
      <c r="AP214" s="99" t="str">
        <f t="shared" si="40"/>
        <v xml:space="preserve"> </v>
      </c>
      <c r="AR214" s="54">
        <f t="shared" si="41"/>
        <v>201</v>
      </c>
      <c r="AS214" s="54">
        <f>S_normal27[[#This Row],[Indeks (base 0)]]+1</f>
        <v>202</v>
      </c>
      <c r="AT214" s="54">
        <f t="shared" si="43"/>
        <v>3</v>
      </c>
      <c r="AU214" s="54">
        <f>IF(MOD(S_normal27[[#This Row],[Indeks (base 0)]],AS$8)=0,NA(),_xlfn.POISSON.DIST(S_normal27[[#This Row],[X base]],$H$5,FALSE))</f>
        <v>0.22404180765538778</v>
      </c>
      <c r="AV214" s="99" t="b">
        <f>S_normal27[[#This Row],[X base]]&lt;AS$5</f>
        <v>0</v>
      </c>
      <c r="AW214" s="99" t="b">
        <f>S_normal27[[#This Row],[X base]]=AS$5</f>
        <v>0</v>
      </c>
      <c r="AX214" s="99" t="b">
        <f>S_normal27[[#This Row],[X base]]&gt;AS$5</f>
        <v>1</v>
      </c>
      <c r="AY214" s="99" t="e">
        <f>IF(S_normal27[[#This Row],[Mindre end]],S_normal27[[#This Row],[Poissonfordeling]],NA())</f>
        <v>#N/A</v>
      </c>
      <c r="AZ214" s="99" t="e">
        <f>IF(S_normal27[[#This Row],[Lig med]],S_normal27[[#This Row],[Poissonfordeling]],NA())</f>
        <v>#N/A</v>
      </c>
      <c r="BA214" s="99">
        <f>IF(S_normal27[[#This Row],[Større end]],S_normal27[[#This Row],[Poissonfordeling]],NA())</f>
        <v>0.22404180765538778</v>
      </c>
      <c r="BB214" s="85" t="str">
        <f>_xlfn.IFNA(IF(MOD(S_normal27[[#This Row],[Indeks (base 0)]],AS$8)=ROUNDDOWN(AS$8/2,0),S_normal27[[#This Row],[X base]],""),"")</f>
        <v/>
      </c>
      <c r="BC214" s="99" t="str">
        <f t="shared" si="42"/>
        <v xml:space="preserve"> </v>
      </c>
    </row>
    <row r="215" spans="20:55" x14ac:dyDescent="0.2">
      <c r="T215" s="54">
        <f t="shared" si="36"/>
        <v>202</v>
      </c>
      <c r="U215" s="54">
        <f>S_normal[[#This Row],[Indeks (base 0)]]+1</f>
        <v>203</v>
      </c>
      <c r="V215" s="99">
        <f t="shared" si="34"/>
        <v>1.748736111242251</v>
      </c>
      <c r="W215" s="99">
        <f t="shared" si="37"/>
        <v>8.6468289590491632E-2</v>
      </c>
      <c r="X215" s="99" t="b">
        <f>S_normal[[#This Row],[X base]]&lt;U$7</f>
        <v>1</v>
      </c>
      <c r="Y215" s="99" t="b">
        <f>S_normal[[#This Row],[X base]]&gt;U$7</f>
        <v>0</v>
      </c>
      <c r="Z215" s="99">
        <f>IF(S_normal[[#This Row],[Mindre end]],S_normal[[#This Row],[Normalfordeling]],NA())</f>
        <v>8.6468289590491632E-2</v>
      </c>
      <c r="AA215" s="99" t="e">
        <f>IF(S_normal[[#This Row],[Større end]],S_normal[[#This Row],[Normalfordeling]],NA())</f>
        <v>#N/A</v>
      </c>
      <c r="AB215" s="72" t="str">
        <f>_xlfn.IFNA(IF(S_normal[[#This Row],[Indeks (base 0)]]=ROUND((ROUND(S_normal[[#This Row],[X base]],0)-U$8)/(U$9-U$8)*U$4,0),S_normal[[#This Row],[X base]]*B$6+B$5,""),"")</f>
        <v/>
      </c>
      <c r="AC215" s="99" t="str">
        <f t="shared" si="35"/>
        <v xml:space="preserve"> </v>
      </c>
      <c r="AE215" s="54">
        <f t="shared" si="38"/>
        <v>202</v>
      </c>
      <c r="AF215" s="54">
        <f>S_binomial[[#This Row],[Indeks (base 0)]]+1</f>
        <v>203</v>
      </c>
      <c r="AG215" s="99">
        <f t="shared" si="39"/>
        <v>2</v>
      </c>
      <c r="AH215" s="99">
        <f>IF(MOD(S_binomial[[#This Row],[Indeks (base 0)]],AF$7)=0,NA(),_xlfn.BINOM.DIST(S_binomial[[#This Row],[X base]],E$5,E$6,FALSE))</f>
        <v>4.261871040000002E-3</v>
      </c>
      <c r="AI215" s="99" t="b">
        <f>S_binomial[[#This Row],[X base]]&lt;AF$5</f>
        <v>1</v>
      </c>
      <c r="AJ215" s="99" t="b">
        <f>S_binomial[[#This Row],[X base]]=AF$5</f>
        <v>0</v>
      </c>
      <c r="AK215" s="99" t="b">
        <f>S_binomial[[#This Row],[X base]]&gt;AF$5</f>
        <v>0</v>
      </c>
      <c r="AL215" s="99">
        <f>IF(S_binomial[[#This Row],[Mindre end]],S_binomial[[#This Row],[Binomialfordeling]],NA())</f>
        <v>4.261871040000002E-3</v>
      </c>
      <c r="AM215" s="99" t="e">
        <f>IF(S_binomial[[#This Row],[Lig med]],S_binomial[[#This Row],[Binomialfordeling]],NA())</f>
        <v>#N/A</v>
      </c>
      <c r="AN215" s="99" t="e">
        <f>IF(S_binomial[[#This Row],[Større end]],S_binomial[[#This Row],[Binomialfordeling]],NA())</f>
        <v>#N/A</v>
      </c>
      <c r="AO215" s="85" t="str">
        <f>_xlfn.IFNA(IF(MOD(S_binomial[[#This Row],[Indeks (base 0)]],AF$7)=ROUNDDOWN(AF$7/2,0),S_binomial[[#This Row],[X base]],""),"")</f>
        <v/>
      </c>
      <c r="AP215" s="99" t="str">
        <f t="shared" si="40"/>
        <v xml:space="preserve"> </v>
      </c>
      <c r="AR215" s="54">
        <f t="shared" si="41"/>
        <v>202</v>
      </c>
      <c r="AS215" s="54">
        <f>S_normal27[[#This Row],[Indeks (base 0)]]+1</f>
        <v>203</v>
      </c>
      <c r="AT215" s="54">
        <f t="shared" si="43"/>
        <v>3</v>
      </c>
      <c r="AU215" s="54">
        <f>IF(MOD(S_normal27[[#This Row],[Indeks (base 0)]],AS$8)=0,NA(),_xlfn.POISSON.DIST(S_normal27[[#This Row],[X base]],$H$5,FALSE))</f>
        <v>0.22404180765538778</v>
      </c>
      <c r="AV215" s="99" t="b">
        <f>S_normal27[[#This Row],[X base]]&lt;AS$5</f>
        <v>0</v>
      </c>
      <c r="AW215" s="99" t="b">
        <f>S_normal27[[#This Row],[X base]]=AS$5</f>
        <v>0</v>
      </c>
      <c r="AX215" s="99" t="b">
        <f>S_normal27[[#This Row],[X base]]&gt;AS$5</f>
        <v>1</v>
      </c>
      <c r="AY215" s="99" t="e">
        <f>IF(S_normal27[[#This Row],[Mindre end]],S_normal27[[#This Row],[Poissonfordeling]],NA())</f>
        <v>#N/A</v>
      </c>
      <c r="AZ215" s="99" t="e">
        <f>IF(S_normal27[[#This Row],[Lig med]],S_normal27[[#This Row],[Poissonfordeling]],NA())</f>
        <v>#N/A</v>
      </c>
      <c r="BA215" s="99">
        <f>IF(S_normal27[[#This Row],[Større end]],S_normal27[[#This Row],[Poissonfordeling]],NA())</f>
        <v>0.22404180765538778</v>
      </c>
      <c r="BB215" s="85" t="str">
        <f>_xlfn.IFNA(IF(MOD(S_normal27[[#This Row],[Indeks (base 0)]],AS$8)=ROUNDDOWN(AS$8/2,0),S_normal27[[#This Row],[X base]],""),"")</f>
        <v/>
      </c>
      <c r="BC215" s="99" t="str">
        <f t="shared" si="42"/>
        <v xml:space="preserve"> </v>
      </c>
    </row>
    <row r="216" spans="20:55" x14ac:dyDescent="0.2">
      <c r="T216" s="54">
        <f t="shared" si="36"/>
        <v>203</v>
      </c>
      <c r="U216" s="54">
        <f>S_normal[[#This Row],[Indeks (base 0)]]+1</f>
        <v>204</v>
      </c>
      <c r="V216" s="99">
        <f t="shared" si="34"/>
        <v>1.77269140043735</v>
      </c>
      <c r="W216" s="99">
        <f t="shared" si="37"/>
        <v>8.2897039117220503E-2</v>
      </c>
      <c r="X216" s="99" t="b">
        <f>S_normal[[#This Row],[X base]]&lt;U$7</f>
        <v>1</v>
      </c>
      <c r="Y216" s="99" t="b">
        <f>S_normal[[#This Row],[X base]]&gt;U$7</f>
        <v>0</v>
      </c>
      <c r="Z216" s="99">
        <f>IF(S_normal[[#This Row],[Mindre end]],S_normal[[#This Row],[Normalfordeling]],NA())</f>
        <v>8.2897039117220503E-2</v>
      </c>
      <c r="AA216" s="99" t="e">
        <f>IF(S_normal[[#This Row],[Større end]],S_normal[[#This Row],[Normalfordeling]],NA())</f>
        <v>#N/A</v>
      </c>
      <c r="AB216" s="72" t="str">
        <f>_xlfn.IFNA(IF(S_normal[[#This Row],[Indeks (base 0)]]=ROUND((ROUND(S_normal[[#This Row],[X base]],0)-U$8)/(U$9-U$8)*U$4,0),S_normal[[#This Row],[X base]]*B$6+B$5,""),"")</f>
        <v/>
      </c>
      <c r="AC216" s="99" t="str">
        <f t="shared" si="35"/>
        <v xml:space="preserve"> </v>
      </c>
      <c r="AE216" s="54">
        <f t="shared" si="38"/>
        <v>203</v>
      </c>
      <c r="AF216" s="54">
        <f>S_binomial[[#This Row],[Indeks (base 0)]]+1</f>
        <v>204</v>
      </c>
      <c r="AG216" s="99">
        <f t="shared" si="39"/>
        <v>2</v>
      </c>
      <c r="AH216" s="99">
        <f>IF(MOD(S_binomial[[#This Row],[Indeks (base 0)]],AF$7)=0,NA(),_xlfn.BINOM.DIST(S_binomial[[#This Row],[X base]],E$5,E$6,FALSE))</f>
        <v>4.261871040000002E-3</v>
      </c>
      <c r="AI216" s="99" t="b">
        <f>S_binomial[[#This Row],[X base]]&lt;AF$5</f>
        <v>1</v>
      </c>
      <c r="AJ216" s="99" t="b">
        <f>S_binomial[[#This Row],[X base]]=AF$5</f>
        <v>0</v>
      </c>
      <c r="AK216" s="99" t="b">
        <f>S_binomial[[#This Row],[X base]]&gt;AF$5</f>
        <v>0</v>
      </c>
      <c r="AL216" s="99">
        <f>IF(S_binomial[[#This Row],[Mindre end]],S_binomial[[#This Row],[Binomialfordeling]],NA())</f>
        <v>4.261871040000002E-3</v>
      </c>
      <c r="AM216" s="99" t="e">
        <f>IF(S_binomial[[#This Row],[Lig med]],S_binomial[[#This Row],[Binomialfordeling]],NA())</f>
        <v>#N/A</v>
      </c>
      <c r="AN216" s="99" t="e">
        <f>IF(S_binomial[[#This Row],[Større end]],S_binomial[[#This Row],[Binomialfordeling]],NA())</f>
        <v>#N/A</v>
      </c>
      <c r="AO216" s="85" t="str">
        <f>_xlfn.IFNA(IF(MOD(S_binomial[[#This Row],[Indeks (base 0)]],AF$7)=ROUNDDOWN(AF$7/2,0),S_binomial[[#This Row],[X base]],""),"")</f>
        <v/>
      </c>
      <c r="AP216" s="99" t="str">
        <f t="shared" si="40"/>
        <v xml:space="preserve"> </v>
      </c>
      <c r="AR216" s="54">
        <f t="shared" si="41"/>
        <v>203</v>
      </c>
      <c r="AS216" s="54">
        <f>S_normal27[[#This Row],[Indeks (base 0)]]+1</f>
        <v>204</v>
      </c>
      <c r="AT216" s="54">
        <f t="shared" si="43"/>
        <v>3</v>
      </c>
      <c r="AU216" s="54">
        <f>IF(MOD(S_normal27[[#This Row],[Indeks (base 0)]],AS$8)=0,NA(),_xlfn.POISSON.DIST(S_normal27[[#This Row],[X base]],$H$5,FALSE))</f>
        <v>0.22404180765538778</v>
      </c>
      <c r="AV216" s="99" t="b">
        <f>S_normal27[[#This Row],[X base]]&lt;AS$5</f>
        <v>0</v>
      </c>
      <c r="AW216" s="99" t="b">
        <f>S_normal27[[#This Row],[X base]]=AS$5</f>
        <v>0</v>
      </c>
      <c r="AX216" s="99" t="b">
        <f>S_normal27[[#This Row],[X base]]&gt;AS$5</f>
        <v>1</v>
      </c>
      <c r="AY216" s="99" t="e">
        <f>IF(S_normal27[[#This Row],[Mindre end]],S_normal27[[#This Row],[Poissonfordeling]],NA())</f>
        <v>#N/A</v>
      </c>
      <c r="AZ216" s="99" t="e">
        <f>IF(S_normal27[[#This Row],[Lig med]],S_normal27[[#This Row],[Poissonfordeling]],NA())</f>
        <v>#N/A</v>
      </c>
      <c r="BA216" s="99">
        <f>IF(S_normal27[[#This Row],[Større end]],S_normal27[[#This Row],[Poissonfordeling]],NA())</f>
        <v>0.22404180765538778</v>
      </c>
      <c r="BB216" s="85" t="str">
        <f>_xlfn.IFNA(IF(MOD(S_normal27[[#This Row],[Indeks (base 0)]],AS$8)=ROUNDDOWN(AS$8/2,0),S_normal27[[#This Row],[X base]],""),"")</f>
        <v/>
      </c>
      <c r="BC216" s="99" t="str">
        <f t="shared" si="42"/>
        <v xml:space="preserve"> </v>
      </c>
    </row>
    <row r="217" spans="20:55" x14ac:dyDescent="0.2">
      <c r="T217" s="54">
        <f t="shared" si="36"/>
        <v>204</v>
      </c>
      <c r="U217" s="54">
        <f>S_normal[[#This Row],[Indeks (base 0)]]+1</f>
        <v>205</v>
      </c>
      <c r="V217" s="99">
        <f t="shared" si="34"/>
        <v>1.7966466896324498</v>
      </c>
      <c r="W217" s="99">
        <f t="shared" si="37"/>
        <v>7.942769270709038E-2</v>
      </c>
      <c r="X217" s="99" t="b">
        <f>S_normal[[#This Row],[X base]]&lt;U$7</f>
        <v>1</v>
      </c>
      <c r="Y217" s="99" t="b">
        <f>S_normal[[#This Row],[X base]]&gt;U$7</f>
        <v>0</v>
      </c>
      <c r="Z217" s="99">
        <f>IF(S_normal[[#This Row],[Mindre end]],S_normal[[#This Row],[Normalfordeling]],NA())</f>
        <v>7.942769270709038E-2</v>
      </c>
      <c r="AA217" s="99" t="e">
        <f>IF(S_normal[[#This Row],[Større end]],S_normal[[#This Row],[Normalfordeling]],NA())</f>
        <v>#N/A</v>
      </c>
      <c r="AB217" s="72" t="str">
        <f>_xlfn.IFNA(IF(S_normal[[#This Row],[Indeks (base 0)]]=ROUND((ROUND(S_normal[[#This Row],[X base]],0)-U$8)/(U$9-U$8)*U$4,0),S_normal[[#This Row],[X base]]*B$6+B$5,""),"")</f>
        <v/>
      </c>
      <c r="AC217" s="99" t="str">
        <f t="shared" si="35"/>
        <v xml:space="preserve"> </v>
      </c>
      <c r="AE217" s="54">
        <f t="shared" si="38"/>
        <v>204</v>
      </c>
      <c r="AF217" s="54">
        <f>S_binomial[[#This Row],[Indeks (base 0)]]+1</f>
        <v>205</v>
      </c>
      <c r="AG217" s="99">
        <f t="shared" si="39"/>
        <v>2</v>
      </c>
      <c r="AH217" s="99">
        <f>IF(MOD(S_binomial[[#This Row],[Indeks (base 0)]],AF$7)=0,NA(),_xlfn.BINOM.DIST(S_binomial[[#This Row],[X base]],E$5,E$6,FALSE))</f>
        <v>4.261871040000002E-3</v>
      </c>
      <c r="AI217" s="99" t="b">
        <f>S_binomial[[#This Row],[X base]]&lt;AF$5</f>
        <v>1</v>
      </c>
      <c r="AJ217" s="99" t="b">
        <f>S_binomial[[#This Row],[X base]]=AF$5</f>
        <v>0</v>
      </c>
      <c r="AK217" s="99" t="b">
        <f>S_binomial[[#This Row],[X base]]&gt;AF$5</f>
        <v>0</v>
      </c>
      <c r="AL217" s="99">
        <f>IF(S_binomial[[#This Row],[Mindre end]],S_binomial[[#This Row],[Binomialfordeling]],NA())</f>
        <v>4.261871040000002E-3</v>
      </c>
      <c r="AM217" s="99" t="e">
        <f>IF(S_binomial[[#This Row],[Lig med]],S_binomial[[#This Row],[Binomialfordeling]],NA())</f>
        <v>#N/A</v>
      </c>
      <c r="AN217" s="99" t="e">
        <f>IF(S_binomial[[#This Row],[Større end]],S_binomial[[#This Row],[Binomialfordeling]],NA())</f>
        <v>#N/A</v>
      </c>
      <c r="AO217" s="85" t="str">
        <f>_xlfn.IFNA(IF(MOD(S_binomial[[#This Row],[Indeks (base 0)]],AF$7)=ROUNDDOWN(AF$7/2,0),S_binomial[[#This Row],[X base]],""),"")</f>
        <v/>
      </c>
      <c r="AP217" s="99" t="str">
        <f t="shared" si="40"/>
        <v xml:space="preserve"> </v>
      </c>
      <c r="AR217" s="54">
        <f t="shared" si="41"/>
        <v>204</v>
      </c>
      <c r="AS217" s="54">
        <f>S_normal27[[#This Row],[Indeks (base 0)]]+1</f>
        <v>205</v>
      </c>
      <c r="AT217" s="54">
        <f t="shared" si="43"/>
        <v>3</v>
      </c>
      <c r="AU217" s="54">
        <f>IF(MOD(S_normal27[[#This Row],[Indeks (base 0)]],AS$8)=0,NA(),_xlfn.POISSON.DIST(S_normal27[[#This Row],[X base]],$H$5,FALSE))</f>
        <v>0.22404180765538778</v>
      </c>
      <c r="AV217" s="99" t="b">
        <f>S_normal27[[#This Row],[X base]]&lt;AS$5</f>
        <v>0</v>
      </c>
      <c r="AW217" s="99" t="b">
        <f>S_normal27[[#This Row],[X base]]=AS$5</f>
        <v>0</v>
      </c>
      <c r="AX217" s="99" t="b">
        <f>S_normal27[[#This Row],[X base]]&gt;AS$5</f>
        <v>1</v>
      </c>
      <c r="AY217" s="99" t="e">
        <f>IF(S_normal27[[#This Row],[Mindre end]],S_normal27[[#This Row],[Poissonfordeling]],NA())</f>
        <v>#N/A</v>
      </c>
      <c r="AZ217" s="99" t="e">
        <f>IF(S_normal27[[#This Row],[Lig med]],S_normal27[[#This Row],[Poissonfordeling]],NA())</f>
        <v>#N/A</v>
      </c>
      <c r="BA217" s="99">
        <f>IF(S_normal27[[#This Row],[Større end]],S_normal27[[#This Row],[Poissonfordeling]],NA())</f>
        <v>0.22404180765538778</v>
      </c>
      <c r="BB217" s="85" t="str">
        <f>_xlfn.IFNA(IF(MOD(S_normal27[[#This Row],[Indeks (base 0)]],AS$8)=ROUNDDOWN(AS$8/2,0),S_normal27[[#This Row],[X base]],""),"")</f>
        <v/>
      </c>
      <c r="BC217" s="99" t="str">
        <f t="shared" si="42"/>
        <v xml:space="preserve"> </v>
      </c>
    </row>
    <row r="218" spans="20:55" x14ac:dyDescent="0.2">
      <c r="T218" s="54">
        <f t="shared" si="36"/>
        <v>205</v>
      </c>
      <c r="U218" s="54">
        <f>S_normal[[#This Row],[Indeks (base 0)]]+1</f>
        <v>206</v>
      </c>
      <c r="V218" s="99">
        <f t="shared" si="34"/>
        <v>1.8206019788275487</v>
      </c>
      <c r="W218" s="99">
        <f t="shared" si="37"/>
        <v>7.6059882914996213E-2</v>
      </c>
      <c r="X218" s="99" t="b">
        <f>S_normal[[#This Row],[X base]]&lt;U$7</f>
        <v>1</v>
      </c>
      <c r="Y218" s="99" t="b">
        <f>S_normal[[#This Row],[X base]]&gt;U$7</f>
        <v>0</v>
      </c>
      <c r="Z218" s="99">
        <f>IF(S_normal[[#This Row],[Mindre end]],S_normal[[#This Row],[Normalfordeling]],NA())</f>
        <v>7.6059882914996213E-2</v>
      </c>
      <c r="AA218" s="99" t="e">
        <f>IF(S_normal[[#This Row],[Større end]],S_normal[[#This Row],[Normalfordeling]],NA())</f>
        <v>#N/A</v>
      </c>
      <c r="AB218" s="72" t="str">
        <f>_xlfn.IFNA(IF(S_normal[[#This Row],[Indeks (base 0)]]=ROUND((ROUND(S_normal[[#This Row],[X base]],0)-U$8)/(U$9-U$8)*U$4,0),S_normal[[#This Row],[X base]]*B$6+B$5,""),"")</f>
        <v/>
      </c>
      <c r="AC218" s="99" t="str">
        <f t="shared" si="35"/>
        <v xml:space="preserve"> </v>
      </c>
      <c r="AE218" s="54">
        <f t="shared" si="38"/>
        <v>205</v>
      </c>
      <c r="AF218" s="54">
        <f>S_binomial[[#This Row],[Indeks (base 0)]]+1</f>
        <v>206</v>
      </c>
      <c r="AG218" s="99">
        <f t="shared" si="39"/>
        <v>2</v>
      </c>
      <c r="AH218" s="99">
        <f>IF(MOD(S_binomial[[#This Row],[Indeks (base 0)]],AF$7)=0,NA(),_xlfn.BINOM.DIST(S_binomial[[#This Row],[X base]],E$5,E$6,FALSE))</f>
        <v>4.261871040000002E-3</v>
      </c>
      <c r="AI218" s="99" t="b">
        <f>S_binomial[[#This Row],[X base]]&lt;AF$5</f>
        <v>1</v>
      </c>
      <c r="AJ218" s="99" t="b">
        <f>S_binomial[[#This Row],[X base]]=AF$5</f>
        <v>0</v>
      </c>
      <c r="AK218" s="99" t="b">
        <f>S_binomial[[#This Row],[X base]]&gt;AF$5</f>
        <v>0</v>
      </c>
      <c r="AL218" s="99">
        <f>IF(S_binomial[[#This Row],[Mindre end]],S_binomial[[#This Row],[Binomialfordeling]],NA())</f>
        <v>4.261871040000002E-3</v>
      </c>
      <c r="AM218" s="99" t="e">
        <f>IF(S_binomial[[#This Row],[Lig med]],S_binomial[[#This Row],[Binomialfordeling]],NA())</f>
        <v>#N/A</v>
      </c>
      <c r="AN218" s="99" t="e">
        <f>IF(S_binomial[[#This Row],[Større end]],S_binomial[[#This Row],[Binomialfordeling]],NA())</f>
        <v>#N/A</v>
      </c>
      <c r="AO218" s="85" t="str">
        <f>_xlfn.IFNA(IF(MOD(S_binomial[[#This Row],[Indeks (base 0)]],AF$7)=ROUNDDOWN(AF$7/2,0),S_binomial[[#This Row],[X base]],""),"")</f>
        <v/>
      </c>
      <c r="AP218" s="99" t="str">
        <f t="shared" si="40"/>
        <v xml:space="preserve"> </v>
      </c>
      <c r="AR218" s="54">
        <f t="shared" si="41"/>
        <v>205</v>
      </c>
      <c r="AS218" s="54">
        <f>S_normal27[[#This Row],[Indeks (base 0)]]+1</f>
        <v>206</v>
      </c>
      <c r="AT218" s="54">
        <f t="shared" si="43"/>
        <v>3</v>
      </c>
      <c r="AU218" s="54">
        <f>IF(MOD(S_normal27[[#This Row],[Indeks (base 0)]],AS$8)=0,NA(),_xlfn.POISSON.DIST(S_normal27[[#This Row],[X base]],$H$5,FALSE))</f>
        <v>0.22404180765538778</v>
      </c>
      <c r="AV218" s="99" t="b">
        <f>S_normal27[[#This Row],[X base]]&lt;AS$5</f>
        <v>0</v>
      </c>
      <c r="AW218" s="99" t="b">
        <f>S_normal27[[#This Row],[X base]]=AS$5</f>
        <v>0</v>
      </c>
      <c r="AX218" s="99" t="b">
        <f>S_normal27[[#This Row],[X base]]&gt;AS$5</f>
        <v>1</v>
      </c>
      <c r="AY218" s="99" t="e">
        <f>IF(S_normal27[[#This Row],[Mindre end]],S_normal27[[#This Row],[Poissonfordeling]],NA())</f>
        <v>#N/A</v>
      </c>
      <c r="AZ218" s="99" t="e">
        <f>IF(S_normal27[[#This Row],[Lig med]],S_normal27[[#This Row],[Poissonfordeling]],NA())</f>
        <v>#N/A</v>
      </c>
      <c r="BA218" s="99">
        <f>IF(S_normal27[[#This Row],[Større end]],S_normal27[[#This Row],[Poissonfordeling]],NA())</f>
        <v>0.22404180765538778</v>
      </c>
      <c r="BB218" s="85" t="str">
        <f>_xlfn.IFNA(IF(MOD(S_normal27[[#This Row],[Indeks (base 0)]],AS$8)=ROUNDDOWN(AS$8/2,0),S_normal27[[#This Row],[X base]],""),"")</f>
        <v/>
      </c>
      <c r="BC218" s="99" t="str">
        <f t="shared" si="42"/>
        <v xml:space="preserve"> </v>
      </c>
    </row>
    <row r="219" spans="20:55" x14ac:dyDescent="0.2">
      <c r="T219" s="54">
        <f t="shared" si="36"/>
        <v>206</v>
      </c>
      <c r="U219" s="54">
        <f>S_normal[[#This Row],[Indeks (base 0)]]+1</f>
        <v>207</v>
      </c>
      <c r="V219" s="99">
        <f t="shared" si="34"/>
        <v>1.8445572680226485</v>
      </c>
      <c r="W219" s="99">
        <f t="shared" si="37"/>
        <v>7.2793086735565712E-2</v>
      </c>
      <c r="X219" s="99" t="b">
        <f>S_normal[[#This Row],[X base]]&lt;U$7</f>
        <v>1</v>
      </c>
      <c r="Y219" s="99" t="b">
        <f>S_normal[[#This Row],[X base]]&gt;U$7</f>
        <v>0</v>
      </c>
      <c r="Z219" s="99">
        <f>IF(S_normal[[#This Row],[Mindre end]],S_normal[[#This Row],[Normalfordeling]],NA())</f>
        <v>7.2793086735565712E-2</v>
      </c>
      <c r="AA219" s="99" t="e">
        <f>IF(S_normal[[#This Row],[Større end]],S_normal[[#This Row],[Normalfordeling]],NA())</f>
        <v>#N/A</v>
      </c>
      <c r="AB219" s="72" t="str">
        <f>_xlfn.IFNA(IF(S_normal[[#This Row],[Indeks (base 0)]]=ROUND((ROUND(S_normal[[#This Row],[X base]],0)-U$8)/(U$9-U$8)*U$4,0),S_normal[[#This Row],[X base]]*B$6+B$5,""),"")</f>
        <v/>
      </c>
      <c r="AC219" s="99" t="str">
        <f t="shared" si="35"/>
        <v xml:space="preserve"> </v>
      </c>
      <c r="AE219" s="54">
        <f t="shared" si="38"/>
        <v>206</v>
      </c>
      <c r="AF219" s="54">
        <f>S_binomial[[#This Row],[Indeks (base 0)]]+1</f>
        <v>207</v>
      </c>
      <c r="AG219" s="99">
        <f t="shared" si="39"/>
        <v>2</v>
      </c>
      <c r="AH219" s="99">
        <f>IF(MOD(S_binomial[[#This Row],[Indeks (base 0)]],AF$7)=0,NA(),_xlfn.BINOM.DIST(S_binomial[[#This Row],[X base]],E$5,E$6,FALSE))</f>
        <v>4.261871040000002E-3</v>
      </c>
      <c r="AI219" s="99" t="b">
        <f>S_binomial[[#This Row],[X base]]&lt;AF$5</f>
        <v>1</v>
      </c>
      <c r="AJ219" s="99" t="b">
        <f>S_binomial[[#This Row],[X base]]=AF$5</f>
        <v>0</v>
      </c>
      <c r="AK219" s="99" t="b">
        <f>S_binomial[[#This Row],[X base]]&gt;AF$5</f>
        <v>0</v>
      </c>
      <c r="AL219" s="99">
        <f>IF(S_binomial[[#This Row],[Mindre end]],S_binomial[[#This Row],[Binomialfordeling]],NA())</f>
        <v>4.261871040000002E-3</v>
      </c>
      <c r="AM219" s="99" t="e">
        <f>IF(S_binomial[[#This Row],[Lig med]],S_binomial[[#This Row],[Binomialfordeling]],NA())</f>
        <v>#N/A</v>
      </c>
      <c r="AN219" s="99" t="e">
        <f>IF(S_binomial[[#This Row],[Større end]],S_binomial[[#This Row],[Binomialfordeling]],NA())</f>
        <v>#N/A</v>
      </c>
      <c r="AO219" s="85" t="str">
        <f>_xlfn.IFNA(IF(MOD(S_binomial[[#This Row],[Indeks (base 0)]],AF$7)=ROUNDDOWN(AF$7/2,0),S_binomial[[#This Row],[X base]],""),"")</f>
        <v/>
      </c>
      <c r="AP219" s="99" t="str">
        <f t="shared" si="40"/>
        <v xml:space="preserve"> </v>
      </c>
      <c r="AR219" s="54">
        <f t="shared" si="41"/>
        <v>206</v>
      </c>
      <c r="AS219" s="54">
        <f>S_normal27[[#This Row],[Indeks (base 0)]]+1</f>
        <v>207</v>
      </c>
      <c r="AT219" s="54">
        <f t="shared" si="43"/>
        <v>3</v>
      </c>
      <c r="AU219" s="54">
        <f>IF(MOD(S_normal27[[#This Row],[Indeks (base 0)]],AS$8)=0,NA(),_xlfn.POISSON.DIST(S_normal27[[#This Row],[X base]],$H$5,FALSE))</f>
        <v>0.22404180765538778</v>
      </c>
      <c r="AV219" s="99" t="b">
        <f>S_normal27[[#This Row],[X base]]&lt;AS$5</f>
        <v>0</v>
      </c>
      <c r="AW219" s="99" t="b">
        <f>S_normal27[[#This Row],[X base]]=AS$5</f>
        <v>0</v>
      </c>
      <c r="AX219" s="99" t="b">
        <f>S_normal27[[#This Row],[X base]]&gt;AS$5</f>
        <v>1</v>
      </c>
      <c r="AY219" s="99" t="e">
        <f>IF(S_normal27[[#This Row],[Mindre end]],S_normal27[[#This Row],[Poissonfordeling]],NA())</f>
        <v>#N/A</v>
      </c>
      <c r="AZ219" s="99" t="e">
        <f>IF(S_normal27[[#This Row],[Lig med]],S_normal27[[#This Row],[Poissonfordeling]],NA())</f>
        <v>#N/A</v>
      </c>
      <c r="BA219" s="99">
        <f>IF(S_normal27[[#This Row],[Større end]],S_normal27[[#This Row],[Poissonfordeling]],NA())</f>
        <v>0.22404180765538778</v>
      </c>
      <c r="BB219" s="85" t="str">
        <f>_xlfn.IFNA(IF(MOD(S_normal27[[#This Row],[Indeks (base 0)]],AS$8)=ROUNDDOWN(AS$8/2,0),S_normal27[[#This Row],[X base]],""),"")</f>
        <v/>
      </c>
      <c r="BC219" s="99" t="str">
        <f t="shared" si="42"/>
        <v xml:space="preserve"> </v>
      </c>
    </row>
    <row r="220" spans="20:55" x14ac:dyDescent="0.2">
      <c r="T220" s="54">
        <f t="shared" si="36"/>
        <v>207</v>
      </c>
      <c r="U220" s="54">
        <f>S_normal[[#This Row],[Indeks (base 0)]]+1</f>
        <v>208</v>
      </c>
      <c r="V220" s="99">
        <f t="shared" si="34"/>
        <v>1.8685125572177474</v>
      </c>
      <c r="W220" s="99">
        <f t="shared" si="37"/>
        <v>6.962663337221206E-2</v>
      </c>
      <c r="X220" s="99" t="b">
        <f>S_normal[[#This Row],[X base]]&lt;U$7</f>
        <v>1</v>
      </c>
      <c r="Y220" s="99" t="b">
        <f>S_normal[[#This Row],[X base]]&gt;U$7</f>
        <v>0</v>
      </c>
      <c r="Z220" s="99">
        <f>IF(S_normal[[#This Row],[Mindre end]],S_normal[[#This Row],[Normalfordeling]],NA())</f>
        <v>6.962663337221206E-2</v>
      </c>
      <c r="AA220" s="99" t="e">
        <f>IF(S_normal[[#This Row],[Større end]],S_normal[[#This Row],[Normalfordeling]],NA())</f>
        <v>#N/A</v>
      </c>
      <c r="AB220" s="72" t="str">
        <f>_xlfn.IFNA(IF(S_normal[[#This Row],[Indeks (base 0)]]=ROUND((ROUND(S_normal[[#This Row],[X base]],0)-U$8)/(U$9-U$8)*U$4,0),S_normal[[#This Row],[X base]]*B$6+B$5,""),"")</f>
        <v/>
      </c>
      <c r="AC220" s="99" t="str">
        <f t="shared" si="35"/>
        <v xml:space="preserve"> </v>
      </c>
      <c r="AE220" s="54">
        <f t="shared" si="38"/>
        <v>207</v>
      </c>
      <c r="AF220" s="54">
        <f>S_binomial[[#This Row],[Indeks (base 0)]]+1</f>
        <v>208</v>
      </c>
      <c r="AG220" s="99">
        <f t="shared" si="39"/>
        <v>2</v>
      </c>
      <c r="AH220" s="99">
        <f>IF(MOD(S_binomial[[#This Row],[Indeks (base 0)]],AF$7)=0,NA(),_xlfn.BINOM.DIST(S_binomial[[#This Row],[X base]],E$5,E$6,FALSE))</f>
        <v>4.261871040000002E-3</v>
      </c>
      <c r="AI220" s="99" t="b">
        <f>S_binomial[[#This Row],[X base]]&lt;AF$5</f>
        <v>1</v>
      </c>
      <c r="AJ220" s="99" t="b">
        <f>S_binomial[[#This Row],[X base]]=AF$5</f>
        <v>0</v>
      </c>
      <c r="AK220" s="99" t="b">
        <f>S_binomial[[#This Row],[X base]]&gt;AF$5</f>
        <v>0</v>
      </c>
      <c r="AL220" s="99">
        <f>IF(S_binomial[[#This Row],[Mindre end]],S_binomial[[#This Row],[Binomialfordeling]],NA())</f>
        <v>4.261871040000002E-3</v>
      </c>
      <c r="AM220" s="99" t="e">
        <f>IF(S_binomial[[#This Row],[Lig med]],S_binomial[[#This Row],[Binomialfordeling]],NA())</f>
        <v>#N/A</v>
      </c>
      <c r="AN220" s="99" t="e">
        <f>IF(S_binomial[[#This Row],[Større end]],S_binomial[[#This Row],[Binomialfordeling]],NA())</f>
        <v>#N/A</v>
      </c>
      <c r="AO220" s="85" t="str">
        <f>_xlfn.IFNA(IF(MOD(S_binomial[[#This Row],[Indeks (base 0)]],AF$7)=ROUNDDOWN(AF$7/2,0),S_binomial[[#This Row],[X base]],""),"")</f>
        <v/>
      </c>
      <c r="AP220" s="99" t="str">
        <f t="shared" si="40"/>
        <v xml:space="preserve"> </v>
      </c>
      <c r="AR220" s="54">
        <f t="shared" si="41"/>
        <v>207</v>
      </c>
      <c r="AS220" s="54">
        <f>S_normal27[[#This Row],[Indeks (base 0)]]+1</f>
        <v>208</v>
      </c>
      <c r="AT220" s="54">
        <f t="shared" si="43"/>
        <v>3</v>
      </c>
      <c r="AU220" s="54">
        <f>IF(MOD(S_normal27[[#This Row],[Indeks (base 0)]],AS$8)=0,NA(),_xlfn.POISSON.DIST(S_normal27[[#This Row],[X base]],$H$5,FALSE))</f>
        <v>0.22404180765538778</v>
      </c>
      <c r="AV220" s="99" t="b">
        <f>S_normal27[[#This Row],[X base]]&lt;AS$5</f>
        <v>0</v>
      </c>
      <c r="AW220" s="99" t="b">
        <f>S_normal27[[#This Row],[X base]]=AS$5</f>
        <v>0</v>
      </c>
      <c r="AX220" s="99" t="b">
        <f>S_normal27[[#This Row],[X base]]&gt;AS$5</f>
        <v>1</v>
      </c>
      <c r="AY220" s="99" t="e">
        <f>IF(S_normal27[[#This Row],[Mindre end]],S_normal27[[#This Row],[Poissonfordeling]],NA())</f>
        <v>#N/A</v>
      </c>
      <c r="AZ220" s="99" t="e">
        <f>IF(S_normal27[[#This Row],[Lig med]],S_normal27[[#This Row],[Poissonfordeling]],NA())</f>
        <v>#N/A</v>
      </c>
      <c r="BA220" s="99">
        <f>IF(S_normal27[[#This Row],[Større end]],S_normal27[[#This Row],[Poissonfordeling]],NA())</f>
        <v>0.22404180765538778</v>
      </c>
      <c r="BB220" s="85" t="str">
        <f>_xlfn.IFNA(IF(MOD(S_normal27[[#This Row],[Indeks (base 0)]],AS$8)=ROUNDDOWN(AS$8/2,0),S_normal27[[#This Row],[X base]],""),"")</f>
        <v/>
      </c>
      <c r="BC220" s="99" t="str">
        <f t="shared" si="42"/>
        <v xml:space="preserve"> </v>
      </c>
    </row>
    <row r="221" spans="20:55" x14ac:dyDescent="0.2">
      <c r="T221" s="54">
        <f t="shared" si="36"/>
        <v>208</v>
      </c>
      <c r="U221" s="54">
        <f>S_normal[[#This Row],[Indeks (base 0)]]+1</f>
        <v>209</v>
      </c>
      <c r="V221" s="99">
        <f t="shared" si="34"/>
        <v>1.8924678464128464</v>
      </c>
      <c r="W221" s="99">
        <f t="shared" si="37"/>
        <v>6.655971208943702E-2</v>
      </c>
      <c r="X221" s="99" t="b">
        <f>S_normal[[#This Row],[X base]]&lt;U$7</f>
        <v>1</v>
      </c>
      <c r="Y221" s="99" t="b">
        <f>S_normal[[#This Row],[X base]]&gt;U$7</f>
        <v>0</v>
      </c>
      <c r="Z221" s="99">
        <f>IF(S_normal[[#This Row],[Mindre end]],S_normal[[#This Row],[Normalfordeling]],NA())</f>
        <v>6.655971208943702E-2</v>
      </c>
      <c r="AA221" s="99" t="e">
        <f>IF(S_normal[[#This Row],[Større end]],S_normal[[#This Row],[Normalfordeling]],NA())</f>
        <v>#N/A</v>
      </c>
      <c r="AB221" s="72" t="str">
        <f>_xlfn.IFNA(IF(S_normal[[#This Row],[Indeks (base 0)]]=ROUND((ROUND(S_normal[[#This Row],[X base]],0)-U$8)/(U$9-U$8)*U$4,0),S_normal[[#This Row],[X base]]*B$6+B$5,""),"")</f>
        <v/>
      </c>
      <c r="AC221" s="99" t="str">
        <f t="shared" si="35"/>
        <v xml:space="preserve"> </v>
      </c>
      <c r="AE221" s="54">
        <f t="shared" si="38"/>
        <v>208</v>
      </c>
      <c r="AF221" s="54">
        <f>S_binomial[[#This Row],[Indeks (base 0)]]+1</f>
        <v>209</v>
      </c>
      <c r="AG221" s="99">
        <f t="shared" si="39"/>
        <v>2</v>
      </c>
      <c r="AH221" s="99">
        <f>IF(MOD(S_binomial[[#This Row],[Indeks (base 0)]],AF$7)=0,NA(),_xlfn.BINOM.DIST(S_binomial[[#This Row],[X base]],E$5,E$6,FALSE))</f>
        <v>4.261871040000002E-3</v>
      </c>
      <c r="AI221" s="99" t="b">
        <f>S_binomial[[#This Row],[X base]]&lt;AF$5</f>
        <v>1</v>
      </c>
      <c r="AJ221" s="99" t="b">
        <f>S_binomial[[#This Row],[X base]]=AF$5</f>
        <v>0</v>
      </c>
      <c r="AK221" s="99" t="b">
        <f>S_binomial[[#This Row],[X base]]&gt;AF$5</f>
        <v>0</v>
      </c>
      <c r="AL221" s="99">
        <f>IF(S_binomial[[#This Row],[Mindre end]],S_binomial[[#This Row],[Binomialfordeling]],NA())</f>
        <v>4.261871040000002E-3</v>
      </c>
      <c r="AM221" s="99" t="e">
        <f>IF(S_binomial[[#This Row],[Lig med]],S_binomial[[#This Row],[Binomialfordeling]],NA())</f>
        <v>#N/A</v>
      </c>
      <c r="AN221" s="99" t="e">
        <f>IF(S_binomial[[#This Row],[Større end]],S_binomial[[#This Row],[Binomialfordeling]],NA())</f>
        <v>#N/A</v>
      </c>
      <c r="AO221" s="85" t="str">
        <f>_xlfn.IFNA(IF(MOD(S_binomial[[#This Row],[Indeks (base 0)]],AF$7)=ROUNDDOWN(AF$7/2,0),S_binomial[[#This Row],[X base]],""),"")</f>
        <v/>
      </c>
      <c r="AP221" s="99" t="str">
        <f t="shared" si="40"/>
        <v xml:space="preserve"> </v>
      </c>
      <c r="AR221" s="54">
        <f t="shared" si="41"/>
        <v>208</v>
      </c>
      <c r="AS221" s="54">
        <f>S_normal27[[#This Row],[Indeks (base 0)]]+1</f>
        <v>209</v>
      </c>
      <c r="AT221" s="54">
        <f t="shared" si="43"/>
        <v>3</v>
      </c>
      <c r="AU221" s="54">
        <f>IF(MOD(S_normal27[[#This Row],[Indeks (base 0)]],AS$8)=0,NA(),_xlfn.POISSON.DIST(S_normal27[[#This Row],[X base]],$H$5,FALSE))</f>
        <v>0.22404180765538778</v>
      </c>
      <c r="AV221" s="99" t="b">
        <f>S_normal27[[#This Row],[X base]]&lt;AS$5</f>
        <v>0</v>
      </c>
      <c r="AW221" s="99" t="b">
        <f>S_normal27[[#This Row],[X base]]=AS$5</f>
        <v>0</v>
      </c>
      <c r="AX221" s="99" t="b">
        <f>S_normal27[[#This Row],[X base]]&gt;AS$5</f>
        <v>1</v>
      </c>
      <c r="AY221" s="99" t="e">
        <f>IF(S_normal27[[#This Row],[Mindre end]],S_normal27[[#This Row],[Poissonfordeling]],NA())</f>
        <v>#N/A</v>
      </c>
      <c r="AZ221" s="99" t="e">
        <f>IF(S_normal27[[#This Row],[Lig med]],S_normal27[[#This Row],[Poissonfordeling]],NA())</f>
        <v>#N/A</v>
      </c>
      <c r="BA221" s="99">
        <f>IF(S_normal27[[#This Row],[Større end]],S_normal27[[#This Row],[Poissonfordeling]],NA())</f>
        <v>0.22404180765538778</v>
      </c>
      <c r="BB221" s="85" t="str">
        <f>_xlfn.IFNA(IF(MOD(S_normal27[[#This Row],[Indeks (base 0)]],AS$8)=ROUNDDOWN(AS$8/2,0),S_normal27[[#This Row],[X base]],""),"")</f>
        <v/>
      </c>
      <c r="BC221" s="99" t="str">
        <f t="shared" si="42"/>
        <v xml:space="preserve"> </v>
      </c>
    </row>
    <row r="222" spans="20:55" x14ac:dyDescent="0.2">
      <c r="T222" s="54">
        <f t="shared" si="36"/>
        <v>209</v>
      </c>
      <c r="U222" s="54">
        <f>S_normal[[#This Row],[Indeks (base 0)]]+1</f>
        <v>210</v>
      </c>
      <c r="V222" s="99">
        <f t="shared" si="34"/>
        <v>1.9164231356079462</v>
      </c>
      <c r="W222" s="99">
        <f t="shared" si="37"/>
        <v>6.3591380118377214E-2</v>
      </c>
      <c r="X222" s="99" t="b">
        <f>S_normal[[#This Row],[X base]]&lt;U$7</f>
        <v>1</v>
      </c>
      <c r="Y222" s="99" t="b">
        <f>S_normal[[#This Row],[X base]]&gt;U$7</f>
        <v>0</v>
      </c>
      <c r="Z222" s="99">
        <f>IF(S_normal[[#This Row],[Mindre end]],S_normal[[#This Row],[Normalfordeling]],NA())</f>
        <v>6.3591380118377214E-2</v>
      </c>
      <c r="AA222" s="99" t="e">
        <f>IF(S_normal[[#This Row],[Større end]],S_normal[[#This Row],[Normalfordeling]],NA())</f>
        <v>#N/A</v>
      </c>
      <c r="AB222" s="72" t="str">
        <f>_xlfn.IFNA(IF(S_normal[[#This Row],[Indeks (base 0)]]=ROUND((ROUND(S_normal[[#This Row],[X base]],0)-U$8)/(U$9-U$8)*U$4,0),S_normal[[#This Row],[X base]]*B$6+B$5,""),"")</f>
        <v/>
      </c>
      <c r="AC222" s="99" t="str">
        <f t="shared" si="35"/>
        <v xml:space="preserve"> </v>
      </c>
      <c r="AE222" s="54">
        <f t="shared" si="38"/>
        <v>209</v>
      </c>
      <c r="AF222" s="54">
        <f>S_binomial[[#This Row],[Indeks (base 0)]]+1</f>
        <v>210</v>
      </c>
      <c r="AG222" s="99">
        <f t="shared" si="39"/>
        <v>2</v>
      </c>
      <c r="AH222" s="99">
        <f>IF(MOD(S_binomial[[#This Row],[Indeks (base 0)]],AF$7)=0,NA(),_xlfn.BINOM.DIST(S_binomial[[#This Row],[X base]],E$5,E$6,FALSE))</f>
        <v>4.261871040000002E-3</v>
      </c>
      <c r="AI222" s="99" t="b">
        <f>S_binomial[[#This Row],[X base]]&lt;AF$5</f>
        <v>1</v>
      </c>
      <c r="AJ222" s="99" t="b">
        <f>S_binomial[[#This Row],[X base]]=AF$5</f>
        <v>0</v>
      </c>
      <c r="AK222" s="99" t="b">
        <f>S_binomial[[#This Row],[X base]]&gt;AF$5</f>
        <v>0</v>
      </c>
      <c r="AL222" s="99">
        <f>IF(S_binomial[[#This Row],[Mindre end]],S_binomial[[#This Row],[Binomialfordeling]],NA())</f>
        <v>4.261871040000002E-3</v>
      </c>
      <c r="AM222" s="99" t="e">
        <f>IF(S_binomial[[#This Row],[Lig med]],S_binomial[[#This Row],[Binomialfordeling]],NA())</f>
        <v>#N/A</v>
      </c>
      <c r="AN222" s="99" t="e">
        <f>IF(S_binomial[[#This Row],[Større end]],S_binomial[[#This Row],[Binomialfordeling]],NA())</f>
        <v>#N/A</v>
      </c>
      <c r="AO222" s="85" t="str">
        <f>_xlfn.IFNA(IF(MOD(S_binomial[[#This Row],[Indeks (base 0)]],AF$7)=ROUNDDOWN(AF$7/2,0),S_binomial[[#This Row],[X base]],""),"")</f>
        <v/>
      </c>
      <c r="AP222" s="99" t="str">
        <f t="shared" si="40"/>
        <v xml:space="preserve"> </v>
      </c>
      <c r="AR222" s="54">
        <f t="shared" si="41"/>
        <v>209</v>
      </c>
      <c r="AS222" s="54">
        <f>S_normal27[[#This Row],[Indeks (base 0)]]+1</f>
        <v>210</v>
      </c>
      <c r="AT222" s="54">
        <f t="shared" si="43"/>
        <v>3</v>
      </c>
      <c r="AU222" s="54">
        <f>IF(MOD(S_normal27[[#This Row],[Indeks (base 0)]],AS$8)=0,NA(),_xlfn.POISSON.DIST(S_normal27[[#This Row],[X base]],$H$5,FALSE))</f>
        <v>0.22404180765538778</v>
      </c>
      <c r="AV222" s="99" t="b">
        <f>S_normal27[[#This Row],[X base]]&lt;AS$5</f>
        <v>0</v>
      </c>
      <c r="AW222" s="99" t="b">
        <f>S_normal27[[#This Row],[X base]]=AS$5</f>
        <v>0</v>
      </c>
      <c r="AX222" s="99" t="b">
        <f>S_normal27[[#This Row],[X base]]&gt;AS$5</f>
        <v>1</v>
      </c>
      <c r="AY222" s="99" t="e">
        <f>IF(S_normal27[[#This Row],[Mindre end]],S_normal27[[#This Row],[Poissonfordeling]],NA())</f>
        <v>#N/A</v>
      </c>
      <c r="AZ222" s="99" t="e">
        <f>IF(S_normal27[[#This Row],[Lig med]],S_normal27[[#This Row],[Poissonfordeling]],NA())</f>
        <v>#N/A</v>
      </c>
      <c r="BA222" s="99">
        <f>IF(S_normal27[[#This Row],[Større end]],S_normal27[[#This Row],[Poissonfordeling]],NA())</f>
        <v>0.22404180765538778</v>
      </c>
      <c r="BB222" s="85" t="str">
        <f>_xlfn.IFNA(IF(MOD(S_normal27[[#This Row],[Indeks (base 0)]],AS$8)=ROUNDDOWN(AS$8/2,0),S_normal27[[#This Row],[X base]],""),"")</f>
        <v/>
      </c>
      <c r="BC222" s="99" t="str">
        <f t="shared" si="42"/>
        <v xml:space="preserve"> </v>
      </c>
    </row>
    <row r="223" spans="20:55" x14ac:dyDescent="0.2">
      <c r="T223" s="54">
        <f t="shared" si="36"/>
        <v>210</v>
      </c>
      <c r="U223" s="54">
        <f>S_normal[[#This Row],[Indeks (base 0)]]+1</f>
        <v>211</v>
      </c>
      <c r="V223" s="99">
        <f t="shared" si="34"/>
        <v>1.9403784248030451</v>
      </c>
      <c r="W223" s="99">
        <f t="shared" si="37"/>
        <v>6.0720570586669929E-2</v>
      </c>
      <c r="X223" s="99" t="b">
        <f>S_normal[[#This Row],[X base]]&lt;U$7</f>
        <v>1</v>
      </c>
      <c r="Y223" s="99" t="b">
        <f>S_normal[[#This Row],[X base]]&gt;U$7</f>
        <v>0</v>
      </c>
      <c r="Z223" s="99">
        <f>IF(S_normal[[#This Row],[Mindre end]],S_normal[[#This Row],[Normalfordeling]],NA())</f>
        <v>6.0720570586669929E-2</v>
      </c>
      <c r="AA223" s="99" t="e">
        <f>IF(S_normal[[#This Row],[Større end]],S_normal[[#This Row],[Normalfordeling]],NA())</f>
        <v>#N/A</v>
      </c>
      <c r="AB223" s="72" t="str">
        <f>_xlfn.IFNA(IF(S_normal[[#This Row],[Indeks (base 0)]]=ROUND((ROUND(S_normal[[#This Row],[X base]],0)-U$8)/(U$9-U$8)*U$4,0),S_normal[[#This Row],[X base]]*B$6+B$5,""),"")</f>
        <v/>
      </c>
      <c r="AC223" s="99" t="str">
        <f t="shared" si="35"/>
        <v xml:space="preserve"> </v>
      </c>
      <c r="AE223" s="54">
        <f t="shared" si="38"/>
        <v>210</v>
      </c>
      <c r="AF223" s="54">
        <f>S_binomial[[#This Row],[Indeks (base 0)]]+1</f>
        <v>211</v>
      </c>
      <c r="AG223" s="99">
        <f t="shared" si="39"/>
        <v>2</v>
      </c>
      <c r="AH223" s="99">
        <f>IF(MOD(S_binomial[[#This Row],[Indeks (base 0)]],AF$7)=0,NA(),_xlfn.BINOM.DIST(S_binomial[[#This Row],[X base]],E$5,E$6,FALSE))</f>
        <v>4.261871040000002E-3</v>
      </c>
      <c r="AI223" s="99" t="b">
        <f>S_binomial[[#This Row],[X base]]&lt;AF$5</f>
        <v>1</v>
      </c>
      <c r="AJ223" s="99" t="b">
        <f>S_binomial[[#This Row],[X base]]=AF$5</f>
        <v>0</v>
      </c>
      <c r="AK223" s="99" t="b">
        <f>S_binomial[[#This Row],[X base]]&gt;AF$5</f>
        <v>0</v>
      </c>
      <c r="AL223" s="99">
        <f>IF(S_binomial[[#This Row],[Mindre end]],S_binomial[[#This Row],[Binomialfordeling]],NA())</f>
        <v>4.261871040000002E-3</v>
      </c>
      <c r="AM223" s="99" t="e">
        <f>IF(S_binomial[[#This Row],[Lig med]],S_binomial[[#This Row],[Binomialfordeling]],NA())</f>
        <v>#N/A</v>
      </c>
      <c r="AN223" s="99" t="e">
        <f>IF(S_binomial[[#This Row],[Større end]],S_binomial[[#This Row],[Binomialfordeling]],NA())</f>
        <v>#N/A</v>
      </c>
      <c r="AO223" s="85" t="str">
        <f>_xlfn.IFNA(IF(MOD(S_binomial[[#This Row],[Indeks (base 0)]],AF$7)=ROUNDDOWN(AF$7/2,0),S_binomial[[#This Row],[X base]],""),"")</f>
        <v/>
      </c>
      <c r="AP223" s="99" t="str">
        <f t="shared" si="40"/>
        <v xml:space="preserve"> </v>
      </c>
      <c r="AR223" s="54">
        <f t="shared" si="41"/>
        <v>210</v>
      </c>
      <c r="AS223" s="54">
        <f>S_normal27[[#This Row],[Indeks (base 0)]]+1</f>
        <v>211</v>
      </c>
      <c r="AT223" s="54">
        <f t="shared" si="43"/>
        <v>3</v>
      </c>
      <c r="AU223" s="54">
        <f>IF(MOD(S_normal27[[#This Row],[Indeks (base 0)]],AS$8)=0,NA(),_xlfn.POISSON.DIST(S_normal27[[#This Row],[X base]],$H$5,FALSE))</f>
        <v>0.22404180765538778</v>
      </c>
      <c r="AV223" s="99" t="b">
        <f>S_normal27[[#This Row],[X base]]&lt;AS$5</f>
        <v>0</v>
      </c>
      <c r="AW223" s="99" t="b">
        <f>S_normal27[[#This Row],[X base]]=AS$5</f>
        <v>0</v>
      </c>
      <c r="AX223" s="99" t="b">
        <f>S_normal27[[#This Row],[X base]]&gt;AS$5</f>
        <v>1</v>
      </c>
      <c r="AY223" s="99" t="e">
        <f>IF(S_normal27[[#This Row],[Mindre end]],S_normal27[[#This Row],[Poissonfordeling]],NA())</f>
        <v>#N/A</v>
      </c>
      <c r="AZ223" s="99" t="e">
        <f>IF(S_normal27[[#This Row],[Lig med]],S_normal27[[#This Row],[Poissonfordeling]],NA())</f>
        <v>#N/A</v>
      </c>
      <c r="BA223" s="99">
        <f>IF(S_normal27[[#This Row],[Større end]],S_normal27[[#This Row],[Poissonfordeling]],NA())</f>
        <v>0.22404180765538778</v>
      </c>
      <c r="BB223" s="85" t="str">
        <f>_xlfn.IFNA(IF(MOD(S_normal27[[#This Row],[Indeks (base 0)]],AS$8)=ROUNDDOWN(AS$8/2,0),S_normal27[[#This Row],[X base]],""),"")</f>
        <v/>
      </c>
      <c r="BC223" s="99" t="str">
        <f t="shared" si="42"/>
        <v xml:space="preserve"> </v>
      </c>
    </row>
    <row r="224" spans="20:55" x14ac:dyDescent="0.2">
      <c r="T224" s="54">
        <f t="shared" si="36"/>
        <v>211</v>
      </c>
      <c r="U224" s="54">
        <f>S_normal[[#This Row],[Indeks (base 0)]]+1</f>
        <v>212</v>
      </c>
      <c r="V224" s="99">
        <f t="shared" si="34"/>
        <v>1.9643337139981449</v>
      </c>
      <c r="W224" s="99">
        <f t="shared" si="37"/>
        <v>5.7946100444885101E-2</v>
      </c>
      <c r="X224" s="99" t="b">
        <f>S_normal[[#This Row],[X base]]&lt;U$7</f>
        <v>1</v>
      </c>
      <c r="Y224" s="99" t="b">
        <f>S_normal[[#This Row],[X base]]&gt;U$7</f>
        <v>0</v>
      </c>
      <c r="Z224" s="99">
        <f>IF(S_normal[[#This Row],[Mindre end]],S_normal[[#This Row],[Normalfordeling]],NA())</f>
        <v>5.7946100444885101E-2</v>
      </c>
      <c r="AA224" s="99" t="e">
        <f>IF(S_normal[[#This Row],[Større end]],S_normal[[#This Row],[Normalfordeling]],NA())</f>
        <v>#N/A</v>
      </c>
      <c r="AB224" s="72" t="str">
        <f>_xlfn.IFNA(IF(S_normal[[#This Row],[Indeks (base 0)]]=ROUND((ROUND(S_normal[[#This Row],[X base]],0)-U$8)/(U$9-U$8)*U$4,0),S_normal[[#This Row],[X base]]*B$6+B$5,""),"")</f>
        <v/>
      </c>
      <c r="AC224" s="99" t="str">
        <f t="shared" si="35"/>
        <v xml:space="preserve"> </v>
      </c>
      <c r="AE224" s="54">
        <f t="shared" si="38"/>
        <v>211</v>
      </c>
      <c r="AF224" s="54">
        <f>S_binomial[[#This Row],[Indeks (base 0)]]+1</f>
        <v>212</v>
      </c>
      <c r="AG224" s="99">
        <f t="shared" si="39"/>
        <v>2</v>
      </c>
      <c r="AH224" s="99">
        <f>IF(MOD(S_binomial[[#This Row],[Indeks (base 0)]],AF$7)=0,NA(),_xlfn.BINOM.DIST(S_binomial[[#This Row],[X base]],E$5,E$6,FALSE))</f>
        <v>4.261871040000002E-3</v>
      </c>
      <c r="AI224" s="99" t="b">
        <f>S_binomial[[#This Row],[X base]]&lt;AF$5</f>
        <v>1</v>
      </c>
      <c r="AJ224" s="99" t="b">
        <f>S_binomial[[#This Row],[X base]]=AF$5</f>
        <v>0</v>
      </c>
      <c r="AK224" s="99" t="b">
        <f>S_binomial[[#This Row],[X base]]&gt;AF$5</f>
        <v>0</v>
      </c>
      <c r="AL224" s="99">
        <f>IF(S_binomial[[#This Row],[Mindre end]],S_binomial[[#This Row],[Binomialfordeling]],NA())</f>
        <v>4.261871040000002E-3</v>
      </c>
      <c r="AM224" s="99" t="e">
        <f>IF(S_binomial[[#This Row],[Lig med]],S_binomial[[#This Row],[Binomialfordeling]],NA())</f>
        <v>#N/A</v>
      </c>
      <c r="AN224" s="99" t="e">
        <f>IF(S_binomial[[#This Row],[Større end]],S_binomial[[#This Row],[Binomialfordeling]],NA())</f>
        <v>#N/A</v>
      </c>
      <c r="AO224" s="85" t="str">
        <f>_xlfn.IFNA(IF(MOD(S_binomial[[#This Row],[Indeks (base 0)]],AF$7)=ROUNDDOWN(AF$7/2,0),S_binomial[[#This Row],[X base]],""),"")</f>
        <v/>
      </c>
      <c r="AP224" s="99" t="str">
        <f t="shared" si="40"/>
        <v xml:space="preserve"> </v>
      </c>
      <c r="AR224" s="54">
        <f t="shared" si="41"/>
        <v>211</v>
      </c>
      <c r="AS224" s="54">
        <f>S_normal27[[#This Row],[Indeks (base 0)]]+1</f>
        <v>212</v>
      </c>
      <c r="AT224" s="54">
        <f t="shared" si="43"/>
        <v>3</v>
      </c>
      <c r="AU224" s="54">
        <f>IF(MOD(S_normal27[[#This Row],[Indeks (base 0)]],AS$8)=0,NA(),_xlfn.POISSON.DIST(S_normal27[[#This Row],[X base]],$H$5,FALSE))</f>
        <v>0.22404180765538778</v>
      </c>
      <c r="AV224" s="99" t="b">
        <f>S_normal27[[#This Row],[X base]]&lt;AS$5</f>
        <v>0</v>
      </c>
      <c r="AW224" s="99" t="b">
        <f>S_normal27[[#This Row],[X base]]=AS$5</f>
        <v>0</v>
      </c>
      <c r="AX224" s="99" t="b">
        <f>S_normal27[[#This Row],[X base]]&gt;AS$5</f>
        <v>1</v>
      </c>
      <c r="AY224" s="99" t="e">
        <f>IF(S_normal27[[#This Row],[Mindre end]],S_normal27[[#This Row],[Poissonfordeling]],NA())</f>
        <v>#N/A</v>
      </c>
      <c r="AZ224" s="99" t="e">
        <f>IF(S_normal27[[#This Row],[Lig med]],S_normal27[[#This Row],[Poissonfordeling]],NA())</f>
        <v>#N/A</v>
      </c>
      <c r="BA224" s="99">
        <f>IF(S_normal27[[#This Row],[Større end]],S_normal27[[#This Row],[Poissonfordeling]],NA())</f>
        <v>0.22404180765538778</v>
      </c>
      <c r="BB224" s="85" t="str">
        <f>_xlfn.IFNA(IF(MOD(S_normal27[[#This Row],[Indeks (base 0)]],AS$8)=ROUNDDOWN(AS$8/2,0),S_normal27[[#This Row],[X base]],""),"")</f>
        <v/>
      </c>
      <c r="BC224" s="99" t="str">
        <f t="shared" si="42"/>
        <v xml:space="preserve"> </v>
      </c>
    </row>
    <row r="225" spans="20:55" x14ac:dyDescent="0.2">
      <c r="T225" s="54">
        <f t="shared" si="36"/>
        <v>212</v>
      </c>
      <c r="U225" s="54">
        <f>S_normal[[#This Row],[Indeks (base 0)]]+1</f>
        <v>213</v>
      </c>
      <c r="V225" s="99">
        <f t="shared" si="34"/>
        <v>1.9882890031932439</v>
      </c>
      <c r="W225" s="99">
        <f t="shared" si="37"/>
        <v>5.5266678363017178E-2</v>
      </c>
      <c r="X225" s="99" t="b">
        <f>S_normal[[#This Row],[X base]]&lt;U$7</f>
        <v>1</v>
      </c>
      <c r="Y225" s="99" t="b">
        <f>S_normal[[#This Row],[X base]]&gt;U$7</f>
        <v>0</v>
      </c>
      <c r="Z225" s="99">
        <f>IF(S_normal[[#This Row],[Mindre end]],S_normal[[#This Row],[Normalfordeling]],NA())</f>
        <v>5.5266678363017178E-2</v>
      </c>
      <c r="AA225" s="99" t="e">
        <f>IF(S_normal[[#This Row],[Større end]],S_normal[[#This Row],[Normalfordeling]],NA())</f>
        <v>#N/A</v>
      </c>
      <c r="AB225" s="72">
        <f>_xlfn.IFNA(IF(S_normal[[#This Row],[Indeks (base 0)]]=ROUND((ROUND(S_normal[[#This Row],[X base]],0)-U$8)/(U$9-U$8)*U$4,0),S_normal[[#This Row],[X base]]*B$6+B$5,""),"")</f>
        <v>27.953156012772975</v>
      </c>
      <c r="AC225" s="99" t="str">
        <f t="shared" si="35"/>
        <v xml:space="preserve"> </v>
      </c>
      <c r="AE225" s="54">
        <f t="shared" si="38"/>
        <v>212</v>
      </c>
      <c r="AF225" s="54">
        <f>S_binomial[[#This Row],[Indeks (base 0)]]+1</f>
        <v>213</v>
      </c>
      <c r="AG225" s="99">
        <f t="shared" si="39"/>
        <v>2</v>
      </c>
      <c r="AH225" s="99">
        <f>IF(MOD(S_binomial[[#This Row],[Indeks (base 0)]],AF$7)=0,NA(),_xlfn.BINOM.DIST(S_binomial[[#This Row],[X base]],E$5,E$6,FALSE))</f>
        <v>4.261871040000002E-3</v>
      </c>
      <c r="AI225" s="99" t="b">
        <f>S_binomial[[#This Row],[X base]]&lt;AF$5</f>
        <v>1</v>
      </c>
      <c r="AJ225" s="99" t="b">
        <f>S_binomial[[#This Row],[X base]]=AF$5</f>
        <v>0</v>
      </c>
      <c r="AK225" s="99" t="b">
        <f>S_binomial[[#This Row],[X base]]&gt;AF$5</f>
        <v>0</v>
      </c>
      <c r="AL225" s="99">
        <f>IF(S_binomial[[#This Row],[Mindre end]],S_binomial[[#This Row],[Binomialfordeling]],NA())</f>
        <v>4.261871040000002E-3</v>
      </c>
      <c r="AM225" s="99" t="e">
        <f>IF(S_binomial[[#This Row],[Lig med]],S_binomial[[#This Row],[Binomialfordeling]],NA())</f>
        <v>#N/A</v>
      </c>
      <c r="AN225" s="99" t="e">
        <f>IF(S_binomial[[#This Row],[Større end]],S_binomial[[#This Row],[Binomialfordeling]],NA())</f>
        <v>#N/A</v>
      </c>
      <c r="AO225" s="85" t="str">
        <f>_xlfn.IFNA(IF(MOD(S_binomial[[#This Row],[Indeks (base 0)]],AF$7)=ROUNDDOWN(AF$7/2,0),S_binomial[[#This Row],[X base]],""),"")</f>
        <v/>
      </c>
      <c r="AP225" s="99" t="str">
        <f t="shared" si="40"/>
        <v xml:space="preserve"> </v>
      </c>
      <c r="AR225" s="54">
        <f t="shared" si="41"/>
        <v>212</v>
      </c>
      <c r="AS225" s="54">
        <f>S_normal27[[#This Row],[Indeks (base 0)]]+1</f>
        <v>213</v>
      </c>
      <c r="AT225" s="54">
        <f t="shared" si="43"/>
        <v>3</v>
      </c>
      <c r="AU225" s="54">
        <f>IF(MOD(S_normal27[[#This Row],[Indeks (base 0)]],AS$8)=0,NA(),_xlfn.POISSON.DIST(S_normal27[[#This Row],[X base]],$H$5,FALSE))</f>
        <v>0.22404180765538778</v>
      </c>
      <c r="AV225" s="99" t="b">
        <f>S_normal27[[#This Row],[X base]]&lt;AS$5</f>
        <v>0</v>
      </c>
      <c r="AW225" s="99" t="b">
        <f>S_normal27[[#This Row],[X base]]=AS$5</f>
        <v>0</v>
      </c>
      <c r="AX225" s="99" t="b">
        <f>S_normal27[[#This Row],[X base]]&gt;AS$5</f>
        <v>1</v>
      </c>
      <c r="AY225" s="99" t="e">
        <f>IF(S_normal27[[#This Row],[Mindre end]],S_normal27[[#This Row],[Poissonfordeling]],NA())</f>
        <v>#N/A</v>
      </c>
      <c r="AZ225" s="99" t="e">
        <f>IF(S_normal27[[#This Row],[Lig med]],S_normal27[[#This Row],[Poissonfordeling]],NA())</f>
        <v>#N/A</v>
      </c>
      <c r="BA225" s="99">
        <f>IF(S_normal27[[#This Row],[Større end]],S_normal27[[#This Row],[Poissonfordeling]],NA())</f>
        <v>0.22404180765538778</v>
      </c>
      <c r="BB225" s="85" t="str">
        <f>_xlfn.IFNA(IF(MOD(S_normal27[[#This Row],[Indeks (base 0)]],AS$8)=ROUNDDOWN(AS$8/2,0),S_normal27[[#This Row],[X base]],""),"")</f>
        <v/>
      </c>
      <c r="BC225" s="99" t="str">
        <f t="shared" si="42"/>
        <v xml:space="preserve"> </v>
      </c>
    </row>
    <row r="226" spans="20:55" x14ac:dyDescent="0.2">
      <c r="T226" s="54">
        <f t="shared" si="36"/>
        <v>213</v>
      </c>
      <c r="U226" s="54">
        <f>S_normal[[#This Row],[Indeks (base 0)]]+1</f>
        <v>214</v>
      </c>
      <c r="V226" s="99">
        <f t="shared" si="34"/>
        <v>2.0122442923883437</v>
      </c>
      <c r="W226" s="99">
        <f t="shared" si="37"/>
        <v>5.2680912571830774E-2</v>
      </c>
      <c r="X226" s="99" t="b">
        <f>S_normal[[#This Row],[X base]]&lt;U$7</f>
        <v>1</v>
      </c>
      <c r="Y226" s="99" t="b">
        <f>S_normal[[#This Row],[X base]]&gt;U$7</f>
        <v>0</v>
      </c>
      <c r="Z226" s="99">
        <f>IF(S_normal[[#This Row],[Mindre end]],S_normal[[#This Row],[Normalfordeling]],NA())</f>
        <v>5.2680912571830774E-2</v>
      </c>
      <c r="AA226" s="99" t="e">
        <f>IF(S_normal[[#This Row],[Større end]],S_normal[[#This Row],[Normalfordeling]],NA())</f>
        <v>#N/A</v>
      </c>
      <c r="AB226" s="72" t="str">
        <f>_xlfn.IFNA(IF(S_normal[[#This Row],[Indeks (base 0)]]=ROUND((ROUND(S_normal[[#This Row],[X base]],0)-U$8)/(U$9-U$8)*U$4,0),S_normal[[#This Row],[X base]]*B$6+B$5,""),"")</f>
        <v/>
      </c>
      <c r="AC226" s="99" t="str">
        <f t="shared" si="35"/>
        <v xml:space="preserve"> </v>
      </c>
      <c r="AE226" s="54">
        <f t="shared" si="38"/>
        <v>213</v>
      </c>
      <c r="AF226" s="54">
        <f>S_binomial[[#This Row],[Indeks (base 0)]]+1</f>
        <v>214</v>
      </c>
      <c r="AG226" s="99">
        <f t="shared" si="39"/>
        <v>2</v>
      </c>
      <c r="AH226" s="99">
        <f>IF(MOD(S_binomial[[#This Row],[Indeks (base 0)]],AF$7)=0,NA(),_xlfn.BINOM.DIST(S_binomial[[#This Row],[X base]],E$5,E$6,FALSE))</f>
        <v>4.261871040000002E-3</v>
      </c>
      <c r="AI226" s="99" t="b">
        <f>S_binomial[[#This Row],[X base]]&lt;AF$5</f>
        <v>1</v>
      </c>
      <c r="AJ226" s="99" t="b">
        <f>S_binomial[[#This Row],[X base]]=AF$5</f>
        <v>0</v>
      </c>
      <c r="AK226" s="99" t="b">
        <f>S_binomial[[#This Row],[X base]]&gt;AF$5</f>
        <v>0</v>
      </c>
      <c r="AL226" s="99">
        <f>IF(S_binomial[[#This Row],[Mindre end]],S_binomial[[#This Row],[Binomialfordeling]],NA())</f>
        <v>4.261871040000002E-3</v>
      </c>
      <c r="AM226" s="99" t="e">
        <f>IF(S_binomial[[#This Row],[Lig med]],S_binomial[[#This Row],[Binomialfordeling]],NA())</f>
        <v>#N/A</v>
      </c>
      <c r="AN226" s="99" t="e">
        <f>IF(S_binomial[[#This Row],[Større end]],S_binomial[[#This Row],[Binomialfordeling]],NA())</f>
        <v>#N/A</v>
      </c>
      <c r="AO226" s="85" t="str">
        <f>_xlfn.IFNA(IF(MOD(S_binomial[[#This Row],[Indeks (base 0)]],AF$7)=ROUNDDOWN(AF$7/2,0),S_binomial[[#This Row],[X base]],""),"")</f>
        <v/>
      </c>
      <c r="AP226" s="99" t="str">
        <f t="shared" si="40"/>
        <v xml:space="preserve"> </v>
      </c>
      <c r="AR226" s="54">
        <f t="shared" si="41"/>
        <v>213</v>
      </c>
      <c r="AS226" s="54">
        <f>S_normal27[[#This Row],[Indeks (base 0)]]+1</f>
        <v>214</v>
      </c>
      <c r="AT226" s="54">
        <f t="shared" si="43"/>
        <v>3</v>
      </c>
      <c r="AU226" s="54">
        <f>IF(MOD(S_normal27[[#This Row],[Indeks (base 0)]],AS$8)=0,NA(),_xlfn.POISSON.DIST(S_normal27[[#This Row],[X base]],$H$5,FALSE))</f>
        <v>0.22404180765538778</v>
      </c>
      <c r="AV226" s="99" t="b">
        <f>S_normal27[[#This Row],[X base]]&lt;AS$5</f>
        <v>0</v>
      </c>
      <c r="AW226" s="99" t="b">
        <f>S_normal27[[#This Row],[X base]]=AS$5</f>
        <v>0</v>
      </c>
      <c r="AX226" s="99" t="b">
        <f>S_normal27[[#This Row],[X base]]&gt;AS$5</f>
        <v>1</v>
      </c>
      <c r="AY226" s="99" t="e">
        <f>IF(S_normal27[[#This Row],[Mindre end]],S_normal27[[#This Row],[Poissonfordeling]],NA())</f>
        <v>#N/A</v>
      </c>
      <c r="AZ226" s="99" t="e">
        <f>IF(S_normal27[[#This Row],[Lig med]],S_normal27[[#This Row],[Poissonfordeling]],NA())</f>
        <v>#N/A</v>
      </c>
      <c r="BA226" s="99">
        <f>IF(S_normal27[[#This Row],[Større end]],S_normal27[[#This Row],[Poissonfordeling]],NA())</f>
        <v>0.22404180765538778</v>
      </c>
      <c r="BB226" s="85" t="str">
        <f>_xlfn.IFNA(IF(MOD(S_normal27[[#This Row],[Indeks (base 0)]],AS$8)=ROUNDDOWN(AS$8/2,0),S_normal27[[#This Row],[X base]],""),"")</f>
        <v/>
      </c>
      <c r="BC226" s="99" t="str">
        <f t="shared" si="42"/>
        <v xml:space="preserve"> </v>
      </c>
    </row>
    <row r="227" spans="20:55" x14ac:dyDescent="0.2">
      <c r="T227" s="54">
        <f t="shared" si="36"/>
        <v>214</v>
      </c>
      <c r="U227" s="54">
        <f>S_normal[[#This Row],[Indeks (base 0)]]+1</f>
        <v>215</v>
      </c>
      <c r="V227" s="99">
        <f t="shared" si="34"/>
        <v>2.0361995815834426</v>
      </c>
      <c r="W227" s="99">
        <f t="shared" si="37"/>
        <v>5.0187318625221689E-2</v>
      </c>
      <c r="X227" s="99" t="b">
        <f>S_normal[[#This Row],[X base]]&lt;U$7</f>
        <v>1</v>
      </c>
      <c r="Y227" s="99" t="b">
        <f>S_normal[[#This Row],[X base]]&gt;U$7</f>
        <v>0</v>
      </c>
      <c r="Z227" s="99">
        <f>IF(S_normal[[#This Row],[Mindre end]],S_normal[[#This Row],[Normalfordeling]],NA())</f>
        <v>5.0187318625221689E-2</v>
      </c>
      <c r="AA227" s="99" t="e">
        <f>IF(S_normal[[#This Row],[Større end]],S_normal[[#This Row],[Normalfordeling]],NA())</f>
        <v>#N/A</v>
      </c>
      <c r="AB227" s="72" t="str">
        <f>_xlfn.IFNA(IF(S_normal[[#This Row],[Indeks (base 0)]]=ROUND((ROUND(S_normal[[#This Row],[X base]],0)-U$8)/(U$9-U$8)*U$4,0),S_normal[[#This Row],[X base]]*B$6+B$5,""),"")</f>
        <v/>
      </c>
      <c r="AC227" s="99" t="str">
        <f t="shared" si="35"/>
        <v xml:space="preserve"> </v>
      </c>
      <c r="AE227" s="54">
        <f t="shared" si="38"/>
        <v>214</v>
      </c>
      <c r="AF227" s="54">
        <f>S_binomial[[#This Row],[Indeks (base 0)]]+1</f>
        <v>215</v>
      </c>
      <c r="AG227" s="99">
        <f t="shared" si="39"/>
        <v>2</v>
      </c>
      <c r="AH227" s="99">
        <f>IF(MOD(S_binomial[[#This Row],[Indeks (base 0)]],AF$7)=0,NA(),_xlfn.BINOM.DIST(S_binomial[[#This Row],[X base]],E$5,E$6,FALSE))</f>
        <v>4.261871040000002E-3</v>
      </c>
      <c r="AI227" s="99" t="b">
        <f>S_binomial[[#This Row],[X base]]&lt;AF$5</f>
        <v>1</v>
      </c>
      <c r="AJ227" s="99" t="b">
        <f>S_binomial[[#This Row],[X base]]=AF$5</f>
        <v>0</v>
      </c>
      <c r="AK227" s="99" t="b">
        <f>S_binomial[[#This Row],[X base]]&gt;AF$5</f>
        <v>0</v>
      </c>
      <c r="AL227" s="99">
        <f>IF(S_binomial[[#This Row],[Mindre end]],S_binomial[[#This Row],[Binomialfordeling]],NA())</f>
        <v>4.261871040000002E-3</v>
      </c>
      <c r="AM227" s="99" t="e">
        <f>IF(S_binomial[[#This Row],[Lig med]],S_binomial[[#This Row],[Binomialfordeling]],NA())</f>
        <v>#N/A</v>
      </c>
      <c r="AN227" s="99" t="e">
        <f>IF(S_binomial[[#This Row],[Større end]],S_binomial[[#This Row],[Binomialfordeling]],NA())</f>
        <v>#N/A</v>
      </c>
      <c r="AO227" s="85" t="str">
        <f>_xlfn.IFNA(IF(MOD(S_binomial[[#This Row],[Indeks (base 0)]],AF$7)=ROUNDDOWN(AF$7/2,0),S_binomial[[#This Row],[X base]],""),"")</f>
        <v/>
      </c>
      <c r="AP227" s="99" t="str">
        <f t="shared" si="40"/>
        <v xml:space="preserve"> </v>
      </c>
      <c r="AR227" s="54">
        <f t="shared" si="41"/>
        <v>214</v>
      </c>
      <c r="AS227" s="54">
        <f>S_normal27[[#This Row],[Indeks (base 0)]]+1</f>
        <v>215</v>
      </c>
      <c r="AT227" s="54">
        <f t="shared" si="43"/>
        <v>3</v>
      </c>
      <c r="AU227" s="54">
        <f>IF(MOD(S_normal27[[#This Row],[Indeks (base 0)]],AS$8)=0,NA(),_xlfn.POISSON.DIST(S_normal27[[#This Row],[X base]],$H$5,FALSE))</f>
        <v>0.22404180765538778</v>
      </c>
      <c r="AV227" s="99" t="b">
        <f>S_normal27[[#This Row],[X base]]&lt;AS$5</f>
        <v>0</v>
      </c>
      <c r="AW227" s="99" t="b">
        <f>S_normal27[[#This Row],[X base]]=AS$5</f>
        <v>0</v>
      </c>
      <c r="AX227" s="99" t="b">
        <f>S_normal27[[#This Row],[X base]]&gt;AS$5</f>
        <v>1</v>
      </c>
      <c r="AY227" s="99" t="e">
        <f>IF(S_normal27[[#This Row],[Mindre end]],S_normal27[[#This Row],[Poissonfordeling]],NA())</f>
        <v>#N/A</v>
      </c>
      <c r="AZ227" s="99" t="e">
        <f>IF(S_normal27[[#This Row],[Lig med]],S_normal27[[#This Row],[Poissonfordeling]],NA())</f>
        <v>#N/A</v>
      </c>
      <c r="BA227" s="99">
        <f>IF(S_normal27[[#This Row],[Større end]],S_normal27[[#This Row],[Poissonfordeling]],NA())</f>
        <v>0.22404180765538778</v>
      </c>
      <c r="BB227" s="85" t="str">
        <f>_xlfn.IFNA(IF(MOD(S_normal27[[#This Row],[Indeks (base 0)]],AS$8)=ROUNDDOWN(AS$8/2,0),S_normal27[[#This Row],[X base]],""),"")</f>
        <v/>
      </c>
      <c r="BC227" s="99" t="str">
        <f t="shared" si="42"/>
        <v xml:space="preserve"> </v>
      </c>
    </row>
    <row r="228" spans="20:55" x14ac:dyDescent="0.2">
      <c r="T228" s="54">
        <f t="shared" si="36"/>
        <v>215</v>
      </c>
      <c r="U228" s="54">
        <f>S_normal[[#This Row],[Indeks (base 0)]]+1</f>
        <v>216</v>
      </c>
      <c r="V228" s="99">
        <f t="shared" si="34"/>
        <v>2.0601548707785424</v>
      </c>
      <c r="W228" s="99">
        <f t="shared" si="37"/>
        <v>4.7784327061153015E-2</v>
      </c>
      <c r="X228" s="99" t="b">
        <f>S_normal[[#This Row],[X base]]&lt;U$7</f>
        <v>1</v>
      </c>
      <c r="Y228" s="99" t="b">
        <f>S_normal[[#This Row],[X base]]&gt;U$7</f>
        <v>0</v>
      </c>
      <c r="Z228" s="99">
        <f>IF(S_normal[[#This Row],[Mindre end]],S_normal[[#This Row],[Normalfordeling]],NA())</f>
        <v>4.7784327061153015E-2</v>
      </c>
      <c r="AA228" s="99" t="e">
        <f>IF(S_normal[[#This Row],[Større end]],S_normal[[#This Row],[Normalfordeling]],NA())</f>
        <v>#N/A</v>
      </c>
      <c r="AB228" s="72" t="str">
        <f>_xlfn.IFNA(IF(S_normal[[#This Row],[Indeks (base 0)]]=ROUND((ROUND(S_normal[[#This Row],[X base]],0)-U$8)/(U$9-U$8)*U$4,0),S_normal[[#This Row],[X base]]*B$6+B$5,""),"")</f>
        <v/>
      </c>
      <c r="AC228" s="99" t="str">
        <f t="shared" si="35"/>
        <v xml:space="preserve"> </v>
      </c>
      <c r="AE228" s="54">
        <f t="shared" si="38"/>
        <v>215</v>
      </c>
      <c r="AF228" s="54">
        <f>S_binomial[[#This Row],[Indeks (base 0)]]+1</f>
        <v>216</v>
      </c>
      <c r="AG228" s="99">
        <f t="shared" si="39"/>
        <v>2</v>
      </c>
      <c r="AH228" s="99">
        <f>IF(MOD(S_binomial[[#This Row],[Indeks (base 0)]],AF$7)=0,NA(),_xlfn.BINOM.DIST(S_binomial[[#This Row],[X base]],E$5,E$6,FALSE))</f>
        <v>4.261871040000002E-3</v>
      </c>
      <c r="AI228" s="99" t="b">
        <f>S_binomial[[#This Row],[X base]]&lt;AF$5</f>
        <v>1</v>
      </c>
      <c r="AJ228" s="99" t="b">
        <f>S_binomial[[#This Row],[X base]]=AF$5</f>
        <v>0</v>
      </c>
      <c r="AK228" s="99" t="b">
        <f>S_binomial[[#This Row],[X base]]&gt;AF$5</f>
        <v>0</v>
      </c>
      <c r="AL228" s="99">
        <f>IF(S_binomial[[#This Row],[Mindre end]],S_binomial[[#This Row],[Binomialfordeling]],NA())</f>
        <v>4.261871040000002E-3</v>
      </c>
      <c r="AM228" s="99" t="e">
        <f>IF(S_binomial[[#This Row],[Lig med]],S_binomial[[#This Row],[Binomialfordeling]],NA())</f>
        <v>#N/A</v>
      </c>
      <c r="AN228" s="99" t="e">
        <f>IF(S_binomial[[#This Row],[Større end]],S_binomial[[#This Row],[Binomialfordeling]],NA())</f>
        <v>#N/A</v>
      </c>
      <c r="AO228" s="85" t="str">
        <f>_xlfn.IFNA(IF(MOD(S_binomial[[#This Row],[Indeks (base 0)]],AF$7)=ROUNDDOWN(AF$7/2,0),S_binomial[[#This Row],[X base]],""),"")</f>
        <v/>
      </c>
      <c r="AP228" s="99" t="str">
        <f t="shared" si="40"/>
        <v xml:space="preserve"> </v>
      </c>
      <c r="AR228" s="54">
        <f t="shared" si="41"/>
        <v>215</v>
      </c>
      <c r="AS228" s="54">
        <f>S_normal27[[#This Row],[Indeks (base 0)]]+1</f>
        <v>216</v>
      </c>
      <c r="AT228" s="54">
        <f t="shared" si="43"/>
        <v>3</v>
      </c>
      <c r="AU228" s="54">
        <f>IF(MOD(S_normal27[[#This Row],[Indeks (base 0)]],AS$8)=0,NA(),_xlfn.POISSON.DIST(S_normal27[[#This Row],[X base]],$H$5,FALSE))</f>
        <v>0.22404180765538778</v>
      </c>
      <c r="AV228" s="99" t="b">
        <f>S_normal27[[#This Row],[X base]]&lt;AS$5</f>
        <v>0</v>
      </c>
      <c r="AW228" s="99" t="b">
        <f>S_normal27[[#This Row],[X base]]=AS$5</f>
        <v>0</v>
      </c>
      <c r="AX228" s="99" t="b">
        <f>S_normal27[[#This Row],[X base]]&gt;AS$5</f>
        <v>1</v>
      </c>
      <c r="AY228" s="99" t="e">
        <f>IF(S_normal27[[#This Row],[Mindre end]],S_normal27[[#This Row],[Poissonfordeling]],NA())</f>
        <v>#N/A</v>
      </c>
      <c r="AZ228" s="99" t="e">
        <f>IF(S_normal27[[#This Row],[Lig med]],S_normal27[[#This Row],[Poissonfordeling]],NA())</f>
        <v>#N/A</v>
      </c>
      <c r="BA228" s="99">
        <f>IF(S_normal27[[#This Row],[Større end]],S_normal27[[#This Row],[Poissonfordeling]],NA())</f>
        <v>0.22404180765538778</v>
      </c>
      <c r="BB228" s="85" t="str">
        <f>_xlfn.IFNA(IF(MOD(S_normal27[[#This Row],[Indeks (base 0)]],AS$8)=ROUNDDOWN(AS$8/2,0),S_normal27[[#This Row],[X base]],""),"")</f>
        <v/>
      </c>
      <c r="BC228" s="99" t="str">
        <f t="shared" si="42"/>
        <v xml:space="preserve"> </v>
      </c>
    </row>
    <row r="229" spans="20:55" x14ac:dyDescent="0.2">
      <c r="T229" s="54">
        <f t="shared" si="36"/>
        <v>216</v>
      </c>
      <c r="U229" s="54">
        <f>S_normal[[#This Row],[Indeks (base 0)]]+1</f>
        <v>217</v>
      </c>
      <c r="V229" s="99">
        <f t="shared" si="34"/>
        <v>2.0841101599736414</v>
      </c>
      <c r="W229" s="99">
        <f t="shared" si="37"/>
        <v>4.5470290940174081E-2</v>
      </c>
      <c r="X229" s="99" t="b">
        <f>S_normal[[#This Row],[X base]]&lt;U$7</f>
        <v>1</v>
      </c>
      <c r="Y229" s="99" t="b">
        <f>S_normal[[#This Row],[X base]]&gt;U$7</f>
        <v>0</v>
      </c>
      <c r="Z229" s="99">
        <f>IF(S_normal[[#This Row],[Mindre end]],S_normal[[#This Row],[Normalfordeling]],NA())</f>
        <v>4.5470290940174081E-2</v>
      </c>
      <c r="AA229" s="99" t="e">
        <f>IF(S_normal[[#This Row],[Større end]],S_normal[[#This Row],[Normalfordeling]],NA())</f>
        <v>#N/A</v>
      </c>
      <c r="AB229" s="72" t="str">
        <f>_xlfn.IFNA(IF(S_normal[[#This Row],[Indeks (base 0)]]=ROUND((ROUND(S_normal[[#This Row],[X base]],0)-U$8)/(U$9-U$8)*U$4,0),S_normal[[#This Row],[X base]]*B$6+B$5,""),"")</f>
        <v/>
      </c>
      <c r="AC229" s="99" t="str">
        <f t="shared" si="35"/>
        <v xml:space="preserve"> </v>
      </c>
      <c r="AE229" s="54">
        <f t="shared" si="38"/>
        <v>216</v>
      </c>
      <c r="AF229" s="54">
        <f>S_binomial[[#This Row],[Indeks (base 0)]]+1</f>
        <v>217</v>
      </c>
      <c r="AG229" s="99">
        <f t="shared" si="39"/>
        <v>2</v>
      </c>
      <c r="AH229" s="99">
        <f>IF(MOD(S_binomial[[#This Row],[Indeks (base 0)]],AF$7)=0,NA(),_xlfn.BINOM.DIST(S_binomial[[#This Row],[X base]],E$5,E$6,FALSE))</f>
        <v>4.261871040000002E-3</v>
      </c>
      <c r="AI229" s="99" t="b">
        <f>S_binomial[[#This Row],[X base]]&lt;AF$5</f>
        <v>1</v>
      </c>
      <c r="AJ229" s="99" t="b">
        <f>S_binomial[[#This Row],[X base]]=AF$5</f>
        <v>0</v>
      </c>
      <c r="AK229" s="99" t="b">
        <f>S_binomial[[#This Row],[X base]]&gt;AF$5</f>
        <v>0</v>
      </c>
      <c r="AL229" s="99">
        <f>IF(S_binomial[[#This Row],[Mindre end]],S_binomial[[#This Row],[Binomialfordeling]],NA())</f>
        <v>4.261871040000002E-3</v>
      </c>
      <c r="AM229" s="99" t="e">
        <f>IF(S_binomial[[#This Row],[Lig med]],S_binomial[[#This Row],[Binomialfordeling]],NA())</f>
        <v>#N/A</v>
      </c>
      <c r="AN229" s="99" t="e">
        <f>IF(S_binomial[[#This Row],[Større end]],S_binomial[[#This Row],[Binomialfordeling]],NA())</f>
        <v>#N/A</v>
      </c>
      <c r="AO229" s="85" t="str">
        <f>_xlfn.IFNA(IF(MOD(S_binomial[[#This Row],[Indeks (base 0)]],AF$7)=ROUNDDOWN(AF$7/2,0),S_binomial[[#This Row],[X base]],""),"")</f>
        <v/>
      </c>
      <c r="AP229" s="99" t="str">
        <f t="shared" si="40"/>
        <v xml:space="preserve"> </v>
      </c>
      <c r="AR229" s="54">
        <f t="shared" si="41"/>
        <v>216</v>
      </c>
      <c r="AS229" s="54">
        <f>S_normal27[[#This Row],[Indeks (base 0)]]+1</f>
        <v>217</v>
      </c>
      <c r="AT229" s="54">
        <f t="shared" si="43"/>
        <v>3</v>
      </c>
      <c r="AU229" s="54">
        <f>IF(MOD(S_normal27[[#This Row],[Indeks (base 0)]],AS$8)=0,NA(),_xlfn.POISSON.DIST(S_normal27[[#This Row],[X base]],$H$5,FALSE))</f>
        <v>0.22404180765538778</v>
      </c>
      <c r="AV229" s="99" t="b">
        <f>S_normal27[[#This Row],[X base]]&lt;AS$5</f>
        <v>0</v>
      </c>
      <c r="AW229" s="99" t="b">
        <f>S_normal27[[#This Row],[X base]]=AS$5</f>
        <v>0</v>
      </c>
      <c r="AX229" s="99" t="b">
        <f>S_normal27[[#This Row],[X base]]&gt;AS$5</f>
        <v>1</v>
      </c>
      <c r="AY229" s="99" t="e">
        <f>IF(S_normal27[[#This Row],[Mindre end]],S_normal27[[#This Row],[Poissonfordeling]],NA())</f>
        <v>#N/A</v>
      </c>
      <c r="AZ229" s="99" t="e">
        <f>IF(S_normal27[[#This Row],[Lig med]],S_normal27[[#This Row],[Poissonfordeling]],NA())</f>
        <v>#N/A</v>
      </c>
      <c r="BA229" s="99">
        <f>IF(S_normal27[[#This Row],[Større end]],S_normal27[[#This Row],[Poissonfordeling]],NA())</f>
        <v>0.22404180765538778</v>
      </c>
      <c r="BB229" s="85" t="str">
        <f>_xlfn.IFNA(IF(MOD(S_normal27[[#This Row],[Indeks (base 0)]],AS$8)=ROUNDDOWN(AS$8/2,0),S_normal27[[#This Row],[X base]],""),"")</f>
        <v/>
      </c>
      <c r="BC229" s="99" t="str">
        <f t="shared" si="42"/>
        <v xml:space="preserve"> </v>
      </c>
    </row>
    <row r="230" spans="20:55" x14ac:dyDescent="0.2">
      <c r="T230" s="54">
        <f t="shared" si="36"/>
        <v>217</v>
      </c>
      <c r="U230" s="54">
        <f>S_normal[[#This Row],[Indeks (base 0)]]+1</f>
        <v>218</v>
      </c>
      <c r="V230" s="99">
        <f t="shared" si="34"/>
        <v>2.1080654491687403</v>
      </c>
      <c r="W230" s="99">
        <f t="shared" si="37"/>
        <v>4.3243493241990325E-2</v>
      </c>
      <c r="X230" s="99" t="b">
        <f>S_normal[[#This Row],[X base]]&lt;U$7</f>
        <v>1</v>
      </c>
      <c r="Y230" s="99" t="b">
        <f>S_normal[[#This Row],[X base]]&gt;U$7</f>
        <v>0</v>
      </c>
      <c r="Z230" s="99">
        <f>IF(S_normal[[#This Row],[Mindre end]],S_normal[[#This Row],[Normalfordeling]],NA())</f>
        <v>4.3243493241990325E-2</v>
      </c>
      <c r="AA230" s="99" t="e">
        <f>IF(S_normal[[#This Row],[Større end]],S_normal[[#This Row],[Normalfordeling]],NA())</f>
        <v>#N/A</v>
      </c>
      <c r="AB230" s="72" t="str">
        <f>_xlfn.IFNA(IF(S_normal[[#This Row],[Indeks (base 0)]]=ROUND((ROUND(S_normal[[#This Row],[X base]],0)-U$8)/(U$9-U$8)*U$4,0),S_normal[[#This Row],[X base]]*B$6+B$5,""),"")</f>
        <v/>
      </c>
      <c r="AC230" s="99" t="str">
        <f t="shared" si="35"/>
        <v xml:space="preserve"> </v>
      </c>
      <c r="AE230" s="54">
        <f t="shared" si="38"/>
        <v>217</v>
      </c>
      <c r="AF230" s="54">
        <f>S_binomial[[#This Row],[Indeks (base 0)]]+1</f>
        <v>218</v>
      </c>
      <c r="AG230" s="99">
        <f t="shared" si="39"/>
        <v>2</v>
      </c>
      <c r="AH230" s="99">
        <f>IF(MOD(S_binomial[[#This Row],[Indeks (base 0)]],AF$7)=0,NA(),_xlfn.BINOM.DIST(S_binomial[[#This Row],[X base]],E$5,E$6,FALSE))</f>
        <v>4.261871040000002E-3</v>
      </c>
      <c r="AI230" s="99" t="b">
        <f>S_binomial[[#This Row],[X base]]&lt;AF$5</f>
        <v>1</v>
      </c>
      <c r="AJ230" s="99" t="b">
        <f>S_binomial[[#This Row],[X base]]=AF$5</f>
        <v>0</v>
      </c>
      <c r="AK230" s="99" t="b">
        <f>S_binomial[[#This Row],[X base]]&gt;AF$5</f>
        <v>0</v>
      </c>
      <c r="AL230" s="99">
        <f>IF(S_binomial[[#This Row],[Mindre end]],S_binomial[[#This Row],[Binomialfordeling]],NA())</f>
        <v>4.261871040000002E-3</v>
      </c>
      <c r="AM230" s="99" t="e">
        <f>IF(S_binomial[[#This Row],[Lig med]],S_binomial[[#This Row],[Binomialfordeling]],NA())</f>
        <v>#N/A</v>
      </c>
      <c r="AN230" s="99" t="e">
        <f>IF(S_binomial[[#This Row],[Større end]],S_binomial[[#This Row],[Binomialfordeling]],NA())</f>
        <v>#N/A</v>
      </c>
      <c r="AO230" s="85" t="str">
        <f>_xlfn.IFNA(IF(MOD(S_binomial[[#This Row],[Indeks (base 0)]],AF$7)=ROUNDDOWN(AF$7/2,0),S_binomial[[#This Row],[X base]],""),"")</f>
        <v/>
      </c>
      <c r="AP230" s="99" t="str">
        <f t="shared" si="40"/>
        <v xml:space="preserve"> </v>
      </c>
      <c r="AR230" s="54">
        <f t="shared" si="41"/>
        <v>217</v>
      </c>
      <c r="AS230" s="54">
        <f>S_normal27[[#This Row],[Indeks (base 0)]]+1</f>
        <v>218</v>
      </c>
      <c r="AT230" s="54">
        <f t="shared" si="43"/>
        <v>3</v>
      </c>
      <c r="AU230" s="54">
        <f>IF(MOD(S_normal27[[#This Row],[Indeks (base 0)]],AS$8)=0,NA(),_xlfn.POISSON.DIST(S_normal27[[#This Row],[X base]],$H$5,FALSE))</f>
        <v>0.22404180765538778</v>
      </c>
      <c r="AV230" s="99" t="b">
        <f>S_normal27[[#This Row],[X base]]&lt;AS$5</f>
        <v>0</v>
      </c>
      <c r="AW230" s="99" t="b">
        <f>S_normal27[[#This Row],[X base]]=AS$5</f>
        <v>0</v>
      </c>
      <c r="AX230" s="99" t="b">
        <f>S_normal27[[#This Row],[X base]]&gt;AS$5</f>
        <v>1</v>
      </c>
      <c r="AY230" s="99" t="e">
        <f>IF(S_normal27[[#This Row],[Mindre end]],S_normal27[[#This Row],[Poissonfordeling]],NA())</f>
        <v>#N/A</v>
      </c>
      <c r="AZ230" s="99" t="e">
        <f>IF(S_normal27[[#This Row],[Lig med]],S_normal27[[#This Row],[Poissonfordeling]],NA())</f>
        <v>#N/A</v>
      </c>
      <c r="BA230" s="99">
        <f>IF(S_normal27[[#This Row],[Større end]],S_normal27[[#This Row],[Poissonfordeling]],NA())</f>
        <v>0.22404180765538778</v>
      </c>
      <c r="BB230" s="85" t="str">
        <f>_xlfn.IFNA(IF(MOD(S_normal27[[#This Row],[Indeks (base 0)]],AS$8)=ROUNDDOWN(AS$8/2,0),S_normal27[[#This Row],[X base]],""),"")</f>
        <v/>
      </c>
      <c r="BC230" s="99" t="str">
        <f t="shared" si="42"/>
        <v xml:space="preserve"> </v>
      </c>
    </row>
    <row r="231" spans="20:55" x14ac:dyDescent="0.2">
      <c r="T231" s="54">
        <f t="shared" si="36"/>
        <v>218</v>
      </c>
      <c r="U231" s="54">
        <f>S_normal[[#This Row],[Indeks (base 0)]]+1</f>
        <v>219</v>
      </c>
      <c r="V231" s="99">
        <f t="shared" si="34"/>
        <v>2.1320207383638401</v>
      </c>
      <c r="W231" s="99">
        <f t="shared" si="37"/>
        <v>4.1102154102044132E-2</v>
      </c>
      <c r="X231" s="99" t="b">
        <f>S_normal[[#This Row],[X base]]&lt;U$7</f>
        <v>1</v>
      </c>
      <c r="Y231" s="99" t="b">
        <f>S_normal[[#This Row],[X base]]&gt;U$7</f>
        <v>0</v>
      </c>
      <c r="Z231" s="99">
        <f>IF(S_normal[[#This Row],[Mindre end]],S_normal[[#This Row],[Normalfordeling]],NA())</f>
        <v>4.1102154102044132E-2</v>
      </c>
      <c r="AA231" s="99" t="e">
        <f>IF(S_normal[[#This Row],[Større end]],S_normal[[#This Row],[Normalfordeling]],NA())</f>
        <v>#N/A</v>
      </c>
      <c r="AB231" s="72" t="str">
        <f>_xlfn.IFNA(IF(S_normal[[#This Row],[Indeks (base 0)]]=ROUND((ROUND(S_normal[[#This Row],[X base]],0)-U$8)/(U$9-U$8)*U$4,0),S_normal[[#This Row],[X base]]*B$6+B$5,""),"")</f>
        <v/>
      </c>
      <c r="AC231" s="99" t="str">
        <f t="shared" si="35"/>
        <v xml:space="preserve"> </v>
      </c>
      <c r="AE231" s="54">
        <f t="shared" si="38"/>
        <v>218</v>
      </c>
      <c r="AF231" s="54">
        <f>S_binomial[[#This Row],[Indeks (base 0)]]+1</f>
        <v>219</v>
      </c>
      <c r="AG231" s="99">
        <f t="shared" si="39"/>
        <v>2</v>
      </c>
      <c r="AH231" s="99">
        <f>IF(MOD(S_binomial[[#This Row],[Indeks (base 0)]],AF$7)=0,NA(),_xlfn.BINOM.DIST(S_binomial[[#This Row],[X base]],E$5,E$6,FALSE))</f>
        <v>4.261871040000002E-3</v>
      </c>
      <c r="AI231" s="99" t="b">
        <f>S_binomial[[#This Row],[X base]]&lt;AF$5</f>
        <v>1</v>
      </c>
      <c r="AJ231" s="99" t="b">
        <f>S_binomial[[#This Row],[X base]]=AF$5</f>
        <v>0</v>
      </c>
      <c r="AK231" s="99" t="b">
        <f>S_binomial[[#This Row],[X base]]&gt;AF$5</f>
        <v>0</v>
      </c>
      <c r="AL231" s="99">
        <f>IF(S_binomial[[#This Row],[Mindre end]],S_binomial[[#This Row],[Binomialfordeling]],NA())</f>
        <v>4.261871040000002E-3</v>
      </c>
      <c r="AM231" s="99" t="e">
        <f>IF(S_binomial[[#This Row],[Lig med]],S_binomial[[#This Row],[Binomialfordeling]],NA())</f>
        <v>#N/A</v>
      </c>
      <c r="AN231" s="99" t="e">
        <f>IF(S_binomial[[#This Row],[Større end]],S_binomial[[#This Row],[Binomialfordeling]],NA())</f>
        <v>#N/A</v>
      </c>
      <c r="AO231" s="85" t="str">
        <f>_xlfn.IFNA(IF(MOD(S_binomial[[#This Row],[Indeks (base 0)]],AF$7)=ROUNDDOWN(AF$7/2,0),S_binomial[[#This Row],[X base]],""),"")</f>
        <v/>
      </c>
      <c r="AP231" s="99" t="str">
        <f t="shared" si="40"/>
        <v xml:space="preserve"> </v>
      </c>
      <c r="AR231" s="54">
        <f t="shared" si="41"/>
        <v>218</v>
      </c>
      <c r="AS231" s="54">
        <f>S_normal27[[#This Row],[Indeks (base 0)]]+1</f>
        <v>219</v>
      </c>
      <c r="AT231" s="54">
        <f t="shared" si="43"/>
        <v>3</v>
      </c>
      <c r="AU231" s="54">
        <f>IF(MOD(S_normal27[[#This Row],[Indeks (base 0)]],AS$8)=0,NA(),_xlfn.POISSON.DIST(S_normal27[[#This Row],[X base]],$H$5,FALSE))</f>
        <v>0.22404180765538778</v>
      </c>
      <c r="AV231" s="99" t="b">
        <f>S_normal27[[#This Row],[X base]]&lt;AS$5</f>
        <v>0</v>
      </c>
      <c r="AW231" s="99" t="b">
        <f>S_normal27[[#This Row],[X base]]=AS$5</f>
        <v>0</v>
      </c>
      <c r="AX231" s="99" t="b">
        <f>S_normal27[[#This Row],[X base]]&gt;AS$5</f>
        <v>1</v>
      </c>
      <c r="AY231" s="99" t="e">
        <f>IF(S_normal27[[#This Row],[Mindre end]],S_normal27[[#This Row],[Poissonfordeling]],NA())</f>
        <v>#N/A</v>
      </c>
      <c r="AZ231" s="99" t="e">
        <f>IF(S_normal27[[#This Row],[Lig med]],S_normal27[[#This Row],[Poissonfordeling]],NA())</f>
        <v>#N/A</v>
      </c>
      <c r="BA231" s="99">
        <f>IF(S_normal27[[#This Row],[Større end]],S_normal27[[#This Row],[Poissonfordeling]],NA())</f>
        <v>0.22404180765538778</v>
      </c>
      <c r="BB231" s="85" t="str">
        <f>_xlfn.IFNA(IF(MOD(S_normal27[[#This Row],[Indeks (base 0)]],AS$8)=ROUNDDOWN(AS$8/2,0),S_normal27[[#This Row],[X base]],""),"")</f>
        <v/>
      </c>
      <c r="BC231" s="99" t="str">
        <f t="shared" si="42"/>
        <v xml:space="preserve"> </v>
      </c>
    </row>
    <row r="232" spans="20:55" x14ac:dyDescent="0.2">
      <c r="T232" s="54">
        <f t="shared" si="36"/>
        <v>219</v>
      </c>
      <c r="U232" s="54">
        <f>S_normal[[#This Row],[Indeks (base 0)]]+1</f>
        <v>220</v>
      </c>
      <c r="V232" s="99">
        <f t="shared" si="34"/>
        <v>2.155976027558939</v>
      </c>
      <c r="W232" s="99">
        <f t="shared" si="37"/>
        <v>3.9044437871557792E-2</v>
      </c>
      <c r="X232" s="99" t="b">
        <f>S_normal[[#This Row],[X base]]&lt;U$7</f>
        <v>1</v>
      </c>
      <c r="Y232" s="99" t="b">
        <f>S_normal[[#This Row],[X base]]&gt;U$7</f>
        <v>0</v>
      </c>
      <c r="Z232" s="99">
        <f>IF(S_normal[[#This Row],[Mindre end]],S_normal[[#This Row],[Normalfordeling]],NA())</f>
        <v>3.9044437871557792E-2</v>
      </c>
      <c r="AA232" s="99" t="e">
        <f>IF(S_normal[[#This Row],[Større end]],S_normal[[#This Row],[Normalfordeling]],NA())</f>
        <v>#N/A</v>
      </c>
      <c r="AB232" s="72" t="str">
        <f>_xlfn.IFNA(IF(S_normal[[#This Row],[Indeks (base 0)]]=ROUND((ROUND(S_normal[[#This Row],[X base]],0)-U$8)/(U$9-U$8)*U$4,0),S_normal[[#This Row],[X base]]*B$6+B$5,""),"")</f>
        <v/>
      </c>
      <c r="AC232" s="99" t="str">
        <f t="shared" si="35"/>
        <v xml:space="preserve"> </v>
      </c>
      <c r="AE232" s="54">
        <f t="shared" si="38"/>
        <v>219</v>
      </c>
      <c r="AF232" s="54">
        <f>S_binomial[[#This Row],[Indeks (base 0)]]+1</f>
        <v>220</v>
      </c>
      <c r="AG232" s="99">
        <f t="shared" si="39"/>
        <v>2</v>
      </c>
      <c r="AH232" s="99">
        <f>IF(MOD(S_binomial[[#This Row],[Indeks (base 0)]],AF$7)=0,NA(),_xlfn.BINOM.DIST(S_binomial[[#This Row],[X base]],E$5,E$6,FALSE))</f>
        <v>4.261871040000002E-3</v>
      </c>
      <c r="AI232" s="99" t="b">
        <f>S_binomial[[#This Row],[X base]]&lt;AF$5</f>
        <v>1</v>
      </c>
      <c r="AJ232" s="99" t="b">
        <f>S_binomial[[#This Row],[X base]]=AF$5</f>
        <v>0</v>
      </c>
      <c r="AK232" s="99" t="b">
        <f>S_binomial[[#This Row],[X base]]&gt;AF$5</f>
        <v>0</v>
      </c>
      <c r="AL232" s="99">
        <f>IF(S_binomial[[#This Row],[Mindre end]],S_binomial[[#This Row],[Binomialfordeling]],NA())</f>
        <v>4.261871040000002E-3</v>
      </c>
      <c r="AM232" s="99" t="e">
        <f>IF(S_binomial[[#This Row],[Lig med]],S_binomial[[#This Row],[Binomialfordeling]],NA())</f>
        <v>#N/A</v>
      </c>
      <c r="AN232" s="99" t="e">
        <f>IF(S_binomial[[#This Row],[Større end]],S_binomial[[#This Row],[Binomialfordeling]],NA())</f>
        <v>#N/A</v>
      </c>
      <c r="AO232" s="85" t="str">
        <f>_xlfn.IFNA(IF(MOD(S_binomial[[#This Row],[Indeks (base 0)]],AF$7)=ROUNDDOWN(AF$7/2,0),S_binomial[[#This Row],[X base]],""),"")</f>
        <v/>
      </c>
      <c r="AP232" s="99" t="str">
        <f t="shared" si="40"/>
        <v xml:space="preserve"> </v>
      </c>
      <c r="AR232" s="54">
        <f t="shared" si="41"/>
        <v>219</v>
      </c>
      <c r="AS232" s="54">
        <f>S_normal27[[#This Row],[Indeks (base 0)]]+1</f>
        <v>220</v>
      </c>
      <c r="AT232" s="54">
        <f t="shared" si="43"/>
        <v>3</v>
      </c>
      <c r="AU232" s="54">
        <f>IF(MOD(S_normal27[[#This Row],[Indeks (base 0)]],AS$8)=0,NA(),_xlfn.POISSON.DIST(S_normal27[[#This Row],[X base]],$H$5,FALSE))</f>
        <v>0.22404180765538778</v>
      </c>
      <c r="AV232" s="99" t="b">
        <f>S_normal27[[#This Row],[X base]]&lt;AS$5</f>
        <v>0</v>
      </c>
      <c r="AW232" s="99" t="b">
        <f>S_normal27[[#This Row],[X base]]=AS$5</f>
        <v>0</v>
      </c>
      <c r="AX232" s="99" t="b">
        <f>S_normal27[[#This Row],[X base]]&gt;AS$5</f>
        <v>1</v>
      </c>
      <c r="AY232" s="99" t="e">
        <f>IF(S_normal27[[#This Row],[Mindre end]],S_normal27[[#This Row],[Poissonfordeling]],NA())</f>
        <v>#N/A</v>
      </c>
      <c r="AZ232" s="99" t="e">
        <f>IF(S_normal27[[#This Row],[Lig med]],S_normal27[[#This Row],[Poissonfordeling]],NA())</f>
        <v>#N/A</v>
      </c>
      <c r="BA232" s="99">
        <f>IF(S_normal27[[#This Row],[Større end]],S_normal27[[#This Row],[Poissonfordeling]],NA())</f>
        <v>0.22404180765538778</v>
      </c>
      <c r="BB232" s="85" t="str">
        <f>_xlfn.IFNA(IF(MOD(S_normal27[[#This Row],[Indeks (base 0)]],AS$8)=ROUNDDOWN(AS$8/2,0),S_normal27[[#This Row],[X base]],""),"")</f>
        <v/>
      </c>
      <c r="BC232" s="99" t="str">
        <f t="shared" si="42"/>
        <v xml:space="preserve"> </v>
      </c>
    </row>
    <row r="233" spans="20:55" x14ac:dyDescent="0.2">
      <c r="T233" s="54">
        <f t="shared" si="36"/>
        <v>220</v>
      </c>
      <c r="U233" s="54">
        <f>S_normal[[#This Row],[Indeks (base 0)]]+1</f>
        <v>221</v>
      </c>
      <c r="V233" s="99">
        <f t="shared" si="34"/>
        <v>2.1799313167540388</v>
      </c>
      <c r="W233" s="99">
        <f t="shared" si="37"/>
        <v>3.706845998598688E-2</v>
      </c>
      <c r="X233" s="99" t="b">
        <f>S_normal[[#This Row],[X base]]&lt;U$7</f>
        <v>1</v>
      </c>
      <c r="Y233" s="99" t="b">
        <f>S_normal[[#This Row],[X base]]&gt;U$7</f>
        <v>0</v>
      </c>
      <c r="Z233" s="99">
        <f>IF(S_normal[[#This Row],[Mindre end]],S_normal[[#This Row],[Normalfordeling]],NA())</f>
        <v>3.706845998598688E-2</v>
      </c>
      <c r="AA233" s="99" t="e">
        <f>IF(S_normal[[#This Row],[Større end]],S_normal[[#This Row],[Normalfordeling]],NA())</f>
        <v>#N/A</v>
      </c>
      <c r="AB233" s="72" t="str">
        <f>_xlfn.IFNA(IF(S_normal[[#This Row],[Indeks (base 0)]]=ROUND((ROUND(S_normal[[#This Row],[X base]],0)-U$8)/(U$9-U$8)*U$4,0),S_normal[[#This Row],[X base]]*B$6+B$5,""),"")</f>
        <v/>
      </c>
      <c r="AC233" s="99" t="str">
        <f t="shared" si="35"/>
        <v xml:space="preserve"> </v>
      </c>
      <c r="AE233" s="54">
        <f t="shared" si="38"/>
        <v>220</v>
      </c>
      <c r="AF233" s="54">
        <f>S_binomial[[#This Row],[Indeks (base 0)]]+1</f>
        <v>221</v>
      </c>
      <c r="AG233" s="99">
        <f t="shared" si="39"/>
        <v>2</v>
      </c>
      <c r="AH233" s="99">
        <f>IF(MOD(S_binomial[[#This Row],[Indeks (base 0)]],AF$7)=0,NA(),_xlfn.BINOM.DIST(S_binomial[[#This Row],[X base]],E$5,E$6,FALSE))</f>
        <v>4.261871040000002E-3</v>
      </c>
      <c r="AI233" s="99" t="b">
        <f>S_binomial[[#This Row],[X base]]&lt;AF$5</f>
        <v>1</v>
      </c>
      <c r="AJ233" s="99" t="b">
        <f>S_binomial[[#This Row],[X base]]=AF$5</f>
        <v>0</v>
      </c>
      <c r="AK233" s="99" t="b">
        <f>S_binomial[[#This Row],[X base]]&gt;AF$5</f>
        <v>0</v>
      </c>
      <c r="AL233" s="99">
        <f>IF(S_binomial[[#This Row],[Mindre end]],S_binomial[[#This Row],[Binomialfordeling]],NA())</f>
        <v>4.261871040000002E-3</v>
      </c>
      <c r="AM233" s="99" t="e">
        <f>IF(S_binomial[[#This Row],[Lig med]],S_binomial[[#This Row],[Binomialfordeling]],NA())</f>
        <v>#N/A</v>
      </c>
      <c r="AN233" s="99" t="e">
        <f>IF(S_binomial[[#This Row],[Større end]],S_binomial[[#This Row],[Binomialfordeling]],NA())</f>
        <v>#N/A</v>
      </c>
      <c r="AO233" s="85" t="str">
        <f>_xlfn.IFNA(IF(MOD(S_binomial[[#This Row],[Indeks (base 0)]],AF$7)=ROUNDDOWN(AF$7/2,0),S_binomial[[#This Row],[X base]],""),"")</f>
        <v/>
      </c>
      <c r="AP233" s="99" t="str">
        <f t="shared" si="40"/>
        <v xml:space="preserve"> </v>
      </c>
      <c r="AR233" s="54">
        <f t="shared" si="41"/>
        <v>220</v>
      </c>
      <c r="AS233" s="54">
        <f>S_normal27[[#This Row],[Indeks (base 0)]]+1</f>
        <v>221</v>
      </c>
      <c r="AT233" s="54">
        <f t="shared" si="43"/>
        <v>3</v>
      </c>
      <c r="AU233" s="54">
        <f>IF(MOD(S_normal27[[#This Row],[Indeks (base 0)]],AS$8)=0,NA(),_xlfn.POISSON.DIST(S_normal27[[#This Row],[X base]],$H$5,FALSE))</f>
        <v>0.22404180765538778</v>
      </c>
      <c r="AV233" s="99" t="b">
        <f>S_normal27[[#This Row],[X base]]&lt;AS$5</f>
        <v>0</v>
      </c>
      <c r="AW233" s="99" t="b">
        <f>S_normal27[[#This Row],[X base]]=AS$5</f>
        <v>0</v>
      </c>
      <c r="AX233" s="99" t="b">
        <f>S_normal27[[#This Row],[X base]]&gt;AS$5</f>
        <v>1</v>
      </c>
      <c r="AY233" s="99" t="e">
        <f>IF(S_normal27[[#This Row],[Mindre end]],S_normal27[[#This Row],[Poissonfordeling]],NA())</f>
        <v>#N/A</v>
      </c>
      <c r="AZ233" s="99" t="e">
        <f>IF(S_normal27[[#This Row],[Lig med]],S_normal27[[#This Row],[Poissonfordeling]],NA())</f>
        <v>#N/A</v>
      </c>
      <c r="BA233" s="99">
        <f>IF(S_normal27[[#This Row],[Større end]],S_normal27[[#This Row],[Poissonfordeling]],NA())</f>
        <v>0.22404180765538778</v>
      </c>
      <c r="BB233" s="85" t="str">
        <f>_xlfn.IFNA(IF(MOD(S_normal27[[#This Row],[Indeks (base 0)]],AS$8)=ROUNDDOWN(AS$8/2,0),S_normal27[[#This Row],[X base]],""),"")</f>
        <v/>
      </c>
      <c r="BC233" s="99" t="str">
        <f t="shared" si="42"/>
        <v xml:space="preserve"> </v>
      </c>
    </row>
    <row r="234" spans="20:55" x14ac:dyDescent="0.2">
      <c r="T234" s="54">
        <f t="shared" si="36"/>
        <v>221</v>
      </c>
      <c r="U234" s="54">
        <f>S_normal[[#This Row],[Indeks (base 0)]]+1</f>
        <v>222</v>
      </c>
      <c r="V234" s="99">
        <f t="shared" si="34"/>
        <v>2.2038866059491378</v>
      </c>
      <c r="W234" s="99">
        <f t="shared" si="37"/>
        <v>3.5172293628326259E-2</v>
      </c>
      <c r="X234" s="99" t="b">
        <f>S_normal[[#This Row],[X base]]&lt;U$7</f>
        <v>1</v>
      </c>
      <c r="Y234" s="99" t="b">
        <f>S_normal[[#This Row],[X base]]&gt;U$7</f>
        <v>0</v>
      </c>
      <c r="Z234" s="99">
        <f>IF(S_normal[[#This Row],[Mindre end]],S_normal[[#This Row],[Normalfordeling]],NA())</f>
        <v>3.5172293628326259E-2</v>
      </c>
      <c r="AA234" s="99" t="e">
        <f>IF(S_normal[[#This Row],[Større end]],S_normal[[#This Row],[Normalfordeling]],NA())</f>
        <v>#N/A</v>
      </c>
      <c r="AB234" s="72" t="str">
        <f>_xlfn.IFNA(IF(S_normal[[#This Row],[Indeks (base 0)]]=ROUND((ROUND(S_normal[[#This Row],[X base]],0)-U$8)/(U$9-U$8)*U$4,0),S_normal[[#This Row],[X base]]*B$6+B$5,""),"")</f>
        <v/>
      </c>
      <c r="AC234" s="99" t="str">
        <f t="shared" si="35"/>
        <v xml:space="preserve"> </v>
      </c>
      <c r="AE234" s="54">
        <f t="shared" si="38"/>
        <v>221</v>
      </c>
      <c r="AF234" s="54">
        <f>S_binomial[[#This Row],[Indeks (base 0)]]+1</f>
        <v>222</v>
      </c>
      <c r="AG234" s="99">
        <f t="shared" si="39"/>
        <v>2</v>
      </c>
      <c r="AH234" s="99">
        <f>IF(MOD(S_binomial[[#This Row],[Indeks (base 0)]],AF$7)=0,NA(),_xlfn.BINOM.DIST(S_binomial[[#This Row],[X base]],E$5,E$6,FALSE))</f>
        <v>4.261871040000002E-3</v>
      </c>
      <c r="AI234" s="99" t="b">
        <f>S_binomial[[#This Row],[X base]]&lt;AF$5</f>
        <v>1</v>
      </c>
      <c r="AJ234" s="99" t="b">
        <f>S_binomial[[#This Row],[X base]]=AF$5</f>
        <v>0</v>
      </c>
      <c r="AK234" s="99" t="b">
        <f>S_binomial[[#This Row],[X base]]&gt;AF$5</f>
        <v>0</v>
      </c>
      <c r="AL234" s="99">
        <f>IF(S_binomial[[#This Row],[Mindre end]],S_binomial[[#This Row],[Binomialfordeling]],NA())</f>
        <v>4.261871040000002E-3</v>
      </c>
      <c r="AM234" s="99" t="e">
        <f>IF(S_binomial[[#This Row],[Lig med]],S_binomial[[#This Row],[Binomialfordeling]],NA())</f>
        <v>#N/A</v>
      </c>
      <c r="AN234" s="99" t="e">
        <f>IF(S_binomial[[#This Row],[Større end]],S_binomial[[#This Row],[Binomialfordeling]],NA())</f>
        <v>#N/A</v>
      </c>
      <c r="AO234" s="85" t="str">
        <f>_xlfn.IFNA(IF(MOD(S_binomial[[#This Row],[Indeks (base 0)]],AF$7)=ROUNDDOWN(AF$7/2,0),S_binomial[[#This Row],[X base]],""),"")</f>
        <v/>
      </c>
      <c r="AP234" s="99" t="str">
        <f t="shared" si="40"/>
        <v xml:space="preserve"> </v>
      </c>
      <c r="AR234" s="54">
        <f t="shared" si="41"/>
        <v>221</v>
      </c>
      <c r="AS234" s="54">
        <f>S_normal27[[#This Row],[Indeks (base 0)]]+1</f>
        <v>222</v>
      </c>
      <c r="AT234" s="54">
        <f t="shared" si="43"/>
        <v>3</v>
      </c>
      <c r="AU234" s="54">
        <f>IF(MOD(S_normal27[[#This Row],[Indeks (base 0)]],AS$8)=0,NA(),_xlfn.POISSON.DIST(S_normal27[[#This Row],[X base]],$H$5,FALSE))</f>
        <v>0.22404180765538778</v>
      </c>
      <c r="AV234" s="99" t="b">
        <f>S_normal27[[#This Row],[X base]]&lt;AS$5</f>
        <v>0</v>
      </c>
      <c r="AW234" s="99" t="b">
        <f>S_normal27[[#This Row],[X base]]=AS$5</f>
        <v>0</v>
      </c>
      <c r="AX234" s="99" t="b">
        <f>S_normal27[[#This Row],[X base]]&gt;AS$5</f>
        <v>1</v>
      </c>
      <c r="AY234" s="99" t="e">
        <f>IF(S_normal27[[#This Row],[Mindre end]],S_normal27[[#This Row],[Poissonfordeling]],NA())</f>
        <v>#N/A</v>
      </c>
      <c r="AZ234" s="99" t="e">
        <f>IF(S_normal27[[#This Row],[Lig med]],S_normal27[[#This Row],[Poissonfordeling]],NA())</f>
        <v>#N/A</v>
      </c>
      <c r="BA234" s="99">
        <f>IF(S_normal27[[#This Row],[Større end]],S_normal27[[#This Row],[Poissonfordeling]],NA())</f>
        <v>0.22404180765538778</v>
      </c>
      <c r="BB234" s="85" t="str">
        <f>_xlfn.IFNA(IF(MOD(S_normal27[[#This Row],[Indeks (base 0)]],AS$8)=ROUNDDOWN(AS$8/2,0),S_normal27[[#This Row],[X base]],""),"")</f>
        <v/>
      </c>
      <c r="BC234" s="99" t="str">
        <f t="shared" si="42"/>
        <v xml:space="preserve"> </v>
      </c>
    </row>
    <row r="235" spans="20:55" x14ac:dyDescent="0.2">
      <c r="T235" s="54">
        <f t="shared" si="36"/>
        <v>222</v>
      </c>
      <c r="U235" s="54">
        <f>S_normal[[#This Row],[Indeks (base 0)]]+1</f>
        <v>223</v>
      </c>
      <c r="V235" s="99">
        <f t="shared" si="34"/>
        <v>2.2278418951442376</v>
      </c>
      <c r="W235" s="99">
        <f t="shared" si="37"/>
        <v>3.3353976175184367E-2</v>
      </c>
      <c r="X235" s="99" t="b">
        <f>S_normal[[#This Row],[X base]]&lt;U$7</f>
        <v>1</v>
      </c>
      <c r="Y235" s="99" t="b">
        <f>S_normal[[#This Row],[X base]]&gt;U$7</f>
        <v>0</v>
      </c>
      <c r="Z235" s="99">
        <f>IF(S_normal[[#This Row],[Mindre end]],S_normal[[#This Row],[Normalfordeling]],NA())</f>
        <v>3.3353976175184367E-2</v>
      </c>
      <c r="AA235" s="99" t="e">
        <f>IF(S_normal[[#This Row],[Større end]],S_normal[[#This Row],[Normalfordeling]],NA())</f>
        <v>#N/A</v>
      </c>
      <c r="AB235" s="72" t="str">
        <f>_xlfn.IFNA(IF(S_normal[[#This Row],[Indeks (base 0)]]=ROUND((ROUND(S_normal[[#This Row],[X base]],0)-U$8)/(U$9-U$8)*U$4,0),S_normal[[#This Row],[X base]]*B$6+B$5,""),"")</f>
        <v/>
      </c>
      <c r="AC235" s="99" t="str">
        <f t="shared" si="35"/>
        <v xml:space="preserve"> </v>
      </c>
      <c r="AE235" s="54">
        <f t="shared" si="38"/>
        <v>222</v>
      </c>
      <c r="AF235" s="54">
        <f>S_binomial[[#This Row],[Indeks (base 0)]]+1</f>
        <v>223</v>
      </c>
      <c r="AG235" s="99">
        <f t="shared" si="39"/>
        <v>2</v>
      </c>
      <c r="AH235" s="99">
        <f>IF(MOD(S_binomial[[#This Row],[Indeks (base 0)]],AF$7)=0,NA(),_xlfn.BINOM.DIST(S_binomial[[#This Row],[X base]],E$5,E$6,FALSE))</f>
        <v>4.261871040000002E-3</v>
      </c>
      <c r="AI235" s="99" t="b">
        <f>S_binomial[[#This Row],[X base]]&lt;AF$5</f>
        <v>1</v>
      </c>
      <c r="AJ235" s="99" t="b">
        <f>S_binomial[[#This Row],[X base]]=AF$5</f>
        <v>0</v>
      </c>
      <c r="AK235" s="99" t="b">
        <f>S_binomial[[#This Row],[X base]]&gt;AF$5</f>
        <v>0</v>
      </c>
      <c r="AL235" s="99">
        <f>IF(S_binomial[[#This Row],[Mindre end]],S_binomial[[#This Row],[Binomialfordeling]],NA())</f>
        <v>4.261871040000002E-3</v>
      </c>
      <c r="AM235" s="99" t="e">
        <f>IF(S_binomial[[#This Row],[Lig med]],S_binomial[[#This Row],[Binomialfordeling]],NA())</f>
        <v>#N/A</v>
      </c>
      <c r="AN235" s="99" t="e">
        <f>IF(S_binomial[[#This Row],[Større end]],S_binomial[[#This Row],[Binomialfordeling]],NA())</f>
        <v>#N/A</v>
      </c>
      <c r="AO235" s="85" t="str">
        <f>_xlfn.IFNA(IF(MOD(S_binomial[[#This Row],[Indeks (base 0)]],AF$7)=ROUNDDOWN(AF$7/2,0),S_binomial[[#This Row],[X base]],""),"")</f>
        <v/>
      </c>
      <c r="AP235" s="99" t="str">
        <f t="shared" si="40"/>
        <v xml:space="preserve"> </v>
      </c>
      <c r="AR235" s="54">
        <f t="shared" si="41"/>
        <v>222</v>
      </c>
      <c r="AS235" s="54">
        <f>S_normal27[[#This Row],[Indeks (base 0)]]+1</f>
        <v>223</v>
      </c>
      <c r="AT235" s="54">
        <f t="shared" si="43"/>
        <v>3</v>
      </c>
      <c r="AU235" s="54">
        <f>IF(MOD(S_normal27[[#This Row],[Indeks (base 0)]],AS$8)=0,NA(),_xlfn.POISSON.DIST(S_normal27[[#This Row],[X base]],$H$5,FALSE))</f>
        <v>0.22404180765538778</v>
      </c>
      <c r="AV235" s="99" t="b">
        <f>S_normal27[[#This Row],[X base]]&lt;AS$5</f>
        <v>0</v>
      </c>
      <c r="AW235" s="99" t="b">
        <f>S_normal27[[#This Row],[X base]]=AS$5</f>
        <v>0</v>
      </c>
      <c r="AX235" s="99" t="b">
        <f>S_normal27[[#This Row],[X base]]&gt;AS$5</f>
        <v>1</v>
      </c>
      <c r="AY235" s="99" t="e">
        <f>IF(S_normal27[[#This Row],[Mindre end]],S_normal27[[#This Row],[Poissonfordeling]],NA())</f>
        <v>#N/A</v>
      </c>
      <c r="AZ235" s="99" t="e">
        <f>IF(S_normal27[[#This Row],[Lig med]],S_normal27[[#This Row],[Poissonfordeling]],NA())</f>
        <v>#N/A</v>
      </c>
      <c r="BA235" s="99">
        <f>IF(S_normal27[[#This Row],[Større end]],S_normal27[[#This Row],[Poissonfordeling]],NA())</f>
        <v>0.22404180765538778</v>
      </c>
      <c r="BB235" s="85" t="str">
        <f>_xlfn.IFNA(IF(MOD(S_normal27[[#This Row],[Indeks (base 0)]],AS$8)=ROUNDDOWN(AS$8/2,0),S_normal27[[#This Row],[X base]],""),"")</f>
        <v/>
      </c>
      <c r="BC235" s="99" t="str">
        <f t="shared" si="42"/>
        <v xml:space="preserve"> </v>
      </c>
    </row>
    <row r="236" spans="20:55" x14ac:dyDescent="0.2">
      <c r="T236" s="54">
        <f t="shared" si="36"/>
        <v>223</v>
      </c>
      <c r="U236" s="54">
        <f>S_normal[[#This Row],[Indeks (base 0)]]+1</f>
        <v>224</v>
      </c>
      <c r="V236" s="99">
        <f t="shared" si="34"/>
        <v>2.2517971843393365</v>
      </c>
      <c r="W236" s="99">
        <f t="shared" si="37"/>
        <v>3.161151541500333E-2</v>
      </c>
      <c r="X236" s="99" t="b">
        <f>S_normal[[#This Row],[X base]]&lt;U$7</f>
        <v>1</v>
      </c>
      <c r="Y236" s="99" t="b">
        <f>S_normal[[#This Row],[X base]]&gt;U$7</f>
        <v>0</v>
      </c>
      <c r="Z236" s="99">
        <f>IF(S_normal[[#This Row],[Mindre end]],S_normal[[#This Row],[Normalfordeling]],NA())</f>
        <v>3.161151541500333E-2</v>
      </c>
      <c r="AA236" s="99" t="e">
        <f>IF(S_normal[[#This Row],[Større end]],S_normal[[#This Row],[Normalfordeling]],NA())</f>
        <v>#N/A</v>
      </c>
      <c r="AB236" s="72" t="str">
        <f>_xlfn.IFNA(IF(S_normal[[#This Row],[Indeks (base 0)]]=ROUND((ROUND(S_normal[[#This Row],[X base]],0)-U$8)/(U$9-U$8)*U$4,0),S_normal[[#This Row],[X base]]*B$6+B$5,""),"")</f>
        <v/>
      </c>
      <c r="AC236" s="99" t="str">
        <f t="shared" si="35"/>
        <v xml:space="preserve"> </v>
      </c>
      <c r="AE236" s="54">
        <f t="shared" si="38"/>
        <v>223</v>
      </c>
      <c r="AF236" s="54">
        <f>S_binomial[[#This Row],[Indeks (base 0)]]+1</f>
        <v>224</v>
      </c>
      <c r="AG236" s="99">
        <f t="shared" si="39"/>
        <v>2</v>
      </c>
      <c r="AH236" s="99">
        <f>IF(MOD(S_binomial[[#This Row],[Indeks (base 0)]],AF$7)=0,NA(),_xlfn.BINOM.DIST(S_binomial[[#This Row],[X base]],E$5,E$6,FALSE))</f>
        <v>4.261871040000002E-3</v>
      </c>
      <c r="AI236" s="99" t="b">
        <f>S_binomial[[#This Row],[X base]]&lt;AF$5</f>
        <v>1</v>
      </c>
      <c r="AJ236" s="99" t="b">
        <f>S_binomial[[#This Row],[X base]]=AF$5</f>
        <v>0</v>
      </c>
      <c r="AK236" s="99" t="b">
        <f>S_binomial[[#This Row],[X base]]&gt;AF$5</f>
        <v>0</v>
      </c>
      <c r="AL236" s="99">
        <f>IF(S_binomial[[#This Row],[Mindre end]],S_binomial[[#This Row],[Binomialfordeling]],NA())</f>
        <v>4.261871040000002E-3</v>
      </c>
      <c r="AM236" s="99" t="e">
        <f>IF(S_binomial[[#This Row],[Lig med]],S_binomial[[#This Row],[Binomialfordeling]],NA())</f>
        <v>#N/A</v>
      </c>
      <c r="AN236" s="99" t="e">
        <f>IF(S_binomial[[#This Row],[Større end]],S_binomial[[#This Row],[Binomialfordeling]],NA())</f>
        <v>#N/A</v>
      </c>
      <c r="AO236" s="85" t="str">
        <f>_xlfn.IFNA(IF(MOD(S_binomial[[#This Row],[Indeks (base 0)]],AF$7)=ROUNDDOWN(AF$7/2,0),S_binomial[[#This Row],[X base]],""),"")</f>
        <v/>
      </c>
      <c r="AP236" s="99" t="str">
        <f t="shared" si="40"/>
        <v xml:space="preserve"> </v>
      </c>
      <c r="AR236" s="54">
        <f t="shared" si="41"/>
        <v>223</v>
      </c>
      <c r="AS236" s="54">
        <f>S_normal27[[#This Row],[Indeks (base 0)]]+1</f>
        <v>224</v>
      </c>
      <c r="AT236" s="54">
        <f t="shared" si="43"/>
        <v>3</v>
      </c>
      <c r="AU236" s="54">
        <f>IF(MOD(S_normal27[[#This Row],[Indeks (base 0)]],AS$8)=0,NA(),_xlfn.POISSON.DIST(S_normal27[[#This Row],[X base]],$H$5,FALSE))</f>
        <v>0.22404180765538778</v>
      </c>
      <c r="AV236" s="99" t="b">
        <f>S_normal27[[#This Row],[X base]]&lt;AS$5</f>
        <v>0</v>
      </c>
      <c r="AW236" s="99" t="b">
        <f>S_normal27[[#This Row],[X base]]=AS$5</f>
        <v>0</v>
      </c>
      <c r="AX236" s="99" t="b">
        <f>S_normal27[[#This Row],[X base]]&gt;AS$5</f>
        <v>1</v>
      </c>
      <c r="AY236" s="99" t="e">
        <f>IF(S_normal27[[#This Row],[Mindre end]],S_normal27[[#This Row],[Poissonfordeling]],NA())</f>
        <v>#N/A</v>
      </c>
      <c r="AZ236" s="99" t="e">
        <f>IF(S_normal27[[#This Row],[Lig med]],S_normal27[[#This Row],[Poissonfordeling]],NA())</f>
        <v>#N/A</v>
      </c>
      <c r="BA236" s="99">
        <f>IF(S_normal27[[#This Row],[Større end]],S_normal27[[#This Row],[Poissonfordeling]],NA())</f>
        <v>0.22404180765538778</v>
      </c>
      <c r="BB236" s="85" t="str">
        <f>_xlfn.IFNA(IF(MOD(S_normal27[[#This Row],[Indeks (base 0)]],AS$8)=ROUNDDOWN(AS$8/2,0),S_normal27[[#This Row],[X base]],""),"")</f>
        <v/>
      </c>
      <c r="BC236" s="99" t="str">
        <f t="shared" si="42"/>
        <v xml:space="preserve"> </v>
      </c>
    </row>
    <row r="237" spans="20:55" x14ac:dyDescent="0.2">
      <c r="T237" s="54">
        <f t="shared" si="36"/>
        <v>224</v>
      </c>
      <c r="U237" s="54">
        <f>S_normal[[#This Row],[Indeks (base 0)]]+1</f>
        <v>225</v>
      </c>
      <c r="V237" s="99">
        <f t="shared" si="34"/>
        <v>2.2757524735344363</v>
      </c>
      <c r="W237" s="99">
        <f t="shared" si="37"/>
        <v>2.9942895529230493E-2</v>
      </c>
      <c r="X237" s="99" t="b">
        <f>S_normal[[#This Row],[X base]]&lt;U$7</f>
        <v>1</v>
      </c>
      <c r="Y237" s="99" t="b">
        <f>S_normal[[#This Row],[X base]]&gt;U$7</f>
        <v>0</v>
      </c>
      <c r="Z237" s="99">
        <f>IF(S_normal[[#This Row],[Mindre end]],S_normal[[#This Row],[Normalfordeling]],NA())</f>
        <v>2.9942895529230493E-2</v>
      </c>
      <c r="AA237" s="99" t="e">
        <f>IF(S_normal[[#This Row],[Større end]],S_normal[[#This Row],[Normalfordeling]],NA())</f>
        <v>#N/A</v>
      </c>
      <c r="AB237" s="72" t="str">
        <f>_xlfn.IFNA(IF(S_normal[[#This Row],[Indeks (base 0)]]=ROUND((ROUND(S_normal[[#This Row],[X base]],0)-U$8)/(U$9-U$8)*U$4,0),S_normal[[#This Row],[X base]]*B$6+B$5,""),"")</f>
        <v/>
      </c>
      <c r="AC237" s="99" t="str">
        <f t="shared" si="35"/>
        <v xml:space="preserve"> </v>
      </c>
      <c r="AE237" s="54">
        <f t="shared" si="38"/>
        <v>224</v>
      </c>
      <c r="AF237" s="54">
        <f>S_binomial[[#This Row],[Indeks (base 0)]]+1</f>
        <v>225</v>
      </c>
      <c r="AG237" s="99">
        <f t="shared" si="39"/>
        <v>2</v>
      </c>
      <c r="AH237" s="99">
        <f>IF(MOD(S_binomial[[#This Row],[Indeks (base 0)]],AF$7)=0,NA(),_xlfn.BINOM.DIST(S_binomial[[#This Row],[X base]],E$5,E$6,FALSE))</f>
        <v>4.261871040000002E-3</v>
      </c>
      <c r="AI237" s="99" t="b">
        <f>S_binomial[[#This Row],[X base]]&lt;AF$5</f>
        <v>1</v>
      </c>
      <c r="AJ237" s="99" t="b">
        <f>S_binomial[[#This Row],[X base]]=AF$5</f>
        <v>0</v>
      </c>
      <c r="AK237" s="99" t="b">
        <f>S_binomial[[#This Row],[X base]]&gt;AF$5</f>
        <v>0</v>
      </c>
      <c r="AL237" s="99">
        <f>IF(S_binomial[[#This Row],[Mindre end]],S_binomial[[#This Row],[Binomialfordeling]],NA())</f>
        <v>4.261871040000002E-3</v>
      </c>
      <c r="AM237" s="99" t="e">
        <f>IF(S_binomial[[#This Row],[Lig med]],S_binomial[[#This Row],[Binomialfordeling]],NA())</f>
        <v>#N/A</v>
      </c>
      <c r="AN237" s="99" t="e">
        <f>IF(S_binomial[[#This Row],[Større end]],S_binomial[[#This Row],[Binomialfordeling]],NA())</f>
        <v>#N/A</v>
      </c>
      <c r="AO237" s="85" t="str">
        <f>_xlfn.IFNA(IF(MOD(S_binomial[[#This Row],[Indeks (base 0)]],AF$7)=ROUNDDOWN(AF$7/2,0),S_binomial[[#This Row],[X base]],""),"")</f>
        <v/>
      </c>
      <c r="AP237" s="99" t="str">
        <f t="shared" si="40"/>
        <v xml:space="preserve"> </v>
      </c>
      <c r="AR237" s="54">
        <f t="shared" si="41"/>
        <v>224</v>
      </c>
      <c r="AS237" s="54">
        <f>S_normal27[[#This Row],[Indeks (base 0)]]+1</f>
        <v>225</v>
      </c>
      <c r="AT237" s="54">
        <f t="shared" si="43"/>
        <v>3</v>
      </c>
      <c r="AU237" s="54">
        <f>IF(MOD(S_normal27[[#This Row],[Indeks (base 0)]],AS$8)=0,NA(),_xlfn.POISSON.DIST(S_normal27[[#This Row],[X base]],$H$5,FALSE))</f>
        <v>0.22404180765538778</v>
      </c>
      <c r="AV237" s="99" t="b">
        <f>S_normal27[[#This Row],[X base]]&lt;AS$5</f>
        <v>0</v>
      </c>
      <c r="AW237" s="99" t="b">
        <f>S_normal27[[#This Row],[X base]]=AS$5</f>
        <v>0</v>
      </c>
      <c r="AX237" s="99" t="b">
        <f>S_normal27[[#This Row],[X base]]&gt;AS$5</f>
        <v>1</v>
      </c>
      <c r="AY237" s="99" t="e">
        <f>IF(S_normal27[[#This Row],[Mindre end]],S_normal27[[#This Row],[Poissonfordeling]],NA())</f>
        <v>#N/A</v>
      </c>
      <c r="AZ237" s="99" t="e">
        <f>IF(S_normal27[[#This Row],[Lig med]],S_normal27[[#This Row],[Poissonfordeling]],NA())</f>
        <v>#N/A</v>
      </c>
      <c r="BA237" s="99">
        <f>IF(S_normal27[[#This Row],[Større end]],S_normal27[[#This Row],[Poissonfordeling]],NA())</f>
        <v>0.22404180765538778</v>
      </c>
      <c r="BB237" s="85" t="str">
        <f>_xlfn.IFNA(IF(MOD(S_normal27[[#This Row],[Indeks (base 0)]],AS$8)=ROUNDDOWN(AS$8/2,0),S_normal27[[#This Row],[X base]],""),"")</f>
        <v/>
      </c>
      <c r="BC237" s="99" t="str">
        <f t="shared" si="42"/>
        <v xml:space="preserve"> </v>
      </c>
    </row>
    <row r="238" spans="20:55" x14ac:dyDescent="0.2">
      <c r="T238" s="54">
        <f t="shared" si="36"/>
        <v>225</v>
      </c>
      <c r="U238" s="54">
        <f>S_normal[[#This Row],[Indeks (base 0)]]+1</f>
        <v>226</v>
      </c>
      <c r="V238" s="99">
        <f t="shared" si="34"/>
        <v>2.2997077627295353</v>
      </c>
      <c r="W238" s="99">
        <f t="shared" si="37"/>
        <v>2.8346082828649768E-2</v>
      </c>
      <c r="X238" s="99" t="b">
        <f>S_normal[[#This Row],[X base]]&lt;U$7</f>
        <v>1</v>
      </c>
      <c r="Y238" s="99" t="b">
        <f>S_normal[[#This Row],[X base]]&gt;U$7</f>
        <v>0</v>
      </c>
      <c r="Z238" s="99">
        <f>IF(S_normal[[#This Row],[Mindre end]],S_normal[[#This Row],[Normalfordeling]],NA())</f>
        <v>2.8346082828649768E-2</v>
      </c>
      <c r="AA238" s="99" t="e">
        <f>IF(S_normal[[#This Row],[Større end]],S_normal[[#This Row],[Normalfordeling]],NA())</f>
        <v>#N/A</v>
      </c>
      <c r="AB238" s="72" t="str">
        <f>_xlfn.IFNA(IF(S_normal[[#This Row],[Indeks (base 0)]]=ROUND((ROUND(S_normal[[#This Row],[X base]],0)-U$8)/(U$9-U$8)*U$4,0),S_normal[[#This Row],[X base]]*B$6+B$5,""),"")</f>
        <v/>
      </c>
      <c r="AC238" s="99" t="str">
        <f t="shared" si="35"/>
        <v xml:space="preserve"> </v>
      </c>
      <c r="AE238" s="54">
        <f t="shared" si="38"/>
        <v>225</v>
      </c>
      <c r="AF238" s="54">
        <f>S_binomial[[#This Row],[Indeks (base 0)]]+1</f>
        <v>226</v>
      </c>
      <c r="AG238" s="99">
        <f t="shared" si="39"/>
        <v>2</v>
      </c>
      <c r="AH238" s="99">
        <f>IF(MOD(S_binomial[[#This Row],[Indeks (base 0)]],AF$7)=0,NA(),_xlfn.BINOM.DIST(S_binomial[[#This Row],[X base]],E$5,E$6,FALSE))</f>
        <v>4.261871040000002E-3</v>
      </c>
      <c r="AI238" s="99" t="b">
        <f>S_binomial[[#This Row],[X base]]&lt;AF$5</f>
        <v>1</v>
      </c>
      <c r="AJ238" s="99" t="b">
        <f>S_binomial[[#This Row],[X base]]=AF$5</f>
        <v>0</v>
      </c>
      <c r="AK238" s="99" t="b">
        <f>S_binomial[[#This Row],[X base]]&gt;AF$5</f>
        <v>0</v>
      </c>
      <c r="AL238" s="99">
        <f>IF(S_binomial[[#This Row],[Mindre end]],S_binomial[[#This Row],[Binomialfordeling]],NA())</f>
        <v>4.261871040000002E-3</v>
      </c>
      <c r="AM238" s="99" t="e">
        <f>IF(S_binomial[[#This Row],[Lig med]],S_binomial[[#This Row],[Binomialfordeling]],NA())</f>
        <v>#N/A</v>
      </c>
      <c r="AN238" s="99" t="e">
        <f>IF(S_binomial[[#This Row],[Større end]],S_binomial[[#This Row],[Binomialfordeling]],NA())</f>
        <v>#N/A</v>
      </c>
      <c r="AO238" s="85" t="str">
        <f>_xlfn.IFNA(IF(MOD(S_binomial[[#This Row],[Indeks (base 0)]],AF$7)=ROUNDDOWN(AF$7/2,0),S_binomial[[#This Row],[X base]],""),"")</f>
        <v/>
      </c>
      <c r="AP238" s="99" t="str">
        <f t="shared" si="40"/>
        <v xml:space="preserve"> </v>
      </c>
      <c r="AR238" s="54">
        <f t="shared" si="41"/>
        <v>225</v>
      </c>
      <c r="AS238" s="54">
        <f>S_normal27[[#This Row],[Indeks (base 0)]]+1</f>
        <v>226</v>
      </c>
      <c r="AT238" s="54">
        <f t="shared" si="43"/>
        <v>3</v>
      </c>
      <c r="AU238" s="54">
        <f>IF(MOD(S_normal27[[#This Row],[Indeks (base 0)]],AS$8)=0,NA(),_xlfn.POISSON.DIST(S_normal27[[#This Row],[X base]],$H$5,FALSE))</f>
        <v>0.22404180765538778</v>
      </c>
      <c r="AV238" s="99" t="b">
        <f>S_normal27[[#This Row],[X base]]&lt;AS$5</f>
        <v>0</v>
      </c>
      <c r="AW238" s="99" t="b">
        <f>S_normal27[[#This Row],[X base]]=AS$5</f>
        <v>0</v>
      </c>
      <c r="AX238" s="99" t="b">
        <f>S_normal27[[#This Row],[X base]]&gt;AS$5</f>
        <v>1</v>
      </c>
      <c r="AY238" s="99" t="e">
        <f>IF(S_normal27[[#This Row],[Mindre end]],S_normal27[[#This Row],[Poissonfordeling]],NA())</f>
        <v>#N/A</v>
      </c>
      <c r="AZ238" s="99" t="e">
        <f>IF(S_normal27[[#This Row],[Lig med]],S_normal27[[#This Row],[Poissonfordeling]],NA())</f>
        <v>#N/A</v>
      </c>
      <c r="BA238" s="99">
        <f>IF(S_normal27[[#This Row],[Større end]],S_normal27[[#This Row],[Poissonfordeling]],NA())</f>
        <v>0.22404180765538778</v>
      </c>
      <c r="BB238" s="85" t="str">
        <f>_xlfn.IFNA(IF(MOD(S_normal27[[#This Row],[Indeks (base 0)]],AS$8)=ROUNDDOWN(AS$8/2,0),S_normal27[[#This Row],[X base]],""),"")</f>
        <v/>
      </c>
      <c r="BC238" s="99" t="str">
        <f t="shared" si="42"/>
        <v xml:space="preserve"> </v>
      </c>
    </row>
    <row r="239" spans="20:55" x14ac:dyDescent="0.2">
      <c r="T239" s="54">
        <f t="shared" si="36"/>
        <v>226</v>
      </c>
      <c r="U239" s="54">
        <f>S_normal[[#This Row],[Indeks (base 0)]]+1</f>
        <v>227</v>
      </c>
      <c r="V239" s="99">
        <f t="shared" si="34"/>
        <v>2.3236630519246351</v>
      </c>
      <c r="W239" s="99">
        <f t="shared" si="37"/>
        <v>2.6819031238439629E-2</v>
      </c>
      <c r="X239" s="99" t="b">
        <f>S_normal[[#This Row],[X base]]&lt;U$7</f>
        <v>1</v>
      </c>
      <c r="Y239" s="99" t="b">
        <f>S_normal[[#This Row],[X base]]&gt;U$7</f>
        <v>0</v>
      </c>
      <c r="Z239" s="99">
        <f>IF(S_normal[[#This Row],[Mindre end]],S_normal[[#This Row],[Normalfordeling]],NA())</f>
        <v>2.6819031238439629E-2</v>
      </c>
      <c r="AA239" s="99" t="e">
        <f>IF(S_normal[[#This Row],[Større end]],S_normal[[#This Row],[Normalfordeling]],NA())</f>
        <v>#N/A</v>
      </c>
      <c r="AB239" s="72" t="str">
        <f>_xlfn.IFNA(IF(S_normal[[#This Row],[Indeks (base 0)]]=ROUND((ROUND(S_normal[[#This Row],[X base]],0)-U$8)/(U$9-U$8)*U$4,0),S_normal[[#This Row],[X base]]*B$6+B$5,""),"")</f>
        <v/>
      </c>
      <c r="AC239" s="99" t="str">
        <f t="shared" si="35"/>
        <v xml:space="preserve"> </v>
      </c>
      <c r="AE239" s="54">
        <f t="shared" si="38"/>
        <v>226</v>
      </c>
      <c r="AF239" s="54">
        <f>S_binomial[[#This Row],[Indeks (base 0)]]+1</f>
        <v>227</v>
      </c>
      <c r="AG239" s="99">
        <f t="shared" si="39"/>
        <v>2</v>
      </c>
      <c r="AH239" s="99">
        <f>IF(MOD(S_binomial[[#This Row],[Indeks (base 0)]],AF$7)=0,NA(),_xlfn.BINOM.DIST(S_binomial[[#This Row],[X base]],E$5,E$6,FALSE))</f>
        <v>4.261871040000002E-3</v>
      </c>
      <c r="AI239" s="99" t="b">
        <f>S_binomial[[#This Row],[X base]]&lt;AF$5</f>
        <v>1</v>
      </c>
      <c r="AJ239" s="99" t="b">
        <f>S_binomial[[#This Row],[X base]]=AF$5</f>
        <v>0</v>
      </c>
      <c r="AK239" s="99" t="b">
        <f>S_binomial[[#This Row],[X base]]&gt;AF$5</f>
        <v>0</v>
      </c>
      <c r="AL239" s="99">
        <f>IF(S_binomial[[#This Row],[Mindre end]],S_binomial[[#This Row],[Binomialfordeling]],NA())</f>
        <v>4.261871040000002E-3</v>
      </c>
      <c r="AM239" s="99" t="e">
        <f>IF(S_binomial[[#This Row],[Lig med]],S_binomial[[#This Row],[Binomialfordeling]],NA())</f>
        <v>#N/A</v>
      </c>
      <c r="AN239" s="99" t="e">
        <f>IF(S_binomial[[#This Row],[Større end]],S_binomial[[#This Row],[Binomialfordeling]],NA())</f>
        <v>#N/A</v>
      </c>
      <c r="AO239" s="85" t="str">
        <f>_xlfn.IFNA(IF(MOD(S_binomial[[#This Row],[Indeks (base 0)]],AF$7)=ROUNDDOWN(AF$7/2,0),S_binomial[[#This Row],[X base]],""),"")</f>
        <v/>
      </c>
      <c r="AP239" s="99" t="str">
        <f t="shared" si="40"/>
        <v xml:space="preserve"> </v>
      </c>
      <c r="AR239" s="54">
        <f t="shared" si="41"/>
        <v>226</v>
      </c>
      <c r="AS239" s="54">
        <f>S_normal27[[#This Row],[Indeks (base 0)]]+1</f>
        <v>227</v>
      </c>
      <c r="AT239" s="54">
        <f t="shared" si="43"/>
        <v>3</v>
      </c>
      <c r="AU239" s="54">
        <f>IF(MOD(S_normal27[[#This Row],[Indeks (base 0)]],AS$8)=0,NA(),_xlfn.POISSON.DIST(S_normal27[[#This Row],[X base]],$H$5,FALSE))</f>
        <v>0.22404180765538778</v>
      </c>
      <c r="AV239" s="99" t="b">
        <f>S_normal27[[#This Row],[X base]]&lt;AS$5</f>
        <v>0</v>
      </c>
      <c r="AW239" s="99" t="b">
        <f>S_normal27[[#This Row],[X base]]=AS$5</f>
        <v>0</v>
      </c>
      <c r="AX239" s="99" t="b">
        <f>S_normal27[[#This Row],[X base]]&gt;AS$5</f>
        <v>1</v>
      </c>
      <c r="AY239" s="99" t="e">
        <f>IF(S_normal27[[#This Row],[Mindre end]],S_normal27[[#This Row],[Poissonfordeling]],NA())</f>
        <v>#N/A</v>
      </c>
      <c r="AZ239" s="99" t="e">
        <f>IF(S_normal27[[#This Row],[Lig med]],S_normal27[[#This Row],[Poissonfordeling]],NA())</f>
        <v>#N/A</v>
      </c>
      <c r="BA239" s="99">
        <f>IF(S_normal27[[#This Row],[Større end]],S_normal27[[#This Row],[Poissonfordeling]],NA())</f>
        <v>0.22404180765538778</v>
      </c>
      <c r="BB239" s="85" t="str">
        <f>_xlfn.IFNA(IF(MOD(S_normal27[[#This Row],[Indeks (base 0)]],AS$8)=ROUNDDOWN(AS$8/2,0),S_normal27[[#This Row],[X base]],""),"")</f>
        <v/>
      </c>
      <c r="BC239" s="99" t="str">
        <f t="shared" si="42"/>
        <v xml:space="preserve"> </v>
      </c>
    </row>
    <row r="240" spans="20:55" x14ac:dyDescent="0.2">
      <c r="T240" s="54">
        <f t="shared" si="36"/>
        <v>227</v>
      </c>
      <c r="U240" s="54">
        <f>S_normal[[#This Row],[Indeks (base 0)]]+1</f>
        <v>228</v>
      </c>
      <c r="V240" s="99">
        <f t="shared" si="34"/>
        <v>2.347618341119734</v>
      </c>
      <c r="W240" s="99">
        <f t="shared" si="37"/>
        <v>2.5359687526847842E-2</v>
      </c>
      <c r="X240" s="99" t="b">
        <f>S_normal[[#This Row],[X base]]&lt;U$7</f>
        <v>1</v>
      </c>
      <c r="Y240" s="99" t="b">
        <f>S_normal[[#This Row],[X base]]&gt;U$7</f>
        <v>0</v>
      </c>
      <c r="Z240" s="99">
        <f>IF(S_normal[[#This Row],[Mindre end]],S_normal[[#This Row],[Normalfordeling]],NA())</f>
        <v>2.5359687526847842E-2</v>
      </c>
      <c r="AA240" s="99" t="e">
        <f>IF(S_normal[[#This Row],[Større end]],S_normal[[#This Row],[Normalfordeling]],NA())</f>
        <v>#N/A</v>
      </c>
      <c r="AB240" s="72" t="str">
        <f>_xlfn.IFNA(IF(S_normal[[#This Row],[Indeks (base 0)]]=ROUND((ROUND(S_normal[[#This Row],[X base]],0)-U$8)/(U$9-U$8)*U$4,0),S_normal[[#This Row],[X base]]*B$6+B$5,""),"")</f>
        <v/>
      </c>
      <c r="AC240" s="99" t="str">
        <f t="shared" si="35"/>
        <v xml:space="preserve"> </v>
      </c>
      <c r="AE240" s="54">
        <f t="shared" si="38"/>
        <v>227</v>
      </c>
      <c r="AF240" s="54">
        <f>S_binomial[[#This Row],[Indeks (base 0)]]+1</f>
        <v>228</v>
      </c>
      <c r="AG240" s="99">
        <f t="shared" si="39"/>
        <v>2</v>
      </c>
      <c r="AH240" s="99">
        <f>IF(MOD(S_binomial[[#This Row],[Indeks (base 0)]],AF$7)=0,NA(),_xlfn.BINOM.DIST(S_binomial[[#This Row],[X base]],E$5,E$6,FALSE))</f>
        <v>4.261871040000002E-3</v>
      </c>
      <c r="AI240" s="99" t="b">
        <f>S_binomial[[#This Row],[X base]]&lt;AF$5</f>
        <v>1</v>
      </c>
      <c r="AJ240" s="99" t="b">
        <f>S_binomial[[#This Row],[X base]]=AF$5</f>
        <v>0</v>
      </c>
      <c r="AK240" s="99" t="b">
        <f>S_binomial[[#This Row],[X base]]&gt;AF$5</f>
        <v>0</v>
      </c>
      <c r="AL240" s="99">
        <f>IF(S_binomial[[#This Row],[Mindre end]],S_binomial[[#This Row],[Binomialfordeling]],NA())</f>
        <v>4.261871040000002E-3</v>
      </c>
      <c r="AM240" s="99" t="e">
        <f>IF(S_binomial[[#This Row],[Lig med]],S_binomial[[#This Row],[Binomialfordeling]],NA())</f>
        <v>#N/A</v>
      </c>
      <c r="AN240" s="99" t="e">
        <f>IF(S_binomial[[#This Row],[Større end]],S_binomial[[#This Row],[Binomialfordeling]],NA())</f>
        <v>#N/A</v>
      </c>
      <c r="AO240" s="85" t="str">
        <f>_xlfn.IFNA(IF(MOD(S_binomial[[#This Row],[Indeks (base 0)]],AF$7)=ROUNDDOWN(AF$7/2,0),S_binomial[[#This Row],[X base]],""),"")</f>
        <v/>
      </c>
      <c r="AP240" s="99" t="str">
        <f t="shared" si="40"/>
        <v xml:space="preserve"> </v>
      </c>
      <c r="AR240" s="54">
        <f t="shared" si="41"/>
        <v>227</v>
      </c>
      <c r="AS240" s="54">
        <f>S_normal27[[#This Row],[Indeks (base 0)]]+1</f>
        <v>228</v>
      </c>
      <c r="AT240" s="54">
        <f t="shared" si="43"/>
        <v>3</v>
      </c>
      <c r="AU240" s="54">
        <f>IF(MOD(S_normal27[[#This Row],[Indeks (base 0)]],AS$8)=0,NA(),_xlfn.POISSON.DIST(S_normal27[[#This Row],[X base]],$H$5,FALSE))</f>
        <v>0.22404180765538778</v>
      </c>
      <c r="AV240" s="99" t="b">
        <f>S_normal27[[#This Row],[X base]]&lt;AS$5</f>
        <v>0</v>
      </c>
      <c r="AW240" s="99" t="b">
        <f>S_normal27[[#This Row],[X base]]=AS$5</f>
        <v>0</v>
      </c>
      <c r="AX240" s="99" t="b">
        <f>S_normal27[[#This Row],[X base]]&gt;AS$5</f>
        <v>1</v>
      </c>
      <c r="AY240" s="99" t="e">
        <f>IF(S_normal27[[#This Row],[Mindre end]],S_normal27[[#This Row],[Poissonfordeling]],NA())</f>
        <v>#N/A</v>
      </c>
      <c r="AZ240" s="99" t="e">
        <f>IF(S_normal27[[#This Row],[Lig med]],S_normal27[[#This Row],[Poissonfordeling]],NA())</f>
        <v>#N/A</v>
      </c>
      <c r="BA240" s="99">
        <f>IF(S_normal27[[#This Row],[Større end]],S_normal27[[#This Row],[Poissonfordeling]],NA())</f>
        <v>0.22404180765538778</v>
      </c>
      <c r="BB240" s="85">
        <f>_xlfn.IFNA(IF(MOD(S_normal27[[#This Row],[Indeks (base 0)]],AS$8)=ROUNDDOWN(AS$8/2,0),S_normal27[[#This Row],[X base]],""),"")</f>
        <v>3</v>
      </c>
      <c r="BC240" s="99" t="str">
        <f t="shared" si="42"/>
        <v>57.681%
 større end 2</v>
      </c>
    </row>
    <row r="241" spans="20:55" x14ac:dyDescent="0.2">
      <c r="T241" s="54">
        <f t="shared" si="36"/>
        <v>228</v>
      </c>
      <c r="U241" s="54">
        <f>S_normal[[#This Row],[Indeks (base 0)]]+1</f>
        <v>229</v>
      </c>
      <c r="V241" s="99">
        <f t="shared" si="34"/>
        <v>2.3715736303148329</v>
      </c>
      <c r="W241" s="99">
        <f t="shared" si="37"/>
        <v>2.3965996273642022E-2</v>
      </c>
      <c r="X241" s="99" t="b">
        <f>S_normal[[#This Row],[X base]]&lt;U$7</f>
        <v>1</v>
      </c>
      <c r="Y241" s="99" t="b">
        <f>S_normal[[#This Row],[X base]]&gt;U$7</f>
        <v>0</v>
      </c>
      <c r="Z241" s="99">
        <f>IF(S_normal[[#This Row],[Mindre end]],S_normal[[#This Row],[Normalfordeling]],NA())</f>
        <v>2.3965996273642022E-2</v>
      </c>
      <c r="AA241" s="99" t="e">
        <f>IF(S_normal[[#This Row],[Større end]],S_normal[[#This Row],[Normalfordeling]],NA())</f>
        <v>#N/A</v>
      </c>
      <c r="AB241" s="72" t="str">
        <f>_xlfn.IFNA(IF(S_normal[[#This Row],[Indeks (base 0)]]=ROUND((ROUND(S_normal[[#This Row],[X base]],0)-U$8)/(U$9-U$8)*U$4,0),S_normal[[#This Row],[X base]]*B$6+B$5,""),"")</f>
        <v/>
      </c>
      <c r="AC241" s="99" t="str">
        <f t="shared" si="35"/>
        <v xml:space="preserve"> </v>
      </c>
      <c r="AE241" s="54">
        <f t="shared" si="38"/>
        <v>228</v>
      </c>
      <c r="AF241" s="54">
        <f>S_binomial[[#This Row],[Indeks (base 0)]]+1</f>
        <v>229</v>
      </c>
      <c r="AG241" s="99">
        <f t="shared" si="39"/>
        <v>2</v>
      </c>
      <c r="AH241" s="99">
        <f>IF(MOD(S_binomial[[#This Row],[Indeks (base 0)]],AF$7)=0,NA(),_xlfn.BINOM.DIST(S_binomial[[#This Row],[X base]],E$5,E$6,FALSE))</f>
        <v>4.261871040000002E-3</v>
      </c>
      <c r="AI241" s="99" t="b">
        <f>S_binomial[[#This Row],[X base]]&lt;AF$5</f>
        <v>1</v>
      </c>
      <c r="AJ241" s="99" t="b">
        <f>S_binomial[[#This Row],[X base]]=AF$5</f>
        <v>0</v>
      </c>
      <c r="AK241" s="99" t="b">
        <f>S_binomial[[#This Row],[X base]]&gt;AF$5</f>
        <v>0</v>
      </c>
      <c r="AL241" s="99">
        <f>IF(S_binomial[[#This Row],[Mindre end]],S_binomial[[#This Row],[Binomialfordeling]],NA())</f>
        <v>4.261871040000002E-3</v>
      </c>
      <c r="AM241" s="99" t="e">
        <f>IF(S_binomial[[#This Row],[Lig med]],S_binomial[[#This Row],[Binomialfordeling]],NA())</f>
        <v>#N/A</v>
      </c>
      <c r="AN241" s="99" t="e">
        <f>IF(S_binomial[[#This Row],[Større end]],S_binomial[[#This Row],[Binomialfordeling]],NA())</f>
        <v>#N/A</v>
      </c>
      <c r="AO241" s="85" t="str">
        <f>_xlfn.IFNA(IF(MOD(S_binomial[[#This Row],[Indeks (base 0)]],AF$7)=ROUNDDOWN(AF$7/2,0),S_binomial[[#This Row],[X base]],""),"")</f>
        <v/>
      </c>
      <c r="AP241" s="99" t="str">
        <f t="shared" si="40"/>
        <v xml:space="preserve"> </v>
      </c>
      <c r="AR241" s="54">
        <f t="shared" si="41"/>
        <v>228</v>
      </c>
      <c r="AS241" s="54">
        <f>S_normal27[[#This Row],[Indeks (base 0)]]+1</f>
        <v>229</v>
      </c>
      <c r="AT241" s="54">
        <f t="shared" si="43"/>
        <v>3</v>
      </c>
      <c r="AU241" s="54">
        <f>IF(MOD(S_normal27[[#This Row],[Indeks (base 0)]],AS$8)=0,NA(),_xlfn.POISSON.DIST(S_normal27[[#This Row],[X base]],$H$5,FALSE))</f>
        <v>0.22404180765538778</v>
      </c>
      <c r="AV241" s="99" t="b">
        <f>S_normal27[[#This Row],[X base]]&lt;AS$5</f>
        <v>0</v>
      </c>
      <c r="AW241" s="99" t="b">
        <f>S_normal27[[#This Row],[X base]]=AS$5</f>
        <v>0</v>
      </c>
      <c r="AX241" s="99" t="b">
        <f>S_normal27[[#This Row],[X base]]&gt;AS$5</f>
        <v>1</v>
      </c>
      <c r="AY241" s="99" t="e">
        <f>IF(S_normal27[[#This Row],[Mindre end]],S_normal27[[#This Row],[Poissonfordeling]],NA())</f>
        <v>#N/A</v>
      </c>
      <c r="AZ241" s="99" t="e">
        <f>IF(S_normal27[[#This Row],[Lig med]],S_normal27[[#This Row],[Poissonfordeling]],NA())</f>
        <v>#N/A</v>
      </c>
      <c r="BA241" s="99">
        <f>IF(S_normal27[[#This Row],[Større end]],S_normal27[[#This Row],[Poissonfordeling]],NA())</f>
        <v>0.22404180765538778</v>
      </c>
      <c r="BB241" s="85" t="str">
        <f>_xlfn.IFNA(IF(MOD(S_normal27[[#This Row],[Indeks (base 0)]],AS$8)=ROUNDDOWN(AS$8/2,0),S_normal27[[#This Row],[X base]],""),"")</f>
        <v/>
      </c>
      <c r="BC241" s="99" t="str">
        <f t="shared" si="42"/>
        <v xml:space="preserve"> </v>
      </c>
    </row>
    <row r="242" spans="20:55" x14ac:dyDescent="0.2">
      <c r="T242" s="54">
        <f t="shared" si="36"/>
        <v>229</v>
      </c>
      <c r="U242" s="54">
        <f>S_normal[[#This Row],[Indeks (base 0)]]+1</f>
        <v>230</v>
      </c>
      <c r="V242" s="99">
        <f t="shared" si="34"/>
        <v>2.3955289195099327</v>
      </c>
      <c r="W242" s="99">
        <f t="shared" si="37"/>
        <v>2.2635904575720501E-2</v>
      </c>
      <c r="X242" s="99" t="b">
        <f>S_normal[[#This Row],[X base]]&lt;U$7</f>
        <v>1</v>
      </c>
      <c r="Y242" s="99" t="b">
        <f>S_normal[[#This Row],[X base]]&gt;U$7</f>
        <v>0</v>
      </c>
      <c r="Z242" s="99">
        <f>IF(S_normal[[#This Row],[Mindre end]],S_normal[[#This Row],[Normalfordeling]],NA())</f>
        <v>2.2635904575720501E-2</v>
      </c>
      <c r="AA242" s="99" t="e">
        <f>IF(S_normal[[#This Row],[Større end]],S_normal[[#This Row],[Normalfordeling]],NA())</f>
        <v>#N/A</v>
      </c>
      <c r="AB242" s="72" t="str">
        <f>_xlfn.IFNA(IF(S_normal[[#This Row],[Indeks (base 0)]]=ROUND((ROUND(S_normal[[#This Row],[X base]],0)-U$8)/(U$9-U$8)*U$4,0),S_normal[[#This Row],[X base]]*B$6+B$5,""),"")</f>
        <v/>
      </c>
      <c r="AC242" s="99" t="str">
        <f t="shared" si="35"/>
        <v xml:space="preserve"> </v>
      </c>
      <c r="AE242" s="54">
        <f t="shared" si="38"/>
        <v>229</v>
      </c>
      <c r="AF242" s="54">
        <f>S_binomial[[#This Row],[Indeks (base 0)]]+1</f>
        <v>230</v>
      </c>
      <c r="AG242" s="99">
        <f t="shared" si="39"/>
        <v>2</v>
      </c>
      <c r="AH242" s="99">
        <f>IF(MOD(S_binomial[[#This Row],[Indeks (base 0)]],AF$7)=0,NA(),_xlfn.BINOM.DIST(S_binomial[[#This Row],[X base]],E$5,E$6,FALSE))</f>
        <v>4.261871040000002E-3</v>
      </c>
      <c r="AI242" s="99" t="b">
        <f>S_binomial[[#This Row],[X base]]&lt;AF$5</f>
        <v>1</v>
      </c>
      <c r="AJ242" s="99" t="b">
        <f>S_binomial[[#This Row],[X base]]=AF$5</f>
        <v>0</v>
      </c>
      <c r="AK242" s="99" t="b">
        <f>S_binomial[[#This Row],[X base]]&gt;AF$5</f>
        <v>0</v>
      </c>
      <c r="AL242" s="99">
        <f>IF(S_binomial[[#This Row],[Mindre end]],S_binomial[[#This Row],[Binomialfordeling]],NA())</f>
        <v>4.261871040000002E-3</v>
      </c>
      <c r="AM242" s="99" t="e">
        <f>IF(S_binomial[[#This Row],[Lig med]],S_binomial[[#This Row],[Binomialfordeling]],NA())</f>
        <v>#N/A</v>
      </c>
      <c r="AN242" s="99" t="e">
        <f>IF(S_binomial[[#This Row],[Større end]],S_binomial[[#This Row],[Binomialfordeling]],NA())</f>
        <v>#N/A</v>
      </c>
      <c r="AO242" s="85" t="str">
        <f>_xlfn.IFNA(IF(MOD(S_binomial[[#This Row],[Indeks (base 0)]],AF$7)=ROUNDDOWN(AF$7/2,0),S_binomial[[#This Row],[X base]],""),"")</f>
        <v/>
      </c>
      <c r="AP242" s="99" t="str">
        <f t="shared" si="40"/>
        <v xml:space="preserve"> </v>
      </c>
      <c r="AR242" s="54">
        <f t="shared" si="41"/>
        <v>229</v>
      </c>
      <c r="AS242" s="54">
        <f>S_normal27[[#This Row],[Indeks (base 0)]]+1</f>
        <v>230</v>
      </c>
      <c r="AT242" s="54">
        <f t="shared" si="43"/>
        <v>3</v>
      </c>
      <c r="AU242" s="54">
        <f>IF(MOD(S_normal27[[#This Row],[Indeks (base 0)]],AS$8)=0,NA(),_xlfn.POISSON.DIST(S_normal27[[#This Row],[X base]],$H$5,FALSE))</f>
        <v>0.22404180765538778</v>
      </c>
      <c r="AV242" s="99" t="b">
        <f>S_normal27[[#This Row],[X base]]&lt;AS$5</f>
        <v>0</v>
      </c>
      <c r="AW242" s="99" t="b">
        <f>S_normal27[[#This Row],[X base]]=AS$5</f>
        <v>0</v>
      </c>
      <c r="AX242" s="99" t="b">
        <f>S_normal27[[#This Row],[X base]]&gt;AS$5</f>
        <v>1</v>
      </c>
      <c r="AY242" s="99" t="e">
        <f>IF(S_normal27[[#This Row],[Mindre end]],S_normal27[[#This Row],[Poissonfordeling]],NA())</f>
        <v>#N/A</v>
      </c>
      <c r="AZ242" s="99" t="e">
        <f>IF(S_normal27[[#This Row],[Lig med]],S_normal27[[#This Row],[Poissonfordeling]],NA())</f>
        <v>#N/A</v>
      </c>
      <c r="BA242" s="99">
        <f>IF(S_normal27[[#This Row],[Større end]],S_normal27[[#This Row],[Poissonfordeling]],NA())</f>
        <v>0.22404180765538778</v>
      </c>
      <c r="BB242" s="85" t="str">
        <f>_xlfn.IFNA(IF(MOD(S_normal27[[#This Row],[Indeks (base 0)]],AS$8)=ROUNDDOWN(AS$8/2,0),S_normal27[[#This Row],[X base]],""),"")</f>
        <v/>
      </c>
      <c r="BC242" s="99" t="str">
        <f t="shared" si="42"/>
        <v xml:space="preserve"> </v>
      </c>
    </row>
    <row r="243" spans="20:55" x14ac:dyDescent="0.2">
      <c r="T243" s="54">
        <f t="shared" si="36"/>
        <v>230</v>
      </c>
      <c r="U243" s="54">
        <f>S_normal[[#This Row],[Indeks (base 0)]]+1</f>
        <v>231</v>
      </c>
      <c r="V243" s="99">
        <f t="shared" si="34"/>
        <v>2.4194842087050317</v>
      </c>
      <c r="W243" s="99">
        <f t="shared" si="37"/>
        <v>2.136736648843357E-2</v>
      </c>
      <c r="X243" s="99" t="b">
        <f>S_normal[[#This Row],[X base]]&lt;U$7</f>
        <v>1</v>
      </c>
      <c r="Y243" s="99" t="b">
        <f>S_normal[[#This Row],[X base]]&gt;U$7</f>
        <v>0</v>
      </c>
      <c r="Z243" s="99">
        <f>IF(S_normal[[#This Row],[Mindre end]],S_normal[[#This Row],[Normalfordeling]],NA())</f>
        <v>2.136736648843357E-2</v>
      </c>
      <c r="AA243" s="99" t="e">
        <f>IF(S_normal[[#This Row],[Større end]],S_normal[[#This Row],[Normalfordeling]],NA())</f>
        <v>#N/A</v>
      </c>
      <c r="AB243" s="72" t="str">
        <f>_xlfn.IFNA(IF(S_normal[[#This Row],[Indeks (base 0)]]=ROUND((ROUND(S_normal[[#This Row],[X base]],0)-U$8)/(U$9-U$8)*U$4,0),S_normal[[#This Row],[X base]]*B$6+B$5,""),"")</f>
        <v/>
      </c>
      <c r="AC243" s="99" t="str">
        <f t="shared" si="35"/>
        <v xml:space="preserve"> </v>
      </c>
      <c r="AE243" s="54">
        <f t="shared" si="38"/>
        <v>230</v>
      </c>
      <c r="AF243" s="54">
        <f>S_binomial[[#This Row],[Indeks (base 0)]]+1</f>
        <v>231</v>
      </c>
      <c r="AG243" s="99">
        <f t="shared" si="39"/>
        <v>2</v>
      </c>
      <c r="AH243" s="99">
        <f>IF(MOD(S_binomial[[#This Row],[Indeks (base 0)]],AF$7)=0,NA(),_xlfn.BINOM.DIST(S_binomial[[#This Row],[X base]],E$5,E$6,FALSE))</f>
        <v>4.261871040000002E-3</v>
      </c>
      <c r="AI243" s="99" t="b">
        <f>S_binomial[[#This Row],[X base]]&lt;AF$5</f>
        <v>1</v>
      </c>
      <c r="AJ243" s="99" t="b">
        <f>S_binomial[[#This Row],[X base]]=AF$5</f>
        <v>0</v>
      </c>
      <c r="AK243" s="99" t="b">
        <f>S_binomial[[#This Row],[X base]]&gt;AF$5</f>
        <v>0</v>
      </c>
      <c r="AL243" s="99">
        <f>IF(S_binomial[[#This Row],[Mindre end]],S_binomial[[#This Row],[Binomialfordeling]],NA())</f>
        <v>4.261871040000002E-3</v>
      </c>
      <c r="AM243" s="99" t="e">
        <f>IF(S_binomial[[#This Row],[Lig med]],S_binomial[[#This Row],[Binomialfordeling]],NA())</f>
        <v>#N/A</v>
      </c>
      <c r="AN243" s="99" t="e">
        <f>IF(S_binomial[[#This Row],[Større end]],S_binomial[[#This Row],[Binomialfordeling]],NA())</f>
        <v>#N/A</v>
      </c>
      <c r="AO243" s="85">
        <f>_xlfn.IFNA(IF(MOD(S_binomial[[#This Row],[Indeks (base 0)]],AF$7)=ROUNDDOWN(AF$7/2,0),S_binomial[[#This Row],[X base]],""),"")</f>
        <v>2</v>
      </c>
      <c r="AP243" s="99" t="str">
        <f t="shared" si="40"/>
        <v>20.027%
mindre end 5</v>
      </c>
      <c r="AR243" s="54">
        <f t="shared" si="41"/>
        <v>230</v>
      </c>
      <c r="AS243" s="54">
        <f>S_normal27[[#This Row],[Indeks (base 0)]]+1</f>
        <v>231</v>
      </c>
      <c r="AT243" s="54">
        <f t="shared" si="43"/>
        <v>3</v>
      </c>
      <c r="AU243" s="54">
        <f>IF(MOD(S_normal27[[#This Row],[Indeks (base 0)]],AS$8)=0,NA(),_xlfn.POISSON.DIST(S_normal27[[#This Row],[X base]],$H$5,FALSE))</f>
        <v>0.22404180765538778</v>
      </c>
      <c r="AV243" s="99" t="b">
        <f>S_normal27[[#This Row],[X base]]&lt;AS$5</f>
        <v>0</v>
      </c>
      <c r="AW243" s="99" t="b">
        <f>S_normal27[[#This Row],[X base]]=AS$5</f>
        <v>0</v>
      </c>
      <c r="AX243" s="99" t="b">
        <f>S_normal27[[#This Row],[X base]]&gt;AS$5</f>
        <v>1</v>
      </c>
      <c r="AY243" s="99" t="e">
        <f>IF(S_normal27[[#This Row],[Mindre end]],S_normal27[[#This Row],[Poissonfordeling]],NA())</f>
        <v>#N/A</v>
      </c>
      <c r="AZ243" s="99" t="e">
        <f>IF(S_normal27[[#This Row],[Lig med]],S_normal27[[#This Row],[Poissonfordeling]],NA())</f>
        <v>#N/A</v>
      </c>
      <c r="BA243" s="99">
        <f>IF(S_normal27[[#This Row],[Større end]],S_normal27[[#This Row],[Poissonfordeling]],NA())</f>
        <v>0.22404180765538778</v>
      </c>
      <c r="BB243" s="85" t="str">
        <f>_xlfn.IFNA(IF(MOD(S_normal27[[#This Row],[Indeks (base 0)]],AS$8)=ROUNDDOWN(AS$8/2,0),S_normal27[[#This Row],[X base]],""),"")</f>
        <v/>
      </c>
      <c r="BC243" s="99" t="str">
        <f t="shared" si="42"/>
        <v xml:space="preserve"> </v>
      </c>
    </row>
    <row r="244" spans="20:55" x14ac:dyDescent="0.2">
      <c r="T244" s="54">
        <f t="shared" si="36"/>
        <v>231</v>
      </c>
      <c r="U244" s="54">
        <f>S_normal[[#This Row],[Indeks (base 0)]]+1</f>
        <v>232</v>
      </c>
      <c r="V244" s="99">
        <f t="shared" si="34"/>
        <v>2.4434394979001315</v>
      </c>
      <c r="W244" s="99">
        <f t="shared" si="37"/>
        <v>2.0158347202276675E-2</v>
      </c>
      <c r="X244" s="99" t="b">
        <f>S_normal[[#This Row],[X base]]&lt;U$7</f>
        <v>1</v>
      </c>
      <c r="Y244" s="99" t="b">
        <f>S_normal[[#This Row],[X base]]&gt;U$7</f>
        <v>0</v>
      </c>
      <c r="Z244" s="99">
        <f>IF(S_normal[[#This Row],[Mindre end]],S_normal[[#This Row],[Normalfordeling]],NA())</f>
        <v>2.0158347202276675E-2</v>
      </c>
      <c r="AA244" s="99" t="e">
        <f>IF(S_normal[[#This Row],[Større end]],S_normal[[#This Row],[Normalfordeling]],NA())</f>
        <v>#N/A</v>
      </c>
      <c r="AB244" s="72" t="str">
        <f>_xlfn.IFNA(IF(S_normal[[#This Row],[Indeks (base 0)]]=ROUND((ROUND(S_normal[[#This Row],[X base]],0)-U$8)/(U$9-U$8)*U$4,0),S_normal[[#This Row],[X base]]*B$6+B$5,""),"")</f>
        <v/>
      </c>
      <c r="AC244" s="99" t="str">
        <f t="shared" si="35"/>
        <v xml:space="preserve"> </v>
      </c>
      <c r="AE244" s="54">
        <f t="shared" si="38"/>
        <v>231</v>
      </c>
      <c r="AF244" s="54">
        <f>S_binomial[[#This Row],[Indeks (base 0)]]+1</f>
        <v>232</v>
      </c>
      <c r="AG244" s="99">
        <f t="shared" si="39"/>
        <v>2</v>
      </c>
      <c r="AH244" s="99">
        <f>IF(MOD(S_binomial[[#This Row],[Indeks (base 0)]],AF$7)=0,NA(),_xlfn.BINOM.DIST(S_binomial[[#This Row],[X base]],E$5,E$6,FALSE))</f>
        <v>4.261871040000002E-3</v>
      </c>
      <c r="AI244" s="99" t="b">
        <f>S_binomial[[#This Row],[X base]]&lt;AF$5</f>
        <v>1</v>
      </c>
      <c r="AJ244" s="99" t="b">
        <f>S_binomial[[#This Row],[X base]]=AF$5</f>
        <v>0</v>
      </c>
      <c r="AK244" s="99" t="b">
        <f>S_binomial[[#This Row],[X base]]&gt;AF$5</f>
        <v>0</v>
      </c>
      <c r="AL244" s="99">
        <f>IF(S_binomial[[#This Row],[Mindre end]],S_binomial[[#This Row],[Binomialfordeling]],NA())</f>
        <v>4.261871040000002E-3</v>
      </c>
      <c r="AM244" s="99" t="e">
        <f>IF(S_binomial[[#This Row],[Lig med]],S_binomial[[#This Row],[Binomialfordeling]],NA())</f>
        <v>#N/A</v>
      </c>
      <c r="AN244" s="99" t="e">
        <f>IF(S_binomial[[#This Row],[Større end]],S_binomial[[#This Row],[Binomialfordeling]],NA())</f>
        <v>#N/A</v>
      </c>
      <c r="AO244" s="85" t="str">
        <f>_xlfn.IFNA(IF(MOD(S_binomial[[#This Row],[Indeks (base 0)]],AF$7)=ROUNDDOWN(AF$7/2,0),S_binomial[[#This Row],[X base]],""),"")</f>
        <v/>
      </c>
      <c r="AP244" s="99" t="str">
        <f t="shared" si="40"/>
        <v xml:space="preserve"> </v>
      </c>
      <c r="AR244" s="54">
        <f t="shared" si="41"/>
        <v>231</v>
      </c>
      <c r="AS244" s="54">
        <f>S_normal27[[#This Row],[Indeks (base 0)]]+1</f>
        <v>232</v>
      </c>
      <c r="AT244" s="54">
        <f t="shared" si="43"/>
        <v>3</v>
      </c>
      <c r="AU244" s="54">
        <f>IF(MOD(S_normal27[[#This Row],[Indeks (base 0)]],AS$8)=0,NA(),_xlfn.POISSON.DIST(S_normal27[[#This Row],[X base]],$H$5,FALSE))</f>
        <v>0.22404180765538778</v>
      </c>
      <c r="AV244" s="99" t="b">
        <f>S_normal27[[#This Row],[X base]]&lt;AS$5</f>
        <v>0</v>
      </c>
      <c r="AW244" s="99" t="b">
        <f>S_normal27[[#This Row],[X base]]=AS$5</f>
        <v>0</v>
      </c>
      <c r="AX244" s="99" t="b">
        <f>S_normal27[[#This Row],[X base]]&gt;AS$5</f>
        <v>1</v>
      </c>
      <c r="AY244" s="99" t="e">
        <f>IF(S_normal27[[#This Row],[Mindre end]],S_normal27[[#This Row],[Poissonfordeling]],NA())</f>
        <v>#N/A</v>
      </c>
      <c r="AZ244" s="99" t="e">
        <f>IF(S_normal27[[#This Row],[Lig med]],S_normal27[[#This Row],[Poissonfordeling]],NA())</f>
        <v>#N/A</v>
      </c>
      <c r="BA244" s="99">
        <f>IF(S_normal27[[#This Row],[Større end]],S_normal27[[#This Row],[Poissonfordeling]],NA())</f>
        <v>0.22404180765538778</v>
      </c>
      <c r="BB244" s="85" t="str">
        <f>_xlfn.IFNA(IF(MOD(S_normal27[[#This Row],[Indeks (base 0)]],AS$8)=ROUNDDOWN(AS$8/2,0),S_normal27[[#This Row],[X base]],""),"")</f>
        <v/>
      </c>
      <c r="BC244" s="99" t="str">
        <f t="shared" si="42"/>
        <v xml:space="preserve"> </v>
      </c>
    </row>
    <row r="245" spans="20:55" x14ac:dyDescent="0.2">
      <c r="T245" s="54">
        <f t="shared" si="36"/>
        <v>232</v>
      </c>
      <c r="U245" s="54">
        <f>S_normal[[#This Row],[Indeks (base 0)]]+1</f>
        <v>233</v>
      </c>
      <c r="V245" s="99">
        <f t="shared" si="34"/>
        <v>2.4673947870952304</v>
      </c>
      <c r="W245" s="99">
        <f t="shared" si="37"/>
        <v>1.9006826955669437E-2</v>
      </c>
      <c r="X245" s="99" t="b">
        <f>S_normal[[#This Row],[X base]]&lt;U$7</f>
        <v>1</v>
      </c>
      <c r="Y245" s="99" t="b">
        <f>S_normal[[#This Row],[X base]]&gt;U$7</f>
        <v>0</v>
      </c>
      <c r="Z245" s="99">
        <f>IF(S_normal[[#This Row],[Mindre end]],S_normal[[#This Row],[Normalfordeling]],NA())</f>
        <v>1.9006826955669437E-2</v>
      </c>
      <c r="AA245" s="99" t="e">
        <f>IF(S_normal[[#This Row],[Større end]],S_normal[[#This Row],[Normalfordeling]],NA())</f>
        <v>#N/A</v>
      </c>
      <c r="AB245" s="72" t="str">
        <f>_xlfn.IFNA(IF(S_normal[[#This Row],[Indeks (base 0)]]=ROUND((ROUND(S_normal[[#This Row],[X base]],0)-U$8)/(U$9-U$8)*U$4,0),S_normal[[#This Row],[X base]]*B$6+B$5,""),"")</f>
        <v/>
      </c>
      <c r="AC245" s="99" t="str">
        <f t="shared" si="35"/>
        <v xml:space="preserve"> </v>
      </c>
      <c r="AE245" s="54">
        <f t="shared" si="38"/>
        <v>232</v>
      </c>
      <c r="AF245" s="54">
        <f>S_binomial[[#This Row],[Indeks (base 0)]]+1</f>
        <v>233</v>
      </c>
      <c r="AG245" s="99">
        <f t="shared" si="39"/>
        <v>2</v>
      </c>
      <c r="AH245" s="99">
        <f>IF(MOD(S_binomial[[#This Row],[Indeks (base 0)]],AF$7)=0,NA(),_xlfn.BINOM.DIST(S_binomial[[#This Row],[X base]],E$5,E$6,FALSE))</f>
        <v>4.261871040000002E-3</v>
      </c>
      <c r="AI245" s="99" t="b">
        <f>S_binomial[[#This Row],[X base]]&lt;AF$5</f>
        <v>1</v>
      </c>
      <c r="AJ245" s="99" t="b">
        <f>S_binomial[[#This Row],[X base]]=AF$5</f>
        <v>0</v>
      </c>
      <c r="AK245" s="99" t="b">
        <f>S_binomial[[#This Row],[X base]]&gt;AF$5</f>
        <v>0</v>
      </c>
      <c r="AL245" s="99">
        <f>IF(S_binomial[[#This Row],[Mindre end]],S_binomial[[#This Row],[Binomialfordeling]],NA())</f>
        <v>4.261871040000002E-3</v>
      </c>
      <c r="AM245" s="99" t="e">
        <f>IF(S_binomial[[#This Row],[Lig med]],S_binomial[[#This Row],[Binomialfordeling]],NA())</f>
        <v>#N/A</v>
      </c>
      <c r="AN245" s="99" t="e">
        <f>IF(S_binomial[[#This Row],[Større end]],S_binomial[[#This Row],[Binomialfordeling]],NA())</f>
        <v>#N/A</v>
      </c>
      <c r="AO245" s="85" t="str">
        <f>_xlfn.IFNA(IF(MOD(S_binomial[[#This Row],[Indeks (base 0)]],AF$7)=ROUNDDOWN(AF$7/2,0),S_binomial[[#This Row],[X base]],""),"")</f>
        <v/>
      </c>
      <c r="AP245" s="99" t="str">
        <f t="shared" si="40"/>
        <v xml:space="preserve"> </v>
      </c>
      <c r="AR245" s="54">
        <f t="shared" si="41"/>
        <v>232</v>
      </c>
      <c r="AS245" s="54">
        <f>S_normal27[[#This Row],[Indeks (base 0)]]+1</f>
        <v>233</v>
      </c>
      <c r="AT245" s="54">
        <f t="shared" si="43"/>
        <v>3</v>
      </c>
      <c r="AU245" s="54">
        <f>IF(MOD(S_normal27[[#This Row],[Indeks (base 0)]],AS$8)=0,NA(),_xlfn.POISSON.DIST(S_normal27[[#This Row],[X base]],$H$5,FALSE))</f>
        <v>0.22404180765538778</v>
      </c>
      <c r="AV245" s="99" t="b">
        <f>S_normal27[[#This Row],[X base]]&lt;AS$5</f>
        <v>0</v>
      </c>
      <c r="AW245" s="99" t="b">
        <f>S_normal27[[#This Row],[X base]]=AS$5</f>
        <v>0</v>
      </c>
      <c r="AX245" s="99" t="b">
        <f>S_normal27[[#This Row],[X base]]&gt;AS$5</f>
        <v>1</v>
      </c>
      <c r="AY245" s="99" t="e">
        <f>IF(S_normal27[[#This Row],[Mindre end]],S_normal27[[#This Row],[Poissonfordeling]],NA())</f>
        <v>#N/A</v>
      </c>
      <c r="AZ245" s="99" t="e">
        <f>IF(S_normal27[[#This Row],[Lig med]],S_normal27[[#This Row],[Poissonfordeling]],NA())</f>
        <v>#N/A</v>
      </c>
      <c r="BA245" s="99">
        <f>IF(S_normal27[[#This Row],[Større end]],S_normal27[[#This Row],[Poissonfordeling]],NA())</f>
        <v>0.22404180765538778</v>
      </c>
      <c r="BB245" s="85" t="str">
        <f>_xlfn.IFNA(IF(MOD(S_normal27[[#This Row],[Indeks (base 0)]],AS$8)=ROUNDDOWN(AS$8/2,0),S_normal27[[#This Row],[X base]],""),"")</f>
        <v/>
      </c>
      <c r="BC245" s="99" t="str">
        <f t="shared" si="42"/>
        <v xml:space="preserve"> </v>
      </c>
    </row>
    <row r="246" spans="20:55" x14ac:dyDescent="0.2">
      <c r="T246" s="54">
        <f t="shared" si="36"/>
        <v>233</v>
      </c>
      <c r="U246" s="54">
        <f>S_normal[[#This Row],[Indeks (base 0)]]+1</f>
        <v>234</v>
      </c>
      <c r="V246" s="99">
        <f>U$8+(U$9-U$8)/U$4*T246</f>
        <v>2.4913500762903302</v>
      </c>
      <c r="W246" s="99">
        <f t="shared" si="37"/>
        <v>1.7910804685522155E-2</v>
      </c>
      <c r="X246" s="99" t="b">
        <f>S_normal[[#This Row],[X base]]&lt;U$7</f>
        <v>1</v>
      </c>
      <c r="Y246" s="99" t="b">
        <f>S_normal[[#This Row],[X base]]&gt;U$7</f>
        <v>0</v>
      </c>
      <c r="Z246" s="99">
        <f>IF(S_normal[[#This Row],[Mindre end]],S_normal[[#This Row],[Normalfordeling]],NA())</f>
        <v>1.7910804685522155E-2</v>
      </c>
      <c r="AA246" s="99" t="e">
        <f>IF(S_normal[[#This Row],[Større end]],S_normal[[#This Row],[Normalfordeling]],NA())</f>
        <v>#N/A</v>
      </c>
      <c r="AB246" s="72" t="str">
        <f>_xlfn.IFNA(IF(S_normal[[#This Row],[Indeks (base 0)]]=ROUND((ROUND(S_normal[[#This Row],[X base]],0)-U$8)/(U$9-U$8)*U$4,0),S_normal[[#This Row],[X base]]*B$6+B$5,""),"")</f>
        <v/>
      </c>
      <c r="AC246" s="99" t="str">
        <f>_xlfn.SWITCH(U246,AC$6,AC$4,AC$7,AC$5," ")</f>
        <v xml:space="preserve"> </v>
      </c>
      <c r="AE246" s="54">
        <f t="shared" si="38"/>
        <v>233</v>
      </c>
      <c r="AF246" s="54">
        <f>S_binomial[[#This Row],[Indeks (base 0)]]+1</f>
        <v>234</v>
      </c>
      <c r="AG246" s="99">
        <f t="shared" si="39"/>
        <v>2</v>
      </c>
      <c r="AH246" s="99">
        <f>IF(MOD(S_binomial[[#This Row],[Indeks (base 0)]],AF$7)=0,NA(),_xlfn.BINOM.DIST(S_binomial[[#This Row],[X base]],E$5,E$6,FALSE))</f>
        <v>4.261871040000002E-3</v>
      </c>
      <c r="AI246" s="99" t="b">
        <f>S_binomial[[#This Row],[X base]]&lt;AF$5</f>
        <v>1</v>
      </c>
      <c r="AJ246" s="99" t="b">
        <f>S_binomial[[#This Row],[X base]]=AF$5</f>
        <v>0</v>
      </c>
      <c r="AK246" s="99" t="b">
        <f>S_binomial[[#This Row],[X base]]&gt;AF$5</f>
        <v>0</v>
      </c>
      <c r="AL246" s="99">
        <f>IF(S_binomial[[#This Row],[Mindre end]],S_binomial[[#This Row],[Binomialfordeling]],NA())</f>
        <v>4.261871040000002E-3</v>
      </c>
      <c r="AM246" s="99" t="e">
        <f>IF(S_binomial[[#This Row],[Lig med]],S_binomial[[#This Row],[Binomialfordeling]],NA())</f>
        <v>#N/A</v>
      </c>
      <c r="AN246" s="99" t="e">
        <f>IF(S_binomial[[#This Row],[Større end]],S_binomial[[#This Row],[Binomialfordeling]],NA())</f>
        <v>#N/A</v>
      </c>
      <c r="AO246" s="85" t="str">
        <f>_xlfn.IFNA(IF(MOD(S_binomial[[#This Row],[Indeks (base 0)]],AF$7)=ROUNDDOWN(AF$7/2,0),S_binomial[[#This Row],[X base]],""),"")</f>
        <v/>
      </c>
      <c r="AP246" s="99" t="str">
        <f t="shared" si="40"/>
        <v xml:space="preserve"> </v>
      </c>
      <c r="AR246" s="54">
        <f t="shared" si="41"/>
        <v>233</v>
      </c>
      <c r="AS246" s="54">
        <f>S_normal27[[#This Row],[Indeks (base 0)]]+1</f>
        <v>234</v>
      </c>
      <c r="AT246" s="54">
        <f t="shared" si="43"/>
        <v>3</v>
      </c>
      <c r="AU246" s="54">
        <f>IF(MOD(S_normal27[[#This Row],[Indeks (base 0)]],AS$8)=0,NA(),_xlfn.POISSON.DIST(S_normal27[[#This Row],[X base]],$H$5,FALSE))</f>
        <v>0.22404180765538778</v>
      </c>
      <c r="AV246" s="99" t="b">
        <f>S_normal27[[#This Row],[X base]]&lt;AS$5</f>
        <v>0</v>
      </c>
      <c r="AW246" s="99" t="b">
        <f>S_normal27[[#This Row],[X base]]=AS$5</f>
        <v>0</v>
      </c>
      <c r="AX246" s="99" t="b">
        <f>S_normal27[[#This Row],[X base]]&gt;AS$5</f>
        <v>1</v>
      </c>
      <c r="AY246" s="99" t="e">
        <f>IF(S_normal27[[#This Row],[Mindre end]],S_normal27[[#This Row],[Poissonfordeling]],NA())</f>
        <v>#N/A</v>
      </c>
      <c r="AZ246" s="99" t="e">
        <f>IF(S_normal27[[#This Row],[Lig med]],S_normal27[[#This Row],[Poissonfordeling]],NA())</f>
        <v>#N/A</v>
      </c>
      <c r="BA246" s="99">
        <f>IF(S_normal27[[#This Row],[Større end]],S_normal27[[#This Row],[Poissonfordeling]],NA())</f>
        <v>0.22404180765538778</v>
      </c>
      <c r="BB246" s="85" t="str">
        <f>_xlfn.IFNA(IF(MOD(S_normal27[[#This Row],[Indeks (base 0)]],AS$8)=ROUNDDOWN(AS$8/2,0),S_normal27[[#This Row],[X base]],""),"")</f>
        <v/>
      </c>
      <c r="BC246" s="99" t="str">
        <f t="shared" si="42"/>
        <v xml:space="preserve"> </v>
      </c>
    </row>
    <row r="247" spans="20:55" x14ac:dyDescent="0.2">
      <c r="T247" s="54">
        <f t="shared" si="36"/>
        <v>234</v>
      </c>
      <c r="U247" s="54">
        <f>S_normal[[#This Row],[Indeks (base 0)]]+1</f>
        <v>235</v>
      </c>
      <c r="V247" s="99">
        <f t="shared" ref="V247:V254" si="44">U$8+(U$9-U$8)/U$4*T247</f>
        <v>2.5153053654854292</v>
      </c>
      <c r="W247" s="99">
        <f t="shared" si="37"/>
        <v>1.6868301418220717E-2</v>
      </c>
      <c r="X247" s="99" t="b">
        <f>S_normal[[#This Row],[X base]]&lt;U$7</f>
        <v>1</v>
      </c>
      <c r="Y247" s="99" t="b">
        <f>S_normal[[#This Row],[X base]]&gt;U$7</f>
        <v>0</v>
      </c>
      <c r="Z247" s="99">
        <f>IF(S_normal[[#This Row],[Mindre end]],S_normal[[#This Row],[Normalfordeling]],NA())</f>
        <v>1.6868301418220717E-2</v>
      </c>
      <c r="AA247" s="99" t="e">
        <f>IF(S_normal[[#This Row],[Større end]],S_normal[[#This Row],[Normalfordeling]],NA())</f>
        <v>#N/A</v>
      </c>
      <c r="AB247" s="72" t="str">
        <f>_xlfn.IFNA(IF(S_normal[[#This Row],[Indeks (base 0)]]=ROUND((ROUND(S_normal[[#This Row],[X base]],0)-U$8)/(U$9-U$8)*U$4,0),S_normal[[#This Row],[X base]]*B$6+B$5,""),"")</f>
        <v/>
      </c>
      <c r="AC247" s="99" t="str">
        <f t="shared" ref="AC247:AC254" si="45">_xlfn.SWITCH(U247,AC$6,AC$4,AC$7,AC$5," ")</f>
        <v xml:space="preserve"> </v>
      </c>
      <c r="AE247" s="54">
        <f t="shared" si="38"/>
        <v>234</v>
      </c>
      <c r="AF247" s="54">
        <f>S_binomial[[#This Row],[Indeks (base 0)]]+1</f>
        <v>235</v>
      </c>
      <c r="AG247" s="99">
        <f t="shared" si="39"/>
        <v>2</v>
      </c>
      <c r="AH247" s="99">
        <f>IF(MOD(S_binomial[[#This Row],[Indeks (base 0)]],AF$7)=0,NA(),_xlfn.BINOM.DIST(S_binomial[[#This Row],[X base]],E$5,E$6,FALSE))</f>
        <v>4.261871040000002E-3</v>
      </c>
      <c r="AI247" s="99" t="b">
        <f>S_binomial[[#This Row],[X base]]&lt;AF$5</f>
        <v>1</v>
      </c>
      <c r="AJ247" s="99" t="b">
        <f>S_binomial[[#This Row],[X base]]=AF$5</f>
        <v>0</v>
      </c>
      <c r="AK247" s="99" t="b">
        <f>S_binomial[[#This Row],[X base]]&gt;AF$5</f>
        <v>0</v>
      </c>
      <c r="AL247" s="99">
        <f>IF(S_binomial[[#This Row],[Mindre end]],S_binomial[[#This Row],[Binomialfordeling]],NA())</f>
        <v>4.261871040000002E-3</v>
      </c>
      <c r="AM247" s="99" t="e">
        <f>IF(S_binomial[[#This Row],[Lig med]],S_binomial[[#This Row],[Binomialfordeling]],NA())</f>
        <v>#N/A</v>
      </c>
      <c r="AN247" s="99" t="e">
        <f>IF(S_binomial[[#This Row],[Større end]],S_binomial[[#This Row],[Binomialfordeling]],NA())</f>
        <v>#N/A</v>
      </c>
      <c r="AO247" s="85" t="str">
        <f>_xlfn.IFNA(IF(MOD(S_binomial[[#This Row],[Indeks (base 0)]],AF$7)=ROUNDDOWN(AF$7/2,0),S_binomial[[#This Row],[X base]],""),"")</f>
        <v/>
      </c>
      <c r="AP247" s="99" t="str">
        <f t="shared" si="40"/>
        <v xml:space="preserve"> </v>
      </c>
      <c r="AR247" s="54">
        <f t="shared" si="41"/>
        <v>234</v>
      </c>
      <c r="AS247" s="54">
        <f>S_normal27[[#This Row],[Indeks (base 0)]]+1</f>
        <v>235</v>
      </c>
      <c r="AT247" s="54">
        <f t="shared" si="43"/>
        <v>3</v>
      </c>
      <c r="AU247" s="54">
        <f>IF(MOD(S_normal27[[#This Row],[Indeks (base 0)]],AS$8)=0,NA(),_xlfn.POISSON.DIST(S_normal27[[#This Row],[X base]],$H$5,FALSE))</f>
        <v>0.22404180765538778</v>
      </c>
      <c r="AV247" s="99" t="b">
        <f>S_normal27[[#This Row],[X base]]&lt;AS$5</f>
        <v>0</v>
      </c>
      <c r="AW247" s="99" t="b">
        <f>S_normal27[[#This Row],[X base]]=AS$5</f>
        <v>0</v>
      </c>
      <c r="AX247" s="99" t="b">
        <f>S_normal27[[#This Row],[X base]]&gt;AS$5</f>
        <v>1</v>
      </c>
      <c r="AY247" s="99" t="e">
        <f>IF(S_normal27[[#This Row],[Mindre end]],S_normal27[[#This Row],[Poissonfordeling]],NA())</f>
        <v>#N/A</v>
      </c>
      <c r="AZ247" s="99" t="e">
        <f>IF(S_normal27[[#This Row],[Lig med]],S_normal27[[#This Row],[Poissonfordeling]],NA())</f>
        <v>#N/A</v>
      </c>
      <c r="BA247" s="99">
        <f>IF(S_normal27[[#This Row],[Større end]],S_normal27[[#This Row],[Poissonfordeling]],NA())</f>
        <v>0.22404180765538778</v>
      </c>
      <c r="BB247" s="85" t="str">
        <f>_xlfn.IFNA(IF(MOD(S_normal27[[#This Row],[Indeks (base 0)]],AS$8)=ROUNDDOWN(AS$8/2,0),S_normal27[[#This Row],[X base]],""),"")</f>
        <v/>
      </c>
      <c r="BC247" s="99" t="str">
        <f t="shared" si="42"/>
        <v xml:space="preserve"> </v>
      </c>
    </row>
    <row r="248" spans="20:55" x14ac:dyDescent="0.2">
      <c r="T248" s="54">
        <f t="shared" si="36"/>
        <v>235</v>
      </c>
      <c r="U248" s="54">
        <f>S_normal[[#This Row],[Indeks (base 0)]]+1</f>
        <v>236</v>
      </c>
      <c r="V248" s="99">
        <f t="shared" si="44"/>
        <v>2.539260654680529</v>
      </c>
      <c r="W248" s="99">
        <f t="shared" si="37"/>
        <v>1.5877363404520835E-2</v>
      </c>
      <c r="X248" s="99" t="b">
        <f>S_normal[[#This Row],[X base]]&lt;U$7</f>
        <v>1</v>
      </c>
      <c r="Y248" s="99" t="b">
        <f>S_normal[[#This Row],[X base]]&gt;U$7</f>
        <v>0</v>
      </c>
      <c r="Z248" s="99">
        <f>IF(S_normal[[#This Row],[Mindre end]],S_normal[[#This Row],[Normalfordeling]],NA())</f>
        <v>1.5877363404520835E-2</v>
      </c>
      <c r="AA248" s="99" t="e">
        <f>IF(S_normal[[#This Row],[Større end]],S_normal[[#This Row],[Normalfordeling]],NA())</f>
        <v>#N/A</v>
      </c>
      <c r="AB248" s="72" t="str">
        <f>_xlfn.IFNA(IF(S_normal[[#This Row],[Indeks (base 0)]]=ROUND((ROUND(S_normal[[#This Row],[X base]],0)-U$8)/(U$9-U$8)*U$4,0),S_normal[[#This Row],[X base]]*B$6+B$5,""),"")</f>
        <v/>
      </c>
      <c r="AC248" s="99" t="str">
        <f t="shared" si="45"/>
        <v xml:space="preserve"> </v>
      </c>
      <c r="AE248" s="54">
        <f t="shared" si="38"/>
        <v>235</v>
      </c>
      <c r="AF248" s="54">
        <f>S_binomial[[#This Row],[Indeks (base 0)]]+1</f>
        <v>236</v>
      </c>
      <c r="AG248" s="99">
        <f t="shared" si="39"/>
        <v>2</v>
      </c>
      <c r="AH248" s="99">
        <f>IF(MOD(S_binomial[[#This Row],[Indeks (base 0)]],AF$7)=0,NA(),_xlfn.BINOM.DIST(S_binomial[[#This Row],[X base]],E$5,E$6,FALSE))</f>
        <v>4.261871040000002E-3</v>
      </c>
      <c r="AI248" s="99" t="b">
        <f>S_binomial[[#This Row],[X base]]&lt;AF$5</f>
        <v>1</v>
      </c>
      <c r="AJ248" s="99" t="b">
        <f>S_binomial[[#This Row],[X base]]=AF$5</f>
        <v>0</v>
      </c>
      <c r="AK248" s="99" t="b">
        <f>S_binomial[[#This Row],[X base]]&gt;AF$5</f>
        <v>0</v>
      </c>
      <c r="AL248" s="99">
        <f>IF(S_binomial[[#This Row],[Mindre end]],S_binomial[[#This Row],[Binomialfordeling]],NA())</f>
        <v>4.261871040000002E-3</v>
      </c>
      <c r="AM248" s="99" t="e">
        <f>IF(S_binomial[[#This Row],[Lig med]],S_binomial[[#This Row],[Binomialfordeling]],NA())</f>
        <v>#N/A</v>
      </c>
      <c r="AN248" s="99" t="e">
        <f>IF(S_binomial[[#This Row],[Større end]],S_binomial[[#This Row],[Binomialfordeling]],NA())</f>
        <v>#N/A</v>
      </c>
      <c r="AO248" s="85" t="str">
        <f>_xlfn.IFNA(IF(MOD(S_binomial[[#This Row],[Indeks (base 0)]],AF$7)=ROUNDDOWN(AF$7/2,0),S_binomial[[#This Row],[X base]],""),"")</f>
        <v/>
      </c>
      <c r="AP248" s="99" t="str">
        <f t="shared" si="40"/>
        <v xml:space="preserve"> </v>
      </c>
      <c r="AR248" s="54">
        <f t="shared" si="41"/>
        <v>235</v>
      </c>
      <c r="AS248" s="54">
        <f>S_normal27[[#This Row],[Indeks (base 0)]]+1</f>
        <v>236</v>
      </c>
      <c r="AT248" s="54">
        <f t="shared" si="43"/>
        <v>3</v>
      </c>
      <c r="AU248" s="54">
        <f>IF(MOD(S_normal27[[#This Row],[Indeks (base 0)]],AS$8)=0,NA(),_xlfn.POISSON.DIST(S_normal27[[#This Row],[X base]],$H$5,FALSE))</f>
        <v>0.22404180765538778</v>
      </c>
      <c r="AV248" s="99" t="b">
        <f>S_normal27[[#This Row],[X base]]&lt;AS$5</f>
        <v>0</v>
      </c>
      <c r="AW248" s="99" t="b">
        <f>S_normal27[[#This Row],[X base]]=AS$5</f>
        <v>0</v>
      </c>
      <c r="AX248" s="99" t="b">
        <f>S_normal27[[#This Row],[X base]]&gt;AS$5</f>
        <v>1</v>
      </c>
      <c r="AY248" s="99" t="e">
        <f>IF(S_normal27[[#This Row],[Mindre end]],S_normal27[[#This Row],[Poissonfordeling]],NA())</f>
        <v>#N/A</v>
      </c>
      <c r="AZ248" s="99" t="e">
        <f>IF(S_normal27[[#This Row],[Lig med]],S_normal27[[#This Row],[Poissonfordeling]],NA())</f>
        <v>#N/A</v>
      </c>
      <c r="BA248" s="99">
        <f>IF(S_normal27[[#This Row],[Større end]],S_normal27[[#This Row],[Poissonfordeling]],NA())</f>
        <v>0.22404180765538778</v>
      </c>
      <c r="BB248" s="85" t="str">
        <f>_xlfn.IFNA(IF(MOD(S_normal27[[#This Row],[Indeks (base 0)]],AS$8)=ROUNDDOWN(AS$8/2,0),S_normal27[[#This Row],[X base]],""),"")</f>
        <v/>
      </c>
      <c r="BC248" s="99" t="str">
        <f t="shared" si="42"/>
        <v xml:space="preserve"> </v>
      </c>
    </row>
    <row r="249" spans="20:55" x14ac:dyDescent="0.2">
      <c r="T249" s="54">
        <f t="shared" si="36"/>
        <v>236</v>
      </c>
      <c r="U249" s="54">
        <f>S_normal[[#This Row],[Indeks (base 0)]]+1</f>
        <v>237</v>
      </c>
      <c r="V249" s="99">
        <f t="shared" si="44"/>
        <v>2.5632159438756279</v>
      </c>
      <c r="W249" s="99">
        <f t="shared" si="37"/>
        <v>1.4936065002642981E-2</v>
      </c>
      <c r="X249" s="99" t="b">
        <f>S_normal[[#This Row],[X base]]&lt;U$7</f>
        <v>1</v>
      </c>
      <c r="Y249" s="99" t="b">
        <f>S_normal[[#This Row],[X base]]&gt;U$7</f>
        <v>0</v>
      </c>
      <c r="Z249" s="99">
        <f>IF(S_normal[[#This Row],[Mindre end]],S_normal[[#This Row],[Normalfordeling]],NA())</f>
        <v>1.4936065002642981E-2</v>
      </c>
      <c r="AA249" s="99" t="e">
        <f>IF(S_normal[[#This Row],[Større end]],S_normal[[#This Row],[Normalfordeling]],NA())</f>
        <v>#N/A</v>
      </c>
      <c r="AB249" s="72" t="str">
        <f>_xlfn.IFNA(IF(S_normal[[#This Row],[Indeks (base 0)]]=ROUND((ROUND(S_normal[[#This Row],[X base]],0)-U$8)/(U$9-U$8)*U$4,0),S_normal[[#This Row],[X base]]*B$6+B$5,""),"")</f>
        <v/>
      </c>
      <c r="AC249" s="99" t="str">
        <f t="shared" si="45"/>
        <v xml:space="preserve"> </v>
      </c>
      <c r="AE249" s="54">
        <f t="shared" si="38"/>
        <v>236</v>
      </c>
      <c r="AF249" s="54">
        <f>S_binomial[[#This Row],[Indeks (base 0)]]+1</f>
        <v>237</v>
      </c>
      <c r="AG249" s="99">
        <f t="shared" si="39"/>
        <v>2</v>
      </c>
      <c r="AH249" s="99">
        <f>IF(MOD(S_binomial[[#This Row],[Indeks (base 0)]],AF$7)=0,NA(),_xlfn.BINOM.DIST(S_binomial[[#This Row],[X base]],E$5,E$6,FALSE))</f>
        <v>4.261871040000002E-3</v>
      </c>
      <c r="AI249" s="99" t="b">
        <f>S_binomial[[#This Row],[X base]]&lt;AF$5</f>
        <v>1</v>
      </c>
      <c r="AJ249" s="99" t="b">
        <f>S_binomial[[#This Row],[X base]]=AF$5</f>
        <v>0</v>
      </c>
      <c r="AK249" s="99" t="b">
        <f>S_binomial[[#This Row],[X base]]&gt;AF$5</f>
        <v>0</v>
      </c>
      <c r="AL249" s="99">
        <f>IF(S_binomial[[#This Row],[Mindre end]],S_binomial[[#This Row],[Binomialfordeling]],NA())</f>
        <v>4.261871040000002E-3</v>
      </c>
      <c r="AM249" s="99" t="e">
        <f>IF(S_binomial[[#This Row],[Lig med]],S_binomial[[#This Row],[Binomialfordeling]],NA())</f>
        <v>#N/A</v>
      </c>
      <c r="AN249" s="99" t="e">
        <f>IF(S_binomial[[#This Row],[Større end]],S_binomial[[#This Row],[Binomialfordeling]],NA())</f>
        <v>#N/A</v>
      </c>
      <c r="AO249" s="85" t="str">
        <f>_xlfn.IFNA(IF(MOD(S_binomial[[#This Row],[Indeks (base 0)]],AF$7)=ROUNDDOWN(AF$7/2,0),S_binomial[[#This Row],[X base]],""),"")</f>
        <v/>
      </c>
      <c r="AP249" s="99" t="str">
        <f t="shared" si="40"/>
        <v xml:space="preserve"> </v>
      </c>
      <c r="AR249" s="54">
        <f t="shared" si="41"/>
        <v>236</v>
      </c>
      <c r="AS249" s="54">
        <f>S_normal27[[#This Row],[Indeks (base 0)]]+1</f>
        <v>237</v>
      </c>
      <c r="AT249" s="54">
        <f t="shared" si="43"/>
        <v>3</v>
      </c>
      <c r="AU249" s="54">
        <f>IF(MOD(S_normal27[[#This Row],[Indeks (base 0)]],AS$8)=0,NA(),_xlfn.POISSON.DIST(S_normal27[[#This Row],[X base]],$H$5,FALSE))</f>
        <v>0.22404180765538778</v>
      </c>
      <c r="AV249" s="99" t="b">
        <f>S_normal27[[#This Row],[X base]]&lt;AS$5</f>
        <v>0</v>
      </c>
      <c r="AW249" s="99" t="b">
        <f>S_normal27[[#This Row],[X base]]=AS$5</f>
        <v>0</v>
      </c>
      <c r="AX249" s="99" t="b">
        <f>S_normal27[[#This Row],[X base]]&gt;AS$5</f>
        <v>1</v>
      </c>
      <c r="AY249" s="99" t="e">
        <f>IF(S_normal27[[#This Row],[Mindre end]],S_normal27[[#This Row],[Poissonfordeling]],NA())</f>
        <v>#N/A</v>
      </c>
      <c r="AZ249" s="99" t="e">
        <f>IF(S_normal27[[#This Row],[Lig med]],S_normal27[[#This Row],[Poissonfordeling]],NA())</f>
        <v>#N/A</v>
      </c>
      <c r="BA249" s="99">
        <f>IF(S_normal27[[#This Row],[Større end]],S_normal27[[#This Row],[Poissonfordeling]],NA())</f>
        <v>0.22404180765538778</v>
      </c>
      <c r="BB249" s="85" t="str">
        <f>_xlfn.IFNA(IF(MOD(S_normal27[[#This Row],[Indeks (base 0)]],AS$8)=ROUNDDOWN(AS$8/2,0),S_normal27[[#This Row],[X base]],""),"")</f>
        <v/>
      </c>
      <c r="BC249" s="99" t="str">
        <f t="shared" si="42"/>
        <v xml:space="preserve"> </v>
      </c>
    </row>
    <row r="250" spans="20:55" x14ac:dyDescent="0.2">
      <c r="T250" s="54">
        <f t="shared" si="36"/>
        <v>237</v>
      </c>
      <c r="U250" s="54">
        <f>S_normal[[#This Row],[Indeks (base 0)]]+1</f>
        <v>238</v>
      </c>
      <c r="V250" s="99">
        <f t="shared" si="44"/>
        <v>2.5871712330707268</v>
      </c>
      <c r="W250" s="99">
        <f t="shared" si="37"/>
        <v>1.4042511314589706E-2</v>
      </c>
      <c r="X250" s="99" t="b">
        <f>S_normal[[#This Row],[X base]]&lt;U$7</f>
        <v>1</v>
      </c>
      <c r="Y250" s="99" t="b">
        <f>S_normal[[#This Row],[X base]]&gt;U$7</f>
        <v>0</v>
      </c>
      <c r="Z250" s="99">
        <f>IF(S_normal[[#This Row],[Mindre end]],S_normal[[#This Row],[Normalfordeling]],NA())</f>
        <v>1.4042511314589706E-2</v>
      </c>
      <c r="AA250" s="99" t="e">
        <f>IF(S_normal[[#This Row],[Større end]],S_normal[[#This Row],[Normalfordeling]],NA())</f>
        <v>#N/A</v>
      </c>
      <c r="AB250" s="72" t="str">
        <f>_xlfn.IFNA(IF(S_normal[[#This Row],[Indeks (base 0)]]=ROUND((ROUND(S_normal[[#This Row],[X base]],0)-U$8)/(U$9-U$8)*U$4,0),S_normal[[#This Row],[X base]]*B$6+B$5,""),"")</f>
        <v/>
      </c>
      <c r="AC250" s="99" t="str">
        <f t="shared" si="45"/>
        <v xml:space="preserve"> </v>
      </c>
      <c r="AE250" s="54">
        <f t="shared" si="38"/>
        <v>237</v>
      </c>
      <c r="AF250" s="54">
        <f>S_binomial[[#This Row],[Indeks (base 0)]]+1</f>
        <v>238</v>
      </c>
      <c r="AG250" s="99">
        <f t="shared" si="39"/>
        <v>2</v>
      </c>
      <c r="AH250" s="99">
        <f>IF(MOD(S_binomial[[#This Row],[Indeks (base 0)]],AF$7)=0,NA(),_xlfn.BINOM.DIST(S_binomial[[#This Row],[X base]],E$5,E$6,FALSE))</f>
        <v>4.261871040000002E-3</v>
      </c>
      <c r="AI250" s="99" t="b">
        <f>S_binomial[[#This Row],[X base]]&lt;AF$5</f>
        <v>1</v>
      </c>
      <c r="AJ250" s="99" t="b">
        <f>S_binomial[[#This Row],[X base]]=AF$5</f>
        <v>0</v>
      </c>
      <c r="AK250" s="99" t="b">
        <f>S_binomial[[#This Row],[X base]]&gt;AF$5</f>
        <v>0</v>
      </c>
      <c r="AL250" s="99">
        <f>IF(S_binomial[[#This Row],[Mindre end]],S_binomial[[#This Row],[Binomialfordeling]],NA())</f>
        <v>4.261871040000002E-3</v>
      </c>
      <c r="AM250" s="99" t="e">
        <f>IF(S_binomial[[#This Row],[Lig med]],S_binomial[[#This Row],[Binomialfordeling]],NA())</f>
        <v>#N/A</v>
      </c>
      <c r="AN250" s="99" t="e">
        <f>IF(S_binomial[[#This Row],[Større end]],S_binomial[[#This Row],[Binomialfordeling]],NA())</f>
        <v>#N/A</v>
      </c>
      <c r="AO250" s="85" t="str">
        <f>_xlfn.IFNA(IF(MOD(S_binomial[[#This Row],[Indeks (base 0)]],AF$7)=ROUNDDOWN(AF$7/2,0),S_binomial[[#This Row],[X base]],""),"")</f>
        <v/>
      </c>
      <c r="AP250" s="99" t="str">
        <f t="shared" si="40"/>
        <v xml:space="preserve"> </v>
      </c>
      <c r="AR250" s="54">
        <f t="shared" si="41"/>
        <v>237</v>
      </c>
      <c r="AS250" s="54">
        <f>S_normal27[[#This Row],[Indeks (base 0)]]+1</f>
        <v>238</v>
      </c>
      <c r="AT250" s="54">
        <f t="shared" si="43"/>
        <v>3</v>
      </c>
      <c r="AU250" s="54">
        <f>IF(MOD(S_normal27[[#This Row],[Indeks (base 0)]],AS$8)=0,NA(),_xlfn.POISSON.DIST(S_normal27[[#This Row],[X base]],$H$5,FALSE))</f>
        <v>0.22404180765538778</v>
      </c>
      <c r="AV250" s="99" t="b">
        <f>S_normal27[[#This Row],[X base]]&lt;AS$5</f>
        <v>0</v>
      </c>
      <c r="AW250" s="99" t="b">
        <f>S_normal27[[#This Row],[X base]]=AS$5</f>
        <v>0</v>
      </c>
      <c r="AX250" s="99" t="b">
        <f>S_normal27[[#This Row],[X base]]&gt;AS$5</f>
        <v>1</v>
      </c>
      <c r="AY250" s="99" t="e">
        <f>IF(S_normal27[[#This Row],[Mindre end]],S_normal27[[#This Row],[Poissonfordeling]],NA())</f>
        <v>#N/A</v>
      </c>
      <c r="AZ250" s="99" t="e">
        <f>IF(S_normal27[[#This Row],[Lig med]],S_normal27[[#This Row],[Poissonfordeling]],NA())</f>
        <v>#N/A</v>
      </c>
      <c r="BA250" s="99">
        <f>IF(S_normal27[[#This Row],[Større end]],S_normal27[[#This Row],[Poissonfordeling]],NA())</f>
        <v>0.22404180765538778</v>
      </c>
      <c r="BB250" s="85" t="str">
        <f>_xlfn.IFNA(IF(MOD(S_normal27[[#This Row],[Indeks (base 0)]],AS$8)=ROUNDDOWN(AS$8/2,0),S_normal27[[#This Row],[X base]],""),"")</f>
        <v/>
      </c>
      <c r="BC250" s="99" t="str">
        <f t="shared" si="42"/>
        <v xml:space="preserve"> </v>
      </c>
    </row>
    <row r="251" spans="20:55" x14ac:dyDescent="0.2">
      <c r="T251" s="54">
        <f t="shared" si="36"/>
        <v>238</v>
      </c>
      <c r="U251" s="54">
        <f>S_normal[[#This Row],[Indeks (base 0)]]+1</f>
        <v>239</v>
      </c>
      <c r="V251" s="99">
        <f t="shared" si="44"/>
        <v>2.6111265222658266</v>
      </c>
      <c r="W251" s="99">
        <f t="shared" si="37"/>
        <v>1.319484058137666E-2</v>
      </c>
      <c r="X251" s="99" t="b">
        <f>S_normal[[#This Row],[X base]]&lt;U$7</f>
        <v>1</v>
      </c>
      <c r="Y251" s="99" t="b">
        <f>S_normal[[#This Row],[X base]]&gt;U$7</f>
        <v>0</v>
      </c>
      <c r="Z251" s="99">
        <f>IF(S_normal[[#This Row],[Mindre end]],S_normal[[#This Row],[Normalfordeling]],NA())</f>
        <v>1.319484058137666E-2</v>
      </c>
      <c r="AA251" s="99" t="e">
        <f>IF(S_normal[[#This Row],[Større end]],S_normal[[#This Row],[Normalfordeling]],NA())</f>
        <v>#N/A</v>
      </c>
      <c r="AB251" s="72" t="str">
        <f>_xlfn.IFNA(IF(S_normal[[#This Row],[Indeks (base 0)]]=ROUND((ROUND(S_normal[[#This Row],[X base]],0)-U$8)/(U$9-U$8)*U$4,0),S_normal[[#This Row],[X base]]*B$6+B$5,""),"")</f>
        <v/>
      </c>
      <c r="AC251" s="99" t="str">
        <f t="shared" si="45"/>
        <v xml:space="preserve"> </v>
      </c>
      <c r="AE251" s="54">
        <f t="shared" si="38"/>
        <v>238</v>
      </c>
      <c r="AF251" s="54">
        <f>S_binomial[[#This Row],[Indeks (base 0)]]+1</f>
        <v>239</v>
      </c>
      <c r="AG251" s="99">
        <f t="shared" si="39"/>
        <v>2</v>
      </c>
      <c r="AH251" s="99">
        <f>IF(MOD(S_binomial[[#This Row],[Indeks (base 0)]],AF$7)=0,NA(),_xlfn.BINOM.DIST(S_binomial[[#This Row],[X base]],E$5,E$6,FALSE))</f>
        <v>4.261871040000002E-3</v>
      </c>
      <c r="AI251" s="99" t="b">
        <f>S_binomial[[#This Row],[X base]]&lt;AF$5</f>
        <v>1</v>
      </c>
      <c r="AJ251" s="99" t="b">
        <f>S_binomial[[#This Row],[X base]]=AF$5</f>
        <v>0</v>
      </c>
      <c r="AK251" s="99" t="b">
        <f>S_binomial[[#This Row],[X base]]&gt;AF$5</f>
        <v>0</v>
      </c>
      <c r="AL251" s="99">
        <f>IF(S_binomial[[#This Row],[Mindre end]],S_binomial[[#This Row],[Binomialfordeling]],NA())</f>
        <v>4.261871040000002E-3</v>
      </c>
      <c r="AM251" s="99" t="e">
        <f>IF(S_binomial[[#This Row],[Lig med]],S_binomial[[#This Row],[Binomialfordeling]],NA())</f>
        <v>#N/A</v>
      </c>
      <c r="AN251" s="99" t="e">
        <f>IF(S_binomial[[#This Row],[Større end]],S_binomial[[#This Row],[Binomialfordeling]],NA())</f>
        <v>#N/A</v>
      </c>
      <c r="AO251" s="85" t="str">
        <f>_xlfn.IFNA(IF(MOD(S_binomial[[#This Row],[Indeks (base 0)]],AF$7)=ROUNDDOWN(AF$7/2,0),S_binomial[[#This Row],[X base]],""),"")</f>
        <v/>
      </c>
      <c r="AP251" s="99" t="str">
        <f t="shared" si="40"/>
        <v xml:space="preserve"> </v>
      </c>
      <c r="AR251" s="54">
        <f t="shared" si="41"/>
        <v>238</v>
      </c>
      <c r="AS251" s="54">
        <f>S_normal27[[#This Row],[Indeks (base 0)]]+1</f>
        <v>239</v>
      </c>
      <c r="AT251" s="54">
        <f t="shared" si="43"/>
        <v>3</v>
      </c>
      <c r="AU251" s="54">
        <f>IF(MOD(S_normal27[[#This Row],[Indeks (base 0)]],AS$8)=0,NA(),_xlfn.POISSON.DIST(S_normal27[[#This Row],[X base]],$H$5,FALSE))</f>
        <v>0.22404180765538778</v>
      </c>
      <c r="AV251" s="99" t="b">
        <f>S_normal27[[#This Row],[X base]]&lt;AS$5</f>
        <v>0</v>
      </c>
      <c r="AW251" s="99" t="b">
        <f>S_normal27[[#This Row],[X base]]=AS$5</f>
        <v>0</v>
      </c>
      <c r="AX251" s="99" t="b">
        <f>S_normal27[[#This Row],[X base]]&gt;AS$5</f>
        <v>1</v>
      </c>
      <c r="AY251" s="99" t="e">
        <f>IF(S_normal27[[#This Row],[Mindre end]],S_normal27[[#This Row],[Poissonfordeling]],NA())</f>
        <v>#N/A</v>
      </c>
      <c r="AZ251" s="99" t="e">
        <f>IF(S_normal27[[#This Row],[Lig med]],S_normal27[[#This Row],[Poissonfordeling]],NA())</f>
        <v>#N/A</v>
      </c>
      <c r="BA251" s="99">
        <f>IF(S_normal27[[#This Row],[Større end]],S_normal27[[#This Row],[Poissonfordeling]],NA())</f>
        <v>0.22404180765538778</v>
      </c>
      <c r="BB251" s="85" t="str">
        <f>_xlfn.IFNA(IF(MOD(S_normal27[[#This Row],[Indeks (base 0)]],AS$8)=ROUNDDOWN(AS$8/2,0),S_normal27[[#This Row],[X base]],""),"")</f>
        <v/>
      </c>
      <c r="BC251" s="99" t="str">
        <f t="shared" si="42"/>
        <v xml:space="preserve"> </v>
      </c>
    </row>
    <row r="252" spans="20:55" x14ac:dyDescent="0.2">
      <c r="T252" s="54">
        <f t="shared" si="36"/>
        <v>239</v>
      </c>
      <c r="U252" s="54">
        <f>S_normal[[#This Row],[Indeks (base 0)]]+1</f>
        <v>240</v>
      </c>
      <c r="V252" s="99">
        <f t="shared" si="44"/>
        <v>2.6350818114609256</v>
      </c>
      <c r="W252" s="99">
        <f t="shared" si="37"/>
        <v>1.2391226343470832E-2</v>
      </c>
      <c r="X252" s="99" t="b">
        <f>S_normal[[#This Row],[X base]]&lt;U$7</f>
        <v>1</v>
      </c>
      <c r="Y252" s="99" t="b">
        <f>S_normal[[#This Row],[X base]]&gt;U$7</f>
        <v>0</v>
      </c>
      <c r="Z252" s="99">
        <f>IF(S_normal[[#This Row],[Mindre end]],S_normal[[#This Row],[Normalfordeling]],NA())</f>
        <v>1.2391226343470832E-2</v>
      </c>
      <c r="AA252" s="99" t="e">
        <f>IF(S_normal[[#This Row],[Større end]],S_normal[[#This Row],[Normalfordeling]],NA())</f>
        <v>#N/A</v>
      </c>
      <c r="AB252" s="72" t="str">
        <f>_xlfn.IFNA(IF(S_normal[[#This Row],[Indeks (base 0)]]=ROUND((ROUND(S_normal[[#This Row],[X base]],0)-U$8)/(U$9-U$8)*U$4,0),S_normal[[#This Row],[X base]]*B$6+B$5,""),"")</f>
        <v/>
      </c>
      <c r="AC252" s="99" t="str">
        <f t="shared" si="45"/>
        <v xml:space="preserve"> </v>
      </c>
      <c r="AE252" s="54">
        <f t="shared" si="38"/>
        <v>239</v>
      </c>
      <c r="AF252" s="54">
        <f>S_binomial[[#This Row],[Indeks (base 0)]]+1</f>
        <v>240</v>
      </c>
      <c r="AG252" s="99">
        <f t="shared" si="39"/>
        <v>2</v>
      </c>
      <c r="AH252" s="99">
        <f>IF(MOD(S_binomial[[#This Row],[Indeks (base 0)]],AF$7)=0,NA(),_xlfn.BINOM.DIST(S_binomial[[#This Row],[X base]],E$5,E$6,FALSE))</f>
        <v>4.261871040000002E-3</v>
      </c>
      <c r="AI252" s="99" t="b">
        <f>S_binomial[[#This Row],[X base]]&lt;AF$5</f>
        <v>1</v>
      </c>
      <c r="AJ252" s="99" t="b">
        <f>S_binomial[[#This Row],[X base]]=AF$5</f>
        <v>0</v>
      </c>
      <c r="AK252" s="99" t="b">
        <f>S_binomial[[#This Row],[X base]]&gt;AF$5</f>
        <v>0</v>
      </c>
      <c r="AL252" s="99">
        <f>IF(S_binomial[[#This Row],[Mindre end]],S_binomial[[#This Row],[Binomialfordeling]],NA())</f>
        <v>4.261871040000002E-3</v>
      </c>
      <c r="AM252" s="99" t="e">
        <f>IF(S_binomial[[#This Row],[Lig med]],S_binomial[[#This Row],[Binomialfordeling]],NA())</f>
        <v>#N/A</v>
      </c>
      <c r="AN252" s="99" t="e">
        <f>IF(S_binomial[[#This Row],[Større end]],S_binomial[[#This Row],[Binomialfordeling]],NA())</f>
        <v>#N/A</v>
      </c>
      <c r="AO252" s="85" t="str">
        <f>_xlfn.IFNA(IF(MOD(S_binomial[[#This Row],[Indeks (base 0)]],AF$7)=ROUNDDOWN(AF$7/2,0),S_binomial[[#This Row],[X base]],""),"")</f>
        <v/>
      </c>
      <c r="AP252" s="99" t="str">
        <f t="shared" si="40"/>
        <v xml:space="preserve"> </v>
      </c>
      <c r="AR252" s="54">
        <f t="shared" si="41"/>
        <v>239</v>
      </c>
      <c r="AS252" s="54">
        <f>S_normal27[[#This Row],[Indeks (base 0)]]+1</f>
        <v>240</v>
      </c>
      <c r="AT252" s="54">
        <f t="shared" si="43"/>
        <v>3</v>
      </c>
      <c r="AU252" s="54">
        <f>IF(MOD(S_normal27[[#This Row],[Indeks (base 0)]],AS$8)=0,NA(),_xlfn.POISSON.DIST(S_normal27[[#This Row],[X base]],$H$5,FALSE))</f>
        <v>0.22404180765538778</v>
      </c>
      <c r="AV252" s="99" t="b">
        <f>S_normal27[[#This Row],[X base]]&lt;AS$5</f>
        <v>0</v>
      </c>
      <c r="AW252" s="99" t="b">
        <f>S_normal27[[#This Row],[X base]]=AS$5</f>
        <v>0</v>
      </c>
      <c r="AX252" s="99" t="b">
        <f>S_normal27[[#This Row],[X base]]&gt;AS$5</f>
        <v>1</v>
      </c>
      <c r="AY252" s="99" t="e">
        <f>IF(S_normal27[[#This Row],[Mindre end]],S_normal27[[#This Row],[Poissonfordeling]],NA())</f>
        <v>#N/A</v>
      </c>
      <c r="AZ252" s="99" t="e">
        <f>IF(S_normal27[[#This Row],[Lig med]],S_normal27[[#This Row],[Poissonfordeling]],NA())</f>
        <v>#N/A</v>
      </c>
      <c r="BA252" s="99">
        <f>IF(S_normal27[[#This Row],[Større end]],S_normal27[[#This Row],[Poissonfordeling]],NA())</f>
        <v>0.22404180765538778</v>
      </c>
      <c r="BB252" s="85" t="str">
        <f>_xlfn.IFNA(IF(MOD(S_normal27[[#This Row],[Indeks (base 0)]],AS$8)=ROUNDDOWN(AS$8/2,0),S_normal27[[#This Row],[X base]],""),"")</f>
        <v/>
      </c>
      <c r="BC252" s="99" t="str">
        <f t="shared" si="42"/>
        <v xml:space="preserve"> </v>
      </c>
    </row>
    <row r="253" spans="20:55" x14ac:dyDescent="0.2">
      <c r="T253" s="54">
        <f t="shared" si="36"/>
        <v>240</v>
      </c>
      <c r="U253" s="54">
        <f>S_normal[[#This Row],[Indeks (base 0)]]+1</f>
        <v>241</v>
      </c>
      <c r="V253" s="99">
        <f t="shared" si="44"/>
        <v>2.6590371006560254</v>
      </c>
      <c r="W253" s="99">
        <f t="shared" si="37"/>
        <v>1.1629879373268774E-2</v>
      </c>
      <c r="X253" s="99" t="b">
        <f>S_normal[[#This Row],[X base]]&lt;U$7</f>
        <v>1</v>
      </c>
      <c r="Y253" s="99" t="b">
        <f>S_normal[[#This Row],[X base]]&gt;U$7</f>
        <v>0</v>
      </c>
      <c r="Z253" s="99">
        <f>IF(S_normal[[#This Row],[Mindre end]],S_normal[[#This Row],[Normalfordeling]],NA())</f>
        <v>1.1629879373268774E-2</v>
      </c>
      <c r="AA253" s="99" t="e">
        <f>IF(S_normal[[#This Row],[Større end]],S_normal[[#This Row],[Normalfordeling]],NA())</f>
        <v>#N/A</v>
      </c>
      <c r="AB253" s="72" t="str">
        <f>_xlfn.IFNA(IF(S_normal[[#This Row],[Indeks (base 0)]]=ROUND((ROUND(S_normal[[#This Row],[X base]],0)-U$8)/(U$9-U$8)*U$4,0),S_normal[[#This Row],[X base]]*B$6+B$5,""),"")</f>
        <v/>
      </c>
      <c r="AC253" s="99" t="str">
        <f t="shared" si="45"/>
        <v xml:space="preserve"> </v>
      </c>
      <c r="AE253" s="54">
        <f t="shared" si="38"/>
        <v>240</v>
      </c>
      <c r="AF253" s="54">
        <f>S_binomial[[#This Row],[Indeks (base 0)]]+1</f>
        <v>241</v>
      </c>
      <c r="AG253" s="99">
        <f t="shared" si="39"/>
        <v>2</v>
      </c>
      <c r="AH253" s="99">
        <f>IF(MOD(S_binomial[[#This Row],[Indeks (base 0)]],AF$7)=0,NA(),_xlfn.BINOM.DIST(S_binomial[[#This Row],[X base]],E$5,E$6,FALSE))</f>
        <v>4.261871040000002E-3</v>
      </c>
      <c r="AI253" s="99" t="b">
        <f>S_binomial[[#This Row],[X base]]&lt;AF$5</f>
        <v>1</v>
      </c>
      <c r="AJ253" s="99" t="b">
        <f>S_binomial[[#This Row],[X base]]=AF$5</f>
        <v>0</v>
      </c>
      <c r="AK253" s="99" t="b">
        <f>S_binomial[[#This Row],[X base]]&gt;AF$5</f>
        <v>0</v>
      </c>
      <c r="AL253" s="99">
        <f>IF(S_binomial[[#This Row],[Mindre end]],S_binomial[[#This Row],[Binomialfordeling]],NA())</f>
        <v>4.261871040000002E-3</v>
      </c>
      <c r="AM253" s="99" t="e">
        <f>IF(S_binomial[[#This Row],[Lig med]],S_binomial[[#This Row],[Binomialfordeling]],NA())</f>
        <v>#N/A</v>
      </c>
      <c r="AN253" s="99" t="e">
        <f>IF(S_binomial[[#This Row],[Større end]],S_binomial[[#This Row],[Binomialfordeling]],NA())</f>
        <v>#N/A</v>
      </c>
      <c r="AO253" s="85" t="str">
        <f>_xlfn.IFNA(IF(MOD(S_binomial[[#This Row],[Indeks (base 0)]],AF$7)=ROUNDDOWN(AF$7/2,0),S_binomial[[#This Row],[X base]],""),"")</f>
        <v/>
      </c>
      <c r="AP253" s="99" t="str">
        <f t="shared" si="40"/>
        <v xml:space="preserve"> </v>
      </c>
      <c r="AR253" s="54">
        <f t="shared" si="41"/>
        <v>240</v>
      </c>
      <c r="AS253" s="54">
        <f>S_normal27[[#This Row],[Indeks (base 0)]]+1</f>
        <v>241</v>
      </c>
      <c r="AT253" s="54">
        <f t="shared" si="43"/>
        <v>3</v>
      </c>
      <c r="AU253" s="54">
        <f>IF(MOD(S_normal27[[#This Row],[Indeks (base 0)]],AS$8)=0,NA(),_xlfn.POISSON.DIST(S_normal27[[#This Row],[X base]],$H$5,FALSE))</f>
        <v>0.22404180765538778</v>
      </c>
      <c r="AV253" s="99" t="b">
        <f>S_normal27[[#This Row],[X base]]&lt;AS$5</f>
        <v>0</v>
      </c>
      <c r="AW253" s="99" t="b">
        <f>S_normal27[[#This Row],[X base]]=AS$5</f>
        <v>0</v>
      </c>
      <c r="AX253" s="99" t="b">
        <f>S_normal27[[#This Row],[X base]]&gt;AS$5</f>
        <v>1</v>
      </c>
      <c r="AY253" s="99" t="e">
        <f>IF(S_normal27[[#This Row],[Mindre end]],S_normal27[[#This Row],[Poissonfordeling]],NA())</f>
        <v>#N/A</v>
      </c>
      <c r="AZ253" s="99" t="e">
        <f>IF(S_normal27[[#This Row],[Lig med]],S_normal27[[#This Row],[Poissonfordeling]],NA())</f>
        <v>#N/A</v>
      </c>
      <c r="BA253" s="99">
        <f>IF(S_normal27[[#This Row],[Større end]],S_normal27[[#This Row],[Poissonfordeling]],NA())</f>
        <v>0.22404180765538778</v>
      </c>
      <c r="BB253" s="85" t="str">
        <f>_xlfn.IFNA(IF(MOD(S_normal27[[#This Row],[Indeks (base 0)]],AS$8)=ROUNDDOWN(AS$8/2,0),S_normal27[[#This Row],[X base]],""),"")</f>
        <v/>
      </c>
      <c r="BC253" s="99" t="str">
        <f t="shared" si="42"/>
        <v xml:space="preserve"> </v>
      </c>
    </row>
    <row r="254" spans="20:55" x14ac:dyDescent="0.2">
      <c r="T254" s="54">
        <f t="shared" si="36"/>
        <v>241</v>
      </c>
      <c r="U254" s="54">
        <f>S_normal[[#This Row],[Indeks (base 0)]]+1</f>
        <v>242</v>
      </c>
      <c r="V254" s="99">
        <f t="shared" si="44"/>
        <v>2.6829923898511243</v>
      </c>
      <c r="W254" s="99">
        <f t="shared" si="37"/>
        <v>1.0909049386925553E-2</v>
      </c>
      <c r="X254" s="99" t="b">
        <f>S_normal[[#This Row],[X base]]&lt;U$7</f>
        <v>1</v>
      </c>
      <c r="Y254" s="99" t="b">
        <f>S_normal[[#This Row],[X base]]&gt;U$7</f>
        <v>0</v>
      </c>
      <c r="Z254" s="99">
        <f>IF(S_normal[[#This Row],[Mindre end]],S_normal[[#This Row],[Normalfordeling]],NA())</f>
        <v>1.0909049386925553E-2</v>
      </c>
      <c r="AA254" s="99" t="e">
        <f>IF(S_normal[[#This Row],[Større end]],S_normal[[#This Row],[Normalfordeling]],NA())</f>
        <v>#N/A</v>
      </c>
      <c r="AB254" s="72" t="str">
        <f>_xlfn.IFNA(IF(S_normal[[#This Row],[Indeks (base 0)]]=ROUND((ROUND(S_normal[[#This Row],[X base]],0)-U$8)/(U$9-U$8)*U$4,0),S_normal[[#This Row],[X base]]*B$6+B$5,""),"")</f>
        <v/>
      </c>
      <c r="AC254" s="99" t="str">
        <f t="shared" si="45"/>
        <v xml:space="preserve"> </v>
      </c>
      <c r="AE254" s="54">
        <f t="shared" si="38"/>
        <v>241</v>
      </c>
      <c r="AF254" s="54">
        <f>S_binomial[[#This Row],[Indeks (base 0)]]+1</f>
        <v>242</v>
      </c>
      <c r="AG254" s="99">
        <f t="shared" si="39"/>
        <v>2</v>
      </c>
      <c r="AH254" s="99">
        <f>IF(MOD(S_binomial[[#This Row],[Indeks (base 0)]],AF$7)=0,NA(),_xlfn.BINOM.DIST(S_binomial[[#This Row],[X base]],E$5,E$6,FALSE))</f>
        <v>4.261871040000002E-3</v>
      </c>
      <c r="AI254" s="99" t="b">
        <f>S_binomial[[#This Row],[X base]]&lt;AF$5</f>
        <v>1</v>
      </c>
      <c r="AJ254" s="99" t="b">
        <f>S_binomial[[#This Row],[X base]]=AF$5</f>
        <v>0</v>
      </c>
      <c r="AK254" s="99" t="b">
        <f>S_binomial[[#This Row],[X base]]&gt;AF$5</f>
        <v>0</v>
      </c>
      <c r="AL254" s="99">
        <f>IF(S_binomial[[#This Row],[Mindre end]],S_binomial[[#This Row],[Binomialfordeling]],NA())</f>
        <v>4.261871040000002E-3</v>
      </c>
      <c r="AM254" s="99" t="e">
        <f>IF(S_binomial[[#This Row],[Lig med]],S_binomial[[#This Row],[Binomialfordeling]],NA())</f>
        <v>#N/A</v>
      </c>
      <c r="AN254" s="99" t="e">
        <f>IF(S_binomial[[#This Row],[Større end]],S_binomial[[#This Row],[Binomialfordeling]],NA())</f>
        <v>#N/A</v>
      </c>
      <c r="AO254" s="85" t="str">
        <f>_xlfn.IFNA(IF(MOD(S_binomial[[#This Row],[Indeks (base 0)]],AF$7)=ROUNDDOWN(AF$7/2,0),S_binomial[[#This Row],[X base]],""),"")</f>
        <v/>
      </c>
      <c r="AP254" s="99" t="str">
        <f t="shared" si="40"/>
        <v xml:space="preserve"> </v>
      </c>
      <c r="AR254" s="54">
        <f t="shared" si="41"/>
        <v>241</v>
      </c>
      <c r="AS254" s="54">
        <f>S_normal27[[#This Row],[Indeks (base 0)]]+1</f>
        <v>242</v>
      </c>
      <c r="AT254" s="54">
        <f t="shared" si="43"/>
        <v>3</v>
      </c>
      <c r="AU254" s="54">
        <f>IF(MOD(S_normal27[[#This Row],[Indeks (base 0)]],AS$8)=0,NA(),_xlfn.POISSON.DIST(S_normal27[[#This Row],[X base]],$H$5,FALSE))</f>
        <v>0.22404180765538778</v>
      </c>
      <c r="AV254" s="99" t="b">
        <f>S_normal27[[#This Row],[X base]]&lt;AS$5</f>
        <v>0</v>
      </c>
      <c r="AW254" s="99" t="b">
        <f>S_normal27[[#This Row],[X base]]=AS$5</f>
        <v>0</v>
      </c>
      <c r="AX254" s="99" t="b">
        <f>S_normal27[[#This Row],[X base]]&gt;AS$5</f>
        <v>1</v>
      </c>
      <c r="AY254" s="99" t="e">
        <f>IF(S_normal27[[#This Row],[Mindre end]],S_normal27[[#This Row],[Poissonfordeling]],NA())</f>
        <v>#N/A</v>
      </c>
      <c r="AZ254" s="99" t="e">
        <f>IF(S_normal27[[#This Row],[Lig med]],S_normal27[[#This Row],[Poissonfordeling]],NA())</f>
        <v>#N/A</v>
      </c>
      <c r="BA254" s="99">
        <f>IF(S_normal27[[#This Row],[Større end]],S_normal27[[#This Row],[Poissonfordeling]],NA())</f>
        <v>0.22404180765538778</v>
      </c>
      <c r="BB254" s="85" t="str">
        <f>_xlfn.IFNA(IF(MOD(S_normal27[[#This Row],[Indeks (base 0)]],AS$8)=ROUNDDOWN(AS$8/2,0),S_normal27[[#This Row],[X base]],""),"")</f>
        <v/>
      </c>
      <c r="BC254" s="99" t="str">
        <f t="shared" si="42"/>
        <v xml:space="preserve"> </v>
      </c>
    </row>
    <row r="255" spans="20:55" x14ac:dyDescent="0.2">
      <c r="T255" s="54">
        <f t="shared" si="36"/>
        <v>242</v>
      </c>
      <c r="U255" s="54">
        <f>S_normal[[#This Row],[Indeks (base 0)]]+1</f>
        <v>243</v>
      </c>
      <c r="V255" s="99">
        <f>U$8+(U$9-U$8)/U$4*T255</f>
        <v>2.7069476790462241</v>
      </c>
      <c r="W255" s="99">
        <f t="shared" si="37"/>
        <v>1.0227026543258957E-2</v>
      </c>
      <c r="X255" s="99" t="b">
        <f>S_normal[[#This Row],[X base]]&lt;U$7</f>
        <v>1</v>
      </c>
      <c r="Y255" s="99" t="b">
        <f>S_normal[[#This Row],[X base]]&gt;U$7</f>
        <v>0</v>
      </c>
      <c r="Z255" s="99">
        <f>IF(S_normal[[#This Row],[Mindre end]],S_normal[[#This Row],[Normalfordeling]],NA())</f>
        <v>1.0227026543258957E-2</v>
      </c>
      <c r="AA255" s="99" t="e">
        <f>IF(S_normal[[#This Row],[Større end]],S_normal[[#This Row],[Normalfordeling]],NA())</f>
        <v>#N/A</v>
      </c>
      <c r="AB255" s="72" t="str">
        <f>_xlfn.IFNA(IF(S_normal[[#This Row],[Indeks (base 0)]]=ROUND((ROUND(S_normal[[#This Row],[X base]],0)-U$8)/(U$9-U$8)*U$4,0),S_normal[[#This Row],[X base]]*B$6+B$5,""),"")</f>
        <v/>
      </c>
      <c r="AC255" s="99" t="str">
        <f>_xlfn.SWITCH(U255,AC$6,AC$4,AC$7,AC$5," ")</f>
        <v xml:space="preserve"> </v>
      </c>
      <c r="AE255" s="54">
        <f t="shared" si="38"/>
        <v>242</v>
      </c>
      <c r="AF255" s="54">
        <f>S_binomial[[#This Row],[Indeks (base 0)]]+1</f>
        <v>243</v>
      </c>
      <c r="AG255" s="99">
        <f t="shared" si="39"/>
        <v>2</v>
      </c>
      <c r="AH255" s="99">
        <f>IF(MOD(S_binomial[[#This Row],[Indeks (base 0)]],AF$7)=0,NA(),_xlfn.BINOM.DIST(S_binomial[[#This Row],[X base]],E$5,E$6,FALSE))</f>
        <v>4.261871040000002E-3</v>
      </c>
      <c r="AI255" s="99" t="b">
        <f>S_binomial[[#This Row],[X base]]&lt;AF$5</f>
        <v>1</v>
      </c>
      <c r="AJ255" s="99" t="b">
        <f>S_binomial[[#This Row],[X base]]=AF$5</f>
        <v>0</v>
      </c>
      <c r="AK255" s="99" t="b">
        <f>S_binomial[[#This Row],[X base]]&gt;AF$5</f>
        <v>0</v>
      </c>
      <c r="AL255" s="99">
        <f>IF(S_binomial[[#This Row],[Mindre end]],S_binomial[[#This Row],[Binomialfordeling]],NA())</f>
        <v>4.261871040000002E-3</v>
      </c>
      <c r="AM255" s="99" t="e">
        <f>IF(S_binomial[[#This Row],[Lig med]],S_binomial[[#This Row],[Binomialfordeling]],NA())</f>
        <v>#N/A</v>
      </c>
      <c r="AN255" s="99" t="e">
        <f>IF(S_binomial[[#This Row],[Større end]],S_binomial[[#This Row],[Binomialfordeling]],NA())</f>
        <v>#N/A</v>
      </c>
      <c r="AO255" s="85" t="str">
        <f>_xlfn.IFNA(IF(MOD(S_binomial[[#This Row],[Indeks (base 0)]],AF$7)=ROUNDDOWN(AF$7/2,0),S_binomial[[#This Row],[X base]],""),"")</f>
        <v/>
      </c>
      <c r="AP255" s="99" t="str">
        <f t="shared" si="40"/>
        <v xml:space="preserve"> </v>
      </c>
      <c r="AR255" s="54">
        <f t="shared" si="41"/>
        <v>242</v>
      </c>
      <c r="AS255" s="54">
        <f>S_normal27[[#This Row],[Indeks (base 0)]]+1</f>
        <v>243</v>
      </c>
      <c r="AT255" s="54">
        <f t="shared" si="43"/>
        <v>3</v>
      </c>
      <c r="AU255" s="54">
        <f>IF(MOD(S_normal27[[#This Row],[Indeks (base 0)]],AS$8)=0,NA(),_xlfn.POISSON.DIST(S_normal27[[#This Row],[X base]],$H$5,FALSE))</f>
        <v>0.22404180765538778</v>
      </c>
      <c r="AV255" s="99" t="b">
        <f>S_normal27[[#This Row],[X base]]&lt;AS$5</f>
        <v>0</v>
      </c>
      <c r="AW255" s="99" t="b">
        <f>S_normal27[[#This Row],[X base]]=AS$5</f>
        <v>0</v>
      </c>
      <c r="AX255" s="99" t="b">
        <f>S_normal27[[#This Row],[X base]]&gt;AS$5</f>
        <v>1</v>
      </c>
      <c r="AY255" s="99" t="e">
        <f>IF(S_normal27[[#This Row],[Mindre end]],S_normal27[[#This Row],[Poissonfordeling]],NA())</f>
        <v>#N/A</v>
      </c>
      <c r="AZ255" s="99" t="e">
        <f>IF(S_normal27[[#This Row],[Lig med]],S_normal27[[#This Row],[Poissonfordeling]],NA())</f>
        <v>#N/A</v>
      </c>
      <c r="BA255" s="99">
        <f>IF(S_normal27[[#This Row],[Større end]],S_normal27[[#This Row],[Poissonfordeling]],NA())</f>
        <v>0.22404180765538778</v>
      </c>
      <c r="BB255" s="85" t="str">
        <f>_xlfn.IFNA(IF(MOD(S_normal27[[#This Row],[Indeks (base 0)]],AS$8)=ROUNDDOWN(AS$8/2,0),S_normal27[[#This Row],[X base]],""),"")</f>
        <v/>
      </c>
      <c r="BC255" s="99" t="str">
        <f t="shared" si="42"/>
        <v xml:space="preserve"> </v>
      </c>
    </row>
    <row r="256" spans="20:55" x14ac:dyDescent="0.2">
      <c r="T256" s="54">
        <f t="shared" si="36"/>
        <v>243</v>
      </c>
      <c r="U256" s="54">
        <f>S_normal[[#This Row],[Indeks (base 0)]]+1</f>
        <v>244</v>
      </c>
      <c r="V256" s="99">
        <f t="shared" ref="V256:V263" si="46">U$8+(U$9-U$8)/U$4*T256</f>
        <v>2.7309029682413231</v>
      </c>
      <c r="W256" s="99">
        <f t="shared" si="37"/>
        <v>9.582142737811215E-3</v>
      </c>
      <c r="X256" s="99" t="b">
        <f>S_normal[[#This Row],[X base]]&lt;U$7</f>
        <v>1</v>
      </c>
      <c r="Y256" s="99" t="b">
        <f>S_normal[[#This Row],[X base]]&gt;U$7</f>
        <v>0</v>
      </c>
      <c r="Z256" s="99">
        <f>IF(S_normal[[#This Row],[Mindre end]],S_normal[[#This Row],[Normalfordeling]],NA())</f>
        <v>9.582142737811215E-3</v>
      </c>
      <c r="AA256" s="99" t="e">
        <f>IF(S_normal[[#This Row],[Større end]],S_normal[[#This Row],[Normalfordeling]],NA())</f>
        <v>#N/A</v>
      </c>
      <c r="AB256" s="72" t="str">
        <f>_xlfn.IFNA(IF(S_normal[[#This Row],[Indeks (base 0)]]=ROUND((ROUND(S_normal[[#This Row],[X base]],0)-U$8)/(U$9-U$8)*U$4,0),S_normal[[#This Row],[X base]]*B$6+B$5,""),"")</f>
        <v/>
      </c>
      <c r="AC256" s="99" t="str">
        <f t="shared" ref="AC256:AC263" si="47">_xlfn.SWITCH(U256,AC$6,AC$4,AC$7,AC$5," ")</f>
        <v xml:space="preserve"> </v>
      </c>
      <c r="AE256" s="54">
        <f t="shared" si="38"/>
        <v>243</v>
      </c>
      <c r="AF256" s="54">
        <f>S_binomial[[#This Row],[Indeks (base 0)]]+1</f>
        <v>244</v>
      </c>
      <c r="AG256" s="99">
        <f t="shared" si="39"/>
        <v>2</v>
      </c>
      <c r="AH256" s="99">
        <f>IF(MOD(S_binomial[[#This Row],[Indeks (base 0)]],AF$7)=0,NA(),_xlfn.BINOM.DIST(S_binomial[[#This Row],[X base]],E$5,E$6,FALSE))</f>
        <v>4.261871040000002E-3</v>
      </c>
      <c r="AI256" s="99" t="b">
        <f>S_binomial[[#This Row],[X base]]&lt;AF$5</f>
        <v>1</v>
      </c>
      <c r="AJ256" s="99" t="b">
        <f>S_binomial[[#This Row],[X base]]=AF$5</f>
        <v>0</v>
      </c>
      <c r="AK256" s="99" t="b">
        <f>S_binomial[[#This Row],[X base]]&gt;AF$5</f>
        <v>0</v>
      </c>
      <c r="AL256" s="99">
        <f>IF(S_binomial[[#This Row],[Mindre end]],S_binomial[[#This Row],[Binomialfordeling]],NA())</f>
        <v>4.261871040000002E-3</v>
      </c>
      <c r="AM256" s="99" t="e">
        <f>IF(S_binomial[[#This Row],[Lig med]],S_binomial[[#This Row],[Binomialfordeling]],NA())</f>
        <v>#N/A</v>
      </c>
      <c r="AN256" s="99" t="e">
        <f>IF(S_binomial[[#This Row],[Større end]],S_binomial[[#This Row],[Binomialfordeling]],NA())</f>
        <v>#N/A</v>
      </c>
      <c r="AO256" s="85" t="str">
        <f>_xlfn.IFNA(IF(MOD(S_binomial[[#This Row],[Indeks (base 0)]],AF$7)=ROUNDDOWN(AF$7/2,0),S_binomial[[#This Row],[X base]],""),"")</f>
        <v/>
      </c>
      <c r="AP256" s="99" t="str">
        <f t="shared" si="40"/>
        <v xml:space="preserve"> </v>
      </c>
      <c r="AR256" s="54">
        <f t="shared" si="41"/>
        <v>243</v>
      </c>
      <c r="AS256" s="54">
        <f>S_normal27[[#This Row],[Indeks (base 0)]]+1</f>
        <v>244</v>
      </c>
      <c r="AT256" s="54">
        <f t="shared" si="43"/>
        <v>3</v>
      </c>
      <c r="AU256" s="54">
        <f>IF(MOD(S_normal27[[#This Row],[Indeks (base 0)]],AS$8)=0,NA(),_xlfn.POISSON.DIST(S_normal27[[#This Row],[X base]],$H$5,FALSE))</f>
        <v>0.22404180765538778</v>
      </c>
      <c r="AV256" s="99" t="b">
        <f>S_normal27[[#This Row],[X base]]&lt;AS$5</f>
        <v>0</v>
      </c>
      <c r="AW256" s="99" t="b">
        <f>S_normal27[[#This Row],[X base]]=AS$5</f>
        <v>0</v>
      </c>
      <c r="AX256" s="99" t="b">
        <f>S_normal27[[#This Row],[X base]]&gt;AS$5</f>
        <v>1</v>
      </c>
      <c r="AY256" s="99" t="e">
        <f>IF(S_normal27[[#This Row],[Mindre end]],S_normal27[[#This Row],[Poissonfordeling]],NA())</f>
        <v>#N/A</v>
      </c>
      <c r="AZ256" s="99" t="e">
        <f>IF(S_normal27[[#This Row],[Lig med]],S_normal27[[#This Row],[Poissonfordeling]],NA())</f>
        <v>#N/A</v>
      </c>
      <c r="BA256" s="99">
        <f>IF(S_normal27[[#This Row],[Større end]],S_normal27[[#This Row],[Poissonfordeling]],NA())</f>
        <v>0.22404180765538778</v>
      </c>
      <c r="BB256" s="85" t="str">
        <f>_xlfn.IFNA(IF(MOD(S_normal27[[#This Row],[Indeks (base 0)]],AS$8)=ROUNDDOWN(AS$8/2,0),S_normal27[[#This Row],[X base]],""),"")</f>
        <v/>
      </c>
      <c r="BC256" s="99" t="str">
        <f t="shared" si="42"/>
        <v xml:space="preserve"> </v>
      </c>
    </row>
    <row r="257" spans="20:55" x14ac:dyDescent="0.2">
      <c r="T257" s="54">
        <f t="shared" si="36"/>
        <v>244</v>
      </c>
      <c r="U257" s="54">
        <f>S_normal[[#This Row],[Indeks (base 0)]]+1</f>
        <v>245</v>
      </c>
      <c r="V257" s="99">
        <f t="shared" si="46"/>
        <v>2.7548582574364229</v>
      </c>
      <c r="W257" s="99">
        <f t="shared" si="37"/>
        <v>8.9727727004466386E-3</v>
      </c>
      <c r="X257" s="99" t="b">
        <f>S_normal[[#This Row],[X base]]&lt;U$7</f>
        <v>1</v>
      </c>
      <c r="Y257" s="99" t="b">
        <f>S_normal[[#This Row],[X base]]&gt;U$7</f>
        <v>0</v>
      </c>
      <c r="Z257" s="99">
        <f>IF(S_normal[[#This Row],[Mindre end]],S_normal[[#This Row],[Normalfordeling]],NA())</f>
        <v>8.9727727004466386E-3</v>
      </c>
      <c r="AA257" s="99" t="e">
        <f>IF(S_normal[[#This Row],[Større end]],S_normal[[#This Row],[Normalfordeling]],NA())</f>
        <v>#N/A</v>
      </c>
      <c r="AB257" s="72" t="str">
        <f>_xlfn.IFNA(IF(S_normal[[#This Row],[Indeks (base 0)]]=ROUND((ROUND(S_normal[[#This Row],[X base]],0)-U$8)/(U$9-U$8)*U$4,0),S_normal[[#This Row],[X base]]*B$6+B$5,""),"")</f>
        <v/>
      </c>
      <c r="AC257" s="99" t="str">
        <f t="shared" si="47"/>
        <v xml:space="preserve"> </v>
      </c>
      <c r="AE257" s="54">
        <f t="shared" si="38"/>
        <v>244</v>
      </c>
      <c r="AF257" s="54">
        <f>S_binomial[[#This Row],[Indeks (base 0)]]+1</f>
        <v>245</v>
      </c>
      <c r="AG257" s="99">
        <f t="shared" si="39"/>
        <v>2</v>
      </c>
      <c r="AH257" s="99">
        <f>IF(MOD(S_binomial[[#This Row],[Indeks (base 0)]],AF$7)=0,NA(),_xlfn.BINOM.DIST(S_binomial[[#This Row],[X base]],E$5,E$6,FALSE))</f>
        <v>4.261871040000002E-3</v>
      </c>
      <c r="AI257" s="99" t="b">
        <f>S_binomial[[#This Row],[X base]]&lt;AF$5</f>
        <v>1</v>
      </c>
      <c r="AJ257" s="99" t="b">
        <f>S_binomial[[#This Row],[X base]]=AF$5</f>
        <v>0</v>
      </c>
      <c r="AK257" s="99" t="b">
        <f>S_binomial[[#This Row],[X base]]&gt;AF$5</f>
        <v>0</v>
      </c>
      <c r="AL257" s="99">
        <f>IF(S_binomial[[#This Row],[Mindre end]],S_binomial[[#This Row],[Binomialfordeling]],NA())</f>
        <v>4.261871040000002E-3</v>
      </c>
      <c r="AM257" s="99" t="e">
        <f>IF(S_binomial[[#This Row],[Lig med]],S_binomial[[#This Row],[Binomialfordeling]],NA())</f>
        <v>#N/A</v>
      </c>
      <c r="AN257" s="99" t="e">
        <f>IF(S_binomial[[#This Row],[Større end]],S_binomial[[#This Row],[Binomialfordeling]],NA())</f>
        <v>#N/A</v>
      </c>
      <c r="AO257" s="85" t="str">
        <f>_xlfn.IFNA(IF(MOD(S_binomial[[#This Row],[Indeks (base 0)]],AF$7)=ROUNDDOWN(AF$7/2,0),S_binomial[[#This Row],[X base]],""),"")</f>
        <v/>
      </c>
      <c r="AP257" s="99" t="str">
        <f t="shared" si="40"/>
        <v xml:space="preserve"> </v>
      </c>
      <c r="AR257" s="54">
        <f t="shared" si="41"/>
        <v>244</v>
      </c>
      <c r="AS257" s="54">
        <f>S_normal27[[#This Row],[Indeks (base 0)]]+1</f>
        <v>245</v>
      </c>
      <c r="AT257" s="54">
        <f t="shared" si="43"/>
        <v>3</v>
      </c>
      <c r="AU257" s="54">
        <f>IF(MOD(S_normal27[[#This Row],[Indeks (base 0)]],AS$8)=0,NA(),_xlfn.POISSON.DIST(S_normal27[[#This Row],[X base]],$H$5,FALSE))</f>
        <v>0.22404180765538778</v>
      </c>
      <c r="AV257" s="99" t="b">
        <f>S_normal27[[#This Row],[X base]]&lt;AS$5</f>
        <v>0</v>
      </c>
      <c r="AW257" s="99" t="b">
        <f>S_normal27[[#This Row],[X base]]=AS$5</f>
        <v>0</v>
      </c>
      <c r="AX257" s="99" t="b">
        <f>S_normal27[[#This Row],[X base]]&gt;AS$5</f>
        <v>1</v>
      </c>
      <c r="AY257" s="99" t="e">
        <f>IF(S_normal27[[#This Row],[Mindre end]],S_normal27[[#This Row],[Poissonfordeling]],NA())</f>
        <v>#N/A</v>
      </c>
      <c r="AZ257" s="99" t="e">
        <f>IF(S_normal27[[#This Row],[Lig med]],S_normal27[[#This Row],[Poissonfordeling]],NA())</f>
        <v>#N/A</v>
      </c>
      <c r="BA257" s="99">
        <f>IF(S_normal27[[#This Row],[Større end]],S_normal27[[#This Row],[Poissonfordeling]],NA())</f>
        <v>0.22404180765538778</v>
      </c>
      <c r="BB257" s="85" t="str">
        <f>_xlfn.IFNA(IF(MOD(S_normal27[[#This Row],[Indeks (base 0)]],AS$8)=ROUNDDOWN(AS$8/2,0),S_normal27[[#This Row],[X base]],""),"")</f>
        <v/>
      </c>
      <c r="BC257" s="99" t="str">
        <f t="shared" si="42"/>
        <v xml:space="preserve"> </v>
      </c>
    </row>
    <row r="258" spans="20:55" x14ac:dyDescent="0.2">
      <c r="T258" s="54">
        <f t="shared" si="36"/>
        <v>245</v>
      </c>
      <c r="U258" s="54">
        <f>S_normal[[#This Row],[Indeks (base 0)]]+1</f>
        <v>246</v>
      </c>
      <c r="V258" s="99">
        <f t="shared" si="46"/>
        <v>2.7788135466315218</v>
      </c>
      <c r="W258" s="99">
        <f t="shared" si="37"/>
        <v>8.3973349051078925E-3</v>
      </c>
      <c r="X258" s="99" t="b">
        <f>S_normal[[#This Row],[X base]]&lt;U$7</f>
        <v>1</v>
      </c>
      <c r="Y258" s="99" t="b">
        <f>S_normal[[#This Row],[X base]]&gt;U$7</f>
        <v>0</v>
      </c>
      <c r="Z258" s="99">
        <f>IF(S_normal[[#This Row],[Mindre end]],S_normal[[#This Row],[Normalfordeling]],NA())</f>
        <v>8.3973349051078925E-3</v>
      </c>
      <c r="AA258" s="99" t="e">
        <f>IF(S_normal[[#This Row],[Større end]],S_normal[[#This Row],[Normalfordeling]],NA())</f>
        <v>#N/A</v>
      </c>
      <c r="AB258" s="72" t="str">
        <f>_xlfn.IFNA(IF(S_normal[[#This Row],[Indeks (base 0)]]=ROUND((ROUND(S_normal[[#This Row],[X base]],0)-U$8)/(U$9-U$8)*U$4,0),S_normal[[#This Row],[X base]]*B$6+B$5,""),"")</f>
        <v/>
      </c>
      <c r="AC258" s="99" t="str">
        <f t="shared" si="47"/>
        <v xml:space="preserve"> </v>
      </c>
      <c r="AE258" s="54">
        <f t="shared" si="38"/>
        <v>245</v>
      </c>
      <c r="AF258" s="54">
        <f>S_binomial[[#This Row],[Indeks (base 0)]]+1</f>
        <v>246</v>
      </c>
      <c r="AG258" s="99">
        <f t="shared" si="39"/>
        <v>2</v>
      </c>
      <c r="AH258" s="99">
        <f>IF(MOD(S_binomial[[#This Row],[Indeks (base 0)]],AF$7)=0,NA(),_xlfn.BINOM.DIST(S_binomial[[#This Row],[X base]],E$5,E$6,FALSE))</f>
        <v>4.261871040000002E-3</v>
      </c>
      <c r="AI258" s="99" t="b">
        <f>S_binomial[[#This Row],[X base]]&lt;AF$5</f>
        <v>1</v>
      </c>
      <c r="AJ258" s="99" t="b">
        <f>S_binomial[[#This Row],[X base]]=AF$5</f>
        <v>0</v>
      </c>
      <c r="AK258" s="99" t="b">
        <f>S_binomial[[#This Row],[X base]]&gt;AF$5</f>
        <v>0</v>
      </c>
      <c r="AL258" s="99">
        <f>IF(S_binomial[[#This Row],[Mindre end]],S_binomial[[#This Row],[Binomialfordeling]],NA())</f>
        <v>4.261871040000002E-3</v>
      </c>
      <c r="AM258" s="99" t="e">
        <f>IF(S_binomial[[#This Row],[Lig med]],S_binomial[[#This Row],[Binomialfordeling]],NA())</f>
        <v>#N/A</v>
      </c>
      <c r="AN258" s="99" t="e">
        <f>IF(S_binomial[[#This Row],[Større end]],S_binomial[[#This Row],[Binomialfordeling]],NA())</f>
        <v>#N/A</v>
      </c>
      <c r="AO258" s="85" t="str">
        <f>_xlfn.IFNA(IF(MOD(S_binomial[[#This Row],[Indeks (base 0)]],AF$7)=ROUNDDOWN(AF$7/2,0),S_binomial[[#This Row],[X base]],""),"")</f>
        <v/>
      </c>
      <c r="AP258" s="99" t="str">
        <f t="shared" si="40"/>
        <v xml:space="preserve"> </v>
      </c>
      <c r="AR258" s="54">
        <f t="shared" si="41"/>
        <v>245</v>
      </c>
      <c r="AS258" s="54">
        <f>S_normal27[[#This Row],[Indeks (base 0)]]+1</f>
        <v>246</v>
      </c>
      <c r="AT258" s="54">
        <f t="shared" si="43"/>
        <v>3</v>
      </c>
      <c r="AU258" s="54">
        <f>IF(MOD(S_normal27[[#This Row],[Indeks (base 0)]],AS$8)=0,NA(),_xlfn.POISSON.DIST(S_normal27[[#This Row],[X base]],$H$5,FALSE))</f>
        <v>0.22404180765538778</v>
      </c>
      <c r="AV258" s="99" t="b">
        <f>S_normal27[[#This Row],[X base]]&lt;AS$5</f>
        <v>0</v>
      </c>
      <c r="AW258" s="99" t="b">
        <f>S_normal27[[#This Row],[X base]]=AS$5</f>
        <v>0</v>
      </c>
      <c r="AX258" s="99" t="b">
        <f>S_normal27[[#This Row],[X base]]&gt;AS$5</f>
        <v>1</v>
      </c>
      <c r="AY258" s="99" t="e">
        <f>IF(S_normal27[[#This Row],[Mindre end]],S_normal27[[#This Row],[Poissonfordeling]],NA())</f>
        <v>#N/A</v>
      </c>
      <c r="AZ258" s="99" t="e">
        <f>IF(S_normal27[[#This Row],[Lig med]],S_normal27[[#This Row],[Poissonfordeling]],NA())</f>
        <v>#N/A</v>
      </c>
      <c r="BA258" s="99">
        <f>IF(S_normal27[[#This Row],[Større end]],S_normal27[[#This Row],[Poissonfordeling]],NA())</f>
        <v>0.22404180765538778</v>
      </c>
      <c r="BB258" s="85" t="str">
        <f>_xlfn.IFNA(IF(MOD(S_normal27[[#This Row],[Indeks (base 0)]],AS$8)=ROUNDDOWN(AS$8/2,0),S_normal27[[#This Row],[X base]],""),"")</f>
        <v/>
      </c>
      <c r="BC258" s="99" t="str">
        <f t="shared" si="42"/>
        <v xml:space="preserve"> </v>
      </c>
    </row>
    <row r="259" spans="20:55" x14ac:dyDescent="0.2">
      <c r="T259" s="54">
        <f t="shared" si="36"/>
        <v>246</v>
      </c>
      <c r="U259" s="54">
        <f>S_normal[[#This Row],[Indeks (base 0)]]+1</f>
        <v>247</v>
      </c>
      <c r="V259" s="99">
        <f t="shared" si="46"/>
        <v>2.8027688358266216</v>
      </c>
      <c r="W259" s="99">
        <f t="shared" si="37"/>
        <v>7.8542923005407612E-3</v>
      </c>
      <c r="X259" s="99" t="b">
        <f>S_normal[[#This Row],[X base]]&lt;U$7</f>
        <v>1</v>
      </c>
      <c r="Y259" s="99" t="b">
        <f>S_normal[[#This Row],[X base]]&gt;U$7</f>
        <v>0</v>
      </c>
      <c r="Z259" s="99">
        <f>IF(S_normal[[#This Row],[Mindre end]],S_normal[[#This Row],[Normalfordeling]],NA())</f>
        <v>7.8542923005407612E-3</v>
      </c>
      <c r="AA259" s="99" t="e">
        <f>IF(S_normal[[#This Row],[Større end]],S_normal[[#This Row],[Normalfordeling]],NA())</f>
        <v>#N/A</v>
      </c>
      <c r="AB259" s="72" t="str">
        <f>_xlfn.IFNA(IF(S_normal[[#This Row],[Indeks (base 0)]]=ROUND((ROUND(S_normal[[#This Row],[X base]],0)-U$8)/(U$9-U$8)*U$4,0),S_normal[[#This Row],[X base]]*B$6+B$5,""),"")</f>
        <v/>
      </c>
      <c r="AC259" s="99" t="str">
        <f t="shared" si="47"/>
        <v xml:space="preserve"> </v>
      </c>
      <c r="AE259" s="54">
        <f t="shared" si="38"/>
        <v>246</v>
      </c>
      <c r="AF259" s="54">
        <f>S_binomial[[#This Row],[Indeks (base 0)]]+1</f>
        <v>247</v>
      </c>
      <c r="AG259" s="99">
        <f t="shared" si="39"/>
        <v>2</v>
      </c>
      <c r="AH259" s="99">
        <f>IF(MOD(S_binomial[[#This Row],[Indeks (base 0)]],AF$7)=0,NA(),_xlfn.BINOM.DIST(S_binomial[[#This Row],[X base]],E$5,E$6,FALSE))</f>
        <v>4.261871040000002E-3</v>
      </c>
      <c r="AI259" s="99" t="b">
        <f>S_binomial[[#This Row],[X base]]&lt;AF$5</f>
        <v>1</v>
      </c>
      <c r="AJ259" s="99" t="b">
        <f>S_binomial[[#This Row],[X base]]=AF$5</f>
        <v>0</v>
      </c>
      <c r="AK259" s="99" t="b">
        <f>S_binomial[[#This Row],[X base]]&gt;AF$5</f>
        <v>0</v>
      </c>
      <c r="AL259" s="99">
        <f>IF(S_binomial[[#This Row],[Mindre end]],S_binomial[[#This Row],[Binomialfordeling]],NA())</f>
        <v>4.261871040000002E-3</v>
      </c>
      <c r="AM259" s="99" t="e">
        <f>IF(S_binomial[[#This Row],[Lig med]],S_binomial[[#This Row],[Binomialfordeling]],NA())</f>
        <v>#N/A</v>
      </c>
      <c r="AN259" s="99" t="e">
        <f>IF(S_binomial[[#This Row],[Større end]],S_binomial[[#This Row],[Binomialfordeling]],NA())</f>
        <v>#N/A</v>
      </c>
      <c r="AO259" s="85" t="str">
        <f>_xlfn.IFNA(IF(MOD(S_binomial[[#This Row],[Indeks (base 0)]],AF$7)=ROUNDDOWN(AF$7/2,0),S_binomial[[#This Row],[X base]],""),"")</f>
        <v/>
      </c>
      <c r="AP259" s="99" t="str">
        <f t="shared" si="40"/>
        <v xml:space="preserve"> </v>
      </c>
      <c r="AR259" s="54">
        <f t="shared" si="41"/>
        <v>246</v>
      </c>
      <c r="AS259" s="54">
        <f>S_normal27[[#This Row],[Indeks (base 0)]]+1</f>
        <v>247</v>
      </c>
      <c r="AT259" s="54">
        <f t="shared" si="43"/>
        <v>3</v>
      </c>
      <c r="AU259" s="54">
        <f>IF(MOD(S_normal27[[#This Row],[Indeks (base 0)]],AS$8)=0,NA(),_xlfn.POISSON.DIST(S_normal27[[#This Row],[X base]],$H$5,FALSE))</f>
        <v>0.22404180765538778</v>
      </c>
      <c r="AV259" s="99" t="b">
        <f>S_normal27[[#This Row],[X base]]&lt;AS$5</f>
        <v>0</v>
      </c>
      <c r="AW259" s="99" t="b">
        <f>S_normal27[[#This Row],[X base]]=AS$5</f>
        <v>0</v>
      </c>
      <c r="AX259" s="99" t="b">
        <f>S_normal27[[#This Row],[X base]]&gt;AS$5</f>
        <v>1</v>
      </c>
      <c r="AY259" s="99" t="e">
        <f>IF(S_normal27[[#This Row],[Mindre end]],S_normal27[[#This Row],[Poissonfordeling]],NA())</f>
        <v>#N/A</v>
      </c>
      <c r="AZ259" s="99" t="e">
        <f>IF(S_normal27[[#This Row],[Lig med]],S_normal27[[#This Row],[Poissonfordeling]],NA())</f>
        <v>#N/A</v>
      </c>
      <c r="BA259" s="99">
        <f>IF(S_normal27[[#This Row],[Større end]],S_normal27[[#This Row],[Poissonfordeling]],NA())</f>
        <v>0.22404180765538778</v>
      </c>
      <c r="BB259" s="85" t="str">
        <f>_xlfn.IFNA(IF(MOD(S_normal27[[#This Row],[Indeks (base 0)]],AS$8)=ROUNDDOWN(AS$8/2,0),S_normal27[[#This Row],[X base]],""),"")</f>
        <v/>
      </c>
      <c r="BC259" s="99" t="str">
        <f t="shared" si="42"/>
        <v xml:space="preserve"> </v>
      </c>
    </row>
    <row r="260" spans="20:55" x14ac:dyDescent="0.2">
      <c r="T260" s="54">
        <f t="shared" si="36"/>
        <v>247</v>
      </c>
      <c r="U260" s="54">
        <f>S_normal[[#This Row],[Indeks (base 0)]]+1</f>
        <v>248</v>
      </c>
      <c r="V260" s="99">
        <f t="shared" si="46"/>
        <v>2.8267241250217205</v>
      </c>
      <c r="W260" s="99">
        <f t="shared" si="37"/>
        <v>7.3421528709367023E-3</v>
      </c>
      <c r="X260" s="99" t="b">
        <f>S_normal[[#This Row],[X base]]&lt;U$7</f>
        <v>1</v>
      </c>
      <c r="Y260" s="99" t="b">
        <f>S_normal[[#This Row],[X base]]&gt;U$7</f>
        <v>0</v>
      </c>
      <c r="Z260" s="99">
        <f>IF(S_normal[[#This Row],[Mindre end]],S_normal[[#This Row],[Normalfordeling]],NA())</f>
        <v>7.3421528709367023E-3</v>
      </c>
      <c r="AA260" s="99" t="e">
        <f>IF(S_normal[[#This Row],[Større end]],S_normal[[#This Row],[Normalfordeling]],NA())</f>
        <v>#N/A</v>
      </c>
      <c r="AB260" s="72" t="str">
        <f>_xlfn.IFNA(IF(S_normal[[#This Row],[Indeks (base 0)]]=ROUND((ROUND(S_normal[[#This Row],[X base]],0)-U$8)/(U$9-U$8)*U$4,0),S_normal[[#This Row],[X base]]*B$6+B$5,""),"")</f>
        <v/>
      </c>
      <c r="AC260" s="99" t="str">
        <f t="shared" si="47"/>
        <v xml:space="preserve"> </v>
      </c>
      <c r="AE260" s="54">
        <f t="shared" si="38"/>
        <v>247</v>
      </c>
      <c r="AF260" s="54">
        <f>S_binomial[[#This Row],[Indeks (base 0)]]+1</f>
        <v>248</v>
      </c>
      <c r="AG260" s="99">
        <f t="shared" si="39"/>
        <v>2</v>
      </c>
      <c r="AH260" s="99">
        <f>IF(MOD(S_binomial[[#This Row],[Indeks (base 0)]],AF$7)=0,NA(),_xlfn.BINOM.DIST(S_binomial[[#This Row],[X base]],E$5,E$6,FALSE))</f>
        <v>4.261871040000002E-3</v>
      </c>
      <c r="AI260" s="99" t="b">
        <f>S_binomial[[#This Row],[X base]]&lt;AF$5</f>
        <v>1</v>
      </c>
      <c r="AJ260" s="99" t="b">
        <f>S_binomial[[#This Row],[X base]]=AF$5</f>
        <v>0</v>
      </c>
      <c r="AK260" s="99" t="b">
        <f>S_binomial[[#This Row],[X base]]&gt;AF$5</f>
        <v>0</v>
      </c>
      <c r="AL260" s="99">
        <f>IF(S_binomial[[#This Row],[Mindre end]],S_binomial[[#This Row],[Binomialfordeling]],NA())</f>
        <v>4.261871040000002E-3</v>
      </c>
      <c r="AM260" s="99" t="e">
        <f>IF(S_binomial[[#This Row],[Lig med]],S_binomial[[#This Row],[Binomialfordeling]],NA())</f>
        <v>#N/A</v>
      </c>
      <c r="AN260" s="99" t="e">
        <f>IF(S_binomial[[#This Row],[Større end]],S_binomial[[#This Row],[Binomialfordeling]],NA())</f>
        <v>#N/A</v>
      </c>
      <c r="AO260" s="85" t="str">
        <f>_xlfn.IFNA(IF(MOD(S_binomial[[#This Row],[Indeks (base 0)]],AF$7)=ROUNDDOWN(AF$7/2,0),S_binomial[[#This Row],[X base]],""),"")</f>
        <v/>
      </c>
      <c r="AP260" s="99" t="str">
        <f t="shared" si="40"/>
        <v xml:space="preserve"> </v>
      </c>
      <c r="AR260" s="54">
        <f t="shared" si="41"/>
        <v>247</v>
      </c>
      <c r="AS260" s="54">
        <f>S_normal27[[#This Row],[Indeks (base 0)]]+1</f>
        <v>248</v>
      </c>
      <c r="AT260" s="54">
        <f t="shared" si="43"/>
        <v>3</v>
      </c>
      <c r="AU260" s="54">
        <f>IF(MOD(S_normal27[[#This Row],[Indeks (base 0)]],AS$8)=0,NA(),_xlfn.POISSON.DIST(S_normal27[[#This Row],[X base]],$H$5,FALSE))</f>
        <v>0.22404180765538778</v>
      </c>
      <c r="AV260" s="99" t="b">
        <f>S_normal27[[#This Row],[X base]]&lt;AS$5</f>
        <v>0</v>
      </c>
      <c r="AW260" s="99" t="b">
        <f>S_normal27[[#This Row],[X base]]=AS$5</f>
        <v>0</v>
      </c>
      <c r="AX260" s="99" t="b">
        <f>S_normal27[[#This Row],[X base]]&gt;AS$5</f>
        <v>1</v>
      </c>
      <c r="AY260" s="99" t="e">
        <f>IF(S_normal27[[#This Row],[Mindre end]],S_normal27[[#This Row],[Poissonfordeling]],NA())</f>
        <v>#N/A</v>
      </c>
      <c r="AZ260" s="99" t="e">
        <f>IF(S_normal27[[#This Row],[Lig med]],S_normal27[[#This Row],[Poissonfordeling]],NA())</f>
        <v>#N/A</v>
      </c>
      <c r="BA260" s="99">
        <f>IF(S_normal27[[#This Row],[Større end]],S_normal27[[#This Row],[Poissonfordeling]],NA())</f>
        <v>0.22404180765538778</v>
      </c>
      <c r="BB260" s="85" t="str">
        <f>_xlfn.IFNA(IF(MOD(S_normal27[[#This Row],[Indeks (base 0)]],AS$8)=ROUNDDOWN(AS$8/2,0),S_normal27[[#This Row],[X base]],""),"")</f>
        <v/>
      </c>
      <c r="BC260" s="99" t="str">
        <f t="shared" si="42"/>
        <v xml:space="preserve"> </v>
      </c>
    </row>
    <row r="261" spans="20:55" x14ac:dyDescent="0.2">
      <c r="T261" s="54">
        <f t="shared" si="36"/>
        <v>248</v>
      </c>
      <c r="U261" s="54">
        <f>S_normal[[#This Row],[Indeks (base 0)]]+1</f>
        <v>249</v>
      </c>
      <c r="V261" s="99">
        <f t="shared" si="46"/>
        <v>2.8506794142168195</v>
      </c>
      <c r="W261" s="99">
        <f t="shared" si="37"/>
        <v>6.8594700355305563E-3</v>
      </c>
      <c r="X261" s="99" t="b">
        <f>S_normal[[#This Row],[X base]]&lt;U$7</f>
        <v>1</v>
      </c>
      <c r="Y261" s="99" t="b">
        <f>S_normal[[#This Row],[X base]]&gt;U$7</f>
        <v>0</v>
      </c>
      <c r="Z261" s="99">
        <f>IF(S_normal[[#This Row],[Mindre end]],S_normal[[#This Row],[Normalfordeling]],NA())</f>
        <v>6.8594700355305563E-3</v>
      </c>
      <c r="AA261" s="99" t="e">
        <f>IF(S_normal[[#This Row],[Større end]],S_normal[[#This Row],[Normalfordeling]],NA())</f>
        <v>#N/A</v>
      </c>
      <c r="AB261" s="72" t="str">
        <f>_xlfn.IFNA(IF(S_normal[[#This Row],[Indeks (base 0)]]=ROUND((ROUND(S_normal[[#This Row],[X base]],0)-U$8)/(U$9-U$8)*U$4,0),S_normal[[#This Row],[X base]]*B$6+B$5,""),"")</f>
        <v/>
      </c>
      <c r="AC261" s="99" t="str">
        <f t="shared" si="47"/>
        <v xml:space="preserve"> </v>
      </c>
      <c r="AE261" s="54">
        <f t="shared" si="38"/>
        <v>248</v>
      </c>
      <c r="AF261" s="54">
        <f>S_binomial[[#This Row],[Indeks (base 0)]]+1</f>
        <v>249</v>
      </c>
      <c r="AG261" s="99">
        <f t="shared" si="39"/>
        <v>2</v>
      </c>
      <c r="AH261" s="99">
        <f>IF(MOD(S_binomial[[#This Row],[Indeks (base 0)]],AF$7)=0,NA(),_xlfn.BINOM.DIST(S_binomial[[#This Row],[X base]],E$5,E$6,FALSE))</f>
        <v>4.261871040000002E-3</v>
      </c>
      <c r="AI261" s="99" t="b">
        <f>S_binomial[[#This Row],[X base]]&lt;AF$5</f>
        <v>1</v>
      </c>
      <c r="AJ261" s="99" t="b">
        <f>S_binomial[[#This Row],[X base]]=AF$5</f>
        <v>0</v>
      </c>
      <c r="AK261" s="99" t="b">
        <f>S_binomial[[#This Row],[X base]]&gt;AF$5</f>
        <v>0</v>
      </c>
      <c r="AL261" s="99">
        <f>IF(S_binomial[[#This Row],[Mindre end]],S_binomial[[#This Row],[Binomialfordeling]],NA())</f>
        <v>4.261871040000002E-3</v>
      </c>
      <c r="AM261" s="99" t="e">
        <f>IF(S_binomial[[#This Row],[Lig med]],S_binomial[[#This Row],[Binomialfordeling]],NA())</f>
        <v>#N/A</v>
      </c>
      <c r="AN261" s="99" t="e">
        <f>IF(S_binomial[[#This Row],[Større end]],S_binomial[[#This Row],[Binomialfordeling]],NA())</f>
        <v>#N/A</v>
      </c>
      <c r="AO261" s="85" t="str">
        <f>_xlfn.IFNA(IF(MOD(S_binomial[[#This Row],[Indeks (base 0)]],AF$7)=ROUNDDOWN(AF$7/2,0),S_binomial[[#This Row],[X base]],""),"")</f>
        <v/>
      </c>
      <c r="AP261" s="99" t="str">
        <f t="shared" si="40"/>
        <v xml:space="preserve"> </v>
      </c>
      <c r="AR261" s="54">
        <f t="shared" si="41"/>
        <v>248</v>
      </c>
      <c r="AS261" s="54">
        <f>S_normal27[[#This Row],[Indeks (base 0)]]+1</f>
        <v>249</v>
      </c>
      <c r="AT261" s="54">
        <f t="shared" si="43"/>
        <v>3</v>
      </c>
      <c r="AU261" s="54">
        <f>IF(MOD(S_normal27[[#This Row],[Indeks (base 0)]],AS$8)=0,NA(),_xlfn.POISSON.DIST(S_normal27[[#This Row],[X base]],$H$5,FALSE))</f>
        <v>0.22404180765538778</v>
      </c>
      <c r="AV261" s="99" t="b">
        <f>S_normal27[[#This Row],[X base]]&lt;AS$5</f>
        <v>0</v>
      </c>
      <c r="AW261" s="99" t="b">
        <f>S_normal27[[#This Row],[X base]]=AS$5</f>
        <v>0</v>
      </c>
      <c r="AX261" s="99" t="b">
        <f>S_normal27[[#This Row],[X base]]&gt;AS$5</f>
        <v>1</v>
      </c>
      <c r="AY261" s="99" t="e">
        <f>IF(S_normal27[[#This Row],[Mindre end]],S_normal27[[#This Row],[Poissonfordeling]],NA())</f>
        <v>#N/A</v>
      </c>
      <c r="AZ261" s="99" t="e">
        <f>IF(S_normal27[[#This Row],[Lig med]],S_normal27[[#This Row],[Poissonfordeling]],NA())</f>
        <v>#N/A</v>
      </c>
      <c r="BA261" s="99">
        <f>IF(S_normal27[[#This Row],[Større end]],S_normal27[[#This Row],[Poissonfordeling]],NA())</f>
        <v>0.22404180765538778</v>
      </c>
      <c r="BB261" s="85" t="str">
        <f>_xlfn.IFNA(IF(MOD(S_normal27[[#This Row],[Indeks (base 0)]],AS$8)=ROUNDDOWN(AS$8/2,0),S_normal27[[#This Row],[X base]],""),"")</f>
        <v/>
      </c>
      <c r="BC261" s="99" t="str">
        <f t="shared" si="42"/>
        <v xml:space="preserve"> </v>
      </c>
    </row>
    <row r="262" spans="20:55" x14ac:dyDescent="0.2">
      <c r="T262" s="54">
        <f t="shared" si="36"/>
        <v>249</v>
      </c>
      <c r="U262" s="54">
        <f>S_normal[[#This Row],[Indeks (base 0)]]+1</f>
        <v>250</v>
      </c>
      <c r="V262" s="99">
        <f t="shared" si="46"/>
        <v>2.8746347034119193</v>
      </c>
      <c r="W262" s="99">
        <f t="shared" si="37"/>
        <v>6.4048428962354522E-3</v>
      </c>
      <c r="X262" s="99" t="b">
        <f>S_normal[[#This Row],[X base]]&lt;U$7</f>
        <v>1</v>
      </c>
      <c r="Y262" s="99" t="b">
        <f>S_normal[[#This Row],[X base]]&gt;U$7</f>
        <v>0</v>
      </c>
      <c r="Z262" s="99">
        <f>IF(S_normal[[#This Row],[Mindre end]],S_normal[[#This Row],[Normalfordeling]],NA())</f>
        <v>6.4048428962354522E-3</v>
      </c>
      <c r="AA262" s="99" t="e">
        <f>IF(S_normal[[#This Row],[Større end]],S_normal[[#This Row],[Normalfordeling]],NA())</f>
        <v>#N/A</v>
      </c>
      <c r="AB262" s="72" t="str">
        <f>_xlfn.IFNA(IF(S_normal[[#This Row],[Indeks (base 0)]]=ROUND((ROUND(S_normal[[#This Row],[X base]],0)-U$8)/(U$9-U$8)*U$4,0),S_normal[[#This Row],[X base]]*B$6+B$5,""),"")</f>
        <v/>
      </c>
      <c r="AC262" s="99" t="str">
        <f t="shared" si="47"/>
        <v xml:space="preserve"> </v>
      </c>
      <c r="AE262" s="54">
        <f t="shared" si="38"/>
        <v>249</v>
      </c>
      <c r="AF262" s="54">
        <f>S_binomial[[#This Row],[Indeks (base 0)]]+1</f>
        <v>250</v>
      </c>
      <c r="AG262" s="99">
        <f t="shared" si="39"/>
        <v>2</v>
      </c>
      <c r="AH262" s="99">
        <f>IF(MOD(S_binomial[[#This Row],[Indeks (base 0)]],AF$7)=0,NA(),_xlfn.BINOM.DIST(S_binomial[[#This Row],[X base]],E$5,E$6,FALSE))</f>
        <v>4.261871040000002E-3</v>
      </c>
      <c r="AI262" s="99" t="b">
        <f>S_binomial[[#This Row],[X base]]&lt;AF$5</f>
        <v>1</v>
      </c>
      <c r="AJ262" s="99" t="b">
        <f>S_binomial[[#This Row],[X base]]=AF$5</f>
        <v>0</v>
      </c>
      <c r="AK262" s="99" t="b">
        <f>S_binomial[[#This Row],[X base]]&gt;AF$5</f>
        <v>0</v>
      </c>
      <c r="AL262" s="99">
        <f>IF(S_binomial[[#This Row],[Mindre end]],S_binomial[[#This Row],[Binomialfordeling]],NA())</f>
        <v>4.261871040000002E-3</v>
      </c>
      <c r="AM262" s="99" t="e">
        <f>IF(S_binomial[[#This Row],[Lig med]],S_binomial[[#This Row],[Binomialfordeling]],NA())</f>
        <v>#N/A</v>
      </c>
      <c r="AN262" s="99" t="e">
        <f>IF(S_binomial[[#This Row],[Større end]],S_binomial[[#This Row],[Binomialfordeling]],NA())</f>
        <v>#N/A</v>
      </c>
      <c r="AO262" s="85" t="str">
        <f>_xlfn.IFNA(IF(MOD(S_binomial[[#This Row],[Indeks (base 0)]],AF$7)=ROUNDDOWN(AF$7/2,0),S_binomial[[#This Row],[X base]],""),"")</f>
        <v/>
      </c>
      <c r="AP262" s="99" t="str">
        <f t="shared" si="40"/>
        <v xml:space="preserve"> </v>
      </c>
      <c r="AR262" s="54">
        <f t="shared" si="41"/>
        <v>249</v>
      </c>
      <c r="AS262" s="54">
        <f>S_normal27[[#This Row],[Indeks (base 0)]]+1</f>
        <v>250</v>
      </c>
      <c r="AT262" s="54">
        <f t="shared" si="43"/>
        <v>3</v>
      </c>
      <c r="AU262" s="54">
        <f>IF(MOD(S_normal27[[#This Row],[Indeks (base 0)]],AS$8)=0,NA(),_xlfn.POISSON.DIST(S_normal27[[#This Row],[X base]],$H$5,FALSE))</f>
        <v>0.22404180765538778</v>
      </c>
      <c r="AV262" s="99" t="b">
        <f>S_normal27[[#This Row],[X base]]&lt;AS$5</f>
        <v>0</v>
      </c>
      <c r="AW262" s="99" t="b">
        <f>S_normal27[[#This Row],[X base]]=AS$5</f>
        <v>0</v>
      </c>
      <c r="AX262" s="99" t="b">
        <f>S_normal27[[#This Row],[X base]]&gt;AS$5</f>
        <v>1</v>
      </c>
      <c r="AY262" s="99" t="e">
        <f>IF(S_normal27[[#This Row],[Mindre end]],S_normal27[[#This Row],[Poissonfordeling]],NA())</f>
        <v>#N/A</v>
      </c>
      <c r="AZ262" s="99" t="e">
        <f>IF(S_normal27[[#This Row],[Lig med]],S_normal27[[#This Row],[Poissonfordeling]],NA())</f>
        <v>#N/A</v>
      </c>
      <c r="BA262" s="99">
        <f>IF(S_normal27[[#This Row],[Større end]],S_normal27[[#This Row],[Poissonfordeling]],NA())</f>
        <v>0.22404180765538778</v>
      </c>
      <c r="BB262" s="85" t="str">
        <f>_xlfn.IFNA(IF(MOD(S_normal27[[#This Row],[Indeks (base 0)]],AS$8)=ROUNDDOWN(AS$8/2,0),S_normal27[[#This Row],[X base]],""),"")</f>
        <v/>
      </c>
      <c r="BC262" s="99" t="str">
        <f t="shared" si="42"/>
        <v xml:space="preserve"> </v>
      </c>
    </row>
    <row r="263" spans="20:55" x14ac:dyDescent="0.2">
      <c r="T263" s="54">
        <f t="shared" si="36"/>
        <v>250</v>
      </c>
      <c r="U263" s="54">
        <f>S_normal[[#This Row],[Indeks (base 0)]]+1</f>
        <v>251</v>
      </c>
      <c r="V263" s="99">
        <f t="shared" si="46"/>
        <v>2.8985899926070182</v>
      </c>
      <c r="W263" s="99">
        <f t="shared" si="37"/>
        <v>5.9769163423966497E-3</v>
      </c>
      <c r="X263" s="99" t="b">
        <f>S_normal[[#This Row],[X base]]&lt;U$7</f>
        <v>1</v>
      </c>
      <c r="Y263" s="99" t="b">
        <f>S_normal[[#This Row],[X base]]&gt;U$7</f>
        <v>0</v>
      </c>
      <c r="Z263" s="99">
        <f>IF(S_normal[[#This Row],[Mindre end]],S_normal[[#This Row],[Normalfordeling]],NA())</f>
        <v>5.9769163423966497E-3</v>
      </c>
      <c r="AA263" s="99" t="e">
        <f>IF(S_normal[[#This Row],[Større end]],S_normal[[#This Row],[Normalfordeling]],NA())</f>
        <v>#N/A</v>
      </c>
      <c r="AB263" s="72" t="str">
        <f>_xlfn.IFNA(IF(S_normal[[#This Row],[Indeks (base 0)]]=ROUND((ROUND(S_normal[[#This Row],[X base]],0)-U$8)/(U$9-U$8)*U$4,0),S_normal[[#This Row],[X base]]*B$6+B$5,""),"")</f>
        <v/>
      </c>
      <c r="AC263" s="99" t="str">
        <f t="shared" si="47"/>
        <v xml:space="preserve"> </v>
      </c>
      <c r="AE263" s="54">
        <f t="shared" si="38"/>
        <v>250</v>
      </c>
      <c r="AF263" s="54">
        <f>S_binomial[[#This Row],[Indeks (base 0)]]+1</f>
        <v>251</v>
      </c>
      <c r="AG263" s="99">
        <f t="shared" si="39"/>
        <v>2</v>
      </c>
      <c r="AH263" s="99">
        <f>IF(MOD(S_binomial[[#This Row],[Indeks (base 0)]],AF$7)=0,NA(),_xlfn.BINOM.DIST(S_binomial[[#This Row],[X base]],E$5,E$6,FALSE))</f>
        <v>4.261871040000002E-3</v>
      </c>
      <c r="AI263" s="99" t="b">
        <f>S_binomial[[#This Row],[X base]]&lt;AF$5</f>
        <v>1</v>
      </c>
      <c r="AJ263" s="99" t="b">
        <f>S_binomial[[#This Row],[X base]]=AF$5</f>
        <v>0</v>
      </c>
      <c r="AK263" s="99" t="b">
        <f>S_binomial[[#This Row],[X base]]&gt;AF$5</f>
        <v>0</v>
      </c>
      <c r="AL263" s="99">
        <f>IF(S_binomial[[#This Row],[Mindre end]],S_binomial[[#This Row],[Binomialfordeling]],NA())</f>
        <v>4.261871040000002E-3</v>
      </c>
      <c r="AM263" s="99" t="e">
        <f>IF(S_binomial[[#This Row],[Lig med]],S_binomial[[#This Row],[Binomialfordeling]],NA())</f>
        <v>#N/A</v>
      </c>
      <c r="AN263" s="99" t="e">
        <f>IF(S_binomial[[#This Row],[Større end]],S_binomial[[#This Row],[Binomialfordeling]],NA())</f>
        <v>#N/A</v>
      </c>
      <c r="AO263" s="85" t="str">
        <f>_xlfn.IFNA(IF(MOD(S_binomial[[#This Row],[Indeks (base 0)]],AF$7)=ROUNDDOWN(AF$7/2,0),S_binomial[[#This Row],[X base]],""),"")</f>
        <v/>
      </c>
      <c r="AP263" s="99" t="str">
        <f t="shared" si="40"/>
        <v xml:space="preserve"> </v>
      </c>
      <c r="AR263" s="54">
        <f t="shared" si="41"/>
        <v>250</v>
      </c>
      <c r="AS263" s="54">
        <f>S_normal27[[#This Row],[Indeks (base 0)]]+1</f>
        <v>251</v>
      </c>
      <c r="AT263" s="54">
        <f t="shared" si="43"/>
        <v>3</v>
      </c>
      <c r="AU263" s="54">
        <f>IF(MOD(S_normal27[[#This Row],[Indeks (base 0)]],AS$8)=0,NA(),_xlfn.POISSON.DIST(S_normal27[[#This Row],[X base]],$H$5,FALSE))</f>
        <v>0.22404180765538778</v>
      </c>
      <c r="AV263" s="99" t="b">
        <f>S_normal27[[#This Row],[X base]]&lt;AS$5</f>
        <v>0</v>
      </c>
      <c r="AW263" s="99" t="b">
        <f>S_normal27[[#This Row],[X base]]=AS$5</f>
        <v>0</v>
      </c>
      <c r="AX263" s="99" t="b">
        <f>S_normal27[[#This Row],[X base]]&gt;AS$5</f>
        <v>1</v>
      </c>
      <c r="AY263" s="99" t="e">
        <f>IF(S_normal27[[#This Row],[Mindre end]],S_normal27[[#This Row],[Poissonfordeling]],NA())</f>
        <v>#N/A</v>
      </c>
      <c r="AZ263" s="99" t="e">
        <f>IF(S_normal27[[#This Row],[Lig med]],S_normal27[[#This Row],[Poissonfordeling]],NA())</f>
        <v>#N/A</v>
      </c>
      <c r="BA263" s="99">
        <f>IF(S_normal27[[#This Row],[Større end]],S_normal27[[#This Row],[Poissonfordeling]],NA())</f>
        <v>0.22404180765538778</v>
      </c>
      <c r="BB263" s="85" t="str">
        <f>_xlfn.IFNA(IF(MOD(S_normal27[[#This Row],[Indeks (base 0)]],AS$8)=ROUNDDOWN(AS$8/2,0),S_normal27[[#This Row],[X base]],""),"")</f>
        <v/>
      </c>
      <c r="BC263" s="99" t="str">
        <f t="shared" si="42"/>
        <v xml:space="preserve"> </v>
      </c>
    </row>
    <row r="264" spans="20:55" x14ac:dyDescent="0.2">
      <c r="T264" s="54">
        <f t="shared" si="36"/>
        <v>251</v>
      </c>
      <c r="U264" s="54">
        <f>S_normal[[#This Row],[Indeks (base 0)]]+1</f>
        <v>252</v>
      </c>
      <c r="V264" s="99">
        <f>U$8+(U$9-U$8)/U$4*T264</f>
        <v>2.922545281802118</v>
      </c>
      <c r="W264" s="99">
        <f t="shared" si="37"/>
        <v>5.5743810217063422E-3</v>
      </c>
      <c r="X264" s="99" t="b">
        <f>S_normal[[#This Row],[X base]]&lt;U$7</f>
        <v>1</v>
      </c>
      <c r="Y264" s="99" t="b">
        <f>S_normal[[#This Row],[X base]]&gt;U$7</f>
        <v>0</v>
      </c>
      <c r="Z264" s="99">
        <f>IF(S_normal[[#This Row],[Mindre end]],S_normal[[#This Row],[Normalfordeling]],NA())</f>
        <v>5.5743810217063422E-3</v>
      </c>
      <c r="AA264" s="99" t="e">
        <f>IF(S_normal[[#This Row],[Større end]],S_normal[[#This Row],[Normalfordeling]],NA())</f>
        <v>#N/A</v>
      </c>
      <c r="AB264" s="72" t="str">
        <f>_xlfn.IFNA(IF(S_normal[[#This Row],[Indeks (base 0)]]=ROUND((ROUND(S_normal[[#This Row],[X base]],0)-U$8)/(U$9-U$8)*U$4,0),S_normal[[#This Row],[X base]]*B$6+B$5,""),"")</f>
        <v/>
      </c>
      <c r="AC264" s="99" t="str">
        <f>_xlfn.SWITCH(U264,AC$6,AC$4,AC$7,AC$5," ")</f>
        <v xml:space="preserve"> </v>
      </c>
      <c r="AE264" s="54">
        <f t="shared" si="38"/>
        <v>251</v>
      </c>
      <c r="AF264" s="54">
        <f>S_binomial[[#This Row],[Indeks (base 0)]]+1</f>
        <v>252</v>
      </c>
      <c r="AG264" s="99">
        <f t="shared" si="39"/>
        <v>2</v>
      </c>
      <c r="AH264" s="99">
        <f>IF(MOD(S_binomial[[#This Row],[Indeks (base 0)]],AF$7)=0,NA(),_xlfn.BINOM.DIST(S_binomial[[#This Row],[X base]],E$5,E$6,FALSE))</f>
        <v>4.261871040000002E-3</v>
      </c>
      <c r="AI264" s="99" t="b">
        <f>S_binomial[[#This Row],[X base]]&lt;AF$5</f>
        <v>1</v>
      </c>
      <c r="AJ264" s="99" t="b">
        <f>S_binomial[[#This Row],[X base]]=AF$5</f>
        <v>0</v>
      </c>
      <c r="AK264" s="99" t="b">
        <f>S_binomial[[#This Row],[X base]]&gt;AF$5</f>
        <v>0</v>
      </c>
      <c r="AL264" s="99">
        <f>IF(S_binomial[[#This Row],[Mindre end]],S_binomial[[#This Row],[Binomialfordeling]],NA())</f>
        <v>4.261871040000002E-3</v>
      </c>
      <c r="AM264" s="99" t="e">
        <f>IF(S_binomial[[#This Row],[Lig med]],S_binomial[[#This Row],[Binomialfordeling]],NA())</f>
        <v>#N/A</v>
      </c>
      <c r="AN264" s="99" t="e">
        <f>IF(S_binomial[[#This Row],[Større end]],S_binomial[[#This Row],[Binomialfordeling]],NA())</f>
        <v>#N/A</v>
      </c>
      <c r="AO264" s="85" t="str">
        <f>_xlfn.IFNA(IF(MOD(S_binomial[[#This Row],[Indeks (base 0)]],AF$7)=ROUNDDOWN(AF$7/2,0),S_binomial[[#This Row],[X base]],""),"")</f>
        <v/>
      </c>
      <c r="AP264" s="99" t="str">
        <f t="shared" si="40"/>
        <v xml:space="preserve"> </v>
      </c>
      <c r="AR264" s="54">
        <f t="shared" si="41"/>
        <v>251</v>
      </c>
      <c r="AS264" s="54">
        <f>S_normal27[[#This Row],[Indeks (base 0)]]+1</f>
        <v>252</v>
      </c>
      <c r="AT264" s="54">
        <f t="shared" si="43"/>
        <v>3</v>
      </c>
      <c r="AU264" s="54">
        <f>IF(MOD(S_normal27[[#This Row],[Indeks (base 0)]],AS$8)=0,NA(),_xlfn.POISSON.DIST(S_normal27[[#This Row],[X base]],$H$5,FALSE))</f>
        <v>0.22404180765538778</v>
      </c>
      <c r="AV264" s="99" t="b">
        <f>S_normal27[[#This Row],[X base]]&lt;AS$5</f>
        <v>0</v>
      </c>
      <c r="AW264" s="99" t="b">
        <f>S_normal27[[#This Row],[X base]]=AS$5</f>
        <v>0</v>
      </c>
      <c r="AX264" s="99" t="b">
        <f>S_normal27[[#This Row],[X base]]&gt;AS$5</f>
        <v>1</v>
      </c>
      <c r="AY264" s="99" t="e">
        <f>IF(S_normal27[[#This Row],[Mindre end]],S_normal27[[#This Row],[Poissonfordeling]],NA())</f>
        <v>#N/A</v>
      </c>
      <c r="AZ264" s="99" t="e">
        <f>IF(S_normal27[[#This Row],[Lig med]],S_normal27[[#This Row],[Poissonfordeling]],NA())</f>
        <v>#N/A</v>
      </c>
      <c r="BA264" s="99">
        <f>IF(S_normal27[[#This Row],[Større end]],S_normal27[[#This Row],[Poissonfordeling]],NA())</f>
        <v>0.22404180765538778</v>
      </c>
      <c r="BB264" s="85" t="str">
        <f>_xlfn.IFNA(IF(MOD(S_normal27[[#This Row],[Indeks (base 0)]],AS$8)=ROUNDDOWN(AS$8/2,0),S_normal27[[#This Row],[X base]],""),"")</f>
        <v/>
      </c>
      <c r="BC264" s="99" t="str">
        <f t="shared" si="42"/>
        <v xml:space="preserve"> </v>
      </c>
    </row>
    <row r="265" spans="20:55" x14ac:dyDescent="0.2">
      <c r="T265" s="54">
        <f t="shared" si="36"/>
        <v>252</v>
      </c>
      <c r="U265" s="54">
        <f>S_normal[[#This Row],[Indeks (base 0)]]+1</f>
        <v>253</v>
      </c>
      <c r="V265" s="99">
        <f t="shared" ref="V265:V268" si="48">U$8+(U$9-U$8)/U$4*T265</f>
        <v>2.946500570997217</v>
      </c>
      <c r="W265" s="99">
        <f t="shared" si="37"/>
        <v>5.1959731862444561E-3</v>
      </c>
      <c r="X265" s="99" t="b">
        <f>S_normal[[#This Row],[X base]]&lt;U$7</f>
        <v>1</v>
      </c>
      <c r="Y265" s="99" t="b">
        <f>S_normal[[#This Row],[X base]]&gt;U$7</f>
        <v>0</v>
      </c>
      <c r="Z265" s="99">
        <f>IF(S_normal[[#This Row],[Mindre end]],S_normal[[#This Row],[Normalfordeling]],NA())</f>
        <v>5.1959731862444561E-3</v>
      </c>
      <c r="AA265" s="99" t="e">
        <f>IF(S_normal[[#This Row],[Større end]],S_normal[[#This Row],[Normalfordeling]],NA())</f>
        <v>#N/A</v>
      </c>
      <c r="AB265" s="72" t="str">
        <f>_xlfn.IFNA(IF(S_normal[[#This Row],[Indeks (base 0)]]=ROUND((ROUND(S_normal[[#This Row],[X base]],0)-U$8)/(U$9-U$8)*U$4,0),S_normal[[#This Row],[X base]]*B$6+B$5,""),"")</f>
        <v/>
      </c>
      <c r="AC265" s="99" t="str">
        <f t="shared" ref="AC265:AC268" si="49">_xlfn.SWITCH(U265,AC$6,AC$4,AC$7,AC$5," ")</f>
        <v xml:space="preserve"> </v>
      </c>
      <c r="AE265" s="54">
        <f t="shared" si="38"/>
        <v>252</v>
      </c>
      <c r="AF265" s="54">
        <f>S_binomial[[#This Row],[Indeks (base 0)]]+1</f>
        <v>253</v>
      </c>
      <c r="AG265" s="99">
        <f t="shared" si="39"/>
        <v>2</v>
      </c>
      <c r="AH265" s="99">
        <f>IF(MOD(S_binomial[[#This Row],[Indeks (base 0)]],AF$7)=0,NA(),_xlfn.BINOM.DIST(S_binomial[[#This Row],[X base]],E$5,E$6,FALSE))</f>
        <v>4.261871040000002E-3</v>
      </c>
      <c r="AI265" s="99" t="b">
        <f>S_binomial[[#This Row],[X base]]&lt;AF$5</f>
        <v>1</v>
      </c>
      <c r="AJ265" s="99" t="b">
        <f>S_binomial[[#This Row],[X base]]=AF$5</f>
        <v>0</v>
      </c>
      <c r="AK265" s="99" t="b">
        <f>S_binomial[[#This Row],[X base]]&gt;AF$5</f>
        <v>0</v>
      </c>
      <c r="AL265" s="99">
        <f>IF(S_binomial[[#This Row],[Mindre end]],S_binomial[[#This Row],[Binomialfordeling]],NA())</f>
        <v>4.261871040000002E-3</v>
      </c>
      <c r="AM265" s="99" t="e">
        <f>IF(S_binomial[[#This Row],[Lig med]],S_binomial[[#This Row],[Binomialfordeling]],NA())</f>
        <v>#N/A</v>
      </c>
      <c r="AN265" s="99" t="e">
        <f>IF(S_binomial[[#This Row],[Større end]],S_binomial[[#This Row],[Binomialfordeling]],NA())</f>
        <v>#N/A</v>
      </c>
      <c r="AO265" s="85" t="str">
        <f>_xlfn.IFNA(IF(MOD(S_binomial[[#This Row],[Indeks (base 0)]],AF$7)=ROUNDDOWN(AF$7/2,0),S_binomial[[#This Row],[X base]],""),"")</f>
        <v/>
      </c>
      <c r="AP265" s="99" t="str">
        <f t="shared" si="40"/>
        <v xml:space="preserve"> </v>
      </c>
      <c r="AR265" s="54">
        <f t="shared" si="41"/>
        <v>252</v>
      </c>
      <c r="AS265" s="54">
        <f>S_normal27[[#This Row],[Indeks (base 0)]]+1</f>
        <v>253</v>
      </c>
      <c r="AT265" s="54">
        <f t="shared" si="43"/>
        <v>3</v>
      </c>
      <c r="AU265" s="54">
        <f>IF(MOD(S_normal27[[#This Row],[Indeks (base 0)]],AS$8)=0,NA(),_xlfn.POISSON.DIST(S_normal27[[#This Row],[X base]],$H$5,FALSE))</f>
        <v>0.22404180765538778</v>
      </c>
      <c r="AV265" s="99" t="b">
        <f>S_normal27[[#This Row],[X base]]&lt;AS$5</f>
        <v>0</v>
      </c>
      <c r="AW265" s="99" t="b">
        <f>S_normal27[[#This Row],[X base]]=AS$5</f>
        <v>0</v>
      </c>
      <c r="AX265" s="99" t="b">
        <f>S_normal27[[#This Row],[X base]]&gt;AS$5</f>
        <v>1</v>
      </c>
      <c r="AY265" s="99" t="e">
        <f>IF(S_normal27[[#This Row],[Mindre end]],S_normal27[[#This Row],[Poissonfordeling]],NA())</f>
        <v>#N/A</v>
      </c>
      <c r="AZ265" s="99" t="e">
        <f>IF(S_normal27[[#This Row],[Lig med]],S_normal27[[#This Row],[Poissonfordeling]],NA())</f>
        <v>#N/A</v>
      </c>
      <c r="BA265" s="99">
        <f>IF(S_normal27[[#This Row],[Større end]],S_normal27[[#This Row],[Poissonfordeling]],NA())</f>
        <v>0.22404180765538778</v>
      </c>
      <c r="BB265" s="85" t="str">
        <f>_xlfn.IFNA(IF(MOD(S_normal27[[#This Row],[Indeks (base 0)]],AS$8)=ROUNDDOWN(AS$8/2,0),S_normal27[[#This Row],[X base]],""),"")</f>
        <v/>
      </c>
      <c r="BC265" s="99" t="str">
        <f t="shared" si="42"/>
        <v xml:space="preserve"> </v>
      </c>
    </row>
    <row r="266" spans="20:55" x14ac:dyDescent="0.2">
      <c r="T266" s="54">
        <f t="shared" si="36"/>
        <v>253</v>
      </c>
      <c r="U266" s="54">
        <f>S_normal[[#This Row],[Indeks (base 0)]]+1</f>
        <v>254</v>
      </c>
      <c r="V266" s="99">
        <f t="shared" si="48"/>
        <v>2.9704558601923168</v>
      </c>
      <c r="W266" s="99">
        <f t="shared" si="37"/>
        <v>4.8404744224978778E-3</v>
      </c>
      <c r="X266" s="99" t="b">
        <f>S_normal[[#This Row],[X base]]&lt;U$7</f>
        <v>1</v>
      </c>
      <c r="Y266" s="99" t="b">
        <f>S_normal[[#This Row],[X base]]&gt;U$7</f>
        <v>0</v>
      </c>
      <c r="Z266" s="99">
        <f>IF(S_normal[[#This Row],[Mindre end]],S_normal[[#This Row],[Normalfordeling]],NA())</f>
        <v>4.8404744224978778E-3</v>
      </c>
      <c r="AA266" s="99" t="e">
        <f>IF(S_normal[[#This Row],[Større end]],S_normal[[#This Row],[Normalfordeling]],NA())</f>
        <v>#N/A</v>
      </c>
      <c r="AB266" s="72" t="str">
        <f>_xlfn.IFNA(IF(S_normal[[#This Row],[Indeks (base 0)]]=ROUND((ROUND(S_normal[[#This Row],[X base]],0)-U$8)/(U$9-U$8)*U$4,0),S_normal[[#This Row],[X base]]*B$6+B$5,""),"")</f>
        <v/>
      </c>
      <c r="AC266" s="99" t="str">
        <f t="shared" si="49"/>
        <v xml:space="preserve"> </v>
      </c>
      <c r="AE266" s="54">
        <f t="shared" si="38"/>
        <v>253</v>
      </c>
      <c r="AF266" s="54">
        <f>S_binomial[[#This Row],[Indeks (base 0)]]+1</f>
        <v>254</v>
      </c>
      <c r="AG266" s="99">
        <f t="shared" si="39"/>
        <v>2</v>
      </c>
      <c r="AH266" s="99">
        <f>IF(MOD(S_binomial[[#This Row],[Indeks (base 0)]],AF$7)=0,NA(),_xlfn.BINOM.DIST(S_binomial[[#This Row],[X base]],E$5,E$6,FALSE))</f>
        <v>4.261871040000002E-3</v>
      </c>
      <c r="AI266" s="99" t="b">
        <f>S_binomial[[#This Row],[X base]]&lt;AF$5</f>
        <v>1</v>
      </c>
      <c r="AJ266" s="99" t="b">
        <f>S_binomial[[#This Row],[X base]]=AF$5</f>
        <v>0</v>
      </c>
      <c r="AK266" s="99" t="b">
        <f>S_binomial[[#This Row],[X base]]&gt;AF$5</f>
        <v>0</v>
      </c>
      <c r="AL266" s="99">
        <f>IF(S_binomial[[#This Row],[Mindre end]],S_binomial[[#This Row],[Binomialfordeling]],NA())</f>
        <v>4.261871040000002E-3</v>
      </c>
      <c r="AM266" s="99" t="e">
        <f>IF(S_binomial[[#This Row],[Lig med]],S_binomial[[#This Row],[Binomialfordeling]],NA())</f>
        <v>#N/A</v>
      </c>
      <c r="AN266" s="99" t="e">
        <f>IF(S_binomial[[#This Row],[Større end]],S_binomial[[#This Row],[Binomialfordeling]],NA())</f>
        <v>#N/A</v>
      </c>
      <c r="AO266" s="85" t="str">
        <f>_xlfn.IFNA(IF(MOD(S_binomial[[#This Row],[Indeks (base 0)]],AF$7)=ROUNDDOWN(AF$7/2,0),S_binomial[[#This Row],[X base]],""),"")</f>
        <v/>
      </c>
      <c r="AP266" s="99" t="str">
        <f t="shared" si="40"/>
        <v xml:space="preserve"> </v>
      </c>
      <c r="AR266" s="54">
        <f t="shared" si="41"/>
        <v>253</v>
      </c>
      <c r="AS266" s="54">
        <f>S_normal27[[#This Row],[Indeks (base 0)]]+1</f>
        <v>254</v>
      </c>
      <c r="AT266" s="54">
        <f t="shared" si="43"/>
        <v>3</v>
      </c>
      <c r="AU266" s="54">
        <f>IF(MOD(S_normal27[[#This Row],[Indeks (base 0)]],AS$8)=0,NA(),_xlfn.POISSON.DIST(S_normal27[[#This Row],[X base]],$H$5,FALSE))</f>
        <v>0.22404180765538778</v>
      </c>
      <c r="AV266" s="99" t="b">
        <f>S_normal27[[#This Row],[X base]]&lt;AS$5</f>
        <v>0</v>
      </c>
      <c r="AW266" s="99" t="b">
        <f>S_normal27[[#This Row],[X base]]=AS$5</f>
        <v>0</v>
      </c>
      <c r="AX266" s="99" t="b">
        <f>S_normal27[[#This Row],[X base]]&gt;AS$5</f>
        <v>1</v>
      </c>
      <c r="AY266" s="99" t="e">
        <f>IF(S_normal27[[#This Row],[Mindre end]],S_normal27[[#This Row],[Poissonfordeling]],NA())</f>
        <v>#N/A</v>
      </c>
      <c r="AZ266" s="99" t="e">
        <f>IF(S_normal27[[#This Row],[Lig med]],S_normal27[[#This Row],[Poissonfordeling]],NA())</f>
        <v>#N/A</v>
      </c>
      <c r="BA266" s="99">
        <f>IF(S_normal27[[#This Row],[Større end]],S_normal27[[#This Row],[Poissonfordeling]],NA())</f>
        <v>0.22404180765538778</v>
      </c>
      <c r="BB266" s="85" t="str">
        <f>_xlfn.IFNA(IF(MOD(S_normal27[[#This Row],[Indeks (base 0)]],AS$8)=ROUNDDOWN(AS$8/2,0),S_normal27[[#This Row],[X base]],""),"")</f>
        <v/>
      </c>
      <c r="BC266" s="99" t="str">
        <f t="shared" si="42"/>
        <v xml:space="preserve"> </v>
      </c>
    </row>
    <row r="267" spans="20:55" x14ac:dyDescent="0.2">
      <c r="T267" s="54">
        <f t="shared" si="36"/>
        <v>254</v>
      </c>
      <c r="U267" s="54">
        <f>S_normal[[#This Row],[Indeks (base 0)]]+1</f>
        <v>255</v>
      </c>
      <c r="V267" s="99">
        <f t="shared" si="48"/>
        <v>2.9944111493874157</v>
      </c>
      <c r="W267" s="99">
        <f t="shared" si="37"/>
        <v>4.5067112740675413E-3</v>
      </c>
      <c r="X267" s="99" t="b">
        <f>S_normal[[#This Row],[X base]]&lt;U$7</f>
        <v>1</v>
      </c>
      <c r="Y267" s="99" t="b">
        <f>S_normal[[#This Row],[X base]]&gt;U$7</f>
        <v>0</v>
      </c>
      <c r="Z267" s="99">
        <f>IF(S_normal[[#This Row],[Mindre end]],S_normal[[#This Row],[Normalfordeling]],NA())</f>
        <v>4.5067112740675413E-3</v>
      </c>
      <c r="AA267" s="99" t="e">
        <f>IF(S_normal[[#This Row],[Større end]],S_normal[[#This Row],[Normalfordeling]],NA())</f>
        <v>#N/A</v>
      </c>
      <c r="AB267" s="72">
        <f>_xlfn.IFNA(IF(S_normal[[#This Row],[Indeks (base 0)]]=ROUND((ROUND(S_normal[[#This Row],[X base]],0)-U$8)/(U$9-U$8)*U$4,0),S_normal[[#This Row],[X base]]*B$6+B$5,""),"")</f>
        <v>31.977644597549663</v>
      </c>
      <c r="AC267" s="99" t="str">
        <f t="shared" si="49"/>
        <v xml:space="preserve"> </v>
      </c>
      <c r="AE267" s="54">
        <f t="shared" si="38"/>
        <v>254</v>
      </c>
      <c r="AF267" s="54">
        <f>S_binomial[[#This Row],[Indeks (base 0)]]+1</f>
        <v>255</v>
      </c>
      <c r="AG267" s="99">
        <f t="shared" si="39"/>
        <v>2</v>
      </c>
      <c r="AH267" s="99">
        <f>IF(MOD(S_binomial[[#This Row],[Indeks (base 0)]],AF$7)=0,NA(),_xlfn.BINOM.DIST(S_binomial[[#This Row],[X base]],E$5,E$6,FALSE))</f>
        <v>4.261871040000002E-3</v>
      </c>
      <c r="AI267" s="99" t="b">
        <f>S_binomial[[#This Row],[X base]]&lt;AF$5</f>
        <v>1</v>
      </c>
      <c r="AJ267" s="99" t="b">
        <f>S_binomial[[#This Row],[X base]]=AF$5</f>
        <v>0</v>
      </c>
      <c r="AK267" s="99" t="b">
        <f>S_binomial[[#This Row],[X base]]&gt;AF$5</f>
        <v>0</v>
      </c>
      <c r="AL267" s="99">
        <f>IF(S_binomial[[#This Row],[Mindre end]],S_binomial[[#This Row],[Binomialfordeling]],NA())</f>
        <v>4.261871040000002E-3</v>
      </c>
      <c r="AM267" s="99" t="e">
        <f>IF(S_binomial[[#This Row],[Lig med]],S_binomial[[#This Row],[Binomialfordeling]],NA())</f>
        <v>#N/A</v>
      </c>
      <c r="AN267" s="99" t="e">
        <f>IF(S_binomial[[#This Row],[Større end]],S_binomial[[#This Row],[Binomialfordeling]],NA())</f>
        <v>#N/A</v>
      </c>
      <c r="AO267" s="85" t="str">
        <f>_xlfn.IFNA(IF(MOD(S_binomial[[#This Row],[Indeks (base 0)]],AF$7)=ROUNDDOWN(AF$7/2,0),S_binomial[[#This Row],[X base]],""),"")</f>
        <v/>
      </c>
      <c r="AP267" s="99" t="str">
        <f t="shared" si="40"/>
        <v xml:space="preserve"> </v>
      </c>
      <c r="AR267" s="54">
        <f t="shared" si="41"/>
        <v>254</v>
      </c>
      <c r="AS267" s="54">
        <f>S_normal27[[#This Row],[Indeks (base 0)]]+1</f>
        <v>255</v>
      </c>
      <c r="AT267" s="54">
        <f t="shared" si="43"/>
        <v>3</v>
      </c>
      <c r="AU267" s="54">
        <f>IF(MOD(S_normal27[[#This Row],[Indeks (base 0)]],AS$8)=0,NA(),_xlfn.POISSON.DIST(S_normal27[[#This Row],[X base]],$H$5,FALSE))</f>
        <v>0.22404180765538778</v>
      </c>
      <c r="AV267" s="99" t="b">
        <f>S_normal27[[#This Row],[X base]]&lt;AS$5</f>
        <v>0</v>
      </c>
      <c r="AW267" s="99" t="b">
        <f>S_normal27[[#This Row],[X base]]=AS$5</f>
        <v>0</v>
      </c>
      <c r="AX267" s="99" t="b">
        <f>S_normal27[[#This Row],[X base]]&gt;AS$5</f>
        <v>1</v>
      </c>
      <c r="AY267" s="99" t="e">
        <f>IF(S_normal27[[#This Row],[Mindre end]],S_normal27[[#This Row],[Poissonfordeling]],NA())</f>
        <v>#N/A</v>
      </c>
      <c r="AZ267" s="99" t="e">
        <f>IF(S_normal27[[#This Row],[Lig med]],S_normal27[[#This Row],[Poissonfordeling]],NA())</f>
        <v>#N/A</v>
      </c>
      <c r="BA267" s="99">
        <f>IF(S_normal27[[#This Row],[Større end]],S_normal27[[#This Row],[Poissonfordeling]],NA())</f>
        <v>0.22404180765538778</v>
      </c>
      <c r="BB267" s="85" t="str">
        <f>_xlfn.IFNA(IF(MOD(S_normal27[[#This Row],[Indeks (base 0)]],AS$8)=ROUNDDOWN(AS$8/2,0),S_normal27[[#This Row],[X base]],""),"")</f>
        <v/>
      </c>
      <c r="BC267" s="99" t="str">
        <f t="shared" si="42"/>
        <v xml:space="preserve"> </v>
      </c>
    </row>
    <row r="268" spans="20:55" x14ac:dyDescent="0.2">
      <c r="T268" s="54">
        <f t="shared" si="36"/>
        <v>255</v>
      </c>
      <c r="U268" s="54">
        <f>S_normal[[#This Row],[Indeks (base 0)]]+1</f>
        <v>256</v>
      </c>
      <c r="V268" s="99">
        <f t="shared" si="48"/>
        <v>3.0183664385825155</v>
      </c>
      <c r="W268" s="99">
        <f t="shared" si="37"/>
        <v>4.1935547655993438E-3</v>
      </c>
      <c r="X268" s="99" t="b">
        <f>S_normal[[#This Row],[X base]]&lt;U$7</f>
        <v>1</v>
      </c>
      <c r="Y268" s="99" t="b">
        <f>S_normal[[#This Row],[X base]]&gt;U$7</f>
        <v>0</v>
      </c>
      <c r="Z268" s="99">
        <f>IF(S_normal[[#This Row],[Mindre end]],S_normal[[#This Row],[Normalfordeling]],NA())</f>
        <v>4.1935547655993438E-3</v>
      </c>
      <c r="AA268" s="99" t="e">
        <f>IF(S_normal[[#This Row],[Større end]],S_normal[[#This Row],[Normalfordeling]],NA())</f>
        <v>#N/A</v>
      </c>
      <c r="AB268" s="72" t="str">
        <f>_xlfn.IFNA(IF(S_normal[[#This Row],[Indeks (base 0)]]=ROUND((ROUND(S_normal[[#This Row],[X base]],0)-U$8)/(U$9-U$8)*U$4,0),S_normal[[#This Row],[X base]]*B$6+B$5,""),"")</f>
        <v/>
      </c>
      <c r="AC268" s="99" t="str">
        <f t="shared" si="49"/>
        <v xml:space="preserve"> </v>
      </c>
      <c r="AE268" s="54">
        <f t="shared" si="38"/>
        <v>255</v>
      </c>
      <c r="AF268" s="54">
        <f>S_binomial[[#This Row],[Indeks (base 0)]]+1</f>
        <v>256</v>
      </c>
      <c r="AG268" s="99">
        <f t="shared" si="39"/>
        <v>2</v>
      </c>
      <c r="AH268" s="99">
        <f>IF(MOD(S_binomial[[#This Row],[Indeks (base 0)]],AF$7)=0,NA(),_xlfn.BINOM.DIST(S_binomial[[#This Row],[X base]],E$5,E$6,FALSE))</f>
        <v>4.261871040000002E-3</v>
      </c>
      <c r="AI268" s="99" t="b">
        <f>S_binomial[[#This Row],[X base]]&lt;AF$5</f>
        <v>1</v>
      </c>
      <c r="AJ268" s="99" t="b">
        <f>S_binomial[[#This Row],[X base]]=AF$5</f>
        <v>0</v>
      </c>
      <c r="AK268" s="99" t="b">
        <f>S_binomial[[#This Row],[X base]]&gt;AF$5</f>
        <v>0</v>
      </c>
      <c r="AL268" s="99">
        <f>IF(S_binomial[[#This Row],[Mindre end]],S_binomial[[#This Row],[Binomialfordeling]],NA())</f>
        <v>4.261871040000002E-3</v>
      </c>
      <c r="AM268" s="99" t="e">
        <f>IF(S_binomial[[#This Row],[Lig med]],S_binomial[[#This Row],[Binomialfordeling]],NA())</f>
        <v>#N/A</v>
      </c>
      <c r="AN268" s="99" t="e">
        <f>IF(S_binomial[[#This Row],[Større end]],S_binomial[[#This Row],[Binomialfordeling]],NA())</f>
        <v>#N/A</v>
      </c>
      <c r="AO268" s="85" t="str">
        <f>_xlfn.IFNA(IF(MOD(S_binomial[[#This Row],[Indeks (base 0)]],AF$7)=ROUNDDOWN(AF$7/2,0),S_binomial[[#This Row],[X base]],""),"")</f>
        <v/>
      </c>
      <c r="AP268" s="99" t="str">
        <f t="shared" si="40"/>
        <v xml:space="preserve"> </v>
      </c>
      <c r="AR268" s="54">
        <f t="shared" si="41"/>
        <v>255</v>
      </c>
      <c r="AS268" s="54">
        <f>S_normal27[[#This Row],[Indeks (base 0)]]+1</f>
        <v>256</v>
      </c>
      <c r="AT268" s="54">
        <f t="shared" si="43"/>
        <v>3</v>
      </c>
      <c r="AU268" s="54">
        <f>IF(MOD(S_normal27[[#This Row],[Indeks (base 0)]],AS$8)=0,NA(),_xlfn.POISSON.DIST(S_normal27[[#This Row],[X base]],$H$5,FALSE))</f>
        <v>0.22404180765538778</v>
      </c>
      <c r="AV268" s="99" t="b">
        <f>S_normal27[[#This Row],[X base]]&lt;AS$5</f>
        <v>0</v>
      </c>
      <c r="AW268" s="99" t="b">
        <f>S_normal27[[#This Row],[X base]]=AS$5</f>
        <v>0</v>
      </c>
      <c r="AX268" s="99" t="b">
        <f>S_normal27[[#This Row],[X base]]&gt;AS$5</f>
        <v>1</v>
      </c>
      <c r="AY268" s="99" t="e">
        <f>IF(S_normal27[[#This Row],[Mindre end]],S_normal27[[#This Row],[Poissonfordeling]],NA())</f>
        <v>#N/A</v>
      </c>
      <c r="AZ268" s="99" t="e">
        <f>IF(S_normal27[[#This Row],[Lig med]],S_normal27[[#This Row],[Poissonfordeling]],NA())</f>
        <v>#N/A</v>
      </c>
      <c r="BA268" s="99">
        <f>IF(S_normal27[[#This Row],[Større end]],S_normal27[[#This Row],[Poissonfordeling]],NA())</f>
        <v>0.22404180765538778</v>
      </c>
      <c r="BB268" s="85" t="str">
        <f>_xlfn.IFNA(IF(MOD(S_normal27[[#This Row],[Indeks (base 0)]],AS$8)=ROUNDDOWN(AS$8/2,0),S_normal27[[#This Row],[X base]],""),"")</f>
        <v/>
      </c>
      <c r="BC268" s="99" t="str">
        <f t="shared" si="42"/>
        <v xml:space="preserve"> </v>
      </c>
    </row>
    <row r="269" spans="20:55" x14ac:dyDescent="0.2">
      <c r="T269" s="54">
        <f t="shared" ref="T269:T271" si="50">ROW(T269)-ROW(T$13)</f>
        <v>256</v>
      </c>
      <c r="U269" s="54">
        <f>S_normal[[#This Row],[Indeks (base 0)]]+1</f>
        <v>257</v>
      </c>
      <c r="V269" s="99">
        <f>U$8+(U$9-U$8)/U$4*T269</f>
        <v>3.0423217277776144</v>
      </c>
      <c r="W269" s="99">
        <f t="shared" ref="W269:W271" si="51">_xlfn.NORM.DIST(V269,0,1,FALSE)</f>
        <v>3.8999198362770038E-3</v>
      </c>
      <c r="X269" s="99" t="b">
        <f>S_normal[[#This Row],[X base]]&lt;U$7</f>
        <v>1</v>
      </c>
      <c r="Y269" s="99" t="b">
        <f>S_normal[[#This Row],[X base]]&gt;U$7</f>
        <v>0</v>
      </c>
      <c r="Z269" s="99">
        <f>IF(S_normal[[#This Row],[Mindre end]],S_normal[[#This Row],[Normalfordeling]],NA())</f>
        <v>3.8999198362770038E-3</v>
      </c>
      <c r="AA269" s="99" t="e">
        <f>IF(S_normal[[#This Row],[Større end]],S_normal[[#This Row],[Normalfordeling]],NA())</f>
        <v>#N/A</v>
      </c>
      <c r="AB269" s="72" t="str">
        <f>_xlfn.IFNA(IF(S_normal[[#This Row],[Indeks (base 0)]]=ROUND((ROUND(S_normal[[#This Row],[X base]],0)-U$8)/(U$9-U$8)*U$4,0),S_normal[[#This Row],[X base]]*B$6+B$5,""),"")</f>
        <v/>
      </c>
      <c r="AC269" s="99" t="str">
        <f>_xlfn.SWITCH(U269,AC$6,AC$4,AC$7,AC$5," ")</f>
        <v xml:space="preserve"> </v>
      </c>
      <c r="AE269" s="54">
        <f t="shared" si="38"/>
        <v>256</v>
      </c>
      <c r="AF269" s="54">
        <f>S_binomial[[#This Row],[Indeks (base 0)]]+1</f>
        <v>257</v>
      </c>
      <c r="AG269" s="99">
        <f t="shared" ref="AG269:AG271" si="52">IF(AE269&lt;AF$8,ROUNDDOWN(AE269/AF$7,0),NA())</f>
        <v>2</v>
      </c>
      <c r="AH269" s="99">
        <f>IF(MOD(S_binomial[[#This Row],[Indeks (base 0)]],AF$7)=0,NA(),_xlfn.BINOM.DIST(S_binomial[[#This Row],[X base]],E$5,E$6,FALSE))</f>
        <v>4.261871040000002E-3</v>
      </c>
      <c r="AI269" s="99" t="b">
        <f>S_binomial[[#This Row],[X base]]&lt;AF$5</f>
        <v>1</v>
      </c>
      <c r="AJ269" s="99" t="b">
        <f>S_binomial[[#This Row],[X base]]=AF$5</f>
        <v>0</v>
      </c>
      <c r="AK269" s="99" t="b">
        <f>S_binomial[[#This Row],[X base]]&gt;AF$5</f>
        <v>0</v>
      </c>
      <c r="AL269" s="99">
        <f>IF(S_binomial[[#This Row],[Mindre end]],S_binomial[[#This Row],[Binomialfordeling]],NA())</f>
        <v>4.261871040000002E-3</v>
      </c>
      <c r="AM269" s="99" t="e">
        <f>IF(S_binomial[[#This Row],[Lig med]],S_binomial[[#This Row],[Binomialfordeling]],NA())</f>
        <v>#N/A</v>
      </c>
      <c r="AN269" s="99" t="e">
        <f>IF(S_binomial[[#This Row],[Større end]],S_binomial[[#This Row],[Binomialfordeling]],NA())</f>
        <v>#N/A</v>
      </c>
      <c r="AO269" s="85" t="str">
        <f>_xlfn.IFNA(IF(MOD(S_binomial[[#This Row],[Indeks (base 0)]],AF$7)=ROUNDDOWN(AF$7/2,0),S_binomial[[#This Row],[X base]],""),"")</f>
        <v/>
      </c>
      <c r="AP269" s="99" t="str">
        <f t="shared" si="40"/>
        <v xml:space="preserve"> </v>
      </c>
      <c r="AR269" s="54">
        <f t="shared" ref="AR269:AR332" si="53">ROW(AR269)-ROW(AR$13)</f>
        <v>256</v>
      </c>
      <c r="AS269" s="54">
        <f>S_normal27[[#This Row],[Indeks (base 0)]]+1</f>
        <v>257</v>
      </c>
      <c r="AT269" s="54">
        <f t="shared" si="43"/>
        <v>3</v>
      </c>
      <c r="AU269" s="54">
        <f>IF(MOD(S_normal27[[#This Row],[Indeks (base 0)]],AS$8)=0,NA(),_xlfn.POISSON.DIST(S_normal27[[#This Row],[X base]],$H$5,FALSE))</f>
        <v>0.22404180765538778</v>
      </c>
      <c r="AV269" s="99" t="b">
        <f>S_normal27[[#This Row],[X base]]&lt;AS$5</f>
        <v>0</v>
      </c>
      <c r="AW269" s="99" t="b">
        <f>S_normal27[[#This Row],[X base]]=AS$5</f>
        <v>0</v>
      </c>
      <c r="AX269" s="99" t="b">
        <f>S_normal27[[#This Row],[X base]]&gt;AS$5</f>
        <v>1</v>
      </c>
      <c r="AY269" s="99" t="e">
        <f>IF(S_normal27[[#This Row],[Mindre end]],S_normal27[[#This Row],[Poissonfordeling]],NA())</f>
        <v>#N/A</v>
      </c>
      <c r="AZ269" s="99" t="e">
        <f>IF(S_normal27[[#This Row],[Lig med]],S_normal27[[#This Row],[Poissonfordeling]],NA())</f>
        <v>#N/A</v>
      </c>
      <c r="BA269" s="99">
        <f>IF(S_normal27[[#This Row],[Større end]],S_normal27[[#This Row],[Poissonfordeling]],NA())</f>
        <v>0.22404180765538778</v>
      </c>
      <c r="BB269" s="85" t="str">
        <f>_xlfn.IFNA(IF(MOD(S_normal27[[#This Row],[Indeks (base 0)]],AS$8)=ROUNDDOWN(AS$8/2,0),S_normal27[[#This Row],[X base]],""),"")</f>
        <v/>
      </c>
      <c r="BC269" s="99" t="str">
        <f t="shared" ref="BC269:BC332" si="54">_xlfn.IFNA(_xlfn.SWITCH(AS269,BA$7,BA$4,BA$8,BA$5,BA$9,BA$6," ")," ")</f>
        <v xml:space="preserve"> </v>
      </c>
    </row>
    <row r="270" spans="20:55" x14ac:dyDescent="0.2">
      <c r="T270" s="54">
        <f t="shared" si="50"/>
        <v>257</v>
      </c>
      <c r="U270" s="54">
        <f>S_normal[[#This Row],[Indeks (base 0)]]+1</f>
        <v>258</v>
      </c>
      <c r="V270" s="99">
        <f t="shared" ref="V270:V271" si="55">U$8+(U$9-U$8)/U$4*T270</f>
        <v>3.0662770169727134</v>
      </c>
      <c r="W270" s="99">
        <f t="shared" si="51"/>
        <v>3.6247646909920261E-3</v>
      </c>
      <c r="X270" s="99" t="b">
        <f>S_normal[[#This Row],[X base]]&lt;U$7</f>
        <v>1</v>
      </c>
      <c r="Y270" s="99" t="b">
        <f>S_normal[[#This Row],[X base]]&gt;U$7</f>
        <v>0</v>
      </c>
      <c r="Z270" s="99">
        <f>IF(S_normal[[#This Row],[Mindre end]],S_normal[[#This Row],[Normalfordeling]],NA())</f>
        <v>3.6247646909920261E-3</v>
      </c>
      <c r="AA270" s="99" t="e">
        <f>IF(S_normal[[#This Row],[Større end]],S_normal[[#This Row],[Normalfordeling]],NA())</f>
        <v>#N/A</v>
      </c>
      <c r="AB270" s="72" t="str">
        <f>_xlfn.IFNA(IF(S_normal[[#This Row],[Indeks (base 0)]]=ROUND((ROUND(S_normal[[#This Row],[X base]],0)-U$8)/(U$9-U$8)*U$4,0),S_normal[[#This Row],[X base]]*B$6+B$5,""),"")</f>
        <v/>
      </c>
      <c r="AC270" s="99" t="str">
        <f t="shared" ref="AC270:AC271" si="56">_xlfn.SWITCH(U270,AC$6,AC$4,AC$7,AC$5," ")</f>
        <v>0%
større end
45.445</v>
      </c>
      <c r="AE270" s="54">
        <f t="shared" si="38"/>
        <v>257</v>
      </c>
      <c r="AF270" s="54">
        <f>S_binomial[[#This Row],[Indeks (base 0)]]+1</f>
        <v>258</v>
      </c>
      <c r="AG270" s="99">
        <f t="shared" si="52"/>
        <v>2</v>
      </c>
      <c r="AH270" s="99">
        <f>IF(MOD(S_binomial[[#This Row],[Indeks (base 0)]],AF$7)=0,NA(),_xlfn.BINOM.DIST(S_binomial[[#This Row],[X base]],E$5,E$6,FALSE))</f>
        <v>4.261871040000002E-3</v>
      </c>
      <c r="AI270" s="99" t="b">
        <f>S_binomial[[#This Row],[X base]]&lt;AF$5</f>
        <v>1</v>
      </c>
      <c r="AJ270" s="99" t="b">
        <f>S_binomial[[#This Row],[X base]]=AF$5</f>
        <v>0</v>
      </c>
      <c r="AK270" s="99" t="b">
        <f>S_binomial[[#This Row],[X base]]&gt;AF$5</f>
        <v>0</v>
      </c>
      <c r="AL270" s="99">
        <f>IF(S_binomial[[#This Row],[Mindre end]],S_binomial[[#This Row],[Binomialfordeling]],NA())</f>
        <v>4.261871040000002E-3</v>
      </c>
      <c r="AM270" s="99" t="e">
        <f>IF(S_binomial[[#This Row],[Lig med]],S_binomial[[#This Row],[Binomialfordeling]],NA())</f>
        <v>#N/A</v>
      </c>
      <c r="AN270" s="99" t="e">
        <f>IF(S_binomial[[#This Row],[Større end]],S_binomial[[#This Row],[Binomialfordeling]],NA())</f>
        <v>#N/A</v>
      </c>
      <c r="AO270" s="85" t="str">
        <f>_xlfn.IFNA(IF(MOD(S_binomial[[#This Row],[Indeks (base 0)]],AF$7)=ROUNDDOWN(AF$7/2,0),S_binomial[[#This Row],[X base]],""),"")</f>
        <v/>
      </c>
      <c r="AP270" s="99" t="str">
        <f t="shared" si="40"/>
        <v xml:space="preserve"> </v>
      </c>
      <c r="AR270" s="54">
        <f t="shared" si="53"/>
        <v>257</v>
      </c>
      <c r="AS270" s="54">
        <f>S_normal27[[#This Row],[Indeks (base 0)]]+1</f>
        <v>258</v>
      </c>
      <c r="AT270" s="54">
        <f t="shared" ref="AT270:AT333" si="57">IF(AR270&lt;AS$9,ROUNDDOWN(AR270/AS$8,0),NA())</f>
        <v>3</v>
      </c>
      <c r="AU270" s="54">
        <f>IF(MOD(S_normal27[[#This Row],[Indeks (base 0)]],AS$8)=0,NA(),_xlfn.POISSON.DIST(S_normal27[[#This Row],[X base]],$H$5,FALSE))</f>
        <v>0.22404180765538778</v>
      </c>
      <c r="AV270" s="99" t="b">
        <f>S_normal27[[#This Row],[X base]]&lt;AS$5</f>
        <v>0</v>
      </c>
      <c r="AW270" s="99" t="b">
        <f>S_normal27[[#This Row],[X base]]=AS$5</f>
        <v>0</v>
      </c>
      <c r="AX270" s="99" t="b">
        <f>S_normal27[[#This Row],[X base]]&gt;AS$5</f>
        <v>1</v>
      </c>
      <c r="AY270" s="99" t="e">
        <f>IF(S_normal27[[#This Row],[Mindre end]],S_normal27[[#This Row],[Poissonfordeling]],NA())</f>
        <v>#N/A</v>
      </c>
      <c r="AZ270" s="99" t="e">
        <f>IF(S_normal27[[#This Row],[Lig med]],S_normal27[[#This Row],[Poissonfordeling]],NA())</f>
        <v>#N/A</v>
      </c>
      <c r="BA270" s="99">
        <f>IF(S_normal27[[#This Row],[Større end]],S_normal27[[#This Row],[Poissonfordeling]],NA())</f>
        <v>0.22404180765538778</v>
      </c>
      <c r="BB270" s="85" t="str">
        <f>_xlfn.IFNA(IF(MOD(S_normal27[[#This Row],[Indeks (base 0)]],AS$8)=ROUNDDOWN(AS$8/2,0),S_normal27[[#This Row],[X base]],""),"")</f>
        <v/>
      </c>
      <c r="BC270" s="99" t="str">
        <f t="shared" si="54"/>
        <v xml:space="preserve"> </v>
      </c>
    </row>
    <row r="271" spans="20:55" x14ac:dyDescent="0.2">
      <c r="T271" s="54">
        <f t="shared" si="50"/>
        <v>258</v>
      </c>
      <c r="U271" s="54">
        <f>S_normal[[#This Row],[Indeks (base 0)]]+1</f>
        <v>259</v>
      </c>
      <c r="V271" s="99">
        <f t="shared" si="55"/>
        <v>3.0902323061678132</v>
      </c>
      <c r="W271" s="99">
        <f t="shared" si="51"/>
        <v>3.3670900770639959E-3</v>
      </c>
      <c r="X271" s="99" t="b">
        <f>S_normal[[#This Row],[X base]]&lt;U$7</f>
        <v>1</v>
      </c>
      <c r="Y271" s="99" t="b">
        <f>S_normal[[#This Row],[X base]]&gt;U$7</f>
        <v>0</v>
      </c>
      <c r="Z271" s="99">
        <f>IF(S_normal[[#This Row],[Mindre end]],S_normal[[#This Row],[Normalfordeling]],NA())</f>
        <v>3.3670900770639959E-3</v>
      </c>
      <c r="AA271" s="99" t="e">
        <f>IF(S_normal[[#This Row],[Større end]],S_normal[[#This Row],[Normalfordeling]],NA())</f>
        <v>#N/A</v>
      </c>
      <c r="AB271" s="72" t="str">
        <f>_xlfn.IFNA(IF(S_normal[[#This Row],[Indeks (base 0)]]=ROUND((ROUND(S_normal[[#This Row],[X base]],0)-U$8)/(U$9-U$8)*U$4,0),S_normal[[#This Row],[X base]]*B$6+B$5,""),"")</f>
        <v/>
      </c>
      <c r="AC271" s="99" t="str">
        <f t="shared" si="56"/>
        <v xml:space="preserve"> </v>
      </c>
      <c r="AE271" s="54">
        <f t="shared" si="38"/>
        <v>258</v>
      </c>
      <c r="AF271" s="54">
        <f>S_binomial[[#This Row],[Indeks (base 0)]]+1</f>
        <v>259</v>
      </c>
      <c r="AG271" s="99">
        <f t="shared" si="52"/>
        <v>2</v>
      </c>
      <c r="AH271" s="99">
        <f>IF(MOD(S_binomial[[#This Row],[Indeks (base 0)]],AF$7)=0,NA(),_xlfn.BINOM.DIST(S_binomial[[#This Row],[X base]],E$5,E$6,FALSE))</f>
        <v>4.261871040000002E-3</v>
      </c>
      <c r="AI271" s="99" t="b">
        <f>S_binomial[[#This Row],[X base]]&lt;AF$5</f>
        <v>1</v>
      </c>
      <c r="AJ271" s="99" t="b">
        <f>S_binomial[[#This Row],[X base]]=AF$5</f>
        <v>0</v>
      </c>
      <c r="AK271" s="99" t="b">
        <f>S_binomial[[#This Row],[X base]]&gt;AF$5</f>
        <v>0</v>
      </c>
      <c r="AL271" s="99">
        <f>IF(S_binomial[[#This Row],[Mindre end]],S_binomial[[#This Row],[Binomialfordeling]],NA())</f>
        <v>4.261871040000002E-3</v>
      </c>
      <c r="AM271" s="99" t="e">
        <f>IF(S_binomial[[#This Row],[Lig med]],S_binomial[[#This Row],[Binomialfordeling]],NA())</f>
        <v>#N/A</v>
      </c>
      <c r="AN271" s="99" t="e">
        <f>IF(S_binomial[[#This Row],[Større end]],S_binomial[[#This Row],[Binomialfordeling]],NA())</f>
        <v>#N/A</v>
      </c>
      <c r="AO271" s="85" t="str">
        <f>_xlfn.IFNA(IF(MOD(S_binomial[[#This Row],[Indeks (base 0)]],AF$7)=ROUNDDOWN(AF$7/2,0),S_binomial[[#This Row],[X base]],""),"")</f>
        <v/>
      </c>
      <c r="AP271" s="99" t="str">
        <f t="shared" si="40"/>
        <v xml:space="preserve"> </v>
      </c>
      <c r="AR271" s="54">
        <f t="shared" si="53"/>
        <v>258</v>
      </c>
      <c r="AS271" s="54">
        <f>S_normal27[[#This Row],[Indeks (base 0)]]+1</f>
        <v>259</v>
      </c>
      <c r="AT271" s="54">
        <f t="shared" si="57"/>
        <v>3</v>
      </c>
      <c r="AU271" s="54">
        <f>IF(MOD(S_normal27[[#This Row],[Indeks (base 0)]],AS$8)=0,NA(),_xlfn.POISSON.DIST(S_normal27[[#This Row],[X base]],$H$5,FALSE))</f>
        <v>0.22404180765538778</v>
      </c>
      <c r="AV271" s="99" t="b">
        <f>S_normal27[[#This Row],[X base]]&lt;AS$5</f>
        <v>0</v>
      </c>
      <c r="AW271" s="99" t="b">
        <f>S_normal27[[#This Row],[X base]]=AS$5</f>
        <v>0</v>
      </c>
      <c r="AX271" s="99" t="b">
        <f>S_normal27[[#This Row],[X base]]&gt;AS$5</f>
        <v>1</v>
      </c>
      <c r="AY271" s="99" t="e">
        <f>IF(S_normal27[[#This Row],[Mindre end]],S_normal27[[#This Row],[Poissonfordeling]],NA())</f>
        <v>#N/A</v>
      </c>
      <c r="AZ271" s="99" t="e">
        <f>IF(S_normal27[[#This Row],[Lig med]],S_normal27[[#This Row],[Poissonfordeling]],NA())</f>
        <v>#N/A</v>
      </c>
      <c r="BA271" s="99">
        <f>IF(S_normal27[[#This Row],[Større end]],S_normal27[[#This Row],[Poissonfordeling]],NA())</f>
        <v>0.22404180765538778</v>
      </c>
      <c r="BB271" s="85" t="str">
        <f>_xlfn.IFNA(IF(MOD(S_normal27[[#This Row],[Indeks (base 0)]],AS$8)=ROUNDDOWN(AS$8/2,0),S_normal27[[#This Row],[X base]],""),"")</f>
        <v/>
      </c>
      <c r="BC271" s="99" t="str">
        <f t="shared" si="54"/>
        <v xml:space="preserve"> </v>
      </c>
    </row>
    <row r="272" spans="20:55" x14ac:dyDescent="0.2">
      <c r="AE272" s="54">
        <f t="shared" ref="AE272:AE335" si="58">ROW(AE272)-ROW(AE$13)</f>
        <v>259</v>
      </c>
      <c r="AF272" s="54">
        <f>S_binomial[[#This Row],[Indeks (base 0)]]+1</f>
        <v>260</v>
      </c>
      <c r="AG272" s="99">
        <f t="shared" ref="AG272:AG335" si="59">IF(AE272&lt;AF$8,ROUNDDOWN(AE272/AF$7,0),NA())</f>
        <v>2</v>
      </c>
      <c r="AH272" s="99">
        <f>IF(MOD(S_binomial[[#This Row],[Indeks (base 0)]],AF$7)=0,NA(),_xlfn.BINOM.DIST(S_binomial[[#This Row],[X base]],E$5,E$6,FALSE))</f>
        <v>4.261871040000002E-3</v>
      </c>
      <c r="AI272" s="99" t="b">
        <f>S_binomial[[#This Row],[X base]]&lt;AF$5</f>
        <v>1</v>
      </c>
      <c r="AJ272" s="99" t="b">
        <f>S_binomial[[#This Row],[X base]]=AF$5</f>
        <v>0</v>
      </c>
      <c r="AK272" s="99" t="b">
        <f>S_binomial[[#This Row],[X base]]&gt;AF$5</f>
        <v>0</v>
      </c>
      <c r="AL272" s="99">
        <f>IF(S_binomial[[#This Row],[Mindre end]],S_binomial[[#This Row],[Binomialfordeling]],NA())</f>
        <v>4.261871040000002E-3</v>
      </c>
      <c r="AM272" s="99" t="e">
        <f>IF(S_binomial[[#This Row],[Lig med]],S_binomial[[#This Row],[Binomialfordeling]],NA())</f>
        <v>#N/A</v>
      </c>
      <c r="AN272" s="99" t="e">
        <f>IF(S_binomial[[#This Row],[Større end]],S_binomial[[#This Row],[Binomialfordeling]],NA())</f>
        <v>#N/A</v>
      </c>
      <c r="AO272" s="85" t="str">
        <f>_xlfn.IFNA(IF(MOD(S_binomial[[#This Row],[Indeks (base 0)]],AF$7)=ROUNDDOWN(AF$7/2,0),S_binomial[[#This Row],[X base]],""),"")</f>
        <v/>
      </c>
      <c r="AP272" s="99" t="str">
        <f t="shared" ref="AP272:AP335" si="60">_xlfn.IFNA(_xlfn.SWITCH(AF272,AN$7,AN$4,AN$8,AN$5,AN$9,AN$6," ")," ")</f>
        <v xml:space="preserve"> </v>
      </c>
      <c r="AR272" s="54">
        <f t="shared" si="53"/>
        <v>259</v>
      </c>
      <c r="AS272" s="54">
        <f>S_normal27[[#This Row],[Indeks (base 0)]]+1</f>
        <v>260</v>
      </c>
      <c r="AT272" s="54">
        <f t="shared" si="57"/>
        <v>3</v>
      </c>
      <c r="AU272" s="54">
        <f>IF(MOD(S_normal27[[#This Row],[Indeks (base 0)]],AS$8)=0,NA(),_xlfn.POISSON.DIST(S_normal27[[#This Row],[X base]],$H$5,FALSE))</f>
        <v>0.22404180765538778</v>
      </c>
      <c r="AV272" s="99" t="b">
        <f>S_normal27[[#This Row],[X base]]&lt;AS$5</f>
        <v>0</v>
      </c>
      <c r="AW272" s="99" t="b">
        <f>S_normal27[[#This Row],[X base]]=AS$5</f>
        <v>0</v>
      </c>
      <c r="AX272" s="99" t="b">
        <f>S_normal27[[#This Row],[X base]]&gt;AS$5</f>
        <v>1</v>
      </c>
      <c r="AY272" s="99" t="e">
        <f>IF(S_normal27[[#This Row],[Mindre end]],S_normal27[[#This Row],[Poissonfordeling]],NA())</f>
        <v>#N/A</v>
      </c>
      <c r="AZ272" s="99" t="e">
        <f>IF(S_normal27[[#This Row],[Lig med]],S_normal27[[#This Row],[Poissonfordeling]],NA())</f>
        <v>#N/A</v>
      </c>
      <c r="BA272" s="99">
        <f>IF(S_normal27[[#This Row],[Større end]],S_normal27[[#This Row],[Poissonfordeling]],NA())</f>
        <v>0.22404180765538778</v>
      </c>
      <c r="BB272" s="85" t="str">
        <f>_xlfn.IFNA(IF(MOD(S_normal27[[#This Row],[Indeks (base 0)]],AS$8)=ROUNDDOWN(AS$8/2,0),S_normal27[[#This Row],[X base]],""),"")</f>
        <v/>
      </c>
      <c r="BC272" s="99" t="str">
        <f t="shared" si="54"/>
        <v xml:space="preserve"> </v>
      </c>
    </row>
    <row r="273" spans="31:55" x14ac:dyDescent="0.2">
      <c r="AE273" s="54">
        <f t="shared" si="58"/>
        <v>260</v>
      </c>
      <c r="AF273" s="54">
        <f>S_binomial[[#This Row],[Indeks (base 0)]]+1</f>
        <v>261</v>
      </c>
      <c r="AG273" s="99">
        <f t="shared" si="59"/>
        <v>2</v>
      </c>
      <c r="AH273" s="99">
        <f>IF(MOD(S_binomial[[#This Row],[Indeks (base 0)]],AF$7)=0,NA(),_xlfn.BINOM.DIST(S_binomial[[#This Row],[X base]],E$5,E$6,FALSE))</f>
        <v>4.261871040000002E-3</v>
      </c>
      <c r="AI273" s="99" t="b">
        <f>S_binomial[[#This Row],[X base]]&lt;AF$5</f>
        <v>1</v>
      </c>
      <c r="AJ273" s="99" t="b">
        <f>S_binomial[[#This Row],[X base]]=AF$5</f>
        <v>0</v>
      </c>
      <c r="AK273" s="99" t="b">
        <f>S_binomial[[#This Row],[X base]]&gt;AF$5</f>
        <v>0</v>
      </c>
      <c r="AL273" s="99">
        <f>IF(S_binomial[[#This Row],[Mindre end]],S_binomial[[#This Row],[Binomialfordeling]],NA())</f>
        <v>4.261871040000002E-3</v>
      </c>
      <c r="AM273" s="99" t="e">
        <f>IF(S_binomial[[#This Row],[Lig med]],S_binomial[[#This Row],[Binomialfordeling]],NA())</f>
        <v>#N/A</v>
      </c>
      <c r="AN273" s="99" t="e">
        <f>IF(S_binomial[[#This Row],[Større end]],S_binomial[[#This Row],[Binomialfordeling]],NA())</f>
        <v>#N/A</v>
      </c>
      <c r="AO273" s="85" t="str">
        <f>_xlfn.IFNA(IF(MOD(S_binomial[[#This Row],[Indeks (base 0)]],AF$7)=ROUNDDOWN(AF$7/2,0),S_binomial[[#This Row],[X base]],""),"")</f>
        <v/>
      </c>
      <c r="AP273" s="99" t="str">
        <f t="shared" si="60"/>
        <v xml:space="preserve"> </v>
      </c>
      <c r="AR273" s="54">
        <f t="shared" si="53"/>
        <v>260</v>
      </c>
      <c r="AS273" s="54">
        <f>S_normal27[[#This Row],[Indeks (base 0)]]+1</f>
        <v>261</v>
      </c>
      <c r="AT273" s="54">
        <f t="shared" si="57"/>
        <v>4</v>
      </c>
      <c r="AU273" s="54" t="e">
        <f>IF(MOD(S_normal27[[#This Row],[Indeks (base 0)]],AS$8)=0,NA(),_xlfn.POISSON.DIST(S_normal27[[#This Row],[X base]],$H$5,FALSE))</f>
        <v>#N/A</v>
      </c>
      <c r="AV273" s="99" t="b">
        <f>S_normal27[[#This Row],[X base]]&lt;AS$5</f>
        <v>0</v>
      </c>
      <c r="AW273" s="99" t="b">
        <f>S_normal27[[#This Row],[X base]]=AS$5</f>
        <v>0</v>
      </c>
      <c r="AX273" s="99" t="b">
        <f>S_normal27[[#This Row],[X base]]&gt;AS$5</f>
        <v>1</v>
      </c>
      <c r="AY273" s="99" t="e">
        <f>IF(S_normal27[[#This Row],[Mindre end]],S_normal27[[#This Row],[Poissonfordeling]],NA())</f>
        <v>#N/A</v>
      </c>
      <c r="AZ273" s="99" t="e">
        <f>IF(S_normal27[[#This Row],[Lig med]],S_normal27[[#This Row],[Poissonfordeling]],NA())</f>
        <v>#N/A</v>
      </c>
      <c r="BA273" s="99" t="e">
        <f>IF(S_normal27[[#This Row],[Større end]],S_normal27[[#This Row],[Poissonfordeling]],NA())</f>
        <v>#N/A</v>
      </c>
      <c r="BB273" s="85" t="str">
        <f>_xlfn.IFNA(IF(MOD(S_normal27[[#This Row],[Indeks (base 0)]],AS$8)=ROUNDDOWN(AS$8/2,0),S_normal27[[#This Row],[X base]],""),"")</f>
        <v/>
      </c>
      <c r="BC273" s="99" t="str">
        <f t="shared" si="54"/>
        <v xml:space="preserve"> </v>
      </c>
    </row>
    <row r="274" spans="31:55" x14ac:dyDescent="0.2">
      <c r="AE274" s="54">
        <f t="shared" si="58"/>
        <v>261</v>
      </c>
      <c r="AF274" s="54">
        <f>S_binomial[[#This Row],[Indeks (base 0)]]+1</f>
        <v>262</v>
      </c>
      <c r="AG274" s="99">
        <f t="shared" si="59"/>
        <v>2</v>
      </c>
      <c r="AH274" s="99">
        <f>IF(MOD(S_binomial[[#This Row],[Indeks (base 0)]],AF$7)=0,NA(),_xlfn.BINOM.DIST(S_binomial[[#This Row],[X base]],E$5,E$6,FALSE))</f>
        <v>4.261871040000002E-3</v>
      </c>
      <c r="AI274" s="99" t="b">
        <f>S_binomial[[#This Row],[X base]]&lt;AF$5</f>
        <v>1</v>
      </c>
      <c r="AJ274" s="99" t="b">
        <f>S_binomial[[#This Row],[X base]]=AF$5</f>
        <v>0</v>
      </c>
      <c r="AK274" s="99" t="b">
        <f>S_binomial[[#This Row],[X base]]&gt;AF$5</f>
        <v>0</v>
      </c>
      <c r="AL274" s="99">
        <f>IF(S_binomial[[#This Row],[Mindre end]],S_binomial[[#This Row],[Binomialfordeling]],NA())</f>
        <v>4.261871040000002E-3</v>
      </c>
      <c r="AM274" s="99" t="e">
        <f>IF(S_binomial[[#This Row],[Lig med]],S_binomial[[#This Row],[Binomialfordeling]],NA())</f>
        <v>#N/A</v>
      </c>
      <c r="AN274" s="99" t="e">
        <f>IF(S_binomial[[#This Row],[Større end]],S_binomial[[#This Row],[Binomialfordeling]],NA())</f>
        <v>#N/A</v>
      </c>
      <c r="AO274" s="85" t="str">
        <f>_xlfn.IFNA(IF(MOD(S_binomial[[#This Row],[Indeks (base 0)]],AF$7)=ROUNDDOWN(AF$7/2,0),S_binomial[[#This Row],[X base]],""),"")</f>
        <v/>
      </c>
      <c r="AP274" s="99" t="str">
        <f t="shared" si="60"/>
        <v xml:space="preserve"> </v>
      </c>
      <c r="AR274" s="54">
        <f t="shared" si="53"/>
        <v>261</v>
      </c>
      <c r="AS274" s="54">
        <f>S_normal27[[#This Row],[Indeks (base 0)]]+1</f>
        <v>262</v>
      </c>
      <c r="AT274" s="54">
        <f t="shared" si="57"/>
        <v>4</v>
      </c>
      <c r="AU274" s="54">
        <f>IF(MOD(S_normal27[[#This Row],[Indeks (base 0)]],AS$8)=0,NA(),_xlfn.POISSON.DIST(S_normal27[[#This Row],[X base]],$H$5,FALSE))</f>
        <v>0.16803135574154085</v>
      </c>
      <c r="AV274" s="99" t="b">
        <f>S_normal27[[#This Row],[X base]]&lt;AS$5</f>
        <v>0</v>
      </c>
      <c r="AW274" s="99" t="b">
        <f>S_normal27[[#This Row],[X base]]=AS$5</f>
        <v>0</v>
      </c>
      <c r="AX274" s="99" t="b">
        <f>S_normal27[[#This Row],[X base]]&gt;AS$5</f>
        <v>1</v>
      </c>
      <c r="AY274" s="99" t="e">
        <f>IF(S_normal27[[#This Row],[Mindre end]],S_normal27[[#This Row],[Poissonfordeling]],NA())</f>
        <v>#N/A</v>
      </c>
      <c r="AZ274" s="99" t="e">
        <f>IF(S_normal27[[#This Row],[Lig med]],S_normal27[[#This Row],[Poissonfordeling]],NA())</f>
        <v>#N/A</v>
      </c>
      <c r="BA274" s="99">
        <f>IF(S_normal27[[#This Row],[Større end]],S_normal27[[#This Row],[Poissonfordeling]],NA())</f>
        <v>0.16803135574154085</v>
      </c>
      <c r="BB274" s="85" t="str">
        <f>_xlfn.IFNA(IF(MOD(S_normal27[[#This Row],[Indeks (base 0)]],AS$8)=ROUNDDOWN(AS$8/2,0),S_normal27[[#This Row],[X base]],""),"")</f>
        <v/>
      </c>
      <c r="BC274" s="99" t="str">
        <f t="shared" si="54"/>
        <v xml:space="preserve"> </v>
      </c>
    </row>
    <row r="275" spans="31:55" x14ac:dyDescent="0.2">
      <c r="AE275" s="54">
        <f t="shared" si="58"/>
        <v>262</v>
      </c>
      <c r="AF275" s="54">
        <f>S_binomial[[#This Row],[Indeks (base 0)]]+1</f>
        <v>263</v>
      </c>
      <c r="AG275" s="99">
        <f t="shared" si="59"/>
        <v>2</v>
      </c>
      <c r="AH275" s="99">
        <f>IF(MOD(S_binomial[[#This Row],[Indeks (base 0)]],AF$7)=0,NA(),_xlfn.BINOM.DIST(S_binomial[[#This Row],[X base]],E$5,E$6,FALSE))</f>
        <v>4.261871040000002E-3</v>
      </c>
      <c r="AI275" s="99" t="b">
        <f>S_binomial[[#This Row],[X base]]&lt;AF$5</f>
        <v>1</v>
      </c>
      <c r="AJ275" s="99" t="b">
        <f>S_binomial[[#This Row],[X base]]=AF$5</f>
        <v>0</v>
      </c>
      <c r="AK275" s="99" t="b">
        <f>S_binomial[[#This Row],[X base]]&gt;AF$5</f>
        <v>0</v>
      </c>
      <c r="AL275" s="99">
        <f>IF(S_binomial[[#This Row],[Mindre end]],S_binomial[[#This Row],[Binomialfordeling]],NA())</f>
        <v>4.261871040000002E-3</v>
      </c>
      <c r="AM275" s="99" t="e">
        <f>IF(S_binomial[[#This Row],[Lig med]],S_binomial[[#This Row],[Binomialfordeling]],NA())</f>
        <v>#N/A</v>
      </c>
      <c r="AN275" s="99" t="e">
        <f>IF(S_binomial[[#This Row],[Større end]],S_binomial[[#This Row],[Binomialfordeling]],NA())</f>
        <v>#N/A</v>
      </c>
      <c r="AO275" s="85" t="str">
        <f>_xlfn.IFNA(IF(MOD(S_binomial[[#This Row],[Indeks (base 0)]],AF$7)=ROUNDDOWN(AF$7/2,0),S_binomial[[#This Row],[X base]],""),"")</f>
        <v/>
      </c>
      <c r="AP275" s="99" t="str">
        <f t="shared" si="60"/>
        <v xml:space="preserve"> </v>
      </c>
      <c r="AR275" s="54">
        <f t="shared" si="53"/>
        <v>262</v>
      </c>
      <c r="AS275" s="54">
        <f>S_normal27[[#This Row],[Indeks (base 0)]]+1</f>
        <v>263</v>
      </c>
      <c r="AT275" s="54">
        <f t="shared" si="57"/>
        <v>4</v>
      </c>
      <c r="AU275" s="54">
        <f>IF(MOD(S_normal27[[#This Row],[Indeks (base 0)]],AS$8)=0,NA(),_xlfn.POISSON.DIST(S_normal27[[#This Row],[X base]],$H$5,FALSE))</f>
        <v>0.16803135574154085</v>
      </c>
      <c r="AV275" s="99" t="b">
        <f>S_normal27[[#This Row],[X base]]&lt;AS$5</f>
        <v>0</v>
      </c>
      <c r="AW275" s="99" t="b">
        <f>S_normal27[[#This Row],[X base]]=AS$5</f>
        <v>0</v>
      </c>
      <c r="AX275" s="99" t="b">
        <f>S_normal27[[#This Row],[X base]]&gt;AS$5</f>
        <v>1</v>
      </c>
      <c r="AY275" s="99" t="e">
        <f>IF(S_normal27[[#This Row],[Mindre end]],S_normal27[[#This Row],[Poissonfordeling]],NA())</f>
        <v>#N/A</v>
      </c>
      <c r="AZ275" s="99" t="e">
        <f>IF(S_normal27[[#This Row],[Lig med]],S_normal27[[#This Row],[Poissonfordeling]],NA())</f>
        <v>#N/A</v>
      </c>
      <c r="BA275" s="99">
        <f>IF(S_normal27[[#This Row],[Større end]],S_normal27[[#This Row],[Poissonfordeling]],NA())</f>
        <v>0.16803135574154085</v>
      </c>
      <c r="BB275" s="85" t="str">
        <f>_xlfn.IFNA(IF(MOD(S_normal27[[#This Row],[Indeks (base 0)]],AS$8)=ROUNDDOWN(AS$8/2,0),S_normal27[[#This Row],[X base]],""),"")</f>
        <v/>
      </c>
      <c r="BC275" s="99" t="str">
        <f t="shared" si="54"/>
        <v xml:space="preserve"> </v>
      </c>
    </row>
    <row r="276" spans="31:55" x14ac:dyDescent="0.2">
      <c r="AE276" s="54">
        <f t="shared" si="58"/>
        <v>263</v>
      </c>
      <c r="AF276" s="54">
        <f>S_binomial[[#This Row],[Indeks (base 0)]]+1</f>
        <v>264</v>
      </c>
      <c r="AG276" s="99">
        <f t="shared" si="59"/>
        <v>2</v>
      </c>
      <c r="AH276" s="99">
        <f>IF(MOD(S_binomial[[#This Row],[Indeks (base 0)]],AF$7)=0,NA(),_xlfn.BINOM.DIST(S_binomial[[#This Row],[X base]],E$5,E$6,FALSE))</f>
        <v>4.261871040000002E-3</v>
      </c>
      <c r="AI276" s="99" t="b">
        <f>S_binomial[[#This Row],[X base]]&lt;AF$5</f>
        <v>1</v>
      </c>
      <c r="AJ276" s="99" t="b">
        <f>S_binomial[[#This Row],[X base]]=AF$5</f>
        <v>0</v>
      </c>
      <c r="AK276" s="99" t="b">
        <f>S_binomial[[#This Row],[X base]]&gt;AF$5</f>
        <v>0</v>
      </c>
      <c r="AL276" s="99">
        <f>IF(S_binomial[[#This Row],[Mindre end]],S_binomial[[#This Row],[Binomialfordeling]],NA())</f>
        <v>4.261871040000002E-3</v>
      </c>
      <c r="AM276" s="99" t="e">
        <f>IF(S_binomial[[#This Row],[Lig med]],S_binomial[[#This Row],[Binomialfordeling]],NA())</f>
        <v>#N/A</v>
      </c>
      <c r="AN276" s="99" t="e">
        <f>IF(S_binomial[[#This Row],[Større end]],S_binomial[[#This Row],[Binomialfordeling]],NA())</f>
        <v>#N/A</v>
      </c>
      <c r="AO276" s="85" t="str">
        <f>_xlfn.IFNA(IF(MOD(S_binomial[[#This Row],[Indeks (base 0)]],AF$7)=ROUNDDOWN(AF$7/2,0),S_binomial[[#This Row],[X base]],""),"")</f>
        <v/>
      </c>
      <c r="AP276" s="99" t="str">
        <f t="shared" si="60"/>
        <v xml:space="preserve"> </v>
      </c>
      <c r="AR276" s="54">
        <f t="shared" si="53"/>
        <v>263</v>
      </c>
      <c r="AS276" s="54">
        <f>S_normal27[[#This Row],[Indeks (base 0)]]+1</f>
        <v>264</v>
      </c>
      <c r="AT276" s="54">
        <f t="shared" si="57"/>
        <v>4</v>
      </c>
      <c r="AU276" s="54">
        <f>IF(MOD(S_normal27[[#This Row],[Indeks (base 0)]],AS$8)=0,NA(),_xlfn.POISSON.DIST(S_normal27[[#This Row],[X base]],$H$5,FALSE))</f>
        <v>0.16803135574154085</v>
      </c>
      <c r="AV276" s="99" t="b">
        <f>S_normal27[[#This Row],[X base]]&lt;AS$5</f>
        <v>0</v>
      </c>
      <c r="AW276" s="99" t="b">
        <f>S_normal27[[#This Row],[X base]]=AS$5</f>
        <v>0</v>
      </c>
      <c r="AX276" s="99" t="b">
        <f>S_normal27[[#This Row],[X base]]&gt;AS$5</f>
        <v>1</v>
      </c>
      <c r="AY276" s="99" t="e">
        <f>IF(S_normal27[[#This Row],[Mindre end]],S_normal27[[#This Row],[Poissonfordeling]],NA())</f>
        <v>#N/A</v>
      </c>
      <c r="AZ276" s="99" t="e">
        <f>IF(S_normal27[[#This Row],[Lig med]],S_normal27[[#This Row],[Poissonfordeling]],NA())</f>
        <v>#N/A</v>
      </c>
      <c r="BA276" s="99">
        <f>IF(S_normal27[[#This Row],[Større end]],S_normal27[[#This Row],[Poissonfordeling]],NA())</f>
        <v>0.16803135574154085</v>
      </c>
      <c r="BB276" s="85" t="str">
        <f>_xlfn.IFNA(IF(MOD(S_normal27[[#This Row],[Indeks (base 0)]],AS$8)=ROUNDDOWN(AS$8/2,0),S_normal27[[#This Row],[X base]],""),"")</f>
        <v/>
      </c>
      <c r="BC276" s="99" t="str">
        <f t="shared" si="54"/>
        <v xml:space="preserve"> </v>
      </c>
    </row>
    <row r="277" spans="31:55" x14ac:dyDescent="0.2">
      <c r="AE277" s="54">
        <f t="shared" si="58"/>
        <v>264</v>
      </c>
      <c r="AF277" s="54">
        <f>S_binomial[[#This Row],[Indeks (base 0)]]+1</f>
        <v>265</v>
      </c>
      <c r="AG277" s="99">
        <f t="shared" si="59"/>
        <v>2</v>
      </c>
      <c r="AH277" s="99">
        <f>IF(MOD(S_binomial[[#This Row],[Indeks (base 0)]],AF$7)=0,NA(),_xlfn.BINOM.DIST(S_binomial[[#This Row],[X base]],E$5,E$6,FALSE))</f>
        <v>4.261871040000002E-3</v>
      </c>
      <c r="AI277" s="99" t="b">
        <f>S_binomial[[#This Row],[X base]]&lt;AF$5</f>
        <v>1</v>
      </c>
      <c r="AJ277" s="99" t="b">
        <f>S_binomial[[#This Row],[X base]]=AF$5</f>
        <v>0</v>
      </c>
      <c r="AK277" s="99" t="b">
        <f>S_binomial[[#This Row],[X base]]&gt;AF$5</f>
        <v>0</v>
      </c>
      <c r="AL277" s="99">
        <f>IF(S_binomial[[#This Row],[Mindre end]],S_binomial[[#This Row],[Binomialfordeling]],NA())</f>
        <v>4.261871040000002E-3</v>
      </c>
      <c r="AM277" s="99" t="e">
        <f>IF(S_binomial[[#This Row],[Lig med]],S_binomial[[#This Row],[Binomialfordeling]],NA())</f>
        <v>#N/A</v>
      </c>
      <c r="AN277" s="99" t="e">
        <f>IF(S_binomial[[#This Row],[Større end]],S_binomial[[#This Row],[Binomialfordeling]],NA())</f>
        <v>#N/A</v>
      </c>
      <c r="AO277" s="85" t="str">
        <f>_xlfn.IFNA(IF(MOD(S_binomial[[#This Row],[Indeks (base 0)]],AF$7)=ROUNDDOWN(AF$7/2,0),S_binomial[[#This Row],[X base]],""),"")</f>
        <v/>
      </c>
      <c r="AP277" s="99" t="str">
        <f t="shared" si="60"/>
        <v xml:space="preserve"> </v>
      </c>
      <c r="AR277" s="54">
        <f t="shared" si="53"/>
        <v>264</v>
      </c>
      <c r="AS277" s="54">
        <f>S_normal27[[#This Row],[Indeks (base 0)]]+1</f>
        <v>265</v>
      </c>
      <c r="AT277" s="54">
        <f t="shared" si="57"/>
        <v>4</v>
      </c>
      <c r="AU277" s="54">
        <f>IF(MOD(S_normal27[[#This Row],[Indeks (base 0)]],AS$8)=0,NA(),_xlfn.POISSON.DIST(S_normal27[[#This Row],[X base]],$H$5,FALSE))</f>
        <v>0.16803135574154085</v>
      </c>
      <c r="AV277" s="99" t="b">
        <f>S_normal27[[#This Row],[X base]]&lt;AS$5</f>
        <v>0</v>
      </c>
      <c r="AW277" s="99" t="b">
        <f>S_normal27[[#This Row],[X base]]=AS$5</f>
        <v>0</v>
      </c>
      <c r="AX277" s="99" t="b">
        <f>S_normal27[[#This Row],[X base]]&gt;AS$5</f>
        <v>1</v>
      </c>
      <c r="AY277" s="99" t="e">
        <f>IF(S_normal27[[#This Row],[Mindre end]],S_normal27[[#This Row],[Poissonfordeling]],NA())</f>
        <v>#N/A</v>
      </c>
      <c r="AZ277" s="99" t="e">
        <f>IF(S_normal27[[#This Row],[Lig med]],S_normal27[[#This Row],[Poissonfordeling]],NA())</f>
        <v>#N/A</v>
      </c>
      <c r="BA277" s="99">
        <f>IF(S_normal27[[#This Row],[Større end]],S_normal27[[#This Row],[Poissonfordeling]],NA())</f>
        <v>0.16803135574154085</v>
      </c>
      <c r="BB277" s="85" t="str">
        <f>_xlfn.IFNA(IF(MOD(S_normal27[[#This Row],[Indeks (base 0)]],AS$8)=ROUNDDOWN(AS$8/2,0),S_normal27[[#This Row],[X base]],""),"")</f>
        <v/>
      </c>
      <c r="BC277" s="99" t="str">
        <f t="shared" si="54"/>
        <v xml:space="preserve"> </v>
      </c>
    </row>
    <row r="278" spans="31:55" x14ac:dyDescent="0.2">
      <c r="AE278" s="54">
        <f t="shared" si="58"/>
        <v>265</v>
      </c>
      <c r="AF278" s="54">
        <f>S_binomial[[#This Row],[Indeks (base 0)]]+1</f>
        <v>266</v>
      </c>
      <c r="AG278" s="99">
        <f t="shared" si="59"/>
        <v>2</v>
      </c>
      <c r="AH278" s="99">
        <f>IF(MOD(S_binomial[[#This Row],[Indeks (base 0)]],AF$7)=0,NA(),_xlfn.BINOM.DIST(S_binomial[[#This Row],[X base]],E$5,E$6,FALSE))</f>
        <v>4.261871040000002E-3</v>
      </c>
      <c r="AI278" s="99" t="b">
        <f>S_binomial[[#This Row],[X base]]&lt;AF$5</f>
        <v>1</v>
      </c>
      <c r="AJ278" s="99" t="b">
        <f>S_binomial[[#This Row],[X base]]=AF$5</f>
        <v>0</v>
      </c>
      <c r="AK278" s="99" t="b">
        <f>S_binomial[[#This Row],[X base]]&gt;AF$5</f>
        <v>0</v>
      </c>
      <c r="AL278" s="99">
        <f>IF(S_binomial[[#This Row],[Mindre end]],S_binomial[[#This Row],[Binomialfordeling]],NA())</f>
        <v>4.261871040000002E-3</v>
      </c>
      <c r="AM278" s="99" t="e">
        <f>IF(S_binomial[[#This Row],[Lig med]],S_binomial[[#This Row],[Binomialfordeling]],NA())</f>
        <v>#N/A</v>
      </c>
      <c r="AN278" s="99" t="e">
        <f>IF(S_binomial[[#This Row],[Større end]],S_binomial[[#This Row],[Binomialfordeling]],NA())</f>
        <v>#N/A</v>
      </c>
      <c r="AO278" s="85" t="str">
        <f>_xlfn.IFNA(IF(MOD(S_binomial[[#This Row],[Indeks (base 0)]],AF$7)=ROUNDDOWN(AF$7/2,0),S_binomial[[#This Row],[X base]],""),"")</f>
        <v/>
      </c>
      <c r="AP278" s="99" t="str">
        <f t="shared" si="60"/>
        <v xml:space="preserve"> </v>
      </c>
      <c r="AR278" s="54">
        <f t="shared" si="53"/>
        <v>265</v>
      </c>
      <c r="AS278" s="54">
        <f>S_normal27[[#This Row],[Indeks (base 0)]]+1</f>
        <v>266</v>
      </c>
      <c r="AT278" s="54">
        <f t="shared" si="57"/>
        <v>4</v>
      </c>
      <c r="AU278" s="54">
        <f>IF(MOD(S_normal27[[#This Row],[Indeks (base 0)]],AS$8)=0,NA(),_xlfn.POISSON.DIST(S_normal27[[#This Row],[X base]],$H$5,FALSE))</f>
        <v>0.16803135574154085</v>
      </c>
      <c r="AV278" s="99" t="b">
        <f>S_normal27[[#This Row],[X base]]&lt;AS$5</f>
        <v>0</v>
      </c>
      <c r="AW278" s="99" t="b">
        <f>S_normal27[[#This Row],[X base]]=AS$5</f>
        <v>0</v>
      </c>
      <c r="AX278" s="99" t="b">
        <f>S_normal27[[#This Row],[X base]]&gt;AS$5</f>
        <v>1</v>
      </c>
      <c r="AY278" s="99" t="e">
        <f>IF(S_normal27[[#This Row],[Mindre end]],S_normal27[[#This Row],[Poissonfordeling]],NA())</f>
        <v>#N/A</v>
      </c>
      <c r="AZ278" s="99" t="e">
        <f>IF(S_normal27[[#This Row],[Lig med]],S_normal27[[#This Row],[Poissonfordeling]],NA())</f>
        <v>#N/A</v>
      </c>
      <c r="BA278" s="99">
        <f>IF(S_normal27[[#This Row],[Større end]],S_normal27[[#This Row],[Poissonfordeling]],NA())</f>
        <v>0.16803135574154085</v>
      </c>
      <c r="BB278" s="85" t="str">
        <f>_xlfn.IFNA(IF(MOD(S_normal27[[#This Row],[Indeks (base 0)]],AS$8)=ROUNDDOWN(AS$8/2,0),S_normal27[[#This Row],[X base]],""),"")</f>
        <v/>
      </c>
      <c r="BC278" s="99" t="str">
        <f t="shared" si="54"/>
        <v xml:space="preserve"> </v>
      </c>
    </row>
    <row r="279" spans="31:55" x14ac:dyDescent="0.2">
      <c r="AE279" s="54">
        <f t="shared" si="58"/>
        <v>266</v>
      </c>
      <c r="AF279" s="54">
        <f>S_binomial[[#This Row],[Indeks (base 0)]]+1</f>
        <v>267</v>
      </c>
      <c r="AG279" s="99">
        <f t="shared" si="59"/>
        <v>2</v>
      </c>
      <c r="AH279" s="99">
        <f>IF(MOD(S_binomial[[#This Row],[Indeks (base 0)]],AF$7)=0,NA(),_xlfn.BINOM.DIST(S_binomial[[#This Row],[X base]],E$5,E$6,FALSE))</f>
        <v>4.261871040000002E-3</v>
      </c>
      <c r="AI279" s="99" t="b">
        <f>S_binomial[[#This Row],[X base]]&lt;AF$5</f>
        <v>1</v>
      </c>
      <c r="AJ279" s="99" t="b">
        <f>S_binomial[[#This Row],[X base]]=AF$5</f>
        <v>0</v>
      </c>
      <c r="AK279" s="99" t="b">
        <f>S_binomial[[#This Row],[X base]]&gt;AF$5</f>
        <v>0</v>
      </c>
      <c r="AL279" s="99">
        <f>IF(S_binomial[[#This Row],[Mindre end]],S_binomial[[#This Row],[Binomialfordeling]],NA())</f>
        <v>4.261871040000002E-3</v>
      </c>
      <c r="AM279" s="99" t="e">
        <f>IF(S_binomial[[#This Row],[Lig med]],S_binomial[[#This Row],[Binomialfordeling]],NA())</f>
        <v>#N/A</v>
      </c>
      <c r="AN279" s="99" t="e">
        <f>IF(S_binomial[[#This Row],[Større end]],S_binomial[[#This Row],[Binomialfordeling]],NA())</f>
        <v>#N/A</v>
      </c>
      <c r="AO279" s="85" t="str">
        <f>_xlfn.IFNA(IF(MOD(S_binomial[[#This Row],[Indeks (base 0)]],AF$7)=ROUNDDOWN(AF$7/2,0),S_binomial[[#This Row],[X base]],""),"")</f>
        <v/>
      </c>
      <c r="AP279" s="99" t="str">
        <f t="shared" si="60"/>
        <v xml:space="preserve"> </v>
      </c>
      <c r="AR279" s="54">
        <f t="shared" si="53"/>
        <v>266</v>
      </c>
      <c r="AS279" s="54">
        <f>S_normal27[[#This Row],[Indeks (base 0)]]+1</f>
        <v>267</v>
      </c>
      <c r="AT279" s="54">
        <f t="shared" si="57"/>
        <v>4</v>
      </c>
      <c r="AU279" s="54">
        <f>IF(MOD(S_normal27[[#This Row],[Indeks (base 0)]],AS$8)=0,NA(),_xlfn.POISSON.DIST(S_normal27[[#This Row],[X base]],$H$5,FALSE))</f>
        <v>0.16803135574154085</v>
      </c>
      <c r="AV279" s="99" t="b">
        <f>S_normal27[[#This Row],[X base]]&lt;AS$5</f>
        <v>0</v>
      </c>
      <c r="AW279" s="99" t="b">
        <f>S_normal27[[#This Row],[X base]]=AS$5</f>
        <v>0</v>
      </c>
      <c r="AX279" s="99" t="b">
        <f>S_normal27[[#This Row],[X base]]&gt;AS$5</f>
        <v>1</v>
      </c>
      <c r="AY279" s="99" t="e">
        <f>IF(S_normal27[[#This Row],[Mindre end]],S_normal27[[#This Row],[Poissonfordeling]],NA())</f>
        <v>#N/A</v>
      </c>
      <c r="AZ279" s="99" t="e">
        <f>IF(S_normal27[[#This Row],[Lig med]],S_normal27[[#This Row],[Poissonfordeling]],NA())</f>
        <v>#N/A</v>
      </c>
      <c r="BA279" s="99">
        <f>IF(S_normal27[[#This Row],[Større end]],S_normal27[[#This Row],[Poissonfordeling]],NA())</f>
        <v>0.16803135574154085</v>
      </c>
      <c r="BB279" s="85" t="str">
        <f>_xlfn.IFNA(IF(MOD(S_normal27[[#This Row],[Indeks (base 0)]],AS$8)=ROUNDDOWN(AS$8/2,0),S_normal27[[#This Row],[X base]],""),"")</f>
        <v/>
      </c>
      <c r="BC279" s="99" t="str">
        <f t="shared" si="54"/>
        <v xml:space="preserve"> </v>
      </c>
    </row>
    <row r="280" spans="31:55" x14ac:dyDescent="0.2">
      <c r="AE280" s="54">
        <f t="shared" si="58"/>
        <v>267</v>
      </c>
      <c r="AF280" s="54">
        <f>S_binomial[[#This Row],[Indeks (base 0)]]+1</f>
        <v>268</v>
      </c>
      <c r="AG280" s="99">
        <f t="shared" si="59"/>
        <v>2</v>
      </c>
      <c r="AH280" s="99">
        <f>IF(MOD(S_binomial[[#This Row],[Indeks (base 0)]],AF$7)=0,NA(),_xlfn.BINOM.DIST(S_binomial[[#This Row],[X base]],E$5,E$6,FALSE))</f>
        <v>4.261871040000002E-3</v>
      </c>
      <c r="AI280" s="99" t="b">
        <f>S_binomial[[#This Row],[X base]]&lt;AF$5</f>
        <v>1</v>
      </c>
      <c r="AJ280" s="99" t="b">
        <f>S_binomial[[#This Row],[X base]]=AF$5</f>
        <v>0</v>
      </c>
      <c r="AK280" s="99" t="b">
        <f>S_binomial[[#This Row],[X base]]&gt;AF$5</f>
        <v>0</v>
      </c>
      <c r="AL280" s="99">
        <f>IF(S_binomial[[#This Row],[Mindre end]],S_binomial[[#This Row],[Binomialfordeling]],NA())</f>
        <v>4.261871040000002E-3</v>
      </c>
      <c r="AM280" s="99" t="e">
        <f>IF(S_binomial[[#This Row],[Lig med]],S_binomial[[#This Row],[Binomialfordeling]],NA())</f>
        <v>#N/A</v>
      </c>
      <c r="AN280" s="99" t="e">
        <f>IF(S_binomial[[#This Row],[Større end]],S_binomial[[#This Row],[Binomialfordeling]],NA())</f>
        <v>#N/A</v>
      </c>
      <c r="AO280" s="85" t="str">
        <f>_xlfn.IFNA(IF(MOD(S_binomial[[#This Row],[Indeks (base 0)]],AF$7)=ROUNDDOWN(AF$7/2,0),S_binomial[[#This Row],[X base]],""),"")</f>
        <v/>
      </c>
      <c r="AP280" s="99" t="str">
        <f t="shared" si="60"/>
        <v xml:space="preserve"> </v>
      </c>
      <c r="AR280" s="54">
        <f t="shared" si="53"/>
        <v>267</v>
      </c>
      <c r="AS280" s="54">
        <f>S_normal27[[#This Row],[Indeks (base 0)]]+1</f>
        <v>268</v>
      </c>
      <c r="AT280" s="54">
        <f t="shared" si="57"/>
        <v>4</v>
      </c>
      <c r="AU280" s="54">
        <f>IF(MOD(S_normal27[[#This Row],[Indeks (base 0)]],AS$8)=0,NA(),_xlfn.POISSON.DIST(S_normal27[[#This Row],[X base]],$H$5,FALSE))</f>
        <v>0.16803135574154085</v>
      </c>
      <c r="AV280" s="99" t="b">
        <f>S_normal27[[#This Row],[X base]]&lt;AS$5</f>
        <v>0</v>
      </c>
      <c r="AW280" s="99" t="b">
        <f>S_normal27[[#This Row],[X base]]=AS$5</f>
        <v>0</v>
      </c>
      <c r="AX280" s="99" t="b">
        <f>S_normal27[[#This Row],[X base]]&gt;AS$5</f>
        <v>1</v>
      </c>
      <c r="AY280" s="99" t="e">
        <f>IF(S_normal27[[#This Row],[Mindre end]],S_normal27[[#This Row],[Poissonfordeling]],NA())</f>
        <v>#N/A</v>
      </c>
      <c r="AZ280" s="99" t="e">
        <f>IF(S_normal27[[#This Row],[Lig med]],S_normal27[[#This Row],[Poissonfordeling]],NA())</f>
        <v>#N/A</v>
      </c>
      <c r="BA280" s="99">
        <f>IF(S_normal27[[#This Row],[Større end]],S_normal27[[#This Row],[Poissonfordeling]],NA())</f>
        <v>0.16803135574154085</v>
      </c>
      <c r="BB280" s="85" t="str">
        <f>_xlfn.IFNA(IF(MOD(S_normal27[[#This Row],[Indeks (base 0)]],AS$8)=ROUNDDOWN(AS$8/2,0),S_normal27[[#This Row],[X base]],""),"")</f>
        <v/>
      </c>
      <c r="BC280" s="99" t="str">
        <f t="shared" si="54"/>
        <v xml:space="preserve"> </v>
      </c>
    </row>
    <row r="281" spans="31:55" x14ac:dyDescent="0.2">
      <c r="AE281" s="54">
        <f t="shared" si="58"/>
        <v>268</v>
      </c>
      <c r="AF281" s="54">
        <f>S_binomial[[#This Row],[Indeks (base 0)]]+1</f>
        <v>269</v>
      </c>
      <c r="AG281" s="99">
        <f t="shared" si="59"/>
        <v>2</v>
      </c>
      <c r="AH281" s="99">
        <f>IF(MOD(S_binomial[[#This Row],[Indeks (base 0)]],AF$7)=0,NA(),_xlfn.BINOM.DIST(S_binomial[[#This Row],[X base]],E$5,E$6,FALSE))</f>
        <v>4.261871040000002E-3</v>
      </c>
      <c r="AI281" s="99" t="b">
        <f>S_binomial[[#This Row],[X base]]&lt;AF$5</f>
        <v>1</v>
      </c>
      <c r="AJ281" s="99" t="b">
        <f>S_binomial[[#This Row],[X base]]=AF$5</f>
        <v>0</v>
      </c>
      <c r="AK281" s="99" t="b">
        <f>S_binomial[[#This Row],[X base]]&gt;AF$5</f>
        <v>0</v>
      </c>
      <c r="AL281" s="99">
        <f>IF(S_binomial[[#This Row],[Mindre end]],S_binomial[[#This Row],[Binomialfordeling]],NA())</f>
        <v>4.261871040000002E-3</v>
      </c>
      <c r="AM281" s="99" t="e">
        <f>IF(S_binomial[[#This Row],[Lig med]],S_binomial[[#This Row],[Binomialfordeling]],NA())</f>
        <v>#N/A</v>
      </c>
      <c r="AN281" s="99" t="e">
        <f>IF(S_binomial[[#This Row],[Større end]],S_binomial[[#This Row],[Binomialfordeling]],NA())</f>
        <v>#N/A</v>
      </c>
      <c r="AO281" s="85" t="str">
        <f>_xlfn.IFNA(IF(MOD(S_binomial[[#This Row],[Indeks (base 0)]],AF$7)=ROUNDDOWN(AF$7/2,0),S_binomial[[#This Row],[X base]],""),"")</f>
        <v/>
      </c>
      <c r="AP281" s="99" t="str">
        <f t="shared" si="60"/>
        <v xml:space="preserve"> </v>
      </c>
      <c r="AR281" s="54">
        <f t="shared" si="53"/>
        <v>268</v>
      </c>
      <c r="AS281" s="54">
        <f>S_normal27[[#This Row],[Indeks (base 0)]]+1</f>
        <v>269</v>
      </c>
      <c r="AT281" s="54">
        <f t="shared" si="57"/>
        <v>4</v>
      </c>
      <c r="AU281" s="54">
        <f>IF(MOD(S_normal27[[#This Row],[Indeks (base 0)]],AS$8)=0,NA(),_xlfn.POISSON.DIST(S_normal27[[#This Row],[X base]],$H$5,FALSE))</f>
        <v>0.16803135574154085</v>
      </c>
      <c r="AV281" s="99" t="b">
        <f>S_normal27[[#This Row],[X base]]&lt;AS$5</f>
        <v>0</v>
      </c>
      <c r="AW281" s="99" t="b">
        <f>S_normal27[[#This Row],[X base]]=AS$5</f>
        <v>0</v>
      </c>
      <c r="AX281" s="99" t="b">
        <f>S_normal27[[#This Row],[X base]]&gt;AS$5</f>
        <v>1</v>
      </c>
      <c r="AY281" s="99" t="e">
        <f>IF(S_normal27[[#This Row],[Mindre end]],S_normal27[[#This Row],[Poissonfordeling]],NA())</f>
        <v>#N/A</v>
      </c>
      <c r="AZ281" s="99" t="e">
        <f>IF(S_normal27[[#This Row],[Lig med]],S_normal27[[#This Row],[Poissonfordeling]],NA())</f>
        <v>#N/A</v>
      </c>
      <c r="BA281" s="99">
        <f>IF(S_normal27[[#This Row],[Større end]],S_normal27[[#This Row],[Poissonfordeling]],NA())</f>
        <v>0.16803135574154085</v>
      </c>
      <c r="BB281" s="85" t="str">
        <f>_xlfn.IFNA(IF(MOD(S_normal27[[#This Row],[Indeks (base 0)]],AS$8)=ROUNDDOWN(AS$8/2,0),S_normal27[[#This Row],[X base]],""),"")</f>
        <v/>
      </c>
      <c r="BC281" s="99" t="str">
        <f t="shared" si="54"/>
        <v xml:space="preserve"> </v>
      </c>
    </row>
    <row r="282" spans="31:55" x14ac:dyDescent="0.2">
      <c r="AE282" s="54">
        <f t="shared" si="58"/>
        <v>269</v>
      </c>
      <c r="AF282" s="54">
        <f>S_binomial[[#This Row],[Indeks (base 0)]]+1</f>
        <v>270</v>
      </c>
      <c r="AG282" s="99">
        <f t="shared" si="59"/>
        <v>2</v>
      </c>
      <c r="AH282" s="99">
        <f>IF(MOD(S_binomial[[#This Row],[Indeks (base 0)]],AF$7)=0,NA(),_xlfn.BINOM.DIST(S_binomial[[#This Row],[X base]],E$5,E$6,FALSE))</f>
        <v>4.261871040000002E-3</v>
      </c>
      <c r="AI282" s="99" t="b">
        <f>S_binomial[[#This Row],[X base]]&lt;AF$5</f>
        <v>1</v>
      </c>
      <c r="AJ282" s="99" t="b">
        <f>S_binomial[[#This Row],[X base]]=AF$5</f>
        <v>0</v>
      </c>
      <c r="AK282" s="99" t="b">
        <f>S_binomial[[#This Row],[X base]]&gt;AF$5</f>
        <v>0</v>
      </c>
      <c r="AL282" s="99">
        <f>IF(S_binomial[[#This Row],[Mindre end]],S_binomial[[#This Row],[Binomialfordeling]],NA())</f>
        <v>4.261871040000002E-3</v>
      </c>
      <c r="AM282" s="99" t="e">
        <f>IF(S_binomial[[#This Row],[Lig med]],S_binomial[[#This Row],[Binomialfordeling]],NA())</f>
        <v>#N/A</v>
      </c>
      <c r="AN282" s="99" t="e">
        <f>IF(S_binomial[[#This Row],[Større end]],S_binomial[[#This Row],[Binomialfordeling]],NA())</f>
        <v>#N/A</v>
      </c>
      <c r="AO282" s="85" t="str">
        <f>_xlfn.IFNA(IF(MOD(S_binomial[[#This Row],[Indeks (base 0)]],AF$7)=ROUNDDOWN(AF$7/2,0),S_binomial[[#This Row],[X base]],""),"")</f>
        <v/>
      </c>
      <c r="AP282" s="99" t="str">
        <f t="shared" si="60"/>
        <v xml:space="preserve"> </v>
      </c>
      <c r="AR282" s="54">
        <f t="shared" si="53"/>
        <v>269</v>
      </c>
      <c r="AS282" s="54">
        <f>S_normal27[[#This Row],[Indeks (base 0)]]+1</f>
        <v>270</v>
      </c>
      <c r="AT282" s="54">
        <f t="shared" si="57"/>
        <v>4</v>
      </c>
      <c r="AU282" s="54">
        <f>IF(MOD(S_normal27[[#This Row],[Indeks (base 0)]],AS$8)=0,NA(),_xlfn.POISSON.DIST(S_normal27[[#This Row],[X base]],$H$5,FALSE))</f>
        <v>0.16803135574154085</v>
      </c>
      <c r="AV282" s="99" t="b">
        <f>S_normal27[[#This Row],[X base]]&lt;AS$5</f>
        <v>0</v>
      </c>
      <c r="AW282" s="99" t="b">
        <f>S_normal27[[#This Row],[X base]]=AS$5</f>
        <v>0</v>
      </c>
      <c r="AX282" s="99" t="b">
        <f>S_normal27[[#This Row],[X base]]&gt;AS$5</f>
        <v>1</v>
      </c>
      <c r="AY282" s="99" t="e">
        <f>IF(S_normal27[[#This Row],[Mindre end]],S_normal27[[#This Row],[Poissonfordeling]],NA())</f>
        <v>#N/A</v>
      </c>
      <c r="AZ282" s="99" t="e">
        <f>IF(S_normal27[[#This Row],[Lig med]],S_normal27[[#This Row],[Poissonfordeling]],NA())</f>
        <v>#N/A</v>
      </c>
      <c r="BA282" s="99">
        <f>IF(S_normal27[[#This Row],[Større end]],S_normal27[[#This Row],[Poissonfordeling]],NA())</f>
        <v>0.16803135574154085</v>
      </c>
      <c r="BB282" s="85" t="str">
        <f>_xlfn.IFNA(IF(MOD(S_normal27[[#This Row],[Indeks (base 0)]],AS$8)=ROUNDDOWN(AS$8/2,0),S_normal27[[#This Row],[X base]],""),"")</f>
        <v/>
      </c>
      <c r="BC282" s="99" t="str">
        <f t="shared" si="54"/>
        <v xml:space="preserve"> </v>
      </c>
    </row>
    <row r="283" spans="31:55" x14ac:dyDescent="0.2">
      <c r="AE283" s="54">
        <f t="shared" si="58"/>
        <v>270</v>
      </c>
      <c r="AF283" s="54">
        <f>S_binomial[[#This Row],[Indeks (base 0)]]+1</f>
        <v>271</v>
      </c>
      <c r="AG283" s="99">
        <f t="shared" si="59"/>
        <v>2</v>
      </c>
      <c r="AH283" s="99">
        <f>IF(MOD(S_binomial[[#This Row],[Indeks (base 0)]],AF$7)=0,NA(),_xlfn.BINOM.DIST(S_binomial[[#This Row],[X base]],E$5,E$6,FALSE))</f>
        <v>4.261871040000002E-3</v>
      </c>
      <c r="AI283" s="99" t="b">
        <f>S_binomial[[#This Row],[X base]]&lt;AF$5</f>
        <v>1</v>
      </c>
      <c r="AJ283" s="99" t="b">
        <f>S_binomial[[#This Row],[X base]]=AF$5</f>
        <v>0</v>
      </c>
      <c r="AK283" s="99" t="b">
        <f>S_binomial[[#This Row],[X base]]&gt;AF$5</f>
        <v>0</v>
      </c>
      <c r="AL283" s="99">
        <f>IF(S_binomial[[#This Row],[Mindre end]],S_binomial[[#This Row],[Binomialfordeling]],NA())</f>
        <v>4.261871040000002E-3</v>
      </c>
      <c r="AM283" s="99" t="e">
        <f>IF(S_binomial[[#This Row],[Lig med]],S_binomial[[#This Row],[Binomialfordeling]],NA())</f>
        <v>#N/A</v>
      </c>
      <c r="AN283" s="99" t="e">
        <f>IF(S_binomial[[#This Row],[Større end]],S_binomial[[#This Row],[Binomialfordeling]],NA())</f>
        <v>#N/A</v>
      </c>
      <c r="AO283" s="85" t="str">
        <f>_xlfn.IFNA(IF(MOD(S_binomial[[#This Row],[Indeks (base 0)]],AF$7)=ROUNDDOWN(AF$7/2,0),S_binomial[[#This Row],[X base]],""),"")</f>
        <v/>
      </c>
      <c r="AP283" s="99" t="str">
        <f t="shared" si="60"/>
        <v xml:space="preserve"> </v>
      </c>
      <c r="AR283" s="54">
        <f t="shared" si="53"/>
        <v>270</v>
      </c>
      <c r="AS283" s="54">
        <f>S_normal27[[#This Row],[Indeks (base 0)]]+1</f>
        <v>271</v>
      </c>
      <c r="AT283" s="54">
        <f t="shared" si="57"/>
        <v>4</v>
      </c>
      <c r="AU283" s="54">
        <f>IF(MOD(S_normal27[[#This Row],[Indeks (base 0)]],AS$8)=0,NA(),_xlfn.POISSON.DIST(S_normal27[[#This Row],[X base]],$H$5,FALSE))</f>
        <v>0.16803135574154085</v>
      </c>
      <c r="AV283" s="99" t="b">
        <f>S_normal27[[#This Row],[X base]]&lt;AS$5</f>
        <v>0</v>
      </c>
      <c r="AW283" s="99" t="b">
        <f>S_normal27[[#This Row],[X base]]=AS$5</f>
        <v>0</v>
      </c>
      <c r="AX283" s="99" t="b">
        <f>S_normal27[[#This Row],[X base]]&gt;AS$5</f>
        <v>1</v>
      </c>
      <c r="AY283" s="99" t="e">
        <f>IF(S_normal27[[#This Row],[Mindre end]],S_normal27[[#This Row],[Poissonfordeling]],NA())</f>
        <v>#N/A</v>
      </c>
      <c r="AZ283" s="99" t="e">
        <f>IF(S_normal27[[#This Row],[Lig med]],S_normal27[[#This Row],[Poissonfordeling]],NA())</f>
        <v>#N/A</v>
      </c>
      <c r="BA283" s="99">
        <f>IF(S_normal27[[#This Row],[Større end]],S_normal27[[#This Row],[Poissonfordeling]],NA())</f>
        <v>0.16803135574154085</v>
      </c>
      <c r="BB283" s="85" t="str">
        <f>_xlfn.IFNA(IF(MOD(S_normal27[[#This Row],[Indeks (base 0)]],AS$8)=ROUNDDOWN(AS$8/2,0),S_normal27[[#This Row],[X base]],""),"")</f>
        <v/>
      </c>
      <c r="BC283" s="99" t="str">
        <f t="shared" si="54"/>
        <v xml:space="preserve"> </v>
      </c>
    </row>
    <row r="284" spans="31:55" x14ac:dyDescent="0.2">
      <c r="AE284" s="54">
        <f t="shared" si="58"/>
        <v>271</v>
      </c>
      <c r="AF284" s="54">
        <f>S_binomial[[#This Row],[Indeks (base 0)]]+1</f>
        <v>272</v>
      </c>
      <c r="AG284" s="99">
        <f t="shared" si="59"/>
        <v>2</v>
      </c>
      <c r="AH284" s="99">
        <f>IF(MOD(S_binomial[[#This Row],[Indeks (base 0)]],AF$7)=0,NA(),_xlfn.BINOM.DIST(S_binomial[[#This Row],[X base]],E$5,E$6,FALSE))</f>
        <v>4.261871040000002E-3</v>
      </c>
      <c r="AI284" s="99" t="b">
        <f>S_binomial[[#This Row],[X base]]&lt;AF$5</f>
        <v>1</v>
      </c>
      <c r="AJ284" s="99" t="b">
        <f>S_binomial[[#This Row],[X base]]=AF$5</f>
        <v>0</v>
      </c>
      <c r="AK284" s="99" t="b">
        <f>S_binomial[[#This Row],[X base]]&gt;AF$5</f>
        <v>0</v>
      </c>
      <c r="AL284" s="99">
        <f>IF(S_binomial[[#This Row],[Mindre end]],S_binomial[[#This Row],[Binomialfordeling]],NA())</f>
        <v>4.261871040000002E-3</v>
      </c>
      <c r="AM284" s="99" t="e">
        <f>IF(S_binomial[[#This Row],[Lig med]],S_binomial[[#This Row],[Binomialfordeling]],NA())</f>
        <v>#N/A</v>
      </c>
      <c r="AN284" s="99" t="e">
        <f>IF(S_binomial[[#This Row],[Større end]],S_binomial[[#This Row],[Binomialfordeling]],NA())</f>
        <v>#N/A</v>
      </c>
      <c r="AO284" s="85" t="str">
        <f>_xlfn.IFNA(IF(MOD(S_binomial[[#This Row],[Indeks (base 0)]],AF$7)=ROUNDDOWN(AF$7/2,0),S_binomial[[#This Row],[X base]],""),"")</f>
        <v/>
      </c>
      <c r="AP284" s="99" t="str">
        <f t="shared" si="60"/>
        <v xml:space="preserve"> </v>
      </c>
      <c r="AR284" s="54">
        <f t="shared" si="53"/>
        <v>271</v>
      </c>
      <c r="AS284" s="54">
        <f>S_normal27[[#This Row],[Indeks (base 0)]]+1</f>
        <v>272</v>
      </c>
      <c r="AT284" s="54">
        <f t="shared" si="57"/>
        <v>4</v>
      </c>
      <c r="AU284" s="54">
        <f>IF(MOD(S_normal27[[#This Row],[Indeks (base 0)]],AS$8)=0,NA(),_xlfn.POISSON.DIST(S_normal27[[#This Row],[X base]],$H$5,FALSE))</f>
        <v>0.16803135574154085</v>
      </c>
      <c r="AV284" s="99" t="b">
        <f>S_normal27[[#This Row],[X base]]&lt;AS$5</f>
        <v>0</v>
      </c>
      <c r="AW284" s="99" t="b">
        <f>S_normal27[[#This Row],[X base]]=AS$5</f>
        <v>0</v>
      </c>
      <c r="AX284" s="99" t="b">
        <f>S_normal27[[#This Row],[X base]]&gt;AS$5</f>
        <v>1</v>
      </c>
      <c r="AY284" s="99" t="e">
        <f>IF(S_normal27[[#This Row],[Mindre end]],S_normal27[[#This Row],[Poissonfordeling]],NA())</f>
        <v>#N/A</v>
      </c>
      <c r="AZ284" s="99" t="e">
        <f>IF(S_normal27[[#This Row],[Lig med]],S_normal27[[#This Row],[Poissonfordeling]],NA())</f>
        <v>#N/A</v>
      </c>
      <c r="BA284" s="99">
        <f>IF(S_normal27[[#This Row],[Større end]],S_normal27[[#This Row],[Poissonfordeling]],NA())</f>
        <v>0.16803135574154085</v>
      </c>
      <c r="BB284" s="85" t="str">
        <f>_xlfn.IFNA(IF(MOD(S_normal27[[#This Row],[Indeks (base 0)]],AS$8)=ROUNDDOWN(AS$8/2,0),S_normal27[[#This Row],[X base]],""),"")</f>
        <v/>
      </c>
      <c r="BC284" s="99" t="str">
        <f t="shared" si="54"/>
        <v xml:space="preserve"> </v>
      </c>
    </row>
    <row r="285" spans="31:55" x14ac:dyDescent="0.2">
      <c r="AE285" s="54">
        <f t="shared" si="58"/>
        <v>272</v>
      </c>
      <c r="AF285" s="54">
        <f>S_binomial[[#This Row],[Indeks (base 0)]]+1</f>
        <v>273</v>
      </c>
      <c r="AG285" s="99">
        <f t="shared" si="59"/>
        <v>2</v>
      </c>
      <c r="AH285" s="99">
        <f>IF(MOD(S_binomial[[#This Row],[Indeks (base 0)]],AF$7)=0,NA(),_xlfn.BINOM.DIST(S_binomial[[#This Row],[X base]],E$5,E$6,FALSE))</f>
        <v>4.261871040000002E-3</v>
      </c>
      <c r="AI285" s="99" t="b">
        <f>S_binomial[[#This Row],[X base]]&lt;AF$5</f>
        <v>1</v>
      </c>
      <c r="AJ285" s="99" t="b">
        <f>S_binomial[[#This Row],[X base]]=AF$5</f>
        <v>0</v>
      </c>
      <c r="AK285" s="99" t="b">
        <f>S_binomial[[#This Row],[X base]]&gt;AF$5</f>
        <v>0</v>
      </c>
      <c r="AL285" s="99">
        <f>IF(S_binomial[[#This Row],[Mindre end]],S_binomial[[#This Row],[Binomialfordeling]],NA())</f>
        <v>4.261871040000002E-3</v>
      </c>
      <c r="AM285" s="99" t="e">
        <f>IF(S_binomial[[#This Row],[Lig med]],S_binomial[[#This Row],[Binomialfordeling]],NA())</f>
        <v>#N/A</v>
      </c>
      <c r="AN285" s="99" t="e">
        <f>IF(S_binomial[[#This Row],[Større end]],S_binomial[[#This Row],[Binomialfordeling]],NA())</f>
        <v>#N/A</v>
      </c>
      <c r="AO285" s="85" t="str">
        <f>_xlfn.IFNA(IF(MOD(S_binomial[[#This Row],[Indeks (base 0)]],AF$7)=ROUNDDOWN(AF$7/2,0),S_binomial[[#This Row],[X base]],""),"")</f>
        <v/>
      </c>
      <c r="AP285" s="99" t="str">
        <f t="shared" si="60"/>
        <v xml:space="preserve"> </v>
      </c>
      <c r="AR285" s="54">
        <f t="shared" si="53"/>
        <v>272</v>
      </c>
      <c r="AS285" s="54">
        <f>S_normal27[[#This Row],[Indeks (base 0)]]+1</f>
        <v>273</v>
      </c>
      <c r="AT285" s="54">
        <f t="shared" si="57"/>
        <v>4</v>
      </c>
      <c r="AU285" s="54">
        <f>IF(MOD(S_normal27[[#This Row],[Indeks (base 0)]],AS$8)=0,NA(),_xlfn.POISSON.DIST(S_normal27[[#This Row],[X base]],$H$5,FALSE))</f>
        <v>0.16803135574154085</v>
      </c>
      <c r="AV285" s="99" t="b">
        <f>S_normal27[[#This Row],[X base]]&lt;AS$5</f>
        <v>0</v>
      </c>
      <c r="AW285" s="99" t="b">
        <f>S_normal27[[#This Row],[X base]]=AS$5</f>
        <v>0</v>
      </c>
      <c r="AX285" s="99" t="b">
        <f>S_normal27[[#This Row],[X base]]&gt;AS$5</f>
        <v>1</v>
      </c>
      <c r="AY285" s="99" t="e">
        <f>IF(S_normal27[[#This Row],[Mindre end]],S_normal27[[#This Row],[Poissonfordeling]],NA())</f>
        <v>#N/A</v>
      </c>
      <c r="AZ285" s="99" t="e">
        <f>IF(S_normal27[[#This Row],[Lig med]],S_normal27[[#This Row],[Poissonfordeling]],NA())</f>
        <v>#N/A</v>
      </c>
      <c r="BA285" s="99">
        <f>IF(S_normal27[[#This Row],[Større end]],S_normal27[[#This Row],[Poissonfordeling]],NA())</f>
        <v>0.16803135574154085</v>
      </c>
      <c r="BB285" s="85" t="str">
        <f>_xlfn.IFNA(IF(MOD(S_normal27[[#This Row],[Indeks (base 0)]],AS$8)=ROUNDDOWN(AS$8/2,0),S_normal27[[#This Row],[X base]],""),"")</f>
        <v/>
      </c>
      <c r="BC285" s="99" t="str">
        <f t="shared" si="54"/>
        <v xml:space="preserve"> </v>
      </c>
    </row>
    <row r="286" spans="31:55" x14ac:dyDescent="0.2">
      <c r="AE286" s="54">
        <f t="shared" si="58"/>
        <v>273</v>
      </c>
      <c r="AF286" s="54">
        <f>S_binomial[[#This Row],[Indeks (base 0)]]+1</f>
        <v>274</v>
      </c>
      <c r="AG286" s="99">
        <f t="shared" si="59"/>
        <v>2</v>
      </c>
      <c r="AH286" s="99">
        <f>IF(MOD(S_binomial[[#This Row],[Indeks (base 0)]],AF$7)=0,NA(),_xlfn.BINOM.DIST(S_binomial[[#This Row],[X base]],E$5,E$6,FALSE))</f>
        <v>4.261871040000002E-3</v>
      </c>
      <c r="AI286" s="99" t="b">
        <f>S_binomial[[#This Row],[X base]]&lt;AF$5</f>
        <v>1</v>
      </c>
      <c r="AJ286" s="99" t="b">
        <f>S_binomial[[#This Row],[X base]]=AF$5</f>
        <v>0</v>
      </c>
      <c r="AK286" s="99" t="b">
        <f>S_binomial[[#This Row],[X base]]&gt;AF$5</f>
        <v>0</v>
      </c>
      <c r="AL286" s="99">
        <f>IF(S_binomial[[#This Row],[Mindre end]],S_binomial[[#This Row],[Binomialfordeling]],NA())</f>
        <v>4.261871040000002E-3</v>
      </c>
      <c r="AM286" s="99" t="e">
        <f>IF(S_binomial[[#This Row],[Lig med]],S_binomial[[#This Row],[Binomialfordeling]],NA())</f>
        <v>#N/A</v>
      </c>
      <c r="AN286" s="99" t="e">
        <f>IF(S_binomial[[#This Row],[Større end]],S_binomial[[#This Row],[Binomialfordeling]],NA())</f>
        <v>#N/A</v>
      </c>
      <c r="AO286" s="85" t="str">
        <f>_xlfn.IFNA(IF(MOD(S_binomial[[#This Row],[Indeks (base 0)]],AF$7)=ROUNDDOWN(AF$7/2,0),S_binomial[[#This Row],[X base]],""),"")</f>
        <v/>
      </c>
      <c r="AP286" s="99" t="str">
        <f t="shared" si="60"/>
        <v xml:space="preserve"> </v>
      </c>
      <c r="AR286" s="54">
        <f t="shared" si="53"/>
        <v>273</v>
      </c>
      <c r="AS286" s="54">
        <f>S_normal27[[#This Row],[Indeks (base 0)]]+1</f>
        <v>274</v>
      </c>
      <c r="AT286" s="54">
        <f t="shared" si="57"/>
        <v>4</v>
      </c>
      <c r="AU286" s="54">
        <f>IF(MOD(S_normal27[[#This Row],[Indeks (base 0)]],AS$8)=0,NA(),_xlfn.POISSON.DIST(S_normal27[[#This Row],[X base]],$H$5,FALSE))</f>
        <v>0.16803135574154085</v>
      </c>
      <c r="AV286" s="99" t="b">
        <f>S_normal27[[#This Row],[X base]]&lt;AS$5</f>
        <v>0</v>
      </c>
      <c r="AW286" s="99" t="b">
        <f>S_normal27[[#This Row],[X base]]=AS$5</f>
        <v>0</v>
      </c>
      <c r="AX286" s="99" t="b">
        <f>S_normal27[[#This Row],[X base]]&gt;AS$5</f>
        <v>1</v>
      </c>
      <c r="AY286" s="99" t="e">
        <f>IF(S_normal27[[#This Row],[Mindre end]],S_normal27[[#This Row],[Poissonfordeling]],NA())</f>
        <v>#N/A</v>
      </c>
      <c r="AZ286" s="99" t="e">
        <f>IF(S_normal27[[#This Row],[Lig med]],S_normal27[[#This Row],[Poissonfordeling]],NA())</f>
        <v>#N/A</v>
      </c>
      <c r="BA286" s="99">
        <f>IF(S_normal27[[#This Row],[Større end]],S_normal27[[#This Row],[Poissonfordeling]],NA())</f>
        <v>0.16803135574154085</v>
      </c>
      <c r="BB286" s="85" t="str">
        <f>_xlfn.IFNA(IF(MOD(S_normal27[[#This Row],[Indeks (base 0)]],AS$8)=ROUNDDOWN(AS$8/2,0),S_normal27[[#This Row],[X base]],""),"")</f>
        <v/>
      </c>
      <c r="BC286" s="99" t="str">
        <f t="shared" si="54"/>
        <v xml:space="preserve"> </v>
      </c>
    </row>
    <row r="287" spans="31:55" x14ac:dyDescent="0.2">
      <c r="AE287" s="54">
        <f t="shared" si="58"/>
        <v>274</v>
      </c>
      <c r="AF287" s="54">
        <f>S_binomial[[#This Row],[Indeks (base 0)]]+1</f>
        <v>275</v>
      </c>
      <c r="AG287" s="99">
        <f t="shared" si="59"/>
        <v>2</v>
      </c>
      <c r="AH287" s="99">
        <f>IF(MOD(S_binomial[[#This Row],[Indeks (base 0)]],AF$7)=0,NA(),_xlfn.BINOM.DIST(S_binomial[[#This Row],[X base]],E$5,E$6,FALSE))</f>
        <v>4.261871040000002E-3</v>
      </c>
      <c r="AI287" s="99" t="b">
        <f>S_binomial[[#This Row],[X base]]&lt;AF$5</f>
        <v>1</v>
      </c>
      <c r="AJ287" s="99" t="b">
        <f>S_binomial[[#This Row],[X base]]=AF$5</f>
        <v>0</v>
      </c>
      <c r="AK287" s="99" t="b">
        <f>S_binomial[[#This Row],[X base]]&gt;AF$5</f>
        <v>0</v>
      </c>
      <c r="AL287" s="99">
        <f>IF(S_binomial[[#This Row],[Mindre end]],S_binomial[[#This Row],[Binomialfordeling]],NA())</f>
        <v>4.261871040000002E-3</v>
      </c>
      <c r="AM287" s="99" t="e">
        <f>IF(S_binomial[[#This Row],[Lig med]],S_binomial[[#This Row],[Binomialfordeling]],NA())</f>
        <v>#N/A</v>
      </c>
      <c r="AN287" s="99" t="e">
        <f>IF(S_binomial[[#This Row],[Større end]],S_binomial[[#This Row],[Binomialfordeling]],NA())</f>
        <v>#N/A</v>
      </c>
      <c r="AO287" s="85" t="str">
        <f>_xlfn.IFNA(IF(MOD(S_binomial[[#This Row],[Indeks (base 0)]],AF$7)=ROUNDDOWN(AF$7/2,0),S_binomial[[#This Row],[X base]],""),"")</f>
        <v/>
      </c>
      <c r="AP287" s="99" t="str">
        <f t="shared" si="60"/>
        <v xml:space="preserve"> </v>
      </c>
      <c r="AR287" s="54">
        <f t="shared" si="53"/>
        <v>274</v>
      </c>
      <c r="AS287" s="54">
        <f>S_normal27[[#This Row],[Indeks (base 0)]]+1</f>
        <v>275</v>
      </c>
      <c r="AT287" s="54">
        <f t="shared" si="57"/>
        <v>4</v>
      </c>
      <c r="AU287" s="54">
        <f>IF(MOD(S_normal27[[#This Row],[Indeks (base 0)]],AS$8)=0,NA(),_xlfn.POISSON.DIST(S_normal27[[#This Row],[X base]],$H$5,FALSE))</f>
        <v>0.16803135574154085</v>
      </c>
      <c r="AV287" s="99" t="b">
        <f>S_normal27[[#This Row],[X base]]&lt;AS$5</f>
        <v>0</v>
      </c>
      <c r="AW287" s="99" t="b">
        <f>S_normal27[[#This Row],[X base]]=AS$5</f>
        <v>0</v>
      </c>
      <c r="AX287" s="99" t="b">
        <f>S_normal27[[#This Row],[X base]]&gt;AS$5</f>
        <v>1</v>
      </c>
      <c r="AY287" s="99" t="e">
        <f>IF(S_normal27[[#This Row],[Mindre end]],S_normal27[[#This Row],[Poissonfordeling]],NA())</f>
        <v>#N/A</v>
      </c>
      <c r="AZ287" s="99" t="e">
        <f>IF(S_normal27[[#This Row],[Lig med]],S_normal27[[#This Row],[Poissonfordeling]],NA())</f>
        <v>#N/A</v>
      </c>
      <c r="BA287" s="99">
        <f>IF(S_normal27[[#This Row],[Større end]],S_normal27[[#This Row],[Poissonfordeling]],NA())</f>
        <v>0.16803135574154085</v>
      </c>
      <c r="BB287" s="85" t="str">
        <f>_xlfn.IFNA(IF(MOD(S_normal27[[#This Row],[Indeks (base 0)]],AS$8)=ROUNDDOWN(AS$8/2,0),S_normal27[[#This Row],[X base]],""),"")</f>
        <v/>
      </c>
      <c r="BC287" s="99" t="str">
        <f t="shared" si="54"/>
        <v xml:space="preserve"> </v>
      </c>
    </row>
    <row r="288" spans="31:55" x14ac:dyDescent="0.2">
      <c r="AE288" s="54">
        <f t="shared" si="58"/>
        <v>275</v>
      </c>
      <c r="AF288" s="54">
        <f>S_binomial[[#This Row],[Indeks (base 0)]]+1</f>
        <v>276</v>
      </c>
      <c r="AG288" s="99">
        <f t="shared" si="59"/>
        <v>2</v>
      </c>
      <c r="AH288" s="99">
        <f>IF(MOD(S_binomial[[#This Row],[Indeks (base 0)]],AF$7)=0,NA(),_xlfn.BINOM.DIST(S_binomial[[#This Row],[X base]],E$5,E$6,FALSE))</f>
        <v>4.261871040000002E-3</v>
      </c>
      <c r="AI288" s="99" t="b">
        <f>S_binomial[[#This Row],[X base]]&lt;AF$5</f>
        <v>1</v>
      </c>
      <c r="AJ288" s="99" t="b">
        <f>S_binomial[[#This Row],[X base]]=AF$5</f>
        <v>0</v>
      </c>
      <c r="AK288" s="99" t="b">
        <f>S_binomial[[#This Row],[X base]]&gt;AF$5</f>
        <v>0</v>
      </c>
      <c r="AL288" s="99">
        <f>IF(S_binomial[[#This Row],[Mindre end]],S_binomial[[#This Row],[Binomialfordeling]],NA())</f>
        <v>4.261871040000002E-3</v>
      </c>
      <c r="AM288" s="99" t="e">
        <f>IF(S_binomial[[#This Row],[Lig med]],S_binomial[[#This Row],[Binomialfordeling]],NA())</f>
        <v>#N/A</v>
      </c>
      <c r="AN288" s="99" t="e">
        <f>IF(S_binomial[[#This Row],[Større end]],S_binomial[[#This Row],[Binomialfordeling]],NA())</f>
        <v>#N/A</v>
      </c>
      <c r="AO288" s="85" t="str">
        <f>_xlfn.IFNA(IF(MOD(S_binomial[[#This Row],[Indeks (base 0)]],AF$7)=ROUNDDOWN(AF$7/2,0),S_binomial[[#This Row],[X base]],""),"")</f>
        <v/>
      </c>
      <c r="AP288" s="99" t="str">
        <f t="shared" si="60"/>
        <v xml:space="preserve"> </v>
      </c>
      <c r="AR288" s="54">
        <f t="shared" si="53"/>
        <v>275</v>
      </c>
      <c r="AS288" s="54">
        <f>S_normal27[[#This Row],[Indeks (base 0)]]+1</f>
        <v>276</v>
      </c>
      <c r="AT288" s="54">
        <f t="shared" si="57"/>
        <v>4</v>
      </c>
      <c r="AU288" s="54">
        <f>IF(MOD(S_normal27[[#This Row],[Indeks (base 0)]],AS$8)=0,NA(),_xlfn.POISSON.DIST(S_normal27[[#This Row],[X base]],$H$5,FALSE))</f>
        <v>0.16803135574154085</v>
      </c>
      <c r="AV288" s="99" t="b">
        <f>S_normal27[[#This Row],[X base]]&lt;AS$5</f>
        <v>0</v>
      </c>
      <c r="AW288" s="99" t="b">
        <f>S_normal27[[#This Row],[X base]]=AS$5</f>
        <v>0</v>
      </c>
      <c r="AX288" s="99" t="b">
        <f>S_normal27[[#This Row],[X base]]&gt;AS$5</f>
        <v>1</v>
      </c>
      <c r="AY288" s="99" t="e">
        <f>IF(S_normal27[[#This Row],[Mindre end]],S_normal27[[#This Row],[Poissonfordeling]],NA())</f>
        <v>#N/A</v>
      </c>
      <c r="AZ288" s="99" t="e">
        <f>IF(S_normal27[[#This Row],[Lig med]],S_normal27[[#This Row],[Poissonfordeling]],NA())</f>
        <v>#N/A</v>
      </c>
      <c r="BA288" s="99">
        <f>IF(S_normal27[[#This Row],[Større end]],S_normal27[[#This Row],[Poissonfordeling]],NA())</f>
        <v>0.16803135574154085</v>
      </c>
      <c r="BB288" s="85" t="str">
        <f>_xlfn.IFNA(IF(MOD(S_normal27[[#This Row],[Indeks (base 0)]],AS$8)=ROUNDDOWN(AS$8/2,0),S_normal27[[#This Row],[X base]],""),"")</f>
        <v/>
      </c>
      <c r="BC288" s="99" t="str">
        <f t="shared" si="54"/>
        <v xml:space="preserve"> </v>
      </c>
    </row>
    <row r="289" spans="31:55" x14ac:dyDescent="0.2">
      <c r="AE289" s="54">
        <f t="shared" si="58"/>
        <v>276</v>
      </c>
      <c r="AF289" s="54">
        <f>S_binomial[[#This Row],[Indeks (base 0)]]+1</f>
        <v>277</v>
      </c>
      <c r="AG289" s="99">
        <f t="shared" si="59"/>
        <v>3</v>
      </c>
      <c r="AH289" s="99" t="e">
        <f>IF(MOD(S_binomial[[#This Row],[Indeks (base 0)]],AF$7)=0,NA(),_xlfn.BINOM.DIST(S_binomial[[#This Row],[X base]],E$5,E$6,FALSE))</f>
        <v>#N/A</v>
      </c>
      <c r="AI289" s="99" t="b">
        <f>S_binomial[[#This Row],[X base]]&lt;AF$5</f>
        <v>1</v>
      </c>
      <c r="AJ289" s="99" t="b">
        <f>S_binomial[[#This Row],[X base]]=AF$5</f>
        <v>0</v>
      </c>
      <c r="AK289" s="99" t="b">
        <f>S_binomial[[#This Row],[X base]]&gt;AF$5</f>
        <v>0</v>
      </c>
      <c r="AL289" s="99" t="e">
        <f>IF(S_binomial[[#This Row],[Mindre end]],S_binomial[[#This Row],[Binomialfordeling]],NA())</f>
        <v>#N/A</v>
      </c>
      <c r="AM289" s="99" t="e">
        <f>IF(S_binomial[[#This Row],[Lig med]],S_binomial[[#This Row],[Binomialfordeling]],NA())</f>
        <v>#N/A</v>
      </c>
      <c r="AN289" s="99" t="e">
        <f>IF(S_binomial[[#This Row],[Større end]],S_binomial[[#This Row],[Binomialfordeling]],NA())</f>
        <v>#N/A</v>
      </c>
      <c r="AO289" s="85" t="str">
        <f>_xlfn.IFNA(IF(MOD(S_binomial[[#This Row],[Indeks (base 0)]],AF$7)=ROUNDDOWN(AF$7/2,0),S_binomial[[#This Row],[X base]],""),"")</f>
        <v/>
      </c>
      <c r="AP289" s="99" t="str">
        <f t="shared" si="60"/>
        <v xml:space="preserve"> </v>
      </c>
      <c r="AR289" s="54">
        <f t="shared" si="53"/>
        <v>276</v>
      </c>
      <c r="AS289" s="54">
        <f>S_normal27[[#This Row],[Indeks (base 0)]]+1</f>
        <v>277</v>
      </c>
      <c r="AT289" s="54">
        <f t="shared" si="57"/>
        <v>4</v>
      </c>
      <c r="AU289" s="54">
        <f>IF(MOD(S_normal27[[#This Row],[Indeks (base 0)]],AS$8)=0,NA(),_xlfn.POISSON.DIST(S_normal27[[#This Row],[X base]],$H$5,FALSE))</f>
        <v>0.16803135574154085</v>
      </c>
      <c r="AV289" s="99" t="b">
        <f>S_normal27[[#This Row],[X base]]&lt;AS$5</f>
        <v>0</v>
      </c>
      <c r="AW289" s="99" t="b">
        <f>S_normal27[[#This Row],[X base]]=AS$5</f>
        <v>0</v>
      </c>
      <c r="AX289" s="99" t="b">
        <f>S_normal27[[#This Row],[X base]]&gt;AS$5</f>
        <v>1</v>
      </c>
      <c r="AY289" s="99" t="e">
        <f>IF(S_normal27[[#This Row],[Mindre end]],S_normal27[[#This Row],[Poissonfordeling]],NA())</f>
        <v>#N/A</v>
      </c>
      <c r="AZ289" s="99" t="e">
        <f>IF(S_normal27[[#This Row],[Lig med]],S_normal27[[#This Row],[Poissonfordeling]],NA())</f>
        <v>#N/A</v>
      </c>
      <c r="BA289" s="99">
        <f>IF(S_normal27[[#This Row],[Større end]],S_normal27[[#This Row],[Poissonfordeling]],NA())</f>
        <v>0.16803135574154085</v>
      </c>
      <c r="BB289" s="85" t="str">
        <f>_xlfn.IFNA(IF(MOD(S_normal27[[#This Row],[Indeks (base 0)]],AS$8)=ROUNDDOWN(AS$8/2,0),S_normal27[[#This Row],[X base]],""),"")</f>
        <v/>
      </c>
      <c r="BC289" s="99" t="str">
        <f t="shared" si="54"/>
        <v xml:space="preserve"> </v>
      </c>
    </row>
    <row r="290" spans="31:55" x14ac:dyDescent="0.2">
      <c r="AE290" s="54">
        <f t="shared" si="58"/>
        <v>277</v>
      </c>
      <c r="AF290" s="54">
        <f>S_binomial[[#This Row],[Indeks (base 0)]]+1</f>
        <v>278</v>
      </c>
      <c r="AG290" s="99">
        <f t="shared" si="59"/>
        <v>3</v>
      </c>
      <c r="AH290" s="99">
        <f>IF(MOD(S_binomial[[#This Row],[Indeks (base 0)]],AF$7)=0,NA(),_xlfn.BINOM.DIST(S_binomial[[#This Row],[X base]],E$5,E$6,FALSE))</f>
        <v>3.4906753280000008E-2</v>
      </c>
      <c r="AI290" s="99" t="b">
        <f>S_binomial[[#This Row],[X base]]&lt;AF$5</f>
        <v>1</v>
      </c>
      <c r="AJ290" s="99" t="b">
        <f>S_binomial[[#This Row],[X base]]=AF$5</f>
        <v>0</v>
      </c>
      <c r="AK290" s="99" t="b">
        <f>S_binomial[[#This Row],[X base]]&gt;AF$5</f>
        <v>0</v>
      </c>
      <c r="AL290" s="99">
        <f>IF(S_binomial[[#This Row],[Mindre end]],S_binomial[[#This Row],[Binomialfordeling]],NA())</f>
        <v>3.4906753280000008E-2</v>
      </c>
      <c r="AM290" s="99" t="e">
        <f>IF(S_binomial[[#This Row],[Lig med]],S_binomial[[#This Row],[Binomialfordeling]],NA())</f>
        <v>#N/A</v>
      </c>
      <c r="AN290" s="99" t="e">
        <f>IF(S_binomial[[#This Row],[Større end]],S_binomial[[#This Row],[Binomialfordeling]],NA())</f>
        <v>#N/A</v>
      </c>
      <c r="AO290" s="85" t="str">
        <f>_xlfn.IFNA(IF(MOD(S_binomial[[#This Row],[Indeks (base 0)]],AF$7)=ROUNDDOWN(AF$7/2,0),S_binomial[[#This Row],[X base]],""),"")</f>
        <v/>
      </c>
      <c r="AP290" s="99" t="str">
        <f t="shared" si="60"/>
        <v xml:space="preserve"> </v>
      </c>
      <c r="AR290" s="54">
        <f t="shared" si="53"/>
        <v>277</v>
      </c>
      <c r="AS290" s="54">
        <f>S_normal27[[#This Row],[Indeks (base 0)]]+1</f>
        <v>278</v>
      </c>
      <c r="AT290" s="54">
        <f t="shared" si="57"/>
        <v>4</v>
      </c>
      <c r="AU290" s="54">
        <f>IF(MOD(S_normal27[[#This Row],[Indeks (base 0)]],AS$8)=0,NA(),_xlfn.POISSON.DIST(S_normal27[[#This Row],[X base]],$H$5,FALSE))</f>
        <v>0.16803135574154085</v>
      </c>
      <c r="AV290" s="99" t="b">
        <f>S_normal27[[#This Row],[X base]]&lt;AS$5</f>
        <v>0</v>
      </c>
      <c r="AW290" s="99" t="b">
        <f>S_normal27[[#This Row],[X base]]=AS$5</f>
        <v>0</v>
      </c>
      <c r="AX290" s="99" t="b">
        <f>S_normal27[[#This Row],[X base]]&gt;AS$5</f>
        <v>1</v>
      </c>
      <c r="AY290" s="99" t="e">
        <f>IF(S_normal27[[#This Row],[Mindre end]],S_normal27[[#This Row],[Poissonfordeling]],NA())</f>
        <v>#N/A</v>
      </c>
      <c r="AZ290" s="99" t="e">
        <f>IF(S_normal27[[#This Row],[Lig med]],S_normal27[[#This Row],[Poissonfordeling]],NA())</f>
        <v>#N/A</v>
      </c>
      <c r="BA290" s="99">
        <f>IF(S_normal27[[#This Row],[Større end]],S_normal27[[#This Row],[Poissonfordeling]],NA())</f>
        <v>0.16803135574154085</v>
      </c>
      <c r="BB290" s="85" t="str">
        <f>_xlfn.IFNA(IF(MOD(S_normal27[[#This Row],[Indeks (base 0)]],AS$8)=ROUNDDOWN(AS$8/2,0),S_normal27[[#This Row],[X base]],""),"")</f>
        <v/>
      </c>
      <c r="BC290" s="99" t="str">
        <f t="shared" si="54"/>
        <v xml:space="preserve"> </v>
      </c>
    </row>
    <row r="291" spans="31:55" x14ac:dyDescent="0.2">
      <c r="AE291" s="54">
        <f t="shared" si="58"/>
        <v>278</v>
      </c>
      <c r="AF291" s="54">
        <f>S_binomial[[#This Row],[Indeks (base 0)]]+1</f>
        <v>279</v>
      </c>
      <c r="AG291" s="99">
        <f t="shared" si="59"/>
        <v>3</v>
      </c>
      <c r="AH291" s="99">
        <f>IF(MOD(S_binomial[[#This Row],[Indeks (base 0)]],AF$7)=0,NA(),_xlfn.BINOM.DIST(S_binomial[[#This Row],[X base]],E$5,E$6,FALSE))</f>
        <v>3.4906753280000008E-2</v>
      </c>
      <c r="AI291" s="99" t="b">
        <f>S_binomial[[#This Row],[X base]]&lt;AF$5</f>
        <v>1</v>
      </c>
      <c r="AJ291" s="99" t="b">
        <f>S_binomial[[#This Row],[X base]]=AF$5</f>
        <v>0</v>
      </c>
      <c r="AK291" s="99" t="b">
        <f>S_binomial[[#This Row],[X base]]&gt;AF$5</f>
        <v>0</v>
      </c>
      <c r="AL291" s="99">
        <f>IF(S_binomial[[#This Row],[Mindre end]],S_binomial[[#This Row],[Binomialfordeling]],NA())</f>
        <v>3.4906753280000008E-2</v>
      </c>
      <c r="AM291" s="99" t="e">
        <f>IF(S_binomial[[#This Row],[Lig med]],S_binomial[[#This Row],[Binomialfordeling]],NA())</f>
        <v>#N/A</v>
      </c>
      <c r="AN291" s="99" t="e">
        <f>IF(S_binomial[[#This Row],[Større end]],S_binomial[[#This Row],[Binomialfordeling]],NA())</f>
        <v>#N/A</v>
      </c>
      <c r="AO291" s="85" t="str">
        <f>_xlfn.IFNA(IF(MOD(S_binomial[[#This Row],[Indeks (base 0)]],AF$7)=ROUNDDOWN(AF$7/2,0),S_binomial[[#This Row],[X base]],""),"")</f>
        <v/>
      </c>
      <c r="AP291" s="99" t="str">
        <f t="shared" si="60"/>
        <v xml:space="preserve"> </v>
      </c>
      <c r="AR291" s="54">
        <f t="shared" si="53"/>
        <v>278</v>
      </c>
      <c r="AS291" s="54">
        <f>S_normal27[[#This Row],[Indeks (base 0)]]+1</f>
        <v>279</v>
      </c>
      <c r="AT291" s="54">
        <f t="shared" si="57"/>
        <v>4</v>
      </c>
      <c r="AU291" s="54">
        <f>IF(MOD(S_normal27[[#This Row],[Indeks (base 0)]],AS$8)=0,NA(),_xlfn.POISSON.DIST(S_normal27[[#This Row],[X base]],$H$5,FALSE))</f>
        <v>0.16803135574154085</v>
      </c>
      <c r="AV291" s="99" t="b">
        <f>S_normal27[[#This Row],[X base]]&lt;AS$5</f>
        <v>0</v>
      </c>
      <c r="AW291" s="99" t="b">
        <f>S_normal27[[#This Row],[X base]]=AS$5</f>
        <v>0</v>
      </c>
      <c r="AX291" s="99" t="b">
        <f>S_normal27[[#This Row],[X base]]&gt;AS$5</f>
        <v>1</v>
      </c>
      <c r="AY291" s="99" t="e">
        <f>IF(S_normal27[[#This Row],[Mindre end]],S_normal27[[#This Row],[Poissonfordeling]],NA())</f>
        <v>#N/A</v>
      </c>
      <c r="AZ291" s="99" t="e">
        <f>IF(S_normal27[[#This Row],[Lig med]],S_normal27[[#This Row],[Poissonfordeling]],NA())</f>
        <v>#N/A</v>
      </c>
      <c r="BA291" s="99">
        <f>IF(S_normal27[[#This Row],[Større end]],S_normal27[[#This Row],[Poissonfordeling]],NA())</f>
        <v>0.16803135574154085</v>
      </c>
      <c r="BB291" s="85" t="str">
        <f>_xlfn.IFNA(IF(MOD(S_normal27[[#This Row],[Indeks (base 0)]],AS$8)=ROUNDDOWN(AS$8/2,0),S_normal27[[#This Row],[X base]],""),"")</f>
        <v/>
      </c>
      <c r="BC291" s="99" t="str">
        <f t="shared" si="54"/>
        <v xml:space="preserve"> </v>
      </c>
    </row>
    <row r="292" spans="31:55" x14ac:dyDescent="0.2">
      <c r="AE292" s="54">
        <f t="shared" si="58"/>
        <v>279</v>
      </c>
      <c r="AF292" s="54">
        <f>S_binomial[[#This Row],[Indeks (base 0)]]+1</f>
        <v>280</v>
      </c>
      <c r="AG292" s="99">
        <f t="shared" si="59"/>
        <v>3</v>
      </c>
      <c r="AH292" s="99">
        <f>IF(MOD(S_binomial[[#This Row],[Indeks (base 0)]],AF$7)=0,NA(),_xlfn.BINOM.DIST(S_binomial[[#This Row],[X base]],E$5,E$6,FALSE))</f>
        <v>3.4906753280000008E-2</v>
      </c>
      <c r="AI292" s="99" t="b">
        <f>S_binomial[[#This Row],[X base]]&lt;AF$5</f>
        <v>1</v>
      </c>
      <c r="AJ292" s="99" t="b">
        <f>S_binomial[[#This Row],[X base]]=AF$5</f>
        <v>0</v>
      </c>
      <c r="AK292" s="99" t="b">
        <f>S_binomial[[#This Row],[X base]]&gt;AF$5</f>
        <v>0</v>
      </c>
      <c r="AL292" s="99">
        <f>IF(S_binomial[[#This Row],[Mindre end]],S_binomial[[#This Row],[Binomialfordeling]],NA())</f>
        <v>3.4906753280000008E-2</v>
      </c>
      <c r="AM292" s="99" t="e">
        <f>IF(S_binomial[[#This Row],[Lig med]],S_binomial[[#This Row],[Binomialfordeling]],NA())</f>
        <v>#N/A</v>
      </c>
      <c r="AN292" s="99" t="e">
        <f>IF(S_binomial[[#This Row],[Større end]],S_binomial[[#This Row],[Binomialfordeling]],NA())</f>
        <v>#N/A</v>
      </c>
      <c r="AO292" s="85" t="str">
        <f>_xlfn.IFNA(IF(MOD(S_binomial[[#This Row],[Indeks (base 0)]],AF$7)=ROUNDDOWN(AF$7/2,0),S_binomial[[#This Row],[X base]],""),"")</f>
        <v/>
      </c>
      <c r="AP292" s="99" t="str">
        <f t="shared" si="60"/>
        <v xml:space="preserve"> </v>
      </c>
      <c r="AR292" s="54">
        <f t="shared" si="53"/>
        <v>279</v>
      </c>
      <c r="AS292" s="54">
        <f>S_normal27[[#This Row],[Indeks (base 0)]]+1</f>
        <v>280</v>
      </c>
      <c r="AT292" s="54">
        <f t="shared" si="57"/>
        <v>4</v>
      </c>
      <c r="AU292" s="54">
        <f>IF(MOD(S_normal27[[#This Row],[Indeks (base 0)]],AS$8)=0,NA(),_xlfn.POISSON.DIST(S_normal27[[#This Row],[X base]],$H$5,FALSE))</f>
        <v>0.16803135574154085</v>
      </c>
      <c r="AV292" s="99" t="b">
        <f>S_normal27[[#This Row],[X base]]&lt;AS$5</f>
        <v>0</v>
      </c>
      <c r="AW292" s="99" t="b">
        <f>S_normal27[[#This Row],[X base]]=AS$5</f>
        <v>0</v>
      </c>
      <c r="AX292" s="99" t="b">
        <f>S_normal27[[#This Row],[X base]]&gt;AS$5</f>
        <v>1</v>
      </c>
      <c r="AY292" s="99" t="e">
        <f>IF(S_normal27[[#This Row],[Mindre end]],S_normal27[[#This Row],[Poissonfordeling]],NA())</f>
        <v>#N/A</v>
      </c>
      <c r="AZ292" s="99" t="e">
        <f>IF(S_normal27[[#This Row],[Lig med]],S_normal27[[#This Row],[Poissonfordeling]],NA())</f>
        <v>#N/A</v>
      </c>
      <c r="BA292" s="99">
        <f>IF(S_normal27[[#This Row],[Større end]],S_normal27[[#This Row],[Poissonfordeling]],NA())</f>
        <v>0.16803135574154085</v>
      </c>
      <c r="BB292" s="85" t="str">
        <f>_xlfn.IFNA(IF(MOD(S_normal27[[#This Row],[Indeks (base 0)]],AS$8)=ROUNDDOWN(AS$8/2,0),S_normal27[[#This Row],[X base]],""),"")</f>
        <v/>
      </c>
      <c r="BC292" s="99" t="str">
        <f t="shared" si="54"/>
        <v xml:space="preserve"> </v>
      </c>
    </row>
    <row r="293" spans="31:55" x14ac:dyDescent="0.2">
      <c r="AE293" s="54">
        <f t="shared" si="58"/>
        <v>280</v>
      </c>
      <c r="AF293" s="54">
        <f>S_binomial[[#This Row],[Indeks (base 0)]]+1</f>
        <v>281</v>
      </c>
      <c r="AG293" s="99">
        <f t="shared" si="59"/>
        <v>3</v>
      </c>
      <c r="AH293" s="99">
        <f>IF(MOD(S_binomial[[#This Row],[Indeks (base 0)]],AF$7)=0,NA(),_xlfn.BINOM.DIST(S_binomial[[#This Row],[X base]],E$5,E$6,FALSE))</f>
        <v>3.4906753280000008E-2</v>
      </c>
      <c r="AI293" s="99" t="b">
        <f>S_binomial[[#This Row],[X base]]&lt;AF$5</f>
        <v>1</v>
      </c>
      <c r="AJ293" s="99" t="b">
        <f>S_binomial[[#This Row],[X base]]=AF$5</f>
        <v>0</v>
      </c>
      <c r="AK293" s="99" t="b">
        <f>S_binomial[[#This Row],[X base]]&gt;AF$5</f>
        <v>0</v>
      </c>
      <c r="AL293" s="99">
        <f>IF(S_binomial[[#This Row],[Mindre end]],S_binomial[[#This Row],[Binomialfordeling]],NA())</f>
        <v>3.4906753280000008E-2</v>
      </c>
      <c r="AM293" s="99" t="e">
        <f>IF(S_binomial[[#This Row],[Lig med]],S_binomial[[#This Row],[Binomialfordeling]],NA())</f>
        <v>#N/A</v>
      </c>
      <c r="AN293" s="99" t="e">
        <f>IF(S_binomial[[#This Row],[Større end]],S_binomial[[#This Row],[Binomialfordeling]],NA())</f>
        <v>#N/A</v>
      </c>
      <c r="AO293" s="85" t="str">
        <f>_xlfn.IFNA(IF(MOD(S_binomial[[#This Row],[Indeks (base 0)]],AF$7)=ROUNDDOWN(AF$7/2,0),S_binomial[[#This Row],[X base]],""),"")</f>
        <v/>
      </c>
      <c r="AP293" s="99" t="str">
        <f t="shared" si="60"/>
        <v xml:space="preserve"> </v>
      </c>
      <c r="AR293" s="54">
        <f t="shared" si="53"/>
        <v>280</v>
      </c>
      <c r="AS293" s="54">
        <f>S_normal27[[#This Row],[Indeks (base 0)]]+1</f>
        <v>281</v>
      </c>
      <c r="AT293" s="54">
        <f t="shared" si="57"/>
        <v>4</v>
      </c>
      <c r="AU293" s="54">
        <f>IF(MOD(S_normal27[[#This Row],[Indeks (base 0)]],AS$8)=0,NA(),_xlfn.POISSON.DIST(S_normal27[[#This Row],[X base]],$H$5,FALSE))</f>
        <v>0.16803135574154085</v>
      </c>
      <c r="AV293" s="99" t="b">
        <f>S_normal27[[#This Row],[X base]]&lt;AS$5</f>
        <v>0</v>
      </c>
      <c r="AW293" s="99" t="b">
        <f>S_normal27[[#This Row],[X base]]=AS$5</f>
        <v>0</v>
      </c>
      <c r="AX293" s="99" t="b">
        <f>S_normal27[[#This Row],[X base]]&gt;AS$5</f>
        <v>1</v>
      </c>
      <c r="AY293" s="99" t="e">
        <f>IF(S_normal27[[#This Row],[Mindre end]],S_normal27[[#This Row],[Poissonfordeling]],NA())</f>
        <v>#N/A</v>
      </c>
      <c r="AZ293" s="99" t="e">
        <f>IF(S_normal27[[#This Row],[Lig med]],S_normal27[[#This Row],[Poissonfordeling]],NA())</f>
        <v>#N/A</v>
      </c>
      <c r="BA293" s="99">
        <f>IF(S_normal27[[#This Row],[Større end]],S_normal27[[#This Row],[Poissonfordeling]],NA())</f>
        <v>0.16803135574154085</v>
      </c>
      <c r="BB293" s="85" t="str">
        <f>_xlfn.IFNA(IF(MOD(S_normal27[[#This Row],[Indeks (base 0)]],AS$8)=ROUNDDOWN(AS$8/2,0),S_normal27[[#This Row],[X base]],""),"")</f>
        <v/>
      </c>
      <c r="BC293" s="99" t="str">
        <f t="shared" si="54"/>
        <v xml:space="preserve"> </v>
      </c>
    </row>
    <row r="294" spans="31:55" x14ac:dyDescent="0.2">
      <c r="AE294" s="54">
        <f t="shared" si="58"/>
        <v>281</v>
      </c>
      <c r="AF294" s="54">
        <f>S_binomial[[#This Row],[Indeks (base 0)]]+1</f>
        <v>282</v>
      </c>
      <c r="AG294" s="99">
        <f t="shared" si="59"/>
        <v>3</v>
      </c>
      <c r="AH294" s="99">
        <f>IF(MOD(S_binomial[[#This Row],[Indeks (base 0)]],AF$7)=0,NA(),_xlfn.BINOM.DIST(S_binomial[[#This Row],[X base]],E$5,E$6,FALSE))</f>
        <v>3.4906753280000008E-2</v>
      </c>
      <c r="AI294" s="99" t="b">
        <f>S_binomial[[#This Row],[X base]]&lt;AF$5</f>
        <v>1</v>
      </c>
      <c r="AJ294" s="99" t="b">
        <f>S_binomial[[#This Row],[X base]]=AF$5</f>
        <v>0</v>
      </c>
      <c r="AK294" s="99" t="b">
        <f>S_binomial[[#This Row],[X base]]&gt;AF$5</f>
        <v>0</v>
      </c>
      <c r="AL294" s="99">
        <f>IF(S_binomial[[#This Row],[Mindre end]],S_binomial[[#This Row],[Binomialfordeling]],NA())</f>
        <v>3.4906753280000008E-2</v>
      </c>
      <c r="AM294" s="99" t="e">
        <f>IF(S_binomial[[#This Row],[Lig med]],S_binomial[[#This Row],[Binomialfordeling]],NA())</f>
        <v>#N/A</v>
      </c>
      <c r="AN294" s="99" t="e">
        <f>IF(S_binomial[[#This Row],[Større end]],S_binomial[[#This Row],[Binomialfordeling]],NA())</f>
        <v>#N/A</v>
      </c>
      <c r="AO294" s="85" t="str">
        <f>_xlfn.IFNA(IF(MOD(S_binomial[[#This Row],[Indeks (base 0)]],AF$7)=ROUNDDOWN(AF$7/2,0),S_binomial[[#This Row],[X base]],""),"")</f>
        <v/>
      </c>
      <c r="AP294" s="99" t="str">
        <f t="shared" si="60"/>
        <v xml:space="preserve"> </v>
      </c>
      <c r="AR294" s="54">
        <f t="shared" si="53"/>
        <v>281</v>
      </c>
      <c r="AS294" s="54">
        <f>S_normal27[[#This Row],[Indeks (base 0)]]+1</f>
        <v>282</v>
      </c>
      <c r="AT294" s="54">
        <f t="shared" si="57"/>
        <v>4</v>
      </c>
      <c r="AU294" s="54">
        <f>IF(MOD(S_normal27[[#This Row],[Indeks (base 0)]],AS$8)=0,NA(),_xlfn.POISSON.DIST(S_normal27[[#This Row],[X base]],$H$5,FALSE))</f>
        <v>0.16803135574154085</v>
      </c>
      <c r="AV294" s="99" t="b">
        <f>S_normal27[[#This Row],[X base]]&lt;AS$5</f>
        <v>0</v>
      </c>
      <c r="AW294" s="99" t="b">
        <f>S_normal27[[#This Row],[X base]]=AS$5</f>
        <v>0</v>
      </c>
      <c r="AX294" s="99" t="b">
        <f>S_normal27[[#This Row],[X base]]&gt;AS$5</f>
        <v>1</v>
      </c>
      <c r="AY294" s="99" t="e">
        <f>IF(S_normal27[[#This Row],[Mindre end]],S_normal27[[#This Row],[Poissonfordeling]],NA())</f>
        <v>#N/A</v>
      </c>
      <c r="AZ294" s="99" t="e">
        <f>IF(S_normal27[[#This Row],[Lig med]],S_normal27[[#This Row],[Poissonfordeling]],NA())</f>
        <v>#N/A</v>
      </c>
      <c r="BA294" s="99">
        <f>IF(S_normal27[[#This Row],[Større end]],S_normal27[[#This Row],[Poissonfordeling]],NA())</f>
        <v>0.16803135574154085</v>
      </c>
      <c r="BB294" s="85" t="str">
        <f>_xlfn.IFNA(IF(MOD(S_normal27[[#This Row],[Indeks (base 0)]],AS$8)=ROUNDDOWN(AS$8/2,0),S_normal27[[#This Row],[X base]],""),"")</f>
        <v/>
      </c>
      <c r="BC294" s="99" t="str">
        <f t="shared" si="54"/>
        <v xml:space="preserve"> </v>
      </c>
    </row>
    <row r="295" spans="31:55" x14ac:dyDescent="0.2">
      <c r="AE295" s="54">
        <f t="shared" si="58"/>
        <v>282</v>
      </c>
      <c r="AF295" s="54">
        <f>S_binomial[[#This Row],[Indeks (base 0)]]+1</f>
        <v>283</v>
      </c>
      <c r="AG295" s="99">
        <f t="shared" si="59"/>
        <v>3</v>
      </c>
      <c r="AH295" s="99">
        <f>IF(MOD(S_binomial[[#This Row],[Indeks (base 0)]],AF$7)=0,NA(),_xlfn.BINOM.DIST(S_binomial[[#This Row],[X base]],E$5,E$6,FALSE))</f>
        <v>3.4906753280000008E-2</v>
      </c>
      <c r="AI295" s="99" t="b">
        <f>S_binomial[[#This Row],[X base]]&lt;AF$5</f>
        <v>1</v>
      </c>
      <c r="AJ295" s="99" t="b">
        <f>S_binomial[[#This Row],[X base]]=AF$5</f>
        <v>0</v>
      </c>
      <c r="AK295" s="99" t="b">
        <f>S_binomial[[#This Row],[X base]]&gt;AF$5</f>
        <v>0</v>
      </c>
      <c r="AL295" s="99">
        <f>IF(S_binomial[[#This Row],[Mindre end]],S_binomial[[#This Row],[Binomialfordeling]],NA())</f>
        <v>3.4906753280000008E-2</v>
      </c>
      <c r="AM295" s="99" t="e">
        <f>IF(S_binomial[[#This Row],[Lig med]],S_binomial[[#This Row],[Binomialfordeling]],NA())</f>
        <v>#N/A</v>
      </c>
      <c r="AN295" s="99" t="e">
        <f>IF(S_binomial[[#This Row],[Større end]],S_binomial[[#This Row],[Binomialfordeling]],NA())</f>
        <v>#N/A</v>
      </c>
      <c r="AO295" s="85" t="str">
        <f>_xlfn.IFNA(IF(MOD(S_binomial[[#This Row],[Indeks (base 0)]],AF$7)=ROUNDDOWN(AF$7/2,0),S_binomial[[#This Row],[X base]],""),"")</f>
        <v/>
      </c>
      <c r="AP295" s="99" t="str">
        <f t="shared" si="60"/>
        <v xml:space="preserve"> </v>
      </c>
      <c r="AR295" s="54">
        <f t="shared" si="53"/>
        <v>282</v>
      </c>
      <c r="AS295" s="54">
        <f>S_normal27[[#This Row],[Indeks (base 0)]]+1</f>
        <v>283</v>
      </c>
      <c r="AT295" s="54">
        <f t="shared" si="57"/>
        <v>4</v>
      </c>
      <c r="AU295" s="54">
        <f>IF(MOD(S_normal27[[#This Row],[Indeks (base 0)]],AS$8)=0,NA(),_xlfn.POISSON.DIST(S_normal27[[#This Row],[X base]],$H$5,FALSE))</f>
        <v>0.16803135574154085</v>
      </c>
      <c r="AV295" s="99" t="b">
        <f>S_normal27[[#This Row],[X base]]&lt;AS$5</f>
        <v>0</v>
      </c>
      <c r="AW295" s="99" t="b">
        <f>S_normal27[[#This Row],[X base]]=AS$5</f>
        <v>0</v>
      </c>
      <c r="AX295" s="99" t="b">
        <f>S_normal27[[#This Row],[X base]]&gt;AS$5</f>
        <v>1</v>
      </c>
      <c r="AY295" s="99" t="e">
        <f>IF(S_normal27[[#This Row],[Mindre end]],S_normal27[[#This Row],[Poissonfordeling]],NA())</f>
        <v>#N/A</v>
      </c>
      <c r="AZ295" s="99" t="e">
        <f>IF(S_normal27[[#This Row],[Lig med]],S_normal27[[#This Row],[Poissonfordeling]],NA())</f>
        <v>#N/A</v>
      </c>
      <c r="BA295" s="99">
        <f>IF(S_normal27[[#This Row],[Større end]],S_normal27[[#This Row],[Poissonfordeling]],NA())</f>
        <v>0.16803135574154085</v>
      </c>
      <c r="BB295" s="85" t="str">
        <f>_xlfn.IFNA(IF(MOD(S_normal27[[#This Row],[Indeks (base 0)]],AS$8)=ROUNDDOWN(AS$8/2,0),S_normal27[[#This Row],[X base]],""),"")</f>
        <v/>
      </c>
      <c r="BC295" s="99" t="str">
        <f t="shared" si="54"/>
        <v xml:space="preserve"> </v>
      </c>
    </row>
    <row r="296" spans="31:55" x14ac:dyDescent="0.2">
      <c r="AE296" s="54">
        <f t="shared" si="58"/>
        <v>283</v>
      </c>
      <c r="AF296" s="54">
        <f>S_binomial[[#This Row],[Indeks (base 0)]]+1</f>
        <v>284</v>
      </c>
      <c r="AG296" s="99">
        <f t="shared" si="59"/>
        <v>3</v>
      </c>
      <c r="AH296" s="99">
        <f>IF(MOD(S_binomial[[#This Row],[Indeks (base 0)]],AF$7)=0,NA(),_xlfn.BINOM.DIST(S_binomial[[#This Row],[X base]],E$5,E$6,FALSE))</f>
        <v>3.4906753280000008E-2</v>
      </c>
      <c r="AI296" s="99" t="b">
        <f>S_binomial[[#This Row],[X base]]&lt;AF$5</f>
        <v>1</v>
      </c>
      <c r="AJ296" s="99" t="b">
        <f>S_binomial[[#This Row],[X base]]=AF$5</f>
        <v>0</v>
      </c>
      <c r="AK296" s="99" t="b">
        <f>S_binomial[[#This Row],[X base]]&gt;AF$5</f>
        <v>0</v>
      </c>
      <c r="AL296" s="99">
        <f>IF(S_binomial[[#This Row],[Mindre end]],S_binomial[[#This Row],[Binomialfordeling]],NA())</f>
        <v>3.4906753280000008E-2</v>
      </c>
      <c r="AM296" s="99" t="e">
        <f>IF(S_binomial[[#This Row],[Lig med]],S_binomial[[#This Row],[Binomialfordeling]],NA())</f>
        <v>#N/A</v>
      </c>
      <c r="AN296" s="99" t="e">
        <f>IF(S_binomial[[#This Row],[Større end]],S_binomial[[#This Row],[Binomialfordeling]],NA())</f>
        <v>#N/A</v>
      </c>
      <c r="AO296" s="85" t="str">
        <f>_xlfn.IFNA(IF(MOD(S_binomial[[#This Row],[Indeks (base 0)]],AF$7)=ROUNDDOWN(AF$7/2,0),S_binomial[[#This Row],[X base]],""),"")</f>
        <v/>
      </c>
      <c r="AP296" s="99" t="str">
        <f t="shared" si="60"/>
        <v xml:space="preserve"> </v>
      </c>
      <c r="AR296" s="54">
        <f t="shared" si="53"/>
        <v>283</v>
      </c>
      <c r="AS296" s="54">
        <f>S_normal27[[#This Row],[Indeks (base 0)]]+1</f>
        <v>284</v>
      </c>
      <c r="AT296" s="54">
        <f t="shared" si="57"/>
        <v>4</v>
      </c>
      <c r="AU296" s="54">
        <f>IF(MOD(S_normal27[[#This Row],[Indeks (base 0)]],AS$8)=0,NA(),_xlfn.POISSON.DIST(S_normal27[[#This Row],[X base]],$H$5,FALSE))</f>
        <v>0.16803135574154085</v>
      </c>
      <c r="AV296" s="99" t="b">
        <f>S_normal27[[#This Row],[X base]]&lt;AS$5</f>
        <v>0</v>
      </c>
      <c r="AW296" s="99" t="b">
        <f>S_normal27[[#This Row],[X base]]=AS$5</f>
        <v>0</v>
      </c>
      <c r="AX296" s="99" t="b">
        <f>S_normal27[[#This Row],[X base]]&gt;AS$5</f>
        <v>1</v>
      </c>
      <c r="AY296" s="99" t="e">
        <f>IF(S_normal27[[#This Row],[Mindre end]],S_normal27[[#This Row],[Poissonfordeling]],NA())</f>
        <v>#N/A</v>
      </c>
      <c r="AZ296" s="99" t="e">
        <f>IF(S_normal27[[#This Row],[Lig med]],S_normal27[[#This Row],[Poissonfordeling]],NA())</f>
        <v>#N/A</v>
      </c>
      <c r="BA296" s="99">
        <f>IF(S_normal27[[#This Row],[Større end]],S_normal27[[#This Row],[Poissonfordeling]],NA())</f>
        <v>0.16803135574154085</v>
      </c>
      <c r="BB296" s="85" t="str">
        <f>_xlfn.IFNA(IF(MOD(S_normal27[[#This Row],[Indeks (base 0)]],AS$8)=ROUNDDOWN(AS$8/2,0),S_normal27[[#This Row],[X base]],""),"")</f>
        <v/>
      </c>
      <c r="BC296" s="99" t="str">
        <f t="shared" si="54"/>
        <v xml:space="preserve"> </v>
      </c>
    </row>
    <row r="297" spans="31:55" x14ac:dyDescent="0.2">
      <c r="AE297" s="54">
        <f t="shared" si="58"/>
        <v>284</v>
      </c>
      <c r="AF297" s="54">
        <f>S_binomial[[#This Row],[Indeks (base 0)]]+1</f>
        <v>285</v>
      </c>
      <c r="AG297" s="99">
        <f t="shared" si="59"/>
        <v>3</v>
      </c>
      <c r="AH297" s="99">
        <f>IF(MOD(S_binomial[[#This Row],[Indeks (base 0)]],AF$7)=0,NA(),_xlfn.BINOM.DIST(S_binomial[[#This Row],[X base]],E$5,E$6,FALSE))</f>
        <v>3.4906753280000008E-2</v>
      </c>
      <c r="AI297" s="99" t="b">
        <f>S_binomial[[#This Row],[X base]]&lt;AF$5</f>
        <v>1</v>
      </c>
      <c r="AJ297" s="99" t="b">
        <f>S_binomial[[#This Row],[X base]]=AF$5</f>
        <v>0</v>
      </c>
      <c r="AK297" s="99" t="b">
        <f>S_binomial[[#This Row],[X base]]&gt;AF$5</f>
        <v>0</v>
      </c>
      <c r="AL297" s="99">
        <f>IF(S_binomial[[#This Row],[Mindre end]],S_binomial[[#This Row],[Binomialfordeling]],NA())</f>
        <v>3.4906753280000008E-2</v>
      </c>
      <c r="AM297" s="99" t="e">
        <f>IF(S_binomial[[#This Row],[Lig med]],S_binomial[[#This Row],[Binomialfordeling]],NA())</f>
        <v>#N/A</v>
      </c>
      <c r="AN297" s="99" t="e">
        <f>IF(S_binomial[[#This Row],[Større end]],S_binomial[[#This Row],[Binomialfordeling]],NA())</f>
        <v>#N/A</v>
      </c>
      <c r="AO297" s="85" t="str">
        <f>_xlfn.IFNA(IF(MOD(S_binomial[[#This Row],[Indeks (base 0)]],AF$7)=ROUNDDOWN(AF$7/2,0),S_binomial[[#This Row],[X base]],""),"")</f>
        <v/>
      </c>
      <c r="AP297" s="99" t="str">
        <f t="shared" si="60"/>
        <v xml:space="preserve"> </v>
      </c>
      <c r="AR297" s="54">
        <f t="shared" si="53"/>
        <v>284</v>
      </c>
      <c r="AS297" s="54">
        <f>S_normal27[[#This Row],[Indeks (base 0)]]+1</f>
        <v>285</v>
      </c>
      <c r="AT297" s="54">
        <f t="shared" si="57"/>
        <v>4</v>
      </c>
      <c r="AU297" s="54">
        <f>IF(MOD(S_normal27[[#This Row],[Indeks (base 0)]],AS$8)=0,NA(),_xlfn.POISSON.DIST(S_normal27[[#This Row],[X base]],$H$5,FALSE))</f>
        <v>0.16803135574154085</v>
      </c>
      <c r="AV297" s="99" t="b">
        <f>S_normal27[[#This Row],[X base]]&lt;AS$5</f>
        <v>0</v>
      </c>
      <c r="AW297" s="99" t="b">
        <f>S_normal27[[#This Row],[X base]]=AS$5</f>
        <v>0</v>
      </c>
      <c r="AX297" s="99" t="b">
        <f>S_normal27[[#This Row],[X base]]&gt;AS$5</f>
        <v>1</v>
      </c>
      <c r="AY297" s="99" t="e">
        <f>IF(S_normal27[[#This Row],[Mindre end]],S_normal27[[#This Row],[Poissonfordeling]],NA())</f>
        <v>#N/A</v>
      </c>
      <c r="AZ297" s="99" t="e">
        <f>IF(S_normal27[[#This Row],[Lig med]],S_normal27[[#This Row],[Poissonfordeling]],NA())</f>
        <v>#N/A</v>
      </c>
      <c r="BA297" s="99">
        <f>IF(S_normal27[[#This Row],[Større end]],S_normal27[[#This Row],[Poissonfordeling]],NA())</f>
        <v>0.16803135574154085</v>
      </c>
      <c r="BB297" s="85" t="str">
        <f>_xlfn.IFNA(IF(MOD(S_normal27[[#This Row],[Indeks (base 0)]],AS$8)=ROUNDDOWN(AS$8/2,0),S_normal27[[#This Row],[X base]],""),"")</f>
        <v/>
      </c>
      <c r="BC297" s="99" t="str">
        <f t="shared" si="54"/>
        <v xml:space="preserve"> </v>
      </c>
    </row>
    <row r="298" spans="31:55" x14ac:dyDescent="0.2">
      <c r="AE298" s="54">
        <f t="shared" si="58"/>
        <v>285</v>
      </c>
      <c r="AF298" s="54">
        <f>S_binomial[[#This Row],[Indeks (base 0)]]+1</f>
        <v>286</v>
      </c>
      <c r="AG298" s="99">
        <f t="shared" si="59"/>
        <v>3</v>
      </c>
      <c r="AH298" s="99">
        <f>IF(MOD(S_binomial[[#This Row],[Indeks (base 0)]],AF$7)=0,NA(),_xlfn.BINOM.DIST(S_binomial[[#This Row],[X base]],E$5,E$6,FALSE))</f>
        <v>3.4906753280000008E-2</v>
      </c>
      <c r="AI298" s="99" t="b">
        <f>S_binomial[[#This Row],[X base]]&lt;AF$5</f>
        <v>1</v>
      </c>
      <c r="AJ298" s="99" t="b">
        <f>S_binomial[[#This Row],[X base]]=AF$5</f>
        <v>0</v>
      </c>
      <c r="AK298" s="99" t="b">
        <f>S_binomial[[#This Row],[X base]]&gt;AF$5</f>
        <v>0</v>
      </c>
      <c r="AL298" s="99">
        <f>IF(S_binomial[[#This Row],[Mindre end]],S_binomial[[#This Row],[Binomialfordeling]],NA())</f>
        <v>3.4906753280000008E-2</v>
      </c>
      <c r="AM298" s="99" t="e">
        <f>IF(S_binomial[[#This Row],[Lig med]],S_binomial[[#This Row],[Binomialfordeling]],NA())</f>
        <v>#N/A</v>
      </c>
      <c r="AN298" s="99" t="e">
        <f>IF(S_binomial[[#This Row],[Større end]],S_binomial[[#This Row],[Binomialfordeling]],NA())</f>
        <v>#N/A</v>
      </c>
      <c r="AO298" s="85" t="str">
        <f>_xlfn.IFNA(IF(MOD(S_binomial[[#This Row],[Indeks (base 0)]],AF$7)=ROUNDDOWN(AF$7/2,0),S_binomial[[#This Row],[X base]],""),"")</f>
        <v/>
      </c>
      <c r="AP298" s="99" t="str">
        <f t="shared" si="60"/>
        <v xml:space="preserve"> </v>
      </c>
      <c r="AR298" s="54">
        <f t="shared" si="53"/>
        <v>285</v>
      </c>
      <c r="AS298" s="54">
        <f>S_normal27[[#This Row],[Indeks (base 0)]]+1</f>
        <v>286</v>
      </c>
      <c r="AT298" s="54">
        <f t="shared" si="57"/>
        <v>4</v>
      </c>
      <c r="AU298" s="54">
        <f>IF(MOD(S_normal27[[#This Row],[Indeks (base 0)]],AS$8)=0,NA(),_xlfn.POISSON.DIST(S_normal27[[#This Row],[X base]],$H$5,FALSE))</f>
        <v>0.16803135574154085</v>
      </c>
      <c r="AV298" s="99" t="b">
        <f>S_normal27[[#This Row],[X base]]&lt;AS$5</f>
        <v>0</v>
      </c>
      <c r="AW298" s="99" t="b">
        <f>S_normal27[[#This Row],[X base]]=AS$5</f>
        <v>0</v>
      </c>
      <c r="AX298" s="99" t="b">
        <f>S_normal27[[#This Row],[X base]]&gt;AS$5</f>
        <v>1</v>
      </c>
      <c r="AY298" s="99" t="e">
        <f>IF(S_normal27[[#This Row],[Mindre end]],S_normal27[[#This Row],[Poissonfordeling]],NA())</f>
        <v>#N/A</v>
      </c>
      <c r="AZ298" s="99" t="e">
        <f>IF(S_normal27[[#This Row],[Lig med]],S_normal27[[#This Row],[Poissonfordeling]],NA())</f>
        <v>#N/A</v>
      </c>
      <c r="BA298" s="99">
        <f>IF(S_normal27[[#This Row],[Større end]],S_normal27[[#This Row],[Poissonfordeling]],NA())</f>
        <v>0.16803135574154085</v>
      </c>
      <c r="BB298" s="85" t="str">
        <f>_xlfn.IFNA(IF(MOD(S_normal27[[#This Row],[Indeks (base 0)]],AS$8)=ROUNDDOWN(AS$8/2,0),S_normal27[[#This Row],[X base]],""),"")</f>
        <v/>
      </c>
      <c r="BC298" s="99" t="str">
        <f t="shared" si="54"/>
        <v xml:space="preserve"> </v>
      </c>
    </row>
    <row r="299" spans="31:55" x14ac:dyDescent="0.2">
      <c r="AE299" s="54">
        <f t="shared" si="58"/>
        <v>286</v>
      </c>
      <c r="AF299" s="54">
        <f>S_binomial[[#This Row],[Indeks (base 0)]]+1</f>
        <v>287</v>
      </c>
      <c r="AG299" s="99">
        <f t="shared" si="59"/>
        <v>3</v>
      </c>
      <c r="AH299" s="99">
        <f>IF(MOD(S_binomial[[#This Row],[Indeks (base 0)]],AF$7)=0,NA(),_xlfn.BINOM.DIST(S_binomial[[#This Row],[X base]],E$5,E$6,FALSE))</f>
        <v>3.4906753280000008E-2</v>
      </c>
      <c r="AI299" s="99" t="b">
        <f>S_binomial[[#This Row],[X base]]&lt;AF$5</f>
        <v>1</v>
      </c>
      <c r="AJ299" s="99" t="b">
        <f>S_binomial[[#This Row],[X base]]=AF$5</f>
        <v>0</v>
      </c>
      <c r="AK299" s="99" t="b">
        <f>S_binomial[[#This Row],[X base]]&gt;AF$5</f>
        <v>0</v>
      </c>
      <c r="AL299" s="99">
        <f>IF(S_binomial[[#This Row],[Mindre end]],S_binomial[[#This Row],[Binomialfordeling]],NA())</f>
        <v>3.4906753280000008E-2</v>
      </c>
      <c r="AM299" s="99" t="e">
        <f>IF(S_binomial[[#This Row],[Lig med]],S_binomial[[#This Row],[Binomialfordeling]],NA())</f>
        <v>#N/A</v>
      </c>
      <c r="AN299" s="99" t="e">
        <f>IF(S_binomial[[#This Row],[Større end]],S_binomial[[#This Row],[Binomialfordeling]],NA())</f>
        <v>#N/A</v>
      </c>
      <c r="AO299" s="85" t="str">
        <f>_xlfn.IFNA(IF(MOD(S_binomial[[#This Row],[Indeks (base 0)]],AF$7)=ROUNDDOWN(AF$7/2,0),S_binomial[[#This Row],[X base]],""),"")</f>
        <v/>
      </c>
      <c r="AP299" s="99" t="str">
        <f t="shared" si="60"/>
        <v xml:space="preserve"> </v>
      </c>
      <c r="AR299" s="54">
        <f t="shared" si="53"/>
        <v>286</v>
      </c>
      <c r="AS299" s="54">
        <f>S_normal27[[#This Row],[Indeks (base 0)]]+1</f>
        <v>287</v>
      </c>
      <c r="AT299" s="54">
        <f t="shared" si="57"/>
        <v>4</v>
      </c>
      <c r="AU299" s="54">
        <f>IF(MOD(S_normal27[[#This Row],[Indeks (base 0)]],AS$8)=0,NA(),_xlfn.POISSON.DIST(S_normal27[[#This Row],[X base]],$H$5,FALSE))</f>
        <v>0.16803135574154085</v>
      </c>
      <c r="AV299" s="99" t="b">
        <f>S_normal27[[#This Row],[X base]]&lt;AS$5</f>
        <v>0</v>
      </c>
      <c r="AW299" s="99" t="b">
        <f>S_normal27[[#This Row],[X base]]=AS$5</f>
        <v>0</v>
      </c>
      <c r="AX299" s="99" t="b">
        <f>S_normal27[[#This Row],[X base]]&gt;AS$5</f>
        <v>1</v>
      </c>
      <c r="AY299" s="99" t="e">
        <f>IF(S_normal27[[#This Row],[Mindre end]],S_normal27[[#This Row],[Poissonfordeling]],NA())</f>
        <v>#N/A</v>
      </c>
      <c r="AZ299" s="99" t="e">
        <f>IF(S_normal27[[#This Row],[Lig med]],S_normal27[[#This Row],[Poissonfordeling]],NA())</f>
        <v>#N/A</v>
      </c>
      <c r="BA299" s="99">
        <f>IF(S_normal27[[#This Row],[Større end]],S_normal27[[#This Row],[Poissonfordeling]],NA())</f>
        <v>0.16803135574154085</v>
      </c>
      <c r="BB299" s="85" t="str">
        <f>_xlfn.IFNA(IF(MOD(S_normal27[[#This Row],[Indeks (base 0)]],AS$8)=ROUNDDOWN(AS$8/2,0),S_normal27[[#This Row],[X base]],""),"")</f>
        <v/>
      </c>
      <c r="BC299" s="99" t="str">
        <f t="shared" si="54"/>
        <v xml:space="preserve"> </v>
      </c>
    </row>
    <row r="300" spans="31:55" x14ac:dyDescent="0.2">
      <c r="AE300" s="54">
        <f t="shared" si="58"/>
        <v>287</v>
      </c>
      <c r="AF300" s="54">
        <f>S_binomial[[#This Row],[Indeks (base 0)]]+1</f>
        <v>288</v>
      </c>
      <c r="AG300" s="99">
        <f t="shared" si="59"/>
        <v>3</v>
      </c>
      <c r="AH300" s="99">
        <f>IF(MOD(S_binomial[[#This Row],[Indeks (base 0)]],AF$7)=0,NA(),_xlfn.BINOM.DIST(S_binomial[[#This Row],[X base]],E$5,E$6,FALSE))</f>
        <v>3.4906753280000008E-2</v>
      </c>
      <c r="AI300" s="99" t="b">
        <f>S_binomial[[#This Row],[X base]]&lt;AF$5</f>
        <v>1</v>
      </c>
      <c r="AJ300" s="99" t="b">
        <f>S_binomial[[#This Row],[X base]]=AF$5</f>
        <v>0</v>
      </c>
      <c r="AK300" s="99" t="b">
        <f>S_binomial[[#This Row],[X base]]&gt;AF$5</f>
        <v>0</v>
      </c>
      <c r="AL300" s="99">
        <f>IF(S_binomial[[#This Row],[Mindre end]],S_binomial[[#This Row],[Binomialfordeling]],NA())</f>
        <v>3.4906753280000008E-2</v>
      </c>
      <c r="AM300" s="99" t="e">
        <f>IF(S_binomial[[#This Row],[Lig med]],S_binomial[[#This Row],[Binomialfordeling]],NA())</f>
        <v>#N/A</v>
      </c>
      <c r="AN300" s="99" t="e">
        <f>IF(S_binomial[[#This Row],[Større end]],S_binomial[[#This Row],[Binomialfordeling]],NA())</f>
        <v>#N/A</v>
      </c>
      <c r="AO300" s="85" t="str">
        <f>_xlfn.IFNA(IF(MOD(S_binomial[[#This Row],[Indeks (base 0)]],AF$7)=ROUNDDOWN(AF$7/2,0),S_binomial[[#This Row],[X base]],""),"")</f>
        <v/>
      </c>
      <c r="AP300" s="99" t="str">
        <f t="shared" si="60"/>
        <v xml:space="preserve"> </v>
      </c>
      <c r="AR300" s="54">
        <f t="shared" si="53"/>
        <v>287</v>
      </c>
      <c r="AS300" s="54">
        <f>S_normal27[[#This Row],[Indeks (base 0)]]+1</f>
        <v>288</v>
      </c>
      <c r="AT300" s="54">
        <f t="shared" si="57"/>
        <v>4</v>
      </c>
      <c r="AU300" s="54">
        <f>IF(MOD(S_normal27[[#This Row],[Indeks (base 0)]],AS$8)=0,NA(),_xlfn.POISSON.DIST(S_normal27[[#This Row],[X base]],$H$5,FALSE))</f>
        <v>0.16803135574154085</v>
      </c>
      <c r="AV300" s="99" t="b">
        <f>S_normal27[[#This Row],[X base]]&lt;AS$5</f>
        <v>0</v>
      </c>
      <c r="AW300" s="99" t="b">
        <f>S_normal27[[#This Row],[X base]]=AS$5</f>
        <v>0</v>
      </c>
      <c r="AX300" s="99" t="b">
        <f>S_normal27[[#This Row],[X base]]&gt;AS$5</f>
        <v>1</v>
      </c>
      <c r="AY300" s="99" t="e">
        <f>IF(S_normal27[[#This Row],[Mindre end]],S_normal27[[#This Row],[Poissonfordeling]],NA())</f>
        <v>#N/A</v>
      </c>
      <c r="AZ300" s="99" t="e">
        <f>IF(S_normal27[[#This Row],[Lig med]],S_normal27[[#This Row],[Poissonfordeling]],NA())</f>
        <v>#N/A</v>
      </c>
      <c r="BA300" s="99">
        <f>IF(S_normal27[[#This Row],[Større end]],S_normal27[[#This Row],[Poissonfordeling]],NA())</f>
        <v>0.16803135574154085</v>
      </c>
      <c r="BB300" s="85" t="str">
        <f>_xlfn.IFNA(IF(MOD(S_normal27[[#This Row],[Indeks (base 0)]],AS$8)=ROUNDDOWN(AS$8/2,0),S_normal27[[#This Row],[X base]],""),"")</f>
        <v/>
      </c>
      <c r="BC300" s="99" t="str">
        <f t="shared" si="54"/>
        <v xml:space="preserve"> </v>
      </c>
    </row>
    <row r="301" spans="31:55" x14ac:dyDescent="0.2">
      <c r="AE301" s="54">
        <f t="shared" si="58"/>
        <v>288</v>
      </c>
      <c r="AF301" s="54">
        <f>S_binomial[[#This Row],[Indeks (base 0)]]+1</f>
        <v>289</v>
      </c>
      <c r="AG301" s="99">
        <f t="shared" si="59"/>
        <v>3</v>
      </c>
      <c r="AH301" s="99">
        <f>IF(MOD(S_binomial[[#This Row],[Indeks (base 0)]],AF$7)=0,NA(),_xlfn.BINOM.DIST(S_binomial[[#This Row],[X base]],E$5,E$6,FALSE))</f>
        <v>3.4906753280000008E-2</v>
      </c>
      <c r="AI301" s="99" t="b">
        <f>S_binomial[[#This Row],[X base]]&lt;AF$5</f>
        <v>1</v>
      </c>
      <c r="AJ301" s="99" t="b">
        <f>S_binomial[[#This Row],[X base]]=AF$5</f>
        <v>0</v>
      </c>
      <c r="AK301" s="99" t="b">
        <f>S_binomial[[#This Row],[X base]]&gt;AF$5</f>
        <v>0</v>
      </c>
      <c r="AL301" s="99">
        <f>IF(S_binomial[[#This Row],[Mindre end]],S_binomial[[#This Row],[Binomialfordeling]],NA())</f>
        <v>3.4906753280000008E-2</v>
      </c>
      <c r="AM301" s="99" t="e">
        <f>IF(S_binomial[[#This Row],[Lig med]],S_binomial[[#This Row],[Binomialfordeling]],NA())</f>
        <v>#N/A</v>
      </c>
      <c r="AN301" s="99" t="e">
        <f>IF(S_binomial[[#This Row],[Større end]],S_binomial[[#This Row],[Binomialfordeling]],NA())</f>
        <v>#N/A</v>
      </c>
      <c r="AO301" s="85" t="str">
        <f>_xlfn.IFNA(IF(MOD(S_binomial[[#This Row],[Indeks (base 0)]],AF$7)=ROUNDDOWN(AF$7/2,0),S_binomial[[#This Row],[X base]],""),"")</f>
        <v/>
      </c>
      <c r="AP301" s="99" t="str">
        <f t="shared" si="60"/>
        <v xml:space="preserve"> </v>
      </c>
      <c r="AR301" s="54">
        <f t="shared" si="53"/>
        <v>288</v>
      </c>
      <c r="AS301" s="54">
        <f>S_normal27[[#This Row],[Indeks (base 0)]]+1</f>
        <v>289</v>
      </c>
      <c r="AT301" s="54">
        <f t="shared" si="57"/>
        <v>4</v>
      </c>
      <c r="AU301" s="54">
        <f>IF(MOD(S_normal27[[#This Row],[Indeks (base 0)]],AS$8)=0,NA(),_xlfn.POISSON.DIST(S_normal27[[#This Row],[X base]],$H$5,FALSE))</f>
        <v>0.16803135574154085</v>
      </c>
      <c r="AV301" s="99" t="b">
        <f>S_normal27[[#This Row],[X base]]&lt;AS$5</f>
        <v>0</v>
      </c>
      <c r="AW301" s="99" t="b">
        <f>S_normal27[[#This Row],[X base]]=AS$5</f>
        <v>0</v>
      </c>
      <c r="AX301" s="99" t="b">
        <f>S_normal27[[#This Row],[X base]]&gt;AS$5</f>
        <v>1</v>
      </c>
      <c r="AY301" s="99" t="e">
        <f>IF(S_normal27[[#This Row],[Mindre end]],S_normal27[[#This Row],[Poissonfordeling]],NA())</f>
        <v>#N/A</v>
      </c>
      <c r="AZ301" s="99" t="e">
        <f>IF(S_normal27[[#This Row],[Lig med]],S_normal27[[#This Row],[Poissonfordeling]],NA())</f>
        <v>#N/A</v>
      </c>
      <c r="BA301" s="99">
        <f>IF(S_normal27[[#This Row],[Større end]],S_normal27[[#This Row],[Poissonfordeling]],NA())</f>
        <v>0.16803135574154085</v>
      </c>
      <c r="BB301" s="85" t="str">
        <f>_xlfn.IFNA(IF(MOD(S_normal27[[#This Row],[Indeks (base 0)]],AS$8)=ROUNDDOWN(AS$8/2,0),S_normal27[[#This Row],[X base]],""),"")</f>
        <v/>
      </c>
      <c r="BC301" s="99" t="str">
        <f t="shared" si="54"/>
        <v xml:space="preserve"> </v>
      </c>
    </row>
    <row r="302" spans="31:55" x14ac:dyDescent="0.2">
      <c r="AE302" s="54">
        <f t="shared" si="58"/>
        <v>289</v>
      </c>
      <c r="AF302" s="54">
        <f>S_binomial[[#This Row],[Indeks (base 0)]]+1</f>
        <v>290</v>
      </c>
      <c r="AG302" s="99">
        <f t="shared" si="59"/>
        <v>3</v>
      </c>
      <c r="AH302" s="99">
        <f>IF(MOD(S_binomial[[#This Row],[Indeks (base 0)]],AF$7)=0,NA(),_xlfn.BINOM.DIST(S_binomial[[#This Row],[X base]],E$5,E$6,FALSE))</f>
        <v>3.4906753280000008E-2</v>
      </c>
      <c r="AI302" s="99" t="b">
        <f>S_binomial[[#This Row],[X base]]&lt;AF$5</f>
        <v>1</v>
      </c>
      <c r="AJ302" s="99" t="b">
        <f>S_binomial[[#This Row],[X base]]=AF$5</f>
        <v>0</v>
      </c>
      <c r="AK302" s="99" t="b">
        <f>S_binomial[[#This Row],[X base]]&gt;AF$5</f>
        <v>0</v>
      </c>
      <c r="AL302" s="99">
        <f>IF(S_binomial[[#This Row],[Mindre end]],S_binomial[[#This Row],[Binomialfordeling]],NA())</f>
        <v>3.4906753280000008E-2</v>
      </c>
      <c r="AM302" s="99" t="e">
        <f>IF(S_binomial[[#This Row],[Lig med]],S_binomial[[#This Row],[Binomialfordeling]],NA())</f>
        <v>#N/A</v>
      </c>
      <c r="AN302" s="99" t="e">
        <f>IF(S_binomial[[#This Row],[Større end]],S_binomial[[#This Row],[Binomialfordeling]],NA())</f>
        <v>#N/A</v>
      </c>
      <c r="AO302" s="85" t="str">
        <f>_xlfn.IFNA(IF(MOD(S_binomial[[#This Row],[Indeks (base 0)]],AF$7)=ROUNDDOWN(AF$7/2,0),S_binomial[[#This Row],[X base]],""),"")</f>
        <v/>
      </c>
      <c r="AP302" s="99" t="str">
        <f t="shared" si="60"/>
        <v xml:space="preserve"> </v>
      </c>
      <c r="AR302" s="54">
        <f t="shared" si="53"/>
        <v>289</v>
      </c>
      <c r="AS302" s="54">
        <f>S_normal27[[#This Row],[Indeks (base 0)]]+1</f>
        <v>290</v>
      </c>
      <c r="AT302" s="54">
        <f t="shared" si="57"/>
        <v>4</v>
      </c>
      <c r="AU302" s="54">
        <f>IF(MOD(S_normal27[[#This Row],[Indeks (base 0)]],AS$8)=0,NA(),_xlfn.POISSON.DIST(S_normal27[[#This Row],[X base]],$H$5,FALSE))</f>
        <v>0.16803135574154085</v>
      </c>
      <c r="AV302" s="99" t="b">
        <f>S_normal27[[#This Row],[X base]]&lt;AS$5</f>
        <v>0</v>
      </c>
      <c r="AW302" s="99" t="b">
        <f>S_normal27[[#This Row],[X base]]=AS$5</f>
        <v>0</v>
      </c>
      <c r="AX302" s="99" t="b">
        <f>S_normal27[[#This Row],[X base]]&gt;AS$5</f>
        <v>1</v>
      </c>
      <c r="AY302" s="99" t="e">
        <f>IF(S_normal27[[#This Row],[Mindre end]],S_normal27[[#This Row],[Poissonfordeling]],NA())</f>
        <v>#N/A</v>
      </c>
      <c r="AZ302" s="99" t="e">
        <f>IF(S_normal27[[#This Row],[Lig med]],S_normal27[[#This Row],[Poissonfordeling]],NA())</f>
        <v>#N/A</v>
      </c>
      <c r="BA302" s="99">
        <f>IF(S_normal27[[#This Row],[Større end]],S_normal27[[#This Row],[Poissonfordeling]],NA())</f>
        <v>0.16803135574154085</v>
      </c>
      <c r="BB302" s="85" t="str">
        <f>_xlfn.IFNA(IF(MOD(S_normal27[[#This Row],[Indeks (base 0)]],AS$8)=ROUNDDOWN(AS$8/2,0),S_normal27[[#This Row],[X base]],""),"")</f>
        <v/>
      </c>
      <c r="BC302" s="99" t="str">
        <f t="shared" si="54"/>
        <v xml:space="preserve"> </v>
      </c>
    </row>
    <row r="303" spans="31:55" x14ac:dyDescent="0.2">
      <c r="AE303" s="54">
        <f t="shared" si="58"/>
        <v>290</v>
      </c>
      <c r="AF303" s="54">
        <f>S_binomial[[#This Row],[Indeks (base 0)]]+1</f>
        <v>291</v>
      </c>
      <c r="AG303" s="99">
        <f t="shared" si="59"/>
        <v>3</v>
      </c>
      <c r="AH303" s="99">
        <f>IF(MOD(S_binomial[[#This Row],[Indeks (base 0)]],AF$7)=0,NA(),_xlfn.BINOM.DIST(S_binomial[[#This Row],[X base]],E$5,E$6,FALSE))</f>
        <v>3.4906753280000008E-2</v>
      </c>
      <c r="AI303" s="99" t="b">
        <f>S_binomial[[#This Row],[X base]]&lt;AF$5</f>
        <v>1</v>
      </c>
      <c r="AJ303" s="99" t="b">
        <f>S_binomial[[#This Row],[X base]]=AF$5</f>
        <v>0</v>
      </c>
      <c r="AK303" s="99" t="b">
        <f>S_binomial[[#This Row],[X base]]&gt;AF$5</f>
        <v>0</v>
      </c>
      <c r="AL303" s="99">
        <f>IF(S_binomial[[#This Row],[Mindre end]],S_binomial[[#This Row],[Binomialfordeling]],NA())</f>
        <v>3.4906753280000008E-2</v>
      </c>
      <c r="AM303" s="99" t="e">
        <f>IF(S_binomial[[#This Row],[Lig med]],S_binomial[[#This Row],[Binomialfordeling]],NA())</f>
        <v>#N/A</v>
      </c>
      <c r="AN303" s="99" t="e">
        <f>IF(S_binomial[[#This Row],[Større end]],S_binomial[[#This Row],[Binomialfordeling]],NA())</f>
        <v>#N/A</v>
      </c>
      <c r="AO303" s="85" t="str">
        <f>_xlfn.IFNA(IF(MOD(S_binomial[[#This Row],[Indeks (base 0)]],AF$7)=ROUNDDOWN(AF$7/2,0),S_binomial[[#This Row],[X base]],""),"")</f>
        <v/>
      </c>
      <c r="AP303" s="99" t="str">
        <f t="shared" si="60"/>
        <v xml:space="preserve"> </v>
      </c>
      <c r="AR303" s="54">
        <f t="shared" si="53"/>
        <v>290</v>
      </c>
      <c r="AS303" s="54">
        <f>S_normal27[[#This Row],[Indeks (base 0)]]+1</f>
        <v>291</v>
      </c>
      <c r="AT303" s="54">
        <f t="shared" si="57"/>
        <v>4</v>
      </c>
      <c r="AU303" s="54">
        <f>IF(MOD(S_normal27[[#This Row],[Indeks (base 0)]],AS$8)=0,NA(),_xlfn.POISSON.DIST(S_normal27[[#This Row],[X base]],$H$5,FALSE))</f>
        <v>0.16803135574154085</v>
      </c>
      <c r="AV303" s="99" t="b">
        <f>S_normal27[[#This Row],[X base]]&lt;AS$5</f>
        <v>0</v>
      </c>
      <c r="AW303" s="99" t="b">
        <f>S_normal27[[#This Row],[X base]]=AS$5</f>
        <v>0</v>
      </c>
      <c r="AX303" s="99" t="b">
        <f>S_normal27[[#This Row],[X base]]&gt;AS$5</f>
        <v>1</v>
      </c>
      <c r="AY303" s="99" t="e">
        <f>IF(S_normal27[[#This Row],[Mindre end]],S_normal27[[#This Row],[Poissonfordeling]],NA())</f>
        <v>#N/A</v>
      </c>
      <c r="AZ303" s="99" t="e">
        <f>IF(S_normal27[[#This Row],[Lig med]],S_normal27[[#This Row],[Poissonfordeling]],NA())</f>
        <v>#N/A</v>
      </c>
      <c r="BA303" s="99">
        <f>IF(S_normal27[[#This Row],[Større end]],S_normal27[[#This Row],[Poissonfordeling]],NA())</f>
        <v>0.16803135574154085</v>
      </c>
      <c r="BB303" s="85" t="str">
        <f>_xlfn.IFNA(IF(MOD(S_normal27[[#This Row],[Indeks (base 0)]],AS$8)=ROUNDDOWN(AS$8/2,0),S_normal27[[#This Row],[X base]],""),"")</f>
        <v/>
      </c>
      <c r="BC303" s="99" t="str">
        <f t="shared" si="54"/>
        <v xml:space="preserve"> </v>
      </c>
    </row>
    <row r="304" spans="31:55" x14ac:dyDescent="0.2">
      <c r="AE304" s="54">
        <f t="shared" si="58"/>
        <v>291</v>
      </c>
      <c r="AF304" s="54">
        <f>S_binomial[[#This Row],[Indeks (base 0)]]+1</f>
        <v>292</v>
      </c>
      <c r="AG304" s="99">
        <f t="shared" si="59"/>
        <v>3</v>
      </c>
      <c r="AH304" s="99">
        <f>IF(MOD(S_binomial[[#This Row],[Indeks (base 0)]],AF$7)=0,NA(),_xlfn.BINOM.DIST(S_binomial[[#This Row],[X base]],E$5,E$6,FALSE))</f>
        <v>3.4906753280000008E-2</v>
      </c>
      <c r="AI304" s="99" t="b">
        <f>S_binomial[[#This Row],[X base]]&lt;AF$5</f>
        <v>1</v>
      </c>
      <c r="AJ304" s="99" t="b">
        <f>S_binomial[[#This Row],[X base]]=AF$5</f>
        <v>0</v>
      </c>
      <c r="AK304" s="99" t="b">
        <f>S_binomial[[#This Row],[X base]]&gt;AF$5</f>
        <v>0</v>
      </c>
      <c r="AL304" s="99">
        <f>IF(S_binomial[[#This Row],[Mindre end]],S_binomial[[#This Row],[Binomialfordeling]],NA())</f>
        <v>3.4906753280000008E-2</v>
      </c>
      <c r="AM304" s="99" t="e">
        <f>IF(S_binomial[[#This Row],[Lig med]],S_binomial[[#This Row],[Binomialfordeling]],NA())</f>
        <v>#N/A</v>
      </c>
      <c r="AN304" s="99" t="e">
        <f>IF(S_binomial[[#This Row],[Større end]],S_binomial[[#This Row],[Binomialfordeling]],NA())</f>
        <v>#N/A</v>
      </c>
      <c r="AO304" s="85" t="str">
        <f>_xlfn.IFNA(IF(MOD(S_binomial[[#This Row],[Indeks (base 0)]],AF$7)=ROUNDDOWN(AF$7/2,0),S_binomial[[#This Row],[X base]],""),"")</f>
        <v/>
      </c>
      <c r="AP304" s="99" t="str">
        <f t="shared" si="60"/>
        <v xml:space="preserve"> </v>
      </c>
      <c r="AR304" s="54">
        <f t="shared" si="53"/>
        <v>291</v>
      </c>
      <c r="AS304" s="54">
        <f>S_normal27[[#This Row],[Indeks (base 0)]]+1</f>
        <v>292</v>
      </c>
      <c r="AT304" s="54">
        <f t="shared" si="57"/>
        <v>4</v>
      </c>
      <c r="AU304" s="54">
        <f>IF(MOD(S_normal27[[#This Row],[Indeks (base 0)]],AS$8)=0,NA(),_xlfn.POISSON.DIST(S_normal27[[#This Row],[X base]],$H$5,FALSE))</f>
        <v>0.16803135574154085</v>
      </c>
      <c r="AV304" s="99" t="b">
        <f>S_normal27[[#This Row],[X base]]&lt;AS$5</f>
        <v>0</v>
      </c>
      <c r="AW304" s="99" t="b">
        <f>S_normal27[[#This Row],[X base]]=AS$5</f>
        <v>0</v>
      </c>
      <c r="AX304" s="99" t="b">
        <f>S_normal27[[#This Row],[X base]]&gt;AS$5</f>
        <v>1</v>
      </c>
      <c r="AY304" s="99" t="e">
        <f>IF(S_normal27[[#This Row],[Mindre end]],S_normal27[[#This Row],[Poissonfordeling]],NA())</f>
        <v>#N/A</v>
      </c>
      <c r="AZ304" s="99" t="e">
        <f>IF(S_normal27[[#This Row],[Lig med]],S_normal27[[#This Row],[Poissonfordeling]],NA())</f>
        <v>#N/A</v>
      </c>
      <c r="BA304" s="99">
        <f>IF(S_normal27[[#This Row],[Større end]],S_normal27[[#This Row],[Poissonfordeling]],NA())</f>
        <v>0.16803135574154085</v>
      </c>
      <c r="BB304" s="85" t="str">
        <f>_xlfn.IFNA(IF(MOD(S_normal27[[#This Row],[Indeks (base 0)]],AS$8)=ROUNDDOWN(AS$8/2,0),S_normal27[[#This Row],[X base]],""),"")</f>
        <v/>
      </c>
      <c r="BC304" s="99" t="str">
        <f t="shared" si="54"/>
        <v xml:space="preserve"> </v>
      </c>
    </row>
    <row r="305" spans="31:55" x14ac:dyDescent="0.2">
      <c r="AE305" s="54">
        <f t="shared" si="58"/>
        <v>292</v>
      </c>
      <c r="AF305" s="54">
        <f>S_binomial[[#This Row],[Indeks (base 0)]]+1</f>
        <v>293</v>
      </c>
      <c r="AG305" s="99">
        <f t="shared" si="59"/>
        <v>3</v>
      </c>
      <c r="AH305" s="99">
        <f>IF(MOD(S_binomial[[#This Row],[Indeks (base 0)]],AF$7)=0,NA(),_xlfn.BINOM.DIST(S_binomial[[#This Row],[X base]],E$5,E$6,FALSE))</f>
        <v>3.4906753280000008E-2</v>
      </c>
      <c r="AI305" s="99" t="b">
        <f>S_binomial[[#This Row],[X base]]&lt;AF$5</f>
        <v>1</v>
      </c>
      <c r="AJ305" s="99" t="b">
        <f>S_binomial[[#This Row],[X base]]=AF$5</f>
        <v>0</v>
      </c>
      <c r="AK305" s="99" t="b">
        <f>S_binomial[[#This Row],[X base]]&gt;AF$5</f>
        <v>0</v>
      </c>
      <c r="AL305" s="99">
        <f>IF(S_binomial[[#This Row],[Mindre end]],S_binomial[[#This Row],[Binomialfordeling]],NA())</f>
        <v>3.4906753280000008E-2</v>
      </c>
      <c r="AM305" s="99" t="e">
        <f>IF(S_binomial[[#This Row],[Lig med]],S_binomial[[#This Row],[Binomialfordeling]],NA())</f>
        <v>#N/A</v>
      </c>
      <c r="AN305" s="99" t="e">
        <f>IF(S_binomial[[#This Row],[Større end]],S_binomial[[#This Row],[Binomialfordeling]],NA())</f>
        <v>#N/A</v>
      </c>
      <c r="AO305" s="85" t="str">
        <f>_xlfn.IFNA(IF(MOD(S_binomial[[#This Row],[Indeks (base 0)]],AF$7)=ROUNDDOWN(AF$7/2,0),S_binomial[[#This Row],[X base]],""),"")</f>
        <v/>
      </c>
      <c r="AP305" s="99" t="str">
        <f t="shared" si="60"/>
        <v xml:space="preserve"> </v>
      </c>
      <c r="AR305" s="54">
        <f t="shared" si="53"/>
        <v>292</v>
      </c>
      <c r="AS305" s="54">
        <f>S_normal27[[#This Row],[Indeks (base 0)]]+1</f>
        <v>293</v>
      </c>
      <c r="AT305" s="54">
        <f t="shared" si="57"/>
        <v>4</v>
      </c>
      <c r="AU305" s="54">
        <f>IF(MOD(S_normal27[[#This Row],[Indeks (base 0)]],AS$8)=0,NA(),_xlfn.POISSON.DIST(S_normal27[[#This Row],[X base]],$H$5,FALSE))</f>
        <v>0.16803135574154085</v>
      </c>
      <c r="AV305" s="99" t="b">
        <f>S_normal27[[#This Row],[X base]]&lt;AS$5</f>
        <v>0</v>
      </c>
      <c r="AW305" s="99" t="b">
        <f>S_normal27[[#This Row],[X base]]=AS$5</f>
        <v>0</v>
      </c>
      <c r="AX305" s="99" t="b">
        <f>S_normal27[[#This Row],[X base]]&gt;AS$5</f>
        <v>1</v>
      </c>
      <c r="AY305" s="99" t="e">
        <f>IF(S_normal27[[#This Row],[Mindre end]],S_normal27[[#This Row],[Poissonfordeling]],NA())</f>
        <v>#N/A</v>
      </c>
      <c r="AZ305" s="99" t="e">
        <f>IF(S_normal27[[#This Row],[Lig med]],S_normal27[[#This Row],[Poissonfordeling]],NA())</f>
        <v>#N/A</v>
      </c>
      <c r="BA305" s="99">
        <f>IF(S_normal27[[#This Row],[Større end]],S_normal27[[#This Row],[Poissonfordeling]],NA())</f>
        <v>0.16803135574154085</v>
      </c>
      <c r="BB305" s="85">
        <f>_xlfn.IFNA(IF(MOD(S_normal27[[#This Row],[Indeks (base 0)]],AS$8)=ROUNDDOWN(AS$8/2,0),S_normal27[[#This Row],[X base]],""),"")</f>
        <v>4</v>
      </c>
      <c r="BC305" s="99" t="str">
        <f t="shared" si="54"/>
        <v xml:space="preserve"> </v>
      </c>
    </row>
    <row r="306" spans="31:55" x14ac:dyDescent="0.2">
      <c r="AE306" s="54">
        <f t="shared" si="58"/>
        <v>293</v>
      </c>
      <c r="AF306" s="54">
        <f>S_binomial[[#This Row],[Indeks (base 0)]]+1</f>
        <v>294</v>
      </c>
      <c r="AG306" s="99">
        <f t="shared" si="59"/>
        <v>3</v>
      </c>
      <c r="AH306" s="99">
        <f>IF(MOD(S_binomial[[#This Row],[Indeks (base 0)]],AF$7)=0,NA(),_xlfn.BINOM.DIST(S_binomial[[#This Row],[X base]],E$5,E$6,FALSE))</f>
        <v>3.4906753280000008E-2</v>
      </c>
      <c r="AI306" s="99" t="b">
        <f>S_binomial[[#This Row],[X base]]&lt;AF$5</f>
        <v>1</v>
      </c>
      <c r="AJ306" s="99" t="b">
        <f>S_binomial[[#This Row],[X base]]=AF$5</f>
        <v>0</v>
      </c>
      <c r="AK306" s="99" t="b">
        <f>S_binomial[[#This Row],[X base]]&gt;AF$5</f>
        <v>0</v>
      </c>
      <c r="AL306" s="99">
        <f>IF(S_binomial[[#This Row],[Mindre end]],S_binomial[[#This Row],[Binomialfordeling]],NA())</f>
        <v>3.4906753280000008E-2</v>
      </c>
      <c r="AM306" s="99" t="e">
        <f>IF(S_binomial[[#This Row],[Lig med]],S_binomial[[#This Row],[Binomialfordeling]],NA())</f>
        <v>#N/A</v>
      </c>
      <c r="AN306" s="99" t="e">
        <f>IF(S_binomial[[#This Row],[Større end]],S_binomial[[#This Row],[Binomialfordeling]],NA())</f>
        <v>#N/A</v>
      </c>
      <c r="AO306" s="85" t="str">
        <f>_xlfn.IFNA(IF(MOD(S_binomial[[#This Row],[Indeks (base 0)]],AF$7)=ROUNDDOWN(AF$7/2,0),S_binomial[[#This Row],[X base]],""),"")</f>
        <v/>
      </c>
      <c r="AP306" s="99" t="str">
        <f t="shared" si="60"/>
        <v xml:space="preserve"> </v>
      </c>
      <c r="AR306" s="54">
        <f t="shared" si="53"/>
        <v>293</v>
      </c>
      <c r="AS306" s="54">
        <f>S_normal27[[#This Row],[Indeks (base 0)]]+1</f>
        <v>294</v>
      </c>
      <c r="AT306" s="54">
        <f t="shared" si="57"/>
        <v>4</v>
      </c>
      <c r="AU306" s="54">
        <f>IF(MOD(S_normal27[[#This Row],[Indeks (base 0)]],AS$8)=0,NA(),_xlfn.POISSON.DIST(S_normal27[[#This Row],[X base]],$H$5,FALSE))</f>
        <v>0.16803135574154085</v>
      </c>
      <c r="AV306" s="99" t="b">
        <f>S_normal27[[#This Row],[X base]]&lt;AS$5</f>
        <v>0</v>
      </c>
      <c r="AW306" s="99" t="b">
        <f>S_normal27[[#This Row],[X base]]=AS$5</f>
        <v>0</v>
      </c>
      <c r="AX306" s="99" t="b">
        <f>S_normal27[[#This Row],[X base]]&gt;AS$5</f>
        <v>1</v>
      </c>
      <c r="AY306" s="99" t="e">
        <f>IF(S_normal27[[#This Row],[Mindre end]],S_normal27[[#This Row],[Poissonfordeling]],NA())</f>
        <v>#N/A</v>
      </c>
      <c r="AZ306" s="99" t="e">
        <f>IF(S_normal27[[#This Row],[Lig med]],S_normal27[[#This Row],[Poissonfordeling]],NA())</f>
        <v>#N/A</v>
      </c>
      <c r="BA306" s="99">
        <f>IF(S_normal27[[#This Row],[Større end]],S_normal27[[#This Row],[Poissonfordeling]],NA())</f>
        <v>0.16803135574154085</v>
      </c>
      <c r="BB306" s="85" t="str">
        <f>_xlfn.IFNA(IF(MOD(S_normal27[[#This Row],[Indeks (base 0)]],AS$8)=ROUNDDOWN(AS$8/2,0),S_normal27[[#This Row],[X base]],""),"")</f>
        <v/>
      </c>
      <c r="BC306" s="99" t="str">
        <f t="shared" si="54"/>
        <v xml:space="preserve"> </v>
      </c>
    </row>
    <row r="307" spans="31:55" x14ac:dyDescent="0.2">
      <c r="AE307" s="54">
        <f t="shared" si="58"/>
        <v>294</v>
      </c>
      <c r="AF307" s="54">
        <f>S_binomial[[#This Row],[Indeks (base 0)]]+1</f>
        <v>295</v>
      </c>
      <c r="AG307" s="99">
        <f t="shared" si="59"/>
        <v>3</v>
      </c>
      <c r="AH307" s="99">
        <f>IF(MOD(S_binomial[[#This Row],[Indeks (base 0)]],AF$7)=0,NA(),_xlfn.BINOM.DIST(S_binomial[[#This Row],[X base]],E$5,E$6,FALSE))</f>
        <v>3.4906753280000008E-2</v>
      </c>
      <c r="AI307" s="99" t="b">
        <f>S_binomial[[#This Row],[X base]]&lt;AF$5</f>
        <v>1</v>
      </c>
      <c r="AJ307" s="99" t="b">
        <f>S_binomial[[#This Row],[X base]]=AF$5</f>
        <v>0</v>
      </c>
      <c r="AK307" s="99" t="b">
        <f>S_binomial[[#This Row],[X base]]&gt;AF$5</f>
        <v>0</v>
      </c>
      <c r="AL307" s="99">
        <f>IF(S_binomial[[#This Row],[Mindre end]],S_binomial[[#This Row],[Binomialfordeling]],NA())</f>
        <v>3.4906753280000008E-2</v>
      </c>
      <c r="AM307" s="99" t="e">
        <f>IF(S_binomial[[#This Row],[Lig med]],S_binomial[[#This Row],[Binomialfordeling]],NA())</f>
        <v>#N/A</v>
      </c>
      <c r="AN307" s="99" t="e">
        <f>IF(S_binomial[[#This Row],[Større end]],S_binomial[[#This Row],[Binomialfordeling]],NA())</f>
        <v>#N/A</v>
      </c>
      <c r="AO307" s="85" t="str">
        <f>_xlfn.IFNA(IF(MOD(S_binomial[[#This Row],[Indeks (base 0)]],AF$7)=ROUNDDOWN(AF$7/2,0),S_binomial[[#This Row],[X base]],""),"")</f>
        <v/>
      </c>
      <c r="AP307" s="99" t="str">
        <f t="shared" si="60"/>
        <v xml:space="preserve"> </v>
      </c>
      <c r="AR307" s="54">
        <f t="shared" si="53"/>
        <v>294</v>
      </c>
      <c r="AS307" s="54">
        <f>S_normal27[[#This Row],[Indeks (base 0)]]+1</f>
        <v>295</v>
      </c>
      <c r="AT307" s="54">
        <f t="shared" si="57"/>
        <v>4</v>
      </c>
      <c r="AU307" s="54">
        <f>IF(MOD(S_normal27[[#This Row],[Indeks (base 0)]],AS$8)=0,NA(),_xlfn.POISSON.DIST(S_normal27[[#This Row],[X base]],$H$5,FALSE))</f>
        <v>0.16803135574154085</v>
      </c>
      <c r="AV307" s="99" t="b">
        <f>S_normal27[[#This Row],[X base]]&lt;AS$5</f>
        <v>0</v>
      </c>
      <c r="AW307" s="99" t="b">
        <f>S_normal27[[#This Row],[X base]]=AS$5</f>
        <v>0</v>
      </c>
      <c r="AX307" s="99" t="b">
        <f>S_normal27[[#This Row],[X base]]&gt;AS$5</f>
        <v>1</v>
      </c>
      <c r="AY307" s="99" t="e">
        <f>IF(S_normal27[[#This Row],[Mindre end]],S_normal27[[#This Row],[Poissonfordeling]],NA())</f>
        <v>#N/A</v>
      </c>
      <c r="AZ307" s="99" t="e">
        <f>IF(S_normal27[[#This Row],[Lig med]],S_normal27[[#This Row],[Poissonfordeling]],NA())</f>
        <v>#N/A</v>
      </c>
      <c r="BA307" s="99">
        <f>IF(S_normal27[[#This Row],[Større end]],S_normal27[[#This Row],[Poissonfordeling]],NA())</f>
        <v>0.16803135574154085</v>
      </c>
      <c r="BB307" s="85" t="str">
        <f>_xlfn.IFNA(IF(MOD(S_normal27[[#This Row],[Indeks (base 0)]],AS$8)=ROUNDDOWN(AS$8/2,0),S_normal27[[#This Row],[X base]],""),"")</f>
        <v/>
      </c>
      <c r="BC307" s="99" t="str">
        <f t="shared" si="54"/>
        <v xml:space="preserve"> </v>
      </c>
    </row>
    <row r="308" spans="31:55" x14ac:dyDescent="0.2">
      <c r="AE308" s="54">
        <f t="shared" si="58"/>
        <v>295</v>
      </c>
      <c r="AF308" s="54">
        <f>S_binomial[[#This Row],[Indeks (base 0)]]+1</f>
        <v>296</v>
      </c>
      <c r="AG308" s="99">
        <f t="shared" si="59"/>
        <v>3</v>
      </c>
      <c r="AH308" s="99">
        <f>IF(MOD(S_binomial[[#This Row],[Indeks (base 0)]],AF$7)=0,NA(),_xlfn.BINOM.DIST(S_binomial[[#This Row],[X base]],E$5,E$6,FALSE))</f>
        <v>3.4906753280000008E-2</v>
      </c>
      <c r="AI308" s="99" t="b">
        <f>S_binomial[[#This Row],[X base]]&lt;AF$5</f>
        <v>1</v>
      </c>
      <c r="AJ308" s="99" t="b">
        <f>S_binomial[[#This Row],[X base]]=AF$5</f>
        <v>0</v>
      </c>
      <c r="AK308" s="99" t="b">
        <f>S_binomial[[#This Row],[X base]]&gt;AF$5</f>
        <v>0</v>
      </c>
      <c r="AL308" s="99">
        <f>IF(S_binomial[[#This Row],[Mindre end]],S_binomial[[#This Row],[Binomialfordeling]],NA())</f>
        <v>3.4906753280000008E-2</v>
      </c>
      <c r="AM308" s="99" t="e">
        <f>IF(S_binomial[[#This Row],[Lig med]],S_binomial[[#This Row],[Binomialfordeling]],NA())</f>
        <v>#N/A</v>
      </c>
      <c r="AN308" s="99" t="e">
        <f>IF(S_binomial[[#This Row],[Større end]],S_binomial[[#This Row],[Binomialfordeling]],NA())</f>
        <v>#N/A</v>
      </c>
      <c r="AO308" s="85" t="str">
        <f>_xlfn.IFNA(IF(MOD(S_binomial[[#This Row],[Indeks (base 0)]],AF$7)=ROUNDDOWN(AF$7/2,0),S_binomial[[#This Row],[X base]],""),"")</f>
        <v/>
      </c>
      <c r="AP308" s="99" t="str">
        <f t="shared" si="60"/>
        <v xml:space="preserve"> </v>
      </c>
      <c r="AR308" s="54">
        <f t="shared" si="53"/>
        <v>295</v>
      </c>
      <c r="AS308" s="54">
        <f>S_normal27[[#This Row],[Indeks (base 0)]]+1</f>
        <v>296</v>
      </c>
      <c r="AT308" s="54">
        <f t="shared" si="57"/>
        <v>4</v>
      </c>
      <c r="AU308" s="54">
        <f>IF(MOD(S_normal27[[#This Row],[Indeks (base 0)]],AS$8)=0,NA(),_xlfn.POISSON.DIST(S_normal27[[#This Row],[X base]],$H$5,FALSE))</f>
        <v>0.16803135574154085</v>
      </c>
      <c r="AV308" s="99" t="b">
        <f>S_normal27[[#This Row],[X base]]&lt;AS$5</f>
        <v>0</v>
      </c>
      <c r="AW308" s="99" t="b">
        <f>S_normal27[[#This Row],[X base]]=AS$5</f>
        <v>0</v>
      </c>
      <c r="AX308" s="99" t="b">
        <f>S_normal27[[#This Row],[X base]]&gt;AS$5</f>
        <v>1</v>
      </c>
      <c r="AY308" s="99" t="e">
        <f>IF(S_normal27[[#This Row],[Mindre end]],S_normal27[[#This Row],[Poissonfordeling]],NA())</f>
        <v>#N/A</v>
      </c>
      <c r="AZ308" s="99" t="e">
        <f>IF(S_normal27[[#This Row],[Lig med]],S_normal27[[#This Row],[Poissonfordeling]],NA())</f>
        <v>#N/A</v>
      </c>
      <c r="BA308" s="99">
        <f>IF(S_normal27[[#This Row],[Større end]],S_normal27[[#This Row],[Poissonfordeling]],NA())</f>
        <v>0.16803135574154085</v>
      </c>
      <c r="BB308" s="85" t="str">
        <f>_xlfn.IFNA(IF(MOD(S_normal27[[#This Row],[Indeks (base 0)]],AS$8)=ROUNDDOWN(AS$8/2,0),S_normal27[[#This Row],[X base]],""),"")</f>
        <v/>
      </c>
      <c r="BC308" s="99" t="str">
        <f t="shared" si="54"/>
        <v xml:space="preserve"> </v>
      </c>
    </row>
    <row r="309" spans="31:55" x14ac:dyDescent="0.2">
      <c r="AE309" s="54">
        <f t="shared" si="58"/>
        <v>296</v>
      </c>
      <c r="AF309" s="54">
        <f>S_binomial[[#This Row],[Indeks (base 0)]]+1</f>
        <v>297</v>
      </c>
      <c r="AG309" s="99">
        <f t="shared" si="59"/>
        <v>3</v>
      </c>
      <c r="AH309" s="99">
        <f>IF(MOD(S_binomial[[#This Row],[Indeks (base 0)]],AF$7)=0,NA(),_xlfn.BINOM.DIST(S_binomial[[#This Row],[X base]],E$5,E$6,FALSE))</f>
        <v>3.4906753280000008E-2</v>
      </c>
      <c r="AI309" s="99" t="b">
        <f>S_binomial[[#This Row],[X base]]&lt;AF$5</f>
        <v>1</v>
      </c>
      <c r="AJ309" s="99" t="b">
        <f>S_binomial[[#This Row],[X base]]=AF$5</f>
        <v>0</v>
      </c>
      <c r="AK309" s="99" t="b">
        <f>S_binomial[[#This Row],[X base]]&gt;AF$5</f>
        <v>0</v>
      </c>
      <c r="AL309" s="99">
        <f>IF(S_binomial[[#This Row],[Mindre end]],S_binomial[[#This Row],[Binomialfordeling]],NA())</f>
        <v>3.4906753280000008E-2</v>
      </c>
      <c r="AM309" s="99" t="e">
        <f>IF(S_binomial[[#This Row],[Lig med]],S_binomial[[#This Row],[Binomialfordeling]],NA())</f>
        <v>#N/A</v>
      </c>
      <c r="AN309" s="99" t="e">
        <f>IF(S_binomial[[#This Row],[Større end]],S_binomial[[#This Row],[Binomialfordeling]],NA())</f>
        <v>#N/A</v>
      </c>
      <c r="AO309" s="85" t="str">
        <f>_xlfn.IFNA(IF(MOD(S_binomial[[#This Row],[Indeks (base 0)]],AF$7)=ROUNDDOWN(AF$7/2,0),S_binomial[[#This Row],[X base]],""),"")</f>
        <v/>
      </c>
      <c r="AP309" s="99" t="str">
        <f t="shared" si="60"/>
        <v xml:space="preserve"> </v>
      </c>
      <c r="AR309" s="54">
        <f t="shared" si="53"/>
        <v>296</v>
      </c>
      <c r="AS309" s="54">
        <f>S_normal27[[#This Row],[Indeks (base 0)]]+1</f>
        <v>297</v>
      </c>
      <c r="AT309" s="54">
        <f t="shared" si="57"/>
        <v>4</v>
      </c>
      <c r="AU309" s="54">
        <f>IF(MOD(S_normal27[[#This Row],[Indeks (base 0)]],AS$8)=0,NA(),_xlfn.POISSON.DIST(S_normal27[[#This Row],[X base]],$H$5,FALSE))</f>
        <v>0.16803135574154085</v>
      </c>
      <c r="AV309" s="99" t="b">
        <f>S_normal27[[#This Row],[X base]]&lt;AS$5</f>
        <v>0</v>
      </c>
      <c r="AW309" s="99" t="b">
        <f>S_normal27[[#This Row],[X base]]=AS$5</f>
        <v>0</v>
      </c>
      <c r="AX309" s="99" t="b">
        <f>S_normal27[[#This Row],[X base]]&gt;AS$5</f>
        <v>1</v>
      </c>
      <c r="AY309" s="99" t="e">
        <f>IF(S_normal27[[#This Row],[Mindre end]],S_normal27[[#This Row],[Poissonfordeling]],NA())</f>
        <v>#N/A</v>
      </c>
      <c r="AZ309" s="99" t="e">
        <f>IF(S_normal27[[#This Row],[Lig med]],S_normal27[[#This Row],[Poissonfordeling]],NA())</f>
        <v>#N/A</v>
      </c>
      <c r="BA309" s="99">
        <f>IF(S_normal27[[#This Row],[Større end]],S_normal27[[#This Row],[Poissonfordeling]],NA())</f>
        <v>0.16803135574154085</v>
      </c>
      <c r="BB309" s="85" t="str">
        <f>_xlfn.IFNA(IF(MOD(S_normal27[[#This Row],[Indeks (base 0)]],AS$8)=ROUNDDOWN(AS$8/2,0),S_normal27[[#This Row],[X base]],""),"")</f>
        <v/>
      </c>
      <c r="BC309" s="99" t="str">
        <f t="shared" si="54"/>
        <v xml:space="preserve"> </v>
      </c>
    </row>
    <row r="310" spans="31:55" x14ac:dyDescent="0.2">
      <c r="AE310" s="54">
        <f t="shared" si="58"/>
        <v>297</v>
      </c>
      <c r="AF310" s="54">
        <f>S_binomial[[#This Row],[Indeks (base 0)]]+1</f>
        <v>298</v>
      </c>
      <c r="AG310" s="99">
        <f t="shared" si="59"/>
        <v>3</v>
      </c>
      <c r="AH310" s="99">
        <f>IF(MOD(S_binomial[[#This Row],[Indeks (base 0)]],AF$7)=0,NA(),_xlfn.BINOM.DIST(S_binomial[[#This Row],[X base]],E$5,E$6,FALSE))</f>
        <v>3.4906753280000008E-2</v>
      </c>
      <c r="AI310" s="99" t="b">
        <f>S_binomial[[#This Row],[X base]]&lt;AF$5</f>
        <v>1</v>
      </c>
      <c r="AJ310" s="99" t="b">
        <f>S_binomial[[#This Row],[X base]]=AF$5</f>
        <v>0</v>
      </c>
      <c r="AK310" s="99" t="b">
        <f>S_binomial[[#This Row],[X base]]&gt;AF$5</f>
        <v>0</v>
      </c>
      <c r="AL310" s="99">
        <f>IF(S_binomial[[#This Row],[Mindre end]],S_binomial[[#This Row],[Binomialfordeling]],NA())</f>
        <v>3.4906753280000008E-2</v>
      </c>
      <c r="AM310" s="99" t="e">
        <f>IF(S_binomial[[#This Row],[Lig med]],S_binomial[[#This Row],[Binomialfordeling]],NA())</f>
        <v>#N/A</v>
      </c>
      <c r="AN310" s="99" t="e">
        <f>IF(S_binomial[[#This Row],[Større end]],S_binomial[[#This Row],[Binomialfordeling]],NA())</f>
        <v>#N/A</v>
      </c>
      <c r="AO310" s="85" t="str">
        <f>_xlfn.IFNA(IF(MOD(S_binomial[[#This Row],[Indeks (base 0)]],AF$7)=ROUNDDOWN(AF$7/2,0),S_binomial[[#This Row],[X base]],""),"")</f>
        <v/>
      </c>
      <c r="AP310" s="99" t="str">
        <f t="shared" si="60"/>
        <v xml:space="preserve"> </v>
      </c>
      <c r="AR310" s="54">
        <f t="shared" si="53"/>
        <v>297</v>
      </c>
      <c r="AS310" s="54">
        <f>S_normal27[[#This Row],[Indeks (base 0)]]+1</f>
        <v>298</v>
      </c>
      <c r="AT310" s="54">
        <f t="shared" si="57"/>
        <v>4</v>
      </c>
      <c r="AU310" s="54">
        <f>IF(MOD(S_normal27[[#This Row],[Indeks (base 0)]],AS$8)=0,NA(),_xlfn.POISSON.DIST(S_normal27[[#This Row],[X base]],$H$5,FALSE))</f>
        <v>0.16803135574154085</v>
      </c>
      <c r="AV310" s="99" t="b">
        <f>S_normal27[[#This Row],[X base]]&lt;AS$5</f>
        <v>0</v>
      </c>
      <c r="AW310" s="99" t="b">
        <f>S_normal27[[#This Row],[X base]]=AS$5</f>
        <v>0</v>
      </c>
      <c r="AX310" s="99" t="b">
        <f>S_normal27[[#This Row],[X base]]&gt;AS$5</f>
        <v>1</v>
      </c>
      <c r="AY310" s="99" t="e">
        <f>IF(S_normal27[[#This Row],[Mindre end]],S_normal27[[#This Row],[Poissonfordeling]],NA())</f>
        <v>#N/A</v>
      </c>
      <c r="AZ310" s="99" t="e">
        <f>IF(S_normal27[[#This Row],[Lig med]],S_normal27[[#This Row],[Poissonfordeling]],NA())</f>
        <v>#N/A</v>
      </c>
      <c r="BA310" s="99">
        <f>IF(S_normal27[[#This Row],[Større end]],S_normal27[[#This Row],[Poissonfordeling]],NA())</f>
        <v>0.16803135574154085</v>
      </c>
      <c r="BB310" s="85" t="str">
        <f>_xlfn.IFNA(IF(MOD(S_normal27[[#This Row],[Indeks (base 0)]],AS$8)=ROUNDDOWN(AS$8/2,0),S_normal27[[#This Row],[X base]],""),"")</f>
        <v/>
      </c>
      <c r="BC310" s="99" t="str">
        <f t="shared" si="54"/>
        <v xml:space="preserve"> </v>
      </c>
    </row>
    <row r="311" spans="31:55" x14ac:dyDescent="0.2">
      <c r="AE311" s="54">
        <f t="shared" si="58"/>
        <v>298</v>
      </c>
      <c r="AF311" s="54">
        <f>S_binomial[[#This Row],[Indeks (base 0)]]+1</f>
        <v>299</v>
      </c>
      <c r="AG311" s="99">
        <f t="shared" si="59"/>
        <v>3</v>
      </c>
      <c r="AH311" s="99">
        <f>IF(MOD(S_binomial[[#This Row],[Indeks (base 0)]],AF$7)=0,NA(),_xlfn.BINOM.DIST(S_binomial[[#This Row],[X base]],E$5,E$6,FALSE))</f>
        <v>3.4906753280000008E-2</v>
      </c>
      <c r="AI311" s="99" t="b">
        <f>S_binomial[[#This Row],[X base]]&lt;AF$5</f>
        <v>1</v>
      </c>
      <c r="AJ311" s="99" t="b">
        <f>S_binomial[[#This Row],[X base]]=AF$5</f>
        <v>0</v>
      </c>
      <c r="AK311" s="99" t="b">
        <f>S_binomial[[#This Row],[X base]]&gt;AF$5</f>
        <v>0</v>
      </c>
      <c r="AL311" s="99">
        <f>IF(S_binomial[[#This Row],[Mindre end]],S_binomial[[#This Row],[Binomialfordeling]],NA())</f>
        <v>3.4906753280000008E-2</v>
      </c>
      <c r="AM311" s="99" t="e">
        <f>IF(S_binomial[[#This Row],[Lig med]],S_binomial[[#This Row],[Binomialfordeling]],NA())</f>
        <v>#N/A</v>
      </c>
      <c r="AN311" s="99" t="e">
        <f>IF(S_binomial[[#This Row],[Større end]],S_binomial[[#This Row],[Binomialfordeling]],NA())</f>
        <v>#N/A</v>
      </c>
      <c r="AO311" s="85" t="str">
        <f>_xlfn.IFNA(IF(MOD(S_binomial[[#This Row],[Indeks (base 0)]],AF$7)=ROUNDDOWN(AF$7/2,0),S_binomial[[#This Row],[X base]],""),"")</f>
        <v/>
      </c>
      <c r="AP311" s="99" t="str">
        <f t="shared" si="60"/>
        <v xml:space="preserve"> </v>
      </c>
      <c r="AR311" s="54">
        <f t="shared" si="53"/>
        <v>298</v>
      </c>
      <c r="AS311" s="54">
        <f>S_normal27[[#This Row],[Indeks (base 0)]]+1</f>
        <v>299</v>
      </c>
      <c r="AT311" s="54">
        <f t="shared" si="57"/>
        <v>4</v>
      </c>
      <c r="AU311" s="54">
        <f>IF(MOD(S_normal27[[#This Row],[Indeks (base 0)]],AS$8)=0,NA(),_xlfn.POISSON.DIST(S_normal27[[#This Row],[X base]],$H$5,FALSE))</f>
        <v>0.16803135574154085</v>
      </c>
      <c r="AV311" s="99" t="b">
        <f>S_normal27[[#This Row],[X base]]&lt;AS$5</f>
        <v>0</v>
      </c>
      <c r="AW311" s="99" t="b">
        <f>S_normal27[[#This Row],[X base]]=AS$5</f>
        <v>0</v>
      </c>
      <c r="AX311" s="99" t="b">
        <f>S_normal27[[#This Row],[X base]]&gt;AS$5</f>
        <v>1</v>
      </c>
      <c r="AY311" s="99" t="e">
        <f>IF(S_normal27[[#This Row],[Mindre end]],S_normal27[[#This Row],[Poissonfordeling]],NA())</f>
        <v>#N/A</v>
      </c>
      <c r="AZ311" s="99" t="e">
        <f>IF(S_normal27[[#This Row],[Lig med]],S_normal27[[#This Row],[Poissonfordeling]],NA())</f>
        <v>#N/A</v>
      </c>
      <c r="BA311" s="99">
        <f>IF(S_normal27[[#This Row],[Større end]],S_normal27[[#This Row],[Poissonfordeling]],NA())</f>
        <v>0.16803135574154085</v>
      </c>
      <c r="BB311" s="85" t="str">
        <f>_xlfn.IFNA(IF(MOD(S_normal27[[#This Row],[Indeks (base 0)]],AS$8)=ROUNDDOWN(AS$8/2,0),S_normal27[[#This Row],[X base]],""),"")</f>
        <v/>
      </c>
      <c r="BC311" s="99" t="str">
        <f t="shared" si="54"/>
        <v xml:space="preserve"> </v>
      </c>
    </row>
    <row r="312" spans="31:55" x14ac:dyDescent="0.2">
      <c r="AE312" s="54">
        <f t="shared" si="58"/>
        <v>299</v>
      </c>
      <c r="AF312" s="54">
        <f>S_binomial[[#This Row],[Indeks (base 0)]]+1</f>
        <v>300</v>
      </c>
      <c r="AG312" s="99">
        <f t="shared" si="59"/>
        <v>3</v>
      </c>
      <c r="AH312" s="99">
        <f>IF(MOD(S_binomial[[#This Row],[Indeks (base 0)]],AF$7)=0,NA(),_xlfn.BINOM.DIST(S_binomial[[#This Row],[X base]],E$5,E$6,FALSE))</f>
        <v>3.4906753280000008E-2</v>
      </c>
      <c r="AI312" s="99" t="b">
        <f>S_binomial[[#This Row],[X base]]&lt;AF$5</f>
        <v>1</v>
      </c>
      <c r="AJ312" s="99" t="b">
        <f>S_binomial[[#This Row],[X base]]=AF$5</f>
        <v>0</v>
      </c>
      <c r="AK312" s="99" t="b">
        <f>S_binomial[[#This Row],[X base]]&gt;AF$5</f>
        <v>0</v>
      </c>
      <c r="AL312" s="99">
        <f>IF(S_binomial[[#This Row],[Mindre end]],S_binomial[[#This Row],[Binomialfordeling]],NA())</f>
        <v>3.4906753280000008E-2</v>
      </c>
      <c r="AM312" s="99" t="e">
        <f>IF(S_binomial[[#This Row],[Lig med]],S_binomial[[#This Row],[Binomialfordeling]],NA())</f>
        <v>#N/A</v>
      </c>
      <c r="AN312" s="99" t="e">
        <f>IF(S_binomial[[#This Row],[Større end]],S_binomial[[#This Row],[Binomialfordeling]],NA())</f>
        <v>#N/A</v>
      </c>
      <c r="AO312" s="85" t="str">
        <f>_xlfn.IFNA(IF(MOD(S_binomial[[#This Row],[Indeks (base 0)]],AF$7)=ROUNDDOWN(AF$7/2,0),S_binomial[[#This Row],[X base]],""),"")</f>
        <v/>
      </c>
      <c r="AP312" s="99" t="str">
        <f t="shared" si="60"/>
        <v xml:space="preserve"> </v>
      </c>
      <c r="AR312" s="54">
        <f t="shared" si="53"/>
        <v>299</v>
      </c>
      <c r="AS312" s="54">
        <f>S_normal27[[#This Row],[Indeks (base 0)]]+1</f>
        <v>300</v>
      </c>
      <c r="AT312" s="54">
        <f t="shared" si="57"/>
        <v>4</v>
      </c>
      <c r="AU312" s="54">
        <f>IF(MOD(S_normal27[[#This Row],[Indeks (base 0)]],AS$8)=0,NA(),_xlfn.POISSON.DIST(S_normal27[[#This Row],[X base]],$H$5,FALSE))</f>
        <v>0.16803135574154085</v>
      </c>
      <c r="AV312" s="99" t="b">
        <f>S_normal27[[#This Row],[X base]]&lt;AS$5</f>
        <v>0</v>
      </c>
      <c r="AW312" s="99" t="b">
        <f>S_normal27[[#This Row],[X base]]=AS$5</f>
        <v>0</v>
      </c>
      <c r="AX312" s="99" t="b">
        <f>S_normal27[[#This Row],[X base]]&gt;AS$5</f>
        <v>1</v>
      </c>
      <c r="AY312" s="99" t="e">
        <f>IF(S_normal27[[#This Row],[Mindre end]],S_normal27[[#This Row],[Poissonfordeling]],NA())</f>
        <v>#N/A</v>
      </c>
      <c r="AZ312" s="99" t="e">
        <f>IF(S_normal27[[#This Row],[Lig med]],S_normal27[[#This Row],[Poissonfordeling]],NA())</f>
        <v>#N/A</v>
      </c>
      <c r="BA312" s="99">
        <f>IF(S_normal27[[#This Row],[Større end]],S_normal27[[#This Row],[Poissonfordeling]],NA())</f>
        <v>0.16803135574154085</v>
      </c>
      <c r="BB312" s="85" t="str">
        <f>_xlfn.IFNA(IF(MOD(S_normal27[[#This Row],[Indeks (base 0)]],AS$8)=ROUNDDOWN(AS$8/2,0),S_normal27[[#This Row],[X base]],""),"")</f>
        <v/>
      </c>
      <c r="BC312" s="99" t="str">
        <f t="shared" si="54"/>
        <v xml:space="preserve"> </v>
      </c>
    </row>
    <row r="313" spans="31:55" x14ac:dyDescent="0.2">
      <c r="AE313" s="54">
        <f t="shared" si="58"/>
        <v>300</v>
      </c>
      <c r="AF313" s="54">
        <f>S_binomial[[#This Row],[Indeks (base 0)]]+1</f>
        <v>301</v>
      </c>
      <c r="AG313" s="99">
        <f t="shared" si="59"/>
        <v>3</v>
      </c>
      <c r="AH313" s="99">
        <f>IF(MOD(S_binomial[[#This Row],[Indeks (base 0)]],AF$7)=0,NA(),_xlfn.BINOM.DIST(S_binomial[[#This Row],[X base]],E$5,E$6,FALSE))</f>
        <v>3.4906753280000008E-2</v>
      </c>
      <c r="AI313" s="99" t="b">
        <f>S_binomial[[#This Row],[X base]]&lt;AF$5</f>
        <v>1</v>
      </c>
      <c r="AJ313" s="99" t="b">
        <f>S_binomial[[#This Row],[X base]]=AF$5</f>
        <v>0</v>
      </c>
      <c r="AK313" s="99" t="b">
        <f>S_binomial[[#This Row],[X base]]&gt;AF$5</f>
        <v>0</v>
      </c>
      <c r="AL313" s="99">
        <f>IF(S_binomial[[#This Row],[Mindre end]],S_binomial[[#This Row],[Binomialfordeling]],NA())</f>
        <v>3.4906753280000008E-2</v>
      </c>
      <c r="AM313" s="99" t="e">
        <f>IF(S_binomial[[#This Row],[Lig med]],S_binomial[[#This Row],[Binomialfordeling]],NA())</f>
        <v>#N/A</v>
      </c>
      <c r="AN313" s="99" t="e">
        <f>IF(S_binomial[[#This Row],[Større end]],S_binomial[[#This Row],[Binomialfordeling]],NA())</f>
        <v>#N/A</v>
      </c>
      <c r="AO313" s="85" t="str">
        <f>_xlfn.IFNA(IF(MOD(S_binomial[[#This Row],[Indeks (base 0)]],AF$7)=ROUNDDOWN(AF$7/2,0),S_binomial[[#This Row],[X base]],""),"")</f>
        <v/>
      </c>
      <c r="AP313" s="99" t="str">
        <f t="shared" si="60"/>
        <v xml:space="preserve"> </v>
      </c>
      <c r="AR313" s="54">
        <f t="shared" si="53"/>
        <v>300</v>
      </c>
      <c r="AS313" s="54">
        <f>S_normal27[[#This Row],[Indeks (base 0)]]+1</f>
        <v>301</v>
      </c>
      <c r="AT313" s="54">
        <f t="shared" si="57"/>
        <v>4</v>
      </c>
      <c r="AU313" s="54">
        <f>IF(MOD(S_normal27[[#This Row],[Indeks (base 0)]],AS$8)=0,NA(),_xlfn.POISSON.DIST(S_normal27[[#This Row],[X base]],$H$5,FALSE))</f>
        <v>0.16803135574154085</v>
      </c>
      <c r="AV313" s="99" t="b">
        <f>S_normal27[[#This Row],[X base]]&lt;AS$5</f>
        <v>0</v>
      </c>
      <c r="AW313" s="99" t="b">
        <f>S_normal27[[#This Row],[X base]]=AS$5</f>
        <v>0</v>
      </c>
      <c r="AX313" s="99" t="b">
        <f>S_normal27[[#This Row],[X base]]&gt;AS$5</f>
        <v>1</v>
      </c>
      <c r="AY313" s="99" t="e">
        <f>IF(S_normal27[[#This Row],[Mindre end]],S_normal27[[#This Row],[Poissonfordeling]],NA())</f>
        <v>#N/A</v>
      </c>
      <c r="AZ313" s="99" t="e">
        <f>IF(S_normal27[[#This Row],[Lig med]],S_normal27[[#This Row],[Poissonfordeling]],NA())</f>
        <v>#N/A</v>
      </c>
      <c r="BA313" s="99">
        <f>IF(S_normal27[[#This Row],[Større end]],S_normal27[[#This Row],[Poissonfordeling]],NA())</f>
        <v>0.16803135574154085</v>
      </c>
      <c r="BB313" s="85" t="str">
        <f>_xlfn.IFNA(IF(MOD(S_normal27[[#This Row],[Indeks (base 0)]],AS$8)=ROUNDDOWN(AS$8/2,0),S_normal27[[#This Row],[X base]],""),"")</f>
        <v/>
      </c>
      <c r="BC313" s="99" t="str">
        <f t="shared" si="54"/>
        <v xml:space="preserve"> </v>
      </c>
    </row>
    <row r="314" spans="31:55" x14ac:dyDescent="0.2">
      <c r="AE314" s="54">
        <f t="shared" si="58"/>
        <v>301</v>
      </c>
      <c r="AF314" s="54">
        <f>S_binomial[[#This Row],[Indeks (base 0)]]+1</f>
        <v>302</v>
      </c>
      <c r="AG314" s="99">
        <f t="shared" si="59"/>
        <v>3</v>
      </c>
      <c r="AH314" s="99">
        <f>IF(MOD(S_binomial[[#This Row],[Indeks (base 0)]],AF$7)=0,NA(),_xlfn.BINOM.DIST(S_binomial[[#This Row],[X base]],E$5,E$6,FALSE))</f>
        <v>3.4906753280000008E-2</v>
      </c>
      <c r="AI314" s="99" t="b">
        <f>S_binomial[[#This Row],[X base]]&lt;AF$5</f>
        <v>1</v>
      </c>
      <c r="AJ314" s="99" t="b">
        <f>S_binomial[[#This Row],[X base]]=AF$5</f>
        <v>0</v>
      </c>
      <c r="AK314" s="99" t="b">
        <f>S_binomial[[#This Row],[X base]]&gt;AF$5</f>
        <v>0</v>
      </c>
      <c r="AL314" s="99">
        <f>IF(S_binomial[[#This Row],[Mindre end]],S_binomial[[#This Row],[Binomialfordeling]],NA())</f>
        <v>3.4906753280000008E-2</v>
      </c>
      <c r="AM314" s="99" t="e">
        <f>IF(S_binomial[[#This Row],[Lig med]],S_binomial[[#This Row],[Binomialfordeling]],NA())</f>
        <v>#N/A</v>
      </c>
      <c r="AN314" s="99" t="e">
        <f>IF(S_binomial[[#This Row],[Større end]],S_binomial[[#This Row],[Binomialfordeling]],NA())</f>
        <v>#N/A</v>
      </c>
      <c r="AO314" s="85" t="str">
        <f>_xlfn.IFNA(IF(MOD(S_binomial[[#This Row],[Indeks (base 0)]],AF$7)=ROUNDDOWN(AF$7/2,0),S_binomial[[#This Row],[X base]],""),"")</f>
        <v/>
      </c>
      <c r="AP314" s="99" t="str">
        <f t="shared" si="60"/>
        <v xml:space="preserve"> </v>
      </c>
      <c r="AR314" s="54">
        <f t="shared" si="53"/>
        <v>301</v>
      </c>
      <c r="AS314" s="54">
        <f>S_normal27[[#This Row],[Indeks (base 0)]]+1</f>
        <v>302</v>
      </c>
      <c r="AT314" s="54">
        <f t="shared" si="57"/>
        <v>4</v>
      </c>
      <c r="AU314" s="54">
        <f>IF(MOD(S_normal27[[#This Row],[Indeks (base 0)]],AS$8)=0,NA(),_xlfn.POISSON.DIST(S_normal27[[#This Row],[X base]],$H$5,FALSE))</f>
        <v>0.16803135574154085</v>
      </c>
      <c r="AV314" s="99" t="b">
        <f>S_normal27[[#This Row],[X base]]&lt;AS$5</f>
        <v>0</v>
      </c>
      <c r="AW314" s="99" t="b">
        <f>S_normal27[[#This Row],[X base]]=AS$5</f>
        <v>0</v>
      </c>
      <c r="AX314" s="99" t="b">
        <f>S_normal27[[#This Row],[X base]]&gt;AS$5</f>
        <v>1</v>
      </c>
      <c r="AY314" s="99" t="e">
        <f>IF(S_normal27[[#This Row],[Mindre end]],S_normal27[[#This Row],[Poissonfordeling]],NA())</f>
        <v>#N/A</v>
      </c>
      <c r="AZ314" s="99" t="e">
        <f>IF(S_normal27[[#This Row],[Lig med]],S_normal27[[#This Row],[Poissonfordeling]],NA())</f>
        <v>#N/A</v>
      </c>
      <c r="BA314" s="99">
        <f>IF(S_normal27[[#This Row],[Større end]],S_normal27[[#This Row],[Poissonfordeling]],NA())</f>
        <v>0.16803135574154085</v>
      </c>
      <c r="BB314" s="85" t="str">
        <f>_xlfn.IFNA(IF(MOD(S_normal27[[#This Row],[Indeks (base 0)]],AS$8)=ROUNDDOWN(AS$8/2,0),S_normal27[[#This Row],[X base]],""),"")</f>
        <v/>
      </c>
      <c r="BC314" s="99" t="str">
        <f t="shared" si="54"/>
        <v xml:space="preserve"> </v>
      </c>
    </row>
    <row r="315" spans="31:55" x14ac:dyDescent="0.2">
      <c r="AE315" s="54">
        <f t="shared" si="58"/>
        <v>302</v>
      </c>
      <c r="AF315" s="54">
        <f>S_binomial[[#This Row],[Indeks (base 0)]]+1</f>
        <v>303</v>
      </c>
      <c r="AG315" s="99">
        <f t="shared" si="59"/>
        <v>3</v>
      </c>
      <c r="AH315" s="99">
        <f>IF(MOD(S_binomial[[#This Row],[Indeks (base 0)]],AF$7)=0,NA(),_xlfn.BINOM.DIST(S_binomial[[#This Row],[X base]],E$5,E$6,FALSE))</f>
        <v>3.4906753280000008E-2</v>
      </c>
      <c r="AI315" s="99" t="b">
        <f>S_binomial[[#This Row],[X base]]&lt;AF$5</f>
        <v>1</v>
      </c>
      <c r="AJ315" s="99" t="b">
        <f>S_binomial[[#This Row],[X base]]=AF$5</f>
        <v>0</v>
      </c>
      <c r="AK315" s="99" t="b">
        <f>S_binomial[[#This Row],[X base]]&gt;AF$5</f>
        <v>0</v>
      </c>
      <c r="AL315" s="99">
        <f>IF(S_binomial[[#This Row],[Mindre end]],S_binomial[[#This Row],[Binomialfordeling]],NA())</f>
        <v>3.4906753280000008E-2</v>
      </c>
      <c r="AM315" s="99" t="e">
        <f>IF(S_binomial[[#This Row],[Lig med]],S_binomial[[#This Row],[Binomialfordeling]],NA())</f>
        <v>#N/A</v>
      </c>
      <c r="AN315" s="99" t="e">
        <f>IF(S_binomial[[#This Row],[Større end]],S_binomial[[#This Row],[Binomialfordeling]],NA())</f>
        <v>#N/A</v>
      </c>
      <c r="AO315" s="85" t="str">
        <f>_xlfn.IFNA(IF(MOD(S_binomial[[#This Row],[Indeks (base 0)]],AF$7)=ROUNDDOWN(AF$7/2,0),S_binomial[[#This Row],[X base]],""),"")</f>
        <v/>
      </c>
      <c r="AP315" s="99" t="str">
        <f t="shared" si="60"/>
        <v xml:space="preserve"> </v>
      </c>
      <c r="AR315" s="54">
        <f t="shared" si="53"/>
        <v>302</v>
      </c>
      <c r="AS315" s="54">
        <f>S_normal27[[#This Row],[Indeks (base 0)]]+1</f>
        <v>303</v>
      </c>
      <c r="AT315" s="54">
        <f t="shared" si="57"/>
        <v>4</v>
      </c>
      <c r="AU315" s="54">
        <f>IF(MOD(S_normal27[[#This Row],[Indeks (base 0)]],AS$8)=0,NA(),_xlfn.POISSON.DIST(S_normal27[[#This Row],[X base]],$H$5,FALSE))</f>
        <v>0.16803135574154085</v>
      </c>
      <c r="AV315" s="99" t="b">
        <f>S_normal27[[#This Row],[X base]]&lt;AS$5</f>
        <v>0</v>
      </c>
      <c r="AW315" s="99" t="b">
        <f>S_normal27[[#This Row],[X base]]=AS$5</f>
        <v>0</v>
      </c>
      <c r="AX315" s="99" t="b">
        <f>S_normal27[[#This Row],[X base]]&gt;AS$5</f>
        <v>1</v>
      </c>
      <c r="AY315" s="99" t="e">
        <f>IF(S_normal27[[#This Row],[Mindre end]],S_normal27[[#This Row],[Poissonfordeling]],NA())</f>
        <v>#N/A</v>
      </c>
      <c r="AZ315" s="99" t="e">
        <f>IF(S_normal27[[#This Row],[Lig med]],S_normal27[[#This Row],[Poissonfordeling]],NA())</f>
        <v>#N/A</v>
      </c>
      <c r="BA315" s="99">
        <f>IF(S_normal27[[#This Row],[Større end]],S_normal27[[#This Row],[Poissonfordeling]],NA())</f>
        <v>0.16803135574154085</v>
      </c>
      <c r="BB315" s="85" t="str">
        <f>_xlfn.IFNA(IF(MOD(S_normal27[[#This Row],[Indeks (base 0)]],AS$8)=ROUNDDOWN(AS$8/2,0),S_normal27[[#This Row],[X base]],""),"")</f>
        <v/>
      </c>
      <c r="BC315" s="99" t="str">
        <f t="shared" si="54"/>
        <v xml:space="preserve"> </v>
      </c>
    </row>
    <row r="316" spans="31:55" x14ac:dyDescent="0.2">
      <c r="AE316" s="54">
        <f t="shared" si="58"/>
        <v>303</v>
      </c>
      <c r="AF316" s="54">
        <f>S_binomial[[#This Row],[Indeks (base 0)]]+1</f>
        <v>304</v>
      </c>
      <c r="AG316" s="99">
        <f t="shared" si="59"/>
        <v>3</v>
      </c>
      <c r="AH316" s="99">
        <f>IF(MOD(S_binomial[[#This Row],[Indeks (base 0)]],AF$7)=0,NA(),_xlfn.BINOM.DIST(S_binomial[[#This Row],[X base]],E$5,E$6,FALSE))</f>
        <v>3.4906753280000008E-2</v>
      </c>
      <c r="AI316" s="99" t="b">
        <f>S_binomial[[#This Row],[X base]]&lt;AF$5</f>
        <v>1</v>
      </c>
      <c r="AJ316" s="99" t="b">
        <f>S_binomial[[#This Row],[X base]]=AF$5</f>
        <v>0</v>
      </c>
      <c r="AK316" s="99" t="b">
        <f>S_binomial[[#This Row],[X base]]&gt;AF$5</f>
        <v>0</v>
      </c>
      <c r="AL316" s="99">
        <f>IF(S_binomial[[#This Row],[Mindre end]],S_binomial[[#This Row],[Binomialfordeling]],NA())</f>
        <v>3.4906753280000008E-2</v>
      </c>
      <c r="AM316" s="99" t="e">
        <f>IF(S_binomial[[#This Row],[Lig med]],S_binomial[[#This Row],[Binomialfordeling]],NA())</f>
        <v>#N/A</v>
      </c>
      <c r="AN316" s="99" t="e">
        <f>IF(S_binomial[[#This Row],[Større end]],S_binomial[[#This Row],[Binomialfordeling]],NA())</f>
        <v>#N/A</v>
      </c>
      <c r="AO316" s="85" t="str">
        <f>_xlfn.IFNA(IF(MOD(S_binomial[[#This Row],[Indeks (base 0)]],AF$7)=ROUNDDOWN(AF$7/2,0),S_binomial[[#This Row],[X base]],""),"")</f>
        <v/>
      </c>
      <c r="AP316" s="99" t="str">
        <f t="shared" si="60"/>
        <v xml:space="preserve"> </v>
      </c>
      <c r="AR316" s="54">
        <f t="shared" si="53"/>
        <v>303</v>
      </c>
      <c r="AS316" s="54">
        <f>S_normal27[[#This Row],[Indeks (base 0)]]+1</f>
        <v>304</v>
      </c>
      <c r="AT316" s="54">
        <f t="shared" si="57"/>
        <v>4</v>
      </c>
      <c r="AU316" s="54">
        <f>IF(MOD(S_normal27[[#This Row],[Indeks (base 0)]],AS$8)=0,NA(),_xlfn.POISSON.DIST(S_normal27[[#This Row],[X base]],$H$5,FALSE))</f>
        <v>0.16803135574154085</v>
      </c>
      <c r="AV316" s="99" t="b">
        <f>S_normal27[[#This Row],[X base]]&lt;AS$5</f>
        <v>0</v>
      </c>
      <c r="AW316" s="99" t="b">
        <f>S_normal27[[#This Row],[X base]]=AS$5</f>
        <v>0</v>
      </c>
      <c r="AX316" s="99" t="b">
        <f>S_normal27[[#This Row],[X base]]&gt;AS$5</f>
        <v>1</v>
      </c>
      <c r="AY316" s="99" t="e">
        <f>IF(S_normal27[[#This Row],[Mindre end]],S_normal27[[#This Row],[Poissonfordeling]],NA())</f>
        <v>#N/A</v>
      </c>
      <c r="AZ316" s="99" t="e">
        <f>IF(S_normal27[[#This Row],[Lig med]],S_normal27[[#This Row],[Poissonfordeling]],NA())</f>
        <v>#N/A</v>
      </c>
      <c r="BA316" s="99">
        <f>IF(S_normal27[[#This Row],[Større end]],S_normal27[[#This Row],[Poissonfordeling]],NA())</f>
        <v>0.16803135574154085</v>
      </c>
      <c r="BB316" s="85" t="str">
        <f>_xlfn.IFNA(IF(MOD(S_normal27[[#This Row],[Indeks (base 0)]],AS$8)=ROUNDDOWN(AS$8/2,0),S_normal27[[#This Row],[X base]],""),"")</f>
        <v/>
      </c>
      <c r="BC316" s="99" t="str">
        <f t="shared" si="54"/>
        <v xml:space="preserve"> </v>
      </c>
    </row>
    <row r="317" spans="31:55" x14ac:dyDescent="0.2">
      <c r="AE317" s="54">
        <f t="shared" si="58"/>
        <v>304</v>
      </c>
      <c r="AF317" s="54">
        <f>S_binomial[[#This Row],[Indeks (base 0)]]+1</f>
        <v>305</v>
      </c>
      <c r="AG317" s="99">
        <f t="shared" si="59"/>
        <v>3</v>
      </c>
      <c r="AH317" s="99">
        <f>IF(MOD(S_binomial[[#This Row],[Indeks (base 0)]],AF$7)=0,NA(),_xlfn.BINOM.DIST(S_binomial[[#This Row],[X base]],E$5,E$6,FALSE))</f>
        <v>3.4906753280000008E-2</v>
      </c>
      <c r="AI317" s="99" t="b">
        <f>S_binomial[[#This Row],[X base]]&lt;AF$5</f>
        <v>1</v>
      </c>
      <c r="AJ317" s="99" t="b">
        <f>S_binomial[[#This Row],[X base]]=AF$5</f>
        <v>0</v>
      </c>
      <c r="AK317" s="99" t="b">
        <f>S_binomial[[#This Row],[X base]]&gt;AF$5</f>
        <v>0</v>
      </c>
      <c r="AL317" s="99">
        <f>IF(S_binomial[[#This Row],[Mindre end]],S_binomial[[#This Row],[Binomialfordeling]],NA())</f>
        <v>3.4906753280000008E-2</v>
      </c>
      <c r="AM317" s="99" t="e">
        <f>IF(S_binomial[[#This Row],[Lig med]],S_binomial[[#This Row],[Binomialfordeling]],NA())</f>
        <v>#N/A</v>
      </c>
      <c r="AN317" s="99" t="e">
        <f>IF(S_binomial[[#This Row],[Større end]],S_binomial[[#This Row],[Binomialfordeling]],NA())</f>
        <v>#N/A</v>
      </c>
      <c r="AO317" s="85" t="str">
        <f>_xlfn.IFNA(IF(MOD(S_binomial[[#This Row],[Indeks (base 0)]],AF$7)=ROUNDDOWN(AF$7/2,0),S_binomial[[#This Row],[X base]],""),"")</f>
        <v/>
      </c>
      <c r="AP317" s="99" t="str">
        <f t="shared" si="60"/>
        <v xml:space="preserve"> </v>
      </c>
      <c r="AR317" s="54">
        <f t="shared" si="53"/>
        <v>304</v>
      </c>
      <c r="AS317" s="54">
        <f>S_normal27[[#This Row],[Indeks (base 0)]]+1</f>
        <v>305</v>
      </c>
      <c r="AT317" s="54">
        <f t="shared" si="57"/>
        <v>4</v>
      </c>
      <c r="AU317" s="54">
        <f>IF(MOD(S_normal27[[#This Row],[Indeks (base 0)]],AS$8)=0,NA(),_xlfn.POISSON.DIST(S_normal27[[#This Row],[X base]],$H$5,FALSE))</f>
        <v>0.16803135574154085</v>
      </c>
      <c r="AV317" s="99" t="b">
        <f>S_normal27[[#This Row],[X base]]&lt;AS$5</f>
        <v>0</v>
      </c>
      <c r="AW317" s="99" t="b">
        <f>S_normal27[[#This Row],[X base]]=AS$5</f>
        <v>0</v>
      </c>
      <c r="AX317" s="99" t="b">
        <f>S_normal27[[#This Row],[X base]]&gt;AS$5</f>
        <v>1</v>
      </c>
      <c r="AY317" s="99" t="e">
        <f>IF(S_normal27[[#This Row],[Mindre end]],S_normal27[[#This Row],[Poissonfordeling]],NA())</f>
        <v>#N/A</v>
      </c>
      <c r="AZ317" s="99" t="e">
        <f>IF(S_normal27[[#This Row],[Lig med]],S_normal27[[#This Row],[Poissonfordeling]],NA())</f>
        <v>#N/A</v>
      </c>
      <c r="BA317" s="99">
        <f>IF(S_normal27[[#This Row],[Større end]],S_normal27[[#This Row],[Poissonfordeling]],NA())</f>
        <v>0.16803135574154085</v>
      </c>
      <c r="BB317" s="85" t="str">
        <f>_xlfn.IFNA(IF(MOD(S_normal27[[#This Row],[Indeks (base 0)]],AS$8)=ROUNDDOWN(AS$8/2,0),S_normal27[[#This Row],[X base]],""),"")</f>
        <v/>
      </c>
      <c r="BC317" s="99" t="str">
        <f t="shared" si="54"/>
        <v xml:space="preserve"> </v>
      </c>
    </row>
    <row r="318" spans="31:55" x14ac:dyDescent="0.2">
      <c r="AE318" s="54">
        <f t="shared" si="58"/>
        <v>305</v>
      </c>
      <c r="AF318" s="54">
        <f>S_binomial[[#This Row],[Indeks (base 0)]]+1</f>
        <v>306</v>
      </c>
      <c r="AG318" s="99">
        <f t="shared" si="59"/>
        <v>3</v>
      </c>
      <c r="AH318" s="99">
        <f>IF(MOD(S_binomial[[#This Row],[Indeks (base 0)]],AF$7)=0,NA(),_xlfn.BINOM.DIST(S_binomial[[#This Row],[X base]],E$5,E$6,FALSE))</f>
        <v>3.4906753280000008E-2</v>
      </c>
      <c r="AI318" s="99" t="b">
        <f>S_binomial[[#This Row],[X base]]&lt;AF$5</f>
        <v>1</v>
      </c>
      <c r="AJ318" s="99" t="b">
        <f>S_binomial[[#This Row],[X base]]=AF$5</f>
        <v>0</v>
      </c>
      <c r="AK318" s="99" t="b">
        <f>S_binomial[[#This Row],[X base]]&gt;AF$5</f>
        <v>0</v>
      </c>
      <c r="AL318" s="99">
        <f>IF(S_binomial[[#This Row],[Mindre end]],S_binomial[[#This Row],[Binomialfordeling]],NA())</f>
        <v>3.4906753280000008E-2</v>
      </c>
      <c r="AM318" s="99" t="e">
        <f>IF(S_binomial[[#This Row],[Lig med]],S_binomial[[#This Row],[Binomialfordeling]],NA())</f>
        <v>#N/A</v>
      </c>
      <c r="AN318" s="99" t="e">
        <f>IF(S_binomial[[#This Row],[Større end]],S_binomial[[#This Row],[Binomialfordeling]],NA())</f>
        <v>#N/A</v>
      </c>
      <c r="AO318" s="85" t="str">
        <f>_xlfn.IFNA(IF(MOD(S_binomial[[#This Row],[Indeks (base 0)]],AF$7)=ROUNDDOWN(AF$7/2,0),S_binomial[[#This Row],[X base]],""),"")</f>
        <v/>
      </c>
      <c r="AP318" s="99" t="str">
        <f t="shared" si="60"/>
        <v xml:space="preserve"> </v>
      </c>
      <c r="AR318" s="54">
        <f t="shared" si="53"/>
        <v>305</v>
      </c>
      <c r="AS318" s="54">
        <f>S_normal27[[#This Row],[Indeks (base 0)]]+1</f>
        <v>306</v>
      </c>
      <c r="AT318" s="54">
        <f t="shared" si="57"/>
        <v>4</v>
      </c>
      <c r="AU318" s="54">
        <f>IF(MOD(S_normal27[[#This Row],[Indeks (base 0)]],AS$8)=0,NA(),_xlfn.POISSON.DIST(S_normal27[[#This Row],[X base]],$H$5,FALSE))</f>
        <v>0.16803135574154085</v>
      </c>
      <c r="AV318" s="99" t="b">
        <f>S_normal27[[#This Row],[X base]]&lt;AS$5</f>
        <v>0</v>
      </c>
      <c r="AW318" s="99" t="b">
        <f>S_normal27[[#This Row],[X base]]=AS$5</f>
        <v>0</v>
      </c>
      <c r="AX318" s="99" t="b">
        <f>S_normal27[[#This Row],[X base]]&gt;AS$5</f>
        <v>1</v>
      </c>
      <c r="AY318" s="99" t="e">
        <f>IF(S_normal27[[#This Row],[Mindre end]],S_normal27[[#This Row],[Poissonfordeling]],NA())</f>
        <v>#N/A</v>
      </c>
      <c r="AZ318" s="99" t="e">
        <f>IF(S_normal27[[#This Row],[Lig med]],S_normal27[[#This Row],[Poissonfordeling]],NA())</f>
        <v>#N/A</v>
      </c>
      <c r="BA318" s="99">
        <f>IF(S_normal27[[#This Row],[Større end]],S_normal27[[#This Row],[Poissonfordeling]],NA())</f>
        <v>0.16803135574154085</v>
      </c>
      <c r="BB318" s="85" t="str">
        <f>_xlfn.IFNA(IF(MOD(S_normal27[[#This Row],[Indeks (base 0)]],AS$8)=ROUNDDOWN(AS$8/2,0),S_normal27[[#This Row],[X base]],""),"")</f>
        <v/>
      </c>
      <c r="BC318" s="99" t="str">
        <f t="shared" si="54"/>
        <v xml:space="preserve"> </v>
      </c>
    </row>
    <row r="319" spans="31:55" x14ac:dyDescent="0.2">
      <c r="AE319" s="54">
        <f t="shared" si="58"/>
        <v>306</v>
      </c>
      <c r="AF319" s="54">
        <f>S_binomial[[#This Row],[Indeks (base 0)]]+1</f>
        <v>307</v>
      </c>
      <c r="AG319" s="99">
        <f t="shared" si="59"/>
        <v>3</v>
      </c>
      <c r="AH319" s="99">
        <f>IF(MOD(S_binomial[[#This Row],[Indeks (base 0)]],AF$7)=0,NA(),_xlfn.BINOM.DIST(S_binomial[[#This Row],[X base]],E$5,E$6,FALSE))</f>
        <v>3.4906753280000008E-2</v>
      </c>
      <c r="AI319" s="99" t="b">
        <f>S_binomial[[#This Row],[X base]]&lt;AF$5</f>
        <v>1</v>
      </c>
      <c r="AJ319" s="99" t="b">
        <f>S_binomial[[#This Row],[X base]]=AF$5</f>
        <v>0</v>
      </c>
      <c r="AK319" s="99" t="b">
        <f>S_binomial[[#This Row],[X base]]&gt;AF$5</f>
        <v>0</v>
      </c>
      <c r="AL319" s="99">
        <f>IF(S_binomial[[#This Row],[Mindre end]],S_binomial[[#This Row],[Binomialfordeling]],NA())</f>
        <v>3.4906753280000008E-2</v>
      </c>
      <c r="AM319" s="99" t="e">
        <f>IF(S_binomial[[#This Row],[Lig med]],S_binomial[[#This Row],[Binomialfordeling]],NA())</f>
        <v>#N/A</v>
      </c>
      <c r="AN319" s="99" t="e">
        <f>IF(S_binomial[[#This Row],[Større end]],S_binomial[[#This Row],[Binomialfordeling]],NA())</f>
        <v>#N/A</v>
      </c>
      <c r="AO319" s="85" t="str">
        <f>_xlfn.IFNA(IF(MOD(S_binomial[[#This Row],[Indeks (base 0)]],AF$7)=ROUNDDOWN(AF$7/2,0),S_binomial[[#This Row],[X base]],""),"")</f>
        <v/>
      </c>
      <c r="AP319" s="99" t="str">
        <f t="shared" si="60"/>
        <v xml:space="preserve"> </v>
      </c>
      <c r="AR319" s="54">
        <f t="shared" si="53"/>
        <v>306</v>
      </c>
      <c r="AS319" s="54">
        <f>S_normal27[[#This Row],[Indeks (base 0)]]+1</f>
        <v>307</v>
      </c>
      <c r="AT319" s="54">
        <f t="shared" si="57"/>
        <v>4</v>
      </c>
      <c r="AU319" s="54">
        <f>IF(MOD(S_normal27[[#This Row],[Indeks (base 0)]],AS$8)=0,NA(),_xlfn.POISSON.DIST(S_normal27[[#This Row],[X base]],$H$5,FALSE))</f>
        <v>0.16803135574154085</v>
      </c>
      <c r="AV319" s="99" t="b">
        <f>S_normal27[[#This Row],[X base]]&lt;AS$5</f>
        <v>0</v>
      </c>
      <c r="AW319" s="99" t="b">
        <f>S_normal27[[#This Row],[X base]]=AS$5</f>
        <v>0</v>
      </c>
      <c r="AX319" s="99" t="b">
        <f>S_normal27[[#This Row],[X base]]&gt;AS$5</f>
        <v>1</v>
      </c>
      <c r="AY319" s="99" t="e">
        <f>IF(S_normal27[[#This Row],[Mindre end]],S_normal27[[#This Row],[Poissonfordeling]],NA())</f>
        <v>#N/A</v>
      </c>
      <c r="AZ319" s="99" t="e">
        <f>IF(S_normal27[[#This Row],[Lig med]],S_normal27[[#This Row],[Poissonfordeling]],NA())</f>
        <v>#N/A</v>
      </c>
      <c r="BA319" s="99">
        <f>IF(S_normal27[[#This Row],[Større end]],S_normal27[[#This Row],[Poissonfordeling]],NA())</f>
        <v>0.16803135574154085</v>
      </c>
      <c r="BB319" s="85" t="str">
        <f>_xlfn.IFNA(IF(MOD(S_normal27[[#This Row],[Indeks (base 0)]],AS$8)=ROUNDDOWN(AS$8/2,0),S_normal27[[#This Row],[X base]],""),"")</f>
        <v/>
      </c>
      <c r="BC319" s="99" t="str">
        <f t="shared" si="54"/>
        <v xml:space="preserve"> </v>
      </c>
    </row>
    <row r="320" spans="31:55" x14ac:dyDescent="0.2">
      <c r="AE320" s="54">
        <f t="shared" si="58"/>
        <v>307</v>
      </c>
      <c r="AF320" s="54">
        <f>S_binomial[[#This Row],[Indeks (base 0)]]+1</f>
        <v>308</v>
      </c>
      <c r="AG320" s="99">
        <f t="shared" si="59"/>
        <v>3</v>
      </c>
      <c r="AH320" s="99">
        <f>IF(MOD(S_binomial[[#This Row],[Indeks (base 0)]],AF$7)=0,NA(),_xlfn.BINOM.DIST(S_binomial[[#This Row],[X base]],E$5,E$6,FALSE))</f>
        <v>3.4906753280000008E-2</v>
      </c>
      <c r="AI320" s="99" t="b">
        <f>S_binomial[[#This Row],[X base]]&lt;AF$5</f>
        <v>1</v>
      </c>
      <c r="AJ320" s="99" t="b">
        <f>S_binomial[[#This Row],[X base]]=AF$5</f>
        <v>0</v>
      </c>
      <c r="AK320" s="99" t="b">
        <f>S_binomial[[#This Row],[X base]]&gt;AF$5</f>
        <v>0</v>
      </c>
      <c r="AL320" s="99">
        <f>IF(S_binomial[[#This Row],[Mindre end]],S_binomial[[#This Row],[Binomialfordeling]],NA())</f>
        <v>3.4906753280000008E-2</v>
      </c>
      <c r="AM320" s="99" t="e">
        <f>IF(S_binomial[[#This Row],[Lig med]],S_binomial[[#This Row],[Binomialfordeling]],NA())</f>
        <v>#N/A</v>
      </c>
      <c r="AN320" s="99" t="e">
        <f>IF(S_binomial[[#This Row],[Større end]],S_binomial[[#This Row],[Binomialfordeling]],NA())</f>
        <v>#N/A</v>
      </c>
      <c r="AO320" s="85" t="str">
        <f>_xlfn.IFNA(IF(MOD(S_binomial[[#This Row],[Indeks (base 0)]],AF$7)=ROUNDDOWN(AF$7/2,0),S_binomial[[#This Row],[X base]],""),"")</f>
        <v/>
      </c>
      <c r="AP320" s="99" t="str">
        <f t="shared" si="60"/>
        <v xml:space="preserve"> </v>
      </c>
      <c r="AR320" s="54">
        <f t="shared" si="53"/>
        <v>307</v>
      </c>
      <c r="AS320" s="54">
        <f>S_normal27[[#This Row],[Indeks (base 0)]]+1</f>
        <v>308</v>
      </c>
      <c r="AT320" s="54">
        <f t="shared" si="57"/>
        <v>4</v>
      </c>
      <c r="AU320" s="54">
        <f>IF(MOD(S_normal27[[#This Row],[Indeks (base 0)]],AS$8)=0,NA(),_xlfn.POISSON.DIST(S_normal27[[#This Row],[X base]],$H$5,FALSE))</f>
        <v>0.16803135574154085</v>
      </c>
      <c r="AV320" s="99" t="b">
        <f>S_normal27[[#This Row],[X base]]&lt;AS$5</f>
        <v>0</v>
      </c>
      <c r="AW320" s="99" t="b">
        <f>S_normal27[[#This Row],[X base]]=AS$5</f>
        <v>0</v>
      </c>
      <c r="AX320" s="99" t="b">
        <f>S_normal27[[#This Row],[X base]]&gt;AS$5</f>
        <v>1</v>
      </c>
      <c r="AY320" s="99" t="e">
        <f>IF(S_normal27[[#This Row],[Mindre end]],S_normal27[[#This Row],[Poissonfordeling]],NA())</f>
        <v>#N/A</v>
      </c>
      <c r="AZ320" s="99" t="e">
        <f>IF(S_normal27[[#This Row],[Lig med]],S_normal27[[#This Row],[Poissonfordeling]],NA())</f>
        <v>#N/A</v>
      </c>
      <c r="BA320" s="99">
        <f>IF(S_normal27[[#This Row],[Større end]],S_normal27[[#This Row],[Poissonfordeling]],NA())</f>
        <v>0.16803135574154085</v>
      </c>
      <c r="BB320" s="85" t="str">
        <f>_xlfn.IFNA(IF(MOD(S_normal27[[#This Row],[Indeks (base 0)]],AS$8)=ROUNDDOWN(AS$8/2,0),S_normal27[[#This Row],[X base]],""),"")</f>
        <v/>
      </c>
      <c r="BC320" s="99" t="str">
        <f t="shared" si="54"/>
        <v xml:space="preserve"> </v>
      </c>
    </row>
    <row r="321" spans="31:55" x14ac:dyDescent="0.2">
      <c r="AE321" s="54">
        <f t="shared" si="58"/>
        <v>308</v>
      </c>
      <c r="AF321" s="54">
        <f>S_binomial[[#This Row],[Indeks (base 0)]]+1</f>
        <v>309</v>
      </c>
      <c r="AG321" s="99">
        <f t="shared" si="59"/>
        <v>3</v>
      </c>
      <c r="AH321" s="99">
        <f>IF(MOD(S_binomial[[#This Row],[Indeks (base 0)]],AF$7)=0,NA(),_xlfn.BINOM.DIST(S_binomial[[#This Row],[X base]],E$5,E$6,FALSE))</f>
        <v>3.4906753280000008E-2</v>
      </c>
      <c r="AI321" s="99" t="b">
        <f>S_binomial[[#This Row],[X base]]&lt;AF$5</f>
        <v>1</v>
      </c>
      <c r="AJ321" s="99" t="b">
        <f>S_binomial[[#This Row],[X base]]=AF$5</f>
        <v>0</v>
      </c>
      <c r="AK321" s="99" t="b">
        <f>S_binomial[[#This Row],[X base]]&gt;AF$5</f>
        <v>0</v>
      </c>
      <c r="AL321" s="99">
        <f>IF(S_binomial[[#This Row],[Mindre end]],S_binomial[[#This Row],[Binomialfordeling]],NA())</f>
        <v>3.4906753280000008E-2</v>
      </c>
      <c r="AM321" s="99" t="e">
        <f>IF(S_binomial[[#This Row],[Lig med]],S_binomial[[#This Row],[Binomialfordeling]],NA())</f>
        <v>#N/A</v>
      </c>
      <c r="AN321" s="99" t="e">
        <f>IF(S_binomial[[#This Row],[Større end]],S_binomial[[#This Row],[Binomialfordeling]],NA())</f>
        <v>#N/A</v>
      </c>
      <c r="AO321" s="85" t="str">
        <f>_xlfn.IFNA(IF(MOD(S_binomial[[#This Row],[Indeks (base 0)]],AF$7)=ROUNDDOWN(AF$7/2,0),S_binomial[[#This Row],[X base]],""),"")</f>
        <v/>
      </c>
      <c r="AP321" s="99" t="str">
        <f t="shared" si="60"/>
        <v xml:space="preserve"> </v>
      </c>
      <c r="AR321" s="54">
        <f t="shared" si="53"/>
        <v>308</v>
      </c>
      <c r="AS321" s="54">
        <f>S_normal27[[#This Row],[Indeks (base 0)]]+1</f>
        <v>309</v>
      </c>
      <c r="AT321" s="54">
        <f t="shared" si="57"/>
        <v>4</v>
      </c>
      <c r="AU321" s="54">
        <f>IF(MOD(S_normal27[[#This Row],[Indeks (base 0)]],AS$8)=0,NA(),_xlfn.POISSON.DIST(S_normal27[[#This Row],[X base]],$H$5,FALSE))</f>
        <v>0.16803135574154085</v>
      </c>
      <c r="AV321" s="99" t="b">
        <f>S_normal27[[#This Row],[X base]]&lt;AS$5</f>
        <v>0</v>
      </c>
      <c r="AW321" s="99" t="b">
        <f>S_normal27[[#This Row],[X base]]=AS$5</f>
        <v>0</v>
      </c>
      <c r="AX321" s="99" t="b">
        <f>S_normal27[[#This Row],[X base]]&gt;AS$5</f>
        <v>1</v>
      </c>
      <c r="AY321" s="99" t="e">
        <f>IF(S_normal27[[#This Row],[Mindre end]],S_normal27[[#This Row],[Poissonfordeling]],NA())</f>
        <v>#N/A</v>
      </c>
      <c r="AZ321" s="99" t="e">
        <f>IF(S_normal27[[#This Row],[Lig med]],S_normal27[[#This Row],[Poissonfordeling]],NA())</f>
        <v>#N/A</v>
      </c>
      <c r="BA321" s="99">
        <f>IF(S_normal27[[#This Row],[Større end]],S_normal27[[#This Row],[Poissonfordeling]],NA())</f>
        <v>0.16803135574154085</v>
      </c>
      <c r="BB321" s="85" t="str">
        <f>_xlfn.IFNA(IF(MOD(S_normal27[[#This Row],[Indeks (base 0)]],AS$8)=ROUNDDOWN(AS$8/2,0),S_normal27[[#This Row],[X base]],""),"")</f>
        <v/>
      </c>
      <c r="BC321" s="99" t="str">
        <f t="shared" si="54"/>
        <v xml:space="preserve"> </v>
      </c>
    </row>
    <row r="322" spans="31:55" x14ac:dyDescent="0.2">
      <c r="AE322" s="54">
        <f t="shared" si="58"/>
        <v>309</v>
      </c>
      <c r="AF322" s="54">
        <f>S_binomial[[#This Row],[Indeks (base 0)]]+1</f>
        <v>310</v>
      </c>
      <c r="AG322" s="99">
        <f t="shared" si="59"/>
        <v>3</v>
      </c>
      <c r="AH322" s="99">
        <f>IF(MOD(S_binomial[[#This Row],[Indeks (base 0)]],AF$7)=0,NA(),_xlfn.BINOM.DIST(S_binomial[[#This Row],[X base]],E$5,E$6,FALSE))</f>
        <v>3.4906753280000008E-2</v>
      </c>
      <c r="AI322" s="99" t="b">
        <f>S_binomial[[#This Row],[X base]]&lt;AF$5</f>
        <v>1</v>
      </c>
      <c r="AJ322" s="99" t="b">
        <f>S_binomial[[#This Row],[X base]]=AF$5</f>
        <v>0</v>
      </c>
      <c r="AK322" s="99" t="b">
        <f>S_binomial[[#This Row],[X base]]&gt;AF$5</f>
        <v>0</v>
      </c>
      <c r="AL322" s="99">
        <f>IF(S_binomial[[#This Row],[Mindre end]],S_binomial[[#This Row],[Binomialfordeling]],NA())</f>
        <v>3.4906753280000008E-2</v>
      </c>
      <c r="AM322" s="99" t="e">
        <f>IF(S_binomial[[#This Row],[Lig med]],S_binomial[[#This Row],[Binomialfordeling]],NA())</f>
        <v>#N/A</v>
      </c>
      <c r="AN322" s="99" t="e">
        <f>IF(S_binomial[[#This Row],[Større end]],S_binomial[[#This Row],[Binomialfordeling]],NA())</f>
        <v>#N/A</v>
      </c>
      <c r="AO322" s="85" t="str">
        <f>_xlfn.IFNA(IF(MOD(S_binomial[[#This Row],[Indeks (base 0)]],AF$7)=ROUNDDOWN(AF$7/2,0),S_binomial[[#This Row],[X base]],""),"")</f>
        <v/>
      </c>
      <c r="AP322" s="99" t="str">
        <f t="shared" si="60"/>
        <v xml:space="preserve"> </v>
      </c>
      <c r="AR322" s="54">
        <f t="shared" si="53"/>
        <v>309</v>
      </c>
      <c r="AS322" s="54">
        <f>S_normal27[[#This Row],[Indeks (base 0)]]+1</f>
        <v>310</v>
      </c>
      <c r="AT322" s="54">
        <f t="shared" si="57"/>
        <v>4</v>
      </c>
      <c r="AU322" s="54">
        <f>IF(MOD(S_normal27[[#This Row],[Indeks (base 0)]],AS$8)=0,NA(),_xlfn.POISSON.DIST(S_normal27[[#This Row],[X base]],$H$5,FALSE))</f>
        <v>0.16803135574154085</v>
      </c>
      <c r="AV322" s="99" t="b">
        <f>S_normal27[[#This Row],[X base]]&lt;AS$5</f>
        <v>0</v>
      </c>
      <c r="AW322" s="99" t="b">
        <f>S_normal27[[#This Row],[X base]]=AS$5</f>
        <v>0</v>
      </c>
      <c r="AX322" s="99" t="b">
        <f>S_normal27[[#This Row],[X base]]&gt;AS$5</f>
        <v>1</v>
      </c>
      <c r="AY322" s="99" t="e">
        <f>IF(S_normal27[[#This Row],[Mindre end]],S_normal27[[#This Row],[Poissonfordeling]],NA())</f>
        <v>#N/A</v>
      </c>
      <c r="AZ322" s="99" t="e">
        <f>IF(S_normal27[[#This Row],[Lig med]],S_normal27[[#This Row],[Poissonfordeling]],NA())</f>
        <v>#N/A</v>
      </c>
      <c r="BA322" s="99">
        <f>IF(S_normal27[[#This Row],[Større end]],S_normal27[[#This Row],[Poissonfordeling]],NA())</f>
        <v>0.16803135574154085</v>
      </c>
      <c r="BB322" s="85" t="str">
        <f>_xlfn.IFNA(IF(MOD(S_normal27[[#This Row],[Indeks (base 0)]],AS$8)=ROUNDDOWN(AS$8/2,0),S_normal27[[#This Row],[X base]],""),"")</f>
        <v/>
      </c>
      <c r="BC322" s="99" t="str">
        <f t="shared" si="54"/>
        <v xml:space="preserve"> </v>
      </c>
    </row>
    <row r="323" spans="31:55" x14ac:dyDescent="0.2">
      <c r="AE323" s="54">
        <f t="shared" si="58"/>
        <v>310</v>
      </c>
      <c r="AF323" s="54">
        <f>S_binomial[[#This Row],[Indeks (base 0)]]+1</f>
        <v>311</v>
      </c>
      <c r="AG323" s="99">
        <f t="shared" si="59"/>
        <v>3</v>
      </c>
      <c r="AH323" s="99">
        <f>IF(MOD(S_binomial[[#This Row],[Indeks (base 0)]],AF$7)=0,NA(),_xlfn.BINOM.DIST(S_binomial[[#This Row],[X base]],E$5,E$6,FALSE))</f>
        <v>3.4906753280000008E-2</v>
      </c>
      <c r="AI323" s="99" t="b">
        <f>S_binomial[[#This Row],[X base]]&lt;AF$5</f>
        <v>1</v>
      </c>
      <c r="AJ323" s="99" t="b">
        <f>S_binomial[[#This Row],[X base]]=AF$5</f>
        <v>0</v>
      </c>
      <c r="AK323" s="99" t="b">
        <f>S_binomial[[#This Row],[X base]]&gt;AF$5</f>
        <v>0</v>
      </c>
      <c r="AL323" s="99">
        <f>IF(S_binomial[[#This Row],[Mindre end]],S_binomial[[#This Row],[Binomialfordeling]],NA())</f>
        <v>3.4906753280000008E-2</v>
      </c>
      <c r="AM323" s="99" t="e">
        <f>IF(S_binomial[[#This Row],[Lig med]],S_binomial[[#This Row],[Binomialfordeling]],NA())</f>
        <v>#N/A</v>
      </c>
      <c r="AN323" s="99" t="e">
        <f>IF(S_binomial[[#This Row],[Større end]],S_binomial[[#This Row],[Binomialfordeling]],NA())</f>
        <v>#N/A</v>
      </c>
      <c r="AO323" s="85" t="str">
        <f>_xlfn.IFNA(IF(MOD(S_binomial[[#This Row],[Indeks (base 0)]],AF$7)=ROUNDDOWN(AF$7/2,0),S_binomial[[#This Row],[X base]],""),"")</f>
        <v/>
      </c>
      <c r="AP323" s="99" t="str">
        <f t="shared" si="60"/>
        <v xml:space="preserve"> </v>
      </c>
      <c r="AR323" s="54">
        <f t="shared" si="53"/>
        <v>310</v>
      </c>
      <c r="AS323" s="54">
        <f>S_normal27[[#This Row],[Indeks (base 0)]]+1</f>
        <v>311</v>
      </c>
      <c r="AT323" s="54">
        <f t="shared" si="57"/>
        <v>4</v>
      </c>
      <c r="AU323" s="54">
        <f>IF(MOD(S_normal27[[#This Row],[Indeks (base 0)]],AS$8)=0,NA(),_xlfn.POISSON.DIST(S_normal27[[#This Row],[X base]],$H$5,FALSE))</f>
        <v>0.16803135574154085</v>
      </c>
      <c r="AV323" s="99" t="b">
        <f>S_normal27[[#This Row],[X base]]&lt;AS$5</f>
        <v>0</v>
      </c>
      <c r="AW323" s="99" t="b">
        <f>S_normal27[[#This Row],[X base]]=AS$5</f>
        <v>0</v>
      </c>
      <c r="AX323" s="99" t="b">
        <f>S_normal27[[#This Row],[X base]]&gt;AS$5</f>
        <v>1</v>
      </c>
      <c r="AY323" s="99" t="e">
        <f>IF(S_normal27[[#This Row],[Mindre end]],S_normal27[[#This Row],[Poissonfordeling]],NA())</f>
        <v>#N/A</v>
      </c>
      <c r="AZ323" s="99" t="e">
        <f>IF(S_normal27[[#This Row],[Lig med]],S_normal27[[#This Row],[Poissonfordeling]],NA())</f>
        <v>#N/A</v>
      </c>
      <c r="BA323" s="99">
        <f>IF(S_normal27[[#This Row],[Større end]],S_normal27[[#This Row],[Poissonfordeling]],NA())</f>
        <v>0.16803135574154085</v>
      </c>
      <c r="BB323" s="85" t="str">
        <f>_xlfn.IFNA(IF(MOD(S_normal27[[#This Row],[Indeks (base 0)]],AS$8)=ROUNDDOWN(AS$8/2,0),S_normal27[[#This Row],[X base]],""),"")</f>
        <v/>
      </c>
      <c r="BC323" s="99" t="str">
        <f t="shared" si="54"/>
        <v xml:space="preserve"> </v>
      </c>
    </row>
    <row r="324" spans="31:55" x14ac:dyDescent="0.2">
      <c r="AE324" s="54">
        <f t="shared" si="58"/>
        <v>311</v>
      </c>
      <c r="AF324" s="54">
        <f>S_binomial[[#This Row],[Indeks (base 0)]]+1</f>
        <v>312</v>
      </c>
      <c r="AG324" s="99">
        <f t="shared" si="59"/>
        <v>3</v>
      </c>
      <c r="AH324" s="99">
        <f>IF(MOD(S_binomial[[#This Row],[Indeks (base 0)]],AF$7)=0,NA(),_xlfn.BINOM.DIST(S_binomial[[#This Row],[X base]],E$5,E$6,FALSE))</f>
        <v>3.4906753280000008E-2</v>
      </c>
      <c r="AI324" s="99" t="b">
        <f>S_binomial[[#This Row],[X base]]&lt;AF$5</f>
        <v>1</v>
      </c>
      <c r="AJ324" s="99" t="b">
        <f>S_binomial[[#This Row],[X base]]=AF$5</f>
        <v>0</v>
      </c>
      <c r="AK324" s="99" t="b">
        <f>S_binomial[[#This Row],[X base]]&gt;AF$5</f>
        <v>0</v>
      </c>
      <c r="AL324" s="99">
        <f>IF(S_binomial[[#This Row],[Mindre end]],S_binomial[[#This Row],[Binomialfordeling]],NA())</f>
        <v>3.4906753280000008E-2</v>
      </c>
      <c r="AM324" s="99" t="e">
        <f>IF(S_binomial[[#This Row],[Lig med]],S_binomial[[#This Row],[Binomialfordeling]],NA())</f>
        <v>#N/A</v>
      </c>
      <c r="AN324" s="99" t="e">
        <f>IF(S_binomial[[#This Row],[Større end]],S_binomial[[#This Row],[Binomialfordeling]],NA())</f>
        <v>#N/A</v>
      </c>
      <c r="AO324" s="85" t="str">
        <f>_xlfn.IFNA(IF(MOD(S_binomial[[#This Row],[Indeks (base 0)]],AF$7)=ROUNDDOWN(AF$7/2,0),S_binomial[[#This Row],[X base]],""),"")</f>
        <v/>
      </c>
      <c r="AP324" s="99" t="str">
        <f t="shared" si="60"/>
        <v xml:space="preserve"> </v>
      </c>
      <c r="AR324" s="54">
        <f t="shared" si="53"/>
        <v>311</v>
      </c>
      <c r="AS324" s="54">
        <f>S_normal27[[#This Row],[Indeks (base 0)]]+1</f>
        <v>312</v>
      </c>
      <c r="AT324" s="54">
        <f t="shared" si="57"/>
        <v>4</v>
      </c>
      <c r="AU324" s="54">
        <f>IF(MOD(S_normal27[[#This Row],[Indeks (base 0)]],AS$8)=0,NA(),_xlfn.POISSON.DIST(S_normal27[[#This Row],[X base]],$H$5,FALSE))</f>
        <v>0.16803135574154085</v>
      </c>
      <c r="AV324" s="99" t="b">
        <f>S_normal27[[#This Row],[X base]]&lt;AS$5</f>
        <v>0</v>
      </c>
      <c r="AW324" s="99" t="b">
        <f>S_normal27[[#This Row],[X base]]=AS$5</f>
        <v>0</v>
      </c>
      <c r="AX324" s="99" t="b">
        <f>S_normal27[[#This Row],[X base]]&gt;AS$5</f>
        <v>1</v>
      </c>
      <c r="AY324" s="99" t="e">
        <f>IF(S_normal27[[#This Row],[Mindre end]],S_normal27[[#This Row],[Poissonfordeling]],NA())</f>
        <v>#N/A</v>
      </c>
      <c r="AZ324" s="99" t="e">
        <f>IF(S_normal27[[#This Row],[Lig med]],S_normal27[[#This Row],[Poissonfordeling]],NA())</f>
        <v>#N/A</v>
      </c>
      <c r="BA324" s="99">
        <f>IF(S_normal27[[#This Row],[Større end]],S_normal27[[#This Row],[Poissonfordeling]],NA())</f>
        <v>0.16803135574154085</v>
      </c>
      <c r="BB324" s="85" t="str">
        <f>_xlfn.IFNA(IF(MOD(S_normal27[[#This Row],[Indeks (base 0)]],AS$8)=ROUNDDOWN(AS$8/2,0),S_normal27[[#This Row],[X base]],""),"")</f>
        <v/>
      </c>
      <c r="BC324" s="99" t="str">
        <f t="shared" si="54"/>
        <v xml:space="preserve"> </v>
      </c>
    </row>
    <row r="325" spans="31:55" x14ac:dyDescent="0.2">
      <c r="AE325" s="54">
        <f t="shared" si="58"/>
        <v>312</v>
      </c>
      <c r="AF325" s="54">
        <f>S_binomial[[#This Row],[Indeks (base 0)]]+1</f>
        <v>313</v>
      </c>
      <c r="AG325" s="99">
        <f t="shared" si="59"/>
        <v>3</v>
      </c>
      <c r="AH325" s="99">
        <f>IF(MOD(S_binomial[[#This Row],[Indeks (base 0)]],AF$7)=0,NA(),_xlfn.BINOM.DIST(S_binomial[[#This Row],[X base]],E$5,E$6,FALSE))</f>
        <v>3.4906753280000008E-2</v>
      </c>
      <c r="AI325" s="99" t="b">
        <f>S_binomial[[#This Row],[X base]]&lt;AF$5</f>
        <v>1</v>
      </c>
      <c r="AJ325" s="99" t="b">
        <f>S_binomial[[#This Row],[X base]]=AF$5</f>
        <v>0</v>
      </c>
      <c r="AK325" s="99" t="b">
        <f>S_binomial[[#This Row],[X base]]&gt;AF$5</f>
        <v>0</v>
      </c>
      <c r="AL325" s="99">
        <f>IF(S_binomial[[#This Row],[Mindre end]],S_binomial[[#This Row],[Binomialfordeling]],NA())</f>
        <v>3.4906753280000008E-2</v>
      </c>
      <c r="AM325" s="99" t="e">
        <f>IF(S_binomial[[#This Row],[Lig med]],S_binomial[[#This Row],[Binomialfordeling]],NA())</f>
        <v>#N/A</v>
      </c>
      <c r="AN325" s="99" t="e">
        <f>IF(S_binomial[[#This Row],[Større end]],S_binomial[[#This Row],[Binomialfordeling]],NA())</f>
        <v>#N/A</v>
      </c>
      <c r="AO325" s="85" t="str">
        <f>_xlfn.IFNA(IF(MOD(S_binomial[[#This Row],[Indeks (base 0)]],AF$7)=ROUNDDOWN(AF$7/2,0),S_binomial[[#This Row],[X base]],""),"")</f>
        <v/>
      </c>
      <c r="AP325" s="99" t="str">
        <f t="shared" si="60"/>
        <v xml:space="preserve"> </v>
      </c>
      <c r="AR325" s="54">
        <f t="shared" si="53"/>
        <v>312</v>
      </c>
      <c r="AS325" s="54">
        <f>S_normal27[[#This Row],[Indeks (base 0)]]+1</f>
        <v>313</v>
      </c>
      <c r="AT325" s="54">
        <f t="shared" si="57"/>
        <v>4</v>
      </c>
      <c r="AU325" s="54">
        <f>IF(MOD(S_normal27[[#This Row],[Indeks (base 0)]],AS$8)=0,NA(),_xlfn.POISSON.DIST(S_normal27[[#This Row],[X base]],$H$5,FALSE))</f>
        <v>0.16803135574154085</v>
      </c>
      <c r="AV325" s="99" t="b">
        <f>S_normal27[[#This Row],[X base]]&lt;AS$5</f>
        <v>0</v>
      </c>
      <c r="AW325" s="99" t="b">
        <f>S_normal27[[#This Row],[X base]]=AS$5</f>
        <v>0</v>
      </c>
      <c r="AX325" s="99" t="b">
        <f>S_normal27[[#This Row],[X base]]&gt;AS$5</f>
        <v>1</v>
      </c>
      <c r="AY325" s="99" t="e">
        <f>IF(S_normal27[[#This Row],[Mindre end]],S_normal27[[#This Row],[Poissonfordeling]],NA())</f>
        <v>#N/A</v>
      </c>
      <c r="AZ325" s="99" t="e">
        <f>IF(S_normal27[[#This Row],[Lig med]],S_normal27[[#This Row],[Poissonfordeling]],NA())</f>
        <v>#N/A</v>
      </c>
      <c r="BA325" s="99">
        <f>IF(S_normal27[[#This Row],[Større end]],S_normal27[[#This Row],[Poissonfordeling]],NA())</f>
        <v>0.16803135574154085</v>
      </c>
      <c r="BB325" s="85" t="str">
        <f>_xlfn.IFNA(IF(MOD(S_normal27[[#This Row],[Indeks (base 0)]],AS$8)=ROUNDDOWN(AS$8/2,0),S_normal27[[#This Row],[X base]],""),"")</f>
        <v/>
      </c>
      <c r="BC325" s="99" t="str">
        <f t="shared" si="54"/>
        <v xml:space="preserve"> </v>
      </c>
    </row>
    <row r="326" spans="31:55" x14ac:dyDescent="0.2">
      <c r="AE326" s="54">
        <f t="shared" si="58"/>
        <v>313</v>
      </c>
      <c r="AF326" s="54">
        <f>S_binomial[[#This Row],[Indeks (base 0)]]+1</f>
        <v>314</v>
      </c>
      <c r="AG326" s="99">
        <f t="shared" si="59"/>
        <v>3</v>
      </c>
      <c r="AH326" s="99">
        <f>IF(MOD(S_binomial[[#This Row],[Indeks (base 0)]],AF$7)=0,NA(),_xlfn.BINOM.DIST(S_binomial[[#This Row],[X base]],E$5,E$6,FALSE))</f>
        <v>3.4906753280000008E-2</v>
      </c>
      <c r="AI326" s="99" t="b">
        <f>S_binomial[[#This Row],[X base]]&lt;AF$5</f>
        <v>1</v>
      </c>
      <c r="AJ326" s="99" t="b">
        <f>S_binomial[[#This Row],[X base]]=AF$5</f>
        <v>0</v>
      </c>
      <c r="AK326" s="99" t="b">
        <f>S_binomial[[#This Row],[X base]]&gt;AF$5</f>
        <v>0</v>
      </c>
      <c r="AL326" s="99">
        <f>IF(S_binomial[[#This Row],[Mindre end]],S_binomial[[#This Row],[Binomialfordeling]],NA())</f>
        <v>3.4906753280000008E-2</v>
      </c>
      <c r="AM326" s="99" t="e">
        <f>IF(S_binomial[[#This Row],[Lig med]],S_binomial[[#This Row],[Binomialfordeling]],NA())</f>
        <v>#N/A</v>
      </c>
      <c r="AN326" s="99" t="e">
        <f>IF(S_binomial[[#This Row],[Større end]],S_binomial[[#This Row],[Binomialfordeling]],NA())</f>
        <v>#N/A</v>
      </c>
      <c r="AO326" s="85" t="str">
        <f>_xlfn.IFNA(IF(MOD(S_binomial[[#This Row],[Indeks (base 0)]],AF$7)=ROUNDDOWN(AF$7/2,0),S_binomial[[#This Row],[X base]],""),"")</f>
        <v/>
      </c>
      <c r="AP326" s="99" t="str">
        <f t="shared" si="60"/>
        <v xml:space="preserve"> </v>
      </c>
      <c r="AR326" s="54">
        <f t="shared" si="53"/>
        <v>313</v>
      </c>
      <c r="AS326" s="54">
        <f>S_normal27[[#This Row],[Indeks (base 0)]]+1</f>
        <v>314</v>
      </c>
      <c r="AT326" s="54">
        <f t="shared" si="57"/>
        <v>4</v>
      </c>
      <c r="AU326" s="54">
        <f>IF(MOD(S_normal27[[#This Row],[Indeks (base 0)]],AS$8)=0,NA(),_xlfn.POISSON.DIST(S_normal27[[#This Row],[X base]],$H$5,FALSE))</f>
        <v>0.16803135574154085</v>
      </c>
      <c r="AV326" s="99" t="b">
        <f>S_normal27[[#This Row],[X base]]&lt;AS$5</f>
        <v>0</v>
      </c>
      <c r="AW326" s="99" t="b">
        <f>S_normal27[[#This Row],[X base]]=AS$5</f>
        <v>0</v>
      </c>
      <c r="AX326" s="99" t="b">
        <f>S_normal27[[#This Row],[X base]]&gt;AS$5</f>
        <v>1</v>
      </c>
      <c r="AY326" s="99" t="e">
        <f>IF(S_normal27[[#This Row],[Mindre end]],S_normal27[[#This Row],[Poissonfordeling]],NA())</f>
        <v>#N/A</v>
      </c>
      <c r="AZ326" s="99" t="e">
        <f>IF(S_normal27[[#This Row],[Lig med]],S_normal27[[#This Row],[Poissonfordeling]],NA())</f>
        <v>#N/A</v>
      </c>
      <c r="BA326" s="99">
        <f>IF(S_normal27[[#This Row],[Større end]],S_normal27[[#This Row],[Poissonfordeling]],NA())</f>
        <v>0.16803135574154085</v>
      </c>
      <c r="BB326" s="85" t="str">
        <f>_xlfn.IFNA(IF(MOD(S_normal27[[#This Row],[Indeks (base 0)]],AS$8)=ROUNDDOWN(AS$8/2,0),S_normal27[[#This Row],[X base]],""),"")</f>
        <v/>
      </c>
      <c r="BC326" s="99" t="str">
        <f t="shared" si="54"/>
        <v xml:space="preserve"> </v>
      </c>
    </row>
    <row r="327" spans="31:55" x14ac:dyDescent="0.2">
      <c r="AE327" s="54">
        <f t="shared" si="58"/>
        <v>314</v>
      </c>
      <c r="AF327" s="54">
        <f>S_binomial[[#This Row],[Indeks (base 0)]]+1</f>
        <v>315</v>
      </c>
      <c r="AG327" s="99">
        <f t="shared" si="59"/>
        <v>3</v>
      </c>
      <c r="AH327" s="99">
        <f>IF(MOD(S_binomial[[#This Row],[Indeks (base 0)]],AF$7)=0,NA(),_xlfn.BINOM.DIST(S_binomial[[#This Row],[X base]],E$5,E$6,FALSE))</f>
        <v>3.4906753280000008E-2</v>
      </c>
      <c r="AI327" s="99" t="b">
        <f>S_binomial[[#This Row],[X base]]&lt;AF$5</f>
        <v>1</v>
      </c>
      <c r="AJ327" s="99" t="b">
        <f>S_binomial[[#This Row],[X base]]=AF$5</f>
        <v>0</v>
      </c>
      <c r="AK327" s="99" t="b">
        <f>S_binomial[[#This Row],[X base]]&gt;AF$5</f>
        <v>0</v>
      </c>
      <c r="AL327" s="99">
        <f>IF(S_binomial[[#This Row],[Mindre end]],S_binomial[[#This Row],[Binomialfordeling]],NA())</f>
        <v>3.4906753280000008E-2</v>
      </c>
      <c r="AM327" s="99" t="e">
        <f>IF(S_binomial[[#This Row],[Lig med]],S_binomial[[#This Row],[Binomialfordeling]],NA())</f>
        <v>#N/A</v>
      </c>
      <c r="AN327" s="99" t="e">
        <f>IF(S_binomial[[#This Row],[Større end]],S_binomial[[#This Row],[Binomialfordeling]],NA())</f>
        <v>#N/A</v>
      </c>
      <c r="AO327" s="85" t="str">
        <f>_xlfn.IFNA(IF(MOD(S_binomial[[#This Row],[Indeks (base 0)]],AF$7)=ROUNDDOWN(AF$7/2,0),S_binomial[[#This Row],[X base]],""),"")</f>
        <v/>
      </c>
      <c r="AP327" s="99" t="str">
        <f t="shared" si="60"/>
        <v xml:space="preserve"> </v>
      </c>
      <c r="AR327" s="54">
        <f t="shared" si="53"/>
        <v>314</v>
      </c>
      <c r="AS327" s="54">
        <f>S_normal27[[#This Row],[Indeks (base 0)]]+1</f>
        <v>315</v>
      </c>
      <c r="AT327" s="54">
        <f t="shared" si="57"/>
        <v>4</v>
      </c>
      <c r="AU327" s="54">
        <f>IF(MOD(S_normal27[[#This Row],[Indeks (base 0)]],AS$8)=0,NA(),_xlfn.POISSON.DIST(S_normal27[[#This Row],[X base]],$H$5,FALSE))</f>
        <v>0.16803135574154085</v>
      </c>
      <c r="AV327" s="99" t="b">
        <f>S_normal27[[#This Row],[X base]]&lt;AS$5</f>
        <v>0</v>
      </c>
      <c r="AW327" s="99" t="b">
        <f>S_normal27[[#This Row],[X base]]=AS$5</f>
        <v>0</v>
      </c>
      <c r="AX327" s="99" t="b">
        <f>S_normal27[[#This Row],[X base]]&gt;AS$5</f>
        <v>1</v>
      </c>
      <c r="AY327" s="99" t="e">
        <f>IF(S_normal27[[#This Row],[Mindre end]],S_normal27[[#This Row],[Poissonfordeling]],NA())</f>
        <v>#N/A</v>
      </c>
      <c r="AZ327" s="99" t="e">
        <f>IF(S_normal27[[#This Row],[Lig med]],S_normal27[[#This Row],[Poissonfordeling]],NA())</f>
        <v>#N/A</v>
      </c>
      <c r="BA327" s="99">
        <f>IF(S_normal27[[#This Row],[Større end]],S_normal27[[#This Row],[Poissonfordeling]],NA())</f>
        <v>0.16803135574154085</v>
      </c>
      <c r="BB327" s="85" t="str">
        <f>_xlfn.IFNA(IF(MOD(S_normal27[[#This Row],[Indeks (base 0)]],AS$8)=ROUNDDOWN(AS$8/2,0),S_normal27[[#This Row],[X base]],""),"")</f>
        <v/>
      </c>
      <c r="BC327" s="99" t="str">
        <f t="shared" si="54"/>
        <v xml:space="preserve"> </v>
      </c>
    </row>
    <row r="328" spans="31:55" x14ac:dyDescent="0.2">
      <c r="AE328" s="54">
        <f t="shared" si="58"/>
        <v>315</v>
      </c>
      <c r="AF328" s="54">
        <f>S_binomial[[#This Row],[Indeks (base 0)]]+1</f>
        <v>316</v>
      </c>
      <c r="AG328" s="99">
        <f t="shared" si="59"/>
        <v>3</v>
      </c>
      <c r="AH328" s="99">
        <f>IF(MOD(S_binomial[[#This Row],[Indeks (base 0)]],AF$7)=0,NA(),_xlfn.BINOM.DIST(S_binomial[[#This Row],[X base]],E$5,E$6,FALSE))</f>
        <v>3.4906753280000008E-2</v>
      </c>
      <c r="AI328" s="99" t="b">
        <f>S_binomial[[#This Row],[X base]]&lt;AF$5</f>
        <v>1</v>
      </c>
      <c r="AJ328" s="99" t="b">
        <f>S_binomial[[#This Row],[X base]]=AF$5</f>
        <v>0</v>
      </c>
      <c r="AK328" s="99" t="b">
        <f>S_binomial[[#This Row],[X base]]&gt;AF$5</f>
        <v>0</v>
      </c>
      <c r="AL328" s="99">
        <f>IF(S_binomial[[#This Row],[Mindre end]],S_binomial[[#This Row],[Binomialfordeling]],NA())</f>
        <v>3.4906753280000008E-2</v>
      </c>
      <c r="AM328" s="99" t="e">
        <f>IF(S_binomial[[#This Row],[Lig med]],S_binomial[[#This Row],[Binomialfordeling]],NA())</f>
        <v>#N/A</v>
      </c>
      <c r="AN328" s="99" t="e">
        <f>IF(S_binomial[[#This Row],[Større end]],S_binomial[[#This Row],[Binomialfordeling]],NA())</f>
        <v>#N/A</v>
      </c>
      <c r="AO328" s="85" t="str">
        <f>_xlfn.IFNA(IF(MOD(S_binomial[[#This Row],[Indeks (base 0)]],AF$7)=ROUNDDOWN(AF$7/2,0),S_binomial[[#This Row],[X base]],""),"")</f>
        <v/>
      </c>
      <c r="AP328" s="99" t="str">
        <f t="shared" si="60"/>
        <v xml:space="preserve"> </v>
      </c>
      <c r="AR328" s="54">
        <f t="shared" si="53"/>
        <v>315</v>
      </c>
      <c r="AS328" s="54">
        <f>S_normal27[[#This Row],[Indeks (base 0)]]+1</f>
        <v>316</v>
      </c>
      <c r="AT328" s="54">
        <f t="shared" si="57"/>
        <v>4</v>
      </c>
      <c r="AU328" s="54">
        <f>IF(MOD(S_normal27[[#This Row],[Indeks (base 0)]],AS$8)=0,NA(),_xlfn.POISSON.DIST(S_normal27[[#This Row],[X base]],$H$5,FALSE))</f>
        <v>0.16803135574154085</v>
      </c>
      <c r="AV328" s="99" t="b">
        <f>S_normal27[[#This Row],[X base]]&lt;AS$5</f>
        <v>0</v>
      </c>
      <c r="AW328" s="99" t="b">
        <f>S_normal27[[#This Row],[X base]]=AS$5</f>
        <v>0</v>
      </c>
      <c r="AX328" s="99" t="b">
        <f>S_normal27[[#This Row],[X base]]&gt;AS$5</f>
        <v>1</v>
      </c>
      <c r="AY328" s="99" t="e">
        <f>IF(S_normal27[[#This Row],[Mindre end]],S_normal27[[#This Row],[Poissonfordeling]],NA())</f>
        <v>#N/A</v>
      </c>
      <c r="AZ328" s="99" t="e">
        <f>IF(S_normal27[[#This Row],[Lig med]],S_normal27[[#This Row],[Poissonfordeling]],NA())</f>
        <v>#N/A</v>
      </c>
      <c r="BA328" s="99">
        <f>IF(S_normal27[[#This Row],[Større end]],S_normal27[[#This Row],[Poissonfordeling]],NA())</f>
        <v>0.16803135574154085</v>
      </c>
      <c r="BB328" s="85" t="str">
        <f>_xlfn.IFNA(IF(MOD(S_normal27[[#This Row],[Indeks (base 0)]],AS$8)=ROUNDDOWN(AS$8/2,0),S_normal27[[#This Row],[X base]],""),"")</f>
        <v/>
      </c>
      <c r="BC328" s="99" t="str">
        <f t="shared" si="54"/>
        <v xml:space="preserve"> </v>
      </c>
    </row>
    <row r="329" spans="31:55" x14ac:dyDescent="0.2">
      <c r="AE329" s="54">
        <f t="shared" si="58"/>
        <v>316</v>
      </c>
      <c r="AF329" s="54">
        <f>S_binomial[[#This Row],[Indeks (base 0)]]+1</f>
        <v>317</v>
      </c>
      <c r="AG329" s="99">
        <f t="shared" si="59"/>
        <v>3</v>
      </c>
      <c r="AH329" s="99">
        <f>IF(MOD(S_binomial[[#This Row],[Indeks (base 0)]],AF$7)=0,NA(),_xlfn.BINOM.DIST(S_binomial[[#This Row],[X base]],E$5,E$6,FALSE))</f>
        <v>3.4906753280000008E-2</v>
      </c>
      <c r="AI329" s="99" t="b">
        <f>S_binomial[[#This Row],[X base]]&lt;AF$5</f>
        <v>1</v>
      </c>
      <c r="AJ329" s="99" t="b">
        <f>S_binomial[[#This Row],[X base]]=AF$5</f>
        <v>0</v>
      </c>
      <c r="AK329" s="99" t="b">
        <f>S_binomial[[#This Row],[X base]]&gt;AF$5</f>
        <v>0</v>
      </c>
      <c r="AL329" s="99">
        <f>IF(S_binomial[[#This Row],[Mindre end]],S_binomial[[#This Row],[Binomialfordeling]],NA())</f>
        <v>3.4906753280000008E-2</v>
      </c>
      <c r="AM329" s="99" t="e">
        <f>IF(S_binomial[[#This Row],[Lig med]],S_binomial[[#This Row],[Binomialfordeling]],NA())</f>
        <v>#N/A</v>
      </c>
      <c r="AN329" s="99" t="e">
        <f>IF(S_binomial[[#This Row],[Større end]],S_binomial[[#This Row],[Binomialfordeling]],NA())</f>
        <v>#N/A</v>
      </c>
      <c r="AO329" s="85" t="str">
        <f>_xlfn.IFNA(IF(MOD(S_binomial[[#This Row],[Indeks (base 0)]],AF$7)=ROUNDDOWN(AF$7/2,0),S_binomial[[#This Row],[X base]],""),"")</f>
        <v/>
      </c>
      <c r="AP329" s="99" t="str">
        <f t="shared" si="60"/>
        <v xml:space="preserve"> </v>
      </c>
      <c r="AR329" s="54">
        <f t="shared" si="53"/>
        <v>316</v>
      </c>
      <c r="AS329" s="54">
        <f>S_normal27[[#This Row],[Indeks (base 0)]]+1</f>
        <v>317</v>
      </c>
      <c r="AT329" s="54">
        <f t="shared" si="57"/>
        <v>4</v>
      </c>
      <c r="AU329" s="54">
        <f>IF(MOD(S_normal27[[#This Row],[Indeks (base 0)]],AS$8)=0,NA(),_xlfn.POISSON.DIST(S_normal27[[#This Row],[X base]],$H$5,FALSE))</f>
        <v>0.16803135574154085</v>
      </c>
      <c r="AV329" s="99" t="b">
        <f>S_normal27[[#This Row],[X base]]&lt;AS$5</f>
        <v>0</v>
      </c>
      <c r="AW329" s="99" t="b">
        <f>S_normal27[[#This Row],[X base]]=AS$5</f>
        <v>0</v>
      </c>
      <c r="AX329" s="99" t="b">
        <f>S_normal27[[#This Row],[X base]]&gt;AS$5</f>
        <v>1</v>
      </c>
      <c r="AY329" s="99" t="e">
        <f>IF(S_normal27[[#This Row],[Mindre end]],S_normal27[[#This Row],[Poissonfordeling]],NA())</f>
        <v>#N/A</v>
      </c>
      <c r="AZ329" s="99" t="e">
        <f>IF(S_normal27[[#This Row],[Lig med]],S_normal27[[#This Row],[Poissonfordeling]],NA())</f>
        <v>#N/A</v>
      </c>
      <c r="BA329" s="99">
        <f>IF(S_normal27[[#This Row],[Større end]],S_normal27[[#This Row],[Poissonfordeling]],NA())</f>
        <v>0.16803135574154085</v>
      </c>
      <c r="BB329" s="85" t="str">
        <f>_xlfn.IFNA(IF(MOD(S_normal27[[#This Row],[Indeks (base 0)]],AS$8)=ROUNDDOWN(AS$8/2,0),S_normal27[[#This Row],[X base]],""),"")</f>
        <v/>
      </c>
      <c r="BC329" s="99" t="str">
        <f t="shared" si="54"/>
        <v xml:space="preserve"> </v>
      </c>
    </row>
    <row r="330" spans="31:55" x14ac:dyDescent="0.2">
      <c r="AE330" s="54">
        <f t="shared" si="58"/>
        <v>317</v>
      </c>
      <c r="AF330" s="54">
        <f>S_binomial[[#This Row],[Indeks (base 0)]]+1</f>
        <v>318</v>
      </c>
      <c r="AG330" s="99">
        <f t="shared" si="59"/>
        <v>3</v>
      </c>
      <c r="AH330" s="99">
        <f>IF(MOD(S_binomial[[#This Row],[Indeks (base 0)]],AF$7)=0,NA(),_xlfn.BINOM.DIST(S_binomial[[#This Row],[X base]],E$5,E$6,FALSE))</f>
        <v>3.4906753280000008E-2</v>
      </c>
      <c r="AI330" s="99" t="b">
        <f>S_binomial[[#This Row],[X base]]&lt;AF$5</f>
        <v>1</v>
      </c>
      <c r="AJ330" s="99" t="b">
        <f>S_binomial[[#This Row],[X base]]=AF$5</f>
        <v>0</v>
      </c>
      <c r="AK330" s="99" t="b">
        <f>S_binomial[[#This Row],[X base]]&gt;AF$5</f>
        <v>0</v>
      </c>
      <c r="AL330" s="99">
        <f>IF(S_binomial[[#This Row],[Mindre end]],S_binomial[[#This Row],[Binomialfordeling]],NA())</f>
        <v>3.4906753280000008E-2</v>
      </c>
      <c r="AM330" s="99" t="e">
        <f>IF(S_binomial[[#This Row],[Lig med]],S_binomial[[#This Row],[Binomialfordeling]],NA())</f>
        <v>#N/A</v>
      </c>
      <c r="AN330" s="99" t="e">
        <f>IF(S_binomial[[#This Row],[Større end]],S_binomial[[#This Row],[Binomialfordeling]],NA())</f>
        <v>#N/A</v>
      </c>
      <c r="AO330" s="85" t="str">
        <f>_xlfn.IFNA(IF(MOD(S_binomial[[#This Row],[Indeks (base 0)]],AF$7)=ROUNDDOWN(AF$7/2,0),S_binomial[[#This Row],[X base]],""),"")</f>
        <v/>
      </c>
      <c r="AP330" s="99" t="str">
        <f t="shared" si="60"/>
        <v xml:space="preserve"> </v>
      </c>
      <c r="AR330" s="54">
        <f t="shared" si="53"/>
        <v>317</v>
      </c>
      <c r="AS330" s="54">
        <f>S_normal27[[#This Row],[Indeks (base 0)]]+1</f>
        <v>318</v>
      </c>
      <c r="AT330" s="54">
        <f t="shared" si="57"/>
        <v>4</v>
      </c>
      <c r="AU330" s="54">
        <f>IF(MOD(S_normal27[[#This Row],[Indeks (base 0)]],AS$8)=0,NA(),_xlfn.POISSON.DIST(S_normal27[[#This Row],[X base]],$H$5,FALSE))</f>
        <v>0.16803135574154085</v>
      </c>
      <c r="AV330" s="99" t="b">
        <f>S_normal27[[#This Row],[X base]]&lt;AS$5</f>
        <v>0</v>
      </c>
      <c r="AW330" s="99" t="b">
        <f>S_normal27[[#This Row],[X base]]=AS$5</f>
        <v>0</v>
      </c>
      <c r="AX330" s="99" t="b">
        <f>S_normal27[[#This Row],[X base]]&gt;AS$5</f>
        <v>1</v>
      </c>
      <c r="AY330" s="99" t="e">
        <f>IF(S_normal27[[#This Row],[Mindre end]],S_normal27[[#This Row],[Poissonfordeling]],NA())</f>
        <v>#N/A</v>
      </c>
      <c r="AZ330" s="99" t="e">
        <f>IF(S_normal27[[#This Row],[Lig med]],S_normal27[[#This Row],[Poissonfordeling]],NA())</f>
        <v>#N/A</v>
      </c>
      <c r="BA330" s="99">
        <f>IF(S_normal27[[#This Row],[Større end]],S_normal27[[#This Row],[Poissonfordeling]],NA())</f>
        <v>0.16803135574154085</v>
      </c>
      <c r="BB330" s="85" t="str">
        <f>_xlfn.IFNA(IF(MOD(S_normal27[[#This Row],[Indeks (base 0)]],AS$8)=ROUNDDOWN(AS$8/2,0),S_normal27[[#This Row],[X base]],""),"")</f>
        <v/>
      </c>
      <c r="BC330" s="99" t="str">
        <f t="shared" si="54"/>
        <v xml:space="preserve"> </v>
      </c>
    </row>
    <row r="331" spans="31:55" x14ac:dyDescent="0.2">
      <c r="AE331" s="54">
        <f t="shared" si="58"/>
        <v>318</v>
      </c>
      <c r="AF331" s="54">
        <f>S_binomial[[#This Row],[Indeks (base 0)]]+1</f>
        <v>319</v>
      </c>
      <c r="AG331" s="99">
        <f t="shared" si="59"/>
        <v>3</v>
      </c>
      <c r="AH331" s="99">
        <f>IF(MOD(S_binomial[[#This Row],[Indeks (base 0)]],AF$7)=0,NA(),_xlfn.BINOM.DIST(S_binomial[[#This Row],[X base]],E$5,E$6,FALSE))</f>
        <v>3.4906753280000008E-2</v>
      </c>
      <c r="AI331" s="99" t="b">
        <f>S_binomial[[#This Row],[X base]]&lt;AF$5</f>
        <v>1</v>
      </c>
      <c r="AJ331" s="99" t="b">
        <f>S_binomial[[#This Row],[X base]]=AF$5</f>
        <v>0</v>
      </c>
      <c r="AK331" s="99" t="b">
        <f>S_binomial[[#This Row],[X base]]&gt;AF$5</f>
        <v>0</v>
      </c>
      <c r="AL331" s="99">
        <f>IF(S_binomial[[#This Row],[Mindre end]],S_binomial[[#This Row],[Binomialfordeling]],NA())</f>
        <v>3.4906753280000008E-2</v>
      </c>
      <c r="AM331" s="99" t="e">
        <f>IF(S_binomial[[#This Row],[Lig med]],S_binomial[[#This Row],[Binomialfordeling]],NA())</f>
        <v>#N/A</v>
      </c>
      <c r="AN331" s="99" t="e">
        <f>IF(S_binomial[[#This Row],[Større end]],S_binomial[[#This Row],[Binomialfordeling]],NA())</f>
        <v>#N/A</v>
      </c>
      <c r="AO331" s="85" t="str">
        <f>_xlfn.IFNA(IF(MOD(S_binomial[[#This Row],[Indeks (base 0)]],AF$7)=ROUNDDOWN(AF$7/2,0),S_binomial[[#This Row],[X base]],""),"")</f>
        <v/>
      </c>
      <c r="AP331" s="99" t="str">
        <f t="shared" si="60"/>
        <v xml:space="preserve"> </v>
      </c>
      <c r="AR331" s="54">
        <f t="shared" si="53"/>
        <v>318</v>
      </c>
      <c r="AS331" s="54">
        <f>S_normal27[[#This Row],[Indeks (base 0)]]+1</f>
        <v>319</v>
      </c>
      <c r="AT331" s="54">
        <f t="shared" si="57"/>
        <v>4</v>
      </c>
      <c r="AU331" s="54">
        <f>IF(MOD(S_normal27[[#This Row],[Indeks (base 0)]],AS$8)=0,NA(),_xlfn.POISSON.DIST(S_normal27[[#This Row],[X base]],$H$5,FALSE))</f>
        <v>0.16803135574154085</v>
      </c>
      <c r="AV331" s="99" t="b">
        <f>S_normal27[[#This Row],[X base]]&lt;AS$5</f>
        <v>0</v>
      </c>
      <c r="AW331" s="99" t="b">
        <f>S_normal27[[#This Row],[X base]]=AS$5</f>
        <v>0</v>
      </c>
      <c r="AX331" s="99" t="b">
        <f>S_normal27[[#This Row],[X base]]&gt;AS$5</f>
        <v>1</v>
      </c>
      <c r="AY331" s="99" t="e">
        <f>IF(S_normal27[[#This Row],[Mindre end]],S_normal27[[#This Row],[Poissonfordeling]],NA())</f>
        <v>#N/A</v>
      </c>
      <c r="AZ331" s="99" t="e">
        <f>IF(S_normal27[[#This Row],[Lig med]],S_normal27[[#This Row],[Poissonfordeling]],NA())</f>
        <v>#N/A</v>
      </c>
      <c r="BA331" s="99">
        <f>IF(S_normal27[[#This Row],[Større end]],S_normal27[[#This Row],[Poissonfordeling]],NA())</f>
        <v>0.16803135574154085</v>
      </c>
      <c r="BB331" s="85" t="str">
        <f>_xlfn.IFNA(IF(MOD(S_normal27[[#This Row],[Indeks (base 0)]],AS$8)=ROUNDDOWN(AS$8/2,0),S_normal27[[#This Row],[X base]],""),"")</f>
        <v/>
      </c>
      <c r="BC331" s="99" t="str">
        <f t="shared" si="54"/>
        <v xml:space="preserve"> </v>
      </c>
    </row>
    <row r="332" spans="31:55" x14ac:dyDescent="0.2">
      <c r="AE332" s="54">
        <f t="shared" si="58"/>
        <v>319</v>
      </c>
      <c r="AF332" s="54">
        <f>S_binomial[[#This Row],[Indeks (base 0)]]+1</f>
        <v>320</v>
      </c>
      <c r="AG332" s="99">
        <f t="shared" si="59"/>
        <v>3</v>
      </c>
      <c r="AH332" s="99">
        <f>IF(MOD(S_binomial[[#This Row],[Indeks (base 0)]],AF$7)=0,NA(),_xlfn.BINOM.DIST(S_binomial[[#This Row],[X base]],E$5,E$6,FALSE))</f>
        <v>3.4906753280000008E-2</v>
      </c>
      <c r="AI332" s="99" t="b">
        <f>S_binomial[[#This Row],[X base]]&lt;AF$5</f>
        <v>1</v>
      </c>
      <c r="AJ332" s="99" t="b">
        <f>S_binomial[[#This Row],[X base]]=AF$5</f>
        <v>0</v>
      </c>
      <c r="AK332" s="99" t="b">
        <f>S_binomial[[#This Row],[X base]]&gt;AF$5</f>
        <v>0</v>
      </c>
      <c r="AL332" s="99">
        <f>IF(S_binomial[[#This Row],[Mindre end]],S_binomial[[#This Row],[Binomialfordeling]],NA())</f>
        <v>3.4906753280000008E-2</v>
      </c>
      <c r="AM332" s="99" t="e">
        <f>IF(S_binomial[[#This Row],[Lig med]],S_binomial[[#This Row],[Binomialfordeling]],NA())</f>
        <v>#N/A</v>
      </c>
      <c r="AN332" s="99" t="e">
        <f>IF(S_binomial[[#This Row],[Større end]],S_binomial[[#This Row],[Binomialfordeling]],NA())</f>
        <v>#N/A</v>
      </c>
      <c r="AO332" s="85" t="str">
        <f>_xlfn.IFNA(IF(MOD(S_binomial[[#This Row],[Indeks (base 0)]],AF$7)=ROUNDDOWN(AF$7/2,0),S_binomial[[#This Row],[X base]],""),"")</f>
        <v/>
      </c>
      <c r="AP332" s="99" t="str">
        <f t="shared" si="60"/>
        <v xml:space="preserve"> </v>
      </c>
      <c r="AR332" s="54">
        <f t="shared" si="53"/>
        <v>319</v>
      </c>
      <c r="AS332" s="54">
        <f>S_normal27[[#This Row],[Indeks (base 0)]]+1</f>
        <v>320</v>
      </c>
      <c r="AT332" s="54">
        <f t="shared" si="57"/>
        <v>4</v>
      </c>
      <c r="AU332" s="54">
        <f>IF(MOD(S_normal27[[#This Row],[Indeks (base 0)]],AS$8)=0,NA(),_xlfn.POISSON.DIST(S_normal27[[#This Row],[X base]],$H$5,FALSE))</f>
        <v>0.16803135574154085</v>
      </c>
      <c r="AV332" s="99" t="b">
        <f>S_normal27[[#This Row],[X base]]&lt;AS$5</f>
        <v>0</v>
      </c>
      <c r="AW332" s="99" t="b">
        <f>S_normal27[[#This Row],[X base]]=AS$5</f>
        <v>0</v>
      </c>
      <c r="AX332" s="99" t="b">
        <f>S_normal27[[#This Row],[X base]]&gt;AS$5</f>
        <v>1</v>
      </c>
      <c r="AY332" s="99" t="e">
        <f>IF(S_normal27[[#This Row],[Mindre end]],S_normal27[[#This Row],[Poissonfordeling]],NA())</f>
        <v>#N/A</v>
      </c>
      <c r="AZ332" s="99" t="e">
        <f>IF(S_normal27[[#This Row],[Lig med]],S_normal27[[#This Row],[Poissonfordeling]],NA())</f>
        <v>#N/A</v>
      </c>
      <c r="BA332" s="99">
        <f>IF(S_normal27[[#This Row],[Større end]],S_normal27[[#This Row],[Poissonfordeling]],NA())</f>
        <v>0.16803135574154085</v>
      </c>
      <c r="BB332" s="85" t="str">
        <f>_xlfn.IFNA(IF(MOD(S_normal27[[#This Row],[Indeks (base 0)]],AS$8)=ROUNDDOWN(AS$8/2,0),S_normal27[[#This Row],[X base]],""),"")</f>
        <v/>
      </c>
      <c r="BC332" s="99" t="str">
        <f t="shared" si="54"/>
        <v xml:space="preserve"> </v>
      </c>
    </row>
    <row r="333" spans="31:55" x14ac:dyDescent="0.2">
      <c r="AE333" s="54">
        <f t="shared" si="58"/>
        <v>320</v>
      </c>
      <c r="AF333" s="54">
        <f>S_binomial[[#This Row],[Indeks (base 0)]]+1</f>
        <v>321</v>
      </c>
      <c r="AG333" s="99">
        <f t="shared" si="59"/>
        <v>3</v>
      </c>
      <c r="AH333" s="99">
        <f>IF(MOD(S_binomial[[#This Row],[Indeks (base 0)]],AF$7)=0,NA(),_xlfn.BINOM.DIST(S_binomial[[#This Row],[X base]],E$5,E$6,FALSE))</f>
        <v>3.4906753280000008E-2</v>
      </c>
      <c r="AI333" s="99" t="b">
        <f>S_binomial[[#This Row],[X base]]&lt;AF$5</f>
        <v>1</v>
      </c>
      <c r="AJ333" s="99" t="b">
        <f>S_binomial[[#This Row],[X base]]=AF$5</f>
        <v>0</v>
      </c>
      <c r="AK333" s="99" t="b">
        <f>S_binomial[[#This Row],[X base]]&gt;AF$5</f>
        <v>0</v>
      </c>
      <c r="AL333" s="99">
        <f>IF(S_binomial[[#This Row],[Mindre end]],S_binomial[[#This Row],[Binomialfordeling]],NA())</f>
        <v>3.4906753280000008E-2</v>
      </c>
      <c r="AM333" s="99" t="e">
        <f>IF(S_binomial[[#This Row],[Lig med]],S_binomial[[#This Row],[Binomialfordeling]],NA())</f>
        <v>#N/A</v>
      </c>
      <c r="AN333" s="99" t="e">
        <f>IF(S_binomial[[#This Row],[Større end]],S_binomial[[#This Row],[Binomialfordeling]],NA())</f>
        <v>#N/A</v>
      </c>
      <c r="AO333" s="85" t="str">
        <f>_xlfn.IFNA(IF(MOD(S_binomial[[#This Row],[Indeks (base 0)]],AF$7)=ROUNDDOWN(AF$7/2,0),S_binomial[[#This Row],[X base]],""),"")</f>
        <v/>
      </c>
      <c r="AP333" s="99" t="str">
        <f t="shared" si="60"/>
        <v xml:space="preserve"> </v>
      </c>
      <c r="AR333" s="54">
        <f t="shared" ref="AR333:AR396" si="61">ROW(AR333)-ROW(AR$13)</f>
        <v>320</v>
      </c>
      <c r="AS333" s="54">
        <f>S_normal27[[#This Row],[Indeks (base 0)]]+1</f>
        <v>321</v>
      </c>
      <c r="AT333" s="54">
        <f t="shared" si="57"/>
        <v>4</v>
      </c>
      <c r="AU333" s="54">
        <f>IF(MOD(S_normal27[[#This Row],[Indeks (base 0)]],AS$8)=0,NA(),_xlfn.POISSON.DIST(S_normal27[[#This Row],[X base]],$H$5,FALSE))</f>
        <v>0.16803135574154085</v>
      </c>
      <c r="AV333" s="99" t="b">
        <f>S_normal27[[#This Row],[X base]]&lt;AS$5</f>
        <v>0</v>
      </c>
      <c r="AW333" s="99" t="b">
        <f>S_normal27[[#This Row],[X base]]=AS$5</f>
        <v>0</v>
      </c>
      <c r="AX333" s="99" t="b">
        <f>S_normal27[[#This Row],[X base]]&gt;AS$5</f>
        <v>1</v>
      </c>
      <c r="AY333" s="99" t="e">
        <f>IF(S_normal27[[#This Row],[Mindre end]],S_normal27[[#This Row],[Poissonfordeling]],NA())</f>
        <v>#N/A</v>
      </c>
      <c r="AZ333" s="99" t="e">
        <f>IF(S_normal27[[#This Row],[Lig med]],S_normal27[[#This Row],[Poissonfordeling]],NA())</f>
        <v>#N/A</v>
      </c>
      <c r="BA333" s="99">
        <f>IF(S_normal27[[#This Row],[Større end]],S_normal27[[#This Row],[Poissonfordeling]],NA())</f>
        <v>0.16803135574154085</v>
      </c>
      <c r="BB333" s="85" t="str">
        <f>_xlfn.IFNA(IF(MOD(S_normal27[[#This Row],[Indeks (base 0)]],AS$8)=ROUNDDOWN(AS$8/2,0),S_normal27[[#This Row],[X base]],""),"")</f>
        <v/>
      </c>
      <c r="BC333" s="99" t="str">
        <f t="shared" ref="BC333:BC396" si="62">_xlfn.IFNA(_xlfn.SWITCH(AS333,BA$7,BA$4,BA$8,BA$5,BA$9,BA$6," ")," ")</f>
        <v xml:space="preserve"> </v>
      </c>
    </row>
    <row r="334" spans="31:55" x14ac:dyDescent="0.2">
      <c r="AE334" s="54">
        <f t="shared" si="58"/>
        <v>321</v>
      </c>
      <c r="AF334" s="54">
        <f>S_binomial[[#This Row],[Indeks (base 0)]]+1</f>
        <v>322</v>
      </c>
      <c r="AG334" s="99">
        <f t="shared" si="59"/>
        <v>3</v>
      </c>
      <c r="AH334" s="99">
        <f>IF(MOD(S_binomial[[#This Row],[Indeks (base 0)]],AF$7)=0,NA(),_xlfn.BINOM.DIST(S_binomial[[#This Row],[X base]],E$5,E$6,FALSE))</f>
        <v>3.4906753280000008E-2</v>
      </c>
      <c r="AI334" s="99" t="b">
        <f>S_binomial[[#This Row],[X base]]&lt;AF$5</f>
        <v>1</v>
      </c>
      <c r="AJ334" s="99" t="b">
        <f>S_binomial[[#This Row],[X base]]=AF$5</f>
        <v>0</v>
      </c>
      <c r="AK334" s="99" t="b">
        <f>S_binomial[[#This Row],[X base]]&gt;AF$5</f>
        <v>0</v>
      </c>
      <c r="AL334" s="99">
        <f>IF(S_binomial[[#This Row],[Mindre end]],S_binomial[[#This Row],[Binomialfordeling]],NA())</f>
        <v>3.4906753280000008E-2</v>
      </c>
      <c r="AM334" s="99" t="e">
        <f>IF(S_binomial[[#This Row],[Lig med]],S_binomial[[#This Row],[Binomialfordeling]],NA())</f>
        <v>#N/A</v>
      </c>
      <c r="AN334" s="99" t="e">
        <f>IF(S_binomial[[#This Row],[Større end]],S_binomial[[#This Row],[Binomialfordeling]],NA())</f>
        <v>#N/A</v>
      </c>
      <c r="AO334" s="85" t="str">
        <f>_xlfn.IFNA(IF(MOD(S_binomial[[#This Row],[Indeks (base 0)]],AF$7)=ROUNDDOWN(AF$7/2,0),S_binomial[[#This Row],[X base]],""),"")</f>
        <v/>
      </c>
      <c r="AP334" s="99" t="str">
        <f t="shared" si="60"/>
        <v xml:space="preserve"> </v>
      </c>
      <c r="AR334" s="54">
        <f t="shared" si="61"/>
        <v>321</v>
      </c>
      <c r="AS334" s="54">
        <f>S_normal27[[#This Row],[Indeks (base 0)]]+1</f>
        <v>322</v>
      </c>
      <c r="AT334" s="54">
        <f t="shared" ref="AT334:AT397" si="63">IF(AR334&lt;AS$9,ROUNDDOWN(AR334/AS$8,0),NA())</f>
        <v>4</v>
      </c>
      <c r="AU334" s="54">
        <f>IF(MOD(S_normal27[[#This Row],[Indeks (base 0)]],AS$8)=0,NA(),_xlfn.POISSON.DIST(S_normal27[[#This Row],[X base]],$H$5,FALSE))</f>
        <v>0.16803135574154085</v>
      </c>
      <c r="AV334" s="99" t="b">
        <f>S_normal27[[#This Row],[X base]]&lt;AS$5</f>
        <v>0</v>
      </c>
      <c r="AW334" s="99" t="b">
        <f>S_normal27[[#This Row],[X base]]=AS$5</f>
        <v>0</v>
      </c>
      <c r="AX334" s="99" t="b">
        <f>S_normal27[[#This Row],[X base]]&gt;AS$5</f>
        <v>1</v>
      </c>
      <c r="AY334" s="99" t="e">
        <f>IF(S_normal27[[#This Row],[Mindre end]],S_normal27[[#This Row],[Poissonfordeling]],NA())</f>
        <v>#N/A</v>
      </c>
      <c r="AZ334" s="99" t="e">
        <f>IF(S_normal27[[#This Row],[Lig med]],S_normal27[[#This Row],[Poissonfordeling]],NA())</f>
        <v>#N/A</v>
      </c>
      <c r="BA334" s="99">
        <f>IF(S_normal27[[#This Row],[Større end]],S_normal27[[#This Row],[Poissonfordeling]],NA())</f>
        <v>0.16803135574154085</v>
      </c>
      <c r="BB334" s="85" t="str">
        <f>_xlfn.IFNA(IF(MOD(S_normal27[[#This Row],[Indeks (base 0)]],AS$8)=ROUNDDOWN(AS$8/2,0),S_normal27[[#This Row],[X base]],""),"")</f>
        <v/>
      </c>
      <c r="BC334" s="99" t="str">
        <f t="shared" si="62"/>
        <v xml:space="preserve"> </v>
      </c>
    </row>
    <row r="335" spans="31:55" x14ac:dyDescent="0.2">
      <c r="AE335" s="54">
        <f t="shared" si="58"/>
        <v>322</v>
      </c>
      <c r="AF335" s="54">
        <f>S_binomial[[#This Row],[Indeks (base 0)]]+1</f>
        <v>323</v>
      </c>
      <c r="AG335" s="99">
        <f t="shared" si="59"/>
        <v>3</v>
      </c>
      <c r="AH335" s="99">
        <f>IF(MOD(S_binomial[[#This Row],[Indeks (base 0)]],AF$7)=0,NA(),_xlfn.BINOM.DIST(S_binomial[[#This Row],[X base]],E$5,E$6,FALSE))</f>
        <v>3.4906753280000008E-2</v>
      </c>
      <c r="AI335" s="99" t="b">
        <f>S_binomial[[#This Row],[X base]]&lt;AF$5</f>
        <v>1</v>
      </c>
      <c r="AJ335" s="99" t="b">
        <f>S_binomial[[#This Row],[X base]]=AF$5</f>
        <v>0</v>
      </c>
      <c r="AK335" s="99" t="b">
        <f>S_binomial[[#This Row],[X base]]&gt;AF$5</f>
        <v>0</v>
      </c>
      <c r="AL335" s="99">
        <f>IF(S_binomial[[#This Row],[Mindre end]],S_binomial[[#This Row],[Binomialfordeling]],NA())</f>
        <v>3.4906753280000008E-2</v>
      </c>
      <c r="AM335" s="99" t="e">
        <f>IF(S_binomial[[#This Row],[Lig med]],S_binomial[[#This Row],[Binomialfordeling]],NA())</f>
        <v>#N/A</v>
      </c>
      <c r="AN335" s="99" t="e">
        <f>IF(S_binomial[[#This Row],[Større end]],S_binomial[[#This Row],[Binomialfordeling]],NA())</f>
        <v>#N/A</v>
      </c>
      <c r="AO335" s="85">
        <f>_xlfn.IFNA(IF(MOD(S_binomial[[#This Row],[Indeks (base 0)]],AF$7)=ROUNDDOWN(AF$7/2,0),S_binomial[[#This Row],[X base]],""),"")</f>
        <v>3</v>
      </c>
      <c r="AP335" s="99" t="str">
        <f t="shared" si="60"/>
        <v xml:space="preserve"> </v>
      </c>
      <c r="AR335" s="54">
        <f t="shared" si="61"/>
        <v>322</v>
      </c>
      <c r="AS335" s="54">
        <f>S_normal27[[#This Row],[Indeks (base 0)]]+1</f>
        <v>323</v>
      </c>
      <c r="AT335" s="54">
        <f t="shared" si="63"/>
        <v>4</v>
      </c>
      <c r="AU335" s="54">
        <f>IF(MOD(S_normal27[[#This Row],[Indeks (base 0)]],AS$8)=0,NA(),_xlfn.POISSON.DIST(S_normal27[[#This Row],[X base]],$H$5,FALSE))</f>
        <v>0.16803135574154085</v>
      </c>
      <c r="AV335" s="99" t="b">
        <f>S_normal27[[#This Row],[X base]]&lt;AS$5</f>
        <v>0</v>
      </c>
      <c r="AW335" s="99" t="b">
        <f>S_normal27[[#This Row],[X base]]=AS$5</f>
        <v>0</v>
      </c>
      <c r="AX335" s="99" t="b">
        <f>S_normal27[[#This Row],[X base]]&gt;AS$5</f>
        <v>1</v>
      </c>
      <c r="AY335" s="99" t="e">
        <f>IF(S_normal27[[#This Row],[Mindre end]],S_normal27[[#This Row],[Poissonfordeling]],NA())</f>
        <v>#N/A</v>
      </c>
      <c r="AZ335" s="99" t="e">
        <f>IF(S_normal27[[#This Row],[Lig med]],S_normal27[[#This Row],[Poissonfordeling]],NA())</f>
        <v>#N/A</v>
      </c>
      <c r="BA335" s="99">
        <f>IF(S_normal27[[#This Row],[Større end]],S_normal27[[#This Row],[Poissonfordeling]],NA())</f>
        <v>0.16803135574154085</v>
      </c>
      <c r="BB335" s="85" t="str">
        <f>_xlfn.IFNA(IF(MOD(S_normal27[[#This Row],[Indeks (base 0)]],AS$8)=ROUNDDOWN(AS$8/2,0),S_normal27[[#This Row],[X base]],""),"")</f>
        <v/>
      </c>
      <c r="BC335" s="99" t="str">
        <f t="shared" si="62"/>
        <v xml:space="preserve"> </v>
      </c>
    </row>
    <row r="336" spans="31:55" x14ac:dyDescent="0.2">
      <c r="AE336" s="54">
        <f t="shared" ref="AE336:AE399" si="64">ROW(AE336)-ROW(AE$13)</f>
        <v>323</v>
      </c>
      <c r="AF336" s="54">
        <f>S_binomial[[#This Row],[Indeks (base 0)]]+1</f>
        <v>324</v>
      </c>
      <c r="AG336" s="99">
        <f t="shared" ref="AG336:AG399" si="65">IF(AE336&lt;AF$8,ROUNDDOWN(AE336/AF$7,0),NA())</f>
        <v>3</v>
      </c>
      <c r="AH336" s="99">
        <f>IF(MOD(S_binomial[[#This Row],[Indeks (base 0)]],AF$7)=0,NA(),_xlfn.BINOM.DIST(S_binomial[[#This Row],[X base]],E$5,E$6,FALSE))</f>
        <v>3.4906753280000008E-2</v>
      </c>
      <c r="AI336" s="99" t="b">
        <f>S_binomial[[#This Row],[X base]]&lt;AF$5</f>
        <v>1</v>
      </c>
      <c r="AJ336" s="99" t="b">
        <f>S_binomial[[#This Row],[X base]]=AF$5</f>
        <v>0</v>
      </c>
      <c r="AK336" s="99" t="b">
        <f>S_binomial[[#This Row],[X base]]&gt;AF$5</f>
        <v>0</v>
      </c>
      <c r="AL336" s="99">
        <f>IF(S_binomial[[#This Row],[Mindre end]],S_binomial[[#This Row],[Binomialfordeling]],NA())</f>
        <v>3.4906753280000008E-2</v>
      </c>
      <c r="AM336" s="99" t="e">
        <f>IF(S_binomial[[#This Row],[Lig med]],S_binomial[[#This Row],[Binomialfordeling]],NA())</f>
        <v>#N/A</v>
      </c>
      <c r="AN336" s="99" t="e">
        <f>IF(S_binomial[[#This Row],[Større end]],S_binomial[[#This Row],[Binomialfordeling]],NA())</f>
        <v>#N/A</v>
      </c>
      <c r="AO336" s="85" t="str">
        <f>_xlfn.IFNA(IF(MOD(S_binomial[[#This Row],[Indeks (base 0)]],AF$7)=ROUNDDOWN(AF$7/2,0),S_binomial[[#This Row],[X base]],""),"")</f>
        <v/>
      </c>
      <c r="AP336" s="99" t="str">
        <f t="shared" ref="AP336:AP399" si="66">_xlfn.IFNA(_xlfn.SWITCH(AF336,AN$7,AN$4,AN$8,AN$5,AN$9,AN$6," ")," ")</f>
        <v xml:space="preserve"> </v>
      </c>
      <c r="AR336" s="54">
        <f t="shared" si="61"/>
        <v>323</v>
      </c>
      <c r="AS336" s="54">
        <f>S_normal27[[#This Row],[Indeks (base 0)]]+1</f>
        <v>324</v>
      </c>
      <c r="AT336" s="54">
        <f t="shared" si="63"/>
        <v>4</v>
      </c>
      <c r="AU336" s="54">
        <f>IF(MOD(S_normal27[[#This Row],[Indeks (base 0)]],AS$8)=0,NA(),_xlfn.POISSON.DIST(S_normal27[[#This Row],[X base]],$H$5,FALSE))</f>
        <v>0.16803135574154085</v>
      </c>
      <c r="AV336" s="99" t="b">
        <f>S_normal27[[#This Row],[X base]]&lt;AS$5</f>
        <v>0</v>
      </c>
      <c r="AW336" s="99" t="b">
        <f>S_normal27[[#This Row],[X base]]=AS$5</f>
        <v>0</v>
      </c>
      <c r="AX336" s="99" t="b">
        <f>S_normal27[[#This Row],[X base]]&gt;AS$5</f>
        <v>1</v>
      </c>
      <c r="AY336" s="99" t="e">
        <f>IF(S_normal27[[#This Row],[Mindre end]],S_normal27[[#This Row],[Poissonfordeling]],NA())</f>
        <v>#N/A</v>
      </c>
      <c r="AZ336" s="99" t="e">
        <f>IF(S_normal27[[#This Row],[Lig med]],S_normal27[[#This Row],[Poissonfordeling]],NA())</f>
        <v>#N/A</v>
      </c>
      <c r="BA336" s="99">
        <f>IF(S_normal27[[#This Row],[Større end]],S_normal27[[#This Row],[Poissonfordeling]],NA())</f>
        <v>0.16803135574154085</v>
      </c>
      <c r="BB336" s="85" t="str">
        <f>_xlfn.IFNA(IF(MOD(S_normal27[[#This Row],[Indeks (base 0)]],AS$8)=ROUNDDOWN(AS$8/2,0),S_normal27[[#This Row],[X base]],""),"")</f>
        <v/>
      </c>
      <c r="BC336" s="99" t="str">
        <f t="shared" si="62"/>
        <v xml:space="preserve"> </v>
      </c>
    </row>
    <row r="337" spans="31:55" x14ac:dyDescent="0.2">
      <c r="AE337" s="54">
        <f t="shared" si="64"/>
        <v>324</v>
      </c>
      <c r="AF337" s="54">
        <f>S_binomial[[#This Row],[Indeks (base 0)]]+1</f>
        <v>325</v>
      </c>
      <c r="AG337" s="99">
        <f t="shared" si="65"/>
        <v>3</v>
      </c>
      <c r="AH337" s="99">
        <f>IF(MOD(S_binomial[[#This Row],[Indeks (base 0)]],AF$7)=0,NA(),_xlfn.BINOM.DIST(S_binomial[[#This Row],[X base]],E$5,E$6,FALSE))</f>
        <v>3.4906753280000008E-2</v>
      </c>
      <c r="AI337" s="99" t="b">
        <f>S_binomial[[#This Row],[X base]]&lt;AF$5</f>
        <v>1</v>
      </c>
      <c r="AJ337" s="99" t="b">
        <f>S_binomial[[#This Row],[X base]]=AF$5</f>
        <v>0</v>
      </c>
      <c r="AK337" s="99" t="b">
        <f>S_binomial[[#This Row],[X base]]&gt;AF$5</f>
        <v>0</v>
      </c>
      <c r="AL337" s="99">
        <f>IF(S_binomial[[#This Row],[Mindre end]],S_binomial[[#This Row],[Binomialfordeling]],NA())</f>
        <v>3.4906753280000008E-2</v>
      </c>
      <c r="AM337" s="99" t="e">
        <f>IF(S_binomial[[#This Row],[Lig med]],S_binomial[[#This Row],[Binomialfordeling]],NA())</f>
        <v>#N/A</v>
      </c>
      <c r="AN337" s="99" t="e">
        <f>IF(S_binomial[[#This Row],[Større end]],S_binomial[[#This Row],[Binomialfordeling]],NA())</f>
        <v>#N/A</v>
      </c>
      <c r="AO337" s="85" t="str">
        <f>_xlfn.IFNA(IF(MOD(S_binomial[[#This Row],[Indeks (base 0)]],AF$7)=ROUNDDOWN(AF$7/2,0),S_binomial[[#This Row],[X base]],""),"")</f>
        <v/>
      </c>
      <c r="AP337" s="99" t="str">
        <f t="shared" si="66"/>
        <v xml:space="preserve"> </v>
      </c>
      <c r="AR337" s="54">
        <f t="shared" si="61"/>
        <v>324</v>
      </c>
      <c r="AS337" s="54">
        <f>S_normal27[[#This Row],[Indeks (base 0)]]+1</f>
        <v>325</v>
      </c>
      <c r="AT337" s="54">
        <f t="shared" si="63"/>
        <v>4</v>
      </c>
      <c r="AU337" s="54">
        <f>IF(MOD(S_normal27[[#This Row],[Indeks (base 0)]],AS$8)=0,NA(),_xlfn.POISSON.DIST(S_normal27[[#This Row],[X base]],$H$5,FALSE))</f>
        <v>0.16803135574154085</v>
      </c>
      <c r="AV337" s="99" t="b">
        <f>S_normal27[[#This Row],[X base]]&lt;AS$5</f>
        <v>0</v>
      </c>
      <c r="AW337" s="99" t="b">
        <f>S_normal27[[#This Row],[X base]]=AS$5</f>
        <v>0</v>
      </c>
      <c r="AX337" s="99" t="b">
        <f>S_normal27[[#This Row],[X base]]&gt;AS$5</f>
        <v>1</v>
      </c>
      <c r="AY337" s="99" t="e">
        <f>IF(S_normal27[[#This Row],[Mindre end]],S_normal27[[#This Row],[Poissonfordeling]],NA())</f>
        <v>#N/A</v>
      </c>
      <c r="AZ337" s="99" t="e">
        <f>IF(S_normal27[[#This Row],[Lig med]],S_normal27[[#This Row],[Poissonfordeling]],NA())</f>
        <v>#N/A</v>
      </c>
      <c r="BA337" s="99">
        <f>IF(S_normal27[[#This Row],[Større end]],S_normal27[[#This Row],[Poissonfordeling]],NA())</f>
        <v>0.16803135574154085</v>
      </c>
      <c r="BB337" s="85" t="str">
        <f>_xlfn.IFNA(IF(MOD(S_normal27[[#This Row],[Indeks (base 0)]],AS$8)=ROUNDDOWN(AS$8/2,0),S_normal27[[#This Row],[X base]],""),"")</f>
        <v/>
      </c>
      <c r="BC337" s="99" t="str">
        <f t="shared" si="62"/>
        <v xml:space="preserve"> </v>
      </c>
    </row>
    <row r="338" spans="31:55" x14ac:dyDescent="0.2">
      <c r="AE338" s="54">
        <f t="shared" si="64"/>
        <v>325</v>
      </c>
      <c r="AF338" s="54">
        <f>S_binomial[[#This Row],[Indeks (base 0)]]+1</f>
        <v>326</v>
      </c>
      <c r="AG338" s="99">
        <f t="shared" si="65"/>
        <v>3</v>
      </c>
      <c r="AH338" s="99">
        <f>IF(MOD(S_binomial[[#This Row],[Indeks (base 0)]],AF$7)=0,NA(),_xlfn.BINOM.DIST(S_binomial[[#This Row],[X base]],E$5,E$6,FALSE))</f>
        <v>3.4906753280000008E-2</v>
      </c>
      <c r="AI338" s="99" t="b">
        <f>S_binomial[[#This Row],[X base]]&lt;AF$5</f>
        <v>1</v>
      </c>
      <c r="AJ338" s="99" t="b">
        <f>S_binomial[[#This Row],[X base]]=AF$5</f>
        <v>0</v>
      </c>
      <c r="AK338" s="99" t="b">
        <f>S_binomial[[#This Row],[X base]]&gt;AF$5</f>
        <v>0</v>
      </c>
      <c r="AL338" s="99">
        <f>IF(S_binomial[[#This Row],[Mindre end]],S_binomial[[#This Row],[Binomialfordeling]],NA())</f>
        <v>3.4906753280000008E-2</v>
      </c>
      <c r="AM338" s="99" t="e">
        <f>IF(S_binomial[[#This Row],[Lig med]],S_binomial[[#This Row],[Binomialfordeling]],NA())</f>
        <v>#N/A</v>
      </c>
      <c r="AN338" s="99" t="e">
        <f>IF(S_binomial[[#This Row],[Større end]],S_binomial[[#This Row],[Binomialfordeling]],NA())</f>
        <v>#N/A</v>
      </c>
      <c r="AO338" s="85" t="str">
        <f>_xlfn.IFNA(IF(MOD(S_binomial[[#This Row],[Indeks (base 0)]],AF$7)=ROUNDDOWN(AF$7/2,0),S_binomial[[#This Row],[X base]],""),"")</f>
        <v/>
      </c>
      <c r="AP338" s="99" t="str">
        <f t="shared" si="66"/>
        <v xml:space="preserve"> </v>
      </c>
      <c r="AR338" s="54">
        <f t="shared" si="61"/>
        <v>325</v>
      </c>
      <c r="AS338" s="54">
        <f>S_normal27[[#This Row],[Indeks (base 0)]]+1</f>
        <v>326</v>
      </c>
      <c r="AT338" s="54">
        <f t="shared" si="63"/>
        <v>5</v>
      </c>
      <c r="AU338" s="54" t="e">
        <f>IF(MOD(S_normal27[[#This Row],[Indeks (base 0)]],AS$8)=0,NA(),_xlfn.POISSON.DIST(S_normal27[[#This Row],[X base]],$H$5,FALSE))</f>
        <v>#N/A</v>
      </c>
      <c r="AV338" s="99" t="b">
        <f>S_normal27[[#This Row],[X base]]&lt;AS$5</f>
        <v>0</v>
      </c>
      <c r="AW338" s="99" t="b">
        <f>S_normal27[[#This Row],[X base]]=AS$5</f>
        <v>0</v>
      </c>
      <c r="AX338" s="99" t="b">
        <f>S_normal27[[#This Row],[X base]]&gt;AS$5</f>
        <v>1</v>
      </c>
      <c r="AY338" s="99" t="e">
        <f>IF(S_normal27[[#This Row],[Mindre end]],S_normal27[[#This Row],[Poissonfordeling]],NA())</f>
        <v>#N/A</v>
      </c>
      <c r="AZ338" s="99" t="e">
        <f>IF(S_normal27[[#This Row],[Lig med]],S_normal27[[#This Row],[Poissonfordeling]],NA())</f>
        <v>#N/A</v>
      </c>
      <c r="BA338" s="99" t="e">
        <f>IF(S_normal27[[#This Row],[Større end]],S_normal27[[#This Row],[Poissonfordeling]],NA())</f>
        <v>#N/A</v>
      </c>
      <c r="BB338" s="85" t="str">
        <f>_xlfn.IFNA(IF(MOD(S_normal27[[#This Row],[Indeks (base 0)]],AS$8)=ROUNDDOWN(AS$8/2,0),S_normal27[[#This Row],[X base]],""),"")</f>
        <v/>
      </c>
      <c r="BC338" s="99" t="str">
        <f t="shared" si="62"/>
        <v xml:space="preserve"> </v>
      </c>
    </row>
    <row r="339" spans="31:55" x14ac:dyDescent="0.2">
      <c r="AE339" s="54">
        <f t="shared" si="64"/>
        <v>326</v>
      </c>
      <c r="AF339" s="54">
        <f>S_binomial[[#This Row],[Indeks (base 0)]]+1</f>
        <v>327</v>
      </c>
      <c r="AG339" s="99">
        <f t="shared" si="65"/>
        <v>3</v>
      </c>
      <c r="AH339" s="99">
        <f>IF(MOD(S_binomial[[#This Row],[Indeks (base 0)]],AF$7)=0,NA(),_xlfn.BINOM.DIST(S_binomial[[#This Row],[X base]],E$5,E$6,FALSE))</f>
        <v>3.4906753280000008E-2</v>
      </c>
      <c r="AI339" s="99" t="b">
        <f>S_binomial[[#This Row],[X base]]&lt;AF$5</f>
        <v>1</v>
      </c>
      <c r="AJ339" s="99" t="b">
        <f>S_binomial[[#This Row],[X base]]=AF$5</f>
        <v>0</v>
      </c>
      <c r="AK339" s="99" t="b">
        <f>S_binomial[[#This Row],[X base]]&gt;AF$5</f>
        <v>0</v>
      </c>
      <c r="AL339" s="99">
        <f>IF(S_binomial[[#This Row],[Mindre end]],S_binomial[[#This Row],[Binomialfordeling]],NA())</f>
        <v>3.4906753280000008E-2</v>
      </c>
      <c r="AM339" s="99" t="e">
        <f>IF(S_binomial[[#This Row],[Lig med]],S_binomial[[#This Row],[Binomialfordeling]],NA())</f>
        <v>#N/A</v>
      </c>
      <c r="AN339" s="99" t="e">
        <f>IF(S_binomial[[#This Row],[Større end]],S_binomial[[#This Row],[Binomialfordeling]],NA())</f>
        <v>#N/A</v>
      </c>
      <c r="AO339" s="85" t="str">
        <f>_xlfn.IFNA(IF(MOD(S_binomial[[#This Row],[Indeks (base 0)]],AF$7)=ROUNDDOWN(AF$7/2,0),S_binomial[[#This Row],[X base]],""),"")</f>
        <v/>
      </c>
      <c r="AP339" s="99" t="str">
        <f t="shared" si="66"/>
        <v xml:space="preserve"> </v>
      </c>
      <c r="AR339" s="54">
        <f t="shared" si="61"/>
        <v>326</v>
      </c>
      <c r="AS339" s="54">
        <f>S_normal27[[#This Row],[Indeks (base 0)]]+1</f>
        <v>327</v>
      </c>
      <c r="AT339" s="54">
        <f t="shared" si="63"/>
        <v>5</v>
      </c>
      <c r="AU339" s="54">
        <f>IF(MOD(S_normal27[[#This Row],[Indeks (base 0)]],AS$8)=0,NA(),_xlfn.POISSON.DIST(S_normal27[[#This Row],[X base]],$H$5,FALSE))</f>
        <v>0.10081881344492449</v>
      </c>
      <c r="AV339" s="99" t="b">
        <f>S_normal27[[#This Row],[X base]]&lt;AS$5</f>
        <v>0</v>
      </c>
      <c r="AW339" s="99" t="b">
        <f>S_normal27[[#This Row],[X base]]=AS$5</f>
        <v>0</v>
      </c>
      <c r="AX339" s="99" t="b">
        <f>S_normal27[[#This Row],[X base]]&gt;AS$5</f>
        <v>1</v>
      </c>
      <c r="AY339" s="99" t="e">
        <f>IF(S_normal27[[#This Row],[Mindre end]],S_normal27[[#This Row],[Poissonfordeling]],NA())</f>
        <v>#N/A</v>
      </c>
      <c r="AZ339" s="99" t="e">
        <f>IF(S_normal27[[#This Row],[Lig med]],S_normal27[[#This Row],[Poissonfordeling]],NA())</f>
        <v>#N/A</v>
      </c>
      <c r="BA339" s="99">
        <f>IF(S_normal27[[#This Row],[Større end]],S_normal27[[#This Row],[Poissonfordeling]],NA())</f>
        <v>0.10081881344492449</v>
      </c>
      <c r="BB339" s="85" t="str">
        <f>_xlfn.IFNA(IF(MOD(S_normal27[[#This Row],[Indeks (base 0)]],AS$8)=ROUNDDOWN(AS$8/2,0),S_normal27[[#This Row],[X base]],""),"")</f>
        <v/>
      </c>
      <c r="BC339" s="99" t="str">
        <f t="shared" si="62"/>
        <v xml:space="preserve"> </v>
      </c>
    </row>
    <row r="340" spans="31:55" x14ac:dyDescent="0.2">
      <c r="AE340" s="54">
        <f t="shared" si="64"/>
        <v>327</v>
      </c>
      <c r="AF340" s="54">
        <f>S_binomial[[#This Row],[Indeks (base 0)]]+1</f>
        <v>328</v>
      </c>
      <c r="AG340" s="99">
        <f t="shared" si="65"/>
        <v>3</v>
      </c>
      <c r="AH340" s="99">
        <f>IF(MOD(S_binomial[[#This Row],[Indeks (base 0)]],AF$7)=0,NA(),_xlfn.BINOM.DIST(S_binomial[[#This Row],[X base]],E$5,E$6,FALSE))</f>
        <v>3.4906753280000008E-2</v>
      </c>
      <c r="AI340" s="99" t="b">
        <f>S_binomial[[#This Row],[X base]]&lt;AF$5</f>
        <v>1</v>
      </c>
      <c r="AJ340" s="99" t="b">
        <f>S_binomial[[#This Row],[X base]]=AF$5</f>
        <v>0</v>
      </c>
      <c r="AK340" s="99" t="b">
        <f>S_binomial[[#This Row],[X base]]&gt;AF$5</f>
        <v>0</v>
      </c>
      <c r="AL340" s="99">
        <f>IF(S_binomial[[#This Row],[Mindre end]],S_binomial[[#This Row],[Binomialfordeling]],NA())</f>
        <v>3.4906753280000008E-2</v>
      </c>
      <c r="AM340" s="99" t="e">
        <f>IF(S_binomial[[#This Row],[Lig med]],S_binomial[[#This Row],[Binomialfordeling]],NA())</f>
        <v>#N/A</v>
      </c>
      <c r="AN340" s="99" t="e">
        <f>IF(S_binomial[[#This Row],[Større end]],S_binomial[[#This Row],[Binomialfordeling]],NA())</f>
        <v>#N/A</v>
      </c>
      <c r="AO340" s="85" t="str">
        <f>_xlfn.IFNA(IF(MOD(S_binomial[[#This Row],[Indeks (base 0)]],AF$7)=ROUNDDOWN(AF$7/2,0),S_binomial[[#This Row],[X base]],""),"")</f>
        <v/>
      </c>
      <c r="AP340" s="99" t="str">
        <f t="shared" si="66"/>
        <v xml:space="preserve"> </v>
      </c>
      <c r="AR340" s="54">
        <f t="shared" si="61"/>
        <v>327</v>
      </c>
      <c r="AS340" s="54">
        <f>S_normal27[[#This Row],[Indeks (base 0)]]+1</f>
        <v>328</v>
      </c>
      <c r="AT340" s="54">
        <f t="shared" si="63"/>
        <v>5</v>
      </c>
      <c r="AU340" s="54">
        <f>IF(MOD(S_normal27[[#This Row],[Indeks (base 0)]],AS$8)=0,NA(),_xlfn.POISSON.DIST(S_normal27[[#This Row],[X base]],$H$5,FALSE))</f>
        <v>0.10081881344492449</v>
      </c>
      <c r="AV340" s="99" t="b">
        <f>S_normal27[[#This Row],[X base]]&lt;AS$5</f>
        <v>0</v>
      </c>
      <c r="AW340" s="99" t="b">
        <f>S_normal27[[#This Row],[X base]]=AS$5</f>
        <v>0</v>
      </c>
      <c r="AX340" s="99" t="b">
        <f>S_normal27[[#This Row],[X base]]&gt;AS$5</f>
        <v>1</v>
      </c>
      <c r="AY340" s="99" t="e">
        <f>IF(S_normal27[[#This Row],[Mindre end]],S_normal27[[#This Row],[Poissonfordeling]],NA())</f>
        <v>#N/A</v>
      </c>
      <c r="AZ340" s="99" t="e">
        <f>IF(S_normal27[[#This Row],[Lig med]],S_normal27[[#This Row],[Poissonfordeling]],NA())</f>
        <v>#N/A</v>
      </c>
      <c r="BA340" s="99">
        <f>IF(S_normal27[[#This Row],[Større end]],S_normal27[[#This Row],[Poissonfordeling]],NA())</f>
        <v>0.10081881344492449</v>
      </c>
      <c r="BB340" s="85" t="str">
        <f>_xlfn.IFNA(IF(MOD(S_normal27[[#This Row],[Indeks (base 0)]],AS$8)=ROUNDDOWN(AS$8/2,0),S_normal27[[#This Row],[X base]],""),"")</f>
        <v/>
      </c>
      <c r="BC340" s="99" t="str">
        <f t="shared" si="62"/>
        <v xml:space="preserve"> </v>
      </c>
    </row>
    <row r="341" spans="31:55" x14ac:dyDescent="0.2">
      <c r="AE341" s="54">
        <f t="shared" si="64"/>
        <v>328</v>
      </c>
      <c r="AF341" s="54">
        <f>S_binomial[[#This Row],[Indeks (base 0)]]+1</f>
        <v>329</v>
      </c>
      <c r="AG341" s="99">
        <f t="shared" si="65"/>
        <v>3</v>
      </c>
      <c r="AH341" s="99">
        <f>IF(MOD(S_binomial[[#This Row],[Indeks (base 0)]],AF$7)=0,NA(),_xlfn.BINOM.DIST(S_binomial[[#This Row],[X base]],E$5,E$6,FALSE))</f>
        <v>3.4906753280000008E-2</v>
      </c>
      <c r="AI341" s="99" t="b">
        <f>S_binomial[[#This Row],[X base]]&lt;AF$5</f>
        <v>1</v>
      </c>
      <c r="AJ341" s="99" t="b">
        <f>S_binomial[[#This Row],[X base]]=AF$5</f>
        <v>0</v>
      </c>
      <c r="AK341" s="99" t="b">
        <f>S_binomial[[#This Row],[X base]]&gt;AF$5</f>
        <v>0</v>
      </c>
      <c r="AL341" s="99">
        <f>IF(S_binomial[[#This Row],[Mindre end]],S_binomial[[#This Row],[Binomialfordeling]],NA())</f>
        <v>3.4906753280000008E-2</v>
      </c>
      <c r="AM341" s="99" t="e">
        <f>IF(S_binomial[[#This Row],[Lig med]],S_binomial[[#This Row],[Binomialfordeling]],NA())</f>
        <v>#N/A</v>
      </c>
      <c r="AN341" s="99" t="e">
        <f>IF(S_binomial[[#This Row],[Større end]],S_binomial[[#This Row],[Binomialfordeling]],NA())</f>
        <v>#N/A</v>
      </c>
      <c r="AO341" s="85" t="str">
        <f>_xlfn.IFNA(IF(MOD(S_binomial[[#This Row],[Indeks (base 0)]],AF$7)=ROUNDDOWN(AF$7/2,0),S_binomial[[#This Row],[X base]],""),"")</f>
        <v/>
      </c>
      <c r="AP341" s="99" t="str">
        <f t="shared" si="66"/>
        <v xml:space="preserve"> </v>
      </c>
      <c r="AR341" s="54">
        <f t="shared" si="61"/>
        <v>328</v>
      </c>
      <c r="AS341" s="54">
        <f>S_normal27[[#This Row],[Indeks (base 0)]]+1</f>
        <v>329</v>
      </c>
      <c r="AT341" s="54">
        <f t="shared" si="63"/>
        <v>5</v>
      </c>
      <c r="AU341" s="54">
        <f>IF(MOD(S_normal27[[#This Row],[Indeks (base 0)]],AS$8)=0,NA(),_xlfn.POISSON.DIST(S_normal27[[#This Row],[X base]],$H$5,FALSE))</f>
        <v>0.10081881344492449</v>
      </c>
      <c r="AV341" s="99" t="b">
        <f>S_normal27[[#This Row],[X base]]&lt;AS$5</f>
        <v>0</v>
      </c>
      <c r="AW341" s="99" t="b">
        <f>S_normal27[[#This Row],[X base]]=AS$5</f>
        <v>0</v>
      </c>
      <c r="AX341" s="99" t="b">
        <f>S_normal27[[#This Row],[X base]]&gt;AS$5</f>
        <v>1</v>
      </c>
      <c r="AY341" s="99" t="e">
        <f>IF(S_normal27[[#This Row],[Mindre end]],S_normal27[[#This Row],[Poissonfordeling]],NA())</f>
        <v>#N/A</v>
      </c>
      <c r="AZ341" s="99" t="e">
        <f>IF(S_normal27[[#This Row],[Lig med]],S_normal27[[#This Row],[Poissonfordeling]],NA())</f>
        <v>#N/A</v>
      </c>
      <c r="BA341" s="99">
        <f>IF(S_normal27[[#This Row],[Større end]],S_normal27[[#This Row],[Poissonfordeling]],NA())</f>
        <v>0.10081881344492449</v>
      </c>
      <c r="BB341" s="85" t="str">
        <f>_xlfn.IFNA(IF(MOD(S_normal27[[#This Row],[Indeks (base 0)]],AS$8)=ROUNDDOWN(AS$8/2,0),S_normal27[[#This Row],[X base]],""),"")</f>
        <v/>
      </c>
      <c r="BC341" s="99" t="str">
        <f t="shared" si="62"/>
        <v xml:space="preserve"> </v>
      </c>
    </row>
    <row r="342" spans="31:55" x14ac:dyDescent="0.2">
      <c r="AE342" s="54">
        <f t="shared" si="64"/>
        <v>329</v>
      </c>
      <c r="AF342" s="54">
        <f>S_binomial[[#This Row],[Indeks (base 0)]]+1</f>
        <v>330</v>
      </c>
      <c r="AG342" s="99">
        <f t="shared" si="65"/>
        <v>3</v>
      </c>
      <c r="AH342" s="99">
        <f>IF(MOD(S_binomial[[#This Row],[Indeks (base 0)]],AF$7)=0,NA(),_xlfn.BINOM.DIST(S_binomial[[#This Row],[X base]],E$5,E$6,FALSE))</f>
        <v>3.4906753280000008E-2</v>
      </c>
      <c r="AI342" s="99" t="b">
        <f>S_binomial[[#This Row],[X base]]&lt;AF$5</f>
        <v>1</v>
      </c>
      <c r="AJ342" s="99" t="b">
        <f>S_binomial[[#This Row],[X base]]=AF$5</f>
        <v>0</v>
      </c>
      <c r="AK342" s="99" t="b">
        <f>S_binomial[[#This Row],[X base]]&gt;AF$5</f>
        <v>0</v>
      </c>
      <c r="AL342" s="99">
        <f>IF(S_binomial[[#This Row],[Mindre end]],S_binomial[[#This Row],[Binomialfordeling]],NA())</f>
        <v>3.4906753280000008E-2</v>
      </c>
      <c r="AM342" s="99" t="e">
        <f>IF(S_binomial[[#This Row],[Lig med]],S_binomial[[#This Row],[Binomialfordeling]],NA())</f>
        <v>#N/A</v>
      </c>
      <c r="AN342" s="99" t="e">
        <f>IF(S_binomial[[#This Row],[Større end]],S_binomial[[#This Row],[Binomialfordeling]],NA())</f>
        <v>#N/A</v>
      </c>
      <c r="AO342" s="85" t="str">
        <f>_xlfn.IFNA(IF(MOD(S_binomial[[#This Row],[Indeks (base 0)]],AF$7)=ROUNDDOWN(AF$7/2,0),S_binomial[[#This Row],[X base]],""),"")</f>
        <v/>
      </c>
      <c r="AP342" s="99" t="str">
        <f t="shared" si="66"/>
        <v xml:space="preserve"> </v>
      </c>
      <c r="AR342" s="54">
        <f t="shared" si="61"/>
        <v>329</v>
      </c>
      <c r="AS342" s="54">
        <f>S_normal27[[#This Row],[Indeks (base 0)]]+1</f>
        <v>330</v>
      </c>
      <c r="AT342" s="54">
        <f t="shared" si="63"/>
        <v>5</v>
      </c>
      <c r="AU342" s="54">
        <f>IF(MOD(S_normal27[[#This Row],[Indeks (base 0)]],AS$8)=0,NA(),_xlfn.POISSON.DIST(S_normal27[[#This Row],[X base]],$H$5,FALSE))</f>
        <v>0.10081881344492449</v>
      </c>
      <c r="AV342" s="99" t="b">
        <f>S_normal27[[#This Row],[X base]]&lt;AS$5</f>
        <v>0</v>
      </c>
      <c r="AW342" s="99" t="b">
        <f>S_normal27[[#This Row],[X base]]=AS$5</f>
        <v>0</v>
      </c>
      <c r="AX342" s="99" t="b">
        <f>S_normal27[[#This Row],[X base]]&gt;AS$5</f>
        <v>1</v>
      </c>
      <c r="AY342" s="99" t="e">
        <f>IF(S_normal27[[#This Row],[Mindre end]],S_normal27[[#This Row],[Poissonfordeling]],NA())</f>
        <v>#N/A</v>
      </c>
      <c r="AZ342" s="99" t="e">
        <f>IF(S_normal27[[#This Row],[Lig med]],S_normal27[[#This Row],[Poissonfordeling]],NA())</f>
        <v>#N/A</v>
      </c>
      <c r="BA342" s="99">
        <f>IF(S_normal27[[#This Row],[Større end]],S_normal27[[#This Row],[Poissonfordeling]],NA())</f>
        <v>0.10081881344492449</v>
      </c>
      <c r="BB342" s="85" t="str">
        <f>_xlfn.IFNA(IF(MOD(S_normal27[[#This Row],[Indeks (base 0)]],AS$8)=ROUNDDOWN(AS$8/2,0),S_normal27[[#This Row],[X base]],""),"")</f>
        <v/>
      </c>
      <c r="BC342" s="99" t="str">
        <f t="shared" si="62"/>
        <v xml:space="preserve"> </v>
      </c>
    </row>
    <row r="343" spans="31:55" x14ac:dyDescent="0.2">
      <c r="AE343" s="54">
        <f t="shared" si="64"/>
        <v>330</v>
      </c>
      <c r="AF343" s="54">
        <f>S_binomial[[#This Row],[Indeks (base 0)]]+1</f>
        <v>331</v>
      </c>
      <c r="AG343" s="99">
        <f t="shared" si="65"/>
        <v>3</v>
      </c>
      <c r="AH343" s="99">
        <f>IF(MOD(S_binomial[[#This Row],[Indeks (base 0)]],AF$7)=0,NA(),_xlfn.BINOM.DIST(S_binomial[[#This Row],[X base]],E$5,E$6,FALSE))</f>
        <v>3.4906753280000008E-2</v>
      </c>
      <c r="AI343" s="99" t="b">
        <f>S_binomial[[#This Row],[X base]]&lt;AF$5</f>
        <v>1</v>
      </c>
      <c r="AJ343" s="99" t="b">
        <f>S_binomial[[#This Row],[X base]]=AF$5</f>
        <v>0</v>
      </c>
      <c r="AK343" s="99" t="b">
        <f>S_binomial[[#This Row],[X base]]&gt;AF$5</f>
        <v>0</v>
      </c>
      <c r="AL343" s="99">
        <f>IF(S_binomial[[#This Row],[Mindre end]],S_binomial[[#This Row],[Binomialfordeling]],NA())</f>
        <v>3.4906753280000008E-2</v>
      </c>
      <c r="AM343" s="99" t="e">
        <f>IF(S_binomial[[#This Row],[Lig med]],S_binomial[[#This Row],[Binomialfordeling]],NA())</f>
        <v>#N/A</v>
      </c>
      <c r="AN343" s="99" t="e">
        <f>IF(S_binomial[[#This Row],[Større end]],S_binomial[[#This Row],[Binomialfordeling]],NA())</f>
        <v>#N/A</v>
      </c>
      <c r="AO343" s="85" t="str">
        <f>_xlfn.IFNA(IF(MOD(S_binomial[[#This Row],[Indeks (base 0)]],AF$7)=ROUNDDOWN(AF$7/2,0),S_binomial[[#This Row],[X base]],""),"")</f>
        <v/>
      </c>
      <c r="AP343" s="99" t="str">
        <f t="shared" si="66"/>
        <v xml:space="preserve"> </v>
      </c>
      <c r="AR343" s="54">
        <f t="shared" si="61"/>
        <v>330</v>
      </c>
      <c r="AS343" s="54">
        <f>S_normal27[[#This Row],[Indeks (base 0)]]+1</f>
        <v>331</v>
      </c>
      <c r="AT343" s="54">
        <f t="shared" si="63"/>
        <v>5</v>
      </c>
      <c r="AU343" s="54">
        <f>IF(MOD(S_normal27[[#This Row],[Indeks (base 0)]],AS$8)=0,NA(),_xlfn.POISSON.DIST(S_normal27[[#This Row],[X base]],$H$5,FALSE))</f>
        <v>0.10081881344492449</v>
      </c>
      <c r="AV343" s="99" t="b">
        <f>S_normal27[[#This Row],[X base]]&lt;AS$5</f>
        <v>0</v>
      </c>
      <c r="AW343" s="99" t="b">
        <f>S_normal27[[#This Row],[X base]]=AS$5</f>
        <v>0</v>
      </c>
      <c r="AX343" s="99" t="b">
        <f>S_normal27[[#This Row],[X base]]&gt;AS$5</f>
        <v>1</v>
      </c>
      <c r="AY343" s="99" t="e">
        <f>IF(S_normal27[[#This Row],[Mindre end]],S_normal27[[#This Row],[Poissonfordeling]],NA())</f>
        <v>#N/A</v>
      </c>
      <c r="AZ343" s="99" t="e">
        <f>IF(S_normal27[[#This Row],[Lig med]],S_normal27[[#This Row],[Poissonfordeling]],NA())</f>
        <v>#N/A</v>
      </c>
      <c r="BA343" s="99">
        <f>IF(S_normal27[[#This Row],[Større end]],S_normal27[[#This Row],[Poissonfordeling]],NA())</f>
        <v>0.10081881344492449</v>
      </c>
      <c r="BB343" s="85" t="str">
        <f>_xlfn.IFNA(IF(MOD(S_normal27[[#This Row],[Indeks (base 0)]],AS$8)=ROUNDDOWN(AS$8/2,0),S_normal27[[#This Row],[X base]],""),"")</f>
        <v/>
      </c>
      <c r="BC343" s="99" t="str">
        <f t="shared" si="62"/>
        <v xml:space="preserve"> </v>
      </c>
    </row>
    <row r="344" spans="31:55" x14ac:dyDescent="0.2">
      <c r="AE344" s="54">
        <f t="shared" si="64"/>
        <v>331</v>
      </c>
      <c r="AF344" s="54">
        <f>S_binomial[[#This Row],[Indeks (base 0)]]+1</f>
        <v>332</v>
      </c>
      <c r="AG344" s="99">
        <f t="shared" si="65"/>
        <v>3</v>
      </c>
      <c r="AH344" s="99">
        <f>IF(MOD(S_binomial[[#This Row],[Indeks (base 0)]],AF$7)=0,NA(),_xlfn.BINOM.DIST(S_binomial[[#This Row],[X base]],E$5,E$6,FALSE))</f>
        <v>3.4906753280000008E-2</v>
      </c>
      <c r="AI344" s="99" t="b">
        <f>S_binomial[[#This Row],[X base]]&lt;AF$5</f>
        <v>1</v>
      </c>
      <c r="AJ344" s="99" t="b">
        <f>S_binomial[[#This Row],[X base]]=AF$5</f>
        <v>0</v>
      </c>
      <c r="AK344" s="99" t="b">
        <f>S_binomial[[#This Row],[X base]]&gt;AF$5</f>
        <v>0</v>
      </c>
      <c r="AL344" s="99">
        <f>IF(S_binomial[[#This Row],[Mindre end]],S_binomial[[#This Row],[Binomialfordeling]],NA())</f>
        <v>3.4906753280000008E-2</v>
      </c>
      <c r="AM344" s="99" t="e">
        <f>IF(S_binomial[[#This Row],[Lig med]],S_binomial[[#This Row],[Binomialfordeling]],NA())</f>
        <v>#N/A</v>
      </c>
      <c r="AN344" s="99" t="e">
        <f>IF(S_binomial[[#This Row],[Større end]],S_binomial[[#This Row],[Binomialfordeling]],NA())</f>
        <v>#N/A</v>
      </c>
      <c r="AO344" s="85" t="str">
        <f>_xlfn.IFNA(IF(MOD(S_binomial[[#This Row],[Indeks (base 0)]],AF$7)=ROUNDDOWN(AF$7/2,0),S_binomial[[#This Row],[X base]],""),"")</f>
        <v/>
      </c>
      <c r="AP344" s="99" t="str">
        <f t="shared" si="66"/>
        <v xml:space="preserve"> </v>
      </c>
      <c r="AR344" s="54">
        <f t="shared" si="61"/>
        <v>331</v>
      </c>
      <c r="AS344" s="54">
        <f>S_normal27[[#This Row],[Indeks (base 0)]]+1</f>
        <v>332</v>
      </c>
      <c r="AT344" s="54">
        <f t="shared" si="63"/>
        <v>5</v>
      </c>
      <c r="AU344" s="54">
        <f>IF(MOD(S_normal27[[#This Row],[Indeks (base 0)]],AS$8)=0,NA(),_xlfn.POISSON.DIST(S_normal27[[#This Row],[X base]],$H$5,FALSE))</f>
        <v>0.10081881344492449</v>
      </c>
      <c r="AV344" s="99" t="b">
        <f>S_normal27[[#This Row],[X base]]&lt;AS$5</f>
        <v>0</v>
      </c>
      <c r="AW344" s="99" t="b">
        <f>S_normal27[[#This Row],[X base]]=AS$5</f>
        <v>0</v>
      </c>
      <c r="AX344" s="99" t="b">
        <f>S_normal27[[#This Row],[X base]]&gt;AS$5</f>
        <v>1</v>
      </c>
      <c r="AY344" s="99" t="e">
        <f>IF(S_normal27[[#This Row],[Mindre end]],S_normal27[[#This Row],[Poissonfordeling]],NA())</f>
        <v>#N/A</v>
      </c>
      <c r="AZ344" s="99" t="e">
        <f>IF(S_normal27[[#This Row],[Lig med]],S_normal27[[#This Row],[Poissonfordeling]],NA())</f>
        <v>#N/A</v>
      </c>
      <c r="BA344" s="99">
        <f>IF(S_normal27[[#This Row],[Større end]],S_normal27[[#This Row],[Poissonfordeling]],NA())</f>
        <v>0.10081881344492449</v>
      </c>
      <c r="BB344" s="85" t="str">
        <f>_xlfn.IFNA(IF(MOD(S_normal27[[#This Row],[Indeks (base 0)]],AS$8)=ROUNDDOWN(AS$8/2,0),S_normal27[[#This Row],[X base]],""),"")</f>
        <v/>
      </c>
      <c r="BC344" s="99" t="str">
        <f t="shared" si="62"/>
        <v xml:space="preserve"> </v>
      </c>
    </row>
    <row r="345" spans="31:55" x14ac:dyDescent="0.2">
      <c r="AE345" s="54">
        <f t="shared" si="64"/>
        <v>332</v>
      </c>
      <c r="AF345" s="54">
        <f>S_binomial[[#This Row],[Indeks (base 0)]]+1</f>
        <v>333</v>
      </c>
      <c r="AG345" s="99">
        <f t="shared" si="65"/>
        <v>3</v>
      </c>
      <c r="AH345" s="99">
        <f>IF(MOD(S_binomial[[#This Row],[Indeks (base 0)]],AF$7)=0,NA(),_xlfn.BINOM.DIST(S_binomial[[#This Row],[X base]],E$5,E$6,FALSE))</f>
        <v>3.4906753280000008E-2</v>
      </c>
      <c r="AI345" s="99" t="b">
        <f>S_binomial[[#This Row],[X base]]&lt;AF$5</f>
        <v>1</v>
      </c>
      <c r="AJ345" s="99" t="b">
        <f>S_binomial[[#This Row],[X base]]=AF$5</f>
        <v>0</v>
      </c>
      <c r="AK345" s="99" t="b">
        <f>S_binomial[[#This Row],[X base]]&gt;AF$5</f>
        <v>0</v>
      </c>
      <c r="AL345" s="99">
        <f>IF(S_binomial[[#This Row],[Mindre end]],S_binomial[[#This Row],[Binomialfordeling]],NA())</f>
        <v>3.4906753280000008E-2</v>
      </c>
      <c r="AM345" s="99" t="e">
        <f>IF(S_binomial[[#This Row],[Lig med]],S_binomial[[#This Row],[Binomialfordeling]],NA())</f>
        <v>#N/A</v>
      </c>
      <c r="AN345" s="99" t="e">
        <f>IF(S_binomial[[#This Row],[Større end]],S_binomial[[#This Row],[Binomialfordeling]],NA())</f>
        <v>#N/A</v>
      </c>
      <c r="AO345" s="85" t="str">
        <f>_xlfn.IFNA(IF(MOD(S_binomial[[#This Row],[Indeks (base 0)]],AF$7)=ROUNDDOWN(AF$7/2,0),S_binomial[[#This Row],[X base]],""),"")</f>
        <v/>
      </c>
      <c r="AP345" s="99" t="str">
        <f t="shared" si="66"/>
        <v xml:space="preserve"> </v>
      </c>
      <c r="AR345" s="54">
        <f t="shared" si="61"/>
        <v>332</v>
      </c>
      <c r="AS345" s="54">
        <f>S_normal27[[#This Row],[Indeks (base 0)]]+1</f>
        <v>333</v>
      </c>
      <c r="AT345" s="54">
        <f t="shared" si="63"/>
        <v>5</v>
      </c>
      <c r="AU345" s="54">
        <f>IF(MOD(S_normal27[[#This Row],[Indeks (base 0)]],AS$8)=0,NA(),_xlfn.POISSON.DIST(S_normal27[[#This Row],[X base]],$H$5,FALSE))</f>
        <v>0.10081881344492449</v>
      </c>
      <c r="AV345" s="99" t="b">
        <f>S_normal27[[#This Row],[X base]]&lt;AS$5</f>
        <v>0</v>
      </c>
      <c r="AW345" s="99" t="b">
        <f>S_normal27[[#This Row],[X base]]=AS$5</f>
        <v>0</v>
      </c>
      <c r="AX345" s="99" t="b">
        <f>S_normal27[[#This Row],[X base]]&gt;AS$5</f>
        <v>1</v>
      </c>
      <c r="AY345" s="99" t="e">
        <f>IF(S_normal27[[#This Row],[Mindre end]],S_normal27[[#This Row],[Poissonfordeling]],NA())</f>
        <v>#N/A</v>
      </c>
      <c r="AZ345" s="99" t="e">
        <f>IF(S_normal27[[#This Row],[Lig med]],S_normal27[[#This Row],[Poissonfordeling]],NA())</f>
        <v>#N/A</v>
      </c>
      <c r="BA345" s="99">
        <f>IF(S_normal27[[#This Row],[Større end]],S_normal27[[#This Row],[Poissonfordeling]],NA())</f>
        <v>0.10081881344492449</v>
      </c>
      <c r="BB345" s="85" t="str">
        <f>_xlfn.IFNA(IF(MOD(S_normal27[[#This Row],[Indeks (base 0)]],AS$8)=ROUNDDOWN(AS$8/2,0),S_normal27[[#This Row],[X base]],""),"")</f>
        <v/>
      </c>
      <c r="BC345" s="99" t="str">
        <f t="shared" si="62"/>
        <v xml:space="preserve"> </v>
      </c>
    </row>
    <row r="346" spans="31:55" x14ac:dyDescent="0.2">
      <c r="AE346" s="54">
        <f t="shared" si="64"/>
        <v>333</v>
      </c>
      <c r="AF346" s="54">
        <f>S_binomial[[#This Row],[Indeks (base 0)]]+1</f>
        <v>334</v>
      </c>
      <c r="AG346" s="99">
        <f t="shared" si="65"/>
        <v>3</v>
      </c>
      <c r="AH346" s="99">
        <f>IF(MOD(S_binomial[[#This Row],[Indeks (base 0)]],AF$7)=0,NA(),_xlfn.BINOM.DIST(S_binomial[[#This Row],[X base]],E$5,E$6,FALSE))</f>
        <v>3.4906753280000008E-2</v>
      </c>
      <c r="AI346" s="99" t="b">
        <f>S_binomial[[#This Row],[X base]]&lt;AF$5</f>
        <v>1</v>
      </c>
      <c r="AJ346" s="99" t="b">
        <f>S_binomial[[#This Row],[X base]]=AF$5</f>
        <v>0</v>
      </c>
      <c r="AK346" s="99" t="b">
        <f>S_binomial[[#This Row],[X base]]&gt;AF$5</f>
        <v>0</v>
      </c>
      <c r="AL346" s="99">
        <f>IF(S_binomial[[#This Row],[Mindre end]],S_binomial[[#This Row],[Binomialfordeling]],NA())</f>
        <v>3.4906753280000008E-2</v>
      </c>
      <c r="AM346" s="99" t="e">
        <f>IF(S_binomial[[#This Row],[Lig med]],S_binomial[[#This Row],[Binomialfordeling]],NA())</f>
        <v>#N/A</v>
      </c>
      <c r="AN346" s="99" t="e">
        <f>IF(S_binomial[[#This Row],[Større end]],S_binomial[[#This Row],[Binomialfordeling]],NA())</f>
        <v>#N/A</v>
      </c>
      <c r="AO346" s="85" t="str">
        <f>_xlfn.IFNA(IF(MOD(S_binomial[[#This Row],[Indeks (base 0)]],AF$7)=ROUNDDOWN(AF$7/2,0),S_binomial[[#This Row],[X base]],""),"")</f>
        <v/>
      </c>
      <c r="AP346" s="99" t="str">
        <f t="shared" si="66"/>
        <v xml:space="preserve"> </v>
      </c>
      <c r="AR346" s="54">
        <f t="shared" si="61"/>
        <v>333</v>
      </c>
      <c r="AS346" s="54">
        <f>S_normal27[[#This Row],[Indeks (base 0)]]+1</f>
        <v>334</v>
      </c>
      <c r="AT346" s="54">
        <f t="shared" si="63"/>
        <v>5</v>
      </c>
      <c r="AU346" s="54">
        <f>IF(MOD(S_normal27[[#This Row],[Indeks (base 0)]],AS$8)=0,NA(),_xlfn.POISSON.DIST(S_normal27[[#This Row],[X base]],$H$5,FALSE))</f>
        <v>0.10081881344492449</v>
      </c>
      <c r="AV346" s="99" t="b">
        <f>S_normal27[[#This Row],[X base]]&lt;AS$5</f>
        <v>0</v>
      </c>
      <c r="AW346" s="99" t="b">
        <f>S_normal27[[#This Row],[X base]]=AS$5</f>
        <v>0</v>
      </c>
      <c r="AX346" s="99" t="b">
        <f>S_normal27[[#This Row],[X base]]&gt;AS$5</f>
        <v>1</v>
      </c>
      <c r="AY346" s="99" t="e">
        <f>IF(S_normal27[[#This Row],[Mindre end]],S_normal27[[#This Row],[Poissonfordeling]],NA())</f>
        <v>#N/A</v>
      </c>
      <c r="AZ346" s="99" t="e">
        <f>IF(S_normal27[[#This Row],[Lig med]],S_normal27[[#This Row],[Poissonfordeling]],NA())</f>
        <v>#N/A</v>
      </c>
      <c r="BA346" s="99">
        <f>IF(S_normal27[[#This Row],[Større end]],S_normal27[[#This Row],[Poissonfordeling]],NA())</f>
        <v>0.10081881344492449</v>
      </c>
      <c r="BB346" s="85" t="str">
        <f>_xlfn.IFNA(IF(MOD(S_normal27[[#This Row],[Indeks (base 0)]],AS$8)=ROUNDDOWN(AS$8/2,0),S_normal27[[#This Row],[X base]],""),"")</f>
        <v/>
      </c>
      <c r="BC346" s="99" t="str">
        <f t="shared" si="62"/>
        <v xml:space="preserve"> </v>
      </c>
    </row>
    <row r="347" spans="31:55" x14ac:dyDescent="0.2">
      <c r="AE347" s="54">
        <f t="shared" si="64"/>
        <v>334</v>
      </c>
      <c r="AF347" s="54">
        <f>S_binomial[[#This Row],[Indeks (base 0)]]+1</f>
        <v>335</v>
      </c>
      <c r="AG347" s="99">
        <f t="shared" si="65"/>
        <v>3</v>
      </c>
      <c r="AH347" s="99">
        <f>IF(MOD(S_binomial[[#This Row],[Indeks (base 0)]],AF$7)=0,NA(),_xlfn.BINOM.DIST(S_binomial[[#This Row],[X base]],E$5,E$6,FALSE))</f>
        <v>3.4906753280000008E-2</v>
      </c>
      <c r="AI347" s="99" t="b">
        <f>S_binomial[[#This Row],[X base]]&lt;AF$5</f>
        <v>1</v>
      </c>
      <c r="AJ347" s="99" t="b">
        <f>S_binomial[[#This Row],[X base]]=AF$5</f>
        <v>0</v>
      </c>
      <c r="AK347" s="99" t="b">
        <f>S_binomial[[#This Row],[X base]]&gt;AF$5</f>
        <v>0</v>
      </c>
      <c r="AL347" s="99">
        <f>IF(S_binomial[[#This Row],[Mindre end]],S_binomial[[#This Row],[Binomialfordeling]],NA())</f>
        <v>3.4906753280000008E-2</v>
      </c>
      <c r="AM347" s="99" t="e">
        <f>IF(S_binomial[[#This Row],[Lig med]],S_binomial[[#This Row],[Binomialfordeling]],NA())</f>
        <v>#N/A</v>
      </c>
      <c r="AN347" s="99" t="e">
        <f>IF(S_binomial[[#This Row],[Større end]],S_binomial[[#This Row],[Binomialfordeling]],NA())</f>
        <v>#N/A</v>
      </c>
      <c r="AO347" s="85" t="str">
        <f>_xlfn.IFNA(IF(MOD(S_binomial[[#This Row],[Indeks (base 0)]],AF$7)=ROUNDDOWN(AF$7/2,0),S_binomial[[#This Row],[X base]],""),"")</f>
        <v/>
      </c>
      <c r="AP347" s="99" t="str">
        <f t="shared" si="66"/>
        <v xml:space="preserve"> </v>
      </c>
      <c r="AR347" s="54">
        <f t="shared" si="61"/>
        <v>334</v>
      </c>
      <c r="AS347" s="54">
        <f>S_normal27[[#This Row],[Indeks (base 0)]]+1</f>
        <v>335</v>
      </c>
      <c r="AT347" s="54">
        <f t="shared" si="63"/>
        <v>5</v>
      </c>
      <c r="AU347" s="54">
        <f>IF(MOD(S_normal27[[#This Row],[Indeks (base 0)]],AS$8)=0,NA(),_xlfn.POISSON.DIST(S_normal27[[#This Row],[X base]],$H$5,FALSE))</f>
        <v>0.10081881344492449</v>
      </c>
      <c r="AV347" s="99" t="b">
        <f>S_normal27[[#This Row],[X base]]&lt;AS$5</f>
        <v>0</v>
      </c>
      <c r="AW347" s="99" t="b">
        <f>S_normal27[[#This Row],[X base]]=AS$5</f>
        <v>0</v>
      </c>
      <c r="AX347" s="99" t="b">
        <f>S_normal27[[#This Row],[X base]]&gt;AS$5</f>
        <v>1</v>
      </c>
      <c r="AY347" s="99" t="e">
        <f>IF(S_normal27[[#This Row],[Mindre end]],S_normal27[[#This Row],[Poissonfordeling]],NA())</f>
        <v>#N/A</v>
      </c>
      <c r="AZ347" s="99" t="e">
        <f>IF(S_normal27[[#This Row],[Lig med]],S_normal27[[#This Row],[Poissonfordeling]],NA())</f>
        <v>#N/A</v>
      </c>
      <c r="BA347" s="99">
        <f>IF(S_normal27[[#This Row],[Større end]],S_normal27[[#This Row],[Poissonfordeling]],NA())</f>
        <v>0.10081881344492449</v>
      </c>
      <c r="BB347" s="85" t="str">
        <f>_xlfn.IFNA(IF(MOD(S_normal27[[#This Row],[Indeks (base 0)]],AS$8)=ROUNDDOWN(AS$8/2,0),S_normal27[[#This Row],[X base]],""),"")</f>
        <v/>
      </c>
      <c r="BC347" s="99" t="str">
        <f t="shared" si="62"/>
        <v xml:space="preserve"> </v>
      </c>
    </row>
    <row r="348" spans="31:55" x14ac:dyDescent="0.2">
      <c r="AE348" s="54">
        <f t="shared" si="64"/>
        <v>335</v>
      </c>
      <c r="AF348" s="54">
        <f>S_binomial[[#This Row],[Indeks (base 0)]]+1</f>
        <v>336</v>
      </c>
      <c r="AG348" s="99">
        <f t="shared" si="65"/>
        <v>3</v>
      </c>
      <c r="AH348" s="99">
        <f>IF(MOD(S_binomial[[#This Row],[Indeks (base 0)]],AF$7)=0,NA(),_xlfn.BINOM.DIST(S_binomial[[#This Row],[X base]],E$5,E$6,FALSE))</f>
        <v>3.4906753280000008E-2</v>
      </c>
      <c r="AI348" s="99" t="b">
        <f>S_binomial[[#This Row],[X base]]&lt;AF$5</f>
        <v>1</v>
      </c>
      <c r="AJ348" s="99" t="b">
        <f>S_binomial[[#This Row],[X base]]=AF$5</f>
        <v>0</v>
      </c>
      <c r="AK348" s="99" t="b">
        <f>S_binomial[[#This Row],[X base]]&gt;AF$5</f>
        <v>0</v>
      </c>
      <c r="AL348" s="99">
        <f>IF(S_binomial[[#This Row],[Mindre end]],S_binomial[[#This Row],[Binomialfordeling]],NA())</f>
        <v>3.4906753280000008E-2</v>
      </c>
      <c r="AM348" s="99" t="e">
        <f>IF(S_binomial[[#This Row],[Lig med]],S_binomial[[#This Row],[Binomialfordeling]],NA())</f>
        <v>#N/A</v>
      </c>
      <c r="AN348" s="99" t="e">
        <f>IF(S_binomial[[#This Row],[Større end]],S_binomial[[#This Row],[Binomialfordeling]],NA())</f>
        <v>#N/A</v>
      </c>
      <c r="AO348" s="85" t="str">
        <f>_xlfn.IFNA(IF(MOD(S_binomial[[#This Row],[Indeks (base 0)]],AF$7)=ROUNDDOWN(AF$7/2,0),S_binomial[[#This Row],[X base]],""),"")</f>
        <v/>
      </c>
      <c r="AP348" s="99" t="str">
        <f t="shared" si="66"/>
        <v xml:space="preserve"> </v>
      </c>
      <c r="AR348" s="54">
        <f t="shared" si="61"/>
        <v>335</v>
      </c>
      <c r="AS348" s="54">
        <f>S_normal27[[#This Row],[Indeks (base 0)]]+1</f>
        <v>336</v>
      </c>
      <c r="AT348" s="54">
        <f t="shared" si="63"/>
        <v>5</v>
      </c>
      <c r="AU348" s="54">
        <f>IF(MOD(S_normal27[[#This Row],[Indeks (base 0)]],AS$8)=0,NA(),_xlfn.POISSON.DIST(S_normal27[[#This Row],[X base]],$H$5,FALSE))</f>
        <v>0.10081881344492449</v>
      </c>
      <c r="AV348" s="99" t="b">
        <f>S_normal27[[#This Row],[X base]]&lt;AS$5</f>
        <v>0</v>
      </c>
      <c r="AW348" s="99" t="b">
        <f>S_normal27[[#This Row],[X base]]=AS$5</f>
        <v>0</v>
      </c>
      <c r="AX348" s="99" t="b">
        <f>S_normal27[[#This Row],[X base]]&gt;AS$5</f>
        <v>1</v>
      </c>
      <c r="AY348" s="99" t="e">
        <f>IF(S_normal27[[#This Row],[Mindre end]],S_normal27[[#This Row],[Poissonfordeling]],NA())</f>
        <v>#N/A</v>
      </c>
      <c r="AZ348" s="99" t="e">
        <f>IF(S_normal27[[#This Row],[Lig med]],S_normal27[[#This Row],[Poissonfordeling]],NA())</f>
        <v>#N/A</v>
      </c>
      <c r="BA348" s="99">
        <f>IF(S_normal27[[#This Row],[Større end]],S_normal27[[#This Row],[Poissonfordeling]],NA())</f>
        <v>0.10081881344492449</v>
      </c>
      <c r="BB348" s="85" t="str">
        <f>_xlfn.IFNA(IF(MOD(S_normal27[[#This Row],[Indeks (base 0)]],AS$8)=ROUNDDOWN(AS$8/2,0),S_normal27[[#This Row],[X base]],""),"")</f>
        <v/>
      </c>
      <c r="BC348" s="99" t="str">
        <f t="shared" si="62"/>
        <v xml:space="preserve"> </v>
      </c>
    </row>
    <row r="349" spans="31:55" x14ac:dyDescent="0.2">
      <c r="AE349" s="54">
        <f t="shared" si="64"/>
        <v>336</v>
      </c>
      <c r="AF349" s="54">
        <f>S_binomial[[#This Row],[Indeks (base 0)]]+1</f>
        <v>337</v>
      </c>
      <c r="AG349" s="99">
        <f t="shared" si="65"/>
        <v>3</v>
      </c>
      <c r="AH349" s="99">
        <f>IF(MOD(S_binomial[[#This Row],[Indeks (base 0)]],AF$7)=0,NA(),_xlfn.BINOM.DIST(S_binomial[[#This Row],[X base]],E$5,E$6,FALSE))</f>
        <v>3.4906753280000008E-2</v>
      </c>
      <c r="AI349" s="99" t="b">
        <f>S_binomial[[#This Row],[X base]]&lt;AF$5</f>
        <v>1</v>
      </c>
      <c r="AJ349" s="99" t="b">
        <f>S_binomial[[#This Row],[X base]]=AF$5</f>
        <v>0</v>
      </c>
      <c r="AK349" s="99" t="b">
        <f>S_binomial[[#This Row],[X base]]&gt;AF$5</f>
        <v>0</v>
      </c>
      <c r="AL349" s="99">
        <f>IF(S_binomial[[#This Row],[Mindre end]],S_binomial[[#This Row],[Binomialfordeling]],NA())</f>
        <v>3.4906753280000008E-2</v>
      </c>
      <c r="AM349" s="99" t="e">
        <f>IF(S_binomial[[#This Row],[Lig med]],S_binomial[[#This Row],[Binomialfordeling]],NA())</f>
        <v>#N/A</v>
      </c>
      <c r="AN349" s="99" t="e">
        <f>IF(S_binomial[[#This Row],[Større end]],S_binomial[[#This Row],[Binomialfordeling]],NA())</f>
        <v>#N/A</v>
      </c>
      <c r="AO349" s="85" t="str">
        <f>_xlfn.IFNA(IF(MOD(S_binomial[[#This Row],[Indeks (base 0)]],AF$7)=ROUNDDOWN(AF$7/2,0),S_binomial[[#This Row],[X base]],""),"")</f>
        <v/>
      </c>
      <c r="AP349" s="99" t="str">
        <f t="shared" si="66"/>
        <v xml:space="preserve"> </v>
      </c>
      <c r="AR349" s="54">
        <f t="shared" si="61"/>
        <v>336</v>
      </c>
      <c r="AS349" s="54">
        <f>S_normal27[[#This Row],[Indeks (base 0)]]+1</f>
        <v>337</v>
      </c>
      <c r="AT349" s="54">
        <f t="shared" si="63"/>
        <v>5</v>
      </c>
      <c r="AU349" s="54">
        <f>IF(MOD(S_normal27[[#This Row],[Indeks (base 0)]],AS$8)=0,NA(),_xlfn.POISSON.DIST(S_normal27[[#This Row],[X base]],$H$5,FALSE))</f>
        <v>0.10081881344492449</v>
      </c>
      <c r="AV349" s="99" t="b">
        <f>S_normal27[[#This Row],[X base]]&lt;AS$5</f>
        <v>0</v>
      </c>
      <c r="AW349" s="99" t="b">
        <f>S_normal27[[#This Row],[X base]]=AS$5</f>
        <v>0</v>
      </c>
      <c r="AX349" s="99" t="b">
        <f>S_normal27[[#This Row],[X base]]&gt;AS$5</f>
        <v>1</v>
      </c>
      <c r="AY349" s="99" t="e">
        <f>IF(S_normal27[[#This Row],[Mindre end]],S_normal27[[#This Row],[Poissonfordeling]],NA())</f>
        <v>#N/A</v>
      </c>
      <c r="AZ349" s="99" t="e">
        <f>IF(S_normal27[[#This Row],[Lig med]],S_normal27[[#This Row],[Poissonfordeling]],NA())</f>
        <v>#N/A</v>
      </c>
      <c r="BA349" s="99">
        <f>IF(S_normal27[[#This Row],[Større end]],S_normal27[[#This Row],[Poissonfordeling]],NA())</f>
        <v>0.10081881344492449</v>
      </c>
      <c r="BB349" s="85" t="str">
        <f>_xlfn.IFNA(IF(MOD(S_normal27[[#This Row],[Indeks (base 0)]],AS$8)=ROUNDDOWN(AS$8/2,0),S_normal27[[#This Row],[X base]],""),"")</f>
        <v/>
      </c>
      <c r="BC349" s="99" t="str">
        <f t="shared" si="62"/>
        <v xml:space="preserve"> </v>
      </c>
    </row>
    <row r="350" spans="31:55" x14ac:dyDescent="0.2">
      <c r="AE350" s="54">
        <f t="shared" si="64"/>
        <v>337</v>
      </c>
      <c r="AF350" s="54">
        <f>S_binomial[[#This Row],[Indeks (base 0)]]+1</f>
        <v>338</v>
      </c>
      <c r="AG350" s="99">
        <f t="shared" si="65"/>
        <v>3</v>
      </c>
      <c r="AH350" s="99">
        <f>IF(MOD(S_binomial[[#This Row],[Indeks (base 0)]],AF$7)=0,NA(),_xlfn.BINOM.DIST(S_binomial[[#This Row],[X base]],E$5,E$6,FALSE))</f>
        <v>3.4906753280000008E-2</v>
      </c>
      <c r="AI350" s="99" t="b">
        <f>S_binomial[[#This Row],[X base]]&lt;AF$5</f>
        <v>1</v>
      </c>
      <c r="AJ350" s="99" t="b">
        <f>S_binomial[[#This Row],[X base]]=AF$5</f>
        <v>0</v>
      </c>
      <c r="AK350" s="99" t="b">
        <f>S_binomial[[#This Row],[X base]]&gt;AF$5</f>
        <v>0</v>
      </c>
      <c r="AL350" s="99">
        <f>IF(S_binomial[[#This Row],[Mindre end]],S_binomial[[#This Row],[Binomialfordeling]],NA())</f>
        <v>3.4906753280000008E-2</v>
      </c>
      <c r="AM350" s="99" t="e">
        <f>IF(S_binomial[[#This Row],[Lig med]],S_binomial[[#This Row],[Binomialfordeling]],NA())</f>
        <v>#N/A</v>
      </c>
      <c r="AN350" s="99" t="e">
        <f>IF(S_binomial[[#This Row],[Større end]],S_binomial[[#This Row],[Binomialfordeling]],NA())</f>
        <v>#N/A</v>
      </c>
      <c r="AO350" s="85" t="str">
        <f>_xlfn.IFNA(IF(MOD(S_binomial[[#This Row],[Indeks (base 0)]],AF$7)=ROUNDDOWN(AF$7/2,0),S_binomial[[#This Row],[X base]],""),"")</f>
        <v/>
      </c>
      <c r="AP350" s="99" t="str">
        <f t="shared" si="66"/>
        <v xml:space="preserve"> </v>
      </c>
      <c r="AR350" s="54">
        <f t="shared" si="61"/>
        <v>337</v>
      </c>
      <c r="AS350" s="54">
        <f>S_normal27[[#This Row],[Indeks (base 0)]]+1</f>
        <v>338</v>
      </c>
      <c r="AT350" s="54">
        <f t="shared" si="63"/>
        <v>5</v>
      </c>
      <c r="AU350" s="54">
        <f>IF(MOD(S_normal27[[#This Row],[Indeks (base 0)]],AS$8)=0,NA(),_xlfn.POISSON.DIST(S_normal27[[#This Row],[X base]],$H$5,FALSE))</f>
        <v>0.10081881344492449</v>
      </c>
      <c r="AV350" s="99" t="b">
        <f>S_normal27[[#This Row],[X base]]&lt;AS$5</f>
        <v>0</v>
      </c>
      <c r="AW350" s="99" t="b">
        <f>S_normal27[[#This Row],[X base]]=AS$5</f>
        <v>0</v>
      </c>
      <c r="AX350" s="99" t="b">
        <f>S_normal27[[#This Row],[X base]]&gt;AS$5</f>
        <v>1</v>
      </c>
      <c r="AY350" s="99" t="e">
        <f>IF(S_normal27[[#This Row],[Mindre end]],S_normal27[[#This Row],[Poissonfordeling]],NA())</f>
        <v>#N/A</v>
      </c>
      <c r="AZ350" s="99" t="e">
        <f>IF(S_normal27[[#This Row],[Lig med]],S_normal27[[#This Row],[Poissonfordeling]],NA())</f>
        <v>#N/A</v>
      </c>
      <c r="BA350" s="99">
        <f>IF(S_normal27[[#This Row],[Større end]],S_normal27[[#This Row],[Poissonfordeling]],NA())</f>
        <v>0.10081881344492449</v>
      </c>
      <c r="BB350" s="85" t="str">
        <f>_xlfn.IFNA(IF(MOD(S_normal27[[#This Row],[Indeks (base 0)]],AS$8)=ROUNDDOWN(AS$8/2,0),S_normal27[[#This Row],[X base]],""),"")</f>
        <v/>
      </c>
      <c r="BC350" s="99" t="str">
        <f t="shared" si="62"/>
        <v xml:space="preserve"> </v>
      </c>
    </row>
    <row r="351" spans="31:55" x14ac:dyDescent="0.2">
      <c r="AE351" s="54">
        <f t="shared" si="64"/>
        <v>338</v>
      </c>
      <c r="AF351" s="54">
        <f>S_binomial[[#This Row],[Indeks (base 0)]]+1</f>
        <v>339</v>
      </c>
      <c r="AG351" s="99">
        <f t="shared" si="65"/>
        <v>3</v>
      </c>
      <c r="AH351" s="99">
        <f>IF(MOD(S_binomial[[#This Row],[Indeks (base 0)]],AF$7)=0,NA(),_xlfn.BINOM.DIST(S_binomial[[#This Row],[X base]],E$5,E$6,FALSE))</f>
        <v>3.4906753280000008E-2</v>
      </c>
      <c r="AI351" s="99" t="b">
        <f>S_binomial[[#This Row],[X base]]&lt;AF$5</f>
        <v>1</v>
      </c>
      <c r="AJ351" s="99" t="b">
        <f>S_binomial[[#This Row],[X base]]=AF$5</f>
        <v>0</v>
      </c>
      <c r="AK351" s="99" t="b">
        <f>S_binomial[[#This Row],[X base]]&gt;AF$5</f>
        <v>0</v>
      </c>
      <c r="AL351" s="99">
        <f>IF(S_binomial[[#This Row],[Mindre end]],S_binomial[[#This Row],[Binomialfordeling]],NA())</f>
        <v>3.4906753280000008E-2</v>
      </c>
      <c r="AM351" s="99" t="e">
        <f>IF(S_binomial[[#This Row],[Lig med]],S_binomial[[#This Row],[Binomialfordeling]],NA())</f>
        <v>#N/A</v>
      </c>
      <c r="AN351" s="99" t="e">
        <f>IF(S_binomial[[#This Row],[Større end]],S_binomial[[#This Row],[Binomialfordeling]],NA())</f>
        <v>#N/A</v>
      </c>
      <c r="AO351" s="85" t="str">
        <f>_xlfn.IFNA(IF(MOD(S_binomial[[#This Row],[Indeks (base 0)]],AF$7)=ROUNDDOWN(AF$7/2,0),S_binomial[[#This Row],[X base]],""),"")</f>
        <v/>
      </c>
      <c r="AP351" s="99" t="str">
        <f t="shared" si="66"/>
        <v xml:space="preserve"> </v>
      </c>
      <c r="AR351" s="54">
        <f t="shared" si="61"/>
        <v>338</v>
      </c>
      <c r="AS351" s="54">
        <f>S_normal27[[#This Row],[Indeks (base 0)]]+1</f>
        <v>339</v>
      </c>
      <c r="AT351" s="54">
        <f t="shared" si="63"/>
        <v>5</v>
      </c>
      <c r="AU351" s="54">
        <f>IF(MOD(S_normal27[[#This Row],[Indeks (base 0)]],AS$8)=0,NA(),_xlfn.POISSON.DIST(S_normal27[[#This Row],[X base]],$H$5,FALSE))</f>
        <v>0.10081881344492449</v>
      </c>
      <c r="AV351" s="99" t="b">
        <f>S_normal27[[#This Row],[X base]]&lt;AS$5</f>
        <v>0</v>
      </c>
      <c r="AW351" s="99" t="b">
        <f>S_normal27[[#This Row],[X base]]=AS$5</f>
        <v>0</v>
      </c>
      <c r="AX351" s="99" t="b">
        <f>S_normal27[[#This Row],[X base]]&gt;AS$5</f>
        <v>1</v>
      </c>
      <c r="AY351" s="99" t="e">
        <f>IF(S_normal27[[#This Row],[Mindre end]],S_normal27[[#This Row],[Poissonfordeling]],NA())</f>
        <v>#N/A</v>
      </c>
      <c r="AZ351" s="99" t="e">
        <f>IF(S_normal27[[#This Row],[Lig med]],S_normal27[[#This Row],[Poissonfordeling]],NA())</f>
        <v>#N/A</v>
      </c>
      <c r="BA351" s="99">
        <f>IF(S_normal27[[#This Row],[Større end]],S_normal27[[#This Row],[Poissonfordeling]],NA())</f>
        <v>0.10081881344492449</v>
      </c>
      <c r="BB351" s="85" t="str">
        <f>_xlfn.IFNA(IF(MOD(S_normal27[[#This Row],[Indeks (base 0)]],AS$8)=ROUNDDOWN(AS$8/2,0),S_normal27[[#This Row],[X base]],""),"")</f>
        <v/>
      </c>
      <c r="BC351" s="99" t="str">
        <f t="shared" si="62"/>
        <v xml:space="preserve"> </v>
      </c>
    </row>
    <row r="352" spans="31:55" x14ac:dyDescent="0.2">
      <c r="AE352" s="54">
        <f t="shared" si="64"/>
        <v>339</v>
      </c>
      <c r="AF352" s="54">
        <f>S_binomial[[#This Row],[Indeks (base 0)]]+1</f>
        <v>340</v>
      </c>
      <c r="AG352" s="99">
        <f t="shared" si="65"/>
        <v>3</v>
      </c>
      <c r="AH352" s="99">
        <f>IF(MOD(S_binomial[[#This Row],[Indeks (base 0)]],AF$7)=0,NA(),_xlfn.BINOM.DIST(S_binomial[[#This Row],[X base]],E$5,E$6,FALSE))</f>
        <v>3.4906753280000008E-2</v>
      </c>
      <c r="AI352" s="99" t="b">
        <f>S_binomial[[#This Row],[X base]]&lt;AF$5</f>
        <v>1</v>
      </c>
      <c r="AJ352" s="99" t="b">
        <f>S_binomial[[#This Row],[X base]]=AF$5</f>
        <v>0</v>
      </c>
      <c r="AK352" s="99" t="b">
        <f>S_binomial[[#This Row],[X base]]&gt;AF$5</f>
        <v>0</v>
      </c>
      <c r="AL352" s="99">
        <f>IF(S_binomial[[#This Row],[Mindre end]],S_binomial[[#This Row],[Binomialfordeling]],NA())</f>
        <v>3.4906753280000008E-2</v>
      </c>
      <c r="AM352" s="99" t="e">
        <f>IF(S_binomial[[#This Row],[Lig med]],S_binomial[[#This Row],[Binomialfordeling]],NA())</f>
        <v>#N/A</v>
      </c>
      <c r="AN352" s="99" t="e">
        <f>IF(S_binomial[[#This Row],[Større end]],S_binomial[[#This Row],[Binomialfordeling]],NA())</f>
        <v>#N/A</v>
      </c>
      <c r="AO352" s="85" t="str">
        <f>_xlfn.IFNA(IF(MOD(S_binomial[[#This Row],[Indeks (base 0)]],AF$7)=ROUNDDOWN(AF$7/2,0),S_binomial[[#This Row],[X base]],""),"")</f>
        <v/>
      </c>
      <c r="AP352" s="99" t="str">
        <f t="shared" si="66"/>
        <v xml:space="preserve"> </v>
      </c>
      <c r="AR352" s="54">
        <f t="shared" si="61"/>
        <v>339</v>
      </c>
      <c r="AS352" s="54">
        <f>S_normal27[[#This Row],[Indeks (base 0)]]+1</f>
        <v>340</v>
      </c>
      <c r="AT352" s="54">
        <f t="shared" si="63"/>
        <v>5</v>
      </c>
      <c r="AU352" s="54">
        <f>IF(MOD(S_normal27[[#This Row],[Indeks (base 0)]],AS$8)=0,NA(),_xlfn.POISSON.DIST(S_normal27[[#This Row],[X base]],$H$5,FALSE))</f>
        <v>0.10081881344492449</v>
      </c>
      <c r="AV352" s="99" t="b">
        <f>S_normal27[[#This Row],[X base]]&lt;AS$5</f>
        <v>0</v>
      </c>
      <c r="AW352" s="99" t="b">
        <f>S_normal27[[#This Row],[X base]]=AS$5</f>
        <v>0</v>
      </c>
      <c r="AX352" s="99" t="b">
        <f>S_normal27[[#This Row],[X base]]&gt;AS$5</f>
        <v>1</v>
      </c>
      <c r="AY352" s="99" t="e">
        <f>IF(S_normal27[[#This Row],[Mindre end]],S_normal27[[#This Row],[Poissonfordeling]],NA())</f>
        <v>#N/A</v>
      </c>
      <c r="AZ352" s="99" t="e">
        <f>IF(S_normal27[[#This Row],[Lig med]],S_normal27[[#This Row],[Poissonfordeling]],NA())</f>
        <v>#N/A</v>
      </c>
      <c r="BA352" s="99">
        <f>IF(S_normal27[[#This Row],[Større end]],S_normal27[[#This Row],[Poissonfordeling]],NA())</f>
        <v>0.10081881344492449</v>
      </c>
      <c r="BB352" s="85" t="str">
        <f>_xlfn.IFNA(IF(MOD(S_normal27[[#This Row],[Indeks (base 0)]],AS$8)=ROUNDDOWN(AS$8/2,0),S_normal27[[#This Row],[X base]],""),"")</f>
        <v/>
      </c>
      <c r="BC352" s="99" t="str">
        <f t="shared" si="62"/>
        <v xml:space="preserve"> </v>
      </c>
    </row>
    <row r="353" spans="31:55" x14ac:dyDescent="0.2">
      <c r="AE353" s="54">
        <f t="shared" si="64"/>
        <v>340</v>
      </c>
      <c r="AF353" s="54">
        <f>S_binomial[[#This Row],[Indeks (base 0)]]+1</f>
        <v>341</v>
      </c>
      <c r="AG353" s="99">
        <f t="shared" si="65"/>
        <v>3</v>
      </c>
      <c r="AH353" s="99">
        <f>IF(MOD(S_binomial[[#This Row],[Indeks (base 0)]],AF$7)=0,NA(),_xlfn.BINOM.DIST(S_binomial[[#This Row],[X base]],E$5,E$6,FALSE))</f>
        <v>3.4906753280000008E-2</v>
      </c>
      <c r="AI353" s="99" t="b">
        <f>S_binomial[[#This Row],[X base]]&lt;AF$5</f>
        <v>1</v>
      </c>
      <c r="AJ353" s="99" t="b">
        <f>S_binomial[[#This Row],[X base]]=AF$5</f>
        <v>0</v>
      </c>
      <c r="AK353" s="99" t="b">
        <f>S_binomial[[#This Row],[X base]]&gt;AF$5</f>
        <v>0</v>
      </c>
      <c r="AL353" s="99">
        <f>IF(S_binomial[[#This Row],[Mindre end]],S_binomial[[#This Row],[Binomialfordeling]],NA())</f>
        <v>3.4906753280000008E-2</v>
      </c>
      <c r="AM353" s="99" t="e">
        <f>IF(S_binomial[[#This Row],[Lig med]],S_binomial[[#This Row],[Binomialfordeling]],NA())</f>
        <v>#N/A</v>
      </c>
      <c r="AN353" s="99" t="e">
        <f>IF(S_binomial[[#This Row],[Større end]],S_binomial[[#This Row],[Binomialfordeling]],NA())</f>
        <v>#N/A</v>
      </c>
      <c r="AO353" s="85" t="str">
        <f>_xlfn.IFNA(IF(MOD(S_binomial[[#This Row],[Indeks (base 0)]],AF$7)=ROUNDDOWN(AF$7/2,0),S_binomial[[#This Row],[X base]],""),"")</f>
        <v/>
      </c>
      <c r="AP353" s="99" t="str">
        <f t="shared" si="66"/>
        <v xml:space="preserve"> </v>
      </c>
      <c r="AR353" s="54">
        <f t="shared" si="61"/>
        <v>340</v>
      </c>
      <c r="AS353" s="54">
        <f>S_normal27[[#This Row],[Indeks (base 0)]]+1</f>
        <v>341</v>
      </c>
      <c r="AT353" s="54">
        <f t="shared" si="63"/>
        <v>5</v>
      </c>
      <c r="AU353" s="54">
        <f>IF(MOD(S_normal27[[#This Row],[Indeks (base 0)]],AS$8)=0,NA(),_xlfn.POISSON.DIST(S_normal27[[#This Row],[X base]],$H$5,FALSE))</f>
        <v>0.10081881344492449</v>
      </c>
      <c r="AV353" s="99" t="b">
        <f>S_normal27[[#This Row],[X base]]&lt;AS$5</f>
        <v>0</v>
      </c>
      <c r="AW353" s="99" t="b">
        <f>S_normal27[[#This Row],[X base]]=AS$5</f>
        <v>0</v>
      </c>
      <c r="AX353" s="99" t="b">
        <f>S_normal27[[#This Row],[X base]]&gt;AS$5</f>
        <v>1</v>
      </c>
      <c r="AY353" s="99" t="e">
        <f>IF(S_normal27[[#This Row],[Mindre end]],S_normal27[[#This Row],[Poissonfordeling]],NA())</f>
        <v>#N/A</v>
      </c>
      <c r="AZ353" s="99" t="e">
        <f>IF(S_normal27[[#This Row],[Lig med]],S_normal27[[#This Row],[Poissonfordeling]],NA())</f>
        <v>#N/A</v>
      </c>
      <c r="BA353" s="99">
        <f>IF(S_normal27[[#This Row],[Større end]],S_normal27[[#This Row],[Poissonfordeling]],NA())</f>
        <v>0.10081881344492449</v>
      </c>
      <c r="BB353" s="85" t="str">
        <f>_xlfn.IFNA(IF(MOD(S_normal27[[#This Row],[Indeks (base 0)]],AS$8)=ROUNDDOWN(AS$8/2,0),S_normal27[[#This Row],[X base]],""),"")</f>
        <v/>
      </c>
      <c r="BC353" s="99" t="str">
        <f t="shared" si="62"/>
        <v xml:space="preserve"> </v>
      </c>
    </row>
    <row r="354" spans="31:55" x14ac:dyDescent="0.2">
      <c r="AE354" s="54">
        <f t="shared" si="64"/>
        <v>341</v>
      </c>
      <c r="AF354" s="54">
        <f>S_binomial[[#This Row],[Indeks (base 0)]]+1</f>
        <v>342</v>
      </c>
      <c r="AG354" s="99">
        <f t="shared" si="65"/>
        <v>3</v>
      </c>
      <c r="AH354" s="99">
        <f>IF(MOD(S_binomial[[#This Row],[Indeks (base 0)]],AF$7)=0,NA(),_xlfn.BINOM.DIST(S_binomial[[#This Row],[X base]],E$5,E$6,FALSE))</f>
        <v>3.4906753280000008E-2</v>
      </c>
      <c r="AI354" s="99" t="b">
        <f>S_binomial[[#This Row],[X base]]&lt;AF$5</f>
        <v>1</v>
      </c>
      <c r="AJ354" s="99" t="b">
        <f>S_binomial[[#This Row],[X base]]=AF$5</f>
        <v>0</v>
      </c>
      <c r="AK354" s="99" t="b">
        <f>S_binomial[[#This Row],[X base]]&gt;AF$5</f>
        <v>0</v>
      </c>
      <c r="AL354" s="99">
        <f>IF(S_binomial[[#This Row],[Mindre end]],S_binomial[[#This Row],[Binomialfordeling]],NA())</f>
        <v>3.4906753280000008E-2</v>
      </c>
      <c r="AM354" s="99" t="e">
        <f>IF(S_binomial[[#This Row],[Lig med]],S_binomial[[#This Row],[Binomialfordeling]],NA())</f>
        <v>#N/A</v>
      </c>
      <c r="AN354" s="99" t="e">
        <f>IF(S_binomial[[#This Row],[Større end]],S_binomial[[#This Row],[Binomialfordeling]],NA())</f>
        <v>#N/A</v>
      </c>
      <c r="AO354" s="85" t="str">
        <f>_xlfn.IFNA(IF(MOD(S_binomial[[#This Row],[Indeks (base 0)]],AF$7)=ROUNDDOWN(AF$7/2,0),S_binomial[[#This Row],[X base]],""),"")</f>
        <v/>
      </c>
      <c r="AP354" s="99" t="str">
        <f t="shared" si="66"/>
        <v xml:space="preserve"> </v>
      </c>
      <c r="AR354" s="54">
        <f t="shared" si="61"/>
        <v>341</v>
      </c>
      <c r="AS354" s="54">
        <f>S_normal27[[#This Row],[Indeks (base 0)]]+1</f>
        <v>342</v>
      </c>
      <c r="AT354" s="54">
        <f t="shared" si="63"/>
        <v>5</v>
      </c>
      <c r="AU354" s="54">
        <f>IF(MOD(S_normal27[[#This Row],[Indeks (base 0)]],AS$8)=0,NA(),_xlfn.POISSON.DIST(S_normal27[[#This Row],[X base]],$H$5,FALSE))</f>
        <v>0.10081881344492449</v>
      </c>
      <c r="AV354" s="99" t="b">
        <f>S_normal27[[#This Row],[X base]]&lt;AS$5</f>
        <v>0</v>
      </c>
      <c r="AW354" s="99" t="b">
        <f>S_normal27[[#This Row],[X base]]=AS$5</f>
        <v>0</v>
      </c>
      <c r="AX354" s="99" t="b">
        <f>S_normal27[[#This Row],[X base]]&gt;AS$5</f>
        <v>1</v>
      </c>
      <c r="AY354" s="99" t="e">
        <f>IF(S_normal27[[#This Row],[Mindre end]],S_normal27[[#This Row],[Poissonfordeling]],NA())</f>
        <v>#N/A</v>
      </c>
      <c r="AZ354" s="99" t="e">
        <f>IF(S_normal27[[#This Row],[Lig med]],S_normal27[[#This Row],[Poissonfordeling]],NA())</f>
        <v>#N/A</v>
      </c>
      <c r="BA354" s="99">
        <f>IF(S_normal27[[#This Row],[Større end]],S_normal27[[#This Row],[Poissonfordeling]],NA())</f>
        <v>0.10081881344492449</v>
      </c>
      <c r="BB354" s="85" t="str">
        <f>_xlfn.IFNA(IF(MOD(S_normal27[[#This Row],[Indeks (base 0)]],AS$8)=ROUNDDOWN(AS$8/2,0),S_normal27[[#This Row],[X base]],""),"")</f>
        <v/>
      </c>
      <c r="BC354" s="99" t="str">
        <f t="shared" si="62"/>
        <v xml:space="preserve"> </v>
      </c>
    </row>
    <row r="355" spans="31:55" x14ac:dyDescent="0.2">
      <c r="AE355" s="54">
        <f t="shared" si="64"/>
        <v>342</v>
      </c>
      <c r="AF355" s="54">
        <f>S_binomial[[#This Row],[Indeks (base 0)]]+1</f>
        <v>343</v>
      </c>
      <c r="AG355" s="99">
        <f t="shared" si="65"/>
        <v>3</v>
      </c>
      <c r="AH355" s="99">
        <f>IF(MOD(S_binomial[[#This Row],[Indeks (base 0)]],AF$7)=0,NA(),_xlfn.BINOM.DIST(S_binomial[[#This Row],[X base]],E$5,E$6,FALSE))</f>
        <v>3.4906753280000008E-2</v>
      </c>
      <c r="AI355" s="99" t="b">
        <f>S_binomial[[#This Row],[X base]]&lt;AF$5</f>
        <v>1</v>
      </c>
      <c r="AJ355" s="99" t="b">
        <f>S_binomial[[#This Row],[X base]]=AF$5</f>
        <v>0</v>
      </c>
      <c r="AK355" s="99" t="b">
        <f>S_binomial[[#This Row],[X base]]&gt;AF$5</f>
        <v>0</v>
      </c>
      <c r="AL355" s="99">
        <f>IF(S_binomial[[#This Row],[Mindre end]],S_binomial[[#This Row],[Binomialfordeling]],NA())</f>
        <v>3.4906753280000008E-2</v>
      </c>
      <c r="AM355" s="99" t="e">
        <f>IF(S_binomial[[#This Row],[Lig med]],S_binomial[[#This Row],[Binomialfordeling]],NA())</f>
        <v>#N/A</v>
      </c>
      <c r="AN355" s="99" t="e">
        <f>IF(S_binomial[[#This Row],[Større end]],S_binomial[[#This Row],[Binomialfordeling]],NA())</f>
        <v>#N/A</v>
      </c>
      <c r="AO355" s="85" t="str">
        <f>_xlfn.IFNA(IF(MOD(S_binomial[[#This Row],[Indeks (base 0)]],AF$7)=ROUNDDOWN(AF$7/2,0),S_binomial[[#This Row],[X base]],""),"")</f>
        <v/>
      </c>
      <c r="AP355" s="99" t="str">
        <f t="shared" si="66"/>
        <v xml:space="preserve"> </v>
      </c>
      <c r="AR355" s="54">
        <f t="shared" si="61"/>
        <v>342</v>
      </c>
      <c r="AS355" s="54">
        <f>S_normal27[[#This Row],[Indeks (base 0)]]+1</f>
        <v>343</v>
      </c>
      <c r="AT355" s="54">
        <f t="shared" si="63"/>
        <v>5</v>
      </c>
      <c r="AU355" s="54">
        <f>IF(MOD(S_normal27[[#This Row],[Indeks (base 0)]],AS$8)=0,NA(),_xlfn.POISSON.DIST(S_normal27[[#This Row],[X base]],$H$5,FALSE))</f>
        <v>0.10081881344492449</v>
      </c>
      <c r="AV355" s="99" t="b">
        <f>S_normal27[[#This Row],[X base]]&lt;AS$5</f>
        <v>0</v>
      </c>
      <c r="AW355" s="99" t="b">
        <f>S_normal27[[#This Row],[X base]]=AS$5</f>
        <v>0</v>
      </c>
      <c r="AX355" s="99" t="b">
        <f>S_normal27[[#This Row],[X base]]&gt;AS$5</f>
        <v>1</v>
      </c>
      <c r="AY355" s="99" t="e">
        <f>IF(S_normal27[[#This Row],[Mindre end]],S_normal27[[#This Row],[Poissonfordeling]],NA())</f>
        <v>#N/A</v>
      </c>
      <c r="AZ355" s="99" t="e">
        <f>IF(S_normal27[[#This Row],[Lig med]],S_normal27[[#This Row],[Poissonfordeling]],NA())</f>
        <v>#N/A</v>
      </c>
      <c r="BA355" s="99">
        <f>IF(S_normal27[[#This Row],[Større end]],S_normal27[[#This Row],[Poissonfordeling]],NA())</f>
        <v>0.10081881344492449</v>
      </c>
      <c r="BB355" s="85" t="str">
        <f>_xlfn.IFNA(IF(MOD(S_normal27[[#This Row],[Indeks (base 0)]],AS$8)=ROUNDDOWN(AS$8/2,0),S_normal27[[#This Row],[X base]],""),"")</f>
        <v/>
      </c>
      <c r="BC355" s="99" t="str">
        <f t="shared" si="62"/>
        <v xml:space="preserve"> </v>
      </c>
    </row>
    <row r="356" spans="31:55" x14ac:dyDescent="0.2">
      <c r="AE356" s="54">
        <f t="shared" si="64"/>
        <v>343</v>
      </c>
      <c r="AF356" s="54">
        <f>S_binomial[[#This Row],[Indeks (base 0)]]+1</f>
        <v>344</v>
      </c>
      <c r="AG356" s="99">
        <f t="shared" si="65"/>
        <v>3</v>
      </c>
      <c r="AH356" s="99">
        <f>IF(MOD(S_binomial[[#This Row],[Indeks (base 0)]],AF$7)=0,NA(),_xlfn.BINOM.DIST(S_binomial[[#This Row],[X base]],E$5,E$6,FALSE))</f>
        <v>3.4906753280000008E-2</v>
      </c>
      <c r="AI356" s="99" t="b">
        <f>S_binomial[[#This Row],[X base]]&lt;AF$5</f>
        <v>1</v>
      </c>
      <c r="AJ356" s="99" t="b">
        <f>S_binomial[[#This Row],[X base]]=AF$5</f>
        <v>0</v>
      </c>
      <c r="AK356" s="99" t="b">
        <f>S_binomial[[#This Row],[X base]]&gt;AF$5</f>
        <v>0</v>
      </c>
      <c r="AL356" s="99">
        <f>IF(S_binomial[[#This Row],[Mindre end]],S_binomial[[#This Row],[Binomialfordeling]],NA())</f>
        <v>3.4906753280000008E-2</v>
      </c>
      <c r="AM356" s="99" t="e">
        <f>IF(S_binomial[[#This Row],[Lig med]],S_binomial[[#This Row],[Binomialfordeling]],NA())</f>
        <v>#N/A</v>
      </c>
      <c r="AN356" s="99" t="e">
        <f>IF(S_binomial[[#This Row],[Større end]],S_binomial[[#This Row],[Binomialfordeling]],NA())</f>
        <v>#N/A</v>
      </c>
      <c r="AO356" s="85" t="str">
        <f>_xlfn.IFNA(IF(MOD(S_binomial[[#This Row],[Indeks (base 0)]],AF$7)=ROUNDDOWN(AF$7/2,0),S_binomial[[#This Row],[X base]],""),"")</f>
        <v/>
      </c>
      <c r="AP356" s="99" t="str">
        <f t="shared" si="66"/>
        <v xml:space="preserve"> </v>
      </c>
      <c r="AR356" s="54">
        <f t="shared" si="61"/>
        <v>343</v>
      </c>
      <c r="AS356" s="54">
        <f>S_normal27[[#This Row],[Indeks (base 0)]]+1</f>
        <v>344</v>
      </c>
      <c r="AT356" s="54">
        <f t="shared" si="63"/>
        <v>5</v>
      </c>
      <c r="AU356" s="54">
        <f>IF(MOD(S_normal27[[#This Row],[Indeks (base 0)]],AS$8)=0,NA(),_xlfn.POISSON.DIST(S_normal27[[#This Row],[X base]],$H$5,FALSE))</f>
        <v>0.10081881344492449</v>
      </c>
      <c r="AV356" s="99" t="b">
        <f>S_normal27[[#This Row],[X base]]&lt;AS$5</f>
        <v>0</v>
      </c>
      <c r="AW356" s="99" t="b">
        <f>S_normal27[[#This Row],[X base]]=AS$5</f>
        <v>0</v>
      </c>
      <c r="AX356" s="99" t="b">
        <f>S_normal27[[#This Row],[X base]]&gt;AS$5</f>
        <v>1</v>
      </c>
      <c r="AY356" s="99" t="e">
        <f>IF(S_normal27[[#This Row],[Mindre end]],S_normal27[[#This Row],[Poissonfordeling]],NA())</f>
        <v>#N/A</v>
      </c>
      <c r="AZ356" s="99" t="e">
        <f>IF(S_normal27[[#This Row],[Lig med]],S_normal27[[#This Row],[Poissonfordeling]],NA())</f>
        <v>#N/A</v>
      </c>
      <c r="BA356" s="99">
        <f>IF(S_normal27[[#This Row],[Større end]],S_normal27[[#This Row],[Poissonfordeling]],NA())</f>
        <v>0.10081881344492449</v>
      </c>
      <c r="BB356" s="85" t="str">
        <f>_xlfn.IFNA(IF(MOD(S_normal27[[#This Row],[Indeks (base 0)]],AS$8)=ROUNDDOWN(AS$8/2,0),S_normal27[[#This Row],[X base]],""),"")</f>
        <v/>
      </c>
      <c r="BC356" s="99" t="str">
        <f t="shared" si="62"/>
        <v xml:space="preserve"> </v>
      </c>
    </row>
    <row r="357" spans="31:55" x14ac:dyDescent="0.2">
      <c r="AE357" s="54">
        <f t="shared" si="64"/>
        <v>344</v>
      </c>
      <c r="AF357" s="54">
        <f>S_binomial[[#This Row],[Indeks (base 0)]]+1</f>
        <v>345</v>
      </c>
      <c r="AG357" s="99">
        <f t="shared" si="65"/>
        <v>3</v>
      </c>
      <c r="AH357" s="99">
        <f>IF(MOD(S_binomial[[#This Row],[Indeks (base 0)]],AF$7)=0,NA(),_xlfn.BINOM.DIST(S_binomial[[#This Row],[X base]],E$5,E$6,FALSE))</f>
        <v>3.4906753280000008E-2</v>
      </c>
      <c r="AI357" s="99" t="b">
        <f>S_binomial[[#This Row],[X base]]&lt;AF$5</f>
        <v>1</v>
      </c>
      <c r="AJ357" s="99" t="b">
        <f>S_binomial[[#This Row],[X base]]=AF$5</f>
        <v>0</v>
      </c>
      <c r="AK357" s="99" t="b">
        <f>S_binomial[[#This Row],[X base]]&gt;AF$5</f>
        <v>0</v>
      </c>
      <c r="AL357" s="99">
        <f>IF(S_binomial[[#This Row],[Mindre end]],S_binomial[[#This Row],[Binomialfordeling]],NA())</f>
        <v>3.4906753280000008E-2</v>
      </c>
      <c r="AM357" s="99" t="e">
        <f>IF(S_binomial[[#This Row],[Lig med]],S_binomial[[#This Row],[Binomialfordeling]],NA())</f>
        <v>#N/A</v>
      </c>
      <c r="AN357" s="99" t="e">
        <f>IF(S_binomial[[#This Row],[Større end]],S_binomial[[#This Row],[Binomialfordeling]],NA())</f>
        <v>#N/A</v>
      </c>
      <c r="AO357" s="85" t="str">
        <f>_xlfn.IFNA(IF(MOD(S_binomial[[#This Row],[Indeks (base 0)]],AF$7)=ROUNDDOWN(AF$7/2,0),S_binomial[[#This Row],[X base]],""),"")</f>
        <v/>
      </c>
      <c r="AP357" s="99" t="str">
        <f t="shared" si="66"/>
        <v xml:space="preserve"> </v>
      </c>
      <c r="AR357" s="54">
        <f t="shared" si="61"/>
        <v>344</v>
      </c>
      <c r="AS357" s="54">
        <f>S_normal27[[#This Row],[Indeks (base 0)]]+1</f>
        <v>345</v>
      </c>
      <c r="AT357" s="54">
        <f t="shared" si="63"/>
        <v>5</v>
      </c>
      <c r="AU357" s="54">
        <f>IF(MOD(S_normal27[[#This Row],[Indeks (base 0)]],AS$8)=0,NA(),_xlfn.POISSON.DIST(S_normal27[[#This Row],[X base]],$H$5,FALSE))</f>
        <v>0.10081881344492449</v>
      </c>
      <c r="AV357" s="99" t="b">
        <f>S_normal27[[#This Row],[X base]]&lt;AS$5</f>
        <v>0</v>
      </c>
      <c r="AW357" s="99" t="b">
        <f>S_normal27[[#This Row],[X base]]=AS$5</f>
        <v>0</v>
      </c>
      <c r="AX357" s="99" t="b">
        <f>S_normal27[[#This Row],[X base]]&gt;AS$5</f>
        <v>1</v>
      </c>
      <c r="AY357" s="99" t="e">
        <f>IF(S_normal27[[#This Row],[Mindre end]],S_normal27[[#This Row],[Poissonfordeling]],NA())</f>
        <v>#N/A</v>
      </c>
      <c r="AZ357" s="99" t="e">
        <f>IF(S_normal27[[#This Row],[Lig med]],S_normal27[[#This Row],[Poissonfordeling]],NA())</f>
        <v>#N/A</v>
      </c>
      <c r="BA357" s="99">
        <f>IF(S_normal27[[#This Row],[Større end]],S_normal27[[#This Row],[Poissonfordeling]],NA())</f>
        <v>0.10081881344492449</v>
      </c>
      <c r="BB357" s="85" t="str">
        <f>_xlfn.IFNA(IF(MOD(S_normal27[[#This Row],[Indeks (base 0)]],AS$8)=ROUNDDOWN(AS$8/2,0),S_normal27[[#This Row],[X base]],""),"")</f>
        <v/>
      </c>
      <c r="BC357" s="99" t="str">
        <f t="shared" si="62"/>
        <v xml:space="preserve"> </v>
      </c>
    </row>
    <row r="358" spans="31:55" x14ac:dyDescent="0.2">
      <c r="AE358" s="54">
        <f t="shared" si="64"/>
        <v>345</v>
      </c>
      <c r="AF358" s="54">
        <f>S_binomial[[#This Row],[Indeks (base 0)]]+1</f>
        <v>346</v>
      </c>
      <c r="AG358" s="99">
        <f t="shared" si="65"/>
        <v>3</v>
      </c>
      <c r="AH358" s="99">
        <f>IF(MOD(S_binomial[[#This Row],[Indeks (base 0)]],AF$7)=0,NA(),_xlfn.BINOM.DIST(S_binomial[[#This Row],[X base]],E$5,E$6,FALSE))</f>
        <v>3.4906753280000008E-2</v>
      </c>
      <c r="AI358" s="99" t="b">
        <f>S_binomial[[#This Row],[X base]]&lt;AF$5</f>
        <v>1</v>
      </c>
      <c r="AJ358" s="99" t="b">
        <f>S_binomial[[#This Row],[X base]]=AF$5</f>
        <v>0</v>
      </c>
      <c r="AK358" s="99" t="b">
        <f>S_binomial[[#This Row],[X base]]&gt;AF$5</f>
        <v>0</v>
      </c>
      <c r="AL358" s="99">
        <f>IF(S_binomial[[#This Row],[Mindre end]],S_binomial[[#This Row],[Binomialfordeling]],NA())</f>
        <v>3.4906753280000008E-2</v>
      </c>
      <c r="AM358" s="99" t="e">
        <f>IF(S_binomial[[#This Row],[Lig med]],S_binomial[[#This Row],[Binomialfordeling]],NA())</f>
        <v>#N/A</v>
      </c>
      <c r="AN358" s="99" t="e">
        <f>IF(S_binomial[[#This Row],[Større end]],S_binomial[[#This Row],[Binomialfordeling]],NA())</f>
        <v>#N/A</v>
      </c>
      <c r="AO358" s="85" t="str">
        <f>_xlfn.IFNA(IF(MOD(S_binomial[[#This Row],[Indeks (base 0)]],AF$7)=ROUNDDOWN(AF$7/2,0),S_binomial[[#This Row],[X base]],""),"")</f>
        <v/>
      </c>
      <c r="AP358" s="99" t="str">
        <f t="shared" si="66"/>
        <v xml:space="preserve"> </v>
      </c>
      <c r="AR358" s="54">
        <f t="shared" si="61"/>
        <v>345</v>
      </c>
      <c r="AS358" s="54">
        <f>S_normal27[[#This Row],[Indeks (base 0)]]+1</f>
        <v>346</v>
      </c>
      <c r="AT358" s="54">
        <f t="shared" si="63"/>
        <v>5</v>
      </c>
      <c r="AU358" s="54">
        <f>IF(MOD(S_normal27[[#This Row],[Indeks (base 0)]],AS$8)=0,NA(),_xlfn.POISSON.DIST(S_normal27[[#This Row],[X base]],$H$5,FALSE))</f>
        <v>0.10081881344492449</v>
      </c>
      <c r="AV358" s="99" t="b">
        <f>S_normal27[[#This Row],[X base]]&lt;AS$5</f>
        <v>0</v>
      </c>
      <c r="AW358" s="99" t="b">
        <f>S_normal27[[#This Row],[X base]]=AS$5</f>
        <v>0</v>
      </c>
      <c r="AX358" s="99" t="b">
        <f>S_normal27[[#This Row],[X base]]&gt;AS$5</f>
        <v>1</v>
      </c>
      <c r="AY358" s="99" t="e">
        <f>IF(S_normal27[[#This Row],[Mindre end]],S_normal27[[#This Row],[Poissonfordeling]],NA())</f>
        <v>#N/A</v>
      </c>
      <c r="AZ358" s="99" t="e">
        <f>IF(S_normal27[[#This Row],[Lig med]],S_normal27[[#This Row],[Poissonfordeling]],NA())</f>
        <v>#N/A</v>
      </c>
      <c r="BA358" s="99">
        <f>IF(S_normal27[[#This Row],[Større end]],S_normal27[[#This Row],[Poissonfordeling]],NA())</f>
        <v>0.10081881344492449</v>
      </c>
      <c r="BB358" s="85" t="str">
        <f>_xlfn.IFNA(IF(MOD(S_normal27[[#This Row],[Indeks (base 0)]],AS$8)=ROUNDDOWN(AS$8/2,0),S_normal27[[#This Row],[X base]],""),"")</f>
        <v/>
      </c>
      <c r="BC358" s="99" t="str">
        <f t="shared" si="62"/>
        <v xml:space="preserve"> </v>
      </c>
    </row>
    <row r="359" spans="31:55" x14ac:dyDescent="0.2">
      <c r="AE359" s="54">
        <f t="shared" si="64"/>
        <v>346</v>
      </c>
      <c r="AF359" s="54">
        <f>S_binomial[[#This Row],[Indeks (base 0)]]+1</f>
        <v>347</v>
      </c>
      <c r="AG359" s="99">
        <f t="shared" si="65"/>
        <v>3</v>
      </c>
      <c r="AH359" s="99">
        <f>IF(MOD(S_binomial[[#This Row],[Indeks (base 0)]],AF$7)=0,NA(),_xlfn.BINOM.DIST(S_binomial[[#This Row],[X base]],E$5,E$6,FALSE))</f>
        <v>3.4906753280000008E-2</v>
      </c>
      <c r="AI359" s="99" t="b">
        <f>S_binomial[[#This Row],[X base]]&lt;AF$5</f>
        <v>1</v>
      </c>
      <c r="AJ359" s="99" t="b">
        <f>S_binomial[[#This Row],[X base]]=AF$5</f>
        <v>0</v>
      </c>
      <c r="AK359" s="99" t="b">
        <f>S_binomial[[#This Row],[X base]]&gt;AF$5</f>
        <v>0</v>
      </c>
      <c r="AL359" s="99">
        <f>IF(S_binomial[[#This Row],[Mindre end]],S_binomial[[#This Row],[Binomialfordeling]],NA())</f>
        <v>3.4906753280000008E-2</v>
      </c>
      <c r="AM359" s="99" t="e">
        <f>IF(S_binomial[[#This Row],[Lig med]],S_binomial[[#This Row],[Binomialfordeling]],NA())</f>
        <v>#N/A</v>
      </c>
      <c r="AN359" s="99" t="e">
        <f>IF(S_binomial[[#This Row],[Større end]],S_binomial[[#This Row],[Binomialfordeling]],NA())</f>
        <v>#N/A</v>
      </c>
      <c r="AO359" s="85" t="str">
        <f>_xlfn.IFNA(IF(MOD(S_binomial[[#This Row],[Indeks (base 0)]],AF$7)=ROUNDDOWN(AF$7/2,0),S_binomial[[#This Row],[X base]],""),"")</f>
        <v/>
      </c>
      <c r="AP359" s="99" t="str">
        <f t="shared" si="66"/>
        <v xml:space="preserve"> </v>
      </c>
      <c r="AR359" s="54">
        <f t="shared" si="61"/>
        <v>346</v>
      </c>
      <c r="AS359" s="54">
        <f>S_normal27[[#This Row],[Indeks (base 0)]]+1</f>
        <v>347</v>
      </c>
      <c r="AT359" s="54">
        <f t="shared" si="63"/>
        <v>5</v>
      </c>
      <c r="AU359" s="54">
        <f>IF(MOD(S_normal27[[#This Row],[Indeks (base 0)]],AS$8)=0,NA(),_xlfn.POISSON.DIST(S_normal27[[#This Row],[X base]],$H$5,FALSE))</f>
        <v>0.10081881344492449</v>
      </c>
      <c r="AV359" s="99" t="b">
        <f>S_normal27[[#This Row],[X base]]&lt;AS$5</f>
        <v>0</v>
      </c>
      <c r="AW359" s="99" t="b">
        <f>S_normal27[[#This Row],[X base]]=AS$5</f>
        <v>0</v>
      </c>
      <c r="AX359" s="99" t="b">
        <f>S_normal27[[#This Row],[X base]]&gt;AS$5</f>
        <v>1</v>
      </c>
      <c r="AY359" s="99" t="e">
        <f>IF(S_normal27[[#This Row],[Mindre end]],S_normal27[[#This Row],[Poissonfordeling]],NA())</f>
        <v>#N/A</v>
      </c>
      <c r="AZ359" s="99" t="e">
        <f>IF(S_normal27[[#This Row],[Lig med]],S_normal27[[#This Row],[Poissonfordeling]],NA())</f>
        <v>#N/A</v>
      </c>
      <c r="BA359" s="99">
        <f>IF(S_normal27[[#This Row],[Større end]],S_normal27[[#This Row],[Poissonfordeling]],NA())</f>
        <v>0.10081881344492449</v>
      </c>
      <c r="BB359" s="85" t="str">
        <f>_xlfn.IFNA(IF(MOD(S_normal27[[#This Row],[Indeks (base 0)]],AS$8)=ROUNDDOWN(AS$8/2,0),S_normal27[[#This Row],[X base]],""),"")</f>
        <v/>
      </c>
      <c r="BC359" s="99" t="str">
        <f t="shared" si="62"/>
        <v xml:space="preserve"> </v>
      </c>
    </row>
    <row r="360" spans="31:55" x14ac:dyDescent="0.2">
      <c r="AE360" s="54">
        <f t="shared" si="64"/>
        <v>347</v>
      </c>
      <c r="AF360" s="54">
        <f>S_binomial[[#This Row],[Indeks (base 0)]]+1</f>
        <v>348</v>
      </c>
      <c r="AG360" s="99">
        <f t="shared" si="65"/>
        <v>3</v>
      </c>
      <c r="AH360" s="99">
        <f>IF(MOD(S_binomial[[#This Row],[Indeks (base 0)]],AF$7)=0,NA(),_xlfn.BINOM.DIST(S_binomial[[#This Row],[X base]],E$5,E$6,FALSE))</f>
        <v>3.4906753280000008E-2</v>
      </c>
      <c r="AI360" s="99" t="b">
        <f>S_binomial[[#This Row],[X base]]&lt;AF$5</f>
        <v>1</v>
      </c>
      <c r="AJ360" s="99" t="b">
        <f>S_binomial[[#This Row],[X base]]=AF$5</f>
        <v>0</v>
      </c>
      <c r="AK360" s="99" t="b">
        <f>S_binomial[[#This Row],[X base]]&gt;AF$5</f>
        <v>0</v>
      </c>
      <c r="AL360" s="99">
        <f>IF(S_binomial[[#This Row],[Mindre end]],S_binomial[[#This Row],[Binomialfordeling]],NA())</f>
        <v>3.4906753280000008E-2</v>
      </c>
      <c r="AM360" s="99" t="e">
        <f>IF(S_binomial[[#This Row],[Lig med]],S_binomial[[#This Row],[Binomialfordeling]],NA())</f>
        <v>#N/A</v>
      </c>
      <c r="AN360" s="99" t="e">
        <f>IF(S_binomial[[#This Row],[Større end]],S_binomial[[#This Row],[Binomialfordeling]],NA())</f>
        <v>#N/A</v>
      </c>
      <c r="AO360" s="85" t="str">
        <f>_xlfn.IFNA(IF(MOD(S_binomial[[#This Row],[Indeks (base 0)]],AF$7)=ROUNDDOWN(AF$7/2,0),S_binomial[[#This Row],[X base]],""),"")</f>
        <v/>
      </c>
      <c r="AP360" s="99" t="str">
        <f t="shared" si="66"/>
        <v xml:space="preserve"> </v>
      </c>
      <c r="AR360" s="54">
        <f t="shared" si="61"/>
        <v>347</v>
      </c>
      <c r="AS360" s="54">
        <f>S_normal27[[#This Row],[Indeks (base 0)]]+1</f>
        <v>348</v>
      </c>
      <c r="AT360" s="54">
        <f t="shared" si="63"/>
        <v>5</v>
      </c>
      <c r="AU360" s="54">
        <f>IF(MOD(S_normal27[[#This Row],[Indeks (base 0)]],AS$8)=0,NA(),_xlfn.POISSON.DIST(S_normal27[[#This Row],[X base]],$H$5,FALSE))</f>
        <v>0.10081881344492449</v>
      </c>
      <c r="AV360" s="99" t="b">
        <f>S_normal27[[#This Row],[X base]]&lt;AS$5</f>
        <v>0</v>
      </c>
      <c r="AW360" s="99" t="b">
        <f>S_normal27[[#This Row],[X base]]=AS$5</f>
        <v>0</v>
      </c>
      <c r="AX360" s="99" t="b">
        <f>S_normal27[[#This Row],[X base]]&gt;AS$5</f>
        <v>1</v>
      </c>
      <c r="AY360" s="99" t="e">
        <f>IF(S_normal27[[#This Row],[Mindre end]],S_normal27[[#This Row],[Poissonfordeling]],NA())</f>
        <v>#N/A</v>
      </c>
      <c r="AZ360" s="99" t="e">
        <f>IF(S_normal27[[#This Row],[Lig med]],S_normal27[[#This Row],[Poissonfordeling]],NA())</f>
        <v>#N/A</v>
      </c>
      <c r="BA360" s="99">
        <f>IF(S_normal27[[#This Row],[Større end]],S_normal27[[#This Row],[Poissonfordeling]],NA())</f>
        <v>0.10081881344492449</v>
      </c>
      <c r="BB360" s="85" t="str">
        <f>_xlfn.IFNA(IF(MOD(S_normal27[[#This Row],[Indeks (base 0)]],AS$8)=ROUNDDOWN(AS$8/2,0),S_normal27[[#This Row],[X base]],""),"")</f>
        <v/>
      </c>
      <c r="BC360" s="99" t="str">
        <f t="shared" si="62"/>
        <v xml:space="preserve"> </v>
      </c>
    </row>
    <row r="361" spans="31:55" x14ac:dyDescent="0.2">
      <c r="AE361" s="54">
        <f t="shared" si="64"/>
        <v>348</v>
      </c>
      <c r="AF361" s="54">
        <f>S_binomial[[#This Row],[Indeks (base 0)]]+1</f>
        <v>349</v>
      </c>
      <c r="AG361" s="99">
        <f t="shared" si="65"/>
        <v>3</v>
      </c>
      <c r="AH361" s="99">
        <f>IF(MOD(S_binomial[[#This Row],[Indeks (base 0)]],AF$7)=0,NA(),_xlfn.BINOM.DIST(S_binomial[[#This Row],[X base]],E$5,E$6,FALSE))</f>
        <v>3.4906753280000008E-2</v>
      </c>
      <c r="AI361" s="99" t="b">
        <f>S_binomial[[#This Row],[X base]]&lt;AF$5</f>
        <v>1</v>
      </c>
      <c r="AJ361" s="99" t="b">
        <f>S_binomial[[#This Row],[X base]]=AF$5</f>
        <v>0</v>
      </c>
      <c r="AK361" s="99" t="b">
        <f>S_binomial[[#This Row],[X base]]&gt;AF$5</f>
        <v>0</v>
      </c>
      <c r="AL361" s="99">
        <f>IF(S_binomial[[#This Row],[Mindre end]],S_binomial[[#This Row],[Binomialfordeling]],NA())</f>
        <v>3.4906753280000008E-2</v>
      </c>
      <c r="AM361" s="99" t="e">
        <f>IF(S_binomial[[#This Row],[Lig med]],S_binomial[[#This Row],[Binomialfordeling]],NA())</f>
        <v>#N/A</v>
      </c>
      <c r="AN361" s="99" t="e">
        <f>IF(S_binomial[[#This Row],[Større end]],S_binomial[[#This Row],[Binomialfordeling]],NA())</f>
        <v>#N/A</v>
      </c>
      <c r="AO361" s="85" t="str">
        <f>_xlfn.IFNA(IF(MOD(S_binomial[[#This Row],[Indeks (base 0)]],AF$7)=ROUNDDOWN(AF$7/2,0),S_binomial[[#This Row],[X base]],""),"")</f>
        <v/>
      </c>
      <c r="AP361" s="99" t="str">
        <f t="shared" si="66"/>
        <v xml:space="preserve"> </v>
      </c>
      <c r="AR361" s="54">
        <f t="shared" si="61"/>
        <v>348</v>
      </c>
      <c r="AS361" s="54">
        <f>S_normal27[[#This Row],[Indeks (base 0)]]+1</f>
        <v>349</v>
      </c>
      <c r="AT361" s="54">
        <f t="shared" si="63"/>
        <v>5</v>
      </c>
      <c r="AU361" s="54">
        <f>IF(MOD(S_normal27[[#This Row],[Indeks (base 0)]],AS$8)=0,NA(),_xlfn.POISSON.DIST(S_normal27[[#This Row],[X base]],$H$5,FALSE))</f>
        <v>0.10081881344492449</v>
      </c>
      <c r="AV361" s="99" t="b">
        <f>S_normal27[[#This Row],[X base]]&lt;AS$5</f>
        <v>0</v>
      </c>
      <c r="AW361" s="99" t="b">
        <f>S_normal27[[#This Row],[X base]]=AS$5</f>
        <v>0</v>
      </c>
      <c r="AX361" s="99" t="b">
        <f>S_normal27[[#This Row],[X base]]&gt;AS$5</f>
        <v>1</v>
      </c>
      <c r="AY361" s="99" t="e">
        <f>IF(S_normal27[[#This Row],[Mindre end]],S_normal27[[#This Row],[Poissonfordeling]],NA())</f>
        <v>#N/A</v>
      </c>
      <c r="AZ361" s="99" t="e">
        <f>IF(S_normal27[[#This Row],[Lig med]],S_normal27[[#This Row],[Poissonfordeling]],NA())</f>
        <v>#N/A</v>
      </c>
      <c r="BA361" s="99">
        <f>IF(S_normal27[[#This Row],[Større end]],S_normal27[[#This Row],[Poissonfordeling]],NA())</f>
        <v>0.10081881344492449</v>
      </c>
      <c r="BB361" s="85" t="str">
        <f>_xlfn.IFNA(IF(MOD(S_normal27[[#This Row],[Indeks (base 0)]],AS$8)=ROUNDDOWN(AS$8/2,0),S_normal27[[#This Row],[X base]],""),"")</f>
        <v/>
      </c>
      <c r="BC361" s="99" t="str">
        <f t="shared" si="62"/>
        <v xml:space="preserve"> </v>
      </c>
    </row>
    <row r="362" spans="31:55" x14ac:dyDescent="0.2">
      <c r="AE362" s="54">
        <f t="shared" si="64"/>
        <v>349</v>
      </c>
      <c r="AF362" s="54">
        <f>S_binomial[[#This Row],[Indeks (base 0)]]+1</f>
        <v>350</v>
      </c>
      <c r="AG362" s="99">
        <f t="shared" si="65"/>
        <v>3</v>
      </c>
      <c r="AH362" s="99">
        <f>IF(MOD(S_binomial[[#This Row],[Indeks (base 0)]],AF$7)=0,NA(),_xlfn.BINOM.DIST(S_binomial[[#This Row],[X base]],E$5,E$6,FALSE))</f>
        <v>3.4906753280000008E-2</v>
      </c>
      <c r="AI362" s="99" t="b">
        <f>S_binomial[[#This Row],[X base]]&lt;AF$5</f>
        <v>1</v>
      </c>
      <c r="AJ362" s="99" t="b">
        <f>S_binomial[[#This Row],[X base]]=AF$5</f>
        <v>0</v>
      </c>
      <c r="AK362" s="99" t="b">
        <f>S_binomial[[#This Row],[X base]]&gt;AF$5</f>
        <v>0</v>
      </c>
      <c r="AL362" s="99">
        <f>IF(S_binomial[[#This Row],[Mindre end]],S_binomial[[#This Row],[Binomialfordeling]],NA())</f>
        <v>3.4906753280000008E-2</v>
      </c>
      <c r="AM362" s="99" t="e">
        <f>IF(S_binomial[[#This Row],[Lig med]],S_binomial[[#This Row],[Binomialfordeling]],NA())</f>
        <v>#N/A</v>
      </c>
      <c r="AN362" s="99" t="e">
        <f>IF(S_binomial[[#This Row],[Større end]],S_binomial[[#This Row],[Binomialfordeling]],NA())</f>
        <v>#N/A</v>
      </c>
      <c r="AO362" s="85" t="str">
        <f>_xlfn.IFNA(IF(MOD(S_binomial[[#This Row],[Indeks (base 0)]],AF$7)=ROUNDDOWN(AF$7/2,0),S_binomial[[#This Row],[X base]],""),"")</f>
        <v/>
      </c>
      <c r="AP362" s="99" t="str">
        <f t="shared" si="66"/>
        <v xml:space="preserve"> </v>
      </c>
      <c r="AR362" s="54">
        <f t="shared" si="61"/>
        <v>349</v>
      </c>
      <c r="AS362" s="54">
        <f>S_normal27[[#This Row],[Indeks (base 0)]]+1</f>
        <v>350</v>
      </c>
      <c r="AT362" s="54">
        <f t="shared" si="63"/>
        <v>5</v>
      </c>
      <c r="AU362" s="54">
        <f>IF(MOD(S_normal27[[#This Row],[Indeks (base 0)]],AS$8)=0,NA(),_xlfn.POISSON.DIST(S_normal27[[#This Row],[X base]],$H$5,FALSE))</f>
        <v>0.10081881344492449</v>
      </c>
      <c r="AV362" s="99" t="b">
        <f>S_normal27[[#This Row],[X base]]&lt;AS$5</f>
        <v>0</v>
      </c>
      <c r="AW362" s="99" t="b">
        <f>S_normal27[[#This Row],[X base]]=AS$5</f>
        <v>0</v>
      </c>
      <c r="AX362" s="99" t="b">
        <f>S_normal27[[#This Row],[X base]]&gt;AS$5</f>
        <v>1</v>
      </c>
      <c r="AY362" s="99" t="e">
        <f>IF(S_normal27[[#This Row],[Mindre end]],S_normal27[[#This Row],[Poissonfordeling]],NA())</f>
        <v>#N/A</v>
      </c>
      <c r="AZ362" s="99" t="e">
        <f>IF(S_normal27[[#This Row],[Lig med]],S_normal27[[#This Row],[Poissonfordeling]],NA())</f>
        <v>#N/A</v>
      </c>
      <c r="BA362" s="99">
        <f>IF(S_normal27[[#This Row],[Større end]],S_normal27[[#This Row],[Poissonfordeling]],NA())</f>
        <v>0.10081881344492449</v>
      </c>
      <c r="BB362" s="85" t="str">
        <f>_xlfn.IFNA(IF(MOD(S_normal27[[#This Row],[Indeks (base 0)]],AS$8)=ROUNDDOWN(AS$8/2,0),S_normal27[[#This Row],[X base]],""),"")</f>
        <v/>
      </c>
      <c r="BC362" s="99" t="str">
        <f t="shared" si="62"/>
        <v xml:space="preserve"> </v>
      </c>
    </row>
    <row r="363" spans="31:55" x14ac:dyDescent="0.2">
      <c r="AE363" s="54">
        <f t="shared" si="64"/>
        <v>350</v>
      </c>
      <c r="AF363" s="54">
        <f>S_binomial[[#This Row],[Indeks (base 0)]]+1</f>
        <v>351</v>
      </c>
      <c r="AG363" s="99">
        <f t="shared" si="65"/>
        <v>3</v>
      </c>
      <c r="AH363" s="99">
        <f>IF(MOD(S_binomial[[#This Row],[Indeks (base 0)]],AF$7)=0,NA(),_xlfn.BINOM.DIST(S_binomial[[#This Row],[X base]],E$5,E$6,FALSE))</f>
        <v>3.4906753280000008E-2</v>
      </c>
      <c r="AI363" s="99" t="b">
        <f>S_binomial[[#This Row],[X base]]&lt;AF$5</f>
        <v>1</v>
      </c>
      <c r="AJ363" s="99" t="b">
        <f>S_binomial[[#This Row],[X base]]=AF$5</f>
        <v>0</v>
      </c>
      <c r="AK363" s="99" t="b">
        <f>S_binomial[[#This Row],[X base]]&gt;AF$5</f>
        <v>0</v>
      </c>
      <c r="AL363" s="99">
        <f>IF(S_binomial[[#This Row],[Mindre end]],S_binomial[[#This Row],[Binomialfordeling]],NA())</f>
        <v>3.4906753280000008E-2</v>
      </c>
      <c r="AM363" s="99" t="e">
        <f>IF(S_binomial[[#This Row],[Lig med]],S_binomial[[#This Row],[Binomialfordeling]],NA())</f>
        <v>#N/A</v>
      </c>
      <c r="AN363" s="99" t="e">
        <f>IF(S_binomial[[#This Row],[Større end]],S_binomial[[#This Row],[Binomialfordeling]],NA())</f>
        <v>#N/A</v>
      </c>
      <c r="AO363" s="85" t="str">
        <f>_xlfn.IFNA(IF(MOD(S_binomial[[#This Row],[Indeks (base 0)]],AF$7)=ROUNDDOWN(AF$7/2,0),S_binomial[[#This Row],[X base]],""),"")</f>
        <v/>
      </c>
      <c r="AP363" s="99" t="str">
        <f t="shared" si="66"/>
        <v xml:space="preserve"> </v>
      </c>
      <c r="AR363" s="54">
        <f t="shared" si="61"/>
        <v>350</v>
      </c>
      <c r="AS363" s="54">
        <f>S_normal27[[#This Row],[Indeks (base 0)]]+1</f>
        <v>351</v>
      </c>
      <c r="AT363" s="54">
        <f t="shared" si="63"/>
        <v>5</v>
      </c>
      <c r="AU363" s="54">
        <f>IF(MOD(S_normal27[[#This Row],[Indeks (base 0)]],AS$8)=0,NA(),_xlfn.POISSON.DIST(S_normal27[[#This Row],[X base]],$H$5,FALSE))</f>
        <v>0.10081881344492449</v>
      </c>
      <c r="AV363" s="99" t="b">
        <f>S_normal27[[#This Row],[X base]]&lt;AS$5</f>
        <v>0</v>
      </c>
      <c r="AW363" s="99" t="b">
        <f>S_normal27[[#This Row],[X base]]=AS$5</f>
        <v>0</v>
      </c>
      <c r="AX363" s="99" t="b">
        <f>S_normal27[[#This Row],[X base]]&gt;AS$5</f>
        <v>1</v>
      </c>
      <c r="AY363" s="99" t="e">
        <f>IF(S_normal27[[#This Row],[Mindre end]],S_normal27[[#This Row],[Poissonfordeling]],NA())</f>
        <v>#N/A</v>
      </c>
      <c r="AZ363" s="99" t="e">
        <f>IF(S_normal27[[#This Row],[Lig med]],S_normal27[[#This Row],[Poissonfordeling]],NA())</f>
        <v>#N/A</v>
      </c>
      <c r="BA363" s="99">
        <f>IF(S_normal27[[#This Row],[Større end]],S_normal27[[#This Row],[Poissonfordeling]],NA())</f>
        <v>0.10081881344492449</v>
      </c>
      <c r="BB363" s="85" t="str">
        <f>_xlfn.IFNA(IF(MOD(S_normal27[[#This Row],[Indeks (base 0)]],AS$8)=ROUNDDOWN(AS$8/2,0),S_normal27[[#This Row],[X base]],""),"")</f>
        <v/>
      </c>
      <c r="BC363" s="99" t="str">
        <f t="shared" si="62"/>
        <v xml:space="preserve"> </v>
      </c>
    </row>
    <row r="364" spans="31:55" x14ac:dyDescent="0.2">
      <c r="AE364" s="54">
        <f t="shared" si="64"/>
        <v>351</v>
      </c>
      <c r="AF364" s="54">
        <f>S_binomial[[#This Row],[Indeks (base 0)]]+1</f>
        <v>352</v>
      </c>
      <c r="AG364" s="99">
        <f t="shared" si="65"/>
        <v>3</v>
      </c>
      <c r="AH364" s="99">
        <f>IF(MOD(S_binomial[[#This Row],[Indeks (base 0)]],AF$7)=0,NA(),_xlfn.BINOM.DIST(S_binomial[[#This Row],[X base]],E$5,E$6,FALSE))</f>
        <v>3.4906753280000008E-2</v>
      </c>
      <c r="AI364" s="99" t="b">
        <f>S_binomial[[#This Row],[X base]]&lt;AF$5</f>
        <v>1</v>
      </c>
      <c r="AJ364" s="99" t="b">
        <f>S_binomial[[#This Row],[X base]]=AF$5</f>
        <v>0</v>
      </c>
      <c r="AK364" s="99" t="b">
        <f>S_binomial[[#This Row],[X base]]&gt;AF$5</f>
        <v>0</v>
      </c>
      <c r="AL364" s="99">
        <f>IF(S_binomial[[#This Row],[Mindre end]],S_binomial[[#This Row],[Binomialfordeling]],NA())</f>
        <v>3.4906753280000008E-2</v>
      </c>
      <c r="AM364" s="99" t="e">
        <f>IF(S_binomial[[#This Row],[Lig med]],S_binomial[[#This Row],[Binomialfordeling]],NA())</f>
        <v>#N/A</v>
      </c>
      <c r="AN364" s="99" t="e">
        <f>IF(S_binomial[[#This Row],[Større end]],S_binomial[[#This Row],[Binomialfordeling]],NA())</f>
        <v>#N/A</v>
      </c>
      <c r="AO364" s="85" t="str">
        <f>_xlfn.IFNA(IF(MOD(S_binomial[[#This Row],[Indeks (base 0)]],AF$7)=ROUNDDOWN(AF$7/2,0),S_binomial[[#This Row],[X base]],""),"")</f>
        <v/>
      </c>
      <c r="AP364" s="99" t="str">
        <f t="shared" si="66"/>
        <v xml:space="preserve"> </v>
      </c>
      <c r="AR364" s="54">
        <f t="shared" si="61"/>
        <v>351</v>
      </c>
      <c r="AS364" s="54">
        <f>S_normal27[[#This Row],[Indeks (base 0)]]+1</f>
        <v>352</v>
      </c>
      <c r="AT364" s="54">
        <f t="shared" si="63"/>
        <v>5</v>
      </c>
      <c r="AU364" s="54">
        <f>IF(MOD(S_normal27[[#This Row],[Indeks (base 0)]],AS$8)=0,NA(),_xlfn.POISSON.DIST(S_normal27[[#This Row],[X base]],$H$5,FALSE))</f>
        <v>0.10081881344492449</v>
      </c>
      <c r="AV364" s="99" t="b">
        <f>S_normal27[[#This Row],[X base]]&lt;AS$5</f>
        <v>0</v>
      </c>
      <c r="AW364" s="99" t="b">
        <f>S_normal27[[#This Row],[X base]]=AS$5</f>
        <v>0</v>
      </c>
      <c r="AX364" s="99" t="b">
        <f>S_normal27[[#This Row],[X base]]&gt;AS$5</f>
        <v>1</v>
      </c>
      <c r="AY364" s="99" t="e">
        <f>IF(S_normal27[[#This Row],[Mindre end]],S_normal27[[#This Row],[Poissonfordeling]],NA())</f>
        <v>#N/A</v>
      </c>
      <c r="AZ364" s="99" t="e">
        <f>IF(S_normal27[[#This Row],[Lig med]],S_normal27[[#This Row],[Poissonfordeling]],NA())</f>
        <v>#N/A</v>
      </c>
      <c r="BA364" s="99">
        <f>IF(S_normal27[[#This Row],[Større end]],S_normal27[[#This Row],[Poissonfordeling]],NA())</f>
        <v>0.10081881344492449</v>
      </c>
      <c r="BB364" s="85" t="str">
        <f>_xlfn.IFNA(IF(MOD(S_normal27[[#This Row],[Indeks (base 0)]],AS$8)=ROUNDDOWN(AS$8/2,0),S_normal27[[#This Row],[X base]],""),"")</f>
        <v/>
      </c>
      <c r="BC364" s="99" t="str">
        <f t="shared" si="62"/>
        <v xml:space="preserve"> </v>
      </c>
    </row>
    <row r="365" spans="31:55" x14ac:dyDescent="0.2">
      <c r="AE365" s="54">
        <f t="shared" si="64"/>
        <v>352</v>
      </c>
      <c r="AF365" s="54">
        <f>S_binomial[[#This Row],[Indeks (base 0)]]+1</f>
        <v>353</v>
      </c>
      <c r="AG365" s="99">
        <f t="shared" si="65"/>
        <v>3</v>
      </c>
      <c r="AH365" s="99">
        <f>IF(MOD(S_binomial[[#This Row],[Indeks (base 0)]],AF$7)=0,NA(),_xlfn.BINOM.DIST(S_binomial[[#This Row],[X base]],E$5,E$6,FALSE))</f>
        <v>3.4906753280000008E-2</v>
      </c>
      <c r="AI365" s="99" t="b">
        <f>S_binomial[[#This Row],[X base]]&lt;AF$5</f>
        <v>1</v>
      </c>
      <c r="AJ365" s="99" t="b">
        <f>S_binomial[[#This Row],[X base]]=AF$5</f>
        <v>0</v>
      </c>
      <c r="AK365" s="99" t="b">
        <f>S_binomial[[#This Row],[X base]]&gt;AF$5</f>
        <v>0</v>
      </c>
      <c r="AL365" s="99">
        <f>IF(S_binomial[[#This Row],[Mindre end]],S_binomial[[#This Row],[Binomialfordeling]],NA())</f>
        <v>3.4906753280000008E-2</v>
      </c>
      <c r="AM365" s="99" t="e">
        <f>IF(S_binomial[[#This Row],[Lig med]],S_binomial[[#This Row],[Binomialfordeling]],NA())</f>
        <v>#N/A</v>
      </c>
      <c r="AN365" s="99" t="e">
        <f>IF(S_binomial[[#This Row],[Større end]],S_binomial[[#This Row],[Binomialfordeling]],NA())</f>
        <v>#N/A</v>
      </c>
      <c r="AO365" s="85" t="str">
        <f>_xlfn.IFNA(IF(MOD(S_binomial[[#This Row],[Indeks (base 0)]],AF$7)=ROUNDDOWN(AF$7/2,0),S_binomial[[#This Row],[X base]],""),"")</f>
        <v/>
      </c>
      <c r="AP365" s="99" t="str">
        <f t="shared" si="66"/>
        <v xml:space="preserve"> </v>
      </c>
      <c r="AR365" s="54">
        <f t="shared" si="61"/>
        <v>352</v>
      </c>
      <c r="AS365" s="54">
        <f>S_normal27[[#This Row],[Indeks (base 0)]]+1</f>
        <v>353</v>
      </c>
      <c r="AT365" s="54">
        <f t="shared" si="63"/>
        <v>5</v>
      </c>
      <c r="AU365" s="54">
        <f>IF(MOD(S_normal27[[#This Row],[Indeks (base 0)]],AS$8)=0,NA(),_xlfn.POISSON.DIST(S_normal27[[#This Row],[X base]],$H$5,FALSE))</f>
        <v>0.10081881344492449</v>
      </c>
      <c r="AV365" s="99" t="b">
        <f>S_normal27[[#This Row],[X base]]&lt;AS$5</f>
        <v>0</v>
      </c>
      <c r="AW365" s="99" t="b">
        <f>S_normal27[[#This Row],[X base]]=AS$5</f>
        <v>0</v>
      </c>
      <c r="AX365" s="99" t="b">
        <f>S_normal27[[#This Row],[X base]]&gt;AS$5</f>
        <v>1</v>
      </c>
      <c r="AY365" s="99" t="e">
        <f>IF(S_normal27[[#This Row],[Mindre end]],S_normal27[[#This Row],[Poissonfordeling]],NA())</f>
        <v>#N/A</v>
      </c>
      <c r="AZ365" s="99" t="e">
        <f>IF(S_normal27[[#This Row],[Lig med]],S_normal27[[#This Row],[Poissonfordeling]],NA())</f>
        <v>#N/A</v>
      </c>
      <c r="BA365" s="99">
        <f>IF(S_normal27[[#This Row],[Større end]],S_normal27[[#This Row],[Poissonfordeling]],NA())</f>
        <v>0.10081881344492449</v>
      </c>
      <c r="BB365" s="85" t="str">
        <f>_xlfn.IFNA(IF(MOD(S_normal27[[#This Row],[Indeks (base 0)]],AS$8)=ROUNDDOWN(AS$8/2,0),S_normal27[[#This Row],[X base]],""),"")</f>
        <v/>
      </c>
      <c r="BC365" s="99" t="str">
        <f t="shared" si="62"/>
        <v xml:space="preserve"> </v>
      </c>
    </row>
    <row r="366" spans="31:55" x14ac:dyDescent="0.2">
      <c r="AE366" s="54">
        <f t="shared" si="64"/>
        <v>353</v>
      </c>
      <c r="AF366" s="54">
        <f>S_binomial[[#This Row],[Indeks (base 0)]]+1</f>
        <v>354</v>
      </c>
      <c r="AG366" s="99">
        <f t="shared" si="65"/>
        <v>3</v>
      </c>
      <c r="AH366" s="99">
        <f>IF(MOD(S_binomial[[#This Row],[Indeks (base 0)]],AF$7)=0,NA(),_xlfn.BINOM.DIST(S_binomial[[#This Row],[X base]],E$5,E$6,FALSE))</f>
        <v>3.4906753280000008E-2</v>
      </c>
      <c r="AI366" s="99" t="b">
        <f>S_binomial[[#This Row],[X base]]&lt;AF$5</f>
        <v>1</v>
      </c>
      <c r="AJ366" s="99" t="b">
        <f>S_binomial[[#This Row],[X base]]=AF$5</f>
        <v>0</v>
      </c>
      <c r="AK366" s="99" t="b">
        <f>S_binomial[[#This Row],[X base]]&gt;AF$5</f>
        <v>0</v>
      </c>
      <c r="AL366" s="99">
        <f>IF(S_binomial[[#This Row],[Mindre end]],S_binomial[[#This Row],[Binomialfordeling]],NA())</f>
        <v>3.4906753280000008E-2</v>
      </c>
      <c r="AM366" s="99" t="e">
        <f>IF(S_binomial[[#This Row],[Lig med]],S_binomial[[#This Row],[Binomialfordeling]],NA())</f>
        <v>#N/A</v>
      </c>
      <c r="AN366" s="99" t="e">
        <f>IF(S_binomial[[#This Row],[Større end]],S_binomial[[#This Row],[Binomialfordeling]],NA())</f>
        <v>#N/A</v>
      </c>
      <c r="AO366" s="85" t="str">
        <f>_xlfn.IFNA(IF(MOD(S_binomial[[#This Row],[Indeks (base 0)]],AF$7)=ROUNDDOWN(AF$7/2,0),S_binomial[[#This Row],[X base]],""),"")</f>
        <v/>
      </c>
      <c r="AP366" s="99" t="str">
        <f t="shared" si="66"/>
        <v xml:space="preserve"> </v>
      </c>
      <c r="AR366" s="54">
        <f t="shared" si="61"/>
        <v>353</v>
      </c>
      <c r="AS366" s="54">
        <f>S_normal27[[#This Row],[Indeks (base 0)]]+1</f>
        <v>354</v>
      </c>
      <c r="AT366" s="54">
        <f t="shared" si="63"/>
        <v>5</v>
      </c>
      <c r="AU366" s="54">
        <f>IF(MOD(S_normal27[[#This Row],[Indeks (base 0)]],AS$8)=0,NA(),_xlfn.POISSON.DIST(S_normal27[[#This Row],[X base]],$H$5,FALSE))</f>
        <v>0.10081881344492449</v>
      </c>
      <c r="AV366" s="99" t="b">
        <f>S_normal27[[#This Row],[X base]]&lt;AS$5</f>
        <v>0</v>
      </c>
      <c r="AW366" s="99" t="b">
        <f>S_normal27[[#This Row],[X base]]=AS$5</f>
        <v>0</v>
      </c>
      <c r="AX366" s="99" t="b">
        <f>S_normal27[[#This Row],[X base]]&gt;AS$5</f>
        <v>1</v>
      </c>
      <c r="AY366" s="99" t="e">
        <f>IF(S_normal27[[#This Row],[Mindre end]],S_normal27[[#This Row],[Poissonfordeling]],NA())</f>
        <v>#N/A</v>
      </c>
      <c r="AZ366" s="99" t="e">
        <f>IF(S_normal27[[#This Row],[Lig med]],S_normal27[[#This Row],[Poissonfordeling]],NA())</f>
        <v>#N/A</v>
      </c>
      <c r="BA366" s="99">
        <f>IF(S_normal27[[#This Row],[Større end]],S_normal27[[#This Row],[Poissonfordeling]],NA())</f>
        <v>0.10081881344492449</v>
      </c>
      <c r="BB366" s="85" t="str">
        <f>_xlfn.IFNA(IF(MOD(S_normal27[[#This Row],[Indeks (base 0)]],AS$8)=ROUNDDOWN(AS$8/2,0),S_normal27[[#This Row],[X base]],""),"")</f>
        <v/>
      </c>
      <c r="BC366" s="99" t="str">
        <f t="shared" si="62"/>
        <v xml:space="preserve"> </v>
      </c>
    </row>
    <row r="367" spans="31:55" x14ac:dyDescent="0.2">
      <c r="AE367" s="54">
        <f t="shared" si="64"/>
        <v>354</v>
      </c>
      <c r="AF367" s="54">
        <f>S_binomial[[#This Row],[Indeks (base 0)]]+1</f>
        <v>355</v>
      </c>
      <c r="AG367" s="99">
        <f t="shared" si="65"/>
        <v>3</v>
      </c>
      <c r="AH367" s="99">
        <f>IF(MOD(S_binomial[[#This Row],[Indeks (base 0)]],AF$7)=0,NA(),_xlfn.BINOM.DIST(S_binomial[[#This Row],[X base]],E$5,E$6,FALSE))</f>
        <v>3.4906753280000008E-2</v>
      </c>
      <c r="AI367" s="99" t="b">
        <f>S_binomial[[#This Row],[X base]]&lt;AF$5</f>
        <v>1</v>
      </c>
      <c r="AJ367" s="99" t="b">
        <f>S_binomial[[#This Row],[X base]]=AF$5</f>
        <v>0</v>
      </c>
      <c r="AK367" s="99" t="b">
        <f>S_binomial[[#This Row],[X base]]&gt;AF$5</f>
        <v>0</v>
      </c>
      <c r="AL367" s="99">
        <f>IF(S_binomial[[#This Row],[Mindre end]],S_binomial[[#This Row],[Binomialfordeling]],NA())</f>
        <v>3.4906753280000008E-2</v>
      </c>
      <c r="AM367" s="99" t="e">
        <f>IF(S_binomial[[#This Row],[Lig med]],S_binomial[[#This Row],[Binomialfordeling]],NA())</f>
        <v>#N/A</v>
      </c>
      <c r="AN367" s="99" t="e">
        <f>IF(S_binomial[[#This Row],[Større end]],S_binomial[[#This Row],[Binomialfordeling]],NA())</f>
        <v>#N/A</v>
      </c>
      <c r="AO367" s="85" t="str">
        <f>_xlfn.IFNA(IF(MOD(S_binomial[[#This Row],[Indeks (base 0)]],AF$7)=ROUNDDOWN(AF$7/2,0),S_binomial[[#This Row],[X base]],""),"")</f>
        <v/>
      </c>
      <c r="AP367" s="99" t="str">
        <f t="shared" si="66"/>
        <v xml:space="preserve"> </v>
      </c>
      <c r="AR367" s="54">
        <f t="shared" si="61"/>
        <v>354</v>
      </c>
      <c r="AS367" s="54">
        <f>S_normal27[[#This Row],[Indeks (base 0)]]+1</f>
        <v>355</v>
      </c>
      <c r="AT367" s="54">
        <f t="shared" si="63"/>
        <v>5</v>
      </c>
      <c r="AU367" s="54">
        <f>IF(MOD(S_normal27[[#This Row],[Indeks (base 0)]],AS$8)=0,NA(),_xlfn.POISSON.DIST(S_normal27[[#This Row],[X base]],$H$5,FALSE))</f>
        <v>0.10081881344492449</v>
      </c>
      <c r="AV367" s="99" t="b">
        <f>S_normal27[[#This Row],[X base]]&lt;AS$5</f>
        <v>0</v>
      </c>
      <c r="AW367" s="99" t="b">
        <f>S_normal27[[#This Row],[X base]]=AS$5</f>
        <v>0</v>
      </c>
      <c r="AX367" s="99" t="b">
        <f>S_normal27[[#This Row],[X base]]&gt;AS$5</f>
        <v>1</v>
      </c>
      <c r="AY367" s="99" t="e">
        <f>IF(S_normal27[[#This Row],[Mindre end]],S_normal27[[#This Row],[Poissonfordeling]],NA())</f>
        <v>#N/A</v>
      </c>
      <c r="AZ367" s="99" t="e">
        <f>IF(S_normal27[[#This Row],[Lig med]],S_normal27[[#This Row],[Poissonfordeling]],NA())</f>
        <v>#N/A</v>
      </c>
      <c r="BA367" s="99">
        <f>IF(S_normal27[[#This Row],[Større end]],S_normal27[[#This Row],[Poissonfordeling]],NA())</f>
        <v>0.10081881344492449</v>
      </c>
      <c r="BB367" s="85" t="str">
        <f>_xlfn.IFNA(IF(MOD(S_normal27[[#This Row],[Indeks (base 0)]],AS$8)=ROUNDDOWN(AS$8/2,0),S_normal27[[#This Row],[X base]],""),"")</f>
        <v/>
      </c>
      <c r="BC367" s="99" t="str">
        <f t="shared" si="62"/>
        <v xml:space="preserve"> </v>
      </c>
    </row>
    <row r="368" spans="31:55" x14ac:dyDescent="0.2">
      <c r="AE368" s="54">
        <f t="shared" si="64"/>
        <v>355</v>
      </c>
      <c r="AF368" s="54">
        <f>S_binomial[[#This Row],[Indeks (base 0)]]+1</f>
        <v>356</v>
      </c>
      <c r="AG368" s="99">
        <f t="shared" si="65"/>
        <v>3</v>
      </c>
      <c r="AH368" s="99">
        <f>IF(MOD(S_binomial[[#This Row],[Indeks (base 0)]],AF$7)=0,NA(),_xlfn.BINOM.DIST(S_binomial[[#This Row],[X base]],E$5,E$6,FALSE))</f>
        <v>3.4906753280000008E-2</v>
      </c>
      <c r="AI368" s="99" t="b">
        <f>S_binomial[[#This Row],[X base]]&lt;AF$5</f>
        <v>1</v>
      </c>
      <c r="AJ368" s="99" t="b">
        <f>S_binomial[[#This Row],[X base]]=AF$5</f>
        <v>0</v>
      </c>
      <c r="AK368" s="99" t="b">
        <f>S_binomial[[#This Row],[X base]]&gt;AF$5</f>
        <v>0</v>
      </c>
      <c r="AL368" s="99">
        <f>IF(S_binomial[[#This Row],[Mindre end]],S_binomial[[#This Row],[Binomialfordeling]],NA())</f>
        <v>3.4906753280000008E-2</v>
      </c>
      <c r="AM368" s="99" t="e">
        <f>IF(S_binomial[[#This Row],[Lig med]],S_binomial[[#This Row],[Binomialfordeling]],NA())</f>
        <v>#N/A</v>
      </c>
      <c r="AN368" s="99" t="e">
        <f>IF(S_binomial[[#This Row],[Større end]],S_binomial[[#This Row],[Binomialfordeling]],NA())</f>
        <v>#N/A</v>
      </c>
      <c r="AO368" s="85" t="str">
        <f>_xlfn.IFNA(IF(MOD(S_binomial[[#This Row],[Indeks (base 0)]],AF$7)=ROUNDDOWN(AF$7/2,0),S_binomial[[#This Row],[X base]],""),"")</f>
        <v/>
      </c>
      <c r="AP368" s="99" t="str">
        <f t="shared" si="66"/>
        <v xml:space="preserve"> </v>
      </c>
      <c r="AR368" s="54">
        <f t="shared" si="61"/>
        <v>355</v>
      </c>
      <c r="AS368" s="54">
        <f>S_normal27[[#This Row],[Indeks (base 0)]]+1</f>
        <v>356</v>
      </c>
      <c r="AT368" s="54">
        <f t="shared" si="63"/>
        <v>5</v>
      </c>
      <c r="AU368" s="54">
        <f>IF(MOD(S_normal27[[#This Row],[Indeks (base 0)]],AS$8)=0,NA(),_xlfn.POISSON.DIST(S_normal27[[#This Row],[X base]],$H$5,FALSE))</f>
        <v>0.10081881344492449</v>
      </c>
      <c r="AV368" s="99" t="b">
        <f>S_normal27[[#This Row],[X base]]&lt;AS$5</f>
        <v>0</v>
      </c>
      <c r="AW368" s="99" t="b">
        <f>S_normal27[[#This Row],[X base]]=AS$5</f>
        <v>0</v>
      </c>
      <c r="AX368" s="99" t="b">
        <f>S_normal27[[#This Row],[X base]]&gt;AS$5</f>
        <v>1</v>
      </c>
      <c r="AY368" s="99" t="e">
        <f>IF(S_normal27[[#This Row],[Mindre end]],S_normal27[[#This Row],[Poissonfordeling]],NA())</f>
        <v>#N/A</v>
      </c>
      <c r="AZ368" s="99" t="e">
        <f>IF(S_normal27[[#This Row],[Lig med]],S_normal27[[#This Row],[Poissonfordeling]],NA())</f>
        <v>#N/A</v>
      </c>
      <c r="BA368" s="99">
        <f>IF(S_normal27[[#This Row],[Større end]],S_normal27[[#This Row],[Poissonfordeling]],NA())</f>
        <v>0.10081881344492449</v>
      </c>
      <c r="BB368" s="85" t="str">
        <f>_xlfn.IFNA(IF(MOD(S_normal27[[#This Row],[Indeks (base 0)]],AS$8)=ROUNDDOWN(AS$8/2,0),S_normal27[[#This Row],[X base]],""),"")</f>
        <v/>
      </c>
      <c r="BC368" s="99" t="str">
        <f t="shared" si="62"/>
        <v xml:space="preserve"> </v>
      </c>
    </row>
    <row r="369" spans="31:55" x14ac:dyDescent="0.2">
      <c r="AE369" s="54">
        <f t="shared" si="64"/>
        <v>356</v>
      </c>
      <c r="AF369" s="54">
        <f>S_binomial[[#This Row],[Indeks (base 0)]]+1</f>
        <v>357</v>
      </c>
      <c r="AG369" s="99">
        <f t="shared" si="65"/>
        <v>3</v>
      </c>
      <c r="AH369" s="99">
        <f>IF(MOD(S_binomial[[#This Row],[Indeks (base 0)]],AF$7)=0,NA(),_xlfn.BINOM.DIST(S_binomial[[#This Row],[X base]],E$5,E$6,FALSE))</f>
        <v>3.4906753280000008E-2</v>
      </c>
      <c r="AI369" s="99" t="b">
        <f>S_binomial[[#This Row],[X base]]&lt;AF$5</f>
        <v>1</v>
      </c>
      <c r="AJ369" s="99" t="b">
        <f>S_binomial[[#This Row],[X base]]=AF$5</f>
        <v>0</v>
      </c>
      <c r="AK369" s="99" t="b">
        <f>S_binomial[[#This Row],[X base]]&gt;AF$5</f>
        <v>0</v>
      </c>
      <c r="AL369" s="99">
        <f>IF(S_binomial[[#This Row],[Mindre end]],S_binomial[[#This Row],[Binomialfordeling]],NA())</f>
        <v>3.4906753280000008E-2</v>
      </c>
      <c r="AM369" s="99" t="e">
        <f>IF(S_binomial[[#This Row],[Lig med]],S_binomial[[#This Row],[Binomialfordeling]],NA())</f>
        <v>#N/A</v>
      </c>
      <c r="AN369" s="99" t="e">
        <f>IF(S_binomial[[#This Row],[Større end]],S_binomial[[#This Row],[Binomialfordeling]],NA())</f>
        <v>#N/A</v>
      </c>
      <c r="AO369" s="85" t="str">
        <f>_xlfn.IFNA(IF(MOD(S_binomial[[#This Row],[Indeks (base 0)]],AF$7)=ROUNDDOWN(AF$7/2,0),S_binomial[[#This Row],[X base]],""),"")</f>
        <v/>
      </c>
      <c r="AP369" s="99" t="str">
        <f t="shared" si="66"/>
        <v xml:space="preserve"> </v>
      </c>
      <c r="AR369" s="54">
        <f t="shared" si="61"/>
        <v>356</v>
      </c>
      <c r="AS369" s="54">
        <f>S_normal27[[#This Row],[Indeks (base 0)]]+1</f>
        <v>357</v>
      </c>
      <c r="AT369" s="54">
        <f t="shared" si="63"/>
        <v>5</v>
      </c>
      <c r="AU369" s="54">
        <f>IF(MOD(S_normal27[[#This Row],[Indeks (base 0)]],AS$8)=0,NA(),_xlfn.POISSON.DIST(S_normal27[[#This Row],[X base]],$H$5,FALSE))</f>
        <v>0.10081881344492449</v>
      </c>
      <c r="AV369" s="99" t="b">
        <f>S_normal27[[#This Row],[X base]]&lt;AS$5</f>
        <v>0</v>
      </c>
      <c r="AW369" s="99" t="b">
        <f>S_normal27[[#This Row],[X base]]=AS$5</f>
        <v>0</v>
      </c>
      <c r="AX369" s="99" t="b">
        <f>S_normal27[[#This Row],[X base]]&gt;AS$5</f>
        <v>1</v>
      </c>
      <c r="AY369" s="99" t="e">
        <f>IF(S_normal27[[#This Row],[Mindre end]],S_normal27[[#This Row],[Poissonfordeling]],NA())</f>
        <v>#N/A</v>
      </c>
      <c r="AZ369" s="99" t="e">
        <f>IF(S_normal27[[#This Row],[Lig med]],S_normal27[[#This Row],[Poissonfordeling]],NA())</f>
        <v>#N/A</v>
      </c>
      <c r="BA369" s="99">
        <f>IF(S_normal27[[#This Row],[Større end]],S_normal27[[#This Row],[Poissonfordeling]],NA())</f>
        <v>0.10081881344492449</v>
      </c>
      <c r="BB369" s="85" t="str">
        <f>_xlfn.IFNA(IF(MOD(S_normal27[[#This Row],[Indeks (base 0)]],AS$8)=ROUNDDOWN(AS$8/2,0),S_normal27[[#This Row],[X base]],""),"")</f>
        <v/>
      </c>
      <c r="BC369" s="99" t="str">
        <f t="shared" si="62"/>
        <v xml:space="preserve"> </v>
      </c>
    </row>
    <row r="370" spans="31:55" x14ac:dyDescent="0.2">
      <c r="AE370" s="54">
        <f t="shared" si="64"/>
        <v>357</v>
      </c>
      <c r="AF370" s="54">
        <f>S_binomial[[#This Row],[Indeks (base 0)]]+1</f>
        <v>358</v>
      </c>
      <c r="AG370" s="99">
        <f t="shared" si="65"/>
        <v>3</v>
      </c>
      <c r="AH370" s="99">
        <f>IF(MOD(S_binomial[[#This Row],[Indeks (base 0)]],AF$7)=0,NA(),_xlfn.BINOM.DIST(S_binomial[[#This Row],[X base]],E$5,E$6,FALSE))</f>
        <v>3.4906753280000008E-2</v>
      </c>
      <c r="AI370" s="99" t="b">
        <f>S_binomial[[#This Row],[X base]]&lt;AF$5</f>
        <v>1</v>
      </c>
      <c r="AJ370" s="99" t="b">
        <f>S_binomial[[#This Row],[X base]]=AF$5</f>
        <v>0</v>
      </c>
      <c r="AK370" s="99" t="b">
        <f>S_binomial[[#This Row],[X base]]&gt;AF$5</f>
        <v>0</v>
      </c>
      <c r="AL370" s="99">
        <f>IF(S_binomial[[#This Row],[Mindre end]],S_binomial[[#This Row],[Binomialfordeling]],NA())</f>
        <v>3.4906753280000008E-2</v>
      </c>
      <c r="AM370" s="99" t="e">
        <f>IF(S_binomial[[#This Row],[Lig med]],S_binomial[[#This Row],[Binomialfordeling]],NA())</f>
        <v>#N/A</v>
      </c>
      <c r="AN370" s="99" t="e">
        <f>IF(S_binomial[[#This Row],[Større end]],S_binomial[[#This Row],[Binomialfordeling]],NA())</f>
        <v>#N/A</v>
      </c>
      <c r="AO370" s="85" t="str">
        <f>_xlfn.IFNA(IF(MOD(S_binomial[[#This Row],[Indeks (base 0)]],AF$7)=ROUNDDOWN(AF$7/2,0),S_binomial[[#This Row],[X base]],""),"")</f>
        <v/>
      </c>
      <c r="AP370" s="99" t="str">
        <f t="shared" si="66"/>
        <v xml:space="preserve"> </v>
      </c>
      <c r="AR370" s="54">
        <f t="shared" si="61"/>
        <v>357</v>
      </c>
      <c r="AS370" s="54">
        <f>S_normal27[[#This Row],[Indeks (base 0)]]+1</f>
        <v>358</v>
      </c>
      <c r="AT370" s="54">
        <f t="shared" si="63"/>
        <v>5</v>
      </c>
      <c r="AU370" s="54">
        <f>IF(MOD(S_normal27[[#This Row],[Indeks (base 0)]],AS$8)=0,NA(),_xlfn.POISSON.DIST(S_normal27[[#This Row],[X base]],$H$5,FALSE))</f>
        <v>0.10081881344492449</v>
      </c>
      <c r="AV370" s="99" t="b">
        <f>S_normal27[[#This Row],[X base]]&lt;AS$5</f>
        <v>0</v>
      </c>
      <c r="AW370" s="99" t="b">
        <f>S_normal27[[#This Row],[X base]]=AS$5</f>
        <v>0</v>
      </c>
      <c r="AX370" s="99" t="b">
        <f>S_normal27[[#This Row],[X base]]&gt;AS$5</f>
        <v>1</v>
      </c>
      <c r="AY370" s="99" t="e">
        <f>IF(S_normal27[[#This Row],[Mindre end]],S_normal27[[#This Row],[Poissonfordeling]],NA())</f>
        <v>#N/A</v>
      </c>
      <c r="AZ370" s="99" t="e">
        <f>IF(S_normal27[[#This Row],[Lig med]],S_normal27[[#This Row],[Poissonfordeling]],NA())</f>
        <v>#N/A</v>
      </c>
      <c r="BA370" s="99">
        <f>IF(S_normal27[[#This Row],[Større end]],S_normal27[[#This Row],[Poissonfordeling]],NA())</f>
        <v>0.10081881344492449</v>
      </c>
      <c r="BB370" s="85">
        <f>_xlfn.IFNA(IF(MOD(S_normal27[[#This Row],[Indeks (base 0)]],AS$8)=ROUNDDOWN(AS$8/2,0),S_normal27[[#This Row],[X base]],""),"")</f>
        <v>5</v>
      </c>
      <c r="BC370" s="99" t="str">
        <f t="shared" si="62"/>
        <v xml:space="preserve"> </v>
      </c>
    </row>
    <row r="371" spans="31:55" x14ac:dyDescent="0.2">
      <c r="AE371" s="54">
        <f t="shared" si="64"/>
        <v>358</v>
      </c>
      <c r="AF371" s="54">
        <f>S_binomial[[#This Row],[Indeks (base 0)]]+1</f>
        <v>359</v>
      </c>
      <c r="AG371" s="99">
        <f t="shared" si="65"/>
        <v>3</v>
      </c>
      <c r="AH371" s="99">
        <f>IF(MOD(S_binomial[[#This Row],[Indeks (base 0)]],AF$7)=0,NA(),_xlfn.BINOM.DIST(S_binomial[[#This Row],[X base]],E$5,E$6,FALSE))</f>
        <v>3.4906753280000008E-2</v>
      </c>
      <c r="AI371" s="99" t="b">
        <f>S_binomial[[#This Row],[X base]]&lt;AF$5</f>
        <v>1</v>
      </c>
      <c r="AJ371" s="99" t="b">
        <f>S_binomial[[#This Row],[X base]]=AF$5</f>
        <v>0</v>
      </c>
      <c r="AK371" s="99" t="b">
        <f>S_binomial[[#This Row],[X base]]&gt;AF$5</f>
        <v>0</v>
      </c>
      <c r="AL371" s="99">
        <f>IF(S_binomial[[#This Row],[Mindre end]],S_binomial[[#This Row],[Binomialfordeling]],NA())</f>
        <v>3.4906753280000008E-2</v>
      </c>
      <c r="AM371" s="99" t="e">
        <f>IF(S_binomial[[#This Row],[Lig med]],S_binomial[[#This Row],[Binomialfordeling]],NA())</f>
        <v>#N/A</v>
      </c>
      <c r="AN371" s="99" t="e">
        <f>IF(S_binomial[[#This Row],[Større end]],S_binomial[[#This Row],[Binomialfordeling]],NA())</f>
        <v>#N/A</v>
      </c>
      <c r="AO371" s="85" t="str">
        <f>_xlfn.IFNA(IF(MOD(S_binomial[[#This Row],[Indeks (base 0)]],AF$7)=ROUNDDOWN(AF$7/2,0),S_binomial[[#This Row],[X base]],""),"")</f>
        <v/>
      </c>
      <c r="AP371" s="99" t="str">
        <f t="shared" si="66"/>
        <v xml:space="preserve"> </v>
      </c>
      <c r="AR371" s="54">
        <f t="shared" si="61"/>
        <v>358</v>
      </c>
      <c r="AS371" s="54">
        <f>S_normal27[[#This Row],[Indeks (base 0)]]+1</f>
        <v>359</v>
      </c>
      <c r="AT371" s="54">
        <f t="shared" si="63"/>
        <v>5</v>
      </c>
      <c r="AU371" s="54">
        <f>IF(MOD(S_normal27[[#This Row],[Indeks (base 0)]],AS$8)=0,NA(),_xlfn.POISSON.DIST(S_normal27[[#This Row],[X base]],$H$5,FALSE))</f>
        <v>0.10081881344492449</v>
      </c>
      <c r="AV371" s="99" t="b">
        <f>S_normal27[[#This Row],[X base]]&lt;AS$5</f>
        <v>0</v>
      </c>
      <c r="AW371" s="99" t="b">
        <f>S_normal27[[#This Row],[X base]]=AS$5</f>
        <v>0</v>
      </c>
      <c r="AX371" s="99" t="b">
        <f>S_normal27[[#This Row],[X base]]&gt;AS$5</f>
        <v>1</v>
      </c>
      <c r="AY371" s="99" t="e">
        <f>IF(S_normal27[[#This Row],[Mindre end]],S_normal27[[#This Row],[Poissonfordeling]],NA())</f>
        <v>#N/A</v>
      </c>
      <c r="AZ371" s="99" t="e">
        <f>IF(S_normal27[[#This Row],[Lig med]],S_normal27[[#This Row],[Poissonfordeling]],NA())</f>
        <v>#N/A</v>
      </c>
      <c r="BA371" s="99">
        <f>IF(S_normal27[[#This Row],[Større end]],S_normal27[[#This Row],[Poissonfordeling]],NA())</f>
        <v>0.10081881344492449</v>
      </c>
      <c r="BB371" s="85" t="str">
        <f>_xlfn.IFNA(IF(MOD(S_normal27[[#This Row],[Indeks (base 0)]],AS$8)=ROUNDDOWN(AS$8/2,0),S_normal27[[#This Row],[X base]],""),"")</f>
        <v/>
      </c>
      <c r="BC371" s="99" t="str">
        <f t="shared" si="62"/>
        <v xml:space="preserve"> </v>
      </c>
    </row>
    <row r="372" spans="31:55" x14ac:dyDescent="0.2">
      <c r="AE372" s="54">
        <f t="shared" si="64"/>
        <v>359</v>
      </c>
      <c r="AF372" s="54">
        <f>S_binomial[[#This Row],[Indeks (base 0)]]+1</f>
        <v>360</v>
      </c>
      <c r="AG372" s="99">
        <f t="shared" si="65"/>
        <v>3</v>
      </c>
      <c r="AH372" s="99">
        <f>IF(MOD(S_binomial[[#This Row],[Indeks (base 0)]],AF$7)=0,NA(),_xlfn.BINOM.DIST(S_binomial[[#This Row],[X base]],E$5,E$6,FALSE))</f>
        <v>3.4906753280000008E-2</v>
      </c>
      <c r="AI372" s="99" t="b">
        <f>S_binomial[[#This Row],[X base]]&lt;AF$5</f>
        <v>1</v>
      </c>
      <c r="AJ372" s="99" t="b">
        <f>S_binomial[[#This Row],[X base]]=AF$5</f>
        <v>0</v>
      </c>
      <c r="AK372" s="99" t="b">
        <f>S_binomial[[#This Row],[X base]]&gt;AF$5</f>
        <v>0</v>
      </c>
      <c r="AL372" s="99">
        <f>IF(S_binomial[[#This Row],[Mindre end]],S_binomial[[#This Row],[Binomialfordeling]],NA())</f>
        <v>3.4906753280000008E-2</v>
      </c>
      <c r="AM372" s="99" t="e">
        <f>IF(S_binomial[[#This Row],[Lig med]],S_binomial[[#This Row],[Binomialfordeling]],NA())</f>
        <v>#N/A</v>
      </c>
      <c r="AN372" s="99" t="e">
        <f>IF(S_binomial[[#This Row],[Større end]],S_binomial[[#This Row],[Binomialfordeling]],NA())</f>
        <v>#N/A</v>
      </c>
      <c r="AO372" s="85" t="str">
        <f>_xlfn.IFNA(IF(MOD(S_binomial[[#This Row],[Indeks (base 0)]],AF$7)=ROUNDDOWN(AF$7/2,0),S_binomial[[#This Row],[X base]],""),"")</f>
        <v/>
      </c>
      <c r="AP372" s="99" t="str">
        <f t="shared" si="66"/>
        <v xml:space="preserve"> </v>
      </c>
      <c r="AR372" s="54">
        <f t="shared" si="61"/>
        <v>359</v>
      </c>
      <c r="AS372" s="54">
        <f>S_normal27[[#This Row],[Indeks (base 0)]]+1</f>
        <v>360</v>
      </c>
      <c r="AT372" s="54">
        <f t="shared" si="63"/>
        <v>5</v>
      </c>
      <c r="AU372" s="54">
        <f>IF(MOD(S_normal27[[#This Row],[Indeks (base 0)]],AS$8)=0,NA(),_xlfn.POISSON.DIST(S_normal27[[#This Row],[X base]],$H$5,FALSE))</f>
        <v>0.10081881344492449</v>
      </c>
      <c r="AV372" s="99" t="b">
        <f>S_normal27[[#This Row],[X base]]&lt;AS$5</f>
        <v>0</v>
      </c>
      <c r="AW372" s="99" t="b">
        <f>S_normal27[[#This Row],[X base]]=AS$5</f>
        <v>0</v>
      </c>
      <c r="AX372" s="99" t="b">
        <f>S_normal27[[#This Row],[X base]]&gt;AS$5</f>
        <v>1</v>
      </c>
      <c r="AY372" s="99" t="e">
        <f>IF(S_normal27[[#This Row],[Mindre end]],S_normal27[[#This Row],[Poissonfordeling]],NA())</f>
        <v>#N/A</v>
      </c>
      <c r="AZ372" s="99" t="e">
        <f>IF(S_normal27[[#This Row],[Lig med]],S_normal27[[#This Row],[Poissonfordeling]],NA())</f>
        <v>#N/A</v>
      </c>
      <c r="BA372" s="99">
        <f>IF(S_normal27[[#This Row],[Større end]],S_normal27[[#This Row],[Poissonfordeling]],NA())</f>
        <v>0.10081881344492449</v>
      </c>
      <c r="BB372" s="85" t="str">
        <f>_xlfn.IFNA(IF(MOD(S_normal27[[#This Row],[Indeks (base 0)]],AS$8)=ROUNDDOWN(AS$8/2,0),S_normal27[[#This Row],[X base]],""),"")</f>
        <v/>
      </c>
      <c r="BC372" s="99" t="str">
        <f t="shared" si="62"/>
        <v xml:space="preserve"> </v>
      </c>
    </row>
    <row r="373" spans="31:55" x14ac:dyDescent="0.2">
      <c r="AE373" s="54">
        <f t="shared" si="64"/>
        <v>360</v>
      </c>
      <c r="AF373" s="54">
        <f>S_binomial[[#This Row],[Indeks (base 0)]]+1</f>
        <v>361</v>
      </c>
      <c r="AG373" s="99">
        <f t="shared" si="65"/>
        <v>3</v>
      </c>
      <c r="AH373" s="99">
        <f>IF(MOD(S_binomial[[#This Row],[Indeks (base 0)]],AF$7)=0,NA(),_xlfn.BINOM.DIST(S_binomial[[#This Row],[X base]],E$5,E$6,FALSE))</f>
        <v>3.4906753280000008E-2</v>
      </c>
      <c r="AI373" s="99" t="b">
        <f>S_binomial[[#This Row],[X base]]&lt;AF$5</f>
        <v>1</v>
      </c>
      <c r="AJ373" s="99" t="b">
        <f>S_binomial[[#This Row],[X base]]=AF$5</f>
        <v>0</v>
      </c>
      <c r="AK373" s="99" t="b">
        <f>S_binomial[[#This Row],[X base]]&gt;AF$5</f>
        <v>0</v>
      </c>
      <c r="AL373" s="99">
        <f>IF(S_binomial[[#This Row],[Mindre end]],S_binomial[[#This Row],[Binomialfordeling]],NA())</f>
        <v>3.4906753280000008E-2</v>
      </c>
      <c r="AM373" s="99" t="e">
        <f>IF(S_binomial[[#This Row],[Lig med]],S_binomial[[#This Row],[Binomialfordeling]],NA())</f>
        <v>#N/A</v>
      </c>
      <c r="AN373" s="99" t="e">
        <f>IF(S_binomial[[#This Row],[Større end]],S_binomial[[#This Row],[Binomialfordeling]],NA())</f>
        <v>#N/A</v>
      </c>
      <c r="AO373" s="85" t="str">
        <f>_xlfn.IFNA(IF(MOD(S_binomial[[#This Row],[Indeks (base 0)]],AF$7)=ROUNDDOWN(AF$7/2,0),S_binomial[[#This Row],[X base]],""),"")</f>
        <v/>
      </c>
      <c r="AP373" s="99" t="str">
        <f t="shared" si="66"/>
        <v xml:space="preserve"> </v>
      </c>
      <c r="AR373" s="54">
        <f t="shared" si="61"/>
        <v>360</v>
      </c>
      <c r="AS373" s="54">
        <f>S_normal27[[#This Row],[Indeks (base 0)]]+1</f>
        <v>361</v>
      </c>
      <c r="AT373" s="54">
        <f t="shared" si="63"/>
        <v>5</v>
      </c>
      <c r="AU373" s="54">
        <f>IF(MOD(S_normal27[[#This Row],[Indeks (base 0)]],AS$8)=0,NA(),_xlfn.POISSON.DIST(S_normal27[[#This Row],[X base]],$H$5,FALSE))</f>
        <v>0.10081881344492449</v>
      </c>
      <c r="AV373" s="99" t="b">
        <f>S_normal27[[#This Row],[X base]]&lt;AS$5</f>
        <v>0</v>
      </c>
      <c r="AW373" s="99" t="b">
        <f>S_normal27[[#This Row],[X base]]=AS$5</f>
        <v>0</v>
      </c>
      <c r="AX373" s="99" t="b">
        <f>S_normal27[[#This Row],[X base]]&gt;AS$5</f>
        <v>1</v>
      </c>
      <c r="AY373" s="99" t="e">
        <f>IF(S_normal27[[#This Row],[Mindre end]],S_normal27[[#This Row],[Poissonfordeling]],NA())</f>
        <v>#N/A</v>
      </c>
      <c r="AZ373" s="99" t="e">
        <f>IF(S_normal27[[#This Row],[Lig med]],S_normal27[[#This Row],[Poissonfordeling]],NA())</f>
        <v>#N/A</v>
      </c>
      <c r="BA373" s="99">
        <f>IF(S_normal27[[#This Row],[Større end]],S_normal27[[#This Row],[Poissonfordeling]],NA())</f>
        <v>0.10081881344492449</v>
      </c>
      <c r="BB373" s="85" t="str">
        <f>_xlfn.IFNA(IF(MOD(S_normal27[[#This Row],[Indeks (base 0)]],AS$8)=ROUNDDOWN(AS$8/2,0),S_normal27[[#This Row],[X base]],""),"")</f>
        <v/>
      </c>
      <c r="BC373" s="99" t="str">
        <f t="shared" si="62"/>
        <v xml:space="preserve"> </v>
      </c>
    </row>
    <row r="374" spans="31:55" x14ac:dyDescent="0.2">
      <c r="AE374" s="54">
        <f t="shared" si="64"/>
        <v>361</v>
      </c>
      <c r="AF374" s="54">
        <f>S_binomial[[#This Row],[Indeks (base 0)]]+1</f>
        <v>362</v>
      </c>
      <c r="AG374" s="99">
        <f t="shared" si="65"/>
        <v>3</v>
      </c>
      <c r="AH374" s="99">
        <f>IF(MOD(S_binomial[[#This Row],[Indeks (base 0)]],AF$7)=0,NA(),_xlfn.BINOM.DIST(S_binomial[[#This Row],[X base]],E$5,E$6,FALSE))</f>
        <v>3.4906753280000008E-2</v>
      </c>
      <c r="AI374" s="99" t="b">
        <f>S_binomial[[#This Row],[X base]]&lt;AF$5</f>
        <v>1</v>
      </c>
      <c r="AJ374" s="99" t="b">
        <f>S_binomial[[#This Row],[X base]]=AF$5</f>
        <v>0</v>
      </c>
      <c r="AK374" s="99" t="b">
        <f>S_binomial[[#This Row],[X base]]&gt;AF$5</f>
        <v>0</v>
      </c>
      <c r="AL374" s="99">
        <f>IF(S_binomial[[#This Row],[Mindre end]],S_binomial[[#This Row],[Binomialfordeling]],NA())</f>
        <v>3.4906753280000008E-2</v>
      </c>
      <c r="AM374" s="99" t="e">
        <f>IF(S_binomial[[#This Row],[Lig med]],S_binomial[[#This Row],[Binomialfordeling]],NA())</f>
        <v>#N/A</v>
      </c>
      <c r="AN374" s="99" t="e">
        <f>IF(S_binomial[[#This Row],[Større end]],S_binomial[[#This Row],[Binomialfordeling]],NA())</f>
        <v>#N/A</v>
      </c>
      <c r="AO374" s="85" t="str">
        <f>_xlfn.IFNA(IF(MOD(S_binomial[[#This Row],[Indeks (base 0)]],AF$7)=ROUNDDOWN(AF$7/2,0),S_binomial[[#This Row],[X base]],""),"")</f>
        <v/>
      </c>
      <c r="AP374" s="99" t="str">
        <f t="shared" si="66"/>
        <v xml:space="preserve"> </v>
      </c>
      <c r="AR374" s="54">
        <f t="shared" si="61"/>
        <v>361</v>
      </c>
      <c r="AS374" s="54">
        <f>S_normal27[[#This Row],[Indeks (base 0)]]+1</f>
        <v>362</v>
      </c>
      <c r="AT374" s="54">
        <f t="shared" si="63"/>
        <v>5</v>
      </c>
      <c r="AU374" s="54">
        <f>IF(MOD(S_normal27[[#This Row],[Indeks (base 0)]],AS$8)=0,NA(),_xlfn.POISSON.DIST(S_normal27[[#This Row],[X base]],$H$5,FALSE))</f>
        <v>0.10081881344492449</v>
      </c>
      <c r="AV374" s="99" t="b">
        <f>S_normal27[[#This Row],[X base]]&lt;AS$5</f>
        <v>0</v>
      </c>
      <c r="AW374" s="99" t="b">
        <f>S_normal27[[#This Row],[X base]]=AS$5</f>
        <v>0</v>
      </c>
      <c r="AX374" s="99" t="b">
        <f>S_normal27[[#This Row],[X base]]&gt;AS$5</f>
        <v>1</v>
      </c>
      <c r="AY374" s="99" t="e">
        <f>IF(S_normal27[[#This Row],[Mindre end]],S_normal27[[#This Row],[Poissonfordeling]],NA())</f>
        <v>#N/A</v>
      </c>
      <c r="AZ374" s="99" t="e">
        <f>IF(S_normal27[[#This Row],[Lig med]],S_normal27[[#This Row],[Poissonfordeling]],NA())</f>
        <v>#N/A</v>
      </c>
      <c r="BA374" s="99">
        <f>IF(S_normal27[[#This Row],[Større end]],S_normal27[[#This Row],[Poissonfordeling]],NA())</f>
        <v>0.10081881344492449</v>
      </c>
      <c r="BB374" s="85" t="str">
        <f>_xlfn.IFNA(IF(MOD(S_normal27[[#This Row],[Indeks (base 0)]],AS$8)=ROUNDDOWN(AS$8/2,0),S_normal27[[#This Row],[X base]],""),"")</f>
        <v/>
      </c>
      <c r="BC374" s="99" t="str">
        <f t="shared" si="62"/>
        <v xml:space="preserve"> </v>
      </c>
    </row>
    <row r="375" spans="31:55" x14ac:dyDescent="0.2">
      <c r="AE375" s="54">
        <f t="shared" si="64"/>
        <v>362</v>
      </c>
      <c r="AF375" s="54">
        <f>S_binomial[[#This Row],[Indeks (base 0)]]+1</f>
        <v>363</v>
      </c>
      <c r="AG375" s="99">
        <f t="shared" si="65"/>
        <v>3</v>
      </c>
      <c r="AH375" s="99">
        <f>IF(MOD(S_binomial[[#This Row],[Indeks (base 0)]],AF$7)=0,NA(),_xlfn.BINOM.DIST(S_binomial[[#This Row],[X base]],E$5,E$6,FALSE))</f>
        <v>3.4906753280000008E-2</v>
      </c>
      <c r="AI375" s="99" t="b">
        <f>S_binomial[[#This Row],[X base]]&lt;AF$5</f>
        <v>1</v>
      </c>
      <c r="AJ375" s="99" t="b">
        <f>S_binomial[[#This Row],[X base]]=AF$5</f>
        <v>0</v>
      </c>
      <c r="AK375" s="99" t="b">
        <f>S_binomial[[#This Row],[X base]]&gt;AF$5</f>
        <v>0</v>
      </c>
      <c r="AL375" s="99">
        <f>IF(S_binomial[[#This Row],[Mindre end]],S_binomial[[#This Row],[Binomialfordeling]],NA())</f>
        <v>3.4906753280000008E-2</v>
      </c>
      <c r="AM375" s="99" t="e">
        <f>IF(S_binomial[[#This Row],[Lig med]],S_binomial[[#This Row],[Binomialfordeling]],NA())</f>
        <v>#N/A</v>
      </c>
      <c r="AN375" s="99" t="e">
        <f>IF(S_binomial[[#This Row],[Større end]],S_binomial[[#This Row],[Binomialfordeling]],NA())</f>
        <v>#N/A</v>
      </c>
      <c r="AO375" s="85" t="str">
        <f>_xlfn.IFNA(IF(MOD(S_binomial[[#This Row],[Indeks (base 0)]],AF$7)=ROUNDDOWN(AF$7/2,0),S_binomial[[#This Row],[X base]],""),"")</f>
        <v/>
      </c>
      <c r="AP375" s="99" t="str">
        <f t="shared" si="66"/>
        <v xml:space="preserve"> </v>
      </c>
      <c r="AR375" s="54">
        <f t="shared" si="61"/>
        <v>362</v>
      </c>
      <c r="AS375" s="54">
        <f>S_normal27[[#This Row],[Indeks (base 0)]]+1</f>
        <v>363</v>
      </c>
      <c r="AT375" s="54">
        <f t="shared" si="63"/>
        <v>5</v>
      </c>
      <c r="AU375" s="54">
        <f>IF(MOD(S_normal27[[#This Row],[Indeks (base 0)]],AS$8)=0,NA(),_xlfn.POISSON.DIST(S_normal27[[#This Row],[X base]],$H$5,FALSE))</f>
        <v>0.10081881344492449</v>
      </c>
      <c r="AV375" s="99" t="b">
        <f>S_normal27[[#This Row],[X base]]&lt;AS$5</f>
        <v>0</v>
      </c>
      <c r="AW375" s="99" t="b">
        <f>S_normal27[[#This Row],[X base]]=AS$5</f>
        <v>0</v>
      </c>
      <c r="AX375" s="99" t="b">
        <f>S_normal27[[#This Row],[X base]]&gt;AS$5</f>
        <v>1</v>
      </c>
      <c r="AY375" s="99" t="e">
        <f>IF(S_normal27[[#This Row],[Mindre end]],S_normal27[[#This Row],[Poissonfordeling]],NA())</f>
        <v>#N/A</v>
      </c>
      <c r="AZ375" s="99" t="e">
        <f>IF(S_normal27[[#This Row],[Lig med]],S_normal27[[#This Row],[Poissonfordeling]],NA())</f>
        <v>#N/A</v>
      </c>
      <c r="BA375" s="99">
        <f>IF(S_normal27[[#This Row],[Større end]],S_normal27[[#This Row],[Poissonfordeling]],NA())</f>
        <v>0.10081881344492449</v>
      </c>
      <c r="BB375" s="85" t="str">
        <f>_xlfn.IFNA(IF(MOD(S_normal27[[#This Row],[Indeks (base 0)]],AS$8)=ROUNDDOWN(AS$8/2,0),S_normal27[[#This Row],[X base]],""),"")</f>
        <v/>
      </c>
      <c r="BC375" s="99" t="str">
        <f t="shared" si="62"/>
        <v xml:space="preserve"> </v>
      </c>
    </row>
    <row r="376" spans="31:55" x14ac:dyDescent="0.2">
      <c r="AE376" s="54">
        <f t="shared" si="64"/>
        <v>363</v>
      </c>
      <c r="AF376" s="54">
        <f>S_binomial[[#This Row],[Indeks (base 0)]]+1</f>
        <v>364</v>
      </c>
      <c r="AG376" s="99">
        <f t="shared" si="65"/>
        <v>3</v>
      </c>
      <c r="AH376" s="99">
        <f>IF(MOD(S_binomial[[#This Row],[Indeks (base 0)]],AF$7)=0,NA(),_xlfn.BINOM.DIST(S_binomial[[#This Row],[X base]],E$5,E$6,FALSE))</f>
        <v>3.4906753280000008E-2</v>
      </c>
      <c r="AI376" s="99" t="b">
        <f>S_binomial[[#This Row],[X base]]&lt;AF$5</f>
        <v>1</v>
      </c>
      <c r="AJ376" s="99" t="b">
        <f>S_binomial[[#This Row],[X base]]=AF$5</f>
        <v>0</v>
      </c>
      <c r="AK376" s="99" t="b">
        <f>S_binomial[[#This Row],[X base]]&gt;AF$5</f>
        <v>0</v>
      </c>
      <c r="AL376" s="99">
        <f>IF(S_binomial[[#This Row],[Mindre end]],S_binomial[[#This Row],[Binomialfordeling]],NA())</f>
        <v>3.4906753280000008E-2</v>
      </c>
      <c r="AM376" s="99" t="e">
        <f>IF(S_binomial[[#This Row],[Lig med]],S_binomial[[#This Row],[Binomialfordeling]],NA())</f>
        <v>#N/A</v>
      </c>
      <c r="AN376" s="99" t="e">
        <f>IF(S_binomial[[#This Row],[Større end]],S_binomial[[#This Row],[Binomialfordeling]],NA())</f>
        <v>#N/A</v>
      </c>
      <c r="AO376" s="85" t="str">
        <f>_xlfn.IFNA(IF(MOD(S_binomial[[#This Row],[Indeks (base 0)]],AF$7)=ROUNDDOWN(AF$7/2,0),S_binomial[[#This Row],[X base]],""),"")</f>
        <v/>
      </c>
      <c r="AP376" s="99" t="str">
        <f t="shared" si="66"/>
        <v xml:space="preserve"> </v>
      </c>
      <c r="AR376" s="54">
        <f t="shared" si="61"/>
        <v>363</v>
      </c>
      <c r="AS376" s="54">
        <f>S_normal27[[#This Row],[Indeks (base 0)]]+1</f>
        <v>364</v>
      </c>
      <c r="AT376" s="54">
        <f t="shared" si="63"/>
        <v>5</v>
      </c>
      <c r="AU376" s="54">
        <f>IF(MOD(S_normal27[[#This Row],[Indeks (base 0)]],AS$8)=0,NA(),_xlfn.POISSON.DIST(S_normal27[[#This Row],[X base]],$H$5,FALSE))</f>
        <v>0.10081881344492449</v>
      </c>
      <c r="AV376" s="99" t="b">
        <f>S_normal27[[#This Row],[X base]]&lt;AS$5</f>
        <v>0</v>
      </c>
      <c r="AW376" s="99" t="b">
        <f>S_normal27[[#This Row],[X base]]=AS$5</f>
        <v>0</v>
      </c>
      <c r="AX376" s="99" t="b">
        <f>S_normal27[[#This Row],[X base]]&gt;AS$5</f>
        <v>1</v>
      </c>
      <c r="AY376" s="99" t="e">
        <f>IF(S_normal27[[#This Row],[Mindre end]],S_normal27[[#This Row],[Poissonfordeling]],NA())</f>
        <v>#N/A</v>
      </c>
      <c r="AZ376" s="99" t="e">
        <f>IF(S_normal27[[#This Row],[Lig med]],S_normal27[[#This Row],[Poissonfordeling]],NA())</f>
        <v>#N/A</v>
      </c>
      <c r="BA376" s="99">
        <f>IF(S_normal27[[#This Row],[Større end]],S_normal27[[#This Row],[Poissonfordeling]],NA())</f>
        <v>0.10081881344492449</v>
      </c>
      <c r="BB376" s="85" t="str">
        <f>_xlfn.IFNA(IF(MOD(S_normal27[[#This Row],[Indeks (base 0)]],AS$8)=ROUNDDOWN(AS$8/2,0),S_normal27[[#This Row],[X base]],""),"")</f>
        <v/>
      </c>
      <c r="BC376" s="99" t="str">
        <f t="shared" si="62"/>
        <v xml:space="preserve"> </v>
      </c>
    </row>
    <row r="377" spans="31:55" x14ac:dyDescent="0.2">
      <c r="AE377" s="54">
        <f t="shared" si="64"/>
        <v>364</v>
      </c>
      <c r="AF377" s="54">
        <f>S_binomial[[#This Row],[Indeks (base 0)]]+1</f>
        <v>365</v>
      </c>
      <c r="AG377" s="99">
        <f t="shared" si="65"/>
        <v>3</v>
      </c>
      <c r="AH377" s="99">
        <f>IF(MOD(S_binomial[[#This Row],[Indeks (base 0)]],AF$7)=0,NA(),_xlfn.BINOM.DIST(S_binomial[[#This Row],[X base]],E$5,E$6,FALSE))</f>
        <v>3.4906753280000008E-2</v>
      </c>
      <c r="AI377" s="99" t="b">
        <f>S_binomial[[#This Row],[X base]]&lt;AF$5</f>
        <v>1</v>
      </c>
      <c r="AJ377" s="99" t="b">
        <f>S_binomial[[#This Row],[X base]]=AF$5</f>
        <v>0</v>
      </c>
      <c r="AK377" s="99" t="b">
        <f>S_binomial[[#This Row],[X base]]&gt;AF$5</f>
        <v>0</v>
      </c>
      <c r="AL377" s="99">
        <f>IF(S_binomial[[#This Row],[Mindre end]],S_binomial[[#This Row],[Binomialfordeling]],NA())</f>
        <v>3.4906753280000008E-2</v>
      </c>
      <c r="AM377" s="99" t="e">
        <f>IF(S_binomial[[#This Row],[Lig med]],S_binomial[[#This Row],[Binomialfordeling]],NA())</f>
        <v>#N/A</v>
      </c>
      <c r="AN377" s="99" t="e">
        <f>IF(S_binomial[[#This Row],[Større end]],S_binomial[[#This Row],[Binomialfordeling]],NA())</f>
        <v>#N/A</v>
      </c>
      <c r="AO377" s="85" t="str">
        <f>_xlfn.IFNA(IF(MOD(S_binomial[[#This Row],[Indeks (base 0)]],AF$7)=ROUNDDOWN(AF$7/2,0),S_binomial[[#This Row],[X base]],""),"")</f>
        <v/>
      </c>
      <c r="AP377" s="99" t="str">
        <f t="shared" si="66"/>
        <v xml:space="preserve"> </v>
      </c>
      <c r="AR377" s="54">
        <f t="shared" si="61"/>
        <v>364</v>
      </c>
      <c r="AS377" s="54">
        <f>S_normal27[[#This Row],[Indeks (base 0)]]+1</f>
        <v>365</v>
      </c>
      <c r="AT377" s="54">
        <f t="shared" si="63"/>
        <v>5</v>
      </c>
      <c r="AU377" s="54">
        <f>IF(MOD(S_normal27[[#This Row],[Indeks (base 0)]],AS$8)=0,NA(),_xlfn.POISSON.DIST(S_normal27[[#This Row],[X base]],$H$5,FALSE))</f>
        <v>0.10081881344492449</v>
      </c>
      <c r="AV377" s="99" t="b">
        <f>S_normal27[[#This Row],[X base]]&lt;AS$5</f>
        <v>0</v>
      </c>
      <c r="AW377" s="99" t="b">
        <f>S_normal27[[#This Row],[X base]]=AS$5</f>
        <v>0</v>
      </c>
      <c r="AX377" s="99" t="b">
        <f>S_normal27[[#This Row],[X base]]&gt;AS$5</f>
        <v>1</v>
      </c>
      <c r="AY377" s="99" t="e">
        <f>IF(S_normal27[[#This Row],[Mindre end]],S_normal27[[#This Row],[Poissonfordeling]],NA())</f>
        <v>#N/A</v>
      </c>
      <c r="AZ377" s="99" t="e">
        <f>IF(S_normal27[[#This Row],[Lig med]],S_normal27[[#This Row],[Poissonfordeling]],NA())</f>
        <v>#N/A</v>
      </c>
      <c r="BA377" s="99">
        <f>IF(S_normal27[[#This Row],[Større end]],S_normal27[[#This Row],[Poissonfordeling]],NA())</f>
        <v>0.10081881344492449</v>
      </c>
      <c r="BB377" s="85" t="str">
        <f>_xlfn.IFNA(IF(MOD(S_normal27[[#This Row],[Indeks (base 0)]],AS$8)=ROUNDDOWN(AS$8/2,0),S_normal27[[#This Row],[X base]],""),"")</f>
        <v/>
      </c>
      <c r="BC377" s="99" t="str">
        <f t="shared" si="62"/>
        <v xml:space="preserve"> </v>
      </c>
    </row>
    <row r="378" spans="31:55" x14ac:dyDescent="0.2">
      <c r="AE378" s="54">
        <f t="shared" si="64"/>
        <v>365</v>
      </c>
      <c r="AF378" s="54">
        <f>S_binomial[[#This Row],[Indeks (base 0)]]+1</f>
        <v>366</v>
      </c>
      <c r="AG378" s="99">
        <f t="shared" si="65"/>
        <v>3</v>
      </c>
      <c r="AH378" s="99">
        <f>IF(MOD(S_binomial[[#This Row],[Indeks (base 0)]],AF$7)=0,NA(),_xlfn.BINOM.DIST(S_binomial[[#This Row],[X base]],E$5,E$6,FALSE))</f>
        <v>3.4906753280000008E-2</v>
      </c>
      <c r="AI378" s="99" t="b">
        <f>S_binomial[[#This Row],[X base]]&lt;AF$5</f>
        <v>1</v>
      </c>
      <c r="AJ378" s="99" t="b">
        <f>S_binomial[[#This Row],[X base]]=AF$5</f>
        <v>0</v>
      </c>
      <c r="AK378" s="99" t="b">
        <f>S_binomial[[#This Row],[X base]]&gt;AF$5</f>
        <v>0</v>
      </c>
      <c r="AL378" s="99">
        <f>IF(S_binomial[[#This Row],[Mindre end]],S_binomial[[#This Row],[Binomialfordeling]],NA())</f>
        <v>3.4906753280000008E-2</v>
      </c>
      <c r="AM378" s="99" t="e">
        <f>IF(S_binomial[[#This Row],[Lig med]],S_binomial[[#This Row],[Binomialfordeling]],NA())</f>
        <v>#N/A</v>
      </c>
      <c r="AN378" s="99" t="e">
        <f>IF(S_binomial[[#This Row],[Større end]],S_binomial[[#This Row],[Binomialfordeling]],NA())</f>
        <v>#N/A</v>
      </c>
      <c r="AO378" s="85" t="str">
        <f>_xlfn.IFNA(IF(MOD(S_binomial[[#This Row],[Indeks (base 0)]],AF$7)=ROUNDDOWN(AF$7/2,0),S_binomial[[#This Row],[X base]],""),"")</f>
        <v/>
      </c>
      <c r="AP378" s="99" t="str">
        <f t="shared" si="66"/>
        <v xml:space="preserve"> </v>
      </c>
      <c r="AR378" s="54">
        <f t="shared" si="61"/>
        <v>365</v>
      </c>
      <c r="AS378" s="54">
        <f>S_normal27[[#This Row],[Indeks (base 0)]]+1</f>
        <v>366</v>
      </c>
      <c r="AT378" s="54">
        <f t="shared" si="63"/>
        <v>5</v>
      </c>
      <c r="AU378" s="54">
        <f>IF(MOD(S_normal27[[#This Row],[Indeks (base 0)]],AS$8)=0,NA(),_xlfn.POISSON.DIST(S_normal27[[#This Row],[X base]],$H$5,FALSE))</f>
        <v>0.10081881344492449</v>
      </c>
      <c r="AV378" s="99" t="b">
        <f>S_normal27[[#This Row],[X base]]&lt;AS$5</f>
        <v>0</v>
      </c>
      <c r="AW378" s="99" t="b">
        <f>S_normal27[[#This Row],[X base]]=AS$5</f>
        <v>0</v>
      </c>
      <c r="AX378" s="99" t="b">
        <f>S_normal27[[#This Row],[X base]]&gt;AS$5</f>
        <v>1</v>
      </c>
      <c r="AY378" s="99" t="e">
        <f>IF(S_normal27[[#This Row],[Mindre end]],S_normal27[[#This Row],[Poissonfordeling]],NA())</f>
        <v>#N/A</v>
      </c>
      <c r="AZ378" s="99" t="e">
        <f>IF(S_normal27[[#This Row],[Lig med]],S_normal27[[#This Row],[Poissonfordeling]],NA())</f>
        <v>#N/A</v>
      </c>
      <c r="BA378" s="99">
        <f>IF(S_normal27[[#This Row],[Større end]],S_normal27[[#This Row],[Poissonfordeling]],NA())</f>
        <v>0.10081881344492449</v>
      </c>
      <c r="BB378" s="85" t="str">
        <f>_xlfn.IFNA(IF(MOD(S_normal27[[#This Row],[Indeks (base 0)]],AS$8)=ROUNDDOWN(AS$8/2,0),S_normal27[[#This Row],[X base]],""),"")</f>
        <v/>
      </c>
      <c r="BC378" s="99" t="str">
        <f t="shared" si="62"/>
        <v xml:space="preserve"> </v>
      </c>
    </row>
    <row r="379" spans="31:55" x14ac:dyDescent="0.2">
      <c r="AE379" s="54">
        <f t="shared" si="64"/>
        <v>366</v>
      </c>
      <c r="AF379" s="54">
        <f>S_binomial[[#This Row],[Indeks (base 0)]]+1</f>
        <v>367</v>
      </c>
      <c r="AG379" s="99">
        <f t="shared" si="65"/>
        <v>3</v>
      </c>
      <c r="AH379" s="99">
        <f>IF(MOD(S_binomial[[#This Row],[Indeks (base 0)]],AF$7)=0,NA(),_xlfn.BINOM.DIST(S_binomial[[#This Row],[X base]],E$5,E$6,FALSE))</f>
        <v>3.4906753280000008E-2</v>
      </c>
      <c r="AI379" s="99" t="b">
        <f>S_binomial[[#This Row],[X base]]&lt;AF$5</f>
        <v>1</v>
      </c>
      <c r="AJ379" s="99" t="b">
        <f>S_binomial[[#This Row],[X base]]=AF$5</f>
        <v>0</v>
      </c>
      <c r="AK379" s="99" t="b">
        <f>S_binomial[[#This Row],[X base]]&gt;AF$5</f>
        <v>0</v>
      </c>
      <c r="AL379" s="99">
        <f>IF(S_binomial[[#This Row],[Mindre end]],S_binomial[[#This Row],[Binomialfordeling]],NA())</f>
        <v>3.4906753280000008E-2</v>
      </c>
      <c r="AM379" s="99" t="e">
        <f>IF(S_binomial[[#This Row],[Lig med]],S_binomial[[#This Row],[Binomialfordeling]],NA())</f>
        <v>#N/A</v>
      </c>
      <c r="AN379" s="99" t="e">
        <f>IF(S_binomial[[#This Row],[Større end]],S_binomial[[#This Row],[Binomialfordeling]],NA())</f>
        <v>#N/A</v>
      </c>
      <c r="AO379" s="85" t="str">
        <f>_xlfn.IFNA(IF(MOD(S_binomial[[#This Row],[Indeks (base 0)]],AF$7)=ROUNDDOWN(AF$7/2,0),S_binomial[[#This Row],[X base]],""),"")</f>
        <v/>
      </c>
      <c r="AP379" s="99" t="str">
        <f t="shared" si="66"/>
        <v xml:space="preserve"> </v>
      </c>
      <c r="AR379" s="54">
        <f t="shared" si="61"/>
        <v>366</v>
      </c>
      <c r="AS379" s="54">
        <f>S_normal27[[#This Row],[Indeks (base 0)]]+1</f>
        <v>367</v>
      </c>
      <c r="AT379" s="54">
        <f t="shared" si="63"/>
        <v>5</v>
      </c>
      <c r="AU379" s="54">
        <f>IF(MOD(S_normal27[[#This Row],[Indeks (base 0)]],AS$8)=0,NA(),_xlfn.POISSON.DIST(S_normal27[[#This Row],[X base]],$H$5,FALSE))</f>
        <v>0.10081881344492449</v>
      </c>
      <c r="AV379" s="99" t="b">
        <f>S_normal27[[#This Row],[X base]]&lt;AS$5</f>
        <v>0</v>
      </c>
      <c r="AW379" s="99" t="b">
        <f>S_normal27[[#This Row],[X base]]=AS$5</f>
        <v>0</v>
      </c>
      <c r="AX379" s="99" t="b">
        <f>S_normal27[[#This Row],[X base]]&gt;AS$5</f>
        <v>1</v>
      </c>
      <c r="AY379" s="99" t="e">
        <f>IF(S_normal27[[#This Row],[Mindre end]],S_normal27[[#This Row],[Poissonfordeling]],NA())</f>
        <v>#N/A</v>
      </c>
      <c r="AZ379" s="99" t="e">
        <f>IF(S_normal27[[#This Row],[Lig med]],S_normal27[[#This Row],[Poissonfordeling]],NA())</f>
        <v>#N/A</v>
      </c>
      <c r="BA379" s="99">
        <f>IF(S_normal27[[#This Row],[Større end]],S_normal27[[#This Row],[Poissonfordeling]],NA())</f>
        <v>0.10081881344492449</v>
      </c>
      <c r="BB379" s="85" t="str">
        <f>_xlfn.IFNA(IF(MOD(S_normal27[[#This Row],[Indeks (base 0)]],AS$8)=ROUNDDOWN(AS$8/2,0),S_normal27[[#This Row],[X base]],""),"")</f>
        <v/>
      </c>
      <c r="BC379" s="99" t="str">
        <f t="shared" si="62"/>
        <v xml:space="preserve"> </v>
      </c>
    </row>
    <row r="380" spans="31:55" x14ac:dyDescent="0.2">
      <c r="AE380" s="54">
        <f t="shared" si="64"/>
        <v>367</v>
      </c>
      <c r="AF380" s="54">
        <f>S_binomial[[#This Row],[Indeks (base 0)]]+1</f>
        <v>368</v>
      </c>
      <c r="AG380" s="99">
        <f t="shared" si="65"/>
        <v>3</v>
      </c>
      <c r="AH380" s="99">
        <f>IF(MOD(S_binomial[[#This Row],[Indeks (base 0)]],AF$7)=0,NA(),_xlfn.BINOM.DIST(S_binomial[[#This Row],[X base]],E$5,E$6,FALSE))</f>
        <v>3.4906753280000008E-2</v>
      </c>
      <c r="AI380" s="99" t="b">
        <f>S_binomial[[#This Row],[X base]]&lt;AF$5</f>
        <v>1</v>
      </c>
      <c r="AJ380" s="99" t="b">
        <f>S_binomial[[#This Row],[X base]]=AF$5</f>
        <v>0</v>
      </c>
      <c r="AK380" s="99" t="b">
        <f>S_binomial[[#This Row],[X base]]&gt;AF$5</f>
        <v>0</v>
      </c>
      <c r="AL380" s="99">
        <f>IF(S_binomial[[#This Row],[Mindre end]],S_binomial[[#This Row],[Binomialfordeling]],NA())</f>
        <v>3.4906753280000008E-2</v>
      </c>
      <c r="AM380" s="99" t="e">
        <f>IF(S_binomial[[#This Row],[Lig med]],S_binomial[[#This Row],[Binomialfordeling]],NA())</f>
        <v>#N/A</v>
      </c>
      <c r="AN380" s="99" t="e">
        <f>IF(S_binomial[[#This Row],[Større end]],S_binomial[[#This Row],[Binomialfordeling]],NA())</f>
        <v>#N/A</v>
      </c>
      <c r="AO380" s="85" t="str">
        <f>_xlfn.IFNA(IF(MOD(S_binomial[[#This Row],[Indeks (base 0)]],AF$7)=ROUNDDOWN(AF$7/2,0),S_binomial[[#This Row],[X base]],""),"")</f>
        <v/>
      </c>
      <c r="AP380" s="99" t="str">
        <f t="shared" si="66"/>
        <v xml:space="preserve"> </v>
      </c>
      <c r="AR380" s="54">
        <f t="shared" si="61"/>
        <v>367</v>
      </c>
      <c r="AS380" s="54">
        <f>S_normal27[[#This Row],[Indeks (base 0)]]+1</f>
        <v>368</v>
      </c>
      <c r="AT380" s="54">
        <f t="shared" si="63"/>
        <v>5</v>
      </c>
      <c r="AU380" s="54">
        <f>IF(MOD(S_normal27[[#This Row],[Indeks (base 0)]],AS$8)=0,NA(),_xlfn.POISSON.DIST(S_normal27[[#This Row],[X base]],$H$5,FALSE))</f>
        <v>0.10081881344492449</v>
      </c>
      <c r="AV380" s="99" t="b">
        <f>S_normal27[[#This Row],[X base]]&lt;AS$5</f>
        <v>0</v>
      </c>
      <c r="AW380" s="99" t="b">
        <f>S_normal27[[#This Row],[X base]]=AS$5</f>
        <v>0</v>
      </c>
      <c r="AX380" s="99" t="b">
        <f>S_normal27[[#This Row],[X base]]&gt;AS$5</f>
        <v>1</v>
      </c>
      <c r="AY380" s="99" t="e">
        <f>IF(S_normal27[[#This Row],[Mindre end]],S_normal27[[#This Row],[Poissonfordeling]],NA())</f>
        <v>#N/A</v>
      </c>
      <c r="AZ380" s="99" t="e">
        <f>IF(S_normal27[[#This Row],[Lig med]],S_normal27[[#This Row],[Poissonfordeling]],NA())</f>
        <v>#N/A</v>
      </c>
      <c r="BA380" s="99">
        <f>IF(S_normal27[[#This Row],[Større end]],S_normal27[[#This Row],[Poissonfordeling]],NA())</f>
        <v>0.10081881344492449</v>
      </c>
      <c r="BB380" s="85" t="str">
        <f>_xlfn.IFNA(IF(MOD(S_normal27[[#This Row],[Indeks (base 0)]],AS$8)=ROUNDDOWN(AS$8/2,0),S_normal27[[#This Row],[X base]],""),"")</f>
        <v/>
      </c>
      <c r="BC380" s="99" t="str">
        <f t="shared" si="62"/>
        <v xml:space="preserve"> </v>
      </c>
    </row>
    <row r="381" spans="31:55" x14ac:dyDescent="0.2">
      <c r="AE381" s="54">
        <f t="shared" si="64"/>
        <v>368</v>
      </c>
      <c r="AF381" s="54">
        <f>S_binomial[[#This Row],[Indeks (base 0)]]+1</f>
        <v>369</v>
      </c>
      <c r="AG381" s="99">
        <f t="shared" si="65"/>
        <v>4</v>
      </c>
      <c r="AH381" s="99" t="e">
        <f>IF(MOD(S_binomial[[#This Row],[Indeks (base 0)]],AF$7)=0,NA(),_xlfn.BINOM.DIST(S_binomial[[#This Row],[X base]],E$5,E$6,FALSE))</f>
        <v>#N/A</v>
      </c>
      <c r="AI381" s="99" t="b">
        <f>S_binomial[[#This Row],[X base]]&lt;AF$5</f>
        <v>1</v>
      </c>
      <c r="AJ381" s="99" t="b">
        <f>S_binomial[[#This Row],[X base]]=AF$5</f>
        <v>0</v>
      </c>
      <c r="AK381" s="99" t="b">
        <f>S_binomial[[#This Row],[X base]]&gt;AF$5</f>
        <v>0</v>
      </c>
      <c r="AL381" s="99" t="e">
        <f>IF(S_binomial[[#This Row],[Mindre end]],S_binomial[[#This Row],[Binomialfordeling]],NA())</f>
        <v>#N/A</v>
      </c>
      <c r="AM381" s="99" t="e">
        <f>IF(S_binomial[[#This Row],[Lig med]],S_binomial[[#This Row],[Binomialfordeling]],NA())</f>
        <v>#N/A</v>
      </c>
      <c r="AN381" s="99" t="e">
        <f>IF(S_binomial[[#This Row],[Større end]],S_binomial[[#This Row],[Binomialfordeling]],NA())</f>
        <v>#N/A</v>
      </c>
      <c r="AO381" s="85" t="str">
        <f>_xlfn.IFNA(IF(MOD(S_binomial[[#This Row],[Indeks (base 0)]],AF$7)=ROUNDDOWN(AF$7/2,0),S_binomial[[#This Row],[X base]],""),"")</f>
        <v/>
      </c>
      <c r="AP381" s="99" t="str">
        <f t="shared" si="66"/>
        <v xml:space="preserve"> </v>
      </c>
      <c r="AR381" s="54">
        <f t="shared" si="61"/>
        <v>368</v>
      </c>
      <c r="AS381" s="54">
        <f>S_normal27[[#This Row],[Indeks (base 0)]]+1</f>
        <v>369</v>
      </c>
      <c r="AT381" s="54">
        <f t="shared" si="63"/>
        <v>5</v>
      </c>
      <c r="AU381" s="54">
        <f>IF(MOD(S_normal27[[#This Row],[Indeks (base 0)]],AS$8)=0,NA(),_xlfn.POISSON.DIST(S_normal27[[#This Row],[X base]],$H$5,FALSE))</f>
        <v>0.10081881344492449</v>
      </c>
      <c r="AV381" s="99" t="b">
        <f>S_normal27[[#This Row],[X base]]&lt;AS$5</f>
        <v>0</v>
      </c>
      <c r="AW381" s="99" t="b">
        <f>S_normal27[[#This Row],[X base]]=AS$5</f>
        <v>0</v>
      </c>
      <c r="AX381" s="99" t="b">
        <f>S_normal27[[#This Row],[X base]]&gt;AS$5</f>
        <v>1</v>
      </c>
      <c r="AY381" s="99" t="e">
        <f>IF(S_normal27[[#This Row],[Mindre end]],S_normal27[[#This Row],[Poissonfordeling]],NA())</f>
        <v>#N/A</v>
      </c>
      <c r="AZ381" s="99" t="e">
        <f>IF(S_normal27[[#This Row],[Lig med]],S_normal27[[#This Row],[Poissonfordeling]],NA())</f>
        <v>#N/A</v>
      </c>
      <c r="BA381" s="99">
        <f>IF(S_normal27[[#This Row],[Større end]],S_normal27[[#This Row],[Poissonfordeling]],NA())</f>
        <v>0.10081881344492449</v>
      </c>
      <c r="BB381" s="85" t="str">
        <f>_xlfn.IFNA(IF(MOD(S_normal27[[#This Row],[Indeks (base 0)]],AS$8)=ROUNDDOWN(AS$8/2,0),S_normal27[[#This Row],[X base]],""),"")</f>
        <v/>
      </c>
      <c r="BC381" s="99" t="str">
        <f t="shared" si="62"/>
        <v xml:space="preserve"> </v>
      </c>
    </row>
    <row r="382" spans="31:55" x14ac:dyDescent="0.2">
      <c r="AE382" s="54">
        <f t="shared" si="64"/>
        <v>369</v>
      </c>
      <c r="AF382" s="54">
        <f>S_binomial[[#This Row],[Indeks (base 0)]]+1</f>
        <v>370</v>
      </c>
      <c r="AG382" s="99">
        <f t="shared" si="65"/>
        <v>4</v>
      </c>
      <c r="AH382" s="99">
        <f>IF(MOD(S_binomial[[#This Row],[Indeks (base 0)]],AF$7)=0,NA(),_xlfn.BINOM.DIST(S_binomial[[#This Row],[X base]],E$5,E$6,FALSE))</f>
        <v>0.16082039904000001</v>
      </c>
      <c r="AI382" s="99" t="b">
        <f>S_binomial[[#This Row],[X base]]&lt;AF$5</f>
        <v>1</v>
      </c>
      <c r="AJ382" s="99" t="b">
        <f>S_binomial[[#This Row],[X base]]=AF$5</f>
        <v>0</v>
      </c>
      <c r="AK382" s="99" t="b">
        <f>S_binomial[[#This Row],[X base]]&gt;AF$5</f>
        <v>0</v>
      </c>
      <c r="AL382" s="99">
        <f>IF(S_binomial[[#This Row],[Mindre end]],S_binomial[[#This Row],[Binomialfordeling]],NA())</f>
        <v>0.16082039904000001</v>
      </c>
      <c r="AM382" s="99" t="e">
        <f>IF(S_binomial[[#This Row],[Lig med]],S_binomial[[#This Row],[Binomialfordeling]],NA())</f>
        <v>#N/A</v>
      </c>
      <c r="AN382" s="99" t="e">
        <f>IF(S_binomial[[#This Row],[Større end]],S_binomial[[#This Row],[Binomialfordeling]],NA())</f>
        <v>#N/A</v>
      </c>
      <c r="AO382" s="85" t="str">
        <f>_xlfn.IFNA(IF(MOD(S_binomial[[#This Row],[Indeks (base 0)]],AF$7)=ROUNDDOWN(AF$7/2,0),S_binomial[[#This Row],[X base]],""),"")</f>
        <v/>
      </c>
      <c r="AP382" s="99" t="str">
        <f t="shared" si="66"/>
        <v xml:space="preserve"> </v>
      </c>
      <c r="AR382" s="54">
        <f t="shared" si="61"/>
        <v>369</v>
      </c>
      <c r="AS382" s="54">
        <f>S_normal27[[#This Row],[Indeks (base 0)]]+1</f>
        <v>370</v>
      </c>
      <c r="AT382" s="54">
        <f t="shared" si="63"/>
        <v>5</v>
      </c>
      <c r="AU382" s="54">
        <f>IF(MOD(S_normal27[[#This Row],[Indeks (base 0)]],AS$8)=0,NA(),_xlfn.POISSON.DIST(S_normal27[[#This Row],[X base]],$H$5,FALSE))</f>
        <v>0.10081881344492449</v>
      </c>
      <c r="AV382" s="99" t="b">
        <f>S_normal27[[#This Row],[X base]]&lt;AS$5</f>
        <v>0</v>
      </c>
      <c r="AW382" s="99" t="b">
        <f>S_normal27[[#This Row],[X base]]=AS$5</f>
        <v>0</v>
      </c>
      <c r="AX382" s="99" t="b">
        <f>S_normal27[[#This Row],[X base]]&gt;AS$5</f>
        <v>1</v>
      </c>
      <c r="AY382" s="99" t="e">
        <f>IF(S_normal27[[#This Row],[Mindre end]],S_normal27[[#This Row],[Poissonfordeling]],NA())</f>
        <v>#N/A</v>
      </c>
      <c r="AZ382" s="99" t="e">
        <f>IF(S_normal27[[#This Row],[Lig med]],S_normal27[[#This Row],[Poissonfordeling]],NA())</f>
        <v>#N/A</v>
      </c>
      <c r="BA382" s="99">
        <f>IF(S_normal27[[#This Row],[Større end]],S_normal27[[#This Row],[Poissonfordeling]],NA())</f>
        <v>0.10081881344492449</v>
      </c>
      <c r="BB382" s="85" t="str">
        <f>_xlfn.IFNA(IF(MOD(S_normal27[[#This Row],[Indeks (base 0)]],AS$8)=ROUNDDOWN(AS$8/2,0),S_normal27[[#This Row],[X base]],""),"")</f>
        <v/>
      </c>
      <c r="BC382" s="99" t="str">
        <f t="shared" si="62"/>
        <v xml:space="preserve"> </v>
      </c>
    </row>
    <row r="383" spans="31:55" x14ac:dyDescent="0.2">
      <c r="AE383" s="54">
        <f t="shared" si="64"/>
        <v>370</v>
      </c>
      <c r="AF383" s="54">
        <f>S_binomial[[#This Row],[Indeks (base 0)]]+1</f>
        <v>371</v>
      </c>
      <c r="AG383" s="99">
        <f t="shared" si="65"/>
        <v>4</v>
      </c>
      <c r="AH383" s="99">
        <f>IF(MOD(S_binomial[[#This Row],[Indeks (base 0)]],AF$7)=0,NA(),_xlfn.BINOM.DIST(S_binomial[[#This Row],[X base]],E$5,E$6,FALSE))</f>
        <v>0.16082039904000001</v>
      </c>
      <c r="AI383" s="99" t="b">
        <f>S_binomial[[#This Row],[X base]]&lt;AF$5</f>
        <v>1</v>
      </c>
      <c r="AJ383" s="99" t="b">
        <f>S_binomial[[#This Row],[X base]]=AF$5</f>
        <v>0</v>
      </c>
      <c r="AK383" s="99" t="b">
        <f>S_binomial[[#This Row],[X base]]&gt;AF$5</f>
        <v>0</v>
      </c>
      <c r="AL383" s="99">
        <f>IF(S_binomial[[#This Row],[Mindre end]],S_binomial[[#This Row],[Binomialfordeling]],NA())</f>
        <v>0.16082039904000001</v>
      </c>
      <c r="AM383" s="99" t="e">
        <f>IF(S_binomial[[#This Row],[Lig med]],S_binomial[[#This Row],[Binomialfordeling]],NA())</f>
        <v>#N/A</v>
      </c>
      <c r="AN383" s="99" t="e">
        <f>IF(S_binomial[[#This Row],[Større end]],S_binomial[[#This Row],[Binomialfordeling]],NA())</f>
        <v>#N/A</v>
      </c>
      <c r="AO383" s="85" t="str">
        <f>_xlfn.IFNA(IF(MOD(S_binomial[[#This Row],[Indeks (base 0)]],AF$7)=ROUNDDOWN(AF$7/2,0),S_binomial[[#This Row],[X base]],""),"")</f>
        <v/>
      </c>
      <c r="AP383" s="99" t="str">
        <f t="shared" si="66"/>
        <v xml:space="preserve"> </v>
      </c>
      <c r="AR383" s="54">
        <f t="shared" si="61"/>
        <v>370</v>
      </c>
      <c r="AS383" s="54">
        <f>S_normal27[[#This Row],[Indeks (base 0)]]+1</f>
        <v>371</v>
      </c>
      <c r="AT383" s="54">
        <f t="shared" si="63"/>
        <v>5</v>
      </c>
      <c r="AU383" s="54">
        <f>IF(MOD(S_normal27[[#This Row],[Indeks (base 0)]],AS$8)=0,NA(),_xlfn.POISSON.DIST(S_normal27[[#This Row],[X base]],$H$5,FALSE))</f>
        <v>0.10081881344492449</v>
      </c>
      <c r="AV383" s="99" t="b">
        <f>S_normal27[[#This Row],[X base]]&lt;AS$5</f>
        <v>0</v>
      </c>
      <c r="AW383" s="99" t="b">
        <f>S_normal27[[#This Row],[X base]]=AS$5</f>
        <v>0</v>
      </c>
      <c r="AX383" s="99" t="b">
        <f>S_normal27[[#This Row],[X base]]&gt;AS$5</f>
        <v>1</v>
      </c>
      <c r="AY383" s="99" t="e">
        <f>IF(S_normal27[[#This Row],[Mindre end]],S_normal27[[#This Row],[Poissonfordeling]],NA())</f>
        <v>#N/A</v>
      </c>
      <c r="AZ383" s="99" t="e">
        <f>IF(S_normal27[[#This Row],[Lig med]],S_normal27[[#This Row],[Poissonfordeling]],NA())</f>
        <v>#N/A</v>
      </c>
      <c r="BA383" s="99">
        <f>IF(S_normal27[[#This Row],[Større end]],S_normal27[[#This Row],[Poissonfordeling]],NA())</f>
        <v>0.10081881344492449</v>
      </c>
      <c r="BB383" s="85" t="str">
        <f>_xlfn.IFNA(IF(MOD(S_normal27[[#This Row],[Indeks (base 0)]],AS$8)=ROUNDDOWN(AS$8/2,0),S_normal27[[#This Row],[X base]],""),"")</f>
        <v/>
      </c>
      <c r="BC383" s="99" t="str">
        <f t="shared" si="62"/>
        <v xml:space="preserve"> </v>
      </c>
    </row>
    <row r="384" spans="31:55" x14ac:dyDescent="0.2">
      <c r="AE384" s="54">
        <f t="shared" si="64"/>
        <v>371</v>
      </c>
      <c r="AF384" s="54">
        <f>S_binomial[[#This Row],[Indeks (base 0)]]+1</f>
        <v>372</v>
      </c>
      <c r="AG384" s="99">
        <f t="shared" si="65"/>
        <v>4</v>
      </c>
      <c r="AH384" s="99">
        <f>IF(MOD(S_binomial[[#This Row],[Indeks (base 0)]],AF$7)=0,NA(),_xlfn.BINOM.DIST(S_binomial[[#This Row],[X base]],E$5,E$6,FALSE))</f>
        <v>0.16082039904000001</v>
      </c>
      <c r="AI384" s="99" t="b">
        <f>S_binomial[[#This Row],[X base]]&lt;AF$5</f>
        <v>1</v>
      </c>
      <c r="AJ384" s="99" t="b">
        <f>S_binomial[[#This Row],[X base]]=AF$5</f>
        <v>0</v>
      </c>
      <c r="AK384" s="99" t="b">
        <f>S_binomial[[#This Row],[X base]]&gt;AF$5</f>
        <v>0</v>
      </c>
      <c r="AL384" s="99">
        <f>IF(S_binomial[[#This Row],[Mindre end]],S_binomial[[#This Row],[Binomialfordeling]],NA())</f>
        <v>0.16082039904000001</v>
      </c>
      <c r="AM384" s="99" t="e">
        <f>IF(S_binomial[[#This Row],[Lig med]],S_binomial[[#This Row],[Binomialfordeling]],NA())</f>
        <v>#N/A</v>
      </c>
      <c r="AN384" s="99" t="e">
        <f>IF(S_binomial[[#This Row],[Større end]],S_binomial[[#This Row],[Binomialfordeling]],NA())</f>
        <v>#N/A</v>
      </c>
      <c r="AO384" s="85" t="str">
        <f>_xlfn.IFNA(IF(MOD(S_binomial[[#This Row],[Indeks (base 0)]],AF$7)=ROUNDDOWN(AF$7/2,0),S_binomial[[#This Row],[X base]],""),"")</f>
        <v/>
      </c>
      <c r="AP384" s="99" t="str">
        <f t="shared" si="66"/>
        <v xml:space="preserve"> </v>
      </c>
      <c r="AR384" s="54">
        <f t="shared" si="61"/>
        <v>371</v>
      </c>
      <c r="AS384" s="54">
        <f>S_normal27[[#This Row],[Indeks (base 0)]]+1</f>
        <v>372</v>
      </c>
      <c r="AT384" s="54">
        <f t="shared" si="63"/>
        <v>5</v>
      </c>
      <c r="AU384" s="54">
        <f>IF(MOD(S_normal27[[#This Row],[Indeks (base 0)]],AS$8)=0,NA(),_xlfn.POISSON.DIST(S_normal27[[#This Row],[X base]],$H$5,FALSE))</f>
        <v>0.10081881344492449</v>
      </c>
      <c r="AV384" s="99" t="b">
        <f>S_normal27[[#This Row],[X base]]&lt;AS$5</f>
        <v>0</v>
      </c>
      <c r="AW384" s="99" t="b">
        <f>S_normal27[[#This Row],[X base]]=AS$5</f>
        <v>0</v>
      </c>
      <c r="AX384" s="99" t="b">
        <f>S_normal27[[#This Row],[X base]]&gt;AS$5</f>
        <v>1</v>
      </c>
      <c r="AY384" s="99" t="e">
        <f>IF(S_normal27[[#This Row],[Mindre end]],S_normal27[[#This Row],[Poissonfordeling]],NA())</f>
        <v>#N/A</v>
      </c>
      <c r="AZ384" s="99" t="e">
        <f>IF(S_normal27[[#This Row],[Lig med]],S_normal27[[#This Row],[Poissonfordeling]],NA())</f>
        <v>#N/A</v>
      </c>
      <c r="BA384" s="99">
        <f>IF(S_normal27[[#This Row],[Større end]],S_normal27[[#This Row],[Poissonfordeling]],NA())</f>
        <v>0.10081881344492449</v>
      </c>
      <c r="BB384" s="85" t="str">
        <f>_xlfn.IFNA(IF(MOD(S_normal27[[#This Row],[Indeks (base 0)]],AS$8)=ROUNDDOWN(AS$8/2,0),S_normal27[[#This Row],[X base]],""),"")</f>
        <v/>
      </c>
      <c r="BC384" s="99" t="str">
        <f t="shared" si="62"/>
        <v xml:space="preserve"> </v>
      </c>
    </row>
    <row r="385" spans="31:55" x14ac:dyDescent="0.2">
      <c r="AE385" s="54">
        <f t="shared" si="64"/>
        <v>372</v>
      </c>
      <c r="AF385" s="54">
        <f>S_binomial[[#This Row],[Indeks (base 0)]]+1</f>
        <v>373</v>
      </c>
      <c r="AG385" s="99">
        <f t="shared" si="65"/>
        <v>4</v>
      </c>
      <c r="AH385" s="99">
        <f>IF(MOD(S_binomial[[#This Row],[Indeks (base 0)]],AF$7)=0,NA(),_xlfn.BINOM.DIST(S_binomial[[#This Row],[X base]],E$5,E$6,FALSE))</f>
        <v>0.16082039904000001</v>
      </c>
      <c r="AI385" s="99" t="b">
        <f>S_binomial[[#This Row],[X base]]&lt;AF$5</f>
        <v>1</v>
      </c>
      <c r="AJ385" s="99" t="b">
        <f>S_binomial[[#This Row],[X base]]=AF$5</f>
        <v>0</v>
      </c>
      <c r="AK385" s="99" t="b">
        <f>S_binomial[[#This Row],[X base]]&gt;AF$5</f>
        <v>0</v>
      </c>
      <c r="AL385" s="99">
        <f>IF(S_binomial[[#This Row],[Mindre end]],S_binomial[[#This Row],[Binomialfordeling]],NA())</f>
        <v>0.16082039904000001</v>
      </c>
      <c r="AM385" s="99" t="e">
        <f>IF(S_binomial[[#This Row],[Lig med]],S_binomial[[#This Row],[Binomialfordeling]],NA())</f>
        <v>#N/A</v>
      </c>
      <c r="AN385" s="99" t="e">
        <f>IF(S_binomial[[#This Row],[Større end]],S_binomial[[#This Row],[Binomialfordeling]],NA())</f>
        <v>#N/A</v>
      </c>
      <c r="AO385" s="85" t="str">
        <f>_xlfn.IFNA(IF(MOD(S_binomial[[#This Row],[Indeks (base 0)]],AF$7)=ROUNDDOWN(AF$7/2,0),S_binomial[[#This Row],[X base]],""),"")</f>
        <v/>
      </c>
      <c r="AP385" s="99" t="str">
        <f t="shared" si="66"/>
        <v xml:space="preserve"> </v>
      </c>
      <c r="AR385" s="54">
        <f t="shared" si="61"/>
        <v>372</v>
      </c>
      <c r="AS385" s="54">
        <f>S_normal27[[#This Row],[Indeks (base 0)]]+1</f>
        <v>373</v>
      </c>
      <c r="AT385" s="54">
        <f t="shared" si="63"/>
        <v>5</v>
      </c>
      <c r="AU385" s="54">
        <f>IF(MOD(S_normal27[[#This Row],[Indeks (base 0)]],AS$8)=0,NA(),_xlfn.POISSON.DIST(S_normal27[[#This Row],[X base]],$H$5,FALSE))</f>
        <v>0.10081881344492449</v>
      </c>
      <c r="AV385" s="99" t="b">
        <f>S_normal27[[#This Row],[X base]]&lt;AS$5</f>
        <v>0</v>
      </c>
      <c r="AW385" s="99" t="b">
        <f>S_normal27[[#This Row],[X base]]=AS$5</f>
        <v>0</v>
      </c>
      <c r="AX385" s="99" t="b">
        <f>S_normal27[[#This Row],[X base]]&gt;AS$5</f>
        <v>1</v>
      </c>
      <c r="AY385" s="99" t="e">
        <f>IF(S_normal27[[#This Row],[Mindre end]],S_normal27[[#This Row],[Poissonfordeling]],NA())</f>
        <v>#N/A</v>
      </c>
      <c r="AZ385" s="99" t="e">
        <f>IF(S_normal27[[#This Row],[Lig med]],S_normal27[[#This Row],[Poissonfordeling]],NA())</f>
        <v>#N/A</v>
      </c>
      <c r="BA385" s="99">
        <f>IF(S_normal27[[#This Row],[Større end]],S_normal27[[#This Row],[Poissonfordeling]],NA())</f>
        <v>0.10081881344492449</v>
      </c>
      <c r="BB385" s="85" t="str">
        <f>_xlfn.IFNA(IF(MOD(S_normal27[[#This Row],[Indeks (base 0)]],AS$8)=ROUNDDOWN(AS$8/2,0),S_normal27[[#This Row],[X base]],""),"")</f>
        <v/>
      </c>
      <c r="BC385" s="99" t="str">
        <f t="shared" si="62"/>
        <v xml:space="preserve"> </v>
      </c>
    </row>
    <row r="386" spans="31:55" x14ac:dyDescent="0.2">
      <c r="AE386" s="54">
        <f t="shared" si="64"/>
        <v>373</v>
      </c>
      <c r="AF386" s="54">
        <f>S_binomial[[#This Row],[Indeks (base 0)]]+1</f>
        <v>374</v>
      </c>
      <c r="AG386" s="99">
        <f t="shared" si="65"/>
        <v>4</v>
      </c>
      <c r="AH386" s="99">
        <f>IF(MOD(S_binomial[[#This Row],[Indeks (base 0)]],AF$7)=0,NA(),_xlfn.BINOM.DIST(S_binomial[[#This Row],[X base]],E$5,E$6,FALSE))</f>
        <v>0.16082039904000001</v>
      </c>
      <c r="AI386" s="99" t="b">
        <f>S_binomial[[#This Row],[X base]]&lt;AF$5</f>
        <v>1</v>
      </c>
      <c r="AJ386" s="99" t="b">
        <f>S_binomial[[#This Row],[X base]]=AF$5</f>
        <v>0</v>
      </c>
      <c r="AK386" s="99" t="b">
        <f>S_binomial[[#This Row],[X base]]&gt;AF$5</f>
        <v>0</v>
      </c>
      <c r="AL386" s="99">
        <f>IF(S_binomial[[#This Row],[Mindre end]],S_binomial[[#This Row],[Binomialfordeling]],NA())</f>
        <v>0.16082039904000001</v>
      </c>
      <c r="AM386" s="99" t="e">
        <f>IF(S_binomial[[#This Row],[Lig med]],S_binomial[[#This Row],[Binomialfordeling]],NA())</f>
        <v>#N/A</v>
      </c>
      <c r="AN386" s="99" t="e">
        <f>IF(S_binomial[[#This Row],[Større end]],S_binomial[[#This Row],[Binomialfordeling]],NA())</f>
        <v>#N/A</v>
      </c>
      <c r="AO386" s="85" t="str">
        <f>_xlfn.IFNA(IF(MOD(S_binomial[[#This Row],[Indeks (base 0)]],AF$7)=ROUNDDOWN(AF$7/2,0),S_binomial[[#This Row],[X base]],""),"")</f>
        <v/>
      </c>
      <c r="AP386" s="99" t="str">
        <f t="shared" si="66"/>
        <v xml:space="preserve"> </v>
      </c>
      <c r="AR386" s="54">
        <f t="shared" si="61"/>
        <v>373</v>
      </c>
      <c r="AS386" s="54">
        <f>S_normal27[[#This Row],[Indeks (base 0)]]+1</f>
        <v>374</v>
      </c>
      <c r="AT386" s="54">
        <f t="shared" si="63"/>
        <v>5</v>
      </c>
      <c r="AU386" s="54">
        <f>IF(MOD(S_normal27[[#This Row],[Indeks (base 0)]],AS$8)=0,NA(),_xlfn.POISSON.DIST(S_normal27[[#This Row],[X base]],$H$5,FALSE))</f>
        <v>0.10081881344492449</v>
      </c>
      <c r="AV386" s="99" t="b">
        <f>S_normal27[[#This Row],[X base]]&lt;AS$5</f>
        <v>0</v>
      </c>
      <c r="AW386" s="99" t="b">
        <f>S_normal27[[#This Row],[X base]]=AS$5</f>
        <v>0</v>
      </c>
      <c r="AX386" s="99" t="b">
        <f>S_normal27[[#This Row],[X base]]&gt;AS$5</f>
        <v>1</v>
      </c>
      <c r="AY386" s="99" t="e">
        <f>IF(S_normal27[[#This Row],[Mindre end]],S_normal27[[#This Row],[Poissonfordeling]],NA())</f>
        <v>#N/A</v>
      </c>
      <c r="AZ386" s="99" t="e">
        <f>IF(S_normal27[[#This Row],[Lig med]],S_normal27[[#This Row],[Poissonfordeling]],NA())</f>
        <v>#N/A</v>
      </c>
      <c r="BA386" s="99">
        <f>IF(S_normal27[[#This Row],[Større end]],S_normal27[[#This Row],[Poissonfordeling]],NA())</f>
        <v>0.10081881344492449</v>
      </c>
      <c r="BB386" s="85" t="str">
        <f>_xlfn.IFNA(IF(MOD(S_normal27[[#This Row],[Indeks (base 0)]],AS$8)=ROUNDDOWN(AS$8/2,0),S_normal27[[#This Row],[X base]],""),"")</f>
        <v/>
      </c>
      <c r="BC386" s="99" t="str">
        <f t="shared" si="62"/>
        <v xml:space="preserve"> </v>
      </c>
    </row>
    <row r="387" spans="31:55" x14ac:dyDescent="0.2">
      <c r="AE387" s="54">
        <f t="shared" si="64"/>
        <v>374</v>
      </c>
      <c r="AF387" s="54">
        <f>S_binomial[[#This Row],[Indeks (base 0)]]+1</f>
        <v>375</v>
      </c>
      <c r="AG387" s="99">
        <f t="shared" si="65"/>
        <v>4</v>
      </c>
      <c r="AH387" s="99">
        <f>IF(MOD(S_binomial[[#This Row],[Indeks (base 0)]],AF$7)=0,NA(),_xlfn.BINOM.DIST(S_binomial[[#This Row],[X base]],E$5,E$6,FALSE))</f>
        <v>0.16082039904000001</v>
      </c>
      <c r="AI387" s="99" t="b">
        <f>S_binomial[[#This Row],[X base]]&lt;AF$5</f>
        <v>1</v>
      </c>
      <c r="AJ387" s="99" t="b">
        <f>S_binomial[[#This Row],[X base]]=AF$5</f>
        <v>0</v>
      </c>
      <c r="AK387" s="99" t="b">
        <f>S_binomial[[#This Row],[X base]]&gt;AF$5</f>
        <v>0</v>
      </c>
      <c r="AL387" s="99">
        <f>IF(S_binomial[[#This Row],[Mindre end]],S_binomial[[#This Row],[Binomialfordeling]],NA())</f>
        <v>0.16082039904000001</v>
      </c>
      <c r="AM387" s="99" t="e">
        <f>IF(S_binomial[[#This Row],[Lig med]],S_binomial[[#This Row],[Binomialfordeling]],NA())</f>
        <v>#N/A</v>
      </c>
      <c r="AN387" s="99" t="e">
        <f>IF(S_binomial[[#This Row],[Større end]],S_binomial[[#This Row],[Binomialfordeling]],NA())</f>
        <v>#N/A</v>
      </c>
      <c r="AO387" s="85" t="str">
        <f>_xlfn.IFNA(IF(MOD(S_binomial[[#This Row],[Indeks (base 0)]],AF$7)=ROUNDDOWN(AF$7/2,0),S_binomial[[#This Row],[X base]],""),"")</f>
        <v/>
      </c>
      <c r="AP387" s="99" t="str">
        <f t="shared" si="66"/>
        <v xml:space="preserve"> </v>
      </c>
      <c r="AR387" s="54">
        <f t="shared" si="61"/>
        <v>374</v>
      </c>
      <c r="AS387" s="54">
        <f>S_normal27[[#This Row],[Indeks (base 0)]]+1</f>
        <v>375</v>
      </c>
      <c r="AT387" s="54">
        <f t="shared" si="63"/>
        <v>5</v>
      </c>
      <c r="AU387" s="54">
        <f>IF(MOD(S_normal27[[#This Row],[Indeks (base 0)]],AS$8)=0,NA(),_xlfn.POISSON.DIST(S_normal27[[#This Row],[X base]],$H$5,FALSE))</f>
        <v>0.10081881344492449</v>
      </c>
      <c r="AV387" s="99" t="b">
        <f>S_normal27[[#This Row],[X base]]&lt;AS$5</f>
        <v>0</v>
      </c>
      <c r="AW387" s="99" t="b">
        <f>S_normal27[[#This Row],[X base]]=AS$5</f>
        <v>0</v>
      </c>
      <c r="AX387" s="99" t="b">
        <f>S_normal27[[#This Row],[X base]]&gt;AS$5</f>
        <v>1</v>
      </c>
      <c r="AY387" s="99" t="e">
        <f>IF(S_normal27[[#This Row],[Mindre end]],S_normal27[[#This Row],[Poissonfordeling]],NA())</f>
        <v>#N/A</v>
      </c>
      <c r="AZ387" s="99" t="e">
        <f>IF(S_normal27[[#This Row],[Lig med]],S_normal27[[#This Row],[Poissonfordeling]],NA())</f>
        <v>#N/A</v>
      </c>
      <c r="BA387" s="99">
        <f>IF(S_normal27[[#This Row],[Større end]],S_normal27[[#This Row],[Poissonfordeling]],NA())</f>
        <v>0.10081881344492449</v>
      </c>
      <c r="BB387" s="85" t="str">
        <f>_xlfn.IFNA(IF(MOD(S_normal27[[#This Row],[Indeks (base 0)]],AS$8)=ROUNDDOWN(AS$8/2,0),S_normal27[[#This Row],[X base]],""),"")</f>
        <v/>
      </c>
      <c r="BC387" s="99" t="str">
        <f t="shared" si="62"/>
        <v xml:space="preserve"> </v>
      </c>
    </row>
    <row r="388" spans="31:55" x14ac:dyDescent="0.2">
      <c r="AE388" s="54">
        <f t="shared" si="64"/>
        <v>375</v>
      </c>
      <c r="AF388" s="54">
        <f>S_binomial[[#This Row],[Indeks (base 0)]]+1</f>
        <v>376</v>
      </c>
      <c r="AG388" s="99">
        <f t="shared" si="65"/>
        <v>4</v>
      </c>
      <c r="AH388" s="99">
        <f>IF(MOD(S_binomial[[#This Row],[Indeks (base 0)]],AF$7)=0,NA(),_xlfn.BINOM.DIST(S_binomial[[#This Row],[X base]],E$5,E$6,FALSE))</f>
        <v>0.16082039904000001</v>
      </c>
      <c r="AI388" s="99" t="b">
        <f>S_binomial[[#This Row],[X base]]&lt;AF$5</f>
        <v>1</v>
      </c>
      <c r="AJ388" s="99" t="b">
        <f>S_binomial[[#This Row],[X base]]=AF$5</f>
        <v>0</v>
      </c>
      <c r="AK388" s="99" t="b">
        <f>S_binomial[[#This Row],[X base]]&gt;AF$5</f>
        <v>0</v>
      </c>
      <c r="AL388" s="99">
        <f>IF(S_binomial[[#This Row],[Mindre end]],S_binomial[[#This Row],[Binomialfordeling]],NA())</f>
        <v>0.16082039904000001</v>
      </c>
      <c r="AM388" s="99" t="e">
        <f>IF(S_binomial[[#This Row],[Lig med]],S_binomial[[#This Row],[Binomialfordeling]],NA())</f>
        <v>#N/A</v>
      </c>
      <c r="AN388" s="99" t="e">
        <f>IF(S_binomial[[#This Row],[Større end]],S_binomial[[#This Row],[Binomialfordeling]],NA())</f>
        <v>#N/A</v>
      </c>
      <c r="AO388" s="85" t="str">
        <f>_xlfn.IFNA(IF(MOD(S_binomial[[#This Row],[Indeks (base 0)]],AF$7)=ROUNDDOWN(AF$7/2,0),S_binomial[[#This Row],[X base]],""),"")</f>
        <v/>
      </c>
      <c r="AP388" s="99" t="str">
        <f t="shared" si="66"/>
        <v xml:space="preserve"> </v>
      </c>
      <c r="AR388" s="54">
        <f t="shared" si="61"/>
        <v>375</v>
      </c>
      <c r="AS388" s="54">
        <f>S_normal27[[#This Row],[Indeks (base 0)]]+1</f>
        <v>376</v>
      </c>
      <c r="AT388" s="54">
        <f t="shared" si="63"/>
        <v>5</v>
      </c>
      <c r="AU388" s="54">
        <f>IF(MOD(S_normal27[[#This Row],[Indeks (base 0)]],AS$8)=0,NA(),_xlfn.POISSON.DIST(S_normal27[[#This Row],[X base]],$H$5,FALSE))</f>
        <v>0.10081881344492449</v>
      </c>
      <c r="AV388" s="99" t="b">
        <f>S_normal27[[#This Row],[X base]]&lt;AS$5</f>
        <v>0</v>
      </c>
      <c r="AW388" s="99" t="b">
        <f>S_normal27[[#This Row],[X base]]=AS$5</f>
        <v>0</v>
      </c>
      <c r="AX388" s="99" t="b">
        <f>S_normal27[[#This Row],[X base]]&gt;AS$5</f>
        <v>1</v>
      </c>
      <c r="AY388" s="99" t="e">
        <f>IF(S_normal27[[#This Row],[Mindre end]],S_normal27[[#This Row],[Poissonfordeling]],NA())</f>
        <v>#N/A</v>
      </c>
      <c r="AZ388" s="99" t="e">
        <f>IF(S_normal27[[#This Row],[Lig med]],S_normal27[[#This Row],[Poissonfordeling]],NA())</f>
        <v>#N/A</v>
      </c>
      <c r="BA388" s="99">
        <f>IF(S_normal27[[#This Row],[Større end]],S_normal27[[#This Row],[Poissonfordeling]],NA())</f>
        <v>0.10081881344492449</v>
      </c>
      <c r="BB388" s="85" t="str">
        <f>_xlfn.IFNA(IF(MOD(S_normal27[[#This Row],[Indeks (base 0)]],AS$8)=ROUNDDOWN(AS$8/2,0),S_normal27[[#This Row],[X base]],""),"")</f>
        <v/>
      </c>
      <c r="BC388" s="99" t="str">
        <f t="shared" si="62"/>
        <v xml:space="preserve"> </v>
      </c>
    </row>
    <row r="389" spans="31:55" x14ac:dyDescent="0.2">
      <c r="AE389" s="54">
        <f t="shared" si="64"/>
        <v>376</v>
      </c>
      <c r="AF389" s="54">
        <f>S_binomial[[#This Row],[Indeks (base 0)]]+1</f>
        <v>377</v>
      </c>
      <c r="AG389" s="99">
        <f t="shared" si="65"/>
        <v>4</v>
      </c>
      <c r="AH389" s="99">
        <f>IF(MOD(S_binomial[[#This Row],[Indeks (base 0)]],AF$7)=0,NA(),_xlfn.BINOM.DIST(S_binomial[[#This Row],[X base]],E$5,E$6,FALSE))</f>
        <v>0.16082039904000001</v>
      </c>
      <c r="AI389" s="99" t="b">
        <f>S_binomial[[#This Row],[X base]]&lt;AF$5</f>
        <v>1</v>
      </c>
      <c r="AJ389" s="99" t="b">
        <f>S_binomial[[#This Row],[X base]]=AF$5</f>
        <v>0</v>
      </c>
      <c r="AK389" s="99" t="b">
        <f>S_binomial[[#This Row],[X base]]&gt;AF$5</f>
        <v>0</v>
      </c>
      <c r="AL389" s="99">
        <f>IF(S_binomial[[#This Row],[Mindre end]],S_binomial[[#This Row],[Binomialfordeling]],NA())</f>
        <v>0.16082039904000001</v>
      </c>
      <c r="AM389" s="99" t="e">
        <f>IF(S_binomial[[#This Row],[Lig med]],S_binomial[[#This Row],[Binomialfordeling]],NA())</f>
        <v>#N/A</v>
      </c>
      <c r="AN389" s="99" t="e">
        <f>IF(S_binomial[[#This Row],[Større end]],S_binomial[[#This Row],[Binomialfordeling]],NA())</f>
        <v>#N/A</v>
      </c>
      <c r="AO389" s="85" t="str">
        <f>_xlfn.IFNA(IF(MOD(S_binomial[[#This Row],[Indeks (base 0)]],AF$7)=ROUNDDOWN(AF$7/2,0),S_binomial[[#This Row],[X base]],""),"")</f>
        <v/>
      </c>
      <c r="AP389" s="99" t="str">
        <f t="shared" si="66"/>
        <v xml:space="preserve"> </v>
      </c>
      <c r="AR389" s="54">
        <f t="shared" si="61"/>
        <v>376</v>
      </c>
      <c r="AS389" s="54">
        <f>S_normal27[[#This Row],[Indeks (base 0)]]+1</f>
        <v>377</v>
      </c>
      <c r="AT389" s="54">
        <f t="shared" si="63"/>
        <v>5</v>
      </c>
      <c r="AU389" s="54">
        <f>IF(MOD(S_normal27[[#This Row],[Indeks (base 0)]],AS$8)=0,NA(),_xlfn.POISSON.DIST(S_normal27[[#This Row],[X base]],$H$5,FALSE))</f>
        <v>0.10081881344492449</v>
      </c>
      <c r="AV389" s="99" t="b">
        <f>S_normal27[[#This Row],[X base]]&lt;AS$5</f>
        <v>0</v>
      </c>
      <c r="AW389" s="99" t="b">
        <f>S_normal27[[#This Row],[X base]]=AS$5</f>
        <v>0</v>
      </c>
      <c r="AX389" s="99" t="b">
        <f>S_normal27[[#This Row],[X base]]&gt;AS$5</f>
        <v>1</v>
      </c>
      <c r="AY389" s="99" t="e">
        <f>IF(S_normal27[[#This Row],[Mindre end]],S_normal27[[#This Row],[Poissonfordeling]],NA())</f>
        <v>#N/A</v>
      </c>
      <c r="AZ389" s="99" t="e">
        <f>IF(S_normal27[[#This Row],[Lig med]],S_normal27[[#This Row],[Poissonfordeling]],NA())</f>
        <v>#N/A</v>
      </c>
      <c r="BA389" s="99">
        <f>IF(S_normal27[[#This Row],[Større end]],S_normal27[[#This Row],[Poissonfordeling]],NA())</f>
        <v>0.10081881344492449</v>
      </c>
      <c r="BB389" s="85" t="str">
        <f>_xlfn.IFNA(IF(MOD(S_normal27[[#This Row],[Indeks (base 0)]],AS$8)=ROUNDDOWN(AS$8/2,0),S_normal27[[#This Row],[X base]],""),"")</f>
        <v/>
      </c>
      <c r="BC389" s="99" t="str">
        <f t="shared" si="62"/>
        <v xml:space="preserve"> </v>
      </c>
    </row>
    <row r="390" spans="31:55" x14ac:dyDescent="0.2">
      <c r="AE390" s="54">
        <f t="shared" si="64"/>
        <v>377</v>
      </c>
      <c r="AF390" s="54">
        <f>S_binomial[[#This Row],[Indeks (base 0)]]+1</f>
        <v>378</v>
      </c>
      <c r="AG390" s="99">
        <f t="shared" si="65"/>
        <v>4</v>
      </c>
      <c r="AH390" s="99">
        <f>IF(MOD(S_binomial[[#This Row],[Indeks (base 0)]],AF$7)=0,NA(),_xlfn.BINOM.DIST(S_binomial[[#This Row],[X base]],E$5,E$6,FALSE))</f>
        <v>0.16082039904000001</v>
      </c>
      <c r="AI390" s="99" t="b">
        <f>S_binomial[[#This Row],[X base]]&lt;AF$5</f>
        <v>1</v>
      </c>
      <c r="AJ390" s="99" t="b">
        <f>S_binomial[[#This Row],[X base]]=AF$5</f>
        <v>0</v>
      </c>
      <c r="AK390" s="99" t="b">
        <f>S_binomial[[#This Row],[X base]]&gt;AF$5</f>
        <v>0</v>
      </c>
      <c r="AL390" s="99">
        <f>IF(S_binomial[[#This Row],[Mindre end]],S_binomial[[#This Row],[Binomialfordeling]],NA())</f>
        <v>0.16082039904000001</v>
      </c>
      <c r="AM390" s="99" t="e">
        <f>IF(S_binomial[[#This Row],[Lig med]],S_binomial[[#This Row],[Binomialfordeling]],NA())</f>
        <v>#N/A</v>
      </c>
      <c r="AN390" s="99" t="e">
        <f>IF(S_binomial[[#This Row],[Større end]],S_binomial[[#This Row],[Binomialfordeling]],NA())</f>
        <v>#N/A</v>
      </c>
      <c r="AO390" s="85" t="str">
        <f>_xlfn.IFNA(IF(MOD(S_binomial[[#This Row],[Indeks (base 0)]],AF$7)=ROUNDDOWN(AF$7/2,0),S_binomial[[#This Row],[X base]],""),"")</f>
        <v/>
      </c>
      <c r="AP390" s="99" t="str">
        <f t="shared" si="66"/>
        <v xml:space="preserve"> </v>
      </c>
      <c r="AR390" s="54">
        <f t="shared" si="61"/>
        <v>377</v>
      </c>
      <c r="AS390" s="54">
        <f>S_normal27[[#This Row],[Indeks (base 0)]]+1</f>
        <v>378</v>
      </c>
      <c r="AT390" s="54">
        <f t="shared" si="63"/>
        <v>5</v>
      </c>
      <c r="AU390" s="54">
        <f>IF(MOD(S_normal27[[#This Row],[Indeks (base 0)]],AS$8)=0,NA(),_xlfn.POISSON.DIST(S_normal27[[#This Row],[X base]],$H$5,FALSE))</f>
        <v>0.10081881344492449</v>
      </c>
      <c r="AV390" s="99" t="b">
        <f>S_normal27[[#This Row],[X base]]&lt;AS$5</f>
        <v>0</v>
      </c>
      <c r="AW390" s="99" t="b">
        <f>S_normal27[[#This Row],[X base]]=AS$5</f>
        <v>0</v>
      </c>
      <c r="AX390" s="99" t="b">
        <f>S_normal27[[#This Row],[X base]]&gt;AS$5</f>
        <v>1</v>
      </c>
      <c r="AY390" s="99" t="e">
        <f>IF(S_normal27[[#This Row],[Mindre end]],S_normal27[[#This Row],[Poissonfordeling]],NA())</f>
        <v>#N/A</v>
      </c>
      <c r="AZ390" s="99" t="e">
        <f>IF(S_normal27[[#This Row],[Lig med]],S_normal27[[#This Row],[Poissonfordeling]],NA())</f>
        <v>#N/A</v>
      </c>
      <c r="BA390" s="99">
        <f>IF(S_normal27[[#This Row],[Større end]],S_normal27[[#This Row],[Poissonfordeling]],NA())</f>
        <v>0.10081881344492449</v>
      </c>
      <c r="BB390" s="85" t="str">
        <f>_xlfn.IFNA(IF(MOD(S_normal27[[#This Row],[Indeks (base 0)]],AS$8)=ROUNDDOWN(AS$8/2,0),S_normal27[[#This Row],[X base]],""),"")</f>
        <v/>
      </c>
      <c r="BC390" s="99" t="str">
        <f t="shared" si="62"/>
        <v xml:space="preserve"> </v>
      </c>
    </row>
    <row r="391" spans="31:55" x14ac:dyDescent="0.2">
      <c r="AE391" s="54">
        <f t="shared" si="64"/>
        <v>378</v>
      </c>
      <c r="AF391" s="54">
        <f>S_binomial[[#This Row],[Indeks (base 0)]]+1</f>
        <v>379</v>
      </c>
      <c r="AG391" s="99">
        <f t="shared" si="65"/>
        <v>4</v>
      </c>
      <c r="AH391" s="99">
        <f>IF(MOD(S_binomial[[#This Row],[Indeks (base 0)]],AF$7)=0,NA(),_xlfn.BINOM.DIST(S_binomial[[#This Row],[X base]],E$5,E$6,FALSE))</f>
        <v>0.16082039904000001</v>
      </c>
      <c r="AI391" s="99" t="b">
        <f>S_binomial[[#This Row],[X base]]&lt;AF$5</f>
        <v>1</v>
      </c>
      <c r="AJ391" s="99" t="b">
        <f>S_binomial[[#This Row],[X base]]=AF$5</f>
        <v>0</v>
      </c>
      <c r="AK391" s="99" t="b">
        <f>S_binomial[[#This Row],[X base]]&gt;AF$5</f>
        <v>0</v>
      </c>
      <c r="AL391" s="99">
        <f>IF(S_binomial[[#This Row],[Mindre end]],S_binomial[[#This Row],[Binomialfordeling]],NA())</f>
        <v>0.16082039904000001</v>
      </c>
      <c r="AM391" s="99" t="e">
        <f>IF(S_binomial[[#This Row],[Lig med]],S_binomial[[#This Row],[Binomialfordeling]],NA())</f>
        <v>#N/A</v>
      </c>
      <c r="AN391" s="99" t="e">
        <f>IF(S_binomial[[#This Row],[Større end]],S_binomial[[#This Row],[Binomialfordeling]],NA())</f>
        <v>#N/A</v>
      </c>
      <c r="AO391" s="85" t="str">
        <f>_xlfn.IFNA(IF(MOD(S_binomial[[#This Row],[Indeks (base 0)]],AF$7)=ROUNDDOWN(AF$7/2,0),S_binomial[[#This Row],[X base]],""),"")</f>
        <v/>
      </c>
      <c r="AP391" s="99" t="str">
        <f t="shared" si="66"/>
        <v xml:space="preserve"> </v>
      </c>
      <c r="AR391" s="54">
        <f t="shared" si="61"/>
        <v>378</v>
      </c>
      <c r="AS391" s="54">
        <f>S_normal27[[#This Row],[Indeks (base 0)]]+1</f>
        <v>379</v>
      </c>
      <c r="AT391" s="54">
        <f t="shared" si="63"/>
        <v>5</v>
      </c>
      <c r="AU391" s="54">
        <f>IF(MOD(S_normal27[[#This Row],[Indeks (base 0)]],AS$8)=0,NA(),_xlfn.POISSON.DIST(S_normal27[[#This Row],[X base]],$H$5,FALSE))</f>
        <v>0.10081881344492449</v>
      </c>
      <c r="AV391" s="99" t="b">
        <f>S_normal27[[#This Row],[X base]]&lt;AS$5</f>
        <v>0</v>
      </c>
      <c r="AW391" s="99" t="b">
        <f>S_normal27[[#This Row],[X base]]=AS$5</f>
        <v>0</v>
      </c>
      <c r="AX391" s="99" t="b">
        <f>S_normal27[[#This Row],[X base]]&gt;AS$5</f>
        <v>1</v>
      </c>
      <c r="AY391" s="99" t="e">
        <f>IF(S_normal27[[#This Row],[Mindre end]],S_normal27[[#This Row],[Poissonfordeling]],NA())</f>
        <v>#N/A</v>
      </c>
      <c r="AZ391" s="99" t="e">
        <f>IF(S_normal27[[#This Row],[Lig med]],S_normal27[[#This Row],[Poissonfordeling]],NA())</f>
        <v>#N/A</v>
      </c>
      <c r="BA391" s="99">
        <f>IF(S_normal27[[#This Row],[Større end]],S_normal27[[#This Row],[Poissonfordeling]],NA())</f>
        <v>0.10081881344492449</v>
      </c>
      <c r="BB391" s="85" t="str">
        <f>_xlfn.IFNA(IF(MOD(S_normal27[[#This Row],[Indeks (base 0)]],AS$8)=ROUNDDOWN(AS$8/2,0),S_normal27[[#This Row],[X base]],""),"")</f>
        <v/>
      </c>
      <c r="BC391" s="99" t="str">
        <f t="shared" si="62"/>
        <v xml:space="preserve"> </v>
      </c>
    </row>
    <row r="392" spans="31:55" x14ac:dyDescent="0.2">
      <c r="AE392" s="54">
        <f t="shared" si="64"/>
        <v>379</v>
      </c>
      <c r="AF392" s="54">
        <f>S_binomial[[#This Row],[Indeks (base 0)]]+1</f>
        <v>380</v>
      </c>
      <c r="AG392" s="99">
        <f t="shared" si="65"/>
        <v>4</v>
      </c>
      <c r="AH392" s="99">
        <f>IF(MOD(S_binomial[[#This Row],[Indeks (base 0)]],AF$7)=0,NA(),_xlfn.BINOM.DIST(S_binomial[[#This Row],[X base]],E$5,E$6,FALSE))</f>
        <v>0.16082039904000001</v>
      </c>
      <c r="AI392" s="99" t="b">
        <f>S_binomial[[#This Row],[X base]]&lt;AF$5</f>
        <v>1</v>
      </c>
      <c r="AJ392" s="99" t="b">
        <f>S_binomial[[#This Row],[X base]]=AF$5</f>
        <v>0</v>
      </c>
      <c r="AK392" s="99" t="b">
        <f>S_binomial[[#This Row],[X base]]&gt;AF$5</f>
        <v>0</v>
      </c>
      <c r="AL392" s="99">
        <f>IF(S_binomial[[#This Row],[Mindre end]],S_binomial[[#This Row],[Binomialfordeling]],NA())</f>
        <v>0.16082039904000001</v>
      </c>
      <c r="AM392" s="99" t="e">
        <f>IF(S_binomial[[#This Row],[Lig med]],S_binomial[[#This Row],[Binomialfordeling]],NA())</f>
        <v>#N/A</v>
      </c>
      <c r="AN392" s="99" t="e">
        <f>IF(S_binomial[[#This Row],[Større end]],S_binomial[[#This Row],[Binomialfordeling]],NA())</f>
        <v>#N/A</v>
      </c>
      <c r="AO392" s="85" t="str">
        <f>_xlfn.IFNA(IF(MOD(S_binomial[[#This Row],[Indeks (base 0)]],AF$7)=ROUNDDOWN(AF$7/2,0),S_binomial[[#This Row],[X base]],""),"")</f>
        <v/>
      </c>
      <c r="AP392" s="99" t="str">
        <f t="shared" si="66"/>
        <v xml:space="preserve"> </v>
      </c>
      <c r="AR392" s="54">
        <f t="shared" si="61"/>
        <v>379</v>
      </c>
      <c r="AS392" s="54">
        <f>S_normal27[[#This Row],[Indeks (base 0)]]+1</f>
        <v>380</v>
      </c>
      <c r="AT392" s="54">
        <f t="shared" si="63"/>
        <v>5</v>
      </c>
      <c r="AU392" s="54">
        <f>IF(MOD(S_normal27[[#This Row],[Indeks (base 0)]],AS$8)=0,NA(),_xlfn.POISSON.DIST(S_normal27[[#This Row],[X base]],$H$5,FALSE))</f>
        <v>0.10081881344492449</v>
      </c>
      <c r="AV392" s="99" t="b">
        <f>S_normal27[[#This Row],[X base]]&lt;AS$5</f>
        <v>0</v>
      </c>
      <c r="AW392" s="99" t="b">
        <f>S_normal27[[#This Row],[X base]]=AS$5</f>
        <v>0</v>
      </c>
      <c r="AX392" s="99" t="b">
        <f>S_normal27[[#This Row],[X base]]&gt;AS$5</f>
        <v>1</v>
      </c>
      <c r="AY392" s="99" t="e">
        <f>IF(S_normal27[[#This Row],[Mindre end]],S_normal27[[#This Row],[Poissonfordeling]],NA())</f>
        <v>#N/A</v>
      </c>
      <c r="AZ392" s="99" t="e">
        <f>IF(S_normal27[[#This Row],[Lig med]],S_normal27[[#This Row],[Poissonfordeling]],NA())</f>
        <v>#N/A</v>
      </c>
      <c r="BA392" s="99">
        <f>IF(S_normal27[[#This Row],[Større end]],S_normal27[[#This Row],[Poissonfordeling]],NA())</f>
        <v>0.10081881344492449</v>
      </c>
      <c r="BB392" s="85" t="str">
        <f>_xlfn.IFNA(IF(MOD(S_normal27[[#This Row],[Indeks (base 0)]],AS$8)=ROUNDDOWN(AS$8/2,0),S_normal27[[#This Row],[X base]],""),"")</f>
        <v/>
      </c>
      <c r="BC392" s="99" t="str">
        <f t="shared" si="62"/>
        <v xml:space="preserve"> </v>
      </c>
    </row>
    <row r="393" spans="31:55" x14ac:dyDescent="0.2">
      <c r="AE393" s="54">
        <f t="shared" si="64"/>
        <v>380</v>
      </c>
      <c r="AF393" s="54">
        <f>S_binomial[[#This Row],[Indeks (base 0)]]+1</f>
        <v>381</v>
      </c>
      <c r="AG393" s="99">
        <f t="shared" si="65"/>
        <v>4</v>
      </c>
      <c r="AH393" s="99">
        <f>IF(MOD(S_binomial[[#This Row],[Indeks (base 0)]],AF$7)=0,NA(),_xlfn.BINOM.DIST(S_binomial[[#This Row],[X base]],E$5,E$6,FALSE))</f>
        <v>0.16082039904000001</v>
      </c>
      <c r="AI393" s="99" t="b">
        <f>S_binomial[[#This Row],[X base]]&lt;AF$5</f>
        <v>1</v>
      </c>
      <c r="AJ393" s="99" t="b">
        <f>S_binomial[[#This Row],[X base]]=AF$5</f>
        <v>0</v>
      </c>
      <c r="AK393" s="99" t="b">
        <f>S_binomial[[#This Row],[X base]]&gt;AF$5</f>
        <v>0</v>
      </c>
      <c r="AL393" s="99">
        <f>IF(S_binomial[[#This Row],[Mindre end]],S_binomial[[#This Row],[Binomialfordeling]],NA())</f>
        <v>0.16082039904000001</v>
      </c>
      <c r="AM393" s="99" t="e">
        <f>IF(S_binomial[[#This Row],[Lig med]],S_binomial[[#This Row],[Binomialfordeling]],NA())</f>
        <v>#N/A</v>
      </c>
      <c r="AN393" s="99" t="e">
        <f>IF(S_binomial[[#This Row],[Større end]],S_binomial[[#This Row],[Binomialfordeling]],NA())</f>
        <v>#N/A</v>
      </c>
      <c r="AO393" s="85" t="str">
        <f>_xlfn.IFNA(IF(MOD(S_binomial[[#This Row],[Indeks (base 0)]],AF$7)=ROUNDDOWN(AF$7/2,0),S_binomial[[#This Row],[X base]],""),"")</f>
        <v/>
      </c>
      <c r="AP393" s="99" t="str">
        <f t="shared" si="66"/>
        <v xml:space="preserve"> </v>
      </c>
      <c r="AR393" s="54">
        <f t="shared" si="61"/>
        <v>380</v>
      </c>
      <c r="AS393" s="54">
        <f>S_normal27[[#This Row],[Indeks (base 0)]]+1</f>
        <v>381</v>
      </c>
      <c r="AT393" s="54">
        <f t="shared" si="63"/>
        <v>5</v>
      </c>
      <c r="AU393" s="54">
        <f>IF(MOD(S_normal27[[#This Row],[Indeks (base 0)]],AS$8)=0,NA(),_xlfn.POISSON.DIST(S_normal27[[#This Row],[X base]],$H$5,FALSE))</f>
        <v>0.10081881344492449</v>
      </c>
      <c r="AV393" s="99" t="b">
        <f>S_normal27[[#This Row],[X base]]&lt;AS$5</f>
        <v>0</v>
      </c>
      <c r="AW393" s="99" t="b">
        <f>S_normal27[[#This Row],[X base]]=AS$5</f>
        <v>0</v>
      </c>
      <c r="AX393" s="99" t="b">
        <f>S_normal27[[#This Row],[X base]]&gt;AS$5</f>
        <v>1</v>
      </c>
      <c r="AY393" s="99" t="e">
        <f>IF(S_normal27[[#This Row],[Mindre end]],S_normal27[[#This Row],[Poissonfordeling]],NA())</f>
        <v>#N/A</v>
      </c>
      <c r="AZ393" s="99" t="e">
        <f>IF(S_normal27[[#This Row],[Lig med]],S_normal27[[#This Row],[Poissonfordeling]],NA())</f>
        <v>#N/A</v>
      </c>
      <c r="BA393" s="99">
        <f>IF(S_normal27[[#This Row],[Større end]],S_normal27[[#This Row],[Poissonfordeling]],NA())</f>
        <v>0.10081881344492449</v>
      </c>
      <c r="BB393" s="85" t="str">
        <f>_xlfn.IFNA(IF(MOD(S_normal27[[#This Row],[Indeks (base 0)]],AS$8)=ROUNDDOWN(AS$8/2,0),S_normal27[[#This Row],[X base]],""),"")</f>
        <v/>
      </c>
      <c r="BC393" s="99" t="str">
        <f t="shared" si="62"/>
        <v xml:space="preserve"> </v>
      </c>
    </row>
    <row r="394" spans="31:55" x14ac:dyDescent="0.2">
      <c r="AE394" s="54">
        <f t="shared" si="64"/>
        <v>381</v>
      </c>
      <c r="AF394" s="54">
        <f>S_binomial[[#This Row],[Indeks (base 0)]]+1</f>
        <v>382</v>
      </c>
      <c r="AG394" s="99">
        <f t="shared" si="65"/>
        <v>4</v>
      </c>
      <c r="AH394" s="99">
        <f>IF(MOD(S_binomial[[#This Row],[Indeks (base 0)]],AF$7)=0,NA(),_xlfn.BINOM.DIST(S_binomial[[#This Row],[X base]],E$5,E$6,FALSE))</f>
        <v>0.16082039904000001</v>
      </c>
      <c r="AI394" s="99" t="b">
        <f>S_binomial[[#This Row],[X base]]&lt;AF$5</f>
        <v>1</v>
      </c>
      <c r="AJ394" s="99" t="b">
        <f>S_binomial[[#This Row],[X base]]=AF$5</f>
        <v>0</v>
      </c>
      <c r="AK394" s="99" t="b">
        <f>S_binomial[[#This Row],[X base]]&gt;AF$5</f>
        <v>0</v>
      </c>
      <c r="AL394" s="99">
        <f>IF(S_binomial[[#This Row],[Mindre end]],S_binomial[[#This Row],[Binomialfordeling]],NA())</f>
        <v>0.16082039904000001</v>
      </c>
      <c r="AM394" s="99" t="e">
        <f>IF(S_binomial[[#This Row],[Lig med]],S_binomial[[#This Row],[Binomialfordeling]],NA())</f>
        <v>#N/A</v>
      </c>
      <c r="AN394" s="99" t="e">
        <f>IF(S_binomial[[#This Row],[Større end]],S_binomial[[#This Row],[Binomialfordeling]],NA())</f>
        <v>#N/A</v>
      </c>
      <c r="AO394" s="85" t="str">
        <f>_xlfn.IFNA(IF(MOD(S_binomial[[#This Row],[Indeks (base 0)]],AF$7)=ROUNDDOWN(AF$7/2,0),S_binomial[[#This Row],[X base]],""),"")</f>
        <v/>
      </c>
      <c r="AP394" s="99" t="str">
        <f t="shared" si="66"/>
        <v xml:space="preserve"> </v>
      </c>
      <c r="AR394" s="54">
        <f t="shared" si="61"/>
        <v>381</v>
      </c>
      <c r="AS394" s="54">
        <f>S_normal27[[#This Row],[Indeks (base 0)]]+1</f>
        <v>382</v>
      </c>
      <c r="AT394" s="54">
        <f t="shared" si="63"/>
        <v>5</v>
      </c>
      <c r="AU394" s="54">
        <f>IF(MOD(S_normal27[[#This Row],[Indeks (base 0)]],AS$8)=0,NA(),_xlfn.POISSON.DIST(S_normal27[[#This Row],[X base]],$H$5,FALSE))</f>
        <v>0.10081881344492449</v>
      </c>
      <c r="AV394" s="99" t="b">
        <f>S_normal27[[#This Row],[X base]]&lt;AS$5</f>
        <v>0</v>
      </c>
      <c r="AW394" s="99" t="b">
        <f>S_normal27[[#This Row],[X base]]=AS$5</f>
        <v>0</v>
      </c>
      <c r="AX394" s="99" t="b">
        <f>S_normal27[[#This Row],[X base]]&gt;AS$5</f>
        <v>1</v>
      </c>
      <c r="AY394" s="99" t="e">
        <f>IF(S_normal27[[#This Row],[Mindre end]],S_normal27[[#This Row],[Poissonfordeling]],NA())</f>
        <v>#N/A</v>
      </c>
      <c r="AZ394" s="99" t="e">
        <f>IF(S_normal27[[#This Row],[Lig med]],S_normal27[[#This Row],[Poissonfordeling]],NA())</f>
        <v>#N/A</v>
      </c>
      <c r="BA394" s="99">
        <f>IF(S_normal27[[#This Row],[Større end]],S_normal27[[#This Row],[Poissonfordeling]],NA())</f>
        <v>0.10081881344492449</v>
      </c>
      <c r="BB394" s="85" t="str">
        <f>_xlfn.IFNA(IF(MOD(S_normal27[[#This Row],[Indeks (base 0)]],AS$8)=ROUNDDOWN(AS$8/2,0),S_normal27[[#This Row],[X base]],""),"")</f>
        <v/>
      </c>
      <c r="BC394" s="99" t="str">
        <f t="shared" si="62"/>
        <v xml:space="preserve"> </v>
      </c>
    </row>
    <row r="395" spans="31:55" x14ac:dyDescent="0.2">
      <c r="AE395" s="54">
        <f t="shared" si="64"/>
        <v>382</v>
      </c>
      <c r="AF395" s="54">
        <f>S_binomial[[#This Row],[Indeks (base 0)]]+1</f>
        <v>383</v>
      </c>
      <c r="AG395" s="99">
        <f t="shared" si="65"/>
        <v>4</v>
      </c>
      <c r="AH395" s="99">
        <f>IF(MOD(S_binomial[[#This Row],[Indeks (base 0)]],AF$7)=0,NA(),_xlfn.BINOM.DIST(S_binomial[[#This Row],[X base]],E$5,E$6,FALSE))</f>
        <v>0.16082039904000001</v>
      </c>
      <c r="AI395" s="99" t="b">
        <f>S_binomial[[#This Row],[X base]]&lt;AF$5</f>
        <v>1</v>
      </c>
      <c r="AJ395" s="99" t="b">
        <f>S_binomial[[#This Row],[X base]]=AF$5</f>
        <v>0</v>
      </c>
      <c r="AK395" s="99" t="b">
        <f>S_binomial[[#This Row],[X base]]&gt;AF$5</f>
        <v>0</v>
      </c>
      <c r="AL395" s="99">
        <f>IF(S_binomial[[#This Row],[Mindre end]],S_binomial[[#This Row],[Binomialfordeling]],NA())</f>
        <v>0.16082039904000001</v>
      </c>
      <c r="AM395" s="99" t="e">
        <f>IF(S_binomial[[#This Row],[Lig med]],S_binomial[[#This Row],[Binomialfordeling]],NA())</f>
        <v>#N/A</v>
      </c>
      <c r="AN395" s="99" t="e">
        <f>IF(S_binomial[[#This Row],[Større end]],S_binomial[[#This Row],[Binomialfordeling]],NA())</f>
        <v>#N/A</v>
      </c>
      <c r="AO395" s="85" t="str">
        <f>_xlfn.IFNA(IF(MOD(S_binomial[[#This Row],[Indeks (base 0)]],AF$7)=ROUNDDOWN(AF$7/2,0),S_binomial[[#This Row],[X base]],""),"")</f>
        <v/>
      </c>
      <c r="AP395" s="99" t="str">
        <f t="shared" si="66"/>
        <v xml:space="preserve"> </v>
      </c>
      <c r="AR395" s="54">
        <f t="shared" si="61"/>
        <v>382</v>
      </c>
      <c r="AS395" s="54">
        <f>S_normal27[[#This Row],[Indeks (base 0)]]+1</f>
        <v>383</v>
      </c>
      <c r="AT395" s="54">
        <f t="shared" si="63"/>
        <v>5</v>
      </c>
      <c r="AU395" s="54">
        <f>IF(MOD(S_normal27[[#This Row],[Indeks (base 0)]],AS$8)=0,NA(),_xlfn.POISSON.DIST(S_normal27[[#This Row],[X base]],$H$5,FALSE))</f>
        <v>0.10081881344492449</v>
      </c>
      <c r="AV395" s="99" t="b">
        <f>S_normal27[[#This Row],[X base]]&lt;AS$5</f>
        <v>0</v>
      </c>
      <c r="AW395" s="99" t="b">
        <f>S_normal27[[#This Row],[X base]]=AS$5</f>
        <v>0</v>
      </c>
      <c r="AX395" s="99" t="b">
        <f>S_normal27[[#This Row],[X base]]&gt;AS$5</f>
        <v>1</v>
      </c>
      <c r="AY395" s="99" t="e">
        <f>IF(S_normal27[[#This Row],[Mindre end]],S_normal27[[#This Row],[Poissonfordeling]],NA())</f>
        <v>#N/A</v>
      </c>
      <c r="AZ395" s="99" t="e">
        <f>IF(S_normal27[[#This Row],[Lig med]],S_normal27[[#This Row],[Poissonfordeling]],NA())</f>
        <v>#N/A</v>
      </c>
      <c r="BA395" s="99">
        <f>IF(S_normal27[[#This Row],[Større end]],S_normal27[[#This Row],[Poissonfordeling]],NA())</f>
        <v>0.10081881344492449</v>
      </c>
      <c r="BB395" s="85" t="str">
        <f>_xlfn.IFNA(IF(MOD(S_normal27[[#This Row],[Indeks (base 0)]],AS$8)=ROUNDDOWN(AS$8/2,0),S_normal27[[#This Row],[X base]],""),"")</f>
        <v/>
      </c>
      <c r="BC395" s="99" t="str">
        <f t="shared" si="62"/>
        <v xml:space="preserve"> </v>
      </c>
    </row>
    <row r="396" spans="31:55" x14ac:dyDescent="0.2">
      <c r="AE396" s="54">
        <f t="shared" si="64"/>
        <v>383</v>
      </c>
      <c r="AF396" s="54">
        <f>S_binomial[[#This Row],[Indeks (base 0)]]+1</f>
        <v>384</v>
      </c>
      <c r="AG396" s="99">
        <f t="shared" si="65"/>
        <v>4</v>
      </c>
      <c r="AH396" s="99">
        <f>IF(MOD(S_binomial[[#This Row],[Indeks (base 0)]],AF$7)=0,NA(),_xlfn.BINOM.DIST(S_binomial[[#This Row],[X base]],E$5,E$6,FALSE))</f>
        <v>0.16082039904000001</v>
      </c>
      <c r="AI396" s="99" t="b">
        <f>S_binomial[[#This Row],[X base]]&lt;AF$5</f>
        <v>1</v>
      </c>
      <c r="AJ396" s="99" t="b">
        <f>S_binomial[[#This Row],[X base]]=AF$5</f>
        <v>0</v>
      </c>
      <c r="AK396" s="99" t="b">
        <f>S_binomial[[#This Row],[X base]]&gt;AF$5</f>
        <v>0</v>
      </c>
      <c r="AL396" s="99">
        <f>IF(S_binomial[[#This Row],[Mindre end]],S_binomial[[#This Row],[Binomialfordeling]],NA())</f>
        <v>0.16082039904000001</v>
      </c>
      <c r="AM396" s="99" t="e">
        <f>IF(S_binomial[[#This Row],[Lig med]],S_binomial[[#This Row],[Binomialfordeling]],NA())</f>
        <v>#N/A</v>
      </c>
      <c r="AN396" s="99" t="e">
        <f>IF(S_binomial[[#This Row],[Større end]],S_binomial[[#This Row],[Binomialfordeling]],NA())</f>
        <v>#N/A</v>
      </c>
      <c r="AO396" s="85" t="str">
        <f>_xlfn.IFNA(IF(MOD(S_binomial[[#This Row],[Indeks (base 0)]],AF$7)=ROUNDDOWN(AF$7/2,0),S_binomial[[#This Row],[X base]],""),"")</f>
        <v/>
      </c>
      <c r="AP396" s="99" t="str">
        <f t="shared" si="66"/>
        <v xml:space="preserve"> </v>
      </c>
      <c r="AR396" s="54">
        <f t="shared" si="61"/>
        <v>383</v>
      </c>
      <c r="AS396" s="54">
        <f>S_normal27[[#This Row],[Indeks (base 0)]]+1</f>
        <v>384</v>
      </c>
      <c r="AT396" s="54">
        <f t="shared" si="63"/>
        <v>5</v>
      </c>
      <c r="AU396" s="54">
        <f>IF(MOD(S_normal27[[#This Row],[Indeks (base 0)]],AS$8)=0,NA(),_xlfn.POISSON.DIST(S_normal27[[#This Row],[X base]],$H$5,FALSE))</f>
        <v>0.10081881344492449</v>
      </c>
      <c r="AV396" s="99" t="b">
        <f>S_normal27[[#This Row],[X base]]&lt;AS$5</f>
        <v>0</v>
      </c>
      <c r="AW396" s="99" t="b">
        <f>S_normal27[[#This Row],[X base]]=AS$5</f>
        <v>0</v>
      </c>
      <c r="AX396" s="99" t="b">
        <f>S_normal27[[#This Row],[X base]]&gt;AS$5</f>
        <v>1</v>
      </c>
      <c r="AY396" s="99" t="e">
        <f>IF(S_normal27[[#This Row],[Mindre end]],S_normal27[[#This Row],[Poissonfordeling]],NA())</f>
        <v>#N/A</v>
      </c>
      <c r="AZ396" s="99" t="e">
        <f>IF(S_normal27[[#This Row],[Lig med]],S_normal27[[#This Row],[Poissonfordeling]],NA())</f>
        <v>#N/A</v>
      </c>
      <c r="BA396" s="99">
        <f>IF(S_normal27[[#This Row],[Større end]],S_normal27[[#This Row],[Poissonfordeling]],NA())</f>
        <v>0.10081881344492449</v>
      </c>
      <c r="BB396" s="85" t="str">
        <f>_xlfn.IFNA(IF(MOD(S_normal27[[#This Row],[Indeks (base 0)]],AS$8)=ROUNDDOWN(AS$8/2,0),S_normal27[[#This Row],[X base]],""),"")</f>
        <v/>
      </c>
      <c r="BC396" s="99" t="str">
        <f t="shared" si="62"/>
        <v xml:space="preserve"> </v>
      </c>
    </row>
    <row r="397" spans="31:55" x14ac:dyDescent="0.2">
      <c r="AE397" s="54">
        <f t="shared" si="64"/>
        <v>384</v>
      </c>
      <c r="AF397" s="54">
        <f>S_binomial[[#This Row],[Indeks (base 0)]]+1</f>
        <v>385</v>
      </c>
      <c r="AG397" s="99">
        <f t="shared" si="65"/>
        <v>4</v>
      </c>
      <c r="AH397" s="99">
        <f>IF(MOD(S_binomial[[#This Row],[Indeks (base 0)]],AF$7)=0,NA(),_xlfn.BINOM.DIST(S_binomial[[#This Row],[X base]],E$5,E$6,FALSE))</f>
        <v>0.16082039904000001</v>
      </c>
      <c r="AI397" s="99" t="b">
        <f>S_binomial[[#This Row],[X base]]&lt;AF$5</f>
        <v>1</v>
      </c>
      <c r="AJ397" s="99" t="b">
        <f>S_binomial[[#This Row],[X base]]=AF$5</f>
        <v>0</v>
      </c>
      <c r="AK397" s="99" t="b">
        <f>S_binomial[[#This Row],[X base]]&gt;AF$5</f>
        <v>0</v>
      </c>
      <c r="AL397" s="99">
        <f>IF(S_binomial[[#This Row],[Mindre end]],S_binomial[[#This Row],[Binomialfordeling]],NA())</f>
        <v>0.16082039904000001</v>
      </c>
      <c r="AM397" s="99" t="e">
        <f>IF(S_binomial[[#This Row],[Lig med]],S_binomial[[#This Row],[Binomialfordeling]],NA())</f>
        <v>#N/A</v>
      </c>
      <c r="AN397" s="99" t="e">
        <f>IF(S_binomial[[#This Row],[Større end]],S_binomial[[#This Row],[Binomialfordeling]],NA())</f>
        <v>#N/A</v>
      </c>
      <c r="AO397" s="85" t="str">
        <f>_xlfn.IFNA(IF(MOD(S_binomial[[#This Row],[Indeks (base 0)]],AF$7)=ROUNDDOWN(AF$7/2,0),S_binomial[[#This Row],[X base]],""),"")</f>
        <v/>
      </c>
      <c r="AP397" s="99" t="str">
        <f t="shared" si="66"/>
        <v xml:space="preserve"> </v>
      </c>
      <c r="AR397" s="54">
        <f t="shared" ref="AR397:AR460" si="67">ROW(AR397)-ROW(AR$13)</f>
        <v>384</v>
      </c>
      <c r="AS397" s="54">
        <f>S_normal27[[#This Row],[Indeks (base 0)]]+1</f>
        <v>385</v>
      </c>
      <c r="AT397" s="54">
        <f t="shared" si="63"/>
        <v>5</v>
      </c>
      <c r="AU397" s="54">
        <f>IF(MOD(S_normal27[[#This Row],[Indeks (base 0)]],AS$8)=0,NA(),_xlfn.POISSON.DIST(S_normal27[[#This Row],[X base]],$H$5,FALSE))</f>
        <v>0.10081881344492449</v>
      </c>
      <c r="AV397" s="99" t="b">
        <f>S_normal27[[#This Row],[X base]]&lt;AS$5</f>
        <v>0</v>
      </c>
      <c r="AW397" s="99" t="b">
        <f>S_normal27[[#This Row],[X base]]=AS$5</f>
        <v>0</v>
      </c>
      <c r="AX397" s="99" t="b">
        <f>S_normal27[[#This Row],[X base]]&gt;AS$5</f>
        <v>1</v>
      </c>
      <c r="AY397" s="99" t="e">
        <f>IF(S_normal27[[#This Row],[Mindre end]],S_normal27[[#This Row],[Poissonfordeling]],NA())</f>
        <v>#N/A</v>
      </c>
      <c r="AZ397" s="99" t="e">
        <f>IF(S_normal27[[#This Row],[Lig med]],S_normal27[[#This Row],[Poissonfordeling]],NA())</f>
        <v>#N/A</v>
      </c>
      <c r="BA397" s="99">
        <f>IF(S_normal27[[#This Row],[Større end]],S_normal27[[#This Row],[Poissonfordeling]],NA())</f>
        <v>0.10081881344492449</v>
      </c>
      <c r="BB397" s="85" t="str">
        <f>_xlfn.IFNA(IF(MOD(S_normal27[[#This Row],[Indeks (base 0)]],AS$8)=ROUNDDOWN(AS$8/2,0),S_normal27[[#This Row],[X base]],""),"")</f>
        <v/>
      </c>
      <c r="BC397" s="99" t="str">
        <f t="shared" ref="BC397:BC460" si="68">_xlfn.IFNA(_xlfn.SWITCH(AS397,BA$7,BA$4,BA$8,BA$5,BA$9,BA$6," ")," ")</f>
        <v xml:space="preserve"> </v>
      </c>
    </row>
    <row r="398" spans="31:55" x14ac:dyDescent="0.2">
      <c r="AE398" s="54">
        <f t="shared" si="64"/>
        <v>385</v>
      </c>
      <c r="AF398" s="54">
        <f>S_binomial[[#This Row],[Indeks (base 0)]]+1</f>
        <v>386</v>
      </c>
      <c r="AG398" s="99">
        <f t="shared" si="65"/>
        <v>4</v>
      </c>
      <c r="AH398" s="99">
        <f>IF(MOD(S_binomial[[#This Row],[Indeks (base 0)]],AF$7)=0,NA(),_xlfn.BINOM.DIST(S_binomial[[#This Row],[X base]],E$5,E$6,FALSE))</f>
        <v>0.16082039904000001</v>
      </c>
      <c r="AI398" s="99" t="b">
        <f>S_binomial[[#This Row],[X base]]&lt;AF$5</f>
        <v>1</v>
      </c>
      <c r="AJ398" s="99" t="b">
        <f>S_binomial[[#This Row],[X base]]=AF$5</f>
        <v>0</v>
      </c>
      <c r="AK398" s="99" t="b">
        <f>S_binomial[[#This Row],[X base]]&gt;AF$5</f>
        <v>0</v>
      </c>
      <c r="AL398" s="99">
        <f>IF(S_binomial[[#This Row],[Mindre end]],S_binomial[[#This Row],[Binomialfordeling]],NA())</f>
        <v>0.16082039904000001</v>
      </c>
      <c r="AM398" s="99" t="e">
        <f>IF(S_binomial[[#This Row],[Lig med]],S_binomial[[#This Row],[Binomialfordeling]],NA())</f>
        <v>#N/A</v>
      </c>
      <c r="AN398" s="99" t="e">
        <f>IF(S_binomial[[#This Row],[Større end]],S_binomial[[#This Row],[Binomialfordeling]],NA())</f>
        <v>#N/A</v>
      </c>
      <c r="AO398" s="85" t="str">
        <f>_xlfn.IFNA(IF(MOD(S_binomial[[#This Row],[Indeks (base 0)]],AF$7)=ROUNDDOWN(AF$7/2,0),S_binomial[[#This Row],[X base]],""),"")</f>
        <v/>
      </c>
      <c r="AP398" s="99" t="str">
        <f t="shared" si="66"/>
        <v xml:space="preserve"> </v>
      </c>
      <c r="AR398" s="54">
        <f t="shared" si="67"/>
        <v>385</v>
      </c>
      <c r="AS398" s="54">
        <f>S_normal27[[#This Row],[Indeks (base 0)]]+1</f>
        <v>386</v>
      </c>
      <c r="AT398" s="54">
        <f t="shared" ref="AT398:AT461" si="69">IF(AR398&lt;AS$9,ROUNDDOWN(AR398/AS$8,0),NA())</f>
        <v>5</v>
      </c>
      <c r="AU398" s="54">
        <f>IF(MOD(S_normal27[[#This Row],[Indeks (base 0)]],AS$8)=0,NA(),_xlfn.POISSON.DIST(S_normal27[[#This Row],[X base]],$H$5,FALSE))</f>
        <v>0.10081881344492449</v>
      </c>
      <c r="AV398" s="99" t="b">
        <f>S_normal27[[#This Row],[X base]]&lt;AS$5</f>
        <v>0</v>
      </c>
      <c r="AW398" s="99" t="b">
        <f>S_normal27[[#This Row],[X base]]=AS$5</f>
        <v>0</v>
      </c>
      <c r="AX398" s="99" t="b">
        <f>S_normal27[[#This Row],[X base]]&gt;AS$5</f>
        <v>1</v>
      </c>
      <c r="AY398" s="99" t="e">
        <f>IF(S_normal27[[#This Row],[Mindre end]],S_normal27[[#This Row],[Poissonfordeling]],NA())</f>
        <v>#N/A</v>
      </c>
      <c r="AZ398" s="99" t="e">
        <f>IF(S_normal27[[#This Row],[Lig med]],S_normal27[[#This Row],[Poissonfordeling]],NA())</f>
        <v>#N/A</v>
      </c>
      <c r="BA398" s="99">
        <f>IF(S_normal27[[#This Row],[Større end]],S_normal27[[#This Row],[Poissonfordeling]],NA())</f>
        <v>0.10081881344492449</v>
      </c>
      <c r="BB398" s="85" t="str">
        <f>_xlfn.IFNA(IF(MOD(S_normal27[[#This Row],[Indeks (base 0)]],AS$8)=ROUNDDOWN(AS$8/2,0),S_normal27[[#This Row],[X base]],""),"")</f>
        <v/>
      </c>
      <c r="BC398" s="99" t="str">
        <f t="shared" si="68"/>
        <v xml:space="preserve"> </v>
      </c>
    </row>
    <row r="399" spans="31:55" x14ac:dyDescent="0.2">
      <c r="AE399" s="54">
        <f t="shared" si="64"/>
        <v>386</v>
      </c>
      <c r="AF399" s="54">
        <f>S_binomial[[#This Row],[Indeks (base 0)]]+1</f>
        <v>387</v>
      </c>
      <c r="AG399" s="99">
        <f t="shared" si="65"/>
        <v>4</v>
      </c>
      <c r="AH399" s="99">
        <f>IF(MOD(S_binomial[[#This Row],[Indeks (base 0)]],AF$7)=0,NA(),_xlfn.BINOM.DIST(S_binomial[[#This Row],[X base]],E$5,E$6,FALSE))</f>
        <v>0.16082039904000001</v>
      </c>
      <c r="AI399" s="99" t="b">
        <f>S_binomial[[#This Row],[X base]]&lt;AF$5</f>
        <v>1</v>
      </c>
      <c r="AJ399" s="99" t="b">
        <f>S_binomial[[#This Row],[X base]]=AF$5</f>
        <v>0</v>
      </c>
      <c r="AK399" s="99" t="b">
        <f>S_binomial[[#This Row],[X base]]&gt;AF$5</f>
        <v>0</v>
      </c>
      <c r="AL399" s="99">
        <f>IF(S_binomial[[#This Row],[Mindre end]],S_binomial[[#This Row],[Binomialfordeling]],NA())</f>
        <v>0.16082039904000001</v>
      </c>
      <c r="AM399" s="99" t="e">
        <f>IF(S_binomial[[#This Row],[Lig med]],S_binomial[[#This Row],[Binomialfordeling]],NA())</f>
        <v>#N/A</v>
      </c>
      <c r="AN399" s="99" t="e">
        <f>IF(S_binomial[[#This Row],[Større end]],S_binomial[[#This Row],[Binomialfordeling]],NA())</f>
        <v>#N/A</v>
      </c>
      <c r="AO399" s="85" t="str">
        <f>_xlfn.IFNA(IF(MOD(S_binomial[[#This Row],[Indeks (base 0)]],AF$7)=ROUNDDOWN(AF$7/2,0),S_binomial[[#This Row],[X base]],""),"")</f>
        <v/>
      </c>
      <c r="AP399" s="99" t="str">
        <f t="shared" si="66"/>
        <v xml:space="preserve"> </v>
      </c>
      <c r="AR399" s="54">
        <f t="shared" si="67"/>
        <v>386</v>
      </c>
      <c r="AS399" s="54">
        <f>S_normal27[[#This Row],[Indeks (base 0)]]+1</f>
        <v>387</v>
      </c>
      <c r="AT399" s="54">
        <f t="shared" si="69"/>
        <v>5</v>
      </c>
      <c r="AU399" s="54">
        <f>IF(MOD(S_normal27[[#This Row],[Indeks (base 0)]],AS$8)=0,NA(),_xlfn.POISSON.DIST(S_normal27[[#This Row],[X base]],$H$5,FALSE))</f>
        <v>0.10081881344492449</v>
      </c>
      <c r="AV399" s="99" t="b">
        <f>S_normal27[[#This Row],[X base]]&lt;AS$5</f>
        <v>0</v>
      </c>
      <c r="AW399" s="99" t="b">
        <f>S_normal27[[#This Row],[X base]]=AS$5</f>
        <v>0</v>
      </c>
      <c r="AX399" s="99" t="b">
        <f>S_normal27[[#This Row],[X base]]&gt;AS$5</f>
        <v>1</v>
      </c>
      <c r="AY399" s="99" t="e">
        <f>IF(S_normal27[[#This Row],[Mindre end]],S_normal27[[#This Row],[Poissonfordeling]],NA())</f>
        <v>#N/A</v>
      </c>
      <c r="AZ399" s="99" t="e">
        <f>IF(S_normal27[[#This Row],[Lig med]],S_normal27[[#This Row],[Poissonfordeling]],NA())</f>
        <v>#N/A</v>
      </c>
      <c r="BA399" s="99">
        <f>IF(S_normal27[[#This Row],[Større end]],S_normal27[[#This Row],[Poissonfordeling]],NA())</f>
        <v>0.10081881344492449</v>
      </c>
      <c r="BB399" s="85" t="str">
        <f>_xlfn.IFNA(IF(MOD(S_normal27[[#This Row],[Indeks (base 0)]],AS$8)=ROUNDDOWN(AS$8/2,0),S_normal27[[#This Row],[X base]],""),"")</f>
        <v/>
      </c>
      <c r="BC399" s="99" t="str">
        <f t="shared" si="68"/>
        <v xml:space="preserve"> </v>
      </c>
    </row>
    <row r="400" spans="31:55" x14ac:dyDescent="0.2">
      <c r="AE400" s="54">
        <f t="shared" ref="AE400:AE463" si="70">ROW(AE400)-ROW(AE$13)</f>
        <v>387</v>
      </c>
      <c r="AF400" s="54">
        <f>S_binomial[[#This Row],[Indeks (base 0)]]+1</f>
        <v>388</v>
      </c>
      <c r="AG400" s="99">
        <f t="shared" ref="AG400:AG463" si="71">IF(AE400&lt;AF$8,ROUNDDOWN(AE400/AF$7,0),NA())</f>
        <v>4</v>
      </c>
      <c r="AH400" s="99">
        <f>IF(MOD(S_binomial[[#This Row],[Indeks (base 0)]],AF$7)=0,NA(),_xlfn.BINOM.DIST(S_binomial[[#This Row],[X base]],E$5,E$6,FALSE))</f>
        <v>0.16082039904000001</v>
      </c>
      <c r="AI400" s="99" t="b">
        <f>S_binomial[[#This Row],[X base]]&lt;AF$5</f>
        <v>1</v>
      </c>
      <c r="AJ400" s="99" t="b">
        <f>S_binomial[[#This Row],[X base]]=AF$5</f>
        <v>0</v>
      </c>
      <c r="AK400" s="99" t="b">
        <f>S_binomial[[#This Row],[X base]]&gt;AF$5</f>
        <v>0</v>
      </c>
      <c r="AL400" s="99">
        <f>IF(S_binomial[[#This Row],[Mindre end]],S_binomial[[#This Row],[Binomialfordeling]],NA())</f>
        <v>0.16082039904000001</v>
      </c>
      <c r="AM400" s="99" t="e">
        <f>IF(S_binomial[[#This Row],[Lig med]],S_binomial[[#This Row],[Binomialfordeling]],NA())</f>
        <v>#N/A</v>
      </c>
      <c r="AN400" s="99" t="e">
        <f>IF(S_binomial[[#This Row],[Større end]],S_binomial[[#This Row],[Binomialfordeling]],NA())</f>
        <v>#N/A</v>
      </c>
      <c r="AO400" s="85" t="str">
        <f>_xlfn.IFNA(IF(MOD(S_binomial[[#This Row],[Indeks (base 0)]],AF$7)=ROUNDDOWN(AF$7/2,0),S_binomial[[#This Row],[X base]],""),"")</f>
        <v/>
      </c>
      <c r="AP400" s="99" t="str">
        <f t="shared" ref="AP400:AP463" si="72">_xlfn.IFNA(_xlfn.SWITCH(AF400,AN$7,AN$4,AN$8,AN$5,AN$9,AN$6," ")," ")</f>
        <v xml:space="preserve"> </v>
      </c>
      <c r="AR400" s="54">
        <f t="shared" si="67"/>
        <v>387</v>
      </c>
      <c r="AS400" s="54">
        <f>S_normal27[[#This Row],[Indeks (base 0)]]+1</f>
        <v>388</v>
      </c>
      <c r="AT400" s="54">
        <f t="shared" si="69"/>
        <v>5</v>
      </c>
      <c r="AU400" s="54">
        <f>IF(MOD(S_normal27[[#This Row],[Indeks (base 0)]],AS$8)=0,NA(),_xlfn.POISSON.DIST(S_normal27[[#This Row],[X base]],$H$5,FALSE))</f>
        <v>0.10081881344492449</v>
      </c>
      <c r="AV400" s="99" t="b">
        <f>S_normal27[[#This Row],[X base]]&lt;AS$5</f>
        <v>0</v>
      </c>
      <c r="AW400" s="99" t="b">
        <f>S_normal27[[#This Row],[X base]]=AS$5</f>
        <v>0</v>
      </c>
      <c r="AX400" s="99" t="b">
        <f>S_normal27[[#This Row],[X base]]&gt;AS$5</f>
        <v>1</v>
      </c>
      <c r="AY400" s="99" t="e">
        <f>IF(S_normal27[[#This Row],[Mindre end]],S_normal27[[#This Row],[Poissonfordeling]],NA())</f>
        <v>#N/A</v>
      </c>
      <c r="AZ400" s="99" t="e">
        <f>IF(S_normal27[[#This Row],[Lig med]],S_normal27[[#This Row],[Poissonfordeling]],NA())</f>
        <v>#N/A</v>
      </c>
      <c r="BA400" s="99">
        <f>IF(S_normal27[[#This Row],[Større end]],S_normal27[[#This Row],[Poissonfordeling]],NA())</f>
        <v>0.10081881344492449</v>
      </c>
      <c r="BB400" s="85" t="str">
        <f>_xlfn.IFNA(IF(MOD(S_normal27[[#This Row],[Indeks (base 0)]],AS$8)=ROUNDDOWN(AS$8/2,0),S_normal27[[#This Row],[X base]],""),"")</f>
        <v/>
      </c>
      <c r="BC400" s="99" t="str">
        <f t="shared" si="68"/>
        <v xml:space="preserve"> </v>
      </c>
    </row>
    <row r="401" spans="31:55" x14ac:dyDescent="0.2">
      <c r="AE401" s="54">
        <f t="shared" si="70"/>
        <v>388</v>
      </c>
      <c r="AF401" s="54">
        <f>S_binomial[[#This Row],[Indeks (base 0)]]+1</f>
        <v>389</v>
      </c>
      <c r="AG401" s="99">
        <f t="shared" si="71"/>
        <v>4</v>
      </c>
      <c r="AH401" s="99">
        <f>IF(MOD(S_binomial[[#This Row],[Indeks (base 0)]],AF$7)=0,NA(),_xlfn.BINOM.DIST(S_binomial[[#This Row],[X base]],E$5,E$6,FALSE))</f>
        <v>0.16082039904000001</v>
      </c>
      <c r="AI401" s="99" t="b">
        <f>S_binomial[[#This Row],[X base]]&lt;AF$5</f>
        <v>1</v>
      </c>
      <c r="AJ401" s="99" t="b">
        <f>S_binomial[[#This Row],[X base]]=AF$5</f>
        <v>0</v>
      </c>
      <c r="AK401" s="99" t="b">
        <f>S_binomial[[#This Row],[X base]]&gt;AF$5</f>
        <v>0</v>
      </c>
      <c r="AL401" s="99">
        <f>IF(S_binomial[[#This Row],[Mindre end]],S_binomial[[#This Row],[Binomialfordeling]],NA())</f>
        <v>0.16082039904000001</v>
      </c>
      <c r="AM401" s="99" t="e">
        <f>IF(S_binomial[[#This Row],[Lig med]],S_binomial[[#This Row],[Binomialfordeling]],NA())</f>
        <v>#N/A</v>
      </c>
      <c r="AN401" s="99" t="e">
        <f>IF(S_binomial[[#This Row],[Større end]],S_binomial[[#This Row],[Binomialfordeling]],NA())</f>
        <v>#N/A</v>
      </c>
      <c r="AO401" s="85" t="str">
        <f>_xlfn.IFNA(IF(MOD(S_binomial[[#This Row],[Indeks (base 0)]],AF$7)=ROUNDDOWN(AF$7/2,0),S_binomial[[#This Row],[X base]],""),"")</f>
        <v/>
      </c>
      <c r="AP401" s="99" t="str">
        <f t="shared" si="72"/>
        <v xml:space="preserve"> </v>
      </c>
      <c r="AR401" s="54">
        <f t="shared" si="67"/>
        <v>388</v>
      </c>
      <c r="AS401" s="54">
        <f>S_normal27[[#This Row],[Indeks (base 0)]]+1</f>
        <v>389</v>
      </c>
      <c r="AT401" s="54">
        <f t="shared" si="69"/>
        <v>5</v>
      </c>
      <c r="AU401" s="54">
        <f>IF(MOD(S_normal27[[#This Row],[Indeks (base 0)]],AS$8)=0,NA(),_xlfn.POISSON.DIST(S_normal27[[#This Row],[X base]],$H$5,FALSE))</f>
        <v>0.10081881344492449</v>
      </c>
      <c r="AV401" s="99" t="b">
        <f>S_normal27[[#This Row],[X base]]&lt;AS$5</f>
        <v>0</v>
      </c>
      <c r="AW401" s="99" t="b">
        <f>S_normal27[[#This Row],[X base]]=AS$5</f>
        <v>0</v>
      </c>
      <c r="AX401" s="99" t="b">
        <f>S_normal27[[#This Row],[X base]]&gt;AS$5</f>
        <v>1</v>
      </c>
      <c r="AY401" s="99" t="e">
        <f>IF(S_normal27[[#This Row],[Mindre end]],S_normal27[[#This Row],[Poissonfordeling]],NA())</f>
        <v>#N/A</v>
      </c>
      <c r="AZ401" s="99" t="e">
        <f>IF(S_normal27[[#This Row],[Lig med]],S_normal27[[#This Row],[Poissonfordeling]],NA())</f>
        <v>#N/A</v>
      </c>
      <c r="BA401" s="99">
        <f>IF(S_normal27[[#This Row],[Større end]],S_normal27[[#This Row],[Poissonfordeling]],NA())</f>
        <v>0.10081881344492449</v>
      </c>
      <c r="BB401" s="85" t="str">
        <f>_xlfn.IFNA(IF(MOD(S_normal27[[#This Row],[Indeks (base 0)]],AS$8)=ROUNDDOWN(AS$8/2,0),S_normal27[[#This Row],[X base]],""),"")</f>
        <v/>
      </c>
      <c r="BC401" s="99" t="str">
        <f t="shared" si="68"/>
        <v xml:space="preserve"> </v>
      </c>
    </row>
    <row r="402" spans="31:55" x14ac:dyDescent="0.2">
      <c r="AE402" s="54">
        <f t="shared" si="70"/>
        <v>389</v>
      </c>
      <c r="AF402" s="54">
        <f>S_binomial[[#This Row],[Indeks (base 0)]]+1</f>
        <v>390</v>
      </c>
      <c r="AG402" s="99">
        <f t="shared" si="71"/>
        <v>4</v>
      </c>
      <c r="AH402" s="99">
        <f>IF(MOD(S_binomial[[#This Row],[Indeks (base 0)]],AF$7)=0,NA(),_xlfn.BINOM.DIST(S_binomial[[#This Row],[X base]],E$5,E$6,FALSE))</f>
        <v>0.16082039904000001</v>
      </c>
      <c r="AI402" s="99" t="b">
        <f>S_binomial[[#This Row],[X base]]&lt;AF$5</f>
        <v>1</v>
      </c>
      <c r="AJ402" s="99" t="b">
        <f>S_binomial[[#This Row],[X base]]=AF$5</f>
        <v>0</v>
      </c>
      <c r="AK402" s="99" t="b">
        <f>S_binomial[[#This Row],[X base]]&gt;AF$5</f>
        <v>0</v>
      </c>
      <c r="AL402" s="99">
        <f>IF(S_binomial[[#This Row],[Mindre end]],S_binomial[[#This Row],[Binomialfordeling]],NA())</f>
        <v>0.16082039904000001</v>
      </c>
      <c r="AM402" s="99" t="e">
        <f>IF(S_binomial[[#This Row],[Lig med]],S_binomial[[#This Row],[Binomialfordeling]],NA())</f>
        <v>#N/A</v>
      </c>
      <c r="AN402" s="99" t="e">
        <f>IF(S_binomial[[#This Row],[Større end]],S_binomial[[#This Row],[Binomialfordeling]],NA())</f>
        <v>#N/A</v>
      </c>
      <c r="AO402" s="85" t="str">
        <f>_xlfn.IFNA(IF(MOD(S_binomial[[#This Row],[Indeks (base 0)]],AF$7)=ROUNDDOWN(AF$7/2,0),S_binomial[[#This Row],[X base]],""),"")</f>
        <v/>
      </c>
      <c r="AP402" s="99" t="str">
        <f t="shared" si="72"/>
        <v xml:space="preserve"> </v>
      </c>
      <c r="AR402" s="54">
        <f t="shared" si="67"/>
        <v>389</v>
      </c>
      <c r="AS402" s="54">
        <f>S_normal27[[#This Row],[Indeks (base 0)]]+1</f>
        <v>390</v>
      </c>
      <c r="AT402" s="54">
        <f t="shared" si="69"/>
        <v>5</v>
      </c>
      <c r="AU402" s="54">
        <f>IF(MOD(S_normal27[[#This Row],[Indeks (base 0)]],AS$8)=0,NA(),_xlfn.POISSON.DIST(S_normal27[[#This Row],[X base]],$H$5,FALSE))</f>
        <v>0.10081881344492449</v>
      </c>
      <c r="AV402" s="99" t="b">
        <f>S_normal27[[#This Row],[X base]]&lt;AS$5</f>
        <v>0</v>
      </c>
      <c r="AW402" s="99" t="b">
        <f>S_normal27[[#This Row],[X base]]=AS$5</f>
        <v>0</v>
      </c>
      <c r="AX402" s="99" t="b">
        <f>S_normal27[[#This Row],[X base]]&gt;AS$5</f>
        <v>1</v>
      </c>
      <c r="AY402" s="99" t="e">
        <f>IF(S_normal27[[#This Row],[Mindre end]],S_normal27[[#This Row],[Poissonfordeling]],NA())</f>
        <v>#N/A</v>
      </c>
      <c r="AZ402" s="99" t="e">
        <f>IF(S_normal27[[#This Row],[Lig med]],S_normal27[[#This Row],[Poissonfordeling]],NA())</f>
        <v>#N/A</v>
      </c>
      <c r="BA402" s="99">
        <f>IF(S_normal27[[#This Row],[Større end]],S_normal27[[#This Row],[Poissonfordeling]],NA())</f>
        <v>0.10081881344492449</v>
      </c>
      <c r="BB402" s="85" t="str">
        <f>_xlfn.IFNA(IF(MOD(S_normal27[[#This Row],[Indeks (base 0)]],AS$8)=ROUNDDOWN(AS$8/2,0),S_normal27[[#This Row],[X base]],""),"")</f>
        <v/>
      </c>
      <c r="BC402" s="99" t="str">
        <f t="shared" si="68"/>
        <v xml:space="preserve"> </v>
      </c>
    </row>
    <row r="403" spans="31:55" x14ac:dyDescent="0.2">
      <c r="AE403" s="54">
        <f t="shared" si="70"/>
        <v>390</v>
      </c>
      <c r="AF403" s="54">
        <f>S_binomial[[#This Row],[Indeks (base 0)]]+1</f>
        <v>391</v>
      </c>
      <c r="AG403" s="99">
        <f t="shared" si="71"/>
        <v>4</v>
      </c>
      <c r="AH403" s="99">
        <f>IF(MOD(S_binomial[[#This Row],[Indeks (base 0)]],AF$7)=0,NA(),_xlfn.BINOM.DIST(S_binomial[[#This Row],[X base]],E$5,E$6,FALSE))</f>
        <v>0.16082039904000001</v>
      </c>
      <c r="AI403" s="99" t="b">
        <f>S_binomial[[#This Row],[X base]]&lt;AF$5</f>
        <v>1</v>
      </c>
      <c r="AJ403" s="99" t="b">
        <f>S_binomial[[#This Row],[X base]]=AF$5</f>
        <v>0</v>
      </c>
      <c r="AK403" s="99" t="b">
        <f>S_binomial[[#This Row],[X base]]&gt;AF$5</f>
        <v>0</v>
      </c>
      <c r="AL403" s="99">
        <f>IF(S_binomial[[#This Row],[Mindre end]],S_binomial[[#This Row],[Binomialfordeling]],NA())</f>
        <v>0.16082039904000001</v>
      </c>
      <c r="AM403" s="99" t="e">
        <f>IF(S_binomial[[#This Row],[Lig med]],S_binomial[[#This Row],[Binomialfordeling]],NA())</f>
        <v>#N/A</v>
      </c>
      <c r="AN403" s="99" t="e">
        <f>IF(S_binomial[[#This Row],[Større end]],S_binomial[[#This Row],[Binomialfordeling]],NA())</f>
        <v>#N/A</v>
      </c>
      <c r="AO403" s="85" t="str">
        <f>_xlfn.IFNA(IF(MOD(S_binomial[[#This Row],[Indeks (base 0)]],AF$7)=ROUNDDOWN(AF$7/2,0),S_binomial[[#This Row],[X base]],""),"")</f>
        <v/>
      </c>
      <c r="AP403" s="99" t="str">
        <f t="shared" si="72"/>
        <v xml:space="preserve"> </v>
      </c>
      <c r="AR403" s="54">
        <f t="shared" si="67"/>
        <v>390</v>
      </c>
      <c r="AS403" s="54">
        <f>S_normal27[[#This Row],[Indeks (base 0)]]+1</f>
        <v>391</v>
      </c>
      <c r="AT403" s="54">
        <f t="shared" si="69"/>
        <v>6</v>
      </c>
      <c r="AU403" s="54" t="e">
        <f>IF(MOD(S_normal27[[#This Row],[Indeks (base 0)]],AS$8)=0,NA(),_xlfn.POISSON.DIST(S_normal27[[#This Row],[X base]],$H$5,FALSE))</f>
        <v>#N/A</v>
      </c>
      <c r="AV403" s="99" t="b">
        <f>S_normal27[[#This Row],[X base]]&lt;AS$5</f>
        <v>0</v>
      </c>
      <c r="AW403" s="99" t="b">
        <f>S_normal27[[#This Row],[X base]]=AS$5</f>
        <v>0</v>
      </c>
      <c r="AX403" s="99" t="b">
        <f>S_normal27[[#This Row],[X base]]&gt;AS$5</f>
        <v>1</v>
      </c>
      <c r="AY403" s="99" t="e">
        <f>IF(S_normal27[[#This Row],[Mindre end]],S_normal27[[#This Row],[Poissonfordeling]],NA())</f>
        <v>#N/A</v>
      </c>
      <c r="AZ403" s="99" t="e">
        <f>IF(S_normal27[[#This Row],[Lig med]],S_normal27[[#This Row],[Poissonfordeling]],NA())</f>
        <v>#N/A</v>
      </c>
      <c r="BA403" s="99" t="e">
        <f>IF(S_normal27[[#This Row],[Større end]],S_normal27[[#This Row],[Poissonfordeling]],NA())</f>
        <v>#N/A</v>
      </c>
      <c r="BB403" s="85" t="str">
        <f>_xlfn.IFNA(IF(MOD(S_normal27[[#This Row],[Indeks (base 0)]],AS$8)=ROUNDDOWN(AS$8/2,0),S_normal27[[#This Row],[X base]],""),"")</f>
        <v/>
      </c>
      <c r="BC403" s="99" t="str">
        <f t="shared" si="68"/>
        <v xml:space="preserve"> </v>
      </c>
    </row>
    <row r="404" spans="31:55" x14ac:dyDescent="0.2">
      <c r="AE404" s="54">
        <f t="shared" si="70"/>
        <v>391</v>
      </c>
      <c r="AF404" s="54">
        <f>S_binomial[[#This Row],[Indeks (base 0)]]+1</f>
        <v>392</v>
      </c>
      <c r="AG404" s="99">
        <f t="shared" si="71"/>
        <v>4</v>
      </c>
      <c r="AH404" s="99">
        <f>IF(MOD(S_binomial[[#This Row],[Indeks (base 0)]],AF$7)=0,NA(),_xlfn.BINOM.DIST(S_binomial[[#This Row],[X base]],E$5,E$6,FALSE))</f>
        <v>0.16082039904000001</v>
      </c>
      <c r="AI404" s="99" t="b">
        <f>S_binomial[[#This Row],[X base]]&lt;AF$5</f>
        <v>1</v>
      </c>
      <c r="AJ404" s="99" t="b">
        <f>S_binomial[[#This Row],[X base]]=AF$5</f>
        <v>0</v>
      </c>
      <c r="AK404" s="99" t="b">
        <f>S_binomial[[#This Row],[X base]]&gt;AF$5</f>
        <v>0</v>
      </c>
      <c r="AL404" s="99">
        <f>IF(S_binomial[[#This Row],[Mindre end]],S_binomial[[#This Row],[Binomialfordeling]],NA())</f>
        <v>0.16082039904000001</v>
      </c>
      <c r="AM404" s="99" t="e">
        <f>IF(S_binomial[[#This Row],[Lig med]],S_binomial[[#This Row],[Binomialfordeling]],NA())</f>
        <v>#N/A</v>
      </c>
      <c r="AN404" s="99" t="e">
        <f>IF(S_binomial[[#This Row],[Større end]],S_binomial[[#This Row],[Binomialfordeling]],NA())</f>
        <v>#N/A</v>
      </c>
      <c r="AO404" s="85" t="str">
        <f>_xlfn.IFNA(IF(MOD(S_binomial[[#This Row],[Indeks (base 0)]],AF$7)=ROUNDDOWN(AF$7/2,0),S_binomial[[#This Row],[X base]],""),"")</f>
        <v/>
      </c>
      <c r="AP404" s="99" t="str">
        <f t="shared" si="72"/>
        <v xml:space="preserve"> </v>
      </c>
      <c r="AR404" s="54">
        <f t="shared" si="67"/>
        <v>391</v>
      </c>
      <c r="AS404" s="54">
        <f>S_normal27[[#This Row],[Indeks (base 0)]]+1</f>
        <v>392</v>
      </c>
      <c r="AT404" s="54">
        <f t="shared" si="69"/>
        <v>6</v>
      </c>
      <c r="AU404" s="54">
        <f>IF(MOD(S_normal27[[#This Row],[Indeks (base 0)]],AS$8)=0,NA(),_xlfn.POISSON.DIST(S_normal27[[#This Row],[X base]],$H$5,FALSE))</f>
        <v>5.0409406722462261E-2</v>
      </c>
      <c r="AV404" s="99" t="b">
        <f>S_normal27[[#This Row],[X base]]&lt;AS$5</f>
        <v>0</v>
      </c>
      <c r="AW404" s="99" t="b">
        <f>S_normal27[[#This Row],[X base]]=AS$5</f>
        <v>0</v>
      </c>
      <c r="AX404" s="99" t="b">
        <f>S_normal27[[#This Row],[X base]]&gt;AS$5</f>
        <v>1</v>
      </c>
      <c r="AY404" s="99" t="e">
        <f>IF(S_normal27[[#This Row],[Mindre end]],S_normal27[[#This Row],[Poissonfordeling]],NA())</f>
        <v>#N/A</v>
      </c>
      <c r="AZ404" s="99" t="e">
        <f>IF(S_normal27[[#This Row],[Lig med]],S_normal27[[#This Row],[Poissonfordeling]],NA())</f>
        <v>#N/A</v>
      </c>
      <c r="BA404" s="99">
        <f>IF(S_normal27[[#This Row],[Større end]],S_normal27[[#This Row],[Poissonfordeling]],NA())</f>
        <v>5.0409406722462261E-2</v>
      </c>
      <c r="BB404" s="85" t="str">
        <f>_xlfn.IFNA(IF(MOD(S_normal27[[#This Row],[Indeks (base 0)]],AS$8)=ROUNDDOWN(AS$8/2,0),S_normal27[[#This Row],[X base]],""),"")</f>
        <v/>
      </c>
      <c r="BC404" s="99" t="str">
        <f t="shared" si="68"/>
        <v xml:space="preserve"> </v>
      </c>
    </row>
    <row r="405" spans="31:55" x14ac:dyDescent="0.2">
      <c r="AE405" s="54">
        <f t="shared" si="70"/>
        <v>392</v>
      </c>
      <c r="AF405" s="54">
        <f>S_binomial[[#This Row],[Indeks (base 0)]]+1</f>
        <v>393</v>
      </c>
      <c r="AG405" s="99">
        <f t="shared" si="71"/>
        <v>4</v>
      </c>
      <c r="AH405" s="99">
        <f>IF(MOD(S_binomial[[#This Row],[Indeks (base 0)]],AF$7)=0,NA(),_xlfn.BINOM.DIST(S_binomial[[#This Row],[X base]],E$5,E$6,FALSE))</f>
        <v>0.16082039904000001</v>
      </c>
      <c r="AI405" s="99" t="b">
        <f>S_binomial[[#This Row],[X base]]&lt;AF$5</f>
        <v>1</v>
      </c>
      <c r="AJ405" s="99" t="b">
        <f>S_binomial[[#This Row],[X base]]=AF$5</f>
        <v>0</v>
      </c>
      <c r="AK405" s="99" t="b">
        <f>S_binomial[[#This Row],[X base]]&gt;AF$5</f>
        <v>0</v>
      </c>
      <c r="AL405" s="99">
        <f>IF(S_binomial[[#This Row],[Mindre end]],S_binomial[[#This Row],[Binomialfordeling]],NA())</f>
        <v>0.16082039904000001</v>
      </c>
      <c r="AM405" s="99" t="e">
        <f>IF(S_binomial[[#This Row],[Lig med]],S_binomial[[#This Row],[Binomialfordeling]],NA())</f>
        <v>#N/A</v>
      </c>
      <c r="AN405" s="99" t="e">
        <f>IF(S_binomial[[#This Row],[Større end]],S_binomial[[#This Row],[Binomialfordeling]],NA())</f>
        <v>#N/A</v>
      </c>
      <c r="AO405" s="85" t="str">
        <f>_xlfn.IFNA(IF(MOD(S_binomial[[#This Row],[Indeks (base 0)]],AF$7)=ROUNDDOWN(AF$7/2,0),S_binomial[[#This Row],[X base]],""),"")</f>
        <v/>
      </c>
      <c r="AP405" s="99" t="str">
        <f t="shared" si="72"/>
        <v xml:space="preserve"> </v>
      </c>
      <c r="AR405" s="54">
        <f t="shared" si="67"/>
        <v>392</v>
      </c>
      <c r="AS405" s="54">
        <f>S_normal27[[#This Row],[Indeks (base 0)]]+1</f>
        <v>393</v>
      </c>
      <c r="AT405" s="54">
        <f t="shared" si="69"/>
        <v>6</v>
      </c>
      <c r="AU405" s="54">
        <f>IF(MOD(S_normal27[[#This Row],[Indeks (base 0)]],AS$8)=0,NA(),_xlfn.POISSON.DIST(S_normal27[[#This Row],[X base]],$H$5,FALSE))</f>
        <v>5.0409406722462261E-2</v>
      </c>
      <c r="AV405" s="99" t="b">
        <f>S_normal27[[#This Row],[X base]]&lt;AS$5</f>
        <v>0</v>
      </c>
      <c r="AW405" s="99" t="b">
        <f>S_normal27[[#This Row],[X base]]=AS$5</f>
        <v>0</v>
      </c>
      <c r="AX405" s="99" t="b">
        <f>S_normal27[[#This Row],[X base]]&gt;AS$5</f>
        <v>1</v>
      </c>
      <c r="AY405" s="99" t="e">
        <f>IF(S_normal27[[#This Row],[Mindre end]],S_normal27[[#This Row],[Poissonfordeling]],NA())</f>
        <v>#N/A</v>
      </c>
      <c r="AZ405" s="99" t="e">
        <f>IF(S_normal27[[#This Row],[Lig med]],S_normal27[[#This Row],[Poissonfordeling]],NA())</f>
        <v>#N/A</v>
      </c>
      <c r="BA405" s="99">
        <f>IF(S_normal27[[#This Row],[Større end]],S_normal27[[#This Row],[Poissonfordeling]],NA())</f>
        <v>5.0409406722462261E-2</v>
      </c>
      <c r="BB405" s="85" t="str">
        <f>_xlfn.IFNA(IF(MOD(S_normal27[[#This Row],[Indeks (base 0)]],AS$8)=ROUNDDOWN(AS$8/2,0),S_normal27[[#This Row],[X base]],""),"")</f>
        <v/>
      </c>
      <c r="BC405" s="99" t="str">
        <f t="shared" si="68"/>
        <v xml:space="preserve"> </v>
      </c>
    </row>
    <row r="406" spans="31:55" x14ac:dyDescent="0.2">
      <c r="AE406" s="54">
        <f t="shared" si="70"/>
        <v>393</v>
      </c>
      <c r="AF406" s="54">
        <f>S_binomial[[#This Row],[Indeks (base 0)]]+1</f>
        <v>394</v>
      </c>
      <c r="AG406" s="99">
        <f t="shared" si="71"/>
        <v>4</v>
      </c>
      <c r="AH406" s="99">
        <f>IF(MOD(S_binomial[[#This Row],[Indeks (base 0)]],AF$7)=0,NA(),_xlfn.BINOM.DIST(S_binomial[[#This Row],[X base]],E$5,E$6,FALSE))</f>
        <v>0.16082039904000001</v>
      </c>
      <c r="AI406" s="99" t="b">
        <f>S_binomial[[#This Row],[X base]]&lt;AF$5</f>
        <v>1</v>
      </c>
      <c r="AJ406" s="99" t="b">
        <f>S_binomial[[#This Row],[X base]]=AF$5</f>
        <v>0</v>
      </c>
      <c r="AK406" s="99" t="b">
        <f>S_binomial[[#This Row],[X base]]&gt;AF$5</f>
        <v>0</v>
      </c>
      <c r="AL406" s="99">
        <f>IF(S_binomial[[#This Row],[Mindre end]],S_binomial[[#This Row],[Binomialfordeling]],NA())</f>
        <v>0.16082039904000001</v>
      </c>
      <c r="AM406" s="99" t="e">
        <f>IF(S_binomial[[#This Row],[Lig med]],S_binomial[[#This Row],[Binomialfordeling]],NA())</f>
        <v>#N/A</v>
      </c>
      <c r="AN406" s="99" t="e">
        <f>IF(S_binomial[[#This Row],[Større end]],S_binomial[[#This Row],[Binomialfordeling]],NA())</f>
        <v>#N/A</v>
      </c>
      <c r="AO406" s="85" t="str">
        <f>_xlfn.IFNA(IF(MOD(S_binomial[[#This Row],[Indeks (base 0)]],AF$7)=ROUNDDOWN(AF$7/2,0),S_binomial[[#This Row],[X base]],""),"")</f>
        <v/>
      </c>
      <c r="AP406" s="99" t="str">
        <f t="shared" si="72"/>
        <v xml:space="preserve"> </v>
      </c>
      <c r="AR406" s="54">
        <f t="shared" si="67"/>
        <v>393</v>
      </c>
      <c r="AS406" s="54">
        <f>S_normal27[[#This Row],[Indeks (base 0)]]+1</f>
        <v>394</v>
      </c>
      <c r="AT406" s="54">
        <f t="shared" si="69"/>
        <v>6</v>
      </c>
      <c r="AU406" s="54">
        <f>IF(MOD(S_normal27[[#This Row],[Indeks (base 0)]],AS$8)=0,NA(),_xlfn.POISSON.DIST(S_normal27[[#This Row],[X base]],$H$5,FALSE))</f>
        <v>5.0409406722462261E-2</v>
      </c>
      <c r="AV406" s="99" t="b">
        <f>S_normal27[[#This Row],[X base]]&lt;AS$5</f>
        <v>0</v>
      </c>
      <c r="AW406" s="99" t="b">
        <f>S_normal27[[#This Row],[X base]]=AS$5</f>
        <v>0</v>
      </c>
      <c r="AX406" s="99" t="b">
        <f>S_normal27[[#This Row],[X base]]&gt;AS$5</f>
        <v>1</v>
      </c>
      <c r="AY406" s="99" t="e">
        <f>IF(S_normal27[[#This Row],[Mindre end]],S_normal27[[#This Row],[Poissonfordeling]],NA())</f>
        <v>#N/A</v>
      </c>
      <c r="AZ406" s="99" t="e">
        <f>IF(S_normal27[[#This Row],[Lig med]],S_normal27[[#This Row],[Poissonfordeling]],NA())</f>
        <v>#N/A</v>
      </c>
      <c r="BA406" s="99">
        <f>IF(S_normal27[[#This Row],[Større end]],S_normal27[[#This Row],[Poissonfordeling]],NA())</f>
        <v>5.0409406722462261E-2</v>
      </c>
      <c r="BB406" s="85" t="str">
        <f>_xlfn.IFNA(IF(MOD(S_normal27[[#This Row],[Indeks (base 0)]],AS$8)=ROUNDDOWN(AS$8/2,0),S_normal27[[#This Row],[X base]],""),"")</f>
        <v/>
      </c>
      <c r="BC406" s="99" t="str">
        <f t="shared" si="68"/>
        <v xml:space="preserve"> </v>
      </c>
    </row>
    <row r="407" spans="31:55" x14ac:dyDescent="0.2">
      <c r="AE407" s="54">
        <f t="shared" si="70"/>
        <v>394</v>
      </c>
      <c r="AF407" s="54">
        <f>S_binomial[[#This Row],[Indeks (base 0)]]+1</f>
        <v>395</v>
      </c>
      <c r="AG407" s="99">
        <f t="shared" si="71"/>
        <v>4</v>
      </c>
      <c r="AH407" s="99">
        <f>IF(MOD(S_binomial[[#This Row],[Indeks (base 0)]],AF$7)=0,NA(),_xlfn.BINOM.DIST(S_binomial[[#This Row],[X base]],E$5,E$6,FALSE))</f>
        <v>0.16082039904000001</v>
      </c>
      <c r="AI407" s="99" t="b">
        <f>S_binomial[[#This Row],[X base]]&lt;AF$5</f>
        <v>1</v>
      </c>
      <c r="AJ407" s="99" t="b">
        <f>S_binomial[[#This Row],[X base]]=AF$5</f>
        <v>0</v>
      </c>
      <c r="AK407" s="99" t="b">
        <f>S_binomial[[#This Row],[X base]]&gt;AF$5</f>
        <v>0</v>
      </c>
      <c r="AL407" s="99">
        <f>IF(S_binomial[[#This Row],[Mindre end]],S_binomial[[#This Row],[Binomialfordeling]],NA())</f>
        <v>0.16082039904000001</v>
      </c>
      <c r="AM407" s="99" t="e">
        <f>IF(S_binomial[[#This Row],[Lig med]],S_binomial[[#This Row],[Binomialfordeling]],NA())</f>
        <v>#N/A</v>
      </c>
      <c r="AN407" s="99" t="e">
        <f>IF(S_binomial[[#This Row],[Større end]],S_binomial[[#This Row],[Binomialfordeling]],NA())</f>
        <v>#N/A</v>
      </c>
      <c r="AO407" s="85" t="str">
        <f>_xlfn.IFNA(IF(MOD(S_binomial[[#This Row],[Indeks (base 0)]],AF$7)=ROUNDDOWN(AF$7/2,0),S_binomial[[#This Row],[X base]],""),"")</f>
        <v/>
      </c>
      <c r="AP407" s="99" t="str">
        <f t="shared" si="72"/>
        <v xml:space="preserve"> </v>
      </c>
      <c r="AR407" s="54">
        <f t="shared" si="67"/>
        <v>394</v>
      </c>
      <c r="AS407" s="54">
        <f>S_normal27[[#This Row],[Indeks (base 0)]]+1</f>
        <v>395</v>
      </c>
      <c r="AT407" s="54">
        <f t="shared" si="69"/>
        <v>6</v>
      </c>
      <c r="AU407" s="54">
        <f>IF(MOD(S_normal27[[#This Row],[Indeks (base 0)]],AS$8)=0,NA(),_xlfn.POISSON.DIST(S_normal27[[#This Row],[X base]],$H$5,FALSE))</f>
        <v>5.0409406722462261E-2</v>
      </c>
      <c r="AV407" s="99" t="b">
        <f>S_normal27[[#This Row],[X base]]&lt;AS$5</f>
        <v>0</v>
      </c>
      <c r="AW407" s="99" t="b">
        <f>S_normal27[[#This Row],[X base]]=AS$5</f>
        <v>0</v>
      </c>
      <c r="AX407" s="99" t="b">
        <f>S_normal27[[#This Row],[X base]]&gt;AS$5</f>
        <v>1</v>
      </c>
      <c r="AY407" s="99" t="e">
        <f>IF(S_normal27[[#This Row],[Mindre end]],S_normal27[[#This Row],[Poissonfordeling]],NA())</f>
        <v>#N/A</v>
      </c>
      <c r="AZ407" s="99" t="e">
        <f>IF(S_normal27[[#This Row],[Lig med]],S_normal27[[#This Row],[Poissonfordeling]],NA())</f>
        <v>#N/A</v>
      </c>
      <c r="BA407" s="99">
        <f>IF(S_normal27[[#This Row],[Større end]],S_normal27[[#This Row],[Poissonfordeling]],NA())</f>
        <v>5.0409406722462261E-2</v>
      </c>
      <c r="BB407" s="85" t="str">
        <f>_xlfn.IFNA(IF(MOD(S_normal27[[#This Row],[Indeks (base 0)]],AS$8)=ROUNDDOWN(AS$8/2,0),S_normal27[[#This Row],[X base]],""),"")</f>
        <v/>
      </c>
      <c r="BC407" s="99" t="str">
        <f t="shared" si="68"/>
        <v xml:space="preserve"> </v>
      </c>
    </row>
    <row r="408" spans="31:55" x14ac:dyDescent="0.2">
      <c r="AE408" s="54">
        <f t="shared" si="70"/>
        <v>395</v>
      </c>
      <c r="AF408" s="54">
        <f>S_binomial[[#This Row],[Indeks (base 0)]]+1</f>
        <v>396</v>
      </c>
      <c r="AG408" s="99">
        <f t="shared" si="71"/>
        <v>4</v>
      </c>
      <c r="AH408" s="99">
        <f>IF(MOD(S_binomial[[#This Row],[Indeks (base 0)]],AF$7)=0,NA(),_xlfn.BINOM.DIST(S_binomial[[#This Row],[X base]],E$5,E$6,FALSE))</f>
        <v>0.16082039904000001</v>
      </c>
      <c r="AI408" s="99" t="b">
        <f>S_binomial[[#This Row],[X base]]&lt;AF$5</f>
        <v>1</v>
      </c>
      <c r="AJ408" s="99" t="b">
        <f>S_binomial[[#This Row],[X base]]=AF$5</f>
        <v>0</v>
      </c>
      <c r="AK408" s="99" t="b">
        <f>S_binomial[[#This Row],[X base]]&gt;AF$5</f>
        <v>0</v>
      </c>
      <c r="AL408" s="99">
        <f>IF(S_binomial[[#This Row],[Mindre end]],S_binomial[[#This Row],[Binomialfordeling]],NA())</f>
        <v>0.16082039904000001</v>
      </c>
      <c r="AM408" s="99" t="e">
        <f>IF(S_binomial[[#This Row],[Lig med]],S_binomial[[#This Row],[Binomialfordeling]],NA())</f>
        <v>#N/A</v>
      </c>
      <c r="AN408" s="99" t="e">
        <f>IF(S_binomial[[#This Row],[Større end]],S_binomial[[#This Row],[Binomialfordeling]],NA())</f>
        <v>#N/A</v>
      </c>
      <c r="AO408" s="85" t="str">
        <f>_xlfn.IFNA(IF(MOD(S_binomial[[#This Row],[Indeks (base 0)]],AF$7)=ROUNDDOWN(AF$7/2,0),S_binomial[[#This Row],[X base]],""),"")</f>
        <v/>
      </c>
      <c r="AP408" s="99" t="str">
        <f t="shared" si="72"/>
        <v xml:space="preserve"> </v>
      </c>
      <c r="AR408" s="54">
        <f t="shared" si="67"/>
        <v>395</v>
      </c>
      <c r="AS408" s="54">
        <f>S_normal27[[#This Row],[Indeks (base 0)]]+1</f>
        <v>396</v>
      </c>
      <c r="AT408" s="54">
        <f t="shared" si="69"/>
        <v>6</v>
      </c>
      <c r="AU408" s="54">
        <f>IF(MOD(S_normal27[[#This Row],[Indeks (base 0)]],AS$8)=0,NA(),_xlfn.POISSON.DIST(S_normal27[[#This Row],[X base]],$H$5,FALSE))</f>
        <v>5.0409406722462261E-2</v>
      </c>
      <c r="AV408" s="99" t="b">
        <f>S_normal27[[#This Row],[X base]]&lt;AS$5</f>
        <v>0</v>
      </c>
      <c r="AW408" s="99" t="b">
        <f>S_normal27[[#This Row],[X base]]=AS$5</f>
        <v>0</v>
      </c>
      <c r="AX408" s="99" t="b">
        <f>S_normal27[[#This Row],[X base]]&gt;AS$5</f>
        <v>1</v>
      </c>
      <c r="AY408" s="99" t="e">
        <f>IF(S_normal27[[#This Row],[Mindre end]],S_normal27[[#This Row],[Poissonfordeling]],NA())</f>
        <v>#N/A</v>
      </c>
      <c r="AZ408" s="99" t="e">
        <f>IF(S_normal27[[#This Row],[Lig med]],S_normal27[[#This Row],[Poissonfordeling]],NA())</f>
        <v>#N/A</v>
      </c>
      <c r="BA408" s="99">
        <f>IF(S_normal27[[#This Row],[Større end]],S_normal27[[#This Row],[Poissonfordeling]],NA())</f>
        <v>5.0409406722462261E-2</v>
      </c>
      <c r="BB408" s="85" t="str">
        <f>_xlfn.IFNA(IF(MOD(S_normal27[[#This Row],[Indeks (base 0)]],AS$8)=ROUNDDOWN(AS$8/2,0),S_normal27[[#This Row],[X base]],""),"")</f>
        <v/>
      </c>
      <c r="BC408" s="99" t="str">
        <f t="shared" si="68"/>
        <v xml:space="preserve"> </v>
      </c>
    </row>
    <row r="409" spans="31:55" x14ac:dyDescent="0.2">
      <c r="AE409" s="54">
        <f t="shared" si="70"/>
        <v>396</v>
      </c>
      <c r="AF409" s="54">
        <f>S_binomial[[#This Row],[Indeks (base 0)]]+1</f>
        <v>397</v>
      </c>
      <c r="AG409" s="99">
        <f t="shared" si="71"/>
        <v>4</v>
      </c>
      <c r="AH409" s="99">
        <f>IF(MOD(S_binomial[[#This Row],[Indeks (base 0)]],AF$7)=0,NA(),_xlfn.BINOM.DIST(S_binomial[[#This Row],[X base]],E$5,E$6,FALSE))</f>
        <v>0.16082039904000001</v>
      </c>
      <c r="AI409" s="99" t="b">
        <f>S_binomial[[#This Row],[X base]]&lt;AF$5</f>
        <v>1</v>
      </c>
      <c r="AJ409" s="99" t="b">
        <f>S_binomial[[#This Row],[X base]]=AF$5</f>
        <v>0</v>
      </c>
      <c r="AK409" s="99" t="b">
        <f>S_binomial[[#This Row],[X base]]&gt;AF$5</f>
        <v>0</v>
      </c>
      <c r="AL409" s="99">
        <f>IF(S_binomial[[#This Row],[Mindre end]],S_binomial[[#This Row],[Binomialfordeling]],NA())</f>
        <v>0.16082039904000001</v>
      </c>
      <c r="AM409" s="99" t="e">
        <f>IF(S_binomial[[#This Row],[Lig med]],S_binomial[[#This Row],[Binomialfordeling]],NA())</f>
        <v>#N/A</v>
      </c>
      <c r="AN409" s="99" t="e">
        <f>IF(S_binomial[[#This Row],[Større end]],S_binomial[[#This Row],[Binomialfordeling]],NA())</f>
        <v>#N/A</v>
      </c>
      <c r="AO409" s="85" t="str">
        <f>_xlfn.IFNA(IF(MOD(S_binomial[[#This Row],[Indeks (base 0)]],AF$7)=ROUNDDOWN(AF$7/2,0),S_binomial[[#This Row],[X base]],""),"")</f>
        <v/>
      </c>
      <c r="AP409" s="99" t="str">
        <f t="shared" si="72"/>
        <v xml:space="preserve"> </v>
      </c>
      <c r="AR409" s="54">
        <f t="shared" si="67"/>
        <v>396</v>
      </c>
      <c r="AS409" s="54">
        <f>S_normal27[[#This Row],[Indeks (base 0)]]+1</f>
        <v>397</v>
      </c>
      <c r="AT409" s="54">
        <f t="shared" si="69"/>
        <v>6</v>
      </c>
      <c r="AU409" s="54">
        <f>IF(MOD(S_normal27[[#This Row],[Indeks (base 0)]],AS$8)=0,NA(),_xlfn.POISSON.DIST(S_normal27[[#This Row],[X base]],$H$5,FALSE))</f>
        <v>5.0409406722462261E-2</v>
      </c>
      <c r="AV409" s="99" t="b">
        <f>S_normal27[[#This Row],[X base]]&lt;AS$5</f>
        <v>0</v>
      </c>
      <c r="AW409" s="99" t="b">
        <f>S_normal27[[#This Row],[X base]]=AS$5</f>
        <v>0</v>
      </c>
      <c r="AX409" s="99" t="b">
        <f>S_normal27[[#This Row],[X base]]&gt;AS$5</f>
        <v>1</v>
      </c>
      <c r="AY409" s="99" t="e">
        <f>IF(S_normal27[[#This Row],[Mindre end]],S_normal27[[#This Row],[Poissonfordeling]],NA())</f>
        <v>#N/A</v>
      </c>
      <c r="AZ409" s="99" t="e">
        <f>IF(S_normal27[[#This Row],[Lig med]],S_normal27[[#This Row],[Poissonfordeling]],NA())</f>
        <v>#N/A</v>
      </c>
      <c r="BA409" s="99">
        <f>IF(S_normal27[[#This Row],[Større end]],S_normal27[[#This Row],[Poissonfordeling]],NA())</f>
        <v>5.0409406722462261E-2</v>
      </c>
      <c r="BB409" s="85" t="str">
        <f>_xlfn.IFNA(IF(MOD(S_normal27[[#This Row],[Indeks (base 0)]],AS$8)=ROUNDDOWN(AS$8/2,0),S_normal27[[#This Row],[X base]],""),"")</f>
        <v/>
      </c>
      <c r="BC409" s="99" t="str">
        <f t="shared" si="68"/>
        <v xml:space="preserve"> </v>
      </c>
    </row>
    <row r="410" spans="31:55" x14ac:dyDescent="0.2">
      <c r="AE410" s="54">
        <f t="shared" si="70"/>
        <v>397</v>
      </c>
      <c r="AF410" s="54">
        <f>S_binomial[[#This Row],[Indeks (base 0)]]+1</f>
        <v>398</v>
      </c>
      <c r="AG410" s="99">
        <f t="shared" si="71"/>
        <v>4</v>
      </c>
      <c r="AH410" s="99">
        <f>IF(MOD(S_binomial[[#This Row],[Indeks (base 0)]],AF$7)=0,NA(),_xlfn.BINOM.DIST(S_binomial[[#This Row],[X base]],E$5,E$6,FALSE))</f>
        <v>0.16082039904000001</v>
      </c>
      <c r="AI410" s="99" t="b">
        <f>S_binomial[[#This Row],[X base]]&lt;AF$5</f>
        <v>1</v>
      </c>
      <c r="AJ410" s="99" t="b">
        <f>S_binomial[[#This Row],[X base]]=AF$5</f>
        <v>0</v>
      </c>
      <c r="AK410" s="99" t="b">
        <f>S_binomial[[#This Row],[X base]]&gt;AF$5</f>
        <v>0</v>
      </c>
      <c r="AL410" s="99">
        <f>IF(S_binomial[[#This Row],[Mindre end]],S_binomial[[#This Row],[Binomialfordeling]],NA())</f>
        <v>0.16082039904000001</v>
      </c>
      <c r="AM410" s="99" t="e">
        <f>IF(S_binomial[[#This Row],[Lig med]],S_binomial[[#This Row],[Binomialfordeling]],NA())</f>
        <v>#N/A</v>
      </c>
      <c r="AN410" s="99" t="e">
        <f>IF(S_binomial[[#This Row],[Større end]],S_binomial[[#This Row],[Binomialfordeling]],NA())</f>
        <v>#N/A</v>
      </c>
      <c r="AO410" s="85" t="str">
        <f>_xlfn.IFNA(IF(MOD(S_binomial[[#This Row],[Indeks (base 0)]],AF$7)=ROUNDDOWN(AF$7/2,0),S_binomial[[#This Row],[X base]],""),"")</f>
        <v/>
      </c>
      <c r="AP410" s="99" t="str">
        <f t="shared" si="72"/>
        <v xml:space="preserve"> </v>
      </c>
      <c r="AR410" s="54">
        <f t="shared" si="67"/>
        <v>397</v>
      </c>
      <c r="AS410" s="54">
        <f>S_normal27[[#This Row],[Indeks (base 0)]]+1</f>
        <v>398</v>
      </c>
      <c r="AT410" s="54">
        <f t="shared" si="69"/>
        <v>6</v>
      </c>
      <c r="AU410" s="54">
        <f>IF(MOD(S_normal27[[#This Row],[Indeks (base 0)]],AS$8)=0,NA(),_xlfn.POISSON.DIST(S_normal27[[#This Row],[X base]],$H$5,FALSE))</f>
        <v>5.0409406722462261E-2</v>
      </c>
      <c r="AV410" s="99" t="b">
        <f>S_normal27[[#This Row],[X base]]&lt;AS$5</f>
        <v>0</v>
      </c>
      <c r="AW410" s="99" t="b">
        <f>S_normal27[[#This Row],[X base]]=AS$5</f>
        <v>0</v>
      </c>
      <c r="AX410" s="99" t="b">
        <f>S_normal27[[#This Row],[X base]]&gt;AS$5</f>
        <v>1</v>
      </c>
      <c r="AY410" s="99" t="e">
        <f>IF(S_normal27[[#This Row],[Mindre end]],S_normal27[[#This Row],[Poissonfordeling]],NA())</f>
        <v>#N/A</v>
      </c>
      <c r="AZ410" s="99" t="e">
        <f>IF(S_normal27[[#This Row],[Lig med]],S_normal27[[#This Row],[Poissonfordeling]],NA())</f>
        <v>#N/A</v>
      </c>
      <c r="BA410" s="99">
        <f>IF(S_normal27[[#This Row],[Større end]],S_normal27[[#This Row],[Poissonfordeling]],NA())</f>
        <v>5.0409406722462261E-2</v>
      </c>
      <c r="BB410" s="85" t="str">
        <f>_xlfn.IFNA(IF(MOD(S_normal27[[#This Row],[Indeks (base 0)]],AS$8)=ROUNDDOWN(AS$8/2,0),S_normal27[[#This Row],[X base]],""),"")</f>
        <v/>
      </c>
      <c r="BC410" s="99" t="str">
        <f t="shared" si="68"/>
        <v xml:space="preserve"> </v>
      </c>
    </row>
    <row r="411" spans="31:55" x14ac:dyDescent="0.2">
      <c r="AE411" s="54">
        <f t="shared" si="70"/>
        <v>398</v>
      </c>
      <c r="AF411" s="54">
        <f>S_binomial[[#This Row],[Indeks (base 0)]]+1</f>
        <v>399</v>
      </c>
      <c r="AG411" s="99">
        <f t="shared" si="71"/>
        <v>4</v>
      </c>
      <c r="AH411" s="99">
        <f>IF(MOD(S_binomial[[#This Row],[Indeks (base 0)]],AF$7)=0,NA(),_xlfn.BINOM.DIST(S_binomial[[#This Row],[X base]],E$5,E$6,FALSE))</f>
        <v>0.16082039904000001</v>
      </c>
      <c r="AI411" s="99" t="b">
        <f>S_binomial[[#This Row],[X base]]&lt;AF$5</f>
        <v>1</v>
      </c>
      <c r="AJ411" s="99" t="b">
        <f>S_binomial[[#This Row],[X base]]=AF$5</f>
        <v>0</v>
      </c>
      <c r="AK411" s="99" t="b">
        <f>S_binomial[[#This Row],[X base]]&gt;AF$5</f>
        <v>0</v>
      </c>
      <c r="AL411" s="99">
        <f>IF(S_binomial[[#This Row],[Mindre end]],S_binomial[[#This Row],[Binomialfordeling]],NA())</f>
        <v>0.16082039904000001</v>
      </c>
      <c r="AM411" s="99" t="e">
        <f>IF(S_binomial[[#This Row],[Lig med]],S_binomial[[#This Row],[Binomialfordeling]],NA())</f>
        <v>#N/A</v>
      </c>
      <c r="AN411" s="99" t="e">
        <f>IF(S_binomial[[#This Row],[Større end]],S_binomial[[#This Row],[Binomialfordeling]],NA())</f>
        <v>#N/A</v>
      </c>
      <c r="AO411" s="85" t="str">
        <f>_xlfn.IFNA(IF(MOD(S_binomial[[#This Row],[Indeks (base 0)]],AF$7)=ROUNDDOWN(AF$7/2,0),S_binomial[[#This Row],[X base]],""),"")</f>
        <v/>
      </c>
      <c r="AP411" s="99" t="str">
        <f t="shared" si="72"/>
        <v xml:space="preserve"> </v>
      </c>
      <c r="AR411" s="54">
        <f t="shared" si="67"/>
        <v>398</v>
      </c>
      <c r="AS411" s="54">
        <f>S_normal27[[#This Row],[Indeks (base 0)]]+1</f>
        <v>399</v>
      </c>
      <c r="AT411" s="54">
        <f t="shared" si="69"/>
        <v>6</v>
      </c>
      <c r="AU411" s="54">
        <f>IF(MOD(S_normal27[[#This Row],[Indeks (base 0)]],AS$8)=0,NA(),_xlfn.POISSON.DIST(S_normal27[[#This Row],[X base]],$H$5,FALSE))</f>
        <v>5.0409406722462261E-2</v>
      </c>
      <c r="AV411" s="99" t="b">
        <f>S_normal27[[#This Row],[X base]]&lt;AS$5</f>
        <v>0</v>
      </c>
      <c r="AW411" s="99" t="b">
        <f>S_normal27[[#This Row],[X base]]=AS$5</f>
        <v>0</v>
      </c>
      <c r="AX411" s="99" t="b">
        <f>S_normal27[[#This Row],[X base]]&gt;AS$5</f>
        <v>1</v>
      </c>
      <c r="AY411" s="99" t="e">
        <f>IF(S_normal27[[#This Row],[Mindre end]],S_normal27[[#This Row],[Poissonfordeling]],NA())</f>
        <v>#N/A</v>
      </c>
      <c r="AZ411" s="99" t="e">
        <f>IF(S_normal27[[#This Row],[Lig med]],S_normal27[[#This Row],[Poissonfordeling]],NA())</f>
        <v>#N/A</v>
      </c>
      <c r="BA411" s="99">
        <f>IF(S_normal27[[#This Row],[Større end]],S_normal27[[#This Row],[Poissonfordeling]],NA())</f>
        <v>5.0409406722462261E-2</v>
      </c>
      <c r="BB411" s="85" t="str">
        <f>_xlfn.IFNA(IF(MOD(S_normal27[[#This Row],[Indeks (base 0)]],AS$8)=ROUNDDOWN(AS$8/2,0),S_normal27[[#This Row],[X base]],""),"")</f>
        <v/>
      </c>
      <c r="BC411" s="99" t="str">
        <f t="shared" si="68"/>
        <v xml:space="preserve"> </v>
      </c>
    </row>
    <row r="412" spans="31:55" x14ac:dyDescent="0.2">
      <c r="AE412" s="54">
        <f t="shared" si="70"/>
        <v>399</v>
      </c>
      <c r="AF412" s="54">
        <f>S_binomial[[#This Row],[Indeks (base 0)]]+1</f>
        <v>400</v>
      </c>
      <c r="AG412" s="99">
        <f t="shared" si="71"/>
        <v>4</v>
      </c>
      <c r="AH412" s="99">
        <f>IF(MOD(S_binomial[[#This Row],[Indeks (base 0)]],AF$7)=0,NA(),_xlfn.BINOM.DIST(S_binomial[[#This Row],[X base]],E$5,E$6,FALSE))</f>
        <v>0.16082039904000001</v>
      </c>
      <c r="AI412" s="99" t="b">
        <f>S_binomial[[#This Row],[X base]]&lt;AF$5</f>
        <v>1</v>
      </c>
      <c r="AJ412" s="99" t="b">
        <f>S_binomial[[#This Row],[X base]]=AF$5</f>
        <v>0</v>
      </c>
      <c r="AK412" s="99" t="b">
        <f>S_binomial[[#This Row],[X base]]&gt;AF$5</f>
        <v>0</v>
      </c>
      <c r="AL412" s="99">
        <f>IF(S_binomial[[#This Row],[Mindre end]],S_binomial[[#This Row],[Binomialfordeling]],NA())</f>
        <v>0.16082039904000001</v>
      </c>
      <c r="AM412" s="99" t="e">
        <f>IF(S_binomial[[#This Row],[Lig med]],S_binomial[[#This Row],[Binomialfordeling]],NA())</f>
        <v>#N/A</v>
      </c>
      <c r="AN412" s="99" t="e">
        <f>IF(S_binomial[[#This Row],[Større end]],S_binomial[[#This Row],[Binomialfordeling]],NA())</f>
        <v>#N/A</v>
      </c>
      <c r="AO412" s="85" t="str">
        <f>_xlfn.IFNA(IF(MOD(S_binomial[[#This Row],[Indeks (base 0)]],AF$7)=ROUNDDOWN(AF$7/2,0),S_binomial[[#This Row],[X base]],""),"")</f>
        <v/>
      </c>
      <c r="AP412" s="99" t="str">
        <f t="shared" si="72"/>
        <v xml:space="preserve"> </v>
      </c>
      <c r="AR412" s="54">
        <f t="shared" si="67"/>
        <v>399</v>
      </c>
      <c r="AS412" s="54">
        <f>S_normal27[[#This Row],[Indeks (base 0)]]+1</f>
        <v>400</v>
      </c>
      <c r="AT412" s="54">
        <f t="shared" si="69"/>
        <v>6</v>
      </c>
      <c r="AU412" s="54">
        <f>IF(MOD(S_normal27[[#This Row],[Indeks (base 0)]],AS$8)=0,NA(),_xlfn.POISSON.DIST(S_normal27[[#This Row],[X base]],$H$5,FALSE))</f>
        <v>5.0409406722462261E-2</v>
      </c>
      <c r="AV412" s="99" t="b">
        <f>S_normal27[[#This Row],[X base]]&lt;AS$5</f>
        <v>0</v>
      </c>
      <c r="AW412" s="99" t="b">
        <f>S_normal27[[#This Row],[X base]]=AS$5</f>
        <v>0</v>
      </c>
      <c r="AX412" s="99" t="b">
        <f>S_normal27[[#This Row],[X base]]&gt;AS$5</f>
        <v>1</v>
      </c>
      <c r="AY412" s="99" t="e">
        <f>IF(S_normal27[[#This Row],[Mindre end]],S_normal27[[#This Row],[Poissonfordeling]],NA())</f>
        <v>#N/A</v>
      </c>
      <c r="AZ412" s="99" t="e">
        <f>IF(S_normal27[[#This Row],[Lig med]],S_normal27[[#This Row],[Poissonfordeling]],NA())</f>
        <v>#N/A</v>
      </c>
      <c r="BA412" s="99">
        <f>IF(S_normal27[[#This Row],[Større end]],S_normal27[[#This Row],[Poissonfordeling]],NA())</f>
        <v>5.0409406722462261E-2</v>
      </c>
      <c r="BB412" s="85" t="str">
        <f>_xlfn.IFNA(IF(MOD(S_normal27[[#This Row],[Indeks (base 0)]],AS$8)=ROUNDDOWN(AS$8/2,0),S_normal27[[#This Row],[X base]],""),"")</f>
        <v/>
      </c>
      <c r="BC412" s="99" t="str">
        <f t="shared" si="68"/>
        <v xml:space="preserve"> </v>
      </c>
    </row>
    <row r="413" spans="31:55" x14ac:dyDescent="0.2">
      <c r="AE413" s="54">
        <f t="shared" si="70"/>
        <v>400</v>
      </c>
      <c r="AF413" s="54">
        <f>S_binomial[[#This Row],[Indeks (base 0)]]+1</f>
        <v>401</v>
      </c>
      <c r="AG413" s="99">
        <f t="shared" si="71"/>
        <v>4</v>
      </c>
      <c r="AH413" s="99">
        <f>IF(MOD(S_binomial[[#This Row],[Indeks (base 0)]],AF$7)=0,NA(),_xlfn.BINOM.DIST(S_binomial[[#This Row],[X base]],E$5,E$6,FALSE))</f>
        <v>0.16082039904000001</v>
      </c>
      <c r="AI413" s="99" t="b">
        <f>S_binomial[[#This Row],[X base]]&lt;AF$5</f>
        <v>1</v>
      </c>
      <c r="AJ413" s="99" t="b">
        <f>S_binomial[[#This Row],[X base]]=AF$5</f>
        <v>0</v>
      </c>
      <c r="AK413" s="99" t="b">
        <f>S_binomial[[#This Row],[X base]]&gt;AF$5</f>
        <v>0</v>
      </c>
      <c r="AL413" s="99">
        <f>IF(S_binomial[[#This Row],[Mindre end]],S_binomial[[#This Row],[Binomialfordeling]],NA())</f>
        <v>0.16082039904000001</v>
      </c>
      <c r="AM413" s="99" t="e">
        <f>IF(S_binomial[[#This Row],[Lig med]],S_binomial[[#This Row],[Binomialfordeling]],NA())</f>
        <v>#N/A</v>
      </c>
      <c r="AN413" s="99" t="e">
        <f>IF(S_binomial[[#This Row],[Større end]],S_binomial[[#This Row],[Binomialfordeling]],NA())</f>
        <v>#N/A</v>
      </c>
      <c r="AO413" s="85" t="str">
        <f>_xlfn.IFNA(IF(MOD(S_binomial[[#This Row],[Indeks (base 0)]],AF$7)=ROUNDDOWN(AF$7/2,0),S_binomial[[#This Row],[X base]],""),"")</f>
        <v/>
      </c>
      <c r="AP413" s="99" t="str">
        <f t="shared" si="72"/>
        <v xml:space="preserve"> </v>
      </c>
      <c r="AR413" s="54">
        <f t="shared" si="67"/>
        <v>400</v>
      </c>
      <c r="AS413" s="54">
        <f>S_normal27[[#This Row],[Indeks (base 0)]]+1</f>
        <v>401</v>
      </c>
      <c r="AT413" s="54">
        <f t="shared" si="69"/>
        <v>6</v>
      </c>
      <c r="AU413" s="54">
        <f>IF(MOD(S_normal27[[#This Row],[Indeks (base 0)]],AS$8)=0,NA(),_xlfn.POISSON.DIST(S_normal27[[#This Row],[X base]],$H$5,FALSE))</f>
        <v>5.0409406722462261E-2</v>
      </c>
      <c r="AV413" s="99" t="b">
        <f>S_normal27[[#This Row],[X base]]&lt;AS$5</f>
        <v>0</v>
      </c>
      <c r="AW413" s="99" t="b">
        <f>S_normal27[[#This Row],[X base]]=AS$5</f>
        <v>0</v>
      </c>
      <c r="AX413" s="99" t="b">
        <f>S_normal27[[#This Row],[X base]]&gt;AS$5</f>
        <v>1</v>
      </c>
      <c r="AY413" s="99" t="e">
        <f>IF(S_normal27[[#This Row],[Mindre end]],S_normal27[[#This Row],[Poissonfordeling]],NA())</f>
        <v>#N/A</v>
      </c>
      <c r="AZ413" s="99" t="e">
        <f>IF(S_normal27[[#This Row],[Lig med]],S_normal27[[#This Row],[Poissonfordeling]],NA())</f>
        <v>#N/A</v>
      </c>
      <c r="BA413" s="99">
        <f>IF(S_normal27[[#This Row],[Større end]],S_normal27[[#This Row],[Poissonfordeling]],NA())</f>
        <v>5.0409406722462261E-2</v>
      </c>
      <c r="BB413" s="85" t="str">
        <f>_xlfn.IFNA(IF(MOD(S_normal27[[#This Row],[Indeks (base 0)]],AS$8)=ROUNDDOWN(AS$8/2,0),S_normal27[[#This Row],[X base]],""),"")</f>
        <v/>
      </c>
      <c r="BC413" s="99" t="str">
        <f t="shared" si="68"/>
        <v xml:space="preserve"> </v>
      </c>
    </row>
    <row r="414" spans="31:55" x14ac:dyDescent="0.2">
      <c r="AE414" s="54">
        <f t="shared" si="70"/>
        <v>401</v>
      </c>
      <c r="AF414" s="54">
        <f>S_binomial[[#This Row],[Indeks (base 0)]]+1</f>
        <v>402</v>
      </c>
      <c r="AG414" s="99">
        <f t="shared" si="71"/>
        <v>4</v>
      </c>
      <c r="AH414" s="99">
        <f>IF(MOD(S_binomial[[#This Row],[Indeks (base 0)]],AF$7)=0,NA(),_xlfn.BINOM.DIST(S_binomial[[#This Row],[X base]],E$5,E$6,FALSE))</f>
        <v>0.16082039904000001</v>
      </c>
      <c r="AI414" s="99" t="b">
        <f>S_binomial[[#This Row],[X base]]&lt;AF$5</f>
        <v>1</v>
      </c>
      <c r="AJ414" s="99" t="b">
        <f>S_binomial[[#This Row],[X base]]=AF$5</f>
        <v>0</v>
      </c>
      <c r="AK414" s="99" t="b">
        <f>S_binomial[[#This Row],[X base]]&gt;AF$5</f>
        <v>0</v>
      </c>
      <c r="AL414" s="99">
        <f>IF(S_binomial[[#This Row],[Mindre end]],S_binomial[[#This Row],[Binomialfordeling]],NA())</f>
        <v>0.16082039904000001</v>
      </c>
      <c r="AM414" s="99" t="e">
        <f>IF(S_binomial[[#This Row],[Lig med]],S_binomial[[#This Row],[Binomialfordeling]],NA())</f>
        <v>#N/A</v>
      </c>
      <c r="AN414" s="99" t="e">
        <f>IF(S_binomial[[#This Row],[Større end]],S_binomial[[#This Row],[Binomialfordeling]],NA())</f>
        <v>#N/A</v>
      </c>
      <c r="AO414" s="85" t="str">
        <f>_xlfn.IFNA(IF(MOD(S_binomial[[#This Row],[Indeks (base 0)]],AF$7)=ROUNDDOWN(AF$7/2,0),S_binomial[[#This Row],[X base]],""),"")</f>
        <v/>
      </c>
      <c r="AP414" s="99" t="str">
        <f t="shared" si="72"/>
        <v xml:space="preserve"> </v>
      </c>
      <c r="AR414" s="54">
        <f t="shared" si="67"/>
        <v>401</v>
      </c>
      <c r="AS414" s="54">
        <f>S_normal27[[#This Row],[Indeks (base 0)]]+1</f>
        <v>402</v>
      </c>
      <c r="AT414" s="54">
        <f t="shared" si="69"/>
        <v>6</v>
      </c>
      <c r="AU414" s="54">
        <f>IF(MOD(S_normal27[[#This Row],[Indeks (base 0)]],AS$8)=0,NA(),_xlfn.POISSON.DIST(S_normal27[[#This Row],[X base]],$H$5,FALSE))</f>
        <v>5.0409406722462261E-2</v>
      </c>
      <c r="AV414" s="99" t="b">
        <f>S_normal27[[#This Row],[X base]]&lt;AS$5</f>
        <v>0</v>
      </c>
      <c r="AW414" s="99" t="b">
        <f>S_normal27[[#This Row],[X base]]=AS$5</f>
        <v>0</v>
      </c>
      <c r="AX414" s="99" t="b">
        <f>S_normal27[[#This Row],[X base]]&gt;AS$5</f>
        <v>1</v>
      </c>
      <c r="AY414" s="99" t="e">
        <f>IF(S_normal27[[#This Row],[Mindre end]],S_normal27[[#This Row],[Poissonfordeling]],NA())</f>
        <v>#N/A</v>
      </c>
      <c r="AZ414" s="99" t="e">
        <f>IF(S_normal27[[#This Row],[Lig med]],S_normal27[[#This Row],[Poissonfordeling]],NA())</f>
        <v>#N/A</v>
      </c>
      <c r="BA414" s="99">
        <f>IF(S_normal27[[#This Row],[Større end]],S_normal27[[#This Row],[Poissonfordeling]],NA())</f>
        <v>5.0409406722462261E-2</v>
      </c>
      <c r="BB414" s="85" t="str">
        <f>_xlfn.IFNA(IF(MOD(S_normal27[[#This Row],[Indeks (base 0)]],AS$8)=ROUNDDOWN(AS$8/2,0),S_normal27[[#This Row],[X base]],""),"")</f>
        <v/>
      </c>
      <c r="BC414" s="99" t="str">
        <f t="shared" si="68"/>
        <v xml:space="preserve"> </v>
      </c>
    </row>
    <row r="415" spans="31:55" x14ac:dyDescent="0.2">
      <c r="AE415" s="54">
        <f t="shared" si="70"/>
        <v>402</v>
      </c>
      <c r="AF415" s="54">
        <f>S_binomial[[#This Row],[Indeks (base 0)]]+1</f>
        <v>403</v>
      </c>
      <c r="AG415" s="99">
        <f t="shared" si="71"/>
        <v>4</v>
      </c>
      <c r="AH415" s="99">
        <f>IF(MOD(S_binomial[[#This Row],[Indeks (base 0)]],AF$7)=0,NA(),_xlfn.BINOM.DIST(S_binomial[[#This Row],[X base]],E$5,E$6,FALSE))</f>
        <v>0.16082039904000001</v>
      </c>
      <c r="AI415" s="99" t="b">
        <f>S_binomial[[#This Row],[X base]]&lt;AF$5</f>
        <v>1</v>
      </c>
      <c r="AJ415" s="99" t="b">
        <f>S_binomial[[#This Row],[X base]]=AF$5</f>
        <v>0</v>
      </c>
      <c r="AK415" s="99" t="b">
        <f>S_binomial[[#This Row],[X base]]&gt;AF$5</f>
        <v>0</v>
      </c>
      <c r="AL415" s="99">
        <f>IF(S_binomial[[#This Row],[Mindre end]],S_binomial[[#This Row],[Binomialfordeling]],NA())</f>
        <v>0.16082039904000001</v>
      </c>
      <c r="AM415" s="99" t="e">
        <f>IF(S_binomial[[#This Row],[Lig med]],S_binomial[[#This Row],[Binomialfordeling]],NA())</f>
        <v>#N/A</v>
      </c>
      <c r="AN415" s="99" t="e">
        <f>IF(S_binomial[[#This Row],[Større end]],S_binomial[[#This Row],[Binomialfordeling]],NA())</f>
        <v>#N/A</v>
      </c>
      <c r="AO415" s="85" t="str">
        <f>_xlfn.IFNA(IF(MOD(S_binomial[[#This Row],[Indeks (base 0)]],AF$7)=ROUNDDOWN(AF$7/2,0),S_binomial[[#This Row],[X base]],""),"")</f>
        <v/>
      </c>
      <c r="AP415" s="99" t="str">
        <f t="shared" si="72"/>
        <v xml:space="preserve"> </v>
      </c>
      <c r="AR415" s="54">
        <f t="shared" si="67"/>
        <v>402</v>
      </c>
      <c r="AS415" s="54">
        <f>S_normal27[[#This Row],[Indeks (base 0)]]+1</f>
        <v>403</v>
      </c>
      <c r="AT415" s="54">
        <f t="shared" si="69"/>
        <v>6</v>
      </c>
      <c r="AU415" s="54">
        <f>IF(MOD(S_normal27[[#This Row],[Indeks (base 0)]],AS$8)=0,NA(),_xlfn.POISSON.DIST(S_normal27[[#This Row],[X base]],$H$5,FALSE))</f>
        <v>5.0409406722462261E-2</v>
      </c>
      <c r="AV415" s="99" t="b">
        <f>S_normal27[[#This Row],[X base]]&lt;AS$5</f>
        <v>0</v>
      </c>
      <c r="AW415" s="99" t="b">
        <f>S_normal27[[#This Row],[X base]]=AS$5</f>
        <v>0</v>
      </c>
      <c r="AX415" s="99" t="b">
        <f>S_normal27[[#This Row],[X base]]&gt;AS$5</f>
        <v>1</v>
      </c>
      <c r="AY415" s="99" t="e">
        <f>IF(S_normal27[[#This Row],[Mindre end]],S_normal27[[#This Row],[Poissonfordeling]],NA())</f>
        <v>#N/A</v>
      </c>
      <c r="AZ415" s="99" t="e">
        <f>IF(S_normal27[[#This Row],[Lig med]],S_normal27[[#This Row],[Poissonfordeling]],NA())</f>
        <v>#N/A</v>
      </c>
      <c r="BA415" s="99">
        <f>IF(S_normal27[[#This Row],[Større end]],S_normal27[[#This Row],[Poissonfordeling]],NA())</f>
        <v>5.0409406722462261E-2</v>
      </c>
      <c r="BB415" s="85" t="str">
        <f>_xlfn.IFNA(IF(MOD(S_normal27[[#This Row],[Indeks (base 0)]],AS$8)=ROUNDDOWN(AS$8/2,0),S_normal27[[#This Row],[X base]],""),"")</f>
        <v/>
      </c>
      <c r="BC415" s="99" t="str">
        <f t="shared" si="68"/>
        <v xml:space="preserve"> </v>
      </c>
    </row>
    <row r="416" spans="31:55" x14ac:dyDescent="0.2">
      <c r="AE416" s="54">
        <f t="shared" si="70"/>
        <v>403</v>
      </c>
      <c r="AF416" s="54">
        <f>S_binomial[[#This Row],[Indeks (base 0)]]+1</f>
        <v>404</v>
      </c>
      <c r="AG416" s="99">
        <f t="shared" si="71"/>
        <v>4</v>
      </c>
      <c r="AH416" s="99">
        <f>IF(MOD(S_binomial[[#This Row],[Indeks (base 0)]],AF$7)=0,NA(),_xlfn.BINOM.DIST(S_binomial[[#This Row],[X base]],E$5,E$6,FALSE))</f>
        <v>0.16082039904000001</v>
      </c>
      <c r="AI416" s="99" t="b">
        <f>S_binomial[[#This Row],[X base]]&lt;AF$5</f>
        <v>1</v>
      </c>
      <c r="AJ416" s="99" t="b">
        <f>S_binomial[[#This Row],[X base]]=AF$5</f>
        <v>0</v>
      </c>
      <c r="AK416" s="99" t="b">
        <f>S_binomial[[#This Row],[X base]]&gt;AF$5</f>
        <v>0</v>
      </c>
      <c r="AL416" s="99">
        <f>IF(S_binomial[[#This Row],[Mindre end]],S_binomial[[#This Row],[Binomialfordeling]],NA())</f>
        <v>0.16082039904000001</v>
      </c>
      <c r="AM416" s="99" t="e">
        <f>IF(S_binomial[[#This Row],[Lig med]],S_binomial[[#This Row],[Binomialfordeling]],NA())</f>
        <v>#N/A</v>
      </c>
      <c r="AN416" s="99" t="e">
        <f>IF(S_binomial[[#This Row],[Større end]],S_binomial[[#This Row],[Binomialfordeling]],NA())</f>
        <v>#N/A</v>
      </c>
      <c r="AO416" s="85" t="str">
        <f>_xlfn.IFNA(IF(MOD(S_binomial[[#This Row],[Indeks (base 0)]],AF$7)=ROUNDDOWN(AF$7/2,0),S_binomial[[#This Row],[X base]],""),"")</f>
        <v/>
      </c>
      <c r="AP416" s="99" t="str">
        <f t="shared" si="72"/>
        <v xml:space="preserve"> </v>
      </c>
      <c r="AR416" s="54">
        <f t="shared" si="67"/>
        <v>403</v>
      </c>
      <c r="AS416" s="54">
        <f>S_normal27[[#This Row],[Indeks (base 0)]]+1</f>
        <v>404</v>
      </c>
      <c r="AT416" s="54">
        <f t="shared" si="69"/>
        <v>6</v>
      </c>
      <c r="AU416" s="54">
        <f>IF(MOD(S_normal27[[#This Row],[Indeks (base 0)]],AS$8)=0,NA(),_xlfn.POISSON.DIST(S_normal27[[#This Row],[X base]],$H$5,FALSE))</f>
        <v>5.0409406722462261E-2</v>
      </c>
      <c r="AV416" s="99" t="b">
        <f>S_normal27[[#This Row],[X base]]&lt;AS$5</f>
        <v>0</v>
      </c>
      <c r="AW416" s="99" t="b">
        <f>S_normal27[[#This Row],[X base]]=AS$5</f>
        <v>0</v>
      </c>
      <c r="AX416" s="99" t="b">
        <f>S_normal27[[#This Row],[X base]]&gt;AS$5</f>
        <v>1</v>
      </c>
      <c r="AY416" s="99" t="e">
        <f>IF(S_normal27[[#This Row],[Mindre end]],S_normal27[[#This Row],[Poissonfordeling]],NA())</f>
        <v>#N/A</v>
      </c>
      <c r="AZ416" s="99" t="e">
        <f>IF(S_normal27[[#This Row],[Lig med]],S_normal27[[#This Row],[Poissonfordeling]],NA())</f>
        <v>#N/A</v>
      </c>
      <c r="BA416" s="99">
        <f>IF(S_normal27[[#This Row],[Større end]],S_normal27[[#This Row],[Poissonfordeling]],NA())</f>
        <v>5.0409406722462261E-2</v>
      </c>
      <c r="BB416" s="85" t="str">
        <f>_xlfn.IFNA(IF(MOD(S_normal27[[#This Row],[Indeks (base 0)]],AS$8)=ROUNDDOWN(AS$8/2,0),S_normal27[[#This Row],[X base]],""),"")</f>
        <v/>
      </c>
      <c r="BC416" s="99" t="str">
        <f t="shared" si="68"/>
        <v xml:space="preserve"> </v>
      </c>
    </row>
    <row r="417" spans="31:55" x14ac:dyDescent="0.2">
      <c r="AE417" s="54">
        <f t="shared" si="70"/>
        <v>404</v>
      </c>
      <c r="AF417" s="54">
        <f>S_binomial[[#This Row],[Indeks (base 0)]]+1</f>
        <v>405</v>
      </c>
      <c r="AG417" s="99">
        <f t="shared" si="71"/>
        <v>4</v>
      </c>
      <c r="AH417" s="99">
        <f>IF(MOD(S_binomial[[#This Row],[Indeks (base 0)]],AF$7)=0,NA(),_xlfn.BINOM.DIST(S_binomial[[#This Row],[X base]],E$5,E$6,FALSE))</f>
        <v>0.16082039904000001</v>
      </c>
      <c r="AI417" s="99" t="b">
        <f>S_binomial[[#This Row],[X base]]&lt;AF$5</f>
        <v>1</v>
      </c>
      <c r="AJ417" s="99" t="b">
        <f>S_binomial[[#This Row],[X base]]=AF$5</f>
        <v>0</v>
      </c>
      <c r="AK417" s="99" t="b">
        <f>S_binomial[[#This Row],[X base]]&gt;AF$5</f>
        <v>0</v>
      </c>
      <c r="AL417" s="99">
        <f>IF(S_binomial[[#This Row],[Mindre end]],S_binomial[[#This Row],[Binomialfordeling]],NA())</f>
        <v>0.16082039904000001</v>
      </c>
      <c r="AM417" s="99" t="e">
        <f>IF(S_binomial[[#This Row],[Lig med]],S_binomial[[#This Row],[Binomialfordeling]],NA())</f>
        <v>#N/A</v>
      </c>
      <c r="AN417" s="99" t="e">
        <f>IF(S_binomial[[#This Row],[Større end]],S_binomial[[#This Row],[Binomialfordeling]],NA())</f>
        <v>#N/A</v>
      </c>
      <c r="AO417" s="85" t="str">
        <f>_xlfn.IFNA(IF(MOD(S_binomial[[#This Row],[Indeks (base 0)]],AF$7)=ROUNDDOWN(AF$7/2,0),S_binomial[[#This Row],[X base]],""),"")</f>
        <v/>
      </c>
      <c r="AP417" s="99" t="str">
        <f t="shared" si="72"/>
        <v xml:space="preserve"> </v>
      </c>
      <c r="AR417" s="54">
        <f t="shared" si="67"/>
        <v>404</v>
      </c>
      <c r="AS417" s="54">
        <f>S_normal27[[#This Row],[Indeks (base 0)]]+1</f>
        <v>405</v>
      </c>
      <c r="AT417" s="54">
        <f t="shared" si="69"/>
        <v>6</v>
      </c>
      <c r="AU417" s="54">
        <f>IF(MOD(S_normal27[[#This Row],[Indeks (base 0)]],AS$8)=0,NA(),_xlfn.POISSON.DIST(S_normal27[[#This Row],[X base]],$H$5,FALSE))</f>
        <v>5.0409406722462261E-2</v>
      </c>
      <c r="AV417" s="99" t="b">
        <f>S_normal27[[#This Row],[X base]]&lt;AS$5</f>
        <v>0</v>
      </c>
      <c r="AW417" s="99" t="b">
        <f>S_normal27[[#This Row],[X base]]=AS$5</f>
        <v>0</v>
      </c>
      <c r="AX417" s="99" t="b">
        <f>S_normal27[[#This Row],[X base]]&gt;AS$5</f>
        <v>1</v>
      </c>
      <c r="AY417" s="99" t="e">
        <f>IF(S_normal27[[#This Row],[Mindre end]],S_normal27[[#This Row],[Poissonfordeling]],NA())</f>
        <v>#N/A</v>
      </c>
      <c r="AZ417" s="99" t="e">
        <f>IF(S_normal27[[#This Row],[Lig med]],S_normal27[[#This Row],[Poissonfordeling]],NA())</f>
        <v>#N/A</v>
      </c>
      <c r="BA417" s="99">
        <f>IF(S_normal27[[#This Row],[Større end]],S_normal27[[#This Row],[Poissonfordeling]],NA())</f>
        <v>5.0409406722462261E-2</v>
      </c>
      <c r="BB417" s="85" t="str">
        <f>_xlfn.IFNA(IF(MOD(S_normal27[[#This Row],[Indeks (base 0)]],AS$8)=ROUNDDOWN(AS$8/2,0),S_normal27[[#This Row],[X base]],""),"")</f>
        <v/>
      </c>
      <c r="BC417" s="99" t="str">
        <f t="shared" si="68"/>
        <v xml:space="preserve"> </v>
      </c>
    </row>
    <row r="418" spans="31:55" x14ac:dyDescent="0.2">
      <c r="AE418" s="54">
        <f t="shared" si="70"/>
        <v>405</v>
      </c>
      <c r="AF418" s="54">
        <f>S_binomial[[#This Row],[Indeks (base 0)]]+1</f>
        <v>406</v>
      </c>
      <c r="AG418" s="99">
        <f t="shared" si="71"/>
        <v>4</v>
      </c>
      <c r="AH418" s="99">
        <f>IF(MOD(S_binomial[[#This Row],[Indeks (base 0)]],AF$7)=0,NA(),_xlfn.BINOM.DIST(S_binomial[[#This Row],[X base]],E$5,E$6,FALSE))</f>
        <v>0.16082039904000001</v>
      </c>
      <c r="AI418" s="99" t="b">
        <f>S_binomial[[#This Row],[X base]]&lt;AF$5</f>
        <v>1</v>
      </c>
      <c r="AJ418" s="99" t="b">
        <f>S_binomial[[#This Row],[X base]]=AF$5</f>
        <v>0</v>
      </c>
      <c r="AK418" s="99" t="b">
        <f>S_binomial[[#This Row],[X base]]&gt;AF$5</f>
        <v>0</v>
      </c>
      <c r="AL418" s="99">
        <f>IF(S_binomial[[#This Row],[Mindre end]],S_binomial[[#This Row],[Binomialfordeling]],NA())</f>
        <v>0.16082039904000001</v>
      </c>
      <c r="AM418" s="99" t="e">
        <f>IF(S_binomial[[#This Row],[Lig med]],S_binomial[[#This Row],[Binomialfordeling]],NA())</f>
        <v>#N/A</v>
      </c>
      <c r="AN418" s="99" t="e">
        <f>IF(S_binomial[[#This Row],[Større end]],S_binomial[[#This Row],[Binomialfordeling]],NA())</f>
        <v>#N/A</v>
      </c>
      <c r="AO418" s="85" t="str">
        <f>_xlfn.IFNA(IF(MOD(S_binomial[[#This Row],[Indeks (base 0)]],AF$7)=ROUNDDOWN(AF$7/2,0),S_binomial[[#This Row],[X base]],""),"")</f>
        <v/>
      </c>
      <c r="AP418" s="99" t="str">
        <f t="shared" si="72"/>
        <v xml:space="preserve"> </v>
      </c>
      <c r="AR418" s="54">
        <f t="shared" si="67"/>
        <v>405</v>
      </c>
      <c r="AS418" s="54">
        <f>S_normal27[[#This Row],[Indeks (base 0)]]+1</f>
        <v>406</v>
      </c>
      <c r="AT418" s="54">
        <f t="shared" si="69"/>
        <v>6</v>
      </c>
      <c r="AU418" s="54">
        <f>IF(MOD(S_normal27[[#This Row],[Indeks (base 0)]],AS$8)=0,NA(),_xlfn.POISSON.DIST(S_normal27[[#This Row],[X base]],$H$5,FALSE))</f>
        <v>5.0409406722462261E-2</v>
      </c>
      <c r="AV418" s="99" t="b">
        <f>S_normal27[[#This Row],[X base]]&lt;AS$5</f>
        <v>0</v>
      </c>
      <c r="AW418" s="99" t="b">
        <f>S_normal27[[#This Row],[X base]]=AS$5</f>
        <v>0</v>
      </c>
      <c r="AX418" s="99" t="b">
        <f>S_normal27[[#This Row],[X base]]&gt;AS$5</f>
        <v>1</v>
      </c>
      <c r="AY418" s="99" t="e">
        <f>IF(S_normal27[[#This Row],[Mindre end]],S_normal27[[#This Row],[Poissonfordeling]],NA())</f>
        <v>#N/A</v>
      </c>
      <c r="AZ418" s="99" t="e">
        <f>IF(S_normal27[[#This Row],[Lig med]],S_normal27[[#This Row],[Poissonfordeling]],NA())</f>
        <v>#N/A</v>
      </c>
      <c r="BA418" s="99">
        <f>IF(S_normal27[[#This Row],[Større end]],S_normal27[[#This Row],[Poissonfordeling]],NA())</f>
        <v>5.0409406722462261E-2</v>
      </c>
      <c r="BB418" s="85" t="str">
        <f>_xlfn.IFNA(IF(MOD(S_normal27[[#This Row],[Indeks (base 0)]],AS$8)=ROUNDDOWN(AS$8/2,0),S_normal27[[#This Row],[X base]],""),"")</f>
        <v/>
      </c>
      <c r="BC418" s="99" t="str">
        <f t="shared" si="68"/>
        <v xml:space="preserve"> </v>
      </c>
    </row>
    <row r="419" spans="31:55" x14ac:dyDescent="0.2">
      <c r="AE419" s="54">
        <f t="shared" si="70"/>
        <v>406</v>
      </c>
      <c r="AF419" s="54">
        <f>S_binomial[[#This Row],[Indeks (base 0)]]+1</f>
        <v>407</v>
      </c>
      <c r="AG419" s="99">
        <f t="shared" si="71"/>
        <v>4</v>
      </c>
      <c r="AH419" s="99">
        <f>IF(MOD(S_binomial[[#This Row],[Indeks (base 0)]],AF$7)=0,NA(),_xlfn.BINOM.DIST(S_binomial[[#This Row],[X base]],E$5,E$6,FALSE))</f>
        <v>0.16082039904000001</v>
      </c>
      <c r="AI419" s="99" t="b">
        <f>S_binomial[[#This Row],[X base]]&lt;AF$5</f>
        <v>1</v>
      </c>
      <c r="AJ419" s="99" t="b">
        <f>S_binomial[[#This Row],[X base]]=AF$5</f>
        <v>0</v>
      </c>
      <c r="AK419" s="99" t="b">
        <f>S_binomial[[#This Row],[X base]]&gt;AF$5</f>
        <v>0</v>
      </c>
      <c r="AL419" s="99">
        <f>IF(S_binomial[[#This Row],[Mindre end]],S_binomial[[#This Row],[Binomialfordeling]],NA())</f>
        <v>0.16082039904000001</v>
      </c>
      <c r="AM419" s="99" t="e">
        <f>IF(S_binomial[[#This Row],[Lig med]],S_binomial[[#This Row],[Binomialfordeling]],NA())</f>
        <v>#N/A</v>
      </c>
      <c r="AN419" s="99" t="e">
        <f>IF(S_binomial[[#This Row],[Større end]],S_binomial[[#This Row],[Binomialfordeling]],NA())</f>
        <v>#N/A</v>
      </c>
      <c r="AO419" s="85" t="str">
        <f>_xlfn.IFNA(IF(MOD(S_binomial[[#This Row],[Indeks (base 0)]],AF$7)=ROUNDDOWN(AF$7/2,0),S_binomial[[#This Row],[X base]],""),"")</f>
        <v/>
      </c>
      <c r="AP419" s="99" t="str">
        <f t="shared" si="72"/>
        <v xml:space="preserve"> </v>
      </c>
      <c r="AR419" s="54">
        <f t="shared" si="67"/>
        <v>406</v>
      </c>
      <c r="AS419" s="54">
        <f>S_normal27[[#This Row],[Indeks (base 0)]]+1</f>
        <v>407</v>
      </c>
      <c r="AT419" s="54">
        <f t="shared" si="69"/>
        <v>6</v>
      </c>
      <c r="AU419" s="54">
        <f>IF(MOD(S_normal27[[#This Row],[Indeks (base 0)]],AS$8)=0,NA(),_xlfn.POISSON.DIST(S_normal27[[#This Row],[X base]],$H$5,FALSE))</f>
        <v>5.0409406722462261E-2</v>
      </c>
      <c r="AV419" s="99" t="b">
        <f>S_normal27[[#This Row],[X base]]&lt;AS$5</f>
        <v>0</v>
      </c>
      <c r="AW419" s="99" t="b">
        <f>S_normal27[[#This Row],[X base]]=AS$5</f>
        <v>0</v>
      </c>
      <c r="AX419" s="99" t="b">
        <f>S_normal27[[#This Row],[X base]]&gt;AS$5</f>
        <v>1</v>
      </c>
      <c r="AY419" s="99" t="e">
        <f>IF(S_normal27[[#This Row],[Mindre end]],S_normal27[[#This Row],[Poissonfordeling]],NA())</f>
        <v>#N/A</v>
      </c>
      <c r="AZ419" s="99" t="e">
        <f>IF(S_normal27[[#This Row],[Lig med]],S_normal27[[#This Row],[Poissonfordeling]],NA())</f>
        <v>#N/A</v>
      </c>
      <c r="BA419" s="99">
        <f>IF(S_normal27[[#This Row],[Større end]],S_normal27[[#This Row],[Poissonfordeling]],NA())</f>
        <v>5.0409406722462261E-2</v>
      </c>
      <c r="BB419" s="85" t="str">
        <f>_xlfn.IFNA(IF(MOD(S_normal27[[#This Row],[Indeks (base 0)]],AS$8)=ROUNDDOWN(AS$8/2,0),S_normal27[[#This Row],[X base]],""),"")</f>
        <v/>
      </c>
      <c r="BC419" s="99" t="str">
        <f t="shared" si="68"/>
        <v xml:space="preserve"> </v>
      </c>
    </row>
    <row r="420" spans="31:55" x14ac:dyDescent="0.2">
      <c r="AE420" s="54">
        <f t="shared" si="70"/>
        <v>407</v>
      </c>
      <c r="AF420" s="54">
        <f>S_binomial[[#This Row],[Indeks (base 0)]]+1</f>
        <v>408</v>
      </c>
      <c r="AG420" s="99">
        <f t="shared" si="71"/>
        <v>4</v>
      </c>
      <c r="AH420" s="99">
        <f>IF(MOD(S_binomial[[#This Row],[Indeks (base 0)]],AF$7)=0,NA(),_xlfn.BINOM.DIST(S_binomial[[#This Row],[X base]],E$5,E$6,FALSE))</f>
        <v>0.16082039904000001</v>
      </c>
      <c r="AI420" s="99" t="b">
        <f>S_binomial[[#This Row],[X base]]&lt;AF$5</f>
        <v>1</v>
      </c>
      <c r="AJ420" s="99" t="b">
        <f>S_binomial[[#This Row],[X base]]=AF$5</f>
        <v>0</v>
      </c>
      <c r="AK420" s="99" t="b">
        <f>S_binomial[[#This Row],[X base]]&gt;AF$5</f>
        <v>0</v>
      </c>
      <c r="AL420" s="99">
        <f>IF(S_binomial[[#This Row],[Mindre end]],S_binomial[[#This Row],[Binomialfordeling]],NA())</f>
        <v>0.16082039904000001</v>
      </c>
      <c r="AM420" s="99" t="e">
        <f>IF(S_binomial[[#This Row],[Lig med]],S_binomial[[#This Row],[Binomialfordeling]],NA())</f>
        <v>#N/A</v>
      </c>
      <c r="AN420" s="99" t="e">
        <f>IF(S_binomial[[#This Row],[Større end]],S_binomial[[#This Row],[Binomialfordeling]],NA())</f>
        <v>#N/A</v>
      </c>
      <c r="AO420" s="85" t="str">
        <f>_xlfn.IFNA(IF(MOD(S_binomial[[#This Row],[Indeks (base 0)]],AF$7)=ROUNDDOWN(AF$7/2,0),S_binomial[[#This Row],[X base]],""),"")</f>
        <v/>
      </c>
      <c r="AP420" s="99" t="str">
        <f t="shared" si="72"/>
        <v xml:space="preserve"> </v>
      </c>
      <c r="AR420" s="54">
        <f t="shared" si="67"/>
        <v>407</v>
      </c>
      <c r="AS420" s="54">
        <f>S_normal27[[#This Row],[Indeks (base 0)]]+1</f>
        <v>408</v>
      </c>
      <c r="AT420" s="54">
        <f t="shared" si="69"/>
        <v>6</v>
      </c>
      <c r="AU420" s="54">
        <f>IF(MOD(S_normal27[[#This Row],[Indeks (base 0)]],AS$8)=0,NA(),_xlfn.POISSON.DIST(S_normal27[[#This Row],[X base]],$H$5,FALSE))</f>
        <v>5.0409406722462261E-2</v>
      </c>
      <c r="AV420" s="99" t="b">
        <f>S_normal27[[#This Row],[X base]]&lt;AS$5</f>
        <v>0</v>
      </c>
      <c r="AW420" s="99" t="b">
        <f>S_normal27[[#This Row],[X base]]=AS$5</f>
        <v>0</v>
      </c>
      <c r="AX420" s="99" t="b">
        <f>S_normal27[[#This Row],[X base]]&gt;AS$5</f>
        <v>1</v>
      </c>
      <c r="AY420" s="99" t="e">
        <f>IF(S_normal27[[#This Row],[Mindre end]],S_normal27[[#This Row],[Poissonfordeling]],NA())</f>
        <v>#N/A</v>
      </c>
      <c r="AZ420" s="99" t="e">
        <f>IF(S_normal27[[#This Row],[Lig med]],S_normal27[[#This Row],[Poissonfordeling]],NA())</f>
        <v>#N/A</v>
      </c>
      <c r="BA420" s="99">
        <f>IF(S_normal27[[#This Row],[Større end]],S_normal27[[#This Row],[Poissonfordeling]],NA())</f>
        <v>5.0409406722462261E-2</v>
      </c>
      <c r="BB420" s="85" t="str">
        <f>_xlfn.IFNA(IF(MOD(S_normal27[[#This Row],[Indeks (base 0)]],AS$8)=ROUNDDOWN(AS$8/2,0),S_normal27[[#This Row],[X base]],""),"")</f>
        <v/>
      </c>
      <c r="BC420" s="99" t="str">
        <f t="shared" si="68"/>
        <v xml:space="preserve"> </v>
      </c>
    </row>
    <row r="421" spans="31:55" x14ac:dyDescent="0.2">
      <c r="AE421" s="54">
        <f t="shared" si="70"/>
        <v>408</v>
      </c>
      <c r="AF421" s="54">
        <f>S_binomial[[#This Row],[Indeks (base 0)]]+1</f>
        <v>409</v>
      </c>
      <c r="AG421" s="99">
        <f t="shared" si="71"/>
        <v>4</v>
      </c>
      <c r="AH421" s="99">
        <f>IF(MOD(S_binomial[[#This Row],[Indeks (base 0)]],AF$7)=0,NA(),_xlfn.BINOM.DIST(S_binomial[[#This Row],[X base]],E$5,E$6,FALSE))</f>
        <v>0.16082039904000001</v>
      </c>
      <c r="AI421" s="99" t="b">
        <f>S_binomial[[#This Row],[X base]]&lt;AF$5</f>
        <v>1</v>
      </c>
      <c r="AJ421" s="99" t="b">
        <f>S_binomial[[#This Row],[X base]]=AF$5</f>
        <v>0</v>
      </c>
      <c r="AK421" s="99" t="b">
        <f>S_binomial[[#This Row],[X base]]&gt;AF$5</f>
        <v>0</v>
      </c>
      <c r="AL421" s="99">
        <f>IF(S_binomial[[#This Row],[Mindre end]],S_binomial[[#This Row],[Binomialfordeling]],NA())</f>
        <v>0.16082039904000001</v>
      </c>
      <c r="AM421" s="99" t="e">
        <f>IF(S_binomial[[#This Row],[Lig med]],S_binomial[[#This Row],[Binomialfordeling]],NA())</f>
        <v>#N/A</v>
      </c>
      <c r="AN421" s="99" t="e">
        <f>IF(S_binomial[[#This Row],[Større end]],S_binomial[[#This Row],[Binomialfordeling]],NA())</f>
        <v>#N/A</v>
      </c>
      <c r="AO421" s="85" t="str">
        <f>_xlfn.IFNA(IF(MOD(S_binomial[[#This Row],[Indeks (base 0)]],AF$7)=ROUNDDOWN(AF$7/2,0),S_binomial[[#This Row],[X base]],""),"")</f>
        <v/>
      </c>
      <c r="AP421" s="99" t="str">
        <f t="shared" si="72"/>
        <v xml:space="preserve"> </v>
      </c>
      <c r="AR421" s="54">
        <f t="shared" si="67"/>
        <v>408</v>
      </c>
      <c r="AS421" s="54">
        <f>S_normal27[[#This Row],[Indeks (base 0)]]+1</f>
        <v>409</v>
      </c>
      <c r="AT421" s="54">
        <f t="shared" si="69"/>
        <v>6</v>
      </c>
      <c r="AU421" s="54">
        <f>IF(MOD(S_normal27[[#This Row],[Indeks (base 0)]],AS$8)=0,NA(),_xlfn.POISSON.DIST(S_normal27[[#This Row],[X base]],$H$5,FALSE))</f>
        <v>5.0409406722462261E-2</v>
      </c>
      <c r="AV421" s="99" t="b">
        <f>S_normal27[[#This Row],[X base]]&lt;AS$5</f>
        <v>0</v>
      </c>
      <c r="AW421" s="99" t="b">
        <f>S_normal27[[#This Row],[X base]]=AS$5</f>
        <v>0</v>
      </c>
      <c r="AX421" s="99" t="b">
        <f>S_normal27[[#This Row],[X base]]&gt;AS$5</f>
        <v>1</v>
      </c>
      <c r="AY421" s="99" t="e">
        <f>IF(S_normal27[[#This Row],[Mindre end]],S_normal27[[#This Row],[Poissonfordeling]],NA())</f>
        <v>#N/A</v>
      </c>
      <c r="AZ421" s="99" t="e">
        <f>IF(S_normal27[[#This Row],[Lig med]],S_normal27[[#This Row],[Poissonfordeling]],NA())</f>
        <v>#N/A</v>
      </c>
      <c r="BA421" s="99">
        <f>IF(S_normal27[[#This Row],[Større end]],S_normal27[[#This Row],[Poissonfordeling]],NA())</f>
        <v>5.0409406722462261E-2</v>
      </c>
      <c r="BB421" s="85" t="str">
        <f>_xlfn.IFNA(IF(MOD(S_normal27[[#This Row],[Indeks (base 0)]],AS$8)=ROUNDDOWN(AS$8/2,0),S_normal27[[#This Row],[X base]],""),"")</f>
        <v/>
      </c>
      <c r="BC421" s="99" t="str">
        <f t="shared" si="68"/>
        <v xml:space="preserve"> </v>
      </c>
    </row>
    <row r="422" spans="31:55" x14ac:dyDescent="0.2">
      <c r="AE422" s="54">
        <f t="shared" si="70"/>
        <v>409</v>
      </c>
      <c r="AF422" s="54">
        <f>S_binomial[[#This Row],[Indeks (base 0)]]+1</f>
        <v>410</v>
      </c>
      <c r="AG422" s="99">
        <f t="shared" si="71"/>
        <v>4</v>
      </c>
      <c r="AH422" s="99">
        <f>IF(MOD(S_binomial[[#This Row],[Indeks (base 0)]],AF$7)=0,NA(),_xlfn.BINOM.DIST(S_binomial[[#This Row],[X base]],E$5,E$6,FALSE))</f>
        <v>0.16082039904000001</v>
      </c>
      <c r="AI422" s="99" t="b">
        <f>S_binomial[[#This Row],[X base]]&lt;AF$5</f>
        <v>1</v>
      </c>
      <c r="AJ422" s="99" t="b">
        <f>S_binomial[[#This Row],[X base]]=AF$5</f>
        <v>0</v>
      </c>
      <c r="AK422" s="99" t="b">
        <f>S_binomial[[#This Row],[X base]]&gt;AF$5</f>
        <v>0</v>
      </c>
      <c r="AL422" s="99">
        <f>IF(S_binomial[[#This Row],[Mindre end]],S_binomial[[#This Row],[Binomialfordeling]],NA())</f>
        <v>0.16082039904000001</v>
      </c>
      <c r="AM422" s="99" t="e">
        <f>IF(S_binomial[[#This Row],[Lig med]],S_binomial[[#This Row],[Binomialfordeling]],NA())</f>
        <v>#N/A</v>
      </c>
      <c r="AN422" s="99" t="e">
        <f>IF(S_binomial[[#This Row],[Større end]],S_binomial[[#This Row],[Binomialfordeling]],NA())</f>
        <v>#N/A</v>
      </c>
      <c r="AO422" s="85" t="str">
        <f>_xlfn.IFNA(IF(MOD(S_binomial[[#This Row],[Indeks (base 0)]],AF$7)=ROUNDDOWN(AF$7/2,0),S_binomial[[#This Row],[X base]],""),"")</f>
        <v/>
      </c>
      <c r="AP422" s="99" t="str">
        <f t="shared" si="72"/>
        <v xml:space="preserve"> </v>
      </c>
      <c r="AR422" s="54">
        <f t="shared" si="67"/>
        <v>409</v>
      </c>
      <c r="AS422" s="54">
        <f>S_normal27[[#This Row],[Indeks (base 0)]]+1</f>
        <v>410</v>
      </c>
      <c r="AT422" s="54">
        <f t="shared" si="69"/>
        <v>6</v>
      </c>
      <c r="AU422" s="54">
        <f>IF(MOD(S_normal27[[#This Row],[Indeks (base 0)]],AS$8)=0,NA(),_xlfn.POISSON.DIST(S_normal27[[#This Row],[X base]],$H$5,FALSE))</f>
        <v>5.0409406722462261E-2</v>
      </c>
      <c r="AV422" s="99" t="b">
        <f>S_normal27[[#This Row],[X base]]&lt;AS$5</f>
        <v>0</v>
      </c>
      <c r="AW422" s="99" t="b">
        <f>S_normal27[[#This Row],[X base]]=AS$5</f>
        <v>0</v>
      </c>
      <c r="AX422" s="99" t="b">
        <f>S_normal27[[#This Row],[X base]]&gt;AS$5</f>
        <v>1</v>
      </c>
      <c r="AY422" s="99" t="e">
        <f>IF(S_normal27[[#This Row],[Mindre end]],S_normal27[[#This Row],[Poissonfordeling]],NA())</f>
        <v>#N/A</v>
      </c>
      <c r="AZ422" s="99" t="e">
        <f>IF(S_normal27[[#This Row],[Lig med]],S_normal27[[#This Row],[Poissonfordeling]],NA())</f>
        <v>#N/A</v>
      </c>
      <c r="BA422" s="99">
        <f>IF(S_normal27[[#This Row],[Større end]],S_normal27[[#This Row],[Poissonfordeling]],NA())</f>
        <v>5.0409406722462261E-2</v>
      </c>
      <c r="BB422" s="85" t="str">
        <f>_xlfn.IFNA(IF(MOD(S_normal27[[#This Row],[Indeks (base 0)]],AS$8)=ROUNDDOWN(AS$8/2,0),S_normal27[[#This Row],[X base]],""),"")</f>
        <v/>
      </c>
      <c r="BC422" s="99" t="str">
        <f t="shared" si="68"/>
        <v xml:space="preserve"> </v>
      </c>
    </row>
    <row r="423" spans="31:55" x14ac:dyDescent="0.2">
      <c r="AE423" s="54">
        <f t="shared" si="70"/>
        <v>410</v>
      </c>
      <c r="AF423" s="54">
        <f>S_binomial[[#This Row],[Indeks (base 0)]]+1</f>
        <v>411</v>
      </c>
      <c r="AG423" s="99">
        <f t="shared" si="71"/>
        <v>4</v>
      </c>
      <c r="AH423" s="99">
        <f>IF(MOD(S_binomial[[#This Row],[Indeks (base 0)]],AF$7)=0,NA(),_xlfn.BINOM.DIST(S_binomial[[#This Row],[X base]],E$5,E$6,FALSE))</f>
        <v>0.16082039904000001</v>
      </c>
      <c r="AI423" s="99" t="b">
        <f>S_binomial[[#This Row],[X base]]&lt;AF$5</f>
        <v>1</v>
      </c>
      <c r="AJ423" s="99" t="b">
        <f>S_binomial[[#This Row],[X base]]=AF$5</f>
        <v>0</v>
      </c>
      <c r="AK423" s="99" t="b">
        <f>S_binomial[[#This Row],[X base]]&gt;AF$5</f>
        <v>0</v>
      </c>
      <c r="AL423" s="99">
        <f>IF(S_binomial[[#This Row],[Mindre end]],S_binomial[[#This Row],[Binomialfordeling]],NA())</f>
        <v>0.16082039904000001</v>
      </c>
      <c r="AM423" s="99" t="e">
        <f>IF(S_binomial[[#This Row],[Lig med]],S_binomial[[#This Row],[Binomialfordeling]],NA())</f>
        <v>#N/A</v>
      </c>
      <c r="AN423" s="99" t="e">
        <f>IF(S_binomial[[#This Row],[Større end]],S_binomial[[#This Row],[Binomialfordeling]],NA())</f>
        <v>#N/A</v>
      </c>
      <c r="AO423" s="85" t="str">
        <f>_xlfn.IFNA(IF(MOD(S_binomial[[#This Row],[Indeks (base 0)]],AF$7)=ROUNDDOWN(AF$7/2,0),S_binomial[[#This Row],[X base]],""),"")</f>
        <v/>
      </c>
      <c r="AP423" s="99" t="str">
        <f t="shared" si="72"/>
        <v xml:space="preserve"> </v>
      </c>
      <c r="AR423" s="54">
        <f t="shared" si="67"/>
        <v>410</v>
      </c>
      <c r="AS423" s="54">
        <f>S_normal27[[#This Row],[Indeks (base 0)]]+1</f>
        <v>411</v>
      </c>
      <c r="AT423" s="54">
        <f t="shared" si="69"/>
        <v>6</v>
      </c>
      <c r="AU423" s="54">
        <f>IF(MOD(S_normal27[[#This Row],[Indeks (base 0)]],AS$8)=0,NA(),_xlfn.POISSON.DIST(S_normal27[[#This Row],[X base]],$H$5,FALSE))</f>
        <v>5.0409406722462261E-2</v>
      </c>
      <c r="AV423" s="99" t="b">
        <f>S_normal27[[#This Row],[X base]]&lt;AS$5</f>
        <v>0</v>
      </c>
      <c r="AW423" s="99" t="b">
        <f>S_normal27[[#This Row],[X base]]=AS$5</f>
        <v>0</v>
      </c>
      <c r="AX423" s="99" t="b">
        <f>S_normal27[[#This Row],[X base]]&gt;AS$5</f>
        <v>1</v>
      </c>
      <c r="AY423" s="99" t="e">
        <f>IF(S_normal27[[#This Row],[Mindre end]],S_normal27[[#This Row],[Poissonfordeling]],NA())</f>
        <v>#N/A</v>
      </c>
      <c r="AZ423" s="99" t="e">
        <f>IF(S_normal27[[#This Row],[Lig med]],S_normal27[[#This Row],[Poissonfordeling]],NA())</f>
        <v>#N/A</v>
      </c>
      <c r="BA423" s="99">
        <f>IF(S_normal27[[#This Row],[Større end]],S_normal27[[#This Row],[Poissonfordeling]],NA())</f>
        <v>5.0409406722462261E-2</v>
      </c>
      <c r="BB423" s="85" t="str">
        <f>_xlfn.IFNA(IF(MOD(S_normal27[[#This Row],[Indeks (base 0)]],AS$8)=ROUNDDOWN(AS$8/2,0),S_normal27[[#This Row],[X base]],""),"")</f>
        <v/>
      </c>
      <c r="BC423" s="99" t="str">
        <f t="shared" si="68"/>
        <v xml:space="preserve"> </v>
      </c>
    </row>
    <row r="424" spans="31:55" x14ac:dyDescent="0.2">
      <c r="AE424" s="54">
        <f t="shared" si="70"/>
        <v>411</v>
      </c>
      <c r="AF424" s="54">
        <f>S_binomial[[#This Row],[Indeks (base 0)]]+1</f>
        <v>412</v>
      </c>
      <c r="AG424" s="99">
        <f t="shared" si="71"/>
        <v>4</v>
      </c>
      <c r="AH424" s="99">
        <f>IF(MOD(S_binomial[[#This Row],[Indeks (base 0)]],AF$7)=0,NA(),_xlfn.BINOM.DIST(S_binomial[[#This Row],[X base]],E$5,E$6,FALSE))</f>
        <v>0.16082039904000001</v>
      </c>
      <c r="AI424" s="99" t="b">
        <f>S_binomial[[#This Row],[X base]]&lt;AF$5</f>
        <v>1</v>
      </c>
      <c r="AJ424" s="99" t="b">
        <f>S_binomial[[#This Row],[X base]]=AF$5</f>
        <v>0</v>
      </c>
      <c r="AK424" s="99" t="b">
        <f>S_binomial[[#This Row],[X base]]&gt;AF$5</f>
        <v>0</v>
      </c>
      <c r="AL424" s="99">
        <f>IF(S_binomial[[#This Row],[Mindre end]],S_binomial[[#This Row],[Binomialfordeling]],NA())</f>
        <v>0.16082039904000001</v>
      </c>
      <c r="AM424" s="99" t="e">
        <f>IF(S_binomial[[#This Row],[Lig med]],S_binomial[[#This Row],[Binomialfordeling]],NA())</f>
        <v>#N/A</v>
      </c>
      <c r="AN424" s="99" t="e">
        <f>IF(S_binomial[[#This Row],[Større end]],S_binomial[[#This Row],[Binomialfordeling]],NA())</f>
        <v>#N/A</v>
      </c>
      <c r="AO424" s="85" t="str">
        <f>_xlfn.IFNA(IF(MOD(S_binomial[[#This Row],[Indeks (base 0)]],AF$7)=ROUNDDOWN(AF$7/2,0),S_binomial[[#This Row],[X base]],""),"")</f>
        <v/>
      </c>
      <c r="AP424" s="99" t="str">
        <f t="shared" si="72"/>
        <v xml:space="preserve"> </v>
      </c>
      <c r="AR424" s="54">
        <f t="shared" si="67"/>
        <v>411</v>
      </c>
      <c r="AS424" s="54">
        <f>S_normal27[[#This Row],[Indeks (base 0)]]+1</f>
        <v>412</v>
      </c>
      <c r="AT424" s="54">
        <f t="shared" si="69"/>
        <v>6</v>
      </c>
      <c r="AU424" s="54">
        <f>IF(MOD(S_normal27[[#This Row],[Indeks (base 0)]],AS$8)=0,NA(),_xlfn.POISSON.DIST(S_normal27[[#This Row],[X base]],$H$5,FALSE))</f>
        <v>5.0409406722462261E-2</v>
      </c>
      <c r="AV424" s="99" t="b">
        <f>S_normal27[[#This Row],[X base]]&lt;AS$5</f>
        <v>0</v>
      </c>
      <c r="AW424" s="99" t="b">
        <f>S_normal27[[#This Row],[X base]]=AS$5</f>
        <v>0</v>
      </c>
      <c r="AX424" s="99" t="b">
        <f>S_normal27[[#This Row],[X base]]&gt;AS$5</f>
        <v>1</v>
      </c>
      <c r="AY424" s="99" t="e">
        <f>IF(S_normal27[[#This Row],[Mindre end]],S_normal27[[#This Row],[Poissonfordeling]],NA())</f>
        <v>#N/A</v>
      </c>
      <c r="AZ424" s="99" t="e">
        <f>IF(S_normal27[[#This Row],[Lig med]],S_normal27[[#This Row],[Poissonfordeling]],NA())</f>
        <v>#N/A</v>
      </c>
      <c r="BA424" s="99">
        <f>IF(S_normal27[[#This Row],[Større end]],S_normal27[[#This Row],[Poissonfordeling]],NA())</f>
        <v>5.0409406722462261E-2</v>
      </c>
      <c r="BB424" s="85" t="str">
        <f>_xlfn.IFNA(IF(MOD(S_normal27[[#This Row],[Indeks (base 0)]],AS$8)=ROUNDDOWN(AS$8/2,0),S_normal27[[#This Row],[X base]],""),"")</f>
        <v/>
      </c>
      <c r="BC424" s="99" t="str">
        <f t="shared" si="68"/>
        <v xml:space="preserve"> </v>
      </c>
    </row>
    <row r="425" spans="31:55" x14ac:dyDescent="0.2">
      <c r="AE425" s="54">
        <f t="shared" si="70"/>
        <v>412</v>
      </c>
      <c r="AF425" s="54">
        <f>S_binomial[[#This Row],[Indeks (base 0)]]+1</f>
        <v>413</v>
      </c>
      <c r="AG425" s="99">
        <f t="shared" si="71"/>
        <v>4</v>
      </c>
      <c r="AH425" s="99">
        <f>IF(MOD(S_binomial[[#This Row],[Indeks (base 0)]],AF$7)=0,NA(),_xlfn.BINOM.DIST(S_binomial[[#This Row],[X base]],E$5,E$6,FALSE))</f>
        <v>0.16082039904000001</v>
      </c>
      <c r="AI425" s="99" t="b">
        <f>S_binomial[[#This Row],[X base]]&lt;AF$5</f>
        <v>1</v>
      </c>
      <c r="AJ425" s="99" t="b">
        <f>S_binomial[[#This Row],[X base]]=AF$5</f>
        <v>0</v>
      </c>
      <c r="AK425" s="99" t="b">
        <f>S_binomial[[#This Row],[X base]]&gt;AF$5</f>
        <v>0</v>
      </c>
      <c r="AL425" s="99">
        <f>IF(S_binomial[[#This Row],[Mindre end]],S_binomial[[#This Row],[Binomialfordeling]],NA())</f>
        <v>0.16082039904000001</v>
      </c>
      <c r="AM425" s="99" t="e">
        <f>IF(S_binomial[[#This Row],[Lig med]],S_binomial[[#This Row],[Binomialfordeling]],NA())</f>
        <v>#N/A</v>
      </c>
      <c r="AN425" s="99" t="e">
        <f>IF(S_binomial[[#This Row],[Større end]],S_binomial[[#This Row],[Binomialfordeling]],NA())</f>
        <v>#N/A</v>
      </c>
      <c r="AO425" s="85" t="str">
        <f>_xlfn.IFNA(IF(MOD(S_binomial[[#This Row],[Indeks (base 0)]],AF$7)=ROUNDDOWN(AF$7/2,0),S_binomial[[#This Row],[X base]],""),"")</f>
        <v/>
      </c>
      <c r="AP425" s="99" t="str">
        <f t="shared" si="72"/>
        <v xml:space="preserve"> </v>
      </c>
      <c r="AR425" s="54">
        <f t="shared" si="67"/>
        <v>412</v>
      </c>
      <c r="AS425" s="54">
        <f>S_normal27[[#This Row],[Indeks (base 0)]]+1</f>
        <v>413</v>
      </c>
      <c r="AT425" s="54">
        <f t="shared" si="69"/>
        <v>6</v>
      </c>
      <c r="AU425" s="54">
        <f>IF(MOD(S_normal27[[#This Row],[Indeks (base 0)]],AS$8)=0,NA(),_xlfn.POISSON.DIST(S_normal27[[#This Row],[X base]],$H$5,FALSE))</f>
        <v>5.0409406722462261E-2</v>
      </c>
      <c r="AV425" s="99" t="b">
        <f>S_normal27[[#This Row],[X base]]&lt;AS$5</f>
        <v>0</v>
      </c>
      <c r="AW425" s="99" t="b">
        <f>S_normal27[[#This Row],[X base]]=AS$5</f>
        <v>0</v>
      </c>
      <c r="AX425" s="99" t="b">
        <f>S_normal27[[#This Row],[X base]]&gt;AS$5</f>
        <v>1</v>
      </c>
      <c r="AY425" s="99" t="e">
        <f>IF(S_normal27[[#This Row],[Mindre end]],S_normal27[[#This Row],[Poissonfordeling]],NA())</f>
        <v>#N/A</v>
      </c>
      <c r="AZ425" s="99" t="e">
        <f>IF(S_normal27[[#This Row],[Lig med]],S_normal27[[#This Row],[Poissonfordeling]],NA())</f>
        <v>#N/A</v>
      </c>
      <c r="BA425" s="99">
        <f>IF(S_normal27[[#This Row],[Større end]],S_normal27[[#This Row],[Poissonfordeling]],NA())</f>
        <v>5.0409406722462261E-2</v>
      </c>
      <c r="BB425" s="85" t="str">
        <f>_xlfn.IFNA(IF(MOD(S_normal27[[#This Row],[Indeks (base 0)]],AS$8)=ROUNDDOWN(AS$8/2,0),S_normal27[[#This Row],[X base]],""),"")</f>
        <v/>
      </c>
      <c r="BC425" s="99" t="str">
        <f t="shared" si="68"/>
        <v xml:space="preserve"> </v>
      </c>
    </row>
    <row r="426" spans="31:55" x14ac:dyDescent="0.2">
      <c r="AE426" s="54">
        <f t="shared" si="70"/>
        <v>413</v>
      </c>
      <c r="AF426" s="54">
        <f>S_binomial[[#This Row],[Indeks (base 0)]]+1</f>
        <v>414</v>
      </c>
      <c r="AG426" s="99">
        <f t="shared" si="71"/>
        <v>4</v>
      </c>
      <c r="AH426" s="99">
        <f>IF(MOD(S_binomial[[#This Row],[Indeks (base 0)]],AF$7)=0,NA(),_xlfn.BINOM.DIST(S_binomial[[#This Row],[X base]],E$5,E$6,FALSE))</f>
        <v>0.16082039904000001</v>
      </c>
      <c r="AI426" s="99" t="b">
        <f>S_binomial[[#This Row],[X base]]&lt;AF$5</f>
        <v>1</v>
      </c>
      <c r="AJ426" s="99" t="b">
        <f>S_binomial[[#This Row],[X base]]=AF$5</f>
        <v>0</v>
      </c>
      <c r="AK426" s="99" t="b">
        <f>S_binomial[[#This Row],[X base]]&gt;AF$5</f>
        <v>0</v>
      </c>
      <c r="AL426" s="99">
        <f>IF(S_binomial[[#This Row],[Mindre end]],S_binomial[[#This Row],[Binomialfordeling]],NA())</f>
        <v>0.16082039904000001</v>
      </c>
      <c r="AM426" s="99" t="e">
        <f>IF(S_binomial[[#This Row],[Lig med]],S_binomial[[#This Row],[Binomialfordeling]],NA())</f>
        <v>#N/A</v>
      </c>
      <c r="AN426" s="99" t="e">
        <f>IF(S_binomial[[#This Row],[Større end]],S_binomial[[#This Row],[Binomialfordeling]],NA())</f>
        <v>#N/A</v>
      </c>
      <c r="AO426" s="85" t="str">
        <f>_xlfn.IFNA(IF(MOD(S_binomial[[#This Row],[Indeks (base 0)]],AF$7)=ROUNDDOWN(AF$7/2,0),S_binomial[[#This Row],[X base]],""),"")</f>
        <v/>
      </c>
      <c r="AP426" s="99" t="str">
        <f t="shared" si="72"/>
        <v xml:space="preserve"> </v>
      </c>
      <c r="AR426" s="54">
        <f t="shared" si="67"/>
        <v>413</v>
      </c>
      <c r="AS426" s="54">
        <f>S_normal27[[#This Row],[Indeks (base 0)]]+1</f>
        <v>414</v>
      </c>
      <c r="AT426" s="54">
        <f t="shared" si="69"/>
        <v>6</v>
      </c>
      <c r="AU426" s="54">
        <f>IF(MOD(S_normal27[[#This Row],[Indeks (base 0)]],AS$8)=0,NA(),_xlfn.POISSON.DIST(S_normal27[[#This Row],[X base]],$H$5,FALSE))</f>
        <v>5.0409406722462261E-2</v>
      </c>
      <c r="AV426" s="99" t="b">
        <f>S_normal27[[#This Row],[X base]]&lt;AS$5</f>
        <v>0</v>
      </c>
      <c r="AW426" s="99" t="b">
        <f>S_normal27[[#This Row],[X base]]=AS$5</f>
        <v>0</v>
      </c>
      <c r="AX426" s="99" t="b">
        <f>S_normal27[[#This Row],[X base]]&gt;AS$5</f>
        <v>1</v>
      </c>
      <c r="AY426" s="99" t="e">
        <f>IF(S_normal27[[#This Row],[Mindre end]],S_normal27[[#This Row],[Poissonfordeling]],NA())</f>
        <v>#N/A</v>
      </c>
      <c r="AZ426" s="99" t="e">
        <f>IF(S_normal27[[#This Row],[Lig med]],S_normal27[[#This Row],[Poissonfordeling]],NA())</f>
        <v>#N/A</v>
      </c>
      <c r="BA426" s="99">
        <f>IF(S_normal27[[#This Row],[Større end]],S_normal27[[#This Row],[Poissonfordeling]],NA())</f>
        <v>5.0409406722462261E-2</v>
      </c>
      <c r="BB426" s="85" t="str">
        <f>_xlfn.IFNA(IF(MOD(S_normal27[[#This Row],[Indeks (base 0)]],AS$8)=ROUNDDOWN(AS$8/2,0),S_normal27[[#This Row],[X base]],""),"")</f>
        <v/>
      </c>
      <c r="BC426" s="99" t="str">
        <f t="shared" si="68"/>
        <v xml:space="preserve"> </v>
      </c>
    </row>
    <row r="427" spans="31:55" x14ac:dyDescent="0.2">
      <c r="AE427" s="54">
        <f t="shared" si="70"/>
        <v>414</v>
      </c>
      <c r="AF427" s="54">
        <f>S_binomial[[#This Row],[Indeks (base 0)]]+1</f>
        <v>415</v>
      </c>
      <c r="AG427" s="99">
        <f t="shared" si="71"/>
        <v>4</v>
      </c>
      <c r="AH427" s="99">
        <f>IF(MOD(S_binomial[[#This Row],[Indeks (base 0)]],AF$7)=0,NA(),_xlfn.BINOM.DIST(S_binomial[[#This Row],[X base]],E$5,E$6,FALSE))</f>
        <v>0.16082039904000001</v>
      </c>
      <c r="AI427" s="99" t="b">
        <f>S_binomial[[#This Row],[X base]]&lt;AF$5</f>
        <v>1</v>
      </c>
      <c r="AJ427" s="99" t="b">
        <f>S_binomial[[#This Row],[X base]]=AF$5</f>
        <v>0</v>
      </c>
      <c r="AK427" s="99" t="b">
        <f>S_binomial[[#This Row],[X base]]&gt;AF$5</f>
        <v>0</v>
      </c>
      <c r="AL427" s="99">
        <f>IF(S_binomial[[#This Row],[Mindre end]],S_binomial[[#This Row],[Binomialfordeling]],NA())</f>
        <v>0.16082039904000001</v>
      </c>
      <c r="AM427" s="99" t="e">
        <f>IF(S_binomial[[#This Row],[Lig med]],S_binomial[[#This Row],[Binomialfordeling]],NA())</f>
        <v>#N/A</v>
      </c>
      <c r="AN427" s="99" t="e">
        <f>IF(S_binomial[[#This Row],[Større end]],S_binomial[[#This Row],[Binomialfordeling]],NA())</f>
        <v>#N/A</v>
      </c>
      <c r="AO427" s="85">
        <f>_xlfn.IFNA(IF(MOD(S_binomial[[#This Row],[Indeks (base 0)]],AF$7)=ROUNDDOWN(AF$7/2,0),S_binomial[[#This Row],[X base]],""),"")</f>
        <v>4</v>
      </c>
      <c r="AP427" s="99" t="str">
        <f t="shared" si="72"/>
        <v xml:space="preserve"> </v>
      </c>
      <c r="AR427" s="54">
        <f t="shared" si="67"/>
        <v>414</v>
      </c>
      <c r="AS427" s="54">
        <f>S_normal27[[#This Row],[Indeks (base 0)]]+1</f>
        <v>415</v>
      </c>
      <c r="AT427" s="54">
        <f t="shared" si="69"/>
        <v>6</v>
      </c>
      <c r="AU427" s="54">
        <f>IF(MOD(S_normal27[[#This Row],[Indeks (base 0)]],AS$8)=0,NA(),_xlfn.POISSON.DIST(S_normal27[[#This Row],[X base]],$H$5,FALSE))</f>
        <v>5.0409406722462261E-2</v>
      </c>
      <c r="AV427" s="99" t="b">
        <f>S_normal27[[#This Row],[X base]]&lt;AS$5</f>
        <v>0</v>
      </c>
      <c r="AW427" s="99" t="b">
        <f>S_normal27[[#This Row],[X base]]=AS$5</f>
        <v>0</v>
      </c>
      <c r="AX427" s="99" t="b">
        <f>S_normal27[[#This Row],[X base]]&gt;AS$5</f>
        <v>1</v>
      </c>
      <c r="AY427" s="99" t="e">
        <f>IF(S_normal27[[#This Row],[Mindre end]],S_normal27[[#This Row],[Poissonfordeling]],NA())</f>
        <v>#N/A</v>
      </c>
      <c r="AZ427" s="99" t="e">
        <f>IF(S_normal27[[#This Row],[Lig med]],S_normal27[[#This Row],[Poissonfordeling]],NA())</f>
        <v>#N/A</v>
      </c>
      <c r="BA427" s="99">
        <f>IF(S_normal27[[#This Row],[Større end]],S_normal27[[#This Row],[Poissonfordeling]],NA())</f>
        <v>5.0409406722462261E-2</v>
      </c>
      <c r="BB427" s="85" t="str">
        <f>_xlfn.IFNA(IF(MOD(S_normal27[[#This Row],[Indeks (base 0)]],AS$8)=ROUNDDOWN(AS$8/2,0),S_normal27[[#This Row],[X base]],""),"")</f>
        <v/>
      </c>
      <c r="BC427" s="99" t="str">
        <f t="shared" si="68"/>
        <v xml:space="preserve"> </v>
      </c>
    </row>
    <row r="428" spans="31:55" x14ac:dyDescent="0.2">
      <c r="AE428" s="54">
        <f t="shared" si="70"/>
        <v>415</v>
      </c>
      <c r="AF428" s="54">
        <f>S_binomial[[#This Row],[Indeks (base 0)]]+1</f>
        <v>416</v>
      </c>
      <c r="AG428" s="99">
        <f t="shared" si="71"/>
        <v>4</v>
      </c>
      <c r="AH428" s="99">
        <f>IF(MOD(S_binomial[[#This Row],[Indeks (base 0)]],AF$7)=0,NA(),_xlfn.BINOM.DIST(S_binomial[[#This Row],[X base]],E$5,E$6,FALSE))</f>
        <v>0.16082039904000001</v>
      </c>
      <c r="AI428" s="99" t="b">
        <f>S_binomial[[#This Row],[X base]]&lt;AF$5</f>
        <v>1</v>
      </c>
      <c r="AJ428" s="99" t="b">
        <f>S_binomial[[#This Row],[X base]]=AF$5</f>
        <v>0</v>
      </c>
      <c r="AK428" s="99" t="b">
        <f>S_binomial[[#This Row],[X base]]&gt;AF$5</f>
        <v>0</v>
      </c>
      <c r="AL428" s="99">
        <f>IF(S_binomial[[#This Row],[Mindre end]],S_binomial[[#This Row],[Binomialfordeling]],NA())</f>
        <v>0.16082039904000001</v>
      </c>
      <c r="AM428" s="99" t="e">
        <f>IF(S_binomial[[#This Row],[Lig med]],S_binomial[[#This Row],[Binomialfordeling]],NA())</f>
        <v>#N/A</v>
      </c>
      <c r="AN428" s="99" t="e">
        <f>IF(S_binomial[[#This Row],[Større end]],S_binomial[[#This Row],[Binomialfordeling]],NA())</f>
        <v>#N/A</v>
      </c>
      <c r="AO428" s="85" t="str">
        <f>_xlfn.IFNA(IF(MOD(S_binomial[[#This Row],[Indeks (base 0)]],AF$7)=ROUNDDOWN(AF$7/2,0),S_binomial[[#This Row],[X base]],""),"")</f>
        <v/>
      </c>
      <c r="AP428" s="99" t="str">
        <f t="shared" si="72"/>
        <v xml:space="preserve"> </v>
      </c>
      <c r="AR428" s="54">
        <f t="shared" si="67"/>
        <v>415</v>
      </c>
      <c r="AS428" s="54">
        <f>S_normal27[[#This Row],[Indeks (base 0)]]+1</f>
        <v>416</v>
      </c>
      <c r="AT428" s="54">
        <f t="shared" si="69"/>
        <v>6</v>
      </c>
      <c r="AU428" s="54">
        <f>IF(MOD(S_normal27[[#This Row],[Indeks (base 0)]],AS$8)=0,NA(),_xlfn.POISSON.DIST(S_normal27[[#This Row],[X base]],$H$5,FALSE))</f>
        <v>5.0409406722462261E-2</v>
      </c>
      <c r="AV428" s="99" t="b">
        <f>S_normal27[[#This Row],[X base]]&lt;AS$5</f>
        <v>0</v>
      </c>
      <c r="AW428" s="99" t="b">
        <f>S_normal27[[#This Row],[X base]]=AS$5</f>
        <v>0</v>
      </c>
      <c r="AX428" s="99" t="b">
        <f>S_normal27[[#This Row],[X base]]&gt;AS$5</f>
        <v>1</v>
      </c>
      <c r="AY428" s="99" t="e">
        <f>IF(S_normal27[[#This Row],[Mindre end]],S_normal27[[#This Row],[Poissonfordeling]],NA())</f>
        <v>#N/A</v>
      </c>
      <c r="AZ428" s="99" t="e">
        <f>IF(S_normal27[[#This Row],[Lig med]],S_normal27[[#This Row],[Poissonfordeling]],NA())</f>
        <v>#N/A</v>
      </c>
      <c r="BA428" s="99">
        <f>IF(S_normal27[[#This Row],[Større end]],S_normal27[[#This Row],[Poissonfordeling]],NA())</f>
        <v>5.0409406722462261E-2</v>
      </c>
      <c r="BB428" s="85" t="str">
        <f>_xlfn.IFNA(IF(MOD(S_normal27[[#This Row],[Indeks (base 0)]],AS$8)=ROUNDDOWN(AS$8/2,0),S_normal27[[#This Row],[X base]],""),"")</f>
        <v/>
      </c>
      <c r="BC428" s="99" t="str">
        <f t="shared" si="68"/>
        <v xml:space="preserve"> </v>
      </c>
    </row>
    <row r="429" spans="31:55" x14ac:dyDescent="0.2">
      <c r="AE429" s="54">
        <f t="shared" si="70"/>
        <v>416</v>
      </c>
      <c r="AF429" s="54">
        <f>S_binomial[[#This Row],[Indeks (base 0)]]+1</f>
        <v>417</v>
      </c>
      <c r="AG429" s="99">
        <f t="shared" si="71"/>
        <v>4</v>
      </c>
      <c r="AH429" s="99">
        <f>IF(MOD(S_binomial[[#This Row],[Indeks (base 0)]],AF$7)=0,NA(),_xlfn.BINOM.DIST(S_binomial[[#This Row],[X base]],E$5,E$6,FALSE))</f>
        <v>0.16082039904000001</v>
      </c>
      <c r="AI429" s="99" t="b">
        <f>S_binomial[[#This Row],[X base]]&lt;AF$5</f>
        <v>1</v>
      </c>
      <c r="AJ429" s="99" t="b">
        <f>S_binomial[[#This Row],[X base]]=AF$5</f>
        <v>0</v>
      </c>
      <c r="AK429" s="99" t="b">
        <f>S_binomial[[#This Row],[X base]]&gt;AF$5</f>
        <v>0</v>
      </c>
      <c r="AL429" s="99">
        <f>IF(S_binomial[[#This Row],[Mindre end]],S_binomial[[#This Row],[Binomialfordeling]],NA())</f>
        <v>0.16082039904000001</v>
      </c>
      <c r="AM429" s="99" t="e">
        <f>IF(S_binomial[[#This Row],[Lig med]],S_binomial[[#This Row],[Binomialfordeling]],NA())</f>
        <v>#N/A</v>
      </c>
      <c r="AN429" s="99" t="e">
        <f>IF(S_binomial[[#This Row],[Større end]],S_binomial[[#This Row],[Binomialfordeling]],NA())</f>
        <v>#N/A</v>
      </c>
      <c r="AO429" s="85" t="str">
        <f>_xlfn.IFNA(IF(MOD(S_binomial[[#This Row],[Indeks (base 0)]],AF$7)=ROUNDDOWN(AF$7/2,0),S_binomial[[#This Row],[X base]],""),"")</f>
        <v/>
      </c>
      <c r="AP429" s="99" t="str">
        <f t="shared" si="72"/>
        <v xml:space="preserve"> </v>
      </c>
      <c r="AR429" s="54">
        <f t="shared" si="67"/>
        <v>416</v>
      </c>
      <c r="AS429" s="54">
        <f>S_normal27[[#This Row],[Indeks (base 0)]]+1</f>
        <v>417</v>
      </c>
      <c r="AT429" s="54">
        <f t="shared" si="69"/>
        <v>6</v>
      </c>
      <c r="AU429" s="54">
        <f>IF(MOD(S_normal27[[#This Row],[Indeks (base 0)]],AS$8)=0,NA(),_xlfn.POISSON.DIST(S_normal27[[#This Row],[X base]],$H$5,FALSE))</f>
        <v>5.0409406722462261E-2</v>
      </c>
      <c r="AV429" s="99" t="b">
        <f>S_normal27[[#This Row],[X base]]&lt;AS$5</f>
        <v>0</v>
      </c>
      <c r="AW429" s="99" t="b">
        <f>S_normal27[[#This Row],[X base]]=AS$5</f>
        <v>0</v>
      </c>
      <c r="AX429" s="99" t="b">
        <f>S_normal27[[#This Row],[X base]]&gt;AS$5</f>
        <v>1</v>
      </c>
      <c r="AY429" s="99" t="e">
        <f>IF(S_normal27[[#This Row],[Mindre end]],S_normal27[[#This Row],[Poissonfordeling]],NA())</f>
        <v>#N/A</v>
      </c>
      <c r="AZ429" s="99" t="e">
        <f>IF(S_normal27[[#This Row],[Lig med]],S_normal27[[#This Row],[Poissonfordeling]],NA())</f>
        <v>#N/A</v>
      </c>
      <c r="BA429" s="99">
        <f>IF(S_normal27[[#This Row],[Større end]],S_normal27[[#This Row],[Poissonfordeling]],NA())</f>
        <v>5.0409406722462261E-2</v>
      </c>
      <c r="BB429" s="85" t="str">
        <f>_xlfn.IFNA(IF(MOD(S_normal27[[#This Row],[Indeks (base 0)]],AS$8)=ROUNDDOWN(AS$8/2,0),S_normal27[[#This Row],[X base]],""),"")</f>
        <v/>
      </c>
      <c r="BC429" s="99" t="str">
        <f t="shared" si="68"/>
        <v xml:space="preserve"> </v>
      </c>
    </row>
    <row r="430" spans="31:55" x14ac:dyDescent="0.2">
      <c r="AE430" s="54">
        <f t="shared" si="70"/>
        <v>417</v>
      </c>
      <c r="AF430" s="54">
        <f>S_binomial[[#This Row],[Indeks (base 0)]]+1</f>
        <v>418</v>
      </c>
      <c r="AG430" s="99">
        <f t="shared" si="71"/>
        <v>4</v>
      </c>
      <c r="AH430" s="99">
        <f>IF(MOD(S_binomial[[#This Row],[Indeks (base 0)]],AF$7)=0,NA(),_xlfn.BINOM.DIST(S_binomial[[#This Row],[X base]],E$5,E$6,FALSE))</f>
        <v>0.16082039904000001</v>
      </c>
      <c r="AI430" s="99" t="b">
        <f>S_binomial[[#This Row],[X base]]&lt;AF$5</f>
        <v>1</v>
      </c>
      <c r="AJ430" s="99" t="b">
        <f>S_binomial[[#This Row],[X base]]=AF$5</f>
        <v>0</v>
      </c>
      <c r="AK430" s="99" t="b">
        <f>S_binomial[[#This Row],[X base]]&gt;AF$5</f>
        <v>0</v>
      </c>
      <c r="AL430" s="99">
        <f>IF(S_binomial[[#This Row],[Mindre end]],S_binomial[[#This Row],[Binomialfordeling]],NA())</f>
        <v>0.16082039904000001</v>
      </c>
      <c r="AM430" s="99" t="e">
        <f>IF(S_binomial[[#This Row],[Lig med]],S_binomial[[#This Row],[Binomialfordeling]],NA())</f>
        <v>#N/A</v>
      </c>
      <c r="AN430" s="99" t="e">
        <f>IF(S_binomial[[#This Row],[Større end]],S_binomial[[#This Row],[Binomialfordeling]],NA())</f>
        <v>#N/A</v>
      </c>
      <c r="AO430" s="85" t="str">
        <f>_xlfn.IFNA(IF(MOD(S_binomial[[#This Row],[Indeks (base 0)]],AF$7)=ROUNDDOWN(AF$7/2,0),S_binomial[[#This Row],[X base]],""),"")</f>
        <v/>
      </c>
      <c r="AP430" s="99" t="str">
        <f t="shared" si="72"/>
        <v xml:space="preserve"> </v>
      </c>
      <c r="AR430" s="54">
        <f t="shared" si="67"/>
        <v>417</v>
      </c>
      <c r="AS430" s="54">
        <f>S_normal27[[#This Row],[Indeks (base 0)]]+1</f>
        <v>418</v>
      </c>
      <c r="AT430" s="54">
        <f t="shared" si="69"/>
        <v>6</v>
      </c>
      <c r="AU430" s="54">
        <f>IF(MOD(S_normal27[[#This Row],[Indeks (base 0)]],AS$8)=0,NA(),_xlfn.POISSON.DIST(S_normal27[[#This Row],[X base]],$H$5,FALSE))</f>
        <v>5.0409406722462261E-2</v>
      </c>
      <c r="AV430" s="99" t="b">
        <f>S_normal27[[#This Row],[X base]]&lt;AS$5</f>
        <v>0</v>
      </c>
      <c r="AW430" s="99" t="b">
        <f>S_normal27[[#This Row],[X base]]=AS$5</f>
        <v>0</v>
      </c>
      <c r="AX430" s="99" t="b">
        <f>S_normal27[[#This Row],[X base]]&gt;AS$5</f>
        <v>1</v>
      </c>
      <c r="AY430" s="99" t="e">
        <f>IF(S_normal27[[#This Row],[Mindre end]],S_normal27[[#This Row],[Poissonfordeling]],NA())</f>
        <v>#N/A</v>
      </c>
      <c r="AZ430" s="99" t="e">
        <f>IF(S_normal27[[#This Row],[Lig med]],S_normal27[[#This Row],[Poissonfordeling]],NA())</f>
        <v>#N/A</v>
      </c>
      <c r="BA430" s="99">
        <f>IF(S_normal27[[#This Row],[Større end]],S_normal27[[#This Row],[Poissonfordeling]],NA())</f>
        <v>5.0409406722462261E-2</v>
      </c>
      <c r="BB430" s="85" t="str">
        <f>_xlfn.IFNA(IF(MOD(S_normal27[[#This Row],[Indeks (base 0)]],AS$8)=ROUNDDOWN(AS$8/2,0),S_normal27[[#This Row],[X base]],""),"")</f>
        <v/>
      </c>
      <c r="BC430" s="99" t="str">
        <f t="shared" si="68"/>
        <v xml:space="preserve"> </v>
      </c>
    </row>
    <row r="431" spans="31:55" x14ac:dyDescent="0.2">
      <c r="AE431" s="54">
        <f t="shared" si="70"/>
        <v>418</v>
      </c>
      <c r="AF431" s="54">
        <f>S_binomial[[#This Row],[Indeks (base 0)]]+1</f>
        <v>419</v>
      </c>
      <c r="AG431" s="99">
        <f t="shared" si="71"/>
        <v>4</v>
      </c>
      <c r="AH431" s="99">
        <f>IF(MOD(S_binomial[[#This Row],[Indeks (base 0)]],AF$7)=0,NA(),_xlfn.BINOM.DIST(S_binomial[[#This Row],[X base]],E$5,E$6,FALSE))</f>
        <v>0.16082039904000001</v>
      </c>
      <c r="AI431" s="99" t="b">
        <f>S_binomial[[#This Row],[X base]]&lt;AF$5</f>
        <v>1</v>
      </c>
      <c r="AJ431" s="99" t="b">
        <f>S_binomial[[#This Row],[X base]]=AF$5</f>
        <v>0</v>
      </c>
      <c r="AK431" s="99" t="b">
        <f>S_binomial[[#This Row],[X base]]&gt;AF$5</f>
        <v>0</v>
      </c>
      <c r="AL431" s="99">
        <f>IF(S_binomial[[#This Row],[Mindre end]],S_binomial[[#This Row],[Binomialfordeling]],NA())</f>
        <v>0.16082039904000001</v>
      </c>
      <c r="AM431" s="99" t="e">
        <f>IF(S_binomial[[#This Row],[Lig med]],S_binomial[[#This Row],[Binomialfordeling]],NA())</f>
        <v>#N/A</v>
      </c>
      <c r="AN431" s="99" t="e">
        <f>IF(S_binomial[[#This Row],[Større end]],S_binomial[[#This Row],[Binomialfordeling]],NA())</f>
        <v>#N/A</v>
      </c>
      <c r="AO431" s="85" t="str">
        <f>_xlfn.IFNA(IF(MOD(S_binomial[[#This Row],[Indeks (base 0)]],AF$7)=ROUNDDOWN(AF$7/2,0),S_binomial[[#This Row],[X base]],""),"")</f>
        <v/>
      </c>
      <c r="AP431" s="99" t="str">
        <f t="shared" si="72"/>
        <v xml:space="preserve"> </v>
      </c>
      <c r="AR431" s="54">
        <f t="shared" si="67"/>
        <v>418</v>
      </c>
      <c r="AS431" s="54">
        <f>S_normal27[[#This Row],[Indeks (base 0)]]+1</f>
        <v>419</v>
      </c>
      <c r="AT431" s="54">
        <f t="shared" si="69"/>
        <v>6</v>
      </c>
      <c r="AU431" s="54">
        <f>IF(MOD(S_normal27[[#This Row],[Indeks (base 0)]],AS$8)=0,NA(),_xlfn.POISSON.DIST(S_normal27[[#This Row],[X base]],$H$5,FALSE))</f>
        <v>5.0409406722462261E-2</v>
      </c>
      <c r="AV431" s="99" t="b">
        <f>S_normal27[[#This Row],[X base]]&lt;AS$5</f>
        <v>0</v>
      </c>
      <c r="AW431" s="99" t="b">
        <f>S_normal27[[#This Row],[X base]]=AS$5</f>
        <v>0</v>
      </c>
      <c r="AX431" s="99" t="b">
        <f>S_normal27[[#This Row],[X base]]&gt;AS$5</f>
        <v>1</v>
      </c>
      <c r="AY431" s="99" t="e">
        <f>IF(S_normal27[[#This Row],[Mindre end]],S_normal27[[#This Row],[Poissonfordeling]],NA())</f>
        <v>#N/A</v>
      </c>
      <c r="AZ431" s="99" t="e">
        <f>IF(S_normal27[[#This Row],[Lig med]],S_normal27[[#This Row],[Poissonfordeling]],NA())</f>
        <v>#N/A</v>
      </c>
      <c r="BA431" s="99">
        <f>IF(S_normal27[[#This Row],[Større end]],S_normal27[[#This Row],[Poissonfordeling]],NA())</f>
        <v>5.0409406722462261E-2</v>
      </c>
      <c r="BB431" s="85" t="str">
        <f>_xlfn.IFNA(IF(MOD(S_normal27[[#This Row],[Indeks (base 0)]],AS$8)=ROUNDDOWN(AS$8/2,0),S_normal27[[#This Row],[X base]],""),"")</f>
        <v/>
      </c>
      <c r="BC431" s="99" t="str">
        <f t="shared" si="68"/>
        <v xml:space="preserve"> </v>
      </c>
    </row>
    <row r="432" spans="31:55" x14ac:dyDescent="0.2">
      <c r="AE432" s="54">
        <f t="shared" si="70"/>
        <v>419</v>
      </c>
      <c r="AF432" s="54">
        <f>S_binomial[[#This Row],[Indeks (base 0)]]+1</f>
        <v>420</v>
      </c>
      <c r="AG432" s="99">
        <f t="shared" si="71"/>
        <v>4</v>
      </c>
      <c r="AH432" s="99">
        <f>IF(MOD(S_binomial[[#This Row],[Indeks (base 0)]],AF$7)=0,NA(),_xlfn.BINOM.DIST(S_binomial[[#This Row],[X base]],E$5,E$6,FALSE))</f>
        <v>0.16082039904000001</v>
      </c>
      <c r="AI432" s="99" t="b">
        <f>S_binomial[[#This Row],[X base]]&lt;AF$5</f>
        <v>1</v>
      </c>
      <c r="AJ432" s="99" t="b">
        <f>S_binomial[[#This Row],[X base]]=AF$5</f>
        <v>0</v>
      </c>
      <c r="AK432" s="99" t="b">
        <f>S_binomial[[#This Row],[X base]]&gt;AF$5</f>
        <v>0</v>
      </c>
      <c r="AL432" s="99">
        <f>IF(S_binomial[[#This Row],[Mindre end]],S_binomial[[#This Row],[Binomialfordeling]],NA())</f>
        <v>0.16082039904000001</v>
      </c>
      <c r="AM432" s="99" t="e">
        <f>IF(S_binomial[[#This Row],[Lig med]],S_binomial[[#This Row],[Binomialfordeling]],NA())</f>
        <v>#N/A</v>
      </c>
      <c r="AN432" s="99" t="e">
        <f>IF(S_binomial[[#This Row],[Større end]],S_binomial[[#This Row],[Binomialfordeling]],NA())</f>
        <v>#N/A</v>
      </c>
      <c r="AO432" s="85" t="str">
        <f>_xlfn.IFNA(IF(MOD(S_binomial[[#This Row],[Indeks (base 0)]],AF$7)=ROUNDDOWN(AF$7/2,0),S_binomial[[#This Row],[X base]],""),"")</f>
        <v/>
      </c>
      <c r="AP432" s="99" t="str">
        <f t="shared" si="72"/>
        <v xml:space="preserve"> </v>
      </c>
      <c r="AR432" s="54">
        <f t="shared" si="67"/>
        <v>419</v>
      </c>
      <c r="AS432" s="54">
        <f>S_normal27[[#This Row],[Indeks (base 0)]]+1</f>
        <v>420</v>
      </c>
      <c r="AT432" s="54">
        <f t="shared" si="69"/>
        <v>6</v>
      </c>
      <c r="AU432" s="54">
        <f>IF(MOD(S_normal27[[#This Row],[Indeks (base 0)]],AS$8)=0,NA(),_xlfn.POISSON.DIST(S_normal27[[#This Row],[X base]],$H$5,FALSE))</f>
        <v>5.0409406722462261E-2</v>
      </c>
      <c r="AV432" s="99" t="b">
        <f>S_normal27[[#This Row],[X base]]&lt;AS$5</f>
        <v>0</v>
      </c>
      <c r="AW432" s="99" t="b">
        <f>S_normal27[[#This Row],[X base]]=AS$5</f>
        <v>0</v>
      </c>
      <c r="AX432" s="99" t="b">
        <f>S_normal27[[#This Row],[X base]]&gt;AS$5</f>
        <v>1</v>
      </c>
      <c r="AY432" s="99" t="e">
        <f>IF(S_normal27[[#This Row],[Mindre end]],S_normal27[[#This Row],[Poissonfordeling]],NA())</f>
        <v>#N/A</v>
      </c>
      <c r="AZ432" s="99" t="e">
        <f>IF(S_normal27[[#This Row],[Lig med]],S_normal27[[#This Row],[Poissonfordeling]],NA())</f>
        <v>#N/A</v>
      </c>
      <c r="BA432" s="99">
        <f>IF(S_normal27[[#This Row],[Større end]],S_normal27[[#This Row],[Poissonfordeling]],NA())</f>
        <v>5.0409406722462261E-2</v>
      </c>
      <c r="BB432" s="85" t="str">
        <f>_xlfn.IFNA(IF(MOD(S_normal27[[#This Row],[Indeks (base 0)]],AS$8)=ROUNDDOWN(AS$8/2,0),S_normal27[[#This Row],[X base]],""),"")</f>
        <v/>
      </c>
      <c r="BC432" s="99" t="str">
        <f t="shared" si="68"/>
        <v xml:space="preserve"> </v>
      </c>
    </row>
    <row r="433" spans="31:55" x14ac:dyDescent="0.2">
      <c r="AE433" s="54">
        <f t="shared" si="70"/>
        <v>420</v>
      </c>
      <c r="AF433" s="54">
        <f>S_binomial[[#This Row],[Indeks (base 0)]]+1</f>
        <v>421</v>
      </c>
      <c r="AG433" s="99">
        <f t="shared" si="71"/>
        <v>4</v>
      </c>
      <c r="AH433" s="99">
        <f>IF(MOD(S_binomial[[#This Row],[Indeks (base 0)]],AF$7)=0,NA(),_xlfn.BINOM.DIST(S_binomial[[#This Row],[X base]],E$5,E$6,FALSE))</f>
        <v>0.16082039904000001</v>
      </c>
      <c r="AI433" s="99" t="b">
        <f>S_binomial[[#This Row],[X base]]&lt;AF$5</f>
        <v>1</v>
      </c>
      <c r="AJ433" s="99" t="b">
        <f>S_binomial[[#This Row],[X base]]=AF$5</f>
        <v>0</v>
      </c>
      <c r="AK433" s="99" t="b">
        <f>S_binomial[[#This Row],[X base]]&gt;AF$5</f>
        <v>0</v>
      </c>
      <c r="AL433" s="99">
        <f>IF(S_binomial[[#This Row],[Mindre end]],S_binomial[[#This Row],[Binomialfordeling]],NA())</f>
        <v>0.16082039904000001</v>
      </c>
      <c r="AM433" s="99" t="e">
        <f>IF(S_binomial[[#This Row],[Lig med]],S_binomial[[#This Row],[Binomialfordeling]],NA())</f>
        <v>#N/A</v>
      </c>
      <c r="AN433" s="99" t="e">
        <f>IF(S_binomial[[#This Row],[Større end]],S_binomial[[#This Row],[Binomialfordeling]],NA())</f>
        <v>#N/A</v>
      </c>
      <c r="AO433" s="85" t="str">
        <f>_xlfn.IFNA(IF(MOD(S_binomial[[#This Row],[Indeks (base 0)]],AF$7)=ROUNDDOWN(AF$7/2,0),S_binomial[[#This Row],[X base]],""),"")</f>
        <v/>
      </c>
      <c r="AP433" s="99" t="str">
        <f t="shared" si="72"/>
        <v xml:space="preserve"> </v>
      </c>
      <c r="AR433" s="54">
        <f t="shared" si="67"/>
        <v>420</v>
      </c>
      <c r="AS433" s="54">
        <f>S_normal27[[#This Row],[Indeks (base 0)]]+1</f>
        <v>421</v>
      </c>
      <c r="AT433" s="54">
        <f t="shared" si="69"/>
        <v>6</v>
      </c>
      <c r="AU433" s="54">
        <f>IF(MOD(S_normal27[[#This Row],[Indeks (base 0)]],AS$8)=0,NA(),_xlfn.POISSON.DIST(S_normal27[[#This Row],[X base]],$H$5,FALSE))</f>
        <v>5.0409406722462261E-2</v>
      </c>
      <c r="AV433" s="99" t="b">
        <f>S_normal27[[#This Row],[X base]]&lt;AS$5</f>
        <v>0</v>
      </c>
      <c r="AW433" s="99" t="b">
        <f>S_normal27[[#This Row],[X base]]=AS$5</f>
        <v>0</v>
      </c>
      <c r="AX433" s="99" t="b">
        <f>S_normal27[[#This Row],[X base]]&gt;AS$5</f>
        <v>1</v>
      </c>
      <c r="AY433" s="99" t="e">
        <f>IF(S_normal27[[#This Row],[Mindre end]],S_normal27[[#This Row],[Poissonfordeling]],NA())</f>
        <v>#N/A</v>
      </c>
      <c r="AZ433" s="99" t="e">
        <f>IF(S_normal27[[#This Row],[Lig med]],S_normal27[[#This Row],[Poissonfordeling]],NA())</f>
        <v>#N/A</v>
      </c>
      <c r="BA433" s="99">
        <f>IF(S_normal27[[#This Row],[Større end]],S_normal27[[#This Row],[Poissonfordeling]],NA())</f>
        <v>5.0409406722462261E-2</v>
      </c>
      <c r="BB433" s="85" t="str">
        <f>_xlfn.IFNA(IF(MOD(S_normal27[[#This Row],[Indeks (base 0)]],AS$8)=ROUNDDOWN(AS$8/2,0),S_normal27[[#This Row],[X base]],""),"")</f>
        <v/>
      </c>
      <c r="BC433" s="99" t="str">
        <f t="shared" si="68"/>
        <v xml:space="preserve"> </v>
      </c>
    </row>
    <row r="434" spans="31:55" x14ac:dyDescent="0.2">
      <c r="AE434" s="54">
        <f t="shared" si="70"/>
        <v>421</v>
      </c>
      <c r="AF434" s="54">
        <f>S_binomial[[#This Row],[Indeks (base 0)]]+1</f>
        <v>422</v>
      </c>
      <c r="AG434" s="99">
        <f t="shared" si="71"/>
        <v>4</v>
      </c>
      <c r="AH434" s="99">
        <f>IF(MOD(S_binomial[[#This Row],[Indeks (base 0)]],AF$7)=0,NA(),_xlfn.BINOM.DIST(S_binomial[[#This Row],[X base]],E$5,E$6,FALSE))</f>
        <v>0.16082039904000001</v>
      </c>
      <c r="AI434" s="99" t="b">
        <f>S_binomial[[#This Row],[X base]]&lt;AF$5</f>
        <v>1</v>
      </c>
      <c r="AJ434" s="99" t="b">
        <f>S_binomial[[#This Row],[X base]]=AF$5</f>
        <v>0</v>
      </c>
      <c r="AK434" s="99" t="b">
        <f>S_binomial[[#This Row],[X base]]&gt;AF$5</f>
        <v>0</v>
      </c>
      <c r="AL434" s="99">
        <f>IF(S_binomial[[#This Row],[Mindre end]],S_binomial[[#This Row],[Binomialfordeling]],NA())</f>
        <v>0.16082039904000001</v>
      </c>
      <c r="AM434" s="99" t="e">
        <f>IF(S_binomial[[#This Row],[Lig med]],S_binomial[[#This Row],[Binomialfordeling]],NA())</f>
        <v>#N/A</v>
      </c>
      <c r="AN434" s="99" t="e">
        <f>IF(S_binomial[[#This Row],[Større end]],S_binomial[[#This Row],[Binomialfordeling]],NA())</f>
        <v>#N/A</v>
      </c>
      <c r="AO434" s="85" t="str">
        <f>_xlfn.IFNA(IF(MOD(S_binomial[[#This Row],[Indeks (base 0)]],AF$7)=ROUNDDOWN(AF$7/2,0),S_binomial[[#This Row],[X base]],""),"")</f>
        <v/>
      </c>
      <c r="AP434" s="99" t="str">
        <f t="shared" si="72"/>
        <v xml:space="preserve"> </v>
      </c>
      <c r="AR434" s="54">
        <f t="shared" si="67"/>
        <v>421</v>
      </c>
      <c r="AS434" s="54">
        <f>S_normal27[[#This Row],[Indeks (base 0)]]+1</f>
        <v>422</v>
      </c>
      <c r="AT434" s="54">
        <f t="shared" si="69"/>
        <v>6</v>
      </c>
      <c r="AU434" s="54">
        <f>IF(MOD(S_normal27[[#This Row],[Indeks (base 0)]],AS$8)=0,NA(),_xlfn.POISSON.DIST(S_normal27[[#This Row],[X base]],$H$5,FALSE))</f>
        <v>5.0409406722462261E-2</v>
      </c>
      <c r="AV434" s="99" t="b">
        <f>S_normal27[[#This Row],[X base]]&lt;AS$5</f>
        <v>0</v>
      </c>
      <c r="AW434" s="99" t="b">
        <f>S_normal27[[#This Row],[X base]]=AS$5</f>
        <v>0</v>
      </c>
      <c r="AX434" s="99" t="b">
        <f>S_normal27[[#This Row],[X base]]&gt;AS$5</f>
        <v>1</v>
      </c>
      <c r="AY434" s="99" t="e">
        <f>IF(S_normal27[[#This Row],[Mindre end]],S_normal27[[#This Row],[Poissonfordeling]],NA())</f>
        <v>#N/A</v>
      </c>
      <c r="AZ434" s="99" t="e">
        <f>IF(S_normal27[[#This Row],[Lig med]],S_normal27[[#This Row],[Poissonfordeling]],NA())</f>
        <v>#N/A</v>
      </c>
      <c r="BA434" s="99">
        <f>IF(S_normal27[[#This Row],[Større end]],S_normal27[[#This Row],[Poissonfordeling]],NA())</f>
        <v>5.0409406722462261E-2</v>
      </c>
      <c r="BB434" s="85" t="str">
        <f>_xlfn.IFNA(IF(MOD(S_normal27[[#This Row],[Indeks (base 0)]],AS$8)=ROUNDDOWN(AS$8/2,0),S_normal27[[#This Row],[X base]],""),"")</f>
        <v/>
      </c>
      <c r="BC434" s="99" t="str">
        <f t="shared" si="68"/>
        <v xml:space="preserve"> </v>
      </c>
    </row>
    <row r="435" spans="31:55" x14ac:dyDescent="0.2">
      <c r="AE435" s="54">
        <f t="shared" si="70"/>
        <v>422</v>
      </c>
      <c r="AF435" s="54">
        <f>S_binomial[[#This Row],[Indeks (base 0)]]+1</f>
        <v>423</v>
      </c>
      <c r="AG435" s="99">
        <f t="shared" si="71"/>
        <v>4</v>
      </c>
      <c r="AH435" s="99">
        <f>IF(MOD(S_binomial[[#This Row],[Indeks (base 0)]],AF$7)=0,NA(),_xlfn.BINOM.DIST(S_binomial[[#This Row],[X base]],E$5,E$6,FALSE))</f>
        <v>0.16082039904000001</v>
      </c>
      <c r="AI435" s="99" t="b">
        <f>S_binomial[[#This Row],[X base]]&lt;AF$5</f>
        <v>1</v>
      </c>
      <c r="AJ435" s="99" t="b">
        <f>S_binomial[[#This Row],[X base]]=AF$5</f>
        <v>0</v>
      </c>
      <c r="AK435" s="99" t="b">
        <f>S_binomial[[#This Row],[X base]]&gt;AF$5</f>
        <v>0</v>
      </c>
      <c r="AL435" s="99">
        <f>IF(S_binomial[[#This Row],[Mindre end]],S_binomial[[#This Row],[Binomialfordeling]],NA())</f>
        <v>0.16082039904000001</v>
      </c>
      <c r="AM435" s="99" t="e">
        <f>IF(S_binomial[[#This Row],[Lig med]],S_binomial[[#This Row],[Binomialfordeling]],NA())</f>
        <v>#N/A</v>
      </c>
      <c r="AN435" s="99" t="e">
        <f>IF(S_binomial[[#This Row],[Større end]],S_binomial[[#This Row],[Binomialfordeling]],NA())</f>
        <v>#N/A</v>
      </c>
      <c r="AO435" s="85" t="str">
        <f>_xlfn.IFNA(IF(MOD(S_binomial[[#This Row],[Indeks (base 0)]],AF$7)=ROUNDDOWN(AF$7/2,0),S_binomial[[#This Row],[X base]],""),"")</f>
        <v/>
      </c>
      <c r="AP435" s="99" t="str">
        <f t="shared" si="72"/>
        <v xml:space="preserve"> </v>
      </c>
      <c r="AR435" s="54">
        <f t="shared" si="67"/>
        <v>422</v>
      </c>
      <c r="AS435" s="54">
        <f>S_normal27[[#This Row],[Indeks (base 0)]]+1</f>
        <v>423</v>
      </c>
      <c r="AT435" s="54">
        <f t="shared" si="69"/>
        <v>6</v>
      </c>
      <c r="AU435" s="54">
        <f>IF(MOD(S_normal27[[#This Row],[Indeks (base 0)]],AS$8)=0,NA(),_xlfn.POISSON.DIST(S_normal27[[#This Row],[X base]],$H$5,FALSE))</f>
        <v>5.0409406722462261E-2</v>
      </c>
      <c r="AV435" s="99" t="b">
        <f>S_normal27[[#This Row],[X base]]&lt;AS$5</f>
        <v>0</v>
      </c>
      <c r="AW435" s="99" t="b">
        <f>S_normal27[[#This Row],[X base]]=AS$5</f>
        <v>0</v>
      </c>
      <c r="AX435" s="99" t="b">
        <f>S_normal27[[#This Row],[X base]]&gt;AS$5</f>
        <v>1</v>
      </c>
      <c r="AY435" s="99" t="e">
        <f>IF(S_normal27[[#This Row],[Mindre end]],S_normal27[[#This Row],[Poissonfordeling]],NA())</f>
        <v>#N/A</v>
      </c>
      <c r="AZ435" s="99" t="e">
        <f>IF(S_normal27[[#This Row],[Lig med]],S_normal27[[#This Row],[Poissonfordeling]],NA())</f>
        <v>#N/A</v>
      </c>
      <c r="BA435" s="99">
        <f>IF(S_normal27[[#This Row],[Større end]],S_normal27[[#This Row],[Poissonfordeling]],NA())</f>
        <v>5.0409406722462261E-2</v>
      </c>
      <c r="BB435" s="85">
        <f>_xlfn.IFNA(IF(MOD(S_normal27[[#This Row],[Indeks (base 0)]],AS$8)=ROUNDDOWN(AS$8/2,0),S_normal27[[#This Row],[X base]],""),"")</f>
        <v>6</v>
      </c>
      <c r="BC435" s="99" t="str">
        <f t="shared" si="68"/>
        <v xml:space="preserve"> </v>
      </c>
    </row>
    <row r="436" spans="31:55" x14ac:dyDescent="0.2">
      <c r="AE436" s="54">
        <f t="shared" si="70"/>
        <v>423</v>
      </c>
      <c r="AF436" s="54">
        <f>S_binomial[[#This Row],[Indeks (base 0)]]+1</f>
        <v>424</v>
      </c>
      <c r="AG436" s="99">
        <f t="shared" si="71"/>
        <v>4</v>
      </c>
      <c r="AH436" s="99">
        <f>IF(MOD(S_binomial[[#This Row],[Indeks (base 0)]],AF$7)=0,NA(),_xlfn.BINOM.DIST(S_binomial[[#This Row],[X base]],E$5,E$6,FALSE))</f>
        <v>0.16082039904000001</v>
      </c>
      <c r="AI436" s="99" t="b">
        <f>S_binomial[[#This Row],[X base]]&lt;AF$5</f>
        <v>1</v>
      </c>
      <c r="AJ436" s="99" t="b">
        <f>S_binomial[[#This Row],[X base]]=AF$5</f>
        <v>0</v>
      </c>
      <c r="AK436" s="99" t="b">
        <f>S_binomial[[#This Row],[X base]]&gt;AF$5</f>
        <v>0</v>
      </c>
      <c r="AL436" s="99">
        <f>IF(S_binomial[[#This Row],[Mindre end]],S_binomial[[#This Row],[Binomialfordeling]],NA())</f>
        <v>0.16082039904000001</v>
      </c>
      <c r="AM436" s="99" t="e">
        <f>IF(S_binomial[[#This Row],[Lig med]],S_binomial[[#This Row],[Binomialfordeling]],NA())</f>
        <v>#N/A</v>
      </c>
      <c r="AN436" s="99" t="e">
        <f>IF(S_binomial[[#This Row],[Større end]],S_binomial[[#This Row],[Binomialfordeling]],NA())</f>
        <v>#N/A</v>
      </c>
      <c r="AO436" s="85" t="str">
        <f>_xlfn.IFNA(IF(MOD(S_binomial[[#This Row],[Indeks (base 0)]],AF$7)=ROUNDDOWN(AF$7/2,0),S_binomial[[#This Row],[X base]],""),"")</f>
        <v/>
      </c>
      <c r="AP436" s="99" t="str">
        <f t="shared" si="72"/>
        <v xml:space="preserve"> </v>
      </c>
      <c r="AR436" s="54">
        <f t="shared" si="67"/>
        <v>423</v>
      </c>
      <c r="AS436" s="54">
        <f>S_normal27[[#This Row],[Indeks (base 0)]]+1</f>
        <v>424</v>
      </c>
      <c r="AT436" s="54">
        <f t="shared" si="69"/>
        <v>6</v>
      </c>
      <c r="AU436" s="54">
        <f>IF(MOD(S_normal27[[#This Row],[Indeks (base 0)]],AS$8)=0,NA(),_xlfn.POISSON.DIST(S_normal27[[#This Row],[X base]],$H$5,FALSE))</f>
        <v>5.0409406722462261E-2</v>
      </c>
      <c r="AV436" s="99" t="b">
        <f>S_normal27[[#This Row],[X base]]&lt;AS$5</f>
        <v>0</v>
      </c>
      <c r="AW436" s="99" t="b">
        <f>S_normal27[[#This Row],[X base]]=AS$5</f>
        <v>0</v>
      </c>
      <c r="AX436" s="99" t="b">
        <f>S_normal27[[#This Row],[X base]]&gt;AS$5</f>
        <v>1</v>
      </c>
      <c r="AY436" s="99" t="e">
        <f>IF(S_normal27[[#This Row],[Mindre end]],S_normal27[[#This Row],[Poissonfordeling]],NA())</f>
        <v>#N/A</v>
      </c>
      <c r="AZ436" s="99" t="e">
        <f>IF(S_normal27[[#This Row],[Lig med]],S_normal27[[#This Row],[Poissonfordeling]],NA())</f>
        <v>#N/A</v>
      </c>
      <c r="BA436" s="99">
        <f>IF(S_normal27[[#This Row],[Større end]],S_normal27[[#This Row],[Poissonfordeling]],NA())</f>
        <v>5.0409406722462261E-2</v>
      </c>
      <c r="BB436" s="85" t="str">
        <f>_xlfn.IFNA(IF(MOD(S_normal27[[#This Row],[Indeks (base 0)]],AS$8)=ROUNDDOWN(AS$8/2,0),S_normal27[[#This Row],[X base]],""),"")</f>
        <v/>
      </c>
      <c r="BC436" s="99" t="str">
        <f t="shared" si="68"/>
        <v xml:space="preserve"> </v>
      </c>
    </row>
    <row r="437" spans="31:55" x14ac:dyDescent="0.2">
      <c r="AE437" s="54">
        <f t="shared" si="70"/>
        <v>424</v>
      </c>
      <c r="AF437" s="54">
        <f>S_binomial[[#This Row],[Indeks (base 0)]]+1</f>
        <v>425</v>
      </c>
      <c r="AG437" s="99">
        <f t="shared" si="71"/>
        <v>4</v>
      </c>
      <c r="AH437" s="99">
        <f>IF(MOD(S_binomial[[#This Row],[Indeks (base 0)]],AF$7)=0,NA(),_xlfn.BINOM.DIST(S_binomial[[#This Row],[X base]],E$5,E$6,FALSE))</f>
        <v>0.16082039904000001</v>
      </c>
      <c r="AI437" s="99" t="b">
        <f>S_binomial[[#This Row],[X base]]&lt;AF$5</f>
        <v>1</v>
      </c>
      <c r="AJ437" s="99" t="b">
        <f>S_binomial[[#This Row],[X base]]=AF$5</f>
        <v>0</v>
      </c>
      <c r="AK437" s="99" t="b">
        <f>S_binomial[[#This Row],[X base]]&gt;AF$5</f>
        <v>0</v>
      </c>
      <c r="AL437" s="99">
        <f>IF(S_binomial[[#This Row],[Mindre end]],S_binomial[[#This Row],[Binomialfordeling]],NA())</f>
        <v>0.16082039904000001</v>
      </c>
      <c r="AM437" s="99" t="e">
        <f>IF(S_binomial[[#This Row],[Lig med]],S_binomial[[#This Row],[Binomialfordeling]],NA())</f>
        <v>#N/A</v>
      </c>
      <c r="AN437" s="99" t="e">
        <f>IF(S_binomial[[#This Row],[Større end]],S_binomial[[#This Row],[Binomialfordeling]],NA())</f>
        <v>#N/A</v>
      </c>
      <c r="AO437" s="85" t="str">
        <f>_xlfn.IFNA(IF(MOD(S_binomial[[#This Row],[Indeks (base 0)]],AF$7)=ROUNDDOWN(AF$7/2,0),S_binomial[[#This Row],[X base]],""),"")</f>
        <v/>
      </c>
      <c r="AP437" s="99" t="str">
        <f t="shared" si="72"/>
        <v xml:space="preserve"> </v>
      </c>
      <c r="AR437" s="54">
        <f t="shared" si="67"/>
        <v>424</v>
      </c>
      <c r="AS437" s="54">
        <f>S_normal27[[#This Row],[Indeks (base 0)]]+1</f>
        <v>425</v>
      </c>
      <c r="AT437" s="54">
        <f t="shared" si="69"/>
        <v>6</v>
      </c>
      <c r="AU437" s="54">
        <f>IF(MOD(S_normal27[[#This Row],[Indeks (base 0)]],AS$8)=0,NA(),_xlfn.POISSON.DIST(S_normal27[[#This Row],[X base]],$H$5,FALSE))</f>
        <v>5.0409406722462261E-2</v>
      </c>
      <c r="AV437" s="99" t="b">
        <f>S_normal27[[#This Row],[X base]]&lt;AS$5</f>
        <v>0</v>
      </c>
      <c r="AW437" s="99" t="b">
        <f>S_normal27[[#This Row],[X base]]=AS$5</f>
        <v>0</v>
      </c>
      <c r="AX437" s="99" t="b">
        <f>S_normal27[[#This Row],[X base]]&gt;AS$5</f>
        <v>1</v>
      </c>
      <c r="AY437" s="99" t="e">
        <f>IF(S_normal27[[#This Row],[Mindre end]],S_normal27[[#This Row],[Poissonfordeling]],NA())</f>
        <v>#N/A</v>
      </c>
      <c r="AZ437" s="99" t="e">
        <f>IF(S_normal27[[#This Row],[Lig med]],S_normal27[[#This Row],[Poissonfordeling]],NA())</f>
        <v>#N/A</v>
      </c>
      <c r="BA437" s="99">
        <f>IF(S_normal27[[#This Row],[Større end]],S_normal27[[#This Row],[Poissonfordeling]],NA())</f>
        <v>5.0409406722462261E-2</v>
      </c>
      <c r="BB437" s="85" t="str">
        <f>_xlfn.IFNA(IF(MOD(S_normal27[[#This Row],[Indeks (base 0)]],AS$8)=ROUNDDOWN(AS$8/2,0),S_normal27[[#This Row],[X base]],""),"")</f>
        <v/>
      </c>
      <c r="BC437" s="99" t="str">
        <f t="shared" si="68"/>
        <v xml:space="preserve"> </v>
      </c>
    </row>
    <row r="438" spans="31:55" x14ac:dyDescent="0.2">
      <c r="AE438" s="54">
        <f t="shared" si="70"/>
        <v>425</v>
      </c>
      <c r="AF438" s="54">
        <f>S_binomial[[#This Row],[Indeks (base 0)]]+1</f>
        <v>426</v>
      </c>
      <c r="AG438" s="99">
        <f t="shared" si="71"/>
        <v>4</v>
      </c>
      <c r="AH438" s="99">
        <f>IF(MOD(S_binomial[[#This Row],[Indeks (base 0)]],AF$7)=0,NA(),_xlfn.BINOM.DIST(S_binomial[[#This Row],[X base]],E$5,E$6,FALSE))</f>
        <v>0.16082039904000001</v>
      </c>
      <c r="AI438" s="99" t="b">
        <f>S_binomial[[#This Row],[X base]]&lt;AF$5</f>
        <v>1</v>
      </c>
      <c r="AJ438" s="99" t="b">
        <f>S_binomial[[#This Row],[X base]]=AF$5</f>
        <v>0</v>
      </c>
      <c r="AK438" s="99" t="b">
        <f>S_binomial[[#This Row],[X base]]&gt;AF$5</f>
        <v>0</v>
      </c>
      <c r="AL438" s="99">
        <f>IF(S_binomial[[#This Row],[Mindre end]],S_binomial[[#This Row],[Binomialfordeling]],NA())</f>
        <v>0.16082039904000001</v>
      </c>
      <c r="AM438" s="99" t="e">
        <f>IF(S_binomial[[#This Row],[Lig med]],S_binomial[[#This Row],[Binomialfordeling]],NA())</f>
        <v>#N/A</v>
      </c>
      <c r="AN438" s="99" t="e">
        <f>IF(S_binomial[[#This Row],[Større end]],S_binomial[[#This Row],[Binomialfordeling]],NA())</f>
        <v>#N/A</v>
      </c>
      <c r="AO438" s="85" t="str">
        <f>_xlfn.IFNA(IF(MOD(S_binomial[[#This Row],[Indeks (base 0)]],AF$7)=ROUNDDOWN(AF$7/2,0),S_binomial[[#This Row],[X base]],""),"")</f>
        <v/>
      </c>
      <c r="AP438" s="99" t="str">
        <f t="shared" si="72"/>
        <v xml:space="preserve"> </v>
      </c>
      <c r="AR438" s="54">
        <f t="shared" si="67"/>
        <v>425</v>
      </c>
      <c r="AS438" s="54">
        <f>S_normal27[[#This Row],[Indeks (base 0)]]+1</f>
        <v>426</v>
      </c>
      <c r="AT438" s="54">
        <f t="shared" si="69"/>
        <v>6</v>
      </c>
      <c r="AU438" s="54">
        <f>IF(MOD(S_normal27[[#This Row],[Indeks (base 0)]],AS$8)=0,NA(),_xlfn.POISSON.DIST(S_normal27[[#This Row],[X base]],$H$5,FALSE))</f>
        <v>5.0409406722462261E-2</v>
      </c>
      <c r="AV438" s="99" t="b">
        <f>S_normal27[[#This Row],[X base]]&lt;AS$5</f>
        <v>0</v>
      </c>
      <c r="AW438" s="99" t="b">
        <f>S_normal27[[#This Row],[X base]]=AS$5</f>
        <v>0</v>
      </c>
      <c r="AX438" s="99" t="b">
        <f>S_normal27[[#This Row],[X base]]&gt;AS$5</f>
        <v>1</v>
      </c>
      <c r="AY438" s="99" t="e">
        <f>IF(S_normal27[[#This Row],[Mindre end]],S_normal27[[#This Row],[Poissonfordeling]],NA())</f>
        <v>#N/A</v>
      </c>
      <c r="AZ438" s="99" t="e">
        <f>IF(S_normal27[[#This Row],[Lig med]],S_normal27[[#This Row],[Poissonfordeling]],NA())</f>
        <v>#N/A</v>
      </c>
      <c r="BA438" s="99">
        <f>IF(S_normal27[[#This Row],[Større end]],S_normal27[[#This Row],[Poissonfordeling]],NA())</f>
        <v>5.0409406722462261E-2</v>
      </c>
      <c r="BB438" s="85" t="str">
        <f>_xlfn.IFNA(IF(MOD(S_normal27[[#This Row],[Indeks (base 0)]],AS$8)=ROUNDDOWN(AS$8/2,0),S_normal27[[#This Row],[X base]],""),"")</f>
        <v/>
      </c>
      <c r="BC438" s="99" t="str">
        <f t="shared" si="68"/>
        <v xml:space="preserve"> </v>
      </c>
    </row>
    <row r="439" spans="31:55" x14ac:dyDescent="0.2">
      <c r="AE439" s="54">
        <f t="shared" si="70"/>
        <v>426</v>
      </c>
      <c r="AF439" s="54">
        <f>S_binomial[[#This Row],[Indeks (base 0)]]+1</f>
        <v>427</v>
      </c>
      <c r="AG439" s="99">
        <f t="shared" si="71"/>
        <v>4</v>
      </c>
      <c r="AH439" s="99">
        <f>IF(MOD(S_binomial[[#This Row],[Indeks (base 0)]],AF$7)=0,NA(),_xlfn.BINOM.DIST(S_binomial[[#This Row],[X base]],E$5,E$6,FALSE))</f>
        <v>0.16082039904000001</v>
      </c>
      <c r="AI439" s="99" t="b">
        <f>S_binomial[[#This Row],[X base]]&lt;AF$5</f>
        <v>1</v>
      </c>
      <c r="AJ439" s="99" t="b">
        <f>S_binomial[[#This Row],[X base]]=AF$5</f>
        <v>0</v>
      </c>
      <c r="AK439" s="99" t="b">
        <f>S_binomial[[#This Row],[X base]]&gt;AF$5</f>
        <v>0</v>
      </c>
      <c r="AL439" s="99">
        <f>IF(S_binomial[[#This Row],[Mindre end]],S_binomial[[#This Row],[Binomialfordeling]],NA())</f>
        <v>0.16082039904000001</v>
      </c>
      <c r="AM439" s="99" t="e">
        <f>IF(S_binomial[[#This Row],[Lig med]],S_binomial[[#This Row],[Binomialfordeling]],NA())</f>
        <v>#N/A</v>
      </c>
      <c r="AN439" s="99" t="e">
        <f>IF(S_binomial[[#This Row],[Større end]],S_binomial[[#This Row],[Binomialfordeling]],NA())</f>
        <v>#N/A</v>
      </c>
      <c r="AO439" s="85" t="str">
        <f>_xlfn.IFNA(IF(MOD(S_binomial[[#This Row],[Indeks (base 0)]],AF$7)=ROUNDDOWN(AF$7/2,0),S_binomial[[#This Row],[X base]],""),"")</f>
        <v/>
      </c>
      <c r="AP439" s="99" t="str">
        <f t="shared" si="72"/>
        <v xml:space="preserve"> </v>
      </c>
      <c r="AR439" s="54">
        <f t="shared" si="67"/>
        <v>426</v>
      </c>
      <c r="AS439" s="54">
        <f>S_normal27[[#This Row],[Indeks (base 0)]]+1</f>
        <v>427</v>
      </c>
      <c r="AT439" s="54">
        <f t="shared" si="69"/>
        <v>6</v>
      </c>
      <c r="AU439" s="54">
        <f>IF(MOD(S_normal27[[#This Row],[Indeks (base 0)]],AS$8)=0,NA(),_xlfn.POISSON.DIST(S_normal27[[#This Row],[X base]],$H$5,FALSE))</f>
        <v>5.0409406722462261E-2</v>
      </c>
      <c r="AV439" s="99" t="b">
        <f>S_normal27[[#This Row],[X base]]&lt;AS$5</f>
        <v>0</v>
      </c>
      <c r="AW439" s="99" t="b">
        <f>S_normal27[[#This Row],[X base]]=AS$5</f>
        <v>0</v>
      </c>
      <c r="AX439" s="99" t="b">
        <f>S_normal27[[#This Row],[X base]]&gt;AS$5</f>
        <v>1</v>
      </c>
      <c r="AY439" s="99" t="e">
        <f>IF(S_normal27[[#This Row],[Mindre end]],S_normal27[[#This Row],[Poissonfordeling]],NA())</f>
        <v>#N/A</v>
      </c>
      <c r="AZ439" s="99" t="e">
        <f>IF(S_normal27[[#This Row],[Lig med]],S_normal27[[#This Row],[Poissonfordeling]],NA())</f>
        <v>#N/A</v>
      </c>
      <c r="BA439" s="99">
        <f>IF(S_normal27[[#This Row],[Større end]],S_normal27[[#This Row],[Poissonfordeling]],NA())</f>
        <v>5.0409406722462261E-2</v>
      </c>
      <c r="BB439" s="85" t="str">
        <f>_xlfn.IFNA(IF(MOD(S_normal27[[#This Row],[Indeks (base 0)]],AS$8)=ROUNDDOWN(AS$8/2,0),S_normal27[[#This Row],[X base]],""),"")</f>
        <v/>
      </c>
      <c r="BC439" s="99" t="str">
        <f t="shared" si="68"/>
        <v xml:space="preserve"> </v>
      </c>
    </row>
    <row r="440" spans="31:55" x14ac:dyDescent="0.2">
      <c r="AE440" s="54">
        <f t="shared" si="70"/>
        <v>427</v>
      </c>
      <c r="AF440" s="54">
        <f>S_binomial[[#This Row],[Indeks (base 0)]]+1</f>
        <v>428</v>
      </c>
      <c r="AG440" s="99">
        <f t="shared" si="71"/>
        <v>4</v>
      </c>
      <c r="AH440" s="99">
        <f>IF(MOD(S_binomial[[#This Row],[Indeks (base 0)]],AF$7)=0,NA(),_xlfn.BINOM.DIST(S_binomial[[#This Row],[X base]],E$5,E$6,FALSE))</f>
        <v>0.16082039904000001</v>
      </c>
      <c r="AI440" s="99" t="b">
        <f>S_binomial[[#This Row],[X base]]&lt;AF$5</f>
        <v>1</v>
      </c>
      <c r="AJ440" s="99" t="b">
        <f>S_binomial[[#This Row],[X base]]=AF$5</f>
        <v>0</v>
      </c>
      <c r="AK440" s="99" t="b">
        <f>S_binomial[[#This Row],[X base]]&gt;AF$5</f>
        <v>0</v>
      </c>
      <c r="AL440" s="99">
        <f>IF(S_binomial[[#This Row],[Mindre end]],S_binomial[[#This Row],[Binomialfordeling]],NA())</f>
        <v>0.16082039904000001</v>
      </c>
      <c r="AM440" s="99" t="e">
        <f>IF(S_binomial[[#This Row],[Lig med]],S_binomial[[#This Row],[Binomialfordeling]],NA())</f>
        <v>#N/A</v>
      </c>
      <c r="AN440" s="99" t="e">
        <f>IF(S_binomial[[#This Row],[Større end]],S_binomial[[#This Row],[Binomialfordeling]],NA())</f>
        <v>#N/A</v>
      </c>
      <c r="AO440" s="85" t="str">
        <f>_xlfn.IFNA(IF(MOD(S_binomial[[#This Row],[Indeks (base 0)]],AF$7)=ROUNDDOWN(AF$7/2,0),S_binomial[[#This Row],[X base]],""),"")</f>
        <v/>
      </c>
      <c r="AP440" s="99" t="str">
        <f t="shared" si="72"/>
        <v xml:space="preserve"> </v>
      </c>
      <c r="AR440" s="54">
        <f t="shared" si="67"/>
        <v>427</v>
      </c>
      <c r="AS440" s="54">
        <f>S_normal27[[#This Row],[Indeks (base 0)]]+1</f>
        <v>428</v>
      </c>
      <c r="AT440" s="54">
        <f t="shared" si="69"/>
        <v>6</v>
      </c>
      <c r="AU440" s="54">
        <f>IF(MOD(S_normal27[[#This Row],[Indeks (base 0)]],AS$8)=0,NA(),_xlfn.POISSON.DIST(S_normal27[[#This Row],[X base]],$H$5,FALSE))</f>
        <v>5.0409406722462261E-2</v>
      </c>
      <c r="AV440" s="99" t="b">
        <f>S_normal27[[#This Row],[X base]]&lt;AS$5</f>
        <v>0</v>
      </c>
      <c r="AW440" s="99" t="b">
        <f>S_normal27[[#This Row],[X base]]=AS$5</f>
        <v>0</v>
      </c>
      <c r="AX440" s="99" t="b">
        <f>S_normal27[[#This Row],[X base]]&gt;AS$5</f>
        <v>1</v>
      </c>
      <c r="AY440" s="99" t="e">
        <f>IF(S_normal27[[#This Row],[Mindre end]],S_normal27[[#This Row],[Poissonfordeling]],NA())</f>
        <v>#N/A</v>
      </c>
      <c r="AZ440" s="99" t="e">
        <f>IF(S_normal27[[#This Row],[Lig med]],S_normal27[[#This Row],[Poissonfordeling]],NA())</f>
        <v>#N/A</v>
      </c>
      <c r="BA440" s="99">
        <f>IF(S_normal27[[#This Row],[Større end]],S_normal27[[#This Row],[Poissonfordeling]],NA())</f>
        <v>5.0409406722462261E-2</v>
      </c>
      <c r="BB440" s="85" t="str">
        <f>_xlfn.IFNA(IF(MOD(S_normal27[[#This Row],[Indeks (base 0)]],AS$8)=ROUNDDOWN(AS$8/2,0),S_normal27[[#This Row],[X base]],""),"")</f>
        <v/>
      </c>
      <c r="BC440" s="99" t="str">
        <f t="shared" si="68"/>
        <v xml:space="preserve"> </v>
      </c>
    </row>
    <row r="441" spans="31:55" x14ac:dyDescent="0.2">
      <c r="AE441" s="54">
        <f t="shared" si="70"/>
        <v>428</v>
      </c>
      <c r="AF441" s="54">
        <f>S_binomial[[#This Row],[Indeks (base 0)]]+1</f>
        <v>429</v>
      </c>
      <c r="AG441" s="99">
        <f t="shared" si="71"/>
        <v>4</v>
      </c>
      <c r="AH441" s="99">
        <f>IF(MOD(S_binomial[[#This Row],[Indeks (base 0)]],AF$7)=0,NA(),_xlfn.BINOM.DIST(S_binomial[[#This Row],[X base]],E$5,E$6,FALSE))</f>
        <v>0.16082039904000001</v>
      </c>
      <c r="AI441" s="99" t="b">
        <f>S_binomial[[#This Row],[X base]]&lt;AF$5</f>
        <v>1</v>
      </c>
      <c r="AJ441" s="99" t="b">
        <f>S_binomial[[#This Row],[X base]]=AF$5</f>
        <v>0</v>
      </c>
      <c r="AK441" s="99" t="b">
        <f>S_binomial[[#This Row],[X base]]&gt;AF$5</f>
        <v>0</v>
      </c>
      <c r="AL441" s="99">
        <f>IF(S_binomial[[#This Row],[Mindre end]],S_binomial[[#This Row],[Binomialfordeling]],NA())</f>
        <v>0.16082039904000001</v>
      </c>
      <c r="AM441" s="99" t="e">
        <f>IF(S_binomial[[#This Row],[Lig med]],S_binomial[[#This Row],[Binomialfordeling]],NA())</f>
        <v>#N/A</v>
      </c>
      <c r="AN441" s="99" t="e">
        <f>IF(S_binomial[[#This Row],[Større end]],S_binomial[[#This Row],[Binomialfordeling]],NA())</f>
        <v>#N/A</v>
      </c>
      <c r="AO441" s="85" t="str">
        <f>_xlfn.IFNA(IF(MOD(S_binomial[[#This Row],[Indeks (base 0)]],AF$7)=ROUNDDOWN(AF$7/2,0),S_binomial[[#This Row],[X base]],""),"")</f>
        <v/>
      </c>
      <c r="AP441" s="99" t="str">
        <f t="shared" si="72"/>
        <v xml:space="preserve"> </v>
      </c>
      <c r="AR441" s="54">
        <f t="shared" si="67"/>
        <v>428</v>
      </c>
      <c r="AS441" s="54">
        <f>S_normal27[[#This Row],[Indeks (base 0)]]+1</f>
        <v>429</v>
      </c>
      <c r="AT441" s="54">
        <f t="shared" si="69"/>
        <v>6</v>
      </c>
      <c r="AU441" s="54">
        <f>IF(MOD(S_normal27[[#This Row],[Indeks (base 0)]],AS$8)=0,NA(),_xlfn.POISSON.DIST(S_normal27[[#This Row],[X base]],$H$5,FALSE))</f>
        <v>5.0409406722462261E-2</v>
      </c>
      <c r="AV441" s="99" t="b">
        <f>S_normal27[[#This Row],[X base]]&lt;AS$5</f>
        <v>0</v>
      </c>
      <c r="AW441" s="99" t="b">
        <f>S_normal27[[#This Row],[X base]]=AS$5</f>
        <v>0</v>
      </c>
      <c r="AX441" s="99" t="b">
        <f>S_normal27[[#This Row],[X base]]&gt;AS$5</f>
        <v>1</v>
      </c>
      <c r="AY441" s="99" t="e">
        <f>IF(S_normal27[[#This Row],[Mindre end]],S_normal27[[#This Row],[Poissonfordeling]],NA())</f>
        <v>#N/A</v>
      </c>
      <c r="AZ441" s="99" t="e">
        <f>IF(S_normal27[[#This Row],[Lig med]],S_normal27[[#This Row],[Poissonfordeling]],NA())</f>
        <v>#N/A</v>
      </c>
      <c r="BA441" s="99">
        <f>IF(S_normal27[[#This Row],[Større end]],S_normal27[[#This Row],[Poissonfordeling]],NA())</f>
        <v>5.0409406722462261E-2</v>
      </c>
      <c r="BB441" s="85" t="str">
        <f>_xlfn.IFNA(IF(MOD(S_normal27[[#This Row],[Indeks (base 0)]],AS$8)=ROUNDDOWN(AS$8/2,0),S_normal27[[#This Row],[X base]],""),"")</f>
        <v/>
      </c>
      <c r="BC441" s="99" t="str">
        <f t="shared" si="68"/>
        <v xml:space="preserve"> </v>
      </c>
    </row>
    <row r="442" spans="31:55" x14ac:dyDescent="0.2">
      <c r="AE442" s="54">
        <f t="shared" si="70"/>
        <v>429</v>
      </c>
      <c r="AF442" s="54">
        <f>S_binomial[[#This Row],[Indeks (base 0)]]+1</f>
        <v>430</v>
      </c>
      <c r="AG442" s="99">
        <f t="shared" si="71"/>
        <v>4</v>
      </c>
      <c r="AH442" s="99">
        <f>IF(MOD(S_binomial[[#This Row],[Indeks (base 0)]],AF$7)=0,NA(),_xlfn.BINOM.DIST(S_binomial[[#This Row],[X base]],E$5,E$6,FALSE))</f>
        <v>0.16082039904000001</v>
      </c>
      <c r="AI442" s="99" t="b">
        <f>S_binomial[[#This Row],[X base]]&lt;AF$5</f>
        <v>1</v>
      </c>
      <c r="AJ442" s="99" t="b">
        <f>S_binomial[[#This Row],[X base]]=AF$5</f>
        <v>0</v>
      </c>
      <c r="AK442" s="99" t="b">
        <f>S_binomial[[#This Row],[X base]]&gt;AF$5</f>
        <v>0</v>
      </c>
      <c r="AL442" s="99">
        <f>IF(S_binomial[[#This Row],[Mindre end]],S_binomial[[#This Row],[Binomialfordeling]],NA())</f>
        <v>0.16082039904000001</v>
      </c>
      <c r="AM442" s="99" t="e">
        <f>IF(S_binomial[[#This Row],[Lig med]],S_binomial[[#This Row],[Binomialfordeling]],NA())</f>
        <v>#N/A</v>
      </c>
      <c r="AN442" s="99" t="e">
        <f>IF(S_binomial[[#This Row],[Større end]],S_binomial[[#This Row],[Binomialfordeling]],NA())</f>
        <v>#N/A</v>
      </c>
      <c r="AO442" s="85" t="str">
        <f>_xlfn.IFNA(IF(MOD(S_binomial[[#This Row],[Indeks (base 0)]],AF$7)=ROUNDDOWN(AF$7/2,0),S_binomial[[#This Row],[X base]],""),"")</f>
        <v/>
      </c>
      <c r="AP442" s="99" t="str">
        <f t="shared" si="72"/>
        <v xml:space="preserve"> </v>
      </c>
      <c r="AR442" s="54">
        <f t="shared" si="67"/>
        <v>429</v>
      </c>
      <c r="AS442" s="54">
        <f>S_normal27[[#This Row],[Indeks (base 0)]]+1</f>
        <v>430</v>
      </c>
      <c r="AT442" s="54">
        <f t="shared" si="69"/>
        <v>6</v>
      </c>
      <c r="AU442" s="54">
        <f>IF(MOD(S_normal27[[#This Row],[Indeks (base 0)]],AS$8)=0,NA(),_xlfn.POISSON.DIST(S_normal27[[#This Row],[X base]],$H$5,FALSE))</f>
        <v>5.0409406722462261E-2</v>
      </c>
      <c r="AV442" s="99" t="b">
        <f>S_normal27[[#This Row],[X base]]&lt;AS$5</f>
        <v>0</v>
      </c>
      <c r="AW442" s="99" t="b">
        <f>S_normal27[[#This Row],[X base]]=AS$5</f>
        <v>0</v>
      </c>
      <c r="AX442" s="99" t="b">
        <f>S_normal27[[#This Row],[X base]]&gt;AS$5</f>
        <v>1</v>
      </c>
      <c r="AY442" s="99" t="e">
        <f>IF(S_normal27[[#This Row],[Mindre end]],S_normal27[[#This Row],[Poissonfordeling]],NA())</f>
        <v>#N/A</v>
      </c>
      <c r="AZ442" s="99" t="e">
        <f>IF(S_normal27[[#This Row],[Lig med]],S_normal27[[#This Row],[Poissonfordeling]],NA())</f>
        <v>#N/A</v>
      </c>
      <c r="BA442" s="99">
        <f>IF(S_normal27[[#This Row],[Større end]],S_normal27[[#This Row],[Poissonfordeling]],NA())</f>
        <v>5.0409406722462261E-2</v>
      </c>
      <c r="BB442" s="85" t="str">
        <f>_xlfn.IFNA(IF(MOD(S_normal27[[#This Row],[Indeks (base 0)]],AS$8)=ROUNDDOWN(AS$8/2,0),S_normal27[[#This Row],[X base]],""),"")</f>
        <v/>
      </c>
      <c r="BC442" s="99" t="str">
        <f t="shared" si="68"/>
        <v xml:space="preserve"> </v>
      </c>
    </row>
    <row r="443" spans="31:55" x14ac:dyDescent="0.2">
      <c r="AE443" s="54">
        <f t="shared" si="70"/>
        <v>430</v>
      </c>
      <c r="AF443" s="54">
        <f>S_binomial[[#This Row],[Indeks (base 0)]]+1</f>
        <v>431</v>
      </c>
      <c r="AG443" s="99">
        <f t="shared" si="71"/>
        <v>4</v>
      </c>
      <c r="AH443" s="99">
        <f>IF(MOD(S_binomial[[#This Row],[Indeks (base 0)]],AF$7)=0,NA(),_xlfn.BINOM.DIST(S_binomial[[#This Row],[X base]],E$5,E$6,FALSE))</f>
        <v>0.16082039904000001</v>
      </c>
      <c r="AI443" s="99" t="b">
        <f>S_binomial[[#This Row],[X base]]&lt;AF$5</f>
        <v>1</v>
      </c>
      <c r="AJ443" s="99" t="b">
        <f>S_binomial[[#This Row],[X base]]=AF$5</f>
        <v>0</v>
      </c>
      <c r="AK443" s="99" t="b">
        <f>S_binomial[[#This Row],[X base]]&gt;AF$5</f>
        <v>0</v>
      </c>
      <c r="AL443" s="99">
        <f>IF(S_binomial[[#This Row],[Mindre end]],S_binomial[[#This Row],[Binomialfordeling]],NA())</f>
        <v>0.16082039904000001</v>
      </c>
      <c r="AM443" s="99" t="e">
        <f>IF(S_binomial[[#This Row],[Lig med]],S_binomial[[#This Row],[Binomialfordeling]],NA())</f>
        <v>#N/A</v>
      </c>
      <c r="AN443" s="99" t="e">
        <f>IF(S_binomial[[#This Row],[Større end]],S_binomial[[#This Row],[Binomialfordeling]],NA())</f>
        <v>#N/A</v>
      </c>
      <c r="AO443" s="85" t="str">
        <f>_xlfn.IFNA(IF(MOD(S_binomial[[#This Row],[Indeks (base 0)]],AF$7)=ROUNDDOWN(AF$7/2,0),S_binomial[[#This Row],[X base]],""),"")</f>
        <v/>
      </c>
      <c r="AP443" s="99" t="str">
        <f t="shared" si="72"/>
        <v xml:space="preserve"> </v>
      </c>
      <c r="AR443" s="54">
        <f t="shared" si="67"/>
        <v>430</v>
      </c>
      <c r="AS443" s="54">
        <f>S_normal27[[#This Row],[Indeks (base 0)]]+1</f>
        <v>431</v>
      </c>
      <c r="AT443" s="54">
        <f t="shared" si="69"/>
        <v>6</v>
      </c>
      <c r="AU443" s="54">
        <f>IF(MOD(S_normal27[[#This Row],[Indeks (base 0)]],AS$8)=0,NA(),_xlfn.POISSON.DIST(S_normal27[[#This Row],[X base]],$H$5,FALSE))</f>
        <v>5.0409406722462261E-2</v>
      </c>
      <c r="AV443" s="99" t="b">
        <f>S_normal27[[#This Row],[X base]]&lt;AS$5</f>
        <v>0</v>
      </c>
      <c r="AW443" s="99" t="b">
        <f>S_normal27[[#This Row],[X base]]=AS$5</f>
        <v>0</v>
      </c>
      <c r="AX443" s="99" t="b">
        <f>S_normal27[[#This Row],[X base]]&gt;AS$5</f>
        <v>1</v>
      </c>
      <c r="AY443" s="99" t="e">
        <f>IF(S_normal27[[#This Row],[Mindre end]],S_normal27[[#This Row],[Poissonfordeling]],NA())</f>
        <v>#N/A</v>
      </c>
      <c r="AZ443" s="99" t="e">
        <f>IF(S_normal27[[#This Row],[Lig med]],S_normal27[[#This Row],[Poissonfordeling]],NA())</f>
        <v>#N/A</v>
      </c>
      <c r="BA443" s="99">
        <f>IF(S_normal27[[#This Row],[Større end]],S_normal27[[#This Row],[Poissonfordeling]],NA())</f>
        <v>5.0409406722462261E-2</v>
      </c>
      <c r="BB443" s="85" t="str">
        <f>_xlfn.IFNA(IF(MOD(S_normal27[[#This Row],[Indeks (base 0)]],AS$8)=ROUNDDOWN(AS$8/2,0),S_normal27[[#This Row],[X base]],""),"")</f>
        <v/>
      </c>
      <c r="BC443" s="99" t="str">
        <f t="shared" si="68"/>
        <v xml:space="preserve"> </v>
      </c>
    </row>
    <row r="444" spans="31:55" x14ac:dyDescent="0.2">
      <c r="AE444" s="54">
        <f t="shared" si="70"/>
        <v>431</v>
      </c>
      <c r="AF444" s="54">
        <f>S_binomial[[#This Row],[Indeks (base 0)]]+1</f>
        <v>432</v>
      </c>
      <c r="AG444" s="99">
        <f t="shared" si="71"/>
        <v>4</v>
      </c>
      <c r="AH444" s="99">
        <f>IF(MOD(S_binomial[[#This Row],[Indeks (base 0)]],AF$7)=0,NA(),_xlfn.BINOM.DIST(S_binomial[[#This Row],[X base]],E$5,E$6,FALSE))</f>
        <v>0.16082039904000001</v>
      </c>
      <c r="AI444" s="99" t="b">
        <f>S_binomial[[#This Row],[X base]]&lt;AF$5</f>
        <v>1</v>
      </c>
      <c r="AJ444" s="99" t="b">
        <f>S_binomial[[#This Row],[X base]]=AF$5</f>
        <v>0</v>
      </c>
      <c r="AK444" s="99" t="b">
        <f>S_binomial[[#This Row],[X base]]&gt;AF$5</f>
        <v>0</v>
      </c>
      <c r="AL444" s="99">
        <f>IF(S_binomial[[#This Row],[Mindre end]],S_binomial[[#This Row],[Binomialfordeling]],NA())</f>
        <v>0.16082039904000001</v>
      </c>
      <c r="AM444" s="99" t="e">
        <f>IF(S_binomial[[#This Row],[Lig med]],S_binomial[[#This Row],[Binomialfordeling]],NA())</f>
        <v>#N/A</v>
      </c>
      <c r="AN444" s="99" t="e">
        <f>IF(S_binomial[[#This Row],[Større end]],S_binomial[[#This Row],[Binomialfordeling]],NA())</f>
        <v>#N/A</v>
      </c>
      <c r="AO444" s="85" t="str">
        <f>_xlfn.IFNA(IF(MOD(S_binomial[[#This Row],[Indeks (base 0)]],AF$7)=ROUNDDOWN(AF$7/2,0),S_binomial[[#This Row],[X base]],""),"")</f>
        <v/>
      </c>
      <c r="AP444" s="99" t="str">
        <f t="shared" si="72"/>
        <v xml:space="preserve"> </v>
      </c>
      <c r="AR444" s="54">
        <f t="shared" si="67"/>
        <v>431</v>
      </c>
      <c r="AS444" s="54">
        <f>S_normal27[[#This Row],[Indeks (base 0)]]+1</f>
        <v>432</v>
      </c>
      <c r="AT444" s="54">
        <f t="shared" si="69"/>
        <v>6</v>
      </c>
      <c r="AU444" s="54">
        <f>IF(MOD(S_normal27[[#This Row],[Indeks (base 0)]],AS$8)=0,NA(),_xlfn.POISSON.DIST(S_normal27[[#This Row],[X base]],$H$5,FALSE))</f>
        <v>5.0409406722462261E-2</v>
      </c>
      <c r="AV444" s="99" t="b">
        <f>S_normal27[[#This Row],[X base]]&lt;AS$5</f>
        <v>0</v>
      </c>
      <c r="AW444" s="99" t="b">
        <f>S_normal27[[#This Row],[X base]]=AS$5</f>
        <v>0</v>
      </c>
      <c r="AX444" s="99" t="b">
        <f>S_normal27[[#This Row],[X base]]&gt;AS$5</f>
        <v>1</v>
      </c>
      <c r="AY444" s="99" t="e">
        <f>IF(S_normal27[[#This Row],[Mindre end]],S_normal27[[#This Row],[Poissonfordeling]],NA())</f>
        <v>#N/A</v>
      </c>
      <c r="AZ444" s="99" t="e">
        <f>IF(S_normal27[[#This Row],[Lig med]],S_normal27[[#This Row],[Poissonfordeling]],NA())</f>
        <v>#N/A</v>
      </c>
      <c r="BA444" s="99">
        <f>IF(S_normal27[[#This Row],[Større end]],S_normal27[[#This Row],[Poissonfordeling]],NA())</f>
        <v>5.0409406722462261E-2</v>
      </c>
      <c r="BB444" s="85" t="str">
        <f>_xlfn.IFNA(IF(MOD(S_normal27[[#This Row],[Indeks (base 0)]],AS$8)=ROUNDDOWN(AS$8/2,0),S_normal27[[#This Row],[X base]],""),"")</f>
        <v/>
      </c>
      <c r="BC444" s="99" t="str">
        <f t="shared" si="68"/>
        <v xml:space="preserve"> </v>
      </c>
    </row>
    <row r="445" spans="31:55" x14ac:dyDescent="0.2">
      <c r="AE445" s="54">
        <f t="shared" si="70"/>
        <v>432</v>
      </c>
      <c r="AF445" s="54">
        <f>S_binomial[[#This Row],[Indeks (base 0)]]+1</f>
        <v>433</v>
      </c>
      <c r="AG445" s="99">
        <f t="shared" si="71"/>
        <v>4</v>
      </c>
      <c r="AH445" s="99">
        <f>IF(MOD(S_binomial[[#This Row],[Indeks (base 0)]],AF$7)=0,NA(),_xlfn.BINOM.DIST(S_binomial[[#This Row],[X base]],E$5,E$6,FALSE))</f>
        <v>0.16082039904000001</v>
      </c>
      <c r="AI445" s="99" t="b">
        <f>S_binomial[[#This Row],[X base]]&lt;AF$5</f>
        <v>1</v>
      </c>
      <c r="AJ445" s="99" t="b">
        <f>S_binomial[[#This Row],[X base]]=AF$5</f>
        <v>0</v>
      </c>
      <c r="AK445" s="99" t="b">
        <f>S_binomial[[#This Row],[X base]]&gt;AF$5</f>
        <v>0</v>
      </c>
      <c r="AL445" s="99">
        <f>IF(S_binomial[[#This Row],[Mindre end]],S_binomial[[#This Row],[Binomialfordeling]],NA())</f>
        <v>0.16082039904000001</v>
      </c>
      <c r="AM445" s="99" t="e">
        <f>IF(S_binomial[[#This Row],[Lig med]],S_binomial[[#This Row],[Binomialfordeling]],NA())</f>
        <v>#N/A</v>
      </c>
      <c r="AN445" s="99" t="e">
        <f>IF(S_binomial[[#This Row],[Større end]],S_binomial[[#This Row],[Binomialfordeling]],NA())</f>
        <v>#N/A</v>
      </c>
      <c r="AO445" s="85" t="str">
        <f>_xlfn.IFNA(IF(MOD(S_binomial[[#This Row],[Indeks (base 0)]],AF$7)=ROUNDDOWN(AF$7/2,0),S_binomial[[#This Row],[X base]],""),"")</f>
        <v/>
      </c>
      <c r="AP445" s="99" t="str">
        <f t="shared" si="72"/>
        <v xml:space="preserve"> </v>
      </c>
      <c r="AR445" s="54">
        <f t="shared" si="67"/>
        <v>432</v>
      </c>
      <c r="AS445" s="54">
        <f>S_normal27[[#This Row],[Indeks (base 0)]]+1</f>
        <v>433</v>
      </c>
      <c r="AT445" s="54">
        <f t="shared" si="69"/>
        <v>6</v>
      </c>
      <c r="AU445" s="54">
        <f>IF(MOD(S_normal27[[#This Row],[Indeks (base 0)]],AS$8)=0,NA(),_xlfn.POISSON.DIST(S_normal27[[#This Row],[X base]],$H$5,FALSE))</f>
        <v>5.0409406722462261E-2</v>
      </c>
      <c r="AV445" s="99" t="b">
        <f>S_normal27[[#This Row],[X base]]&lt;AS$5</f>
        <v>0</v>
      </c>
      <c r="AW445" s="99" t="b">
        <f>S_normal27[[#This Row],[X base]]=AS$5</f>
        <v>0</v>
      </c>
      <c r="AX445" s="99" t="b">
        <f>S_normal27[[#This Row],[X base]]&gt;AS$5</f>
        <v>1</v>
      </c>
      <c r="AY445" s="99" t="e">
        <f>IF(S_normal27[[#This Row],[Mindre end]],S_normal27[[#This Row],[Poissonfordeling]],NA())</f>
        <v>#N/A</v>
      </c>
      <c r="AZ445" s="99" t="e">
        <f>IF(S_normal27[[#This Row],[Lig med]],S_normal27[[#This Row],[Poissonfordeling]],NA())</f>
        <v>#N/A</v>
      </c>
      <c r="BA445" s="99">
        <f>IF(S_normal27[[#This Row],[Større end]],S_normal27[[#This Row],[Poissonfordeling]],NA())</f>
        <v>5.0409406722462261E-2</v>
      </c>
      <c r="BB445" s="85" t="str">
        <f>_xlfn.IFNA(IF(MOD(S_normal27[[#This Row],[Indeks (base 0)]],AS$8)=ROUNDDOWN(AS$8/2,0),S_normal27[[#This Row],[X base]],""),"")</f>
        <v/>
      </c>
      <c r="BC445" s="99" t="str">
        <f t="shared" si="68"/>
        <v xml:space="preserve"> </v>
      </c>
    </row>
    <row r="446" spans="31:55" x14ac:dyDescent="0.2">
      <c r="AE446" s="54">
        <f t="shared" si="70"/>
        <v>433</v>
      </c>
      <c r="AF446" s="54">
        <f>S_binomial[[#This Row],[Indeks (base 0)]]+1</f>
        <v>434</v>
      </c>
      <c r="AG446" s="99">
        <f t="shared" si="71"/>
        <v>4</v>
      </c>
      <c r="AH446" s="99">
        <f>IF(MOD(S_binomial[[#This Row],[Indeks (base 0)]],AF$7)=0,NA(),_xlfn.BINOM.DIST(S_binomial[[#This Row],[X base]],E$5,E$6,FALSE))</f>
        <v>0.16082039904000001</v>
      </c>
      <c r="AI446" s="99" t="b">
        <f>S_binomial[[#This Row],[X base]]&lt;AF$5</f>
        <v>1</v>
      </c>
      <c r="AJ446" s="99" t="b">
        <f>S_binomial[[#This Row],[X base]]=AF$5</f>
        <v>0</v>
      </c>
      <c r="AK446" s="99" t="b">
        <f>S_binomial[[#This Row],[X base]]&gt;AF$5</f>
        <v>0</v>
      </c>
      <c r="AL446" s="99">
        <f>IF(S_binomial[[#This Row],[Mindre end]],S_binomial[[#This Row],[Binomialfordeling]],NA())</f>
        <v>0.16082039904000001</v>
      </c>
      <c r="AM446" s="99" t="e">
        <f>IF(S_binomial[[#This Row],[Lig med]],S_binomial[[#This Row],[Binomialfordeling]],NA())</f>
        <v>#N/A</v>
      </c>
      <c r="AN446" s="99" t="e">
        <f>IF(S_binomial[[#This Row],[Større end]],S_binomial[[#This Row],[Binomialfordeling]],NA())</f>
        <v>#N/A</v>
      </c>
      <c r="AO446" s="85" t="str">
        <f>_xlfn.IFNA(IF(MOD(S_binomial[[#This Row],[Indeks (base 0)]],AF$7)=ROUNDDOWN(AF$7/2,0),S_binomial[[#This Row],[X base]],""),"")</f>
        <v/>
      </c>
      <c r="AP446" s="99" t="str">
        <f t="shared" si="72"/>
        <v xml:space="preserve"> </v>
      </c>
      <c r="AR446" s="54">
        <f t="shared" si="67"/>
        <v>433</v>
      </c>
      <c r="AS446" s="54">
        <f>S_normal27[[#This Row],[Indeks (base 0)]]+1</f>
        <v>434</v>
      </c>
      <c r="AT446" s="54">
        <f t="shared" si="69"/>
        <v>6</v>
      </c>
      <c r="AU446" s="54">
        <f>IF(MOD(S_normal27[[#This Row],[Indeks (base 0)]],AS$8)=0,NA(),_xlfn.POISSON.DIST(S_normal27[[#This Row],[X base]],$H$5,FALSE))</f>
        <v>5.0409406722462261E-2</v>
      </c>
      <c r="AV446" s="99" t="b">
        <f>S_normal27[[#This Row],[X base]]&lt;AS$5</f>
        <v>0</v>
      </c>
      <c r="AW446" s="99" t="b">
        <f>S_normal27[[#This Row],[X base]]=AS$5</f>
        <v>0</v>
      </c>
      <c r="AX446" s="99" t="b">
        <f>S_normal27[[#This Row],[X base]]&gt;AS$5</f>
        <v>1</v>
      </c>
      <c r="AY446" s="99" t="e">
        <f>IF(S_normal27[[#This Row],[Mindre end]],S_normal27[[#This Row],[Poissonfordeling]],NA())</f>
        <v>#N/A</v>
      </c>
      <c r="AZ446" s="99" t="e">
        <f>IF(S_normal27[[#This Row],[Lig med]],S_normal27[[#This Row],[Poissonfordeling]],NA())</f>
        <v>#N/A</v>
      </c>
      <c r="BA446" s="99">
        <f>IF(S_normal27[[#This Row],[Større end]],S_normal27[[#This Row],[Poissonfordeling]],NA())</f>
        <v>5.0409406722462261E-2</v>
      </c>
      <c r="BB446" s="85" t="str">
        <f>_xlfn.IFNA(IF(MOD(S_normal27[[#This Row],[Indeks (base 0)]],AS$8)=ROUNDDOWN(AS$8/2,0),S_normal27[[#This Row],[X base]],""),"")</f>
        <v/>
      </c>
      <c r="BC446" s="99" t="str">
        <f t="shared" si="68"/>
        <v xml:space="preserve"> </v>
      </c>
    </row>
    <row r="447" spans="31:55" x14ac:dyDescent="0.2">
      <c r="AE447" s="54">
        <f t="shared" si="70"/>
        <v>434</v>
      </c>
      <c r="AF447" s="54">
        <f>S_binomial[[#This Row],[Indeks (base 0)]]+1</f>
        <v>435</v>
      </c>
      <c r="AG447" s="99">
        <f t="shared" si="71"/>
        <v>4</v>
      </c>
      <c r="AH447" s="99">
        <f>IF(MOD(S_binomial[[#This Row],[Indeks (base 0)]],AF$7)=0,NA(),_xlfn.BINOM.DIST(S_binomial[[#This Row],[X base]],E$5,E$6,FALSE))</f>
        <v>0.16082039904000001</v>
      </c>
      <c r="AI447" s="99" t="b">
        <f>S_binomial[[#This Row],[X base]]&lt;AF$5</f>
        <v>1</v>
      </c>
      <c r="AJ447" s="99" t="b">
        <f>S_binomial[[#This Row],[X base]]=AF$5</f>
        <v>0</v>
      </c>
      <c r="AK447" s="99" t="b">
        <f>S_binomial[[#This Row],[X base]]&gt;AF$5</f>
        <v>0</v>
      </c>
      <c r="AL447" s="99">
        <f>IF(S_binomial[[#This Row],[Mindre end]],S_binomial[[#This Row],[Binomialfordeling]],NA())</f>
        <v>0.16082039904000001</v>
      </c>
      <c r="AM447" s="99" t="e">
        <f>IF(S_binomial[[#This Row],[Lig med]],S_binomial[[#This Row],[Binomialfordeling]],NA())</f>
        <v>#N/A</v>
      </c>
      <c r="AN447" s="99" t="e">
        <f>IF(S_binomial[[#This Row],[Større end]],S_binomial[[#This Row],[Binomialfordeling]],NA())</f>
        <v>#N/A</v>
      </c>
      <c r="AO447" s="85" t="str">
        <f>_xlfn.IFNA(IF(MOD(S_binomial[[#This Row],[Indeks (base 0)]],AF$7)=ROUNDDOWN(AF$7/2,0),S_binomial[[#This Row],[X base]],""),"")</f>
        <v/>
      </c>
      <c r="AP447" s="99" t="str">
        <f t="shared" si="72"/>
        <v xml:space="preserve"> </v>
      </c>
      <c r="AR447" s="54">
        <f t="shared" si="67"/>
        <v>434</v>
      </c>
      <c r="AS447" s="54">
        <f>S_normal27[[#This Row],[Indeks (base 0)]]+1</f>
        <v>435</v>
      </c>
      <c r="AT447" s="54">
        <f t="shared" si="69"/>
        <v>6</v>
      </c>
      <c r="AU447" s="54">
        <f>IF(MOD(S_normal27[[#This Row],[Indeks (base 0)]],AS$8)=0,NA(),_xlfn.POISSON.DIST(S_normal27[[#This Row],[X base]],$H$5,FALSE))</f>
        <v>5.0409406722462261E-2</v>
      </c>
      <c r="AV447" s="99" t="b">
        <f>S_normal27[[#This Row],[X base]]&lt;AS$5</f>
        <v>0</v>
      </c>
      <c r="AW447" s="99" t="b">
        <f>S_normal27[[#This Row],[X base]]=AS$5</f>
        <v>0</v>
      </c>
      <c r="AX447" s="99" t="b">
        <f>S_normal27[[#This Row],[X base]]&gt;AS$5</f>
        <v>1</v>
      </c>
      <c r="AY447" s="99" t="e">
        <f>IF(S_normal27[[#This Row],[Mindre end]],S_normal27[[#This Row],[Poissonfordeling]],NA())</f>
        <v>#N/A</v>
      </c>
      <c r="AZ447" s="99" t="e">
        <f>IF(S_normal27[[#This Row],[Lig med]],S_normal27[[#This Row],[Poissonfordeling]],NA())</f>
        <v>#N/A</v>
      </c>
      <c r="BA447" s="99">
        <f>IF(S_normal27[[#This Row],[Større end]],S_normal27[[#This Row],[Poissonfordeling]],NA())</f>
        <v>5.0409406722462261E-2</v>
      </c>
      <c r="BB447" s="85" t="str">
        <f>_xlfn.IFNA(IF(MOD(S_normal27[[#This Row],[Indeks (base 0)]],AS$8)=ROUNDDOWN(AS$8/2,0),S_normal27[[#This Row],[X base]],""),"")</f>
        <v/>
      </c>
      <c r="BC447" s="99" t="str">
        <f t="shared" si="68"/>
        <v xml:space="preserve"> </v>
      </c>
    </row>
    <row r="448" spans="31:55" x14ac:dyDescent="0.2">
      <c r="AE448" s="54">
        <f t="shared" si="70"/>
        <v>435</v>
      </c>
      <c r="AF448" s="54">
        <f>S_binomial[[#This Row],[Indeks (base 0)]]+1</f>
        <v>436</v>
      </c>
      <c r="AG448" s="99">
        <f t="shared" si="71"/>
        <v>4</v>
      </c>
      <c r="AH448" s="99">
        <f>IF(MOD(S_binomial[[#This Row],[Indeks (base 0)]],AF$7)=0,NA(),_xlfn.BINOM.DIST(S_binomial[[#This Row],[X base]],E$5,E$6,FALSE))</f>
        <v>0.16082039904000001</v>
      </c>
      <c r="AI448" s="99" t="b">
        <f>S_binomial[[#This Row],[X base]]&lt;AF$5</f>
        <v>1</v>
      </c>
      <c r="AJ448" s="99" t="b">
        <f>S_binomial[[#This Row],[X base]]=AF$5</f>
        <v>0</v>
      </c>
      <c r="AK448" s="99" t="b">
        <f>S_binomial[[#This Row],[X base]]&gt;AF$5</f>
        <v>0</v>
      </c>
      <c r="AL448" s="99">
        <f>IF(S_binomial[[#This Row],[Mindre end]],S_binomial[[#This Row],[Binomialfordeling]],NA())</f>
        <v>0.16082039904000001</v>
      </c>
      <c r="AM448" s="99" t="e">
        <f>IF(S_binomial[[#This Row],[Lig med]],S_binomial[[#This Row],[Binomialfordeling]],NA())</f>
        <v>#N/A</v>
      </c>
      <c r="AN448" s="99" t="e">
        <f>IF(S_binomial[[#This Row],[Større end]],S_binomial[[#This Row],[Binomialfordeling]],NA())</f>
        <v>#N/A</v>
      </c>
      <c r="AO448" s="85" t="str">
        <f>_xlfn.IFNA(IF(MOD(S_binomial[[#This Row],[Indeks (base 0)]],AF$7)=ROUNDDOWN(AF$7/2,0),S_binomial[[#This Row],[X base]],""),"")</f>
        <v/>
      </c>
      <c r="AP448" s="99" t="str">
        <f t="shared" si="72"/>
        <v xml:space="preserve"> </v>
      </c>
      <c r="AR448" s="54">
        <f t="shared" si="67"/>
        <v>435</v>
      </c>
      <c r="AS448" s="54">
        <f>S_normal27[[#This Row],[Indeks (base 0)]]+1</f>
        <v>436</v>
      </c>
      <c r="AT448" s="54">
        <f t="shared" si="69"/>
        <v>6</v>
      </c>
      <c r="AU448" s="54">
        <f>IF(MOD(S_normal27[[#This Row],[Indeks (base 0)]],AS$8)=0,NA(),_xlfn.POISSON.DIST(S_normal27[[#This Row],[X base]],$H$5,FALSE))</f>
        <v>5.0409406722462261E-2</v>
      </c>
      <c r="AV448" s="99" t="b">
        <f>S_normal27[[#This Row],[X base]]&lt;AS$5</f>
        <v>0</v>
      </c>
      <c r="AW448" s="99" t="b">
        <f>S_normal27[[#This Row],[X base]]=AS$5</f>
        <v>0</v>
      </c>
      <c r="AX448" s="99" t="b">
        <f>S_normal27[[#This Row],[X base]]&gt;AS$5</f>
        <v>1</v>
      </c>
      <c r="AY448" s="99" t="e">
        <f>IF(S_normal27[[#This Row],[Mindre end]],S_normal27[[#This Row],[Poissonfordeling]],NA())</f>
        <v>#N/A</v>
      </c>
      <c r="AZ448" s="99" t="e">
        <f>IF(S_normal27[[#This Row],[Lig med]],S_normal27[[#This Row],[Poissonfordeling]],NA())</f>
        <v>#N/A</v>
      </c>
      <c r="BA448" s="99">
        <f>IF(S_normal27[[#This Row],[Større end]],S_normal27[[#This Row],[Poissonfordeling]],NA())</f>
        <v>5.0409406722462261E-2</v>
      </c>
      <c r="BB448" s="85" t="str">
        <f>_xlfn.IFNA(IF(MOD(S_normal27[[#This Row],[Indeks (base 0)]],AS$8)=ROUNDDOWN(AS$8/2,0),S_normal27[[#This Row],[X base]],""),"")</f>
        <v/>
      </c>
      <c r="BC448" s="99" t="str">
        <f t="shared" si="68"/>
        <v xml:space="preserve"> </v>
      </c>
    </row>
    <row r="449" spans="31:55" x14ac:dyDescent="0.2">
      <c r="AE449" s="54">
        <f t="shared" si="70"/>
        <v>436</v>
      </c>
      <c r="AF449" s="54">
        <f>S_binomial[[#This Row],[Indeks (base 0)]]+1</f>
        <v>437</v>
      </c>
      <c r="AG449" s="99">
        <f t="shared" si="71"/>
        <v>4</v>
      </c>
      <c r="AH449" s="99">
        <f>IF(MOD(S_binomial[[#This Row],[Indeks (base 0)]],AF$7)=0,NA(),_xlfn.BINOM.DIST(S_binomial[[#This Row],[X base]],E$5,E$6,FALSE))</f>
        <v>0.16082039904000001</v>
      </c>
      <c r="AI449" s="99" t="b">
        <f>S_binomial[[#This Row],[X base]]&lt;AF$5</f>
        <v>1</v>
      </c>
      <c r="AJ449" s="99" t="b">
        <f>S_binomial[[#This Row],[X base]]=AF$5</f>
        <v>0</v>
      </c>
      <c r="AK449" s="99" t="b">
        <f>S_binomial[[#This Row],[X base]]&gt;AF$5</f>
        <v>0</v>
      </c>
      <c r="AL449" s="99">
        <f>IF(S_binomial[[#This Row],[Mindre end]],S_binomial[[#This Row],[Binomialfordeling]],NA())</f>
        <v>0.16082039904000001</v>
      </c>
      <c r="AM449" s="99" t="e">
        <f>IF(S_binomial[[#This Row],[Lig med]],S_binomial[[#This Row],[Binomialfordeling]],NA())</f>
        <v>#N/A</v>
      </c>
      <c r="AN449" s="99" t="e">
        <f>IF(S_binomial[[#This Row],[Større end]],S_binomial[[#This Row],[Binomialfordeling]],NA())</f>
        <v>#N/A</v>
      </c>
      <c r="AO449" s="85" t="str">
        <f>_xlfn.IFNA(IF(MOD(S_binomial[[#This Row],[Indeks (base 0)]],AF$7)=ROUNDDOWN(AF$7/2,0),S_binomial[[#This Row],[X base]],""),"")</f>
        <v/>
      </c>
      <c r="AP449" s="99" t="str">
        <f t="shared" si="72"/>
        <v xml:space="preserve"> </v>
      </c>
      <c r="AR449" s="54">
        <f t="shared" si="67"/>
        <v>436</v>
      </c>
      <c r="AS449" s="54">
        <f>S_normal27[[#This Row],[Indeks (base 0)]]+1</f>
        <v>437</v>
      </c>
      <c r="AT449" s="54">
        <f t="shared" si="69"/>
        <v>6</v>
      </c>
      <c r="AU449" s="54">
        <f>IF(MOD(S_normal27[[#This Row],[Indeks (base 0)]],AS$8)=0,NA(),_xlfn.POISSON.DIST(S_normal27[[#This Row],[X base]],$H$5,FALSE))</f>
        <v>5.0409406722462261E-2</v>
      </c>
      <c r="AV449" s="99" t="b">
        <f>S_normal27[[#This Row],[X base]]&lt;AS$5</f>
        <v>0</v>
      </c>
      <c r="AW449" s="99" t="b">
        <f>S_normal27[[#This Row],[X base]]=AS$5</f>
        <v>0</v>
      </c>
      <c r="AX449" s="99" t="b">
        <f>S_normal27[[#This Row],[X base]]&gt;AS$5</f>
        <v>1</v>
      </c>
      <c r="AY449" s="99" t="e">
        <f>IF(S_normal27[[#This Row],[Mindre end]],S_normal27[[#This Row],[Poissonfordeling]],NA())</f>
        <v>#N/A</v>
      </c>
      <c r="AZ449" s="99" t="e">
        <f>IF(S_normal27[[#This Row],[Lig med]],S_normal27[[#This Row],[Poissonfordeling]],NA())</f>
        <v>#N/A</v>
      </c>
      <c r="BA449" s="99">
        <f>IF(S_normal27[[#This Row],[Større end]],S_normal27[[#This Row],[Poissonfordeling]],NA())</f>
        <v>5.0409406722462261E-2</v>
      </c>
      <c r="BB449" s="85" t="str">
        <f>_xlfn.IFNA(IF(MOD(S_normal27[[#This Row],[Indeks (base 0)]],AS$8)=ROUNDDOWN(AS$8/2,0),S_normal27[[#This Row],[X base]],""),"")</f>
        <v/>
      </c>
      <c r="BC449" s="99" t="str">
        <f t="shared" si="68"/>
        <v xml:space="preserve"> </v>
      </c>
    </row>
    <row r="450" spans="31:55" x14ac:dyDescent="0.2">
      <c r="AE450" s="54">
        <f t="shared" si="70"/>
        <v>437</v>
      </c>
      <c r="AF450" s="54">
        <f>S_binomial[[#This Row],[Indeks (base 0)]]+1</f>
        <v>438</v>
      </c>
      <c r="AG450" s="99">
        <f t="shared" si="71"/>
        <v>4</v>
      </c>
      <c r="AH450" s="99">
        <f>IF(MOD(S_binomial[[#This Row],[Indeks (base 0)]],AF$7)=0,NA(),_xlfn.BINOM.DIST(S_binomial[[#This Row],[X base]],E$5,E$6,FALSE))</f>
        <v>0.16082039904000001</v>
      </c>
      <c r="AI450" s="99" t="b">
        <f>S_binomial[[#This Row],[X base]]&lt;AF$5</f>
        <v>1</v>
      </c>
      <c r="AJ450" s="99" t="b">
        <f>S_binomial[[#This Row],[X base]]=AF$5</f>
        <v>0</v>
      </c>
      <c r="AK450" s="99" t="b">
        <f>S_binomial[[#This Row],[X base]]&gt;AF$5</f>
        <v>0</v>
      </c>
      <c r="AL450" s="99">
        <f>IF(S_binomial[[#This Row],[Mindre end]],S_binomial[[#This Row],[Binomialfordeling]],NA())</f>
        <v>0.16082039904000001</v>
      </c>
      <c r="AM450" s="99" t="e">
        <f>IF(S_binomial[[#This Row],[Lig med]],S_binomial[[#This Row],[Binomialfordeling]],NA())</f>
        <v>#N/A</v>
      </c>
      <c r="AN450" s="99" t="e">
        <f>IF(S_binomial[[#This Row],[Større end]],S_binomial[[#This Row],[Binomialfordeling]],NA())</f>
        <v>#N/A</v>
      </c>
      <c r="AO450" s="85" t="str">
        <f>_xlfn.IFNA(IF(MOD(S_binomial[[#This Row],[Indeks (base 0)]],AF$7)=ROUNDDOWN(AF$7/2,0),S_binomial[[#This Row],[X base]],""),"")</f>
        <v/>
      </c>
      <c r="AP450" s="99" t="str">
        <f t="shared" si="72"/>
        <v xml:space="preserve"> </v>
      </c>
      <c r="AR450" s="54">
        <f t="shared" si="67"/>
        <v>437</v>
      </c>
      <c r="AS450" s="54">
        <f>S_normal27[[#This Row],[Indeks (base 0)]]+1</f>
        <v>438</v>
      </c>
      <c r="AT450" s="54">
        <f t="shared" si="69"/>
        <v>6</v>
      </c>
      <c r="AU450" s="54">
        <f>IF(MOD(S_normal27[[#This Row],[Indeks (base 0)]],AS$8)=0,NA(),_xlfn.POISSON.DIST(S_normal27[[#This Row],[X base]],$H$5,FALSE))</f>
        <v>5.0409406722462261E-2</v>
      </c>
      <c r="AV450" s="99" t="b">
        <f>S_normal27[[#This Row],[X base]]&lt;AS$5</f>
        <v>0</v>
      </c>
      <c r="AW450" s="99" t="b">
        <f>S_normal27[[#This Row],[X base]]=AS$5</f>
        <v>0</v>
      </c>
      <c r="AX450" s="99" t="b">
        <f>S_normal27[[#This Row],[X base]]&gt;AS$5</f>
        <v>1</v>
      </c>
      <c r="AY450" s="99" t="e">
        <f>IF(S_normal27[[#This Row],[Mindre end]],S_normal27[[#This Row],[Poissonfordeling]],NA())</f>
        <v>#N/A</v>
      </c>
      <c r="AZ450" s="99" t="e">
        <f>IF(S_normal27[[#This Row],[Lig med]],S_normal27[[#This Row],[Poissonfordeling]],NA())</f>
        <v>#N/A</v>
      </c>
      <c r="BA450" s="99">
        <f>IF(S_normal27[[#This Row],[Større end]],S_normal27[[#This Row],[Poissonfordeling]],NA())</f>
        <v>5.0409406722462261E-2</v>
      </c>
      <c r="BB450" s="85" t="str">
        <f>_xlfn.IFNA(IF(MOD(S_normal27[[#This Row],[Indeks (base 0)]],AS$8)=ROUNDDOWN(AS$8/2,0),S_normal27[[#This Row],[X base]],""),"")</f>
        <v/>
      </c>
      <c r="BC450" s="99" t="str">
        <f t="shared" si="68"/>
        <v xml:space="preserve"> </v>
      </c>
    </row>
    <row r="451" spans="31:55" x14ac:dyDescent="0.2">
      <c r="AE451" s="54">
        <f t="shared" si="70"/>
        <v>438</v>
      </c>
      <c r="AF451" s="54">
        <f>S_binomial[[#This Row],[Indeks (base 0)]]+1</f>
        <v>439</v>
      </c>
      <c r="AG451" s="99">
        <f t="shared" si="71"/>
        <v>4</v>
      </c>
      <c r="AH451" s="99">
        <f>IF(MOD(S_binomial[[#This Row],[Indeks (base 0)]],AF$7)=0,NA(),_xlfn.BINOM.DIST(S_binomial[[#This Row],[X base]],E$5,E$6,FALSE))</f>
        <v>0.16082039904000001</v>
      </c>
      <c r="AI451" s="99" t="b">
        <f>S_binomial[[#This Row],[X base]]&lt;AF$5</f>
        <v>1</v>
      </c>
      <c r="AJ451" s="99" t="b">
        <f>S_binomial[[#This Row],[X base]]=AF$5</f>
        <v>0</v>
      </c>
      <c r="AK451" s="99" t="b">
        <f>S_binomial[[#This Row],[X base]]&gt;AF$5</f>
        <v>0</v>
      </c>
      <c r="AL451" s="99">
        <f>IF(S_binomial[[#This Row],[Mindre end]],S_binomial[[#This Row],[Binomialfordeling]],NA())</f>
        <v>0.16082039904000001</v>
      </c>
      <c r="AM451" s="99" t="e">
        <f>IF(S_binomial[[#This Row],[Lig med]],S_binomial[[#This Row],[Binomialfordeling]],NA())</f>
        <v>#N/A</v>
      </c>
      <c r="AN451" s="99" t="e">
        <f>IF(S_binomial[[#This Row],[Større end]],S_binomial[[#This Row],[Binomialfordeling]],NA())</f>
        <v>#N/A</v>
      </c>
      <c r="AO451" s="85" t="str">
        <f>_xlfn.IFNA(IF(MOD(S_binomial[[#This Row],[Indeks (base 0)]],AF$7)=ROUNDDOWN(AF$7/2,0),S_binomial[[#This Row],[X base]],""),"")</f>
        <v/>
      </c>
      <c r="AP451" s="99" t="str">
        <f t="shared" si="72"/>
        <v xml:space="preserve"> </v>
      </c>
      <c r="AR451" s="54">
        <f t="shared" si="67"/>
        <v>438</v>
      </c>
      <c r="AS451" s="54">
        <f>S_normal27[[#This Row],[Indeks (base 0)]]+1</f>
        <v>439</v>
      </c>
      <c r="AT451" s="54">
        <f t="shared" si="69"/>
        <v>6</v>
      </c>
      <c r="AU451" s="54">
        <f>IF(MOD(S_normal27[[#This Row],[Indeks (base 0)]],AS$8)=0,NA(),_xlfn.POISSON.DIST(S_normal27[[#This Row],[X base]],$H$5,FALSE))</f>
        <v>5.0409406722462261E-2</v>
      </c>
      <c r="AV451" s="99" t="b">
        <f>S_normal27[[#This Row],[X base]]&lt;AS$5</f>
        <v>0</v>
      </c>
      <c r="AW451" s="99" t="b">
        <f>S_normal27[[#This Row],[X base]]=AS$5</f>
        <v>0</v>
      </c>
      <c r="AX451" s="99" t="b">
        <f>S_normal27[[#This Row],[X base]]&gt;AS$5</f>
        <v>1</v>
      </c>
      <c r="AY451" s="99" t="e">
        <f>IF(S_normal27[[#This Row],[Mindre end]],S_normal27[[#This Row],[Poissonfordeling]],NA())</f>
        <v>#N/A</v>
      </c>
      <c r="AZ451" s="99" t="e">
        <f>IF(S_normal27[[#This Row],[Lig med]],S_normal27[[#This Row],[Poissonfordeling]],NA())</f>
        <v>#N/A</v>
      </c>
      <c r="BA451" s="99">
        <f>IF(S_normal27[[#This Row],[Større end]],S_normal27[[#This Row],[Poissonfordeling]],NA())</f>
        <v>5.0409406722462261E-2</v>
      </c>
      <c r="BB451" s="85" t="str">
        <f>_xlfn.IFNA(IF(MOD(S_normal27[[#This Row],[Indeks (base 0)]],AS$8)=ROUNDDOWN(AS$8/2,0),S_normal27[[#This Row],[X base]],""),"")</f>
        <v/>
      </c>
      <c r="BC451" s="99" t="str">
        <f t="shared" si="68"/>
        <v xml:space="preserve"> </v>
      </c>
    </row>
    <row r="452" spans="31:55" x14ac:dyDescent="0.2">
      <c r="AE452" s="54">
        <f t="shared" si="70"/>
        <v>439</v>
      </c>
      <c r="AF452" s="54">
        <f>S_binomial[[#This Row],[Indeks (base 0)]]+1</f>
        <v>440</v>
      </c>
      <c r="AG452" s="99">
        <f t="shared" si="71"/>
        <v>4</v>
      </c>
      <c r="AH452" s="99">
        <f>IF(MOD(S_binomial[[#This Row],[Indeks (base 0)]],AF$7)=0,NA(),_xlfn.BINOM.DIST(S_binomial[[#This Row],[X base]],E$5,E$6,FALSE))</f>
        <v>0.16082039904000001</v>
      </c>
      <c r="AI452" s="99" t="b">
        <f>S_binomial[[#This Row],[X base]]&lt;AF$5</f>
        <v>1</v>
      </c>
      <c r="AJ452" s="99" t="b">
        <f>S_binomial[[#This Row],[X base]]=AF$5</f>
        <v>0</v>
      </c>
      <c r="AK452" s="99" t="b">
        <f>S_binomial[[#This Row],[X base]]&gt;AF$5</f>
        <v>0</v>
      </c>
      <c r="AL452" s="99">
        <f>IF(S_binomial[[#This Row],[Mindre end]],S_binomial[[#This Row],[Binomialfordeling]],NA())</f>
        <v>0.16082039904000001</v>
      </c>
      <c r="AM452" s="99" t="e">
        <f>IF(S_binomial[[#This Row],[Lig med]],S_binomial[[#This Row],[Binomialfordeling]],NA())</f>
        <v>#N/A</v>
      </c>
      <c r="AN452" s="99" t="e">
        <f>IF(S_binomial[[#This Row],[Større end]],S_binomial[[#This Row],[Binomialfordeling]],NA())</f>
        <v>#N/A</v>
      </c>
      <c r="AO452" s="85" t="str">
        <f>_xlfn.IFNA(IF(MOD(S_binomial[[#This Row],[Indeks (base 0)]],AF$7)=ROUNDDOWN(AF$7/2,0),S_binomial[[#This Row],[X base]],""),"")</f>
        <v/>
      </c>
      <c r="AP452" s="99" t="str">
        <f t="shared" si="72"/>
        <v xml:space="preserve"> </v>
      </c>
      <c r="AR452" s="54">
        <f t="shared" si="67"/>
        <v>439</v>
      </c>
      <c r="AS452" s="54">
        <f>S_normal27[[#This Row],[Indeks (base 0)]]+1</f>
        <v>440</v>
      </c>
      <c r="AT452" s="54">
        <f t="shared" si="69"/>
        <v>6</v>
      </c>
      <c r="AU452" s="54">
        <f>IF(MOD(S_normal27[[#This Row],[Indeks (base 0)]],AS$8)=0,NA(),_xlfn.POISSON.DIST(S_normal27[[#This Row],[X base]],$H$5,FALSE))</f>
        <v>5.0409406722462261E-2</v>
      </c>
      <c r="AV452" s="99" t="b">
        <f>S_normal27[[#This Row],[X base]]&lt;AS$5</f>
        <v>0</v>
      </c>
      <c r="AW452" s="99" t="b">
        <f>S_normal27[[#This Row],[X base]]=AS$5</f>
        <v>0</v>
      </c>
      <c r="AX452" s="99" t="b">
        <f>S_normal27[[#This Row],[X base]]&gt;AS$5</f>
        <v>1</v>
      </c>
      <c r="AY452" s="99" t="e">
        <f>IF(S_normal27[[#This Row],[Mindre end]],S_normal27[[#This Row],[Poissonfordeling]],NA())</f>
        <v>#N/A</v>
      </c>
      <c r="AZ452" s="99" t="e">
        <f>IF(S_normal27[[#This Row],[Lig med]],S_normal27[[#This Row],[Poissonfordeling]],NA())</f>
        <v>#N/A</v>
      </c>
      <c r="BA452" s="99">
        <f>IF(S_normal27[[#This Row],[Større end]],S_normal27[[#This Row],[Poissonfordeling]],NA())</f>
        <v>5.0409406722462261E-2</v>
      </c>
      <c r="BB452" s="85" t="str">
        <f>_xlfn.IFNA(IF(MOD(S_normal27[[#This Row],[Indeks (base 0)]],AS$8)=ROUNDDOWN(AS$8/2,0),S_normal27[[#This Row],[X base]],""),"")</f>
        <v/>
      </c>
      <c r="BC452" s="99" t="str">
        <f t="shared" si="68"/>
        <v xml:space="preserve"> </v>
      </c>
    </row>
    <row r="453" spans="31:55" x14ac:dyDescent="0.2">
      <c r="AE453" s="54">
        <f t="shared" si="70"/>
        <v>440</v>
      </c>
      <c r="AF453" s="54">
        <f>S_binomial[[#This Row],[Indeks (base 0)]]+1</f>
        <v>441</v>
      </c>
      <c r="AG453" s="99">
        <f t="shared" si="71"/>
        <v>4</v>
      </c>
      <c r="AH453" s="99">
        <f>IF(MOD(S_binomial[[#This Row],[Indeks (base 0)]],AF$7)=0,NA(),_xlfn.BINOM.DIST(S_binomial[[#This Row],[X base]],E$5,E$6,FALSE))</f>
        <v>0.16082039904000001</v>
      </c>
      <c r="AI453" s="99" t="b">
        <f>S_binomial[[#This Row],[X base]]&lt;AF$5</f>
        <v>1</v>
      </c>
      <c r="AJ453" s="99" t="b">
        <f>S_binomial[[#This Row],[X base]]=AF$5</f>
        <v>0</v>
      </c>
      <c r="AK453" s="99" t="b">
        <f>S_binomial[[#This Row],[X base]]&gt;AF$5</f>
        <v>0</v>
      </c>
      <c r="AL453" s="99">
        <f>IF(S_binomial[[#This Row],[Mindre end]],S_binomial[[#This Row],[Binomialfordeling]],NA())</f>
        <v>0.16082039904000001</v>
      </c>
      <c r="AM453" s="99" t="e">
        <f>IF(S_binomial[[#This Row],[Lig med]],S_binomial[[#This Row],[Binomialfordeling]],NA())</f>
        <v>#N/A</v>
      </c>
      <c r="AN453" s="99" t="e">
        <f>IF(S_binomial[[#This Row],[Større end]],S_binomial[[#This Row],[Binomialfordeling]],NA())</f>
        <v>#N/A</v>
      </c>
      <c r="AO453" s="85" t="str">
        <f>_xlfn.IFNA(IF(MOD(S_binomial[[#This Row],[Indeks (base 0)]],AF$7)=ROUNDDOWN(AF$7/2,0),S_binomial[[#This Row],[X base]],""),"")</f>
        <v/>
      </c>
      <c r="AP453" s="99" t="str">
        <f t="shared" si="72"/>
        <v xml:space="preserve"> </v>
      </c>
      <c r="AR453" s="54">
        <f t="shared" si="67"/>
        <v>440</v>
      </c>
      <c r="AS453" s="54">
        <f>S_normal27[[#This Row],[Indeks (base 0)]]+1</f>
        <v>441</v>
      </c>
      <c r="AT453" s="54">
        <f t="shared" si="69"/>
        <v>6</v>
      </c>
      <c r="AU453" s="54">
        <f>IF(MOD(S_normal27[[#This Row],[Indeks (base 0)]],AS$8)=0,NA(),_xlfn.POISSON.DIST(S_normal27[[#This Row],[X base]],$H$5,FALSE))</f>
        <v>5.0409406722462261E-2</v>
      </c>
      <c r="AV453" s="99" t="b">
        <f>S_normal27[[#This Row],[X base]]&lt;AS$5</f>
        <v>0</v>
      </c>
      <c r="AW453" s="99" t="b">
        <f>S_normal27[[#This Row],[X base]]=AS$5</f>
        <v>0</v>
      </c>
      <c r="AX453" s="99" t="b">
        <f>S_normal27[[#This Row],[X base]]&gt;AS$5</f>
        <v>1</v>
      </c>
      <c r="AY453" s="99" t="e">
        <f>IF(S_normal27[[#This Row],[Mindre end]],S_normal27[[#This Row],[Poissonfordeling]],NA())</f>
        <v>#N/A</v>
      </c>
      <c r="AZ453" s="99" t="e">
        <f>IF(S_normal27[[#This Row],[Lig med]],S_normal27[[#This Row],[Poissonfordeling]],NA())</f>
        <v>#N/A</v>
      </c>
      <c r="BA453" s="99">
        <f>IF(S_normal27[[#This Row],[Større end]],S_normal27[[#This Row],[Poissonfordeling]],NA())</f>
        <v>5.0409406722462261E-2</v>
      </c>
      <c r="BB453" s="85" t="str">
        <f>_xlfn.IFNA(IF(MOD(S_normal27[[#This Row],[Indeks (base 0)]],AS$8)=ROUNDDOWN(AS$8/2,0),S_normal27[[#This Row],[X base]],""),"")</f>
        <v/>
      </c>
      <c r="BC453" s="99" t="str">
        <f t="shared" si="68"/>
        <v xml:space="preserve"> </v>
      </c>
    </row>
    <row r="454" spans="31:55" x14ac:dyDescent="0.2">
      <c r="AE454" s="54">
        <f t="shared" si="70"/>
        <v>441</v>
      </c>
      <c r="AF454" s="54">
        <f>S_binomial[[#This Row],[Indeks (base 0)]]+1</f>
        <v>442</v>
      </c>
      <c r="AG454" s="99">
        <f t="shared" si="71"/>
        <v>4</v>
      </c>
      <c r="AH454" s="99">
        <f>IF(MOD(S_binomial[[#This Row],[Indeks (base 0)]],AF$7)=0,NA(),_xlfn.BINOM.DIST(S_binomial[[#This Row],[X base]],E$5,E$6,FALSE))</f>
        <v>0.16082039904000001</v>
      </c>
      <c r="AI454" s="99" t="b">
        <f>S_binomial[[#This Row],[X base]]&lt;AF$5</f>
        <v>1</v>
      </c>
      <c r="AJ454" s="99" t="b">
        <f>S_binomial[[#This Row],[X base]]=AF$5</f>
        <v>0</v>
      </c>
      <c r="AK454" s="99" t="b">
        <f>S_binomial[[#This Row],[X base]]&gt;AF$5</f>
        <v>0</v>
      </c>
      <c r="AL454" s="99">
        <f>IF(S_binomial[[#This Row],[Mindre end]],S_binomial[[#This Row],[Binomialfordeling]],NA())</f>
        <v>0.16082039904000001</v>
      </c>
      <c r="AM454" s="99" t="e">
        <f>IF(S_binomial[[#This Row],[Lig med]],S_binomial[[#This Row],[Binomialfordeling]],NA())</f>
        <v>#N/A</v>
      </c>
      <c r="AN454" s="99" t="e">
        <f>IF(S_binomial[[#This Row],[Større end]],S_binomial[[#This Row],[Binomialfordeling]],NA())</f>
        <v>#N/A</v>
      </c>
      <c r="AO454" s="85" t="str">
        <f>_xlfn.IFNA(IF(MOD(S_binomial[[#This Row],[Indeks (base 0)]],AF$7)=ROUNDDOWN(AF$7/2,0),S_binomial[[#This Row],[X base]],""),"")</f>
        <v/>
      </c>
      <c r="AP454" s="99" t="str">
        <f t="shared" si="72"/>
        <v xml:space="preserve"> </v>
      </c>
      <c r="AR454" s="54">
        <f t="shared" si="67"/>
        <v>441</v>
      </c>
      <c r="AS454" s="54">
        <f>S_normal27[[#This Row],[Indeks (base 0)]]+1</f>
        <v>442</v>
      </c>
      <c r="AT454" s="54">
        <f t="shared" si="69"/>
        <v>6</v>
      </c>
      <c r="AU454" s="54">
        <f>IF(MOD(S_normal27[[#This Row],[Indeks (base 0)]],AS$8)=0,NA(),_xlfn.POISSON.DIST(S_normal27[[#This Row],[X base]],$H$5,FALSE))</f>
        <v>5.0409406722462261E-2</v>
      </c>
      <c r="AV454" s="99" t="b">
        <f>S_normal27[[#This Row],[X base]]&lt;AS$5</f>
        <v>0</v>
      </c>
      <c r="AW454" s="99" t="b">
        <f>S_normal27[[#This Row],[X base]]=AS$5</f>
        <v>0</v>
      </c>
      <c r="AX454" s="99" t="b">
        <f>S_normal27[[#This Row],[X base]]&gt;AS$5</f>
        <v>1</v>
      </c>
      <c r="AY454" s="99" t="e">
        <f>IF(S_normal27[[#This Row],[Mindre end]],S_normal27[[#This Row],[Poissonfordeling]],NA())</f>
        <v>#N/A</v>
      </c>
      <c r="AZ454" s="99" t="e">
        <f>IF(S_normal27[[#This Row],[Lig med]],S_normal27[[#This Row],[Poissonfordeling]],NA())</f>
        <v>#N/A</v>
      </c>
      <c r="BA454" s="99">
        <f>IF(S_normal27[[#This Row],[Større end]],S_normal27[[#This Row],[Poissonfordeling]],NA())</f>
        <v>5.0409406722462261E-2</v>
      </c>
      <c r="BB454" s="85" t="str">
        <f>_xlfn.IFNA(IF(MOD(S_normal27[[#This Row],[Indeks (base 0)]],AS$8)=ROUNDDOWN(AS$8/2,0),S_normal27[[#This Row],[X base]],""),"")</f>
        <v/>
      </c>
      <c r="BC454" s="99" t="str">
        <f t="shared" si="68"/>
        <v xml:space="preserve"> </v>
      </c>
    </row>
    <row r="455" spans="31:55" x14ac:dyDescent="0.2">
      <c r="AE455" s="54">
        <f t="shared" si="70"/>
        <v>442</v>
      </c>
      <c r="AF455" s="54">
        <f>S_binomial[[#This Row],[Indeks (base 0)]]+1</f>
        <v>443</v>
      </c>
      <c r="AG455" s="99">
        <f t="shared" si="71"/>
        <v>4</v>
      </c>
      <c r="AH455" s="99">
        <f>IF(MOD(S_binomial[[#This Row],[Indeks (base 0)]],AF$7)=0,NA(),_xlfn.BINOM.DIST(S_binomial[[#This Row],[X base]],E$5,E$6,FALSE))</f>
        <v>0.16082039904000001</v>
      </c>
      <c r="AI455" s="99" t="b">
        <f>S_binomial[[#This Row],[X base]]&lt;AF$5</f>
        <v>1</v>
      </c>
      <c r="AJ455" s="99" t="b">
        <f>S_binomial[[#This Row],[X base]]=AF$5</f>
        <v>0</v>
      </c>
      <c r="AK455" s="99" t="b">
        <f>S_binomial[[#This Row],[X base]]&gt;AF$5</f>
        <v>0</v>
      </c>
      <c r="AL455" s="99">
        <f>IF(S_binomial[[#This Row],[Mindre end]],S_binomial[[#This Row],[Binomialfordeling]],NA())</f>
        <v>0.16082039904000001</v>
      </c>
      <c r="AM455" s="99" t="e">
        <f>IF(S_binomial[[#This Row],[Lig med]],S_binomial[[#This Row],[Binomialfordeling]],NA())</f>
        <v>#N/A</v>
      </c>
      <c r="AN455" s="99" t="e">
        <f>IF(S_binomial[[#This Row],[Større end]],S_binomial[[#This Row],[Binomialfordeling]],NA())</f>
        <v>#N/A</v>
      </c>
      <c r="AO455" s="85" t="str">
        <f>_xlfn.IFNA(IF(MOD(S_binomial[[#This Row],[Indeks (base 0)]],AF$7)=ROUNDDOWN(AF$7/2,0),S_binomial[[#This Row],[X base]],""),"")</f>
        <v/>
      </c>
      <c r="AP455" s="99" t="str">
        <f t="shared" si="72"/>
        <v xml:space="preserve"> </v>
      </c>
      <c r="AR455" s="54">
        <f t="shared" si="67"/>
        <v>442</v>
      </c>
      <c r="AS455" s="54">
        <f>S_normal27[[#This Row],[Indeks (base 0)]]+1</f>
        <v>443</v>
      </c>
      <c r="AT455" s="54">
        <f t="shared" si="69"/>
        <v>6</v>
      </c>
      <c r="AU455" s="54">
        <f>IF(MOD(S_normal27[[#This Row],[Indeks (base 0)]],AS$8)=0,NA(),_xlfn.POISSON.DIST(S_normal27[[#This Row],[X base]],$H$5,FALSE))</f>
        <v>5.0409406722462261E-2</v>
      </c>
      <c r="AV455" s="99" t="b">
        <f>S_normal27[[#This Row],[X base]]&lt;AS$5</f>
        <v>0</v>
      </c>
      <c r="AW455" s="99" t="b">
        <f>S_normal27[[#This Row],[X base]]=AS$5</f>
        <v>0</v>
      </c>
      <c r="AX455" s="99" t="b">
        <f>S_normal27[[#This Row],[X base]]&gt;AS$5</f>
        <v>1</v>
      </c>
      <c r="AY455" s="99" t="e">
        <f>IF(S_normal27[[#This Row],[Mindre end]],S_normal27[[#This Row],[Poissonfordeling]],NA())</f>
        <v>#N/A</v>
      </c>
      <c r="AZ455" s="99" t="e">
        <f>IF(S_normal27[[#This Row],[Lig med]],S_normal27[[#This Row],[Poissonfordeling]],NA())</f>
        <v>#N/A</v>
      </c>
      <c r="BA455" s="99">
        <f>IF(S_normal27[[#This Row],[Større end]],S_normal27[[#This Row],[Poissonfordeling]],NA())</f>
        <v>5.0409406722462261E-2</v>
      </c>
      <c r="BB455" s="85" t="str">
        <f>_xlfn.IFNA(IF(MOD(S_normal27[[#This Row],[Indeks (base 0)]],AS$8)=ROUNDDOWN(AS$8/2,0),S_normal27[[#This Row],[X base]],""),"")</f>
        <v/>
      </c>
      <c r="BC455" s="99" t="str">
        <f t="shared" si="68"/>
        <v xml:space="preserve"> </v>
      </c>
    </row>
    <row r="456" spans="31:55" x14ac:dyDescent="0.2">
      <c r="AE456" s="54">
        <f t="shared" si="70"/>
        <v>443</v>
      </c>
      <c r="AF456" s="54">
        <f>S_binomial[[#This Row],[Indeks (base 0)]]+1</f>
        <v>444</v>
      </c>
      <c r="AG456" s="99">
        <f t="shared" si="71"/>
        <v>4</v>
      </c>
      <c r="AH456" s="99">
        <f>IF(MOD(S_binomial[[#This Row],[Indeks (base 0)]],AF$7)=0,NA(),_xlfn.BINOM.DIST(S_binomial[[#This Row],[X base]],E$5,E$6,FALSE))</f>
        <v>0.16082039904000001</v>
      </c>
      <c r="AI456" s="99" t="b">
        <f>S_binomial[[#This Row],[X base]]&lt;AF$5</f>
        <v>1</v>
      </c>
      <c r="AJ456" s="99" t="b">
        <f>S_binomial[[#This Row],[X base]]=AF$5</f>
        <v>0</v>
      </c>
      <c r="AK456" s="99" t="b">
        <f>S_binomial[[#This Row],[X base]]&gt;AF$5</f>
        <v>0</v>
      </c>
      <c r="AL456" s="99">
        <f>IF(S_binomial[[#This Row],[Mindre end]],S_binomial[[#This Row],[Binomialfordeling]],NA())</f>
        <v>0.16082039904000001</v>
      </c>
      <c r="AM456" s="99" t="e">
        <f>IF(S_binomial[[#This Row],[Lig med]],S_binomial[[#This Row],[Binomialfordeling]],NA())</f>
        <v>#N/A</v>
      </c>
      <c r="AN456" s="99" t="e">
        <f>IF(S_binomial[[#This Row],[Større end]],S_binomial[[#This Row],[Binomialfordeling]],NA())</f>
        <v>#N/A</v>
      </c>
      <c r="AO456" s="85" t="str">
        <f>_xlfn.IFNA(IF(MOD(S_binomial[[#This Row],[Indeks (base 0)]],AF$7)=ROUNDDOWN(AF$7/2,0),S_binomial[[#This Row],[X base]],""),"")</f>
        <v/>
      </c>
      <c r="AP456" s="99" t="str">
        <f t="shared" si="72"/>
        <v xml:space="preserve"> </v>
      </c>
      <c r="AR456" s="54">
        <f t="shared" si="67"/>
        <v>443</v>
      </c>
      <c r="AS456" s="54">
        <f>S_normal27[[#This Row],[Indeks (base 0)]]+1</f>
        <v>444</v>
      </c>
      <c r="AT456" s="54">
        <f t="shared" si="69"/>
        <v>6</v>
      </c>
      <c r="AU456" s="54">
        <f>IF(MOD(S_normal27[[#This Row],[Indeks (base 0)]],AS$8)=0,NA(),_xlfn.POISSON.DIST(S_normal27[[#This Row],[X base]],$H$5,FALSE))</f>
        <v>5.0409406722462261E-2</v>
      </c>
      <c r="AV456" s="99" t="b">
        <f>S_normal27[[#This Row],[X base]]&lt;AS$5</f>
        <v>0</v>
      </c>
      <c r="AW456" s="99" t="b">
        <f>S_normal27[[#This Row],[X base]]=AS$5</f>
        <v>0</v>
      </c>
      <c r="AX456" s="99" t="b">
        <f>S_normal27[[#This Row],[X base]]&gt;AS$5</f>
        <v>1</v>
      </c>
      <c r="AY456" s="99" t="e">
        <f>IF(S_normal27[[#This Row],[Mindre end]],S_normal27[[#This Row],[Poissonfordeling]],NA())</f>
        <v>#N/A</v>
      </c>
      <c r="AZ456" s="99" t="e">
        <f>IF(S_normal27[[#This Row],[Lig med]],S_normal27[[#This Row],[Poissonfordeling]],NA())</f>
        <v>#N/A</v>
      </c>
      <c r="BA456" s="99">
        <f>IF(S_normal27[[#This Row],[Større end]],S_normal27[[#This Row],[Poissonfordeling]],NA())</f>
        <v>5.0409406722462261E-2</v>
      </c>
      <c r="BB456" s="85" t="str">
        <f>_xlfn.IFNA(IF(MOD(S_normal27[[#This Row],[Indeks (base 0)]],AS$8)=ROUNDDOWN(AS$8/2,0),S_normal27[[#This Row],[X base]],""),"")</f>
        <v/>
      </c>
      <c r="BC456" s="99" t="str">
        <f t="shared" si="68"/>
        <v xml:space="preserve"> </v>
      </c>
    </row>
    <row r="457" spans="31:55" x14ac:dyDescent="0.2">
      <c r="AE457" s="54">
        <f t="shared" si="70"/>
        <v>444</v>
      </c>
      <c r="AF457" s="54">
        <f>S_binomial[[#This Row],[Indeks (base 0)]]+1</f>
        <v>445</v>
      </c>
      <c r="AG457" s="99">
        <f t="shared" si="71"/>
        <v>4</v>
      </c>
      <c r="AH457" s="99">
        <f>IF(MOD(S_binomial[[#This Row],[Indeks (base 0)]],AF$7)=0,NA(),_xlfn.BINOM.DIST(S_binomial[[#This Row],[X base]],E$5,E$6,FALSE))</f>
        <v>0.16082039904000001</v>
      </c>
      <c r="AI457" s="99" t="b">
        <f>S_binomial[[#This Row],[X base]]&lt;AF$5</f>
        <v>1</v>
      </c>
      <c r="AJ457" s="99" t="b">
        <f>S_binomial[[#This Row],[X base]]=AF$5</f>
        <v>0</v>
      </c>
      <c r="AK457" s="99" t="b">
        <f>S_binomial[[#This Row],[X base]]&gt;AF$5</f>
        <v>0</v>
      </c>
      <c r="AL457" s="99">
        <f>IF(S_binomial[[#This Row],[Mindre end]],S_binomial[[#This Row],[Binomialfordeling]],NA())</f>
        <v>0.16082039904000001</v>
      </c>
      <c r="AM457" s="99" t="e">
        <f>IF(S_binomial[[#This Row],[Lig med]],S_binomial[[#This Row],[Binomialfordeling]],NA())</f>
        <v>#N/A</v>
      </c>
      <c r="AN457" s="99" t="e">
        <f>IF(S_binomial[[#This Row],[Større end]],S_binomial[[#This Row],[Binomialfordeling]],NA())</f>
        <v>#N/A</v>
      </c>
      <c r="AO457" s="85" t="str">
        <f>_xlfn.IFNA(IF(MOD(S_binomial[[#This Row],[Indeks (base 0)]],AF$7)=ROUNDDOWN(AF$7/2,0),S_binomial[[#This Row],[X base]],""),"")</f>
        <v/>
      </c>
      <c r="AP457" s="99" t="str">
        <f t="shared" si="72"/>
        <v xml:space="preserve"> </v>
      </c>
      <c r="AR457" s="54">
        <f t="shared" si="67"/>
        <v>444</v>
      </c>
      <c r="AS457" s="54">
        <f>S_normal27[[#This Row],[Indeks (base 0)]]+1</f>
        <v>445</v>
      </c>
      <c r="AT457" s="54">
        <f t="shared" si="69"/>
        <v>6</v>
      </c>
      <c r="AU457" s="54">
        <f>IF(MOD(S_normal27[[#This Row],[Indeks (base 0)]],AS$8)=0,NA(),_xlfn.POISSON.DIST(S_normal27[[#This Row],[X base]],$H$5,FALSE))</f>
        <v>5.0409406722462261E-2</v>
      </c>
      <c r="AV457" s="99" t="b">
        <f>S_normal27[[#This Row],[X base]]&lt;AS$5</f>
        <v>0</v>
      </c>
      <c r="AW457" s="99" t="b">
        <f>S_normal27[[#This Row],[X base]]=AS$5</f>
        <v>0</v>
      </c>
      <c r="AX457" s="99" t="b">
        <f>S_normal27[[#This Row],[X base]]&gt;AS$5</f>
        <v>1</v>
      </c>
      <c r="AY457" s="99" t="e">
        <f>IF(S_normal27[[#This Row],[Mindre end]],S_normal27[[#This Row],[Poissonfordeling]],NA())</f>
        <v>#N/A</v>
      </c>
      <c r="AZ457" s="99" t="e">
        <f>IF(S_normal27[[#This Row],[Lig med]],S_normal27[[#This Row],[Poissonfordeling]],NA())</f>
        <v>#N/A</v>
      </c>
      <c r="BA457" s="99">
        <f>IF(S_normal27[[#This Row],[Større end]],S_normal27[[#This Row],[Poissonfordeling]],NA())</f>
        <v>5.0409406722462261E-2</v>
      </c>
      <c r="BB457" s="85" t="str">
        <f>_xlfn.IFNA(IF(MOD(S_normal27[[#This Row],[Indeks (base 0)]],AS$8)=ROUNDDOWN(AS$8/2,0),S_normal27[[#This Row],[X base]],""),"")</f>
        <v/>
      </c>
      <c r="BC457" s="99" t="str">
        <f t="shared" si="68"/>
        <v xml:space="preserve"> </v>
      </c>
    </row>
    <row r="458" spans="31:55" x14ac:dyDescent="0.2">
      <c r="AE458" s="54">
        <f t="shared" si="70"/>
        <v>445</v>
      </c>
      <c r="AF458" s="54">
        <f>S_binomial[[#This Row],[Indeks (base 0)]]+1</f>
        <v>446</v>
      </c>
      <c r="AG458" s="99">
        <f t="shared" si="71"/>
        <v>4</v>
      </c>
      <c r="AH458" s="99">
        <f>IF(MOD(S_binomial[[#This Row],[Indeks (base 0)]],AF$7)=0,NA(),_xlfn.BINOM.DIST(S_binomial[[#This Row],[X base]],E$5,E$6,FALSE))</f>
        <v>0.16082039904000001</v>
      </c>
      <c r="AI458" s="99" t="b">
        <f>S_binomial[[#This Row],[X base]]&lt;AF$5</f>
        <v>1</v>
      </c>
      <c r="AJ458" s="99" t="b">
        <f>S_binomial[[#This Row],[X base]]=AF$5</f>
        <v>0</v>
      </c>
      <c r="AK458" s="99" t="b">
        <f>S_binomial[[#This Row],[X base]]&gt;AF$5</f>
        <v>0</v>
      </c>
      <c r="AL458" s="99">
        <f>IF(S_binomial[[#This Row],[Mindre end]],S_binomial[[#This Row],[Binomialfordeling]],NA())</f>
        <v>0.16082039904000001</v>
      </c>
      <c r="AM458" s="99" t="e">
        <f>IF(S_binomial[[#This Row],[Lig med]],S_binomial[[#This Row],[Binomialfordeling]],NA())</f>
        <v>#N/A</v>
      </c>
      <c r="AN458" s="99" t="e">
        <f>IF(S_binomial[[#This Row],[Større end]],S_binomial[[#This Row],[Binomialfordeling]],NA())</f>
        <v>#N/A</v>
      </c>
      <c r="AO458" s="85" t="str">
        <f>_xlfn.IFNA(IF(MOD(S_binomial[[#This Row],[Indeks (base 0)]],AF$7)=ROUNDDOWN(AF$7/2,0),S_binomial[[#This Row],[X base]],""),"")</f>
        <v/>
      </c>
      <c r="AP458" s="99" t="str">
        <f t="shared" si="72"/>
        <v xml:space="preserve"> </v>
      </c>
      <c r="AR458" s="54">
        <f t="shared" si="67"/>
        <v>445</v>
      </c>
      <c r="AS458" s="54">
        <f>S_normal27[[#This Row],[Indeks (base 0)]]+1</f>
        <v>446</v>
      </c>
      <c r="AT458" s="54">
        <f t="shared" si="69"/>
        <v>6</v>
      </c>
      <c r="AU458" s="54">
        <f>IF(MOD(S_normal27[[#This Row],[Indeks (base 0)]],AS$8)=0,NA(),_xlfn.POISSON.DIST(S_normal27[[#This Row],[X base]],$H$5,FALSE))</f>
        <v>5.0409406722462261E-2</v>
      </c>
      <c r="AV458" s="99" t="b">
        <f>S_normal27[[#This Row],[X base]]&lt;AS$5</f>
        <v>0</v>
      </c>
      <c r="AW458" s="99" t="b">
        <f>S_normal27[[#This Row],[X base]]=AS$5</f>
        <v>0</v>
      </c>
      <c r="AX458" s="99" t="b">
        <f>S_normal27[[#This Row],[X base]]&gt;AS$5</f>
        <v>1</v>
      </c>
      <c r="AY458" s="99" t="e">
        <f>IF(S_normal27[[#This Row],[Mindre end]],S_normal27[[#This Row],[Poissonfordeling]],NA())</f>
        <v>#N/A</v>
      </c>
      <c r="AZ458" s="99" t="e">
        <f>IF(S_normal27[[#This Row],[Lig med]],S_normal27[[#This Row],[Poissonfordeling]],NA())</f>
        <v>#N/A</v>
      </c>
      <c r="BA458" s="99">
        <f>IF(S_normal27[[#This Row],[Større end]],S_normal27[[#This Row],[Poissonfordeling]],NA())</f>
        <v>5.0409406722462261E-2</v>
      </c>
      <c r="BB458" s="85" t="str">
        <f>_xlfn.IFNA(IF(MOD(S_normal27[[#This Row],[Indeks (base 0)]],AS$8)=ROUNDDOWN(AS$8/2,0),S_normal27[[#This Row],[X base]],""),"")</f>
        <v/>
      </c>
      <c r="BC458" s="99" t="str">
        <f t="shared" si="68"/>
        <v xml:space="preserve"> </v>
      </c>
    </row>
    <row r="459" spans="31:55" x14ac:dyDescent="0.2">
      <c r="AE459" s="54">
        <f t="shared" si="70"/>
        <v>446</v>
      </c>
      <c r="AF459" s="54">
        <f>S_binomial[[#This Row],[Indeks (base 0)]]+1</f>
        <v>447</v>
      </c>
      <c r="AG459" s="99">
        <f t="shared" si="71"/>
        <v>4</v>
      </c>
      <c r="AH459" s="99">
        <f>IF(MOD(S_binomial[[#This Row],[Indeks (base 0)]],AF$7)=0,NA(),_xlfn.BINOM.DIST(S_binomial[[#This Row],[X base]],E$5,E$6,FALSE))</f>
        <v>0.16082039904000001</v>
      </c>
      <c r="AI459" s="99" t="b">
        <f>S_binomial[[#This Row],[X base]]&lt;AF$5</f>
        <v>1</v>
      </c>
      <c r="AJ459" s="99" t="b">
        <f>S_binomial[[#This Row],[X base]]=AF$5</f>
        <v>0</v>
      </c>
      <c r="AK459" s="99" t="b">
        <f>S_binomial[[#This Row],[X base]]&gt;AF$5</f>
        <v>0</v>
      </c>
      <c r="AL459" s="99">
        <f>IF(S_binomial[[#This Row],[Mindre end]],S_binomial[[#This Row],[Binomialfordeling]],NA())</f>
        <v>0.16082039904000001</v>
      </c>
      <c r="AM459" s="99" t="e">
        <f>IF(S_binomial[[#This Row],[Lig med]],S_binomial[[#This Row],[Binomialfordeling]],NA())</f>
        <v>#N/A</v>
      </c>
      <c r="AN459" s="99" t="e">
        <f>IF(S_binomial[[#This Row],[Større end]],S_binomial[[#This Row],[Binomialfordeling]],NA())</f>
        <v>#N/A</v>
      </c>
      <c r="AO459" s="85" t="str">
        <f>_xlfn.IFNA(IF(MOD(S_binomial[[#This Row],[Indeks (base 0)]],AF$7)=ROUNDDOWN(AF$7/2,0),S_binomial[[#This Row],[X base]],""),"")</f>
        <v/>
      </c>
      <c r="AP459" s="99" t="str">
        <f t="shared" si="72"/>
        <v xml:space="preserve"> </v>
      </c>
      <c r="AR459" s="54">
        <f t="shared" si="67"/>
        <v>446</v>
      </c>
      <c r="AS459" s="54">
        <f>S_normal27[[#This Row],[Indeks (base 0)]]+1</f>
        <v>447</v>
      </c>
      <c r="AT459" s="54">
        <f t="shared" si="69"/>
        <v>6</v>
      </c>
      <c r="AU459" s="54">
        <f>IF(MOD(S_normal27[[#This Row],[Indeks (base 0)]],AS$8)=0,NA(),_xlfn.POISSON.DIST(S_normal27[[#This Row],[X base]],$H$5,FALSE))</f>
        <v>5.0409406722462261E-2</v>
      </c>
      <c r="AV459" s="99" t="b">
        <f>S_normal27[[#This Row],[X base]]&lt;AS$5</f>
        <v>0</v>
      </c>
      <c r="AW459" s="99" t="b">
        <f>S_normal27[[#This Row],[X base]]=AS$5</f>
        <v>0</v>
      </c>
      <c r="AX459" s="99" t="b">
        <f>S_normal27[[#This Row],[X base]]&gt;AS$5</f>
        <v>1</v>
      </c>
      <c r="AY459" s="99" t="e">
        <f>IF(S_normal27[[#This Row],[Mindre end]],S_normal27[[#This Row],[Poissonfordeling]],NA())</f>
        <v>#N/A</v>
      </c>
      <c r="AZ459" s="99" t="e">
        <f>IF(S_normal27[[#This Row],[Lig med]],S_normal27[[#This Row],[Poissonfordeling]],NA())</f>
        <v>#N/A</v>
      </c>
      <c r="BA459" s="99">
        <f>IF(S_normal27[[#This Row],[Større end]],S_normal27[[#This Row],[Poissonfordeling]],NA())</f>
        <v>5.0409406722462261E-2</v>
      </c>
      <c r="BB459" s="85" t="str">
        <f>_xlfn.IFNA(IF(MOD(S_normal27[[#This Row],[Indeks (base 0)]],AS$8)=ROUNDDOWN(AS$8/2,0),S_normal27[[#This Row],[X base]],""),"")</f>
        <v/>
      </c>
      <c r="BC459" s="99" t="str">
        <f t="shared" si="68"/>
        <v xml:space="preserve"> </v>
      </c>
    </row>
    <row r="460" spans="31:55" x14ac:dyDescent="0.2">
      <c r="AE460" s="54">
        <f t="shared" si="70"/>
        <v>447</v>
      </c>
      <c r="AF460" s="54">
        <f>S_binomial[[#This Row],[Indeks (base 0)]]+1</f>
        <v>448</v>
      </c>
      <c r="AG460" s="99">
        <f t="shared" si="71"/>
        <v>4</v>
      </c>
      <c r="AH460" s="99">
        <f>IF(MOD(S_binomial[[#This Row],[Indeks (base 0)]],AF$7)=0,NA(),_xlfn.BINOM.DIST(S_binomial[[#This Row],[X base]],E$5,E$6,FALSE))</f>
        <v>0.16082039904000001</v>
      </c>
      <c r="AI460" s="99" t="b">
        <f>S_binomial[[#This Row],[X base]]&lt;AF$5</f>
        <v>1</v>
      </c>
      <c r="AJ460" s="99" t="b">
        <f>S_binomial[[#This Row],[X base]]=AF$5</f>
        <v>0</v>
      </c>
      <c r="AK460" s="99" t="b">
        <f>S_binomial[[#This Row],[X base]]&gt;AF$5</f>
        <v>0</v>
      </c>
      <c r="AL460" s="99">
        <f>IF(S_binomial[[#This Row],[Mindre end]],S_binomial[[#This Row],[Binomialfordeling]],NA())</f>
        <v>0.16082039904000001</v>
      </c>
      <c r="AM460" s="99" t="e">
        <f>IF(S_binomial[[#This Row],[Lig med]],S_binomial[[#This Row],[Binomialfordeling]],NA())</f>
        <v>#N/A</v>
      </c>
      <c r="AN460" s="99" t="e">
        <f>IF(S_binomial[[#This Row],[Større end]],S_binomial[[#This Row],[Binomialfordeling]],NA())</f>
        <v>#N/A</v>
      </c>
      <c r="AO460" s="85" t="str">
        <f>_xlfn.IFNA(IF(MOD(S_binomial[[#This Row],[Indeks (base 0)]],AF$7)=ROUNDDOWN(AF$7/2,0),S_binomial[[#This Row],[X base]],""),"")</f>
        <v/>
      </c>
      <c r="AP460" s="99" t="str">
        <f t="shared" si="72"/>
        <v xml:space="preserve"> </v>
      </c>
      <c r="AR460" s="54">
        <f t="shared" si="67"/>
        <v>447</v>
      </c>
      <c r="AS460" s="54">
        <f>S_normal27[[#This Row],[Indeks (base 0)]]+1</f>
        <v>448</v>
      </c>
      <c r="AT460" s="54">
        <f t="shared" si="69"/>
        <v>6</v>
      </c>
      <c r="AU460" s="54">
        <f>IF(MOD(S_normal27[[#This Row],[Indeks (base 0)]],AS$8)=0,NA(),_xlfn.POISSON.DIST(S_normal27[[#This Row],[X base]],$H$5,FALSE))</f>
        <v>5.0409406722462261E-2</v>
      </c>
      <c r="AV460" s="99" t="b">
        <f>S_normal27[[#This Row],[X base]]&lt;AS$5</f>
        <v>0</v>
      </c>
      <c r="AW460" s="99" t="b">
        <f>S_normal27[[#This Row],[X base]]=AS$5</f>
        <v>0</v>
      </c>
      <c r="AX460" s="99" t="b">
        <f>S_normal27[[#This Row],[X base]]&gt;AS$5</f>
        <v>1</v>
      </c>
      <c r="AY460" s="99" t="e">
        <f>IF(S_normal27[[#This Row],[Mindre end]],S_normal27[[#This Row],[Poissonfordeling]],NA())</f>
        <v>#N/A</v>
      </c>
      <c r="AZ460" s="99" t="e">
        <f>IF(S_normal27[[#This Row],[Lig med]],S_normal27[[#This Row],[Poissonfordeling]],NA())</f>
        <v>#N/A</v>
      </c>
      <c r="BA460" s="99">
        <f>IF(S_normal27[[#This Row],[Større end]],S_normal27[[#This Row],[Poissonfordeling]],NA())</f>
        <v>5.0409406722462261E-2</v>
      </c>
      <c r="BB460" s="85" t="str">
        <f>_xlfn.IFNA(IF(MOD(S_normal27[[#This Row],[Indeks (base 0)]],AS$8)=ROUNDDOWN(AS$8/2,0),S_normal27[[#This Row],[X base]],""),"")</f>
        <v/>
      </c>
      <c r="BC460" s="99" t="str">
        <f t="shared" si="68"/>
        <v xml:space="preserve"> </v>
      </c>
    </row>
    <row r="461" spans="31:55" x14ac:dyDescent="0.2">
      <c r="AE461" s="54">
        <f t="shared" si="70"/>
        <v>448</v>
      </c>
      <c r="AF461" s="54">
        <f>S_binomial[[#This Row],[Indeks (base 0)]]+1</f>
        <v>449</v>
      </c>
      <c r="AG461" s="99">
        <f t="shared" si="71"/>
        <v>4</v>
      </c>
      <c r="AH461" s="99">
        <f>IF(MOD(S_binomial[[#This Row],[Indeks (base 0)]],AF$7)=0,NA(),_xlfn.BINOM.DIST(S_binomial[[#This Row],[X base]],E$5,E$6,FALSE))</f>
        <v>0.16082039904000001</v>
      </c>
      <c r="AI461" s="99" t="b">
        <f>S_binomial[[#This Row],[X base]]&lt;AF$5</f>
        <v>1</v>
      </c>
      <c r="AJ461" s="99" t="b">
        <f>S_binomial[[#This Row],[X base]]=AF$5</f>
        <v>0</v>
      </c>
      <c r="AK461" s="99" t="b">
        <f>S_binomial[[#This Row],[X base]]&gt;AF$5</f>
        <v>0</v>
      </c>
      <c r="AL461" s="99">
        <f>IF(S_binomial[[#This Row],[Mindre end]],S_binomial[[#This Row],[Binomialfordeling]],NA())</f>
        <v>0.16082039904000001</v>
      </c>
      <c r="AM461" s="99" t="e">
        <f>IF(S_binomial[[#This Row],[Lig med]],S_binomial[[#This Row],[Binomialfordeling]],NA())</f>
        <v>#N/A</v>
      </c>
      <c r="AN461" s="99" t="e">
        <f>IF(S_binomial[[#This Row],[Større end]],S_binomial[[#This Row],[Binomialfordeling]],NA())</f>
        <v>#N/A</v>
      </c>
      <c r="AO461" s="85" t="str">
        <f>_xlfn.IFNA(IF(MOD(S_binomial[[#This Row],[Indeks (base 0)]],AF$7)=ROUNDDOWN(AF$7/2,0),S_binomial[[#This Row],[X base]],""),"")</f>
        <v/>
      </c>
      <c r="AP461" s="99" t="str">
        <f t="shared" si="72"/>
        <v xml:space="preserve"> </v>
      </c>
      <c r="AR461" s="54">
        <f t="shared" ref="AR461:AR524" si="73">ROW(AR461)-ROW(AR$13)</f>
        <v>448</v>
      </c>
      <c r="AS461" s="54">
        <f>S_normal27[[#This Row],[Indeks (base 0)]]+1</f>
        <v>449</v>
      </c>
      <c r="AT461" s="54">
        <f t="shared" si="69"/>
        <v>6</v>
      </c>
      <c r="AU461" s="54">
        <f>IF(MOD(S_normal27[[#This Row],[Indeks (base 0)]],AS$8)=0,NA(),_xlfn.POISSON.DIST(S_normal27[[#This Row],[X base]],$H$5,FALSE))</f>
        <v>5.0409406722462261E-2</v>
      </c>
      <c r="AV461" s="99" t="b">
        <f>S_normal27[[#This Row],[X base]]&lt;AS$5</f>
        <v>0</v>
      </c>
      <c r="AW461" s="99" t="b">
        <f>S_normal27[[#This Row],[X base]]=AS$5</f>
        <v>0</v>
      </c>
      <c r="AX461" s="99" t="b">
        <f>S_normal27[[#This Row],[X base]]&gt;AS$5</f>
        <v>1</v>
      </c>
      <c r="AY461" s="99" t="e">
        <f>IF(S_normal27[[#This Row],[Mindre end]],S_normal27[[#This Row],[Poissonfordeling]],NA())</f>
        <v>#N/A</v>
      </c>
      <c r="AZ461" s="99" t="e">
        <f>IF(S_normal27[[#This Row],[Lig med]],S_normal27[[#This Row],[Poissonfordeling]],NA())</f>
        <v>#N/A</v>
      </c>
      <c r="BA461" s="99">
        <f>IF(S_normal27[[#This Row],[Større end]],S_normal27[[#This Row],[Poissonfordeling]],NA())</f>
        <v>5.0409406722462261E-2</v>
      </c>
      <c r="BB461" s="85" t="str">
        <f>_xlfn.IFNA(IF(MOD(S_normal27[[#This Row],[Indeks (base 0)]],AS$8)=ROUNDDOWN(AS$8/2,0),S_normal27[[#This Row],[X base]],""),"")</f>
        <v/>
      </c>
      <c r="BC461" s="99" t="str">
        <f t="shared" ref="BC461:BC524" si="74">_xlfn.IFNA(_xlfn.SWITCH(AS461,BA$7,BA$4,BA$8,BA$5,BA$9,BA$6," ")," ")</f>
        <v xml:space="preserve"> </v>
      </c>
    </row>
    <row r="462" spans="31:55" x14ac:dyDescent="0.2">
      <c r="AE462" s="54">
        <f t="shared" si="70"/>
        <v>449</v>
      </c>
      <c r="AF462" s="54">
        <f>S_binomial[[#This Row],[Indeks (base 0)]]+1</f>
        <v>450</v>
      </c>
      <c r="AG462" s="99">
        <f t="shared" si="71"/>
        <v>4</v>
      </c>
      <c r="AH462" s="99">
        <f>IF(MOD(S_binomial[[#This Row],[Indeks (base 0)]],AF$7)=0,NA(),_xlfn.BINOM.DIST(S_binomial[[#This Row],[X base]],E$5,E$6,FALSE))</f>
        <v>0.16082039904000001</v>
      </c>
      <c r="AI462" s="99" t="b">
        <f>S_binomial[[#This Row],[X base]]&lt;AF$5</f>
        <v>1</v>
      </c>
      <c r="AJ462" s="99" t="b">
        <f>S_binomial[[#This Row],[X base]]=AF$5</f>
        <v>0</v>
      </c>
      <c r="AK462" s="99" t="b">
        <f>S_binomial[[#This Row],[X base]]&gt;AF$5</f>
        <v>0</v>
      </c>
      <c r="AL462" s="99">
        <f>IF(S_binomial[[#This Row],[Mindre end]],S_binomial[[#This Row],[Binomialfordeling]],NA())</f>
        <v>0.16082039904000001</v>
      </c>
      <c r="AM462" s="99" t="e">
        <f>IF(S_binomial[[#This Row],[Lig med]],S_binomial[[#This Row],[Binomialfordeling]],NA())</f>
        <v>#N/A</v>
      </c>
      <c r="AN462" s="99" t="e">
        <f>IF(S_binomial[[#This Row],[Større end]],S_binomial[[#This Row],[Binomialfordeling]],NA())</f>
        <v>#N/A</v>
      </c>
      <c r="AO462" s="85" t="str">
        <f>_xlfn.IFNA(IF(MOD(S_binomial[[#This Row],[Indeks (base 0)]],AF$7)=ROUNDDOWN(AF$7/2,0),S_binomial[[#This Row],[X base]],""),"")</f>
        <v/>
      </c>
      <c r="AP462" s="99" t="str">
        <f t="shared" si="72"/>
        <v xml:space="preserve"> </v>
      </c>
      <c r="AR462" s="54">
        <f t="shared" si="73"/>
        <v>449</v>
      </c>
      <c r="AS462" s="54">
        <f>S_normal27[[#This Row],[Indeks (base 0)]]+1</f>
        <v>450</v>
      </c>
      <c r="AT462" s="54">
        <f t="shared" ref="AT462:AT525" si="75">IF(AR462&lt;AS$9,ROUNDDOWN(AR462/AS$8,0),NA())</f>
        <v>6</v>
      </c>
      <c r="AU462" s="54">
        <f>IF(MOD(S_normal27[[#This Row],[Indeks (base 0)]],AS$8)=0,NA(),_xlfn.POISSON.DIST(S_normal27[[#This Row],[X base]],$H$5,FALSE))</f>
        <v>5.0409406722462261E-2</v>
      </c>
      <c r="AV462" s="99" t="b">
        <f>S_normal27[[#This Row],[X base]]&lt;AS$5</f>
        <v>0</v>
      </c>
      <c r="AW462" s="99" t="b">
        <f>S_normal27[[#This Row],[X base]]=AS$5</f>
        <v>0</v>
      </c>
      <c r="AX462" s="99" t="b">
        <f>S_normal27[[#This Row],[X base]]&gt;AS$5</f>
        <v>1</v>
      </c>
      <c r="AY462" s="99" t="e">
        <f>IF(S_normal27[[#This Row],[Mindre end]],S_normal27[[#This Row],[Poissonfordeling]],NA())</f>
        <v>#N/A</v>
      </c>
      <c r="AZ462" s="99" t="e">
        <f>IF(S_normal27[[#This Row],[Lig med]],S_normal27[[#This Row],[Poissonfordeling]],NA())</f>
        <v>#N/A</v>
      </c>
      <c r="BA462" s="99">
        <f>IF(S_normal27[[#This Row],[Større end]],S_normal27[[#This Row],[Poissonfordeling]],NA())</f>
        <v>5.0409406722462261E-2</v>
      </c>
      <c r="BB462" s="85" t="str">
        <f>_xlfn.IFNA(IF(MOD(S_normal27[[#This Row],[Indeks (base 0)]],AS$8)=ROUNDDOWN(AS$8/2,0),S_normal27[[#This Row],[X base]],""),"")</f>
        <v/>
      </c>
      <c r="BC462" s="99" t="str">
        <f t="shared" si="74"/>
        <v xml:space="preserve"> </v>
      </c>
    </row>
    <row r="463" spans="31:55" x14ac:dyDescent="0.2">
      <c r="AE463" s="54">
        <f t="shared" si="70"/>
        <v>450</v>
      </c>
      <c r="AF463" s="54">
        <f>S_binomial[[#This Row],[Indeks (base 0)]]+1</f>
        <v>451</v>
      </c>
      <c r="AG463" s="99">
        <f t="shared" si="71"/>
        <v>4</v>
      </c>
      <c r="AH463" s="99">
        <f>IF(MOD(S_binomial[[#This Row],[Indeks (base 0)]],AF$7)=0,NA(),_xlfn.BINOM.DIST(S_binomial[[#This Row],[X base]],E$5,E$6,FALSE))</f>
        <v>0.16082039904000001</v>
      </c>
      <c r="AI463" s="99" t="b">
        <f>S_binomial[[#This Row],[X base]]&lt;AF$5</f>
        <v>1</v>
      </c>
      <c r="AJ463" s="99" t="b">
        <f>S_binomial[[#This Row],[X base]]=AF$5</f>
        <v>0</v>
      </c>
      <c r="AK463" s="99" t="b">
        <f>S_binomial[[#This Row],[X base]]&gt;AF$5</f>
        <v>0</v>
      </c>
      <c r="AL463" s="99">
        <f>IF(S_binomial[[#This Row],[Mindre end]],S_binomial[[#This Row],[Binomialfordeling]],NA())</f>
        <v>0.16082039904000001</v>
      </c>
      <c r="AM463" s="99" t="e">
        <f>IF(S_binomial[[#This Row],[Lig med]],S_binomial[[#This Row],[Binomialfordeling]],NA())</f>
        <v>#N/A</v>
      </c>
      <c r="AN463" s="99" t="e">
        <f>IF(S_binomial[[#This Row],[Større end]],S_binomial[[#This Row],[Binomialfordeling]],NA())</f>
        <v>#N/A</v>
      </c>
      <c r="AO463" s="85" t="str">
        <f>_xlfn.IFNA(IF(MOD(S_binomial[[#This Row],[Indeks (base 0)]],AF$7)=ROUNDDOWN(AF$7/2,0),S_binomial[[#This Row],[X base]],""),"")</f>
        <v/>
      </c>
      <c r="AP463" s="99" t="str">
        <f t="shared" si="72"/>
        <v xml:space="preserve"> </v>
      </c>
      <c r="AR463" s="54">
        <f t="shared" si="73"/>
        <v>450</v>
      </c>
      <c r="AS463" s="54">
        <f>S_normal27[[#This Row],[Indeks (base 0)]]+1</f>
        <v>451</v>
      </c>
      <c r="AT463" s="54">
        <f t="shared" si="75"/>
        <v>6</v>
      </c>
      <c r="AU463" s="54">
        <f>IF(MOD(S_normal27[[#This Row],[Indeks (base 0)]],AS$8)=0,NA(),_xlfn.POISSON.DIST(S_normal27[[#This Row],[X base]],$H$5,FALSE))</f>
        <v>5.0409406722462261E-2</v>
      </c>
      <c r="AV463" s="99" t="b">
        <f>S_normal27[[#This Row],[X base]]&lt;AS$5</f>
        <v>0</v>
      </c>
      <c r="AW463" s="99" t="b">
        <f>S_normal27[[#This Row],[X base]]=AS$5</f>
        <v>0</v>
      </c>
      <c r="AX463" s="99" t="b">
        <f>S_normal27[[#This Row],[X base]]&gt;AS$5</f>
        <v>1</v>
      </c>
      <c r="AY463" s="99" t="e">
        <f>IF(S_normal27[[#This Row],[Mindre end]],S_normal27[[#This Row],[Poissonfordeling]],NA())</f>
        <v>#N/A</v>
      </c>
      <c r="AZ463" s="99" t="e">
        <f>IF(S_normal27[[#This Row],[Lig med]],S_normal27[[#This Row],[Poissonfordeling]],NA())</f>
        <v>#N/A</v>
      </c>
      <c r="BA463" s="99">
        <f>IF(S_normal27[[#This Row],[Større end]],S_normal27[[#This Row],[Poissonfordeling]],NA())</f>
        <v>5.0409406722462261E-2</v>
      </c>
      <c r="BB463" s="85" t="str">
        <f>_xlfn.IFNA(IF(MOD(S_normal27[[#This Row],[Indeks (base 0)]],AS$8)=ROUNDDOWN(AS$8/2,0),S_normal27[[#This Row],[X base]],""),"")</f>
        <v/>
      </c>
      <c r="BC463" s="99" t="str">
        <f t="shared" si="74"/>
        <v xml:space="preserve"> </v>
      </c>
    </row>
    <row r="464" spans="31:55" x14ac:dyDescent="0.2">
      <c r="AE464" s="54">
        <f t="shared" ref="AE464:AE527" si="76">ROW(AE464)-ROW(AE$13)</f>
        <v>451</v>
      </c>
      <c r="AF464" s="54">
        <f>S_binomial[[#This Row],[Indeks (base 0)]]+1</f>
        <v>452</v>
      </c>
      <c r="AG464" s="99">
        <f t="shared" ref="AG464:AG527" si="77">IF(AE464&lt;AF$8,ROUNDDOWN(AE464/AF$7,0),NA())</f>
        <v>4</v>
      </c>
      <c r="AH464" s="99">
        <f>IF(MOD(S_binomial[[#This Row],[Indeks (base 0)]],AF$7)=0,NA(),_xlfn.BINOM.DIST(S_binomial[[#This Row],[X base]],E$5,E$6,FALSE))</f>
        <v>0.16082039904000001</v>
      </c>
      <c r="AI464" s="99" t="b">
        <f>S_binomial[[#This Row],[X base]]&lt;AF$5</f>
        <v>1</v>
      </c>
      <c r="AJ464" s="99" t="b">
        <f>S_binomial[[#This Row],[X base]]=AF$5</f>
        <v>0</v>
      </c>
      <c r="AK464" s="99" t="b">
        <f>S_binomial[[#This Row],[X base]]&gt;AF$5</f>
        <v>0</v>
      </c>
      <c r="AL464" s="99">
        <f>IF(S_binomial[[#This Row],[Mindre end]],S_binomial[[#This Row],[Binomialfordeling]],NA())</f>
        <v>0.16082039904000001</v>
      </c>
      <c r="AM464" s="99" t="e">
        <f>IF(S_binomial[[#This Row],[Lig med]],S_binomial[[#This Row],[Binomialfordeling]],NA())</f>
        <v>#N/A</v>
      </c>
      <c r="AN464" s="99" t="e">
        <f>IF(S_binomial[[#This Row],[Større end]],S_binomial[[#This Row],[Binomialfordeling]],NA())</f>
        <v>#N/A</v>
      </c>
      <c r="AO464" s="85" t="str">
        <f>_xlfn.IFNA(IF(MOD(S_binomial[[#This Row],[Indeks (base 0)]],AF$7)=ROUNDDOWN(AF$7/2,0),S_binomial[[#This Row],[X base]],""),"")</f>
        <v/>
      </c>
      <c r="AP464" s="99" t="str">
        <f t="shared" ref="AP464:AP527" si="78">_xlfn.IFNA(_xlfn.SWITCH(AF464,AN$7,AN$4,AN$8,AN$5,AN$9,AN$6," ")," ")</f>
        <v xml:space="preserve"> </v>
      </c>
      <c r="AR464" s="54">
        <f t="shared" si="73"/>
        <v>451</v>
      </c>
      <c r="AS464" s="54">
        <f>S_normal27[[#This Row],[Indeks (base 0)]]+1</f>
        <v>452</v>
      </c>
      <c r="AT464" s="54">
        <f t="shared" si="75"/>
        <v>6</v>
      </c>
      <c r="AU464" s="54">
        <f>IF(MOD(S_normal27[[#This Row],[Indeks (base 0)]],AS$8)=0,NA(),_xlfn.POISSON.DIST(S_normal27[[#This Row],[X base]],$H$5,FALSE))</f>
        <v>5.0409406722462261E-2</v>
      </c>
      <c r="AV464" s="99" t="b">
        <f>S_normal27[[#This Row],[X base]]&lt;AS$5</f>
        <v>0</v>
      </c>
      <c r="AW464" s="99" t="b">
        <f>S_normal27[[#This Row],[X base]]=AS$5</f>
        <v>0</v>
      </c>
      <c r="AX464" s="99" t="b">
        <f>S_normal27[[#This Row],[X base]]&gt;AS$5</f>
        <v>1</v>
      </c>
      <c r="AY464" s="99" t="e">
        <f>IF(S_normal27[[#This Row],[Mindre end]],S_normal27[[#This Row],[Poissonfordeling]],NA())</f>
        <v>#N/A</v>
      </c>
      <c r="AZ464" s="99" t="e">
        <f>IF(S_normal27[[#This Row],[Lig med]],S_normal27[[#This Row],[Poissonfordeling]],NA())</f>
        <v>#N/A</v>
      </c>
      <c r="BA464" s="99">
        <f>IF(S_normal27[[#This Row],[Større end]],S_normal27[[#This Row],[Poissonfordeling]],NA())</f>
        <v>5.0409406722462261E-2</v>
      </c>
      <c r="BB464" s="85" t="str">
        <f>_xlfn.IFNA(IF(MOD(S_normal27[[#This Row],[Indeks (base 0)]],AS$8)=ROUNDDOWN(AS$8/2,0),S_normal27[[#This Row],[X base]],""),"")</f>
        <v/>
      </c>
      <c r="BC464" s="99" t="str">
        <f t="shared" si="74"/>
        <v xml:space="preserve"> </v>
      </c>
    </row>
    <row r="465" spans="31:55" x14ac:dyDescent="0.2">
      <c r="AE465" s="54">
        <f t="shared" si="76"/>
        <v>452</v>
      </c>
      <c r="AF465" s="54">
        <f>S_binomial[[#This Row],[Indeks (base 0)]]+1</f>
        <v>453</v>
      </c>
      <c r="AG465" s="99">
        <f t="shared" si="77"/>
        <v>4</v>
      </c>
      <c r="AH465" s="99">
        <f>IF(MOD(S_binomial[[#This Row],[Indeks (base 0)]],AF$7)=0,NA(),_xlfn.BINOM.DIST(S_binomial[[#This Row],[X base]],E$5,E$6,FALSE))</f>
        <v>0.16082039904000001</v>
      </c>
      <c r="AI465" s="99" t="b">
        <f>S_binomial[[#This Row],[X base]]&lt;AF$5</f>
        <v>1</v>
      </c>
      <c r="AJ465" s="99" t="b">
        <f>S_binomial[[#This Row],[X base]]=AF$5</f>
        <v>0</v>
      </c>
      <c r="AK465" s="99" t="b">
        <f>S_binomial[[#This Row],[X base]]&gt;AF$5</f>
        <v>0</v>
      </c>
      <c r="AL465" s="99">
        <f>IF(S_binomial[[#This Row],[Mindre end]],S_binomial[[#This Row],[Binomialfordeling]],NA())</f>
        <v>0.16082039904000001</v>
      </c>
      <c r="AM465" s="99" t="e">
        <f>IF(S_binomial[[#This Row],[Lig med]],S_binomial[[#This Row],[Binomialfordeling]],NA())</f>
        <v>#N/A</v>
      </c>
      <c r="AN465" s="99" t="e">
        <f>IF(S_binomial[[#This Row],[Større end]],S_binomial[[#This Row],[Binomialfordeling]],NA())</f>
        <v>#N/A</v>
      </c>
      <c r="AO465" s="85" t="str">
        <f>_xlfn.IFNA(IF(MOD(S_binomial[[#This Row],[Indeks (base 0)]],AF$7)=ROUNDDOWN(AF$7/2,0),S_binomial[[#This Row],[X base]],""),"")</f>
        <v/>
      </c>
      <c r="AP465" s="99" t="str">
        <f t="shared" si="78"/>
        <v xml:space="preserve"> </v>
      </c>
      <c r="AR465" s="54">
        <f t="shared" si="73"/>
        <v>452</v>
      </c>
      <c r="AS465" s="54">
        <f>S_normal27[[#This Row],[Indeks (base 0)]]+1</f>
        <v>453</v>
      </c>
      <c r="AT465" s="54">
        <f t="shared" si="75"/>
        <v>6</v>
      </c>
      <c r="AU465" s="54">
        <f>IF(MOD(S_normal27[[#This Row],[Indeks (base 0)]],AS$8)=0,NA(),_xlfn.POISSON.DIST(S_normal27[[#This Row],[X base]],$H$5,FALSE))</f>
        <v>5.0409406722462261E-2</v>
      </c>
      <c r="AV465" s="99" t="b">
        <f>S_normal27[[#This Row],[X base]]&lt;AS$5</f>
        <v>0</v>
      </c>
      <c r="AW465" s="99" t="b">
        <f>S_normal27[[#This Row],[X base]]=AS$5</f>
        <v>0</v>
      </c>
      <c r="AX465" s="99" t="b">
        <f>S_normal27[[#This Row],[X base]]&gt;AS$5</f>
        <v>1</v>
      </c>
      <c r="AY465" s="99" t="e">
        <f>IF(S_normal27[[#This Row],[Mindre end]],S_normal27[[#This Row],[Poissonfordeling]],NA())</f>
        <v>#N/A</v>
      </c>
      <c r="AZ465" s="99" t="e">
        <f>IF(S_normal27[[#This Row],[Lig med]],S_normal27[[#This Row],[Poissonfordeling]],NA())</f>
        <v>#N/A</v>
      </c>
      <c r="BA465" s="99">
        <f>IF(S_normal27[[#This Row],[Større end]],S_normal27[[#This Row],[Poissonfordeling]],NA())</f>
        <v>5.0409406722462261E-2</v>
      </c>
      <c r="BB465" s="85" t="str">
        <f>_xlfn.IFNA(IF(MOD(S_normal27[[#This Row],[Indeks (base 0)]],AS$8)=ROUNDDOWN(AS$8/2,0),S_normal27[[#This Row],[X base]],""),"")</f>
        <v/>
      </c>
      <c r="BC465" s="99" t="str">
        <f t="shared" si="74"/>
        <v xml:space="preserve"> </v>
      </c>
    </row>
    <row r="466" spans="31:55" x14ac:dyDescent="0.2">
      <c r="AE466" s="54">
        <f t="shared" si="76"/>
        <v>453</v>
      </c>
      <c r="AF466" s="54">
        <f>S_binomial[[#This Row],[Indeks (base 0)]]+1</f>
        <v>454</v>
      </c>
      <c r="AG466" s="99">
        <f t="shared" si="77"/>
        <v>4</v>
      </c>
      <c r="AH466" s="99">
        <f>IF(MOD(S_binomial[[#This Row],[Indeks (base 0)]],AF$7)=0,NA(),_xlfn.BINOM.DIST(S_binomial[[#This Row],[X base]],E$5,E$6,FALSE))</f>
        <v>0.16082039904000001</v>
      </c>
      <c r="AI466" s="99" t="b">
        <f>S_binomial[[#This Row],[X base]]&lt;AF$5</f>
        <v>1</v>
      </c>
      <c r="AJ466" s="99" t="b">
        <f>S_binomial[[#This Row],[X base]]=AF$5</f>
        <v>0</v>
      </c>
      <c r="AK466" s="99" t="b">
        <f>S_binomial[[#This Row],[X base]]&gt;AF$5</f>
        <v>0</v>
      </c>
      <c r="AL466" s="99">
        <f>IF(S_binomial[[#This Row],[Mindre end]],S_binomial[[#This Row],[Binomialfordeling]],NA())</f>
        <v>0.16082039904000001</v>
      </c>
      <c r="AM466" s="99" t="e">
        <f>IF(S_binomial[[#This Row],[Lig med]],S_binomial[[#This Row],[Binomialfordeling]],NA())</f>
        <v>#N/A</v>
      </c>
      <c r="AN466" s="99" t="e">
        <f>IF(S_binomial[[#This Row],[Større end]],S_binomial[[#This Row],[Binomialfordeling]],NA())</f>
        <v>#N/A</v>
      </c>
      <c r="AO466" s="85" t="str">
        <f>_xlfn.IFNA(IF(MOD(S_binomial[[#This Row],[Indeks (base 0)]],AF$7)=ROUNDDOWN(AF$7/2,0),S_binomial[[#This Row],[X base]],""),"")</f>
        <v/>
      </c>
      <c r="AP466" s="99" t="str">
        <f t="shared" si="78"/>
        <v xml:space="preserve"> </v>
      </c>
      <c r="AR466" s="54">
        <f t="shared" si="73"/>
        <v>453</v>
      </c>
      <c r="AS466" s="54">
        <f>S_normal27[[#This Row],[Indeks (base 0)]]+1</f>
        <v>454</v>
      </c>
      <c r="AT466" s="54">
        <f t="shared" si="75"/>
        <v>6</v>
      </c>
      <c r="AU466" s="54">
        <f>IF(MOD(S_normal27[[#This Row],[Indeks (base 0)]],AS$8)=0,NA(),_xlfn.POISSON.DIST(S_normal27[[#This Row],[X base]],$H$5,FALSE))</f>
        <v>5.0409406722462261E-2</v>
      </c>
      <c r="AV466" s="99" t="b">
        <f>S_normal27[[#This Row],[X base]]&lt;AS$5</f>
        <v>0</v>
      </c>
      <c r="AW466" s="99" t="b">
        <f>S_normal27[[#This Row],[X base]]=AS$5</f>
        <v>0</v>
      </c>
      <c r="AX466" s="99" t="b">
        <f>S_normal27[[#This Row],[X base]]&gt;AS$5</f>
        <v>1</v>
      </c>
      <c r="AY466" s="99" t="e">
        <f>IF(S_normal27[[#This Row],[Mindre end]],S_normal27[[#This Row],[Poissonfordeling]],NA())</f>
        <v>#N/A</v>
      </c>
      <c r="AZ466" s="99" t="e">
        <f>IF(S_normal27[[#This Row],[Lig med]],S_normal27[[#This Row],[Poissonfordeling]],NA())</f>
        <v>#N/A</v>
      </c>
      <c r="BA466" s="99">
        <f>IF(S_normal27[[#This Row],[Større end]],S_normal27[[#This Row],[Poissonfordeling]],NA())</f>
        <v>5.0409406722462261E-2</v>
      </c>
      <c r="BB466" s="85" t="str">
        <f>_xlfn.IFNA(IF(MOD(S_normal27[[#This Row],[Indeks (base 0)]],AS$8)=ROUNDDOWN(AS$8/2,0),S_normal27[[#This Row],[X base]],""),"")</f>
        <v/>
      </c>
      <c r="BC466" s="99" t="str">
        <f t="shared" si="74"/>
        <v xml:space="preserve"> </v>
      </c>
    </row>
    <row r="467" spans="31:55" x14ac:dyDescent="0.2">
      <c r="AE467" s="54">
        <f t="shared" si="76"/>
        <v>454</v>
      </c>
      <c r="AF467" s="54">
        <f>S_binomial[[#This Row],[Indeks (base 0)]]+1</f>
        <v>455</v>
      </c>
      <c r="AG467" s="99">
        <f t="shared" si="77"/>
        <v>4</v>
      </c>
      <c r="AH467" s="99">
        <f>IF(MOD(S_binomial[[#This Row],[Indeks (base 0)]],AF$7)=0,NA(),_xlfn.BINOM.DIST(S_binomial[[#This Row],[X base]],E$5,E$6,FALSE))</f>
        <v>0.16082039904000001</v>
      </c>
      <c r="AI467" s="99" t="b">
        <f>S_binomial[[#This Row],[X base]]&lt;AF$5</f>
        <v>1</v>
      </c>
      <c r="AJ467" s="99" t="b">
        <f>S_binomial[[#This Row],[X base]]=AF$5</f>
        <v>0</v>
      </c>
      <c r="AK467" s="99" t="b">
        <f>S_binomial[[#This Row],[X base]]&gt;AF$5</f>
        <v>0</v>
      </c>
      <c r="AL467" s="99">
        <f>IF(S_binomial[[#This Row],[Mindre end]],S_binomial[[#This Row],[Binomialfordeling]],NA())</f>
        <v>0.16082039904000001</v>
      </c>
      <c r="AM467" s="99" t="e">
        <f>IF(S_binomial[[#This Row],[Lig med]],S_binomial[[#This Row],[Binomialfordeling]],NA())</f>
        <v>#N/A</v>
      </c>
      <c r="AN467" s="99" t="e">
        <f>IF(S_binomial[[#This Row],[Større end]],S_binomial[[#This Row],[Binomialfordeling]],NA())</f>
        <v>#N/A</v>
      </c>
      <c r="AO467" s="85" t="str">
        <f>_xlfn.IFNA(IF(MOD(S_binomial[[#This Row],[Indeks (base 0)]],AF$7)=ROUNDDOWN(AF$7/2,0),S_binomial[[#This Row],[X base]],""),"")</f>
        <v/>
      </c>
      <c r="AP467" s="99" t="str">
        <f t="shared" si="78"/>
        <v xml:space="preserve"> </v>
      </c>
      <c r="AR467" s="54">
        <f t="shared" si="73"/>
        <v>454</v>
      </c>
      <c r="AS467" s="54">
        <f>S_normal27[[#This Row],[Indeks (base 0)]]+1</f>
        <v>455</v>
      </c>
      <c r="AT467" s="54">
        <f t="shared" si="75"/>
        <v>6</v>
      </c>
      <c r="AU467" s="54">
        <f>IF(MOD(S_normal27[[#This Row],[Indeks (base 0)]],AS$8)=0,NA(),_xlfn.POISSON.DIST(S_normal27[[#This Row],[X base]],$H$5,FALSE))</f>
        <v>5.0409406722462261E-2</v>
      </c>
      <c r="AV467" s="99" t="b">
        <f>S_normal27[[#This Row],[X base]]&lt;AS$5</f>
        <v>0</v>
      </c>
      <c r="AW467" s="99" t="b">
        <f>S_normal27[[#This Row],[X base]]=AS$5</f>
        <v>0</v>
      </c>
      <c r="AX467" s="99" t="b">
        <f>S_normal27[[#This Row],[X base]]&gt;AS$5</f>
        <v>1</v>
      </c>
      <c r="AY467" s="99" t="e">
        <f>IF(S_normal27[[#This Row],[Mindre end]],S_normal27[[#This Row],[Poissonfordeling]],NA())</f>
        <v>#N/A</v>
      </c>
      <c r="AZ467" s="99" t="e">
        <f>IF(S_normal27[[#This Row],[Lig med]],S_normal27[[#This Row],[Poissonfordeling]],NA())</f>
        <v>#N/A</v>
      </c>
      <c r="BA467" s="99">
        <f>IF(S_normal27[[#This Row],[Større end]],S_normal27[[#This Row],[Poissonfordeling]],NA())</f>
        <v>5.0409406722462261E-2</v>
      </c>
      <c r="BB467" s="85" t="str">
        <f>_xlfn.IFNA(IF(MOD(S_normal27[[#This Row],[Indeks (base 0)]],AS$8)=ROUNDDOWN(AS$8/2,0),S_normal27[[#This Row],[X base]],""),"")</f>
        <v/>
      </c>
      <c r="BC467" s="99" t="str">
        <f t="shared" si="74"/>
        <v xml:space="preserve"> </v>
      </c>
    </row>
    <row r="468" spans="31:55" x14ac:dyDescent="0.2">
      <c r="AE468" s="54">
        <f t="shared" si="76"/>
        <v>455</v>
      </c>
      <c r="AF468" s="54">
        <f>S_binomial[[#This Row],[Indeks (base 0)]]+1</f>
        <v>456</v>
      </c>
      <c r="AG468" s="99">
        <f t="shared" si="77"/>
        <v>4</v>
      </c>
      <c r="AH468" s="99">
        <f>IF(MOD(S_binomial[[#This Row],[Indeks (base 0)]],AF$7)=0,NA(),_xlfn.BINOM.DIST(S_binomial[[#This Row],[X base]],E$5,E$6,FALSE))</f>
        <v>0.16082039904000001</v>
      </c>
      <c r="AI468" s="99" t="b">
        <f>S_binomial[[#This Row],[X base]]&lt;AF$5</f>
        <v>1</v>
      </c>
      <c r="AJ468" s="99" t="b">
        <f>S_binomial[[#This Row],[X base]]=AF$5</f>
        <v>0</v>
      </c>
      <c r="AK468" s="99" t="b">
        <f>S_binomial[[#This Row],[X base]]&gt;AF$5</f>
        <v>0</v>
      </c>
      <c r="AL468" s="99">
        <f>IF(S_binomial[[#This Row],[Mindre end]],S_binomial[[#This Row],[Binomialfordeling]],NA())</f>
        <v>0.16082039904000001</v>
      </c>
      <c r="AM468" s="99" t="e">
        <f>IF(S_binomial[[#This Row],[Lig med]],S_binomial[[#This Row],[Binomialfordeling]],NA())</f>
        <v>#N/A</v>
      </c>
      <c r="AN468" s="99" t="e">
        <f>IF(S_binomial[[#This Row],[Større end]],S_binomial[[#This Row],[Binomialfordeling]],NA())</f>
        <v>#N/A</v>
      </c>
      <c r="AO468" s="85" t="str">
        <f>_xlfn.IFNA(IF(MOD(S_binomial[[#This Row],[Indeks (base 0)]],AF$7)=ROUNDDOWN(AF$7/2,0),S_binomial[[#This Row],[X base]],""),"")</f>
        <v/>
      </c>
      <c r="AP468" s="99" t="str">
        <f t="shared" si="78"/>
        <v xml:space="preserve"> </v>
      </c>
      <c r="AR468" s="54">
        <f t="shared" si="73"/>
        <v>455</v>
      </c>
      <c r="AS468" s="54">
        <f>S_normal27[[#This Row],[Indeks (base 0)]]+1</f>
        <v>456</v>
      </c>
      <c r="AT468" s="54">
        <f t="shared" si="75"/>
        <v>7</v>
      </c>
      <c r="AU468" s="54" t="e">
        <f>IF(MOD(S_normal27[[#This Row],[Indeks (base 0)]],AS$8)=0,NA(),_xlfn.POISSON.DIST(S_normal27[[#This Row],[X base]],$H$5,FALSE))</f>
        <v>#N/A</v>
      </c>
      <c r="AV468" s="99" t="b">
        <f>S_normal27[[#This Row],[X base]]&lt;AS$5</f>
        <v>0</v>
      </c>
      <c r="AW468" s="99" t="b">
        <f>S_normal27[[#This Row],[X base]]=AS$5</f>
        <v>0</v>
      </c>
      <c r="AX468" s="99" t="b">
        <f>S_normal27[[#This Row],[X base]]&gt;AS$5</f>
        <v>1</v>
      </c>
      <c r="AY468" s="99" t="e">
        <f>IF(S_normal27[[#This Row],[Mindre end]],S_normal27[[#This Row],[Poissonfordeling]],NA())</f>
        <v>#N/A</v>
      </c>
      <c r="AZ468" s="99" t="e">
        <f>IF(S_normal27[[#This Row],[Lig med]],S_normal27[[#This Row],[Poissonfordeling]],NA())</f>
        <v>#N/A</v>
      </c>
      <c r="BA468" s="99" t="e">
        <f>IF(S_normal27[[#This Row],[Større end]],S_normal27[[#This Row],[Poissonfordeling]],NA())</f>
        <v>#N/A</v>
      </c>
      <c r="BB468" s="85" t="str">
        <f>_xlfn.IFNA(IF(MOD(S_normal27[[#This Row],[Indeks (base 0)]],AS$8)=ROUNDDOWN(AS$8/2,0),S_normal27[[#This Row],[X base]],""),"")</f>
        <v/>
      </c>
      <c r="BC468" s="99" t="str">
        <f t="shared" si="74"/>
        <v xml:space="preserve"> </v>
      </c>
    </row>
    <row r="469" spans="31:55" x14ac:dyDescent="0.2">
      <c r="AE469" s="54">
        <f t="shared" si="76"/>
        <v>456</v>
      </c>
      <c r="AF469" s="54">
        <f>S_binomial[[#This Row],[Indeks (base 0)]]+1</f>
        <v>457</v>
      </c>
      <c r="AG469" s="99">
        <f t="shared" si="77"/>
        <v>4</v>
      </c>
      <c r="AH469" s="99">
        <f>IF(MOD(S_binomial[[#This Row],[Indeks (base 0)]],AF$7)=0,NA(),_xlfn.BINOM.DIST(S_binomial[[#This Row],[X base]],E$5,E$6,FALSE))</f>
        <v>0.16082039904000001</v>
      </c>
      <c r="AI469" s="99" t="b">
        <f>S_binomial[[#This Row],[X base]]&lt;AF$5</f>
        <v>1</v>
      </c>
      <c r="AJ469" s="99" t="b">
        <f>S_binomial[[#This Row],[X base]]=AF$5</f>
        <v>0</v>
      </c>
      <c r="AK469" s="99" t="b">
        <f>S_binomial[[#This Row],[X base]]&gt;AF$5</f>
        <v>0</v>
      </c>
      <c r="AL469" s="99">
        <f>IF(S_binomial[[#This Row],[Mindre end]],S_binomial[[#This Row],[Binomialfordeling]],NA())</f>
        <v>0.16082039904000001</v>
      </c>
      <c r="AM469" s="99" t="e">
        <f>IF(S_binomial[[#This Row],[Lig med]],S_binomial[[#This Row],[Binomialfordeling]],NA())</f>
        <v>#N/A</v>
      </c>
      <c r="AN469" s="99" t="e">
        <f>IF(S_binomial[[#This Row],[Større end]],S_binomial[[#This Row],[Binomialfordeling]],NA())</f>
        <v>#N/A</v>
      </c>
      <c r="AO469" s="85" t="str">
        <f>_xlfn.IFNA(IF(MOD(S_binomial[[#This Row],[Indeks (base 0)]],AF$7)=ROUNDDOWN(AF$7/2,0),S_binomial[[#This Row],[X base]],""),"")</f>
        <v/>
      </c>
      <c r="AP469" s="99" t="str">
        <f t="shared" si="78"/>
        <v xml:space="preserve"> </v>
      </c>
      <c r="AR469" s="54">
        <f t="shared" si="73"/>
        <v>456</v>
      </c>
      <c r="AS469" s="54">
        <f>S_normal27[[#This Row],[Indeks (base 0)]]+1</f>
        <v>457</v>
      </c>
      <c r="AT469" s="54">
        <f t="shared" si="75"/>
        <v>7</v>
      </c>
      <c r="AU469" s="54">
        <f>IF(MOD(S_normal27[[#This Row],[Indeks (base 0)]],AS$8)=0,NA(),_xlfn.POISSON.DIST(S_normal27[[#This Row],[X base]],$H$5,FALSE))</f>
        <v>2.1604031452483807E-2</v>
      </c>
      <c r="AV469" s="99" t="b">
        <f>S_normal27[[#This Row],[X base]]&lt;AS$5</f>
        <v>0</v>
      </c>
      <c r="AW469" s="99" t="b">
        <f>S_normal27[[#This Row],[X base]]=AS$5</f>
        <v>0</v>
      </c>
      <c r="AX469" s="99" t="b">
        <f>S_normal27[[#This Row],[X base]]&gt;AS$5</f>
        <v>1</v>
      </c>
      <c r="AY469" s="99" t="e">
        <f>IF(S_normal27[[#This Row],[Mindre end]],S_normal27[[#This Row],[Poissonfordeling]],NA())</f>
        <v>#N/A</v>
      </c>
      <c r="AZ469" s="99" t="e">
        <f>IF(S_normal27[[#This Row],[Lig med]],S_normal27[[#This Row],[Poissonfordeling]],NA())</f>
        <v>#N/A</v>
      </c>
      <c r="BA469" s="99">
        <f>IF(S_normal27[[#This Row],[Større end]],S_normal27[[#This Row],[Poissonfordeling]],NA())</f>
        <v>2.1604031452483807E-2</v>
      </c>
      <c r="BB469" s="85" t="str">
        <f>_xlfn.IFNA(IF(MOD(S_normal27[[#This Row],[Indeks (base 0)]],AS$8)=ROUNDDOWN(AS$8/2,0),S_normal27[[#This Row],[X base]],""),"")</f>
        <v/>
      </c>
      <c r="BC469" s="99" t="str">
        <f t="shared" si="74"/>
        <v xml:space="preserve"> </v>
      </c>
    </row>
    <row r="470" spans="31:55" x14ac:dyDescent="0.2">
      <c r="AE470" s="54">
        <f t="shared" si="76"/>
        <v>457</v>
      </c>
      <c r="AF470" s="54">
        <f>S_binomial[[#This Row],[Indeks (base 0)]]+1</f>
        <v>458</v>
      </c>
      <c r="AG470" s="99">
        <f t="shared" si="77"/>
        <v>4</v>
      </c>
      <c r="AH470" s="99">
        <f>IF(MOD(S_binomial[[#This Row],[Indeks (base 0)]],AF$7)=0,NA(),_xlfn.BINOM.DIST(S_binomial[[#This Row],[X base]],E$5,E$6,FALSE))</f>
        <v>0.16082039904000001</v>
      </c>
      <c r="AI470" s="99" t="b">
        <f>S_binomial[[#This Row],[X base]]&lt;AF$5</f>
        <v>1</v>
      </c>
      <c r="AJ470" s="99" t="b">
        <f>S_binomial[[#This Row],[X base]]=AF$5</f>
        <v>0</v>
      </c>
      <c r="AK470" s="99" t="b">
        <f>S_binomial[[#This Row],[X base]]&gt;AF$5</f>
        <v>0</v>
      </c>
      <c r="AL470" s="99">
        <f>IF(S_binomial[[#This Row],[Mindre end]],S_binomial[[#This Row],[Binomialfordeling]],NA())</f>
        <v>0.16082039904000001</v>
      </c>
      <c r="AM470" s="99" t="e">
        <f>IF(S_binomial[[#This Row],[Lig med]],S_binomial[[#This Row],[Binomialfordeling]],NA())</f>
        <v>#N/A</v>
      </c>
      <c r="AN470" s="99" t="e">
        <f>IF(S_binomial[[#This Row],[Større end]],S_binomial[[#This Row],[Binomialfordeling]],NA())</f>
        <v>#N/A</v>
      </c>
      <c r="AO470" s="85" t="str">
        <f>_xlfn.IFNA(IF(MOD(S_binomial[[#This Row],[Indeks (base 0)]],AF$7)=ROUNDDOWN(AF$7/2,0),S_binomial[[#This Row],[X base]],""),"")</f>
        <v/>
      </c>
      <c r="AP470" s="99" t="str">
        <f t="shared" si="78"/>
        <v xml:space="preserve"> </v>
      </c>
      <c r="AR470" s="54">
        <f t="shared" si="73"/>
        <v>457</v>
      </c>
      <c r="AS470" s="54">
        <f>S_normal27[[#This Row],[Indeks (base 0)]]+1</f>
        <v>458</v>
      </c>
      <c r="AT470" s="54">
        <f t="shared" si="75"/>
        <v>7</v>
      </c>
      <c r="AU470" s="54">
        <f>IF(MOD(S_normal27[[#This Row],[Indeks (base 0)]],AS$8)=0,NA(),_xlfn.POISSON.DIST(S_normal27[[#This Row],[X base]],$H$5,FALSE))</f>
        <v>2.1604031452483807E-2</v>
      </c>
      <c r="AV470" s="99" t="b">
        <f>S_normal27[[#This Row],[X base]]&lt;AS$5</f>
        <v>0</v>
      </c>
      <c r="AW470" s="99" t="b">
        <f>S_normal27[[#This Row],[X base]]=AS$5</f>
        <v>0</v>
      </c>
      <c r="AX470" s="99" t="b">
        <f>S_normal27[[#This Row],[X base]]&gt;AS$5</f>
        <v>1</v>
      </c>
      <c r="AY470" s="99" t="e">
        <f>IF(S_normal27[[#This Row],[Mindre end]],S_normal27[[#This Row],[Poissonfordeling]],NA())</f>
        <v>#N/A</v>
      </c>
      <c r="AZ470" s="99" t="e">
        <f>IF(S_normal27[[#This Row],[Lig med]],S_normal27[[#This Row],[Poissonfordeling]],NA())</f>
        <v>#N/A</v>
      </c>
      <c r="BA470" s="99">
        <f>IF(S_normal27[[#This Row],[Større end]],S_normal27[[#This Row],[Poissonfordeling]],NA())</f>
        <v>2.1604031452483807E-2</v>
      </c>
      <c r="BB470" s="85" t="str">
        <f>_xlfn.IFNA(IF(MOD(S_normal27[[#This Row],[Indeks (base 0)]],AS$8)=ROUNDDOWN(AS$8/2,0),S_normal27[[#This Row],[X base]],""),"")</f>
        <v/>
      </c>
      <c r="BC470" s="99" t="str">
        <f t="shared" si="74"/>
        <v xml:space="preserve"> </v>
      </c>
    </row>
    <row r="471" spans="31:55" x14ac:dyDescent="0.2">
      <c r="AE471" s="54">
        <f t="shared" si="76"/>
        <v>458</v>
      </c>
      <c r="AF471" s="54">
        <f>S_binomial[[#This Row],[Indeks (base 0)]]+1</f>
        <v>459</v>
      </c>
      <c r="AG471" s="99">
        <f t="shared" si="77"/>
        <v>4</v>
      </c>
      <c r="AH471" s="99">
        <f>IF(MOD(S_binomial[[#This Row],[Indeks (base 0)]],AF$7)=0,NA(),_xlfn.BINOM.DIST(S_binomial[[#This Row],[X base]],E$5,E$6,FALSE))</f>
        <v>0.16082039904000001</v>
      </c>
      <c r="AI471" s="99" t="b">
        <f>S_binomial[[#This Row],[X base]]&lt;AF$5</f>
        <v>1</v>
      </c>
      <c r="AJ471" s="99" t="b">
        <f>S_binomial[[#This Row],[X base]]=AF$5</f>
        <v>0</v>
      </c>
      <c r="AK471" s="99" t="b">
        <f>S_binomial[[#This Row],[X base]]&gt;AF$5</f>
        <v>0</v>
      </c>
      <c r="AL471" s="99">
        <f>IF(S_binomial[[#This Row],[Mindre end]],S_binomial[[#This Row],[Binomialfordeling]],NA())</f>
        <v>0.16082039904000001</v>
      </c>
      <c r="AM471" s="99" t="e">
        <f>IF(S_binomial[[#This Row],[Lig med]],S_binomial[[#This Row],[Binomialfordeling]],NA())</f>
        <v>#N/A</v>
      </c>
      <c r="AN471" s="99" t="e">
        <f>IF(S_binomial[[#This Row],[Større end]],S_binomial[[#This Row],[Binomialfordeling]],NA())</f>
        <v>#N/A</v>
      </c>
      <c r="AO471" s="85" t="str">
        <f>_xlfn.IFNA(IF(MOD(S_binomial[[#This Row],[Indeks (base 0)]],AF$7)=ROUNDDOWN(AF$7/2,0),S_binomial[[#This Row],[X base]],""),"")</f>
        <v/>
      </c>
      <c r="AP471" s="99" t="str">
        <f t="shared" si="78"/>
        <v xml:space="preserve"> </v>
      </c>
      <c r="AR471" s="54">
        <f t="shared" si="73"/>
        <v>458</v>
      </c>
      <c r="AS471" s="54">
        <f>S_normal27[[#This Row],[Indeks (base 0)]]+1</f>
        <v>459</v>
      </c>
      <c r="AT471" s="54">
        <f t="shared" si="75"/>
        <v>7</v>
      </c>
      <c r="AU471" s="54">
        <f>IF(MOD(S_normal27[[#This Row],[Indeks (base 0)]],AS$8)=0,NA(),_xlfn.POISSON.DIST(S_normal27[[#This Row],[X base]],$H$5,FALSE))</f>
        <v>2.1604031452483807E-2</v>
      </c>
      <c r="AV471" s="99" t="b">
        <f>S_normal27[[#This Row],[X base]]&lt;AS$5</f>
        <v>0</v>
      </c>
      <c r="AW471" s="99" t="b">
        <f>S_normal27[[#This Row],[X base]]=AS$5</f>
        <v>0</v>
      </c>
      <c r="AX471" s="99" t="b">
        <f>S_normal27[[#This Row],[X base]]&gt;AS$5</f>
        <v>1</v>
      </c>
      <c r="AY471" s="99" t="e">
        <f>IF(S_normal27[[#This Row],[Mindre end]],S_normal27[[#This Row],[Poissonfordeling]],NA())</f>
        <v>#N/A</v>
      </c>
      <c r="AZ471" s="99" t="e">
        <f>IF(S_normal27[[#This Row],[Lig med]],S_normal27[[#This Row],[Poissonfordeling]],NA())</f>
        <v>#N/A</v>
      </c>
      <c r="BA471" s="99">
        <f>IF(S_normal27[[#This Row],[Større end]],S_normal27[[#This Row],[Poissonfordeling]],NA())</f>
        <v>2.1604031452483807E-2</v>
      </c>
      <c r="BB471" s="85" t="str">
        <f>_xlfn.IFNA(IF(MOD(S_normal27[[#This Row],[Indeks (base 0)]],AS$8)=ROUNDDOWN(AS$8/2,0),S_normal27[[#This Row],[X base]],""),"")</f>
        <v/>
      </c>
      <c r="BC471" s="99" t="str">
        <f t="shared" si="74"/>
        <v xml:space="preserve"> </v>
      </c>
    </row>
    <row r="472" spans="31:55" x14ac:dyDescent="0.2">
      <c r="AE472" s="54">
        <f t="shared" si="76"/>
        <v>459</v>
      </c>
      <c r="AF472" s="54">
        <f>S_binomial[[#This Row],[Indeks (base 0)]]+1</f>
        <v>460</v>
      </c>
      <c r="AG472" s="99">
        <f t="shared" si="77"/>
        <v>4</v>
      </c>
      <c r="AH472" s="99">
        <f>IF(MOD(S_binomial[[#This Row],[Indeks (base 0)]],AF$7)=0,NA(),_xlfn.BINOM.DIST(S_binomial[[#This Row],[X base]],E$5,E$6,FALSE))</f>
        <v>0.16082039904000001</v>
      </c>
      <c r="AI472" s="99" t="b">
        <f>S_binomial[[#This Row],[X base]]&lt;AF$5</f>
        <v>1</v>
      </c>
      <c r="AJ472" s="99" t="b">
        <f>S_binomial[[#This Row],[X base]]=AF$5</f>
        <v>0</v>
      </c>
      <c r="AK472" s="99" t="b">
        <f>S_binomial[[#This Row],[X base]]&gt;AF$5</f>
        <v>0</v>
      </c>
      <c r="AL472" s="99">
        <f>IF(S_binomial[[#This Row],[Mindre end]],S_binomial[[#This Row],[Binomialfordeling]],NA())</f>
        <v>0.16082039904000001</v>
      </c>
      <c r="AM472" s="99" t="e">
        <f>IF(S_binomial[[#This Row],[Lig med]],S_binomial[[#This Row],[Binomialfordeling]],NA())</f>
        <v>#N/A</v>
      </c>
      <c r="AN472" s="99" t="e">
        <f>IF(S_binomial[[#This Row],[Større end]],S_binomial[[#This Row],[Binomialfordeling]],NA())</f>
        <v>#N/A</v>
      </c>
      <c r="AO472" s="85" t="str">
        <f>_xlfn.IFNA(IF(MOD(S_binomial[[#This Row],[Indeks (base 0)]],AF$7)=ROUNDDOWN(AF$7/2,0),S_binomial[[#This Row],[X base]],""),"")</f>
        <v/>
      </c>
      <c r="AP472" s="99" t="str">
        <f t="shared" si="78"/>
        <v xml:space="preserve"> </v>
      </c>
      <c r="AR472" s="54">
        <f t="shared" si="73"/>
        <v>459</v>
      </c>
      <c r="AS472" s="54">
        <f>S_normal27[[#This Row],[Indeks (base 0)]]+1</f>
        <v>460</v>
      </c>
      <c r="AT472" s="54">
        <f t="shared" si="75"/>
        <v>7</v>
      </c>
      <c r="AU472" s="54">
        <f>IF(MOD(S_normal27[[#This Row],[Indeks (base 0)]],AS$8)=0,NA(),_xlfn.POISSON.DIST(S_normal27[[#This Row],[X base]],$H$5,FALSE))</f>
        <v>2.1604031452483807E-2</v>
      </c>
      <c r="AV472" s="99" t="b">
        <f>S_normal27[[#This Row],[X base]]&lt;AS$5</f>
        <v>0</v>
      </c>
      <c r="AW472" s="99" t="b">
        <f>S_normal27[[#This Row],[X base]]=AS$5</f>
        <v>0</v>
      </c>
      <c r="AX472" s="99" t="b">
        <f>S_normal27[[#This Row],[X base]]&gt;AS$5</f>
        <v>1</v>
      </c>
      <c r="AY472" s="99" t="e">
        <f>IF(S_normal27[[#This Row],[Mindre end]],S_normal27[[#This Row],[Poissonfordeling]],NA())</f>
        <v>#N/A</v>
      </c>
      <c r="AZ472" s="99" t="e">
        <f>IF(S_normal27[[#This Row],[Lig med]],S_normal27[[#This Row],[Poissonfordeling]],NA())</f>
        <v>#N/A</v>
      </c>
      <c r="BA472" s="99">
        <f>IF(S_normal27[[#This Row],[Større end]],S_normal27[[#This Row],[Poissonfordeling]],NA())</f>
        <v>2.1604031452483807E-2</v>
      </c>
      <c r="BB472" s="85" t="str">
        <f>_xlfn.IFNA(IF(MOD(S_normal27[[#This Row],[Indeks (base 0)]],AS$8)=ROUNDDOWN(AS$8/2,0),S_normal27[[#This Row],[X base]],""),"")</f>
        <v/>
      </c>
      <c r="BC472" s="99" t="str">
        <f t="shared" si="74"/>
        <v xml:space="preserve"> </v>
      </c>
    </row>
    <row r="473" spans="31:55" x14ac:dyDescent="0.2">
      <c r="AE473" s="54">
        <f t="shared" si="76"/>
        <v>460</v>
      </c>
      <c r="AF473" s="54">
        <f>S_binomial[[#This Row],[Indeks (base 0)]]+1</f>
        <v>461</v>
      </c>
      <c r="AG473" s="99">
        <f t="shared" si="77"/>
        <v>5</v>
      </c>
      <c r="AH473" s="99" t="e">
        <f>IF(MOD(S_binomial[[#This Row],[Indeks (base 0)]],AF$7)=0,NA(),_xlfn.BINOM.DIST(S_binomial[[#This Row],[X base]],E$5,E$6,FALSE))</f>
        <v>#N/A</v>
      </c>
      <c r="AI473" s="99" t="b">
        <f>S_binomial[[#This Row],[X base]]&lt;AF$5</f>
        <v>0</v>
      </c>
      <c r="AJ473" s="99" t="b">
        <f>S_binomial[[#This Row],[X base]]=AF$5</f>
        <v>1</v>
      </c>
      <c r="AK473" s="99" t="b">
        <f>S_binomial[[#This Row],[X base]]&gt;AF$5</f>
        <v>0</v>
      </c>
      <c r="AL473" s="99" t="e">
        <f>IF(S_binomial[[#This Row],[Mindre end]],S_binomial[[#This Row],[Binomialfordeling]],NA())</f>
        <v>#N/A</v>
      </c>
      <c r="AM473" s="99" t="e">
        <f>IF(S_binomial[[#This Row],[Lig med]],S_binomial[[#This Row],[Binomialfordeling]],NA())</f>
        <v>#N/A</v>
      </c>
      <c r="AN473" s="99" t="e">
        <f>IF(S_binomial[[#This Row],[Større end]],S_binomial[[#This Row],[Binomialfordeling]],NA())</f>
        <v>#N/A</v>
      </c>
      <c r="AO473" s="85" t="str">
        <f>_xlfn.IFNA(IF(MOD(S_binomial[[#This Row],[Indeks (base 0)]],AF$7)=ROUNDDOWN(AF$7/2,0),S_binomial[[#This Row],[X base]],""),"")</f>
        <v/>
      </c>
      <c r="AP473" s="99" t="str">
        <f t="shared" si="78"/>
        <v xml:space="preserve"> </v>
      </c>
      <c r="AR473" s="54">
        <f t="shared" si="73"/>
        <v>460</v>
      </c>
      <c r="AS473" s="54">
        <f>S_normal27[[#This Row],[Indeks (base 0)]]+1</f>
        <v>461</v>
      </c>
      <c r="AT473" s="54">
        <f t="shared" si="75"/>
        <v>7</v>
      </c>
      <c r="AU473" s="54">
        <f>IF(MOD(S_normal27[[#This Row],[Indeks (base 0)]],AS$8)=0,NA(),_xlfn.POISSON.DIST(S_normal27[[#This Row],[X base]],$H$5,FALSE))</f>
        <v>2.1604031452483807E-2</v>
      </c>
      <c r="AV473" s="99" t="b">
        <f>S_normal27[[#This Row],[X base]]&lt;AS$5</f>
        <v>0</v>
      </c>
      <c r="AW473" s="99" t="b">
        <f>S_normal27[[#This Row],[X base]]=AS$5</f>
        <v>0</v>
      </c>
      <c r="AX473" s="99" t="b">
        <f>S_normal27[[#This Row],[X base]]&gt;AS$5</f>
        <v>1</v>
      </c>
      <c r="AY473" s="99" t="e">
        <f>IF(S_normal27[[#This Row],[Mindre end]],S_normal27[[#This Row],[Poissonfordeling]],NA())</f>
        <v>#N/A</v>
      </c>
      <c r="AZ473" s="99" t="e">
        <f>IF(S_normal27[[#This Row],[Lig med]],S_normal27[[#This Row],[Poissonfordeling]],NA())</f>
        <v>#N/A</v>
      </c>
      <c r="BA473" s="99">
        <f>IF(S_normal27[[#This Row],[Større end]],S_normal27[[#This Row],[Poissonfordeling]],NA())</f>
        <v>2.1604031452483807E-2</v>
      </c>
      <c r="BB473" s="85" t="str">
        <f>_xlfn.IFNA(IF(MOD(S_normal27[[#This Row],[Indeks (base 0)]],AS$8)=ROUNDDOWN(AS$8/2,0),S_normal27[[#This Row],[X base]],""),"")</f>
        <v/>
      </c>
      <c r="BC473" s="99" t="str">
        <f t="shared" si="74"/>
        <v xml:space="preserve"> </v>
      </c>
    </row>
    <row r="474" spans="31:55" x14ac:dyDescent="0.2">
      <c r="AE474" s="54">
        <f t="shared" si="76"/>
        <v>461</v>
      </c>
      <c r="AF474" s="54">
        <f>S_binomial[[#This Row],[Indeks (base 0)]]+1</f>
        <v>462</v>
      </c>
      <c r="AG474" s="99">
        <f t="shared" si="77"/>
        <v>5</v>
      </c>
      <c r="AH474" s="99">
        <f>IF(MOD(S_binomial[[#This Row],[Indeks (base 0)]],AF$7)=0,NA(),_xlfn.BINOM.DIST(S_binomial[[#This Row],[X base]],E$5,E$6,FALSE))</f>
        <v>0.39515869478400001</v>
      </c>
      <c r="AI474" s="99" t="b">
        <f>S_binomial[[#This Row],[X base]]&lt;AF$5</f>
        <v>0</v>
      </c>
      <c r="AJ474" s="99" t="b">
        <f>S_binomial[[#This Row],[X base]]=AF$5</f>
        <v>1</v>
      </c>
      <c r="AK474" s="99" t="b">
        <f>S_binomial[[#This Row],[X base]]&gt;AF$5</f>
        <v>0</v>
      </c>
      <c r="AL474" s="99" t="e">
        <f>IF(S_binomial[[#This Row],[Mindre end]],S_binomial[[#This Row],[Binomialfordeling]],NA())</f>
        <v>#N/A</v>
      </c>
      <c r="AM474" s="99">
        <f>IF(S_binomial[[#This Row],[Lig med]],S_binomial[[#This Row],[Binomialfordeling]],NA())</f>
        <v>0.39515869478400001</v>
      </c>
      <c r="AN474" s="99" t="e">
        <f>IF(S_binomial[[#This Row],[Større end]],S_binomial[[#This Row],[Binomialfordeling]],NA())</f>
        <v>#N/A</v>
      </c>
      <c r="AO474" s="85" t="str">
        <f>_xlfn.IFNA(IF(MOD(S_binomial[[#This Row],[Indeks (base 0)]],AF$7)=ROUNDDOWN(AF$7/2,0),S_binomial[[#This Row],[X base]],""),"")</f>
        <v/>
      </c>
      <c r="AP474" s="99" t="str">
        <f t="shared" si="78"/>
        <v xml:space="preserve"> </v>
      </c>
      <c r="AR474" s="54">
        <f t="shared" si="73"/>
        <v>461</v>
      </c>
      <c r="AS474" s="54">
        <f>S_normal27[[#This Row],[Indeks (base 0)]]+1</f>
        <v>462</v>
      </c>
      <c r="AT474" s="54">
        <f t="shared" si="75"/>
        <v>7</v>
      </c>
      <c r="AU474" s="54">
        <f>IF(MOD(S_normal27[[#This Row],[Indeks (base 0)]],AS$8)=0,NA(),_xlfn.POISSON.DIST(S_normal27[[#This Row],[X base]],$H$5,FALSE))</f>
        <v>2.1604031452483807E-2</v>
      </c>
      <c r="AV474" s="99" t="b">
        <f>S_normal27[[#This Row],[X base]]&lt;AS$5</f>
        <v>0</v>
      </c>
      <c r="AW474" s="99" t="b">
        <f>S_normal27[[#This Row],[X base]]=AS$5</f>
        <v>0</v>
      </c>
      <c r="AX474" s="99" t="b">
        <f>S_normal27[[#This Row],[X base]]&gt;AS$5</f>
        <v>1</v>
      </c>
      <c r="AY474" s="99" t="e">
        <f>IF(S_normal27[[#This Row],[Mindre end]],S_normal27[[#This Row],[Poissonfordeling]],NA())</f>
        <v>#N/A</v>
      </c>
      <c r="AZ474" s="99" t="e">
        <f>IF(S_normal27[[#This Row],[Lig med]],S_normal27[[#This Row],[Poissonfordeling]],NA())</f>
        <v>#N/A</v>
      </c>
      <c r="BA474" s="99">
        <f>IF(S_normal27[[#This Row],[Større end]],S_normal27[[#This Row],[Poissonfordeling]],NA())</f>
        <v>2.1604031452483807E-2</v>
      </c>
      <c r="BB474" s="85" t="str">
        <f>_xlfn.IFNA(IF(MOD(S_normal27[[#This Row],[Indeks (base 0)]],AS$8)=ROUNDDOWN(AS$8/2,0),S_normal27[[#This Row],[X base]],""),"")</f>
        <v/>
      </c>
      <c r="BC474" s="99" t="str">
        <f t="shared" si="74"/>
        <v xml:space="preserve"> </v>
      </c>
    </row>
    <row r="475" spans="31:55" x14ac:dyDescent="0.2">
      <c r="AE475" s="54">
        <f t="shared" si="76"/>
        <v>462</v>
      </c>
      <c r="AF475" s="54">
        <f>S_binomial[[#This Row],[Indeks (base 0)]]+1</f>
        <v>463</v>
      </c>
      <c r="AG475" s="99">
        <f t="shared" si="77"/>
        <v>5</v>
      </c>
      <c r="AH475" s="99">
        <f>IF(MOD(S_binomial[[#This Row],[Indeks (base 0)]],AF$7)=0,NA(),_xlfn.BINOM.DIST(S_binomial[[#This Row],[X base]],E$5,E$6,FALSE))</f>
        <v>0.39515869478400001</v>
      </c>
      <c r="AI475" s="99" t="b">
        <f>S_binomial[[#This Row],[X base]]&lt;AF$5</f>
        <v>0</v>
      </c>
      <c r="AJ475" s="99" t="b">
        <f>S_binomial[[#This Row],[X base]]=AF$5</f>
        <v>1</v>
      </c>
      <c r="AK475" s="99" t="b">
        <f>S_binomial[[#This Row],[X base]]&gt;AF$5</f>
        <v>0</v>
      </c>
      <c r="AL475" s="99" t="e">
        <f>IF(S_binomial[[#This Row],[Mindre end]],S_binomial[[#This Row],[Binomialfordeling]],NA())</f>
        <v>#N/A</v>
      </c>
      <c r="AM475" s="99">
        <f>IF(S_binomial[[#This Row],[Lig med]],S_binomial[[#This Row],[Binomialfordeling]],NA())</f>
        <v>0.39515869478400001</v>
      </c>
      <c r="AN475" s="99" t="e">
        <f>IF(S_binomial[[#This Row],[Større end]],S_binomial[[#This Row],[Binomialfordeling]],NA())</f>
        <v>#N/A</v>
      </c>
      <c r="AO475" s="85" t="str">
        <f>_xlfn.IFNA(IF(MOD(S_binomial[[#This Row],[Indeks (base 0)]],AF$7)=ROUNDDOWN(AF$7/2,0),S_binomial[[#This Row],[X base]],""),"")</f>
        <v/>
      </c>
      <c r="AP475" s="99" t="str">
        <f t="shared" si="78"/>
        <v xml:space="preserve"> </v>
      </c>
      <c r="AR475" s="54">
        <f t="shared" si="73"/>
        <v>462</v>
      </c>
      <c r="AS475" s="54">
        <f>S_normal27[[#This Row],[Indeks (base 0)]]+1</f>
        <v>463</v>
      </c>
      <c r="AT475" s="54">
        <f t="shared" si="75"/>
        <v>7</v>
      </c>
      <c r="AU475" s="54">
        <f>IF(MOD(S_normal27[[#This Row],[Indeks (base 0)]],AS$8)=0,NA(),_xlfn.POISSON.DIST(S_normal27[[#This Row],[X base]],$H$5,FALSE))</f>
        <v>2.1604031452483807E-2</v>
      </c>
      <c r="AV475" s="99" t="b">
        <f>S_normal27[[#This Row],[X base]]&lt;AS$5</f>
        <v>0</v>
      </c>
      <c r="AW475" s="99" t="b">
        <f>S_normal27[[#This Row],[X base]]=AS$5</f>
        <v>0</v>
      </c>
      <c r="AX475" s="99" t="b">
        <f>S_normal27[[#This Row],[X base]]&gt;AS$5</f>
        <v>1</v>
      </c>
      <c r="AY475" s="99" t="e">
        <f>IF(S_normal27[[#This Row],[Mindre end]],S_normal27[[#This Row],[Poissonfordeling]],NA())</f>
        <v>#N/A</v>
      </c>
      <c r="AZ475" s="99" t="e">
        <f>IF(S_normal27[[#This Row],[Lig med]],S_normal27[[#This Row],[Poissonfordeling]],NA())</f>
        <v>#N/A</v>
      </c>
      <c r="BA475" s="99">
        <f>IF(S_normal27[[#This Row],[Større end]],S_normal27[[#This Row],[Poissonfordeling]],NA())</f>
        <v>2.1604031452483807E-2</v>
      </c>
      <c r="BB475" s="85" t="str">
        <f>_xlfn.IFNA(IF(MOD(S_normal27[[#This Row],[Indeks (base 0)]],AS$8)=ROUNDDOWN(AS$8/2,0),S_normal27[[#This Row],[X base]],""),"")</f>
        <v/>
      </c>
      <c r="BC475" s="99" t="str">
        <f t="shared" si="74"/>
        <v xml:space="preserve"> </v>
      </c>
    </row>
    <row r="476" spans="31:55" x14ac:dyDescent="0.2">
      <c r="AE476" s="54">
        <f t="shared" si="76"/>
        <v>463</v>
      </c>
      <c r="AF476" s="54">
        <f>S_binomial[[#This Row],[Indeks (base 0)]]+1</f>
        <v>464</v>
      </c>
      <c r="AG476" s="99">
        <f t="shared" si="77"/>
        <v>5</v>
      </c>
      <c r="AH476" s="99">
        <f>IF(MOD(S_binomial[[#This Row],[Indeks (base 0)]],AF$7)=0,NA(),_xlfn.BINOM.DIST(S_binomial[[#This Row],[X base]],E$5,E$6,FALSE))</f>
        <v>0.39515869478400001</v>
      </c>
      <c r="AI476" s="99" t="b">
        <f>S_binomial[[#This Row],[X base]]&lt;AF$5</f>
        <v>0</v>
      </c>
      <c r="AJ476" s="99" t="b">
        <f>S_binomial[[#This Row],[X base]]=AF$5</f>
        <v>1</v>
      </c>
      <c r="AK476" s="99" t="b">
        <f>S_binomial[[#This Row],[X base]]&gt;AF$5</f>
        <v>0</v>
      </c>
      <c r="AL476" s="99" t="e">
        <f>IF(S_binomial[[#This Row],[Mindre end]],S_binomial[[#This Row],[Binomialfordeling]],NA())</f>
        <v>#N/A</v>
      </c>
      <c r="AM476" s="99">
        <f>IF(S_binomial[[#This Row],[Lig med]],S_binomial[[#This Row],[Binomialfordeling]],NA())</f>
        <v>0.39515869478400001</v>
      </c>
      <c r="AN476" s="99" t="e">
        <f>IF(S_binomial[[#This Row],[Større end]],S_binomial[[#This Row],[Binomialfordeling]],NA())</f>
        <v>#N/A</v>
      </c>
      <c r="AO476" s="85" t="str">
        <f>_xlfn.IFNA(IF(MOD(S_binomial[[#This Row],[Indeks (base 0)]],AF$7)=ROUNDDOWN(AF$7/2,0),S_binomial[[#This Row],[X base]],""),"")</f>
        <v/>
      </c>
      <c r="AP476" s="99" t="str">
        <f t="shared" si="78"/>
        <v xml:space="preserve"> </v>
      </c>
      <c r="AR476" s="54">
        <f t="shared" si="73"/>
        <v>463</v>
      </c>
      <c r="AS476" s="54">
        <f>S_normal27[[#This Row],[Indeks (base 0)]]+1</f>
        <v>464</v>
      </c>
      <c r="AT476" s="54">
        <f t="shared" si="75"/>
        <v>7</v>
      </c>
      <c r="AU476" s="54">
        <f>IF(MOD(S_normal27[[#This Row],[Indeks (base 0)]],AS$8)=0,NA(),_xlfn.POISSON.DIST(S_normal27[[#This Row],[X base]],$H$5,FALSE))</f>
        <v>2.1604031452483807E-2</v>
      </c>
      <c r="AV476" s="99" t="b">
        <f>S_normal27[[#This Row],[X base]]&lt;AS$5</f>
        <v>0</v>
      </c>
      <c r="AW476" s="99" t="b">
        <f>S_normal27[[#This Row],[X base]]=AS$5</f>
        <v>0</v>
      </c>
      <c r="AX476" s="99" t="b">
        <f>S_normal27[[#This Row],[X base]]&gt;AS$5</f>
        <v>1</v>
      </c>
      <c r="AY476" s="99" t="e">
        <f>IF(S_normal27[[#This Row],[Mindre end]],S_normal27[[#This Row],[Poissonfordeling]],NA())</f>
        <v>#N/A</v>
      </c>
      <c r="AZ476" s="99" t="e">
        <f>IF(S_normal27[[#This Row],[Lig med]],S_normal27[[#This Row],[Poissonfordeling]],NA())</f>
        <v>#N/A</v>
      </c>
      <c r="BA476" s="99">
        <f>IF(S_normal27[[#This Row],[Større end]],S_normal27[[#This Row],[Poissonfordeling]],NA())</f>
        <v>2.1604031452483807E-2</v>
      </c>
      <c r="BB476" s="85" t="str">
        <f>_xlfn.IFNA(IF(MOD(S_normal27[[#This Row],[Indeks (base 0)]],AS$8)=ROUNDDOWN(AS$8/2,0),S_normal27[[#This Row],[X base]],""),"")</f>
        <v/>
      </c>
      <c r="BC476" s="99" t="str">
        <f t="shared" si="74"/>
        <v xml:space="preserve"> </v>
      </c>
    </row>
    <row r="477" spans="31:55" x14ac:dyDescent="0.2">
      <c r="AE477" s="54">
        <f t="shared" si="76"/>
        <v>464</v>
      </c>
      <c r="AF477" s="54">
        <f>S_binomial[[#This Row],[Indeks (base 0)]]+1</f>
        <v>465</v>
      </c>
      <c r="AG477" s="99">
        <f t="shared" si="77"/>
        <v>5</v>
      </c>
      <c r="AH477" s="99">
        <f>IF(MOD(S_binomial[[#This Row],[Indeks (base 0)]],AF$7)=0,NA(),_xlfn.BINOM.DIST(S_binomial[[#This Row],[X base]],E$5,E$6,FALSE))</f>
        <v>0.39515869478400001</v>
      </c>
      <c r="AI477" s="99" t="b">
        <f>S_binomial[[#This Row],[X base]]&lt;AF$5</f>
        <v>0</v>
      </c>
      <c r="AJ477" s="99" t="b">
        <f>S_binomial[[#This Row],[X base]]=AF$5</f>
        <v>1</v>
      </c>
      <c r="AK477" s="99" t="b">
        <f>S_binomial[[#This Row],[X base]]&gt;AF$5</f>
        <v>0</v>
      </c>
      <c r="AL477" s="99" t="e">
        <f>IF(S_binomial[[#This Row],[Mindre end]],S_binomial[[#This Row],[Binomialfordeling]],NA())</f>
        <v>#N/A</v>
      </c>
      <c r="AM477" s="99">
        <f>IF(S_binomial[[#This Row],[Lig med]],S_binomial[[#This Row],[Binomialfordeling]],NA())</f>
        <v>0.39515869478400001</v>
      </c>
      <c r="AN477" s="99" t="e">
        <f>IF(S_binomial[[#This Row],[Større end]],S_binomial[[#This Row],[Binomialfordeling]],NA())</f>
        <v>#N/A</v>
      </c>
      <c r="AO477" s="85" t="str">
        <f>_xlfn.IFNA(IF(MOD(S_binomial[[#This Row],[Indeks (base 0)]],AF$7)=ROUNDDOWN(AF$7/2,0),S_binomial[[#This Row],[X base]],""),"")</f>
        <v/>
      </c>
      <c r="AP477" s="99" t="str">
        <f t="shared" si="78"/>
        <v xml:space="preserve"> </v>
      </c>
      <c r="AR477" s="54">
        <f t="shared" si="73"/>
        <v>464</v>
      </c>
      <c r="AS477" s="54">
        <f>S_normal27[[#This Row],[Indeks (base 0)]]+1</f>
        <v>465</v>
      </c>
      <c r="AT477" s="54">
        <f t="shared" si="75"/>
        <v>7</v>
      </c>
      <c r="AU477" s="54">
        <f>IF(MOD(S_normal27[[#This Row],[Indeks (base 0)]],AS$8)=0,NA(),_xlfn.POISSON.DIST(S_normal27[[#This Row],[X base]],$H$5,FALSE))</f>
        <v>2.1604031452483807E-2</v>
      </c>
      <c r="AV477" s="99" t="b">
        <f>S_normal27[[#This Row],[X base]]&lt;AS$5</f>
        <v>0</v>
      </c>
      <c r="AW477" s="99" t="b">
        <f>S_normal27[[#This Row],[X base]]=AS$5</f>
        <v>0</v>
      </c>
      <c r="AX477" s="99" t="b">
        <f>S_normal27[[#This Row],[X base]]&gt;AS$5</f>
        <v>1</v>
      </c>
      <c r="AY477" s="99" t="e">
        <f>IF(S_normal27[[#This Row],[Mindre end]],S_normal27[[#This Row],[Poissonfordeling]],NA())</f>
        <v>#N/A</v>
      </c>
      <c r="AZ477" s="99" t="e">
        <f>IF(S_normal27[[#This Row],[Lig med]],S_normal27[[#This Row],[Poissonfordeling]],NA())</f>
        <v>#N/A</v>
      </c>
      <c r="BA477" s="99">
        <f>IF(S_normal27[[#This Row],[Større end]],S_normal27[[#This Row],[Poissonfordeling]],NA())</f>
        <v>2.1604031452483807E-2</v>
      </c>
      <c r="BB477" s="85" t="str">
        <f>_xlfn.IFNA(IF(MOD(S_normal27[[#This Row],[Indeks (base 0)]],AS$8)=ROUNDDOWN(AS$8/2,0),S_normal27[[#This Row],[X base]],""),"")</f>
        <v/>
      </c>
      <c r="BC477" s="99" t="str">
        <f t="shared" si="74"/>
        <v xml:space="preserve"> </v>
      </c>
    </row>
    <row r="478" spans="31:55" x14ac:dyDescent="0.2">
      <c r="AE478" s="54">
        <f t="shared" si="76"/>
        <v>465</v>
      </c>
      <c r="AF478" s="54">
        <f>S_binomial[[#This Row],[Indeks (base 0)]]+1</f>
        <v>466</v>
      </c>
      <c r="AG478" s="99">
        <f t="shared" si="77"/>
        <v>5</v>
      </c>
      <c r="AH478" s="99">
        <f>IF(MOD(S_binomial[[#This Row],[Indeks (base 0)]],AF$7)=0,NA(),_xlfn.BINOM.DIST(S_binomial[[#This Row],[X base]],E$5,E$6,FALSE))</f>
        <v>0.39515869478400001</v>
      </c>
      <c r="AI478" s="99" t="b">
        <f>S_binomial[[#This Row],[X base]]&lt;AF$5</f>
        <v>0</v>
      </c>
      <c r="AJ478" s="99" t="b">
        <f>S_binomial[[#This Row],[X base]]=AF$5</f>
        <v>1</v>
      </c>
      <c r="AK478" s="99" t="b">
        <f>S_binomial[[#This Row],[X base]]&gt;AF$5</f>
        <v>0</v>
      </c>
      <c r="AL478" s="99" t="e">
        <f>IF(S_binomial[[#This Row],[Mindre end]],S_binomial[[#This Row],[Binomialfordeling]],NA())</f>
        <v>#N/A</v>
      </c>
      <c r="AM478" s="99">
        <f>IF(S_binomial[[#This Row],[Lig med]],S_binomial[[#This Row],[Binomialfordeling]],NA())</f>
        <v>0.39515869478400001</v>
      </c>
      <c r="AN478" s="99" t="e">
        <f>IF(S_binomial[[#This Row],[Større end]],S_binomial[[#This Row],[Binomialfordeling]],NA())</f>
        <v>#N/A</v>
      </c>
      <c r="AO478" s="85" t="str">
        <f>_xlfn.IFNA(IF(MOD(S_binomial[[#This Row],[Indeks (base 0)]],AF$7)=ROUNDDOWN(AF$7/2,0),S_binomial[[#This Row],[X base]],""),"")</f>
        <v/>
      </c>
      <c r="AP478" s="99" t="str">
        <f t="shared" si="78"/>
        <v xml:space="preserve"> </v>
      </c>
      <c r="AR478" s="54">
        <f t="shared" si="73"/>
        <v>465</v>
      </c>
      <c r="AS478" s="54">
        <f>S_normal27[[#This Row],[Indeks (base 0)]]+1</f>
        <v>466</v>
      </c>
      <c r="AT478" s="54">
        <f t="shared" si="75"/>
        <v>7</v>
      </c>
      <c r="AU478" s="54">
        <f>IF(MOD(S_normal27[[#This Row],[Indeks (base 0)]],AS$8)=0,NA(),_xlfn.POISSON.DIST(S_normal27[[#This Row],[X base]],$H$5,FALSE))</f>
        <v>2.1604031452483807E-2</v>
      </c>
      <c r="AV478" s="99" t="b">
        <f>S_normal27[[#This Row],[X base]]&lt;AS$5</f>
        <v>0</v>
      </c>
      <c r="AW478" s="99" t="b">
        <f>S_normal27[[#This Row],[X base]]=AS$5</f>
        <v>0</v>
      </c>
      <c r="AX478" s="99" t="b">
        <f>S_normal27[[#This Row],[X base]]&gt;AS$5</f>
        <v>1</v>
      </c>
      <c r="AY478" s="99" t="e">
        <f>IF(S_normal27[[#This Row],[Mindre end]],S_normal27[[#This Row],[Poissonfordeling]],NA())</f>
        <v>#N/A</v>
      </c>
      <c r="AZ478" s="99" t="e">
        <f>IF(S_normal27[[#This Row],[Lig med]],S_normal27[[#This Row],[Poissonfordeling]],NA())</f>
        <v>#N/A</v>
      </c>
      <c r="BA478" s="99">
        <f>IF(S_normal27[[#This Row],[Større end]],S_normal27[[#This Row],[Poissonfordeling]],NA())</f>
        <v>2.1604031452483807E-2</v>
      </c>
      <c r="BB478" s="85" t="str">
        <f>_xlfn.IFNA(IF(MOD(S_normal27[[#This Row],[Indeks (base 0)]],AS$8)=ROUNDDOWN(AS$8/2,0),S_normal27[[#This Row],[X base]],""),"")</f>
        <v/>
      </c>
      <c r="BC478" s="99" t="str">
        <f t="shared" si="74"/>
        <v xml:space="preserve"> </v>
      </c>
    </row>
    <row r="479" spans="31:55" x14ac:dyDescent="0.2">
      <c r="AE479" s="54">
        <f t="shared" si="76"/>
        <v>466</v>
      </c>
      <c r="AF479" s="54">
        <f>S_binomial[[#This Row],[Indeks (base 0)]]+1</f>
        <v>467</v>
      </c>
      <c r="AG479" s="99">
        <f t="shared" si="77"/>
        <v>5</v>
      </c>
      <c r="AH479" s="99">
        <f>IF(MOD(S_binomial[[#This Row],[Indeks (base 0)]],AF$7)=0,NA(),_xlfn.BINOM.DIST(S_binomial[[#This Row],[X base]],E$5,E$6,FALSE))</f>
        <v>0.39515869478400001</v>
      </c>
      <c r="AI479" s="99" t="b">
        <f>S_binomial[[#This Row],[X base]]&lt;AF$5</f>
        <v>0</v>
      </c>
      <c r="AJ479" s="99" t="b">
        <f>S_binomial[[#This Row],[X base]]=AF$5</f>
        <v>1</v>
      </c>
      <c r="AK479" s="99" t="b">
        <f>S_binomial[[#This Row],[X base]]&gt;AF$5</f>
        <v>0</v>
      </c>
      <c r="AL479" s="99" t="e">
        <f>IF(S_binomial[[#This Row],[Mindre end]],S_binomial[[#This Row],[Binomialfordeling]],NA())</f>
        <v>#N/A</v>
      </c>
      <c r="AM479" s="99">
        <f>IF(S_binomial[[#This Row],[Lig med]],S_binomial[[#This Row],[Binomialfordeling]],NA())</f>
        <v>0.39515869478400001</v>
      </c>
      <c r="AN479" s="99" t="e">
        <f>IF(S_binomial[[#This Row],[Større end]],S_binomial[[#This Row],[Binomialfordeling]],NA())</f>
        <v>#N/A</v>
      </c>
      <c r="AO479" s="85" t="str">
        <f>_xlfn.IFNA(IF(MOD(S_binomial[[#This Row],[Indeks (base 0)]],AF$7)=ROUNDDOWN(AF$7/2,0),S_binomial[[#This Row],[X base]],""),"")</f>
        <v/>
      </c>
      <c r="AP479" s="99" t="str">
        <f t="shared" si="78"/>
        <v xml:space="preserve"> </v>
      </c>
      <c r="AR479" s="54">
        <f t="shared" si="73"/>
        <v>466</v>
      </c>
      <c r="AS479" s="54">
        <f>S_normal27[[#This Row],[Indeks (base 0)]]+1</f>
        <v>467</v>
      </c>
      <c r="AT479" s="54">
        <f t="shared" si="75"/>
        <v>7</v>
      </c>
      <c r="AU479" s="54">
        <f>IF(MOD(S_normal27[[#This Row],[Indeks (base 0)]],AS$8)=0,NA(),_xlfn.POISSON.DIST(S_normal27[[#This Row],[X base]],$H$5,FALSE))</f>
        <v>2.1604031452483807E-2</v>
      </c>
      <c r="AV479" s="99" t="b">
        <f>S_normal27[[#This Row],[X base]]&lt;AS$5</f>
        <v>0</v>
      </c>
      <c r="AW479" s="99" t="b">
        <f>S_normal27[[#This Row],[X base]]=AS$5</f>
        <v>0</v>
      </c>
      <c r="AX479" s="99" t="b">
        <f>S_normal27[[#This Row],[X base]]&gt;AS$5</f>
        <v>1</v>
      </c>
      <c r="AY479" s="99" t="e">
        <f>IF(S_normal27[[#This Row],[Mindre end]],S_normal27[[#This Row],[Poissonfordeling]],NA())</f>
        <v>#N/A</v>
      </c>
      <c r="AZ479" s="99" t="e">
        <f>IF(S_normal27[[#This Row],[Lig med]],S_normal27[[#This Row],[Poissonfordeling]],NA())</f>
        <v>#N/A</v>
      </c>
      <c r="BA479" s="99">
        <f>IF(S_normal27[[#This Row],[Større end]],S_normal27[[#This Row],[Poissonfordeling]],NA())</f>
        <v>2.1604031452483807E-2</v>
      </c>
      <c r="BB479" s="85" t="str">
        <f>_xlfn.IFNA(IF(MOD(S_normal27[[#This Row],[Indeks (base 0)]],AS$8)=ROUNDDOWN(AS$8/2,0),S_normal27[[#This Row],[X base]],""),"")</f>
        <v/>
      </c>
      <c r="BC479" s="99" t="str">
        <f t="shared" si="74"/>
        <v xml:space="preserve"> </v>
      </c>
    </row>
    <row r="480" spans="31:55" x14ac:dyDescent="0.2">
      <c r="AE480" s="54">
        <f t="shared" si="76"/>
        <v>467</v>
      </c>
      <c r="AF480" s="54">
        <f>S_binomial[[#This Row],[Indeks (base 0)]]+1</f>
        <v>468</v>
      </c>
      <c r="AG480" s="99">
        <f t="shared" si="77"/>
        <v>5</v>
      </c>
      <c r="AH480" s="99">
        <f>IF(MOD(S_binomial[[#This Row],[Indeks (base 0)]],AF$7)=0,NA(),_xlfn.BINOM.DIST(S_binomial[[#This Row],[X base]],E$5,E$6,FALSE))</f>
        <v>0.39515869478400001</v>
      </c>
      <c r="AI480" s="99" t="b">
        <f>S_binomial[[#This Row],[X base]]&lt;AF$5</f>
        <v>0</v>
      </c>
      <c r="AJ480" s="99" t="b">
        <f>S_binomial[[#This Row],[X base]]=AF$5</f>
        <v>1</v>
      </c>
      <c r="AK480" s="99" t="b">
        <f>S_binomial[[#This Row],[X base]]&gt;AF$5</f>
        <v>0</v>
      </c>
      <c r="AL480" s="99" t="e">
        <f>IF(S_binomial[[#This Row],[Mindre end]],S_binomial[[#This Row],[Binomialfordeling]],NA())</f>
        <v>#N/A</v>
      </c>
      <c r="AM480" s="99">
        <f>IF(S_binomial[[#This Row],[Lig med]],S_binomial[[#This Row],[Binomialfordeling]],NA())</f>
        <v>0.39515869478400001</v>
      </c>
      <c r="AN480" s="99" t="e">
        <f>IF(S_binomial[[#This Row],[Større end]],S_binomial[[#This Row],[Binomialfordeling]],NA())</f>
        <v>#N/A</v>
      </c>
      <c r="AO480" s="85" t="str">
        <f>_xlfn.IFNA(IF(MOD(S_binomial[[#This Row],[Indeks (base 0)]],AF$7)=ROUNDDOWN(AF$7/2,0),S_binomial[[#This Row],[X base]],""),"")</f>
        <v/>
      </c>
      <c r="AP480" s="99" t="str">
        <f t="shared" si="78"/>
        <v xml:space="preserve"> </v>
      </c>
      <c r="AR480" s="54">
        <f t="shared" si="73"/>
        <v>467</v>
      </c>
      <c r="AS480" s="54">
        <f>S_normal27[[#This Row],[Indeks (base 0)]]+1</f>
        <v>468</v>
      </c>
      <c r="AT480" s="54">
        <f t="shared" si="75"/>
        <v>7</v>
      </c>
      <c r="AU480" s="54">
        <f>IF(MOD(S_normal27[[#This Row],[Indeks (base 0)]],AS$8)=0,NA(),_xlfn.POISSON.DIST(S_normal27[[#This Row],[X base]],$H$5,FALSE))</f>
        <v>2.1604031452483807E-2</v>
      </c>
      <c r="AV480" s="99" t="b">
        <f>S_normal27[[#This Row],[X base]]&lt;AS$5</f>
        <v>0</v>
      </c>
      <c r="AW480" s="99" t="b">
        <f>S_normal27[[#This Row],[X base]]=AS$5</f>
        <v>0</v>
      </c>
      <c r="AX480" s="99" t="b">
        <f>S_normal27[[#This Row],[X base]]&gt;AS$5</f>
        <v>1</v>
      </c>
      <c r="AY480" s="99" t="e">
        <f>IF(S_normal27[[#This Row],[Mindre end]],S_normal27[[#This Row],[Poissonfordeling]],NA())</f>
        <v>#N/A</v>
      </c>
      <c r="AZ480" s="99" t="e">
        <f>IF(S_normal27[[#This Row],[Lig med]],S_normal27[[#This Row],[Poissonfordeling]],NA())</f>
        <v>#N/A</v>
      </c>
      <c r="BA480" s="99">
        <f>IF(S_normal27[[#This Row],[Større end]],S_normal27[[#This Row],[Poissonfordeling]],NA())</f>
        <v>2.1604031452483807E-2</v>
      </c>
      <c r="BB480" s="85" t="str">
        <f>_xlfn.IFNA(IF(MOD(S_normal27[[#This Row],[Indeks (base 0)]],AS$8)=ROUNDDOWN(AS$8/2,0),S_normal27[[#This Row],[X base]],""),"")</f>
        <v/>
      </c>
      <c r="BC480" s="99" t="str">
        <f t="shared" si="74"/>
        <v xml:space="preserve"> </v>
      </c>
    </row>
    <row r="481" spans="31:55" x14ac:dyDescent="0.2">
      <c r="AE481" s="54">
        <f t="shared" si="76"/>
        <v>468</v>
      </c>
      <c r="AF481" s="54">
        <f>S_binomial[[#This Row],[Indeks (base 0)]]+1</f>
        <v>469</v>
      </c>
      <c r="AG481" s="99">
        <f t="shared" si="77"/>
        <v>5</v>
      </c>
      <c r="AH481" s="99">
        <f>IF(MOD(S_binomial[[#This Row],[Indeks (base 0)]],AF$7)=0,NA(),_xlfn.BINOM.DIST(S_binomial[[#This Row],[X base]],E$5,E$6,FALSE))</f>
        <v>0.39515869478400001</v>
      </c>
      <c r="AI481" s="99" t="b">
        <f>S_binomial[[#This Row],[X base]]&lt;AF$5</f>
        <v>0</v>
      </c>
      <c r="AJ481" s="99" t="b">
        <f>S_binomial[[#This Row],[X base]]=AF$5</f>
        <v>1</v>
      </c>
      <c r="AK481" s="99" t="b">
        <f>S_binomial[[#This Row],[X base]]&gt;AF$5</f>
        <v>0</v>
      </c>
      <c r="AL481" s="99" t="e">
        <f>IF(S_binomial[[#This Row],[Mindre end]],S_binomial[[#This Row],[Binomialfordeling]],NA())</f>
        <v>#N/A</v>
      </c>
      <c r="AM481" s="99">
        <f>IF(S_binomial[[#This Row],[Lig med]],S_binomial[[#This Row],[Binomialfordeling]],NA())</f>
        <v>0.39515869478400001</v>
      </c>
      <c r="AN481" s="99" t="e">
        <f>IF(S_binomial[[#This Row],[Større end]],S_binomial[[#This Row],[Binomialfordeling]],NA())</f>
        <v>#N/A</v>
      </c>
      <c r="AO481" s="85" t="str">
        <f>_xlfn.IFNA(IF(MOD(S_binomial[[#This Row],[Indeks (base 0)]],AF$7)=ROUNDDOWN(AF$7/2,0),S_binomial[[#This Row],[X base]],""),"")</f>
        <v/>
      </c>
      <c r="AP481" s="99" t="str">
        <f t="shared" si="78"/>
        <v xml:space="preserve"> </v>
      </c>
      <c r="AR481" s="54">
        <f t="shared" si="73"/>
        <v>468</v>
      </c>
      <c r="AS481" s="54">
        <f>S_normal27[[#This Row],[Indeks (base 0)]]+1</f>
        <v>469</v>
      </c>
      <c r="AT481" s="54">
        <f t="shared" si="75"/>
        <v>7</v>
      </c>
      <c r="AU481" s="54">
        <f>IF(MOD(S_normal27[[#This Row],[Indeks (base 0)]],AS$8)=0,NA(),_xlfn.POISSON.DIST(S_normal27[[#This Row],[X base]],$H$5,FALSE))</f>
        <v>2.1604031452483807E-2</v>
      </c>
      <c r="AV481" s="99" t="b">
        <f>S_normal27[[#This Row],[X base]]&lt;AS$5</f>
        <v>0</v>
      </c>
      <c r="AW481" s="99" t="b">
        <f>S_normal27[[#This Row],[X base]]=AS$5</f>
        <v>0</v>
      </c>
      <c r="AX481" s="99" t="b">
        <f>S_normal27[[#This Row],[X base]]&gt;AS$5</f>
        <v>1</v>
      </c>
      <c r="AY481" s="99" t="e">
        <f>IF(S_normal27[[#This Row],[Mindre end]],S_normal27[[#This Row],[Poissonfordeling]],NA())</f>
        <v>#N/A</v>
      </c>
      <c r="AZ481" s="99" t="e">
        <f>IF(S_normal27[[#This Row],[Lig med]],S_normal27[[#This Row],[Poissonfordeling]],NA())</f>
        <v>#N/A</v>
      </c>
      <c r="BA481" s="99">
        <f>IF(S_normal27[[#This Row],[Større end]],S_normal27[[#This Row],[Poissonfordeling]],NA())</f>
        <v>2.1604031452483807E-2</v>
      </c>
      <c r="BB481" s="85" t="str">
        <f>_xlfn.IFNA(IF(MOD(S_normal27[[#This Row],[Indeks (base 0)]],AS$8)=ROUNDDOWN(AS$8/2,0),S_normal27[[#This Row],[X base]],""),"")</f>
        <v/>
      </c>
      <c r="BC481" s="99" t="str">
        <f t="shared" si="74"/>
        <v xml:space="preserve"> </v>
      </c>
    </row>
    <row r="482" spans="31:55" x14ac:dyDescent="0.2">
      <c r="AE482" s="54">
        <f t="shared" si="76"/>
        <v>469</v>
      </c>
      <c r="AF482" s="54">
        <f>S_binomial[[#This Row],[Indeks (base 0)]]+1</f>
        <v>470</v>
      </c>
      <c r="AG482" s="99">
        <f t="shared" si="77"/>
        <v>5</v>
      </c>
      <c r="AH482" s="99">
        <f>IF(MOD(S_binomial[[#This Row],[Indeks (base 0)]],AF$7)=0,NA(),_xlfn.BINOM.DIST(S_binomial[[#This Row],[X base]],E$5,E$6,FALSE))</f>
        <v>0.39515869478400001</v>
      </c>
      <c r="AI482" s="99" t="b">
        <f>S_binomial[[#This Row],[X base]]&lt;AF$5</f>
        <v>0</v>
      </c>
      <c r="AJ482" s="99" t="b">
        <f>S_binomial[[#This Row],[X base]]=AF$5</f>
        <v>1</v>
      </c>
      <c r="AK482" s="99" t="b">
        <f>S_binomial[[#This Row],[X base]]&gt;AF$5</f>
        <v>0</v>
      </c>
      <c r="AL482" s="99" t="e">
        <f>IF(S_binomial[[#This Row],[Mindre end]],S_binomial[[#This Row],[Binomialfordeling]],NA())</f>
        <v>#N/A</v>
      </c>
      <c r="AM482" s="99">
        <f>IF(S_binomial[[#This Row],[Lig med]],S_binomial[[#This Row],[Binomialfordeling]],NA())</f>
        <v>0.39515869478400001</v>
      </c>
      <c r="AN482" s="99" t="e">
        <f>IF(S_binomial[[#This Row],[Større end]],S_binomial[[#This Row],[Binomialfordeling]],NA())</f>
        <v>#N/A</v>
      </c>
      <c r="AO482" s="85" t="str">
        <f>_xlfn.IFNA(IF(MOD(S_binomial[[#This Row],[Indeks (base 0)]],AF$7)=ROUNDDOWN(AF$7/2,0),S_binomial[[#This Row],[X base]],""),"")</f>
        <v/>
      </c>
      <c r="AP482" s="99" t="str">
        <f t="shared" si="78"/>
        <v xml:space="preserve"> </v>
      </c>
      <c r="AR482" s="54">
        <f t="shared" si="73"/>
        <v>469</v>
      </c>
      <c r="AS482" s="54">
        <f>S_normal27[[#This Row],[Indeks (base 0)]]+1</f>
        <v>470</v>
      </c>
      <c r="AT482" s="54">
        <f t="shared" si="75"/>
        <v>7</v>
      </c>
      <c r="AU482" s="54">
        <f>IF(MOD(S_normal27[[#This Row],[Indeks (base 0)]],AS$8)=0,NA(),_xlfn.POISSON.DIST(S_normal27[[#This Row],[X base]],$H$5,FALSE))</f>
        <v>2.1604031452483807E-2</v>
      </c>
      <c r="AV482" s="99" t="b">
        <f>S_normal27[[#This Row],[X base]]&lt;AS$5</f>
        <v>0</v>
      </c>
      <c r="AW482" s="99" t="b">
        <f>S_normal27[[#This Row],[X base]]=AS$5</f>
        <v>0</v>
      </c>
      <c r="AX482" s="99" t="b">
        <f>S_normal27[[#This Row],[X base]]&gt;AS$5</f>
        <v>1</v>
      </c>
      <c r="AY482" s="99" t="e">
        <f>IF(S_normal27[[#This Row],[Mindre end]],S_normal27[[#This Row],[Poissonfordeling]],NA())</f>
        <v>#N/A</v>
      </c>
      <c r="AZ482" s="99" t="e">
        <f>IF(S_normal27[[#This Row],[Lig med]],S_normal27[[#This Row],[Poissonfordeling]],NA())</f>
        <v>#N/A</v>
      </c>
      <c r="BA482" s="99">
        <f>IF(S_normal27[[#This Row],[Større end]],S_normal27[[#This Row],[Poissonfordeling]],NA())</f>
        <v>2.1604031452483807E-2</v>
      </c>
      <c r="BB482" s="85" t="str">
        <f>_xlfn.IFNA(IF(MOD(S_normal27[[#This Row],[Indeks (base 0)]],AS$8)=ROUNDDOWN(AS$8/2,0),S_normal27[[#This Row],[X base]],""),"")</f>
        <v/>
      </c>
      <c r="BC482" s="99" t="str">
        <f t="shared" si="74"/>
        <v xml:space="preserve"> </v>
      </c>
    </row>
    <row r="483" spans="31:55" x14ac:dyDescent="0.2">
      <c r="AE483" s="54">
        <f t="shared" si="76"/>
        <v>470</v>
      </c>
      <c r="AF483" s="54">
        <f>S_binomial[[#This Row],[Indeks (base 0)]]+1</f>
        <v>471</v>
      </c>
      <c r="AG483" s="99">
        <f t="shared" si="77"/>
        <v>5</v>
      </c>
      <c r="AH483" s="99">
        <f>IF(MOD(S_binomial[[#This Row],[Indeks (base 0)]],AF$7)=0,NA(),_xlfn.BINOM.DIST(S_binomial[[#This Row],[X base]],E$5,E$6,FALSE))</f>
        <v>0.39515869478400001</v>
      </c>
      <c r="AI483" s="99" t="b">
        <f>S_binomial[[#This Row],[X base]]&lt;AF$5</f>
        <v>0</v>
      </c>
      <c r="AJ483" s="99" t="b">
        <f>S_binomial[[#This Row],[X base]]=AF$5</f>
        <v>1</v>
      </c>
      <c r="AK483" s="99" t="b">
        <f>S_binomial[[#This Row],[X base]]&gt;AF$5</f>
        <v>0</v>
      </c>
      <c r="AL483" s="99" t="e">
        <f>IF(S_binomial[[#This Row],[Mindre end]],S_binomial[[#This Row],[Binomialfordeling]],NA())</f>
        <v>#N/A</v>
      </c>
      <c r="AM483" s="99">
        <f>IF(S_binomial[[#This Row],[Lig med]],S_binomial[[#This Row],[Binomialfordeling]],NA())</f>
        <v>0.39515869478400001</v>
      </c>
      <c r="AN483" s="99" t="e">
        <f>IF(S_binomial[[#This Row],[Større end]],S_binomial[[#This Row],[Binomialfordeling]],NA())</f>
        <v>#N/A</v>
      </c>
      <c r="AO483" s="85" t="str">
        <f>_xlfn.IFNA(IF(MOD(S_binomial[[#This Row],[Indeks (base 0)]],AF$7)=ROUNDDOWN(AF$7/2,0),S_binomial[[#This Row],[X base]],""),"")</f>
        <v/>
      </c>
      <c r="AP483" s="99" t="str">
        <f t="shared" si="78"/>
        <v xml:space="preserve"> </v>
      </c>
      <c r="AR483" s="54">
        <f t="shared" si="73"/>
        <v>470</v>
      </c>
      <c r="AS483" s="54">
        <f>S_normal27[[#This Row],[Indeks (base 0)]]+1</f>
        <v>471</v>
      </c>
      <c r="AT483" s="54">
        <f t="shared" si="75"/>
        <v>7</v>
      </c>
      <c r="AU483" s="54">
        <f>IF(MOD(S_normal27[[#This Row],[Indeks (base 0)]],AS$8)=0,NA(),_xlfn.POISSON.DIST(S_normal27[[#This Row],[X base]],$H$5,FALSE))</f>
        <v>2.1604031452483807E-2</v>
      </c>
      <c r="AV483" s="99" t="b">
        <f>S_normal27[[#This Row],[X base]]&lt;AS$5</f>
        <v>0</v>
      </c>
      <c r="AW483" s="99" t="b">
        <f>S_normal27[[#This Row],[X base]]=AS$5</f>
        <v>0</v>
      </c>
      <c r="AX483" s="99" t="b">
        <f>S_normal27[[#This Row],[X base]]&gt;AS$5</f>
        <v>1</v>
      </c>
      <c r="AY483" s="99" t="e">
        <f>IF(S_normal27[[#This Row],[Mindre end]],S_normal27[[#This Row],[Poissonfordeling]],NA())</f>
        <v>#N/A</v>
      </c>
      <c r="AZ483" s="99" t="e">
        <f>IF(S_normal27[[#This Row],[Lig med]],S_normal27[[#This Row],[Poissonfordeling]],NA())</f>
        <v>#N/A</v>
      </c>
      <c r="BA483" s="99">
        <f>IF(S_normal27[[#This Row],[Større end]],S_normal27[[#This Row],[Poissonfordeling]],NA())</f>
        <v>2.1604031452483807E-2</v>
      </c>
      <c r="BB483" s="85" t="str">
        <f>_xlfn.IFNA(IF(MOD(S_normal27[[#This Row],[Indeks (base 0)]],AS$8)=ROUNDDOWN(AS$8/2,0),S_normal27[[#This Row],[X base]],""),"")</f>
        <v/>
      </c>
      <c r="BC483" s="99" t="str">
        <f t="shared" si="74"/>
        <v xml:space="preserve"> </v>
      </c>
    </row>
    <row r="484" spans="31:55" x14ac:dyDescent="0.2">
      <c r="AE484" s="54">
        <f t="shared" si="76"/>
        <v>471</v>
      </c>
      <c r="AF484" s="54">
        <f>S_binomial[[#This Row],[Indeks (base 0)]]+1</f>
        <v>472</v>
      </c>
      <c r="AG484" s="99">
        <f t="shared" si="77"/>
        <v>5</v>
      </c>
      <c r="AH484" s="99">
        <f>IF(MOD(S_binomial[[#This Row],[Indeks (base 0)]],AF$7)=0,NA(),_xlfn.BINOM.DIST(S_binomial[[#This Row],[X base]],E$5,E$6,FALSE))</f>
        <v>0.39515869478400001</v>
      </c>
      <c r="AI484" s="99" t="b">
        <f>S_binomial[[#This Row],[X base]]&lt;AF$5</f>
        <v>0</v>
      </c>
      <c r="AJ484" s="99" t="b">
        <f>S_binomial[[#This Row],[X base]]=AF$5</f>
        <v>1</v>
      </c>
      <c r="AK484" s="99" t="b">
        <f>S_binomial[[#This Row],[X base]]&gt;AF$5</f>
        <v>0</v>
      </c>
      <c r="AL484" s="99" t="e">
        <f>IF(S_binomial[[#This Row],[Mindre end]],S_binomial[[#This Row],[Binomialfordeling]],NA())</f>
        <v>#N/A</v>
      </c>
      <c r="AM484" s="99">
        <f>IF(S_binomial[[#This Row],[Lig med]],S_binomial[[#This Row],[Binomialfordeling]],NA())</f>
        <v>0.39515869478400001</v>
      </c>
      <c r="AN484" s="99" t="e">
        <f>IF(S_binomial[[#This Row],[Større end]],S_binomial[[#This Row],[Binomialfordeling]],NA())</f>
        <v>#N/A</v>
      </c>
      <c r="AO484" s="85" t="str">
        <f>_xlfn.IFNA(IF(MOD(S_binomial[[#This Row],[Indeks (base 0)]],AF$7)=ROUNDDOWN(AF$7/2,0),S_binomial[[#This Row],[X base]],""),"")</f>
        <v/>
      </c>
      <c r="AP484" s="99" t="str">
        <f t="shared" si="78"/>
        <v xml:space="preserve"> </v>
      </c>
      <c r="AR484" s="54">
        <f t="shared" si="73"/>
        <v>471</v>
      </c>
      <c r="AS484" s="54">
        <f>S_normal27[[#This Row],[Indeks (base 0)]]+1</f>
        <v>472</v>
      </c>
      <c r="AT484" s="54">
        <f t="shared" si="75"/>
        <v>7</v>
      </c>
      <c r="AU484" s="54">
        <f>IF(MOD(S_normal27[[#This Row],[Indeks (base 0)]],AS$8)=0,NA(),_xlfn.POISSON.DIST(S_normal27[[#This Row],[X base]],$H$5,FALSE))</f>
        <v>2.1604031452483807E-2</v>
      </c>
      <c r="AV484" s="99" t="b">
        <f>S_normal27[[#This Row],[X base]]&lt;AS$5</f>
        <v>0</v>
      </c>
      <c r="AW484" s="99" t="b">
        <f>S_normal27[[#This Row],[X base]]=AS$5</f>
        <v>0</v>
      </c>
      <c r="AX484" s="99" t="b">
        <f>S_normal27[[#This Row],[X base]]&gt;AS$5</f>
        <v>1</v>
      </c>
      <c r="AY484" s="99" t="e">
        <f>IF(S_normal27[[#This Row],[Mindre end]],S_normal27[[#This Row],[Poissonfordeling]],NA())</f>
        <v>#N/A</v>
      </c>
      <c r="AZ484" s="99" t="e">
        <f>IF(S_normal27[[#This Row],[Lig med]],S_normal27[[#This Row],[Poissonfordeling]],NA())</f>
        <v>#N/A</v>
      </c>
      <c r="BA484" s="99">
        <f>IF(S_normal27[[#This Row],[Større end]],S_normal27[[#This Row],[Poissonfordeling]],NA())</f>
        <v>2.1604031452483807E-2</v>
      </c>
      <c r="BB484" s="85" t="str">
        <f>_xlfn.IFNA(IF(MOD(S_normal27[[#This Row],[Indeks (base 0)]],AS$8)=ROUNDDOWN(AS$8/2,0),S_normal27[[#This Row],[X base]],""),"")</f>
        <v/>
      </c>
      <c r="BC484" s="99" t="str">
        <f t="shared" si="74"/>
        <v xml:space="preserve"> </v>
      </c>
    </row>
    <row r="485" spans="31:55" x14ac:dyDescent="0.2">
      <c r="AE485" s="54">
        <f t="shared" si="76"/>
        <v>472</v>
      </c>
      <c r="AF485" s="54">
        <f>S_binomial[[#This Row],[Indeks (base 0)]]+1</f>
        <v>473</v>
      </c>
      <c r="AG485" s="99">
        <f t="shared" si="77"/>
        <v>5</v>
      </c>
      <c r="AH485" s="99">
        <f>IF(MOD(S_binomial[[#This Row],[Indeks (base 0)]],AF$7)=0,NA(),_xlfn.BINOM.DIST(S_binomial[[#This Row],[X base]],E$5,E$6,FALSE))</f>
        <v>0.39515869478400001</v>
      </c>
      <c r="AI485" s="99" t="b">
        <f>S_binomial[[#This Row],[X base]]&lt;AF$5</f>
        <v>0</v>
      </c>
      <c r="AJ485" s="99" t="b">
        <f>S_binomial[[#This Row],[X base]]=AF$5</f>
        <v>1</v>
      </c>
      <c r="AK485" s="99" t="b">
        <f>S_binomial[[#This Row],[X base]]&gt;AF$5</f>
        <v>0</v>
      </c>
      <c r="AL485" s="99" t="e">
        <f>IF(S_binomial[[#This Row],[Mindre end]],S_binomial[[#This Row],[Binomialfordeling]],NA())</f>
        <v>#N/A</v>
      </c>
      <c r="AM485" s="99">
        <f>IF(S_binomial[[#This Row],[Lig med]],S_binomial[[#This Row],[Binomialfordeling]],NA())</f>
        <v>0.39515869478400001</v>
      </c>
      <c r="AN485" s="99" t="e">
        <f>IF(S_binomial[[#This Row],[Større end]],S_binomial[[#This Row],[Binomialfordeling]],NA())</f>
        <v>#N/A</v>
      </c>
      <c r="AO485" s="85" t="str">
        <f>_xlfn.IFNA(IF(MOD(S_binomial[[#This Row],[Indeks (base 0)]],AF$7)=ROUNDDOWN(AF$7/2,0),S_binomial[[#This Row],[X base]],""),"")</f>
        <v/>
      </c>
      <c r="AP485" s="99" t="str">
        <f t="shared" si="78"/>
        <v xml:space="preserve"> </v>
      </c>
      <c r="AR485" s="54">
        <f t="shared" si="73"/>
        <v>472</v>
      </c>
      <c r="AS485" s="54">
        <f>S_normal27[[#This Row],[Indeks (base 0)]]+1</f>
        <v>473</v>
      </c>
      <c r="AT485" s="54">
        <f t="shared" si="75"/>
        <v>7</v>
      </c>
      <c r="AU485" s="54">
        <f>IF(MOD(S_normal27[[#This Row],[Indeks (base 0)]],AS$8)=0,NA(),_xlfn.POISSON.DIST(S_normal27[[#This Row],[X base]],$H$5,FALSE))</f>
        <v>2.1604031452483807E-2</v>
      </c>
      <c r="AV485" s="99" t="b">
        <f>S_normal27[[#This Row],[X base]]&lt;AS$5</f>
        <v>0</v>
      </c>
      <c r="AW485" s="99" t="b">
        <f>S_normal27[[#This Row],[X base]]=AS$5</f>
        <v>0</v>
      </c>
      <c r="AX485" s="99" t="b">
        <f>S_normal27[[#This Row],[X base]]&gt;AS$5</f>
        <v>1</v>
      </c>
      <c r="AY485" s="99" t="e">
        <f>IF(S_normal27[[#This Row],[Mindre end]],S_normal27[[#This Row],[Poissonfordeling]],NA())</f>
        <v>#N/A</v>
      </c>
      <c r="AZ485" s="99" t="e">
        <f>IF(S_normal27[[#This Row],[Lig med]],S_normal27[[#This Row],[Poissonfordeling]],NA())</f>
        <v>#N/A</v>
      </c>
      <c r="BA485" s="99">
        <f>IF(S_normal27[[#This Row],[Større end]],S_normal27[[#This Row],[Poissonfordeling]],NA())</f>
        <v>2.1604031452483807E-2</v>
      </c>
      <c r="BB485" s="85" t="str">
        <f>_xlfn.IFNA(IF(MOD(S_normal27[[#This Row],[Indeks (base 0)]],AS$8)=ROUNDDOWN(AS$8/2,0),S_normal27[[#This Row],[X base]],""),"")</f>
        <v/>
      </c>
      <c r="BC485" s="99" t="str">
        <f t="shared" si="74"/>
        <v xml:space="preserve"> </v>
      </c>
    </row>
    <row r="486" spans="31:55" x14ac:dyDescent="0.2">
      <c r="AE486" s="54">
        <f t="shared" si="76"/>
        <v>473</v>
      </c>
      <c r="AF486" s="54">
        <f>S_binomial[[#This Row],[Indeks (base 0)]]+1</f>
        <v>474</v>
      </c>
      <c r="AG486" s="99">
        <f t="shared" si="77"/>
        <v>5</v>
      </c>
      <c r="AH486" s="99">
        <f>IF(MOD(S_binomial[[#This Row],[Indeks (base 0)]],AF$7)=0,NA(),_xlfn.BINOM.DIST(S_binomial[[#This Row],[X base]],E$5,E$6,FALSE))</f>
        <v>0.39515869478400001</v>
      </c>
      <c r="AI486" s="99" t="b">
        <f>S_binomial[[#This Row],[X base]]&lt;AF$5</f>
        <v>0</v>
      </c>
      <c r="AJ486" s="99" t="b">
        <f>S_binomial[[#This Row],[X base]]=AF$5</f>
        <v>1</v>
      </c>
      <c r="AK486" s="99" t="b">
        <f>S_binomial[[#This Row],[X base]]&gt;AF$5</f>
        <v>0</v>
      </c>
      <c r="AL486" s="99" t="e">
        <f>IF(S_binomial[[#This Row],[Mindre end]],S_binomial[[#This Row],[Binomialfordeling]],NA())</f>
        <v>#N/A</v>
      </c>
      <c r="AM486" s="99">
        <f>IF(S_binomial[[#This Row],[Lig med]],S_binomial[[#This Row],[Binomialfordeling]],NA())</f>
        <v>0.39515869478400001</v>
      </c>
      <c r="AN486" s="99" t="e">
        <f>IF(S_binomial[[#This Row],[Større end]],S_binomial[[#This Row],[Binomialfordeling]],NA())</f>
        <v>#N/A</v>
      </c>
      <c r="AO486" s="85" t="str">
        <f>_xlfn.IFNA(IF(MOD(S_binomial[[#This Row],[Indeks (base 0)]],AF$7)=ROUNDDOWN(AF$7/2,0),S_binomial[[#This Row],[X base]],""),"")</f>
        <v/>
      </c>
      <c r="AP486" s="99" t="str">
        <f t="shared" si="78"/>
        <v xml:space="preserve"> </v>
      </c>
      <c r="AR486" s="54">
        <f t="shared" si="73"/>
        <v>473</v>
      </c>
      <c r="AS486" s="54">
        <f>S_normal27[[#This Row],[Indeks (base 0)]]+1</f>
        <v>474</v>
      </c>
      <c r="AT486" s="54">
        <f t="shared" si="75"/>
        <v>7</v>
      </c>
      <c r="AU486" s="54">
        <f>IF(MOD(S_normal27[[#This Row],[Indeks (base 0)]],AS$8)=0,NA(),_xlfn.POISSON.DIST(S_normal27[[#This Row],[X base]],$H$5,FALSE))</f>
        <v>2.1604031452483807E-2</v>
      </c>
      <c r="AV486" s="99" t="b">
        <f>S_normal27[[#This Row],[X base]]&lt;AS$5</f>
        <v>0</v>
      </c>
      <c r="AW486" s="99" t="b">
        <f>S_normal27[[#This Row],[X base]]=AS$5</f>
        <v>0</v>
      </c>
      <c r="AX486" s="99" t="b">
        <f>S_normal27[[#This Row],[X base]]&gt;AS$5</f>
        <v>1</v>
      </c>
      <c r="AY486" s="99" t="e">
        <f>IF(S_normal27[[#This Row],[Mindre end]],S_normal27[[#This Row],[Poissonfordeling]],NA())</f>
        <v>#N/A</v>
      </c>
      <c r="AZ486" s="99" t="e">
        <f>IF(S_normal27[[#This Row],[Lig med]],S_normal27[[#This Row],[Poissonfordeling]],NA())</f>
        <v>#N/A</v>
      </c>
      <c r="BA486" s="99">
        <f>IF(S_normal27[[#This Row],[Større end]],S_normal27[[#This Row],[Poissonfordeling]],NA())</f>
        <v>2.1604031452483807E-2</v>
      </c>
      <c r="BB486" s="85" t="str">
        <f>_xlfn.IFNA(IF(MOD(S_normal27[[#This Row],[Indeks (base 0)]],AS$8)=ROUNDDOWN(AS$8/2,0),S_normal27[[#This Row],[X base]],""),"")</f>
        <v/>
      </c>
      <c r="BC486" s="99" t="str">
        <f t="shared" si="74"/>
        <v xml:space="preserve"> </v>
      </c>
    </row>
    <row r="487" spans="31:55" x14ac:dyDescent="0.2">
      <c r="AE487" s="54">
        <f t="shared" si="76"/>
        <v>474</v>
      </c>
      <c r="AF487" s="54">
        <f>S_binomial[[#This Row],[Indeks (base 0)]]+1</f>
        <v>475</v>
      </c>
      <c r="AG487" s="99">
        <f t="shared" si="77"/>
        <v>5</v>
      </c>
      <c r="AH487" s="99">
        <f>IF(MOD(S_binomial[[#This Row],[Indeks (base 0)]],AF$7)=0,NA(),_xlfn.BINOM.DIST(S_binomial[[#This Row],[X base]],E$5,E$6,FALSE))</f>
        <v>0.39515869478400001</v>
      </c>
      <c r="AI487" s="99" t="b">
        <f>S_binomial[[#This Row],[X base]]&lt;AF$5</f>
        <v>0</v>
      </c>
      <c r="AJ487" s="99" t="b">
        <f>S_binomial[[#This Row],[X base]]=AF$5</f>
        <v>1</v>
      </c>
      <c r="AK487" s="99" t="b">
        <f>S_binomial[[#This Row],[X base]]&gt;AF$5</f>
        <v>0</v>
      </c>
      <c r="AL487" s="99" t="e">
        <f>IF(S_binomial[[#This Row],[Mindre end]],S_binomial[[#This Row],[Binomialfordeling]],NA())</f>
        <v>#N/A</v>
      </c>
      <c r="AM487" s="99">
        <f>IF(S_binomial[[#This Row],[Lig med]],S_binomial[[#This Row],[Binomialfordeling]],NA())</f>
        <v>0.39515869478400001</v>
      </c>
      <c r="AN487" s="99" t="e">
        <f>IF(S_binomial[[#This Row],[Større end]],S_binomial[[#This Row],[Binomialfordeling]],NA())</f>
        <v>#N/A</v>
      </c>
      <c r="AO487" s="85" t="str">
        <f>_xlfn.IFNA(IF(MOD(S_binomial[[#This Row],[Indeks (base 0)]],AF$7)=ROUNDDOWN(AF$7/2,0),S_binomial[[#This Row],[X base]],""),"")</f>
        <v/>
      </c>
      <c r="AP487" s="99" t="str">
        <f t="shared" si="78"/>
        <v xml:space="preserve"> </v>
      </c>
      <c r="AR487" s="54">
        <f t="shared" si="73"/>
        <v>474</v>
      </c>
      <c r="AS487" s="54">
        <f>S_normal27[[#This Row],[Indeks (base 0)]]+1</f>
        <v>475</v>
      </c>
      <c r="AT487" s="54">
        <f t="shared" si="75"/>
        <v>7</v>
      </c>
      <c r="AU487" s="54">
        <f>IF(MOD(S_normal27[[#This Row],[Indeks (base 0)]],AS$8)=0,NA(),_xlfn.POISSON.DIST(S_normal27[[#This Row],[X base]],$H$5,FALSE))</f>
        <v>2.1604031452483807E-2</v>
      </c>
      <c r="AV487" s="99" t="b">
        <f>S_normal27[[#This Row],[X base]]&lt;AS$5</f>
        <v>0</v>
      </c>
      <c r="AW487" s="99" t="b">
        <f>S_normal27[[#This Row],[X base]]=AS$5</f>
        <v>0</v>
      </c>
      <c r="AX487" s="99" t="b">
        <f>S_normal27[[#This Row],[X base]]&gt;AS$5</f>
        <v>1</v>
      </c>
      <c r="AY487" s="99" t="e">
        <f>IF(S_normal27[[#This Row],[Mindre end]],S_normal27[[#This Row],[Poissonfordeling]],NA())</f>
        <v>#N/A</v>
      </c>
      <c r="AZ487" s="99" t="e">
        <f>IF(S_normal27[[#This Row],[Lig med]],S_normal27[[#This Row],[Poissonfordeling]],NA())</f>
        <v>#N/A</v>
      </c>
      <c r="BA487" s="99">
        <f>IF(S_normal27[[#This Row],[Større end]],S_normal27[[#This Row],[Poissonfordeling]],NA())</f>
        <v>2.1604031452483807E-2</v>
      </c>
      <c r="BB487" s="85" t="str">
        <f>_xlfn.IFNA(IF(MOD(S_normal27[[#This Row],[Indeks (base 0)]],AS$8)=ROUNDDOWN(AS$8/2,0),S_normal27[[#This Row],[X base]],""),"")</f>
        <v/>
      </c>
      <c r="BC487" s="99" t="str">
        <f t="shared" si="74"/>
        <v xml:space="preserve"> </v>
      </c>
    </row>
    <row r="488" spans="31:55" x14ac:dyDescent="0.2">
      <c r="AE488" s="54">
        <f t="shared" si="76"/>
        <v>475</v>
      </c>
      <c r="AF488" s="54">
        <f>S_binomial[[#This Row],[Indeks (base 0)]]+1</f>
        <v>476</v>
      </c>
      <c r="AG488" s="99">
        <f t="shared" si="77"/>
        <v>5</v>
      </c>
      <c r="AH488" s="99">
        <f>IF(MOD(S_binomial[[#This Row],[Indeks (base 0)]],AF$7)=0,NA(),_xlfn.BINOM.DIST(S_binomial[[#This Row],[X base]],E$5,E$6,FALSE))</f>
        <v>0.39515869478400001</v>
      </c>
      <c r="AI488" s="99" t="b">
        <f>S_binomial[[#This Row],[X base]]&lt;AF$5</f>
        <v>0</v>
      </c>
      <c r="AJ488" s="99" t="b">
        <f>S_binomial[[#This Row],[X base]]=AF$5</f>
        <v>1</v>
      </c>
      <c r="AK488" s="99" t="b">
        <f>S_binomial[[#This Row],[X base]]&gt;AF$5</f>
        <v>0</v>
      </c>
      <c r="AL488" s="99" t="e">
        <f>IF(S_binomial[[#This Row],[Mindre end]],S_binomial[[#This Row],[Binomialfordeling]],NA())</f>
        <v>#N/A</v>
      </c>
      <c r="AM488" s="99">
        <f>IF(S_binomial[[#This Row],[Lig med]],S_binomial[[#This Row],[Binomialfordeling]],NA())</f>
        <v>0.39515869478400001</v>
      </c>
      <c r="AN488" s="99" t="e">
        <f>IF(S_binomial[[#This Row],[Større end]],S_binomial[[#This Row],[Binomialfordeling]],NA())</f>
        <v>#N/A</v>
      </c>
      <c r="AO488" s="85" t="str">
        <f>_xlfn.IFNA(IF(MOD(S_binomial[[#This Row],[Indeks (base 0)]],AF$7)=ROUNDDOWN(AF$7/2,0),S_binomial[[#This Row],[X base]],""),"")</f>
        <v/>
      </c>
      <c r="AP488" s="99" t="str">
        <f t="shared" si="78"/>
        <v xml:space="preserve"> </v>
      </c>
      <c r="AR488" s="54">
        <f t="shared" si="73"/>
        <v>475</v>
      </c>
      <c r="AS488" s="54">
        <f>S_normal27[[#This Row],[Indeks (base 0)]]+1</f>
        <v>476</v>
      </c>
      <c r="AT488" s="54">
        <f t="shared" si="75"/>
        <v>7</v>
      </c>
      <c r="AU488" s="54">
        <f>IF(MOD(S_normal27[[#This Row],[Indeks (base 0)]],AS$8)=0,NA(),_xlfn.POISSON.DIST(S_normal27[[#This Row],[X base]],$H$5,FALSE))</f>
        <v>2.1604031452483807E-2</v>
      </c>
      <c r="AV488" s="99" t="b">
        <f>S_normal27[[#This Row],[X base]]&lt;AS$5</f>
        <v>0</v>
      </c>
      <c r="AW488" s="99" t="b">
        <f>S_normal27[[#This Row],[X base]]=AS$5</f>
        <v>0</v>
      </c>
      <c r="AX488" s="99" t="b">
        <f>S_normal27[[#This Row],[X base]]&gt;AS$5</f>
        <v>1</v>
      </c>
      <c r="AY488" s="99" t="e">
        <f>IF(S_normal27[[#This Row],[Mindre end]],S_normal27[[#This Row],[Poissonfordeling]],NA())</f>
        <v>#N/A</v>
      </c>
      <c r="AZ488" s="99" t="e">
        <f>IF(S_normal27[[#This Row],[Lig med]],S_normal27[[#This Row],[Poissonfordeling]],NA())</f>
        <v>#N/A</v>
      </c>
      <c r="BA488" s="99">
        <f>IF(S_normal27[[#This Row],[Større end]],S_normal27[[#This Row],[Poissonfordeling]],NA())</f>
        <v>2.1604031452483807E-2</v>
      </c>
      <c r="BB488" s="85" t="str">
        <f>_xlfn.IFNA(IF(MOD(S_normal27[[#This Row],[Indeks (base 0)]],AS$8)=ROUNDDOWN(AS$8/2,0),S_normal27[[#This Row],[X base]],""),"")</f>
        <v/>
      </c>
      <c r="BC488" s="99" t="str">
        <f t="shared" si="74"/>
        <v xml:space="preserve"> </v>
      </c>
    </row>
    <row r="489" spans="31:55" x14ac:dyDescent="0.2">
      <c r="AE489" s="54">
        <f t="shared" si="76"/>
        <v>476</v>
      </c>
      <c r="AF489" s="54">
        <f>S_binomial[[#This Row],[Indeks (base 0)]]+1</f>
        <v>477</v>
      </c>
      <c r="AG489" s="99">
        <f t="shared" si="77"/>
        <v>5</v>
      </c>
      <c r="AH489" s="99">
        <f>IF(MOD(S_binomial[[#This Row],[Indeks (base 0)]],AF$7)=0,NA(),_xlfn.BINOM.DIST(S_binomial[[#This Row],[X base]],E$5,E$6,FALSE))</f>
        <v>0.39515869478400001</v>
      </c>
      <c r="AI489" s="99" t="b">
        <f>S_binomial[[#This Row],[X base]]&lt;AF$5</f>
        <v>0</v>
      </c>
      <c r="AJ489" s="99" t="b">
        <f>S_binomial[[#This Row],[X base]]=AF$5</f>
        <v>1</v>
      </c>
      <c r="AK489" s="99" t="b">
        <f>S_binomial[[#This Row],[X base]]&gt;AF$5</f>
        <v>0</v>
      </c>
      <c r="AL489" s="99" t="e">
        <f>IF(S_binomial[[#This Row],[Mindre end]],S_binomial[[#This Row],[Binomialfordeling]],NA())</f>
        <v>#N/A</v>
      </c>
      <c r="AM489" s="99">
        <f>IF(S_binomial[[#This Row],[Lig med]],S_binomial[[#This Row],[Binomialfordeling]],NA())</f>
        <v>0.39515869478400001</v>
      </c>
      <c r="AN489" s="99" t="e">
        <f>IF(S_binomial[[#This Row],[Større end]],S_binomial[[#This Row],[Binomialfordeling]],NA())</f>
        <v>#N/A</v>
      </c>
      <c r="AO489" s="85" t="str">
        <f>_xlfn.IFNA(IF(MOD(S_binomial[[#This Row],[Indeks (base 0)]],AF$7)=ROUNDDOWN(AF$7/2,0),S_binomial[[#This Row],[X base]],""),"")</f>
        <v/>
      </c>
      <c r="AP489" s="99" t="str">
        <f t="shared" si="78"/>
        <v xml:space="preserve"> </v>
      </c>
      <c r="AR489" s="54">
        <f t="shared" si="73"/>
        <v>476</v>
      </c>
      <c r="AS489" s="54">
        <f>S_normal27[[#This Row],[Indeks (base 0)]]+1</f>
        <v>477</v>
      </c>
      <c r="AT489" s="54">
        <f t="shared" si="75"/>
        <v>7</v>
      </c>
      <c r="AU489" s="54">
        <f>IF(MOD(S_normal27[[#This Row],[Indeks (base 0)]],AS$8)=0,NA(),_xlfn.POISSON.DIST(S_normal27[[#This Row],[X base]],$H$5,FALSE))</f>
        <v>2.1604031452483807E-2</v>
      </c>
      <c r="AV489" s="99" t="b">
        <f>S_normal27[[#This Row],[X base]]&lt;AS$5</f>
        <v>0</v>
      </c>
      <c r="AW489" s="99" t="b">
        <f>S_normal27[[#This Row],[X base]]=AS$5</f>
        <v>0</v>
      </c>
      <c r="AX489" s="99" t="b">
        <f>S_normal27[[#This Row],[X base]]&gt;AS$5</f>
        <v>1</v>
      </c>
      <c r="AY489" s="99" t="e">
        <f>IF(S_normal27[[#This Row],[Mindre end]],S_normal27[[#This Row],[Poissonfordeling]],NA())</f>
        <v>#N/A</v>
      </c>
      <c r="AZ489" s="99" t="e">
        <f>IF(S_normal27[[#This Row],[Lig med]],S_normal27[[#This Row],[Poissonfordeling]],NA())</f>
        <v>#N/A</v>
      </c>
      <c r="BA489" s="99">
        <f>IF(S_normal27[[#This Row],[Større end]],S_normal27[[#This Row],[Poissonfordeling]],NA())</f>
        <v>2.1604031452483807E-2</v>
      </c>
      <c r="BB489" s="85" t="str">
        <f>_xlfn.IFNA(IF(MOD(S_normal27[[#This Row],[Indeks (base 0)]],AS$8)=ROUNDDOWN(AS$8/2,0),S_normal27[[#This Row],[X base]],""),"")</f>
        <v/>
      </c>
      <c r="BC489" s="99" t="str">
        <f t="shared" si="74"/>
        <v xml:space="preserve"> </v>
      </c>
    </row>
    <row r="490" spans="31:55" x14ac:dyDescent="0.2">
      <c r="AE490" s="54">
        <f t="shared" si="76"/>
        <v>477</v>
      </c>
      <c r="AF490" s="54">
        <f>S_binomial[[#This Row],[Indeks (base 0)]]+1</f>
        <v>478</v>
      </c>
      <c r="AG490" s="99">
        <f t="shared" si="77"/>
        <v>5</v>
      </c>
      <c r="AH490" s="99">
        <f>IF(MOD(S_binomial[[#This Row],[Indeks (base 0)]],AF$7)=0,NA(),_xlfn.BINOM.DIST(S_binomial[[#This Row],[X base]],E$5,E$6,FALSE))</f>
        <v>0.39515869478400001</v>
      </c>
      <c r="AI490" s="99" t="b">
        <f>S_binomial[[#This Row],[X base]]&lt;AF$5</f>
        <v>0</v>
      </c>
      <c r="AJ490" s="99" t="b">
        <f>S_binomial[[#This Row],[X base]]=AF$5</f>
        <v>1</v>
      </c>
      <c r="AK490" s="99" t="b">
        <f>S_binomial[[#This Row],[X base]]&gt;AF$5</f>
        <v>0</v>
      </c>
      <c r="AL490" s="99" t="e">
        <f>IF(S_binomial[[#This Row],[Mindre end]],S_binomial[[#This Row],[Binomialfordeling]],NA())</f>
        <v>#N/A</v>
      </c>
      <c r="AM490" s="99">
        <f>IF(S_binomial[[#This Row],[Lig med]],S_binomial[[#This Row],[Binomialfordeling]],NA())</f>
        <v>0.39515869478400001</v>
      </c>
      <c r="AN490" s="99" t="e">
        <f>IF(S_binomial[[#This Row],[Større end]],S_binomial[[#This Row],[Binomialfordeling]],NA())</f>
        <v>#N/A</v>
      </c>
      <c r="AO490" s="85" t="str">
        <f>_xlfn.IFNA(IF(MOD(S_binomial[[#This Row],[Indeks (base 0)]],AF$7)=ROUNDDOWN(AF$7/2,0),S_binomial[[#This Row],[X base]],""),"")</f>
        <v/>
      </c>
      <c r="AP490" s="99" t="str">
        <f t="shared" si="78"/>
        <v xml:space="preserve"> </v>
      </c>
      <c r="AR490" s="54">
        <f t="shared" si="73"/>
        <v>477</v>
      </c>
      <c r="AS490" s="54">
        <f>S_normal27[[#This Row],[Indeks (base 0)]]+1</f>
        <v>478</v>
      </c>
      <c r="AT490" s="54">
        <f t="shared" si="75"/>
        <v>7</v>
      </c>
      <c r="AU490" s="54">
        <f>IF(MOD(S_normal27[[#This Row],[Indeks (base 0)]],AS$8)=0,NA(),_xlfn.POISSON.DIST(S_normal27[[#This Row],[X base]],$H$5,FALSE))</f>
        <v>2.1604031452483807E-2</v>
      </c>
      <c r="AV490" s="99" t="b">
        <f>S_normal27[[#This Row],[X base]]&lt;AS$5</f>
        <v>0</v>
      </c>
      <c r="AW490" s="99" t="b">
        <f>S_normal27[[#This Row],[X base]]=AS$5</f>
        <v>0</v>
      </c>
      <c r="AX490" s="99" t="b">
        <f>S_normal27[[#This Row],[X base]]&gt;AS$5</f>
        <v>1</v>
      </c>
      <c r="AY490" s="99" t="e">
        <f>IF(S_normal27[[#This Row],[Mindre end]],S_normal27[[#This Row],[Poissonfordeling]],NA())</f>
        <v>#N/A</v>
      </c>
      <c r="AZ490" s="99" t="e">
        <f>IF(S_normal27[[#This Row],[Lig med]],S_normal27[[#This Row],[Poissonfordeling]],NA())</f>
        <v>#N/A</v>
      </c>
      <c r="BA490" s="99">
        <f>IF(S_normal27[[#This Row],[Større end]],S_normal27[[#This Row],[Poissonfordeling]],NA())</f>
        <v>2.1604031452483807E-2</v>
      </c>
      <c r="BB490" s="85" t="str">
        <f>_xlfn.IFNA(IF(MOD(S_normal27[[#This Row],[Indeks (base 0)]],AS$8)=ROUNDDOWN(AS$8/2,0),S_normal27[[#This Row],[X base]],""),"")</f>
        <v/>
      </c>
      <c r="BC490" s="99" t="str">
        <f t="shared" si="74"/>
        <v xml:space="preserve"> </v>
      </c>
    </row>
    <row r="491" spans="31:55" x14ac:dyDescent="0.2">
      <c r="AE491" s="54">
        <f t="shared" si="76"/>
        <v>478</v>
      </c>
      <c r="AF491" s="54">
        <f>S_binomial[[#This Row],[Indeks (base 0)]]+1</f>
        <v>479</v>
      </c>
      <c r="AG491" s="99">
        <f t="shared" si="77"/>
        <v>5</v>
      </c>
      <c r="AH491" s="99">
        <f>IF(MOD(S_binomial[[#This Row],[Indeks (base 0)]],AF$7)=0,NA(),_xlfn.BINOM.DIST(S_binomial[[#This Row],[X base]],E$5,E$6,FALSE))</f>
        <v>0.39515869478400001</v>
      </c>
      <c r="AI491" s="99" t="b">
        <f>S_binomial[[#This Row],[X base]]&lt;AF$5</f>
        <v>0</v>
      </c>
      <c r="AJ491" s="99" t="b">
        <f>S_binomial[[#This Row],[X base]]=AF$5</f>
        <v>1</v>
      </c>
      <c r="AK491" s="99" t="b">
        <f>S_binomial[[#This Row],[X base]]&gt;AF$5</f>
        <v>0</v>
      </c>
      <c r="AL491" s="99" t="e">
        <f>IF(S_binomial[[#This Row],[Mindre end]],S_binomial[[#This Row],[Binomialfordeling]],NA())</f>
        <v>#N/A</v>
      </c>
      <c r="AM491" s="99">
        <f>IF(S_binomial[[#This Row],[Lig med]],S_binomial[[#This Row],[Binomialfordeling]],NA())</f>
        <v>0.39515869478400001</v>
      </c>
      <c r="AN491" s="99" t="e">
        <f>IF(S_binomial[[#This Row],[Større end]],S_binomial[[#This Row],[Binomialfordeling]],NA())</f>
        <v>#N/A</v>
      </c>
      <c r="AO491" s="85" t="str">
        <f>_xlfn.IFNA(IF(MOD(S_binomial[[#This Row],[Indeks (base 0)]],AF$7)=ROUNDDOWN(AF$7/2,0),S_binomial[[#This Row],[X base]],""),"")</f>
        <v/>
      </c>
      <c r="AP491" s="99" t="str">
        <f t="shared" si="78"/>
        <v xml:space="preserve"> </v>
      </c>
      <c r="AR491" s="54">
        <f t="shared" si="73"/>
        <v>478</v>
      </c>
      <c r="AS491" s="54">
        <f>S_normal27[[#This Row],[Indeks (base 0)]]+1</f>
        <v>479</v>
      </c>
      <c r="AT491" s="54">
        <f t="shared" si="75"/>
        <v>7</v>
      </c>
      <c r="AU491" s="54">
        <f>IF(MOD(S_normal27[[#This Row],[Indeks (base 0)]],AS$8)=0,NA(),_xlfn.POISSON.DIST(S_normal27[[#This Row],[X base]],$H$5,FALSE))</f>
        <v>2.1604031452483807E-2</v>
      </c>
      <c r="AV491" s="99" t="b">
        <f>S_normal27[[#This Row],[X base]]&lt;AS$5</f>
        <v>0</v>
      </c>
      <c r="AW491" s="99" t="b">
        <f>S_normal27[[#This Row],[X base]]=AS$5</f>
        <v>0</v>
      </c>
      <c r="AX491" s="99" t="b">
        <f>S_normal27[[#This Row],[X base]]&gt;AS$5</f>
        <v>1</v>
      </c>
      <c r="AY491" s="99" t="e">
        <f>IF(S_normal27[[#This Row],[Mindre end]],S_normal27[[#This Row],[Poissonfordeling]],NA())</f>
        <v>#N/A</v>
      </c>
      <c r="AZ491" s="99" t="e">
        <f>IF(S_normal27[[#This Row],[Lig med]],S_normal27[[#This Row],[Poissonfordeling]],NA())</f>
        <v>#N/A</v>
      </c>
      <c r="BA491" s="99">
        <f>IF(S_normal27[[#This Row],[Større end]],S_normal27[[#This Row],[Poissonfordeling]],NA())</f>
        <v>2.1604031452483807E-2</v>
      </c>
      <c r="BB491" s="85" t="str">
        <f>_xlfn.IFNA(IF(MOD(S_normal27[[#This Row],[Indeks (base 0)]],AS$8)=ROUNDDOWN(AS$8/2,0),S_normal27[[#This Row],[X base]],""),"")</f>
        <v/>
      </c>
      <c r="BC491" s="99" t="str">
        <f t="shared" si="74"/>
        <v xml:space="preserve"> </v>
      </c>
    </row>
    <row r="492" spans="31:55" x14ac:dyDescent="0.2">
      <c r="AE492" s="54">
        <f t="shared" si="76"/>
        <v>479</v>
      </c>
      <c r="AF492" s="54">
        <f>S_binomial[[#This Row],[Indeks (base 0)]]+1</f>
        <v>480</v>
      </c>
      <c r="AG492" s="99">
        <f t="shared" si="77"/>
        <v>5</v>
      </c>
      <c r="AH492" s="99">
        <f>IF(MOD(S_binomial[[#This Row],[Indeks (base 0)]],AF$7)=0,NA(),_xlfn.BINOM.DIST(S_binomial[[#This Row],[X base]],E$5,E$6,FALSE))</f>
        <v>0.39515869478400001</v>
      </c>
      <c r="AI492" s="99" t="b">
        <f>S_binomial[[#This Row],[X base]]&lt;AF$5</f>
        <v>0</v>
      </c>
      <c r="AJ492" s="99" t="b">
        <f>S_binomial[[#This Row],[X base]]=AF$5</f>
        <v>1</v>
      </c>
      <c r="AK492" s="99" t="b">
        <f>S_binomial[[#This Row],[X base]]&gt;AF$5</f>
        <v>0</v>
      </c>
      <c r="AL492" s="99" t="e">
        <f>IF(S_binomial[[#This Row],[Mindre end]],S_binomial[[#This Row],[Binomialfordeling]],NA())</f>
        <v>#N/A</v>
      </c>
      <c r="AM492" s="99">
        <f>IF(S_binomial[[#This Row],[Lig med]],S_binomial[[#This Row],[Binomialfordeling]],NA())</f>
        <v>0.39515869478400001</v>
      </c>
      <c r="AN492" s="99" t="e">
        <f>IF(S_binomial[[#This Row],[Større end]],S_binomial[[#This Row],[Binomialfordeling]],NA())</f>
        <v>#N/A</v>
      </c>
      <c r="AO492" s="85" t="str">
        <f>_xlfn.IFNA(IF(MOD(S_binomial[[#This Row],[Indeks (base 0)]],AF$7)=ROUNDDOWN(AF$7/2,0),S_binomial[[#This Row],[X base]],""),"")</f>
        <v/>
      </c>
      <c r="AP492" s="99" t="str">
        <f t="shared" si="78"/>
        <v xml:space="preserve"> </v>
      </c>
      <c r="AR492" s="54">
        <f t="shared" si="73"/>
        <v>479</v>
      </c>
      <c r="AS492" s="54">
        <f>S_normal27[[#This Row],[Indeks (base 0)]]+1</f>
        <v>480</v>
      </c>
      <c r="AT492" s="54">
        <f t="shared" si="75"/>
        <v>7</v>
      </c>
      <c r="AU492" s="54">
        <f>IF(MOD(S_normal27[[#This Row],[Indeks (base 0)]],AS$8)=0,NA(),_xlfn.POISSON.DIST(S_normal27[[#This Row],[X base]],$H$5,FALSE))</f>
        <v>2.1604031452483807E-2</v>
      </c>
      <c r="AV492" s="99" t="b">
        <f>S_normal27[[#This Row],[X base]]&lt;AS$5</f>
        <v>0</v>
      </c>
      <c r="AW492" s="99" t="b">
        <f>S_normal27[[#This Row],[X base]]=AS$5</f>
        <v>0</v>
      </c>
      <c r="AX492" s="99" t="b">
        <f>S_normal27[[#This Row],[X base]]&gt;AS$5</f>
        <v>1</v>
      </c>
      <c r="AY492" s="99" t="e">
        <f>IF(S_normal27[[#This Row],[Mindre end]],S_normal27[[#This Row],[Poissonfordeling]],NA())</f>
        <v>#N/A</v>
      </c>
      <c r="AZ492" s="99" t="e">
        <f>IF(S_normal27[[#This Row],[Lig med]],S_normal27[[#This Row],[Poissonfordeling]],NA())</f>
        <v>#N/A</v>
      </c>
      <c r="BA492" s="99">
        <f>IF(S_normal27[[#This Row],[Større end]],S_normal27[[#This Row],[Poissonfordeling]],NA())</f>
        <v>2.1604031452483807E-2</v>
      </c>
      <c r="BB492" s="85" t="str">
        <f>_xlfn.IFNA(IF(MOD(S_normal27[[#This Row],[Indeks (base 0)]],AS$8)=ROUNDDOWN(AS$8/2,0),S_normal27[[#This Row],[X base]],""),"")</f>
        <v/>
      </c>
      <c r="BC492" s="99" t="str">
        <f t="shared" si="74"/>
        <v xml:space="preserve"> </v>
      </c>
    </row>
    <row r="493" spans="31:55" x14ac:dyDescent="0.2">
      <c r="AE493" s="54">
        <f t="shared" si="76"/>
        <v>480</v>
      </c>
      <c r="AF493" s="54">
        <f>S_binomial[[#This Row],[Indeks (base 0)]]+1</f>
        <v>481</v>
      </c>
      <c r="AG493" s="99">
        <f t="shared" si="77"/>
        <v>5</v>
      </c>
      <c r="AH493" s="99">
        <f>IF(MOD(S_binomial[[#This Row],[Indeks (base 0)]],AF$7)=0,NA(),_xlfn.BINOM.DIST(S_binomial[[#This Row],[X base]],E$5,E$6,FALSE))</f>
        <v>0.39515869478400001</v>
      </c>
      <c r="AI493" s="99" t="b">
        <f>S_binomial[[#This Row],[X base]]&lt;AF$5</f>
        <v>0</v>
      </c>
      <c r="AJ493" s="99" t="b">
        <f>S_binomial[[#This Row],[X base]]=AF$5</f>
        <v>1</v>
      </c>
      <c r="AK493" s="99" t="b">
        <f>S_binomial[[#This Row],[X base]]&gt;AF$5</f>
        <v>0</v>
      </c>
      <c r="AL493" s="99" t="e">
        <f>IF(S_binomial[[#This Row],[Mindre end]],S_binomial[[#This Row],[Binomialfordeling]],NA())</f>
        <v>#N/A</v>
      </c>
      <c r="AM493" s="99">
        <f>IF(S_binomial[[#This Row],[Lig med]],S_binomial[[#This Row],[Binomialfordeling]],NA())</f>
        <v>0.39515869478400001</v>
      </c>
      <c r="AN493" s="99" t="e">
        <f>IF(S_binomial[[#This Row],[Større end]],S_binomial[[#This Row],[Binomialfordeling]],NA())</f>
        <v>#N/A</v>
      </c>
      <c r="AO493" s="85" t="str">
        <f>_xlfn.IFNA(IF(MOD(S_binomial[[#This Row],[Indeks (base 0)]],AF$7)=ROUNDDOWN(AF$7/2,0),S_binomial[[#This Row],[X base]],""),"")</f>
        <v/>
      </c>
      <c r="AP493" s="99" t="str">
        <f t="shared" si="78"/>
        <v xml:space="preserve"> </v>
      </c>
      <c r="AR493" s="54">
        <f t="shared" si="73"/>
        <v>480</v>
      </c>
      <c r="AS493" s="54">
        <f>S_normal27[[#This Row],[Indeks (base 0)]]+1</f>
        <v>481</v>
      </c>
      <c r="AT493" s="54">
        <f t="shared" si="75"/>
        <v>7</v>
      </c>
      <c r="AU493" s="54">
        <f>IF(MOD(S_normal27[[#This Row],[Indeks (base 0)]],AS$8)=0,NA(),_xlfn.POISSON.DIST(S_normal27[[#This Row],[X base]],$H$5,FALSE))</f>
        <v>2.1604031452483807E-2</v>
      </c>
      <c r="AV493" s="99" t="b">
        <f>S_normal27[[#This Row],[X base]]&lt;AS$5</f>
        <v>0</v>
      </c>
      <c r="AW493" s="99" t="b">
        <f>S_normal27[[#This Row],[X base]]=AS$5</f>
        <v>0</v>
      </c>
      <c r="AX493" s="99" t="b">
        <f>S_normal27[[#This Row],[X base]]&gt;AS$5</f>
        <v>1</v>
      </c>
      <c r="AY493" s="99" t="e">
        <f>IF(S_normal27[[#This Row],[Mindre end]],S_normal27[[#This Row],[Poissonfordeling]],NA())</f>
        <v>#N/A</v>
      </c>
      <c r="AZ493" s="99" t="e">
        <f>IF(S_normal27[[#This Row],[Lig med]],S_normal27[[#This Row],[Poissonfordeling]],NA())</f>
        <v>#N/A</v>
      </c>
      <c r="BA493" s="99">
        <f>IF(S_normal27[[#This Row],[Større end]],S_normal27[[#This Row],[Poissonfordeling]],NA())</f>
        <v>2.1604031452483807E-2</v>
      </c>
      <c r="BB493" s="85" t="str">
        <f>_xlfn.IFNA(IF(MOD(S_normal27[[#This Row],[Indeks (base 0)]],AS$8)=ROUNDDOWN(AS$8/2,0),S_normal27[[#This Row],[X base]],""),"")</f>
        <v/>
      </c>
      <c r="BC493" s="99" t="str">
        <f t="shared" si="74"/>
        <v xml:space="preserve"> </v>
      </c>
    </row>
    <row r="494" spans="31:55" x14ac:dyDescent="0.2">
      <c r="AE494" s="54">
        <f t="shared" si="76"/>
        <v>481</v>
      </c>
      <c r="AF494" s="54">
        <f>S_binomial[[#This Row],[Indeks (base 0)]]+1</f>
        <v>482</v>
      </c>
      <c r="AG494" s="99">
        <f t="shared" si="77"/>
        <v>5</v>
      </c>
      <c r="AH494" s="99">
        <f>IF(MOD(S_binomial[[#This Row],[Indeks (base 0)]],AF$7)=0,NA(),_xlfn.BINOM.DIST(S_binomial[[#This Row],[X base]],E$5,E$6,FALSE))</f>
        <v>0.39515869478400001</v>
      </c>
      <c r="AI494" s="99" t="b">
        <f>S_binomial[[#This Row],[X base]]&lt;AF$5</f>
        <v>0</v>
      </c>
      <c r="AJ494" s="99" t="b">
        <f>S_binomial[[#This Row],[X base]]=AF$5</f>
        <v>1</v>
      </c>
      <c r="AK494" s="99" t="b">
        <f>S_binomial[[#This Row],[X base]]&gt;AF$5</f>
        <v>0</v>
      </c>
      <c r="AL494" s="99" t="e">
        <f>IF(S_binomial[[#This Row],[Mindre end]],S_binomial[[#This Row],[Binomialfordeling]],NA())</f>
        <v>#N/A</v>
      </c>
      <c r="AM494" s="99">
        <f>IF(S_binomial[[#This Row],[Lig med]],S_binomial[[#This Row],[Binomialfordeling]],NA())</f>
        <v>0.39515869478400001</v>
      </c>
      <c r="AN494" s="99" t="e">
        <f>IF(S_binomial[[#This Row],[Større end]],S_binomial[[#This Row],[Binomialfordeling]],NA())</f>
        <v>#N/A</v>
      </c>
      <c r="AO494" s="85" t="str">
        <f>_xlfn.IFNA(IF(MOD(S_binomial[[#This Row],[Indeks (base 0)]],AF$7)=ROUNDDOWN(AF$7/2,0),S_binomial[[#This Row],[X base]],""),"")</f>
        <v/>
      </c>
      <c r="AP494" s="99" t="str">
        <f t="shared" si="78"/>
        <v xml:space="preserve"> </v>
      </c>
      <c r="AR494" s="54">
        <f t="shared" si="73"/>
        <v>481</v>
      </c>
      <c r="AS494" s="54">
        <f>S_normal27[[#This Row],[Indeks (base 0)]]+1</f>
        <v>482</v>
      </c>
      <c r="AT494" s="54">
        <f t="shared" si="75"/>
        <v>7</v>
      </c>
      <c r="AU494" s="54">
        <f>IF(MOD(S_normal27[[#This Row],[Indeks (base 0)]],AS$8)=0,NA(),_xlfn.POISSON.DIST(S_normal27[[#This Row],[X base]],$H$5,FALSE))</f>
        <v>2.1604031452483807E-2</v>
      </c>
      <c r="AV494" s="99" t="b">
        <f>S_normal27[[#This Row],[X base]]&lt;AS$5</f>
        <v>0</v>
      </c>
      <c r="AW494" s="99" t="b">
        <f>S_normal27[[#This Row],[X base]]=AS$5</f>
        <v>0</v>
      </c>
      <c r="AX494" s="99" t="b">
        <f>S_normal27[[#This Row],[X base]]&gt;AS$5</f>
        <v>1</v>
      </c>
      <c r="AY494" s="99" t="e">
        <f>IF(S_normal27[[#This Row],[Mindre end]],S_normal27[[#This Row],[Poissonfordeling]],NA())</f>
        <v>#N/A</v>
      </c>
      <c r="AZ494" s="99" t="e">
        <f>IF(S_normal27[[#This Row],[Lig med]],S_normal27[[#This Row],[Poissonfordeling]],NA())</f>
        <v>#N/A</v>
      </c>
      <c r="BA494" s="99">
        <f>IF(S_normal27[[#This Row],[Større end]],S_normal27[[#This Row],[Poissonfordeling]],NA())</f>
        <v>2.1604031452483807E-2</v>
      </c>
      <c r="BB494" s="85" t="str">
        <f>_xlfn.IFNA(IF(MOD(S_normal27[[#This Row],[Indeks (base 0)]],AS$8)=ROUNDDOWN(AS$8/2,0),S_normal27[[#This Row],[X base]],""),"")</f>
        <v/>
      </c>
      <c r="BC494" s="99" t="str">
        <f t="shared" si="74"/>
        <v xml:space="preserve"> </v>
      </c>
    </row>
    <row r="495" spans="31:55" x14ac:dyDescent="0.2">
      <c r="AE495" s="54">
        <f t="shared" si="76"/>
        <v>482</v>
      </c>
      <c r="AF495" s="54">
        <f>S_binomial[[#This Row],[Indeks (base 0)]]+1</f>
        <v>483</v>
      </c>
      <c r="AG495" s="99">
        <f t="shared" si="77"/>
        <v>5</v>
      </c>
      <c r="AH495" s="99">
        <f>IF(MOD(S_binomial[[#This Row],[Indeks (base 0)]],AF$7)=0,NA(),_xlfn.BINOM.DIST(S_binomial[[#This Row],[X base]],E$5,E$6,FALSE))</f>
        <v>0.39515869478400001</v>
      </c>
      <c r="AI495" s="99" t="b">
        <f>S_binomial[[#This Row],[X base]]&lt;AF$5</f>
        <v>0</v>
      </c>
      <c r="AJ495" s="99" t="b">
        <f>S_binomial[[#This Row],[X base]]=AF$5</f>
        <v>1</v>
      </c>
      <c r="AK495" s="99" t="b">
        <f>S_binomial[[#This Row],[X base]]&gt;AF$5</f>
        <v>0</v>
      </c>
      <c r="AL495" s="99" t="e">
        <f>IF(S_binomial[[#This Row],[Mindre end]],S_binomial[[#This Row],[Binomialfordeling]],NA())</f>
        <v>#N/A</v>
      </c>
      <c r="AM495" s="99">
        <f>IF(S_binomial[[#This Row],[Lig med]],S_binomial[[#This Row],[Binomialfordeling]],NA())</f>
        <v>0.39515869478400001</v>
      </c>
      <c r="AN495" s="99" t="e">
        <f>IF(S_binomial[[#This Row],[Større end]],S_binomial[[#This Row],[Binomialfordeling]],NA())</f>
        <v>#N/A</v>
      </c>
      <c r="AO495" s="85" t="str">
        <f>_xlfn.IFNA(IF(MOD(S_binomial[[#This Row],[Indeks (base 0)]],AF$7)=ROUNDDOWN(AF$7/2,0),S_binomial[[#This Row],[X base]],""),"")</f>
        <v/>
      </c>
      <c r="AP495" s="99" t="str">
        <f t="shared" si="78"/>
        <v xml:space="preserve"> </v>
      </c>
      <c r="AR495" s="54">
        <f t="shared" si="73"/>
        <v>482</v>
      </c>
      <c r="AS495" s="54">
        <f>S_normal27[[#This Row],[Indeks (base 0)]]+1</f>
        <v>483</v>
      </c>
      <c r="AT495" s="54">
        <f t="shared" si="75"/>
        <v>7</v>
      </c>
      <c r="AU495" s="54">
        <f>IF(MOD(S_normal27[[#This Row],[Indeks (base 0)]],AS$8)=0,NA(),_xlfn.POISSON.DIST(S_normal27[[#This Row],[X base]],$H$5,FALSE))</f>
        <v>2.1604031452483807E-2</v>
      </c>
      <c r="AV495" s="99" t="b">
        <f>S_normal27[[#This Row],[X base]]&lt;AS$5</f>
        <v>0</v>
      </c>
      <c r="AW495" s="99" t="b">
        <f>S_normal27[[#This Row],[X base]]=AS$5</f>
        <v>0</v>
      </c>
      <c r="AX495" s="99" t="b">
        <f>S_normal27[[#This Row],[X base]]&gt;AS$5</f>
        <v>1</v>
      </c>
      <c r="AY495" s="99" t="e">
        <f>IF(S_normal27[[#This Row],[Mindre end]],S_normal27[[#This Row],[Poissonfordeling]],NA())</f>
        <v>#N/A</v>
      </c>
      <c r="AZ495" s="99" t="e">
        <f>IF(S_normal27[[#This Row],[Lig med]],S_normal27[[#This Row],[Poissonfordeling]],NA())</f>
        <v>#N/A</v>
      </c>
      <c r="BA495" s="99">
        <f>IF(S_normal27[[#This Row],[Større end]],S_normal27[[#This Row],[Poissonfordeling]],NA())</f>
        <v>2.1604031452483807E-2</v>
      </c>
      <c r="BB495" s="85" t="str">
        <f>_xlfn.IFNA(IF(MOD(S_normal27[[#This Row],[Indeks (base 0)]],AS$8)=ROUNDDOWN(AS$8/2,0),S_normal27[[#This Row],[X base]],""),"")</f>
        <v/>
      </c>
      <c r="BC495" s="99" t="str">
        <f t="shared" si="74"/>
        <v xml:space="preserve"> </v>
      </c>
    </row>
    <row r="496" spans="31:55" x14ac:dyDescent="0.2">
      <c r="AE496" s="54">
        <f t="shared" si="76"/>
        <v>483</v>
      </c>
      <c r="AF496" s="54">
        <f>S_binomial[[#This Row],[Indeks (base 0)]]+1</f>
        <v>484</v>
      </c>
      <c r="AG496" s="99">
        <f t="shared" si="77"/>
        <v>5</v>
      </c>
      <c r="AH496" s="99">
        <f>IF(MOD(S_binomial[[#This Row],[Indeks (base 0)]],AF$7)=0,NA(),_xlfn.BINOM.DIST(S_binomial[[#This Row],[X base]],E$5,E$6,FALSE))</f>
        <v>0.39515869478400001</v>
      </c>
      <c r="AI496" s="99" t="b">
        <f>S_binomial[[#This Row],[X base]]&lt;AF$5</f>
        <v>0</v>
      </c>
      <c r="AJ496" s="99" t="b">
        <f>S_binomial[[#This Row],[X base]]=AF$5</f>
        <v>1</v>
      </c>
      <c r="AK496" s="99" t="b">
        <f>S_binomial[[#This Row],[X base]]&gt;AF$5</f>
        <v>0</v>
      </c>
      <c r="AL496" s="99" t="e">
        <f>IF(S_binomial[[#This Row],[Mindre end]],S_binomial[[#This Row],[Binomialfordeling]],NA())</f>
        <v>#N/A</v>
      </c>
      <c r="AM496" s="99">
        <f>IF(S_binomial[[#This Row],[Lig med]],S_binomial[[#This Row],[Binomialfordeling]],NA())</f>
        <v>0.39515869478400001</v>
      </c>
      <c r="AN496" s="99" t="e">
        <f>IF(S_binomial[[#This Row],[Større end]],S_binomial[[#This Row],[Binomialfordeling]],NA())</f>
        <v>#N/A</v>
      </c>
      <c r="AO496" s="85" t="str">
        <f>_xlfn.IFNA(IF(MOD(S_binomial[[#This Row],[Indeks (base 0)]],AF$7)=ROUNDDOWN(AF$7/2,0),S_binomial[[#This Row],[X base]],""),"")</f>
        <v/>
      </c>
      <c r="AP496" s="99" t="str">
        <f t="shared" si="78"/>
        <v xml:space="preserve"> </v>
      </c>
      <c r="AR496" s="54">
        <f t="shared" si="73"/>
        <v>483</v>
      </c>
      <c r="AS496" s="54">
        <f>S_normal27[[#This Row],[Indeks (base 0)]]+1</f>
        <v>484</v>
      </c>
      <c r="AT496" s="54">
        <f t="shared" si="75"/>
        <v>7</v>
      </c>
      <c r="AU496" s="54">
        <f>IF(MOD(S_normal27[[#This Row],[Indeks (base 0)]],AS$8)=0,NA(),_xlfn.POISSON.DIST(S_normal27[[#This Row],[X base]],$H$5,FALSE))</f>
        <v>2.1604031452483807E-2</v>
      </c>
      <c r="AV496" s="99" t="b">
        <f>S_normal27[[#This Row],[X base]]&lt;AS$5</f>
        <v>0</v>
      </c>
      <c r="AW496" s="99" t="b">
        <f>S_normal27[[#This Row],[X base]]=AS$5</f>
        <v>0</v>
      </c>
      <c r="AX496" s="99" t="b">
        <f>S_normal27[[#This Row],[X base]]&gt;AS$5</f>
        <v>1</v>
      </c>
      <c r="AY496" s="99" t="e">
        <f>IF(S_normal27[[#This Row],[Mindre end]],S_normal27[[#This Row],[Poissonfordeling]],NA())</f>
        <v>#N/A</v>
      </c>
      <c r="AZ496" s="99" t="e">
        <f>IF(S_normal27[[#This Row],[Lig med]],S_normal27[[#This Row],[Poissonfordeling]],NA())</f>
        <v>#N/A</v>
      </c>
      <c r="BA496" s="99">
        <f>IF(S_normal27[[#This Row],[Større end]],S_normal27[[#This Row],[Poissonfordeling]],NA())</f>
        <v>2.1604031452483807E-2</v>
      </c>
      <c r="BB496" s="85" t="str">
        <f>_xlfn.IFNA(IF(MOD(S_normal27[[#This Row],[Indeks (base 0)]],AS$8)=ROUNDDOWN(AS$8/2,0),S_normal27[[#This Row],[X base]],""),"")</f>
        <v/>
      </c>
      <c r="BC496" s="99" t="str">
        <f t="shared" si="74"/>
        <v xml:space="preserve"> </v>
      </c>
    </row>
    <row r="497" spans="31:55" x14ac:dyDescent="0.2">
      <c r="AE497" s="54">
        <f t="shared" si="76"/>
        <v>484</v>
      </c>
      <c r="AF497" s="54">
        <f>S_binomial[[#This Row],[Indeks (base 0)]]+1</f>
        <v>485</v>
      </c>
      <c r="AG497" s="99">
        <f t="shared" si="77"/>
        <v>5</v>
      </c>
      <c r="AH497" s="99">
        <f>IF(MOD(S_binomial[[#This Row],[Indeks (base 0)]],AF$7)=0,NA(),_xlfn.BINOM.DIST(S_binomial[[#This Row],[X base]],E$5,E$6,FALSE))</f>
        <v>0.39515869478400001</v>
      </c>
      <c r="AI497" s="99" t="b">
        <f>S_binomial[[#This Row],[X base]]&lt;AF$5</f>
        <v>0</v>
      </c>
      <c r="AJ497" s="99" t="b">
        <f>S_binomial[[#This Row],[X base]]=AF$5</f>
        <v>1</v>
      </c>
      <c r="AK497" s="99" t="b">
        <f>S_binomial[[#This Row],[X base]]&gt;AF$5</f>
        <v>0</v>
      </c>
      <c r="AL497" s="99" t="e">
        <f>IF(S_binomial[[#This Row],[Mindre end]],S_binomial[[#This Row],[Binomialfordeling]],NA())</f>
        <v>#N/A</v>
      </c>
      <c r="AM497" s="99">
        <f>IF(S_binomial[[#This Row],[Lig med]],S_binomial[[#This Row],[Binomialfordeling]],NA())</f>
        <v>0.39515869478400001</v>
      </c>
      <c r="AN497" s="99" t="e">
        <f>IF(S_binomial[[#This Row],[Større end]],S_binomial[[#This Row],[Binomialfordeling]],NA())</f>
        <v>#N/A</v>
      </c>
      <c r="AO497" s="85" t="str">
        <f>_xlfn.IFNA(IF(MOD(S_binomial[[#This Row],[Indeks (base 0)]],AF$7)=ROUNDDOWN(AF$7/2,0),S_binomial[[#This Row],[X base]],""),"")</f>
        <v/>
      </c>
      <c r="AP497" s="99" t="str">
        <f t="shared" si="78"/>
        <v xml:space="preserve"> </v>
      </c>
      <c r="AR497" s="54">
        <f t="shared" si="73"/>
        <v>484</v>
      </c>
      <c r="AS497" s="54">
        <f>S_normal27[[#This Row],[Indeks (base 0)]]+1</f>
        <v>485</v>
      </c>
      <c r="AT497" s="54">
        <f t="shared" si="75"/>
        <v>7</v>
      </c>
      <c r="AU497" s="54">
        <f>IF(MOD(S_normal27[[#This Row],[Indeks (base 0)]],AS$8)=0,NA(),_xlfn.POISSON.DIST(S_normal27[[#This Row],[X base]],$H$5,FALSE))</f>
        <v>2.1604031452483807E-2</v>
      </c>
      <c r="AV497" s="99" t="b">
        <f>S_normal27[[#This Row],[X base]]&lt;AS$5</f>
        <v>0</v>
      </c>
      <c r="AW497" s="99" t="b">
        <f>S_normal27[[#This Row],[X base]]=AS$5</f>
        <v>0</v>
      </c>
      <c r="AX497" s="99" t="b">
        <f>S_normal27[[#This Row],[X base]]&gt;AS$5</f>
        <v>1</v>
      </c>
      <c r="AY497" s="99" t="e">
        <f>IF(S_normal27[[#This Row],[Mindre end]],S_normal27[[#This Row],[Poissonfordeling]],NA())</f>
        <v>#N/A</v>
      </c>
      <c r="AZ497" s="99" t="e">
        <f>IF(S_normal27[[#This Row],[Lig med]],S_normal27[[#This Row],[Poissonfordeling]],NA())</f>
        <v>#N/A</v>
      </c>
      <c r="BA497" s="99">
        <f>IF(S_normal27[[#This Row],[Større end]],S_normal27[[#This Row],[Poissonfordeling]],NA())</f>
        <v>2.1604031452483807E-2</v>
      </c>
      <c r="BB497" s="85" t="str">
        <f>_xlfn.IFNA(IF(MOD(S_normal27[[#This Row],[Indeks (base 0)]],AS$8)=ROUNDDOWN(AS$8/2,0),S_normal27[[#This Row],[X base]],""),"")</f>
        <v/>
      </c>
      <c r="BC497" s="99" t="str">
        <f t="shared" si="74"/>
        <v xml:space="preserve"> </v>
      </c>
    </row>
    <row r="498" spans="31:55" x14ac:dyDescent="0.2">
      <c r="AE498" s="54">
        <f t="shared" si="76"/>
        <v>485</v>
      </c>
      <c r="AF498" s="54">
        <f>S_binomial[[#This Row],[Indeks (base 0)]]+1</f>
        <v>486</v>
      </c>
      <c r="AG498" s="99">
        <f t="shared" si="77"/>
        <v>5</v>
      </c>
      <c r="AH498" s="99">
        <f>IF(MOD(S_binomial[[#This Row],[Indeks (base 0)]],AF$7)=0,NA(),_xlfn.BINOM.DIST(S_binomial[[#This Row],[X base]],E$5,E$6,FALSE))</f>
        <v>0.39515869478400001</v>
      </c>
      <c r="AI498" s="99" t="b">
        <f>S_binomial[[#This Row],[X base]]&lt;AF$5</f>
        <v>0</v>
      </c>
      <c r="AJ498" s="99" t="b">
        <f>S_binomial[[#This Row],[X base]]=AF$5</f>
        <v>1</v>
      </c>
      <c r="AK498" s="99" t="b">
        <f>S_binomial[[#This Row],[X base]]&gt;AF$5</f>
        <v>0</v>
      </c>
      <c r="AL498" s="99" t="e">
        <f>IF(S_binomial[[#This Row],[Mindre end]],S_binomial[[#This Row],[Binomialfordeling]],NA())</f>
        <v>#N/A</v>
      </c>
      <c r="AM498" s="99">
        <f>IF(S_binomial[[#This Row],[Lig med]],S_binomial[[#This Row],[Binomialfordeling]],NA())</f>
        <v>0.39515869478400001</v>
      </c>
      <c r="AN498" s="99" t="e">
        <f>IF(S_binomial[[#This Row],[Større end]],S_binomial[[#This Row],[Binomialfordeling]],NA())</f>
        <v>#N/A</v>
      </c>
      <c r="AO498" s="85" t="str">
        <f>_xlfn.IFNA(IF(MOD(S_binomial[[#This Row],[Indeks (base 0)]],AF$7)=ROUNDDOWN(AF$7/2,0),S_binomial[[#This Row],[X base]],""),"")</f>
        <v/>
      </c>
      <c r="AP498" s="99" t="str">
        <f t="shared" si="78"/>
        <v xml:space="preserve"> </v>
      </c>
      <c r="AR498" s="54">
        <f t="shared" si="73"/>
        <v>485</v>
      </c>
      <c r="AS498" s="54">
        <f>S_normal27[[#This Row],[Indeks (base 0)]]+1</f>
        <v>486</v>
      </c>
      <c r="AT498" s="54">
        <f t="shared" si="75"/>
        <v>7</v>
      </c>
      <c r="AU498" s="54">
        <f>IF(MOD(S_normal27[[#This Row],[Indeks (base 0)]],AS$8)=0,NA(),_xlfn.POISSON.DIST(S_normal27[[#This Row],[X base]],$H$5,FALSE))</f>
        <v>2.1604031452483807E-2</v>
      </c>
      <c r="AV498" s="99" t="b">
        <f>S_normal27[[#This Row],[X base]]&lt;AS$5</f>
        <v>0</v>
      </c>
      <c r="AW498" s="99" t="b">
        <f>S_normal27[[#This Row],[X base]]=AS$5</f>
        <v>0</v>
      </c>
      <c r="AX498" s="99" t="b">
        <f>S_normal27[[#This Row],[X base]]&gt;AS$5</f>
        <v>1</v>
      </c>
      <c r="AY498" s="99" t="e">
        <f>IF(S_normal27[[#This Row],[Mindre end]],S_normal27[[#This Row],[Poissonfordeling]],NA())</f>
        <v>#N/A</v>
      </c>
      <c r="AZ498" s="99" t="e">
        <f>IF(S_normal27[[#This Row],[Lig med]],S_normal27[[#This Row],[Poissonfordeling]],NA())</f>
        <v>#N/A</v>
      </c>
      <c r="BA498" s="99">
        <f>IF(S_normal27[[#This Row],[Større end]],S_normal27[[#This Row],[Poissonfordeling]],NA())</f>
        <v>2.1604031452483807E-2</v>
      </c>
      <c r="BB498" s="85" t="str">
        <f>_xlfn.IFNA(IF(MOD(S_normal27[[#This Row],[Indeks (base 0)]],AS$8)=ROUNDDOWN(AS$8/2,0),S_normal27[[#This Row],[X base]],""),"")</f>
        <v/>
      </c>
      <c r="BC498" s="99" t="str">
        <f t="shared" si="74"/>
        <v xml:space="preserve"> </v>
      </c>
    </row>
    <row r="499" spans="31:55" x14ac:dyDescent="0.2">
      <c r="AE499" s="54">
        <f t="shared" si="76"/>
        <v>486</v>
      </c>
      <c r="AF499" s="54">
        <f>S_binomial[[#This Row],[Indeks (base 0)]]+1</f>
        <v>487</v>
      </c>
      <c r="AG499" s="99">
        <f t="shared" si="77"/>
        <v>5</v>
      </c>
      <c r="AH499" s="99">
        <f>IF(MOD(S_binomial[[#This Row],[Indeks (base 0)]],AF$7)=0,NA(),_xlfn.BINOM.DIST(S_binomial[[#This Row],[X base]],E$5,E$6,FALSE))</f>
        <v>0.39515869478400001</v>
      </c>
      <c r="AI499" s="99" t="b">
        <f>S_binomial[[#This Row],[X base]]&lt;AF$5</f>
        <v>0</v>
      </c>
      <c r="AJ499" s="99" t="b">
        <f>S_binomial[[#This Row],[X base]]=AF$5</f>
        <v>1</v>
      </c>
      <c r="AK499" s="99" t="b">
        <f>S_binomial[[#This Row],[X base]]&gt;AF$5</f>
        <v>0</v>
      </c>
      <c r="AL499" s="99" t="e">
        <f>IF(S_binomial[[#This Row],[Mindre end]],S_binomial[[#This Row],[Binomialfordeling]],NA())</f>
        <v>#N/A</v>
      </c>
      <c r="AM499" s="99">
        <f>IF(S_binomial[[#This Row],[Lig med]],S_binomial[[#This Row],[Binomialfordeling]],NA())</f>
        <v>0.39515869478400001</v>
      </c>
      <c r="AN499" s="99" t="e">
        <f>IF(S_binomial[[#This Row],[Større end]],S_binomial[[#This Row],[Binomialfordeling]],NA())</f>
        <v>#N/A</v>
      </c>
      <c r="AO499" s="85" t="str">
        <f>_xlfn.IFNA(IF(MOD(S_binomial[[#This Row],[Indeks (base 0)]],AF$7)=ROUNDDOWN(AF$7/2,0),S_binomial[[#This Row],[X base]],""),"")</f>
        <v/>
      </c>
      <c r="AP499" s="99" t="str">
        <f t="shared" si="78"/>
        <v xml:space="preserve"> </v>
      </c>
      <c r="AR499" s="54">
        <f t="shared" si="73"/>
        <v>486</v>
      </c>
      <c r="AS499" s="54">
        <f>S_normal27[[#This Row],[Indeks (base 0)]]+1</f>
        <v>487</v>
      </c>
      <c r="AT499" s="54">
        <f t="shared" si="75"/>
        <v>7</v>
      </c>
      <c r="AU499" s="54">
        <f>IF(MOD(S_normal27[[#This Row],[Indeks (base 0)]],AS$8)=0,NA(),_xlfn.POISSON.DIST(S_normal27[[#This Row],[X base]],$H$5,FALSE))</f>
        <v>2.1604031452483807E-2</v>
      </c>
      <c r="AV499" s="99" t="b">
        <f>S_normal27[[#This Row],[X base]]&lt;AS$5</f>
        <v>0</v>
      </c>
      <c r="AW499" s="99" t="b">
        <f>S_normal27[[#This Row],[X base]]=AS$5</f>
        <v>0</v>
      </c>
      <c r="AX499" s="99" t="b">
        <f>S_normal27[[#This Row],[X base]]&gt;AS$5</f>
        <v>1</v>
      </c>
      <c r="AY499" s="99" t="e">
        <f>IF(S_normal27[[#This Row],[Mindre end]],S_normal27[[#This Row],[Poissonfordeling]],NA())</f>
        <v>#N/A</v>
      </c>
      <c r="AZ499" s="99" t="e">
        <f>IF(S_normal27[[#This Row],[Lig med]],S_normal27[[#This Row],[Poissonfordeling]],NA())</f>
        <v>#N/A</v>
      </c>
      <c r="BA499" s="99">
        <f>IF(S_normal27[[#This Row],[Større end]],S_normal27[[#This Row],[Poissonfordeling]],NA())</f>
        <v>2.1604031452483807E-2</v>
      </c>
      <c r="BB499" s="85" t="str">
        <f>_xlfn.IFNA(IF(MOD(S_normal27[[#This Row],[Indeks (base 0)]],AS$8)=ROUNDDOWN(AS$8/2,0),S_normal27[[#This Row],[X base]],""),"")</f>
        <v/>
      </c>
      <c r="BC499" s="99" t="str">
        <f t="shared" si="74"/>
        <v xml:space="preserve"> </v>
      </c>
    </row>
    <row r="500" spans="31:55" x14ac:dyDescent="0.2">
      <c r="AE500" s="54">
        <f t="shared" si="76"/>
        <v>487</v>
      </c>
      <c r="AF500" s="54">
        <f>S_binomial[[#This Row],[Indeks (base 0)]]+1</f>
        <v>488</v>
      </c>
      <c r="AG500" s="99">
        <f t="shared" si="77"/>
        <v>5</v>
      </c>
      <c r="AH500" s="99">
        <f>IF(MOD(S_binomial[[#This Row],[Indeks (base 0)]],AF$7)=0,NA(),_xlfn.BINOM.DIST(S_binomial[[#This Row],[X base]],E$5,E$6,FALSE))</f>
        <v>0.39515869478400001</v>
      </c>
      <c r="AI500" s="99" t="b">
        <f>S_binomial[[#This Row],[X base]]&lt;AF$5</f>
        <v>0</v>
      </c>
      <c r="AJ500" s="99" t="b">
        <f>S_binomial[[#This Row],[X base]]=AF$5</f>
        <v>1</v>
      </c>
      <c r="AK500" s="99" t="b">
        <f>S_binomial[[#This Row],[X base]]&gt;AF$5</f>
        <v>0</v>
      </c>
      <c r="AL500" s="99" t="e">
        <f>IF(S_binomial[[#This Row],[Mindre end]],S_binomial[[#This Row],[Binomialfordeling]],NA())</f>
        <v>#N/A</v>
      </c>
      <c r="AM500" s="99">
        <f>IF(S_binomial[[#This Row],[Lig med]],S_binomial[[#This Row],[Binomialfordeling]],NA())</f>
        <v>0.39515869478400001</v>
      </c>
      <c r="AN500" s="99" t="e">
        <f>IF(S_binomial[[#This Row],[Større end]],S_binomial[[#This Row],[Binomialfordeling]],NA())</f>
        <v>#N/A</v>
      </c>
      <c r="AO500" s="85" t="str">
        <f>_xlfn.IFNA(IF(MOD(S_binomial[[#This Row],[Indeks (base 0)]],AF$7)=ROUNDDOWN(AF$7/2,0),S_binomial[[#This Row],[X base]],""),"")</f>
        <v/>
      </c>
      <c r="AP500" s="99" t="str">
        <f t="shared" si="78"/>
        <v xml:space="preserve"> </v>
      </c>
      <c r="AR500" s="54">
        <f t="shared" si="73"/>
        <v>487</v>
      </c>
      <c r="AS500" s="54">
        <f>S_normal27[[#This Row],[Indeks (base 0)]]+1</f>
        <v>488</v>
      </c>
      <c r="AT500" s="54">
        <f t="shared" si="75"/>
        <v>7</v>
      </c>
      <c r="AU500" s="54">
        <f>IF(MOD(S_normal27[[#This Row],[Indeks (base 0)]],AS$8)=0,NA(),_xlfn.POISSON.DIST(S_normal27[[#This Row],[X base]],$H$5,FALSE))</f>
        <v>2.1604031452483807E-2</v>
      </c>
      <c r="AV500" s="99" t="b">
        <f>S_normal27[[#This Row],[X base]]&lt;AS$5</f>
        <v>0</v>
      </c>
      <c r="AW500" s="99" t="b">
        <f>S_normal27[[#This Row],[X base]]=AS$5</f>
        <v>0</v>
      </c>
      <c r="AX500" s="99" t="b">
        <f>S_normal27[[#This Row],[X base]]&gt;AS$5</f>
        <v>1</v>
      </c>
      <c r="AY500" s="99" t="e">
        <f>IF(S_normal27[[#This Row],[Mindre end]],S_normal27[[#This Row],[Poissonfordeling]],NA())</f>
        <v>#N/A</v>
      </c>
      <c r="AZ500" s="99" t="e">
        <f>IF(S_normal27[[#This Row],[Lig med]],S_normal27[[#This Row],[Poissonfordeling]],NA())</f>
        <v>#N/A</v>
      </c>
      <c r="BA500" s="99">
        <f>IF(S_normal27[[#This Row],[Større end]],S_normal27[[#This Row],[Poissonfordeling]],NA())</f>
        <v>2.1604031452483807E-2</v>
      </c>
      <c r="BB500" s="85">
        <f>_xlfn.IFNA(IF(MOD(S_normal27[[#This Row],[Indeks (base 0)]],AS$8)=ROUNDDOWN(AS$8/2,0),S_normal27[[#This Row],[X base]],""),"")</f>
        <v>7</v>
      </c>
      <c r="BC500" s="99" t="str">
        <f t="shared" si="74"/>
        <v xml:space="preserve"> </v>
      </c>
    </row>
    <row r="501" spans="31:55" x14ac:dyDescent="0.2">
      <c r="AE501" s="54">
        <f t="shared" si="76"/>
        <v>488</v>
      </c>
      <c r="AF501" s="54">
        <f>S_binomial[[#This Row],[Indeks (base 0)]]+1</f>
        <v>489</v>
      </c>
      <c r="AG501" s="99">
        <f t="shared" si="77"/>
        <v>5</v>
      </c>
      <c r="AH501" s="99">
        <f>IF(MOD(S_binomial[[#This Row],[Indeks (base 0)]],AF$7)=0,NA(),_xlfn.BINOM.DIST(S_binomial[[#This Row],[X base]],E$5,E$6,FALSE))</f>
        <v>0.39515869478400001</v>
      </c>
      <c r="AI501" s="99" t="b">
        <f>S_binomial[[#This Row],[X base]]&lt;AF$5</f>
        <v>0</v>
      </c>
      <c r="AJ501" s="99" t="b">
        <f>S_binomial[[#This Row],[X base]]=AF$5</f>
        <v>1</v>
      </c>
      <c r="AK501" s="99" t="b">
        <f>S_binomial[[#This Row],[X base]]&gt;AF$5</f>
        <v>0</v>
      </c>
      <c r="AL501" s="99" t="e">
        <f>IF(S_binomial[[#This Row],[Mindre end]],S_binomial[[#This Row],[Binomialfordeling]],NA())</f>
        <v>#N/A</v>
      </c>
      <c r="AM501" s="99">
        <f>IF(S_binomial[[#This Row],[Lig med]],S_binomial[[#This Row],[Binomialfordeling]],NA())</f>
        <v>0.39515869478400001</v>
      </c>
      <c r="AN501" s="99" t="e">
        <f>IF(S_binomial[[#This Row],[Større end]],S_binomial[[#This Row],[Binomialfordeling]],NA())</f>
        <v>#N/A</v>
      </c>
      <c r="AO501" s="85" t="str">
        <f>_xlfn.IFNA(IF(MOD(S_binomial[[#This Row],[Indeks (base 0)]],AF$7)=ROUNDDOWN(AF$7/2,0),S_binomial[[#This Row],[X base]],""),"")</f>
        <v/>
      </c>
      <c r="AP501" s="99" t="str">
        <f t="shared" si="78"/>
        <v xml:space="preserve"> </v>
      </c>
      <c r="AR501" s="54">
        <f t="shared" si="73"/>
        <v>488</v>
      </c>
      <c r="AS501" s="54">
        <f>S_normal27[[#This Row],[Indeks (base 0)]]+1</f>
        <v>489</v>
      </c>
      <c r="AT501" s="54">
        <f t="shared" si="75"/>
        <v>7</v>
      </c>
      <c r="AU501" s="54">
        <f>IF(MOD(S_normal27[[#This Row],[Indeks (base 0)]],AS$8)=0,NA(),_xlfn.POISSON.DIST(S_normal27[[#This Row],[X base]],$H$5,FALSE))</f>
        <v>2.1604031452483807E-2</v>
      </c>
      <c r="AV501" s="99" t="b">
        <f>S_normal27[[#This Row],[X base]]&lt;AS$5</f>
        <v>0</v>
      </c>
      <c r="AW501" s="99" t="b">
        <f>S_normal27[[#This Row],[X base]]=AS$5</f>
        <v>0</v>
      </c>
      <c r="AX501" s="99" t="b">
        <f>S_normal27[[#This Row],[X base]]&gt;AS$5</f>
        <v>1</v>
      </c>
      <c r="AY501" s="99" t="e">
        <f>IF(S_normal27[[#This Row],[Mindre end]],S_normal27[[#This Row],[Poissonfordeling]],NA())</f>
        <v>#N/A</v>
      </c>
      <c r="AZ501" s="99" t="e">
        <f>IF(S_normal27[[#This Row],[Lig med]],S_normal27[[#This Row],[Poissonfordeling]],NA())</f>
        <v>#N/A</v>
      </c>
      <c r="BA501" s="99">
        <f>IF(S_normal27[[#This Row],[Større end]],S_normal27[[#This Row],[Poissonfordeling]],NA())</f>
        <v>2.1604031452483807E-2</v>
      </c>
      <c r="BB501" s="85" t="str">
        <f>_xlfn.IFNA(IF(MOD(S_normal27[[#This Row],[Indeks (base 0)]],AS$8)=ROUNDDOWN(AS$8/2,0),S_normal27[[#This Row],[X base]],""),"")</f>
        <v/>
      </c>
      <c r="BC501" s="99" t="str">
        <f t="shared" si="74"/>
        <v xml:space="preserve"> </v>
      </c>
    </row>
    <row r="502" spans="31:55" x14ac:dyDescent="0.2">
      <c r="AE502" s="54">
        <f t="shared" si="76"/>
        <v>489</v>
      </c>
      <c r="AF502" s="54">
        <f>S_binomial[[#This Row],[Indeks (base 0)]]+1</f>
        <v>490</v>
      </c>
      <c r="AG502" s="99">
        <f t="shared" si="77"/>
        <v>5</v>
      </c>
      <c r="AH502" s="99">
        <f>IF(MOD(S_binomial[[#This Row],[Indeks (base 0)]],AF$7)=0,NA(),_xlfn.BINOM.DIST(S_binomial[[#This Row],[X base]],E$5,E$6,FALSE))</f>
        <v>0.39515869478400001</v>
      </c>
      <c r="AI502" s="99" t="b">
        <f>S_binomial[[#This Row],[X base]]&lt;AF$5</f>
        <v>0</v>
      </c>
      <c r="AJ502" s="99" t="b">
        <f>S_binomial[[#This Row],[X base]]=AF$5</f>
        <v>1</v>
      </c>
      <c r="AK502" s="99" t="b">
        <f>S_binomial[[#This Row],[X base]]&gt;AF$5</f>
        <v>0</v>
      </c>
      <c r="AL502" s="99" t="e">
        <f>IF(S_binomial[[#This Row],[Mindre end]],S_binomial[[#This Row],[Binomialfordeling]],NA())</f>
        <v>#N/A</v>
      </c>
      <c r="AM502" s="99">
        <f>IF(S_binomial[[#This Row],[Lig med]],S_binomial[[#This Row],[Binomialfordeling]],NA())</f>
        <v>0.39515869478400001</v>
      </c>
      <c r="AN502" s="99" t="e">
        <f>IF(S_binomial[[#This Row],[Større end]],S_binomial[[#This Row],[Binomialfordeling]],NA())</f>
        <v>#N/A</v>
      </c>
      <c r="AO502" s="85" t="str">
        <f>_xlfn.IFNA(IF(MOD(S_binomial[[#This Row],[Indeks (base 0)]],AF$7)=ROUNDDOWN(AF$7/2,0),S_binomial[[#This Row],[X base]],""),"")</f>
        <v/>
      </c>
      <c r="AP502" s="99" t="str">
        <f t="shared" si="78"/>
        <v xml:space="preserve"> </v>
      </c>
      <c r="AR502" s="54">
        <f t="shared" si="73"/>
        <v>489</v>
      </c>
      <c r="AS502" s="54">
        <f>S_normal27[[#This Row],[Indeks (base 0)]]+1</f>
        <v>490</v>
      </c>
      <c r="AT502" s="54">
        <f t="shared" si="75"/>
        <v>7</v>
      </c>
      <c r="AU502" s="54">
        <f>IF(MOD(S_normal27[[#This Row],[Indeks (base 0)]],AS$8)=0,NA(),_xlfn.POISSON.DIST(S_normal27[[#This Row],[X base]],$H$5,FALSE))</f>
        <v>2.1604031452483807E-2</v>
      </c>
      <c r="AV502" s="99" t="b">
        <f>S_normal27[[#This Row],[X base]]&lt;AS$5</f>
        <v>0</v>
      </c>
      <c r="AW502" s="99" t="b">
        <f>S_normal27[[#This Row],[X base]]=AS$5</f>
        <v>0</v>
      </c>
      <c r="AX502" s="99" t="b">
        <f>S_normal27[[#This Row],[X base]]&gt;AS$5</f>
        <v>1</v>
      </c>
      <c r="AY502" s="99" t="e">
        <f>IF(S_normal27[[#This Row],[Mindre end]],S_normal27[[#This Row],[Poissonfordeling]],NA())</f>
        <v>#N/A</v>
      </c>
      <c r="AZ502" s="99" t="e">
        <f>IF(S_normal27[[#This Row],[Lig med]],S_normal27[[#This Row],[Poissonfordeling]],NA())</f>
        <v>#N/A</v>
      </c>
      <c r="BA502" s="99">
        <f>IF(S_normal27[[#This Row],[Større end]],S_normal27[[#This Row],[Poissonfordeling]],NA())</f>
        <v>2.1604031452483807E-2</v>
      </c>
      <c r="BB502" s="85" t="str">
        <f>_xlfn.IFNA(IF(MOD(S_normal27[[#This Row],[Indeks (base 0)]],AS$8)=ROUNDDOWN(AS$8/2,0),S_normal27[[#This Row],[X base]],""),"")</f>
        <v/>
      </c>
      <c r="BC502" s="99" t="str">
        <f t="shared" si="74"/>
        <v xml:space="preserve"> </v>
      </c>
    </row>
    <row r="503" spans="31:55" x14ac:dyDescent="0.2">
      <c r="AE503" s="54">
        <f t="shared" si="76"/>
        <v>490</v>
      </c>
      <c r="AF503" s="54">
        <f>S_binomial[[#This Row],[Indeks (base 0)]]+1</f>
        <v>491</v>
      </c>
      <c r="AG503" s="99">
        <f t="shared" si="77"/>
        <v>5</v>
      </c>
      <c r="AH503" s="99">
        <f>IF(MOD(S_binomial[[#This Row],[Indeks (base 0)]],AF$7)=0,NA(),_xlfn.BINOM.DIST(S_binomial[[#This Row],[X base]],E$5,E$6,FALSE))</f>
        <v>0.39515869478400001</v>
      </c>
      <c r="AI503" s="99" t="b">
        <f>S_binomial[[#This Row],[X base]]&lt;AF$5</f>
        <v>0</v>
      </c>
      <c r="AJ503" s="99" t="b">
        <f>S_binomial[[#This Row],[X base]]=AF$5</f>
        <v>1</v>
      </c>
      <c r="AK503" s="99" t="b">
        <f>S_binomial[[#This Row],[X base]]&gt;AF$5</f>
        <v>0</v>
      </c>
      <c r="AL503" s="99" t="e">
        <f>IF(S_binomial[[#This Row],[Mindre end]],S_binomial[[#This Row],[Binomialfordeling]],NA())</f>
        <v>#N/A</v>
      </c>
      <c r="AM503" s="99">
        <f>IF(S_binomial[[#This Row],[Lig med]],S_binomial[[#This Row],[Binomialfordeling]],NA())</f>
        <v>0.39515869478400001</v>
      </c>
      <c r="AN503" s="99" t="e">
        <f>IF(S_binomial[[#This Row],[Større end]],S_binomial[[#This Row],[Binomialfordeling]],NA())</f>
        <v>#N/A</v>
      </c>
      <c r="AO503" s="85" t="str">
        <f>_xlfn.IFNA(IF(MOD(S_binomial[[#This Row],[Indeks (base 0)]],AF$7)=ROUNDDOWN(AF$7/2,0),S_binomial[[#This Row],[X base]],""),"")</f>
        <v/>
      </c>
      <c r="AP503" s="99" t="str">
        <f t="shared" si="78"/>
        <v xml:space="preserve"> </v>
      </c>
      <c r="AR503" s="54">
        <f t="shared" si="73"/>
        <v>490</v>
      </c>
      <c r="AS503" s="54">
        <f>S_normal27[[#This Row],[Indeks (base 0)]]+1</f>
        <v>491</v>
      </c>
      <c r="AT503" s="54">
        <f t="shared" si="75"/>
        <v>7</v>
      </c>
      <c r="AU503" s="54">
        <f>IF(MOD(S_normal27[[#This Row],[Indeks (base 0)]],AS$8)=0,NA(),_xlfn.POISSON.DIST(S_normal27[[#This Row],[X base]],$H$5,FALSE))</f>
        <v>2.1604031452483807E-2</v>
      </c>
      <c r="AV503" s="99" t="b">
        <f>S_normal27[[#This Row],[X base]]&lt;AS$5</f>
        <v>0</v>
      </c>
      <c r="AW503" s="99" t="b">
        <f>S_normal27[[#This Row],[X base]]=AS$5</f>
        <v>0</v>
      </c>
      <c r="AX503" s="99" t="b">
        <f>S_normal27[[#This Row],[X base]]&gt;AS$5</f>
        <v>1</v>
      </c>
      <c r="AY503" s="99" t="e">
        <f>IF(S_normal27[[#This Row],[Mindre end]],S_normal27[[#This Row],[Poissonfordeling]],NA())</f>
        <v>#N/A</v>
      </c>
      <c r="AZ503" s="99" t="e">
        <f>IF(S_normal27[[#This Row],[Lig med]],S_normal27[[#This Row],[Poissonfordeling]],NA())</f>
        <v>#N/A</v>
      </c>
      <c r="BA503" s="99">
        <f>IF(S_normal27[[#This Row],[Større end]],S_normal27[[#This Row],[Poissonfordeling]],NA())</f>
        <v>2.1604031452483807E-2</v>
      </c>
      <c r="BB503" s="85" t="str">
        <f>_xlfn.IFNA(IF(MOD(S_normal27[[#This Row],[Indeks (base 0)]],AS$8)=ROUNDDOWN(AS$8/2,0),S_normal27[[#This Row],[X base]],""),"")</f>
        <v/>
      </c>
      <c r="BC503" s="99" t="str">
        <f t="shared" si="74"/>
        <v xml:space="preserve"> </v>
      </c>
    </row>
    <row r="504" spans="31:55" x14ac:dyDescent="0.2">
      <c r="AE504" s="54">
        <f t="shared" si="76"/>
        <v>491</v>
      </c>
      <c r="AF504" s="54">
        <f>S_binomial[[#This Row],[Indeks (base 0)]]+1</f>
        <v>492</v>
      </c>
      <c r="AG504" s="99">
        <f t="shared" si="77"/>
        <v>5</v>
      </c>
      <c r="AH504" s="99">
        <f>IF(MOD(S_binomial[[#This Row],[Indeks (base 0)]],AF$7)=0,NA(),_xlfn.BINOM.DIST(S_binomial[[#This Row],[X base]],E$5,E$6,FALSE))</f>
        <v>0.39515869478400001</v>
      </c>
      <c r="AI504" s="99" t="b">
        <f>S_binomial[[#This Row],[X base]]&lt;AF$5</f>
        <v>0</v>
      </c>
      <c r="AJ504" s="99" t="b">
        <f>S_binomial[[#This Row],[X base]]=AF$5</f>
        <v>1</v>
      </c>
      <c r="AK504" s="99" t="b">
        <f>S_binomial[[#This Row],[X base]]&gt;AF$5</f>
        <v>0</v>
      </c>
      <c r="AL504" s="99" t="e">
        <f>IF(S_binomial[[#This Row],[Mindre end]],S_binomial[[#This Row],[Binomialfordeling]],NA())</f>
        <v>#N/A</v>
      </c>
      <c r="AM504" s="99">
        <f>IF(S_binomial[[#This Row],[Lig med]],S_binomial[[#This Row],[Binomialfordeling]],NA())</f>
        <v>0.39515869478400001</v>
      </c>
      <c r="AN504" s="99" t="e">
        <f>IF(S_binomial[[#This Row],[Større end]],S_binomial[[#This Row],[Binomialfordeling]],NA())</f>
        <v>#N/A</v>
      </c>
      <c r="AO504" s="85" t="str">
        <f>_xlfn.IFNA(IF(MOD(S_binomial[[#This Row],[Indeks (base 0)]],AF$7)=ROUNDDOWN(AF$7/2,0),S_binomial[[#This Row],[X base]],""),"")</f>
        <v/>
      </c>
      <c r="AP504" s="99" t="str">
        <f t="shared" si="78"/>
        <v xml:space="preserve"> </v>
      </c>
      <c r="AR504" s="54">
        <f t="shared" si="73"/>
        <v>491</v>
      </c>
      <c r="AS504" s="54">
        <f>S_normal27[[#This Row],[Indeks (base 0)]]+1</f>
        <v>492</v>
      </c>
      <c r="AT504" s="54">
        <f t="shared" si="75"/>
        <v>7</v>
      </c>
      <c r="AU504" s="54">
        <f>IF(MOD(S_normal27[[#This Row],[Indeks (base 0)]],AS$8)=0,NA(),_xlfn.POISSON.DIST(S_normal27[[#This Row],[X base]],$H$5,FALSE))</f>
        <v>2.1604031452483807E-2</v>
      </c>
      <c r="AV504" s="99" t="b">
        <f>S_normal27[[#This Row],[X base]]&lt;AS$5</f>
        <v>0</v>
      </c>
      <c r="AW504" s="99" t="b">
        <f>S_normal27[[#This Row],[X base]]=AS$5</f>
        <v>0</v>
      </c>
      <c r="AX504" s="99" t="b">
        <f>S_normal27[[#This Row],[X base]]&gt;AS$5</f>
        <v>1</v>
      </c>
      <c r="AY504" s="99" t="e">
        <f>IF(S_normal27[[#This Row],[Mindre end]],S_normal27[[#This Row],[Poissonfordeling]],NA())</f>
        <v>#N/A</v>
      </c>
      <c r="AZ504" s="99" t="e">
        <f>IF(S_normal27[[#This Row],[Lig med]],S_normal27[[#This Row],[Poissonfordeling]],NA())</f>
        <v>#N/A</v>
      </c>
      <c r="BA504" s="99">
        <f>IF(S_normal27[[#This Row],[Større end]],S_normal27[[#This Row],[Poissonfordeling]],NA())</f>
        <v>2.1604031452483807E-2</v>
      </c>
      <c r="BB504" s="85" t="str">
        <f>_xlfn.IFNA(IF(MOD(S_normal27[[#This Row],[Indeks (base 0)]],AS$8)=ROUNDDOWN(AS$8/2,0),S_normal27[[#This Row],[X base]],""),"")</f>
        <v/>
      </c>
      <c r="BC504" s="99" t="str">
        <f t="shared" si="74"/>
        <v xml:space="preserve"> </v>
      </c>
    </row>
    <row r="505" spans="31:55" x14ac:dyDescent="0.2">
      <c r="AE505" s="54">
        <f t="shared" si="76"/>
        <v>492</v>
      </c>
      <c r="AF505" s="54">
        <f>S_binomial[[#This Row],[Indeks (base 0)]]+1</f>
        <v>493</v>
      </c>
      <c r="AG505" s="99">
        <f t="shared" si="77"/>
        <v>5</v>
      </c>
      <c r="AH505" s="99">
        <f>IF(MOD(S_binomial[[#This Row],[Indeks (base 0)]],AF$7)=0,NA(),_xlfn.BINOM.DIST(S_binomial[[#This Row],[X base]],E$5,E$6,FALSE))</f>
        <v>0.39515869478400001</v>
      </c>
      <c r="AI505" s="99" t="b">
        <f>S_binomial[[#This Row],[X base]]&lt;AF$5</f>
        <v>0</v>
      </c>
      <c r="AJ505" s="99" t="b">
        <f>S_binomial[[#This Row],[X base]]=AF$5</f>
        <v>1</v>
      </c>
      <c r="AK505" s="99" t="b">
        <f>S_binomial[[#This Row],[X base]]&gt;AF$5</f>
        <v>0</v>
      </c>
      <c r="AL505" s="99" t="e">
        <f>IF(S_binomial[[#This Row],[Mindre end]],S_binomial[[#This Row],[Binomialfordeling]],NA())</f>
        <v>#N/A</v>
      </c>
      <c r="AM505" s="99">
        <f>IF(S_binomial[[#This Row],[Lig med]],S_binomial[[#This Row],[Binomialfordeling]],NA())</f>
        <v>0.39515869478400001</v>
      </c>
      <c r="AN505" s="99" t="e">
        <f>IF(S_binomial[[#This Row],[Større end]],S_binomial[[#This Row],[Binomialfordeling]],NA())</f>
        <v>#N/A</v>
      </c>
      <c r="AO505" s="85" t="str">
        <f>_xlfn.IFNA(IF(MOD(S_binomial[[#This Row],[Indeks (base 0)]],AF$7)=ROUNDDOWN(AF$7/2,0),S_binomial[[#This Row],[X base]],""),"")</f>
        <v/>
      </c>
      <c r="AP505" s="99" t="str">
        <f t="shared" si="78"/>
        <v xml:space="preserve"> </v>
      </c>
      <c r="AR505" s="54">
        <f t="shared" si="73"/>
        <v>492</v>
      </c>
      <c r="AS505" s="54">
        <f>S_normal27[[#This Row],[Indeks (base 0)]]+1</f>
        <v>493</v>
      </c>
      <c r="AT505" s="54">
        <f t="shared" si="75"/>
        <v>7</v>
      </c>
      <c r="AU505" s="54">
        <f>IF(MOD(S_normal27[[#This Row],[Indeks (base 0)]],AS$8)=0,NA(),_xlfn.POISSON.DIST(S_normal27[[#This Row],[X base]],$H$5,FALSE))</f>
        <v>2.1604031452483807E-2</v>
      </c>
      <c r="AV505" s="99" t="b">
        <f>S_normal27[[#This Row],[X base]]&lt;AS$5</f>
        <v>0</v>
      </c>
      <c r="AW505" s="99" t="b">
        <f>S_normal27[[#This Row],[X base]]=AS$5</f>
        <v>0</v>
      </c>
      <c r="AX505" s="99" t="b">
        <f>S_normal27[[#This Row],[X base]]&gt;AS$5</f>
        <v>1</v>
      </c>
      <c r="AY505" s="99" t="e">
        <f>IF(S_normal27[[#This Row],[Mindre end]],S_normal27[[#This Row],[Poissonfordeling]],NA())</f>
        <v>#N/A</v>
      </c>
      <c r="AZ505" s="99" t="e">
        <f>IF(S_normal27[[#This Row],[Lig med]],S_normal27[[#This Row],[Poissonfordeling]],NA())</f>
        <v>#N/A</v>
      </c>
      <c r="BA505" s="99">
        <f>IF(S_normal27[[#This Row],[Større end]],S_normal27[[#This Row],[Poissonfordeling]],NA())</f>
        <v>2.1604031452483807E-2</v>
      </c>
      <c r="BB505" s="85" t="str">
        <f>_xlfn.IFNA(IF(MOD(S_normal27[[#This Row],[Indeks (base 0)]],AS$8)=ROUNDDOWN(AS$8/2,0),S_normal27[[#This Row],[X base]],""),"")</f>
        <v/>
      </c>
      <c r="BC505" s="99" t="str">
        <f t="shared" si="74"/>
        <v xml:space="preserve"> </v>
      </c>
    </row>
    <row r="506" spans="31:55" x14ac:dyDescent="0.2">
      <c r="AE506" s="54">
        <f t="shared" si="76"/>
        <v>493</v>
      </c>
      <c r="AF506" s="54">
        <f>S_binomial[[#This Row],[Indeks (base 0)]]+1</f>
        <v>494</v>
      </c>
      <c r="AG506" s="99">
        <f t="shared" si="77"/>
        <v>5</v>
      </c>
      <c r="AH506" s="99">
        <f>IF(MOD(S_binomial[[#This Row],[Indeks (base 0)]],AF$7)=0,NA(),_xlfn.BINOM.DIST(S_binomial[[#This Row],[X base]],E$5,E$6,FALSE))</f>
        <v>0.39515869478400001</v>
      </c>
      <c r="AI506" s="99" t="b">
        <f>S_binomial[[#This Row],[X base]]&lt;AF$5</f>
        <v>0</v>
      </c>
      <c r="AJ506" s="99" t="b">
        <f>S_binomial[[#This Row],[X base]]=AF$5</f>
        <v>1</v>
      </c>
      <c r="AK506" s="99" t="b">
        <f>S_binomial[[#This Row],[X base]]&gt;AF$5</f>
        <v>0</v>
      </c>
      <c r="AL506" s="99" t="e">
        <f>IF(S_binomial[[#This Row],[Mindre end]],S_binomial[[#This Row],[Binomialfordeling]],NA())</f>
        <v>#N/A</v>
      </c>
      <c r="AM506" s="99">
        <f>IF(S_binomial[[#This Row],[Lig med]],S_binomial[[#This Row],[Binomialfordeling]],NA())</f>
        <v>0.39515869478400001</v>
      </c>
      <c r="AN506" s="99" t="e">
        <f>IF(S_binomial[[#This Row],[Større end]],S_binomial[[#This Row],[Binomialfordeling]],NA())</f>
        <v>#N/A</v>
      </c>
      <c r="AO506" s="85" t="str">
        <f>_xlfn.IFNA(IF(MOD(S_binomial[[#This Row],[Indeks (base 0)]],AF$7)=ROUNDDOWN(AF$7/2,0),S_binomial[[#This Row],[X base]],""),"")</f>
        <v/>
      </c>
      <c r="AP506" s="99" t="str">
        <f t="shared" si="78"/>
        <v xml:space="preserve"> </v>
      </c>
      <c r="AR506" s="54">
        <f t="shared" si="73"/>
        <v>493</v>
      </c>
      <c r="AS506" s="54">
        <f>S_normal27[[#This Row],[Indeks (base 0)]]+1</f>
        <v>494</v>
      </c>
      <c r="AT506" s="54">
        <f t="shared" si="75"/>
        <v>7</v>
      </c>
      <c r="AU506" s="54">
        <f>IF(MOD(S_normal27[[#This Row],[Indeks (base 0)]],AS$8)=0,NA(),_xlfn.POISSON.DIST(S_normal27[[#This Row],[X base]],$H$5,FALSE))</f>
        <v>2.1604031452483807E-2</v>
      </c>
      <c r="AV506" s="99" t="b">
        <f>S_normal27[[#This Row],[X base]]&lt;AS$5</f>
        <v>0</v>
      </c>
      <c r="AW506" s="99" t="b">
        <f>S_normal27[[#This Row],[X base]]=AS$5</f>
        <v>0</v>
      </c>
      <c r="AX506" s="99" t="b">
        <f>S_normal27[[#This Row],[X base]]&gt;AS$5</f>
        <v>1</v>
      </c>
      <c r="AY506" s="99" t="e">
        <f>IF(S_normal27[[#This Row],[Mindre end]],S_normal27[[#This Row],[Poissonfordeling]],NA())</f>
        <v>#N/A</v>
      </c>
      <c r="AZ506" s="99" t="e">
        <f>IF(S_normal27[[#This Row],[Lig med]],S_normal27[[#This Row],[Poissonfordeling]],NA())</f>
        <v>#N/A</v>
      </c>
      <c r="BA506" s="99">
        <f>IF(S_normal27[[#This Row],[Større end]],S_normal27[[#This Row],[Poissonfordeling]],NA())</f>
        <v>2.1604031452483807E-2</v>
      </c>
      <c r="BB506" s="85" t="str">
        <f>_xlfn.IFNA(IF(MOD(S_normal27[[#This Row],[Indeks (base 0)]],AS$8)=ROUNDDOWN(AS$8/2,0),S_normal27[[#This Row],[X base]],""),"")</f>
        <v/>
      </c>
      <c r="BC506" s="99" t="str">
        <f t="shared" si="74"/>
        <v xml:space="preserve"> </v>
      </c>
    </row>
    <row r="507" spans="31:55" x14ac:dyDescent="0.2">
      <c r="AE507" s="54">
        <f t="shared" si="76"/>
        <v>494</v>
      </c>
      <c r="AF507" s="54">
        <f>S_binomial[[#This Row],[Indeks (base 0)]]+1</f>
        <v>495</v>
      </c>
      <c r="AG507" s="99">
        <f t="shared" si="77"/>
        <v>5</v>
      </c>
      <c r="AH507" s="99">
        <f>IF(MOD(S_binomial[[#This Row],[Indeks (base 0)]],AF$7)=0,NA(),_xlfn.BINOM.DIST(S_binomial[[#This Row],[X base]],E$5,E$6,FALSE))</f>
        <v>0.39515869478400001</v>
      </c>
      <c r="AI507" s="99" t="b">
        <f>S_binomial[[#This Row],[X base]]&lt;AF$5</f>
        <v>0</v>
      </c>
      <c r="AJ507" s="99" t="b">
        <f>S_binomial[[#This Row],[X base]]=AF$5</f>
        <v>1</v>
      </c>
      <c r="AK507" s="99" t="b">
        <f>S_binomial[[#This Row],[X base]]&gt;AF$5</f>
        <v>0</v>
      </c>
      <c r="AL507" s="99" t="e">
        <f>IF(S_binomial[[#This Row],[Mindre end]],S_binomial[[#This Row],[Binomialfordeling]],NA())</f>
        <v>#N/A</v>
      </c>
      <c r="AM507" s="99">
        <f>IF(S_binomial[[#This Row],[Lig med]],S_binomial[[#This Row],[Binomialfordeling]],NA())</f>
        <v>0.39515869478400001</v>
      </c>
      <c r="AN507" s="99" t="e">
        <f>IF(S_binomial[[#This Row],[Større end]],S_binomial[[#This Row],[Binomialfordeling]],NA())</f>
        <v>#N/A</v>
      </c>
      <c r="AO507" s="85" t="str">
        <f>_xlfn.IFNA(IF(MOD(S_binomial[[#This Row],[Indeks (base 0)]],AF$7)=ROUNDDOWN(AF$7/2,0),S_binomial[[#This Row],[X base]],""),"")</f>
        <v/>
      </c>
      <c r="AP507" s="99" t="str">
        <f t="shared" si="78"/>
        <v xml:space="preserve"> </v>
      </c>
      <c r="AR507" s="54">
        <f t="shared" si="73"/>
        <v>494</v>
      </c>
      <c r="AS507" s="54">
        <f>S_normal27[[#This Row],[Indeks (base 0)]]+1</f>
        <v>495</v>
      </c>
      <c r="AT507" s="54">
        <f t="shared" si="75"/>
        <v>7</v>
      </c>
      <c r="AU507" s="54">
        <f>IF(MOD(S_normal27[[#This Row],[Indeks (base 0)]],AS$8)=0,NA(),_xlfn.POISSON.DIST(S_normal27[[#This Row],[X base]],$H$5,FALSE))</f>
        <v>2.1604031452483807E-2</v>
      </c>
      <c r="AV507" s="99" t="b">
        <f>S_normal27[[#This Row],[X base]]&lt;AS$5</f>
        <v>0</v>
      </c>
      <c r="AW507" s="99" t="b">
        <f>S_normal27[[#This Row],[X base]]=AS$5</f>
        <v>0</v>
      </c>
      <c r="AX507" s="99" t="b">
        <f>S_normal27[[#This Row],[X base]]&gt;AS$5</f>
        <v>1</v>
      </c>
      <c r="AY507" s="99" t="e">
        <f>IF(S_normal27[[#This Row],[Mindre end]],S_normal27[[#This Row],[Poissonfordeling]],NA())</f>
        <v>#N/A</v>
      </c>
      <c r="AZ507" s="99" t="e">
        <f>IF(S_normal27[[#This Row],[Lig med]],S_normal27[[#This Row],[Poissonfordeling]],NA())</f>
        <v>#N/A</v>
      </c>
      <c r="BA507" s="99">
        <f>IF(S_normal27[[#This Row],[Større end]],S_normal27[[#This Row],[Poissonfordeling]],NA())</f>
        <v>2.1604031452483807E-2</v>
      </c>
      <c r="BB507" s="85" t="str">
        <f>_xlfn.IFNA(IF(MOD(S_normal27[[#This Row],[Indeks (base 0)]],AS$8)=ROUNDDOWN(AS$8/2,0),S_normal27[[#This Row],[X base]],""),"")</f>
        <v/>
      </c>
      <c r="BC507" s="99" t="str">
        <f t="shared" si="74"/>
        <v xml:space="preserve"> </v>
      </c>
    </row>
    <row r="508" spans="31:55" x14ac:dyDescent="0.2">
      <c r="AE508" s="54">
        <f t="shared" si="76"/>
        <v>495</v>
      </c>
      <c r="AF508" s="54">
        <f>S_binomial[[#This Row],[Indeks (base 0)]]+1</f>
        <v>496</v>
      </c>
      <c r="AG508" s="99">
        <f t="shared" si="77"/>
        <v>5</v>
      </c>
      <c r="AH508" s="99">
        <f>IF(MOD(S_binomial[[#This Row],[Indeks (base 0)]],AF$7)=0,NA(),_xlfn.BINOM.DIST(S_binomial[[#This Row],[X base]],E$5,E$6,FALSE))</f>
        <v>0.39515869478400001</v>
      </c>
      <c r="AI508" s="99" t="b">
        <f>S_binomial[[#This Row],[X base]]&lt;AF$5</f>
        <v>0</v>
      </c>
      <c r="AJ508" s="99" t="b">
        <f>S_binomial[[#This Row],[X base]]=AF$5</f>
        <v>1</v>
      </c>
      <c r="AK508" s="99" t="b">
        <f>S_binomial[[#This Row],[X base]]&gt;AF$5</f>
        <v>0</v>
      </c>
      <c r="AL508" s="99" t="e">
        <f>IF(S_binomial[[#This Row],[Mindre end]],S_binomial[[#This Row],[Binomialfordeling]],NA())</f>
        <v>#N/A</v>
      </c>
      <c r="AM508" s="99">
        <f>IF(S_binomial[[#This Row],[Lig med]],S_binomial[[#This Row],[Binomialfordeling]],NA())</f>
        <v>0.39515869478400001</v>
      </c>
      <c r="AN508" s="99" t="e">
        <f>IF(S_binomial[[#This Row],[Større end]],S_binomial[[#This Row],[Binomialfordeling]],NA())</f>
        <v>#N/A</v>
      </c>
      <c r="AO508" s="85" t="str">
        <f>_xlfn.IFNA(IF(MOD(S_binomial[[#This Row],[Indeks (base 0)]],AF$7)=ROUNDDOWN(AF$7/2,0),S_binomial[[#This Row],[X base]],""),"")</f>
        <v/>
      </c>
      <c r="AP508" s="99" t="str">
        <f t="shared" si="78"/>
        <v xml:space="preserve"> </v>
      </c>
      <c r="AR508" s="54">
        <f t="shared" si="73"/>
        <v>495</v>
      </c>
      <c r="AS508" s="54">
        <f>S_normal27[[#This Row],[Indeks (base 0)]]+1</f>
        <v>496</v>
      </c>
      <c r="AT508" s="54">
        <f t="shared" si="75"/>
        <v>7</v>
      </c>
      <c r="AU508" s="54">
        <f>IF(MOD(S_normal27[[#This Row],[Indeks (base 0)]],AS$8)=0,NA(),_xlfn.POISSON.DIST(S_normal27[[#This Row],[X base]],$H$5,FALSE))</f>
        <v>2.1604031452483807E-2</v>
      </c>
      <c r="AV508" s="99" t="b">
        <f>S_normal27[[#This Row],[X base]]&lt;AS$5</f>
        <v>0</v>
      </c>
      <c r="AW508" s="99" t="b">
        <f>S_normal27[[#This Row],[X base]]=AS$5</f>
        <v>0</v>
      </c>
      <c r="AX508" s="99" t="b">
        <f>S_normal27[[#This Row],[X base]]&gt;AS$5</f>
        <v>1</v>
      </c>
      <c r="AY508" s="99" t="e">
        <f>IF(S_normal27[[#This Row],[Mindre end]],S_normal27[[#This Row],[Poissonfordeling]],NA())</f>
        <v>#N/A</v>
      </c>
      <c r="AZ508" s="99" t="e">
        <f>IF(S_normal27[[#This Row],[Lig med]],S_normal27[[#This Row],[Poissonfordeling]],NA())</f>
        <v>#N/A</v>
      </c>
      <c r="BA508" s="99">
        <f>IF(S_normal27[[#This Row],[Større end]],S_normal27[[#This Row],[Poissonfordeling]],NA())</f>
        <v>2.1604031452483807E-2</v>
      </c>
      <c r="BB508" s="85" t="str">
        <f>_xlfn.IFNA(IF(MOD(S_normal27[[#This Row],[Indeks (base 0)]],AS$8)=ROUNDDOWN(AS$8/2,0),S_normal27[[#This Row],[X base]],""),"")</f>
        <v/>
      </c>
      <c r="BC508" s="99" t="str">
        <f t="shared" si="74"/>
        <v xml:space="preserve"> </v>
      </c>
    </row>
    <row r="509" spans="31:55" x14ac:dyDescent="0.2">
      <c r="AE509" s="54">
        <f t="shared" si="76"/>
        <v>496</v>
      </c>
      <c r="AF509" s="54">
        <f>S_binomial[[#This Row],[Indeks (base 0)]]+1</f>
        <v>497</v>
      </c>
      <c r="AG509" s="99">
        <f t="shared" si="77"/>
        <v>5</v>
      </c>
      <c r="AH509" s="99">
        <f>IF(MOD(S_binomial[[#This Row],[Indeks (base 0)]],AF$7)=0,NA(),_xlfn.BINOM.DIST(S_binomial[[#This Row],[X base]],E$5,E$6,FALSE))</f>
        <v>0.39515869478400001</v>
      </c>
      <c r="AI509" s="99" t="b">
        <f>S_binomial[[#This Row],[X base]]&lt;AF$5</f>
        <v>0</v>
      </c>
      <c r="AJ509" s="99" t="b">
        <f>S_binomial[[#This Row],[X base]]=AF$5</f>
        <v>1</v>
      </c>
      <c r="AK509" s="99" t="b">
        <f>S_binomial[[#This Row],[X base]]&gt;AF$5</f>
        <v>0</v>
      </c>
      <c r="AL509" s="99" t="e">
        <f>IF(S_binomial[[#This Row],[Mindre end]],S_binomial[[#This Row],[Binomialfordeling]],NA())</f>
        <v>#N/A</v>
      </c>
      <c r="AM509" s="99">
        <f>IF(S_binomial[[#This Row],[Lig med]],S_binomial[[#This Row],[Binomialfordeling]],NA())</f>
        <v>0.39515869478400001</v>
      </c>
      <c r="AN509" s="99" t="e">
        <f>IF(S_binomial[[#This Row],[Større end]],S_binomial[[#This Row],[Binomialfordeling]],NA())</f>
        <v>#N/A</v>
      </c>
      <c r="AO509" s="85" t="str">
        <f>_xlfn.IFNA(IF(MOD(S_binomial[[#This Row],[Indeks (base 0)]],AF$7)=ROUNDDOWN(AF$7/2,0),S_binomial[[#This Row],[X base]],""),"")</f>
        <v/>
      </c>
      <c r="AP509" s="99" t="str">
        <f t="shared" si="78"/>
        <v xml:space="preserve"> </v>
      </c>
      <c r="AR509" s="54">
        <f t="shared" si="73"/>
        <v>496</v>
      </c>
      <c r="AS509" s="54">
        <f>S_normal27[[#This Row],[Indeks (base 0)]]+1</f>
        <v>497</v>
      </c>
      <c r="AT509" s="54">
        <f t="shared" si="75"/>
        <v>7</v>
      </c>
      <c r="AU509" s="54">
        <f>IF(MOD(S_normal27[[#This Row],[Indeks (base 0)]],AS$8)=0,NA(),_xlfn.POISSON.DIST(S_normal27[[#This Row],[X base]],$H$5,FALSE))</f>
        <v>2.1604031452483807E-2</v>
      </c>
      <c r="AV509" s="99" t="b">
        <f>S_normal27[[#This Row],[X base]]&lt;AS$5</f>
        <v>0</v>
      </c>
      <c r="AW509" s="99" t="b">
        <f>S_normal27[[#This Row],[X base]]=AS$5</f>
        <v>0</v>
      </c>
      <c r="AX509" s="99" t="b">
        <f>S_normal27[[#This Row],[X base]]&gt;AS$5</f>
        <v>1</v>
      </c>
      <c r="AY509" s="99" t="e">
        <f>IF(S_normal27[[#This Row],[Mindre end]],S_normal27[[#This Row],[Poissonfordeling]],NA())</f>
        <v>#N/A</v>
      </c>
      <c r="AZ509" s="99" t="e">
        <f>IF(S_normal27[[#This Row],[Lig med]],S_normal27[[#This Row],[Poissonfordeling]],NA())</f>
        <v>#N/A</v>
      </c>
      <c r="BA509" s="99">
        <f>IF(S_normal27[[#This Row],[Større end]],S_normal27[[#This Row],[Poissonfordeling]],NA())</f>
        <v>2.1604031452483807E-2</v>
      </c>
      <c r="BB509" s="85" t="str">
        <f>_xlfn.IFNA(IF(MOD(S_normal27[[#This Row],[Indeks (base 0)]],AS$8)=ROUNDDOWN(AS$8/2,0),S_normal27[[#This Row],[X base]],""),"")</f>
        <v/>
      </c>
      <c r="BC509" s="99" t="str">
        <f t="shared" si="74"/>
        <v xml:space="preserve"> </v>
      </c>
    </row>
    <row r="510" spans="31:55" x14ac:dyDescent="0.2">
      <c r="AE510" s="54">
        <f t="shared" si="76"/>
        <v>497</v>
      </c>
      <c r="AF510" s="54">
        <f>S_binomial[[#This Row],[Indeks (base 0)]]+1</f>
        <v>498</v>
      </c>
      <c r="AG510" s="99">
        <f t="shared" si="77"/>
        <v>5</v>
      </c>
      <c r="AH510" s="99">
        <f>IF(MOD(S_binomial[[#This Row],[Indeks (base 0)]],AF$7)=0,NA(),_xlfn.BINOM.DIST(S_binomial[[#This Row],[X base]],E$5,E$6,FALSE))</f>
        <v>0.39515869478400001</v>
      </c>
      <c r="AI510" s="99" t="b">
        <f>S_binomial[[#This Row],[X base]]&lt;AF$5</f>
        <v>0</v>
      </c>
      <c r="AJ510" s="99" t="b">
        <f>S_binomial[[#This Row],[X base]]=AF$5</f>
        <v>1</v>
      </c>
      <c r="AK510" s="99" t="b">
        <f>S_binomial[[#This Row],[X base]]&gt;AF$5</f>
        <v>0</v>
      </c>
      <c r="AL510" s="99" t="e">
        <f>IF(S_binomial[[#This Row],[Mindre end]],S_binomial[[#This Row],[Binomialfordeling]],NA())</f>
        <v>#N/A</v>
      </c>
      <c r="AM510" s="99">
        <f>IF(S_binomial[[#This Row],[Lig med]],S_binomial[[#This Row],[Binomialfordeling]],NA())</f>
        <v>0.39515869478400001</v>
      </c>
      <c r="AN510" s="99" t="e">
        <f>IF(S_binomial[[#This Row],[Større end]],S_binomial[[#This Row],[Binomialfordeling]],NA())</f>
        <v>#N/A</v>
      </c>
      <c r="AO510" s="85" t="str">
        <f>_xlfn.IFNA(IF(MOD(S_binomial[[#This Row],[Indeks (base 0)]],AF$7)=ROUNDDOWN(AF$7/2,0),S_binomial[[#This Row],[X base]],""),"")</f>
        <v/>
      </c>
      <c r="AP510" s="99" t="str">
        <f t="shared" si="78"/>
        <v xml:space="preserve"> </v>
      </c>
      <c r="AR510" s="54">
        <f t="shared" si="73"/>
        <v>497</v>
      </c>
      <c r="AS510" s="54">
        <f>S_normal27[[#This Row],[Indeks (base 0)]]+1</f>
        <v>498</v>
      </c>
      <c r="AT510" s="54">
        <f t="shared" si="75"/>
        <v>7</v>
      </c>
      <c r="AU510" s="54">
        <f>IF(MOD(S_normal27[[#This Row],[Indeks (base 0)]],AS$8)=0,NA(),_xlfn.POISSON.DIST(S_normal27[[#This Row],[X base]],$H$5,FALSE))</f>
        <v>2.1604031452483807E-2</v>
      </c>
      <c r="AV510" s="99" t="b">
        <f>S_normal27[[#This Row],[X base]]&lt;AS$5</f>
        <v>0</v>
      </c>
      <c r="AW510" s="99" t="b">
        <f>S_normal27[[#This Row],[X base]]=AS$5</f>
        <v>0</v>
      </c>
      <c r="AX510" s="99" t="b">
        <f>S_normal27[[#This Row],[X base]]&gt;AS$5</f>
        <v>1</v>
      </c>
      <c r="AY510" s="99" t="e">
        <f>IF(S_normal27[[#This Row],[Mindre end]],S_normal27[[#This Row],[Poissonfordeling]],NA())</f>
        <v>#N/A</v>
      </c>
      <c r="AZ510" s="99" t="e">
        <f>IF(S_normal27[[#This Row],[Lig med]],S_normal27[[#This Row],[Poissonfordeling]],NA())</f>
        <v>#N/A</v>
      </c>
      <c r="BA510" s="99">
        <f>IF(S_normal27[[#This Row],[Større end]],S_normal27[[#This Row],[Poissonfordeling]],NA())</f>
        <v>2.1604031452483807E-2</v>
      </c>
      <c r="BB510" s="85" t="str">
        <f>_xlfn.IFNA(IF(MOD(S_normal27[[#This Row],[Indeks (base 0)]],AS$8)=ROUNDDOWN(AS$8/2,0),S_normal27[[#This Row],[X base]],""),"")</f>
        <v/>
      </c>
      <c r="BC510" s="99" t="str">
        <f t="shared" si="74"/>
        <v xml:space="preserve"> </v>
      </c>
    </row>
    <row r="511" spans="31:55" x14ac:dyDescent="0.2">
      <c r="AE511" s="54">
        <f t="shared" si="76"/>
        <v>498</v>
      </c>
      <c r="AF511" s="54">
        <f>S_binomial[[#This Row],[Indeks (base 0)]]+1</f>
        <v>499</v>
      </c>
      <c r="AG511" s="99">
        <f t="shared" si="77"/>
        <v>5</v>
      </c>
      <c r="AH511" s="99">
        <f>IF(MOD(S_binomial[[#This Row],[Indeks (base 0)]],AF$7)=0,NA(),_xlfn.BINOM.DIST(S_binomial[[#This Row],[X base]],E$5,E$6,FALSE))</f>
        <v>0.39515869478400001</v>
      </c>
      <c r="AI511" s="99" t="b">
        <f>S_binomial[[#This Row],[X base]]&lt;AF$5</f>
        <v>0</v>
      </c>
      <c r="AJ511" s="99" t="b">
        <f>S_binomial[[#This Row],[X base]]=AF$5</f>
        <v>1</v>
      </c>
      <c r="AK511" s="99" t="b">
        <f>S_binomial[[#This Row],[X base]]&gt;AF$5</f>
        <v>0</v>
      </c>
      <c r="AL511" s="99" t="e">
        <f>IF(S_binomial[[#This Row],[Mindre end]],S_binomial[[#This Row],[Binomialfordeling]],NA())</f>
        <v>#N/A</v>
      </c>
      <c r="AM511" s="99">
        <f>IF(S_binomial[[#This Row],[Lig med]],S_binomial[[#This Row],[Binomialfordeling]],NA())</f>
        <v>0.39515869478400001</v>
      </c>
      <c r="AN511" s="99" t="e">
        <f>IF(S_binomial[[#This Row],[Større end]],S_binomial[[#This Row],[Binomialfordeling]],NA())</f>
        <v>#N/A</v>
      </c>
      <c r="AO511" s="85" t="str">
        <f>_xlfn.IFNA(IF(MOD(S_binomial[[#This Row],[Indeks (base 0)]],AF$7)=ROUNDDOWN(AF$7/2,0),S_binomial[[#This Row],[X base]],""),"")</f>
        <v/>
      </c>
      <c r="AP511" s="99" t="str">
        <f t="shared" si="78"/>
        <v xml:space="preserve"> </v>
      </c>
      <c r="AR511" s="54">
        <f t="shared" si="73"/>
        <v>498</v>
      </c>
      <c r="AS511" s="54">
        <f>S_normal27[[#This Row],[Indeks (base 0)]]+1</f>
        <v>499</v>
      </c>
      <c r="AT511" s="54">
        <f t="shared" si="75"/>
        <v>7</v>
      </c>
      <c r="AU511" s="54">
        <f>IF(MOD(S_normal27[[#This Row],[Indeks (base 0)]],AS$8)=0,NA(),_xlfn.POISSON.DIST(S_normal27[[#This Row],[X base]],$H$5,FALSE))</f>
        <v>2.1604031452483807E-2</v>
      </c>
      <c r="AV511" s="99" t="b">
        <f>S_normal27[[#This Row],[X base]]&lt;AS$5</f>
        <v>0</v>
      </c>
      <c r="AW511" s="99" t="b">
        <f>S_normal27[[#This Row],[X base]]=AS$5</f>
        <v>0</v>
      </c>
      <c r="AX511" s="99" t="b">
        <f>S_normal27[[#This Row],[X base]]&gt;AS$5</f>
        <v>1</v>
      </c>
      <c r="AY511" s="99" t="e">
        <f>IF(S_normal27[[#This Row],[Mindre end]],S_normal27[[#This Row],[Poissonfordeling]],NA())</f>
        <v>#N/A</v>
      </c>
      <c r="AZ511" s="99" t="e">
        <f>IF(S_normal27[[#This Row],[Lig med]],S_normal27[[#This Row],[Poissonfordeling]],NA())</f>
        <v>#N/A</v>
      </c>
      <c r="BA511" s="99">
        <f>IF(S_normal27[[#This Row],[Større end]],S_normal27[[#This Row],[Poissonfordeling]],NA())</f>
        <v>2.1604031452483807E-2</v>
      </c>
      <c r="BB511" s="85" t="str">
        <f>_xlfn.IFNA(IF(MOD(S_normal27[[#This Row],[Indeks (base 0)]],AS$8)=ROUNDDOWN(AS$8/2,0),S_normal27[[#This Row],[X base]],""),"")</f>
        <v/>
      </c>
      <c r="BC511" s="99" t="str">
        <f t="shared" si="74"/>
        <v xml:space="preserve"> </v>
      </c>
    </row>
    <row r="512" spans="31:55" x14ac:dyDescent="0.2">
      <c r="AE512" s="54">
        <f t="shared" si="76"/>
        <v>499</v>
      </c>
      <c r="AF512" s="54">
        <f>S_binomial[[#This Row],[Indeks (base 0)]]+1</f>
        <v>500</v>
      </c>
      <c r="AG512" s="99">
        <f t="shared" si="77"/>
        <v>5</v>
      </c>
      <c r="AH512" s="99">
        <f>IF(MOD(S_binomial[[#This Row],[Indeks (base 0)]],AF$7)=0,NA(),_xlfn.BINOM.DIST(S_binomial[[#This Row],[X base]],E$5,E$6,FALSE))</f>
        <v>0.39515869478400001</v>
      </c>
      <c r="AI512" s="99" t="b">
        <f>S_binomial[[#This Row],[X base]]&lt;AF$5</f>
        <v>0</v>
      </c>
      <c r="AJ512" s="99" t="b">
        <f>S_binomial[[#This Row],[X base]]=AF$5</f>
        <v>1</v>
      </c>
      <c r="AK512" s="99" t="b">
        <f>S_binomial[[#This Row],[X base]]&gt;AF$5</f>
        <v>0</v>
      </c>
      <c r="AL512" s="99" t="e">
        <f>IF(S_binomial[[#This Row],[Mindre end]],S_binomial[[#This Row],[Binomialfordeling]],NA())</f>
        <v>#N/A</v>
      </c>
      <c r="AM512" s="99">
        <f>IF(S_binomial[[#This Row],[Lig med]],S_binomial[[#This Row],[Binomialfordeling]],NA())</f>
        <v>0.39515869478400001</v>
      </c>
      <c r="AN512" s="99" t="e">
        <f>IF(S_binomial[[#This Row],[Større end]],S_binomial[[#This Row],[Binomialfordeling]],NA())</f>
        <v>#N/A</v>
      </c>
      <c r="AO512" s="85" t="str">
        <f>_xlfn.IFNA(IF(MOD(S_binomial[[#This Row],[Indeks (base 0)]],AF$7)=ROUNDDOWN(AF$7/2,0),S_binomial[[#This Row],[X base]],""),"")</f>
        <v/>
      </c>
      <c r="AP512" s="99" t="str">
        <f t="shared" si="78"/>
        <v xml:space="preserve"> </v>
      </c>
      <c r="AR512" s="54">
        <f t="shared" si="73"/>
        <v>499</v>
      </c>
      <c r="AS512" s="54">
        <f>S_normal27[[#This Row],[Indeks (base 0)]]+1</f>
        <v>500</v>
      </c>
      <c r="AT512" s="54">
        <f t="shared" si="75"/>
        <v>7</v>
      </c>
      <c r="AU512" s="54">
        <f>IF(MOD(S_normal27[[#This Row],[Indeks (base 0)]],AS$8)=0,NA(),_xlfn.POISSON.DIST(S_normal27[[#This Row],[X base]],$H$5,FALSE))</f>
        <v>2.1604031452483807E-2</v>
      </c>
      <c r="AV512" s="99" t="b">
        <f>S_normal27[[#This Row],[X base]]&lt;AS$5</f>
        <v>0</v>
      </c>
      <c r="AW512" s="99" t="b">
        <f>S_normal27[[#This Row],[X base]]=AS$5</f>
        <v>0</v>
      </c>
      <c r="AX512" s="99" t="b">
        <f>S_normal27[[#This Row],[X base]]&gt;AS$5</f>
        <v>1</v>
      </c>
      <c r="AY512" s="99" t="e">
        <f>IF(S_normal27[[#This Row],[Mindre end]],S_normal27[[#This Row],[Poissonfordeling]],NA())</f>
        <v>#N/A</v>
      </c>
      <c r="AZ512" s="99" t="e">
        <f>IF(S_normal27[[#This Row],[Lig med]],S_normal27[[#This Row],[Poissonfordeling]],NA())</f>
        <v>#N/A</v>
      </c>
      <c r="BA512" s="99">
        <f>IF(S_normal27[[#This Row],[Større end]],S_normal27[[#This Row],[Poissonfordeling]],NA())</f>
        <v>2.1604031452483807E-2</v>
      </c>
      <c r="BB512" s="85" t="str">
        <f>_xlfn.IFNA(IF(MOD(S_normal27[[#This Row],[Indeks (base 0)]],AS$8)=ROUNDDOWN(AS$8/2,0),S_normal27[[#This Row],[X base]],""),"")</f>
        <v/>
      </c>
      <c r="BC512" s="99" t="str">
        <f t="shared" si="74"/>
        <v xml:space="preserve"> </v>
      </c>
    </row>
    <row r="513" spans="31:55" x14ac:dyDescent="0.2">
      <c r="AE513" s="54">
        <f t="shared" si="76"/>
        <v>500</v>
      </c>
      <c r="AF513" s="54">
        <f>S_binomial[[#This Row],[Indeks (base 0)]]+1</f>
        <v>501</v>
      </c>
      <c r="AG513" s="99">
        <f t="shared" si="77"/>
        <v>5</v>
      </c>
      <c r="AH513" s="99">
        <f>IF(MOD(S_binomial[[#This Row],[Indeks (base 0)]],AF$7)=0,NA(),_xlfn.BINOM.DIST(S_binomial[[#This Row],[X base]],E$5,E$6,FALSE))</f>
        <v>0.39515869478400001</v>
      </c>
      <c r="AI513" s="99" t="b">
        <f>S_binomial[[#This Row],[X base]]&lt;AF$5</f>
        <v>0</v>
      </c>
      <c r="AJ513" s="99" t="b">
        <f>S_binomial[[#This Row],[X base]]=AF$5</f>
        <v>1</v>
      </c>
      <c r="AK513" s="99" t="b">
        <f>S_binomial[[#This Row],[X base]]&gt;AF$5</f>
        <v>0</v>
      </c>
      <c r="AL513" s="99" t="e">
        <f>IF(S_binomial[[#This Row],[Mindre end]],S_binomial[[#This Row],[Binomialfordeling]],NA())</f>
        <v>#N/A</v>
      </c>
      <c r="AM513" s="99">
        <f>IF(S_binomial[[#This Row],[Lig med]],S_binomial[[#This Row],[Binomialfordeling]],NA())</f>
        <v>0.39515869478400001</v>
      </c>
      <c r="AN513" s="99" t="e">
        <f>IF(S_binomial[[#This Row],[Større end]],S_binomial[[#This Row],[Binomialfordeling]],NA())</f>
        <v>#N/A</v>
      </c>
      <c r="AO513" s="85" t="str">
        <f>_xlfn.IFNA(IF(MOD(S_binomial[[#This Row],[Indeks (base 0)]],AF$7)=ROUNDDOWN(AF$7/2,0),S_binomial[[#This Row],[X base]],""),"")</f>
        <v/>
      </c>
      <c r="AP513" s="99" t="str">
        <f t="shared" si="78"/>
        <v xml:space="preserve"> </v>
      </c>
      <c r="AR513" s="54">
        <f t="shared" si="73"/>
        <v>500</v>
      </c>
      <c r="AS513" s="54">
        <f>S_normal27[[#This Row],[Indeks (base 0)]]+1</f>
        <v>501</v>
      </c>
      <c r="AT513" s="54">
        <f t="shared" si="75"/>
        <v>7</v>
      </c>
      <c r="AU513" s="54">
        <f>IF(MOD(S_normal27[[#This Row],[Indeks (base 0)]],AS$8)=0,NA(),_xlfn.POISSON.DIST(S_normal27[[#This Row],[X base]],$H$5,FALSE))</f>
        <v>2.1604031452483807E-2</v>
      </c>
      <c r="AV513" s="99" t="b">
        <f>S_normal27[[#This Row],[X base]]&lt;AS$5</f>
        <v>0</v>
      </c>
      <c r="AW513" s="99" t="b">
        <f>S_normal27[[#This Row],[X base]]=AS$5</f>
        <v>0</v>
      </c>
      <c r="AX513" s="99" t="b">
        <f>S_normal27[[#This Row],[X base]]&gt;AS$5</f>
        <v>1</v>
      </c>
      <c r="AY513" s="99" t="e">
        <f>IF(S_normal27[[#This Row],[Mindre end]],S_normal27[[#This Row],[Poissonfordeling]],NA())</f>
        <v>#N/A</v>
      </c>
      <c r="AZ513" s="99" t="e">
        <f>IF(S_normal27[[#This Row],[Lig med]],S_normal27[[#This Row],[Poissonfordeling]],NA())</f>
        <v>#N/A</v>
      </c>
      <c r="BA513" s="99">
        <f>IF(S_normal27[[#This Row],[Større end]],S_normal27[[#This Row],[Poissonfordeling]],NA())</f>
        <v>2.1604031452483807E-2</v>
      </c>
      <c r="BB513" s="85" t="str">
        <f>_xlfn.IFNA(IF(MOD(S_normal27[[#This Row],[Indeks (base 0)]],AS$8)=ROUNDDOWN(AS$8/2,0),S_normal27[[#This Row],[X base]],""),"")</f>
        <v/>
      </c>
      <c r="BC513" s="99" t="str">
        <f t="shared" si="74"/>
        <v xml:space="preserve"> </v>
      </c>
    </row>
    <row r="514" spans="31:55" x14ac:dyDescent="0.2">
      <c r="AE514" s="54">
        <f t="shared" si="76"/>
        <v>501</v>
      </c>
      <c r="AF514" s="54">
        <f>S_binomial[[#This Row],[Indeks (base 0)]]+1</f>
        <v>502</v>
      </c>
      <c r="AG514" s="99">
        <f t="shared" si="77"/>
        <v>5</v>
      </c>
      <c r="AH514" s="99">
        <f>IF(MOD(S_binomial[[#This Row],[Indeks (base 0)]],AF$7)=0,NA(),_xlfn.BINOM.DIST(S_binomial[[#This Row],[X base]],E$5,E$6,FALSE))</f>
        <v>0.39515869478400001</v>
      </c>
      <c r="AI514" s="99" t="b">
        <f>S_binomial[[#This Row],[X base]]&lt;AF$5</f>
        <v>0</v>
      </c>
      <c r="AJ514" s="99" t="b">
        <f>S_binomial[[#This Row],[X base]]=AF$5</f>
        <v>1</v>
      </c>
      <c r="AK514" s="99" t="b">
        <f>S_binomial[[#This Row],[X base]]&gt;AF$5</f>
        <v>0</v>
      </c>
      <c r="AL514" s="99" t="e">
        <f>IF(S_binomial[[#This Row],[Mindre end]],S_binomial[[#This Row],[Binomialfordeling]],NA())</f>
        <v>#N/A</v>
      </c>
      <c r="AM514" s="99">
        <f>IF(S_binomial[[#This Row],[Lig med]],S_binomial[[#This Row],[Binomialfordeling]],NA())</f>
        <v>0.39515869478400001</v>
      </c>
      <c r="AN514" s="99" t="e">
        <f>IF(S_binomial[[#This Row],[Større end]],S_binomial[[#This Row],[Binomialfordeling]],NA())</f>
        <v>#N/A</v>
      </c>
      <c r="AO514" s="85" t="str">
        <f>_xlfn.IFNA(IF(MOD(S_binomial[[#This Row],[Indeks (base 0)]],AF$7)=ROUNDDOWN(AF$7/2,0),S_binomial[[#This Row],[X base]],""),"")</f>
        <v/>
      </c>
      <c r="AP514" s="99" t="str">
        <f t="shared" si="78"/>
        <v xml:space="preserve"> </v>
      </c>
      <c r="AR514" s="54">
        <f t="shared" si="73"/>
        <v>501</v>
      </c>
      <c r="AS514" s="54">
        <f>S_normal27[[#This Row],[Indeks (base 0)]]+1</f>
        <v>502</v>
      </c>
      <c r="AT514" s="54">
        <f t="shared" si="75"/>
        <v>7</v>
      </c>
      <c r="AU514" s="54">
        <f>IF(MOD(S_normal27[[#This Row],[Indeks (base 0)]],AS$8)=0,NA(),_xlfn.POISSON.DIST(S_normal27[[#This Row],[X base]],$H$5,FALSE))</f>
        <v>2.1604031452483807E-2</v>
      </c>
      <c r="AV514" s="99" t="b">
        <f>S_normal27[[#This Row],[X base]]&lt;AS$5</f>
        <v>0</v>
      </c>
      <c r="AW514" s="99" t="b">
        <f>S_normal27[[#This Row],[X base]]=AS$5</f>
        <v>0</v>
      </c>
      <c r="AX514" s="99" t="b">
        <f>S_normal27[[#This Row],[X base]]&gt;AS$5</f>
        <v>1</v>
      </c>
      <c r="AY514" s="99" t="e">
        <f>IF(S_normal27[[#This Row],[Mindre end]],S_normal27[[#This Row],[Poissonfordeling]],NA())</f>
        <v>#N/A</v>
      </c>
      <c r="AZ514" s="99" t="e">
        <f>IF(S_normal27[[#This Row],[Lig med]],S_normal27[[#This Row],[Poissonfordeling]],NA())</f>
        <v>#N/A</v>
      </c>
      <c r="BA514" s="99">
        <f>IF(S_normal27[[#This Row],[Større end]],S_normal27[[#This Row],[Poissonfordeling]],NA())</f>
        <v>2.1604031452483807E-2</v>
      </c>
      <c r="BB514" s="85" t="str">
        <f>_xlfn.IFNA(IF(MOD(S_normal27[[#This Row],[Indeks (base 0)]],AS$8)=ROUNDDOWN(AS$8/2,0),S_normal27[[#This Row],[X base]],""),"")</f>
        <v/>
      </c>
      <c r="BC514" s="99" t="str">
        <f t="shared" si="74"/>
        <v xml:space="preserve"> </v>
      </c>
    </row>
    <row r="515" spans="31:55" x14ac:dyDescent="0.2">
      <c r="AE515" s="54">
        <f t="shared" si="76"/>
        <v>502</v>
      </c>
      <c r="AF515" s="54">
        <f>S_binomial[[#This Row],[Indeks (base 0)]]+1</f>
        <v>503</v>
      </c>
      <c r="AG515" s="99">
        <f t="shared" si="77"/>
        <v>5</v>
      </c>
      <c r="AH515" s="99">
        <f>IF(MOD(S_binomial[[#This Row],[Indeks (base 0)]],AF$7)=0,NA(),_xlfn.BINOM.DIST(S_binomial[[#This Row],[X base]],E$5,E$6,FALSE))</f>
        <v>0.39515869478400001</v>
      </c>
      <c r="AI515" s="99" t="b">
        <f>S_binomial[[#This Row],[X base]]&lt;AF$5</f>
        <v>0</v>
      </c>
      <c r="AJ515" s="99" t="b">
        <f>S_binomial[[#This Row],[X base]]=AF$5</f>
        <v>1</v>
      </c>
      <c r="AK515" s="99" t="b">
        <f>S_binomial[[#This Row],[X base]]&gt;AF$5</f>
        <v>0</v>
      </c>
      <c r="AL515" s="99" t="e">
        <f>IF(S_binomial[[#This Row],[Mindre end]],S_binomial[[#This Row],[Binomialfordeling]],NA())</f>
        <v>#N/A</v>
      </c>
      <c r="AM515" s="99">
        <f>IF(S_binomial[[#This Row],[Lig med]],S_binomial[[#This Row],[Binomialfordeling]],NA())</f>
        <v>0.39515869478400001</v>
      </c>
      <c r="AN515" s="99" t="e">
        <f>IF(S_binomial[[#This Row],[Større end]],S_binomial[[#This Row],[Binomialfordeling]],NA())</f>
        <v>#N/A</v>
      </c>
      <c r="AO515" s="85" t="str">
        <f>_xlfn.IFNA(IF(MOD(S_binomial[[#This Row],[Indeks (base 0)]],AF$7)=ROUNDDOWN(AF$7/2,0),S_binomial[[#This Row],[X base]],""),"")</f>
        <v/>
      </c>
      <c r="AP515" s="99" t="str">
        <f t="shared" si="78"/>
        <v xml:space="preserve"> </v>
      </c>
      <c r="AR515" s="54">
        <f t="shared" si="73"/>
        <v>502</v>
      </c>
      <c r="AS515" s="54">
        <f>S_normal27[[#This Row],[Indeks (base 0)]]+1</f>
        <v>503</v>
      </c>
      <c r="AT515" s="54">
        <f t="shared" si="75"/>
        <v>7</v>
      </c>
      <c r="AU515" s="54">
        <f>IF(MOD(S_normal27[[#This Row],[Indeks (base 0)]],AS$8)=0,NA(),_xlfn.POISSON.DIST(S_normal27[[#This Row],[X base]],$H$5,FALSE))</f>
        <v>2.1604031452483807E-2</v>
      </c>
      <c r="AV515" s="99" t="b">
        <f>S_normal27[[#This Row],[X base]]&lt;AS$5</f>
        <v>0</v>
      </c>
      <c r="AW515" s="99" t="b">
        <f>S_normal27[[#This Row],[X base]]=AS$5</f>
        <v>0</v>
      </c>
      <c r="AX515" s="99" t="b">
        <f>S_normal27[[#This Row],[X base]]&gt;AS$5</f>
        <v>1</v>
      </c>
      <c r="AY515" s="99" t="e">
        <f>IF(S_normal27[[#This Row],[Mindre end]],S_normal27[[#This Row],[Poissonfordeling]],NA())</f>
        <v>#N/A</v>
      </c>
      <c r="AZ515" s="99" t="e">
        <f>IF(S_normal27[[#This Row],[Lig med]],S_normal27[[#This Row],[Poissonfordeling]],NA())</f>
        <v>#N/A</v>
      </c>
      <c r="BA515" s="99">
        <f>IF(S_normal27[[#This Row],[Større end]],S_normal27[[#This Row],[Poissonfordeling]],NA())</f>
        <v>2.1604031452483807E-2</v>
      </c>
      <c r="BB515" s="85" t="str">
        <f>_xlfn.IFNA(IF(MOD(S_normal27[[#This Row],[Indeks (base 0)]],AS$8)=ROUNDDOWN(AS$8/2,0),S_normal27[[#This Row],[X base]],""),"")</f>
        <v/>
      </c>
      <c r="BC515" s="99" t="str">
        <f t="shared" si="74"/>
        <v xml:space="preserve"> </v>
      </c>
    </row>
    <row r="516" spans="31:55" x14ac:dyDescent="0.2">
      <c r="AE516" s="54">
        <f t="shared" si="76"/>
        <v>503</v>
      </c>
      <c r="AF516" s="54">
        <f>S_binomial[[#This Row],[Indeks (base 0)]]+1</f>
        <v>504</v>
      </c>
      <c r="AG516" s="99">
        <f t="shared" si="77"/>
        <v>5</v>
      </c>
      <c r="AH516" s="99">
        <f>IF(MOD(S_binomial[[#This Row],[Indeks (base 0)]],AF$7)=0,NA(),_xlfn.BINOM.DIST(S_binomial[[#This Row],[X base]],E$5,E$6,FALSE))</f>
        <v>0.39515869478400001</v>
      </c>
      <c r="AI516" s="99" t="b">
        <f>S_binomial[[#This Row],[X base]]&lt;AF$5</f>
        <v>0</v>
      </c>
      <c r="AJ516" s="99" t="b">
        <f>S_binomial[[#This Row],[X base]]=AF$5</f>
        <v>1</v>
      </c>
      <c r="AK516" s="99" t="b">
        <f>S_binomial[[#This Row],[X base]]&gt;AF$5</f>
        <v>0</v>
      </c>
      <c r="AL516" s="99" t="e">
        <f>IF(S_binomial[[#This Row],[Mindre end]],S_binomial[[#This Row],[Binomialfordeling]],NA())</f>
        <v>#N/A</v>
      </c>
      <c r="AM516" s="99">
        <f>IF(S_binomial[[#This Row],[Lig med]],S_binomial[[#This Row],[Binomialfordeling]],NA())</f>
        <v>0.39515869478400001</v>
      </c>
      <c r="AN516" s="99" t="e">
        <f>IF(S_binomial[[#This Row],[Større end]],S_binomial[[#This Row],[Binomialfordeling]],NA())</f>
        <v>#N/A</v>
      </c>
      <c r="AO516" s="85" t="str">
        <f>_xlfn.IFNA(IF(MOD(S_binomial[[#This Row],[Indeks (base 0)]],AF$7)=ROUNDDOWN(AF$7/2,0),S_binomial[[#This Row],[X base]],""),"")</f>
        <v/>
      </c>
      <c r="AP516" s="99" t="str">
        <f t="shared" si="78"/>
        <v xml:space="preserve"> </v>
      </c>
      <c r="AR516" s="54">
        <f t="shared" si="73"/>
        <v>503</v>
      </c>
      <c r="AS516" s="54">
        <f>S_normal27[[#This Row],[Indeks (base 0)]]+1</f>
        <v>504</v>
      </c>
      <c r="AT516" s="54">
        <f t="shared" si="75"/>
        <v>7</v>
      </c>
      <c r="AU516" s="54">
        <f>IF(MOD(S_normal27[[#This Row],[Indeks (base 0)]],AS$8)=0,NA(),_xlfn.POISSON.DIST(S_normal27[[#This Row],[X base]],$H$5,FALSE))</f>
        <v>2.1604031452483807E-2</v>
      </c>
      <c r="AV516" s="99" t="b">
        <f>S_normal27[[#This Row],[X base]]&lt;AS$5</f>
        <v>0</v>
      </c>
      <c r="AW516" s="99" t="b">
        <f>S_normal27[[#This Row],[X base]]=AS$5</f>
        <v>0</v>
      </c>
      <c r="AX516" s="99" t="b">
        <f>S_normal27[[#This Row],[X base]]&gt;AS$5</f>
        <v>1</v>
      </c>
      <c r="AY516" s="99" t="e">
        <f>IF(S_normal27[[#This Row],[Mindre end]],S_normal27[[#This Row],[Poissonfordeling]],NA())</f>
        <v>#N/A</v>
      </c>
      <c r="AZ516" s="99" t="e">
        <f>IF(S_normal27[[#This Row],[Lig med]],S_normal27[[#This Row],[Poissonfordeling]],NA())</f>
        <v>#N/A</v>
      </c>
      <c r="BA516" s="99">
        <f>IF(S_normal27[[#This Row],[Større end]],S_normal27[[#This Row],[Poissonfordeling]],NA())</f>
        <v>2.1604031452483807E-2</v>
      </c>
      <c r="BB516" s="85" t="str">
        <f>_xlfn.IFNA(IF(MOD(S_normal27[[#This Row],[Indeks (base 0)]],AS$8)=ROUNDDOWN(AS$8/2,0),S_normal27[[#This Row],[X base]],""),"")</f>
        <v/>
      </c>
      <c r="BC516" s="99" t="str">
        <f t="shared" si="74"/>
        <v xml:space="preserve"> </v>
      </c>
    </row>
    <row r="517" spans="31:55" x14ac:dyDescent="0.2">
      <c r="AE517" s="54">
        <f t="shared" si="76"/>
        <v>504</v>
      </c>
      <c r="AF517" s="54">
        <f>S_binomial[[#This Row],[Indeks (base 0)]]+1</f>
        <v>505</v>
      </c>
      <c r="AG517" s="99">
        <f t="shared" si="77"/>
        <v>5</v>
      </c>
      <c r="AH517" s="99">
        <f>IF(MOD(S_binomial[[#This Row],[Indeks (base 0)]],AF$7)=0,NA(),_xlfn.BINOM.DIST(S_binomial[[#This Row],[X base]],E$5,E$6,FALSE))</f>
        <v>0.39515869478400001</v>
      </c>
      <c r="AI517" s="99" t="b">
        <f>S_binomial[[#This Row],[X base]]&lt;AF$5</f>
        <v>0</v>
      </c>
      <c r="AJ517" s="99" t="b">
        <f>S_binomial[[#This Row],[X base]]=AF$5</f>
        <v>1</v>
      </c>
      <c r="AK517" s="99" t="b">
        <f>S_binomial[[#This Row],[X base]]&gt;AF$5</f>
        <v>0</v>
      </c>
      <c r="AL517" s="99" t="e">
        <f>IF(S_binomial[[#This Row],[Mindre end]],S_binomial[[#This Row],[Binomialfordeling]],NA())</f>
        <v>#N/A</v>
      </c>
      <c r="AM517" s="99">
        <f>IF(S_binomial[[#This Row],[Lig med]],S_binomial[[#This Row],[Binomialfordeling]],NA())</f>
        <v>0.39515869478400001</v>
      </c>
      <c r="AN517" s="99" t="e">
        <f>IF(S_binomial[[#This Row],[Større end]],S_binomial[[#This Row],[Binomialfordeling]],NA())</f>
        <v>#N/A</v>
      </c>
      <c r="AO517" s="85" t="str">
        <f>_xlfn.IFNA(IF(MOD(S_binomial[[#This Row],[Indeks (base 0)]],AF$7)=ROUNDDOWN(AF$7/2,0),S_binomial[[#This Row],[X base]],""),"")</f>
        <v/>
      </c>
      <c r="AP517" s="99" t="str">
        <f t="shared" si="78"/>
        <v xml:space="preserve"> </v>
      </c>
      <c r="AR517" s="54">
        <f t="shared" si="73"/>
        <v>504</v>
      </c>
      <c r="AS517" s="54">
        <f>S_normal27[[#This Row],[Indeks (base 0)]]+1</f>
        <v>505</v>
      </c>
      <c r="AT517" s="54">
        <f t="shared" si="75"/>
        <v>7</v>
      </c>
      <c r="AU517" s="54">
        <f>IF(MOD(S_normal27[[#This Row],[Indeks (base 0)]],AS$8)=0,NA(),_xlfn.POISSON.DIST(S_normal27[[#This Row],[X base]],$H$5,FALSE))</f>
        <v>2.1604031452483807E-2</v>
      </c>
      <c r="AV517" s="99" t="b">
        <f>S_normal27[[#This Row],[X base]]&lt;AS$5</f>
        <v>0</v>
      </c>
      <c r="AW517" s="99" t="b">
        <f>S_normal27[[#This Row],[X base]]=AS$5</f>
        <v>0</v>
      </c>
      <c r="AX517" s="99" t="b">
        <f>S_normal27[[#This Row],[X base]]&gt;AS$5</f>
        <v>1</v>
      </c>
      <c r="AY517" s="99" t="e">
        <f>IF(S_normal27[[#This Row],[Mindre end]],S_normal27[[#This Row],[Poissonfordeling]],NA())</f>
        <v>#N/A</v>
      </c>
      <c r="AZ517" s="99" t="e">
        <f>IF(S_normal27[[#This Row],[Lig med]],S_normal27[[#This Row],[Poissonfordeling]],NA())</f>
        <v>#N/A</v>
      </c>
      <c r="BA517" s="99">
        <f>IF(S_normal27[[#This Row],[Større end]],S_normal27[[#This Row],[Poissonfordeling]],NA())</f>
        <v>2.1604031452483807E-2</v>
      </c>
      <c r="BB517" s="85" t="str">
        <f>_xlfn.IFNA(IF(MOD(S_normal27[[#This Row],[Indeks (base 0)]],AS$8)=ROUNDDOWN(AS$8/2,0),S_normal27[[#This Row],[X base]],""),"")</f>
        <v/>
      </c>
      <c r="BC517" s="99" t="str">
        <f t="shared" si="74"/>
        <v xml:space="preserve"> </v>
      </c>
    </row>
    <row r="518" spans="31:55" x14ac:dyDescent="0.2">
      <c r="AE518" s="54">
        <f t="shared" si="76"/>
        <v>505</v>
      </c>
      <c r="AF518" s="54">
        <f>S_binomial[[#This Row],[Indeks (base 0)]]+1</f>
        <v>506</v>
      </c>
      <c r="AG518" s="99">
        <f t="shared" si="77"/>
        <v>5</v>
      </c>
      <c r="AH518" s="99">
        <f>IF(MOD(S_binomial[[#This Row],[Indeks (base 0)]],AF$7)=0,NA(),_xlfn.BINOM.DIST(S_binomial[[#This Row],[X base]],E$5,E$6,FALSE))</f>
        <v>0.39515869478400001</v>
      </c>
      <c r="AI518" s="99" t="b">
        <f>S_binomial[[#This Row],[X base]]&lt;AF$5</f>
        <v>0</v>
      </c>
      <c r="AJ518" s="99" t="b">
        <f>S_binomial[[#This Row],[X base]]=AF$5</f>
        <v>1</v>
      </c>
      <c r="AK518" s="99" t="b">
        <f>S_binomial[[#This Row],[X base]]&gt;AF$5</f>
        <v>0</v>
      </c>
      <c r="AL518" s="99" t="e">
        <f>IF(S_binomial[[#This Row],[Mindre end]],S_binomial[[#This Row],[Binomialfordeling]],NA())</f>
        <v>#N/A</v>
      </c>
      <c r="AM518" s="99">
        <f>IF(S_binomial[[#This Row],[Lig med]],S_binomial[[#This Row],[Binomialfordeling]],NA())</f>
        <v>0.39515869478400001</v>
      </c>
      <c r="AN518" s="99" t="e">
        <f>IF(S_binomial[[#This Row],[Større end]],S_binomial[[#This Row],[Binomialfordeling]],NA())</f>
        <v>#N/A</v>
      </c>
      <c r="AO518" s="85" t="str">
        <f>_xlfn.IFNA(IF(MOD(S_binomial[[#This Row],[Indeks (base 0)]],AF$7)=ROUNDDOWN(AF$7/2,0),S_binomial[[#This Row],[X base]],""),"")</f>
        <v/>
      </c>
      <c r="AP518" s="99" t="str">
        <f t="shared" si="78"/>
        <v xml:space="preserve"> </v>
      </c>
      <c r="AR518" s="54">
        <f t="shared" si="73"/>
        <v>505</v>
      </c>
      <c r="AS518" s="54">
        <f>S_normal27[[#This Row],[Indeks (base 0)]]+1</f>
        <v>506</v>
      </c>
      <c r="AT518" s="54">
        <f t="shared" si="75"/>
        <v>7</v>
      </c>
      <c r="AU518" s="54">
        <f>IF(MOD(S_normal27[[#This Row],[Indeks (base 0)]],AS$8)=0,NA(),_xlfn.POISSON.DIST(S_normal27[[#This Row],[X base]],$H$5,FALSE))</f>
        <v>2.1604031452483807E-2</v>
      </c>
      <c r="AV518" s="99" t="b">
        <f>S_normal27[[#This Row],[X base]]&lt;AS$5</f>
        <v>0</v>
      </c>
      <c r="AW518" s="99" t="b">
        <f>S_normal27[[#This Row],[X base]]=AS$5</f>
        <v>0</v>
      </c>
      <c r="AX518" s="99" t="b">
        <f>S_normal27[[#This Row],[X base]]&gt;AS$5</f>
        <v>1</v>
      </c>
      <c r="AY518" s="99" t="e">
        <f>IF(S_normal27[[#This Row],[Mindre end]],S_normal27[[#This Row],[Poissonfordeling]],NA())</f>
        <v>#N/A</v>
      </c>
      <c r="AZ518" s="99" t="e">
        <f>IF(S_normal27[[#This Row],[Lig med]],S_normal27[[#This Row],[Poissonfordeling]],NA())</f>
        <v>#N/A</v>
      </c>
      <c r="BA518" s="99">
        <f>IF(S_normal27[[#This Row],[Større end]],S_normal27[[#This Row],[Poissonfordeling]],NA())</f>
        <v>2.1604031452483807E-2</v>
      </c>
      <c r="BB518" s="85" t="str">
        <f>_xlfn.IFNA(IF(MOD(S_normal27[[#This Row],[Indeks (base 0)]],AS$8)=ROUNDDOWN(AS$8/2,0),S_normal27[[#This Row],[X base]],""),"")</f>
        <v/>
      </c>
      <c r="BC518" s="99" t="str">
        <f t="shared" si="74"/>
        <v xml:space="preserve"> </v>
      </c>
    </row>
    <row r="519" spans="31:55" x14ac:dyDescent="0.2">
      <c r="AE519" s="54">
        <f t="shared" si="76"/>
        <v>506</v>
      </c>
      <c r="AF519" s="54">
        <f>S_binomial[[#This Row],[Indeks (base 0)]]+1</f>
        <v>507</v>
      </c>
      <c r="AG519" s="99">
        <f t="shared" si="77"/>
        <v>5</v>
      </c>
      <c r="AH519" s="99">
        <f>IF(MOD(S_binomial[[#This Row],[Indeks (base 0)]],AF$7)=0,NA(),_xlfn.BINOM.DIST(S_binomial[[#This Row],[X base]],E$5,E$6,FALSE))</f>
        <v>0.39515869478400001</v>
      </c>
      <c r="AI519" s="99" t="b">
        <f>S_binomial[[#This Row],[X base]]&lt;AF$5</f>
        <v>0</v>
      </c>
      <c r="AJ519" s="99" t="b">
        <f>S_binomial[[#This Row],[X base]]=AF$5</f>
        <v>1</v>
      </c>
      <c r="AK519" s="99" t="b">
        <f>S_binomial[[#This Row],[X base]]&gt;AF$5</f>
        <v>0</v>
      </c>
      <c r="AL519" s="99" t="e">
        <f>IF(S_binomial[[#This Row],[Mindre end]],S_binomial[[#This Row],[Binomialfordeling]],NA())</f>
        <v>#N/A</v>
      </c>
      <c r="AM519" s="99">
        <f>IF(S_binomial[[#This Row],[Lig med]],S_binomial[[#This Row],[Binomialfordeling]],NA())</f>
        <v>0.39515869478400001</v>
      </c>
      <c r="AN519" s="99" t="e">
        <f>IF(S_binomial[[#This Row],[Større end]],S_binomial[[#This Row],[Binomialfordeling]],NA())</f>
        <v>#N/A</v>
      </c>
      <c r="AO519" s="85">
        <f>_xlfn.IFNA(IF(MOD(S_binomial[[#This Row],[Indeks (base 0)]],AF$7)=ROUNDDOWN(AF$7/2,0),S_binomial[[#This Row],[X base]],""),"")</f>
        <v>5</v>
      </c>
      <c r="AP519" s="99" t="str">
        <f t="shared" si="78"/>
        <v>39.516%
lig med 5</v>
      </c>
      <c r="AR519" s="54">
        <f t="shared" si="73"/>
        <v>506</v>
      </c>
      <c r="AS519" s="54">
        <f>S_normal27[[#This Row],[Indeks (base 0)]]+1</f>
        <v>507</v>
      </c>
      <c r="AT519" s="54">
        <f t="shared" si="75"/>
        <v>7</v>
      </c>
      <c r="AU519" s="54">
        <f>IF(MOD(S_normal27[[#This Row],[Indeks (base 0)]],AS$8)=0,NA(),_xlfn.POISSON.DIST(S_normal27[[#This Row],[X base]],$H$5,FALSE))</f>
        <v>2.1604031452483807E-2</v>
      </c>
      <c r="AV519" s="99" t="b">
        <f>S_normal27[[#This Row],[X base]]&lt;AS$5</f>
        <v>0</v>
      </c>
      <c r="AW519" s="99" t="b">
        <f>S_normal27[[#This Row],[X base]]=AS$5</f>
        <v>0</v>
      </c>
      <c r="AX519" s="99" t="b">
        <f>S_normal27[[#This Row],[X base]]&gt;AS$5</f>
        <v>1</v>
      </c>
      <c r="AY519" s="99" t="e">
        <f>IF(S_normal27[[#This Row],[Mindre end]],S_normal27[[#This Row],[Poissonfordeling]],NA())</f>
        <v>#N/A</v>
      </c>
      <c r="AZ519" s="99" t="e">
        <f>IF(S_normal27[[#This Row],[Lig med]],S_normal27[[#This Row],[Poissonfordeling]],NA())</f>
        <v>#N/A</v>
      </c>
      <c r="BA519" s="99">
        <f>IF(S_normal27[[#This Row],[Større end]],S_normal27[[#This Row],[Poissonfordeling]],NA())</f>
        <v>2.1604031452483807E-2</v>
      </c>
      <c r="BB519" s="85" t="str">
        <f>_xlfn.IFNA(IF(MOD(S_normal27[[#This Row],[Indeks (base 0)]],AS$8)=ROUNDDOWN(AS$8/2,0),S_normal27[[#This Row],[X base]],""),"")</f>
        <v/>
      </c>
      <c r="BC519" s="99" t="str">
        <f t="shared" si="74"/>
        <v xml:space="preserve"> </v>
      </c>
    </row>
    <row r="520" spans="31:55" x14ac:dyDescent="0.2">
      <c r="AE520" s="54">
        <f t="shared" si="76"/>
        <v>507</v>
      </c>
      <c r="AF520" s="54">
        <f>S_binomial[[#This Row],[Indeks (base 0)]]+1</f>
        <v>508</v>
      </c>
      <c r="AG520" s="99">
        <f t="shared" si="77"/>
        <v>5</v>
      </c>
      <c r="AH520" s="99">
        <f>IF(MOD(S_binomial[[#This Row],[Indeks (base 0)]],AF$7)=0,NA(),_xlfn.BINOM.DIST(S_binomial[[#This Row],[X base]],E$5,E$6,FALSE))</f>
        <v>0.39515869478400001</v>
      </c>
      <c r="AI520" s="99" t="b">
        <f>S_binomial[[#This Row],[X base]]&lt;AF$5</f>
        <v>0</v>
      </c>
      <c r="AJ520" s="99" t="b">
        <f>S_binomial[[#This Row],[X base]]=AF$5</f>
        <v>1</v>
      </c>
      <c r="AK520" s="99" t="b">
        <f>S_binomial[[#This Row],[X base]]&gt;AF$5</f>
        <v>0</v>
      </c>
      <c r="AL520" s="99" t="e">
        <f>IF(S_binomial[[#This Row],[Mindre end]],S_binomial[[#This Row],[Binomialfordeling]],NA())</f>
        <v>#N/A</v>
      </c>
      <c r="AM520" s="99">
        <f>IF(S_binomial[[#This Row],[Lig med]],S_binomial[[#This Row],[Binomialfordeling]],NA())</f>
        <v>0.39515869478400001</v>
      </c>
      <c r="AN520" s="99" t="e">
        <f>IF(S_binomial[[#This Row],[Større end]],S_binomial[[#This Row],[Binomialfordeling]],NA())</f>
        <v>#N/A</v>
      </c>
      <c r="AO520" s="85" t="str">
        <f>_xlfn.IFNA(IF(MOD(S_binomial[[#This Row],[Indeks (base 0)]],AF$7)=ROUNDDOWN(AF$7/2,0),S_binomial[[#This Row],[X base]],""),"")</f>
        <v/>
      </c>
      <c r="AP520" s="99" t="str">
        <f t="shared" si="78"/>
        <v xml:space="preserve"> </v>
      </c>
      <c r="AR520" s="54">
        <f t="shared" si="73"/>
        <v>507</v>
      </c>
      <c r="AS520" s="54">
        <f>S_normal27[[#This Row],[Indeks (base 0)]]+1</f>
        <v>508</v>
      </c>
      <c r="AT520" s="54">
        <f t="shared" si="75"/>
        <v>7</v>
      </c>
      <c r="AU520" s="54">
        <f>IF(MOD(S_normal27[[#This Row],[Indeks (base 0)]],AS$8)=0,NA(),_xlfn.POISSON.DIST(S_normal27[[#This Row],[X base]],$H$5,FALSE))</f>
        <v>2.1604031452483807E-2</v>
      </c>
      <c r="AV520" s="99" t="b">
        <f>S_normal27[[#This Row],[X base]]&lt;AS$5</f>
        <v>0</v>
      </c>
      <c r="AW520" s="99" t="b">
        <f>S_normal27[[#This Row],[X base]]=AS$5</f>
        <v>0</v>
      </c>
      <c r="AX520" s="99" t="b">
        <f>S_normal27[[#This Row],[X base]]&gt;AS$5</f>
        <v>1</v>
      </c>
      <c r="AY520" s="99" t="e">
        <f>IF(S_normal27[[#This Row],[Mindre end]],S_normal27[[#This Row],[Poissonfordeling]],NA())</f>
        <v>#N/A</v>
      </c>
      <c r="AZ520" s="99" t="e">
        <f>IF(S_normal27[[#This Row],[Lig med]],S_normal27[[#This Row],[Poissonfordeling]],NA())</f>
        <v>#N/A</v>
      </c>
      <c r="BA520" s="99">
        <f>IF(S_normal27[[#This Row],[Større end]],S_normal27[[#This Row],[Poissonfordeling]],NA())</f>
        <v>2.1604031452483807E-2</v>
      </c>
      <c r="BB520" s="85" t="str">
        <f>_xlfn.IFNA(IF(MOD(S_normal27[[#This Row],[Indeks (base 0)]],AS$8)=ROUNDDOWN(AS$8/2,0),S_normal27[[#This Row],[X base]],""),"")</f>
        <v/>
      </c>
      <c r="BC520" s="99" t="str">
        <f t="shared" si="74"/>
        <v xml:space="preserve"> </v>
      </c>
    </row>
    <row r="521" spans="31:55" x14ac:dyDescent="0.2">
      <c r="AE521" s="54">
        <f t="shared" si="76"/>
        <v>508</v>
      </c>
      <c r="AF521" s="54">
        <f>S_binomial[[#This Row],[Indeks (base 0)]]+1</f>
        <v>509</v>
      </c>
      <c r="AG521" s="99">
        <f t="shared" si="77"/>
        <v>5</v>
      </c>
      <c r="AH521" s="99">
        <f>IF(MOD(S_binomial[[#This Row],[Indeks (base 0)]],AF$7)=0,NA(),_xlfn.BINOM.DIST(S_binomial[[#This Row],[X base]],E$5,E$6,FALSE))</f>
        <v>0.39515869478400001</v>
      </c>
      <c r="AI521" s="99" t="b">
        <f>S_binomial[[#This Row],[X base]]&lt;AF$5</f>
        <v>0</v>
      </c>
      <c r="AJ521" s="99" t="b">
        <f>S_binomial[[#This Row],[X base]]=AF$5</f>
        <v>1</v>
      </c>
      <c r="AK521" s="99" t="b">
        <f>S_binomial[[#This Row],[X base]]&gt;AF$5</f>
        <v>0</v>
      </c>
      <c r="AL521" s="99" t="e">
        <f>IF(S_binomial[[#This Row],[Mindre end]],S_binomial[[#This Row],[Binomialfordeling]],NA())</f>
        <v>#N/A</v>
      </c>
      <c r="AM521" s="99">
        <f>IF(S_binomial[[#This Row],[Lig med]],S_binomial[[#This Row],[Binomialfordeling]],NA())</f>
        <v>0.39515869478400001</v>
      </c>
      <c r="AN521" s="99" t="e">
        <f>IF(S_binomial[[#This Row],[Større end]],S_binomial[[#This Row],[Binomialfordeling]],NA())</f>
        <v>#N/A</v>
      </c>
      <c r="AO521" s="85" t="str">
        <f>_xlfn.IFNA(IF(MOD(S_binomial[[#This Row],[Indeks (base 0)]],AF$7)=ROUNDDOWN(AF$7/2,0),S_binomial[[#This Row],[X base]],""),"")</f>
        <v/>
      </c>
      <c r="AP521" s="99" t="str">
        <f t="shared" si="78"/>
        <v xml:space="preserve"> </v>
      </c>
      <c r="AR521" s="54">
        <f t="shared" si="73"/>
        <v>508</v>
      </c>
      <c r="AS521" s="54">
        <f>S_normal27[[#This Row],[Indeks (base 0)]]+1</f>
        <v>509</v>
      </c>
      <c r="AT521" s="54">
        <f t="shared" si="75"/>
        <v>7</v>
      </c>
      <c r="AU521" s="54">
        <f>IF(MOD(S_normal27[[#This Row],[Indeks (base 0)]],AS$8)=0,NA(),_xlfn.POISSON.DIST(S_normal27[[#This Row],[X base]],$H$5,FALSE))</f>
        <v>2.1604031452483807E-2</v>
      </c>
      <c r="AV521" s="99" t="b">
        <f>S_normal27[[#This Row],[X base]]&lt;AS$5</f>
        <v>0</v>
      </c>
      <c r="AW521" s="99" t="b">
        <f>S_normal27[[#This Row],[X base]]=AS$5</f>
        <v>0</v>
      </c>
      <c r="AX521" s="99" t="b">
        <f>S_normal27[[#This Row],[X base]]&gt;AS$5</f>
        <v>1</v>
      </c>
      <c r="AY521" s="99" t="e">
        <f>IF(S_normal27[[#This Row],[Mindre end]],S_normal27[[#This Row],[Poissonfordeling]],NA())</f>
        <v>#N/A</v>
      </c>
      <c r="AZ521" s="99" t="e">
        <f>IF(S_normal27[[#This Row],[Lig med]],S_normal27[[#This Row],[Poissonfordeling]],NA())</f>
        <v>#N/A</v>
      </c>
      <c r="BA521" s="99">
        <f>IF(S_normal27[[#This Row],[Større end]],S_normal27[[#This Row],[Poissonfordeling]],NA())</f>
        <v>2.1604031452483807E-2</v>
      </c>
      <c r="BB521" s="85" t="str">
        <f>_xlfn.IFNA(IF(MOD(S_normal27[[#This Row],[Indeks (base 0)]],AS$8)=ROUNDDOWN(AS$8/2,0),S_normal27[[#This Row],[X base]],""),"")</f>
        <v/>
      </c>
      <c r="BC521" s="99" t="str">
        <f t="shared" si="74"/>
        <v xml:space="preserve"> </v>
      </c>
    </row>
    <row r="522" spans="31:55" x14ac:dyDescent="0.2">
      <c r="AE522" s="54">
        <f t="shared" si="76"/>
        <v>509</v>
      </c>
      <c r="AF522" s="54">
        <f>S_binomial[[#This Row],[Indeks (base 0)]]+1</f>
        <v>510</v>
      </c>
      <c r="AG522" s="99">
        <f t="shared" si="77"/>
        <v>5</v>
      </c>
      <c r="AH522" s="99">
        <f>IF(MOD(S_binomial[[#This Row],[Indeks (base 0)]],AF$7)=0,NA(),_xlfn.BINOM.DIST(S_binomial[[#This Row],[X base]],E$5,E$6,FALSE))</f>
        <v>0.39515869478400001</v>
      </c>
      <c r="AI522" s="99" t="b">
        <f>S_binomial[[#This Row],[X base]]&lt;AF$5</f>
        <v>0</v>
      </c>
      <c r="AJ522" s="99" t="b">
        <f>S_binomial[[#This Row],[X base]]=AF$5</f>
        <v>1</v>
      </c>
      <c r="AK522" s="99" t="b">
        <f>S_binomial[[#This Row],[X base]]&gt;AF$5</f>
        <v>0</v>
      </c>
      <c r="AL522" s="99" t="e">
        <f>IF(S_binomial[[#This Row],[Mindre end]],S_binomial[[#This Row],[Binomialfordeling]],NA())</f>
        <v>#N/A</v>
      </c>
      <c r="AM522" s="99">
        <f>IF(S_binomial[[#This Row],[Lig med]],S_binomial[[#This Row],[Binomialfordeling]],NA())</f>
        <v>0.39515869478400001</v>
      </c>
      <c r="AN522" s="99" t="e">
        <f>IF(S_binomial[[#This Row],[Større end]],S_binomial[[#This Row],[Binomialfordeling]],NA())</f>
        <v>#N/A</v>
      </c>
      <c r="AO522" s="85" t="str">
        <f>_xlfn.IFNA(IF(MOD(S_binomial[[#This Row],[Indeks (base 0)]],AF$7)=ROUNDDOWN(AF$7/2,0),S_binomial[[#This Row],[X base]],""),"")</f>
        <v/>
      </c>
      <c r="AP522" s="99" t="str">
        <f t="shared" si="78"/>
        <v xml:space="preserve"> </v>
      </c>
      <c r="AR522" s="54">
        <f t="shared" si="73"/>
        <v>509</v>
      </c>
      <c r="AS522" s="54">
        <f>S_normal27[[#This Row],[Indeks (base 0)]]+1</f>
        <v>510</v>
      </c>
      <c r="AT522" s="54">
        <f t="shared" si="75"/>
        <v>7</v>
      </c>
      <c r="AU522" s="54">
        <f>IF(MOD(S_normal27[[#This Row],[Indeks (base 0)]],AS$8)=0,NA(),_xlfn.POISSON.DIST(S_normal27[[#This Row],[X base]],$H$5,FALSE))</f>
        <v>2.1604031452483807E-2</v>
      </c>
      <c r="AV522" s="99" t="b">
        <f>S_normal27[[#This Row],[X base]]&lt;AS$5</f>
        <v>0</v>
      </c>
      <c r="AW522" s="99" t="b">
        <f>S_normal27[[#This Row],[X base]]=AS$5</f>
        <v>0</v>
      </c>
      <c r="AX522" s="99" t="b">
        <f>S_normal27[[#This Row],[X base]]&gt;AS$5</f>
        <v>1</v>
      </c>
      <c r="AY522" s="99" t="e">
        <f>IF(S_normal27[[#This Row],[Mindre end]],S_normal27[[#This Row],[Poissonfordeling]],NA())</f>
        <v>#N/A</v>
      </c>
      <c r="AZ522" s="99" t="e">
        <f>IF(S_normal27[[#This Row],[Lig med]],S_normal27[[#This Row],[Poissonfordeling]],NA())</f>
        <v>#N/A</v>
      </c>
      <c r="BA522" s="99">
        <f>IF(S_normal27[[#This Row],[Større end]],S_normal27[[#This Row],[Poissonfordeling]],NA())</f>
        <v>2.1604031452483807E-2</v>
      </c>
      <c r="BB522" s="85" t="str">
        <f>_xlfn.IFNA(IF(MOD(S_normal27[[#This Row],[Indeks (base 0)]],AS$8)=ROUNDDOWN(AS$8/2,0),S_normal27[[#This Row],[X base]],""),"")</f>
        <v/>
      </c>
      <c r="BC522" s="99" t="str">
        <f t="shared" si="74"/>
        <v xml:space="preserve"> </v>
      </c>
    </row>
    <row r="523" spans="31:55" x14ac:dyDescent="0.2">
      <c r="AE523" s="54">
        <f t="shared" si="76"/>
        <v>510</v>
      </c>
      <c r="AF523" s="54">
        <f>S_binomial[[#This Row],[Indeks (base 0)]]+1</f>
        <v>511</v>
      </c>
      <c r="AG523" s="99">
        <f t="shared" si="77"/>
        <v>5</v>
      </c>
      <c r="AH523" s="99">
        <f>IF(MOD(S_binomial[[#This Row],[Indeks (base 0)]],AF$7)=0,NA(),_xlfn.BINOM.DIST(S_binomial[[#This Row],[X base]],E$5,E$6,FALSE))</f>
        <v>0.39515869478400001</v>
      </c>
      <c r="AI523" s="99" t="b">
        <f>S_binomial[[#This Row],[X base]]&lt;AF$5</f>
        <v>0</v>
      </c>
      <c r="AJ523" s="99" t="b">
        <f>S_binomial[[#This Row],[X base]]=AF$5</f>
        <v>1</v>
      </c>
      <c r="AK523" s="99" t="b">
        <f>S_binomial[[#This Row],[X base]]&gt;AF$5</f>
        <v>0</v>
      </c>
      <c r="AL523" s="99" t="e">
        <f>IF(S_binomial[[#This Row],[Mindre end]],S_binomial[[#This Row],[Binomialfordeling]],NA())</f>
        <v>#N/A</v>
      </c>
      <c r="AM523" s="99">
        <f>IF(S_binomial[[#This Row],[Lig med]],S_binomial[[#This Row],[Binomialfordeling]],NA())</f>
        <v>0.39515869478400001</v>
      </c>
      <c r="AN523" s="99" t="e">
        <f>IF(S_binomial[[#This Row],[Større end]],S_binomial[[#This Row],[Binomialfordeling]],NA())</f>
        <v>#N/A</v>
      </c>
      <c r="AO523" s="85" t="str">
        <f>_xlfn.IFNA(IF(MOD(S_binomial[[#This Row],[Indeks (base 0)]],AF$7)=ROUNDDOWN(AF$7/2,0),S_binomial[[#This Row],[X base]],""),"")</f>
        <v/>
      </c>
      <c r="AP523" s="99" t="str">
        <f t="shared" si="78"/>
        <v xml:space="preserve"> </v>
      </c>
      <c r="AR523" s="54">
        <f t="shared" si="73"/>
        <v>510</v>
      </c>
      <c r="AS523" s="54">
        <f>S_normal27[[#This Row],[Indeks (base 0)]]+1</f>
        <v>511</v>
      </c>
      <c r="AT523" s="54">
        <f t="shared" si="75"/>
        <v>7</v>
      </c>
      <c r="AU523" s="54">
        <f>IF(MOD(S_normal27[[#This Row],[Indeks (base 0)]],AS$8)=0,NA(),_xlfn.POISSON.DIST(S_normal27[[#This Row],[X base]],$H$5,FALSE))</f>
        <v>2.1604031452483807E-2</v>
      </c>
      <c r="AV523" s="99" t="b">
        <f>S_normal27[[#This Row],[X base]]&lt;AS$5</f>
        <v>0</v>
      </c>
      <c r="AW523" s="99" t="b">
        <f>S_normal27[[#This Row],[X base]]=AS$5</f>
        <v>0</v>
      </c>
      <c r="AX523" s="99" t="b">
        <f>S_normal27[[#This Row],[X base]]&gt;AS$5</f>
        <v>1</v>
      </c>
      <c r="AY523" s="99" t="e">
        <f>IF(S_normal27[[#This Row],[Mindre end]],S_normal27[[#This Row],[Poissonfordeling]],NA())</f>
        <v>#N/A</v>
      </c>
      <c r="AZ523" s="99" t="e">
        <f>IF(S_normal27[[#This Row],[Lig med]],S_normal27[[#This Row],[Poissonfordeling]],NA())</f>
        <v>#N/A</v>
      </c>
      <c r="BA523" s="99">
        <f>IF(S_normal27[[#This Row],[Større end]],S_normal27[[#This Row],[Poissonfordeling]],NA())</f>
        <v>2.1604031452483807E-2</v>
      </c>
      <c r="BB523" s="85" t="str">
        <f>_xlfn.IFNA(IF(MOD(S_normal27[[#This Row],[Indeks (base 0)]],AS$8)=ROUNDDOWN(AS$8/2,0),S_normal27[[#This Row],[X base]],""),"")</f>
        <v/>
      </c>
      <c r="BC523" s="99" t="str">
        <f t="shared" si="74"/>
        <v xml:space="preserve"> </v>
      </c>
    </row>
    <row r="524" spans="31:55" x14ac:dyDescent="0.2">
      <c r="AE524" s="54">
        <f t="shared" si="76"/>
        <v>511</v>
      </c>
      <c r="AF524" s="54">
        <f>S_binomial[[#This Row],[Indeks (base 0)]]+1</f>
        <v>512</v>
      </c>
      <c r="AG524" s="99">
        <f t="shared" si="77"/>
        <v>5</v>
      </c>
      <c r="AH524" s="99">
        <f>IF(MOD(S_binomial[[#This Row],[Indeks (base 0)]],AF$7)=0,NA(),_xlfn.BINOM.DIST(S_binomial[[#This Row],[X base]],E$5,E$6,FALSE))</f>
        <v>0.39515869478400001</v>
      </c>
      <c r="AI524" s="99" t="b">
        <f>S_binomial[[#This Row],[X base]]&lt;AF$5</f>
        <v>0</v>
      </c>
      <c r="AJ524" s="99" t="b">
        <f>S_binomial[[#This Row],[X base]]=AF$5</f>
        <v>1</v>
      </c>
      <c r="AK524" s="99" t="b">
        <f>S_binomial[[#This Row],[X base]]&gt;AF$5</f>
        <v>0</v>
      </c>
      <c r="AL524" s="99" t="e">
        <f>IF(S_binomial[[#This Row],[Mindre end]],S_binomial[[#This Row],[Binomialfordeling]],NA())</f>
        <v>#N/A</v>
      </c>
      <c r="AM524" s="99">
        <f>IF(S_binomial[[#This Row],[Lig med]],S_binomial[[#This Row],[Binomialfordeling]],NA())</f>
        <v>0.39515869478400001</v>
      </c>
      <c r="AN524" s="99" t="e">
        <f>IF(S_binomial[[#This Row],[Større end]],S_binomial[[#This Row],[Binomialfordeling]],NA())</f>
        <v>#N/A</v>
      </c>
      <c r="AO524" s="85" t="str">
        <f>_xlfn.IFNA(IF(MOD(S_binomial[[#This Row],[Indeks (base 0)]],AF$7)=ROUNDDOWN(AF$7/2,0),S_binomial[[#This Row],[X base]],""),"")</f>
        <v/>
      </c>
      <c r="AP524" s="99" t="str">
        <f t="shared" si="78"/>
        <v xml:space="preserve"> </v>
      </c>
      <c r="AR524" s="54">
        <f t="shared" si="73"/>
        <v>511</v>
      </c>
      <c r="AS524" s="54">
        <f>S_normal27[[#This Row],[Indeks (base 0)]]+1</f>
        <v>512</v>
      </c>
      <c r="AT524" s="54">
        <f t="shared" si="75"/>
        <v>7</v>
      </c>
      <c r="AU524" s="54">
        <f>IF(MOD(S_normal27[[#This Row],[Indeks (base 0)]],AS$8)=0,NA(),_xlfn.POISSON.DIST(S_normal27[[#This Row],[X base]],$H$5,FALSE))</f>
        <v>2.1604031452483807E-2</v>
      </c>
      <c r="AV524" s="99" t="b">
        <f>S_normal27[[#This Row],[X base]]&lt;AS$5</f>
        <v>0</v>
      </c>
      <c r="AW524" s="99" t="b">
        <f>S_normal27[[#This Row],[X base]]=AS$5</f>
        <v>0</v>
      </c>
      <c r="AX524" s="99" t="b">
        <f>S_normal27[[#This Row],[X base]]&gt;AS$5</f>
        <v>1</v>
      </c>
      <c r="AY524" s="99" t="e">
        <f>IF(S_normal27[[#This Row],[Mindre end]],S_normal27[[#This Row],[Poissonfordeling]],NA())</f>
        <v>#N/A</v>
      </c>
      <c r="AZ524" s="99" t="e">
        <f>IF(S_normal27[[#This Row],[Lig med]],S_normal27[[#This Row],[Poissonfordeling]],NA())</f>
        <v>#N/A</v>
      </c>
      <c r="BA524" s="99">
        <f>IF(S_normal27[[#This Row],[Større end]],S_normal27[[#This Row],[Poissonfordeling]],NA())</f>
        <v>2.1604031452483807E-2</v>
      </c>
      <c r="BB524" s="85" t="str">
        <f>_xlfn.IFNA(IF(MOD(S_normal27[[#This Row],[Indeks (base 0)]],AS$8)=ROUNDDOWN(AS$8/2,0),S_normal27[[#This Row],[X base]],""),"")</f>
        <v/>
      </c>
      <c r="BC524" s="99" t="str">
        <f t="shared" si="74"/>
        <v xml:space="preserve"> </v>
      </c>
    </row>
    <row r="525" spans="31:55" x14ac:dyDescent="0.2">
      <c r="AE525" s="54">
        <f t="shared" si="76"/>
        <v>512</v>
      </c>
      <c r="AF525" s="54">
        <f>S_binomial[[#This Row],[Indeks (base 0)]]+1</f>
        <v>513</v>
      </c>
      <c r="AG525" s="99">
        <f t="shared" si="77"/>
        <v>5</v>
      </c>
      <c r="AH525" s="99">
        <f>IF(MOD(S_binomial[[#This Row],[Indeks (base 0)]],AF$7)=0,NA(),_xlfn.BINOM.DIST(S_binomial[[#This Row],[X base]],E$5,E$6,FALSE))</f>
        <v>0.39515869478400001</v>
      </c>
      <c r="AI525" s="99" t="b">
        <f>S_binomial[[#This Row],[X base]]&lt;AF$5</f>
        <v>0</v>
      </c>
      <c r="AJ525" s="99" t="b">
        <f>S_binomial[[#This Row],[X base]]=AF$5</f>
        <v>1</v>
      </c>
      <c r="AK525" s="99" t="b">
        <f>S_binomial[[#This Row],[X base]]&gt;AF$5</f>
        <v>0</v>
      </c>
      <c r="AL525" s="99" t="e">
        <f>IF(S_binomial[[#This Row],[Mindre end]],S_binomial[[#This Row],[Binomialfordeling]],NA())</f>
        <v>#N/A</v>
      </c>
      <c r="AM525" s="99">
        <f>IF(S_binomial[[#This Row],[Lig med]],S_binomial[[#This Row],[Binomialfordeling]],NA())</f>
        <v>0.39515869478400001</v>
      </c>
      <c r="AN525" s="99" t="e">
        <f>IF(S_binomial[[#This Row],[Større end]],S_binomial[[#This Row],[Binomialfordeling]],NA())</f>
        <v>#N/A</v>
      </c>
      <c r="AO525" s="85" t="str">
        <f>_xlfn.IFNA(IF(MOD(S_binomial[[#This Row],[Indeks (base 0)]],AF$7)=ROUNDDOWN(AF$7/2,0),S_binomial[[#This Row],[X base]],""),"")</f>
        <v/>
      </c>
      <c r="AP525" s="99" t="str">
        <f t="shared" si="78"/>
        <v xml:space="preserve"> </v>
      </c>
      <c r="AR525" s="54">
        <f t="shared" ref="AR525:AR588" si="79">ROW(AR525)-ROW(AR$13)</f>
        <v>512</v>
      </c>
      <c r="AS525" s="54">
        <f>S_normal27[[#This Row],[Indeks (base 0)]]+1</f>
        <v>513</v>
      </c>
      <c r="AT525" s="54">
        <f t="shared" si="75"/>
        <v>7</v>
      </c>
      <c r="AU525" s="54">
        <f>IF(MOD(S_normal27[[#This Row],[Indeks (base 0)]],AS$8)=0,NA(),_xlfn.POISSON.DIST(S_normal27[[#This Row],[X base]],$H$5,FALSE))</f>
        <v>2.1604031452483807E-2</v>
      </c>
      <c r="AV525" s="99" t="b">
        <f>S_normal27[[#This Row],[X base]]&lt;AS$5</f>
        <v>0</v>
      </c>
      <c r="AW525" s="99" t="b">
        <f>S_normal27[[#This Row],[X base]]=AS$5</f>
        <v>0</v>
      </c>
      <c r="AX525" s="99" t="b">
        <f>S_normal27[[#This Row],[X base]]&gt;AS$5</f>
        <v>1</v>
      </c>
      <c r="AY525" s="99" t="e">
        <f>IF(S_normal27[[#This Row],[Mindre end]],S_normal27[[#This Row],[Poissonfordeling]],NA())</f>
        <v>#N/A</v>
      </c>
      <c r="AZ525" s="99" t="e">
        <f>IF(S_normal27[[#This Row],[Lig med]],S_normal27[[#This Row],[Poissonfordeling]],NA())</f>
        <v>#N/A</v>
      </c>
      <c r="BA525" s="99">
        <f>IF(S_normal27[[#This Row],[Større end]],S_normal27[[#This Row],[Poissonfordeling]],NA())</f>
        <v>2.1604031452483807E-2</v>
      </c>
      <c r="BB525" s="85" t="str">
        <f>_xlfn.IFNA(IF(MOD(S_normal27[[#This Row],[Indeks (base 0)]],AS$8)=ROUNDDOWN(AS$8/2,0),S_normal27[[#This Row],[X base]],""),"")</f>
        <v/>
      </c>
      <c r="BC525" s="99" t="str">
        <f t="shared" ref="BC525:BC588" si="80">_xlfn.IFNA(_xlfn.SWITCH(AS525,BA$7,BA$4,BA$8,BA$5,BA$9,BA$6," ")," ")</f>
        <v xml:space="preserve"> </v>
      </c>
    </row>
    <row r="526" spans="31:55" x14ac:dyDescent="0.2">
      <c r="AE526" s="54">
        <f t="shared" si="76"/>
        <v>513</v>
      </c>
      <c r="AF526" s="54">
        <f>S_binomial[[#This Row],[Indeks (base 0)]]+1</f>
        <v>514</v>
      </c>
      <c r="AG526" s="99">
        <f t="shared" si="77"/>
        <v>5</v>
      </c>
      <c r="AH526" s="99">
        <f>IF(MOD(S_binomial[[#This Row],[Indeks (base 0)]],AF$7)=0,NA(),_xlfn.BINOM.DIST(S_binomial[[#This Row],[X base]],E$5,E$6,FALSE))</f>
        <v>0.39515869478400001</v>
      </c>
      <c r="AI526" s="99" t="b">
        <f>S_binomial[[#This Row],[X base]]&lt;AF$5</f>
        <v>0</v>
      </c>
      <c r="AJ526" s="99" t="b">
        <f>S_binomial[[#This Row],[X base]]=AF$5</f>
        <v>1</v>
      </c>
      <c r="AK526" s="99" t="b">
        <f>S_binomial[[#This Row],[X base]]&gt;AF$5</f>
        <v>0</v>
      </c>
      <c r="AL526" s="99" t="e">
        <f>IF(S_binomial[[#This Row],[Mindre end]],S_binomial[[#This Row],[Binomialfordeling]],NA())</f>
        <v>#N/A</v>
      </c>
      <c r="AM526" s="99">
        <f>IF(S_binomial[[#This Row],[Lig med]],S_binomial[[#This Row],[Binomialfordeling]],NA())</f>
        <v>0.39515869478400001</v>
      </c>
      <c r="AN526" s="99" t="e">
        <f>IF(S_binomial[[#This Row],[Større end]],S_binomial[[#This Row],[Binomialfordeling]],NA())</f>
        <v>#N/A</v>
      </c>
      <c r="AO526" s="85" t="str">
        <f>_xlfn.IFNA(IF(MOD(S_binomial[[#This Row],[Indeks (base 0)]],AF$7)=ROUNDDOWN(AF$7/2,0),S_binomial[[#This Row],[X base]],""),"")</f>
        <v/>
      </c>
      <c r="AP526" s="99" t="str">
        <f t="shared" si="78"/>
        <v xml:space="preserve"> </v>
      </c>
      <c r="AR526" s="54">
        <f t="shared" si="79"/>
        <v>513</v>
      </c>
      <c r="AS526" s="54">
        <f>S_normal27[[#This Row],[Indeks (base 0)]]+1</f>
        <v>514</v>
      </c>
      <c r="AT526" s="54">
        <f t="shared" ref="AT526:AT589" si="81">IF(AR526&lt;AS$9,ROUNDDOWN(AR526/AS$8,0),NA())</f>
        <v>7</v>
      </c>
      <c r="AU526" s="54">
        <f>IF(MOD(S_normal27[[#This Row],[Indeks (base 0)]],AS$8)=0,NA(),_xlfn.POISSON.DIST(S_normal27[[#This Row],[X base]],$H$5,FALSE))</f>
        <v>2.1604031452483807E-2</v>
      </c>
      <c r="AV526" s="99" t="b">
        <f>S_normal27[[#This Row],[X base]]&lt;AS$5</f>
        <v>0</v>
      </c>
      <c r="AW526" s="99" t="b">
        <f>S_normal27[[#This Row],[X base]]=AS$5</f>
        <v>0</v>
      </c>
      <c r="AX526" s="99" t="b">
        <f>S_normal27[[#This Row],[X base]]&gt;AS$5</f>
        <v>1</v>
      </c>
      <c r="AY526" s="99" t="e">
        <f>IF(S_normal27[[#This Row],[Mindre end]],S_normal27[[#This Row],[Poissonfordeling]],NA())</f>
        <v>#N/A</v>
      </c>
      <c r="AZ526" s="99" t="e">
        <f>IF(S_normal27[[#This Row],[Lig med]],S_normal27[[#This Row],[Poissonfordeling]],NA())</f>
        <v>#N/A</v>
      </c>
      <c r="BA526" s="99">
        <f>IF(S_normal27[[#This Row],[Større end]],S_normal27[[#This Row],[Poissonfordeling]],NA())</f>
        <v>2.1604031452483807E-2</v>
      </c>
      <c r="BB526" s="85" t="str">
        <f>_xlfn.IFNA(IF(MOD(S_normal27[[#This Row],[Indeks (base 0)]],AS$8)=ROUNDDOWN(AS$8/2,0),S_normal27[[#This Row],[X base]],""),"")</f>
        <v/>
      </c>
      <c r="BC526" s="99" t="str">
        <f t="shared" si="80"/>
        <v xml:space="preserve"> </v>
      </c>
    </row>
    <row r="527" spans="31:55" x14ac:dyDescent="0.2">
      <c r="AE527" s="54">
        <f t="shared" si="76"/>
        <v>514</v>
      </c>
      <c r="AF527" s="54">
        <f>S_binomial[[#This Row],[Indeks (base 0)]]+1</f>
        <v>515</v>
      </c>
      <c r="AG527" s="99">
        <f t="shared" si="77"/>
        <v>5</v>
      </c>
      <c r="AH527" s="99">
        <f>IF(MOD(S_binomial[[#This Row],[Indeks (base 0)]],AF$7)=0,NA(),_xlfn.BINOM.DIST(S_binomial[[#This Row],[X base]],E$5,E$6,FALSE))</f>
        <v>0.39515869478400001</v>
      </c>
      <c r="AI527" s="99" t="b">
        <f>S_binomial[[#This Row],[X base]]&lt;AF$5</f>
        <v>0</v>
      </c>
      <c r="AJ527" s="99" t="b">
        <f>S_binomial[[#This Row],[X base]]=AF$5</f>
        <v>1</v>
      </c>
      <c r="AK527" s="99" t="b">
        <f>S_binomial[[#This Row],[X base]]&gt;AF$5</f>
        <v>0</v>
      </c>
      <c r="AL527" s="99" t="e">
        <f>IF(S_binomial[[#This Row],[Mindre end]],S_binomial[[#This Row],[Binomialfordeling]],NA())</f>
        <v>#N/A</v>
      </c>
      <c r="AM527" s="99">
        <f>IF(S_binomial[[#This Row],[Lig med]],S_binomial[[#This Row],[Binomialfordeling]],NA())</f>
        <v>0.39515869478400001</v>
      </c>
      <c r="AN527" s="99" t="e">
        <f>IF(S_binomial[[#This Row],[Større end]],S_binomial[[#This Row],[Binomialfordeling]],NA())</f>
        <v>#N/A</v>
      </c>
      <c r="AO527" s="85" t="str">
        <f>_xlfn.IFNA(IF(MOD(S_binomial[[#This Row],[Indeks (base 0)]],AF$7)=ROUNDDOWN(AF$7/2,0),S_binomial[[#This Row],[X base]],""),"")</f>
        <v/>
      </c>
      <c r="AP527" s="99" t="str">
        <f t="shared" si="78"/>
        <v xml:space="preserve"> </v>
      </c>
      <c r="AR527" s="54">
        <f t="shared" si="79"/>
        <v>514</v>
      </c>
      <c r="AS527" s="54">
        <f>S_normal27[[#This Row],[Indeks (base 0)]]+1</f>
        <v>515</v>
      </c>
      <c r="AT527" s="54">
        <f t="shared" si="81"/>
        <v>7</v>
      </c>
      <c r="AU527" s="54">
        <f>IF(MOD(S_normal27[[#This Row],[Indeks (base 0)]],AS$8)=0,NA(),_xlfn.POISSON.DIST(S_normal27[[#This Row],[X base]],$H$5,FALSE))</f>
        <v>2.1604031452483807E-2</v>
      </c>
      <c r="AV527" s="99" t="b">
        <f>S_normal27[[#This Row],[X base]]&lt;AS$5</f>
        <v>0</v>
      </c>
      <c r="AW527" s="99" t="b">
        <f>S_normal27[[#This Row],[X base]]=AS$5</f>
        <v>0</v>
      </c>
      <c r="AX527" s="99" t="b">
        <f>S_normal27[[#This Row],[X base]]&gt;AS$5</f>
        <v>1</v>
      </c>
      <c r="AY527" s="99" t="e">
        <f>IF(S_normal27[[#This Row],[Mindre end]],S_normal27[[#This Row],[Poissonfordeling]],NA())</f>
        <v>#N/A</v>
      </c>
      <c r="AZ527" s="99" t="e">
        <f>IF(S_normal27[[#This Row],[Lig med]],S_normal27[[#This Row],[Poissonfordeling]],NA())</f>
        <v>#N/A</v>
      </c>
      <c r="BA527" s="99">
        <f>IF(S_normal27[[#This Row],[Større end]],S_normal27[[#This Row],[Poissonfordeling]],NA())</f>
        <v>2.1604031452483807E-2</v>
      </c>
      <c r="BB527" s="85" t="str">
        <f>_xlfn.IFNA(IF(MOD(S_normal27[[#This Row],[Indeks (base 0)]],AS$8)=ROUNDDOWN(AS$8/2,0),S_normal27[[#This Row],[X base]],""),"")</f>
        <v/>
      </c>
      <c r="BC527" s="99" t="str">
        <f t="shared" si="80"/>
        <v xml:space="preserve"> </v>
      </c>
    </row>
    <row r="528" spans="31:55" x14ac:dyDescent="0.2">
      <c r="AE528" s="54">
        <f t="shared" ref="AE528:AE591" si="82">ROW(AE528)-ROW(AE$13)</f>
        <v>515</v>
      </c>
      <c r="AF528" s="54">
        <f>S_binomial[[#This Row],[Indeks (base 0)]]+1</f>
        <v>516</v>
      </c>
      <c r="AG528" s="99">
        <f t="shared" ref="AG528:AG591" si="83">IF(AE528&lt;AF$8,ROUNDDOWN(AE528/AF$7,0),NA())</f>
        <v>5</v>
      </c>
      <c r="AH528" s="99">
        <f>IF(MOD(S_binomial[[#This Row],[Indeks (base 0)]],AF$7)=0,NA(),_xlfn.BINOM.DIST(S_binomial[[#This Row],[X base]],E$5,E$6,FALSE))</f>
        <v>0.39515869478400001</v>
      </c>
      <c r="AI528" s="99" t="b">
        <f>S_binomial[[#This Row],[X base]]&lt;AF$5</f>
        <v>0</v>
      </c>
      <c r="AJ528" s="99" t="b">
        <f>S_binomial[[#This Row],[X base]]=AF$5</f>
        <v>1</v>
      </c>
      <c r="AK528" s="99" t="b">
        <f>S_binomial[[#This Row],[X base]]&gt;AF$5</f>
        <v>0</v>
      </c>
      <c r="AL528" s="99" t="e">
        <f>IF(S_binomial[[#This Row],[Mindre end]],S_binomial[[#This Row],[Binomialfordeling]],NA())</f>
        <v>#N/A</v>
      </c>
      <c r="AM528" s="99">
        <f>IF(S_binomial[[#This Row],[Lig med]],S_binomial[[#This Row],[Binomialfordeling]],NA())</f>
        <v>0.39515869478400001</v>
      </c>
      <c r="AN528" s="99" t="e">
        <f>IF(S_binomial[[#This Row],[Større end]],S_binomial[[#This Row],[Binomialfordeling]],NA())</f>
        <v>#N/A</v>
      </c>
      <c r="AO528" s="85" t="str">
        <f>_xlfn.IFNA(IF(MOD(S_binomial[[#This Row],[Indeks (base 0)]],AF$7)=ROUNDDOWN(AF$7/2,0),S_binomial[[#This Row],[X base]],""),"")</f>
        <v/>
      </c>
      <c r="AP528" s="99" t="str">
        <f t="shared" ref="AP528:AP591" si="84">_xlfn.IFNA(_xlfn.SWITCH(AF528,AN$7,AN$4,AN$8,AN$5,AN$9,AN$6," ")," ")</f>
        <v xml:space="preserve"> </v>
      </c>
      <c r="AR528" s="54">
        <f t="shared" si="79"/>
        <v>515</v>
      </c>
      <c r="AS528" s="54">
        <f>S_normal27[[#This Row],[Indeks (base 0)]]+1</f>
        <v>516</v>
      </c>
      <c r="AT528" s="54">
        <f t="shared" si="81"/>
        <v>7</v>
      </c>
      <c r="AU528" s="54">
        <f>IF(MOD(S_normal27[[#This Row],[Indeks (base 0)]],AS$8)=0,NA(),_xlfn.POISSON.DIST(S_normal27[[#This Row],[X base]],$H$5,FALSE))</f>
        <v>2.1604031452483807E-2</v>
      </c>
      <c r="AV528" s="99" t="b">
        <f>S_normal27[[#This Row],[X base]]&lt;AS$5</f>
        <v>0</v>
      </c>
      <c r="AW528" s="99" t="b">
        <f>S_normal27[[#This Row],[X base]]=AS$5</f>
        <v>0</v>
      </c>
      <c r="AX528" s="99" t="b">
        <f>S_normal27[[#This Row],[X base]]&gt;AS$5</f>
        <v>1</v>
      </c>
      <c r="AY528" s="99" t="e">
        <f>IF(S_normal27[[#This Row],[Mindre end]],S_normal27[[#This Row],[Poissonfordeling]],NA())</f>
        <v>#N/A</v>
      </c>
      <c r="AZ528" s="99" t="e">
        <f>IF(S_normal27[[#This Row],[Lig med]],S_normal27[[#This Row],[Poissonfordeling]],NA())</f>
        <v>#N/A</v>
      </c>
      <c r="BA528" s="99">
        <f>IF(S_normal27[[#This Row],[Større end]],S_normal27[[#This Row],[Poissonfordeling]],NA())</f>
        <v>2.1604031452483807E-2</v>
      </c>
      <c r="BB528" s="85" t="str">
        <f>_xlfn.IFNA(IF(MOD(S_normal27[[#This Row],[Indeks (base 0)]],AS$8)=ROUNDDOWN(AS$8/2,0),S_normal27[[#This Row],[X base]],""),"")</f>
        <v/>
      </c>
      <c r="BC528" s="99" t="str">
        <f t="shared" si="80"/>
        <v xml:space="preserve"> </v>
      </c>
    </row>
    <row r="529" spans="31:55" x14ac:dyDescent="0.2">
      <c r="AE529" s="54">
        <f t="shared" si="82"/>
        <v>516</v>
      </c>
      <c r="AF529" s="54">
        <f>S_binomial[[#This Row],[Indeks (base 0)]]+1</f>
        <v>517</v>
      </c>
      <c r="AG529" s="99">
        <f t="shared" si="83"/>
        <v>5</v>
      </c>
      <c r="AH529" s="99">
        <f>IF(MOD(S_binomial[[#This Row],[Indeks (base 0)]],AF$7)=0,NA(),_xlfn.BINOM.DIST(S_binomial[[#This Row],[X base]],E$5,E$6,FALSE))</f>
        <v>0.39515869478400001</v>
      </c>
      <c r="AI529" s="99" t="b">
        <f>S_binomial[[#This Row],[X base]]&lt;AF$5</f>
        <v>0</v>
      </c>
      <c r="AJ529" s="99" t="b">
        <f>S_binomial[[#This Row],[X base]]=AF$5</f>
        <v>1</v>
      </c>
      <c r="AK529" s="99" t="b">
        <f>S_binomial[[#This Row],[X base]]&gt;AF$5</f>
        <v>0</v>
      </c>
      <c r="AL529" s="99" t="e">
        <f>IF(S_binomial[[#This Row],[Mindre end]],S_binomial[[#This Row],[Binomialfordeling]],NA())</f>
        <v>#N/A</v>
      </c>
      <c r="AM529" s="99">
        <f>IF(S_binomial[[#This Row],[Lig med]],S_binomial[[#This Row],[Binomialfordeling]],NA())</f>
        <v>0.39515869478400001</v>
      </c>
      <c r="AN529" s="99" t="e">
        <f>IF(S_binomial[[#This Row],[Større end]],S_binomial[[#This Row],[Binomialfordeling]],NA())</f>
        <v>#N/A</v>
      </c>
      <c r="AO529" s="85" t="str">
        <f>_xlfn.IFNA(IF(MOD(S_binomial[[#This Row],[Indeks (base 0)]],AF$7)=ROUNDDOWN(AF$7/2,0),S_binomial[[#This Row],[X base]],""),"")</f>
        <v/>
      </c>
      <c r="AP529" s="99" t="str">
        <f t="shared" si="84"/>
        <v xml:space="preserve"> </v>
      </c>
      <c r="AR529" s="54">
        <f t="shared" si="79"/>
        <v>516</v>
      </c>
      <c r="AS529" s="54">
        <f>S_normal27[[#This Row],[Indeks (base 0)]]+1</f>
        <v>517</v>
      </c>
      <c r="AT529" s="54">
        <f t="shared" si="81"/>
        <v>7</v>
      </c>
      <c r="AU529" s="54">
        <f>IF(MOD(S_normal27[[#This Row],[Indeks (base 0)]],AS$8)=0,NA(),_xlfn.POISSON.DIST(S_normal27[[#This Row],[X base]],$H$5,FALSE))</f>
        <v>2.1604031452483807E-2</v>
      </c>
      <c r="AV529" s="99" t="b">
        <f>S_normal27[[#This Row],[X base]]&lt;AS$5</f>
        <v>0</v>
      </c>
      <c r="AW529" s="99" t="b">
        <f>S_normal27[[#This Row],[X base]]=AS$5</f>
        <v>0</v>
      </c>
      <c r="AX529" s="99" t="b">
        <f>S_normal27[[#This Row],[X base]]&gt;AS$5</f>
        <v>1</v>
      </c>
      <c r="AY529" s="99" t="e">
        <f>IF(S_normal27[[#This Row],[Mindre end]],S_normal27[[#This Row],[Poissonfordeling]],NA())</f>
        <v>#N/A</v>
      </c>
      <c r="AZ529" s="99" t="e">
        <f>IF(S_normal27[[#This Row],[Lig med]],S_normal27[[#This Row],[Poissonfordeling]],NA())</f>
        <v>#N/A</v>
      </c>
      <c r="BA529" s="99">
        <f>IF(S_normal27[[#This Row],[Større end]],S_normal27[[#This Row],[Poissonfordeling]],NA())</f>
        <v>2.1604031452483807E-2</v>
      </c>
      <c r="BB529" s="85" t="str">
        <f>_xlfn.IFNA(IF(MOD(S_normal27[[#This Row],[Indeks (base 0)]],AS$8)=ROUNDDOWN(AS$8/2,0),S_normal27[[#This Row],[X base]],""),"")</f>
        <v/>
      </c>
      <c r="BC529" s="99" t="str">
        <f t="shared" si="80"/>
        <v xml:space="preserve"> </v>
      </c>
    </row>
    <row r="530" spans="31:55" x14ac:dyDescent="0.2">
      <c r="AE530" s="54">
        <f t="shared" si="82"/>
        <v>517</v>
      </c>
      <c r="AF530" s="54">
        <f>S_binomial[[#This Row],[Indeks (base 0)]]+1</f>
        <v>518</v>
      </c>
      <c r="AG530" s="99">
        <f t="shared" si="83"/>
        <v>5</v>
      </c>
      <c r="AH530" s="99">
        <f>IF(MOD(S_binomial[[#This Row],[Indeks (base 0)]],AF$7)=0,NA(),_xlfn.BINOM.DIST(S_binomial[[#This Row],[X base]],E$5,E$6,FALSE))</f>
        <v>0.39515869478400001</v>
      </c>
      <c r="AI530" s="99" t="b">
        <f>S_binomial[[#This Row],[X base]]&lt;AF$5</f>
        <v>0</v>
      </c>
      <c r="AJ530" s="99" t="b">
        <f>S_binomial[[#This Row],[X base]]=AF$5</f>
        <v>1</v>
      </c>
      <c r="AK530" s="99" t="b">
        <f>S_binomial[[#This Row],[X base]]&gt;AF$5</f>
        <v>0</v>
      </c>
      <c r="AL530" s="99" t="e">
        <f>IF(S_binomial[[#This Row],[Mindre end]],S_binomial[[#This Row],[Binomialfordeling]],NA())</f>
        <v>#N/A</v>
      </c>
      <c r="AM530" s="99">
        <f>IF(S_binomial[[#This Row],[Lig med]],S_binomial[[#This Row],[Binomialfordeling]],NA())</f>
        <v>0.39515869478400001</v>
      </c>
      <c r="AN530" s="99" t="e">
        <f>IF(S_binomial[[#This Row],[Større end]],S_binomial[[#This Row],[Binomialfordeling]],NA())</f>
        <v>#N/A</v>
      </c>
      <c r="AO530" s="85" t="str">
        <f>_xlfn.IFNA(IF(MOD(S_binomial[[#This Row],[Indeks (base 0)]],AF$7)=ROUNDDOWN(AF$7/2,0),S_binomial[[#This Row],[X base]],""),"")</f>
        <v/>
      </c>
      <c r="AP530" s="99" t="str">
        <f t="shared" si="84"/>
        <v xml:space="preserve"> </v>
      </c>
      <c r="AR530" s="54">
        <f t="shared" si="79"/>
        <v>517</v>
      </c>
      <c r="AS530" s="54">
        <f>S_normal27[[#This Row],[Indeks (base 0)]]+1</f>
        <v>518</v>
      </c>
      <c r="AT530" s="54">
        <f t="shared" si="81"/>
        <v>7</v>
      </c>
      <c r="AU530" s="54">
        <f>IF(MOD(S_normal27[[#This Row],[Indeks (base 0)]],AS$8)=0,NA(),_xlfn.POISSON.DIST(S_normal27[[#This Row],[X base]],$H$5,FALSE))</f>
        <v>2.1604031452483807E-2</v>
      </c>
      <c r="AV530" s="99" t="b">
        <f>S_normal27[[#This Row],[X base]]&lt;AS$5</f>
        <v>0</v>
      </c>
      <c r="AW530" s="99" t="b">
        <f>S_normal27[[#This Row],[X base]]=AS$5</f>
        <v>0</v>
      </c>
      <c r="AX530" s="99" t="b">
        <f>S_normal27[[#This Row],[X base]]&gt;AS$5</f>
        <v>1</v>
      </c>
      <c r="AY530" s="99" t="e">
        <f>IF(S_normal27[[#This Row],[Mindre end]],S_normal27[[#This Row],[Poissonfordeling]],NA())</f>
        <v>#N/A</v>
      </c>
      <c r="AZ530" s="99" t="e">
        <f>IF(S_normal27[[#This Row],[Lig med]],S_normal27[[#This Row],[Poissonfordeling]],NA())</f>
        <v>#N/A</v>
      </c>
      <c r="BA530" s="99">
        <f>IF(S_normal27[[#This Row],[Større end]],S_normal27[[#This Row],[Poissonfordeling]],NA())</f>
        <v>2.1604031452483807E-2</v>
      </c>
      <c r="BB530" s="85" t="str">
        <f>_xlfn.IFNA(IF(MOD(S_normal27[[#This Row],[Indeks (base 0)]],AS$8)=ROUNDDOWN(AS$8/2,0),S_normal27[[#This Row],[X base]],""),"")</f>
        <v/>
      </c>
      <c r="BC530" s="99" t="str">
        <f t="shared" si="80"/>
        <v xml:space="preserve"> </v>
      </c>
    </row>
    <row r="531" spans="31:55" x14ac:dyDescent="0.2">
      <c r="AE531" s="54">
        <f t="shared" si="82"/>
        <v>518</v>
      </c>
      <c r="AF531" s="54">
        <f>S_binomial[[#This Row],[Indeks (base 0)]]+1</f>
        <v>519</v>
      </c>
      <c r="AG531" s="99">
        <f t="shared" si="83"/>
        <v>5</v>
      </c>
      <c r="AH531" s="99">
        <f>IF(MOD(S_binomial[[#This Row],[Indeks (base 0)]],AF$7)=0,NA(),_xlfn.BINOM.DIST(S_binomial[[#This Row],[X base]],E$5,E$6,FALSE))</f>
        <v>0.39515869478400001</v>
      </c>
      <c r="AI531" s="99" t="b">
        <f>S_binomial[[#This Row],[X base]]&lt;AF$5</f>
        <v>0</v>
      </c>
      <c r="AJ531" s="99" t="b">
        <f>S_binomial[[#This Row],[X base]]=AF$5</f>
        <v>1</v>
      </c>
      <c r="AK531" s="99" t="b">
        <f>S_binomial[[#This Row],[X base]]&gt;AF$5</f>
        <v>0</v>
      </c>
      <c r="AL531" s="99" t="e">
        <f>IF(S_binomial[[#This Row],[Mindre end]],S_binomial[[#This Row],[Binomialfordeling]],NA())</f>
        <v>#N/A</v>
      </c>
      <c r="AM531" s="99">
        <f>IF(S_binomial[[#This Row],[Lig med]],S_binomial[[#This Row],[Binomialfordeling]],NA())</f>
        <v>0.39515869478400001</v>
      </c>
      <c r="AN531" s="99" t="e">
        <f>IF(S_binomial[[#This Row],[Større end]],S_binomial[[#This Row],[Binomialfordeling]],NA())</f>
        <v>#N/A</v>
      </c>
      <c r="AO531" s="85" t="str">
        <f>_xlfn.IFNA(IF(MOD(S_binomial[[#This Row],[Indeks (base 0)]],AF$7)=ROUNDDOWN(AF$7/2,0),S_binomial[[#This Row],[X base]],""),"")</f>
        <v/>
      </c>
      <c r="AP531" s="99" t="str">
        <f t="shared" si="84"/>
        <v xml:space="preserve"> </v>
      </c>
      <c r="AR531" s="54">
        <f t="shared" si="79"/>
        <v>518</v>
      </c>
      <c r="AS531" s="54">
        <f>S_normal27[[#This Row],[Indeks (base 0)]]+1</f>
        <v>519</v>
      </c>
      <c r="AT531" s="54">
        <f t="shared" si="81"/>
        <v>7</v>
      </c>
      <c r="AU531" s="54">
        <f>IF(MOD(S_normal27[[#This Row],[Indeks (base 0)]],AS$8)=0,NA(),_xlfn.POISSON.DIST(S_normal27[[#This Row],[X base]],$H$5,FALSE))</f>
        <v>2.1604031452483807E-2</v>
      </c>
      <c r="AV531" s="99" t="b">
        <f>S_normal27[[#This Row],[X base]]&lt;AS$5</f>
        <v>0</v>
      </c>
      <c r="AW531" s="99" t="b">
        <f>S_normal27[[#This Row],[X base]]=AS$5</f>
        <v>0</v>
      </c>
      <c r="AX531" s="99" t="b">
        <f>S_normal27[[#This Row],[X base]]&gt;AS$5</f>
        <v>1</v>
      </c>
      <c r="AY531" s="99" t="e">
        <f>IF(S_normal27[[#This Row],[Mindre end]],S_normal27[[#This Row],[Poissonfordeling]],NA())</f>
        <v>#N/A</v>
      </c>
      <c r="AZ531" s="99" t="e">
        <f>IF(S_normal27[[#This Row],[Lig med]],S_normal27[[#This Row],[Poissonfordeling]],NA())</f>
        <v>#N/A</v>
      </c>
      <c r="BA531" s="99">
        <f>IF(S_normal27[[#This Row],[Større end]],S_normal27[[#This Row],[Poissonfordeling]],NA())</f>
        <v>2.1604031452483807E-2</v>
      </c>
      <c r="BB531" s="85" t="str">
        <f>_xlfn.IFNA(IF(MOD(S_normal27[[#This Row],[Indeks (base 0)]],AS$8)=ROUNDDOWN(AS$8/2,0),S_normal27[[#This Row],[X base]],""),"")</f>
        <v/>
      </c>
      <c r="BC531" s="99" t="str">
        <f t="shared" si="80"/>
        <v xml:space="preserve"> </v>
      </c>
    </row>
    <row r="532" spans="31:55" x14ac:dyDescent="0.2">
      <c r="AE532" s="54">
        <f t="shared" si="82"/>
        <v>519</v>
      </c>
      <c r="AF532" s="54">
        <f>S_binomial[[#This Row],[Indeks (base 0)]]+1</f>
        <v>520</v>
      </c>
      <c r="AG532" s="99">
        <f t="shared" si="83"/>
        <v>5</v>
      </c>
      <c r="AH532" s="99">
        <f>IF(MOD(S_binomial[[#This Row],[Indeks (base 0)]],AF$7)=0,NA(),_xlfn.BINOM.DIST(S_binomial[[#This Row],[X base]],E$5,E$6,FALSE))</f>
        <v>0.39515869478400001</v>
      </c>
      <c r="AI532" s="99" t="b">
        <f>S_binomial[[#This Row],[X base]]&lt;AF$5</f>
        <v>0</v>
      </c>
      <c r="AJ532" s="99" t="b">
        <f>S_binomial[[#This Row],[X base]]=AF$5</f>
        <v>1</v>
      </c>
      <c r="AK532" s="99" t="b">
        <f>S_binomial[[#This Row],[X base]]&gt;AF$5</f>
        <v>0</v>
      </c>
      <c r="AL532" s="99" t="e">
        <f>IF(S_binomial[[#This Row],[Mindre end]],S_binomial[[#This Row],[Binomialfordeling]],NA())</f>
        <v>#N/A</v>
      </c>
      <c r="AM532" s="99">
        <f>IF(S_binomial[[#This Row],[Lig med]],S_binomial[[#This Row],[Binomialfordeling]],NA())</f>
        <v>0.39515869478400001</v>
      </c>
      <c r="AN532" s="99" t="e">
        <f>IF(S_binomial[[#This Row],[Større end]],S_binomial[[#This Row],[Binomialfordeling]],NA())</f>
        <v>#N/A</v>
      </c>
      <c r="AO532" s="85" t="str">
        <f>_xlfn.IFNA(IF(MOD(S_binomial[[#This Row],[Indeks (base 0)]],AF$7)=ROUNDDOWN(AF$7/2,0),S_binomial[[#This Row],[X base]],""),"")</f>
        <v/>
      </c>
      <c r="AP532" s="99" t="str">
        <f t="shared" si="84"/>
        <v xml:space="preserve"> </v>
      </c>
      <c r="AR532" s="54">
        <f t="shared" si="79"/>
        <v>519</v>
      </c>
      <c r="AS532" s="54">
        <f>S_normal27[[#This Row],[Indeks (base 0)]]+1</f>
        <v>520</v>
      </c>
      <c r="AT532" s="54">
        <f t="shared" si="81"/>
        <v>7</v>
      </c>
      <c r="AU532" s="54">
        <f>IF(MOD(S_normal27[[#This Row],[Indeks (base 0)]],AS$8)=0,NA(),_xlfn.POISSON.DIST(S_normal27[[#This Row],[X base]],$H$5,FALSE))</f>
        <v>2.1604031452483807E-2</v>
      </c>
      <c r="AV532" s="99" t="b">
        <f>S_normal27[[#This Row],[X base]]&lt;AS$5</f>
        <v>0</v>
      </c>
      <c r="AW532" s="99" t="b">
        <f>S_normal27[[#This Row],[X base]]=AS$5</f>
        <v>0</v>
      </c>
      <c r="AX532" s="99" t="b">
        <f>S_normal27[[#This Row],[X base]]&gt;AS$5</f>
        <v>1</v>
      </c>
      <c r="AY532" s="99" t="e">
        <f>IF(S_normal27[[#This Row],[Mindre end]],S_normal27[[#This Row],[Poissonfordeling]],NA())</f>
        <v>#N/A</v>
      </c>
      <c r="AZ532" s="99" t="e">
        <f>IF(S_normal27[[#This Row],[Lig med]],S_normal27[[#This Row],[Poissonfordeling]],NA())</f>
        <v>#N/A</v>
      </c>
      <c r="BA532" s="99">
        <f>IF(S_normal27[[#This Row],[Større end]],S_normal27[[#This Row],[Poissonfordeling]],NA())</f>
        <v>2.1604031452483807E-2</v>
      </c>
      <c r="BB532" s="85" t="str">
        <f>_xlfn.IFNA(IF(MOD(S_normal27[[#This Row],[Indeks (base 0)]],AS$8)=ROUNDDOWN(AS$8/2,0),S_normal27[[#This Row],[X base]],""),"")</f>
        <v/>
      </c>
      <c r="BC532" s="99" t="str">
        <f t="shared" si="80"/>
        <v xml:space="preserve"> </v>
      </c>
    </row>
    <row r="533" spans="31:55" x14ac:dyDescent="0.2">
      <c r="AE533" s="54">
        <f t="shared" si="82"/>
        <v>520</v>
      </c>
      <c r="AF533" s="54">
        <f>S_binomial[[#This Row],[Indeks (base 0)]]+1</f>
        <v>521</v>
      </c>
      <c r="AG533" s="99">
        <f t="shared" si="83"/>
        <v>5</v>
      </c>
      <c r="AH533" s="99">
        <f>IF(MOD(S_binomial[[#This Row],[Indeks (base 0)]],AF$7)=0,NA(),_xlfn.BINOM.DIST(S_binomial[[#This Row],[X base]],E$5,E$6,FALSE))</f>
        <v>0.39515869478400001</v>
      </c>
      <c r="AI533" s="99" t="b">
        <f>S_binomial[[#This Row],[X base]]&lt;AF$5</f>
        <v>0</v>
      </c>
      <c r="AJ533" s="99" t="b">
        <f>S_binomial[[#This Row],[X base]]=AF$5</f>
        <v>1</v>
      </c>
      <c r="AK533" s="99" t="b">
        <f>S_binomial[[#This Row],[X base]]&gt;AF$5</f>
        <v>0</v>
      </c>
      <c r="AL533" s="99" t="e">
        <f>IF(S_binomial[[#This Row],[Mindre end]],S_binomial[[#This Row],[Binomialfordeling]],NA())</f>
        <v>#N/A</v>
      </c>
      <c r="AM533" s="99">
        <f>IF(S_binomial[[#This Row],[Lig med]],S_binomial[[#This Row],[Binomialfordeling]],NA())</f>
        <v>0.39515869478400001</v>
      </c>
      <c r="AN533" s="99" t="e">
        <f>IF(S_binomial[[#This Row],[Større end]],S_binomial[[#This Row],[Binomialfordeling]],NA())</f>
        <v>#N/A</v>
      </c>
      <c r="AO533" s="85" t="str">
        <f>_xlfn.IFNA(IF(MOD(S_binomial[[#This Row],[Indeks (base 0)]],AF$7)=ROUNDDOWN(AF$7/2,0),S_binomial[[#This Row],[X base]],""),"")</f>
        <v/>
      </c>
      <c r="AP533" s="99" t="str">
        <f t="shared" si="84"/>
        <v xml:space="preserve"> </v>
      </c>
      <c r="AR533" s="54">
        <f t="shared" si="79"/>
        <v>520</v>
      </c>
      <c r="AS533" s="54">
        <f>S_normal27[[#This Row],[Indeks (base 0)]]+1</f>
        <v>521</v>
      </c>
      <c r="AT533" s="54">
        <f t="shared" si="81"/>
        <v>8</v>
      </c>
      <c r="AU533" s="54" t="e">
        <f>IF(MOD(S_normal27[[#This Row],[Indeks (base 0)]],AS$8)=0,NA(),_xlfn.POISSON.DIST(S_normal27[[#This Row],[X base]],$H$5,FALSE))</f>
        <v>#N/A</v>
      </c>
      <c r="AV533" s="99" t="b">
        <f>S_normal27[[#This Row],[X base]]&lt;AS$5</f>
        <v>0</v>
      </c>
      <c r="AW533" s="99" t="b">
        <f>S_normal27[[#This Row],[X base]]=AS$5</f>
        <v>0</v>
      </c>
      <c r="AX533" s="99" t="b">
        <f>S_normal27[[#This Row],[X base]]&gt;AS$5</f>
        <v>1</v>
      </c>
      <c r="AY533" s="99" t="e">
        <f>IF(S_normal27[[#This Row],[Mindre end]],S_normal27[[#This Row],[Poissonfordeling]],NA())</f>
        <v>#N/A</v>
      </c>
      <c r="AZ533" s="99" t="e">
        <f>IF(S_normal27[[#This Row],[Lig med]],S_normal27[[#This Row],[Poissonfordeling]],NA())</f>
        <v>#N/A</v>
      </c>
      <c r="BA533" s="99" t="e">
        <f>IF(S_normal27[[#This Row],[Større end]],S_normal27[[#This Row],[Poissonfordeling]],NA())</f>
        <v>#N/A</v>
      </c>
      <c r="BB533" s="85" t="str">
        <f>_xlfn.IFNA(IF(MOD(S_normal27[[#This Row],[Indeks (base 0)]],AS$8)=ROUNDDOWN(AS$8/2,0),S_normal27[[#This Row],[X base]],""),"")</f>
        <v/>
      </c>
      <c r="BC533" s="99" t="str">
        <f t="shared" si="80"/>
        <v xml:space="preserve"> </v>
      </c>
    </row>
    <row r="534" spans="31:55" x14ac:dyDescent="0.2">
      <c r="AE534" s="54">
        <f t="shared" si="82"/>
        <v>521</v>
      </c>
      <c r="AF534" s="54">
        <f>S_binomial[[#This Row],[Indeks (base 0)]]+1</f>
        <v>522</v>
      </c>
      <c r="AG534" s="99">
        <f t="shared" si="83"/>
        <v>5</v>
      </c>
      <c r="AH534" s="99">
        <f>IF(MOD(S_binomial[[#This Row],[Indeks (base 0)]],AF$7)=0,NA(),_xlfn.BINOM.DIST(S_binomial[[#This Row],[X base]],E$5,E$6,FALSE))</f>
        <v>0.39515869478400001</v>
      </c>
      <c r="AI534" s="99" t="b">
        <f>S_binomial[[#This Row],[X base]]&lt;AF$5</f>
        <v>0</v>
      </c>
      <c r="AJ534" s="99" t="b">
        <f>S_binomial[[#This Row],[X base]]=AF$5</f>
        <v>1</v>
      </c>
      <c r="AK534" s="99" t="b">
        <f>S_binomial[[#This Row],[X base]]&gt;AF$5</f>
        <v>0</v>
      </c>
      <c r="AL534" s="99" t="e">
        <f>IF(S_binomial[[#This Row],[Mindre end]],S_binomial[[#This Row],[Binomialfordeling]],NA())</f>
        <v>#N/A</v>
      </c>
      <c r="AM534" s="99">
        <f>IF(S_binomial[[#This Row],[Lig med]],S_binomial[[#This Row],[Binomialfordeling]],NA())</f>
        <v>0.39515869478400001</v>
      </c>
      <c r="AN534" s="99" t="e">
        <f>IF(S_binomial[[#This Row],[Større end]],S_binomial[[#This Row],[Binomialfordeling]],NA())</f>
        <v>#N/A</v>
      </c>
      <c r="AO534" s="85" t="str">
        <f>_xlfn.IFNA(IF(MOD(S_binomial[[#This Row],[Indeks (base 0)]],AF$7)=ROUNDDOWN(AF$7/2,0),S_binomial[[#This Row],[X base]],""),"")</f>
        <v/>
      </c>
      <c r="AP534" s="99" t="str">
        <f t="shared" si="84"/>
        <v xml:space="preserve"> </v>
      </c>
      <c r="AR534" s="54">
        <f t="shared" si="79"/>
        <v>521</v>
      </c>
      <c r="AS534" s="54">
        <f>S_normal27[[#This Row],[Indeks (base 0)]]+1</f>
        <v>522</v>
      </c>
      <c r="AT534" s="54">
        <f t="shared" si="81"/>
        <v>8</v>
      </c>
      <c r="AU534" s="54">
        <f>IF(MOD(S_normal27[[#This Row],[Indeks (base 0)]],AS$8)=0,NA(),_xlfn.POISSON.DIST(S_normal27[[#This Row],[X base]],$H$5,FALSE))</f>
        <v>8.1015117946814375E-3</v>
      </c>
      <c r="AV534" s="99" t="b">
        <f>S_normal27[[#This Row],[X base]]&lt;AS$5</f>
        <v>0</v>
      </c>
      <c r="AW534" s="99" t="b">
        <f>S_normal27[[#This Row],[X base]]=AS$5</f>
        <v>0</v>
      </c>
      <c r="AX534" s="99" t="b">
        <f>S_normal27[[#This Row],[X base]]&gt;AS$5</f>
        <v>1</v>
      </c>
      <c r="AY534" s="99" t="e">
        <f>IF(S_normal27[[#This Row],[Mindre end]],S_normal27[[#This Row],[Poissonfordeling]],NA())</f>
        <v>#N/A</v>
      </c>
      <c r="AZ534" s="99" t="e">
        <f>IF(S_normal27[[#This Row],[Lig med]],S_normal27[[#This Row],[Poissonfordeling]],NA())</f>
        <v>#N/A</v>
      </c>
      <c r="BA534" s="99">
        <f>IF(S_normal27[[#This Row],[Større end]],S_normal27[[#This Row],[Poissonfordeling]],NA())</f>
        <v>8.1015117946814375E-3</v>
      </c>
      <c r="BB534" s="85" t="str">
        <f>_xlfn.IFNA(IF(MOD(S_normal27[[#This Row],[Indeks (base 0)]],AS$8)=ROUNDDOWN(AS$8/2,0),S_normal27[[#This Row],[X base]],""),"")</f>
        <v/>
      </c>
      <c r="BC534" s="99" t="str">
        <f t="shared" si="80"/>
        <v xml:space="preserve"> </v>
      </c>
    </row>
    <row r="535" spans="31:55" x14ac:dyDescent="0.2">
      <c r="AE535" s="54">
        <f t="shared" si="82"/>
        <v>522</v>
      </c>
      <c r="AF535" s="54">
        <f>S_binomial[[#This Row],[Indeks (base 0)]]+1</f>
        <v>523</v>
      </c>
      <c r="AG535" s="99">
        <f t="shared" si="83"/>
        <v>5</v>
      </c>
      <c r="AH535" s="99">
        <f>IF(MOD(S_binomial[[#This Row],[Indeks (base 0)]],AF$7)=0,NA(),_xlfn.BINOM.DIST(S_binomial[[#This Row],[X base]],E$5,E$6,FALSE))</f>
        <v>0.39515869478400001</v>
      </c>
      <c r="AI535" s="99" t="b">
        <f>S_binomial[[#This Row],[X base]]&lt;AF$5</f>
        <v>0</v>
      </c>
      <c r="AJ535" s="99" t="b">
        <f>S_binomial[[#This Row],[X base]]=AF$5</f>
        <v>1</v>
      </c>
      <c r="AK535" s="99" t="b">
        <f>S_binomial[[#This Row],[X base]]&gt;AF$5</f>
        <v>0</v>
      </c>
      <c r="AL535" s="99" t="e">
        <f>IF(S_binomial[[#This Row],[Mindre end]],S_binomial[[#This Row],[Binomialfordeling]],NA())</f>
        <v>#N/A</v>
      </c>
      <c r="AM535" s="99">
        <f>IF(S_binomial[[#This Row],[Lig med]],S_binomial[[#This Row],[Binomialfordeling]],NA())</f>
        <v>0.39515869478400001</v>
      </c>
      <c r="AN535" s="99" t="e">
        <f>IF(S_binomial[[#This Row],[Større end]],S_binomial[[#This Row],[Binomialfordeling]],NA())</f>
        <v>#N/A</v>
      </c>
      <c r="AO535" s="85" t="str">
        <f>_xlfn.IFNA(IF(MOD(S_binomial[[#This Row],[Indeks (base 0)]],AF$7)=ROUNDDOWN(AF$7/2,0),S_binomial[[#This Row],[X base]],""),"")</f>
        <v/>
      </c>
      <c r="AP535" s="99" t="str">
        <f t="shared" si="84"/>
        <v xml:space="preserve"> </v>
      </c>
      <c r="AR535" s="54">
        <f t="shared" si="79"/>
        <v>522</v>
      </c>
      <c r="AS535" s="54">
        <f>S_normal27[[#This Row],[Indeks (base 0)]]+1</f>
        <v>523</v>
      </c>
      <c r="AT535" s="54">
        <f t="shared" si="81"/>
        <v>8</v>
      </c>
      <c r="AU535" s="54">
        <f>IF(MOD(S_normal27[[#This Row],[Indeks (base 0)]],AS$8)=0,NA(),_xlfn.POISSON.DIST(S_normal27[[#This Row],[X base]],$H$5,FALSE))</f>
        <v>8.1015117946814375E-3</v>
      </c>
      <c r="AV535" s="99" t="b">
        <f>S_normal27[[#This Row],[X base]]&lt;AS$5</f>
        <v>0</v>
      </c>
      <c r="AW535" s="99" t="b">
        <f>S_normal27[[#This Row],[X base]]=AS$5</f>
        <v>0</v>
      </c>
      <c r="AX535" s="99" t="b">
        <f>S_normal27[[#This Row],[X base]]&gt;AS$5</f>
        <v>1</v>
      </c>
      <c r="AY535" s="99" t="e">
        <f>IF(S_normal27[[#This Row],[Mindre end]],S_normal27[[#This Row],[Poissonfordeling]],NA())</f>
        <v>#N/A</v>
      </c>
      <c r="AZ535" s="99" t="e">
        <f>IF(S_normal27[[#This Row],[Lig med]],S_normal27[[#This Row],[Poissonfordeling]],NA())</f>
        <v>#N/A</v>
      </c>
      <c r="BA535" s="99">
        <f>IF(S_normal27[[#This Row],[Større end]],S_normal27[[#This Row],[Poissonfordeling]],NA())</f>
        <v>8.1015117946814375E-3</v>
      </c>
      <c r="BB535" s="85" t="str">
        <f>_xlfn.IFNA(IF(MOD(S_normal27[[#This Row],[Indeks (base 0)]],AS$8)=ROUNDDOWN(AS$8/2,0),S_normal27[[#This Row],[X base]],""),"")</f>
        <v/>
      </c>
      <c r="BC535" s="99" t="str">
        <f t="shared" si="80"/>
        <v xml:space="preserve"> </v>
      </c>
    </row>
    <row r="536" spans="31:55" x14ac:dyDescent="0.2">
      <c r="AE536" s="54">
        <f t="shared" si="82"/>
        <v>523</v>
      </c>
      <c r="AF536" s="54">
        <f>S_binomial[[#This Row],[Indeks (base 0)]]+1</f>
        <v>524</v>
      </c>
      <c r="AG536" s="99">
        <f t="shared" si="83"/>
        <v>5</v>
      </c>
      <c r="AH536" s="99">
        <f>IF(MOD(S_binomial[[#This Row],[Indeks (base 0)]],AF$7)=0,NA(),_xlfn.BINOM.DIST(S_binomial[[#This Row],[X base]],E$5,E$6,FALSE))</f>
        <v>0.39515869478400001</v>
      </c>
      <c r="AI536" s="99" t="b">
        <f>S_binomial[[#This Row],[X base]]&lt;AF$5</f>
        <v>0</v>
      </c>
      <c r="AJ536" s="99" t="b">
        <f>S_binomial[[#This Row],[X base]]=AF$5</f>
        <v>1</v>
      </c>
      <c r="AK536" s="99" t="b">
        <f>S_binomial[[#This Row],[X base]]&gt;AF$5</f>
        <v>0</v>
      </c>
      <c r="AL536" s="99" t="e">
        <f>IF(S_binomial[[#This Row],[Mindre end]],S_binomial[[#This Row],[Binomialfordeling]],NA())</f>
        <v>#N/A</v>
      </c>
      <c r="AM536" s="99">
        <f>IF(S_binomial[[#This Row],[Lig med]],S_binomial[[#This Row],[Binomialfordeling]],NA())</f>
        <v>0.39515869478400001</v>
      </c>
      <c r="AN536" s="99" t="e">
        <f>IF(S_binomial[[#This Row],[Større end]],S_binomial[[#This Row],[Binomialfordeling]],NA())</f>
        <v>#N/A</v>
      </c>
      <c r="AO536" s="85" t="str">
        <f>_xlfn.IFNA(IF(MOD(S_binomial[[#This Row],[Indeks (base 0)]],AF$7)=ROUNDDOWN(AF$7/2,0),S_binomial[[#This Row],[X base]],""),"")</f>
        <v/>
      </c>
      <c r="AP536" s="99" t="str">
        <f t="shared" si="84"/>
        <v xml:space="preserve"> </v>
      </c>
      <c r="AR536" s="54">
        <f t="shared" si="79"/>
        <v>523</v>
      </c>
      <c r="AS536" s="54">
        <f>S_normal27[[#This Row],[Indeks (base 0)]]+1</f>
        <v>524</v>
      </c>
      <c r="AT536" s="54">
        <f t="shared" si="81"/>
        <v>8</v>
      </c>
      <c r="AU536" s="54">
        <f>IF(MOD(S_normal27[[#This Row],[Indeks (base 0)]],AS$8)=0,NA(),_xlfn.POISSON.DIST(S_normal27[[#This Row],[X base]],$H$5,FALSE))</f>
        <v>8.1015117946814375E-3</v>
      </c>
      <c r="AV536" s="99" t="b">
        <f>S_normal27[[#This Row],[X base]]&lt;AS$5</f>
        <v>0</v>
      </c>
      <c r="AW536" s="99" t="b">
        <f>S_normal27[[#This Row],[X base]]=AS$5</f>
        <v>0</v>
      </c>
      <c r="AX536" s="99" t="b">
        <f>S_normal27[[#This Row],[X base]]&gt;AS$5</f>
        <v>1</v>
      </c>
      <c r="AY536" s="99" t="e">
        <f>IF(S_normal27[[#This Row],[Mindre end]],S_normal27[[#This Row],[Poissonfordeling]],NA())</f>
        <v>#N/A</v>
      </c>
      <c r="AZ536" s="99" t="e">
        <f>IF(S_normal27[[#This Row],[Lig med]],S_normal27[[#This Row],[Poissonfordeling]],NA())</f>
        <v>#N/A</v>
      </c>
      <c r="BA536" s="99">
        <f>IF(S_normal27[[#This Row],[Større end]],S_normal27[[#This Row],[Poissonfordeling]],NA())</f>
        <v>8.1015117946814375E-3</v>
      </c>
      <c r="BB536" s="85" t="str">
        <f>_xlfn.IFNA(IF(MOD(S_normal27[[#This Row],[Indeks (base 0)]],AS$8)=ROUNDDOWN(AS$8/2,0),S_normal27[[#This Row],[X base]],""),"")</f>
        <v/>
      </c>
      <c r="BC536" s="99" t="str">
        <f t="shared" si="80"/>
        <v xml:space="preserve"> </v>
      </c>
    </row>
    <row r="537" spans="31:55" x14ac:dyDescent="0.2">
      <c r="AE537" s="54">
        <f t="shared" si="82"/>
        <v>524</v>
      </c>
      <c r="AF537" s="54">
        <f>S_binomial[[#This Row],[Indeks (base 0)]]+1</f>
        <v>525</v>
      </c>
      <c r="AG537" s="99">
        <f t="shared" si="83"/>
        <v>5</v>
      </c>
      <c r="AH537" s="99">
        <f>IF(MOD(S_binomial[[#This Row],[Indeks (base 0)]],AF$7)=0,NA(),_xlfn.BINOM.DIST(S_binomial[[#This Row],[X base]],E$5,E$6,FALSE))</f>
        <v>0.39515869478400001</v>
      </c>
      <c r="AI537" s="99" t="b">
        <f>S_binomial[[#This Row],[X base]]&lt;AF$5</f>
        <v>0</v>
      </c>
      <c r="AJ537" s="99" t="b">
        <f>S_binomial[[#This Row],[X base]]=AF$5</f>
        <v>1</v>
      </c>
      <c r="AK537" s="99" t="b">
        <f>S_binomial[[#This Row],[X base]]&gt;AF$5</f>
        <v>0</v>
      </c>
      <c r="AL537" s="99" t="e">
        <f>IF(S_binomial[[#This Row],[Mindre end]],S_binomial[[#This Row],[Binomialfordeling]],NA())</f>
        <v>#N/A</v>
      </c>
      <c r="AM537" s="99">
        <f>IF(S_binomial[[#This Row],[Lig med]],S_binomial[[#This Row],[Binomialfordeling]],NA())</f>
        <v>0.39515869478400001</v>
      </c>
      <c r="AN537" s="99" t="e">
        <f>IF(S_binomial[[#This Row],[Større end]],S_binomial[[#This Row],[Binomialfordeling]],NA())</f>
        <v>#N/A</v>
      </c>
      <c r="AO537" s="85" t="str">
        <f>_xlfn.IFNA(IF(MOD(S_binomial[[#This Row],[Indeks (base 0)]],AF$7)=ROUNDDOWN(AF$7/2,0),S_binomial[[#This Row],[X base]],""),"")</f>
        <v/>
      </c>
      <c r="AP537" s="99" t="str">
        <f t="shared" si="84"/>
        <v xml:space="preserve"> </v>
      </c>
      <c r="AR537" s="54">
        <f t="shared" si="79"/>
        <v>524</v>
      </c>
      <c r="AS537" s="54">
        <f>S_normal27[[#This Row],[Indeks (base 0)]]+1</f>
        <v>525</v>
      </c>
      <c r="AT537" s="54">
        <f t="shared" si="81"/>
        <v>8</v>
      </c>
      <c r="AU537" s="54">
        <f>IF(MOD(S_normal27[[#This Row],[Indeks (base 0)]],AS$8)=0,NA(),_xlfn.POISSON.DIST(S_normal27[[#This Row],[X base]],$H$5,FALSE))</f>
        <v>8.1015117946814375E-3</v>
      </c>
      <c r="AV537" s="99" t="b">
        <f>S_normal27[[#This Row],[X base]]&lt;AS$5</f>
        <v>0</v>
      </c>
      <c r="AW537" s="99" t="b">
        <f>S_normal27[[#This Row],[X base]]=AS$5</f>
        <v>0</v>
      </c>
      <c r="AX537" s="99" t="b">
        <f>S_normal27[[#This Row],[X base]]&gt;AS$5</f>
        <v>1</v>
      </c>
      <c r="AY537" s="99" t="e">
        <f>IF(S_normal27[[#This Row],[Mindre end]],S_normal27[[#This Row],[Poissonfordeling]],NA())</f>
        <v>#N/A</v>
      </c>
      <c r="AZ537" s="99" t="e">
        <f>IF(S_normal27[[#This Row],[Lig med]],S_normal27[[#This Row],[Poissonfordeling]],NA())</f>
        <v>#N/A</v>
      </c>
      <c r="BA537" s="99">
        <f>IF(S_normal27[[#This Row],[Større end]],S_normal27[[#This Row],[Poissonfordeling]],NA())</f>
        <v>8.1015117946814375E-3</v>
      </c>
      <c r="BB537" s="85" t="str">
        <f>_xlfn.IFNA(IF(MOD(S_normal27[[#This Row],[Indeks (base 0)]],AS$8)=ROUNDDOWN(AS$8/2,0),S_normal27[[#This Row],[X base]],""),"")</f>
        <v/>
      </c>
      <c r="BC537" s="99" t="str">
        <f t="shared" si="80"/>
        <v xml:space="preserve"> </v>
      </c>
    </row>
    <row r="538" spans="31:55" x14ac:dyDescent="0.2">
      <c r="AE538" s="54">
        <f t="shared" si="82"/>
        <v>525</v>
      </c>
      <c r="AF538" s="54">
        <f>S_binomial[[#This Row],[Indeks (base 0)]]+1</f>
        <v>526</v>
      </c>
      <c r="AG538" s="99">
        <f t="shared" si="83"/>
        <v>5</v>
      </c>
      <c r="AH538" s="99">
        <f>IF(MOD(S_binomial[[#This Row],[Indeks (base 0)]],AF$7)=0,NA(),_xlfn.BINOM.DIST(S_binomial[[#This Row],[X base]],E$5,E$6,FALSE))</f>
        <v>0.39515869478400001</v>
      </c>
      <c r="AI538" s="99" t="b">
        <f>S_binomial[[#This Row],[X base]]&lt;AF$5</f>
        <v>0</v>
      </c>
      <c r="AJ538" s="99" t="b">
        <f>S_binomial[[#This Row],[X base]]=AF$5</f>
        <v>1</v>
      </c>
      <c r="AK538" s="99" t="b">
        <f>S_binomial[[#This Row],[X base]]&gt;AF$5</f>
        <v>0</v>
      </c>
      <c r="AL538" s="99" t="e">
        <f>IF(S_binomial[[#This Row],[Mindre end]],S_binomial[[#This Row],[Binomialfordeling]],NA())</f>
        <v>#N/A</v>
      </c>
      <c r="AM538" s="99">
        <f>IF(S_binomial[[#This Row],[Lig med]],S_binomial[[#This Row],[Binomialfordeling]],NA())</f>
        <v>0.39515869478400001</v>
      </c>
      <c r="AN538" s="99" t="e">
        <f>IF(S_binomial[[#This Row],[Større end]],S_binomial[[#This Row],[Binomialfordeling]],NA())</f>
        <v>#N/A</v>
      </c>
      <c r="AO538" s="85" t="str">
        <f>_xlfn.IFNA(IF(MOD(S_binomial[[#This Row],[Indeks (base 0)]],AF$7)=ROUNDDOWN(AF$7/2,0),S_binomial[[#This Row],[X base]],""),"")</f>
        <v/>
      </c>
      <c r="AP538" s="99" t="str">
        <f t="shared" si="84"/>
        <v xml:space="preserve"> </v>
      </c>
      <c r="AR538" s="54">
        <f t="shared" si="79"/>
        <v>525</v>
      </c>
      <c r="AS538" s="54">
        <f>S_normal27[[#This Row],[Indeks (base 0)]]+1</f>
        <v>526</v>
      </c>
      <c r="AT538" s="54">
        <f t="shared" si="81"/>
        <v>8</v>
      </c>
      <c r="AU538" s="54">
        <f>IF(MOD(S_normal27[[#This Row],[Indeks (base 0)]],AS$8)=0,NA(),_xlfn.POISSON.DIST(S_normal27[[#This Row],[X base]],$H$5,FALSE))</f>
        <v>8.1015117946814375E-3</v>
      </c>
      <c r="AV538" s="99" t="b">
        <f>S_normal27[[#This Row],[X base]]&lt;AS$5</f>
        <v>0</v>
      </c>
      <c r="AW538" s="99" t="b">
        <f>S_normal27[[#This Row],[X base]]=AS$5</f>
        <v>0</v>
      </c>
      <c r="AX538" s="99" t="b">
        <f>S_normal27[[#This Row],[X base]]&gt;AS$5</f>
        <v>1</v>
      </c>
      <c r="AY538" s="99" t="e">
        <f>IF(S_normal27[[#This Row],[Mindre end]],S_normal27[[#This Row],[Poissonfordeling]],NA())</f>
        <v>#N/A</v>
      </c>
      <c r="AZ538" s="99" t="e">
        <f>IF(S_normal27[[#This Row],[Lig med]],S_normal27[[#This Row],[Poissonfordeling]],NA())</f>
        <v>#N/A</v>
      </c>
      <c r="BA538" s="99">
        <f>IF(S_normal27[[#This Row],[Større end]],S_normal27[[#This Row],[Poissonfordeling]],NA())</f>
        <v>8.1015117946814375E-3</v>
      </c>
      <c r="BB538" s="85" t="str">
        <f>_xlfn.IFNA(IF(MOD(S_normal27[[#This Row],[Indeks (base 0)]],AS$8)=ROUNDDOWN(AS$8/2,0),S_normal27[[#This Row],[X base]],""),"")</f>
        <v/>
      </c>
      <c r="BC538" s="99" t="str">
        <f t="shared" si="80"/>
        <v xml:space="preserve"> </v>
      </c>
    </row>
    <row r="539" spans="31:55" x14ac:dyDescent="0.2">
      <c r="AE539" s="54">
        <f t="shared" si="82"/>
        <v>526</v>
      </c>
      <c r="AF539" s="54">
        <f>S_binomial[[#This Row],[Indeks (base 0)]]+1</f>
        <v>527</v>
      </c>
      <c r="AG539" s="99">
        <f t="shared" si="83"/>
        <v>5</v>
      </c>
      <c r="AH539" s="99">
        <f>IF(MOD(S_binomial[[#This Row],[Indeks (base 0)]],AF$7)=0,NA(),_xlfn.BINOM.DIST(S_binomial[[#This Row],[X base]],E$5,E$6,FALSE))</f>
        <v>0.39515869478400001</v>
      </c>
      <c r="AI539" s="99" t="b">
        <f>S_binomial[[#This Row],[X base]]&lt;AF$5</f>
        <v>0</v>
      </c>
      <c r="AJ539" s="99" t="b">
        <f>S_binomial[[#This Row],[X base]]=AF$5</f>
        <v>1</v>
      </c>
      <c r="AK539" s="99" t="b">
        <f>S_binomial[[#This Row],[X base]]&gt;AF$5</f>
        <v>0</v>
      </c>
      <c r="AL539" s="99" t="e">
        <f>IF(S_binomial[[#This Row],[Mindre end]],S_binomial[[#This Row],[Binomialfordeling]],NA())</f>
        <v>#N/A</v>
      </c>
      <c r="AM539" s="99">
        <f>IF(S_binomial[[#This Row],[Lig med]],S_binomial[[#This Row],[Binomialfordeling]],NA())</f>
        <v>0.39515869478400001</v>
      </c>
      <c r="AN539" s="99" t="e">
        <f>IF(S_binomial[[#This Row],[Større end]],S_binomial[[#This Row],[Binomialfordeling]],NA())</f>
        <v>#N/A</v>
      </c>
      <c r="AO539" s="85" t="str">
        <f>_xlfn.IFNA(IF(MOD(S_binomial[[#This Row],[Indeks (base 0)]],AF$7)=ROUNDDOWN(AF$7/2,0),S_binomial[[#This Row],[X base]],""),"")</f>
        <v/>
      </c>
      <c r="AP539" s="99" t="str">
        <f t="shared" si="84"/>
        <v xml:space="preserve"> </v>
      </c>
      <c r="AR539" s="54">
        <f t="shared" si="79"/>
        <v>526</v>
      </c>
      <c r="AS539" s="54">
        <f>S_normal27[[#This Row],[Indeks (base 0)]]+1</f>
        <v>527</v>
      </c>
      <c r="AT539" s="54">
        <f t="shared" si="81"/>
        <v>8</v>
      </c>
      <c r="AU539" s="54">
        <f>IF(MOD(S_normal27[[#This Row],[Indeks (base 0)]],AS$8)=0,NA(),_xlfn.POISSON.DIST(S_normal27[[#This Row],[X base]],$H$5,FALSE))</f>
        <v>8.1015117946814375E-3</v>
      </c>
      <c r="AV539" s="99" t="b">
        <f>S_normal27[[#This Row],[X base]]&lt;AS$5</f>
        <v>0</v>
      </c>
      <c r="AW539" s="99" t="b">
        <f>S_normal27[[#This Row],[X base]]=AS$5</f>
        <v>0</v>
      </c>
      <c r="AX539" s="99" t="b">
        <f>S_normal27[[#This Row],[X base]]&gt;AS$5</f>
        <v>1</v>
      </c>
      <c r="AY539" s="99" t="e">
        <f>IF(S_normal27[[#This Row],[Mindre end]],S_normal27[[#This Row],[Poissonfordeling]],NA())</f>
        <v>#N/A</v>
      </c>
      <c r="AZ539" s="99" t="e">
        <f>IF(S_normal27[[#This Row],[Lig med]],S_normal27[[#This Row],[Poissonfordeling]],NA())</f>
        <v>#N/A</v>
      </c>
      <c r="BA539" s="99">
        <f>IF(S_normal27[[#This Row],[Større end]],S_normal27[[#This Row],[Poissonfordeling]],NA())</f>
        <v>8.1015117946814375E-3</v>
      </c>
      <c r="BB539" s="85" t="str">
        <f>_xlfn.IFNA(IF(MOD(S_normal27[[#This Row],[Indeks (base 0)]],AS$8)=ROUNDDOWN(AS$8/2,0),S_normal27[[#This Row],[X base]],""),"")</f>
        <v/>
      </c>
      <c r="BC539" s="99" t="str">
        <f t="shared" si="80"/>
        <v xml:space="preserve"> </v>
      </c>
    </row>
    <row r="540" spans="31:55" x14ac:dyDescent="0.2">
      <c r="AE540" s="54">
        <f t="shared" si="82"/>
        <v>527</v>
      </c>
      <c r="AF540" s="54">
        <f>S_binomial[[#This Row],[Indeks (base 0)]]+1</f>
        <v>528</v>
      </c>
      <c r="AG540" s="99">
        <f t="shared" si="83"/>
        <v>5</v>
      </c>
      <c r="AH540" s="99">
        <f>IF(MOD(S_binomial[[#This Row],[Indeks (base 0)]],AF$7)=0,NA(),_xlfn.BINOM.DIST(S_binomial[[#This Row],[X base]],E$5,E$6,FALSE))</f>
        <v>0.39515869478400001</v>
      </c>
      <c r="AI540" s="99" t="b">
        <f>S_binomial[[#This Row],[X base]]&lt;AF$5</f>
        <v>0</v>
      </c>
      <c r="AJ540" s="99" t="b">
        <f>S_binomial[[#This Row],[X base]]=AF$5</f>
        <v>1</v>
      </c>
      <c r="AK540" s="99" t="b">
        <f>S_binomial[[#This Row],[X base]]&gt;AF$5</f>
        <v>0</v>
      </c>
      <c r="AL540" s="99" t="e">
        <f>IF(S_binomial[[#This Row],[Mindre end]],S_binomial[[#This Row],[Binomialfordeling]],NA())</f>
        <v>#N/A</v>
      </c>
      <c r="AM540" s="99">
        <f>IF(S_binomial[[#This Row],[Lig med]],S_binomial[[#This Row],[Binomialfordeling]],NA())</f>
        <v>0.39515869478400001</v>
      </c>
      <c r="AN540" s="99" t="e">
        <f>IF(S_binomial[[#This Row],[Større end]],S_binomial[[#This Row],[Binomialfordeling]],NA())</f>
        <v>#N/A</v>
      </c>
      <c r="AO540" s="85" t="str">
        <f>_xlfn.IFNA(IF(MOD(S_binomial[[#This Row],[Indeks (base 0)]],AF$7)=ROUNDDOWN(AF$7/2,0),S_binomial[[#This Row],[X base]],""),"")</f>
        <v/>
      </c>
      <c r="AP540" s="99" t="str">
        <f t="shared" si="84"/>
        <v xml:space="preserve"> </v>
      </c>
      <c r="AR540" s="54">
        <f t="shared" si="79"/>
        <v>527</v>
      </c>
      <c r="AS540" s="54">
        <f>S_normal27[[#This Row],[Indeks (base 0)]]+1</f>
        <v>528</v>
      </c>
      <c r="AT540" s="54">
        <f t="shared" si="81"/>
        <v>8</v>
      </c>
      <c r="AU540" s="54">
        <f>IF(MOD(S_normal27[[#This Row],[Indeks (base 0)]],AS$8)=0,NA(),_xlfn.POISSON.DIST(S_normal27[[#This Row],[X base]],$H$5,FALSE))</f>
        <v>8.1015117946814375E-3</v>
      </c>
      <c r="AV540" s="99" t="b">
        <f>S_normal27[[#This Row],[X base]]&lt;AS$5</f>
        <v>0</v>
      </c>
      <c r="AW540" s="99" t="b">
        <f>S_normal27[[#This Row],[X base]]=AS$5</f>
        <v>0</v>
      </c>
      <c r="AX540" s="99" t="b">
        <f>S_normal27[[#This Row],[X base]]&gt;AS$5</f>
        <v>1</v>
      </c>
      <c r="AY540" s="99" t="e">
        <f>IF(S_normal27[[#This Row],[Mindre end]],S_normal27[[#This Row],[Poissonfordeling]],NA())</f>
        <v>#N/A</v>
      </c>
      <c r="AZ540" s="99" t="e">
        <f>IF(S_normal27[[#This Row],[Lig med]],S_normal27[[#This Row],[Poissonfordeling]],NA())</f>
        <v>#N/A</v>
      </c>
      <c r="BA540" s="99">
        <f>IF(S_normal27[[#This Row],[Større end]],S_normal27[[#This Row],[Poissonfordeling]],NA())</f>
        <v>8.1015117946814375E-3</v>
      </c>
      <c r="BB540" s="85" t="str">
        <f>_xlfn.IFNA(IF(MOD(S_normal27[[#This Row],[Indeks (base 0)]],AS$8)=ROUNDDOWN(AS$8/2,0),S_normal27[[#This Row],[X base]],""),"")</f>
        <v/>
      </c>
      <c r="BC540" s="99" t="str">
        <f t="shared" si="80"/>
        <v xml:space="preserve"> </v>
      </c>
    </row>
    <row r="541" spans="31:55" x14ac:dyDescent="0.2">
      <c r="AE541" s="54">
        <f t="shared" si="82"/>
        <v>528</v>
      </c>
      <c r="AF541" s="54">
        <f>S_binomial[[#This Row],[Indeks (base 0)]]+1</f>
        <v>529</v>
      </c>
      <c r="AG541" s="99">
        <f t="shared" si="83"/>
        <v>5</v>
      </c>
      <c r="AH541" s="99">
        <f>IF(MOD(S_binomial[[#This Row],[Indeks (base 0)]],AF$7)=0,NA(),_xlfn.BINOM.DIST(S_binomial[[#This Row],[X base]],E$5,E$6,FALSE))</f>
        <v>0.39515869478400001</v>
      </c>
      <c r="AI541" s="99" t="b">
        <f>S_binomial[[#This Row],[X base]]&lt;AF$5</f>
        <v>0</v>
      </c>
      <c r="AJ541" s="99" t="b">
        <f>S_binomial[[#This Row],[X base]]=AF$5</f>
        <v>1</v>
      </c>
      <c r="AK541" s="99" t="b">
        <f>S_binomial[[#This Row],[X base]]&gt;AF$5</f>
        <v>0</v>
      </c>
      <c r="AL541" s="99" t="e">
        <f>IF(S_binomial[[#This Row],[Mindre end]],S_binomial[[#This Row],[Binomialfordeling]],NA())</f>
        <v>#N/A</v>
      </c>
      <c r="AM541" s="99">
        <f>IF(S_binomial[[#This Row],[Lig med]],S_binomial[[#This Row],[Binomialfordeling]],NA())</f>
        <v>0.39515869478400001</v>
      </c>
      <c r="AN541" s="99" t="e">
        <f>IF(S_binomial[[#This Row],[Større end]],S_binomial[[#This Row],[Binomialfordeling]],NA())</f>
        <v>#N/A</v>
      </c>
      <c r="AO541" s="85" t="str">
        <f>_xlfn.IFNA(IF(MOD(S_binomial[[#This Row],[Indeks (base 0)]],AF$7)=ROUNDDOWN(AF$7/2,0),S_binomial[[#This Row],[X base]],""),"")</f>
        <v/>
      </c>
      <c r="AP541" s="99" t="str">
        <f t="shared" si="84"/>
        <v xml:space="preserve"> </v>
      </c>
      <c r="AR541" s="54">
        <f t="shared" si="79"/>
        <v>528</v>
      </c>
      <c r="AS541" s="54">
        <f>S_normal27[[#This Row],[Indeks (base 0)]]+1</f>
        <v>529</v>
      </c>
      <c r="AT541" s="54">
        <f t="shared" si="81"/>
        <v>8</v>
      </c>
      <c r="AU541" s="54">
        <f>IF(MOD(S_normal27[[#This Row],[Indeks (base 0)]],AS$8)=0,NA(),_xlfn.POISSON.DIST(S_normal27[[#This Row],[X base]],$H$5,FALSE))</f>
        <v>8.1015117946814375E-3</v>
      </c>
      <c r="AV541" s="99" t="b">
        <f>S_normal27[[#This Row],[X base]]&lt;AS$5</f>
        <v>0</v>
      </c>
      <c r="AW541" s="99" t="b">
        <f>S_normal27[[#This Row],[X base]]=AS$5</f>
        <v>0</v>
      </c>
      <c r="AX541" s="99" t="b">
        <f>S_normal27[[#This Row],[X base]]&gt;AS$5</f>
        <v>1</v>
      </c>
      <c r="AY541" s="99" t="e">
        <f>IF(S_normal27[[#This Row],[Mindre end]],S_normal27[[#This Row],[Poissonfordeling]],NA())</f>
        <v>#N/A</v>
      </c>
      <c r="AZ541" s="99" t="e">
        <f>IF(S_normal27[[#This Row],[Lig med]],S_normal27[[#This Row],[Poissonfordeling]],NA())</f>
        <v>#N/A</v>
      </c>
      <c r="BA541" s="99">
        <f>IF(S_normal27[[#This Row],[Større end]],S_normal27[[#This Row],[Poissonfordeling]],NA())</f>
        <v>8.1015117946814375E-3</v>
      </c>
      <c r="BB541" s="85" t="str">
        <f>_xlfn.IFNA(IF(MOD(S_normal27[[#This Row],[Indeks (base 0)]],AS$8)=ROUNDDOWN(AS$8/2,0),S_normal27[[#This Row],[X base]],""),"")</f>
        <v/>
      </c>
      <c r="BC541" s="99" t="str">
        <f t="shared" si="80"/>
        <v xml:space="preserve"> </v>
      </c>
    </row>
    <row r="542" spans="31:55" x14ac:dyDescent="0.2">
      <c r="AE542" s="54">
        <f t="shared" si="82"/>
        <v>529</v>
      </c>
      <c r="AF542" s="54">
        <f>S_binomial[[#This Row],[Indeks (base 0)]]+1</f>
        <v>530</v>
      </c>
      <c r="AG542" s="99">
        <f t="shared" si="83"/>
        <v>5</v>
      </c>
      <c r="AH542" s="99">
        <f>IF(MOD(S_binomial[[#This Row],[Indeks (base 0)]],AF$7)=0,NA(),_xlfn.BINOM.DIST(S_binomial[[#This Row],[X base]],E$5,E$6,FALSE))</f>
        <v>0.39515869478400001</v>
      </c>
      <c r="AI542" s="99" t="b">
        <f>S_binomial[[#This Row],[X base]]&lt;AF$5</f>
        <v>0</v>
      </c>
      <c r="AJ542" s="99" t="b">
        <f>S_binomial[[#This Row],[X base]]=AF$5</f>
        <v>1</v>
      </c>
      <c r="AK542" s="99" t="b">
        <f>S_binomial[[#This Row],[X base]]&gt;AF$5</f>
        <v>0</v>
      </c>
      <c r="AL542" s="99" t="e">
        <f>IF(S_binomial[[#This Row],[Mindre end]],S_binomial[[#This Row],[Binomialfordeling]],NA())</f>
        <v>#N/A</v>
      </c>
      <c r="AM542" s="99">
        <f>IF(S_binomial[[#This Row],[Lig med]],S_binomial[[#This Row],[Binomialfordeling]],NA())</f>
        <v>0.39515869478400001</v>
      </c>
      <c r="AN542" s="99" t="e">
        <f>IF(S_binomial[[#This Row],[Større end]],S_binomial[[#This Row],[Binomialfordeling]],NA())</f>
        <v>#N/A</v>
      </c>
      <c r="AO542" s="85" t="str">
        <f>_xlfn.IFNA(IF(MOD(S_binomial[[#This Row],[Indeks (base 0)]],AF$7)=ROUNDDOWN(AF$7/2,0),S_binomial[[#This Row],[X base]],""),"")</f>
        <v/>
      </c>
      <c r="AP542" s="99" t="str">
        <f t="shared" si="84"/>
        <v xml:space="preserve"> </v>
      </c>
      <c r="AR542" s="54">
        <f t="shared" si="79"/>
        <v>529</v>
      </c>
      <c r="AS542" s="54">
        <f>S_normal27[[#This Row],[Indeks (base 0)]]+1</f>
        <v>530</v>
      </c>
      <c r="AT542" s="54">
        <f t="shared" si="81"/>
        <v>8</v>
      </c>
      <c r="AU542" s="54">
        <f>IF(MOD(S_normal27[[#This Row],[Indeks (base 0)]],AS$8)=0,NA(),_xlfn.POISSON.DIST(S_normal27[[#This Row],[X base]],$H$5,FALSE))</f>
        <v>8.1015117946814375E-3</v>
      </c>
      <c r="AV542" s="99" t="b">
        <f>S_normal27[[#This Row],[X base]]&lt;AS$5</f>
        <v>0</v>
      </c>
      <c r="AW542" s="99" t="b">
        <f>S_normal27[[#This Row],[X base]]=AS$5</f>
        <v>0</v>
      </c>
      <c r="AX542" s="99" t="b">
        <f>S_normal27[[#This Row],[X base]]&gt;AS$5</f>
        <v>1</v>
      </c>
      <c r="AY542" s="99" t="e">
        <f>IF(S_normal27[[#This Row],[Mindre end]],S_normal27[[#This Row],[Poissonfordeling]],NA())</f>
        <v>#N/A</v>
      </c>
      <c r="AZ542" s="99" t="e">
        <f>IF(S_normal27[[#This Row],[Lig med]],S_normal27[[#This Row],[Poissonfordeling]],NA())</f>
        <v>#N/A</v>
      </c>
      <c r="BA542" s="99">
        <f>IF(S_normal27[[#This Row],[Større end]],S_normal27[[#This Row],[Poissonfordeling]],NA())</f>
        <v>8.1015117946814375E-3</v>
      </c>
      <c r="BB542" s="85" t="str">
        <f>_xlfn.IFNA(IF(MOD(S_normal27[[#This Row],[Indeks (base 0)]],AS$8)=ROUNDDOWN(AS$8/2,0),S_normal27[[#This Row],[X base]],""),"")</f>
        <v/>
      </c>
      <c r="BC542" s="99" t="str">
        <f t="shared" si="80"/>
        <v xml:space="preserve"> </v>
      </c>
    </row>
    <row r="543" spans="31:55" x14ac:dyDescent="0.2">
      <c r="AE543" s="54">
        <f t="shared" si="82"/>
        <v>530</v>
      </c>
      <c r="AF543" s="54">
        <f>S_binomial[[#This Row],[Indeks (base 0)]]+1</f>
        <v>531</v>
      </c>
      <c r="AG543" s="99">
        <f t="shared" si="83"/>
        <v>5</v>
      </c>
      <c r="AH543" s="99">
        <f>IF(MOD(S_binomial[[#This Row],[Indeks (base 0)]],AF$7)=0,NA(),_xlfn.BINOM.DIST(S_binomial[[#This Row],[X base]],E$5,E$6,FALSE))</f>
        <v>0.39515869478400001</v>
      </c>
      <c r="AI543" s="99" t="b">
        <f>S_binomial[[#This Row],[X base]]&lt;AF$5</f>
        <v>0</v>
      </c>
      <c r="AJ543" s="99" t="b">
        <f>S_binomial[[#This Row],[X base]]=AF$5</f>
        <v>1</v>
      </c>
      <c r="AK543" s="99" t="b">
        <f>S_binomial[[#This Row],[X base]]&gt;AF$5</f>
        <v>0</v>
      </c>
      <c r="AL543" s="99" t="e">
        <f>IF(S_binomial[[#This Row],[Mindre end]],S_binomial[[#This Row],[Binomialfordeling]],NA())</f>
        <v>#N/A</v>
      </c>
      <c r="AM543" s="99">
        <f>IF(S_binomial[[#This Row],[Lig med]],S_binomial[[#This Row],[Binomialfordeling]],NA())</f>
        <v>0.39515869478400001</v>
      </c>
      <c r="AN543" s="99" t="e">
        <f>IF(S_binomial[[#This Row],[Større end]],S_binomial[[#This Row],[Binomialfordeling]],NA())</f>
        <v>#N/A</v>
      </c>
      <c r="AO543" s="85" t="str">
        <f>_xlfn.IFNA(IF(MOD(S_binomial[[#This Row],[Indeks (base 0)]],AF$7)=ROUNDDOWN(AF$7/2,0),S_binomial[[#This Row],[X base]],""),"")</f>
        <v/>
      </c>
      <c r="AP543" s="99" t="str">
        <f t="shared" si="84"/>
        <v xml:space="preserve"> </v>
      </c>
      <c r="AR543" s="54">
        <f t="shared" si="79"/>
        <v>530</v>
      </c>
      <c r="AS543" s="54">
        <f>S_normal27[[#This Row],[Indeks (base 0)]]+1</f>
        <v>531</v>
      </c>
      <c r="AT543" s="54">
        <f t="shared" si="81"/>
        <v>8</v>
      </c>
      <c r="AU543" s="54">
        <f>IF(MOD(S_normal27[[#This Row],[Indeks (base 0)]],AS$8)=0,NA(),_xlfn.POISSON.DIST(S_normal27[[#This Row],[X base]],$H$5,FALSE))</f>
        <v>8.1015117946814375E-3</v>
      </c>
      <c r="AV543" s="99" t="b">
        <f>S_normal27[[#This Row],[X base]]&lt;AS$5</f>
        <v>0</v>
      </c>
      <c r="AW543" s="99" t="b">
        <f>S_normal27[[#This Row],[X base]]=AS$5</f>
        <v>0</v>
      </c>
      <c r="AX543" s="99" t="b">
        <f>S_normal27[[#This Row],[X base]]&gt;AS$5</f>
        <v>1</v>
      </c>
      <c r="AY543" s="99" t="e">
        <f>IF(S_normal27[[#This Row],[Mindre end]],S_normal27[[#This Row],[Poissonfordeling]],NA())</f>
        <v>#N/A</v>
      </c>
      <c r="AZ543" s="99" t="e">
        <f>IF(S_normal27[[#This Row],[Lig med]],S_normal27[[#This Row],[Poissonfordeling]],NA())</f>
        <v>#N/A</v>
      </c>
      <c r="BA543" s="99">
        <f>IF(S_normal27[[#This Row],[Større end]],S_normal27[[#This Row],[Poissonfordeling]],NA())</f>
        <v>8.1015117946814375E-3</v>
      </c>
      <c r="BB543" s="85" t="str">
        <f>_xlfn.IFNA(IF(MOD(S_normal27[[#This Row],[Indeks (base 0)]],AS$8)=ROUNDDOWN(AS$8/2,0),S_normal27[[#This Row],[X base]],""),"")</f>
        <v/>
      </c>
      <c r="BC543" s="99" t="str">
        <f t="shared" si="80"/>
        <v xml:space="preserve"> </v>
      </c>
    </row>
    <row r="544" spans="31:55" x14ac:dyDescent="0.2">
      <c r="AE544" s="54">
        <f t="shared" si="82"/>
        <v>531</v>
      </c>
      <c r="AF544" s="54">
        <f>S_binomial[[#This Row],[Indeks (base 0)]]+1</f>
        <v>532</v>
      </c>
      <c r="AG544" s="99">
        <f t="shared" si="83"/>
        <v>5</v>
      </c>
      <c r="AH544" s="99">
        <f>IF(MOD(S_binomial[[#This Row],[Indeks (base 0)]],AF$7)=0,NA(),_xlfn.BINOM.DIST(S_binomial[[#This Row],[X base]],E$5,E$6,FALSE))</f>
        <v>0.39515869478400001</v>
      </c>
      <c r="AI544" s="99" t="b">
        <f>S_binomial[[#This Row],[X base]]&lt;AF$5</f>
        <v>0</v>
      </c>
      <c r="AJ544" s="99" t="b">
        <f>S_binomial[[#This Row],[X base]]=AF$5</f>
        <v>1</v>
      </c>
      <c r="AK544" s="99" t="b">
        <f>S_binomial[[#This Row],[X base]]&gt;AF$5</f>
        <v>0</v>
      </c>
      <c r="AL544" s="99" t="e">
        <f>IF(S_binomial[[#This Row],[Mindre end]],S_binomial[[#This Row],[Binomialfordeling]],NA())</f>
        <v>#N/A</v>
      </c>
      <c r="AM544" s="99">
        <f>IF(S_binomial[[#This Row],[Lig med]],S_binomial[[#This Row],[Binomialfordeling]],NA())</f>
        <v>0.39515869478400001</v>
      </c>
      <c r="AN544" s="99" t="e">
        <f>IF(S_binomial[[#This Row],[Større end]],S_binomial[[#This Row],[Binomialfordeling]],NA())</f>
        <v>#N/A</v>
      </c>
      <c r="AO544" s="85" t="str">
        <f>_xlfn.IFNA(IF(MOD(S_binomial[[#This Row],[Indeks (base 0)]],AF$7)=ROUNDDOWN(AF$7/2,0),S_binomial[[#This Row],[X base]],""),"")</f>
        <v/>
      </c>
      <c r="AP544" s="99" t="str">
        <f t="shared" si="84"/>
        <v xml:space="preserve"> </v>
      </c>
      <c r="AR544" s="54">
        <f t="shared" si="79"/>
        <v>531</v>
      </c>
      <c r="AS544" s="54">
        <f>S_normal27[[#This Row],[Indeks (base 0)]]+1</f>
        <v>532</v>
      </c>
      <c r="AT544" s="54">
        <f t="shared" si="81"/>
        <v>8</v>
      </c>
      <c r="AU544" s="54">
        <f>IF(MOD(S_normal27[[#This Row],[Indeks (base 0)]],AS$8)=0,NA(),_xlfn.POISSON.DIST(S_normal27[[#This Row],[X base]],$H$5,FALSE))</f>
        <v>8.1015117946814375E-3</v>
      </c>
      <c r="AV544" s="99" t="b">
        <f>S_normal27[[#This Row],[X base]]&lt;AS$5</f>
        <v>0</v>
      </c>
      <c r="AW544" s="99" t="b">
        <f>S_normal27[[#This Row],[X base]]=AS$5</f>
        <v>0</v>
      </c>
      <c r="AX544" s="99" t="b">
        <f>S_normal27[[#This Row],[X base]]&gt;AS$5</f>
        <v>1</v>
      </c>
      <c r="AY544" s="99" t="e">
        <f>IF(S_normal27[[#This Row],[Mindre end]],S_normal27[[#This Row],[Poissonfordeling]],NA())</f>
        <v>#N/A</v>
      </c>
      <c r="AZ544" s="99" t="e">
        <f>IF(S_normal27[[#This Row],[Lig med]],S_normal27[[#This Row],[Poissonfordeling]],NA())</f>
        <v>#N/A</v>
      </c>
      <c r="BA544" s="99">
        <f>IF(S_normal27[[#This Row],[Større end]],S_normal27[[#This Row],[Poissonfordeling]],NA())</f>
        <v>8.1015117946814375E-3</v>
      </c>
      <c r="BB544" s="85" t="str">
        <f>_xlfn.IFNA(IF(MOD(S_normal27[[#This Row],[Indeks (base 0)]],AS$8)=ROUNDDOWN(AS$8/2,0),S_normal27[[#This Row],[X base]],""),"")</f>
        <v/>
      </c>
      <c r="BC544" s="99" t="str">
        <f t="shared" si="80"/>
        <v xml:space="preserve"> </v>
      </c>
    </row>
    <row r="545" spans="31:55" x14ac:dyDescent="0.2">
      <c r="AE545" s="54">
        <f t="shared" si="82"/>
        <v>532</v>
      </c>
      <c r="AF545" s="54">
        <f>S_binomial[[#This Row],[Indeks (base 0)]]+1</f>
        <v>533</v>
      </c>
      <c r="AG545" s="99">
        <f t="shared" si="83"/>
        <v>5</v>
      </c>
      <c r="AH545" s="99">
        <f>IF(MOD(S_binomial[[#This Row],[Indeks (base 0)]],AF$7)=0,NA(),_xlfn.BINOM.DIST(S_binomial[[#This Row],[X base]],E$5,E$6,FALSE))</f>
        <v>0.39515869478400001</v>
      </c>
      <c r="AI545" s="99" t="b">
        <f>S_binomial[[#This Row],[X base]]&lt;AF$5</f>
        <v>0</v>
      </c>
      <c r="AJ545" s="99" t="b">
        <f>S_binomial[[#This Row],[X base]]=AF$5</f>
        <v>1</v>
      </c>
      <c r="AK545" s="99" t="b">
        <f>S_binomial[[#This Row],[X base]]&gt;AF$5</f>
        <v>0</v>
      </c>
      <c r="AL545" s="99" t="e">
        <f>IF(S_binomial[[#This Row],[Mindre end]],S_binomial[[#This Row],[Binomialfordeling]],NA())</f>
        <v>#N/A</v>
      </c>
      <c r="AM545" s="99">
        <f>IF(S_binomial[[#This Row],[Lig med]],S_binomial[[#This Row],[Binomialfordeling]],NA())</f>
        <v>0.39515869478400001</v>
      </c>
      <c r="AN545" s="99" t="e">
        <f>IF(S_binomial[[#This Row],[Større end]],S_binomial[[#This Row],[Binomialfordeling]],NA())</f>
        <v>#N/A</v>
      </c>
      <c r="AO545" s="85" t="str">
        <f>_xlfn.IFNA(IF(MOD(S_binomial[[#This Row],[Indeks (base 0)]],AF$7)=ROUNDDOWN(AF$7/2,0),S_binomial[[#This Row],[X base]],""),"")</f>
        <v/>
      </c>
      <c r="AP545" s="99" t="str">
        <f t="shared" si="84"/>
        <v xml:space="preserve"> </v>
      </c>
      <c r="AR545" s="54">
        <f t="shared" si="79"/>
        <v>532</v>
      </c>
      <c r="AS545" s="54">
        <f>S_normal27[[#This Row],[Indeks (base 0)]]+1</f>
        <v>533</v>
      </c>
      <c r="AT545" s="54">
        <f t="shared" si="81"/>
        <v>8</v>
      </c>
      <c r="AU545" s="54">
        <f>IF(MOD(S_normal27[[#This Row],[Indeks (base 0)]],AS$8)=0,NA(),_xlfn.POISSON.DIST(S_normal27[[#This Row],[X base]],$H$5,FALSE))</f>
        <v>8.1015117946814375E-3</v>
      </c>
      <c r="AV545" s="99" t="b">
        <f>S_normal27[[#This Row],[X base]]&lt;AS$5</f>
        <v>0</v>
      </c>
      <c r="AW545" s="99" t="b">
        <f>S_normal27[[#This Row],[X base]]=AS$5</f>
        <v>0</v>
      </c>
      <c r="AX545" s="99" t="b">
        <f>S_normal27[[#This Row],[X base]]&gt;AS$5</f>
        <v>1</v>
      </c>
      <c r="AY545" s="99" t="e">
        <f>IF(S_normal27[[#This Row],[Mindre end]],S_normal27[[#This Row],[Poissonfordeling]],NA())</f>
        <v>#N/A</v>
      </c>
      <c r="AZ545" s="99" t="e">
        <f>IF(S_normal27[[#This Row],[Lig med]],S_normal27[[#This Row],[Poissonfordeling]],NA())</f>
        <v>#N/A</v>
      </c>
      <c r="BA545" s="99">
        <f>IF(S_normal27[[#This Row],[Større end]],S_normal27[[#This Row],[Poissonfordeling]],NA())</f>
        <v>8.1015117946814375E-3</v>
      </c>
      <c r="BB545" s="85" t="str">
        <f>_xlfn.IFNA(IF(MOD(S_normal27[[#This Row],[Indeks (base 0)]],AS$8)=ROUNDDOWN(AS$8/2,0),S_normal27[[#This Row],[X base]],""),"")</f>
        <v/>
      </c>
      <c r="BC545" s="99" t="str">
        <f t="shared" si="80"/>
        <v xml:space="preserve"> </v>
      </c>
    </row>
    <row r="546" spans="31:55" x14ac:dyDescent="0.2">
      <c r="AE546" s="54">
        <f t="shared" si="82"/>
        <v>533</v>
      </c>
      <c r="AF546" s="54">
        <f>S_binomial[[#This Row],[Indeks (base 0)]]+1</f>
        <v>534</v>
      </c>
      <c r="AG546" s="99">
        <f t="shared" si="83"/>
        <v>5</v>
      </c>
      <c r="AH546" s="99">
        <f>IF(MOD(S_binomial[[#This Row],[Indeks (base 0)]],AF$7)=0,NA(),_xlfn.BINOM.DIST(S_binomial[[#This Row],[X base]],E$5,E$6,FALSE))</f>
        <v>0.39515869478400001</v>
      </c>
      <c r="AI546" s="99" t="b">
        <f>S_binomial[[#This Row],[X base]]&lt;AF$5</f>
        <v>0</v>
      </c>
      <c r="AJ546" s="99" t="b">
        <f>S_binomial[[#This Row],[X base]]=AF$5</f>
        <v>1</v>
      </c>
      <c r="AK546" s="99" t="b">
        <f>S_binomial[[#This Row],[X base]]&gt;AF$5</f>
        <v>0</v>
      </c>
      <c r="AL546" s="99" t="e">
        <f>IF(S_binomial[[#This Row],[Mindre end]],S_binomial[[#This Row],[Binomialfordeling]],NA())</f>
        <v>#N/A</v>
      </c>
      <c r="AM546" s="99">
        <f>IF(S_binomial[[#This Row],[Lig med]],S_binomial[[#This Row],[Binomialfordeling]],NA())</f>
        <v>0.39515869478400001</v>
      </c>
      <c r="AN546" s="99" t="e">
        <f>IF(S_binomial[[#This Row],[Større end]],S_binomial[[#This Row],[Binomialfordeling]],NA())</f>
        <v>#N/A</v>
      </c>
      <c r="AO546" s="85" t="str">
        <f>_xlfn.IFNA(IF(MOD(S_binomial[[#This Row],[Indeks (base 0)]],AF$7)=ROUNDDOWN(AF$7/2,0),S_binomial[[#This Row],[X base]],""),"")</f>
        <v/>
      </c>
      <c r="AP546" s="99" t="str">
        <f t="shared" si="84"/>
        <v xml:space="preserve"> </v>
      </c>
      <c r="AR546" s="54">
        <f t="shared" si="79"/>
        <v>533</v>
      </c>
      <c r="AS546" s="54">
        <f>S_normal27[[#This Row],[Indeks (base 0)]]+1</f>
        <v>534</v>
      </c>
      <c r="AT546" s="54">
        <f t="shared" si="81"/>
        <v>8</v>
      </c>
      <c r="AU546" s="54">
        <f>IF(MOD(S_normal27[[#This Row],[Indeks (base 0)]],AS$8)=0,NA(),_xlfn.POISSON.DIST(S_normal27[[#This Row],[X base]],$H$5,FALSE))</f>
        <v>8.1015117946814375E-3</v>
      </c>
      <c r="AV546" s="99" t="b">
        <f>S_normal27[[#This Row],[X base]]&lt;AS$5</f>
        <v>0</v>
      </c>
      <c r="AW546" s="99" t="b">
        <f>S_normal27[[#This Row],[X base]]=AS$5</f>
        <v>0</v>
      </c>
      <c r="AX546" s="99" t="b">
        <f>S_normal27[[#This Row],[X base]]&gt;AS$5</f>
        <v>1</v>
      </c>
      <c r="AY546" s="99" t="e">
        <f>IF(S_normal27[[#This Row],[Mindre end]],S_normal27[[#This Row],[Poissonfordeling]],NA())</f>
        <v>#N/A</v>
      </c>
      <c r="AZ546" s="99" t="e">
        <f>IF(S_normal27[[#This Row],[Lig med]],S_normal27[[#This Row],[Poissonfordeling]],NA())</f>
        <v>#N/A</v>
      </c>
      <c r="BA546" s="99">
        <f>IF(S_normal27[[#This Row],[Større end]],S_normal27[[#This Row],[Poissonfordeling]],NA())</f>
        <v>8.1015117946814375E-3</v>
      </c>
      <c r="BB546" s="85" t="str">
        <f>_xlfn.IFNA(IF(MOD(S_normal27[[#This Row],[Indeks (base 0)]],AS$8)=ROUNDDOWN(AS$8/2,0),S_normal27[[#This Row],[X base]],""),"")</f>
        <v/>
      </c>
      <c r="BC546" s="99" t="str">
        <f t="shared" si="80"/>
        <v xml:space="preserve"> </v>
      </c>
    </row>
    <row r="547" spans="31:55" x14ac:dyDescent="0.2">
      <c r="AE547" s="54">
        <f t="shared" si="82"/>
        <v>534</v>
      </c>
      <c r="AF547" s="54">
        <f>S_binomial[[#This Row],[Indeks (base 0)]]+1</f>
        <v>535</v>
      </c>
      <c r="AG547" s="99">
        <f t="shared" si="83"/>
        <v>5</v>
      </c>
      <c r="AH547" s="99">
        <f>IF(MOD(S_binomial[[#This Row],[Indeks (base 0)]],AF$7)=0,NA(),_xlfn.BINOM.DIST(S_binomial[[#This Row],[X base]],E$5,E$6,FALSE))</f>
        <v>0.39515869478400001</v>
      </c>
      <c r="AI547" s="99" t="b">
        <f>S_binomial[[#This Row],[X base]]&lt;AF$5</f>
        <v>0</v>
      </c>
      <c r="AJ547" s="99" t="b">
        <f>S_binomial[[#This Row],[X base]]=AF$5</f>
        <v>1</v>
      </c>
      <c r="AK547" s="99" t="b">
        <f>S_binomial[[#This Row],[X base]]&gt;AF$5</f>
        <v>0</v>
      </c>
      <c r="AL547" s="99" t="e">
        <f>IF(S_binomial[[#This Row],[Mindre end]],S_binomial[[#This Row],[Binomialfordeling]],NA())</f>
        <v>#N/A</v>
      </c>
      <c r="AM547" s="99">
        <f>IF(S_binomial[[#This Row],[Lig med]],S_binomial[[#This Row],[Binomialfordeling]],NA())</f>
        <v>0.39515869478400001</v>
      </c>
      <c r="AN547" s="99" t="e">
        <f>IF(S_binomial[[#This Row],[Større end]],S_binomial[[#This Row],[Binomialfordeling]],NA())</f>
        <v>#N/A</v>
      </c>
      <c r="AO547" s="85" t="str">
        <f>_xlfn.IFNA(IF(MOD(S_binomial[[#This Row],[Indeks (base 0)]],AF$7)=ROUNDDOWN(AF$7/2,0),S_binomial[[#This Row],[X base]],""),"")</f>
        <v/>
      </c>
      <c r="AP547" s="99" t="str">
        <f t="shared" si="84"/>
        <v xml:space="preserve"> </v>
      </c>
      <c r="AR547" s="54">
        <f t="shared" si="79"/>
        <v>534</v>
      </c>
      <c r="AS547" s="54">
        <f>S_normal27[[#This Row],[Indeks (base 0)]]+1</f>
        <v>535</v>
      </c>
      <c r="AT547" s="54">
        <f t="shared" si="81"/>
        <v>8</v>
      </c>
      <c r="AU547" s="54">
        <f>IF(MOD(S_normal27[[#This Row],[Indeks (base 0)]],AS$8)=0,NA(),_xlfn.POISSON.DIST(S_normal27[[#This Row],[X base]],$H$5,FALSE))</f>
        <v>8.1015117946814375E-3</v>
      </c>
      <c r="AV547" s="99" t="b">
        <f>S_normal27[[#This Row],[X base]]&lt;AS$5</f>
        <v>0</v>
      </c>
      <c r="AW547" s="99" t="b">
        <f>S_normal27[[#This Row],[X base]]=AS$5</f>
        <v>0</v>
      </c>
      <c r="AX547" s="99" t="b">
        <f>S_normal27[[#This Row],[X base]]&gt;AS$5</f>
        <v>1</v>
      </c>
      <c r="AY547" s="99" t="e">
        <f>IF(S_normal27[[#This Row],[Mindre end]],S_normal27[[#This Row],[Poissonfordeling]],NA())</f>
        <v>#N/A</v>
      </c>
      <c r="AZ547" s="99" t="e">
        <f>IF(S_normal27[[#This Row],[Lig med]],S_normal27[[#This Row],[Poissonfordeling]],NA())</f>
        <v>#N/A</v>
      </c>
      <c r="BA547" s="99">
        <f>IF(S_normal27[[#This Row],[Større end]],S_normal27[[#This Row],[Poissonfordeling]],NA())</f>
        <v>8.1015117946814375E-3</v>
      </c>
      <c r="BB547" s="85" t="str">
        <f>_xlfn.IFNA(IF(MOD(S_normal27[[#This Row],[Indeks (base 0)]],AS$8)=ROUNDDOWN(AS$8/2,0),S_normal27[[#This Row],[X base]],""),"")</f>
        <v/>
      </c>
      <c r="BC547" s="99" t="str">
        <f t="shared" si="80"/>
        <v xml:space="preserve"> </v>
      </c>
    </row>
    <row r="548" spans="31:55" x14ac:dyDescent="0.2">
      <c r="AE548" s="54">
        <f t="shared" si="82"/>
        <v>535</v>
      </c>
      <c r="AF548" s="54">
        <f>S_binomial[[#This Row],[Indeks (base 0)]]+1</f>
        <v>536</v>
      </c>
      <c r="AG548" s="99">
        <f t="shared" si="83"/>
        <v>5</v>
      </c>
      <c r="AH548" s="99">
        <f>IF(MOD(S_binomial[[#This Row],[Indeks (base 0)]],AF$7)=0,NA(),_xlfn.BINOM.DIST(S_binomial[[#This Row],[X base]],E$5,E$6,FALSE))</f>
        <v>0.39515869478400001</v>
      </c>
      <c r="AI548" s="99" t="b">
        <f>S_binomial[[#This Row],[X base]]&lt;AF$5</f>
        <v>0</v>
      </c>
      <c r="AJ548" s="99" t="b">
        <f>S_binomial[[#This Row],[X base]]=AF$5</f>
        <v>1</v>
      </c>
      <c r="AK548" s="99" t="b">
        <f>S_binomial[[#This Row],[X base]]&gt;AF$5</f>
        <v>0</v>
      </c>
      <c r="AL548" s="99" t="e">
        <f>IF(S_binomial[[#This Row],[Mindre end]],S_binomial[[#This Row],[Binomialfordeling]],NA())</f>
        <v>#N/A</v>
      </c>
      <c r="AM548" s="99">
        <f>IF(S_binomial[[#This Row],[Lig med]],S_binomial[[#This Row],[Binomialfordeling]],NA())</f>
        <v>0.39515869478400001</v>
      </c>
      <c r="AN548" s="99" t="e">
        <f>IF(S_binomial[[#This Row],[Større end]],S_binomial[[#This Row],[Binomialfordeling]],NA())</f>
        <v>#N/A</v>
      </c>
      <c r="AO548" s="85" t="str">
        <f>_xlfn.IFNA(IF(MOD(S_binomial[[#This Row],[Indeks (base 0)]],AF$7)=ROUNDDOWN(AF$7/2,0),S_binomial[[#This Row],[X base]],""),"")</f>
        <v/>
      </c>
      <c r="AP548" s="99" t="str">
        <f t="shared" si="84"/>
        <v xml:space="preserve"> </v>
      </c>
      <c r="AR548" s="54">
        <f t="shared" si="79"/>
        <v>535</v>
      </c>
      <c r="AS548" s="54">
        <f>S_normal27[[#This Row],[Indeks (base 0)]]+1</f>
        <v>536</v>
      </c>
      <c r="AT548" s="54">
        <f t="shared" si="81"/>
        <v>8</v>
      </c>
      <c r="AU548" s="54">
        <f>IF(MOD(S_normal27[[#This Row],[Indeks (base 0)]],AS$8)=0,NA(),_xlfn.POISSON.DIST(S_normal27[[#This Row],[X base]],$H$5,FALSE))</f>
        <v>8.1015117946814375E-3</v>
      </c>
      <c r="AV548" s="99" t="b">
        <f>S_normal27[[#This Row],[X base]]&lt;AS$5</f>
        <v>0</v>
      </c>
      <c r="AW548" s="99" t="b">
        <f>S_normal27[[#This Row],[X base]]=AS$5</f>
        <v>0</v>
      </c>
      <c r="AX548" s="99" t="b">
        <f>S_normal27[[#This Row],[X base]]&gt;AS$5</f>
        <v>1</v>
      </c>
      <c r="AY548" s="99" t="e">
        <f>IF(S_normal27[[#This Row],[Mindre end]],S_normal27[[#This Row],[Poissonfordeling]],NA())</f>
        <v>#N/A</v>
      </c>
      <c r="AZ548" s="99" t="e">
        <f>IF(S_normal27[[#This Row],[Lig med]],S_normal27[[#This Row],[Poissonfordeling]],NA())</f>
        <v>#N/A</v>
      </c>
      <c r="BA548" s="99">
        <f>IF(S_normal27[[#This Row],[Større end]],S_normal27[[#This Row],[Poissonfordeling]],NA())</f>
        <v>8.1015117946814375E-3</v>
      </c>
      <c r="BB548" s="85" t="str">
        <f>_xlfn.IFNA(IF(MOD(S_normal27[[#This Row],[Indeks (base 0)]],AS$8)=ROUNDDOWN(AS$8/2,0),S_normal27[[#This Row],[X base]],""),"")</f>
        <v/>
      </c>
      <c r="BC548" s="99" t="str">
        <f t="shared" si="80"/>
        <v xml:space="preserve"> </v>
      </c>
    </row>
    <row r="549" spans="31:55" x14ac:dyDescent="0.2">
      <c r="AE549" s="54">
        <f t="shared" si="82"/>
        <v>536</v>
      </c>
      <c r="AF549" s="54">
        <f>S_binomial[[#This Row],[Indeks (base 0)]]+1</f>
        <v>537</v>
      </c>
      <c r="AG549" s="99">
        <f t="shared" si="83"/>
        <v>5</v>
      </c>
      <c r="AH549" s="99">
        <f>IF(MOD(S_binomial[[#This Row],[Indeks (base 0)]],AF$7)=0,NA(),_xlfn.BINOM.DIST(S_binomial[[#This Row],[X base]],E$5,E$6,FALSE))</f>
        <v>0.39515869478400001</v>
      </c>
      <c r="AI549" s="99" t="b">
        <f>S_binomial[[#This Row],[X base]]&lt;AF$5</f>
        <v>0</v>
      </c>
      <c r="AJ549" s="99" t="b">
        <f>S_binomial[[#This Row],[X base]]=AF$5</f>
        <v>1</v>
      </c>
      <c r="AK549" s="99" t="b">
        <f>S_binomial[[#This Row],[X base]]&gt;AF$5</f>
        <v>0</v>
      </c>
      <c r="AL549" s="99" t="e">
        <f>IF(S_binomial[[#This Row],[Mindre end]],S_binomial[[#This Row],[Binomialfordeling]],NA())</f>
        <v>#N/A</v>
      </c>
      <c r="AM549" s="99">
        <f>IF(S_binomial[[#This Row],[Lig med]],S_binomial[[#This Row],[Binomialfordeling]],NA())</f>
        <v>0.39515869478400001</v>
      </c>
      <c r="AN549" s="99" t="e">
        <f>IF(S_binomial[[#This Row],[Større end]],S_binomial[[#This Row],[Binomialfordeling]],NA())</f>
        <v>#N/A</v>
      </c>
      <c r="AO549" s="85" t="str">
        <f>_xlfn.IFNA(IF(MOD(S_binomial[[#This Row],[Indeks (base 0)]],AF$7)=ROUNDDOWN(AF$7/2,0),S_binomial[[#This Row],[X base]],""),"")</f>
        <v/>
      </c>
      <c r="AP549" s="99" t="str">
        <f t="shared" si="84"/>
        <v xml:space="preserve"> </v>
      </c>
      <c r="AR549" s="54">
        <f t="shared" si="79"/>
        <v>536</v>
      </c>
      <c r="AS549" s="54">
        <f>S_normal27[[#This Row],[Indeks (base 0)]]+1</f>
        <v>537</v>
      </c>
      <c r="AT549" s="54">
        <f t="shared" si="81"/>
        <v>8</v>
      </c>
      <c r="AU549" s="54">
        <f>IF(MOD(S_normal27[[#This Row],[Indeks (base 0)]],AS$8)=0,NA(),_xlfn.POISSON.DIST(S_normal27[[#This Row],[X base]],$H$5,FALSE))</f>
        <v>8.1015117946814375E-3</v>
      </c>
      <c r="AV549" s="99" t="b">
        <f>S_normal27[[#This Row],[X base]]&lt;AS$5</f>
        <v>0</v>
      </c>
      <c r="AW549" s="99" t="b">
        <f>S_normal27[[#This Row],[X base]]=AS$5</f>
        <v>0</v>
      </c>
      <c r="AX549" s="99" t="b">
        <f>S_normal27[[#This Row],[X base]]&gt;AS$5</f>
        <v>1</v>
      </c>
      <c r="AY549" s="99" t="e">
        <f>IF(S_normal27[[#This Row],[Mindre end]],S_normal27[[#This Row],[Poissonfordeling]],NA())</f>
        <v>#N/A</v>
      </c>
      <c r="AZ549" s="99" t="e">
        <f>IF(S_normal27[[#This Row],[Lig med]],S_normal27[[#This Row],[Poissonfordeling]],NA())</f>
        <v>#N/A</v>
      </c>
      <c r="BA549" s="99">
        <f>IF(S_normal27[[#This Row],[Større end]],S_normal27[[#This Row],[Poissonfordeling]],NA())</f>
        <v>8.1015117946814375E-3</v>
      </c>
      <c r="BB549" s="85" t="str">
        <f>_xlfn.IFNA(IF(MOD(S_normal27[[#This Row],[Indeks (base 0)]],AS$8)=ROUNDDOWN(AS$8/2,0),S_normal27[[#This Row],[X base]],""),"")</f>
        <v/>
      </c>
      <c r="BC549" s="99" t="str">
        <f t="shared" si="80"/>
        <v xml:space="preserve"> </v>
      </c>
    </row>
    <row r="550" spans="31:55" x14ac:dyDescent="0.2">
      <c r="AE550" s="54">
        <f t="shared" si="82"/>
        <v>537</v>
      </c>
      <c r="AF550" s="54">
        <f>S_binomial[[#This Row],[Indeks (base 0)]]+1</f>
        <v>538</v>
      </c>
      <c r="AG550" s="99">
        <f t="shared" si="83"/>
        <v>5</v>
      </c>
      <c r="AH550" s="99">
        <f>IF(MOD(S_binomial[[#This Row],[Indeks (base 0)]],AF$7)=0,NA(),_xlfn.BINOM.DIST(S_binomial[[#This Row],[X base]],E$5,E$6,FALSE))</f>
        <v>0.39515869478400001</v>
      </c>
      <c r="AI550" s="99" t="b">
        <f>S_binomial[[#This Row],[X base]]&lt;AF$5</f>
        <v>0</v>
      </c>
      <c r="AJ550" s="99" t="b">
        <f>S_binomial[[#This Row],[X base]]=AF$5</f>
        <v>1</v>
      </c>
      <c r="AK550" s="99" t="b">
        <f>S_binomial[[#This Row],[X base]]&gt;AF$5</f>
        <v>0</v>
      </c>
      <c r="AL550" s="99" t="e">
        <f>IF(S_binomial[[#This Row],[Mindre end]],S_binomial[[#This Row],[Binomialfordeling]],NA())</f>
        <v>#N/A</v>
      </c>
      <c r="AM550" s="99">
        <f>IF(S_binomial[[#This Row],[Lig med]],S_binomial[[#This Row],[Binomialfordeling]],NA())</f>
        <v>0.39515869478400001</v>
      </c>
      <c r="AN550" s="99" t="e">
        <f>IF(S_binomial[[#This Row],[Større end]],S_binomial[[#This Row],[Binomialfordeling]],NA())</f>
        <v>#N/A</v>
      </c>
      <c r="AO550" s="85" t="str">
        <f>_xlfn.IFNA(IF(MOD(S_binomial[[#This Row],[Indeks (base 0)]],AF$7)=ROUNDDOWN(AF$7/2,0),S_binomial[[#This Row],[X base]],""),"")</f>
        <v/>
      </c>
      <c r="AP550" s="99" t="str">
        <f t="shared" si="84"/>
        <v xml:space="preserve"> </v>
      </c>
      <c r="AR550" s="54">
        <f t="shared" si="79"/>
        <v>537</v>
      </c>
      <c r="AS550" s="54">
        <f>S_normal27[[#This Row],[Indeks (base 0)]]+1</f>
        <v>538</v>
      </c>
      <c r="AT550" s="54">
        <f t="shared" si="81"/>
        <v>8</v>
      </c>
      <c r="AU550" s="54">
        <f>IF(MOD(S_normal27[[#This Row],[Indeks (base 0)]],AS$8)=0,NA(),_xlfn.POISSON.DIST(S_normal27[[#This Row],[X base]],$H$5,FALSE))</f>
        <v>8.1015117946814375E-3</v>
      </c>
      <c r="AV550" s="99" t="b">
        <f>S_normal27[[#This Row],[X base]]&lt;AS$5</f>
        <v>0</v>
      </c>
      <c r="AW550" s="99" t="b">
        <f>S_normal27[[#This Row],[X base]]=AS$5</f>
        <v>0</v>
      </c>
      <c r="AX550" s="99" t="b">
        <f>S_normal27[[#This Row],[X base]]&gt;AS$5</f>
        <v>1</v>
      </c>
      <c r="AY550" s="99" t="e">
        <f>IF(S_normal27[[#This Row],[Mindre end]],S_normal27[[#This Row],[Poissonfordeling]],NA())</f>
        <v>#N/A</v>
      </c>
      <c r="AZ550" s="99" t="e">
        <f>IF(S_normal27[[#This Row],[Lig med]],S_normal27[[#This Row],[Poissonfordeling]],NA())</f>
        <v>#N/A</v>
      </c>
      <c r="BA550" s="99">
        <f>IF(S_normal27[[#This Row],[Større end]],S_normal27[[#This Row],[Poissonfordeling]],NA())</f>
        <v>8.1015117946814375E-3</v>
      </c>
      <c r="BB550" s="85" t="str">
        <f>_xlfn.IFNA(IF(MOD(S_normal27[[#This Row],[Indeks (base 0)]],AS$8)=ROUNDDOWN(AS$8/2,0),S_normal27[[#This Row],[X base]],""),"")</f>
        <v/>
      </c>
      <c r="BC550" s="99" t="str">
        <f t="shared" si="80"/>
        <v xml:space="preserve"> </v>
      </c>
    </row>
    <row r="551" spans="31:55" x14ac:dyDescent="0.2">
      <c r="AE551" s="54">
        <f t="shared" si="82"/>
        <v>538</v>
      </c>
      <c r="AF551" s="54">
        <f>S_binomial[[#This Row],[Indeks (base 0)]]+1</f>
        <v>539</v>
      </c>
      <c r="AG551" s="99">
        <f t="shared" si="83"/>
        <v>5</v>
      </c>
      <c r="AH551" s="99">
        <f>IF(MOD(S_binomial[[#This Row],[Indeks (base 0)]],AF$7)=0,NA(),_xlfn.BINOM.DIST(S_binomial[[#This Row],[X base]],E$5,E$6,FALSE))</f>
        <v>0.39515869478400001</v>
      </c>
      <c r="AI551" s="99" t="b">
        <f>S_binomial[[#This Row],[X base]]&lt;AF$5</f>
        <v>0</v>
      </c>
      <c r="AJ551" s="99" t="b">
        <f>S_binomial[[#This Row],[X base]]=AF$5</f>
        <v>1</v>
      </c>
      <c r="AK551" s="99" t="b">
        <f>S_binomial[[#This Row],[X base]]&gt;AF$5</f>
        <v>0</v>
      </c>
      <c r="AL551" s="99" t="e">
        <f>IF(S_binomial[[#This Row],[Mindre end]],S_binomial[[#This Row],[Binomialfordeling]],NA())</f>
        <v>#N/A</v>
      </c>
      <c r="AM551" s="99">
        <f>IF(S_binomial[[#This Row],[Lig med]],S_binomial[[#This Row],[Binomialfordeling]],NA())</f>
        <v>0.39515869478400001</v>
      </c>
      <c r="AN551" s="99" t="e">
        <f>IF(S_binomial[[#This Row],[Større end]],S_binomial[[#This Row],[Binomialfordeling]],NA())</f>
        <v>#N/A</v>
      </c>
      <c r="AO551" s="85" t="str">
        <f>_xlfn.IFNA(IF(MOD(S_binomial[[#This Row],[Indeks (base 0)]],AF$7)=ROUNDDOWN(AF$7/2,0),S_binomial[[#This Row],[X base]],""),"")</f>
        <v/>
      </c>
      <c r="AP551" s="99" t="str">
        <f t="shared" si="84"/>
        <v xml:space="preserve"> </v>
      </c>
      <c r="AR551" s="54">
        <f t="shared" si="79"/>
        <v>538</v>
      </c>
      <c r="AS551" s="54">
        <f>S_normal27[[#This Row],[Indeks (base 0)]]+1</f>
        <v>539</v>
      </c>
      <c r="AT551" s="54">
        <f t="shared" si="81"/>
        <v>8</v>
      </c>
      <c r="AU551" s="54">
        <f>IF(MOD(S_normal27[[#This Row],[Indeks (base 0)]],AS$8)=0,NA(),_xlfn.POISSON.DIST(S_normal27[[#This Row],[X base]],$H$5,FALSE))</f>
        <v>8.1015117946814375E-3</v>
      </c>
      <c r="AV551" s="99" t="b">
        <f>S_normal27[[#This Row],[X base]]&lt;AS$5</f>
        <v>0</v>
      </c>
      <c r="AW551" s="99" t="b">
        <f>S_normal27[[#This Row],[X base]]=AS$5</f>
        <v>0</v>
      </c>
      <c r="AX551" s="99" t="b">
        <f>S_normal27[[#This Row],[X base]]&gt;AS$5</f>
        <v>1</v>
      </c>
      <c r="AY551" s="99" t="e">
        <f>IF(S_normal27[[#This Row],[Mindre end]],S_normal27[[#This Row],[Poissonfordeling]],NA())</f>
        <v>#N/A</v>
      </c>
      <c r="AZ551" s="99" t="e">
        <f>IF(S_normal27[[#This Row],[Lig med]],S_normal27[[#This Row],[Poissonfordeling]],NA())</f>
        <v>#N/A</v>
      </c>
      <c r="BA551" s="99">
        <f>IF(S_normal27[[#This Row],[Større end]],S_normal27[[#This Row],[Poissonfordeling]],NA())</f>
        <v>8.1015117946814375E-3</v>
      </c>
      <c r="BB551" s="85" t="str">
        <f>_xlfn.IFNA(IF(MOD(S_normal27[[#This Row],[Indeks (base 0)]],AS$8)=ROUNDDOWN(AS$8/2,0),S_normal27[[#This Row],[X base]],""),"")</f>
        <v/>
      </c>
      <c r="BC551" s="99" t="str">
        <f t="shared" si="80"/>
        <v xml:space="preserve"> </v>
      </c>
    </row>
    <row r="552" spans="31:55" x14ac:dyDescent="0.2">
      <c r="AE552" s="54">
        <f t="shared" si="82"/>
        <v>539</v>
      </c>
      <c r="AF552" s="54">
        <f>S_binomial[[#This Row],[Indeks (base 0)]]+1</f>
        <v>540</v>
      </c>
      <c r="AG552" s="99">
        <f t="shared" si="83"/>
        <v>5</v>
      </c>
      <c r="AH552" s="99">
        <f>IF(MOD(S_binomial[[#This Row],[Indeks (base 0)]],AF$7)=0,NA(),_xlfn.BINOM.DIST(S_binomial[[#This Row],[X base]],E$5,E$6,FALSE))</f>
        <v>0.39515869478400001</v>
      </c>
      <c r="AI552" s="99" t="b">
        <f>S_binomial[[#This Row],[X base]]&lt;AF$5</f>
        <v>0</v>
      </c>
      <c r="AJ552" s="99" t="b">
        <f>S_binomial[[#This Row],[X base]]=AF$5</f>
        <v>1</v>
      </c>
      <c r="AK552" s="99" t="b">
        <f>S_binomial[[#This Row],[X base]]&gt;AF$5</f>
        <v>0</v>
      </c>
      <c r="AL552" s="99" t="e">
        <f>IF(S_binomial[[#This Row],[Mindre end]],S_binomial[[#This Row],[Binomialfordeling]],NA())</f>
        <v>#N/A</v>
      </c>
      <c r="AM552" s="99">
        <f>IF(S_binomial[[#This Row],[Lig med]],S_binomial[[#This Row],[Binomialfordeling]],NA())</f>
        <v>0.39515869478400001</v>
      </c>
      <c r="AN552" s="99" t="e">
        <f>IF(S_binomial[[#This Row],[Større end]],S_binomial[[#This Row],[Binomialfordeling]],NA())</f>
        <v>#N/A</v>
      </c>
      <c r="AO552" s="85" t="str">
        <f>_xlfn.IFNA(IF(MOD(S_binomial[[#This Row],[Indeks (base 0)]],AF$7)=ROUNDDOWN(AF$7/2,0),S_binomial[[#This Row],[X base]],""),"")</f>
        <v/>
      </c>
      <c r="AP552" s="99" t="str">
        <f t="shared" si="84"/>
        <v xml:space="preserve"> </v>
      </c>
      <c r="AR552" s="54">
        <f t="shared" si="79"/>
        <v>539</v>
      </c>
      <c r="AS552" s="54">
        <f>S_normal27[[#This Row],[Indeks (base 0)]]+1</f>
        <v>540</v>
      </c>
      <c r="AT552" s="54">
        <f t="shared" si="81"/>
        <v>8</v>
      </c>
      <c r="AU552" s="54">
        <f>IF(MOD(S_normal27[[#This Row],[Indeks (base 0)]],AS$8)=0,NA(),_xlfn.POISSON.DIST(S_normal27[[#This Row],[X base]],$H$5,FALSE))</f>
        <v>8.1015117946814375E-3</v>
      </c>
      <c r="AV552" s="99" t="b">
        <f>S_normal27[[#This Row],[X base]]&lt;AS$5</f>
        <v>0</v>
      </c>
      <c r="AW552" s="99" t="b">
        <f>S_normal27[[#This Row],[X base]]=AS$5</f>
        <v>0</v>
      </c>
      <c r="AX552" s="99" t="b">
        <f>S_normal27[[#This Row],[X base]]&gt;AS$5</f>
        <v>1</v>
      </c>
      <c r="AY552" s="99" t="e">
        <f>IF(S_normal27[[#This Row],[Mindre end]],S_normal27[[#This Row],[Poissonfordeling]],NA())</f>
        <v>#N/A</v>
      </c>
      <c r="AZ552" s="99" t="e">
        <f>IF(S_normal27[[#This Row],[Lig med]],S_normal27[[#This Row],[Poissonfordeling]],NA())</f>
        <v>#N/A</v>
      </c>
      <c r="BA552" s="99">
        <f>IF(S_normal27[[#This Row],[Større end]],S_normal27[[#This Row],[Poissonfordeling]],NA())</f>
        <v>8.1015117946814375E-3</v>
      </c>
      <c r="BB552" s="85" t="str">
        <f>_xlfn.IFNA(IF(MOD(S_normal27[[#This Row],[Indeks (base 0)]],AS$8)=ROUNDDOWN(AS$8/2,0),S_normal27[[#This Row],[X base]],""),"")</f>
        <v/>
      </c>
      <c r="BC552" s="99" t="str">
        <f t="shared" si="80"/>
        <v xml:space="preserve"> </v>
      </c>
    </row>
    <row r="553" spans="31:55" x14ac:dyDescent="0.2">
      <c r="AE553" s="54">
        <f t="shared" si="82"/>
        <v>540</v>
      </c>
      <c r="AF553" s="54">
        <f>S_binomial[[#This Row],[Indeks (base 0)]]+1</f>
        <v>541</v>
      </c>
      <c r="AG553" s="99">
        <f t="shared" si="83"/>
        <v>5</v>
      </c>
      <c r="AH553" s="99">
        <f>IF(MOD(S_binomial[[#This Row],[Indeks (base 0)]],AF$7)=0,NA(),_xlfn.BINOM.DIST(S_binomial[[#This Row],[X base]],E$5,E$6,FALSE))</f>
        <v>0.39515869478400001</v>
      </c>
      <c r="AI553" s="99" t="b">
        <f>S_binomial[[#This Row],[X base]]&lt;AF$5</f>
        <v>0</v>
      </c>
      <c r="AJ553" s="99" t="b">
        <f>S_binomial[[#This Row],[X base]]=AF$5</f>
        <v>1</v>
      </c>
      <c r="AK553" s="99" t="b">
        <f>S_binomial[[#This Row],[X base]]&gt;AF$5</f>
        <v>0</v>
      </c>
      <c r="AL553" s="99" t="e">
        <f>IF(S_binomial[[#This Row],[Mindre end]],S_binomial[[#This Row],[Binomialfordeling]],NA())</f>
        <v>#N/A</v>
      </c>
      <c r="AM553" s="99">
        <f>IF(S_binomial[[#This Row],[Lig med]],S_binomial[[#This Row],[Binomialfordeling]],NA())</f>
        <v>0.39515869478400001</v>
      </c>
      <c r="AN553" s="99" t="e">
        <f>IF(S_binomial[[#This Row],[Større end]],S_binomial[[#This Row],[Binomialfordeling]],NA())</f>
        <v>#N/A</v>
      </c>
      <c r="AO553" s="85" t="str">
        <f>_xlfn.IFNA(IF(MOD(S_binomial[[#This Row],[Indeks (base 0)]],AF$7)=ROUNDDOWN(AF$7/2,0),S_binomial[[#This Row],[X base]],""),"")</f>
        <v/>
      </c>
      <c r="AP553" s="99" t="str">
        <f t="shared" si="84"/>
        <v xml:space="preserve"> </v>
      </c>
      <c r="AR553" s="54">
        <f t="shared" si="79"/>
        <v>540</v>
      </c>
      <c r="AS553" s="54">
        <f>S_normal27[[#This Row],[Indeks (base 0)]]+1</f>
        <v>541</v>
      </c>
      <c r="AT553" s="54">
        <f t="shared" si="81"/>
        <v>8</v>
      </c>
      <c r="AU553" s="54">
        <f>IF(MOD(S_normal27[[#This Row],[Indeks (base 0)]],AS$8)=0,NA(),_xlfn.POISSON.DIST(S_normal27[[#This Row],[X base]],$H$5,FALSE))</f>
        <v>8.1015117946814375E-3</v>
      </c>
      <c r="AV553" s="99" t="b">
        <f>S_normal27[[#This Row],[X base]]&lt;AS$5</f>
        <v>0</v>
      </c>
      <c r="AW553" s="99" t="b">
        <f>S_normal27[[#This Row],[X base]]=AS$5</f>
        <v>0</v>
      </c>
      <c r="AX553" s="99" t="b">
        <f>S_normal27[[#This Row],[X base]]&gt;AS$5</f>
        <v>1</v>
      </c>
      <c r="AY553" s="99" t="e">
        <f>IF(S_normal27[[#This Row],[Mindre end]],S_normal27[[#This Row],[Poissonfordeling]],NA())</f>
        <v>#N/A</v>
      </c>
      <c r="AZ553" s="99" t="e">
        <f>IF(S_normal27[[#This Row],[Lig med]],S_normal27[[#This Row],[Poissonfordeling]],NA())</f>
        <v>#N/A</v>
      </c>
      <c r="BA553" s="99">
        <f>IF(S_normal27[[#This Row],[Større end]],S_normal27[[#This Row],[Poissonfordeling]],NA())</f>
        <v>8.1015117946814375E-3</v>
      </c>
      <c r="BB553" s="85" t="str">
        <f>_xlfn.IFNA(IF(MOD(S_normal27[[#This Row],[Indeks (base 0)]],AS$8)=ROUNDDOWN(AS$8/2,0),S_normal27[[#This Row],[X base]],""),"")</f>
        <v/>
      </c>
      <c r="BC553" s="99" t="str">
        <f t="shared" si="80"/>
        <v xml:space="preserve"> </v>
      </c>
    </row>
    <row r="554" spans="31:55" x14ac:dyDescent="0.2">
      <c r="AE554" s="54">
        <f t="shared" si="82"/>
        <v>541</v>
      </c>
      <c r="AF554" s="54">
        <f>S_binomial[[#This Row],[Indeks (base 0)]]+1</f>
        <v>542</v>
      </c>
      <c r="AG554" s="99">
        <f t="shared" si="83"/>
        <v>5</v>
      </c>
      <c r="AH554" s="99">
        <f>IF(MOD(S_binomial[[#This Row],[Indeks (base 0)]],AF$7)=0,NA(),_xlfn.BINOM.DIST(S_binomial[[#This Row],[X base]],E$5,E$6,FALSE))</f>
        <v>0.39515869478400001</v>
      </c>
      <c r="AI554" s="99" t="b">
        <f>S_binomial[[#This Row],[X base]]&lt;AF$5</f>
        <v>0</v>
      </c>
      <c r="AJ554" s="99" t="b">
        <f>S_binomial[[#This Row],[X base]]=AF$5</f>
        <v>1</v>
      </c>
      <c r="AK554" s="99" t="b">
        <f>S_binomial[[#This Row],[X base]]&gt;AF$5</f>
        <v>0</v>
      </c>
      <c r="AL554" s="99" t="e">
        <f>IF(S_binomial[[#This Row],[Mindre end]],S_binomial[[#This Row],[Binomialfordeling]],NA())</f>
        <v>#N/A</v>
      </c>
      <c r="AM554" s="99">
        <f>IF(S_binomial[[#This Row],[Lig med]],S_binomial[[#This Row],[Binomialfordeling]],NA())</f>
        <v>0.39515869478400001</v>
      </c>
      <c r="AN554" s="99" t="e">
        <f>IF(S_binomial[[#This Row],[Større end]],S_binomial[[#This Row],[Binomialfordeling]],NA())</f>
        <v>#N/A</v>
      </c>
      <c r="AO554" s="85" t="str">
        <f>_xlfn.IFNA(IF(MOD(S_binomial[[#This Row],[Indeks (base 0)]],AF$7)=ROUNDDOWN(AF$7/2,0),S_binomial[[#This Row],[X base]],""),"")</f>
        <v/>
      </c>
      <c r="AP554" s="99" t="str">
        <f t="shared" si="84"/>
        <v xml:space="preserve"> </v>
      </c>
      <c r="AR554" s="54">
        <f t="shared" si="79"/>
        <v>541</v>
      </c>
      <c r="AS554" s="54">
        <f>S_normal27[[#This Row],[Indeks (base 0)]]+1</f>
        <v>542</v>
      </c>
      <c r="AT554" s="54">
        <f t="shared" si="81"/>
        <v>8</v>
      </c>
      <c r="AU554" s="54">
        <f>IF(MOD(S_normal27[[#This Row],[Indeks (base 0)]],AS$8)=0,NA(),_xlfn.POISSON.DIST(S_normal27[[#This Row],[X base]],$H$5,FALSE))</f>
        <v>8.1015117946814375E-3</v>
      </c>
      <c r="AV554" s="99" t="b">
        <f>S_normal27[[#This Row],[X base]]&lt;AS$5</f>
        <v>0</v>
      </c>
      <c r="AW554" s="99" t="b">
        <f>S_normal27[[#This Row],[X base]]=AS$5</f>
        <v>0</v>
      </c>
      <c r="AX554" s="99" t="b">
        <f>S_normal27[[#This Row],[X base]]&gt;AS$5</f>
        <v>1</v>
      </c>
      <c r="AY554" s="99" t="e">
        <f>IF(S_normal27[[#This Row],[Mindre end]],S_normal27[[#This Row],[Poissonfordeling]],NA())</f>
        <v>#N/A</v>
      </c>
      <c r="AZ554" s="99" t="e">
        <f>IF(S_normal27[[#This Row],[Lig med]],S_normal27[[#This Row],[Poissonfordeling]],NA())</f>
        <v>#N/A</v>
      </c>
      <c r="BA554" s="99">
        <f>IF(S_normal27[[#This Row],[Større end]],S_normal27[[#This Row],[Poissonfordeling]],NA())</f>
        <v>8.1015117946814375E-3</v>
      </c>
      <c r="BB554" s="85" t="str">
        <f>_xlfn.IFNA(IF(MOD(S_normal27[[#This Row],[Indeks (base 0)]],AS$8)=ROUNDDOWN(AS$8/2,0),S_normal27[[#This Row],[X base]],""),"")</f>
        <v/>
      </c>
      <c r="BC554" s="99" t="str">
        <f t="shared" si="80"/>
        <v xml:space="preserve"> </v>
      </c>
    </row>
    <row r="555" spans="31:55" x14ac:dyDescent="0.2">
      <c r="AE555" s="54">
        <f t="shared" si="82"/>
        <v>542</v>
      </c>
      <c r="AF555" s="54">
        <f>S_binomial[[#This Row],[Indeks (base 0)]]+1</f>
        <v>543</v>
      </c>
      <c r="AG555" s="99">
        <f t="shared" si="83"/>
        <v>5</v>
      </c>
      <c r="AH555" s="99">
        <f>IF(MOD(S_binomial[[#This Row],[Indeks (base 0)]],AF$7)=0,NA(),_xlfn.BINOM.DIST(S_binomial[[#This Row],[X base]],E$5,E$6,FALSE))</f>
        <v>0.39515869478400001</v>
      </c>
      <c r="AI555" s="99" t="b">
        <f>S_binomial[[#This Row],[X base]]&lt;AF$5</f>
        <v>0</v>
      </c>
      <c r="AJ555" s="99" t="b">
        <f>S_binomial[[#This Row],[X base]]=AF$5</f>
        <v>1</v>
      </c>
      <c r="AK555" s="99" t="b">
        <f>S_binomial[[#This Row],[X base]]&gt;AF$5</f>
        <v>0</v>
      </c>
      <c r="AL555" s="99" t="e">
        <f>IF(S_binomial[[#This Row],[Mindre end]],S_binomial[[#This Row],[Binomialfordeling]],NA())</f>
        <v>#N/A</v>
      </c>
      <c r="AM555" s="99">
        <f>IF(S_binomial[[#This Row],[Lig med]],S_binomial[[#This Row],[Binomialfordeling]],NA())</f>
        <v>0.39515869478400001</v>
      </c>
      <c r="AN555" s="99" t="e">
        <f>IF(S_binomial[[#This Row],[Større end]],S_binomial[[#This Row],[Binomialfordeling]],NA())</f>
        <v>#N/A</v>
      </c>
      <c r="AO555" s="85" t="str">
        <f>_xlfn.IFNA(IF(MOD(S_binomial[[#This Row],[Indeks (base 0)]],AF$7)=ROUNDDOWN(AF$7/2,0),S_binomial[[#This Row],[X base]],""),"")</f>
        <v/>
      </c>
      <c r="AP555" s="99" t="str">
        <f t="shared" si="84"/>
        <v xml:space="preserve"> </v>
      </c>
      <c r="AR555" s="54">
        <f t="shared" si="79"/>
        <v>542</v>
      </c>
      <c r="AS555" s="54">
        <f>S_normal27[[#This Row],[Indeks (base 0)]]+1</f>
        <v>543</v>
      </c>
      <c r="AT555" s="54">
        <f t="shared" si="81"/>
        <v>8</v>
      </c>
      <c r="AU555" s="54">
        <f>IF(MOD(S_normal27[[#This Row],[Indeks (base 0)]],AS$8)=0,NA(),_xlfn.POISSON.DIST(S_normal27[[#This Row],[X base]],$H$5,FALSE))</f>
        <v>8.1015117946814375E-3</v>
      </c>
      <c r="AV555" s="99" t="b">
        <f>S_normal27[[#This Row],[X base]]&lt;AS$5</f>
        <v>0</v>
      </c>
      <c r="AW555" s="99" t="b">
        <f>S_normal27[[#This Row],[X base]]=AS$5</f>
        <v>0</v>
      </c>
      <c r="AX555" s="99" t="b">
        <f>S_normal27[[#This Row],[X base]]&gt;AS$5</f>
        <v>1</v>
      </c>
      <c r="AY555" s="99" t="e">
        <f>IF(S_normal27[[#This Row],[Mindre end]],S_normal27[[#This Row],[Poissonfordeling]],NA())</f>
        <v>#N/A</v>
      </c>
      <c r="AZ555" s="99" t="e">
        <f>IF(S_normal27[[#This Row],[Lig med]],S_normal27[[#This Row],[Poissonfordeling]],NA())</f>
        <v>#N/A</v>
      </c>
      <c r="BA555" s="99">
        <f>IF(S_normal27[[#This Row],[Større end]],S_normal27[[#This Row],[Poissonfordeling]],NA())</f>
        <v>8.1015117946814375E-3</v>
      </c>
      <c r="BB555" s="85" t="str">
        <f>_xlfn.IFNA(IF(MOD(S_normal27[[#This Row],[Indeks (base 0)]],AS$8)=ROUNDDOWN(AS$8/2,0),S_normal27[[#This Row],[X base]],""),"")</f>
        <v/>
      </c>
      <c r="BC555" s="99" t="str">
        <f t="shared" si="80"/>
        <v xml:space="preserve"> </v>
      </c>
    </row>
    <row r="556" spans="31:55" x14ac:dyDescent="0.2">
      <c r="AE556" s="54">
        <f t="shared" si="82"/>
        <v>543</v>
      </c>
      <c r="AF556" s="54">
        <f>S_binomial[[#This Row],[Indeks (base 0)]]+1</f>
        <v>544</v>
      </c>
      <c r="AG556" s="99">
        <f t="shared" si="83"/>
        <v>5</v>
      </c>
      <c r="AH556" s="99">
        <f>IF(MOD(S_binomial[[#This Row],[Indeks (base 0)]],AF$7)=0,NA(),_xlfn.BINOM.DIST(S_binomial[[#This Row],[X base]],E$5,E$6,FALSE))</f>
        <v>0.39515869478400001</v>
      </c>
      <c r="AI556" s="99" t="b">
        <f>S_binomial[[#This Row],[X base]]&lt;AF$5</f>
        <v>0</v>
      </c>
      <c r="AJ556" s="99" t="b">
        <f>S_binomial[[#This Row],[X base]]=AF$5</f>
        <v>1</v>
      </c>
      <c r="AK556" s="99" t="b">
        <f>S_binomial[[#This Row],[X base]]&gt;AF$5</f>
        <v>0</v>
      </c>
      <c r="AL556" s="99" t="e">
        <f>IF(S_binomial[[#This Row],[Mindre end]],S_binomial[[#This Row],[Binomialfordeling]],NA())</f>
        <v>#N/A</v>
      </c>
      <c r="AM556" s="99">
        <f>IF(S_binomial[[#This Row],[Lig med]],S_binomial[[#This Row],[Binomialfordeling]],NA())</f>
        <v>0.39515869478400001</v>
      </c>
      <c r="AN556" s="99" t="e">
        <f>IF(S_binomial[[#This Row],[Større end]],S_binomial[[#This Row],[Binomialfordeling]],NA())</f>
        <v>#N/A</v>
      </c>
      <c r="AO556" s="85" t="str">
        <f>_xlfn.IFNA(IF(MOD(S_binomial[[#This Row],[Indeks (base 0)]],AF$7)=ROUNDDOWN(AF$7/2,0),S_binomial[[#This Row],[X base]],""),"")</f>
        <v/>
      </c>
      <c r="AP556" s="99" t="str">
        <f t="shared" si="84"/>
        <v xml:space="preserve"> </v>
      </c>
      <c r="AR556" s="54">
        <f t="shared" si="79"/>
        <v>543</v>
      </c>
      <c r="AS556" s="54">
        <f>S_normal27[[#This Row],[Indeks (base 0)]]+1</f>
        <v>544</v>
      </c>
      <c r="AT556" s="54">
        <f t="shared" si="81"/>
        <v>8</v>
      </c>
      <c r="AU556" s="54">
        <f>IF(MOD(S_normal27[[#This Row],[Indeks (base 0)]],AS$8)=0,NA(),_xlfn.POISSON.DIST(S_normal27[[#This Row],[X base]],$H$5,FALSE))</f>
        <v>8.1015117946814375E-3</v>
      </c>
      <c r="AV556" s="99" t="b">
        <f>S_normal27[[#This Row],[X base]]&lt;AS$5</f>
        <v>0</v>
      </c>
      <c r="AW556" s="99" t="b">
        <f>S_normal27[[#This Row],[X base]]=AS$5</f>
        <v>0</v>
      </c>
      <c r="AX556" s="99" t="b">
        <f>S_normal27[[#This Row],[X base]]&gt;AS$5</f>
        <v>1</v>
      </c>
      <c r="AY556" s="99" t="e">
        <f>IF(S_normal27[[#This Row],[Mindre end]],S_normal27[[#This Row],[Poissonfordeling]],NA())</f>
        <v>#N/A</v>
      </c>
      <c r="AZ556" s="99" t="e">
        <f>IF(S_normal27[[#This Row],[Lig med]],S_normal27[[#This Row],[Poissonfordeling]],NA())</f>
        <v>#N/A</v>
      </c>
      <c r="BA556" s="99">
        <f>IF(S_normal27[[#This Row],[Større end]],S_normal27[[#This Row],[Poissonfordeling]],NA())</f>
        <v>8.1015117946814375E-3</v>
      </c>
      <c r="BB556" s="85" t="str">
        <f>_xlfn.IFNA(IF(MOD(S_normal27[[#This Row],[Indeks (base 0)]],AS$8)=ROUNDDOWN(AS$8/2,0),S_normal27[[#This Row],[X base]],""),"")</f>
        <v/>
      </c>
      <c r="BC556" s="99" t="str">
        <f t="shared" si="80"/>
        <v xml:space="preserve"> </v>
      </c>
    </row>
    <row r="557" spans="31:55" x14ac:dyDescent="0.2">
      <c r="AE557" s="54">
        <f t="shared" si="82"/>
        <v>544</v>
      </c>
      <c r="AF557" s="54">
        <f>S_binomial[[#This Row],[Indeks (base 0)]]+1</f>
        <v>545</v>
      </c>
      <c r="AG557" s="99">
        <f t="shared" si="83"/>
        <v>5</v>
      </c>
      <c r="AH557" s="99">
        <f>IF(MOD(S_binomial[[#This Row],[Indeks (base 0)]],AF$7)=0,NA(),_xlfn.BINOM.DIST(S_binomial[[#This Row],[X base]],E$5,E$6,FALSE))</f>
        <v>0.39515869478400001</v>
      </c>
      <c r="AI557" s="99" t="b">
        <f>S_binomial[[#This Row],[X base]]&lt;AF$5</f>
        <v>0</v>
      </c>
      <c r="AJ557" s="99" t="b">
        <f>S_binomial[[#This Row],[X base]]=AF$5</f>
        <v>1</v>
      </c>
      <c r="AK557" s="99" t="b">
        <f>S_binomial[[#This Row],[X base]]&gt;AF$5</f>
        <v>0</v>
      </c>
      <c r="AL557" s="99" t="e">
        <f>IF(S_binomial[[#This Row],[Mindre end]],S_binomial[[#This Row],[Binomialfordeling]],NA())</f>
        <v>#N/A</v>
      </c>
      <c r="AM557" s="99">
        <f>IF(S_binomial[[#This Row],[Lig med]],S_binomial[[#This Row],[Binomialfordeling]],NA())</f>
        <v>0.39515869478400001</v>
      </c>
      <c r="AN557" s="99" t="e">
        <f>IF(S_binomial[[#This Row],[Større end]],S_binomial[[#This Row],[Binomialfordeling]],NA())</f>
        <v>#N/A</v>
      </c>
      <c r="AO557" s="85" t="str">
        <f>_xlfn.IFNA(IF(MOD(S_binomial[[#This Row],[Indeks (base 0)]],AF$7)=ROUNDDOWN(AF$7/2,0),S_binomial[[#This Row],[X base]],""),"")</f>
        <v/>
      </c>
      <c r="AP557" s="99" t="str">
        <f t="shared" si="84"/>
        <v xml:space="preserve"> </v>
      </c>
      <c r="AR557" s="54">
        <f t="shared" si="79"/>
        <v>544</v>
      </c>
      <c r="AS557" s="54">
        <f>S_normal27[[#This Row],[Indeks (base 0)]]+1</f>
        <v>545</v>
      </c>
      <c r="AT557" s="54">
        <f t="shared" si="81"/>
        <v>8</v>
      </c>
      <c r="AU557" s="54">
        <f>IF(MOD(S_normal27[[#This Row],[Indeks (base 0)]],AS$8)=0,NA(),_xlfn.POISSON.DIST(S_normal27[[#This Row],[X base]],$H$5,FALSE))</f>
        <v>8.1015117946814375E-3</v>
      </c>
      <c r="AV557" s="99" t="b">
        <f>S_normal27[[#This Row],[X base]]&lt;AS$5</f>
        <v>0</v>
      </c>
      <c r="AW557" s="99" t="b">
        <f>S_normal27[[#This Row],[X base]]=AS$5</f>
        <v>0</v>
      </c>
      <c r="AX557" s="99" t="b">
        <f>S_normal27[[#This Row],[X base]]&gt;AS$5</f>
        <v>1</v>
      </c>
      <c r="AY557" s="99" t="e">
        <f>IF(S_normal27[[#This Row],[Mindre end]],S_normal27[[#This Row],[Poissonfordeling]],NA())</f>
        <v>#N/A</v>
      </c>
      <c r="AZ557" s="99" t="e">
        <f>IF(S_normal27[[#This Row],[Lig med]],S_normal27[[#This Row],[Poissonfordeling]],NA())</f>
        <v>#N/A</v>
      </c>
      <c r="BA557" s="99">
        <f>IF(S_normal27[[#This Row],[Større end]],S_normal27[[#This Row],[Poissonfordeling]],NA())</f>
        <v>8.1015117946814375E-3</v>
      </c>
      <c r="BB557" s="85" t="str">
        <f>_xlfn.IFNA(IF(MOD(S_normal27[[#This Row],[Indeks (base 0)]],AS$8)=ROUNDDOWN(AS$8/2,0),S_normal27[[#This Row],[X base]],""),"")</f>
        <v/>
      </c>
      <c r="BC557" s="99" t="str">
        <f t="shared" si="80"/>
        <v xml:space="preserve"> </v>
      </c>
    </row>
    <row r="558" spans="31:55" x14ac:dyDescent="0.2">
      <c r="AE558" s="54">
        <f t="shared" si="82"/>
        <v>545</v>
      </c>
      <c r="AF558" s="54">
        <f>S_binomial[[#This Row],[Indeks (base 0)]]+1</f>
        <v>546</v>
      </c>
      <c r="AG558" s="99">
        <f t="shared" si="83"/>
        <v>5</v>
      </c>
      <c r="AH558" s="99">
        <f>IF(MOD(S_binomial[[#This Row],[Indeks (base 0)]],AF$7)=0,NA(),_xlfn.BINOM.DIST(S_binomial[[#This Row],[X base]],E$5,E$6,FALSE))</f>
        <v>0.39515869478400001</v>
      </c>
      <c r="AI558" s="99" t="b">
        <f>S_binomial[[#This Row],[X base]]&lt;AF$5</f>
        <v>0</v>
      </c>
      <c r="AJ558" s="99" t="b">
        <f>S_binomial[[#This Row],[X base]]=AF$5</f>
        <v>1</v>
      </c>
      <c r="AK558" s="99" t="b">
        <f>S_binomial[[#This Row],[X base]]&gt;AF$5</f>
        <v>0</v>
      </c>
      <c r="AL558" s="99" t="e">
        <f>IF(S_binomial[[#This Row],[Mindre end]],S_binomial[[#This Row],[Binomialfordeling]],NA())</f>
        <v>#N/A</v>
      </c>
      <c r="AM558" s="99">
        <f>IF(S_binomial[[#This Row],[Lig med]],S_binomial[[#This Row],[Binomialfordeling]],NA())</f>
        <v>0.39515869478400001</v>
      </c>
      <c r="AN558" s="99" t="e">
        <f>IF(S_binomial[[#This Row],[Større end]],S_binomial[[#This Row],[Binomialfordeling]],NA())</f>
        <v>#N/A</v>
      </c>
      <c r="AO558" s="85" t="str">
        <f>_xlfn.IFNA(IF(MOD(S_binomial[[#This Row],[Indeks (base 0)]],AF$7)=ROUNDDOWN(AF$7/2,0),S_binomial[[#This Row],[X base]],""),"")</f>
        <v/>
      </c>
      <c r="AP558" s="99" t="str">
        <f t="shared" si="84"/>
        <v xml:space="preserve"> </v>
      </c>
      <c r="AR558" s="54">
        <f t="shared" si="79"/>
        <v>545</v>
      </c>
      <c r="AS558" s="54">
        <f>S_normal27[[#This Row],[Indeks (base 0)]]+1</f>
        <v>546</v>
      </c>
      <c r="AT558" s="54">
        <f t="shared" si="81"/>
        <v>8</v>
      </c>
      <c r="AU558" s="54">
        <f>IF(MOD(S_normal27[[#This Row],[Indeks (base 0)]],AS$8)=0,NA(),_xlfn.POISSON.DIST(S_normal27[[#This Row],[X base]],$H$5,FALSE))</f>
        <v>8.1015117946814375E-3</v>
      </c>
      <c r="AV558" s="99" t="b">
        <f>S_normal27[[#This Row],[X base]]&lt;AS$5</f>
        <v>0</v>
      </c>
      <c r="AW558" s="99" t="b">
        <f>S_normal27[[#This Row],[X base]]=AS$5</f>
        <v>0</v>
      </c>
      <c r="AX558" s="99" t="b">
        <f>S_normal27[[#This Row],[X base]]&gt;AS$5</f>
        <v>1</v>
      </c>
      <c r="AY558" s="99" t="e">
        <f>IF(S_normal27[[#This Row],[Mindre end]],S_normal27[[#This Row],[Poissonfordeling]],NA())</f>
        <v>#N/A</v>
      </c>
      <c r="AZ558" s="99" t="e">
        <f>IF(S_normal27[[#This Row],[Lig med]],S_normal27[[#This Row],[Poissonfordeling]],NA())</f>
        <v>#N/A</v>
      </c>
      <c r="BA558" s="99">
        <f>IF(S_normal27[[#This Row],[Større end]],S_normal27[[#This Row],[Poissonfordeling]],NA())</f>
        <v>8.1015117946814375E-3</v>
      </c>
      <c r="BB558" s="85" t="str">
        <f>_xlfn.IFNA(IF(MOD(S_normal27[[#This Row],[Indeks (base 0)]],AS$8)=ROUNDDOWN(AS$8/2,0),S_normal27[[#This Row],[X base]],""),"")</f>
        <v/>
      </c>
      <c r="BC558" s="99" t="str">
        <f t="shared" si="80"/>
        <v xml:space="preserve"> </v>
      </c>
    </row>
    <row r="559" spans="31:55" x14ac:dyDescent="0.2">
      <c r="AE559" s="54">
        <f t="shared" si="82"/>
        <v>546</v>
      </c>
      <c r="AF559" s="54">
        <f>S_binomial[[#This Row],[Indeks (base 0)]]+1</f>
        <v>547</v>
      </c>
      <c r="AG559" s="99">
        <f t="shared" si="83"/>
        <v>5</v>
      </c>
      <c r="AH559" s="99">
        <f>IF(MOD(S_binomial[[#This Row],[Indeks (base 0)]],AF$7)=0,NA(),_xlfn.BINOM.DIST(S_binomial[[#This Row],[X base]],E$5,E$6,FALSE))</f>
        <v>0.39515869478400001</v>
      </c>
      <c r="AI559" s="99" t="b">
        <f>S_binomial[[#This Row],[X base]]&lt;AF$5</f>
        <v>0</v>
      </c>
      <c r="AJ559" s="99" t="b">
        <f>S_binomial[[#This Row],[X base]]=AF$5</f>
        <v>1</v>
      </c>
      <c r="AK559" s="99" t="b">
        <f>S_binomial[[#This Row],[X base]]&gt;AF$5</f>
        <v>0</v>
      </c>
      <c r="AL559" s="99" t="e">
        <f>IF(S_binomial[[#This Row],[Mindre end]],S_binomial[[#This Row],[Binomialfordeling]],NA())</f>
        <v>#N/A</v>
      </c>
      <c r="AM559" s="99">
        <f>IF(S_binomial[[#This Row],[Lig med]],S_binomial[[#This Row],[Binomialfordeling]],NA())</f>
        <v>0.39515869478400001</v>
      </c>
      <c r="AN559" s="99" t="e">
        <f>IF(S_binomial[[#This Row],[Større end]],S_binomial[[#This Row],[Binomialfordeling]],NA())</f>
        <v>#N/A</v>
      </c>
      <c r="AO559" s="85" t="str">
        <f>_xlfn.IFNA(IF(MOD(S_binomial[[#This Row],[Indeks (base 0)]],AF$7)=ROUNDDOWN(AF$7/2,0),S_binomial[[#This Row],[X base]],""),"")</f>
        <v/>
      </c>
      <c r="AP559" s="99" t="str">
        <f t="shared" si="84"/>
        <v xml:space="preserve"> </v>
      </c>
      <c r="AR559" s="54">
        <f t="shared" si="79"/>
        <v>546</v>
      </c>
      <c r="AS559" s="54">
        <f>S_normal27[[#This Row],[Indeks (base 0)]]+1</f>
        <v>547</v>
      </c>
      <c r="AT559" s="54">
        <f t="shared" si="81"/>
        <v>8</v>
      </c>
      <c r="AU559" s="54">
        <f>IF(MOD(S_normal27[[#This Row],[Indeks (base 0)]],AS$8)=0,NA(),_xlfn.POISSON.DIST(S_normal27[[#This Row],[X base]],$H$5,FALSE))</f>
        <v>8.1015117946814375E-3</v>
      </c>
      <c r="AV559" s="99" t="b">
        <f>S_normal27[[#This Row],[X base]]&lt;AS$5</f>
        <v>0</v>
      </c>
      <c r="AW559" s="99" t="b">
        <f>S_normal27[[#This Row],[X base]]=AS$5</f>
        <v>0</v>
      </c>
      <c r="AX559" s="99" t="b">
        <f>S_normal27[[#This Row],[X base]]&gt;AS$5</f>
        <v>1</v>
      </c>
      <c r="AY559" s="99" t="e">
        <f>IF(S_normal27[[#This Row],[Mindre end]],S_normal27[[#This Row],[Poissonfordeling]],NA())</f>
        <v>#N/A</v>
      </c>
      <c r="AZ559" s="99" t="e">
        <f>IF(S_normal27[[#This Row],[Lig med]],S_normal27[[#This Row],[Poissonfordeling]],NA())</f>
        <v>#N/A</v>
      </c>
      <c r="BA559" s="99">
        <f>IF(S_normal27[[#This Row],[Større end]],S_normal27[[#This Row],[Poissonfordeling]],NA())</f>
        <v>8.1015117946814375E-3</v>
      </c>
      <c r="BB559" s="85" t="str">
        <f>_xlfn.IFNA(IF(MOD(S_normal27[[#This Row],[Indeks (base 0)]],AS$8)=ROUNDDOWN(AS$8/2,0),S_normal27[[#This Row],[X base]],""),"")</f>
        <v/>
      </c>
      <c r="BC559" s="99" t="str">
        <f t="shared" si="80"/>
        <v xml:space="preserve"> </v>
      </c>
    </row>
    <row r="560" spans="31:55" x14ac:dyDescent="0.2">
      <c r="AE560" s="54">
        <f t="shared" si="82"/>
        <v>547</v>
      </c>
      <c r="AF560" s="54">
        <f>S_binomial[[#This Row],[Indeks (base 0)]]+1</f>
        <v>548</v>
      </c>
      <c r="AG560" s="99">
        <f t="shared" si="83"/>
        <v>5</v>
      </c>
      <c r="AH560" s="99">
        <f>IF(MOD(S_binomial[[#This Row],[Indeks (base 0)]],AF$7)=0,NA(),_xlfn.BINOM.DIST(S_binomial[[#This Row],[X base]],E$5,E$6,FALSE))</f>
        <v>0.39515869478400001</v>
      </c>
      <c r="AI560" s="99" t="b">
        <f>S_binomial[[#This Row],[X base]]&lt;AF$5</f>
        <v>0</v>
      </c>
      <c r="AJ560" s="99" t="b">
        <f>S_binomial[[#This Row],[X base]]=AF$5</f>
        <v>1</v>
      </c>
      <c r="AK560" s="99" t="b">
        <f>S_binomial[[#This Row],[X base]]&gt;AF$5</f>
        <v>0</v>
      </c>
      <c r="AL560" s="99" t="e">
        <f>IF(S_binomial[[#This Row],[Mindre end]],S_binomial[[#This Row],[Binomialfordeling]],NA())</f>
        <v>#N/A</v>
      </c>
      <c r="AM560" s="99">
        <f>IF(S_binomial[[#This Row],[Lig med]],S_binomial[[#This Row],[Binomialfordeling]],NA())</f>
        <v>0.39515869478400001</v>
      </c>
      <c r="AN560" s="99" t="e">
        <f>IF(S_binomial[[#This Row],[Større end]],S_binomial[[#This Row],[Binomialfordeling]],NA())</f>
        <v>#N/A</v>
      </c>
      <c r="AO560" s="85" t="str">
        <f>_xlfn.IFNA(IF(MOD(S_binomial[[#This Row],[Indeks (base 0)]],AF$7)=ROUNDDOWN(AF$7/2,0),S_binomial[[#This Row],[X base]],""),"")</f>
        <v/>
      </c>
      <c r="AP560" s="99" t="str">
        <f t="shared" si="84"/>
        <v xml:space="preserve"> </v>
      </c>
      <c r="AR560" s="54">
        <f t="shared" si="79"/>
        <v>547</v>
      </c>
      <c r="AS560" s="54">
        <f>S_normal27[[#This Row],[Indeks (base 0)]]+1</f>
        <v>548</v>
      </c>
      <c r="AT560" s="54">
        <f t="shared" si="81"/>
        <v>8</v>
      </c>
      <c r="AU560" s="54">
        <f>IF(MOD(S_normal27[[#This Row],[Indeks (base 0)]],AS$8)=0,NA(),_xlfn.POISSON.DIST(S_normal27[[#This Row],[X base]],$H$5,FALSE))</f>
        <v>8.1015117946814375E-3</v>
      </c>
      <c r="AV560" s="99" t="b">
        <f>S_normal27[[#This Row],[X base]]&lt;AS$5</f>
        <v>0</v>
      </c>
      <c r="AW560" s="99" t="b">
        <f>S_normal27[[#This Row],[X base]]=AS$5</f>
        <v>0</v>
      </c>
      <c r="AX560" s="99" t="b">
        <f>S_normal27[[#This Row],[X base]]&gt;AS$5</f>
        <v>1</v>
      </c>
      <c r="AY560" s="99" t="e">
        <f>IF(S_normal27[[#This Row],[Mindre end]],S_normal27[[#This Row],[Poissonfordeling]],NA())</f>
        <v>#N/A</v>
      </c>
      <c r="AZ560" s="99" t="e">
        <f>IF(S_normal27[[#This Row],[Lig med]],S_normal27[[#This Row],[Poissonfordeling]],NA())</f>
        <v>#N/A</v>
      </c>
      <c r="BA560" s="99">
        <f>IF(S_normal27[[#This Row],[Større end]],S_normal27[[#This Row],[Poissonfordeling]],NA())</f>
        <v>8.1015117946814375E-3</v>
      </c>
      <c r="BB560" s="85" t="str">
        <f>_xlfn.IFNA(IF(MOD(S_normal27[[#This Row],[Indeks (base 0)]],AS$8)=ROUNDDOWN(AS$8/2,0),S_normal27[[#This Row],[X base]],""),"")</f>
        <v/>
      </c>
      <c r="BC560" s="99" t="str">
        <f t="shared" si="80"/>
        <v xml:space="preserve"> </v>
      </c>
    </row>
    <row r="561" spans="31:55" x14ac:dyDescent="0.2">
      <c r="AE561" s="54">
        <f t="shared" si="82"/>
        <v>548</v>
      </c>
      <c r="AF561" s="54">
        <f>S_binomial[[#This Row],[Indeks (base 0)]]+1</f>
        <v>549</v>
      </c>
      <c r="AG561" s="99">
        <f t="shared" si="83"/>
        <v>5</v>
      </c>
      <c r="AH561" s="99">
        <f>IF(MOD(S_binomial[[#This Row],[Indeks (base 0)]],AF$7)=0,NA(),_xlfn.BINOM.DIST(S_binomial[[#This Row],[X base]],E$5,E$6,FALSE))</f>
        <v>0.39515869478400001</v>
      </c>
      <c r="AI561" s="99" t="b">
        <f>S_binomial[[#This Row],[X base]]&lt;AF$5</f>
        <v>0</v>
      </c>
      <c r="AJ561" s="99" t="b">
        <f>S_binomial[[#This Row],[X base]]=AF$5</f>
        <v>1</v>
      </c>
      <c r="AK561" s="99" t="b">
        <f>S_binomial[[#This Row],[X base]]&gt;AF$5</f>
        <v>0</v>
      </c>
      <c r="AL561" s="99" t="e">
        <f>IF(S_binomial[[#This Row],[Mindre end]],S_binomial[[#This Row],[Binomialfordeling]],NA())</f>
        <v>#N/A</v>
      </c>
      <c r="AM561" s="99">
        <f>IF(S_binomial[[#This Row],[Lig med]],S_binomial[[#This Row],[Binomialfordeling]],NA())</f>
        <v>0.39515869478400001</v>
      </c>
      <c r="AN561" s="99" t="e">
        <f>IF(S_binomial[[#This Row],[Større end]],S_binomial[[#This Row],[Binomialfordeling]],NA())</f>
        <v>#N/A</v>
      </c>
      <c r="AO561" s="85" t="str">
        <f>_xlfn.IFNA(IF(MOD(S_binomial[[#This Row],[Indeks (base 0)]],AF$7)=ROUNDDOWN(AF$7/2,0),S_binomial[[#This Row],[X base]],""),"")</f>
        <v/>
      </c>
      <c r="AP561" s="99" t="str">
        <f t="shared" si="84"/>
        <v xml:space="preserve"> </v>
      </c>
      <c r="AR561" s="54">
        <f t="shared" si="79"/>
        <v>548</v>
      </c>
      <c r="AS561" s="54">
        <f>S_normal27[[#This Row],[Indeks (base 0)]]+1</f>
        <v>549</v>
      </c>
      <c r="AT561" s="54">
        <f t="shared" si="81"/>
        <v>8</v>
      </c>
      <c r="AU561" s="54">
        <f>IF(MOD(S_normal27[[#This Row],[Indeks (base 0)]],AS$8)=0,NA(),_xlfn.POISSON.DIST(S_normal27[[#This Row],[X base]],$H$5,FALSE))</f>
        <v>8.1015117946814375E-3</v>
      </c>
      <c r="AV561" s="99" t="b">
        <f>S_normal27[[#This Row],[X base]]&lt;AS$5</f>
        <v>0</v>
      </c>
      <c r="AW561" s="99" t="b">
        <f>S_normal27[[#This Row],[X base]]=AS$5</f>
        <v>0</v>
      </c>
      <c r="AX561" s="99" t="b">
        <f>S_normal27[[#This Row],[X base]]&gt;AS$5</f>
        <v>1</v>
      </c>
      <c r="AY561" s="99" t="e">
        <f>IF(S_normal27[[#This Row],[Mindre end]],S_normal27[[#This Row],[Poissonfordeling]],NA())</f>
        <v>#N/A</v>
      </c>
      <c r="AZ561" s="99" t="e">
        <f>IF(S_normal27[[#This Row],[Lig med]],S_normal27[[#This Row],[Poissonfordeling]],NA())</f>
        <v>#N/A</v>
      </c>
      <c r="BA561" s="99">
        <f>IF(S_normal27[[#This Row],[Større end]],S_normal27[[#This Row],[Poissonfordeling]],NA())</f>
        <v>8.1015117946814375E-3</v>
      </c>
      <c r="BB561" s="85" t="str">
        <f>_xlfn.IFNA(IF(MOD(S_normal27[[#This Row],[Indeks (base 0)]],AS$8)=ROUNDDOWN(AS$8/2,0),S_normal27[[#This Row],[X base]],""),"")</f>
        <v/>
      </c>
      <c r="BC561" s="99" t="str">
        <f t="shared" si="80"/>
        <v xml:space="preserve"> </v>
      </c>
    </row>
    <row r="562" spans="31:55" x14ac:dyDescent="0.2">
      <c r="AE562" s="54">
        <f t="shared" si="82"/>
        <v>549</v>
      </c>
      <c r="AF562" s="54">
        <f>S_binomial[[#This Row],[Indeks (base 0)]]+1</f>
        <v>550</v>
      </c>
      <c r="AG562" s="99">
        <f t="shared" si="83"/>
        <v>5</v>
      </c>
      <c r="AH562" s="99">
        <f>IF(MOD(S_binomial[[#This Row],[Indeks (base 0)]],AF$7)=0,NA(),_xlfn.BINOM.DIST(S_binomial[[#This Row],[X base]],E$5,E$6,FALSE))</f>
        <v>0.39515869478400001</v>
      </c>
      <c r="AI562" s="99" t="b">
        <f>S_binomial[[#This Row],[X base]]&lt;AF$5</f>
        <v>0</v>
      </c>
      <c r="AJ562" s="99" t="b">
        <f>S_binomial[[#This Row],[X base]]=AF$5</f>
        <v>1</v>
      </c>
      <c r="AK562" s="99" t="b">
        <f>S_binomial[[#This Row],[X base]]&gt;AF$5</f>
        <v>0</v>
      </c>
      <c r="AL562" s="99" t="e">
        <f>IF(S_binomial[[#This Row],[Mindre end]],S_binomial[[#This Row],[Binomialfordeling]],NA())</f>
        <v>#N/A</v>
      </c>
      <c r="AM562" s="99">
        <f>IF(S_binomial[[#This Row],[Lig med]],S_binomial[[#This Row],[Binomialfordeling]],NA())</f>
        <v>0.39515869478400001</v>
      </c>
      <c r="AN562" s="99" t="e">
        <f>IF(S_binomial[[#This Row],[Større end]],S_binomial[[#This Row],[Binomialfordeling]],NA())</f>
        <v>#N/A</v>
      </c>
      <c r="AO562" s="85" t="str">
        <f>_xlfn.IFNA(IF(MOD(S_binomial[[#This Row],[Indeks (base 0)]],AF$7)=ROUNDDOWN(AF$7/2,0),S_binomial[[#This Row],[X base]],""),"")</f>
        <v/>
      </c>
      <c r="AP562" s="99" t="str">
        <f t="shared" si="84"/>
        <v xml:space="preserve"> </v>
      </c>
      <c r="AR562" s="54">
        <f t="shared" si="79"/>
        <v>549</v>
      </c>
      <c r="AS562" s="54">
        <f>S_normal27[[#This Row],[Indeks (base 0)]]+1</f>
        <v>550</v>
      </c>
      <c r="AT562" s="54">
        <f t="shared" si="81"/>
        <v>8</v>
      </c>
      <c r="AU562" s="54">
        <f>IF(MOD(S_normal27[[#This Row],[Indeks (base 0)]],AS$8)=0,NA(),_xlfn.POISSON.DIST(S_normal27[[#This Row],[X base]],$H$5,FALSE))</f>
        <v>8.1015117946814375E-3</v>
      </c>
      <c r="AV562" s="99" t="b">
        <f>S_normal27[[#This Row],[X base]]&lt;AS$5</f>
        <v>0</v>
      </c>
      <c r="AW562" s="99" t="b">
        <f>S_normal27[[#This Row],[X base]]=AS$5</f>
        <v>0</v>
      </c>
      <c r="AX562" s="99" t="b">
        <f>S_normal27[[#This Row],[X base]]&gt;AS$5</f>
        <v>1</v>
      </c>
      <c r="AY562" s="99" t="e">
        <f>IF(S_normal27[[#This Row],[Mindre end]],S_normal27[[#This Row],[Poissonfordeling]],NA())</f>
        <v>#N/A</v>
      </c>
      <c r="AZ562" s="99" t="e">
        <f>IF(S_normal27[[#This Row],[Lig med]],S_normal27[[#This Row],[Poissonfordeling]],NA())</f>
        <v>#N/A</v>
      </c>
      <c r="BA562" s="99">
        <f>IF(S_normal27[[#This Row],[Større end]],S_normal27[[#This Row],[Poissonfordeling]],NA())</f>
        <v>8.1015117946814375E-3</v>
      </c>
      <c r="BB562" s="85" t="str">
        <f>_xlfn.IFNA(IF(MOD(S_normal27[[#This Row],[Indeks (base 0)]],AS$8)=ROUNDDOWN(AS$8/2,0),S_normal27[[#This Row],[X base]],""),"")</f>
        <v/>
      </c>
      <c r="BC562" s="99" t="str">
        <f t="shared" si="80"/>
        <v xml:space="preserve"> </v>
      </c>
    </row>
    <row r="563" spans="31:55" x14ac:dyDescent="0.2">
      <c r="AE563" s="54">
        <f t="shared" si="82"/>
        <v>550</v>
      </c>
      <c r="AF563" s="54">
        <f>S_binomial[[#This Row],[Indeks (base 0)]]+1</f>
        <v>551</v>
      </c>
      <c r="AG563" s="99">
        <f t="shared" si="83"/>
        <v>5</v>
      </c>
      <c r="AH563" s="99">
        <f>IF(MOD(S_binomial[[#This Row],[Indeks (base 0)]],AF$7)=0,NA(),_xlfn.BINOM.DIST(S_binomial[[#This Row],[X base]],E$5,E$6,FALSE))</f>
        <v>0.39515869478400001</v>
      </c>
      <c r="AI563" s="99" t="b">
        <f>S_binomial[[#This Row],[X base]]&lt;AF$5</f>
        <v>0</v>
      </c>
      <c r="AJ563" s="99" t="b">
        <f>S_binomial[[#This Row],[X base]]=AF$5</f>
        <v>1</v>
      </c>
      <c r="AK563" s="99" t="b">
        <f>S_binomial[[#This Row],[X base]]&gt;AF$5</f>
        <v>0</v>
      </c>
      <c r="AL563" s="99" t="e">
        <f>IF(S_binomial[[#This Row],[Mindre end]],S_binomial[[#This Row],[Binomialfordeling]],NA())</f>
        <v>#N/A</v>
      </c>
      <c r="AM563" s="99">
        <f>IF(S_binomial[[#This Row],[Lig med]],S_binomial[[#This Row],[Binomialfordeling]],NA())</f>
        <v>0.39515869478400001</v>
      </c>
      <c r="AN563" s="99" t="e">
        <f>IF(S_binomial[[#This Row],[Større end]],S_binomial[[#This Row],[Binomialfordeling]],NA())</f>
        <v>#N/A</v>
      </c>
      <c r="AO563" s="85" t="str">
        <f>_xlfn.IFNA(IF(MOD(S_binomial[[#This Row],[Indeks (base 0)]],AF$7)=ROUNDDOWN(AF$7/2,0),S_binomial[[#This Row],[X base]],""),"")</f>
        <v/>
      </c>
      <c r="AP563" s="99" t="str">
        <f t="shared" si="84"/>
        <v xml:space="preserve"> </v>
      </c>
      <c r="AR563" s="54">
        <f t="shared" si="79"/>
        <v>550</v>
      </c>
      <c r="AS563" s="54">
        <f>S_normal27[[#This Row],[Indeks (base 0)]]+1</f>
        <v>551</v>
      </c>
      <c r="AT563" s="54">
        <f t="shared" si="81"/>
        <v>8</v>
      </c>
      <c r="AU563" s="54">
        <f>IF(MOD(S_normal27[[#This Row],[Indeks (base 0)]],AS$8)=0,NA(),_xlfn.POISSON.DIST(S_normal27[[#This Row],[X base]],$H$5,FALSE))</f>
        <v>8.1015117946814375E-3</v>
      </c>
      <c r="AV563" s="99" t="b">
        <f>S_normal27[[#This Row],[X base]]&lt;AS$5</f>
        <v>0</v>
      </c>
      <c r="AW563" s="99" t="b">
        <f>S_normal27[[#This Row],[X base]]=AS$5</f>
        <v>0</v>
      </c>
      <c r="AX563" s="99" t="b">
        <f>S_normal27[[#This Row],[X base]]&gt;AS$5</f>
        <v>1</v>
      </c>
      <c r="AY563" s="99" t="e">
        <f>IF(S_normal27[[#This Row],[Mindre end]],S_normal27[[#This Row],[Poissonfordeling]],NA())</f>
        <v>#N/A</v>
      </c>
      <c r="AZ563" s="99" t="e">
        <f>IF(S_normal27[[#This Row],[Lig med]],S_normal27[[#This Row],[Poissonfordeling]],NA())</f>
        <v>#N/A</v>
      </c>
      <c r="BA563" s="99">
        <f>IF(S_normal27[[#This Row],[Større end]],S_normal27[[#This Row],[Poissonfordeling]],NA())</f>
        <v>8.1015117946814375E-3</v>
      </c>
      <c r="BB563" s="85" t="str">
        <f>_xlfn.IFNA(IF(MOD(S_normal27[[#This Row],[Indeks (base 0)]],AS$8)=ROUNDDOWN(AS$8/2,0),S_normal27[[#This Row],[X base]],""),"")</f>
        <v/>
      </c>
      <c r="BC563" s="99" t="str">
        <f t="shared" si="80"/>
        <v xml:space="preserve"> </v>
      </c>
    </row>
    <row r="564" spans="31:55" x14ac:dyDescent="0.2">
      <c r="AE564" s="54">
        <f t="shared" si="82"/>
        <v>551</v>
      </c>
      <c r="AF564" s="54">
        <f>S_binomial[[#This Row],[Indeks (base 0)]]+1</f>
        <v>552</v>
      </c>
      <c r="AG564" s="99">
        <f t="shared" si="83"/>
        <v>5</v>
      </c>
      <c r="AH564" s="99">
        <f>IF(MOD(S_binomial[[#This Row],[Indeks (base 0)]],AF$7)=0,NA(),_xlfn.BINOM.DIST(S_binomial[[#This Row],[X base]],E$5,E$6,FALSE))</f>
        <v>0.39515869478400001</v>
      </c>
      <c r="AI564" s="99" t="b">
        <f>S_binomial[[#This Row],[X base]]&lt;AF$5</f>
        <v>0</v>
      </c>
      <c r="AJ564" s="99" t="b">
        <f>S_binomial[[#This Row],[X base]]=AF$5</f>
        <v>1</v>
      </c>
      <c r="AK564" s="99" t="b">
        <f>S_binomial[[#This Row],[X base]]&gt;AF$5</f>
        <v>0</v>
      </c>
      <c r="AL564" s="99" t="e">
        <f>IF(S_binomial[[#This Row],[Mindre end]],S_binomial[[#This Row],[Binomialfordeling]],NA())</f>
        <v>#N/A</v>
      </c>
      <c r="AM564" s="99">
        <f>IF(S_binomial[[#This Row],[Lig med]],S_binomial[[#This Row],[Binomialfordeling]],NA())</f>
        <v>0.39515869478400001</v>
      </c>
      <c r="AN564" s="99" t="e">
        <f>IF(S_binomial[[#This Row],[Større end]],S_binomial[[#This Row],[Binomialfordeling]],NA())</f>
        <v>#N/A</v>
      </c>
      <c r="AO564" s="85" t="str">
        <f>_xlfn.IFNA(IF(MOD(S_binomial[[#This Row],[Indeks (base 0)]],AF$7)=ROUNDDOWN(AF$7/2,0),S_binomial[[#This Row],[X base]],""),"")</f>
        <v/>
      </c>
      <c r="AP564" s="99" t="str">
        <f t="shared" si="84"/>
        <v xml:space="preserve"> </v>
      </c>
      <c r="AR564" s="54">
        <f t="shared" si="79"/>
        <v>551</v>
      </c>
      <c r="AS564" s="54">
        <f>S_normal27[[#This Row],[Indeks (base 0)]]+1</f>
        <v>552</v>
      </c>
      <c r="AT564" s="54">
        <f t="shared" si="81"/>
        <v>8</v>
      </c>
      <c r="AU564" s="54">
        <f>IF(MOD(S_normal27[[#This Row],[Indeks (base 0)]],AS$8)=0,NA(),_xlfn.POISSON.DIST(S_normal27[[#This Row],[X base]],$H$5,FALSE))</f>
        <v>8.1015117946814375E-3</v>
      </c>
      <c r="AV564" s="99" t="b">
        <f>S_normal27[[#This Row],[X base]]&lt;AS$5</f>
        <v>0</v>
      </c>
      <c r="AW564" s="99" t="b">
        <f>S_normal27[[#This Row],[X base]]=AS$5</f>
        <v>0</v>
      </c>
      <c r="AX564" s="99" t="b">
        <f>S_normal27[[#This Row],[X base]]&gt;AS$5</f>
        <v>1</v>
      </c>
      <c r="AY564" s="99" t="e">
        <f>IF(S_normal27[[#This Row],[Mindre end]],S_normal27[[#This Row],[Poissonfordeling]],NA())</f>
        <v>#N/A</v>
      </c>
      <c r="AZ564" s="99" t="e">
        <f>IF(S_normal27[[#This Row],[Lig med]],S_normal27[[#This Row],[Poissonfordeling]],NA())</f>
        <v>#N/A</v>
      </c>
      <c r="BA564" s="99">
        <f>IF(S_normal27[[#This Row],[Større end]],S_normal27[[#This Row],[Poissonfordeling]],NA())</f>
        <v>8.1015117946814375E-3</v>
      </c>
      <c r="BB564" s="85" t="str">
        <f>_xlfn.IFNA(IF(MOD(S_normal27[[#This Row],[Indeks (base 0)]],AS$8)=ROUNDDOWN(AS$8/2,0),S_normal27[[#This Row],[X base]],""),"")</f>
        <v/>
      </c>
      <c r="BC564" s="99" t="str">
        <f t="shared" si="80"/>
        <v xml:space="preserve"> </v>
      </c>
    </row>
    <row r="565" spans="31:55" x14ac:dyDescent="0.2">
      <c r="AE565" s="54">
        <f t="shared" si="82"/>
        <v>552</v>
      </c>
      <c r="AF565" s="54">
        <f>S_binomial[[#This Row],[Indeks (base 0)]]+1</f>
        <v>553</v>
      </c>
      <c r="AG565" s="99">
        <f t="shared" si="83"/>
        <v>6</v>
      </c>
      <c r="AH565" s="99" t="e">
        <f>IF(MOD(S_binomial[[#This Row],[Indeks (base 0)]],AF$7)=0,NA(),_xlfn.BINOM.DIST(S_binomial[[#This Row],[X base]],E$5,E$6,FALSE))</f>
        <v>#N/A</v>
      </c>
      <c r="AI565" s="99" t="b">
        <f>S_binomial[[#This Row],[X base]]&lt;AF$5</f>
        <v>0</v>
      </c>
      <c r="AJ565" s="99" t="b">
        <f>S_binomial[[#This Row],[X base]]=AF$5</f>
        <v>0</v>
      </c>
      <c r="AK565" s="99" t="b">
        <f>S_binomial[[#This Row],[X base]]&gt;AF$5</f>
        <v>1</v>
      </c>
      <c r="AL565" s="99" t="e">
        <f>IF(S_binomial[[#This Row],[Mindre end]],S_binomial[[#This Row],[Binomialfordeling]],NA())</f>
        <v>#N/A</v>
      </c>
      <c r="AM565" s="99" t="e">
        <f>IF(S_binomial[[#This Row],[Lig med]],S_binomial[[#This Row],[Binomialfordeling]],NA())</f>
        <v>#N/A</v>
      </c>
      <c r="AN565" s="99" t="e">
        <f>IF(S_binomial[[#This Row],[Større end]],S_binomial[[#This Row],[Binomialfordeling]],NA())</f>
        <v>#N/A</v>
      </c>
      <c r="AO565" s="85" t="str">
        <f>_xlfn.IFNA(IF(MOD(S_binomial[[#This Row],[Indeks (base 0)]],AF$7)=ROUNDDOWN(AF$7/2,0),S_binomial[[#This Row],[X base]],""),"")</f>
        <v/>
      </c>
      <c r="AP565" s="99" t="str">
        <f t="shared" si="84"/>
        <v xml:space="preserve"> </v>
      </c>
      <c r="AR565" s="54">
        <f t="shared" si="79"/>
        <v>552</v>
      </c>
      <c r="AS565" s="54">
        <f>S_normal27[[#This Row],[Indeks (base 0)]]+1</f>
        <v>553</v>
      </c>
      <c r="AT565" s="54">
        <f t="shared" si="81"/>
        <v>8</v>
      </c>
      <c r="AU565" s="54">
        <f>IF(MOD(S_normal27[[#This Row],[Indeks (base 0)]],AS$8)=0,NA(),_xlfn.POISSON.DIST(S_normal27[[#This Row],[X base]],$H$5,FALSE))</f>
        <v>8.1015117946814375E-3</v>
      </c>
      <c r="AV565" s="99" t="b">
        <f>S_normal27[[#This Row],[X base]]&lt;AS$5</f>
        <v>0</v>
      </c>
      <c r="AW565" s="99" t="b">
        <f>S_normal27[[#This Row],[X base]]=AS$5</f>
        <v>0</v>
      </c>
      <c r="AX565" s="99" t="b">
        <f>S_normal27[[#This Row],[X base]]&gt;AS$5</f>
        <v>1</v>
      </c>
      <c r="AY565" s="99" t="e">
        <f>IF(S_normal27[[#This Row],[Mindre end]],S_normal27[[#This Row],[Poissonfordeling]],NA())</f>
        <v>#N/A</v>
      </c>
      <c r="AZ565" s="99" t="e">
        <f>IF(S_normal27[[#This Row],[Lig med]],S_normal27[[#This Row],[Poissonfordeling]],NA())</f>
        <v>#N/A</v>
      </c>
      <c r="BA565" s="99">
        <f>IF(S_normal27[[#This Row],[Større end]],S_normal27[[#This Row],[Poissonfordeling]],NA())</f>
        <v>8.1015117946814375E-3</v>
      </c>
      <c r="BB565" s="85">
        <f>_xlfn.IFNA(IF(MOD(S_normal27[[#This Row],[Indeks (base 0)]],AS$8)=ROUNDDOWN(AS$8/2,0),S_normal27[[#This Row],[X base]],""),"")</f>
        <v>8</v>
      </c>
      <c r="BC565" s="99" t="str">
        <f t="shared" si="80"/>
        <v xml:space="preserve"> </v>
      </c>
    </row>
    <row r="566" spans="31:55" x14ac:dyDescent="0.2">
      <c r="AE566" s="54">
        <f t="shared" si="82"/>
        <v>553</v>
      </c>
      <c r="AF566" s="54">
        <f>S_binomial[[#This Row],[Indeks (base 0)]]+1</f>
        <v>554</v>
      </c>
      <c r="AG566" s="99">
        <f t="shared" si="83"/>
        <v>6</v>
      </c>
      <c r="AH566" s="99">
        <f>IF(MOD(S_binomial[[#This Row],[Indeks (base 0)]],AF$7)=0,NA(),_xlfn.BINOM.DIST(S_binomial[[#This Row],[X base]],E$5,E$6,FALSE))</f>
        <v>0.40456723513599996</v>
      </c>
      <c r="AI566" s="99" t="b">
        <f>S_binomial[[#This Row],[X base]]&lt;AF$5</f>
        <v>0</v>
      </c>
      <c r="AJ566" s="99" t="b">
        <f>S_binomial[[#This Row],[X base]]=AF$5</f>
        <v>0</v>
      </c>
      <c r="AK566" s="99" t="b">
        <f>S_binomial[[#This Row],[X base]]&gt;AF$5</f>
        <v>1</v>
      </c>
      <c r="AL566" s="99" t="e">
        <f>IF(S_binomial[[#This Row],[Mindre end]],S_binomial[[#This Row],[Binomialfordeling]],NA())</f>
        <v>#N/A</v>
      </c>
      <c r="AM566" s="99" t="e">
        <f>IF(S_binomial[[#This Row],[Lig med]],S_binomial[[#This Row],[Binomialfordeling]],NA())</f>
        <v>#N/A</v>
      </c>
      <c r="AN566" s="99">
        <f>IF(S_binomial[[#This Row],[Større end]],S_binomial[[#This Row],[Binomialfordeling]],NA())</f>
        <v>0.40456723513599996</v>
      </c>
      <c r="AO566" s="85" t="str">
        <f>_xlfn.IFNA(IF(MOD(S_binomial[[#This Row],[Indeks (base 0)]],AF$7)=ROUNDDOWN(AF$7/2,0),S_binomial[[#This Row],[X base]],""),"")</f>
        <v/>
      </c>
      <c r="AP566" s="99" t="str">
        <f t="shared" si="84"/>
        <v xml:space="preserve"> </v>
      </c>
      <c r="AR566" s="54">
        <f t="shared" si="79"/>
        <v>553</v>
      </c>
      <c r="AS566" s="54">
        <f>S_normal27[[#This Row],[Indeks (base 0)]]+1</f>
        <v>554</v>
      </c>
      <c r="AT566" s="54">
        <f t="shared" si="81"/>
        <v>8</v>
      </c>
      <c r="AU566" s="54">
        <f>IF(MOD(S_normal27[[#This Row],[Indeks (base 0)]],AS$8)=0,NA(),_xlfn.POISSON.DIST(S_normal27[[#This Row],[X base]],$H$5,FALSE))</f>
        <v>8.1015117946814375E-3</v>
      </c>
      <c r="AV566" s="99" t="b">
        <f>S_normal27[[#This Row],[X base]]&lt;AS$5</f>
        <v>0</v>
      </c>
      <c r="AW566" s="99" t="b">
        <f>S_normal27[[#This Row],[X base]]=AS$5</f>
        <v>0</v>
      </c>
      <c r="AX566" s="99" t="b">
        <f>S_normal27[[#This Row],[X base]]&gt;AS$5</f>
        <v>1</v>
      </c>
      <c r="AY566" s="99" t="e">
        <f>IF(S_normal27[[#This Row],[Mindre end]],S_normal27[[#This Row],[Poissonfordeling]],NA())</f>
        <v>#N/A</v>
      </c>
      <c r="AZ566" s="99" t="e">
        <f>IF(S_normal27[[#This Row],[Lig med]],S_normal27[[#This Row],[Poissonfordeling]],NA())</f>
        <v>#N/A</v>
      </c>
      <c r="BA566" s="99">
        <f>IF(S_normal27[[#This Row],[Større end]],S_normal27[[#This Row],[Poissonfordeling]],NA())</f>
        <v>8.1015117946814375E-3</v>
      </c>
      <c r="BB566" s="85" t="str">
        <f>_xlfn.IFNA(IF(MOD(S_normal27[[#This Row],[Indeks (base 0)]],AS$8)=ROUNDDOWN(AS$8/2,0),S_normal27[[#This Row],[X base]],""),"")</f>
        <v/>
      </c>
      <c r="BC566" s="99" t="str">
        <f t="shared" si="80"/>
        <v xml:space="preserve"> </v>
      </c>
    </row>
    <row r="567" spans="31:55" x14ac:dyDescent="0.2">
      <c r="AE567" s="54">
        <f t="shared" si="82"/>
        <v>554</v>
      </c>
      <c r="AF567" s="54">
        <f>S_binomial[[#This Row],[Indeks (base 0)]]+1</f>
        <v>555</v>
      </c>
      <c r="AG567" s="99">
        <f t="shared" si="83"/>
        <v>6</v>
      </c>
      <c r="AH567" s="99">
        <f>IF(MOD(S_binomial[[#This Row],[Indeks (base 0)]],AF$7)=0,NA(),_xlfn.BINOM.DIST(S_binomial[[#This Row],[X base]],E$5,E$6,FALSE))</f>
        <v>0.40456723513599996</v>
      </c>
      <c r="AI567" s="99" t="b">
        <f>S_binomial[[#This Row],[X base]]&lt;AF$5</f>
        <v>0</v>
      </c>
      <c r="AJ567" s="99" t="b">
        <f>S_binomial[[#This Row],[X base]]=AF$5</f>
        <v>0</v>
      </c>
      <c r="AK567" s="99" t="b">
        <f>S_binomial[[#This Row],[X base]]&gt;AF$5</f>
        <v>1</v>
      </c>
      <c r="AL567" s="99" t="e">
        <f>IF(S_binomial[[#This Row],[Mindre end]],S_binomial[[#This Row],[Binomialfordeling]],NA())</f>
        <v>#N/A</v>
      </c>
      <c r="AM567" s="99" t="e">
        <f>IF(S_binomial[[#This Row],[Lig med]],S_binomial[[#This Row],[Binomialfordeling]],NA())</f>
        <v>#N/A</v>
      </c>
      <c r="AN567" s="99">
        <f>IF(S_binomial[[#This Row],[Større end]],S_binomial[[#This Row],[Binomialfordeling]],NA())</f>
        <v>0.40456723513599996</v>
      </c>
      <c r="AO567" s="85" t="str">
        <f>_xlfn.IFNA(IF(MOD(S_binomial[[#This Row],[Indeks (base 0)]],AF$7)=ROUNDDOWN(AF$7/2,0),S_binomial[[#This Row],[X base]],""),"")</f>
        <v/>
      </c>
      <c r="AP567" s="99" t="str">
        <f t="shared" si="84"/>
        <v xml:space="preserve"> </v>
      </c>
      <c r="AR567" s="54">
        <f t="shared" si="79"/>
        <v>554</v>
      </c>
      <c r="AS567" s="54">
        <f>S_normal27[[#This Row],[Indeks (base 0)]]+1</f>
        <v>555</v>
      </c>
      <c r="AT567" s="54">
        <f t="shared" si="81"/>
        <v>8</v>
      </c>
      <c r="AU567" s="54">
        <f>IF(MOD(S_normal27[[#This Row],[Indeks (base 0)]],AS$8)=0,NA(),_xlfn.POISSON.DIST(S_normal27[[#This Row],[X base]],$H$5,FALSE))</f>
        <v>8.1015117946814375E-3</v>
      </c>
      <c r="AV567" s="99" t="b">
        <f>S_normal27[[#This Row],[X base]]&lt;AS$5</f>
        <v>0</v>
      </c>
      <c r="AW567" s="99" t="b">
        <f>S_normal27[[#This Row],[X base]]=AS$5</f>
        <v>0</v>
      </c>
      <c r="AX567" s="99" t="b">
        <f>S_normal27[[#This Row],[X base]]&gt;AS$5</f>
        <v>1</v>
      </c>
      <c r="AY567" s="99" t="e">
        <f>IF(S_normal27[[#This Row],[Mindre end]],S_normal27[[#This Row],[Poissonfordeling]],NA())</f>
        <v>#N/A</v>
      </c>
      <c r="AZ567" s="99" t="e">
        <f>IF(S_normal27[[#This Row],[Lig med]],S_normal27[[#This Row],[Poissonfordeling]],NA())</f>
        <v>#N/A</v>
      </c>
      <c r="BA567" s="99">
        <f>IF(S_normal27[[#This Row],[Større end]],S_normal27[[#This Row],[Poissonfordeling]],NA())</f>
        <v>8.1015117946814375E-3</v>
      </c>
      <c r="BB567" s="85" t="str">
        <f>_xlfn.IFNA(IF(MOD(S_normal27[[#This Row],[Indeks (base 0)]],AS$8)=ROUNDDOWN(AS$8/2,0),S_normal27[[#This Row],[X base]],""),"")</f>
        <v/>
      </c>
      <c r="BC567" s="99" t="str">
        <f t="shared" si="80"/>
        <v xml:space="preserve"> </v>
      </c>
    </row>
    <row r="568" spans="31:55" x14ac:dyDescent="0.2">
      <c r="AE568" s="54">
        <f t="shared" si="82"/>
        <v>555</v>
      </c>
      <c r="AF568" s="54">
        <f>S_binomial[[#This Row],[Indeks (base 0)]]+1</f>
        <v>556</v>
      </c>
      <c r="AG568" s="99">
        <f t="shared" si="83"/>
        <v>6</v>
      </c>
      <c r="AH568" s="99">
        <f>IF(MOD(S_binomial[[#This Row],[Indeks (base 0)]],AF$7)=0,NA(),_xlfn.BINOM.DIST(S_binomial[[#This Row],[X base]],E$5,E$6,FALSE))</f>
        <v>0.40456723513599996</v>
      </c>
      <c r="AI568" s="99" t="b">
        <f>S_binomial[[#This Row],[X base]]&lt;AF$5</f>
        <v>0</v>
      </c>
      <c r="AJ568" s="99" t="b">
        <f>S_binomial[[#This Row],[X base]]=AF$5</f>
        <v>0</v>
      </c>
      <c r="AK568" s="99" t="b">
        <f>S_binomial[[#This Row],[X base]]&gt;AF$5</f>
        <v>1</v>
      </c>
      <c r="AL568" s="99" t="e">
        <f>IF(S_binomial[[#This Row],[Mindre end]],S_binomial[[#This Row],[Binomialfordeling]],NA())</f>
        <v>#N/A</v>
      </c>
      <c r="AM568" s="99" t="e">
        <f>IF(S_binomial[[#This Row],[Lig med]],S_binomial[[#This Row],[Binomialfordeling]],NA())</f>
        <v>#N/A</v>
      </c>
      <c r="AN568" s="99">
        <f>IF(S_binomial[[#This Row],[Større end]],S_binomial[[#This Row],[Binomialfordeling]],NA())</f>
        <v>0.40456723513599996</v>
      </c>
      <c r="AO568" s="85" t="str">
        <f>_xlfn.IFNA(IF(MOD(S_binomial[[#This Row],[Indeks (base 0)]],AF$7)=ROUNDDOWN(AF$7/2,0),S_binomial[[#This Row],[X base]],""),"")</f>
        <v/>
      </c>
      <c r="AP568" s="99" t="str">
        <f t="shared" si="84"/>
        <v xml:space="preserve"> </v>
      </c>
      <c r="AR568" s="54">
        <f t="shared" si="79"/>
        <v>555</v>
      </c>
      <c r="AS568" s="54">
        <f>S_normal27[[#This Row],[Indeks (base 0)]]+1</f>
        <v>556</v>
      </c>
      <c r="AT568" s="54">
        <f t="shared" si="81"/>
        <v>8</v>
      </c>
      <c r="AU568" s="54">
        <f>IF(MOD(S_normal27[[#This Row],[Indeks (base 0)]],AS$8)=0,NA(),_xlfn.POISSON.DIST(S_normal27[[#This Row],[X base]],$H$5,FALSE))</f>
        <v>8.1015117946814375E-3</v>
      </c>
      <c r="AV568" s="99" t="b">
        <f>S_normal27[[#This Row],[X base]]&lt;AS$5</f>
        <v>0</v>
      </c>
      <c r="AW568" s="99" t="b">
        <f>S_normal27[[#This Row],[X base]]=AS$5</f>
        <v>0</v>
      </c>
      <c r="AX568" s="99" t="b">
        <f>S_normal27[[#This Row],[X base]]&gt;AS$5</f>
        <v>1</v>
      </c>
      <c r="AY568" s="99" t="e">
        <f>IF(S_normal27[[#This Row],[Mindre end]],S_normal27[[#This Row],[Poissonfordeling]],NA())</f>
        <v>#N/A</v>
      </c>
      <c r="AZ568" s="99" t="e">
        <f>IF(S_normal27[[#This Row],[Lig med]],S_normal27[[#This Row],[Poissonfordeling]],NA())</f>
        <v>#N/A</v>
      </c>
      <c r="BA568" s="99">
        <f>IF(S_normal27[[#This Row],[Større end]],S_normal27[[#This Row],[Poissonfordeling]],NA())</f>
        <v>8.1015117946814375E-3</v>
      </c>
      <c r="BB568" s="85" t="str">
        <f>_xlfn.IFNA(IF(MOD(S_normal27[[#This Row],[Indeks (base 0)]],AS$8)=ROUNDDOWN(AS$8/2,0),S_normal27[[#This Row],[X base]],""),"")</f>
        <v/>
      </c>
      <c r="BC568" s="99" t="str">
        <f t="shared" si="80"/>
        <v xml:space="preserve"> </v>
      </c>
    </row>
    <row r="569" spans="31:55" x14ac:dyDescent="0.2">
      <c r="AE569" s="54">
        <f t="shared" si="82"/>
        <v>556</v>
      </c>
      <c r="AF569" s="54">
        <f>S_binomial[[#This Row],[Indeks (base 0)]]+1</f>
        <v>557</v>
      </c>
      <c r="AG569" s="99">
        <f t="shared" si="83"/>
        <v>6</v>
      </c>
      <c r="AH569" s="99">
        <f>IF(MOD(S_binomial[[#This Row],[Indeks (base 0)]],AF$7)=0,NA(),_xlfn.BINOM.DIST(S_binomial[[#This Row],[X base]],E$5,E$6,FALSE))</f>
        <v>0.40456723513599996</v>
      </c>
      <c r="AI569" s="99" t="b">
        <f>S_binomial[[#This Row],[X base]]&lt;AF$5</f>
        <v>0</v>
      </c>
      <c r="AJ569" s="99" t="b">
        <f>S_binomial[[#This Row],[X base]]=AF$5</f>
        <v>0</v>
      </c>
      <c r="AK569" s="99" t="b">
        <f>S_binomial[[#This Row],[X base]]&gt;AF$5</f>
        <v>1</v>
      </c>
      <c r="AL569" s="99" t="e">
        <f>IF(S_binomial[[#This Row],[Mindre end]],S_binomial[[#This Row],[Binomialfordeling]],NA())</f>
        <v>#N/A</v>
      </c>
      <c r="AM569" s="99" t="e">
        <f>IF(S_binomial[[#This Row],[Lig med]],S_binomial[[#This Row],[Binomialfordeling]],NA())</f>
        <v>#N/A</v>
      </c>
      <c r="AN569" s="99">
        <f>IF(S_binomial[[#This Row],[Større end]],S_binomial[[#This Row],[Binomialfordeling]],NA())</f>
        <v>0.40456723513599996</v>
      </c>
      <c r="AO569" s="85" t="str">
        <f>_xlfn.IFNA(IF(MOD(S_binomial[[#This Row],[Indeks (base 0)]],AF$7)=ROUNDDOWN(AF$7/2,0),S_binomial[[#This Row],[X base]],""),"")</f>
        <v/>
      </c>
      <c r="AP569" s="99" t="str">
        <f t="shared" si="84"/>
        <v xml:space="preserve"> </v>
      </c>
      <c r="AR569" s="54">
        <f t="shared" si="79"/>
        <v>556</v>
      </c>
      <c r="AS569" s="54">
        <f>S_normal27[[#This Row],[Indeks (base 0)]]+1</f>
        <v>557</v>
      </c>
      <c r="AT569" s="54">
        <f t="shared" si="81"/>
        <v>8</v>
      </c>
      <c r="AU569" s="54">
        <f>IF(MOD(S_normal27[[#This Row],[Indeks (base 0)]],AS$8)=0,NA(),_xlfn.POISSON.DIST(S_normal27[[#This Row],[X base]],$H$5,FALSE))</f>
        <v>8.1015117946814375E-3</v>
      </c>
      <c r="AV569" s="99" t="b">
        <f>S_normal27[[#This Row],[X base]]&lt;AS$5</f>
        <v>0</v>
      </c>
      <c r="AW569" s="99" t="b">
        <f>S_normal27[[#This Row],[X base]]=AS$5</f>
        <v>0</v>
      </c>
      <c r="AX569" s="99" t="b">
        <f>S_normal27[[#This Row],[X base]]&gt;AS$5</f>
        <v>1</v>
      </c>
      <c r="AY569" s="99" t="e">
        <f>IF(S_normal27[[#This Row],[Mindre end]],S_normal27[[#This Row],[Poissonfordeling]],NA())</f>
        <v>#N/A</v>
      </c>
      <c r="AZ569" s="99" t="e">
        <f>IF(S_normal27[[#This Row],[Lig med]],S_normal27[[#This Row],[Poissonfordeling]],NA())</f>
        <v>#N/A</v>
      </c>
      <c r="BA569" s="99">
        <f>IF(S_normal27[[#This Row],[Større end]],S_normal27[[#This Row],[Poissonfordeling]],NA())</f>
        <v>8.1015117946814375E-3</v>
      </c>
      <c r="BB569" s="85" t="str">
        <f>_xlfn.IFNA(IF(MOD(S_normal27[[#This Row],[Indeks (base 0)]],AS$8)=ROUNDDOWN(AS$8/2,0),S_normal27[[#This Row],[X base]],""),"")</f>
        <v/>
      </c>
      <c r="BC569" s="99" t="str">
        <f t="shared" si="80"/>
        <v xml:space="preserve"> </v>
      </c>
    </row>
    <row r="570" spans="31:55" x14ac:dyDescent="0.2">
      <c r="AE570" s="54">
        <f t="shared" si="82"/>
        <v>557</v>
      </c>
      <c r="AF570" s="54">
        <f>S_binomial[[#This Row],[Indeks (base 0)]]+1</f>
        <v>558</v>
      </c>
      <c r="AG570" s="99">
        <f t="shared" si="83"/>
        <v>6</v>
      </c>
      <c r="AH570" s="99">
        <f>IF(MOD(S_binomial[[#This Row],[Indeks (base 0)]],AF$7)=0,NA(),_xlfn.BINOM.DIST(S_binomial[[#This Row],[X base]],E$5,E$6,FALSE))</f>
        <v>0.40456723513599996</v>
      </c>
      <c r="AI570" s="99" t="b">
        <f>S_binomial[[#This Row],[X base]]&lt;AF$5</f>
        <v>0</v>
      </c>
      <c r="AJ570" s="99" t="b">
        <f>S_binomial[[#This Row],[X base]]=AF$5</f>
        <v>0</v>
      </c>
      <c r="AK570" s="99" t="b">
        <f>S_binomial[[#This Row],[X base]]&gt;AF$5</f>
        <v>1</v>
      </c>
      <c r="AL570" s="99" t="e">
        <f>IF(S_binomial[[#This Row],[Mindre end]],S_binomial[[#This Row],[Binomialfordeling]],NA())</f>
        <v>#N/A</v>
      </c>
      <c r="AM570" s="99" t="e">
        <f>IF(S_binomial[[#This Row],[Lig med]],S_binomial[[#This Row],[Binomialfordeling]],NA())</f>
        <v>#N/A</v>
      </c>
      <c r="AN570" s="99">
        <f>IF(S_binomial[[#This Row],[Større end]],S_binomial[[#This Row],[Binomialfordeling]],NA())</f>
        <v>0.40456723513599996</v>
      </c>
      <c r="AO570" s="85" t="str">
        <f>_xlfn.IFNA(IF(MOD(S_binomial[[#This Row],[Indeks (base 0)]],AF$7)=ROUNDDOWN(AF$7/2,0),S_binomial[[#This Row],[X base]],""),"")</f>
        <v/>
      </c>
      <c r="AP570" s="99" t="str">
        <f t="shared" si="84"/>
        <v xml:space="preserve"> </v>
      </c>
      <c r="AR570" s="54">
        <f t="shared" si="79"/>
        <v>557</v>
      </c>
      <c r="AS570" s="54">
        <f>S_normal27[[#This Row],[Indeks (base 0)]]+1</f>
        <v>558</v>
      </c>
      <c r="AT570" s="54">
        <f t="shared" si="81"/>
        <v>8</v>
      </c>
      <c r="AU570" s="54">
        <f>IF(MOD(S_normal27[[#This Row],[Indeks (base 0)]],AS$8)=0,NA(),_xlfn.POISSON.DIST(S_normal27[[#This Row],[X base]],$H$5,FALSE))</f>
        <v>8.1015117946814375E-3</v>
      </c>
      <c r="AV570" s="99" t="b">
        <f>S_normal27[[#This Row],[X base]]&lt;AS$5</f>
        <v>0</v>
      </c>
      <c r="AW570" s="99" t="b">
        <f>S_normal27[[#This Row],[X base]]=AS$5</f>
        <v>0</v>
      </c>
      <c r="AX570" s="99" t="b">
        <f>S_normal27[[#This Row],[X base]]&gt;AS$5</f>
        <v>1</v>
      </c>
      <c r="AY570" s="99" t="e">
        <f>IF(S_normal27[[#This Row],[Mindre end]],S_normal27[[#This Row],[Poissonfordeling]],NA())</f>
        <v>#N/A</v>
      </c>
      <c r="AZ570" s="99" t="e">
        <f>IF(S_normal27[[#This Row],[Lig med]],S_normal27[[#This Row],[Poissonfordeling]],NA())</f>
        <v>#N/A</v>
      </c>
      <c r="BA570" s="99">
        <f>IF(S_normal27[[#This Row],[Større end]],S_normal27[[#This Row],[Poissonfordeling]],NA())</f>
        <v>8.1015117946814375E-3</v>
      </c>
      <c r="BB570" s="85" t="str">
        <f>_xlfn.IFNA(IF(MOD(S_normal27[[#This Row],[Indeks (base 0)]],AS$8)=ROUNDDOWN(AS$8/2,0),S_normal27[[#This Row],[X base]],""),"")</f>
        <v/>
      </c>
      <c r="BC570" s="99" t="str">
        <f t="shared" si="80"/>
        <v xml:space="preserve"> </v>
      </c>
    </row>
    <row r="571" spans="31:55" x14ac:dyDescent="0.2">
      <c r="AE571" s="54">
        <f t="shared" si="82"/>
        <v>558</v>
      </c>
      <c r="AF571" s="54">
        <f>S_binomial[[#This Row],[Indeks (base 0)]]+1</f>
        <v>559</v>
      </c>
      <c r="AG571" s="99">
        <f t="shared" si="83"/>
        <v>6</v>
      </c>
      <c r="AH571" s="99">
        <f>IF(MOD(S_binomial[[#This Row],[Indeks (base 0)]],AF$7)=0,NA(),_xlfn.BINOM.DIST(S_binomial[[#This Row],[X base]],E$5,E$6,FALSE))</f>
        <v>0.40456723513599996</v>
      </c>
      <c r="AI571" s="99" t="b">
        <f>S_binomial[[#This Row],[X base]]&lt;AF$5</f>
        <v>0</v>
      </c>
      <c r="AJ571" s="99" t="b">
        <f>S_binomial[[#This Row],[X base]]=AF$5</f>
        <v>0</v>
      </c>
      <c r="AK571" s="99" t="b">
        <f>S_binomial[[#This Row],[X base]]&gt;AF$5</f>
        <v>1</v>
      </c>
      <c r="AL571" s="99" t="e">
        <f>IF(S_binomial[[#This Row],[Mindre end]],S_binomial[[#This Row],[Binomialfordeling]],NA())</f>
        <v>#N/A</v>
      </c>
      <c r="AM571" s="99" t="e">
        <f>IF(S_binomial[[#This Row],[Lig med]],S_binomial[[#This Row],[Binomialfordeling]],NA())</f>
        <v>#N/A</v>
      </c>
      <c r="AN571" s="99">
        <f>IF(S_binomial[[#This Row],[Større end]],S_binomial[[#This Row],[Binomialfordeling]],NA())</f>
        <v>0.40456723513599996</v>
      </c>
      <c r="AO571" s="85" t="str">
        <f>_xlfn.IFNA(IF(MOD(S_binomial[[#This Row],[Indeks (base 0)]],AF$7)=ROUNDDOWN(AF$7/2,0),S_binomial[[#This Row],[X base]],""),"")</f>
        <v/>
      </c>
      <c r="AP571" s="99" t="str">
        <f t="shared" si="84"/>
        <v xml:space="preserve"> </v>
      </c>
      <c r="AR571" s="54">
        <f t="shared" si="79"/>
        <v>558</v>
      </c>
      <c r="AS571" s="54">
        <f>S_normal27[[#This Row],[Indeks (base 0)]]+1</f>
        <v>559</v>
      </c>
      <c r="AT571" s="54">
        <f t="shared" si="81"/>
        <v>8</v>
      </c>
      <c r="AU571" s="54">
        <f>IF(MOD(S_normal27[[#This Row],[Indeks (base 0)]],AS$8)=0,NA(),_xlfn.POISSON.DIST(S_normal27[[#This Row],[X base]],$H$5,FALSE))</f>
        <v>8.1015117946814375E-3</v>
      </c>
      <c r="AV571" s="99" t="b">
        <f>S_normal27[[#This Row],[X base]]&lt;AS$5</f>
        <v>0</v>
      </c>
      <c r="AW571" s="99" t="b">
        <f>S_normal27[[#This Row],[X base]]=AS$5</f>
        <v>0</v>
      </c>
      <c r="AX571" s="99" t="b">
        <f>S_normal27[[#This Row],[X base]]&gt;AS$5</f>
        <v>1</v>
      </c>
      <c r="AY571" s="99" t="e">
        <f>IF(S_normal27[[#This Row],[Mindre end]],S_normal27[[#This Row],[Poissonfordeling]],NA())</f>
        <v>#N/A</v>
      </c>
      <c r="AZ571" s="99" t="e">
        <f>IF(S_normal27[[#This Row],[Lig med]],S_normal27[[#This Row],[Poissonfordeling]],NA())</f>
        <v>#N/A</v>
      </c>
      <c r="BA571" s="99">
        <f>IF(S_normal27[[#This Row],[Større end]],S_normal27[[#This Row],[Poissonfordeling]],NA())</f>
        <v>8.1015117946814375E-3</v>
      </c>
      <c r="BB571" s="85" t="str">
        <f>_xlfn.IFNA(IF(MOD(S_normal27[[#This Row],[Indeks (base 0)]],AS$8)=ROUNDDOWN(AS$8/2,0),S_normal27[[#This Row],[X base]],""),"")</f>
        <v/>
      </c>
      <c r="BC571" s="99" t="str">
        <f t="shared" si="80"/>
        <v xml:space="preserve"> </v>
      </c>
    </row>
    <row r="572" spans="31:55" x14ac:dyDescent="0.2">
      <c r="AE572" s="54">
        <f t="shared" si="82"/>
        <v>559</v>
      </c>
      <c r="AF572" s="54">
        <f>S_binomial[[#This Row],[Indeks (base 0)]]+1</f>
        <v>560</v>
      </c>
      <c r="AG572" s="99">
        <f t="shared" si="83"/>
        <v>6</v>
      </c>
      <c r="AH572" s="99">
        <f>IF(MOD(S_binomial[[#This Row],[Indeks (base 0)]],AF$7)=0,NA(),_xlfn.BINOM.DIST(S_binomial[[#This Row],[X base]],E$5,E$6,FALSE))</f>
        <v>0.40456723513599996</v>
      </c>
      <c r="AI572" s="99" t="b">
        <f>S_binomial[[#This Row],[X base]]&lt;AF$5</f>
        <v>0</v>
      </c>
      <c r="AJ572" s="99" t="b">
        <f>S_binomial[[#This Row],[X base]]=AF$5</f>
        <v>0</v>
      </c>
      <c r="AK572" s="99" t="b">
        <f>S_binomial[[#This Row],[X base]]&gt;AF$5</f>
        <v>1</v>
      </c>
      <c r="AL572" s="99" t="e">
        <f>IF(S_binomial[[#This Row],[Mindre end]],S_binomial[[#This Row],[Binomialfordeling]],NA())</f>
        <v>#N/A</v>
      </c>
      <c r="AM572" s="99" t="e">
        <f>IF(S_binomial[[#This Row],[Lig med]],S_binomial[[#This Row],[Binomialfordeling]],NA())</f>
        <v>#N/A</v>
      </c>
      <c r="AN572" s="99">
        <f>IF(S_binomial[[#This Row],[Større end]],S_binomial[[#This Row],[Binomialfordeling]],NA())</f>
        <v>0.40456723513599996</v>
      </c>
      <c r="AO572" s="85" t="str">
        <f>_xlfn.IFNA(IF(MOD(S_binomial[[#This Row],[Indeks (base 0)]],AF$7)=ROUNDDOWN(AF$7/2,0),S_binomial[[#This Row],[X base]],""),"")</f>
        <v/>
      </c>
      <c r="AP572" s="99" t="str">
        <f t="shared" si="84"/>
        <v xml:space="preserve"> </v>
      </c>
      <c r="AR572" s="54">
        <f t="shared" si="79"/>
        <v>559</v>
      </c>
      <c r="AS572" s="54">
        <f>S_normal27[[#This Row],[Indeks (base 0)]]+1</f>
        <v>560</v>
      </c>
      <c r="AT572" s="54">
        <f t="shared" si="81"/>
        <v>8</v>
      </c>
      <c r="AU572" s="54">
        <f>IF(MOD(S_normal27[[#This Row],[Indeks (base 0)]],AS$8)=0,NA(),_xlfn.POISSON.DIST(S_normal27[[#This Row],[X base]],$H$5,FALSE))</f>
        <v>8.1015117946814375E-3</v>
      </c>
      <c r="AV572" s="99" t="b">
        <f>S_normal27[[#This Row],[X base]]&lt;AS$5</f>
        <v>0</v>
      </c>
      <c r="AW572" s="99" t="b">
        <f>S_normal27[[#This Row],[X base]]=AS$5</f>
        <v>0</v>
      </c>
      <c r="AX572" s="99" t="b">
        <f>S_normal27[[#This Row],[X base]]&gt;AS$5</f>
        <v>1</v>
      </c>
      <c r="AY572" s="99" t="e">
        <f>IF(S_normal27[[#This Row],[Mindre end]],S_normal27[[#This Row],[Poissonfordeling]],NA())</f>
        <v>#N/A</v>
      </c>
      <c r="AZ572" s="99" t="e">
        <f>IF(S_normal27[[#This Row],[Lig med]],S_normal27[[#This Row],[Poissonfordeling]],NA())</f>
        <v>#N/A</v>
      </c>
      <c r="BA572" s="99">
        <f>IF(S_normal27[[#This Row],[Større end]],S_normal27[[#This Row],[Poissonfordeling]],NA())</f>
        <v>8.1015117946814375E-3</v>
      </c>
      <c r="BB572" s="85" t="str">
        <f>_xlfn.IFNA(IF(MOD(S_normal27[[#This Row],[Indeks (base 0)]],AS$8)=ROUNDDOWN(AS$8/2,0),S_normal27[[#This Row],[X base]],""),"")</f>
        <v/>
      </c>
      <c r="BC572" s="99" t="str">
        <f t="shared" si="80"/>
        <v xml:space="preserve"> </v>
      </c>
    </row>
    <row r="573" spans="31:55" x14ac:dyDescent="0.2">
      <c r="AE573" s="54">
        <f t="shared" si="82"/>
        <v>560</v>
      </c>
      <c r="AF573" s="54">
        <f>S_binomial[[#This Row],[Indeks (base 0)]]+1</f>
        <v>561</v>
      </c>
      <c r="AG573" s="99">
        <f t="shared" si="83"/>
        <v>6</v>
      </c>
      <c r="AH573" s="99">
        <f>IF(MOD(S_binomial[[#This Row],[Indeks (base 0)]],AF$7)=0,NA(),_xlfn.BINOM.DIST(S_binomial[[#This Row],[X base]],E$5,E$6,FALSE))</f>
        <v>0.40456723513599996</v>
      </c>
      <c r="AI573" s="99" t="b">
        <f>S_binomial[[#This Row],[X base]]&lt;AF$5</f>
        <v>0</v>
      </c>
      <c r="AJ573" s="99" t="b">
        <f>S_binomial[[#This Row],[X base]]=AF$5</f>
        <v>0</v>
      </c>
      <c r="AK573" s="99" t="b">
        <f>S_binomial[[#This Row],[X base]]&gt;AF$5</f>
        <v>1</v>
      </c>
      <c r="AL573" s="99" t="e">
        <f>IF(S_binomial[[#This Row],[Mindre end]],S_binomial[[#This Row],[Binomialfordeling]],NA())</f>
        <v>#N/A</v>
      </c>
      <c r="AM573" s="99" t="e">
        <f>IF(S_binomial[[#This Row],[Lig med]],S_binomial[[#This Row],[Binomialfordeling]],NA())</f>
        <v>#N/A</v>
      </c>
      <c r="AN573" s="99">
        <f>IF(S_binomial[[#This Row],[Større end]],S_binomial[[#This Row],[Binomialfordeling]],NA())</f>
        <v>0.40456723513599996</v>
      </c>
      <c r="AO573" s="85" t="str">
        <f>_xlfn.IFNA(IF(MOD(S_binomial[[#This Row],[Indeks (base 0)]],AF$7)=ROUNDDOWN(AF$7/2,0),S_binomial[[#This Row],[X base]],""),"")</f>
        <v/>
      </c>
      <c r="AP573" s="99" t="str">
        <f t="shared" si="84"/>
        <v xml:space="preserve"> </v>
      </c>
      <c r="AR573" s="54">
        <f t="shared" si="79"/>
        <v>560</v>
      </c>
      <c r="AS573" s="54">
        <f>S_normal27[[#This Row],[Indeks (base 0)]]+1</f>
        <v>561</v>
      </c>
      <c r="AT573" s="54">
        <f t="shared" si="81"/>
        <v>8</v>
      </c>
      <c r="AU573" s="54">
        <f>IF(MOD(S_normal27[[#This Row],[Indeks (base 0)]],AS$8)=0,NA(),_xlfn.POISSON.DIST(S_normal27[[#This Row],[X base]],$H$5,FALSE))</f>
        <v>8.1015117946814375E-3</v>
      </c>
      <c r="AV573" s="99" t="b">
        <f>S_normal27[[#This Row],[X base]]&lt;AS$5</f>
        <v>0</v>
      </c>
      <c r="AW573" s="99" t="b">
        <f>S_normal27[[#This Row],[X base]]=AS$5</f>
        <v>0</v>
      </c>
      <c r="AX573" s="99" t="b">
        <f>S_normal27[[#This Row],[X base]]&gt;AS$5</f>
        <v>1</v>
      </c>
      <c r="AY573" s="99" t="e">
        <f>IF(S_normal27[[#This Row],[Mindre end]],S_normal27[[#This Row],[Poissonfordeling]],NA())</f>
        <v>#N/A</v>
      </c>
      <c r="AZ573" s="99" t="e">
        <f>IF(S_normal27[[#This Row],[Lig med]],S_normal27[[#This Row],[Poissonfordeling]],NA())</f>
        <v>#N/A</v>
      </c>
      <c r="BA573" s="99">
        <f>IF(S_normal27[[#This Row],[Større end]],S_normal27[[#This Row],[Poissonfordeling]],NA())</f>
        <v>8.1015117946814375E-3</v>
      </c>
      <c r="BB573" s="85" t="str">
        <f>_xlfn.IFNA(IF(MOD(S_normal27[[#This Row],[Indeks (base 0)]],AS$8)=ROUNDDOWN(AS$8/2,0),S_normal27[[#This Row],[X base]],""),"")</f>
        <v/>
      </c>
      <c r="BC573" s="99" t="str">
        <f t="shared" si="80"/>
        <v xml:space="preserve"> </v>
      </c>
    </row>
    <row r="574" spans="31:55" x14ac:dyDescent="0.2">
      <c r="AE574" s="54">
        <f t="shared" si="82"/>
        <v>561</v>
      </c>
      <c r="AF574" s="54">
        <f>S_binomial[[#This Row],[Indeks (base 0)]]+1</f>
        <v>562</v>
      </c>
      <c r="AG574" s="99">
        <f t="shared" si="83"/>
        <v>6</v>
      </c>
      <c r="AH574" s="99">
        <f>IF(MOD(S_binomial[[#This Row],[Indeks (base 0)]],AF$7)=0,NA(),_xlfn.BINOM.DIST(S_binomial[[#This Row],[X base]],E$5,E$6,FALSE))</f>
        <v>0.40456723513599996</v>
      </c>
      <c r="AI574" s="99" t="b">
        <f>S_binomial[[#This Row],[X base]]&lt;AF$5</f>
        <v>0</v>
      </c>
      <c r="AJ574" s="99" t="b">
        <f>S_binomial[[#This Row],[X base]]=AF$5</f>
        <v>0</v>
      </c>
      <c r="AK574" s="99" t="b">
        <f>S_binomial[[#This Row],[X base]]&gt;AF$5</f>
        <v>1</v>
      </c>
      <c r="AL574" s="99" t="e">
        <f>IF(S_binomial[[#This Row],[Mindre end]],S_binomial[[#This Row],[Binomialfordeling]],NA())</f>
        <v>#N/A</v>
      </c>
      <c r="AM574" s="99" t="e">
        <f>IF(S_binomial[[#This Row],[Lig med]],S_binomial[[#This Row],[Binomialfordeling]],NA())</f>
        <v>#N/A</v>
      </c>
      <c r="AN574" s="99">
        <f>IF(S_binomial[[#This Row],[Større end]],S_binomial[[#This Row],[Binomialfordeling]],NA())</f>
        <v>0.40456723513599996</v>
      </c>
      <c r="AO574" s="85" t="str">
        <f>_xlfn.IFNA(IF(MOD(S_binomial[[#This Row],[Indeks (base 0)]],AF$7)=ROUNDDOWN(AF$7/2,0),S_binomial[[#This Row],[X base]],""),"")</f>
        <v/>
      </c>
      <c r="AP574" s="99" t="str">
        <f t="shared" si="84"/>
        <v xml:space="preserve"> </v>
      </c>
      <c r="AR574" s="54">
        <f t="shared" si="79"/>
        <v>561</v>
      </c>
      <c r="AS574" s="54">
        <f>S_normal27[[#This Row],[Indeks (base 0)]]+1</f>
        <v>562</v>
      </c>
      <c r="AT574" s="54">
        <f t="shared" si="81"/>
        <v>8</v>
      </c>
      <c r="AU574" s="54">
        <f>IF(MOD(S_normal27[[#This Row],[Indeks (base 0)]],AS$8)=0,NA(),_xlfn.POISSON.DIST(S_normal27[[#This Row],[X base]],$H$5,FALSE))</f>
        <v>8.1015117946814375E-3</v>
      </c>
      <c r="AV574" s="99" t="b">
        <f>S_normal27[[#This Row],[X base]]&lt;AS$5</f>
        <v>0</v>
      </c>
      <c r="AW574" s="99" t="b">
        <f>S_normal27[[#This Row],[X base]]=AS$5</f>
        <v>0</v>
      </c>
      <c r="AX574" s="99" t="b">
        <f>S_normal27[[#This Row],[X base]]&gt;AS$5</f>
        <v>1</v>
      </c>
      <c r="AY574" s="99" t="e">
        <f>IF(S_normal27[[#This Row],[Mindre end]],S_normal27[[#This Row],[Poissonfordeling]],NA())</f>
        <v>#N/A</v>
      </c>
      <c r="AZ574" s="99" t="e">
        <f>IF(S_normal27[[#This Row],[Lig med]],S_normal27[[#This Row],[Poissonfordeling]],NA())</f>
        <v>#N/A</v>
      </c>
      <c r="BA574" s="99">
        <f>IF(S_normal27[[#This Row],[Større end]],S_normal27[[#This Row],[Poissonfordeling]],NA())</f>
        <v>8.1015117946814375E-3</v>
      </c>
      <c r="BB574" s="85" t="str">
        <f>_xlfn.IFNA(IF(MOD(S_normal27[[#This Row],[Indeks (base 0)]],AS$8)=ROUNDDOWN(AS$8/2,0),S_normal27[[#This Row],[X base]],""),"")</f>
        <v/>
      </c>
      <c r="BC574" s="99" t="str">
        <f t="shared" si="80"/>
        <v xml:space="preserve"> </v>
      </c>
    </row>
    <row r="575" spans="31:55" x14ac:dyDescent="0.2">
      <c r="AE575" s="54">
        <f t="shared" si="82"/>
        <v>562</v>
      </c>
      <c r="AF575" s="54">
        <f>S_binomial[[#This Row],[Indeks (base 0)]]+1</f>
        <v>563</v>
      </c>
      <c r="AG575" s="99">
        <f t="shared" si="83"/>
        <v>6</v>
      </c>
      <c r="AH575" s="99">
        <f>IF(MOD(S_binomial[[#This Row],[Indeks (base 0)]],AF$7)=0,NA(),_xlfn.BINOM.DIST(S_binomial[[#This Row],[X base]],E$5,E$6,FALSE))</f>
        <v>0.40456723513599996</v>
      </c>
      <c r="AI575" s="99" t="b">
        <f>S_binomial[[#This Row],[X base]]&lt;AF$5</f>
        <v>0</v>
      </c>
      <c r="AJ575" s="99" t="b">
        <f>S_binomial[[#This Row],[X base]]=AF$5</f>
        <v>0</v>
      </c>
      <c r="AK575" s="99" t="b">
        <f>S_binomial[[#This Row],[X base]]&gt;AF$5</f>
        <v>1</v>
      </c>
      <c r="AL575" s="99" t="e">
        <f>IF(S_binomial[[#This Row],[Mindre end]],S_binomial[[#This Row],[Binomialfordeling]],NA())</f>
        <v>#N/A</v>
      </c>
      <c r="AM575" s="99" t="e">
        <f>IF(S_binomial[[#This Row],[Lig med]],S_binomial[[#This Row],[Binomialfordeling]],NA())</f>
        <v>#N/A</v>
      </c>
      <c r="AN575" s="99">
        <f>IF(S_binomial[[#This Row],[Større end]],S_binomial[[#This Row],[Binomialfordeling]],NA())</f>
        <v>0.40456723513599996</v>
      </c>
      <c r="AO575" s="85" t="str">
        <f>_xlfn.IFNA(IF(MOD(S_binomial[[#This Row],[Indeks (base 0)]],AF$7)=ROUNDDOWN(AF$7/2,0),S_binomial[[#This Row],[X base]],""),"")</f>
        <v/>
      </c>
      <c r="AP575" s="99" t="str">
        <f t="shared" si="84"/>
        <v xml:space="preserve"> </v>
      </c>
      <c r="AR575" s="54">
        <f t="shared" si="79"/>
        <v>562</v>
      </c>
      <c r="AS575" s="54">
        <f>S_normal27[[#This Row],[Indeks (base 0)]]+1</f>
        <v>563</v>
      </c>
      <c r="AT575" s="54">
        <f t="shared" si="81"/>
        <v>8</v>
      </c>
      <c r="AU575" s="54">
        <f>IF(MOD(S_normal27[[#This Row],[Indeks (base 0)]],AS$8)=0,NA(),_xlfn.POISSON.DIST(S_normal27[[#This Row],[X base]],$H$5,FALSE))</f>
        <v>8.1015117946814375E-3</v>
      </c>
      <c r="AV575" s="99" t="b">
        <f>S_normal27[[#This Row],[X base]]&lt;AS$5</f>
        <v>0</v>
      </c>
      <c r="AW575" s="99" t="b">
        <f>S_normal27[[#This Row],[X base]]=AS$5</f>
        <v>0</v>
      </c>
      <c r="AX575" s="99" t="b">
        <f>S_normal27[[#This Row],[X base]]&gt;AS$5</f>
        <v>1</v>
      </c>
      <c r="AY575" s="99" t="e">
        <f>IF(S_normal27[[#This Row],[Mindre end]],S_normal27[[#This Row],[Poissonfordeling]],NA())</f>
        <v>#N/A</v>
      </c>
      <c r="AZ575" s="99" t="e">
        <f>IF(S_normal27[[#This Row],[Lig med]],S_normal27[[#This Row],[Poissonfordeling]],NA())</f>
        <v>#N/A</v>
      </c>
      <c r="BA575" s="99">
        <f>IF(S_normal27[[#This Row],[Større end]],S_normal27[[#This Row],[Poissonfordeling]],NA())</f>
        <v>8.1015117946814375E-3</v>
      </c>
      <c r="BB575" s="85" t="str">
        <f>_xlfn.IFNA(IF(MOD(S_normal27[[#This Row],[Indeks (base 0)]],AS$8)=ROUNDDOWN(AS$8/2,0),S_normal27[[#This Row],[X base]],""),"")</f>
        <v/>
      </c>
      <c r="BC575" s="99" t="str">
        <f t="shared" si="80"/>
        <v xml:space="preserve"> </v>
      </c>
    </row>
    <row r="576" spans="31:55" x14ac:dyDescent="0.2">
      <c r="AE576" s="54">
        <f t="shared" si="82"/>
        <v>563</v>
      </c>
      <c r="AF576" s="54">
        <f>S_binomial[[#This Row],[Indeks (base 0)]]+1</f>
        <v>564</v>
      </c>
      <c r="AG576" s="99">
        <f t="shared" si="83"/>
        <v>6</v>
      </c>
      <c r="AH576" s="99">
        <f>IF(MOD(S_binomial[[#This Row],[Indeks (base 0)]],AF$7)=0,NA(),_xlfn.BINOM.DIST(S_binomial[[#This Row],[X base]],E$5,E$6,FALSE))</f>
        <v>0.40456723513599996</v>
      </c>
      <c r="AI576" s="99" t="b">
        <f>S_binomial[[#This Row],[X base]]&lt;AF$5</f>
        <v>0</v>
      </c>
      <c r="AJ576" s="99" t="b">
        <f>S_binomial[[#This Row],[X base]]=AF$5</f>
        <v>0</v>
      </c>
      <c r="AK576" s="99" t="b">
        <f>S_binomial[[#This Row],[X base]]&gt;AF$5</f>
        <v>1</v>
      </c>
      <c r="AL576" s="99" t="e">
        <f>IF(S_binomial[[#This Row],[Mindre end]],S_binomial[[#This Row],[Binomialfordeling]],NA())</f>
        <v>#N/A</v>
      </c>
      <c r="AM576" s="99" t="e">
        <f>IF(S_binomial[[#This Row],[Lig med]],S_binomial[[#This Row],[Binomialfordeling]],NA())</f>
        <v>#N/A</v>
      </c>
      <c r="AN576" s="99">
        <f>IF(S_binomial[[#This Row],[Større end]],S_binomial[[#This Row],[Binomialfordeling]],NA())</f>
        <v>0.40456723513599996</v>
      </c>
      <c r="AO576" s="85" t="str">
        <f>_xlfn.IFNA(IF(MOD(S_binomial[[#This Row],[Indeks (base 0)]],AF$7)=ROUNDDOWN(AF$7/2,0),S_binomial[[#This Row],[X base]],""),"")</f>
        <v/>
      </c>
      <c r="AP576" s="99" t="str">
        <f t="shared" si="84"/>
        <v xml:space="preserve"> </v>
      </c>
      <c r="AR576" s="54">
        <f t="shared" si="79"/>
        <v>563</v>
      </c>
      <c r="AS576" s="54">
        <f>S_normal27[[#This Row],[Indeks (base 0)]]+1</f>
        <v>564</v>
      </c>
      <c r="AT576" s="54">
        <f t="shared" si="81"/>
        <v>8</v>
      </c>
      <c r="AU576" s="54">
        <f>IF(MOD(S_normal27[[#This Row],[Indeks (base 0)]],AS$8)=0,NA(),_xlfn.POISSON.DIST(S_normal27[[#This Row],[X base]],$H$5,FALSE))</f>
        <v>8.1015117946814375E-3</v>
      </c>
      <c r="AV576" s="99" t="b">
        <f>S_normal27[[#This Row],[X base]]&lt;AS$5</f>
        <v>0</v>
      </c>
      <c r="AW576" s="99" t="b">
        <f>S_normal27[[#This Row],[X base]]=AS$5</f>
        <v>0</v>
      </c>
      <c r="AX576" s="99" t="b">
        <f>S_normal27[[#This Row],[X base]]&gt;AS$5</f>
        <v>1</v>
      </c>
      <c r="AY576" s="99" t="e">
        <f>IF(S_normal27[[#This Row],[Mindre end]],S_normal27[[#This Row],[Poissonfordeling]],NA())</f>
        <v>#N/A</v>
      </c>
      <c r="AZ576" s="99" t="e">
        <f>IF(S_normal27[[#This Row],[Lig med]],S_normal27[[#This Row],[Poissonfordeling]],NA())</f>
        <v>#N/A</v>
      </c>
      <c r="BA576" s="99">
        <f>IF(S_normal27[[#This Row],[Større end]],S_normal27[[#This Row],[Poissonfordeling]],NA())</f>
        <v>8.1015117946814375E-3</v>
      </c>
      <c r="BB576" s="85" t="str">
        <f>_xlfn.IFNA(IF(MOD(S_normal27[[#This Row],[Indeks (base 0)]],AS$8)=ROUNDDOWN(AS$8/2,0),S_normal27[[#This Row],[X base]],""),"")</f>
        <v/>
      </c>
      <c r="BC576" s="99" t="str">
        <f t="shared" si="80"/>
        <v xml:space="preserve"> </v>
      </c>
    </row>
    <row r="577" spans="31:55" x14ac:dyDescent="0.2">
      <c r="AE577" s="54">
        <f t="shared" si="82"/>
        <v>564</v>
      </c>
      <c r="AF577" s="54">
        <f>S_binomial[[#This Row],[Indeks (base 0)]]+1</f>
        <v>565</v>
      </c>
      <c r="AG577" s="99">
        <f t="shared" si="83"/>
        <v>6</v>
      </c>
      <c r="AH577" s="99">
        <f>IF(MOD(S_binomial[[#This Row],[Indeks (base 0)]],AF$7)=0,NA(),_xlfn.BINOM.DIST(S_binomial[[#This Row],[X base]],E$5,E$6,FALSE))</f>
        <v>0.40456723513599996</v>
      </c>
      <c r="AI577" s="99" t="b">
        <f>S_binomial[[#This Row],[X base]]&lt;AF$5</f>
        <v>0</v>
      </c>
      <c r="AJ577" s="99" t="b">
        <f>S_binomial[[#This Row],[X base]]=AF$5</f>
        <v>0</v>
      </c>
      <c r="AK577" s="99" t="b">
        <f>S_binomial[[#This Row],[X base]]&gt;AF$5</f>
        <v>1</v>
      </c>
      <c r="AL577" s="99" t="e">
        <f>IF(S_binomial[[#This Row],[Mindre end]],S_binomial[[#This Row],[Binomialfordeling]],NA())</f>
        <v>#N/A</v>
      </c>
      <c r="AM577" s="99" t="e">
        <f>IF(S_binomial[[#This Row],[Lig med]],S_binomial[[#This Row],[Binomialfordeling]],NA())</f>
        <v>#N/A</v>
      </c>
      <c r="AN577" s="99">
        <f>IF(S_binomial[[#This Row],[Større end]],S_binomial[[#This Row],[Binomialfordeling]],NA())</f>
        <v>0.40456723513599996</v>
      </c>
      <c r="AO577" s="85" t="str">
        <f>_xlfn.IFNA(IF(MOD(S_binomial[[#This Row],[Indeks (base 0)]],AF$7)=ROUNDDOWN(AF$7/2,0),S_binomial[[#This Row],[X base]],""),"")</f>
        <v/>
      </c>
      <c r="AP577" s="99" t="str">
        <f t="shared" si="84"/>
        <v xml:space="preserve"> </v>
      </c>
      <c r="AR577" s="54">
        <f t="shared" si="79"/>
        <v>564</v>
      </c>
      <c r="AS577" s="54">
        <f>S_normal27[[#This Row],[Indeks (base 0)]]+1</f>
        <v>565</v>
      </c>
      <c r="AT577" s="54">
        <f t="shared" si="81"/>
        <v>8</v>
      </c>
      <c r="AU577" s="54">
        <f>IF(MOD(S_normal27[[#This Row],[Indeks (base 0)]],AS$8)=0,NA(),_xlfn.POISSON.DIST(S_normal27[[#This Row],[X base]],$H$5,FALSE))</f>
        <v>8.1015117946814375E-3</v>
      </c>
      <c r="AV577" s="99" t="b">
        <f>S_normal27[[#This Row],[X base]]&lt;AS$5</f>
        <v>0</v>
      </c>
      <c r="AW577" s="99" t="b">
        <f>S_normal27[[#This Row],[X base]]=AS$5</f>
        <v>0</v>
      </c>
      <c r="AX577" s="99" t="b">
        <f>S_normal27[[#This Row],[X base]]&gt;AS$5</f>
        <v>1</v>
      </c>
      <c r="AY577" s="99" t="e">
        <f>IF(S_normal27[[#This Row],[Mindre end]],S_normal27[[#This Row],[Poissonfordeling]],NA())</f>
        <v>#N/A</v>
      </c>
      <c r="AZ577" s="99" t="e">
        <f>IF(S_normal27[[#This Row],[Lig med]],S_normal27[[#This Row],[Poissonfordeling]],NA())</f>
        <v>#N/A</v>
      </c>
      <c r="BA577" s="99">
        <f>IF(S_normal27[[#This Row],[Større end]],S_normal27[[#This Row],[Poissonfordeling]],NA())</f>
        <v>8.1015117946814375E-3</v>
      </c>
      <c r="BB577" s="85" t="str">
        <f>_xlfn.IFNA(IF(MOD(S_normal27[[#This Row],[Indeks (base 0)]],AS$8)=ROUNDDOWN(AS$8/2,0),S_normal27[[#This Row],[X base]],""),"")</f>
        <v/>
      </c>
      <c r="BC577" s="99" t="str">
        <f t="shared" si="80"/>
        <v xml:space="preserve"> </v>
      </c>
    </row>
    <row r="578" spans="31:55" x14ac:dyDescent="0.2">
      <c r="AE578" s="54">
        <f t="shared" si="82"/>
        <v>565</v>
      </c>
      <c r="AF578" s="54">
        <f>S_binomial[[#This Row],[Indeks (base 0)]]+1</f>
        <v>566</v>
      </c>
      <c r="AG578" s="99">
        <f t="shared" si="83"/>
        <v>6</v>
      </c>
      <c r="AH578" s="99">
        <f>IF(MOD(S_binomial[[#This Row],[Indeks (base 0)]],AF$7)=0,NA(),_xlfn.BINOM.DIST(S_binomial[[#This Row],[X base]],E$5,E$6,FALSE))</f>
        <v>0.40456723513599996</v>
      </c>
      <c r="AI578" s="99" t="b">
        <f>S_binomial[[#This Row],[X base]]&lt;AF$5</f>
        <v>0</v>
      </c>
      <c r="AJ578" s="99" t="b">
        <f>S_binomial[[#This Row],[X base]]=AF$5</f>
        <v>0</v>
      </c>
      <c r="AK578" s="99" t="b">
        <f>S_binomial[[#This Row],[X base]]&gt;AF$5</f>
        <v>1</v>
      </c>
      <c r="AL578" s="99" t="e">
        <f>IF(S_binomial[[#This Row],[Mindre end]],S_binomial[[#This Row],[Binomialfordeling]],NA())</f>
        <v>#N/A</v>
      </c>
      <c r="AM578" s="99" t="e">
        <f>IF(S_binomial[[#This Row],[Lig med]],S_binomial[[#This Row],[Binomialfordeling]],NA())</f>
        <v>#N/A</v>
      </c>
      <c r="AN578" s="99">
        <f>IF(S_binomial[[#This Row],[Større end]],S_binomial[[#This Row],[Binomialfordeling]],NA())</f>
        <v>0.40456723513599996</v>
      </c>
      <c r="AO578" s="85" t="str">
        <f>_xlfn.IFNA(IF(MOD(S_binomial[[#This Row],[Indeks (base 0)]],AF$7)=ROUNDDOWN(AF$7/2,0),S_binomial[[#This Row],[X base]],""),"")</f>
        <v/>
      </c>
      <c r="AP578" s="99" t="str">
        <f t="shared" si="84"/>
        <v xml:space="preserve"> </v>
      </c>
      <c r="AR578" s="54">
        <f t="shared" si="79"/>
        <v>565</v>
      </c>
      <c r="AS578" s="54">
        <f>S_normal27[[#This Row],[Indeks (base 0)]]+1</f>
        <v>566</v>
      </c>
      <c r="AT578" s="54">
        <f t="shared" si="81"/>
        <v>8</v>
      </c>
      <c r="AU578" s="54">
        <f>IF(MOD(S_normal27[[#This Row],[Indeks (base 0)]],AS$8)=0,NA(),_xlfn.POISSON.DIST(S_normal27[[#This Row],[X base]],$H$5,FALSE))</f>
        <v>8.1015117946814375E-3</v>
      </c>
      <c r="AV578" s="99" t="b">
        <f>S_normal27[[#This Row],[X base]]&lt;AS$5</f>
        <v>0</v>
      </c>
      <c r="AW578" s="99" t="b">
        <f>S_normal27[[#This Row],[X base]]=AS$5</f>
        <v>0</v>
      </c>
      <c r="AX578" s="99" t="b">
        <f>S_normal27[[#This Row],[X base]]&gt;AS$5</f>
        <v>1</v>
      </c>
      <c r="AY578" s="99" t="e">
        <f>IF(S_normal27[[#This Row],[Mindre end]],S_normal27[[#This Row],[Poissonfordeling]],NA())</f>
        <v>#N/A</v>
      </c>
      <c r="AZ578" s="99" t="e">
        <f>IF(S_normal27[[#This Row],[Lig med]],S_normal27[[#This Row],[Poissonfordeling]],NA())</f>
        <v>#N/A</v>
      </c>
      <c r="BA578" s="99">
        <f>IF(S_normal27[[#This Row],[Større end]],S_normal27[[#This Row],[Poissonfordeling]],NA())</f>
        <v>8.1015117946814375E-3</v>
      </c>
      <c r="BB578" s="85" t="str">
        <f>_xlfn.IFNA(IF(MOD(S_normal27[[#This Row],[Indeks (base 0)]],AS$8)=ROUNDDOWN(AS$8/2,0),S_normal27[[#This Row],[X base]],""),"")</f>
        <v/>
      </c>
      <c r="BC578" s="99" t="str">
        <f t="shared" si="80"/>
        <v xml:space="preserve"> </v>
      </c>
    </row>
    <row r="579" spans="31:55" x14ac:dyDescent="0.2">
      <c r="AE579" s="54">
        <f t="shared" si="82"/>
        <v>566</v>
      </c>
      <c r="AF579" s="54">
        <f>S_binomial[[#This Row],[Indeks (base 0)]]+1</f>
        <v>567</v>
      </c>
      <c r="AG579" s="99">
        <f t="shared" si="83"/>
        <v>6</v>
      </c>
      <c r="AH579" s="99">
        <f>IF(MOD(S_binomial[[#This Row],[Indeks (base 0)]],AF$7)=0,NA(),_xlfn.BINOM.DIST(S_binomial[[#This Row],[X base]],E$5,E$6,FALSE))</f>
        <v>0.40456723513599996</v>
      </c>
      <c r="AI579" s="99" t="b">
        <f>S_binomial[[#This Row],[X base]]&lt;AF$5</f>
        <v>0</v>
      </c>
      <c r="AJ579" s="99" t="b">
        <f>S_binomial[[#This Row],[X base]]=AF$5</f>
        <v>0</v>
      </c>
      <c r="AK579" s="99" t="b">
        <f>S_binomial[[#This Row],[X base]]&gt;AF$5</f>
        <v>1</v>
      </c>
      <c r="AL579" s="99" t="e">
        <f>IF(S_binomial[[#This Row],[Mindre end]],S_binomial[[#This Row],[Binomialfordeling]],NA())</f>
        <v>#N/A</v>
      </c>
      <c r="AM579" s="99" t="e">
        <f>IF(S_binomial[[#This Row],[Lig med]],S_binomial[[#This Row],[Binomialfordeling]],NA())</f>
        <v>#N/A</v>
      </c>
      <c r="AN579" s="99">
        <f>IF(S_binomial[[#This Row],[Større end]],S_binomial[[#This Row],[Binomialfordeling]],NA())</f>
        <v>0.40456723513599996</v>
      </c>
      <c r="AO579" s="85" t="str">
        <f>_xlfn.IFNA(IF(MOD(S_binomial[[#This Row],[Indeks (base 0)]],AF$7)=ROUNDDOWN(AF$7/2,0),S_binomial[[#This Row],[X base]],""),"")</f>
        <v/>
      </c>
      <c r="AP579" s="99" t="str">
        <f t="shared" si="84"/>
        <v xml:space="preserve"> </v>
      </c>
      <c r="AR579" s="54">
        <f t="shared" si="79"/>
        <v>566</v>
      </c>
      <c r="AS579" s="54">
        <f>S_normal27[[#This Row],[Indeks (base 0)]]+1</f>
        <v>567</v>
      </c>
      <c r="AT579" s="54">
        <f t="shared" si="81"/>
        <v>8</v>
      </c>
      <c r="AU579" s="54">
        <f>IF(MOD(S_normal27[[#This Row],[Indeks (base 0)]],AS$8)=0,NA(),_xlfn.POISSON.DIST(S_normal27[[#This Row],[X base]],$H$5,FALSE))</f>
        <v>8.1015117946814375E-3</v>
      </c>
      <c r="AV579" s="99" t="b">
        <f>S_normal27[[#This Row],[X base]]&lt;AS$5</f>
        <v>0</v>
      </c>
      <c r="AW579" s="99" t="b">
        <f>S_normal27[[#This Row],[X base]]=AS$5</f>
        <v>0</v>
      </c>
      <c r="AX579" s="99" t="b">
        <f>S_normal27[[#This Row],[X base]]&gt;AS$5</f>
        <v>1</v>
      </c>
      <c r="AY579" s="99" t="e">
        <f>IF(S_normal27[[#This Row],[Mindre end]],S_normal27[[#This Row],[Poissonfordeling]],NA())</f>
        <v>#N/A</v>
      </c>
      <c r="AZ579" s="99" t="e">
        <f>IF(S_normal27[[#This Row],[Lig med]],S_normal27[[#This Row],[Poissonfordeling]],NA())</f>
        <v>#N/A</v>
      </c>
      <c r="BA579" s="99">
        <f>IF(S_normal27[[#This Row],[Større end]],S_normal27[[#This Row],[Poissonfordeling]],NA())</f>
        <v>8.1015117946814375E-3</v>
      </c>
      <c r="BB579" s="85" t="str">
        <f>_xlfn.IFNA(IF(MOD(S_normal27[[#This Row],[Indeks (base 0)]],AS$8)=ROUNDDOWN(AS$8/2,0),S_normal27[[#This Row],[X base]],""),"")</f>
        <v/>
      </c>
      <c r="BC579" s="99" t="str">
        <f t="shared" si="80"/>
        <v xml:space="preserve"> </v>
      </c>
    </row>
    <row r="580" spans="31:55" x14ac:dyDescent="0.2">
      <c r="AE580" s="54">
        <f t="shared" si="82"/>
        <v>567</v>
      </c>
      <c r="AF580" s="54">
        <f>S_binomial[[#This Row],[Indeks (base 0)]]+1</f>
        <v>568</v>
      </c>
      <c r="AG580" s="99">
        <f t="shared" si="83"/>
        <v>6</v>
      </c>
      <c r="AH580" s="99">
        <f>IF(MOD(S_binomial[[#This Row],[Indeks (base 0)]],AF$7)=0,NA(),_xlfn.BINOM.DIST(S_binomial[[#This Row],[X base]],E$5,E$6,FALSE))</f>
        <v>0.40456723513599996</v>
      </c>
      <c r="AI580" s="99" t="b">
        <f>S_binomial[[#This Row],[X base]]&lt;AF$5</f>
        <v>0</v>
      </c>
      <c r="AJ580" s="99" t="b">
        <f>S_binomial[[#This Row],[X base]]=AF$5</f>
        <v>0</v>
      </c>
      <c r="AK580" s="99" t="b">
        <f>S_binomial[[#This Row],[X base]]&gt;AF$5</f>
        <v>1</v>
      </c>
      <c r="AL580" s="99" t="e">
        <f>IF(S_binomial[[#This Row],[Mindre end]],S_binomial[[#This Row],[Binomialfordeling]],NA())</f>
        <v>#N/A</v>
      </c>
      <c r="AM580" s="99" t="e">
        <f>IF(S_binomial[[#This Row],[Lig med]],S_binomial[[#This Row],[Binomialfordeling]],NA())</f>
        <v>#N/A</v>
      </c>
      <c r="AN580" s="99">
        <f>IF(S_binomial[[#This Row],[Større end]],S_binomial[[#This Row],[Binomialfordeling]],NA())</f>
        <v>0.40456723513599996</v>
      </c>
      <c r="AO580" s="85" t="str">
        <f>_xlfn.IFNA(IF(MOD(S_binomial[[#This Row],[Indeks (base 0)]],AF$7)=ROUNDDOWN(AF$7/2,0),S_binomial[[#This Row],[X base]],""),"")</f>
        <v/>
      </c>
      <c r="AP580" s="99" t="str">
        <f t="shared" si="84"/>
        <v xml:space="preserve"> </v>
      </c>
      <c r="AR580" s="54">
        <f t="shared" si="79"/>
        <v>567</v>
      </c>
      <c r="AS580" s="54">
        <f>S_normal27[[#This Row],[Indeks (base 0)]]+1</f>
        <v>568</v>
      </c>
      <c r="AT580" s="54">
        <f t="shared" si="81"/>
        <v>8</v>
      </c>
      <c r="AU580" s="54">
        <f>IF(MOD(S_normal27[[#This Row],[Indeks (base 0)]],AS$8)=0,NA(),_xlfn.POISSON.DIST(S_normal27[[#This Row],[X base]],$H$5,FALSE))</f>
        <v>8.1015117946814375E-3</v>
      </c>
      <c r="AV580" s="99" t="b">
        <f>S_normal27[[#This Row],[X base]]&lt;AS$5</f>
        <v>0</v>
      </c>
      <c r="AW580" s="99" t="b">
        <f>S_normal27[[#This Row],[X base]]=AS$5</f>
        <v>0</v>
      </c>
      <c r="AX580" s="99" t="b">
        <f>S_normal27[[#This Row],[X base]]&gt;AS$5</f>
        <v>1</v>
      </c>
      <c r="AY580" s="99" t="e">
        <f>IF(S_normal27[[#This Row],[Mindre end]],S_normal27[[#This Row],[Poissonfordeling]],NA())</f>
        <v>#N/A</v>
      </c>
      <c r="AZ580" s="99" t="e">
        <f>IF(S_normal27[[#This Row],[Lig med]],S_normal27[[#This Row],[Poissonfordeling]],NA())</f>
        <v>#N/A</v>
      </c>
      <c r="BA580" s="99">
        <f>IF(S_normal27[[#This Row],[Større end]],S_normal27[[#This Row],[Poissonfordeling]],NA())</f>
        <v>8.1015117946814375E-3</v>
      </c>
      <c r="BB580" s="85" t="str">
        <f>_xlfn.IFNA(IF(MOD(S_normal27[[#This Row],[Indeks (base 0)]],AS$8)=ROUNDDOWN(AS$8/2,0),S_normal27[[#This Row],[X base]],""),"")</f>
        <v/>
      </c>
      <c r="BC580" s="99" t="str">
        <f t="shared" si="80"/>
        <v xml:space="preserve"> </v>
      </c>
    </row>
    <row r="581" spans="31:55" x14ac:dyDescent="0.2">
      <c r="AE581" s="54">
        <f t="shared" si="82"/>
        <v>568</v>
      </c>
      <c r="AF581" s="54">
        <f>S_binomial[[#This Row],[Indeks (base 0)]]+1</f>
        <v>569</v>
      </c>
      <c r="AG581" s="99">
        <f t="shared" si="83"/>
        <v>6</v>
      </c>
      <c r="AH581" s="99">
        <f>IF(MOD(S_binomial[[#This Row],[Indeks (base 0)]],AF$7)=0,NA(),_xlfn.BINOM.DIST(S_binomial[[#This Row],[X base]],E$5,E$6,FALSE))</f>
        <v>0.40456723513599996</v>
      </c>
      <c r="AI581" s="99" t="b">
        <f>S_binomial[[#This Row],[X base]]&lt;AF$5</f>
        <v>0</v>
      </c>
      <c r="AJ581" s="99" t="b">
        <f>S_binomial[[#This Row],[X base]]=AF$5</f>
        <v>0</v>
      </c>
      <c r="AK581" s="99" t="b">
        <f>S_binomial[[#This Row],[X base]]&gt;AF$5</f>
        <v>1</v>
      </c>
      <c r="AL581" s="99" t="e">
        <f>IF(S_binomial[[#This Row],[Mindre end]],S_binomial[[#This Row],[Binomialfordeling]],NA())</f>
        <v>#N/A</v>
      </c>
      <c r="AM581" s="99" t="e">
        <f>IF(S_binomial[[#This Row],[Lig med]],S_binomial[[#This Row],[Binomialfordeling]],NA())</f>
        <v>#N/A</v>
      </c>
      <c r="AN581" s="99">
        <f>IF(S_binomial[[#This Row],[Større end]],S_binomial[[#This Row],[Binomialfordeling]],NA())</f>
        <v>0.40456723513599996</v>
      </c>
      <c r="AO581" s="85" t="str">
        <f>_xlfn.IFNA(IF(MOD(S_binomial[[#This Row],[Indeks (base 0)]],AF$7)=ROUNDDOWN(AF$7/2,0),S_binomial[[#This Row],[X base]],""),"")</f>
        <v/>
      </c>
      <c r="AP581" s="99" t="str">
        <f t="shared" si="84"/>
        <v xml:space="preserve"> </v>
      </c>
      <c r="AR581" s="54">
        <f t="shared" si="79"/>
        <v>568</v>
      </c>
      <c r="AS581" s="54">
        <f>S_normal27[[#This Row],[Indeks (base 0)]]+1</f>
        <v>569</v>
      </c>
      <c r="AT581" s="54">
        <f t="shared" si="81"/>
        <v>8</v>
      </c>
      <c r="AU581" s="54">
        <f>IF(MOD(S_normal27[[#This Row],[Indeks (base 0)]],AS$8)=0,NA(),_xlfn.POISSON.DIST(S_normal27[[#This Row],[X base]],$H$5,FALSE))</f>
        <v>8.1015117946814375E-3</v>
      </c>
      <c r="AV581" s="99" t="b">
        <f>S_normal27[[#This Row],[X base]]&lt;AS$5</f>
        <v>0</v>
      </c>
      <c r="AW581" s="99" t="b">
        <f>S_normal27[[#This Row],[X base]]=AS$5</f>
        <v>0</v>
      </c>
      <c r="AX581" s="99" t="b">
        <f>S_normal27[[#This Row],[X base]]&gt;AS$5</f>
        <v>1</v>
      </c>
      <c r="AY581" s="99" t="e">
        <f>IF(S_normal27[[#This Row],[Mindre end]],S_normal27[[#This Row],[Poissonfordeling]],NA())</f>
        <v>#N/A</v>
      </c>
      <c r="AZ581" s="99" t="e">
        <f>IF(S_normal27[[#This Row],[Lig med]],S_normal27[[#This Row],[Poissonfordeling]],NA())</f>
        <v>#N/A</v>
      </c>
      <c r="BA581" s="99">
        <f>IF(S_normal27[[#This Row],[Større end]],S_normal27[[#This Row],[Poissonfordeling]],NA())</f>
        <v>8.1015117946814375E-3</v>
      </c>
      <c r="BB581" s="85" t="str">
        <f>_xlfn.IFNA(IF(MOD(S_normal27[[#This Row],[Indeks (base 0)]],AS$8)=ROUNDDOWN(AS$8/2,0),S_normal27[[#This Row],[X base]],""),"")</f>
        <v/>
      </c>
      <c r="BC581" s="99" t="str">
        <f t="shared" si="80"/>
        <v xml:space="preserve"> </v>
      </c>
    </row>
    <row r="582" spans="31:55" x14ac:dyDescent="0.2">
      <c r="AE582" s="54">
        <f t="shared" si="82"/>
        <v>569</v>
      </c>
      <c r="AF582" s="54">
        <f>S_binomial[[#This Row],[Indeks (base 0)]]+1</f>
        <v>570</v>
      </c>
      <c r="AG582" s="99">
        <f t="shared" si="83"/>
        <v>6</v>
      </c>
      <c r="AH582" s="99">
        <f>IF(MOD(S_binomial[[#This Row],[Indeks (base 0)]],AF$7)=0,NA(),_xlfn.BINOM.DIST(S_binomial[[#This Row],[X base]],E$5,E$6,FALSE))</f>
        <v>0.40456723513599996</v>
      </c>
      <c r="AI582" s="99" t="b">
        <f>S_binomial[[#This Row],[X base]]&lt;AF$5</f>
        <v>0</v>
      </c>
      <c r="AJ582" s="99" t="b">
        <f>S_binomial[[#This Row],[X base]]=AF$5</f>
        <v>0</v>
      </c>
      <c r="AK582" s="99" t="b">
        <f>S_binomial[[#This Row],[X base]]&gt;AF$5</f>
        <v>1</v>
      </c>
      <c r="AL582" s="99" t="e">
        <f>IF(S_binomial[[#This Row],[Mindre end]],S_binomial[[#This Row],[Binomialfordeling]],NA())</f>
        <v>#N/A</v>
      </c>
      <c r="AM582" s="99" t="e">
        <f>IF(S_binomial[[#This Row],[Lig med]],S_binomial[[#This Row],[Binomialfordeling]],NA())</f>
        <v>#N/A</v>
      </c>
      <c r="AN582" s="99">
        <f>IF(S_binomial[[#This Row],[Større end]],S_binomial[[#This Row],[Binomialfordeling]],NA())</f>
        <v>0.40456723513599996</v>
      </c>
      <c r="AO582" s="85" t="str">
        <f>_xlfn.IFNA(IF(MOD(S_binomial[[#This Row],[Indeks (base 0)]],AF$7)=ROUNDDOWN(AF$7/2,0),S_binomial[[#This Row],[X base]],""),"")</f>
        <v/>
      </c>
      <c r="AP582" s="99" t="str">
        <f t="shared" si="84"/>
        <v xml:space="preserve"> </v>
      </c>
      <c r="AR582" s="54">
        <f t="shared" si="79"/>
        <v>569</v>
      </c>
      <c r="AS582" s="54">
        <f>S_normal27[[#This Row],[Indeks (base 0)]]+1</f>
        <v>570</v>
      </c>
      <c r="AT582" s="54">
        <f t="shared" si="81"/>
        <v>8</v>
      </c>
      <c r="AU582" s="54">
        <f>IF(MOD(S_normal27[[#This Row],[Indeks (base 0)]],AS$8)=0,NA(),_xlfn.POISSON.DIST(S_normal27[[#This Row],[X base]],$H$5,FALSE))</f>
        <v>8.1015117946814375E-3</v>
      </c>
      <c r="AV582" s="99" t="b">
        <f>S_normal27[[#This Row],[X base]]&lt;AS$5</f>
        <v>0</v>
      </c>
      <c r="AW582" s="99" t="b">
        <f>S_normal27[[#This Row],[X base]]=AS$5</f>
        <v>0</v>
      </c>
      <c r="AX582" s="99" t="b">
        <f>S_normal27[[#This Row],[X base]]&gt;AS$5</f>
        <v>1</v>
      </c>
      <c r="AY582" s="99" t="e">
        <f>IF(S_normal27[[#This Row],[Mindre end]],S_normal27[[#This Row],[Poissonfordeling]],NA())</f>
        <v>#N/A</v>
      </c>
      <c r="AZ582" s="99" t="e">
        <f>IF(S_normal27[[#This Row],[Lig med]],S_normal27[[#This Row],[Poissonfordeling]],NA())</f>
        <v>#N/A</v>
      </c>
      <c r="BA582" s="99">
        <f>IF(S_normal27[[#This Row],[Større end]],S_normal27[[#This Row],[Poissonfordeling]],NA())</f>
        <v>8.1015117946814375E-3</v>
      </c>
      <c r="BB582" s="85" t="str">
        <f>_xlfn.IFNA(IF(MOD(S_normal27[[#This Row],[Indeks (base 0)]],AS$8)=ROUNDDOWN(AS$8/2,0),S_normal27[[#This Row],[X base]],""),"")</f>
        <v/>
      </c>
      <c r="BC582" s="99" t="str">
        <f t="shared" si="80"/>
        <v xml:space="preserve"> </v>
      </c>
    </row>
    <row r="583" spans="31:55" x14ac:dyDescent="0.2">
      <c r="AE583" s="54">
        <f t="shared" si="82"/>
        <v>570</v>
      </c>
      <c r="AF583" s="54">
        <f>S_binomial[[#This Row],[Indeks (base 0)]]+1</f>
        <v>571</v>
      </c>
      <c r="AG583" s="99">
        <f t="shared" si="83"/>
        <v>6</v>
      </c>
      <c r="AH583" s="99">
        <f>IF(MOD(S_binomial[[#This Row],[Indeks (base 0)]],AF$7)=0,NA(),_xlfn.BINOM.DIST(S_binomial[[#This Row],[X base]],E$5,E$6,FALSE))</f>
        <v>0.40456723513599996</v>
      </c>
      <c r="AI583" s="99" t="b">
        <f>S_binomial[[#This Row],[X base]]&lt;AF$5</f>
        <v>0</v>
      </c>
      <c r="AJ583" s="99" t="b">
        <f>S_binomial[[#This Row],[X base]]=AF$5</f>
        <v>0</v>
      </c>
      <c r="AK583" s="99" t="b">
        <f>S_binomial[[#This Row],[X base]]&gt;AF$5</f>
        <v>1</v>
      </c>
      <c r="AL583" s="99" t="e">
        <f>IF(S_binomial[[#This Row],[Mindre end]],S_binomial[[#This Row],[Binomialfordeling]],NA())</f>
        <v>#N/A</v>
      </c>
      <c r="AM583" s="99" t="e">
        <f>IF(S_binomial[[#This Row],[Lig med]],S_binomial[[#This Row],[Binomialfordeling]],NA())</f>
        <v>#N/A</v>
      </c>
      <c r="AN583" s="99">
        <f>IF(S_binomial[[#This Row],[Større end]],S_binomial[[#This Row],[Binomialfordeling]],NA())</f>
        <v>0.40456723513599996</v>
      </c>
      <c r="AO583" s="85" t="str">
        <f>_xlfn.IFNA(IF(MOD(S_binomial[[#This Row],[Indeks (base 0)]],AF$7)=ROUNDDOWN(AF$7/2,0),S_binomial[[#This Row],[X base]],""),"")</f>
        <v/>
      </c>
      <c r="AP583" s="99" t="str">
        <f t="shared" si="84"/>
        <v xml:space="preserve"> </v>
      </c>
      <c r="AR583" s="54">
        <f t="shared" si="79"/>
        <v>570</v>
      </c>
      <c r="AS583" s="54">
        <f>S_normal27[[#This Row],[Indeks (base 0)]]+1</f>
        <v>571</v>
      </c>
      <c r="AT583" s="54">
        <f t="shared" si="81"/>
        <v>8</v>
      </c>
      <c r="AU583" s="54">
        <f>IF(MOD(S_normal27[[#This Row],[Indeks (base 0)]],AS$8)=0,NA(),_xlfn.POISSON.DIST(S_normal27[[#This Row],[X base]],$H$5,FALSE))</f>
        <v>8.1015117946814375E-3</v>
      </c>
      <c r="AV583" s="99" t="b">
        <f>S_normal27[[#This Row],[X base]]&lt;AS$5</f>
        <v>0</v>
      </c>
      <c r="AW583" s="99" t="b">
        <f>S_normal27[[#This Row],[X base]]=AS$5</f>
        <v>0</v>
      </c>
      <c r="AX583" s="99" t="b">
        <f>S_normal27[[#This Row],[X base]]&gt;AS$5</f>
        <v>1</v>
      </c>
      <c r="AY583" s="99" t="e">
        <f>IF(S_normal27[[#This Row],[Mindre end]],S_normal27[[#This Row],[Poissonfordeling]],NA())</f>
        <v>#N/A</v>
      </c>
      <c r="AZ583" s="99" t="e">
        <f>IF(S_normal27[[#This Row],[Lig med]],S_normal27[[#This Row],[Poissonfordeling]],NA())</f>
        <v>#N/A</v>
      </c>
      <c r="BA583" s="99">
        <f>IF(S_normal27[[#This Row],[Større end]],S_normal27[[#This Row],[Poissonfordeling]],NA())</f>
        <v>8.1015117946814375E-3</v>
      </c>
      <c r="BB583" s="85" t="str">
        <f>_xlfn.IFNA(IF(MOD(S_normal27[[#This Row],[Indeks (base 0)]],AS$8)=ROUNDDOWN(AS$8/2,0),S_normal27[[#This Row],[X base]],""),"")</f>
        <v/>
      </c>
      <c r="BC583" s="99" t="str">
        <f t="shared" si="80"/>
        <v xml:space="preserve"> </v>
      </c>
    </row>
    <row r="584" spans="31:55" x14ac:dyDescent="0.2">
      <c r="AE584" s="54">
        <f t="shared" si="82"/>
        <v>571</v>
      </c>
      <c r="AF584" s="54">
        <f>S_binomial[[#This Row],[Indeks (base 0)]]+1</f>
        <v>572</v>
      </c>
      <c r="AG584" s="99">
        <f t="shared" si="83"/>
        <v>6</v>
      </c>
      <c r="AH584" s="99">
        <f>IF(MOD(S_binomial[[#This Row],[Indeks (base 0)]],AF$7)=0,NA(),_xlfn.BINOM.DIST(S_binomial[[#This Row],[X base]],E$5,E$6,FALSE))</f>
        <v>0.40456723513599996</v>
      </c>
      <c r="AI584" s="99" t="b">
        <f>S_binomial[[#This Row],[X base]]&lt;AF$5</f>
        <v>0</v>
      </c>
      <c r="AJ584" s="99" t="b">
        <f>S_binomial[[#This Row],[X base]]=AF$5</f>
        <v>0</v>
      </c>
      <c r="AK584" s="99" t="b">
        <f>S_binomial[[#This Row],[X base]]&gt;AF$5</f>
        <v>1</v>
      </c>
      <c r="AL584" s="99" t="e">
        <f>IF(S_binomial[[#This Row],[Mindre end]],S_binomial[[#This Row],[Binomialfordeling]],NA())</f>
        <v>#N/A</v>
      </c>
      <c r="AM584" s="99" t="e">
        <f>IF(S_binomial[[#This Row],[Lig med]],S_binomial[[#This Row],[Binomialfordeling]],NA())</f>
        <v>#N/A</v>
      </c>
      <c r="AN584" s="99">
        <f>IF(S_binomial[[#This Row],[Større end]],S_binomial[[#This Row],[Binomialfordeling]],NA())</f>
        <v>0.40456723513599996</v>
      </c>
      <c r="AO584" s="85" t="str">
        <f>_xlfn.IFNA(IF(MOD(S_binomial[[#This Row],[Indeks (base 0)]],AF$7)=ROUNDDOWN(AF$7/2,0),S_binomial[[#This Row],[X base]],""),"")</f>
        <v/>
      </c>
      <c r="AP584" s="99" t="str">
        <f t="shared" si="84"/>
        <v xml:space="preserve"> </v>
      </c>
      <c r="AR584" s="54">
        <f t="shared" si="79"/>
        <v>571</v>
      </c>
      <c r="AS584" s="54">
        <f>S_normal27[[#This Row],[Indeks (base 0)]]+1</f>
        <v>572</v>
      </c>
      <c r="AT584" s="54">
        <f t="shared" si="81"/>
        <v>8</v>
      </c>
      <c r="AU584" s="54">
        <f>IF(MOD(S_normal27[[#This Row],[Indeks (base 0)]],AS$8)=0,NA(),_xlfn.POISSON.DIST(S_normal27[[#This Row],[X base]],$H$5,FALSE))</f>
        <v>8.1015117946814375E-3</v>
      </c>
      <c r="AV584" s="99" t="b">
        <f>S_normal27[[#This Row],[X base]]&lt;AS$5</f>
        <v>0</v>
      </c>
      <c r="AW584" s="99" t="b">
        <f>S_normal27[[#This Row],[X base]]=AS$5</f>
        <v>0</v>
      </c>
      <c r="AX584" s="99" t="b">
        <f>S_normal27[[#This Row],[X base]]&gt;AS$5</f>
        <v>1</v>
      </c>
      <c r="AY584" s="99" t="e">
        <f>IF(S_normal27[[#This Row],[Mindre end]],S_normal27[[#This Row],[Poissonfordeling]],NA())</f>
        <v>#N/A</v>
      </c>
      <c r="AZ584" s="99" t="e">
        <f>IF(S_normal27[[#This Row],[Lig med]],S_normal27[[#This Row],[Poissonfordeling]],NA())</f>
        <v>#N/A</v>
      </c>
      <c r="BA584" s="99">
        <f>IF(S_normal27[[#This Row],[Større end]],S_normal27[[#This Row],[Poissonfordeling]],NA())</f>
        <v>8.1015117946814375E-3</v>
      </c>
      <c r="BB584" s="85" t="str">
        <f>_xlfn.IFNA(IF(MOD(S_normal27[[#This Row],[Indeks (base 0)]],AS$8)=ROUNDDOWN(AS$8/2,0),S_normal27[[#This Row],[X base]],""),"")</f>
        <v/>
      </c>
      <c r="BC584" s="99" t="str">
        <f t="shared" si="80"/>
        <v xml:space="preserve"> </v>
      </c>
    </row>
    <row r="585" spans="31:55" x14ac:dyDescent="0.2">
      <c r="AE585" s="54">
        <f t="shared" si="82"/>
        <v>572</v>
      </c>
      <c r="AF585" s="54">
        <f>S_binomial[[#This Row],[Indeks (base 0)]]+1</f>
        <v>573</v>
      </c>
      <c r="AG585" s="99">
        <f t="shared" si="83"/>
        <v>6</v>
      </c>
      <c r="AH585" s="99">
        <f>IF(MOD(S_binomial[[#This Row],[Indeks (base 0)]],AF$7)=0,NA(),_xlfn.BINOM.DIST(S_binomial[[#This Row],[X base]],E$5,E$6,FALSE))</f>
        <v>0.40456723513599996</v>
      </c>
      <c r="AI585" s="99" t="b">
        <f>S_binomial[[#This Row],[X base]]&lt;AF$5</f>
        <v>0</v>
      </c>
      <c r="AJ585" s="99" t="b">
        <f>S_binomial[[#This Row],[X base]]=AF$5</f>
        <v>0</v>
      </c>
      <c r="AK585" s="99" t="b">
        <f>S_binomial[[#This Row],[X base]]&gt;AF$5</f>
        <v>1</v>
      </c>
      <c r="AL585" s="99" t="e">
        <f>IF(S_binomial[[#This Row],[Mindre end]],S_binomial[[#This Row],[Binomialfordeling]],NA())</f>
        <v>#N/A</v>
      </c>
      <c r="AM585" s="99" t="e">
        <f>IF(S_binomial[[#This Row],[Lig med]],S_binomial[[#This Row],[Binomialfordeling]],NA())</f>
        <v>#N/A</v>
      </c>
      <c r="AN585" s="99">
        <f>IF(S_binomial[[#This Row],[Større end]],S_binomial[[#This Row],[Binomialfordeling]],NA())</f>
        <v>0.40456723513599996</v>
      </c>
      <c r="AO585" s="85" t="str">
        <f>_xlfn.IFNA(IF(MOD(S_binomial[[#This Row],[Indeks (base 0)]],AF$7)=ROUNDDOWN(AF$7/2,0),S_binomial[[#This Row],[X base]],""),"")</f>
        <v/>
      </c>
      <c r="AP585" s="99" t="str">
        <f t="shared" si="84"/>
        <v xml:space="preserve"> </v>
      </c>
      <c r="AR585" s="54">
        <f t="shared" si="79"/>
        <v>572</v>
      </c>
      <c r="AS585" s="54">
        <f>S_normal27[[#This Row],[Indeks (base 0)]]+1</f>
        <v>573</v>
      </c>
      <c r="AT585" s="54">
        <f t="shared" si="81"/>
        <v>8</v>
      </c>
      <c r="AU585" s="54">
        <f>IF(MOD(S_normal27[[#This Row],[Indeks (base 0)]],AS$8)=0,NA(),_xlfn.POISSON.DIST(S_normal27[[#This Row],[X base]],$H$5,FALSE))</f>
        <v>8.1015117946814375E-3</v>
      </c>
      <c r="AV585" s="99" t="b">
        <f>S_normal27[[#This Row],[X base]]&lt;AS$5</f>
        <v>0</v>
      </c>
      <c r="AW585" s="99" t="b">
        <f>S_normal27[[#This Row],[X base]]=AS$5</f>
        <v>0</v>
      </c>
      <c r="AX585" s="99" t="b">
        <f>S_normal27[[#This Row],[X base]]&gt;AS$5</f>
        <v>1</v>
      </c>
      <c r="AY585" s="99" t="e">
        <f>IF(S_normal27[[#This Row],[Mindre end]],S_normal27[[#This Row],[Poissonfordeling]],NA())</f>
        <v>#N/A</v>
      </c>
      <c r="AZ585" s="99" t="e">
        <f>IF(S_normal27[[#This Row],[Lig med]],S_normal27[[#This Row],[Poissonfordeling]],NA())</f>
        <v>#N/A</v>
      </c>
      <c r="BA585" s="99">
        <f>IF(S_normal27[[#This Row],[Større end]],S_normal27[[#This Row],[Poissonfordeling]],NA())</f>
        <v>8.1015117946814375E-3</v>
      </c>
      <c r="BB585" s="85" t="str">
        <f>_xlfn.IFNA(IF(MOD(S_normal27[[#This Row],[Indeks (base 0)]],AS$8)=ROUNDDOWN(AS$8/2,0),S_normal27[[#This Row],[X base]],""),"")</f>
        <v/>
      </c>
      <c r="BC585" s="99" t="str">
        <f t="shared" si="80"/>
        <v xml:space="preserve"> </v>
      </c>
    </row>
    <row r="586" spans="31:55" x14ac:dyDescent="0.2">
      <c r="AE586" s="54">
        <f t="shared" si="82"/>
        <v>573</v>
      </c>
      <c r="AF586" s="54">
        <f>S_binomial[[#This Row],[Indeks (base 0)]]+1</f>
        <v>574</v>
      </c>
      <c r="AG586" s="99">
        <f t="shared" si="83"/>
        <v>6</v>
      </c>
      <c r="AH586" s="99">
        <f>IF(MOD(S_binomial[[#This Row],[Indeks (base 0)]],AF$7)=0,NA(),_xlfn.BINOM.DIST(S_binomial[[#This Row],[X base]],E$5,E$6,FALSE))</f>
        <v>0.40456723513599996</v>
      </c>
      <c r="AI586" s="99" t="b">
        <f>S_binomial[[#This Row],[X base]]&lt;AF$5</f>
        <v>0</v>
      </c>
      <c r="AJ586" s="99" t="b">
        <f>S_binomial[[#This Row],[X base]]=AF$5</f>
        <v>0</v>
      </c>
      <c r="AK586" s="99" t="b">
        <f>S_binomial[[#This Row],[X base]]&gt;AF$5</f>
        <v>1</v>
      </c>
      <c r="AL586" s="99" t="e">
        <f>IF(S_binomial[[#This Row],[Mindre end]],S_binomial[[#This Row],[Binomialfordeling]],NA())</f>
        <v>#N/A</v>
      </c>
      <c r="AM586" s="99" t="e">
        <f>IF(S_binomial[[#This Row],[Lig med]],S_binomial[[#This Row],[Binomialfordeling]],NA())</f>
        <v>#N/A</v>
      </c>
      <c r="AN586" s="99">
        <f>IF(S_binomial[[#This Row],[Større end]],S_binomial[[#This Row],[Binomialfordeling]],NA())</f>
        <v>0.40456723513599996</v>
      </c>
      <c r="AO586" s="85" t="str">
        <f>_xlfn.IFNA(IF(MOD(S_binomial[[#This Row],[Indeks (base 0)]],AF$7)=ROUNDDOWN(AF$7/2,0),S_binomial[[#This Row],[X base]],""),"")</f>
        <v/>
      </c>
      <c r="AP586" s="99" t="str">
        <f t="shared" si="84"/>
        <v xml:space="preserve"> </v>
      </c>
      <c r="AR586" s="54">
        <f t="shared" si="79"/>
        <v>573</v>
      </c>
      <c r="AS586" s="54">
        <f>S_normal27[[#This Row],[Indeks (base 0)]]+1</f>
        <v>574</v>
      </c>
      <c r="AT586" s="54">
        <f t="shared" si="81"/>
        <v>8</v>
      </c>
      <c r="AU586" s="54">
        <f>IF(MOD(S_normal27[[#This Row],[Indeks (base 0)]],AS$8)=0,NA(),_xlfn.POISSON.DIST(S_normal27[[#This Row],[X base]],$H$5,FALSE))</f>
        <v>8.1015117946814375E-3</v>
      </c>
      <c r="AV586" s="99" t="b">
        <f>S_normal27[[#This Row],[X base]]&lt;AS$5</f>
        <v>0</v>
      </c>
      <c r="AW586" s="99" t="b">
        <f>S_normal27[[#This Row],[X base]]=AS$5</f>
        <v>0</v>
      </c>
      <c r="AX586" s="99" t="b">
        <f>S_normal27[[#This Row],[X base]]&gt;AS$5</f>
        <v>1</v>
      </c>
      <c r="AY586" s="99" t="e">
        <f>IF(S_normal27[[#This Row],[Mindre end]],S_normal27[[#This Row],[Poissonfordeling]],NA())</f>
        <v>#N/A</v>
      </c>
      <c r="AZ586" s="99" t="e">
        <f>IF(S_normal27[[#This Row],[Lig med]],S_normal27[[#This Row],[Poissonfordeling]],NA())</f>
        <v>#N/A</v>
      </c>
      <c r="BA586" s="99">
        <f>IF(S_normal27[[#This Row],[Større end]],S_normal27[[#This Row],[Poissonfordeling]],NA())</f>
        <v>8.1015117946814375E-3</v>
      </c>
      <c r="BB586" s="85" t="str">
        <f>_xlfn.IFNA(IF(MOD(S_normal27[[#This Row],[Indeks (base 0)]],AS$8)=ROUNDDOWN(AS$8/2,0),S_normal27[[#This Row],[X base]],""),"")</f>
        <v/>
      </c>
      <c r="BC586" s="99" t="str">
        <f t="shared" si="80"/>
        <v xml:space="preserve"> </v>
      </c>
    </row>
    <row r="587" spans="31:55" x14ac:dyDescent="0.2">
      <c r="AE587" s="54">
        <f t="shared" si="82"/>
        <v>574</v>
      </c>
      <c r="AF587" s="54">
        <f>S_binomial[[#This Row],[Indeks (base 0)]]+1</f>
        <v>575</v>
      </c>
      <c r="AG587" s="99">
        <f t="shared" si="83"/>
        <v>6</v>
      </c>
      <c r="AH587" s="99">
        <f>IF(MOD(S_binomial[[#This Row],[Indeks (base 0)]],AF$7)=0,NA(),_xlfn.BINOM.DIST(S_binomial[[#This Row],[X base]],E$5,E$6,FALSE))</f>
        <v>0.40456723513599996</v>
      </c>
      <c r="AI587" s="99" t="b">
        <f>S_binomial[[#This Row],[X base]]&lt;AF$5</f>
        <v>0</v>
      </c>
      <c r="AJ587" s="99" t="b">
        <f>S_binomial[[#This Row],[X base]]=AF$5</f>
        <v>0</v>
      </c>
      <c r="AK587" s="99" t="b">
        <f>S_binomial[[#This Row],[X base]]&gt;AF$5</f>
        <v>1</v>
      </c>
      <c r="AL587" s="99" t="e">
        <f>IF(S_binomial[[#This Row],[Mindre end]],S_binomial[[#This Row],[Binomialfordeling]],NA())</f>
        <v>#N/A</v>
      </c>
      <c r="AM587" s="99" t="e">
        <f>IF(S_binomial[[#This Row],[Lig med]],S_binomial[[#This Row],[Binomialfordeling]],NA())</f>
        <v>#N/A</v>
      </c>
      <c r="AN587" s="99">
        <f>IF(S_binomial[[#This Row],[Større end]],S_binomial[[#This Row],[Binomialfordeling]],NA())</f>
        <v>0.40456723513599996</v>
      </c>
      <c r="AO587" s="85" t="str">
        <f>_xlfn.IFNA(IF(MOD(S_binomial[[#This Row],[Indeks (base 0)]],AF$7)=ROUNDDOWN(AF$7/2,0),S_binomial[[#This Row],[X base]],""),"")</f>
        <v/>
      </c>
      <c r="AP587" s="99" t="str">
        <f t="shared" si="84"/>
        <v xml:space="preserve"> </v>
      </c>
      <c r="AR587" s="54">
        <f t="shared" si="79"/>
        <v>574</v>
      </c>
      <c r="AS587" s="54">
        <f>S_normal27[[#This Row],[Indeks (base 0)]]+1</f>
        <v>575</v>
      </c>
      <c r="AT587" s="54">
        <f t="shared" si="81"/>
        <v>8</v>
      </c>
      <c r="AU587" s="54">
        <f>IF(MOD(S_normal27[[#This Row],[Indeks (base 0)]],AS$8)=0,NA(),_xlfn.POISSON.DIST(S_normal27[[#This Row],[X base]],$H$5,FALSE))</f>
        <v>8.1015117946814375E-3</v>
      </c>
      <c r="AV587" s="99" t="b">
        <f>S_normal27[[#This Row],[X base]]&lt;AS$5</f>
        <v>0</v>
      </c>
      <c r="AW587" s="99" t="b">
        <f>S_normal27[[#This Row],[X base]]=AS$5</f>
        <v>0</v>
      </c>
      <c r="AX587" s="99" t="b">
        <f>S_normal27[[#This Row],[X base]]&gt;AS$5</f>
        <v>1</v>
      </c>
      <c r="AY587" s="99" t="e">
        <f>IF(S_normal27[[#This Row],[Mindre end]],S_normal27[[#This Row],[Poissonfordeling]],NA())</f>
        <v>#N/A</v>
      </c>
      <c r="AZ587" s="99" t="e">
        <f>IF(S_normal27[[#This Row],[Lig med]],S_normal27[[#This Row],[Poissonfordeling]],NA())</f>
        <v>#N/A</v>
      </c>
      <c r="BA587" s="99">
        <f>IF(S_normal27[[#This Row],[Større end]],S_normal27[[#This Row],[Poissonfordeling]],NA())</f>
        <v>8.1015117946814375E-3</v>
      </c>
      <c r="BB587" s="85" t="str">
        <f>_xlfn.IFNA(IF(MOD(S_normal27[[#This Row],[Indeks (base 0)]],AS$8)=ROUNDDOWN(AS$8/2,0),S_normal27[[#This Row],[X base]],""),"")</f>
        <v/>
      </c>
      <c r="BC587" s="99" t="str">
        <f t="shared" si="80"/>
        <v xml:space="preserve"> </v>
      </c>
    </row>
    <row r="588" spans="31:55" x14ac:dyDescent="0.2">
      <c r="AE588" s="54">
        <f t="shared" si="82"/>
        <v>575</v>
      </c>
      <c r="AF588" s="54">
        <f>S_binomial[[#This Row],[Indeks (base 0)]]+1</f>
        <v>576</v>
      </c>
      <c r="AG588" s="99">
        <f t="shared" si="83"/>
        <v>6</v>
      </c>
      <c r="AH588" s="99">
        <f>IF(MOD(S_binomial[[#This Row],[Indeks (base 0)]],AF$7)=0,NA(),_xlfn.BINOM.DIST(S_binomial[[#This Row],[X base]],E$5,E$6,FALSE))</f>
        <v>0.40456723513599996</v>
      </c>
      <c r="AI588" s="99" t="b">
        <f>S_binomial[[#This Row],[X base]]&lt;AF$5</f>
        <v>0</v>
      </c>
      <c r="AJ588" s="99" t="b">
        <f>S_binomial[[#This Row],[X base]]=AF$5</f>
        <v>0</v>
      </c>
      <c r="AK588" s="99" t="b">
        <f>S_binomial[[#This Row],[X base]]&gt;AF$5</f>
        <v>1</v>
      </c>
      <c r="AL588" s="99" t="e">
        <f>IF(S_binomial[[#This Row],[Mindre end]],S_binomial[[#This Row],[Binomialfordeling]],NA())</f>
        <v>#N/A</v>
      </c>
      <c r="AM588" s="99" t="e">
        <f>IF(S_binomial[[#This Row],[Lig med]],S_binomial[[#This Row],[Binomialfordeling]],NA())</f>
        <v>#N/A</v>
      </c>
      <c r="AN588" s="99">
        <f>IF(S_binomial[[#This Row],[Større end]],S_binomial[[#This Row],[Binomialfordeling]],NA())</f>
        <v>0.40456723513599996</v>
      </c>
      <c r="AO588" s="85" t="str">
        <f>_xlfn.IFNA(IF(MOD(S_binomial[[#This Row],[Indeks (base 0)]],AF$7)=ROUNDDOWN(AF$7/2,0),S_binomial[[#This Row],[X base]],""),"")</f>
        <v/>
      </c>
      <c r="AP588" s="99" t="str">
        <f t="shared" si="84"/>
        <v xml:space="preserve"> </v>
      </c>
      <c r="AR588" s="54">
        <f t="shared" si="79"/>
        <v>575</v>
      </c>
      <c r="AS588" s="54">
        <f>S_normal27[[#This Row],[Indeks (base 0)]]+1</f>
        <v>576</v>
      </c>
      <c r="AT588" s="54">
        <f t="shared" si="81"/>
        <v>8</v>
      </c>
      <c r="AU588" s="54">
        <f>IF(MOD(S_normal27[[#This Row],[Indeks (base 0)]],AS$8)=0,NA(),_xlfn.POISSON.DIST(S_normal27[[#This Row],[X base]],$H$5,FALSE))</f>
        <v>8.1015117946814375E-3</v>
      </c>
      <c r="AV588" s="99" t="b">
        <f>S_normal27[[#This Row],[X base]]&lt;AS$5</f>
        <v>0</v>
      </c>
      <c r="AW588" s="99" t="b">
        <f>S_normal27[[#This Row],[X base]]=AS$5</f>
        <v>0</v>
      </c>
      <c r="AX588" s="99" t="b">
        <f>S_normal27[[#This Row],[X base]]&gt;AS$5</f>
        <v>1</v>
      </c>
      <c r="AY588" s="99" t="e">
        <f>IF(S_normal27[[#This Row],[Mindre end]],S_normal27[[#This Row],[Poissonfordeling]],NA())</f>
        <v>#N/A</v>
      </c>
      <c r="AZ588" s="99" t="e">
        <f>IF(S_normal27[[#This Row],[Lig med]],S_normal27[[#This Row],[Poissonfordeling]],NA())</f>
        <v>#N/A</v>
      </c>
      <c r="BA588" s="99">
        <f>IF(S_normal27[[#This Row],[Større end]],S_normal27[[#This Row],[Poissonfordeling]],NA())</f>
        <v>8.1015117946814375E-3</v>
      </c>
      <c r="BB588" s="85" t="str">
        <f>_xlfn.IFNA(IF(MOD(S_normal27[[#This Row],[Indeks (base 0)]],AS$8)=ROUNDDOWN(AS$8/2,0),S_normal27[[#This Row],[X base]],""),"")</f>
        <v/>
      </c>
      <c r="BC588" s="99" t="str">
        <f t="shared" si="80"/>
        <v xml:space="preserve"> </v>
      </c>
    </row>
    <row r="589" spans="31:55" x14ac:dyDescent="0.2">
      <c r="AE589" s="54">
        <f t="shared" si="82"/>
        <v>576</v>
      </c>
      <c r="AF589" s="54">
        <f>S_binomial[[#This Row],[Indeks (base 0)]]+1</f>
        <v>577</v>
      </c>
      <c r="AG589" s="99">
        <f t="shared" si="83"/>
        <v>6</v>
      </c>
      <c r="AH589" s="99">
        <f>IF(MOD(S_binomial[[#This Row],[Indeks (base 0)]],AF$7)=0,NA(),_xlfn.BINOM.DIST(S_binomial[[#This Row],[X base]],E$5,E$6,FALSE))</f>
        <v>0.40456723513599996</v>
      </c>
      <c r="AI589" s="99" t="b">
        <f>S_binomial[[#This Row],[X base]]&lt;AF$5</f>
        <v>0</v>
      </c>
      <c r="AJ589" s="99" t="b">
        <f>S_binomial[[#This Row],[X base]]=AF$5</f>
        <v>0</v>
      </c>
      <c r="AK589" s="99" t="b">
        <f>S_binomial[[#This Row],[X base]]&gt;AF$5</f>
        <v>1</v>
      </c>
      <c r="AL589" s="99" t="e">
        <f>IF(S_binomial[[#This Row],[Mindre end]],S_binomial[[#This Row],[Binomialfordeling]],NA())</f>
        <v>#N/A</v>
      </c>
      <c r="AM589" s="99" t="e">
        <f>IF(S_binomial[[#This Row],[Lig med]],S_binomial[[#This Row],[Binomialfordeling]],NA())</f>
        <v>#N/A</v>
      </c>
      <c r="AN589" s="99">
        <f>IF(S_binomial[[#This Row],[Større end]],S_binomial[[#This Row],[Binomialfordeling]],NA())</f>
        <v>0.40456723513599996</v>
      </c>
      <c r="AO589" s="85" t="str">
        <f>_xlfn.IFNA(IF(MOD(S_binomial[[#This Row],[Indeks (base 0)]],AF$7)=ROUNDDOWN(AF$7/2,0),S_binomial[[#This Row],[X base]],""),"")</f>
        <v/>
      </c>
      <c r="AP589" s="99" t="str">
        <f t="shared" si="84"/>
        <v xml:space="preserve"> </v>
      </c>
      <c r="AR589" s="54">
        <f t="shared" ref="AR589:AR652" si="85">ROW(AR589)-ROW(AR$13)</f>
        <v>576</v>
      </c>
      <c r="AS589" s="54">
        <f>S_normal27[[#This Row],[Indeks (base 0)]]+1</f>
        <v>577</v>
      </c>
      <c r="AT589" s="54">
        <f t="shared" si="81"/>
        <v>8</v>
      </c>
      <c r="AU589" s="54">
        <f>IF(MOD(S_normal27[[#This Row],[Indeks (base 0)]],AS$8)=0,NA(),_xlfn.POISSON.DIST(S_normal27[[#This Row],[X base]],$H$5,FALSE))</f>
        <v>8.1015117946814375E-3</v>
      </c>
      <c r="AV589" s="99" t="b">
        <f>S_normal27[[#This Row],[X base]]&lt;AS$5</f>
        <v>0</v>
      </c>
      <c r="AW589" s="99" t="b">
        <f>S_normal27[[#This Row],[X base]]=AS$5</f>
        <v>0</v>
      </c>
      <c r="AX589" s="99" t="b">
        <f>S_normal27[[#This Row],[X base]]&gt;AS$5</f>
        <v>1</v>
      </c>
      <c r="AY589" s="99" t="e">
        <f>IF(S_normal27[[#This Row],[Mindre end]],S_normal27[[#This Row],[Poissonfordeling]],NA())</f>
        <v>#N/A</v>
      </c>
      <c r="AZ589" s="99" t="e">
        <f>IF(S_normal27[[#This Row],[Lig med]],S_normal27[[#This Row],[Poissonfordeling]],NA())</f>
        <v>#N/A</v>
      </c>
      <c r="BA589" s="99">
        <f>IF(S_normal27[[#This Row],[Større end]],S_normal27[[#This Row],[Poissonfordeling]],NA())</f>
        <v>8.1015117946814375E-3</v>
      </c>
      <c r="BB589" s="85" t="str">
        <f>_xlfn.IFNA(IF(MOD(S_normal27[[#This Row],[Indeks (base 0)]],AS$8)=ROUNDDOWN(AS$8/2,0),S_normal27[[#This Row],[X base]],""),"")</f>
        <v/>
      </c>
      <c r="BC589" s="99" t="str">
        <f t="shared" ref="BC589:BC652" si="86">_xlfn.IFNA(_xlfn.SWITCH(AS589,BA$7,BA$4,BA$8,BA$5,BA$9,BA$6," ")," ")</f>
        <v xml:space="preserve"> </v>
      </c>
    </row>
    <row r="590" spans="31:55" x14ac:dyDescent="0.2">
      <c r="AE590" s="54">
        <f t="shared" si="82"/>
        <v>577</v>
      </c>
      <c r="AF590" s="54">
        <f>S_binomial[[#This Row],[Indeks (base 0)]]+1</f>
        <v>578</v>
      </c>
      <c r="AG590" s="99">
        <f t="shared" si="83"/>
        <v>6</v>
      </c>
      <c r="AH590" s="99">
        <f>IF(MOD(S_binomial[[#This Row],[Indeks (base 0)]],AF$7)=0,NA(),_xlfn.BINOM.DIST(S_binomial[[#This Row],[X base]],E$5,E$6,FALSE))</f>
        <v>0.40456723513599996</v>
      </c>
      <c r="AI590" s="99" t="b">
        <f>S_binomial[[#This Row],[X base]]&lt;AF$5</f>
        <v>0</v>
      </c>
      <c r="AJ590" s="99" t="b">
        <f>S_binomial[[#This Row],[X base]]=AF$5</f>
        <v>0</v>
      </c>
      <c r="AK590" s="99" t="b">
        <f>S_binomial[[#This Row],[X base]]&gt;AF$5</f>
        <v>1</v>
      </c>
      <c r="AL590" s="99" t="e">
        <f>IF(S_binomial[[#This Row],[Mindre end]],S_binomial[[#This Row],[Binomialfordeling]],NA())</f>
        <v>#N/A</v>
      </c>
      <c r="AM590" s="99" t="e">
        <f>IF(S_binomial[[#This Row],[Lig med]],S_binomial[[#This Row],[Binomialfordeling]],NA())</f>
        <v>#N/A</v>
      </c>
      <c r="AN590" s="99">
        <f>IF(S_binomial[[#This Row],[Større end]],S_binomial[[#This Row],[Binomialfordeling]],NA())</f>
        <v>0.40456723513599996</v>
      </c>
      <c r="AO590" s="85" t="str">
        <f>_xlfn.IFNA(IF(MOD(S_binomial[[#This Row],[Indeks (base 0)]],AF$7)=ROUNDDOWN(AF$7/2,0),S_binomial[[#This Row],[X base]],""),"")</f>
        <v/>
      </c>
      <c r="AP590" s="99" t="str">
        <f t="shared" si="84"/>
        <v xml:space="preserve"> </v>
      </c>
      <c r="AR590" s="54">
        <f t="shared" si="85"/>
        <v>577</v>
      </c>
      <c r="AS590" s="54">
        <f>S_normal27[[#This Row],[Indeks (base 0)]]+1</f>
        <v>578</v>
      </c>
      <c r="AT590" s="54">
        <f t="shared" ref="AT590:AT653" si="87">IF(AR590&lt;AS$9,ROUNDDOWN(AR590/AS$8,0),NA())</f>
        <v>8</v>
      </c>
      <c r="AU590" s="54">
        <f>IF(MOD(S_normal27[[#This Row],[Indeks (base 0)]],AS$8)=0,NA(),_xlfn.POISSON.DIST(S_normal27[[#This Row],[X base]],$H$5,FALSE))</f>
        <v>8.1015117946814375E-3</v>
      </c>
      <c r="AV590" s="99" t="b">
        <f>S_normal27[[#This Row],[X base]]&lt;AS$5</f>
        <v>0</v>
      </c>
      <c r="AW590" s="99" t="b">
        <f>S_normal27[[#This Row],[X base]]=AS$5</f>
        <v>0</v>
      </c>
      <c r="AX590" s="99" t="b">
        <f>S_normal27[[#This Row],[X base]]&gt;AS$5</f>
        <v>1</v>
      </c>
      <c r="AY590" s="99" t="e">
        <f>IF(S_normal27[[#This Row],[Mindre end]],S_normal27[[#This Row],[Poissonfordeling]],NA())</f>
        <v>#N/A</v>
      </c>
      <c r="AZ590" s="99" t="e">
        <f>IF(S_normal27[[#This Row],[Lig med]],S_normal27[[#This Row],[Poissonfordeling]],NA())</f>
        <v>#N/A</v>
      </c>
      <c r="BA590" s="99">
        <f>IF(S_normal27[[#This Row],[Større end]],S_normal27[[#This Row],[Poissonfordeling]],NA())</f>
        <v>8.1015117946814375E-3</v>
      </c>
      <c r="BB590" s="85" t="str">
        <f>_xlfn.IFNA(IF(MOD(S_normal27[[#This Row],[Indeks (base 0)]],AS$8)=ROUNDDOWN(AS$8/2,0),S_normal27[[#This Row],[X base]],""),"")</f>
        <v/>
      </c>
      <c r="BC590" s="99" t="str">
        <f t="shared" si="86"/>
        <v xml:space="preserve"> </v>
      </c>
    </row>
    <row r="591" spans="31:55" x14ac:dyDescent="0.2">
      <c r="AE591" s="54">
        <f t="shared" si="82"/>
        <v>578</v>
      </c>
      <c r="AF591" s="54">
        <f>S_binomial[[#This Row],[Indeks (base 0)]]+1</f>
        <v>579</v>
      </c>
      <c r="AG591" s="99">
        <f t="shared" si="83"/>
        <v>6</v>
      </c>
      <c r="AH591" s="99">
        <f>IF(MOD(S_binomial[[#This Row],[Indeks (base 0)]],AF$7)=0,NA(),_xlfn.BINOM.DIST(S_binomial[[#This Row],[X base]],E$5,E$6,FALSE))</f>
        <v>0.40456723513599996</v>
      </c>
      <c r="AI591" s="99" t="b">
        <f>S_binomial[[#This Row],[X base]]&lt;AF$5</f>
        <v>0</v>
      </c>
      <c r="AJ591" s="99" t="b">
        <f>S_binomial[[#This Row],[X base]]=AF$5</f>
        <v>0</v>
      </c>
      <c r="AK591" s="99" t="b">
        <f>S_binomial[[#This Row],[X base]]&gt;AF$5</f>
        <v>1</v>
      </c>
      <c r="AL591" s="99" t="e">
        <f>IF(S_binomial[[#This Row],[Mindre end]],S_binomial[[#This Row],[Binomialfordeling]],NA())</f>
        <v>#N/A</v>
      </c>
      <c r="AM591" s="99" t="e">
        <f>IF(S_binomial[[#This Row],[Lig med]],S_binomial[[#This Row],[Binomialfordeling]],NA())</f>
        <v>#N/A</v>
      </c>
      <c r="AN591" s="99">
        <f>IF(S_binomial[[#This Row],[Større end]],S_binomial[[#This Row],[Binomialfordeling]],NA())</f>
        <v>0.40456723513599996</v>
      </c>
      <c r="AO591" s="85" t="str">
        <f>_xlfn.IFNA(IF(MOD(S_binomial[[#This Row],[Indeks (base 0)]],AF$7)=ROUNDDOWN(AF$7/2,0),S_binomial[[#This Row],[X base]],""),"")</f>
        <v/>
      </c>
      <c r="AP591" s="99" t="str">
        <f t="shared" si="84"/>
        <v xml:space="preserve"> </v>
      </c>
      <c r="AR591" s="54">
        <f t="shared" si="85"/>
        <v>578</v>
      </c>
      <c r="AS591" s="54">
        <f>S_normal27[[#This Row],[Indeks (base 0)]]+1</f>
        <v>579</v>
      </c>
      <c r="AT591" s="54">
        <f t="shared" si="87"/>
        <v>8</v>
      </c>
      <c r="AU591" s="54">
        <f>IF(MOD(S_normal27[[#This Row],[Indeks (base 0)]],AS$8)=0,NA(),_xlfn.POISSON.DIST(S_normal27[[#This Row],[X base]],$H$5,FALSE))</f>
        <v>8.1015117946814375E-3</v>
      </c>
      <c r="AV591" s="99" t="b">
        <f>S_normal27[[#This Row],[X base]]&lt;AS$5</f>
        <v>0</v>
      </c>
      <c r="AW591" s="99" t="b">
        <f>S_normal27[[#This Row],[X base]]=AS$5</f>
        <v>0</v>
      </c>
      <c r="AX591" s="99" t="b">
        <f>S_normal27[[#This Row],[X base]]&gt;AS$5</f>
        <v>1</v>
      </c>
      <c r="AY591" s="99" t="e">
        <f>IF(S_normal27[[#This Row],[Mindre end]],S_normal27[[#This Row],[Poissonfordeling]],NA())</f>
        <v>#N/A</v>
      </c>
      <c r="AZ591" s="99" t="e">
        <f>IF(S_normal27[[#This Row],[Lig med]],S_normal27[[#This Row],[Poissonfordeling]],NA())</f>
        <v>#N/A</v>
      </c>
      <c r="BA591" s="99">
        <f>IF(S_normal27[[#This Row],[Større end]],S_normal27[[#This Row],[Poissonfordeling]],NA())</f>
        <v>8.1015117946814375E-3</v>
      </c>
      <c r="BB591" s="85" t="str">
        <f>_xlfn.IFNA(IF(MOD(S_normal27[[#This Row],[Indeks (base 0)]],AS$8)=ROUNDDOWN(AS$8/2,0),S_normal27[[#This Row],[X base]],""),"")</f>
        <v/>
      </c>
      <c r="BC591" s="99" t="str">
        <f t="shared" si="86"/>
        <v xml:space="preserve"> </v>
      </c>
    </row>
    <row r="592" spans="31:55" x14ac:dyDescent="0.2">
      <c r="AE592" s="54">
        <f t="shared" ref="AE592:AE655" si="88">ROW(AE592)-ROW(AE$13)</f>
        <v>579</v>
      </c>
      <c r="AF592" s="54">
        <f>S_binomial[[#This Row],[Indeks (base 0)]]+1</f>
        <v>580</v>
      </c>
      <c r="AG592" s="99">
        <f t="shared" ref="AG592:AG655" si="89">IF(AE592&lt;AF$8,ROUNDDOWN(AE592/AF$7,0),NA())</f>
        <v>6</v>
      </c>
      <c r="AH592" s="99">
        <f>IF(MOD(S_binomial[[#This Row],[Indeks (base 0)]],AF$7)=0,NA(),_xlfn.BINOM.DIST(S_binomial[[#This Row],[X base]],E$5,E$6,FALSE))</f>
        <v>0.40456723513599996</v>
      </c>
      <c r="AI592" s="99" t="b">
        <f>S_binomial[[#This Row],[X base]]&lt;AF$5</f>
        <v>0</v>
      </c>
      <c r="AJ592" s="99" t="b">
        <f>S_binomial[[#This Row],[X base]]=AF$5</f>
        <v>0</v>
      </c>
      <c r="AK592" s="99" t="b">
        <f>S_binomial[[#This Row],[X base]]&gt;AF$5</f>
        <v>1</v>
      </c>
      <c r="AL592" s="99" t="e">
        <f>IF(S_binomial[[#This Row],[Mindre end]],S_binomial[[#This Row],[Binomialfordeling]],NA())</f>
        <v>#N/A</v>
      </c>
      <c r="AM592" s="99" t="e">
        <f>IF(S_binomial[[#This Row],[Lig med]],S_binomial[[#This Row],[Binomialfordeling]],NA())</f>
        <v>#N/A</v>
      </c>
      <c r="AN592" s="99">
        <f>IF(S_binomial[[#This Row],[Større end]],S_binomial[[#This Row],[Binomialfordeling]],NA())</f>
        <v>0.40456723513599996</v>
      </c>
      <c r="AO592" s="85" t="str">
        <f>_xlfn.IFNA(IF(MOD(S_binomial[[#This Row],[Indeks (base 0)]],AF$7)=ROUNDDOWN(AF$7/2,0),S_binomial[[#This Row],[X base]],""),"")</f>
        <v/>
      </c>
      <c r="AP592" s="99" t="str">
        <f t="shared" ref="AP592:AP655" si="90">_xlfn.IFNA(_xlfn.SWITCH(AF592,AN$7,AN$4,AN$8,AN$5,AN$9,AN$6," ")," ")</f>
        <v xml:space="preserve"> </v>
      </c>
      <c r="AR592" s="54">
        <f t="shared" si="85"/>
        <v>579</v>
      </c>
      <c r="AS592" s="54">
        <f>S_normal27[[#This Row],[Indeks (base 0)]]+1</f>
        <v>580</v>
      </c>
      <c r="AT592" s="54">
        <f t="shared" si="87"/>
        <v>8</v>
      </c>
      <c r="AU592" s="54">
        <f>IF(MOD(S_normal27[[#This Row],[Indeks (base 0)]],AS$8)=0,NA(),_xlfn.POISSON.DIST(S_normal27[[#This Row],[X base]],$H$5,FALSE))</f>
        <v>8.1015117946814375E-3</v>
      </c>
      <c r="AV592" s="99" t="b">
        <f>S_normal27[[#This Row],[X base]]&lt;AS$5</f>
        <v>0</v>
      </c>
      <c r="AW592" s="99" t="b">
        <f>S_normal27[[#This Row],[X base]]=AS$5</f>
        <v>0</v>
      </c>
      <c r="AX592" s="99" t="b">
        <f>S_normal27[[#This Row],[X base]]&gt;AS$5</f>
        <v>1</v>
      </c>
      <c r="AY592" s="99" t="e">
        <f>IF(S_normal27[[#This Row],[Mindre end]],S_normal27[[#This Row],[Poissonfordeling]],NA())</f>
        <v>#N/A</v>
      </c>
      <c r="AZ592" s="99" t="e">
        <f>IF(S_normal27[[#This Row],[Lig med]],S_normal27[[#This Row],[Poissonfordeling]],NA())</f>
        <v>#N/A</v>
      </c>
      <c r="BA592" s="99">
        <f>IF(S_normal27[[#This Row],[Større end]],S_normal27[[#This Row],[Poissonfordeling]],NA())</f>
        <v>8.1015117946814375E-3</v>
      </c>
      <c r="BB592" s="85" t="str">
        <f>_xlfn.IFNA(IF(MOD(S_normal27[[#This Row],[Indeks (base 0)]],AS$8)=ROUNDDOWN(AS$8/2,0),S_normal27[[#This Row],[X base]],""),"")</f>
        <v/>
      </c>
      <c r="BC592" s="99" t="str">
        <f t="shared" si="86"/>
        <v xml:space="preserve"> </v>
      </c>
    </row>
    <row r="593" spans="31:55" x14ac:dyDescent="0.2">
      <c r="AE593" s="54">
        <f t="shared" si="88"/>
        <v>580</v>
      </c>
      <c r="AF593" s="54">
        <f>S_binomial[[#This Row],[Indeks (base 0)]]+1</f>
        <v>581</v>
      </c>
      <c r="AG593" s="99">
        <f t="shared" si="89"/>
        <v>6</v>
      </c>
      <c r="AH593" s="99">
        <f>IF(MOD(S_binomial[[#This Row],[Indeks (base 0)]],AF$7)=0,NA(),_xlfn.BINOM.DIST(S_binomial[[#This Row],[X base]],E$5,E$6,FALSE))</f>
        <v>0.40456723513599996</v>
      </c>
      <c r="AI593" s="99" t="b">
        <f>S_binomial[[#This Row],[X base]]&lt;AF$5</f>
        <v>0</v>
      </c>
      <c r="AJ593" s="99" t="b">
        <f>S_binomial[[#This Row],[X base]]=AF$5</f>
        <v>0</v>
      </c>
      <c r="AK593" s="99" t="b">
        <f>S_binomial[[#This Row],[X base]]&gt;AF$5</f>
        <v>1</v>
      </c>
      <c r="AL593" s="99" t="e">
        <f>IF(S_binomial[[#This Row],[Mindre end]],S_binomial[[#This Row],[Binomialfordeling]],NA())</f>
        <v>#N/A</v>
      </c>
      <c r="AM593" s="99" t="e">
        <f>IF(S_binomial[[#This Row],[Lig med]],S_binomial[[#This Row],[Binomialfordeling]],NA())</f>
        <v>#N/A</v>
      </c>
      <c r="AN593" s="99">
        <f>IF(S_binomial[[#This Row],[Større end]],S_binomial[[#This Row],[Binomialfordeling]],NA())</f>
        <v>0.40456723513599996</v>
      </c>
      <c r="AO593" s="85" t="str">
        <f>_xlfn.IFNA(IF(MOD(S_binomial[[#This Row],[Indeks (base 0)]],AF$7)=ROUNDDOWN(AF$7/2,0),S_binomial[[#This Row],[X base]],""),"")</f>
        <v/>
      </c>
      <c r="AP593" s="99" t="str">
        <f t="shared" si="90"/>
        <v xml:space="preserve"> </v>
      </c>
      <c r="AR593" s="54">
        <f t="shared" si="85"/>
        <v>580</v>
      </c>
      <c r="AS593" s="54">
        <f>S_normal27[[#This Row],[Indeks (base 0)]]+1</f>
        <v>581</v>
      </c>
      <c r="AT593" s="54">
        <f t="shared" si="87"/>
        <v>8</v>
      </c>
      <c r="AU593" s="54">
        <f>IF(MOD(S_normal27[[#This Row],[Indeks (base 0)]],AS$8)=0,NA(),_xlfn.POISSON.DIST(S_normal27[[#This Row],[X base]],$H$5,FALSE))</f>
        <v>8.1015117946814375E-3</v>
      </c>
      <c r="AV593" s="99" t="b">
        <f>S_normal27[[#This Row],[X base]]&lt;AS$5</f>
        <v>0</v>
      </c>
      <c r="AW593" s="99" t="b">
        <f>S_normal27[[#This Row],[X base]]=AS$5</f>
        <v>0</v>
      </c>
      <c r="AX593" s="99" t="b">
        <f>S_normal27[[#This Row],[X base]]&gt;AS$5</f>
        <v>1</v>
      </c>
      <c r="AY593" s="99" t="e">
        <f>IF(S_normal27[[#This Row],[Mindre end]],S_normal27[[#This Row],[Poissonfordeling]],NA())</f>
        <v>#N/A</v>
      </c>
      <c r="AZ593" s="99" t="e">
        <f>IF(S_normal27[[#This Row],[Lig med]],S_normal27[[#This Row],[Poissonfordeling]],NA())</f>
        <v>#N/A</v>
      </c>
      <c r="BA593" s="99">
        <f>IF(S_normal27[[#This Row],[Større end]],S_normal27[[#This Row],[Poissonfordeling]],NA())</f>
        <v>8.1015117946814375E-3</v>
      </c>
      <c r="BB593" s="85" t="str">
        <f>_xlfn.IFNA(IF(MOD(S_normal27[[#This Row],[Indeks (base 0)]],AS$8)=ROUNDDOWN(AS$8/2,0),S_normal27[[#This Row],[X base]],""),"")</f>
        <v/>
      </c>
      <c r="BC593" s="99" t="str">
        <f t="shared" si="86"/>
        <v xml:space="preserve"> </v>
      </c>
    </row>
    <row r="594" spans="31:55" x14ac:dyDescent="0.2">
      <c r="AE594" s="54">
        <f t="shared" si="88"/>
        <v>581</v>
      </c>
      <c r="AF594" s="54">
        <f>S_binomial[[#This Row],[Indeks (base 0)]]+1</f>
        <v>582</v>
      </c>
      <c r="AG594" s="99">
        <f t="shared" si="89"/>
        <v>6</v>
      </c>
      <c r="AH594" s="99">
        <f>IF(MOD(S_binomial[[#This Row],[Indeks (base 0)]],AF$7)=0,NA(),_xlfn.BINOM.DIST(S_binomial[[#This Row],[X base]],E$5,E$6,FALSE))</f>
        <v>0.40456723513599996</v>
      </c>
      <c r="AI594" s="99" t="b">
        <f>S_binomial[[#This Row],[X base]]&lt;AF$5</f>
        <v>0</v>
      </c>
      <c r="AJ594" s="99" t="b">
        <f>S_binomial[[#This Row],[X base]]=AF$5</f>
        <v>0</v>
      </c>
      <c r="AK594" s="99" t="b">
        <f>S_binomial[[#This Row],[X base]]&gt;AF$5</f>
        <v>1</v>
      </c>
      <c r="AL594" s="99" t="e">
        <f>IF(S_binomial[[#This Row],[Mindre end]],S_binomial[[#This Row],[Binomialfordeling]],NA())</f>
        <v>#N/A</v>
      </c>
      <c r="AM594" s="99" t="e">
        <f>IF(S_binomial[[#This Row],[Lig med]],S_binomial[[#This Row],[Binomialfordeling]],NA())</f>
        <v>#N/A</v>
      </c>
      <c r="AN594" s="99">
        <f>IF(S_binomial[[#This Row],[Større end]],S_binomial[[#This Row],[Binomialfordeling]],NA())</f>
        <v>0.40456723513599996</v>
      </c>
      <c r="AO594" s="85" t="str">
        <f>_xlfn.IFNA(IF(MOD(S_binomial[[#This Row],[Indeks (base 0)]],AF$7)=ROUNDDOWN(AF$7/2,0),S_binomial[[#This Row],[X base]],""),"")</f>
        <v/>
      </c>
      <c r="AP594" s="99" t="str">
        <f t="shared" si="90"/>
        <v xml:space="preserve"> </v>
      </c>
      <c r="AR594" s="54">
        <f t="shared" si="85"/>
        <v>581</v>
      </c>
      <c r="AS594" s="54">
        <f>S_normal27[[#This Row],[Indeks (base 0)]]+1</f>
        <v>582</v>
      </c>
      <c r="AT594" s="54">
        <f t="shared" si="87"/>
        <v>8</v>
      </c>
      <c r="AU594" s="54">
        <f>IF(MOD(S_normal27[[#This Row],[Indeks (base 0)]],AS$8)=0,NA(),_xlfn.POISSON.DIST(S_normal27[[#This Row],[X base]],$H$5,FALSE))</f>
        <v>8.1015117946814375E-3</v>
      </c>
      <c r="AV594" s="99" t="b">
        <f>S_normal27[[#This Row],[X base]]&lt;AS$5</f>
        <v>0</v>
      </c>
      <c r="AW594" s="99" t="b">
        <f>S_normal27[[#This Row],[X base]]=AS$5</f>
        <v>0</v>
      </c>
      <c r="AX594" s="99" t="b">
        <f>S_normal27[[#This Row],[X base]]&gt;AS$5</f>
        <v>1</v>
      </c>
      <c r="AY594" s="99" t="e">
        <f>IF(S_normal27[[#This Row],[Mindre end]],S_normal27[[#This Row],[Poissonfordeling]],NA())</f>
        <v>#N/A</v>
      </c>
      <c r="AZ594" s="99" t="e">
        <f>IF(S_normal27[[#This Row],[Lig med]],S_normal27[[#This Row],[Poissonfordeling]],NA())</f>
        <v>#N/A</v>
      </c>
      <c r="BA594" s="99">
        <f>IF(S_normal27[[#This Row],[Større end]],S_normal27[[#This Row],[Poissonfordeling]],NA())</f>
        <v>8.1015117946814375E-3</v>
      </c>
      <c r="BB594" s="85" t="str">
        <f>_xlfn.IFNA(IF(MOD(S_normal27[[#This Row],[Indeks (base 0)]],AS$8)=ROUNDDOWN(AS$8/2,0),S_normal27[[#This Row],[X base]],""),"")</f>
        <v/>
      </c>
      <c r="BC594" s="99" t="str">
        <f t="shared" si="86"/>
        <v xml:space="preserve"> </v>
      </c>
    </row>
    <row r="595" spans="31:55" x14ac:dyDescent="0.2">
      <c r="AE595" s="54">
        <f t="shared" si="88"/>
        <v>582</v>
      </c>
      <c r="AF595" s="54">
        <f>S_binomial[[#This Row],[Indeks (base 0)]]+1</f>
        <v>583</v>
      </c>
      <c r="AG595" s="99">
        <f t="shared" si="89"/>
        <v>6</v>
      </c>
      <c r="AH595" s="99">
        <f>IF(MOD(S_binomial[[#This Row],[Indeks (base 0)]],AF$7)=0,NA(),_xlfn.BINOM.DIST(S_binomial[[#This Row],[X base]],E$5,E$6,FALSE))</f>
        <v>0.40456723513599996</v>
      </c>
      <c r="AI595" s="99" t="b">
        <f>S_binomial[[#This Row],[X base]]&lt;AF$5</f>
        <v>0</v>
      </c>
      <c r="AJ595" s="99" t="b">
        <f>S_binomial[[#This Row],[X base]]=AF$5</f>
        <v>0</v>
      </c>
      <c r="AK595" s="99" t="b">
        <f>S_binomial[[#This Row],[X base]]&gt;AF$5</f>
        <v>1</v>
      </c>
      <c r="AL595" s="99" t="e">
        <f>IF(S_binomial[[#This Row],[Mindre end]],S_binomial[[#This Row],[Binomialfordeling]],NA())</f>
        <v>#N/A</v>
      </c>
      <c r="AM595" s="99" t="e">
        <f>IF(S_binomial[[#This Row],[Lig med]],S_binomial[[#This Row],[Binomialfordeling]],NA())</f>
        <v>#N/A</v>
      </c>
      <c r="AN595" s="99">
        <f>IF(S_binomial[[#This Row],[Større end]],S_binomial[[#This Row],[Binomialfordeling]],NA())</f>
        <v>0.40456723513599996</v>
      </c>
      <c r="AO595" s="85" t="str">
        <f>_xlfn.IFNA(IF(MOD(S_binomial[[#This Row],[Indeks (base 0)]],AF$7)=ROUNDDOWN(AF$7/2,0),S_binomial[[#This Row],[X base]],""),"")</f>
        <v/>
      </c>
      <c r="AP595" s="99" t="str">
        <f t="shared" si="90"/>
        <v xml:space="preserve"> </v>
      </c>
      <c r="AR595" s="54">
        <f t="shared" si="85"/>
        <v>582</v>
      </c>
      <c r="AS595" s="54">
        <f>S_normal27[[#This Row],[Indeks (base 0)]]+1</f>
        <v>583</v>
      </c>
      <c r="AT595" s="54">
        <f t="shared" si="87"/>
        <v>8</v>
      </c>
      <c r="AU595" s="54">
        <f>IF(MOD(S_normal27[[#This Row],[Indeks (base 0)]],AS$8)=0,NA(),_xlfn.POISSON.DIST(S_normal27[[#This Row],[X base]],$H$5,FALSE))</f>
        <v>8.1015117946814375E-3</v>
      </c>
      <c r="AV595" s="99" t="b">
        <f>S_normal27[[#This Row],[X base]]&lt;AS$5</f>
        <v>0</v>
      </c>
      <c r="AW595" s="99" t="b">
        <f>S_normal27[[#This Row],[X base]]=AS$5</f>
        <v>0</v>
      </c>
      <c r="AX595" s="99" t="b">
        <f>S_normal27[[#This Row],[X base]]&gt;AS$5</f>
        <v>1</v>
      </c>
      <c r="AY595" s="99" t="e">
        <f>IF(S_normal27[[#This Row],[Mindre end]],S_normal27[[#This Row],[Poissonfordeling]],NA())</f>
        <v>#N/A</v>
      </c>
      <c r="AZ595" s="99" t="e">
        <f>IF(S_normal27[[#This Row],[Lig med]],S_normal27[[#This Row],[Poissonfordeling]],NA())</f>
        <v>#N/A</v>
      </c>
      <c r="BA595" s="99">
        <f>IF(S_normal27[[#This Row],[Større end]],S_normal27[[#This Row],[Poissonfordeling]],NA())</f>
        <v>8.1015117946814375E-3</v>
      </c>
      <c r="BB595" s="85" t="str">
        <f>_xlfn.IFNA(IF(MOD(S_normal27[[#This Row],[Indeks (base 0)]],AS$8)=ROUNDDOWN(AS$8/2,0),S_normal27[[#This Row],[X base]],""),"")</f>
        <v/>
      </c>
      <c r="BC595" s="99" t="str">
        <f t="shared" si="86"/>
        <v xml:space="preserve"> </v>
      </c>
    </row>
    <row r="596" spans="31:55" x14ac:dyDescent="0.2">
      <c r="AE596" s="54">
        <f t="shared" si="88"/>
        <v>583</v>
      </c>
      <c r="AF596" s="54">
        <f>S_binomial[[#This Row],[Indeks (base 0)]]+1</f>
        <v>584</v>
      </c>
      <c r="AG596" s="99">
        <f t="shared" si="89"/>
        <v>6</v>
      </c>
      <c r="AH596" s="99">
        <f>IF(MOD(S_binomial[[#This Row],[Indeks (base 0)]],AF$7)=0,NA(),_xlfn.BINOM.DIST(S_binomial[[#This Row],[X base]],E$5,E$6,FALSE))</f>
        <v>0.40456723513599996</v>
      </c>
      <c r="AI596" s="99" t="b">
        <f>S_binomial[[#This Row],[X base]]&lt;AF$5</f>
        <v>0</v>
      </c>
      <c r="AJ596" s="99" t="b">
        <f>S_binomial[[#This Row],[X base]]=AF$5</f>
        <v>0</v>
      </c>
      <c r="AK596" s="99" t="b">
        <f>S_binomial[[#This Row],[X base]]&gt;AF$5</f>
        <v>1</v>
      </c>
      <c r="AL596" s="99" t="e">
        <f>IF(S_binomial[[#This Row],[Mindre end]],S_binomial[[#This Row],[Binomialfordeling]],NA())</f>
        <v>#N/A</v>
      </c>
      <c r="AM596" s="99" t="e">
        <f>IF(S_binomial[[#This Row],[Lig med]],S_binomial[[#This Row],[Binomialfordeling]],NA())</f>
        <v>#N/A</v>
      </c>
      <c r="AN596" s="99">
        <f>IF(S_binomial[[#This Row],[Større end]],S_binomial[[#This Row],[Binomialfordeling]],NA())</f>
        <v>0.40456723513599996</v>
      </c>
      <c r="AO596" s="85" t="str">
        <f>_xlfn.IFNA(IF(MOD(S_binomial[[#This Row],[Indeks (base 0)]],AF$7)=ROUNDDOWN(AF$7/2,0),S_binomial[[#This Row],[X base]],""),"")</f>
        <v/>
      </c>
      <c r="AP596" s="99" t="str">
        <f t="shared" si="90"/>
        <v xml:space="preserve"> </v>
      </c>
      <c r="AR596" s="54">
        <f t="shared" si="85"/>
        <v>583</v>
      </c>
      <c r="AS596" s="54">
        <f>S_normal27[[#This Row],[Indeks (base 0)]]+1</f>
        <v>584</v>
      </c>
      <c r="AT596" s="54">
        <f t="shared" si="87"/>
        <v>8</v>
      </c>
      <c r="AU596" s="54">
        <f>IF(MOD(S_normal27[[#This Row],[Indeks (base 0)]],AS$8)=0,NA(),_xlfn.POISSON.DIST(S_normal27[[#This Row],[X base]],$H$5,FALSE))</f>
        <v>8.1015117946814375E-3</v>
      </c>
      <c r="AV596" s="99" t="b">
        <f>S_normal27[[#This Row],[X base]]&lt;AS$5</f>
        <v>0</v>
      </c>
      <c r="AW596" s="99" t="b">
        <f>S_normal27[[#This Row],[X base]]=AS$5</f>
        <v>0</v>
      </c>
      <c r="AX596" s="99" t="b">
        <f>S_normal27[[#This Row],[X base]]&gt;AS$5</f>
        <v>1</v>
      </c>
      <c r="AY596" s="99" t="e">
        <f>IF(S_normal27[[#This Row],[Mindre end]],S_normal27[[#This Row],[Poissonfordeling]],NA())</f>
        <v>#N/A</v>
      </c>
      <c r="AZ596" s="99" t="e">
        <f>IF(S_normal27[[#This Row],[Lig med]],S_normal27[[#This Row],[Poissonfordeling]],NA())</f>
        <v>#N/A</v>
      </c>
      <c r="BA596" s="99">
        <f>IF(S_normal27[[#This Row],[Større end]],S_normal27[[#This Row],[Poissonfordeling]],NA())</f>
        <v>8.1015117946814375E-3</v>
      </c>
      <c r="BB596" s="85" t="str">
        <f>_xlfn.IFNA(IF(MOD(S_normal27[[#This Row],[Indeks (base 0)]],AS$8)=ROUNDDOWN(AS$8/2,0),S_normal27[[#This Row],[X base]],""),"")</f>
        <v/>
      </c>
      <c r="BC596" s="99" t="str">
        <f t="shared" si="86"/>
        <v xml:space="preserve"> </v>
      </c>
    </row>
    <row r="597" spans="31:55" x14ac:dyDescent="0.2">
      <c r="AE597" s="54">
        <f t="shared" si="88"/>
        <v>584</v>
      </c>
      <c r="AF597" s="54">
        <f>S_binomial[[#This Row],[Indeks (base 0)]]+1</f>
        <v>585</v>
      </c>
      <c r="AG597" s="99">
        <f t="shared" si="89"/>
        <v>6</v>
      </c>
      <c r="AH597" s="99">
        <f>IF(MOD(S_binomial[[#This Row],[Indeks (base 0)]],AF$7)=0,NA(),_xlfn.BINOM.DIST(S_binomial[[#This Row],[X base]],E$5,E$6,FALSE))</f>
        <v>0.40456723513599996</v>
      </c>
      <c r="AI597" s="99" t="b">
        <f>S_binomial[[#This Row],[X base]]&lt;AF$5</f>
        <v>0</v>
      </c>
      <c r="AJ597" s="99" t="b">
        <f>S_binomial[[#This Row],[X base]]=AF$5</f>
        <v>0</v>
      </c>
      <c r="AK597" s="99" t="b">
        <f>S_binomial[[#This Row],[X base]]&gt;AF$5</f>
        <v>1</v>
      </c>
      <c r="AL597" s="99" t="e">
        <f>IF(S_binomial[[#This Row],[Mindre end]],S_binomial[[#This Row],[Binomialfordeling]],NA())</f>
        <v>#N/A</v>
      </c>
      <c r="AM597" s="99" t="e">
        <f>IF(S_binomial[[#This Row],[Lig med]],S_binomial[[#This Row],[Binomialfordeling]],NA())</f>
        <v>#N/A</v>
      </c>
      <c r="AN597" s="99">
        <f>IF(S_binomial[[#This Row],[Større end]],S_binomial[[#This Row],[Binomialfordeling]],NA())</f>
        <v>0.40456723513599996</v>
      </c>
      <c r="AO597" s="85" t="str">
        <f>_xlfn.IFNA(IF(MOD(S_binomial[[#This Row],[Indeks (base 0)]],AF$7)=ROUNDDOWN(AF$7/2,0),S_binomial[[#This Row],[X base]],""),"")</f>
        <v/>
      </c>
      <c r="AP597" s="99" t="str">
        <f t="shared" si="90"/>
        <v xml:space="preserve"> </v>
      </c>
      <c r="AR597" s="54">
        <f t="shared" si="85"/>
        <v>584</v>
      </c>
      <c r="AS597" s="54">
        <f>S_normal27[[#This Row],[Indeks (base 0)]]+1</f>
        <v>585</v>
      </c>
      <c r="AT597" s="54">
        <f t="shared" si="87"/>
        <v>8</v>
      </c>
      <c r="AU597" s="54">
        <f>IF(MOD(S_normal27[[#This Row],[Indeks (base 0)]],AS$8)=0,NA(),_xlfn.POISSON.DIST(S_normal27[[#This Row],[X base]],$H$5,FALSE))</f>
        <v>8.1015117946814375E-3</v>
      </c>
      <c r="AV597" s="99" t="b">
        <f>S_normal27[[#This Row],[X base]]&lt;AS$5</f>
        <v>0</v>
      </c>
      <c r="AW597" s="99" t="b">
        <f>S_normal27[[#This Row],[X base]]=AS$5</f>
        <v>0</v>
      </c>
      <c r="AX597" s="99" t="b">
        <f>S_normal27[[#This Row],[X base]]&gt;AS$5</f>
        <v>1</v>
      </c>
      <c r="AY597" s="99" t="e">
        <f>IF(S_normal27[[#This Row],[Mindre end]],S_normal27[[#This Row],[Poissonfordeling]],NA())</f>
        <v>#N/A</v>
      </c>
      <c r="AZ597" s="99" t="e">
        <f>IF(S_normal27[[#This Row],[Lig med]],S_normal27[[#This Row],[Poissonfordeling]],NA())</f>
        <v>#N/A</v>
      </c>
      <c r="BA597" s="99">
        <f>IF(S_normal27[[#This Row],[Større end]],S_normal27[[#This Row],[Poissonfordeling]],NA())</f>
        <v>8.1015117946814375E-3</v>
      </c>
      <c r="BB597" s="85" t="str">
        <f>_xlfn.IFNA(IF(MOD(S_normal27[[#This Row],[Indeks (base 0)]],AS$8)=ROUNDDOWN(AS$8/2,0),S_normal27[[#This Row],[X base]],""),"")</f>
        <v/>
      </c>
      <c r="BC597" s="99" t="str">
        <f t="shared" si="86"/>
        <v xml:space="preserve"> </v>
      </c>
    </row>
    <row r="598" spans="31:55" x14ac:dyDescent="0.2">
      <c r="AE598" s="54">
        <f t="shared" si="88"/>
        <v>585</v>
      </c>
      <c r="AF598" s="54">
        <f>S_binomial[[#This Row],[Indeks (base 0)]]+1</f>
        <v>586</v>
      </c>
      <c r="AG598" s="99">
        <f t="shared" si="89"/>
        <v>6</v>
      </c>
      <c r="AH598" s="99">
        <f>IF(MOD(S_binomial[[#This Row],[Indeks (base 0)]],AF$7)=0,NA(),_xlfn.BINOM.DIST(S_binomial[[#This Row],[X base]],E$5,E$6,FALSE))</f>
        <v>0.40456723513599996</v>
      </c>
      <c r="AI598" s="99" t="b">
        <f>S_binomial[[#This Row],[X base]]&lt;AF$5</f>
        <v>0</v>
      </c>
      <c r="AJ598" s="99" t="b">
        <f>S_binomial[[#This Row],[X base]]=AF$5</f>
        <v>0</v>
      </c>
      <c r="AK598" s="99" t="b">
        <f>S_binomial[[#This Row],[X base]]&gt;AF$5</f>
        <v>1</v>
      </c>
      <c r="AL598" s="99" t="e">
        <f>IF(S_binomial[[#This Row],[Mindre end]],S_binomial[[#This Row],[Binomialfordeling]],NA())</f>
        <v>#N/A</v>
      </c>
      <c r="AM598" s="99" t="e">
        <f>IF(S_binomial[[#This Row],[Lig med]],S_binomial[[#This Row],[Binomialfordeling]],NA())</f>
        <v>#N/A</v>
      </c>
      <c r="AN598" s="99">
        <f>IF(S_binomial[[#This Row],[Større end]],S_binomial[[#This Row],[Binomialfordeling]],NA())</f>
        <v>0.40456723513599996</v>
      </c>
      <c r="AO598" s="85" t="str">
        <f>_xlfn.IFNA(IF(MOD(S_binomial[[#This Row],[Indeks (base 0)]],AF$7)=ROUNDDOWN(AF$7/2,0),S_binomial[[#This Row],[X base]],""),"")</f>
        <v/>
      </c>
      <c r="AP598" s="99" t="str">
        <f t="shared" si="90"/>
        <v xml:space="preserve"> </v>
      </c>
      <c r="AR598" s="54">
        <f t="shared" si="85"/>
        <v>585</v>
      </c>
      <c r="AS598" s="54">
        <f>S_normal27[[#This Row],[Indeks (base 0)]]+1</f>
        <v>586</v>
      </c>
      <c r="AT598" s="54">
        <f t="shared" si="87"/>
        <v>9</v>
      </c>
      <c r="AU598" s="54" t="e">
        <f>IF(MOD(S_normal27[[#This Row],[Indeks (base 0)]],AS$8)=0,NA(),_xlfn.POISSON.DIST(S_normal27[[#This Row],[X base]],$H$5,FALSE))</f>
        <v>#N/A</v>
      </c>
      <c r="AV598" s="99" t="b">
        <f>S_normal27[[#This Row],[X base]]&lt;AS$5</f>
        <v>0</v>
      </c>
      <c r="AW598" s="99" t="b">
        <f>S_normal27[[#This Row],[X base]]=AS$5</f>
        <v>0</v>
      </c>
      <c r="AX598" s="99" t="b">
        <f>S_normal27[[#This Row],[X base]]&gt;AS$5</f>
        <v>1</v>
      </c>
      <c r="AY598" s="99" t="e">
        <f>IF(S_normal27[[#This Row],[Mindre end]],S_normal27[[#This Row],[Poissonfordeling]],NA())</f>
        <v>#N/A</v>
      </c>
      <c r="AZ598" s="99" t="e">
        <f>IF(S_normal27[[#This Row],[Lig med]],S_normal27[[#This Row],[Poissonfordeling]],NA())</f>
        <v>#N/A</v>
      </c>
      <c r="BA598" s="99" t="e">
        <f>IF(S_normal27[[#This Row],[Større end]],S_normal27[[#This Row],[Poissonfordeling]],NA())</f>
        <v>#N/A</v>
      </c>
      <c r="BB598" s="85" t="str">
        <f>_xlfn.IFNA(IF(MOD(S_normal27[[#This Row],[Indeks (base 0)]],AS$8)=ROUNDDOWN(AS$8/2,0),S_normal27[[#This Row],[X base]],""),"")</f>
        <v/>
      </c>
      <c r="BC598" s="99" t="str">
        <f t="shared" si="86"/>
        <v xml:space="preserve"> </v>
      </c>
    </row>
    <row r="599" spans="31:55" x14ac:dyDescent="0.2">
      <c r="AE599" s="54">
        <f t="shared" si="88"/>
        <v>586</v>
      </c>
      <c r="AF599" s="54">
        <f>S_binomial[[#This Row],[Indeks (base 0)]]+1</f>
        <v>587</v>
      </c>
      <c r="AG599" s="99">
        <f t="shared" si="89"/>
        <v>6</v>
      </c>
      <c r="AH599" s="99">
        <f>IF(MOD(S_binomial[[#This Row],[Indeks (base 0)]],AF$7)=0,NA(),_xlfn.BINOM.DIST(S_binomial[[#This Row],[X base]],E$5,E$6,FALSE))</f>
        <v>0.40456723513599996</v>
      </c>
      <c r="AI599" s="99" t="b">
        <f>S_binomial[[#This Row],[X base]]&lt;AF$5</f>
        <v>0</v>
      </c>
      <c r="AJ599" s="99" t="b">
        <f>S_binomial[[#This Row],[X base]]=AF$5</f>
        <v>0</v>
      </c>
      <c r="AK599" s="99" t="b">
        <f>S_binomial[[#This Row],[X base]]&gt;AF$5</f>
        <v>1</v>
      </c>
      <c r="AL599" s="99" t="e">
        <f>IF(S_binomial[[#This Row],[Mindre end]],S_binomial[[#This Row],[Binomialfordeling]],NA())</f>
        <v>#N/A</v>
      </c>
      <c r="AM599" s="99" t="e">
        <f>IF(S_binomial[[#This Row],[Lig med]],S_binomial[[#This Row],[Binomialfordeling]],NA())</f>
        <v>#N/A</v>
      </c>
      <c r="AN599" s="99">
        <f>IF(S_binomial[[#This Row],[Større end]],S_binomial[[#This Row],[Binomialfordeling]],NA())</f>
        <v>0.40456723513599996</v>
      </c>
      <c r="AO599" s="85" t="str">
        <f>_xlfn.IFNA(IF(MOD(S_binomial[[#This Row],[Indeks (base 0)]],AF$7)=ROUNDDOWN(AF$7/2,0),S_binomial[[#This Row],[X base]],""),"")</f>
        <v/>
      </c>
      <c r="AP599" s="99" t="str">
        <f t="shared" si="90"/>
        <v xml:space="preserve"> </v>
      </c>
      <c r="AR599" s="54">
        <f t="shared" si="85"/>
        <v>586</v>
      </c>
      <c r="AS599" s="54">
        <f>S_normal27[[#This Row],[Indeks (base 0)]]+1</f>
        <v>587</v>
      </c>
      <c r="AT599" s="54">
        <f t="shared" si="87"/>
        <v>9</v>
      </c>
      <c r="AU599" s="54">
        <f>IF(MOD(S_normal27[[#This Row],[Indeks (base 0)]],AS$8)=0,NA(),_xlfn.POISSON.DIST(S_normal27[[#This Row],[X base]],$H$5,FALSE))</f>
        <v>2.7005039315604771E-3</v>
      </c>
      <c r="AV599" s="99" t="b">
        <f>S_normal27[[#This Row],[X base]]&lt;AS$5</f>
        <v>0</v>
      </c>
      <c r="AW599" s="99" t="b">
        <f>S_normal27[[#This Row],[X base]]=AS$5</f>
        <v>0</v>
      </c>
      <c r="AX599" s="99" t="b">
        <f>S_normal27[[#This Row],[X base]]&gt;AS$5</f>
        <v>1</v>
      </c>
      <c r="AY599" s="99" t="e">
        <f>IF(S_normal27[[#This Row],[Mindre end]],S_normal27[[#This Row],[Poissonfordeling]],NA())</f>
        <v>#N/A</v>
      </c>
      <c r="AZ599" s="99" t="e">
        <f>IF(S_normal27[[#This Row],[Lig med]],S_normal27[[#This Row],[Poissonfordeling]],NA())</f>
        <v>#N/A</v>
      </c>
      <c r="BA599" s="99">
        <f>IF(S_normal27[[#This Row],[Større end]],S_normal27[[#This Row],[Poissonfordeling]],NA())</f>
        <v>2.7005039315604771E-3</v>
      </c>
      <c r="BB599" s="85" t="str">
        <f>_xlfn.IFNA(IF(MOD(S_normal27[[#This Row],[Indeks (base 0)]],AS$8)=ROUNDDOWN(AS$8/2,0),S_normal27[[#This Row],[X base]],""),"")</f>
        <v/>
      </c>
      <c r="BC599" s="99" t="str">
        <f t="shared" si="86"/>
        <v xml:space="preserve"> </v>
      </c>
    </row>
    <row r="600" spans="31:55" x14ac:dyDescent="0.2">
      <c r="AE600" s="54">
        <f t="shared" si="88"/>
        <v>587</v>
      </c>
      <c r="AF600" s="54">
        <f>S_binomial[[#This Row],[Indeks (base 0)]]+1</f>
        <v>588</v>
      </c>
      <c r="AG600" s="99">
        <f t="shared" si="89"/>
        <v>6</v>
      </c>
      <c r="AH600" s="99">
        <f>IF(MOD(S_binomial[[#This Row],[Indeks (base 0)]],AF$7)=0,NA(),_xlfn.BINOM.DIST(S_binomial[[#This Row],[X base]],E$5,E$6,FALSE))</f>
        <v>0.40456723513599996</v>
      </c>
      <c r="AI600" s="99" t="b">
        <f>S_binomial[[#This Row],[X base]]&lt;AF$5</f>
        <v>0</v>
      </c>
      <c r="AJ600" s="99" t="b">
        <f>S_binomial[[#This Row],[X base]]=AF$5</f>
        <v>0</v>
      </c>
      <c r="AK600" s="99" t="b">
        <f>S_binomial[[#This Row],[X base]]&gt;AF$5</f>
        <v>1</v>
      </c>
      <c r="AL600" s="99" t="e">
        <f>IF(S_binomial[[#This Row],[Mindre end]],S_binomial[[#This Row],[Binomialfordeling]],NA())</f>
        <v>#N/A</v>
      </c>
      <c r="AM600" s="99" t="e">
        <f>IF(S_binomial[[#This Row],[Lig med]],S_binomial[[#This Row],[Binomialfordeling]],NA())</f>
        <v>#N/A</v>
      </c>
      <c r="AN600" s="99">
        <f>IF(S_binomial[[#This Row],[Større end]],S_binomial[[#This Row],[Binomialfordeling]],NA())</f>
        <v>0.40456723513599996</v>
      </c>
      <c r="AO600" s="85" t="str">
        <f>_xlfn.IFNA(IF(MOD(S_binomial[[#This Row],[Indeks (base 0)]],AF$7)=ROUNDDOWN(AF$7/2,0),S_binomial[[#This Row],[X base]],""),"")</f>
        <v/>
      </c>
      <c r="AP600" s="99" t="str">
        <f t="shared" si="90"/>
        <v xml:space="preserve"> </v>
      </c>
      <c r="AR600" s="54">
        <f t="shared" si="85"/>
        <v>587</v>
      </c>
      <c r="AS600" s="54">
        <f>S_normal27[[#This Row],[Indeks (base 0)]]+1</f>
        <v>588</v>
      </c>
      <c r="AT600" s="54">
        <f t="shared" si="87"/>
        <v>9</v>
      </c>
      <c r="AU600" s="54">
        <f>IF(MOD(S_normal27[[#This Row],[Indeks (base 0)]],AS$8)=0,NA(),_xlfn.POISSON.DIST(S_normal27[[#This Row],[X base]],$H$5,FALSE))</f>
        <v>2.7005039315604771E-3</v>
      </c>
      <c r="AV600" s="99" t="b">
        <f>S_normal27[[#This Row],[X base]]&lt;AS$5</f>
        <v>0</v>
      </c>
      <c r="AW600" s="99" t="b">
        <f>S_normal27[[#This Row],[X base]]=AS$5</f>
        <v>0</v>
      </c>
      <c r="AX600" s="99" t="b">
        <f>S_normal27[[#This Row],[X base]]&gt;AS$5</f>
        <v>1</v>
      </c>
      <c r="AY600" s="99" t="e">
        <f>IF(S_normal27[[#This Row],[Mindre end]],S_normal27[[#This Row],[Poissonfordeling]],NA())</f>
        <v>#N/A</v>
      </c>
      <c r="AZ600" s="99" t="e">
        <f>IF(S_normal27[[#This Row],[Lig med]],S_normal27[[#This Row],[Poissonfordeling]],NA())</f>
        <v>#N/A</v>
      </c>
      <c r="BA600" s="99">
        <f>IF(S_normal27[[#This Row],[Større end]],S_normal27[[#This Row],[Poissonfordeling]],NA())</f>
        <v>2.7005039315604771E-3</v>
      </c>
      <c r="BB600" s="85" t="str">
        <f>_xlfn.IFNA(IF(MOD(S_normal27[[#This Row],[Indeks (base 0)]],AS$8)=ROUNDDOWN(AS$8/2,0),S_normal27[[#This Row],[X base]],""),"")</f>
        <v/>
      </c>
      <c r="BC600" s="99" t="str">
        <f t="shared" si="86"/>
        <v xml:space="preserve"> </v>
      </c>
    </row>
    <row r="601" spans="31:55" x14ac:dyDescent="0.2">
      <c r="AE601" s="54">
        <f t="shared" si="88"/>
        <v>588</v>
      </c>
      <c r="AF601" s="54">
        <f>S_binomial[[#This Row],[Indeks (base 0)]]+1</f>
        <v>589</v>
      </c>
      <c r="AG601" s="99">
        <f t="shared" si="89"/>
        <v>6</v>
      </c>
      <c r="AH601" s="99">
        <f>IF(MOD(S_binomial[[#This Row],[Indeks (base 0)]],AF$7)=0,NA(),_xlfn.BINOM.DIST(S_binomial[[#This Row],[X base]],E$5,E$6,FALSE))</f>
        <v>0.40456723513599996</v>
      </c>
      <c r="AI601" s="99" t="b">
        <f>S_binomial[[#This Row],[X base]]&lt;AF$5</f>
        <v>0</v>
      </c>
      <c r="AJ601" s="99" t="b">
        <f>S_binomial[[#This Row],[X base]]=AF$5</f>
        <v>0</v>
      </c>
      <c r="AK601" s="99" t="b">
        <f>S_binomial[[#This Row],[X base]]&gt;AF$5</f>
        <v>1</v>
      </c>
      <c r="AL601" s="99" t="e">
        <f>IF(S_binomial[[#This Row],[Mindre end]],S_binomial[[#This Row],[Binomialfordeling]],NA())</f>
        <v>#N/A</v>
      </c>
      <c r="AM601" s="99" t="e">
        <f>IF(S_binomial[[#This Row],[Lig med]],S_binomial[[#This Row],[Binomialfordeling]],NA())</f>
        <v>#N/A</v>
      </c>
      <c r="AN601" s="99">
        <f>IF(S_binomial[[#This Row],[Større end]],S_binomial[[#This Row],[Binomialfordeling]],NA())</f>
        <v>0.40456723513599996</v>
      </c>
      <c r="AO601" s="85" t="str">
        <f>_xlfn.IFNA(IF(MOD(S_binomial[[#This Row],[Indeks (base 0)]],AF$7)=ROUNDDOWN(AF$7/2,0),S_binomial[[#This Row],[X base]],""),"")</f>
        <v/>
      </c>
      <c r="AP601" s="99" t="str">
        <f t="shared" si="90"/>
        <v xml:space="preserve"> </v>
      </c>
      <c r="AR601" s="54">
        <f t="shared" si="85"/>
        <v>588</v>
      </c>
      <c r="AS601" s="54">
        <f>S_normal27[[#This Row],[Indeks (base 0)]]+1</f>
        <v>589</v>
      </c>
      <c r="AT601" s="54">
        <f t="shared" si="87"/>
        <v>9</v>
      </c>
      <c r="AU601" s="54">
        <f>IF(MOD(S_normal27[[#This Row],[Indeks (base 0)]],AS$8)=0,NA(),_xlfn.POISSON.DIST(S_normal27[[#This Row],[X base]],$H$5,FALSE))</f>
        <v>2.7005039315604771E-3</v>
      </c>
      <c r="AV601" s="99" t="b">
        <f>S_normal27[[#This Row],[X base]]&lt;AS$5</f>
        <v>0</v>
      </c>
      <c r="AW601" s="99" t="b">
        <f>S_normal27[[#This Row],[X base]]=AS$5</f>
        <v>0</v>
      </c>
      <c r="AX601" s="99" t="b">
        <f>S_normal27[[#This Row],[X base]]&gt;AS$5</f>
        <v>1</v>
      </c>
      <c r="AY601" s="99" t="e">
        <f>IF(S_normal27[[#This Row],[Mindre end]],S_normal27[[#This Row],[Poissonfordeling]],NA())</f>
        <v>#N/A</v>
      </c>
      <c r="AZ601" s="99" t="e">
        <f>IF(S_normal27[[#This Row],[Lig med]],S_normal27[[#This Row],[Poissonfordeling]],NA())</f>
        <v>#N/A</v>
      </c>
      <c r="BA601" s="99">
        <f>IF(S_normal27[[#This Row],[Større end]],S_normal27[[#This Row],[Poissonfordeling]],NA())</f>
        <v>2.7005039315604771E-3</v>
      </c>
      <c r="BB601" s="85" t="str">
        <f>_xlfn.IFNA(IF(MOD(S_normal27[[#This Row],[Indeks (base 0)]],AS$8)=ROUNDDOWN(AS$8/2,0),S_normal27[[#This Row],[X base]],""),"")</f>
        <v/>
      </c>
      <c r="BC601" s="99" t="str">
        <f t="shared" si="86"/>
        <v xml:space="preserve"> </v>
      </c>
    </row>
    <row r="602" spans="31:55" x14ac:dyDescent="0.2">
      <c r="AE602" s="54">
        <f t="shared" si="88"/>
        <v>589</v>
      </c>
      <c r="AF602" s="54">
        <f>S_binomial[[#This Row],[Indeks (base 0)]]+1</f>
        <v>590</v>
      </c>
      <c r="AG602" s="99">
        <f t="shared" si="89"/>
        <v>6</v>
      </c>
      <c r="AH602" s="99">
        <f>IF(MOD(S_binomial[[#This Row],[Indeks (base 0)]],AF$7)=0,NA(),_xlfn.BINOM.DIST(S_binomial[[#This Row],[X base]],E$5,E$6,FALSE))</f>
        <v>0.40456723513599996</v>
      </c>
      <c r="AI602" s="99" t="b">
        <f>S_binomial[[#This Row],[X base]]&lt;AF$5</f>
        <v>0</v>
      </c>
      <c r="AJ602" s="99" t="b">
        <f>S_binomial[[#This Row],[X base]]=AF$5</f>
        <v>0</v>
      </c>
      <c r="AK602" s="99" t="b">
        <f>S_binomial[[#This Row],[X base]]&gt;AF$5</f>
        <v>1</v>
      </c>
      <c r="AL602" s="99" t="e">
        <f>IF(S_binomial[[#This Row],[Mindre end]],S_binomial[[#This Row],[Binomialfordeling]],NA())</f>
        <v>#N/A</v>
      </c>
      <c r="AM602" s="99" t="e">
        <f>IF(S_binomial[[#This Row],[Lig med]],S_binomial[[#This Row],[Binomialfordeling]],NA())</f>
        <v>#N/A</v>
      </c>
      <c r="AN602" s="99">
        <f>IF(S_binomial[[#This Row],[Større end]],S_binomial[[#This Row],[Binomialfordeling]],NA())</f>
        <v>0.40456723513599996</v>
      </c>
      <c r="AO602" s="85" t="str">
        <f>_xlfn.IFNA(IF(MOD(S_binomial[[#This Row],[Indeks (base 0)]],AF$7)=ROUNDDOWN(AF$7/2,0),S_binomial[[#This Row],[X base]],""),"")</f>
        <v/>
      </c>
      <c r="AP602" s="99" t="str">
        <f t="shared" si="90"/>
        <v xml:space="preserve"> </v>
      </c>
      <c r="AR602" s="54">
        <f t="shared" si="85"/>
        <v>589</v>
      </c>
      <c r="AS602" s="54">
        <f>S_normal27[[#This Row],[Indeks (base 0)]]+1</f>
        <v>590</v>
      </c>
      <c r="AT602" s="54">
        <f t="shared" si="87"/>
        <v>9</v>
      </c>
      <c r="AU602" s="54">
        <f>IF(MOD(S_normal27[[#This Row],[Indeks (base 0)]],AS$8)=0,NA(),_xlfn.POISSON.DIST(S_normal27[[#This Row],[X base]],$H$5,FALSE))</f>
        <v>2.7005039315604771E-3</v>
      </c>
      <c r="AV602" s="99" t="b">
        <f>S_normal27[[#This Row],[X base]]&lt;AS$5</f>
        <v>0</v>
      </c>
      <c r="AW602" s="99" t="b">
        <f>S_normal27[[#This Row],[X base]]=AS$5</f>
        <v>0</v>
      </c>
      <c r="AX602" s="99" t="b">
        <f>S_normal27[[#This Row],[X base]]&gt;AS$5</f>
        <v>1</v>
      </c>
      <c r="AY602" s="99" t="e">
        <f>IF(S_normal27[[#This Row],[Mindre end]],S_normal27[[#This Row],[Poissonfordeling]],NA())</f>
        <v>#N/A</v>
      </c>
      <c r="AZ602" s="99" t="e">
        <f>IF(S_normal27[[#This Row],[Lig med]],S_normal27[[#This Row],[Poissonfordeling]],NA())</f>
        <v>#N/A</v>
      </c>
      <c r="BA602" s="99">
        <f>IF(S_normal27[[#This Row],[Større end]],S_normal27[[#This Row],[Poissonfordeling]],NA())</f>
        <v>2.7005039315604771E-3</v>
      </c>
      <c r="BB602" s="85" t="str">
        <f>_xlfn.IFNA(IF(MOD(S_normal27[[#This Row],[Indeks (base 0)]],AS$8)=ROUNDDOWN(AS$8/2,0),S_normal27[[#This Row],[X base]],""),"")</f>
        <v/>
      </c>
      <c r="BC602" s="99" t="str">
        <f t="shared" si="86"/>
        <v xml:space="preserve"> </v>
      </c>
    </row>
    <row r="603" spans="31:55" x14ac:dyDescent="0.2">
      <c r="AE603" s="54">
        <f t="shared" si="88"/>
        <v>590</v>
      </c>
      <c r="AF603" s="54">
        <f>S_binomial[[#This Row],[Indeks (base 0)]]+1</f>
        <v>591</v>
      </c>
      <c r="AG603" s="99">
        <f t="shared" si="89"/>
        <v>6</v>
      </c>
      <c r="AH603" s="99">
        <f>IF(MOD(S_binomial[[#This Row],[Indeks (base 0)]],AF$7)=0,NA(),_xlfn.BINOM.DIST(S_binomial[[#This Row],[X base]],E$5,E$6,FALSE))</f>
        <v>0.40456723513599996</v>
      </c>
      <c r="AI603" s="99" t="b">
        <f>S_binomial[[#This Row],[X base]]&lt;AF$5</f>
        <v>0</v>
      </c>
      <c r="AJ603" s="99" t="b">
        <f>S_binomial[[#This Row],[X base]]=AF$5</f>
        <v>0</v>
      </c>
      <c r="AK603" s="99" t="b">
        <f>S_binomial[[#This Row],[X base]]&gt;AF$5</f>
        <v>1</v>
      </c>
      <c r="AL603" s="99" t="e">
        <f>IF(S_binomial[[#This Row],[Mindre end]],S_binomial[[#This Row],[Binomialfordeling]],NA())</f>
        <v>#N/A</v>
      </c>
      <c r="AM603" s="99" t="e">
        <f>IF(S_binomial[[#This Row],[Lig med]],S_binomial[[#This Row],[Binomialfordeling]],NA())</f>
        <v>#N/A</v>
      </c>
      <c r="AN603" s="99">
        <f>IF(S_binomial[[#This Row],[Større end]],S_binomial[[#This Row],[Binomialfordeling]],NA())</f>
        <v>0.40456723513599996</v>
      </c>
      <c r="AO603" s="85" t="str">
        <f>_xlfn.IFNA(IF(MOD(S_binomial[[#This Row],[Indeks (base 0)]],AF$7)=ROUNDDOWN(AF$7/2,0),S_binomial[[#This Row],[X base]],""),"")</f>
        <v/>
      </c>
      <c r="AP603" s="99" t="str">
        <f t="shared" si="90"/>
        <v xml:space="preserve"> </v>
      </c>
      <c r="AR603" s="54">
        <f t="shared" si="85"/>
        <v>590</v>
      </c>
      <c r="AS603" s="54">
        <f>S_normal27[[#This Row],[Indeks (base 0)]]+1</f>
        <v>591</v>
      </c>
      <c r="AT603" s="54">
        <f t="shared" si="87"/>
        <v>9</v>
      </c>
      <c r="AU603" s="54">
        <f>IF(MOD(S_normal27[[#This Row],[Indeks (base 0)]],AS$8)=0,NA(),_xlfn.POISSON.DIST(S_normal27[[#This Row],[X base]],$H$5,FALSE))</f>
        <v>2.7005039315604771E-3</v>
      </c>
      <c r="AV603" s="99" t="b">
        <f>S_normal27[[#This Row],[X base]]&lt;AS$5</f>
        <v>0</v>
      </c>
      <c r="AW603" s="99" t="b">
        <f>S_normal27[[#This Row],[X base]]=AS$5</f>
        <v>0</v>
      </c>
      <c r="AX603" s="99" t="b">
        <f>S_normal27[[#This Row],[X base]]&gt;AS$5</f>
        <v>1</v>
      </c>
      <c r="AY603" s="99" t="e">
        <f>IF(S_normal27[[#This Row],[Mindre end]],S_normal27[[#This Row],[Poissonfordeling]],NA())</f>
        <v>#N/A</v>
      </c>
      <c r="AZ603" s="99" t="e">
        <f>IF(S_normal27[[#This Row],[Lig med]],S_normal27[[#This Row],[Poissonfordeling]],NA())</f>
        <v>#N/A</v>
      </c>
      <c r="BA603" s="99">
        <f>IF(S_normal27[[#This Row],[Større end]],S_normal27[[#This Row],[Poissonfordeling]],NA())</f>
        <v>2.7005039315604771E-3</v>
      </c>
      <c r="BB603" s="85" t="str">
        <f>_xlfn.IFNA(IF(MOD(S_normal27[[#This Row],[Indeks (base 0)]],AS$8)=ROUNDDOWN(AS$8/2,0),S_normal27[[#This Row],[X base]],""),"")</f>
        <v/>
      </c>
      <c r="BC603" s="99" t="str">
        <f t="shared" si="86"/>
        <v xml:space="preserve"> </v>
      </c>
    </row>
    <row r="604" spans="31:55" x14ac:dyDescent="0.2">
      <c r="AE604" s="54">
        <f t="shared" si="88"/>
        <v>591</v>
      </c>
      <c r="AF604" s="54">
        <f>S_binomial[[#This Row],[Indeks (base 0)]]+1</f>
        <v>592</v>
      </c>
      <c r="AG604" s="99">
        <f t="shared" si="89"/>
        <v>6</v>
      </c>
      <c r="AH604" s="99">
        <f>IF(MOD(S_binomial[[#This Row],[Indeks (base 0)]],AF$7)=0,NA(),_xlfn.BINOM.DIST(S_binomial[[#This Row],[X base]],E$5,E$6,FALSE))</f>
        <v>0.40456723513599996</v>
      </c>
      <c r="AI604" s="99" t="b">
        <f>S_binomial[[#This Row],[X base]]&lt;AF$5</f>
        <v>0</v>
      </c>
      <c r="AJ604" s="99" t="b">
        <f>S_binomial[[#This Row],[X base]]=AF$5</f>
        <v>0</v>
      </c>
      <c r="AK604" s="99" t="b">
        <f>S_binomial[[#This Row],[X base]]&gt;AF$5</f>
        <v>1</v>
      </c>
      <c r="AL604" s="99" t="e">
        <f>IF(S_binomial[[#This Row],[Mindre end]],S_binomial[[#This Row],[Binomialfordeling]],NA())</f>
        <v>#N/A</v>
      </c>
      <c r="AM604" s="99" t="e">
        <f>IF(S_binomial[[#This Row],[Lig med]],S_binomial[[#This Row],[Binomialfordeling]],NA())</f>
        <v>#N/A</v>
      </c>
      <c r="AN604" s="99">
        <f>IF(S_binomial[[#This Row],[Større end]],S_binomial[[#This Row],[Binomialfordeling]],NA())</f>
        <v>0.40456723513599996</v>
      </c>
      <c r="AO604" s="85" t="str">
        <f>_xlfn.IFNA(IF(MOD(S_binomial[[#This Row],[Indeks (base 0)]],AF$7)=ROUNDDOWN(AF$7/2,0),S_binomial[[#This Row],[X base]],""),"")</f>
        <v/>
      </c>
      <c r="AP604" s="99" t="str">
        <f t="shared" si="90"/>
        <v xml:space="preserve"> </v>
      </c>
      <c r="AR604" s="54">
        <f t="shared" si="85"/>
        <v>591</v>
      </c>
      <c r="AS604" s="54">
        <f>S_normal27[[#This Row],[Indeks (base 0)]]+1</f>
        <v>592</v>
      </c>
      <c r="AT604" s="54">
        <f t="shared" si="87"/>
        <v>9</v>
      </c>
      <c r="AU604" s="54">
        <f>IF(MOD(S_normal27[[#This Row],[Indeks (base 0)]],AS$8)=0,NA(),_xlfn.POISSON.DIST(S_normal27[[#This Row],[X base]],$H$5,FALSE))</f>
        <v>2.7005039315604771E-3</v>
      </c>
      <c r="AV604" s="99" t="b">
        <f>S_normal27[[#This Row],[X base]]&lt;AS$5</f>
        <v>0</v>
      </c>
      <c r="AW604" s="99" t="b">
        <f>S_normal27[[#This Row],[X base]]=AS$5</f>
        <v>0</v>
      </c>
      <c r="AX604" s="99" t="b">
        <f>S_normal27[[#This Row],[X base]]&gt;AS$5</f>
        <v>1</v>
      </c>
      <c r="AY604" s="99" t="e">
        <f>IF(S_normal27[[#This Row],[Mindre end]],S_normal27[[#This Row],[Poissonfordeling]],NA())</f>
        <v>#N/A</v>
      </c>
      <c r="AZ604" s="99" t="e">
        <f>IF(S_normal27[[#This Row],[Lig med]],S_normal27[[#This Row],[Poissonfordeling]],NA())</f>
        <v>#N/A</v>
      </c>
      <c r="BA604" s="99">
        <f>IF(S_normal27[[#This Row],[Større end]],S_normal27[[#This Row],[Poissonfordeling]],NA())</f>
        <v>2.7005039315604771E-3</v>
      </c>
      <c r="BB604" s="85" t="str">
        <f>_xlfn.IFNA(IF(MOD(S_normal27[[#This Row],[Indeks (base 0)]],AS$8)=ROUNDDOWN(AS$8/2,0),S_normal27[[#This Row],[X base]],""),"")</f>
        <v/>
      </c>
      <c r="BC604" s="99" t="str">
        <f t="shared" si="86"/>
        <v xml:space="preserve"> </v>
      </c>
    </row>
    <row r="605" spans="31:55" x14ac:dyDescent="0.2">
      <c r="AE605" s="54">
        <f t="shared" si="88"/>
        <v>592</v>
      </c>
      <c r="AF605" s="54">
        <f>S_binomial[[#This Row],[Indeks (base 0)]]+1</f>
        <v>593</v>
      </c>
      <c r="AG605" s="99">
        <f t="shared" si="89"/>
        <v>6</v>
      </c>
      <c r="AH605" s="99">
        <f>IF(MOD(S_binomial[[#This Row],[Indeks (base 0)]],AF$7)=0,NA(),_xlfn.BINOM.DIST(S_binomial[[#This Row],[X base]],E$5,E$6,FALSE))</f>
        <v>0.40456723513599996</v>
      </c>
      <c r="AI605" s="99" t="b">
        <f>S_binomial[[#This Row],[X base]]&lt;AF$5</f>
        <v>0</v>
      </c>
      <c r="AJ605" s="99" t="b">
        <f>S_binomial[[#This Row],[X base]]=AF$5</f>
        <v>0</v>
      </c>
      <c r="AK605" s="99" t="b">
        <f>S_binomial[[#This Row],[X base]]&gt;AF$5</f>
        <v>1</v>
      </c>
      <c r="AL605" s="99" t="e">
        <f>IF(S_binomial[[#This Row],[Mindre end]],S_binomial[[#This Row],[Binomialfordeling]],NA())</f>
        <v>#N/A</v>
      </c>
      <c r="AM605" s="99" t="e">
        <f>IF(S_binomial[[#This Row],[Lig med]],S_binomial[[#This Row],[Binomialfordeling]],NA())</f>
        <v>#N/A</v>
      </c>
      <c r="AN605" s="99">
        <f>IF(S_binomial[[#This Row],[Større end]],S_binomial[[#This Row],[Binomialfordeling]],NA())</f>
        <v>0.40456723513599996</v>
      </c>
      <c r="AO605" s="85" t="str">
        <f>_xlfn.IFNA(IF(MOD(S_binomial[[#This Row],[Indeks (base 0)]],AF$7)=ROUNDDOWN(AF$7/2,0),S_binomial[[#This Row],[X base]],""),"")</f>
        <v/>
      </c>
      <c r="AP605" s="99" t="str">
        <f t="shared" si="90"/>
        <v xml:space="preserve"> </v>
      </c>
      <c r="AR605" s="54">
        <f t="shared" si="85"/>
        <v>592</v>
      </c>
      <c r="AS605" s="54">
        <f>S_normal27[[#This Row],[Indeks (base 0)]]+1</f>
        <v>593</v>
      </c>
      <c r="AT605" s="54">
        <f t="shared" si="87"/>
        <v>9</v>
      </c>
      <c r="AU605" s="54">
        <f>IF(MOD(S_normal27[[#This Row],[Indeks (base 0)]],AS$8)=0,NA(),_xlfn.POISSON.DIST(S_normal27[[#This Row],[X base]],$H$5,FALSE))</f>
        <v>2.7005039315604771E-3</v>
      </c>
      <c r="AV605" s="99" t="b">
        <f>S_normal27[[#This Row],[X base]]&lt;AS$5</f>
        <v>0</v>
      </c>
      <c r="AW605" s="99" t="b">
        <f>S_normal27[[#This Row],[X base]]=AS$5</f>
        <v>0</v>
      </c>
      <c r="AX605" s="99" t="b">
        <f>S_normal27[[#This Row],[X base]]&gt;AS$5</f>
        <v>1</v>
      </c>
      <c r="AY605" s="99" t="e">
        <f>IF(S_normal27[[#This Row],[Mindre end]],S_normal27[[#This Row],[Poissonfordeling]],NA())</f>
        <v>#N/A</v>
      </c>
      <c r="AZ605" s="99" t="e">
        <f>IF(S_normal27[[#This Row],[Lig med]],S_normal27[[#This Row],[Poissonfordeling]],NA())</f>
        <v>#N/A</v>
      </c>
      <c r="BA605" s="99">
        <f>IF(S_normal27[[#This Row],[Større end]],S_normal27[[#This Row],[Poissonfordeling]],NA())</f>
        <v>2.7005039315604771E-3</v>
      </c>
      <c r="BB605" s="85" t="str">
        <f>_xlfn.IFNA(IF(MOD(S_normal27[[#This Row],[Indeks (base 0)]],AS$8)=ROUNDDOWN(AS$8/2,0),S_normal27[[#This Row],[X base]],""),"")</f>
        <v/>
      </c>
      <c r="BC605" s="99" t="str">
        <f t="shared" si="86"/>
        <v xml:space="preserve"> </v>
      </c>
    </row>
    <row r="606" spans="31:55" x14ac:dyDescent="0.2">
      <c r="AE606" s="54">
        <f t="shared" si="88"/>
        <v>593</v>
      </c>
      <c r="AF606" s="54">
        <f>S_binomial[[#This Row],[Indeks (base 0)]]+1</f>
        <v>594</v>
      </c>
      <c r="AG606" s="99">
        <f t="shared" si="89"/>
        <v>6</v>
      </c>
      <c r="AH606" s="99">
        <f>IF(MOD(S_binomial[[#This Row],[Indeks (base 0)]],AF$7)=0,NA(),_xlfn.BINOM.DIST(S_binomial[[#This Row],[X base]],E$5,E$6,FALSE))</f>
        <v>0.40456723513599996</v>
      </c>
      <c r="AI606" s="99" t="b">
        <f>S_binomial[[#This Row],[X base]]&lt;AF$5</f>
        <v>0</v>
      </c>
      <c r="AJ606" s="99" t="b">
        <f>S_binomial[[#This Row],[X base]]=AF$5</f>
        <v>0</v>
      </c>
      <c r="AK606" s="99" t="b">
        <f>S_binomial[[#This Row],[X base]]&gt;AF$5</f>
        <v>1</v>
      </c>
      <c r="AL606" s="99" t="e">
        <f>IF(S_binomial[[#This Row],[Mindre end]],S_binomial[[#This Row],[Binomialfordeling]],NA())</f>
        <v>#N/A</v>
      </c>
      <c r="AM606" s="99" t="e">
        <f>IF(S_binomial[[#This Row],[Lig med]],S_binomial[[#This Row],[Binomialfordeling]],NA())</f>
        <v>#N/A</v>
      </c>
      <c r="AN606" s="99">
        <f>IF(S_binomial[[#This Row],[Større end]],S_binomial[[#This Row],[Binomialfordeling]],NA())</f>
        <v>0.40456723513599996</v>
      </c>
      <c r="AO606" s="85" t="str">
        <f>_xlfn.IFNA(IF(MOD(S_binomial[[#This Row],[Indeks (base 0)]],AF$7)=ROUNDDOWN(AF$7/2,0),S_binomial[[#This Row],[X base]],""),"")</f>
        <v/>
      </c>
      <c r="AP606" s="99" t="str">
        <f t="shared" si="90"/>
        <v xml:space="preserve"> </v>
      </c>
      <c r="AR606" s="54">
        <f t="shared" si="85"/>
        <v>593</v>
      </c>
      <c r="AS606" s="54">
        <f>S_normal27[[#This Row],[Indeks (base 0)]]+1</f>
        <v>594</v>
      </c>
      <c r="AT606" s="54">
        <f t="shared" si="87"/>
        <v>9</v>
      </c>
      <c r="AU606" s="54">
        <f>IF(MOD(S_normal27[[#This Row],[Indeks (base 0)]],AS$8)=0,NA(),_xlfn.POISSON.DIST(S_normal27[[#This Row],[X base]],$H$5,FALSE))</f>
        <v>2.7005039315604771E-3</v>
      </c>
      <c r="AV606" s="99" t="b">
        <f>S_normal27[[#This Row],[X base]]&lt;AS$5</f>
        <v>0</v>
      </c>
      <c r="AW606" s="99" t="b">
        <f>S_normal27[[#This Row],[X base]]=AS$5</f>
        <v>0</v>
      </c>
      <c r="AX606" s="99" t="b">
        <f>S_normal27[[#This Row],[X base]]&gt;AS$5</f>
        <v>1</v>
      </c>
      <c r="AY606" s="99" t="e">
        <f>IF(S_normal27[[#This Row],[Mindre end]],S_normal27[[#This Row],[Poissonfordeling]],NA())</f>
        <v>#N/A</v>
      </c>
      <c r="AZ606" s="99" t="e">
        <f>IF(S_normal27[[#This Row],[Lig med]],S_normal27[[#This Row],[Poissonfordeling]],NA())</f>
        <v>#N/A</v>
      </c>
      <c r="BA606" s="99">
        <f>IF(S_normal27[[#This Row],[Større end]],S_normal27[[#This Row],[Poissonfordeling]],NA())</f>
        <v>2.7005039315604771E-3</v>
      </c>
      <c r="BB606" s="85" t="str">
        <f>_xlfn.IFNA(IF(MOD(S_normal27[[#This Row],[Indeks (base 0)]],AS$8)=ROUNDDOWN(AS$8/2,0),S_normal27[[#This Row],[X base]],""),"")</f>
        <v/>
      </c>
      <c r="BC606" s="99" t="str">
        <f t="shared" si="86"/>
        <v xml:space="preserve"> </v>
      </c>
    </row>
    <row r="607" spans="31:55" x14ac:dyDescent="0.2">
      <c r="AE607" s="54">
        <f t="shared" si="88"/>
        <v>594</v>
      </c>
      <c r="AF607" s="54">
        <f>S_binomial[[#This Row],[Indeks (base 0)]]+1</f>
        <v>595</v>
      </c>
      <c r="AG607" s="99">
        <f t="shared" si="89"/>
        <v>6</v>
      </c>
      <c r="AH607" s="99">
        <f>IF(MOD(S_binomial[[#This Row],[Indeks (base 0)]],AF$7)=0,NA(),_xlfn.BINOM.DIST(S_binomial[[#This Row],[X base]],E$5,E$6,FALSE))</f>
        <v>0.40456723513599996</v>
      </c>
      <c r="AI607" s="99" t="b">
        <f>S_binomial[[#This Row],[X base]]&lt;AF$5</f>
        <v>0</v>
      </c>
      <c r="AJ607" s="99" t="b">
        <f>S_binomial[[#This Row],[X base]]=AF$5</f>
        <v>0</v>
      </c>
      <c r="AK607" s="99" t="b">
        <f>S_binomial[[#This Row],[X base]]&gt;AF$5</f>
        <v>1</v>
      </c>
      <c r="AL607" s="99" t="e">
        <f>IF(S_binomial[[#This Row],[Mindre end]],S_binomial[[#This Row],[Binomialfordeling]],NA())</f>
        <v>#N/A</v>
      </c>
      <c r="AM607" s="99" t="e">
        <f>IF(S_binomial[[#This Row],[Lig med]],S_binomial[[#This Row],[Binomialfordeling]],NA())</f>
        <v>#N/A</v>
      </c>
      <c r="AN607" s="99">
        <f>IF(S_binomial[[#This Row],[Større end]],S_binomial[[#This Row],[Binomialfordeling]],NA())</f>
        <v>0.40456723513599996</v>
      </c>
      <c r="AO607" s="85" t="str">
        <f>_xlfn.IFNA(IF(MOD(S_binomial[[#This Row],[Indeks (base 0)]],AF$7)=ROUNDDOWN(AF$7/2,0),S_binomial[[#This Row],[X base]],""),"")</f>
        <v/>
      </c>
      <c r="AP607" s="99" t="str">
        <f t="shared" si="90"/>
        <v xml:space="preserve"> </v>
      </c>
      <c r="AR607" s="54">
        <f t="shared" si="85"/>
        <v>594</v>
      </c>
      <c r="AS607" s="54">
        <f>S_normal27[[#This Row],[Indeks (base 0)]]+1</f>
        <v>595</v>
      </c>
      <c r="AT607" s="54">
        <f t="shared" si="87"/>
        <v>9</v>
      </c>
      <c r="AU607" s="54">
        <f>IF(MOD(S_normal27[[#This Row],[Indeks (base 0)]],AS$8)=0,NA(),_xlfn.POISSON.DIST(S_normal27[[#This Row],[X base]],$H$5,FALSE))</f>
        <v>2.7005039315604771E-3</v>
      </c>
      <c r="AV607" s="99" t="b">
        <f>S_normal27[[#This Row],[X base]]&lt;AS$5</f>
        <v>0</v>
      </c>
      <c r="AW607" s="99" t="b">
        <f>S_normal27[[#This Row],[X base]]=AS$5</f>
        <v>0</v>
      </c>
      <c r="AX607" s="99" t="b">
        <f>S_normal27[[#This Row],[X base]]&gt;AS$5</f>
        <v>1</v>
      </c>
      <c r="AY607" s="99" t="e">
        <f>IF(S_normal27[[#This Row],[Mindre end]],S_normal27[[#This Row],[Poissonfordeling]],NA())</f>
        <v>#N/A</v>
      </c>
      <c r="AZ607" s="99" t="e">
        <f>IF(S_normal27[[#This Row],[Lig med]],S_normal27[[#This Row],[Poissonfordeling]],NA())</f>
        <v>#N/A</v>
      </c>
      <c r="BA607" s="99">
        <f>IF(S_normal27[[#This Row],[Større end]],S_normal27[[#This Row],[Poissonfordeling]],NA())</f>
        <v>2.7005039315604771E-3</v>
      </c>
      <c r="BB607" s="85" t="str">
        <f>_xlfn.IFNA(IF(MOD(S_normal27[[#This Row],[Indeks (base 0)]],AS$8)=ROUNDDOWN(AS$8/2,0),S_normal27[[#This Row],[X base]],""),"")</f>
        <v/>
      </c>
      <c r="BC607" s="99" t="str">
        <f t="shared" si="86"/>
        <v xml:space="preserve"> </v>
      </c>
    </row>
    <row r="608" spans="31:55" x14ac:dyDescent="0.2">
      <c r="AE608" s="54">
        <f t="shared" si="88"/>
        <v>595</v>
      </c>
      <c r="AF608" s="54">
        <f>S_binomial[[#This Row],[Indeks (base 0)]]+1</f>
        <v>596</v>
      </c>
      <c r="AG608" s="99">
        <f t="shared" si="89"/>
        <v>6</v>
      </c>
      <c r="AH608" s="99">
        <f>IF(MOD(S_binomial[[#This Row],[Indeks (base 0)]],AF$7)=0,NA(),_xlfn.BINOM.DIST(S_binomial[[#This Row],[X base]],E$5,E$6,FALSE))</f>
        <v>0.40456723513599996</v>
      </c>
      <c r="AI608" s="99" t="b">
        <f>S_binomial[[#This Row],[X base]]&lt;AF$5</f>
        <v>0</v>
      </c>
      <c r="AJ608" s="99" t="b">
        <f>S_binomial[[#This Row],[X base]]=AF$5</f>
        <v>0</v>
      </c>
      <c r="AK608" s="99" t="b">
        <f>S_binomial[[#This Row],[X base]]&gt;AF$5</f>
        <v>1</v>
      </c>
      <c r="AL608" s="99" t="e">
        <f>IF(S_binomial[[#This Row],[Mindre end]],S_binomial[[#This Row],[Binomialfordeling]],NA())</f>
        <v>#N/A</v>
      </c>
      <c r="AM608" s="99" t="e">
        <f>IF(S_binomial[[#This Row],[Lig med]],S_binomial[[#This Row],[Binomialfordeling]],NA())</f>
        <v>#N/A</v>
      </c>
      <c r="AN608" s="99">
        <f>IF(S_binomial[[#This Row],[Større end]],S_binomial[[#This Row],[Binomialfordeling]],NA())</f>
        <v>0.40456723513599996</v>
      </c>
      <c r="AO608" s="85" t="str">
        <f>_xlfn.IFNA(IF(MOD(S_binomial[[#This Row],[Indeks (base 0)]],AF$7)=ROUNDDOWN(AF$7/2,0),S_binomial[[#This Row],[X base]],""),"")</f>
        <v/>
      </c>
      <c r="AP608" s="99" t="str">
        <f t="shared" si="90"/>
        <v xml:space="preserve"> </v>
      </c>
      <c r="AR608" s="54">
        <f t="shared" si="85"/>
        <v>595</v>
      </c>
      <c r="AS608" s="54">
        <f>S_normal27[[#This Row],[Indeks (base 0)]]+1</f>
        <v>596</v>
      </c>
      <c r="AT608" s="54">
        <f t="shared" si="87"/>
        <v>9</v>
      </c>
      <c r="AU608" s="54">
        <f>IF(MOD(S_normal27[[#This Row],[Indeks (base 0)]],AS$8)=0,NA(),_xlfn.POISSON.DIST(S_normal27[[#This Row],[X base]],$H$5,FALSE))</f>
        <v>2.7005039315604771E-3</v>
      </c>
      <c r="AV608" s="99" t="b">
        <f>S_normal27[[#This Row],[X base]]&lt;AS$5</f>
        <v>0</v>
      </c>
      <c r="AW608" s="99" t="b">
        <f>S_normal27[[#This Row],[X base]]=AS$5</f>
        <v>0</v>
      </c>
      <c r="AX608" s="99" t="b">
        <f>S_normal27[[#This Row],[X base]]&gt;AS$5</f>
        <v>1</v>
      </c>
      <c r="AY608" s="99" t="e">
        <f>IF(S_normal27[[#This Row],[Mindre end]],S_normal27[[#This Row],[Poissonfordeling]],NA())</f>
        <v>#N/A</v>
      </c>
      <c r="AZ608" s="99" t="e">
        <f>IF(S_normal27[[#This Row],[Lig med]],S_normal27[[#This Row],[Poissonfordeling]],NA())</f>
        <v>#N/A</v>
      </c>
      <c r="BA608" s="99">
        <f>IF(S_normal27[[#This Row],[Større end]],S_normal27[[#This Row],[Poissonfordeling]],NA())</f>
        <v>2.7005039315604771E-3</v>
      </c>
      <c r="BB608" s="85" t="str">
        <f>_xlfn.IFNA(IF(MOD(S_normal27[[#This Row],[Indeks (base 0)]],AS$8)=ROUNDDOWN(AS$8/2,0),S_normal27[[#This Row],[X base]],""),"")</f>
        <v/>
      </c>
      <c r="BC608" s="99" t="str">
        <f t="shared" si="86"/>
        <v xml:space="preserve"> </v>
      </c>
    </row>
    <row r="609" spans="31:55" x14ac:dyDescent="0.2">
      <c r="AE609" s="54">
        <f t="shared" si="88"/>
        <v>596</v>
      </c>
      <c r="AF609" s="54">
        <f>S_binomial[[#This Row],[Indeks (base 0)]]+1</f>
        <v>597</v>
      </c>
      <c r="AG609" s="99">
        <f t="shared" si="89"/>
        <v>6</v>
      </c>
      <c r="AH609" s="99">
        <f>IF(MOD(S_binomial[[#This Row],[Indeks (base 0)]],AF$7)=0,NA(),_xlfn.BINOM.DIST(S_binomial[[#This Row],[X base]],E$5,E$6,FALSE))</f>
        <v>0.40456723513599996</v>
      </c>
      <c r="AI609" s="99" t="b">
        <f>S_binomial[[#This Row],[X base]]&lt;AF$5</f>
        <v>0</v>
      </c>
      <c r="AJ609" s="99" t="b">
        <f>S_binomial[[#This Row],[X base]]=AF$5</f>
        <v>0</v>
      </c>
      <c r="AK609" s="99" t="b">
        <f>S_binomial[[#This Row],[X base]]&gt;AF$5</f>
        <v>1</v>
      </c>
      <c r="AL609" s="99" t="e">
        <f>IF(S_binomial[[#This Row],[Mindre end]],S_binomial[[#This Row],[Binomialfordeling]],NA())</f>
        <v>#N/A</v>
      </c>
      <c r="AM609" s="99" t="e">
        <f>IF(S_binomial[[#This Row],[Lig med]],S_binomial[[#This Row],[Binomialfordeling]],NA())</f>
        <v>#N/A</v>
      </c>
      <c r="AN609" s="99">
        <f>IF(S_binomial[[#This Row],[Større end]],S_binomial[[#This Row],[Binomialfordeling]],NA())</f>
        <v>0.40456723513599996</v>
      </c>
      <c r="AO609" s="85" t="str">
        <f>_xlfn.IFNA(IF(MOD(S_binomial[[#This Row],[Indeks (base 0)]],AF$7)=ROUNDDOWN(AF$7/2,0),S_binomial[[#This Row],[X base]],""),"")</f>
        <v/>
      </c>
      <c r="AP609" s="99" t="str">
        <f t="shared" si="90"/>
        <v xml:space="preserve"> </v>
      </c>
      <c r="AR609" s="54">
        <f t="shared" si="85"/>
        <v>596</v>
      </c>
      <c r="AS609" s="54">
        <f>S_normal27[[#This Row],[Indeks (base 0)]]+1</f>
        <v>597</v>
      </c>
      <c r="AT609" s="54">
        <f t="shared" si="87"/>
        <v>9</v>
      </c>
      <c r="AU609" s="54">
        <f>IF(MOD(S_normal27[[#This Row],[Indeks (base 0)]],AS$8)=0,NA(),_xlfn.POISSON.DIST(S_normal27[[#This Row],[X base]],$H$5,FALSE))</f>
        <v>2.7005039315604771E-3</v>
      </c>
      <c r="AV609" s="99" t="b">
        <f>S_normal27[[#This Row],[X base]]&lt;AS$5</f>
        <v>0</v>
      </c>
      <c r="AW609" s="99" t="b">
        <f>S_normal27[[#This Row],[X base]]=AS$5</f>
        <v>0</v>
      </c>
      <c r="AX609" s="99" t="b">
        <f>S_normal27[[#This Row],[X base]]&gt;AS$5</f>
        <v>1</v>
      </c>
      <c r="AY609" s="99" t="e">
        <f>IF(S_normal27[[#This Row],[Mindre end]],S_normal27[[#This Row],[Poissonfordeling]],NA())</f>
        <v>#N/A</v>
      </c>
      <c r="AZ609" s="99" t="e">
        <f>IF(S_normal27[[#This Row],[Lig med]],S_normal27[[#This Row],[Poissonfordeling]],NA())</f>
        <v>#N/A</v>
      </c>
      <c r="BA609" s="99">
        <f>IF(S_normal27[[#This Row],[Større end]],S_normal27[[#This Row],[Poissonfordeling]],NA())</f>
        <v>2.7005039315604771E-3</v>
      </c>
      <c r="BB609" s="85" t="str">
        <f>_xlfn.IFNA(IF(MOD(S_normal27[[#This Row],[Indeks (base 0)]],AS$8)=ROUNDDOWN(AS$8/2,0),S_normal27[[#This Row],[X base]],""),"")</f>
        <v/>
      </c>
      <c r="BC609" s="99" t="str">
        <f t="shared" si="86"/>
        <v xml:space="preserve"> </v>
      </c>
    </row>
    <row r="610" spans="31:55" x14ac:dyDescent="0.2">
      <c r="AE610" s="54">
        <f t="shared" si="88"/>
        <v>597</v>
      </c>
      <c r="AF610" s="54">
        <f>S_binomial[[#This Row],[Indeks (base 0)]]+1</f>
        <v>598</v>
      </c>
      <c r="AG610" s="99">
        <f t="shared" si="89"/>
        <v>6</v>
      </c>
      <c r="AH610" s="99">
        <f>IF(MOD(S_binomial[[#This Row],[Indeks (base 0)]],AF$7)=0,NA(),_xlfn.BINOM.DIST(S_binomial[[#This Row],[X base]],E$5,E$6,FALSE))</f>
        <v>0.40456723513599996</v>
      </c>
      <c r="AI610" s="99" t="b">
        <f>S_binomial[[#This Row],[X base]]&lt;AF$5</f>
        <v>0</v>
      </c>
      <c r="AJ610" s="99" t="b">
        <f>S_binomial[[#This Row],[X base]]=AF$5</f>
        <v>0</v>
      </c>
      <c r="AK610" s="99" t="b">
        <f>S_binomial[[#This Row],[X base]]&gt;AF$5</f>
        <v>1</v>
      </c>
      <c r="AL610" s="99" t="e">
        <f>IF(S_binomial[[#This Row],[Mindre end]],S_binomial[[#This Row],[Binomialfordeling]],NA())</f>
        <v>#N/A</v>
      </c>
      <c r="AM610" s="99" t="e">
        <f>IF(S_binomial[[#This Row],[Lig med]],S_binomial[[#This Row],[Binomialfordeling]],NA())</f>
        <v>#N/A</v>
      </c>
      <c r="AN610" s="99">
        <f>IF(S_binomial[[#This Row],[Større end]],S_binomial[[#This Row],[Binomialfordeling]],NA())</f>
        <v>0.40456723513599996</v>
      </c>
      <c r="AO610" s="85" t="str">
        <f>_xlfn.IFNA(IF(MOD(S_binomial[[#This Row],[Indeks (base 0)]],AF$7)=ROUNDDOWN(AF$7/2,0),S_binomial[[#This Row],[X base]],""),"")</f>
        <v/>
      </c>
      <c r="AP610" s="99" t="str">
        <f t="shared" si="90"/>
        <v xml:space="preserve"> </v>
      </c>
      <c r="AR610" s="54">
        <f t="shared" si="85"/>
        <v>597</v>
      </c>
      <c r="AS610" s="54">
        <f>S_normal27[[#This Row],[Indeks (base 0)]]+1</f>
        <v>598</v>
      </c>
      <c r="AT610" s="54">
        <f t="shared" si="87"/>
        <v>9</v>
      </c>
      <c r="AU610" s="54">
        <f>IF(MOD(S_normal27[[#This Row],[Indeks (base 0)]],AS$8)=0,NA(),_xlfn.POISSON.DIST(S_normal27[[#This Row],[X base]],$H$5,FALSE))</f>
        <v>2.7005039315604771E-3</v>
      </c>
      <c r="AV610" s="99" t="b">
        <f>S_normal27[[#This Row],[X base]]&lt;AS$5</f>
        <v>0</v>
      </c>
      <c r="AW610" s="99" t="b">
        <f>S_normal27[[#This Row],[X base]]=AS$5</f>
        <v>0</v>
      </c>
      <c r="AX610" s="99" t="b">
        <f>S_normal27[[#This Row],[X base]]&gt;AS$5</f>
        <v>1</v>
      </c>
      <c r="AY610" s="99" t="e">
        <f>IF(S_normal27[[#This Row],[Mindre end]],S_normal27[[#This Row],[Poissonfordeling]],NA())</f>
        <v>#N/A</v>
      </c>
      <c r="AZ610" s="99" t="e">
        <f>IF(S_normal27[[#This Row],[Lig med]],S_normal27[[#This Row],[Poissonfordeling]],NA())</f>
        <v>#N/A</v>
      </c>
      <c r="BA610" s="99">
        <f>IF(S_normal27[[#This Row],[Større end]],S_normal27[[#This Row],[Poissonfordeling]],NA())</f>
        <v>2.7005039315604771E-3</v>
      </c>
      <c r="BB610" s="85" t="str">
        <f>_xlfn.IFNA(IF(MOD(S_normal27[[#This Row],[Indeks (base 0)]],AS$8)=ROUNDDOWN(AS$8/2,0),S_normal27[[#This Row],[X base]],""),"")</f>
        <v/>
      </c>
      <c r="BC610" s="99" t="str">
        <f t="shared" si="86"/>
        <v xml:space="preserve"> </v>
      </c>
    </row>
    <row r="611" spans="31:55" x14ac:dyDescent="0.2">
      <c r="AE611" s="54">
        <f t="shared" si="88"/>
        <v>598</v>
      </c>
      <c r="AF611" s="54">
        <f>S_binomial[[#This Row],[Indeks (base 0)]]+1</f>
        <v>599</v>
      </c>
      <c r="AG611" s="99">
        <f t="shared" si="89"/>
        <v>6</v>
      </c>
      <c r="AH611" s="99">
        <f>IF(MOD(S_binomial[[#This Row],[Indeks (base 0)]],AF$7)=0,NA(),_xlfn.BINOM.DIST(S_binomial[[#This Row],[X base]],E$5,E$6,FALSE))</f>
        <v>0.40456723513599996</v>
      </c>
      <c r="AI611" s="99" t="b">
        <f>S_binomial[[#This Row],[X base]]&lt;AF$5</f>
        <v>0</v>
      </c>
      <c r="AJ611" s="99" t="b">
        <f>S_binomial[[#This Row],[X base]]=AF$5</f>
        <v>0</v>
      </c>
      <c r="AK611" s="99" t="b">
        <f>S_binomial[[#This Row],[X base]]&gt;AF$5</f>
        <v>1</v>
      </c>
      <c r="AL611" s="99" t="e">
        <f>IF(S_binomial[[#This Row],[Mindre end]],S_binomial[[#This Row],[Binomialfordeling]],NA())</f>
        <v>#N/A</v>
      </c>
      <c r="AM611" s="99" t="e">
        <f>IF(S_binomial[[#This Row],[Lig med]],S_binomial[[#This Row],[Binomialfordeling]],NA())</f>
        <v>#N/A</v>
      </c>
      <c r="AN611" s="99">
        <f>IF(S_binomial[[#This Row],[Større end]],S_binomial[[#This Row],[Binomialfordeling]],NA())</f>
        <v>0.40456723513599996</v>
      </c>
      <c r="AO611" s="85">
        <f>_xlfn.IFNA(IF(MOD(S_binomial[[#This Row],[Indeks (base 0)]],AF$7)=ROUNDDOWN(AF$7/2,0),S_binomial[[#This Row],[X base]],""),"")</f>
        <v>6</v>
      </c>
      <c r="AP611" s="99" t="str">
        <f t="shared" si="90"/>
        <v>40.457%
større end 5</v>
      </c>
      <c r="AR611" s="54">
        <f t="shared" si="85"/>
        <v>598</v>
      </c>
      <c r="AS611" s="54">
        <f>S_normal27[[#This Row],[Indeks (base 0)]]+1</f>
        <v>599</v>
      </c>
      <c r="AT611" s="54">
        <f t="shared" si="87"/>
        <v>9</v>
      </c>
      <c r="AU611" s="54">
        <f>IF(MOD(S_normal27[[#This Row],[Indeks (base 0)]],AS$8)=0,NA(),_xlfn.POISSON.DIST(S_normal27[[#This Row],[X base]],$H$5,FALSE))</f>
        <v>2.7005039315604771E-3</v>
      </c>
      <c r="AV611" s="99" t="b">
        <f>S_normal27[[#This Row],[X base]]&lt;AS$5</f>
        <v>0</v>
      </c>
      <c r="AW611" s="99" t="b">
        <f>S_normal27[[#This Row],[X base]]=AS$5</f>
        <v>0</v>
      </c>
      <c r="AX611" s="99" t="b">
        <f>S_normal27[[#This Row],[X base]]&gt;AS$5</f>
        <v>1</v>
      </c>
      <c r="AY611" s="99" t="e">
        <f>IF(S_normal27[[#This Row],[Mindre end]],S_normal27[[#This Row],[Poissonfordeling]],NA())</f>
        <v>#N/A</v>
      </c>
      <c r="AZ611" s="99" t="e">
        <f>IF(S_normal27[[#This Row],[Lig med]],S_normal27[[#This Row],[Poissonfordeling]],NA())</f>
        <v>#N/A</v>
      </c>
      <c r="BA611" s="99">
        <f>IF(S_normal27[[#This Row],[Større end]],S_normal27[[#This Row],[Poissonfordeling]],NA())</f>
        <v>2.7005039315604771E-3</v>
      </c>
      <c r="BB611" s="85" t="str">
        <f>_xlfn.IFNA(IF(MOD(S_normal27[[#This Row],[Indeks (base 0)]],AS$8)=ROUNDDOWN(AS$8/2,0),S_normal27[[#This Row],[X base]],""),"")</f>
        <v/>
      </c>
      <c r="BC611" s="99" t="str">
        <f t="shared" si="86"/>
        <v xml:space="preserve"> </v>
      </c>
    </row>
    <row r="612" spans="31:55" x14ac:dyDescent="0.2">
      <c r="AE612" s="54">
        <f t="shared" si="88"/>
        <v>599</v>
      </c>
      <c r="AF612" s="54">
        <f>S_binomial[[#This Row],[Indeks (base 0)]]+1</f>
        <v>600</v>
      </c>
      <c r="AG612" s="99">
        <f t="shared" si="89"/>
        <v>6</v>
      </c>
      <c r="AH612" s="99">
        <f>IF(MOD(S_binomial[[#This Row],[Indeks (base 0)]],AF$7)=0,NA(),_xlfn.BINOM.DIST(S_binomial[[#This Row],[X base]],E$5,E$6,FALSE))</f>
        <v>0.40456723513599996</v>
      </c>
      <c r="AI612" s="99" t="b">
        <f>S_binomial[[#This Row],[X base]]&lt;AF$5</f>
        <v>0</v>
      </c>
      <c r="AJ612" s="99" t="b">
        <f>S_binomial[[#This Row],[X base]]=AF$5</f>
        <v>0</v>
      </c>
      <c r="AK612" s="99" t="b">
        <f>S_binomial[[#This Row],[X base]]&gt;AF$5</f>
        <v>1</v>
      </c>
      <c r="AL612" s="99" t="e">
        <f>IF(S_binomial[[#This Row],[Mindre end]],S_binomial[[#This Row],[Binomialfordeling]],NA())</f>
        <v>#N/A</v>
      </c>
      <c r="AM612" s="99" t="e">
        <f>IF(S_binomial[[#This Row],[Lig med]],S_binomial[[#This Row],[Binomialfordeling]],NA())</f>
        <v>#N/A</v>
      </c>
      <c r="AN612" s="99">
        <f>IF(S_binomial[[#This Row],[Større end]],S_binomial[[#This Row],[Binomialfordeling]],NA())</f>
        <v>0.40456723513599996</v>
      </c>
      <c r="AO612" s="85" t="str">
        <f>_xlfn.IFNA(IF(MOD(S_binomial[[#This Row],[Indeks (base 0)]],AF$7)=ROUNDDOWN(AF$7/2,0),S_binomial[[#This Row],[X base]],""),"")</f>
        <v/>
      </c>
      <c r="AP612" s="99" t="str">
        <f t="shared" si="90"/>
        <v xml:space="preserve"> </v>
      </c>
      <c r="AR612" s="54">
        <f t="shared" si="85"/>
        <v>599</v>
      </c>
      <c r="AS612" s="54">
        <f>S_normal27[[#This Row],[Indeks (base 0)]]+1</f>
        <v>600</v>
      </c>
      <c r="AT612" s="54">
        <f t="shared" si="87"/>
        <v>9</v>
      </c>
      <c r="AU612" s="54">
        <f>IF(MOD(S_normal27[[#This Row],[Indeks (base 0)]],AS$8)=0,NA(),_xlfn.POISSON.DIST(S_normal27[[#This Row],[X base]],$H$5,FALSE))</f>
        <v>2.7005039315604771E-3</v>
      </c>
      <c r="AV612" s="99" t="b">
        <f>S_normal27[[#This Row],[X base]]&lt;AS$5</f>
        <v>0</v>
      </c>
      <c r="AW612" s="99" t="b">
        <f>S_normal27[[#This Row],[X base]]=AS$5</f>
        <v>0</v>
      </c>
      <c r="AX612" s="99" t="b">
        <f>S_normal27[[#This Row],[X base]]&gt;AS$5</f>
        <v>1</v>
      </c>
      <c r="AY612" s="99" t="e">
        <f>IF(S_normal27[[#This Row],[Mindre end]],S_normal27[[#This Row],[Poissonfordeling]],NA())</f>
        <v>#N/A</v>
      </c>
      <c r="AZ612" s="99" t="e">
        <f>IF(S_normal27[[#This Row],[Lig med]],S_normal27[[#This Row],[Poissonfordeling]],NA())</f>
        <v>#N/A</v>
      </c>
      <c r="BA612" s="99">
        <f>IF(S_normal27[[#This Row],[Større end]],S_normal27[[#This Row],[Poissonfordeling]],NA())</f>
        <v>2.7005039315604771E-3</v>
      </c>
      <c r="BB612" s="85" t="str">
        <f>_xlfn.IFNA(IF(MOD(S_normal27[[#This Row],[Indeks (base 0)]],AS$8)=ROUNDDOWN(AS$8/2,0),S_normal27[[#This Row],[X base]],""),"")</f>
        <v/>
      </c>
      <c r="BC612" s="99" t="str">
        <f t="shared" si="86"/>
        <v xml:space="preserve"> </v>
      </c>
    </row>
    <row r="613" spans="31:55" x14ac:dyDescent="0.2">
      <c r="AE613" s="54">
        <f t="shared" si="88"/>
        <v>600</v>
      </c>
      <c r="AF613" s="54">
        <f>S_binomial[[#This Row],[Indeks (base 0)]]+1</f>
        <v>601</v>
      </c>
      <c r="AG613" s="99">
        <f t="shared" si="89"/>
        <v>6</v>
      </c>
      <c r="AH613" s="99">
        <f>IF(MOD(S_binomial[[#This Row],[Indeks (base 0)]],AF$7)=0,NA(),_xlfn.BINOM.DIST(S_binomial[[#This Row],[X base]],E$5,E$6,FALSE))</f>
        <v>0.40456723513599996</v>
      </c>
      <c r="AI613" s="99" t="b">
        <f>S_binomial[[#This Row],[X base]]&lt;AF$5</f>
        <v>0</v>
      </c>
      <c r="AJ613" s="99" t="b">
        <f>S_binomial[[#This Row],[X base]]=AF$5</f>
        <v>0</v>
      </c>
      <c r="AK613" s="99" t="b">
        <f>S_binomial[[#This Row],[X base]]&gt;AF$5</f>
        <v>1</v>
      </c>
      <c r="AL613" s="99" t="e">
        <f>IF(S_binomial[[#This Row],[Mindre end]],S_binomial[[#This Row],[Binomialfordeling]],NA())</f>
        <v>#N/A</v>
      </c>
      <c r="AM613" s="99" t="e">
        <f>IF(S_binomial[[#This Row],[Lig med]],S_binomial[[#This Row],[Binomialfordeling]],NA())</f>
        <v>#N/A</v>
      </c>
      <c r="AN613" s="99">
        <f>IF(S_binomial[[#This Row],[Større end]],S_binomial[[#This Row],[Binomialfordeling]],NA())</f>
        <v>0.40456723513599996</v>
      </c>
      <c r="AO613" s="85" t="str">
        <f>_xlfn.IFNA(IF(MOD(S_binomial[[#This Row],[Indeks (base 0)]],AF$7)=ROUNDDOWN(AF$7/2,0),S_binomial[[#This Row],[X base]],""),"")</f>
        <v/>
      </c>
      <c r="AP613" s="99" t="str">
        <f t="shared" si="90"/>
        <v xml:space="preserve"> </v>
      </c>
      <c r="AR613" s="54">
        <f t="shared" si="85"/>
        <v>600</v>
      </c>
      <c r="AS613" s="54">
        <f>S_normal27[[#This Row],[Indeks (base 0)]]+1</f>
        <v>601</v>
      </c>
      <c r="AT613" s="54">
        <f t="shared" si="87"/>
        <v>9</v>
      </c>
      <c r="AU613" s="54">
        <f>IF(MOD(S_normal27[[#This Row],[Indeks (base 0)]],AS$8)=0,NA(),_xlfn.POISSON.DIST(S_normal27[[#This Row],[X base]],$H$5,FALSE))</f>
        <v>2.7005039315604771E-3</v>
      </c>
      <c r="AV613" s="99" t="b">
        <f>S_normal27[[#This Row],[X base]]&lt;AS$5</f>
        <v>0</v>
      </c>
      <c r="AW613" s="99" t="b">
        <f>S_normal27[[#This Row],[X base]]=AS$5</f>
        <v>0</v>
      </c>
      <c r="AX613" s="99" t="b">
        <f>S_normal27[[#This Row],[X base]]&gt;AS$5</f>
        <v>1</v>
      </c>
      <c r="AY613" s="99" t="e">
        <f>IF(S_normal27[[#This Row],[Mindre end]],S_normal27[[#This Row],[Poissonfordeling]],NA())</f>
        <v>#N/A</v>
      </c>
      <c r="AZ613" s="99" t="e">
        <f>IF(S_normal27[[#This Row],[Lig med]],S_normal27[[#This Row],[Poissonfordeling]],NA())</f>
        <v>#N/A</v>
      </c>
      <c r="BA613" s="99">
        <f>IF(S_normal27[[#This Row],[Større end]],S_normal27[[#This Row],[Poissonfordeling]],NA())</f>
        <v>2.7005039315604771E-3</v>
      </c>
      <c r="BB613" s="85" t="str">
        <f>_xlfn.IFNA(IF(MOD(S_normal27[[#This Row],[Indeks (base 0)]],AS$8)=ROUNDDOWN(AS$8/2,0),S_normal27[[#This Row],[X base]],""),"")</f>
        <v/>
      </c>
      <c r="BC613" s="99" t="str">
        <f t="shared" si="86"/>
        <v xml:space="preserve"> </v>
      </c>
    </row>
    <row r="614" spans="31:55" x14ac:dyDescent="0.2">
      <c r="AE614" s="54">
        <f t="shared" si="88"/>
        <v>601</v>
      </c>
      <c r="AF614" s="54">
        <f>S_binomial[[#This Row],[Indeks (base 0)]]+1</f>
        <v>602</v>
      </c>
      <c r="AG614" s="99">
        <f t="shared" si="89"/>
        <v>6</v>
      </c>
      <c r="AH614" s="99">
        <f>IF(MOD(S_binomial[[#This Row],[Indeks (base 0)]],AF$7)=0,NA(),_xlfn.BINOM.DIST(S_binomial[[#This Row],[X base]],E$5,E$6,FALSE))</f>
        <v>0.40456723513599996</v>
      </c>
      <c r="AI614" s="99" t="b">
        <f>S_binomial[[#This Row],[X base]]&lt;AF$5</f>
        <v>0</v>
      </c>
      <c r="AJ614" s="99" t="b">
        <f>S_binomial[[#This Row],[X base]]=AF$5</f>
        <v>0</v>
      </c>
      <c r="AK614" s="99" t="b">
        <f>S_binomial[[#This Row],[X base]]&gt;AF$5</f>
        <v>1</v>
      </c>
      <c r="AL614" s="99" t="e">
        <f>IF(S_binomial[[#This Row],[Mindre end]],S_binomial[[#This Row],[Binomialfordeling]],NA())</f>
        <v>#N/A</v>
      </c>
      <c r="AM614" s="99" t="e">
        <f>IF(S_binomial[[#This Row],[Lig med]],S_binomial[[#This Row],[Binomialfordeling]],NA())</f>
        <v>#N/A</v>
      </c>
      <c r="AN614" s="99">
        <f>IF(S_binomial[[#This Row],[Større end]],S_binomial[[#This Row],[Binomialfordeling]],NA())</f>
        <v>0.40456723513599996</v>
      </c>
      <c r="AO614" s="85" t="str">
        <f>_xlfn.IFNA(IF(MOD(S_binomial[[#This Row],[Indeks (base 0)]],AF$7)=ROUNDDOWN(AF$7/2,0),S_binomial[[#This Row],[X base]],""),"")</f>
        <v/>
      </c>
      <c r="AP614" s="99" t="str">
        <f t="shared" si="90"/>
        <v xml:space="preserve"> </v>
      </c>
      <c r="AR614" s="54">
        <f t="shared" si="85"/>
        <v>601</v>
      </c>
      <c r="AS614" s="54">
        <f>S_normal27[[#This Row],[Indeks (base 0)]]+1</f>
        <v>602</v>
      </c>
      <c r="AT614" s="54">
        <f t="shared" si="87"/>
        <v>9</v>
      </c>
      <c r="AU614" s="54">
        <f>IF(MOD(S_normal27[[#This Row],[Indeks (base 0)]],AS$8)=0,NA(),_xlfn.POISSON.DIST(S_normal27[[#This Row],[X base]],$H$5,FALSE))</f>
        <v>2.7005039315604771E-3</v>
      </c>
      <c r="AV614" s="99" t="b">
        <f>S_normal27[[#This Row],[X base]]&lt;AS$5</f>
        <v>0</v>
      </c>
      <c r="AW614" s="99" t="b">
        <f>S_normal27[[#This Row],[X base]]=AS$5</f>
        <v>0</v>
      </c>
      <c r="AX614" s="99" t="b">
        <f>S_normal27[[#This Row],[X base]]&gt;AS$5</f>
        <v>1</v>
      </c>
      <c r="AY614" s="99" t="e">
        <f>IF(S_normal27[[#This Row],[Mindre end]],S_normal27[[#This Row],[Poissonfordeling]],NA())</f>
        <v>#N/A</v>
      </c>
      <c r="AZ614" s="99" t="e">
        <f>IF(S_normal27[[#This Row],[Lig med]],S_normal27[[#This Row],[Poissonfordeling]],NA())</f>
        <v>#N/A</v>
      </c>
      <c r="BA614" s="99">
        <f>IF(S_normal27[[#This Row],[Større end]],S_normal27[[#This Row],[Poissonfordeling]],NA())</f>
        <v>2.7005039315604771E-3</v>
      </c>
      <c r="BB614" s="85" t="str">
        <f>_xlfn.IFNA(IF(MOD(S_normal27[[#This Row],[Indeks (base 0)]],AS$8)=ROUNDDOWN(AS$8/2,0),S_normal27[[#This Row],[X base]],""),"")</f>
        <v/>
      </c>
      <c r="BC614" s="99" t="str">
        <f t="shared" si="86"/>
        <v xml:space="preserve"> </v>
      </c>
    </row>
    <row r="615" spans="31:55" x14ac:dyDescent="0.2">
      <c r="AE615" s="54">
        <f t="shared" si="88"/>
        <v>602</v>
      </c>
      <c r="AF615" s="54">
        <f>S_binomial[[#This Row],[Indeks (base 0)]]+1</f>
        <v>603</v>
      </c>
      <c r="AG615" s="99">
        <f t="shared" si="89"/>
        <v>6</v>
      </c>
      <c r="AH615" s="99">
        <f>IF(MOD(S_binomial[[#This Row],[Indeks (base 0)]],AF$7)=0,NA(),_xlfn.BINOM.DIST(S_binomial[[#This Row],[X base]],E$5,E$6,FALSE))</f>
        <v>0.40456723513599996</v>
      </c>
      <c r="AI615" s="99" t="b">
        <f>S_binomial[[#This Row],[X base]]&lt;AF$5</f>
        <v>0</v>
      </c>
      <c r="AJ615" s="99" t="b">
        <f>S_binomial[[#This Row],[X base]]=AF$5</f>
        <v>0</v>
      </c>
      <c r="AK615" s="99" t="b">
        <f>S_binomial[[#This Row],[X base]]&gt;AF$5</f>
        <v>1</v>
      </c>
      <c r="AL615" s="99" t="e">
        <f>IF(S_binomial[[#This Row],[Mindre end]],S_binomial[[#This Row],[Binomialfordeling]],NA())</f>
        <v>#N/A</v>
      </c>
      <c r="AM615" s="99" t="e">
        <f>IF(S_binomial[[#This Row],[Lig med]],S_binomial[[#This Row],[Binomialfordeling]],NA())</f>
        <v>#N/A</v>
      </c>
      <c r="AN615" s="99">
        <f>IF(S_binomial[[#This Row],[Større end]],S_binomial[[#This Row],[Binomialfordeling]],NA())</f>
        <v>0.40456723513599996</v>
      </c>
      <c r="AO615" s="85" t="str">
        <f>_xlfn.IFNA(IF(MOD(S_binomial[[#This Row],[Indeks (base 0)]],AF$7)=ROUNDDOWN(AF$7/2,0),S_binomial[[#This Row],[X base]],""),"")</f>
        <v/>
      </c>
      <c r="AP615" s="99" t="str">
        <f t="shared" si="90"/>
        <v xml:space="preserve"> </v>
      </c>
      <c r="AR615" s="54">
        <f t="shared" si="85"/>
        <v>602</v>
      </c>
      <c r="AS615" s="54">
        <f>S_normal27[[#This Row],[Indeks (base 0)]]+1</f>
        <v>603</v>
      </c>
      <c r="AT615" s="54">
        <f t="shared" si="87"/>
        <v>9</v>
      </c>
      <c r="AU615" s="54">
        <f>IF(MOD(S_normal27[[#This Row],[Indeks (base 0)]],AS$8)=0,NA(),_xlfn.POISSON.DIST(S_normal27[[#This Row],[X base]],$H$5,FALSE))</f>
        <v>2.7005039315604771E-3</v>
      </c>
      <c r="AV615" s="99" t="b">
        <f>S_normal27[[#This Row],[X base]]&lt;AS$5</f>
        <v>0</v>
      </c>
      <c r="AW615" s="99" t="b">
        <f>S_normal27[[#This Row],[X base]]=AS$5</f>
        <v>0</v>
      </c>
      <c r="AX615" s="99" t="b">
        <f>S_normal27[[#This Row],[X base]]&gt;AS$5</f>
        <v>1</v>
      </c>
      <c r="AY615" s="99" t="e">
        <f>IF(S_normal27[[#This Row],[Mindre end]],S_normal27[[#This Row],[Poissonfordeling]],NA())</f>
        <v>#N/A</v>
      </c>
      <c r="AZ615" s="99" t="e">
        <f>IF(S_normal27[[#This Row],[Lig med]],S_normal27[[#This Row],[Poissonfordeling]],NA())</f>
        <v>#N/A</v>
      </c>
      <c r="BA615" s="99">
        <f>IF(S_normal27[[#This Row],[Større end]],S_normal27[[#This Row],[Poissonfordeling]],NA())</f>
        <v>2.7005039315604771E-3</v>
      </c>
      <c r="BB615" s="85" t="str">
        <f>_xlfn.IFNA(IF(MOD(S_normal27[[#This Row],[Indeks (base 0)]],AS$8)=ROUNDDOWN(AS$8/2,0),S_normal27[[#This Row],[X base]],""),"")</f>
        <v/>
      </c>
      <c r="BC615" s="99" t="str">
        <f t="shared" si="86"/>
        <v xml:space="preserve"> </v>
      </c>
    </row>
    <row r="616" spans="31:55" x14ac:dyDescent="0.2">
      <c r="AE616" s="54">
        <f t="shared" si="88"/>
        <v>603</v>
      </c>
      <c r="AF616" s="54">
        <f>S_binomial[[#This Row],[Indeks (base 0)]]+1</f>
        <v>604</v>
      </c>
      <c r="AG616" s="99">
        <f t="shared" si="89"/>
        <v>6</v>
      </c>
      <c r="AH616" s="99">
        <f>IF(MOD(S_binomial[[#This Row],[Indeks (base 0)]],AF$7)=0,NA(),_xlfn.BINOM.DIST(S_binomial[[#This Row],[X base]],E$5,E$6,FALSE))</f>
        <v>0.40456723513599996</v>
      </c>
      <c r="AI616" s="99" t="b">
        <f>S_binomial[[#This Row],[X base]]&lt;AF$5</f>
        <v>0</v>
      </c>
      <c r="AJ616" s="99" t="b">
        <f>S_binomial[[#This Row],[X base]]=AF$5</f>
        <v>0</v>
      </c>
      <c r="AK616" s="99" t="b">
        <f>S_binomial[[#This Row],[X base]]&gt;AF$5</f>
        <v>1</v>
      </c>
      <c r="AL616" s="99" t="e">
        <f>IF(S_binomial[[#This Row],[Mindre end]],S_binomial[[#This Row],[Binomialfordeling]],NA())</f>
        <v>#N/A</v>
      </c>
      <c r="AM616" s="99" t="e">
        <f>IF(S_binomial[[#This Row],[Lig med]],S_binomial[[#This Row],[Binomialfordeling]],NA())</f>
        <v>#N/A</v>
      </c>
      <c r="AN616" s="99">
        <f>IF(S_binomial[[#This Row],[Større end]],S_binomial[[#This Row],[Binomialfordeling]],NA())</f>
        <v>0.40456723513599996</v>
      </c>
      <c r="AO616" s="85" t="str">
        <f>_xlfn.IFNA(IF(MOD(S_binomial[[#This Row],[Indeks (base 0)]],AF$7)=ROUNDDOWN(AF$7/2,0),S_binomial[[#This Row],[X base]],""),"")</f>
        <v/>
      </c>
      <c r="AP616" s="99" t="str">
        <f t="shared" si="90"/>
        <v xml:space="preserve"> </v>
      </c>
      <c r="AR616" s="54">
        <f t="shared" si="85"/>
        <v>603</v>
      </c>
      <c r="AS616" s="54">
        <f>S_normal27[[#This Row],[Indeks (base 0)]]+1</f>
        <v>604</v>
      </c>
      <c r="AT616" s="54">
        <f t="shared" si="87"/>
        <v>9</v>
      </c>
      <c r="AU616" s="54">
        <f>IF(MOD(S_normal27[[#This Row],[Indeks (base 0)]],AS$8)=0,NA(),_xlfn.POISSON.DIST(S_normal27[[#This Row],[X base]],$H$5,FALSE))</f>
        <v>2.7005039315604771E-3</v>
      </c>
      <c r="AV616" s="99" t="b">
        <f>S_normal27[[#This Row],[X base]]&lt;AS$5</f>
        <v>0</v>
      </c>
      <c r="AW616" s="99" t="b">
        <f>S_normal27[[#This Row],[X base]]=AS$5</f>
        <v>0</v>
      </c>
      <c r="AX616" s="99" t="b">
        <f>S_normal27[[#This Row],[X base]]&gt;AS$5</f>
        <v>1</v>
      </c>
      <c r="AY616" s="99" t="e">
        <f>IF(S_normal27[[#This Row],[Mindre end]],S_normal27[[#This Row],[Poissonfordeling]],NA())</f>
        <v>#N/A</v>
      </c>
      <c r="AZ616" s="99" t="e">
        <f>IF(S_normal27[[#This Row],[Lig med]],S_normal27[[#This Row],[Poissonfordeling]],NA())</f>
        <v>#N/A</v>
      </c>
      <c r="BA616" s="99">
        <f>IF(S_normal27[[#This Row],[Større end]],S_normal27[[#This Row],[Poissonfordeling]],NA())</f>
        <v>2.7005039315604771E-3</v>
      </c>
      <c r="BB616" s="85" t="str">
        <f>_xlfn.IFNA(IF(MOD(S_normal27[[#This Row],[Indeks (base 0)]],AS$8)=ROUNDDOWN(AS$8/2,0),S_normal27[[#This Row],[X base]],""),"")</f>
        <v/>
      </c>
      <c r="BC616" s="99" t="str">
        <f t="shared" si="86"/>
        <v xml:space="preserve"> </v>
      </c>
    </row>
    <row r="617" spans="31:55" x14ac:dyDescent="0.2">
      <c r="AE617" s="54">
        <f t="shared" si="88"/>
        <v>604</v>
      </c>
      <c r="AF617" s="54">
        <f>S_binomial[[#This Row],[Indeks (base 0)]]+1</f>
        <v>605</v>
      </c>
      <c r="AG617" s="99">
        <f t="shared" si="89"/>
        <v>6</v>
      </c>
      <c r="AH617" s="99">
        <f>IF(MOD(S_binomial[[#This Row],[Indeks (base 0)]],AF$7)=0,NA(),_xlfn.BINOM.DIST(S_binomial[[#This Row],[X base]],E$5,E$6,FALSE))</f>
        <v>0.40456723513599996</v>
      </c>
      <c r="AI617" s="99" t="b">
        <f>S_binomial[[#This Row],[X base]]&lt;AF$5</f>
        <v>0</v>
      </c>
      <c r="AJ617" s="99" t="b">
        <f>S_binomial[[#This Row],[X base]]=AF$5</f>
        <v>0</v>
      </c>
      <c r="AK617" s="99" t="b">
        <f>S_binomial[[#This Row],[X base]]&gt;AF$5</f>
        <v>1</v>
      </c>
      <c r="AL617" s="99" t="e">
        <f>IF(S_binomial[[#This Row],[Mindre end]],S_binomial[[#This Row],[Binomialfordeling]],NA())</f>
        <v>#N/A</v>
      </c>
      <c r="AM617" s="99" t="e">
        <f>IF(S_binomial[[#This Row],[Lig med]],S_binomial[[#This Row],[Binomialfordeling]],NA())</f>
        <v>#N/A</v>
      </c>
      <c r="AN617" s="99">
        <f>IF(S_binomial[[#This Row],[Større end]],S_binomial[[#This Row],[Binomialfordeling]],NA())</f>
        <v>0.40456723513599996</v>
      </c>
      <c r="AO617" s="85" t="str">
        <f>_xlfn.IFNA(IF(MOD(S_binomial[[#This Row],[Indeks (base 0)]],AF$7)=ROUNDDOWN(AF$7/2,0),S_binomial[[#This Row],[X base]],""),"")</f>
        <v/>
      </c>
      <c r="AP617" s="99" t="str">
        <f t="shared" si="90"/>
        <v xml:space="preserve"> </v>
      </c>
      <c r="AR617" s="54">
        <f t="shared" si="85"/>
        <v>604</v>
      </c>
      <c r="AS617" s="54">
        <f>S_normal27[[#This Row],[Indeks (base 0)]]+1</f>
        <v>605</v>
      </c>
      <c r="AT617" s="54">
        <f t="shared" si="87"/>
        <v>9</v>
      </c>
      <c r="AU617" s="54">
        <f>IF(MOD(S_normal27[[#This Row],[Indeks (base 0)]],AS$8)=0,NA(),_xlfn.POISSON.DIST(S_normal27[[#This Row],[X base]],$H$5,FALSE))</f>
        <v>2.7005039315604771E-3</v>
      </c>
      <c r="AV617" s="99" t="b">
        <f>S_normal27[[#This Row],[X base]]&lt;AS$5</f>
        <v>0</v>
      </c>
      <c r="AW617" s="99" t="b">
        <f>S_normal27[[#This Row],[X base]]=AS$5</f>
        <v>0</v>
      </c>
      <c r="AX617" s="99" t="b">
        <f>S_normal27[[#This Row],[X base]]&gt;AS$5</f>
        <v>1</v>
      </c>
      <c r="AY617" s="99" t="e">
        <f>IF(S_normal27[[#This Row],[Mindre end]],S_normal27[[#This Row],[Poissonfordeling]],NA())</f>
        <v>#N/A</v>
      </c>
      <c r="AZ617" s="99" t="e">
        <f>IF(S_normal27[[#This Row],[Lig med]],S_normal27[[#This Row],[Poissonfordeling]],NA())</f>
        <v>#N/A</v>
      </c>
      <c r="BA617" s="99">
        <f>IF(S_normal27[[#This Row],[Større end]],S_normal27[[#This Row],[Poissonfordeling]],NA())</f>
        <v>2.7005039315604771E-3</v>
      </c>
      <c r="BB617" s="85" t="str">
        <f>_xlfn.IFNA(IF(MOD(S_normal27[[#This Row],[Indeks (base 0)]],AS$8)=ROUNDDOWN(AS$8/2,0),S_normal27[[#This Row],[X base]],""),"")</f>
        <v/>
      </c>
      <c r="BC617" s="99" t="str">
        <f t="shared" si="86"/>
        <v xml:space="preserve"> </v>
      </c>
    </row>
    <row r="618" spans="31:55" x14ac:dyDescent="0.2">
      <c r="AE618" s="54">
        <f t="shared" si="88"/>
        <v>605</v>
      </c>
      <c r="AF618" s="54">
        <f>S_binomial[[#This Row],[Indeks (base 0)]]+1</f>
        <v>606</v>
      </c>
      <c r="AG618" s="99">
        <f t="shared" si="89"/>
        <v>6</v>
      </c>
      <c r="AH618" s="99">
        <f>IF(MOD(S_binomial[[#This Row],[Indeks (base 0)]],AF$7)=0,NA(),_xlfn.BINOM.DIST(S_binomial[[#This Row],[X base]],E$5,E$6,FALSE))</f>
        <v>0.40456723513599996</v>
      </c>
      <c r="AI618" s="99" t="b">
        <f>S_binomial[[#This Row],[X base]]&lt;AF$5</f>
        <v>0</v>
      </c>
      <c r="AJ618" s="99" t="b">
        <f>S_binomial[[#This Row],[X base]]=AF$5</f>
        <v>0</v>
      </c>
      <c r="AK618" s="99" t="b">
        <f>S_binomial[[#This Row],[X base]]&gt;AF$5</f>
        <v>1</v>
      </c>
      <c r="AL618" s="99" t="e">
        <f>IF(S_binomial[[#This Row],[Mindre end]],S_binomial[[#This Row],[Binomialfordeling]],NA())</f>
        <v>#N/A</v>
      </c>
      <c r="AM618" s="99" t="e">
        <f>IF(S_binomial[[#This Row],[Lig med]],S_binomial[[#This Row],[Binomialfordeling]],NA())</f>
        <v>#N/A</v>
      </c>
      <c r="AN618" s="99">
        <f>IF(S_binomial[[#This Row],[Større end]],S_binomial[[#This Row],[Binomialfordeling]],NA())</f>
        <v>0.40456723513599996</v>
      </c>
      <c r="AO618" s="85" t="str">
        <f>_xlfn.IFNA(IF(MOD(S_binomial[[#This Row],[Indeks (base 0)]],AF$7)=ROUNDDOWN(AF$7/2,0),S_binomial[[#This Row],[X base]],""),"")</f>
        <v/>
      </c>
      <c r="AP618" s="99" t="str">
        <f t="shared" si="90"/>
        <v xml:space="preserve"> </v>
      </c>
      <c r="AR618" s="54">
        <f t="shared" si="85"/>
        <v>605</v>
      </c>
      <c r="AS618" s="54">
        <f>S_normal27[[#This Row],[Indeks (base 0)]]+1</f>
        <v>606</v>
      </c>
      <c r="AT618" s="54">
        <f t="shared" si="87"/>
        <v>9</v>
      </c>
      <c r="AU618" s="54">
        <f>IF(MOD(S_normal27[[#This Row],[Indeks (base 0)]],AS$8)=0,NA(),_xlfn.POISSON.DIST(S_normal27[[#This Row],[X base]],$H$5,FALSE))</f>
        <v>2.7005039315604771E-3</v>
      </c>
      <c r="AV618" s="99" t="b">
        <f>S_normal27[[#This Row],[X base]]&lt;AS$5</f>
        <v>0</v>
      </c>
      <c r="AW618" s="99" t="b">
        <f>S_normal27[[#This Row],[X base]]=AS$5</f>
        <v>0</v>
      </c>
      <c r="AX618" s="99" t="b">
        <f>S_normal27[[#This Row],[X base]]&gt;AS$5</f>
        <v>1</v>
      </c>
      <c r="AY618" s="99" t="e">
        <f>IF(S_normal27[[#This Row],[Mindre end]],S_normal27[[#This Row],[Poissonfordeling]],NA())</f>
        <v>#N/A</v>
      </c>
      <c r="AZ618" s="99" t="e">
        <f>IF(S_normal27[[#This Row],[Lig med]],S_normal27[[#This Row],[Poissonfordeling]],NA())</f>
        <v>#N/A</v>
      </c>
      <c r="BA618" s="99">
        <f>IF(S_normal27[[#This Row],[Større end]],S_normal27[[#This Row],[Poissonfordeling]],NA())</f>
        <v>2.7005039315604771E-3</v>
      </c>
      <c r="BB618" s="85" t="str">
        <f>_xlfn.IFNA(IF(MOD(S_normal27[[#This Row],[Indeks (base 0)]],AS$8)=ROUNDDOWN(AS$8/2,0),S_normal27[[#This Row],[X base]],""),"")</f>
        <v/>
      </c>
      <c r="BC618" s="99" t="str">
        <f t="shared" si="86"/>
        <v xml:space="preserve"> </v>
      </c>
    </row>
    <row r="619" spans="31:55" x14ac:dyDescent="0.2">
      <c r="AE619" s="54">
        <f t="shared" si="88"/>
        <v>606</v>
      </c>
      <c r="AF619" s="54">
        <f>S_binomial[[#This Row],[Indeks (base 0)]]+1</f>
        <v>607</v>
      </c>
      <c r="AG619" s="99">
        <f t="shared" si="89"/>
        <v>6</v>
      </c>
      <c r="AH619" s="99">
        <f>IF(MOD(S_binomial[[#This Row],[Indeks (base 0)]],AF$7)=0,NA(),_xlfn.BINOM.DIST(S_binomial[[#This Row],[X base]],E$5,E$6,FALSE))</f>
        <v>0.40456723513599996</v>
      </c>
      <c r="AI619" s="99" t="b">
        <f>S_binomial[[#This Row],[X base]]&lt;AF$5</f>
        <v>0</v>
      </c>
      <c r="AJ619" s="99" t="b">
        <f>S_binomial[[#This Row],[X base]]=AF$5</f>
        <v>0</v>
      </c>
      <c r="AK619" s="99" t="b">
        <f>S_binomial[[#This Row],[X base]]&gt;AF$5</f>
        <v>1</v>
      </c>
      <c r="AL619" s="99" t="e">
        <f>IF(S_binomial[[#This Row],[Mindre end]],S_binomial[[#This Row],[Binomialfordeling]],NA())</f>
        <v>#N/A</v>
      </c>
      <c r="AM619" s="99" t="e">
        <f>IF(S_binomial[[#This Row],[Lig med]],S_binomial[[#This Row],[Binomialfordeling]],NA())</f>
        <v>#N/A</v>
      </c>
      <c r="AN619" s="99">
        <f>IF(S_binomial[[#This Row],[Større end]],S_binomial[[#This Row],[Binomialfordeling]],NA())</f>
        <v>0.40456723513599996</v>
      </c>
      <c r="AO619" s="85" t="str">
        <f>_xlfn.IFNA(IF(MOD(S_binomial[[#This Row],[Indeks (base 0)]],AF$7)=ROUNDDOWN(AF$7/2,0),S_binomial[[#This Row],[X base]],""),"")</f>
        <v/>
      </c>
      <c r="AP619" s="99" t="str">
        <f t="shared" si="90"/>
        <v xml:space="preserve"> </v>
      </c>
      <c r="AR619" s="54">
        <f t="shared" si="85"/>
        <v>606</v>
      </c>
      <c r="AS619" s="54">
        <f>S_normal27[[#This Row],[Indeks (base 0)]]+1</f>
        <v>607</v>
      </c>
      <c r="AT619" s="54">
        <f t="shared" si="87"/>
        <v>9</v>
      </c>
      <c r="AU619" s="54">
        <f>IF(MOD(S_normal27[[#This Row],[Indeks (base 0)]],AS$8)=0,NA(),_xlfn.POISSON.DIST(S_normal27[[#This Row],[X base]],$H$5,FALSE))</f>
        <v>2.7005039315604771E-3</v>
      </c>
      <c r="AV619" s="99" t="b">
        <f>S_normal27[[#This Row],[X base]]&lt;AS$5</f>
        <v>0</v>
      </c>
      <c r="AW619" s="99" t="b">
        <f>S_normal27[[#This Row],[X base]]=AS$5</f>
        <v>0</v>
      </c>
      <c r="AX619" s="99" t="b">
        <f>S_normal27[[#This Row],[X base]]&gt;AS$5</f>
        <v>1</v>
      </c>
      <c r="AY619" s="99" t="e">
        <f>IF(S_normal27[[#This Row],[Mindre end]],S_normal27[[#This Row],[Poissonfordeling]],NA())</f>
        <v>#N/A</v>
      </c>
      <c r="AZ619" s="99" t="e">
        <f>IF(S_normal27[[#This Row],[Lig med]],S_normal27[[#This Row],[Poissonfordeling]],NA())</f>
        <v>#N/A</v>
      </c>
      <c r="BA619" s="99">
        <f>IF(S_normal27[[#This Row],[Større end]],S_normal27[[#This Row],[Poissonfordeling]],NA())</f>
        <v>2.7005039315604771E-3</v>
      </c>
      <c r="BB619" s="85" t="str">
        <f>_xlfn.IFNA(IF(MOD(S_normal27[[#This Row],[Indeks (base 0)]],AS$8)=ROUNDDOWN(AS$8/2,0),S_normal27[[#This Row],[X base]],""),"")</f>
        <v/>
      </c>
      <c r="BC619" s="99" t="str">
        <f t="shared" si="86"/>
        <v xml:space="preserve"> </v>
      </c>
    </row>
    <row r="620" spans="31:55" x14ac:dyDescent="0.2">
      <c r="AE620" s="54">
        <f t="shared" si="88"/>
        <v>607</v>
      </c>
      <c r="AF620" s="54">
        <f>S_binomial[[#This Row],[Indeks (base 0)]]+1</f>
        <v>608</v>
      </c>
      <c r="AG620" s="99">
        <f t="shared" si="89"/>
        <v>6</v>
      </c>
      <c r="AH620" s="99">
        <f>IF(MOD(S_binomial[[#This Row],[Indeks (base 0)]],AF$7)=0,NA(),_xlfn.BINOM.DIST(S_binomial[[#This Row],[X base]],E$5,E$6,FALSE))</f>
        <v>0.40456723513599996</v>
      </c>
      <c r="AI620" s="99" t="b">
        <f>S_binomial[[#This Row],[X base]]&lt;AF$5</f>
        <v>0</v>
      </c>
      <c r="AJ620" s="99" t="b">
        <f>S_binomial[[#This Row],[X base]]=AF$5</f>
        <v>0</v>
      </c>
      <c r="AK620" s="99" t="b">
        <f>S_binomial[[#This Row],[X base]]&gt;AF$5</f>
        <v>1</v>
      </c>
      <c r="AL620" s="99" t="e">
        <f>IF(S_binomial[[#This Row],[Mindre end]],S_binomial[[#This Row],[Binomialfordeling]],NA())</f>
        <v>#N/A</v>
      </c>
      <c r="AM620" s="99" t="e">
        <f>IF(S_binomial[[#This Row],[Lig med]],S_binomial[[#This Row],[Binomialfordeling]],NA())</f>
        <v>#N/A</v>
      </c>
      <c r="AN620" s="99">
        <f>IF(S_binomial[[#This Row],[Større end]],S_binomial[[#This Row],[Binomialfordeling]],NA())</f>
        <v>0.40456723513599996</v>
      </c>
      <c r="AO620" s="85" t="str">
        <f>_xlfn.IFNA(IF(MOD(S_binomial[[#This Row],[Indeks (base 0)]],AF$7)=ROUNDDOWN(AF$7/2,0),S_binomial[[#This Row],[X base]],""),"")</f>
        <v/>
      </c>
      <c r="AP620" s="99" t="str">
        <f t="shared" si="90"/>
        <v xml:space="preserve"> </v>
      </c>
      <c r="AR620" s="54">
        <f t="shared" si="85"/>
        <v>607</v>
      </c>
      <c r="AS620" s="54">
        <f>S_normal27[[#This Row],[Indeks (base 0)]]+1</f>
        <v>608</v>
      </c>
      <c r="AT620" s="54">
        <f t="shared" si="87"/>
        <v>9</v>
      </c>
      <c r="AU620" s="54">
        <f>IF(MOD(S_normal27[[#This Row],[Indeks (base 0)]],AS$8)=0,NA(),_xlfn.POISSON.DIST(S_normal27[[#This Row],[X base]],$H$5,FALSE))</f>
        <v>2.7005039315604771E-3</v>
      </c>
      <c r="AV620" s="99" t="b">
        <f>S_normal27[[#This Row],[X base]]&lt;AS$5</f>
        <v>0</v>
      </c>
      <c r="AW620" s="99" t="b">
        <f>S_normal27[[#This Row],[X base]]=AS$5</f>
        <v>0</v>
      </c>
      <c r="AX620" s="99" t="b">
        <f>S_normal27[[#This Row],[X base]]&gt;AS$5</f>
        <v>1</v>
      </c>
      <c r="AY620" s="99" t="e">
        <f>IF(S_normal27[[#This Row],[Mindre end]],S_normal27[[#This Row],[Poissonfordeling]],NA())</f>
        <v>#N/A</v>
      </c>
      <c r="AZ620" s="99" t="e">
        <f>IF(S_normal27[[#This Row],[Lig med]],S_normal27[[#This Row],[Poissonfordeling]],NA())</f>
        <v>#N/A</v>
      </c>
      <c r="BA620" s="99">
        <f>IF(S_normal27[[#This Row],[Større end]],S_normal27[[#This Row],[Poissonfordeling]],NA())</f>
        <v>2.7005039315604771E-3</v>
      </c>
      <c r="BB620" s="85" t="str">
        <f>_xlfn.IFNA(IF(MOD(S_normal27[[#This Row],[Indeks (base 0)]],AS$8)=ROUNDDOWN(AS$8/2,0),S_normal27[[#This Row],[X base]],""),"")</f>
        <v/>
      </c>
      <c r="BC620" s="99" t="str">
        <f t="shared" si="86"/>
        <v xml:space="preserve"> </v>
      </c>
    </row>
    <row r="621" spans="31:55" x14ac:dyDescent="0.2">
      <c r="AE621" s="54">
        <f t="shared" si="88"/>
        <v>608</v>
      </c>
      <c r="AF621" s="54">
        <f>S_binomial[[#This Row],[Indeks (base 0)]]+1</f>
        <v>609</v>
      </c>
      <c r="AG621" s="99">
        <f t="shared" si="89"/>
        <v>6</v>
      </c>
      <c r="AH621" s="99">
        <f>IF(MOD(S_binomial[[#This Row],[Indeks (base 0)]],AF$7)=0,NA(),_xlfn.BINOM.DIST(S_binomial[[#This Row],[X base]],E$5,E$6,FALSE))</f>
        <v>0.40456723513599996</v>
      </c>
      <c r="AI621" s="99" t="b">
        <f>S_binomial[[#This Row],[X base]]&lt;AF$5</f>
        <v>0</v>
      </c>
      <c r="AJ621" s="99" t="b">
        <f>S_binomial[[#This Row],[X base]]=AF$5</f>
        <v>0</v>
      </c>
      <c r="AK621" s="99" t="b">
        <f>S_binomial[[#This Row],[X base]]&gt;AF$5</f>
        <v>1</v>
      </c>
      <c r="AL621" s="99" t="e">
        <f>IF(S_binomial[[#This Row],[Mindre end]],S_binomial[[#This Row],[Binomialfordeling]],NA())</f>
        <v>#N/A</v>
      </c>
      <c r="AM621" s="99" t="e">
        <f>IF(S_binomial[[#This Row],[Lig med]],S_binomial[[#This Row],[Binomialfordeling]],NA())</f>
        <v>#N/A</v>
      </c>
      <c r="AN621" s="99">
        <f>IF(S_binomial[[#This Row],[Større end]],S_binomial[[#This Row],[Binomialfordeling]],NA())</f>
        <v>0.40456723513599996</v>
      </c>
      <c r="AO621" s="85" t="str">
        <f>_xlfn.IFNA(IF(MOD(S_binomial[[#This Row],[Indeks (base 0)]],AF$7)=ROUNDDOWN(AF$7/2,0),S_binomial[[#This Row],[X base]],""),"")</f>
        <v/>
      </c>
      <c r="AP621" s="99" t="str">
        <f t="shared" si="90"/>
        <v xml:space="preserve"> </v>
      </c>
      <c r="AR621" s="54">
        <f t="shared" si="85"/>
        <v>608</v>
      </c>
      <c r="AS621" s="54">
        <f>S_normal27[[#This Row],[Indeks (base 0)]]+1</f>
        <v>609</v>
      </c>
      <c r="AT621" s="54">
        <f t="shared" si="87"/>
        <v>9</v>
      </c>
      <c r="AU621" s="54">
        <f>IF(MOD(S_normal27[[#This Row],[Indeks (base 0)]],AS$8)=0,NA(),_xlfn.POISSON.DIST(S_normal27[[#This Row],[X base]],$H$5,FALSE))</f>
        <v>2.7005039315604771E-3</v>
      </c>
      <c r="AV621" s="99" t="b">
        <f>S_normal27[[#This Row],[X base]]&lt;AS$5</f>
        <v>0</v>
      </c>
      <c r="AW621" s="99" t="b">
        <f>S_normal27[[#This Row],[X base]]=AS$5</f>
        <v>0</v>
      </c>
      <c r="AX621" s="99" t="b">
        <f>S_normal27[[#This Row],[X base]]&gt;AS$5</f>
        <v>1</v>
      </c>
      <c r="AY621" s="99" t="e">
        <f>IF(S_normal27[[#This Row],[Mindre end]],S_normal27[[#This Row],[Poissonfordeling]],NA())</f>
        <v>#N/A</v>
      </c>
      <c r="AZ621" s="99" t="e">
        <f>IF(S_normal27[[#This Row],[Lig med]],S_normal27[[#This Row],[Poissonfordeling]],NA())</f>
        <v>#N/A</v>
      </c>
      <c r="BA621" s="99">
        <f>IF(S_normal27[[#This Row],[Større end]],S_normal27[[#This Row],[Poissonfordeling]],NA())</f>
        <v>2.7005039315604771E-3</v>
      </c>
      <c r="BB621" s="85" t="str">
        <f>_xlfn.IFNA(IF(MOD(S_normal27[[#This Row],[Indeks (base 0)]],AS$8)=ROUNDDOWN(AS$8/2,0),S_normal27[[#This Row],[X base]],""),"")</f>
        <v/>
      </c>
      <c r="BC621" s="99" t="str">
        <f t="shared" si="86"/>
        <v xml:space="preserve"> </v>
      </c>
    </row>
    <row r="622" spans="31:55" x14ac:dyDescent="0.2">
      <c r="AE622" s="54">
        <f t="shared" si="88"/>
        <v>609</v>
      </c>
      <c r="AF622" s="54">
        <f>S_binomial[[#This Row],[Indeks (base 0)]]+1</f>
        <v>610</v>
      </c>
      <c r="AG622" s="99">
        <f t="shared" si="89"/>
        <v>6</v>
      </c>
      <c r="AH622" s="99">
        <f>IF(MOD(S_binomial[[#This Row],[Indeks (base 0)]],AF$7)=0,NA(),_xlfn.BINOM.DIST(S_binomial[[#This Row],[X base]],E$5,E$6,FALSE))</f>
        <v>0.40456723513599996</v>
      </c>
      <c r="AI622" s="99" t="b">
        <f>S_binomial[[#This Row],[X base]]&lt;AF$5</f>
        <v>0</v>
      </c>
      <c r="AJ622" s="99" t="b">
        <f>S_binomial[[#This Row],[X base]]=AF$5</f>
        <v>0</v>
      </c>
      <c r="AK622" s="99" t="b">
        <f>S_binomial[[#This Row],[X base]]&gt;AF$5</f>
        <v>1</v>
      </c>
      <c r="AL622" s="99" t="e">
        <f>IF(S_binomial[[#This Row],[Mindre end]],S_binomial[[#This Row],[Binomialfordeling]],NA())</f>
        <v>#N/A</v>
      </c>
      <c r="AM622" s="99" t="e">
        <f>IF(S_binomial[[#This Row],[Lig med]],S_binomial[[#This Row],[Binomialfordeling]],NA())</f>
        <v>#N/A</v>
      </c>
      <c r="AN622" s="99">
        <f>IF(S_binomial[[#This Row],[Større end]],S_binomial[[#This Row],[Binomialfordeling]],NA())</f>
        <v>0.40456723513599996</v>
      </c>
      <c r="AO622" s="85" t="str">
        <f>_xlfn.IFNA(IF(MOD(S_binomial[[#This Row],[Indeks (base 0)]],AF$7)=ROUNDDOWN(AF$7/2,0),S_binomial[[#This Row],[X base]],""),"")</f>
        <v/>
      </c>
      <c r="AP622" s="99" t="str">
        <f t="shared" si="90"/>
        <v xml:space="preserve"> </v>
      </c>
      <c r="AR622" s="54">
        <f t="shared" si="85"/>
        <v>609</v>
      </c>
      <c r="AS622" s="54">
        <f>S_normal27[[#This Row],[Indeks (base 0)]]+1</f>
        <v>610</v>
      </c>
      <c r="AT622" s="54">
        <f t="shared" si="87"/>
        <v>9</v>
      </c>
      <c r="AU622" s="54">
        <f>IF(MOD(S_normal27[[#This Row],[Indeks (base 0)]],AS$8)=0,NA(),_xlfn.POISSON.DIST(S_normal27[[#This Row],[X base]],$H$5,FALSE))</f>
        <v>2.7005039315604771E-3</v>
      </c>
      <c r="AV622" s="99" t="b">
        <f>S_normal27[[#This Row],[X base]]&lt;AS$5</f>
        <v>0</v>
      </c>
      <c r="AW622" s="99" t="b">
        <f>S_normal27[[#This Row],[X base]]=AS$5</f>
        <v>0</v>
      </c>
      <c r="AX622" s="99" t="b">
        <f>S_normal27[[#This Row],[X base]]&gt;AS$5</f>
        <v>1</v>
      </c>
      <c r="AY622" s="99" t="e">
        <f>IF(S_normal27[[#This Row],[Mindre end]],S_normal27[[#This Row],[Poissonfordeling]],NA())</f>
        <v>#N/A</v>
      </c>
      <c r="AZ622" s="99" t="e">
        <f>IF(S_normal27[[#This Row],[Lig med]],S_normal27[[#This Row],[Poissonfordeling]],NA())</f>
        <v>#N/A</v>
      </c>
      <c r="BA622" s="99">
        <f>IF(S_normal27[[#This Row],[Større end]],S_normal27[[#This Row],[Poissonfordeling]],NA())</f>
        <v>2.7005039315604771E-3</v>
      </c>
      <c r="BB622" s="85" t="str">
        <f>_xlfn.IFNA(IF(MOD(S_normal27[[#This Row],[Indeks (base 0)]],AS$8)=ROUNDDOWN(AS$8/2,0),S_normal27[[#This Row],[X base]],""),"")</f>
        <v/>
      </c>
      <c r="BC622" s="99" t="str">
        <f t="shared" si="86"/>
        <v xml:space="preserve"> </v>
      </c>
    </row>
    <row r="623" spans="31:55" x14ac:dyDescent="0.2">
      <c r="AE623" s="54">
        <f t="shared" si="88"/>
        <v>610</v>
      </c>
      <c r="AF623" s="54">
        <f>S_binomial[[#This Row],[Indeks (base 0)]]+1</f>
        <v>611</v>
      </c>
      <c r="AG623" s="99">
        <f t="shared" si="89"/>
        <v>6</v>
      </c>
      <c r="AH623" s="99">
        <f>IF(MOD(S_binomial[[#This Row],[Indeks (base 0)]],AF$7)=0,NA(),_xlfn.BINOM.DIST(S_binomial[[#This Row],[X base]],E$5,E$6,FALSE))</f>
        <v>0.40456723513599996</v>
      </c>
      <c r="AI623" s="99" t="b">
        <f>S_binomial[[#This Row],[X base]]&lt;AF$5</f>
        <v>0</v>
      </c>
      <c r="AJ623" s="99" t="b">
        <f>S_binomial[[#This Row],[X base]]=AF$5</f>
        <v>0</v>
      </c>
      <c r="AK623" s="99" t="b">
        <f>S_binomial[[#This Row],[X base]]&gt;AF$5</f>
        <v>1</v>
      </c>
      <c r="AL623" s="99" t="e">
        <f>IF(S_binomial[[#This Row],[Mindre end]],S_binomial[[#This Row],[Binomialfordeling]],NA())</f>
        <v>#N/A</v>
      </c>
      <c r="AM623" s="99" t="e">
        <f>IF(S_binomial[[#This Row],[Lig med]],S_binomial[[#This Row],[Binomialfordeling]],NA())</f>
        <v>#N/A</v>
      </c>
      <c r="AN623" s="99">
        <f>IF(S_binomial[[#This Row],[Større end]],S_binomial[[#This Row],[Binomialfordeling]],NA())</f>
        <v>0.40456723513599996</v>
      </c>
      <c r="AO623" s="85" t="str">
        <f>_xlfn.IFNA(IF(MOD(S_binomial[[#This Row],[Indeks (base 0)]],AF$7)=ROUNDDOWN(AF$7/2,0),S_binomial[[#This Row],[X base]],""),"")</f>
        <v/>
      </c>
      <c r="AP623" s="99" t="str">
        <f t="shared" si="90"/>
        <v xml:space="preserve"> </v>
      </c>
      <c r="AR623" s="54">
        <f t="shared" si="85"/>
        <v>610</v>
      </c>
      <c r="AS623" s="54">
        <f>S_normal27[[#This Row],[Indeks (base 0)]]+1</f>
        <v>611</v>
      </c>
      <c r="AT623" s="54">
        <f t="shared" si="87"/>
        <v>9</v>
      </c>
      <c r="AU623" s="54">
        <f>IF(MOD(S_normal27[[#This Row],[Indeks (base 0)]],AS$8)=0,NA(),_xlfn.POISSON.DIST(S_normal27[[#This Row],[X base]],$H$5,FALSE))</f>
        <v>2.7005039315604771E-3</v>
      </c>
      <c r="AV623" s="99" t="b">
        <f>S_normal27[[#This Row],[X base]]&lt;AS$5</f>
        <v>0</v>
      </c>
      <c r="AW623" s="99" t="b">
        <f>S_normal27[[#This Row],[X base]]=AS$5</f>
        <v>0</v>
      </c>
      <c r="AX623" s="99" t="b">
        <f>S_normal27[[#This Row],[X base]]&gt;AS$5</f>
        <v>1</v>
      </c>
      <c r="AY623" s="99" t="e">
        <f>IF(S_normal27[[#This Row],[Mindre end]],S_normal27[[#This Row],[Poissonfordeling]],NA())</f>
        <v>#N/A</v>
      </c>
      <c r="AZ623" s="99" t="e">
        <f>IF(S_normal27[[#This Row],[Lig med]],S_normal27[[#This Row],[Poissonfordeling]],NA())</f>
        <v>#N/A</v>
      </c>
      <c r="BA623" s="99">
        <f>IF(S_normal27[[#This Row],[Større end]],S_normal27[[#This Row],[Poissonfordeling]],NA())</f>
        <v>2.7005039315604771E-3</v>
      </c>
      <c r="BB623" s="85" t="str">
        <f>_xlfn.IFNA(IF(MOD(S_normal27[[#This Row],[Indeks (base 0)]],AS$8)=ROUNDDOWN(AS$8/2,0),S_normal27[[#This Row],[X base]],""),"")</f>
        <v/>
      </c>
      <c r="BC623" s="99" t="str">
        <f t="shared" si="86"/>
        <v xml:space="preserve"> </v>
      </c>
    </row>
    <row r="624" spans="31:55" x14ac:dyDescent="0.2">
      <c r="AE624" s="54">
        <f t="shared" si="88"/>
        <v>611</v>
      </c>
      <c r="AF624" s="54">
        <f>S_binomial[[#This Row],[Indeks (base 0)]]+1</f>
        <v>612</v>
      </c>
      <c r="AG624" s="99">
        <f t="shared" si="89"/>
        <v>6</v>
      </c>
      <c r="AH624" s="99">
        <f>IF(MOD(S_binomial[[#This Row],[Indeks (base 0)]],AF$7)=0,NA(),_xlfn.BINOM.DIST(S_binomial[[#This Row],[X base]],E$5,E$6,FALSE))</f>
        <v>0.40456723513599996</v>
      </c>
      <c r="AI624" s="99" t="b">
        <f>S_binomial[[#This Row],[X base]]&lt;AF$5</f>
        <v>0</v>
      </c>
      <c r="AJ624" s="99" t="b">
        <f>S_binomial[[#This Row],[X base]]=AF$5</f>
        <v>0</v>
      </c>
      <c r="AK624" s="99" t="b">
        <f>S_binomial[[#This Row],[X base]]&gt;AF$5</f>
        <v>1</v>
      </c>
      <c r="AL624" s="99" t="e">
        <f>IF(S_binomial[[#This Row],[Mindre end]],S_binomial[[#This Row],[Binomialfordeling]],NA())</f>
        <v>#N/A</v>
      </c>
      <c r="AM624" s="99" t="e">
        <f>IF(S_binomial[[#This Row],[Lig med]],S_binomial[[#This Row],[Binomialfordeling]],NA())</f>
        <v>#N/A</v>
      </c>
      <c r="AN624" s="99">
        <f>IF(S_binomial[[#This Row],[Større end]],S_binomial[[#This Row],[Binomialfordeling]],NA())</f>
        <v>0.40456723513599996</v>
      </c>
      <c r="AO624" s="85" t="str">
        <f>_xlfn.IFNA(IF(MOD(S_binomial[[#This Row],[Indeks (base 0)]],AF$7)=ROUNDDOWN(AF$7/2,0),S_binomial[[#This Row],[X base]],""),"")</f>
        <v/>
      </c>
      <c r="AP624" s="99" t="str">
        <f t="shared" si="90"/>
        <v xml:space="preserve"> </v>
      </c>
      <c r="AR624" s="54">
        <f t="shared" si="85"/>
        <v>611</v>
      </c>
      <c r="AS624" s="54">
        <f>S_normal27[[#This Row],[Indeks (base 0)]]+1</f>
        <v>612</v>
      </c>
      <c r="AT624" s="54">
        <f t="shared" si="87"/>
        <v>9</v>
      </c>
      <c r="AU624" s="54">
        <f>IF(MOD(S_normal27[[#This Row],[Indeks (base 0)]],AS$8)=0,NA(),_xlfn.POISSON.DIST(S_normal27[[#This Row],[X base]],$H$5,FALSE))</f>
        <v>2.7005039315604771E-3</v>
      </c>
      <c r="AV624" s="99" t="b">
        <f>S_normal27[[#This Row],[X base]]&lt;AS$5</f>
        <v>0</v>
      </c>
      <c r="AW624" s="99" t="b">
        <f>S_normal27[[#This Row],[X base]]=AS$5</f>
        <v>0</v>
      </c>
      <c r="AX624" s="99" t="b">
        <f>S_normal27[[#This Row],[X base]]&gt;AS$5</f>
        <v>1</v>
      </c>
      <c r="AY624" s="99" t="e">
        <f>IF(S_normal27[[#This Row],[Mindre end]],S_normal27[[#This Row],[Poissonfordeling]],NA())</f>
        <v>#N/A</v>
      </c>
      <c r="AZ624" s="99" t="e">
        <f>IF(S_normal27[[#This Row],[Lig med]],S_normal27[[#This Row],[Poissonfordeling]],NA())</f>
        <v>#N/A</v>
      </c>
      <c r="BA624" s="99">
        <f>IF(S_normal27[[#This Row],[Større end]],S_normal27[[#This Row],[Poissonfordeling]],NA())</f>
        <v>2.7005039315604771E-3</v>
      </c>
      <c r="BB624" s="85" t="str">
        <f>_xlfn.IFNA(IF(MOD(S_normal27[[#This Row],[Indeks (base 0)]],AS$8)=ROUNDDOWN(AS$8/2,0),S_normal27[[#This Row],[X base]],""),"")</f>
        <v/>
      </c>
      <c r="BC624" s="99" t="str">
        <f t="shared" si="86"/>
        <v xml:space="preserve"> </v>
      </c>
    </row>
    <row r="625" spans="31:55" x14ac:dyDescent="0.2">
      <c r="AE625" s="54">
        <f t="shared" si="88"/>
        <v>612</v>
      </c>
      <c r="AF625" s="54">
        <f>S_binomial[[#This Row],[Indeks (base 0)]]+1</f>
        <v>613</v>
      </c>
      <c r="AG625" s="99">
        <f t="shared" si="89"/>
        <v>6</v>
      </c>
      <c r="AH625" s="99">
        <f>IF(MOD(S_binomial[[#This Row],[Indeks (base 0)]],AF$7)=0,NA(),_xlfn.BINOM.DIST(S_binomial[[#This Row],[X base]],E$5,E$6,FALSE))</f>
        <v>0.40456723513599996</v>
      </c>
      <c r="AI625" s="99" t="b">
        <f>S_binomial[[#This Row],[X base]]&lt;AF$5</f>
        <v>0</v>
      </c>
      <c r="AJ625" s="99" t="b">
        <f>S_binomial[[#This Row],[X base]]=AF$5</f>
        <v>0</v>
      </c>
      <c r="AK625" s="99" t="b">
        <f>S_binomial[[#This Row],[X base]]&gt;AF$5</f>
        <v>1</v>
      </c>
      <c r="AL625" s="99" t="e">
        <f>IF(S_binomial[[#This Row],[Mindre end]],S_binomial[[#This Row],[Binomialfordeling]],NA())</f>
        <v>#N/A</v>
      </c>
      <c r="AM625" s="99" t="e">
        <f>IF(S_binomial[[#This Row],[Lig med]],S_binomial[[#This Row],[Binomialfordeling]],NA())</f>
        <v>#N/A</v>
      </c>
      <c r="AN625" s="99">
        <f>IF(S_binomial[[#This Row],[Større end]],S_binomial[[#This Row],[Binomialfordeling]],NA())</f>
        <v>0.40456723513599996</v>
      </c>
      <c r="AO625" s="85" t="str">
        <f>_xlfn.IFNA(IF(MOD(S_binomial[[#This Row],[Indeks (base 0)]],AF$7)=ROUNDDOWN(AF$7/2,0),S_binomial[[#This Row],[X base]],""),"")</f>
        <v/>
      </c>
      <c r="AP625" s="99" t="str">
        <f t="shared" si="90"/>
        <v xml:space="preserve"> </v>
      </c>
      <c r="AR625" s="54">
        <f t="shared" si="85"/>
        <v>612</v>
      </c>
      <c r="AS625" s="54">
        <f>S_normal27[[#This Row],[Indeks (base 0)]]+1</f>
        <v>613</v>
      </c>
      <c r="AT625" s="54">
        <f t="shared" si="87"/>
        <v>9</v>
      </c>
      <c r="AU625" s="54">
        <f>IF(MOD(S_normal27[[#This Row],[Indeks (base 0)]],AS$8)=0,NA(),_xlfn.POISSON.DIST(S_normal27[[#This Row],[X base]],$H$5,FALSE))</f>
        <v>2.7005039315604771E-3</v>
      </c>
      <c r="AV625" s="99" t="b">
        <f>S_normal27[[#This Row],[X base]]&lt;AS$5</f>
        <v>0</v>
      </c>
      <c r="AW625" s="99" t="b">
        <f>S_normal27[[#This Row],[X base]]=AS$5</f>
        <v>0</v>
      </c>
      <c r="AX625" s="99" t="b">
        <f>S_normal27[[#This Row],[X base]]&gt;AS$5</f>
        <v>1</v>
      </c>
      <c r="AY625" s="99" t="e">
        <f>IF(S_normal27[[#This Row],[Mindre end]],S_normal27[[#This Row],[Poissonfordeling]],NA())</f>
        <v>#N/A</v>
      </c>
      <c r="AZ625" s="99" t="e">
        <f>IF(S_normal27[[#This Row],[Lig med]],S_normal27[[#This Row],[Poissonfordeling]],NA())</f>
        <v>#N/A</v>
      </c>
      <c r="BA625" s="99">
        <f>IF(S_normal27[[#This Row],[Større end]],S_normal27[[#This Row],[Poissonfordeling]],NA())</f>
        <v>2.7005039315604771E-3</v>
      </c>
      <c r="BB625" s="85" t="str">
        <f>_xlfn.IFNA(IF(MOD(S_normal27[[#This Row],[Indeks (base 0)]],AS$8)=ROUNDDOWN(AS$8/2,0),S_normal27[[#This Row],[X base]],""),"")</f>
        <v/>
      </c>
      <c r="BC625" s="99" t="str">
        <f t="shared" si="86"/>
        <v xml:space="preserve"> </v>
      </c>
    </row>
    <row r="626" spans="31:55" x14ac:dyDescent="0.2">
      <c r="AE626" s="54">
        <f t="shared" si="88"/>
        <v>613</v>
      </c>
      <c r="AF626" s="54">
        <f>S_binomial[[#This Row],[Indeks (base 0)]]+1</f>
        <v>614</v>
      </c>
      <c r="AG626" s="99">
        <f t="shared" si="89"/>
        <v>6</v>
      </c>
      <c r="AH626" s="99">
        <f>IF(MOD(S_binomial[[#This Row],[Indeks (base 0)]],AF$7)=0,NA(),_xlfn.BINOM.DIST(S_binomial[[#This Row],[X base]],E$5,E$6,FALSE))</f>
        <v>0.40456723513599996</v>
      </c>
      <c r="AI626" s="99" t="b">
        <f>S_binomial[[#This Row],[X base]]&lt;AF$5</f>
        <v>0</v>
      </c>
      <c r="AJ626" s="99" t="b">
        <f>S_binomial[[#This Row],[X base]]=AF$5</f>
        <v>0</v>
      </c>
      <c r="AK626" s="99" t="b">
        <f>S_binomial[[#This Row],[X base]]&gt;AF$5</f>
        <v>1</v>
      </c>
      <c r="AL626" s="99" t="e">
        <f>IF(S_binomial[[#This Row],[Mindre end]],S_binomial[[#This Row],[Binomialfordeling]],NA())</f>
        <v>#N/A</v>
      </c>
      <c r="AM626" s="99" t="e">
        <f>IF(S_binomial[[#This Row],[Lig med]],S_binomial[[#This Row],[Binomialfordeling]],NA())</f>
        <v>#N/A</v>
      </c>
      <c r="AN626" s="99">
        <f>IF(S_binomial[[#This Row],[Større end]],S_binomial[[#This Row],[Binomialfordeling]],NA())</f>
        <v>0.40456723513599996</v>
      </c>
      <c r="AO626" s="85" t="str">
        <f>_xlfn.IFNA(IF(MOD(S_binomial[[#This Row],[Indeks (base 0)]],AF$7)=ROUNDDOWN(AF$7/2,0),S_binomial[[#This Row],[X base]],""),"")</f>
        <v/>
      </c>
      <c r="AP626" s="99" t="str">
        <f t="shared" si="90"/>
        <v xml:space="preserve"> </v>
      </c>
      <c r="AR626" s="54">
        <f t="shared" si="85"/>
        <v>613</v>
      </c>
      <c r="AS626" s="54">
        <f>S_normal27[[#This Row],[Indeks (base 0)]]+1</f>
        <v>614</v>
      </c>
      <c r="AT626" s="54">
        <f t="shared" si="87"/>
        <v>9</v>
      </c>
      <c r="AU626" s="54">
        <f>IF(MOD(S_normal27[[#This Row],[Indeks (base 0)]],AS$8)=0,NA(),_xlfn.POISSON.DIST(S_normal27[[#This Row],[X base]],$H$5,FALSE))</f>
        <v>2.7005039315604771E-3</v>
      </c>
      <c r="AV626" s="99" t="b">
        <f>S_normal27[[#This Row],[X base]]&lt;AS$5</f>
        <v>0</v>
      </c>
      <c r="AW626" s="99" t="b">
        <f>S_normal27[[#This Row],[X base]]=AS$5</f>
        <v>0</v>
      </c>
      <c r="AX626" s="99" t="b">
        <f>S_normal27[[#This Row],[X base]]&gt;AS$5</f>
        <v>1</v>
      </c>
      <c r="AY626" s="99" t="e">
        <f>IF(S_normal27[[#This Row],[Mindre end]],S_normal27[[#This Row],[Poissonfordeling]],NA())</f>
        <v>#N/A</v>
      </c>
      <c r="AZ626" s="99" t="e">
        <f>IF(S_normal27[[#This Row],[Lig med]],S_normal27[[#This Row],[Poissonfordeling]],NA())</f>
        <v>#N/A</v>
      </c>
      <c r="BA626" s="99">
        <f>IF(S_normal27[[#This Row],[Større end]],S_normal27[[#This Row],[Poissonfordeling]],NA())</f>
        <v>2.7005039315604771E-3</v>
      </c>
      <c r="BB626" s="85" t="str">
        <f>_xlfn.IFNA(IF(MOD(S_normal27[[#This Row],[Indeks (base 0)]],AS$8)=ROUNDDOWN(AS$8/2,0),S_normal27[[#This Row],[X base]],""),"")</f>
        <v/>
      </c>
      <c r="BC626" s="99" t="str">
        <f t="shared" si="86"/>
        <v xml:space="preserve"> </v>
      </c>
    </row>
    <row r="627" spans="31:55" x14ac:dyDescent="0.2">
      <c r="AE627" s="54">
        <f t="shared" si="88"/>
        <v>614</v>
      </c>
      <c r="AF627" s="54">
        <f>S_binomial[[#This Row],[Indeks (base 0)]]+1</f>
        <v>615</v>
      </c>
      <c r="AG627" s="99">
        <f t="shared" si="89"/>
        <v>6</v>
      </c>
      <c r="AH627" s="99">
        <f>IF(MOD(S_binomial[[#This Row],[Indeks (base 0)]],AF$7)=0,NA(),_xlfn.BINOM.DIST(S_binomial[[#This Row],[X base]],E$5,E$6,FALSE))</f>
        <v>0.40456723513599996</v>
      </c>
      <c r="AI627" s="99" t="b">
        <f>S_binomial[[#This Row],[X base]]&lt;AF$5</f>
        <v>0</v>
      </c>
      <c r="AJ627" s="99" t="b">
        <f>S_binomial[[#This Row],[X base]]=AF$5</f>
        <v>0</v>
      </c>
      <c r="AK627" s="99" t="b">
        <f>S_binomial[[#This Row],[X base]]&gt;AF$5</f>
        <v>1</v>
      </c>
      <c r="AL627" s="99" t="e">
        <f>IF(S_binomial[[#This Row],[Mindre end]],S_binomial[[#This Row],[Binomialfordeling]],NA())</f>
        <v>#N/A</v>
      </c>
      <c r="AM627" s="99" t="e">
        <f>IF(S_binomial[[#This Row],[Lig med]],S_binomial[[#This Row],[Binomialfordeling]],NA())</f>
        <v>#N/A</v>
      </c>
      <c r="AN627" s="99">
        <f>IF(S_binomial[[#This Row],[Større end]],S_binomial[[#This Row],[Binomialfordeling]],NA())</f>
        <v>0.40456723513599996</v>
      </c>
      <c r="AO627" s="85" t="str">
        <f>_xlfn.IFNA(IF(MOD(S_binomial[[#This Row],[Indeks (base 0)]],AF$7)=ROUNDDOWN(AF$7/2,0),S_binomial[[#This Row],[X base]],""),"")</f>
        <v/>
      </c>
      <c r="AP627" s="99" t="str">
        <f t="shared" si="90"/>
        <v xml:space="preserve"> </v>
      </c>
      <c r="AR627" s="54">
        <f t="shared" si="85"/>
        <v>614</v>
      </c>
      <c r="AS627" s="54">
        <f>S_normal27[[#This Row],[Indeks (base 0)]]+1</f>
        <v>615</v>
      </c>
      <c r="AT627" s="54">
        <f t="shared" si="87"/>
        <v>9</v>
      </c>
      <c r="AU627" s="54">
        <f>IF(MOD(S_normal27[[#This Row],[Indeks (base 0)]],AS$8)=0,NA(),_xlfn.POISSON.DIST(S_normal27[[#This Row],[X base]],$H$5,FALSE))</f>
        <v>2.7005039315604771E-3</v>
      </c>
      <c r="AV627" s="99" t="b">
        <f>S_normal27[[#This Row],[X base]]&lt;AS$5</f>
        <v>0</v>
      </c>
      <c r="AW627" s="99" t="b">
        <f>S_normal27[[#This Row],[X base]]=AS$5</f>
        <v>0</v>
      </c>
      <c r="AX627" s="99" t="b">
        <f>S_normal27[[#This Row],[X base]]&gt;AS$5</f>
        <v>1</v>
      </c>
      <c r="AY627" s="99" t="e">
        <f>IF(S_normal27[[#This Row],[Mindre end]],S_normal27[[#This Row],[Poissonfordeling]],NA())</f>
        <v>#N/A</v>
      </c>
      <c r="AZ627" s="99" t="e">
        <f>IF(S_normal27[[#This Row],[Lig med]],S_normal27[[#This Row],[Poissonfordeling]],NA())</f>
        <v>#N/A</v>
      </c>
      <c r="BA627" s="99">
        <f>IF(S_normal27[[#This Row],[Større end]],S_normal27[[#This Row],[Poissonfordeling]],NA())</f>
        <v>2.7005039315604771E-3</v>
      </c>
      <c r="BB627" s="85" t="str">
        <f>_xlfn.IFNA(IF(MOD(S_normal27[[#This Row],[Indeks (base 0)]],AS$8)=ROUNDDOWN(AS$8/2,0),S_normal27[[#This Row],[X base]],""),"")</f>
        <v/>
      </c>
      <c r="BC627" s="99" t="str">
        <f t="shared" si="86"/>
        <v xml:space="preserve"> </v>
      </c>
    </row>
    <row r="628" spans="31:55" x14ac:dyDescent="0.2">
      <c r="AE628" s="54">
        <f t="shared" si="88"/>
        <v>615</v>
      </c>
      <c r="AF628" s="54">
        <f>S_binomial[[#This Row],[Indeks (base 0)]]+1</f>
        <v>616</v>
      </c>
      <c r="AG628" s="99">
        <f t="shared" si="89"/>
        <v>6</v>
      </c>
      <c r="AH628" s="99">
        <f>IF(MOD(S_binomial[[#This Row],[Indeks (base 0)]],AF$7)=0,NA(),_xlfn.BINOM.DIST(S_binomial[[#This Row],[X base]],E$5,E$6,FALSE))</f>
        <v>0.40456723513599996</v>
      </c>
      <c r="AI628" s="99" t="b">
        <f>S_binomial[[#This Row],[X base]]&lt;AF$5</f>
        <v>0</v>
      </c>
      <c r="AJ628" s="99" t="b">
        <f>S_binomial[[#This Row],[X base]]=AF$5</f>
        <v>0</v>
      </c>
      <c r="AK628" s="99" t="b">
        <f>S_binomial[[#This Row],[X base]]&gt;AF$5</f>
        <v>1</v>
      </c>
      <c r="AL628" s="99" t="e">
        <f>IF(S_binomial[[#This Row],[Mindre end]],S_binomial[[#This Row],[Binomialfordeling]],NA())</f>
        <v>#N/A</v>
      </c>
      <c r="AM628" s="99" t="e">
        <f>IF(S_binomial[[#This Row],[Lig med]],S_binomial[[#This Row],[Binomialfordeling]],NA())</f>
        <v>#N/A</v>
      </c>
      <c r="AN628" s="99">
        <f>IF(S_binomial[[#This Row],[Større end]],S_binomial[[#This Row],[Binomialfordeling]],NA())</f>
        <v>0.40456723513599996</v>
      </c>
      <c r="AO628" s="85" t="str">
        <f>_xlfn.IFNA(IF(MOD(S_binomial[[#This Row],[Indeks (base 0)]],AF$7)=ROUNDDOWN(AF$7/2,0),S_binomial[[#This Row],[X base]],""),"")</f>
        <v/>
      </c>
      <c r="AP628" s="99" t="str">
        <f t="shared" si="90"/>
        <v xml:space="preserve"> </v>
      </c>
      <c r="AR628" s="54">
        <f t="shared" si="85"/>
        <v>615</v>
      </c>
      <c r="AS628" s="54">
        <f>S_normal27[[#This Row],[Indeks (base 0)]]+1</f>
        <v>616</v>
      </c>
      <c r="AT628" s="54">
        <f t="shared" si="87"/>
        <v>9</v>
      </c>
      <c r="AU628" s="54">
        <f>IF(MOD(S_normal27[[#This Row],[Indeks (base 0)]],AS$8)=0,NA(),_xlfn.POISSON.DIST(S_normal27[[#This Row],[X base]],$H$5,FALSE))</f>
        <v>2.7005039315604771E-3</v>
      </c>
      <c r="AV628" s="99" t="b">
        <f>S_normal27[[#This Row],[X base]]&lt;AS$5</f>
        <v>0</v>
      </c>
      <c r="AW628" s="99" t="b">
        <f>S_normal27[[#This Row],[X base]]=AS$5</f>
        <v>0</v>
      </c>
      <c r="AX628" s="99" t="b">
        <f>S_normal27[[#This Row],[X base]]&gt;AS$5</f>
        <v>1</v>
      </c>
      <c r="AY628" s="99" t="e">
        <f>IF(S_normal27[[#This Row],[Mindre end]],S_normal27[[#This Row],[Poissonfordeling]],NA())</f>
        <v>#N/A</v>
      </c>
      <c r="AZ628" s="99" t="e">
        <f>IF(S_normal27[[#This Row],[Lig med]],S_normal27[[#This Row],[Poissonfordeling]],NA())</f>
        <v>#N/A</v>
      </c>
      <c r="BA628" s="99">
        <f>IF(S_normal27[[#This Row],[Større end]],S_normal27[[#This Row],[Poissonfordeling]],NA())</f>
        <v>2.7005039315604771E-3</v>
      </c>
      <c r="BB628" s="85" t="str">
        <f>_xlfn.IFNA(IF(MOD(S_normal27[[#This Row],[Indeks (base 0)]],AS$8)=ROUNDDOWN(AS$8/2,0),S_normal27[[#This Row],[X base]],""),"")</f>
        <v/>
      </c>
      <c r="BC628" s="99" t="str">
        <f t="shared" si="86"/>
        <v xml:space="preserve"> </v>
      </c>
    </row>
    <row r="629" spans="31:55" x14ac:dyDescent="0.2">
      <c r="AE629" s="54">
        <f t="shared" si="88"/>
        <v>616</v>
      </c>
      <c r="AF629" s="54">
        <f>S_binomial[[#This Row],[Indeks (base 0)]]+1</f>
        <v>617</v>
      </c>
      <c r="AG629" s="99">
        <f t="shared" si="89"/>
        <v>6</v>
      </c>
      <c r="AH629" s="99">
        <f>IF(MOD(S_binomial[[#This Row],[Indeks (base 0)]],AF$7)=0,NA(),_xlfn.BINOM.DIST(S_binomial[[#This Row],[X base]],E$5,E$6,FALSE))</f>
        <v>0.40456723513599996</v>
      </c>
      <c r="AI629" s="99" t="b">
        <f>S_binomial[[#This Row],[X base]]&lt;AF$5</f>
        <v>0</v>
      </c>
      <c r="AJ629" s="99" t="b">
        <f>S_binomial[[#This Row],[X base]]=AF$5</f>
        <v>0</v>
      </c>
      <c r="AK629" s="99" t="b">
        <f>S_binomial[[#This Row],[X base]]&gt;AF$5</f>
        <v>1</v>
      </c>
      <c r="AL629" s="99" t="e">
        <f>IF(S_binomial[[#This Row],[Mindre end]],S_binomial[[#This Row],[Binomialfordeling]],NA())</f>
        <v>#N/A</v>
      </c>
      <c r="AM629" s="99" t="e">
        <f>IF(S_binomial[[#This Row],[Lig med]],S_binomial[[#This Row],[Binomialfordeling]],NA())</f>
        <v>#N/A</v>
      </c>
      <c r="AN629" s="99">
        <f>IF(S_binomial[[#This Row],[Større end]],S_binomial[[#This Row],[Binomialfordeling]],NA())</f>
        <v>0.40456723513599996</v>
      </c>
      <c r="AO629" s="85" t="str">
        <f>_xlfn.IFNA(IF(MOD(S_binomial[[#This Row],[Indeks (base 0)]],AF$7)=ROUNDDOWN(AF$7/2,0),S_binomial[[#This Row],[X base]],""),"")</f>
        <v/>
      </c>
      <c r="AP629" s="99" t="str">
        <f t="shared" si="90"/>
        <v xml:space="preserve"> </v>
      </c>
      <c r="AR629" s="54">
        <f t="shared" si="85"/>
        <v>616</v>
      </c>
      <c r="AS629" s="54">
        <f>S_normal27[[#This Row],[Indeks (base 0)]]+1</f>
        <v>617</v>
      </c>
      <c r="AT629" s="54">
        <f t="shared" si="87"/>
        <v>9</v>
      </c>
      <c r="AU629" s="54">
        <f>IF(MOD(S_normal27[[#This Row],[Indeks (base 0)]],AS$8)=0,NA(),_xlfn.POISSON.DIST(S_normal27[[#This Row],[X base]],$H$5,FALSE))</f>
        <v>2.7005039315604771E-3</v>
      </c>
      <c r="AV629" s="99" t="b">
        <f>S_normal27[[#This Row],[X base]]&lt;AS$5</f>
        <v>0</v>
      </c>
      <c r="AW629" s="99" t="b">
        <f>S_normal27[[#This Row],[X base]]=AS$5</f>
        <v>0</v>
      </c>
      <c r="AX629" s="99" t="b">
        <f>S_normal27[[#This Row],[X base]]&gt;AS$5</f>
        <v>1</v>
      </c>
      <c r="AY629" s="99" t="e">
        <f>IF(S_normal27[[#This Row],[Mindre end]],S_normal27[[#This Row],[Poissonfordeling]],NA())</f>
        <v>#N/A</v>
      </c>
      <c r="AZ629" s="99" t="e">
        <f>IF(S_normal27[[#This Row],[Lig med]],S_normal27[[#This Row],[Poissonfordeling]],NA())</f>
        <v>#N/A</v>
      </c>
      <c r="BA629" s="99">
        <f>IF(S_normal27[[#This Row],[Større end]],S_normal27[[#This Row],[Poissonfordeling]],NA())</f>
        <v>2.7005039315604771E-3</v>
      </c>
      <c r="BB629" s="85" t="str">
        <f>_xlfn.IFNA(IF(MOD(S_normal27[[#This Row],[Indeks (base 0)]],AS$8)=ROUNDDOWN(AS$8/2,0),S_normal27[[#This Row],[X base]],""),"")</f>
        <v/>
      </c>
      <c r="BC629" s="99" t="str">
        <f t="shared" si="86"/>
        <v xml:space="preserve"> </v>
      </c>
    </row>
    <row r="630" spans="31:55" x14ac:dyDescent="0.2">
      <c r="AE630" s="54">
        <f t="shared" si="88"/>
        <v>617</v>
      </c>
      <c r="AF630" s="54">
        <f>S_binomial[[#This Row],[Indeks (base 0)]]+1</f>
        <v>618</v>
      </c>
      <c r="AG630" s="99">
        <f t="shared" si="89"/>
        <v>6</v>
      </c>
      <c r="AH630" s="99">
        <f>IF(MOD(S_binomial[[#This Row],[Indeks (base 0)]],AF$7)=0,NA(),_xlfn.BINOM.DIST(S_binomial[[#This Row],[X base]],E$5,E$6,FALSE))</f>
        <v>0.40456723513599996</v>
      </c>
      <c r="AI630" s="99" t="b">
        <f>S_binomial[[#This Row],[X base]]&lt;AF$5</f>
        <v>0</v>
      </c>
      <c r="AJ630" s="99" t="b">
        <f>S_binomial[[#This Row],[X base]]=AF$5</f>
        <v>0</v>
      </c>
      <c r="AK630" s="99" t="b">
        <f>S_binomial[[#This Row],[X base]]&gt;AF$5</f>
        <v>1</v>
      </c>
      <c r="AL630" s="99" t="e">
        <f>IF(S_binomial[[#This Row],[Mindre end]],S_binomial[[#This Row],[Binomialfordeling]],NA())</f>
        <v>#N/A</v>
      </c>
      <c r="AM630" s="99" t="e">
        <f>IF(S_binomial[[#This Row],[Lig med]],S_binomial[[#This Row],[Binomialfordeling]],NA())</f>
        <v>#N/A</v>
      </c>
      <c r="AN630" s="99">
        <f>IF(S_binomial[[#This Row],[Større end]],S_binomial[[#This Row],[Binomialfordeling]],NA())</f>
        <v>0.40456723513599996</v>
      </c>
      <c r="AO630" s="85" t="str">
        <f>_xlfn.IFNA(IF(MOD(S_binomial[[#This Row],[Indeks (base 0)]],AF$7)=ROUNDDOWN(AF$7/2,0),S_binomial[[#This Row],[X base]],""),"")</f>
        <v/>
      </c>
      <c r="AP630" s="99" t="str">
        <f t="shared" si="90"/>
        <v xml:space="preserve"> </v>
      </c>
      <c r="AR630" s="54">
        <f t="shared" si="85"/>
        <v>617</v>
      </c>
      <c r="AS630" s="54">
        <f>S_normal27[[#This Row],[Indeks (base 0)]]+1</f>
        <v>618</v>
      </c>
      <c r="AT630" s="54">
        <f t="shared" si="87"/>
        <v>9</v>
      </c>
      <c r="AU630" s="54">
        <f>IF(MOD(S_normal27[[#This Row],[Indeks (base 0)]],AS$8)=0,NA(),_xlfn.POISSON.DIST(S_normal27[[#This Row],[X base]],$H$5,FALSE))</f>
        <v>2.7005039315604771E-3</v>
      </c>
      <c r="AV630" s="99" t="b">
        <f>S_normal27[[#This Row],[X base]]&lt;AS$5</f>
        <v>0</v>
      </c>
      <c r="AW630" s="99" t="b">
        <f>S_normal27[[#This Row],[X base]]=AS$5</f>
        <v>0</v>
      </c>
      <c r="AX630" s="99" t="b">
        <f>S_normal27[[#This Row],[X base]]&gt;AS$5</f>
        <v>1</v>
      </c>
      <c r="AY630" s="99" t="e">
        <f>IF(S_normal27[[#This Row],[Mindre end]],S_normal27[[#This Row],[Poissonfordeling]],NA())</f>
        <v>#N/A</v>
      </c>
      <c r="AZ630" s="99" t="e">
        <f>IF(S_normal27[[#This Row],[Lig med]],S_normal27[[#This Row],[Poissonfordeling]],NA())</f>
        <v>#N/A</v>
      </c>
      <c r="BA630" s="99">
        <f>IF(S_normal27[[#This Row],[Større end]],S_normal27[[#This Row],[Poissonfordeling]],NA())</f>
        <v>2.7005039315604771E-3</v>
      </c>
      <c r="BB630" s="85">
        <f>_xlfn.IFNA(IF(MOD(S_normal27[[#This Row],[Indeks (base 0)]],AS$8)=ROUNDDOWN(AS$8/2,0),S_normal27[[#This Row],[X base]],""),"")</f>
        <v>9</v>
      </c>
      <c r="BC630" s="99" t="str">
        <f t="shared" si="86"/>
        <v xml:space="preserve"> </v>
      </c>
    </row>
    <row r="631" spans="31:55" x14ac:dyDescent="0.2">
      <c r="AE631" s="54">
        <f t="shared" si="88"/>
        <v>618</v>
      </c>
      <c r="AF631" s="54">
        <f>S_binomial[[#This Row],[Indeks (base 0)]]+1</f>
        <v>619</v>
      </c>
      <c r="AG631" s="99">
        <f t="shared" si="89"/>
        <v>6</v>
      </c>
      <c r="AH631" s="99">
        <f>IF(MOD(S_binomial[[#This Row],[Indeks (base 0)]],AF$7)=0,NA(),_xlfn.BINOM.DIST(S_binomial[[#This Row],[X base]],E$5,E$6,FALSE))</f>
        <v>0.40456723513599996</v>
      </c>
      <c r="AI631" s="99" t="b">
        <f>S_binomial[[#This Row],[X base]]&lt;AF$5</f>
        <v>0</v>
      </c>
      <c r="AJ631" s="99" t="b">
        <f>S_binomial[[#This Row],[X base]]=AF$5</f>
        <v>0</v>
      </c>
      <c r="AK631" s="99" t="b">
        <f>S_binomial[[#This Row],[X base]]&gt;AF$5</f>
        <v>1</v>
      </c>
      <c r="AL631" s="99" t="e">
        <f>IF(S_binomial[[#This Row],[Mindre end]],S_binomial[[#This Row],[Binomialfordeling]],NA())</f>
        <v>#N/A</v>
      </c>
      <c r="AM631" s="99" t="e">
        <f>IF(S_binomial[[#This Row],[Lig med]],S_binomial[[#This Row],[Binomialfordeling]],NA())</f>
        <v>#N/A</v>
      </c>
      <c r="AN631" s="99">
        <f>IF(S_binomial[[#This Row],[Større end]],S_binomial[[#This Row],[Binomialfordeling]],NA())</f>
        <v>0.40456723513599996</v>
      </c>
      <c r="AO631" s="85" t="str">
        <f>_xlfn.IFNA(IF(MOD(S_binomial[[#This Row],[Indeks (base 0)]],AF$7)=ROUNDDOWN(AF$7/2,0),S_binomial[[#This Row],[X base]],""),"")</f>
        <v/>
      </c>
      <c r="AP631" s="99" t="str">
        <f t="shared" si="90"/>
        <v xml:space="preserve"> </v>
      </c>
      <c r="AR631" s="54">
        <f t="shared" si="85"/>
        <v>618</v>
      </c>
      <c r="AS631" s="54">
        <f>S_normal27[[#This Row],[Indeks (base 0)]]+1</f>
        <v>619</v>
      </c>
      <c r="AT631" s="54">
        <f t="shared" si="87"/>
        <v>9</v>
      </c>
      <c r="AU631" s="54">
        <f>IF(MOD(S_normal27[[#This Row],[Indeks (base 0)]],AS$8)=0,NA(),_xlfn.POISSON.DIST(S_normal27[[#This Row],[X base]],$H$5,FALSE))</f>
        <v>2.7005039315604771E-3</v>
      </c>
      <c r="AV631" s="99" t="b">
        <f>S_normal27[[#This Row],[X base]]&lt;AS$5</f>
        <v>0</v>
      </c>
      <c r="AW631" s="99" t="b">
        <f>S_normal27[[#This Row],[X base]]=AS$5</f>
        <v>0</v>
      </c>
      <c r="AX631" s="99" t="b">
        <f>S_normal27[[#This Row],[X base]]&gt;AS$5</f>
        <v>1</v>
      </c>
      <c r="AY631" s="99" t="e">
        <f>IF(S_normal27[[#This Row],[Mindre end]],S_normal27[[#This Row],[Poissonfordeling]],NA())</f>
        <v>#N/A</v>
      </c>
      <c r="AZ631" s="99" t="e">
        <f>IF(S_normal27[[#This Row],[Lig med]],S_normal27[[#This Row],[Poissonfordeling]],NA())</f>
        <v>#N/A</v>
      </c>
      <c r="BA631" s="99">
        <f>IF(S_normal27[[#This Row],[Større end]],S_normal27[[#This Row],[Poissonfordeling]],NA())</f>
        <v>2.7005039315604771E-3</v>
      </c>
      <c r="BB631" s="85" t="str">
        <f>_xlfn.IFNA(IF(MOD(S_normal27[[#This Row],[Indeks (base 0)]],AS$8)=ROUNDDOWN(AS$8/2,0),S_normal27[[#This Row],[X base]],""),"")</f>
        <v/>
      </c>
      <c r="BC631" s="99" t="str">
        <f t="shared" si="86"/>
        <v xml:space="preserve"> </v>
      </c>
    </row>
    <row r="632" spans="31:55" x14ac:dyDescent="0.2">
      <c r="AE632" s="54">
        <f t="shared" si="88"/>
        <v>619</v>
      </c>
      <c r="AF632" s="54">
        <f>S_binomial[[#This Row],[Indeks (base 0)]]+1</f>
        <v>620</v>
      </c>
      <c r="AG632" s="99">
        <f t="shared" si="89"/>
        <v>6</v>
      </c>
      <c r="AH632" s="99">
        <f>IF(MOD(S_binomial[[#This Row],[Indeks (base 0)]],AF$7)=0,NA(),_xlfn.BINOM.DIST(S_binomial[[#This Row],[X base]],E$5,E$6,FALSE))</f>
        <v>0.40456723513599996</v>
      </c>
      <c r="AI632" s="99" t="b">
        <f>S_binomial[[#This Row],[X base]]&lt;AF$5</f>
        <v>0</v>
      </c>
      <c r="AJ632" s="99" t="b">
        <f>S_binomial[[#This Row],[X base]]=AF$5</f>
        <v>0</v>
      </c>
      <c r="AK632" s="99" t="b">
        <f>S_binomial[[#This Row],[X base]]&gt;AF$5</f>
        <v>1</v>
      </c>
      <c r="AL632" s="99" t="e">
        <f>IF(S_binomial[[#This Row],[Mindre end]],S_binomial[[#This Row],[Binomialfordeling]],NA())</f>
        <v>#N/A</v>
      </c>
      <c r="AM632" s="99" t="e">
        <f>IF(S_binomial[[#This Row],[Lig med]],S_binomial[[#This Row],[Binomialfordeling]],NA())</f>
        <v>#N/A</v>
      </c>
      <c r="AN632" s="99">
        <f>IF(S_binomial[[#This Row],[Større end]],S_binomial[[#This Row],[Binomialfordeling]],NA())</f>
        <v>0.40456723513599996</v>
      </c>
      <c r="AO632" s="85" t="str">
        <f>_xlfn.IFNA(IF(MOD(S_binomial[[#This Row],[Indeks (base 0)]],AF$7)=ROUNDDOWN(AF$7/2,0),S_binomial[[#This Row],[X base]],""),"")</f>
        <v/>
      </c>
      <c r="AP632" s="99" t="str">
        <f t="shared" si="90"/>
        <v xml:space="preserve"> </v>
      </c>
      <c r="AR632" s="54">
        <f t="shared" si="85"/>
        <v>619</v>
      </c>
      <c r="AS632" s="54">
        <f>S_normal27[[#This Row],[Indeks (base 0)]]+1</f>
        <v>620</v>
      </c>
      <c r="AT632" s="54">
        <f t="shared" si="87"/>
        <v>9</v>
      </c>
      <c r="AU632" s="54">
        <f>IF(MOD(S_normal27[[#This Row],[Indeks (base 0)]],AS$8)=0,NA(),_xlfn.POISSON.DIST(S_normal27[[#This Row],[X base]],$H$5,FALSE))</f>
        <v>2.7005039315604771E-3</v>
      </c>
      <c r="AV632" s="99" t="b">
        <f>S_normal27[[#This Row],[X base]]&lt;AS$5</f>
        <v>0</v>
      </c>
      <c r="AW632" s="99" t="b">
        <f>S_normal27[[#This Row],[X base]]=AS$5</f>
        <v>0</v>
      </c>
      <c r="AX632" s="99" t="b">
        <f>S_normal27[[#This Row],[X base]]&gt;AS$5</f>
        <v>1</v>
      </c>
      <c r="AY632" s="99" t="e">
        <f>IF(S_normal27[[#This Row],[Mindre end]],S_normal27[[#This Row],[Poissonfordeling]],NA())</f>
        <v>#N/A</v>
      </c>
      <c r="AZ632" s="99" t="e">
        <f>IF(S_normal27[[#This Row],[Lig med]],S_normal27[[#This Row],[Poissonfordeling]],NA())</f>
        <v>#N/A</v>
      </c>
      <c r="BA632" s="99">
        <f>IF(S_normal27[[#This Row],[Større end]],S_normal27[[#This Row],[Poissonfordeling]],NA())</f>
        <v>2.7005039315604771E-3</v>
      </c>
      <c r="BB632" s="85" t="str">
        <f>_xlfn.IFNA(IF(MOD(S_normal27[[#This Row],[Indeks (base 0)]],AS$8)=ROUNDDOWN(AS$8/2,0),S_normal27[[#This Row],[X base]],""),"")</f>
        <v/>
      </c>
      <c r="BC632" s="99" t="str">
        <f t="shared" si="86"/>
        <v xml:space="preserve"> </v>
      </c>
    </row>
    <row r="633" spans="31:55" x14ac:dyDescent="0.2">
      <c r="AE633" s="54">
        <f t="shared" si="88"/>
        <v>620</v>
      </c>
      <c r="AF633" s="54">
        <f>S_binomial[[#This Row],[Indeks (base 0)]]+1</f>
        <v>621</v>
      </c>
      <c r="AG633" s="99">
        <f t="shared" si="89"/>
        <v>6</v>
      </c>
      <c r="AH633" s="99">
        <f>IF(MOD(S_binomial[[#This Row],[Indeks (base 0)]],AF$7)=0,NA(),_xlfn.BINOM.DIST(S_binomial[[#This Row],[X base]],E$5,E$6,FALSE))</f>
        <v>0.40456723513599996</v>
      </c>
      <c r="AI633" s="99" t="b">
        <f>S_binomial[[#This Row],[X base]]&lt;AF$5</f>
        <v>0</v>
      </c>
      <c r="AJ633" s="99" t="b">
        <f>S_binomial[[#This Row],[X base]]=AF$5</f>
        <v>0</v>
      </c>
      <c r="AK633" s="99" t="b">
        <f>S_binomial[[#This Row],[X base]]&gt;AF$5</f>
        <v>1</v>
      </c>
      <c r="AL633" s="99" t="e">
        <f>IF(S_binomial[[#This Row],[Mindre end]],S_binomial[[#This Row],[Binomialfordeling]],NA())</f>
        <v>#N/A</v>
      </c>
      <c r="AM633" s="99" t="e">
        <f>IF(S_binomial[[#This Row],[Lig med]],S_binomial[[#This Row],[Binomialfordeling]],NA())</f>
        <v>#N/A</v>
      </c>
      <c r="AN633" s="99">
        <f>IF(S_binomial[[#This Row],[Større end]],S_binomial[[#This Row],[Binomialfordeling]],NA())</f>
        <v>0.40456723513599996</v>
      </c>
      <c r="AO633" s="85" t="str">
        <f>_xlfn.IFNA(IF(MOD(S_binomial[[#This Row],[Indeks (base 0)]],AF$7)=ROUNDDOWN(AF$7/2,0),S_binomial[[#This Row],[X base]],""),"")</f>
        <v/>
      </c>
      <c r="AP633" s="99" t="str">
        <f t="shared" si="90"/>
        <v xml:space="preserve"> </v>
      </c>
      <c r="AR633" s="54">
        <f t="shared" si="85"/>
        <v>620</v>
      </c>
      <c r="AS633" s="54">
        <f>S_normal27[[#This Row],[Indeks (base 0)]]+1</f>
        <v>621</v>
      </c>
      <c r="AT633" s="54">
        <f t="shared" si="87"/>
        <v>9</v>
      </c>
      <c r="AU633" s="54">
        <f>IF(MOD(S_normal27[[#This Row],[Indeks (base 0)]],AS$8)=0,NA(),_xlfn.POISSON.DIST(S_normal27[[#This Row],[X base]],$H$5,FALSE))</f>
        <v>2.7005039315604771E-3</v>
      </c>
      <c r="AV633" s="99" t="b">
        <f>S_normal27[[#This Row],[X base]]&lt;AS$5</f>
        <v>0</v>
      </c>
      <c r="AW633" s="99" t="b">
        <f>S_normal27[[#This Row],[X base]]=AS$5</f>
        <v>0</v>
      </c>
      <c r="AX633" s="99" t="b">
        <f>S_normal27[[#This Row],[X base]]&gt;AS$5</f>
        <v>1</v>
      </c>
      <c r="AY633" s="99" t="e">
        <f>IF(S_normal27[[#This Row],[Mindre end]],S_normal27[[#This Row],[Poissonfordeling]],NA())</f>
        <v>#N/A</v>
      </c>
      <c r="AZ633" s="99" t="e">
        <f>IF(S_normal27[[#This Row],[Lig med]],S_normal27[[#This Row],[Poissonfordeling]],NA())</f>
        <v>#N/A</v>
      </c>
      <c r="BA633" s="99">
        <f>IF(S_normal27[[#This Row],[Større end]],S_normal27[[#This Row],[Poissonfordeling]],NA())</f>
        <v>2.7005039315604771E-3</v>
      </c>
      <c r="BB633" s="85" t="str">
        <f>_xlfn.IFNA(IF(MOD(S_normal27[[#This Row],[Indeks (base 0)]],AS$8)=ROUNDDOWN(AS$8/2,0),S_normal27[[#This Row],[X base]],""),"")</f>
        <v/>
      </c>
      <c r="BC633" s="99" t="str">
        <f t="shared" si="86"/>
        <v xml:space="preserve"> </v>
      </c>
    </row>
    <row r="634" spans="31:55" x14ac:dyDescent="0.2">
      <c r="AE634" s="54">
        <f t="shared" si="88"/>
        <v>621</v>
      </c>
      <c r="AF634" s="54">
        <f>S_binomial[[#This Row],[Indeks (base 0)]]+1</f>
        <v>622</v>
      </c>
      <c r="AG634" s="99">
        <f t="shared" si="89"/>
        <v>6</v>
      </c>
      <c r="AH634" s="99">
        <f>IF(MOD(S_binomial[[#This Row],[Indeks (base 0)]],AF$7)=0,NA(),_xlfn.BINOM.DIST(S_binomial[[#This Row],[X base]],E$5,E$6,FALSE))</f>
        <v>0.40456723513599996</v>
      </c>
      <c r="AI634" s="99" t="b">
        <f>S_binomial[[#This Row],[X base]]&lt;AF$5</f>
        <v>0</v>
      </c>
      <c r="AJ634" s="99" t="b">
        <f>S_binomial[[#This Row],[X base]]=AF$5</f>
        <v>0</v>
      </c>
      <c r="AK634" s="99" t="b">
        <f>S_binomial[[#This Row],[X base]]&gt;AF$5</f>
        <v>1</v>
      </c>
      <c r="AL634" s="99" t="e">
        <f>IF(S_binomial[[#This Row],[Mindre end]],S_binomial[[#This Row],[Binomialfordeling]],NA())</f>
        <v>#N/A</v>
      </c>
      <c r="AM634" s="99" t="e">
        <f>IF(S_binomial[[#This Row],[Lig med]],S_binomial[[#This Row],[Binomialfordeling]],NA())</f>
        <v>#N/A</v>
      </c>
      <c r="AN634" s="99">
        <f>IF(S_binomial[[#This Row],[Større end]],S_binomial[[#This Row],[Binomialfordeling]],NA())</f>
        <v>0.40456723513599996</v>
      </c>
      <c r="AO634" s="85" t="str">
        <f>_xlfn.IFNA(IF(MOD(S_binomial[[#This Row],[Indeks (base 0)]],AF$7)=ROUNDDOWN(AF$7/2,0),S_binomial[[#This Row],[X base]],""),"")</f>
        <v/>
      </c>
      <c r="AP634" s="99" t="str">
        <f t="shared" si="90"/>
        <v xml:space="preserve"> </v>
      </c>
      <c r="AR634" s="54">
        <f t="shared" si="85"/>
        <v>621</v>
      </c>
      <c r="AS634" s="54">
        <f>S_normal27[[#This Row],[Indeks (base 0)]]+1</f>
        <v>622</v>
      </c>
      <c r="AT634" s="54">
        <f t="shared" si="87"/>
        <v>9</v>
      </c>
      <c r="AU634" s="54">
        <f>IF(MOD(S_normal27[[#This Row],[Indeks (base 0)]],AS$8)=0,NA(),_xlfn.POISSON.DIST(S_normal27[[#This Row],[X base]],$H$5,FALSE))</f>
        <v>2.7005039315604771E-3</v>
      </c>
      <c r="AV634" s="99" t="b">
        <f>S_normal27[[#This Row],[X base]]&lt;AS$5</f>
        <v>0</v>
      </c>
      <c r="AW634" s="99" t="b">
        <f>S_normal27[[#This Row],[X base]]=AS$5</f>
        <v>0</v>
      </c>
      <c r="AX634" s="99" t="b">
        <f>S_normal27[[#This Row],[X base]]&gt;AS$5</f>
        <v>1</v>
      </c>
      <c r="AY634" s="99" t="e">
        <f>IF(S_normal27[[#This Row],[Mindre end]],S_normal27[[#This Row],[Poissonfordeling]],NA())</f>
        <v>#N/A</v>
      </c>
      <c r="AZ634" s="99" t="e">
        <f>IF(S_normal27[[#This Row],[Lig med]],S_normal27[[#This Row],[Poissonfordeling]],NA())</f>
        <v>#N/A</v>
      </c>
      <c r="BA634" s="99">
        <f>IF(S_normal27[[#This Row],[Større end]],S_normal27[[#This Row],[Poissonfordeling]],NA())</f>
        <v>2.7005039315604771E-3</v>
      </c>
      <c r="BB634" s="85" t="str">
        <f>_xlfn.IFNA(IF(MOD(S_normal27[[#This Row],[Indeks (base 0)]],AS$8)=ROUNDDOWN(AS$8/2,0),S_normal27[[#This Row],[X base]],""),"")</f>
        <v/>
      </c>
      <c r="BC634" s="99" t="str">
        <f t="shared" si="86"/>
        <v xml:space="preserve"> </v>
      </c>
    </row>
    <row r="635" spans="31:55" x14ac:dyDescent="0.2">
      <c r="AE635" s="54">
        <f t="shared" si="88"/>
        <v>622</v>
      </c>
      <c r="AF635" s="54">
        <f>S_binomial[[#This Row],[Indeks (base 0)]]+1</f>
        <v>623</v>
      </c>
      <c r="AG635" s="99">
        <f t="shared" si="89"/>
        <v>6</v>
      </c>
      <c r="AH635" s="99">
        <f>IF(MOD(S_binomial[[#This Row],[Indeks (base 0)]],AF$7)=0,NA(),_xlfn.BINOM.DIST(S_binomial[[#This Row],[X base]],E$5,E$6,FALSE))</f>
        <v>0.40456723513599996</v>
      </c>
      <c r="AI635" s="99" t="b">
        <f>S_binomial[[#This Row],[X base]]&lt;AF$5</f>
        <v>0</v>
      </c>
      <c r="AJ635" s="99" t="b">
        <f>S_binomial[[#This Row],[X base]]=AF$5</f>
        <v>0</v>
      </c>
      <c r="AK635" s="99" t="b">
        <f>S_binomial[[#This Row],[X base]]&gt;AF$5</f>
        <v>1</v>
      </c>
      <c r="AL635" s="99" t="e">
        <f>IF(S_binomial[[#This Row],[Mindre end]],S_binomial[[#This Row],[Binomialfordeling]],NA())</f>
        <v>#N/A</v>
      </c>
      <c r="AM635" s="99" t="e">
        <f>IF(S_binomial[[#This Row],[Lig med]],S_binomial[[#This Row],[Binomialfordeling]],NA())</f>
        <v>#N/A</v>
      </c>
      <c r="AN635" s="99">
        <f>IF(S_binomial[[#This Row],[Større end]],S_binomial[[#This Row],[Binomialfordeling]],NA())</f>
        <v>0.40456723513599996</v>
      </c>
      <c r="AO635" s="85" t="str">
        <f>_xlfn.IFNA(IF(MOD(S_binomial[[#This Row],[Indeks (base 0)]],AF$7)=ROUNDDOWN(AF$7/2,0),S_binomial[[#This Row],[X base]],""),"")</f>
        <v/>
      </c>
      <c r="AP635" s="99" t="str">
        <f t="shared" si="90"/>
        <v xml:space="preserve"> </v>
      </c>
      <c r="AR635" s="54">
        <f t="shared" si="85"/>
        <v>622</v>
      </c>
      <c r="AS635" s="54">
        <f>S_normal27[[#This Row],[Indeks (base 0)]]+1</f>
        <v>623</v>
      </c>
      <c r="AT635" s="54">
        <f t="shared" si="87"/>
        <v>9</v>
      </c>
      <c r="AU635" s="54">
        <f>IF(MOD(S_normal27[[#This Row],[Indeks (base 0)]],AS$8)=0,NA(),_xlfn.POISSON.DIST(S_normal27[[#This Row],[X base]],$H$5,FALSE))</f>
        <v>2.7005039315604771E-3</v>
      </c>
      <c r="AV635" s="99" t="b">
        <f>S_normal27[[#This Row],[X base]]&lt;AS$5</f>
        <v>0</v>
      </c>
      <c r="AW635" s="99" t="b">
        <f>S_normal27[[#This Row],[X base]]=AS$5</f>
        <v>0</v>
      </c>
      <c r="AX635" s="99" t="b">
        <f>S_normal27[[#This Row],[X base]]&gt;AS$5</f>
        <v>1</v>
      </c>
      <c r="AY635" s="99" t="e">
        <f>IF(S_normal27[[#This Row],[Mindre end]],S_normal27[[#This Row],[Poissonfordeling]],NA())</f>
        <v>#N/A</v>
      </c>
      <c r="AZ635" s="99" t="e">
        <f>IF(S_normal27[[#This Row],[Lig med]],S_normal27[[#This Row],[Poissonfordeling]],NA())</f>
        <v>#N/A</v>
      </c>
      <c r="BA635" s="99">
        <f>IF(S_normal27[[#This Row],[Større end]],S_normal27[[#This Row],[Poissonfordeling]],NA())</f>
        <v>2.7005039315604771E-3</v>
      </c>
      <c r="BB635" s="85" t="str">
        <f>_xlfn.IFNA(IF(MOD(S_normal27[[#This Row],[Indeks (base 0)]],AS$8)=ROUNDDOWN(AS$8/2,0),S_normal27[[#This Row],[X base]],""),"")</f>
        <v/>
      </c>
      <c r="BC635" s="99" t="str">
        <f t="shared" si="86"/>
        <v xml:space="preserve"> </v>
      </c>
    </row>
    <row r="636" spans="31:55" x14ac:dyDescent="0.2">
      <c r="AE636" s="54">
        <f t="shared" si="88"/>
        <v>623</v>
      </c>
      <c r="AF636" s="54">
        <f>S_binomial[[#This Row],[Indeks (base 0)]]+1</f>
        <v>624</v>
      </c>
      <c r="AG636" s="99">
        <f t="shared" si="89"/>
        <v>6</v>
      </c>
      <c r="AH636" s="99">
        <f>IF(MOD(S_binomial[[#This Row],[Indeks (base 0)]],AF$7)=0,NA(),_xlfn.BINOM.DIST(S_binomial[[#This Row],[X base]],E$5,E$6,FALSE))</f>
        <v>0.40456723513599996</v>
      </c>
      <c r="AI636" s="99" t="b">
        <f>S_binomial[[#This Row],[X base]]&lt;AF$5</f>
        <v>0</v>
      </c>
      <c r="AJ636" s="99" t="b">
        <f>S_binomial[[#This Row],[X base]]=AF$5</f>
        <v>0</v>
      </c>
      <c r="AK636" s="99" t="b">
        <f>S_binomial[[#This Row],[X base]]&gt;AF$5</f>
        <v>1</v>
      </c>
      <c r="AL636" s="99" t="e">
        <f>IF(S_binomial[[#This Row],[Mindre end]],S_binomial[[#This Row],[Binomialfordeling]],NA())</f>
        <v>#N/A</v>
      </c>
      <c r="AM636" s="99" t="e">
        <f>IF(S_binomial[[#This Row],[Lig med]],S_binomial[[#This Row],[Binomialfordeling]],NA())</f>
        <v>#N/A</v>
      </c>
      <c r="AN636" s="99">
        <f>IF(S_binomial[[#This Row],[Større end]],S_binomial[[#This Row],[Binomialfordeling]],NA())</f>
        <v>0.40456723513599996</v>
      </c>
      <c r="AO636" s="85" t="str">
        <f>_xlfn.IFNA(IF(MOD(S_binomial[[#This Row],[Indeks (base 0)]],AF$7)=ROUNDDOWN(AF$7/2,0),S_binomial[[#This Row],[X base]],""),"")</f>
        <v/>
      </c>
      <c r="AP636" s="99" t="str">
        <f t="shared" si="90"/>
        <v xml:space="preserve"> </v>
      </c>
      <c r="AR636" s="54">
        <f t="shared" si="85"/>
        <v>623</v>
      </c>
      <c r="AS636" s="54">
        <f>S_normal27[[#This Row],[Indeks (base 0)]]+1</f>
        <v>624</v>
      </c>
      <c r="AT636" s="54">
        <f t="shared" si="87"/>
        <v>9</v>
      </c>
      <c r="AU636" s="54">
        <f>IF(MOD(S_normal27[[#This Row],[Indeks (base 0)]],AS$8)=0,NA(),_xlfn.POISSON.DIST(S_normal27[[#This Row],[X base]],$H$5,FALSE))</f>
        <v>2.7005039315604771E-3</v>
      </c>
      <c r="AV636" s="99" t="b">
        <f>S_normal27[[#This Row],[X base]]&lt;AS$5</f>
        <v>0</v>
      </c>
      <c r="AW636" s="99" t="b">
        <f>S_normal27[[#This Row],[X base]]=AS$5</f>
        <v>0</v>
      </c>
      <c r="AX636" s="99" t="b">
        <f>S_normal27[[#This Row],[X base]]&gt;AS$5</f>
        <v>1</v>
      </c>
      <c r="AY636" s="99" t="e">
        <f>IF(S_normal27[[#This Row],[Mindre end]],S_normal27[[#This Row],[Poissonfordeling]],NA())</f>
        <v>#N/A</v>
      </c>
      <c r="AZ636" s="99" t="e">
        <f>IF(S_normal27[[#This Row],[Lig med]],S_normal27[[#This Row],[Poissonfordeling]],NA())</f>
        <v>#N/A</v>
      </c>
      <c r="BA636" s="99">
        <f>IF(S_normal27[[#This Row],[Større end]],S_normal27[[#This Row],[Poissonfordeling]],NA())</f>
        <v>2.7005039315604771E-3</v>
      </c>
      <c r="BB636" s="85" t="str">
        <f>_xlfn.IFNA(IF(MOD(S_normal27[[#This Row],[Indeks (base 0)]],AS$8)=ROUNDDOWN(AS$8/2,0),S_normal27[[#This Row],[X base]],""),"")</f>
        <v/>
      </c>
      <c r="BC636" s="99" t="str">
        <f t="shared" si="86"/>
        <v xml:space="preserve"> </v>
      </c>
    </row>
    <row r="637" spans="31:55" x14ac:dyDescent="0.2">
      <c r="AE637" s="54">
        <f t="shared" si="88"/>
        <v>624</v>
      </c>
      <c r="AF637" s="54">
        <f>S_binomial[[#This Row],[Indeks (base 0)]]+1</f>
        <v>625</v>
      </c>
      <c r="AG637" s="99">
        <f t="shared" si="89"/>
        <v>6</v>
      </c>
      <c r="AH637" s="99">
        <f>IF(MOD(S_binomial[[#This Row],[Indeks (base 0)]],AF$7)=0,NA(),_xlfn.BINOM.DIST(S_binomial[[#This Row],[X base]],E$5,E$6,FALSE))</f>
        <v>0.40456723513599996</v>
      </c>
      <c r="AI637" s="99" t="b">
        <f>S_binomial[[#This Row],[X base]]&lt;AF$5</f>
        <v>0</v>
      </c>
      <c r="AJ637" s="99" t="b">
        <f>S_binomial[[#This Row],[X base]]=AF$5</f>
        <v>0</v>
      </c>
      <c r="AK637" s="99" t="b">
        <f>S_binomial[[#This Row],[X base]]&gt;AF$5</f>
        <v>1</v>
      </c>
      <c r="AL637" s="99" t="e">
        <f>IF(S_binomial[[#This Row],[Mindre end]],S_binomial[[#This Row],[Binomialfordeling]],NA())</f>
        <v>#N/A</v>
      </c>
      <c r="AM637" s="99" t="e">
        <f>IF(S_binomial[[#This Row],[Lig med]],S_binomial[[#This Row],[Binomialfordeling]],NA())</f>
        <v>#N/A</v>
      </c>
      <c r="AN637" s="99">
        <f>IF(S_binomial[[#This Row],[Større end]],S_binomial[[#This Row],[Binomialfordeling]],NA())</f>
        <v>0.40456723513599996</v>
      </c>
      <c r="AO637" s="85" t="str">
        <f>_xlfn.IFNA(IF(MOD(S_binomial[[#This Row],[Indeks (base 0)]],AF$7)=ROUNDDOWN(AF$7/2,0),S_binomial[[#This Row],[X base]],""),"")</f>
        <v/>
      </c>
      <c r="AP637" s="99" t="str">
        <f t="shared" si="90"/>
        <v xml:space="preserve"> </v>
      </c>
      <c r="AR637" s="54">
        <f t="shared" si="85"/>
        <v>624</v>
      </c>
      <c r="AS637" s="54">
        <f>S_normal27[[#This Row],[Indeks (base 0)]]+1</f>
        <v>625</v>
      </c>
      <c r="AT637" s="54">
        <f t="shared" si="87"/>
        <v>9</v>
      </c>
      <c r="AU637" s="54">
        <f>IF(MOD(S_normal27[[#This Row],[Indeks (base 0)]],AS$8)=0,NA(),_xlfn.POISSON.DIST(S_normal27[[#This Row],[X base]],$H$5,FALSE))</f>
        <v>2.7005039315604771E-3</v>
      </c>
      <c r="AV637" s="99" t="b">
        <f>S_normal27[[#This Row],[X base]]&lt;AS$5</f>
        <v>0</v>
      </c>
      <c r="AW637" s="99" t="b">
        <f>S_normal27[[#This Row],[X base]]=AS$5</f>
        <v>0</v>
      </c>
      <c r="AX637" s="99" t="b">
        <f>S_normal27[[#This Row],[X base]]&gt;AS$5</f>
        <v>1</v>
      </c>
      <c r="AY637" s="99" t="e">
        <f>IF(S_normal27[[#This Row],[Mindre end]],S_normal27[[#This Row],[Poissonfordeling]],NA())</f>
        <v>#N/A</v>
      </c>
      <c r="AZ637" s="99" t="e">
        <f>IF(S_normal27[[#This Row],[Lig med]],S_normal27[[#This Row],[Poissonfordeling]],NA())</f>
        <v>#N/A</v>
      </c>
      <c r="BA637" s="99">
        <f>IF(S_normal27[[#This Row],[Større end]],S_normal27[[#This Row],[Poissonfordeling]],NA())</f>
        <v>2.7005039315604771E-3</v>
      </c>
      <c r="BB637" s="85" t="str">
        <f>_xlfn.IFNA(IF(MOD(S_normal27[[#This Row],[Indeks (base 0)]],AS$8)=ROUNDDOWN(AS$8/2,0),S_normal27[[#This Row],[X base]],""),"")</f>
        <v/>
      </c>
      <c r="BC637" s="99" t="str">
        <f t="shared" si="86"/>
        <v xml:space="preserve"> </v>
      </c>
    </row>
    <row r="638" spans="31:55" x14ac:dyDescent="0.2">
      <c r="AE638" s="54">
        <f t="shared" si="88"/>
        <v>625</v>
      </c>
      <c r="AF638" s="54">
        <f>S_binomial[[#This Row],[Indeks (base 0)]]+1</f>
        <v>626</v>
      </c>
      <c r="AG638" s="99">
        <f t="shared" si="89"/>
        <v>6</v>
      </c>
      <c r="AH638" s="99">
        <f>IF(MOD(S_binomial[[#This Row],[Indeks (base 0)]],AF$7)=0,NA(),_xlfn.BINOM.DIST(S_binomial[[#This Row],[X base]],E$5,E$6,FALSE))</f>
        <v>0.40456723513599996</v>
      </c>
      <c r="AI638" s="99" t="b">
        <f>S_binomial[[#This Row],[X base]]&lt;AF$5</f>
        <v>0</v>
      </c>
      <c r="AJ638" s="99" t="b">
        <f>S_binomial[[#This Row],[X base]]=AF$5</f>
        <v>0</v>
      </c>
      <c r="AK638" s="99" t="b">
        <f>S_binomial[[#This Row],[X base]]&gt;AF$5</f>
        <v>1</v>
      </c>
      <c r="AL638" s="99" t="e">
        <f>IF(S_binomial[[#This Row],[Mindre end]],S_binomial[[#This Row],[Binomialfordeling]],NA())</f>
        <v>#N/A</v>
      </c>
      <c r="AM638" s="99" t="e">
        <f>IF(S_binomial[[#This Row],[Lig med]],S_binomial[[#This Row],[Binomialfordeling]],NA())</f>
        <v>#N/A</v>
      </c>
      <c r="AN638" s="99">
        <f>IF(S_binomial[[#This Row],[Større end]],S_binomial[[#This Row],[Binomialfordeling]],NA())</f>
        <v>0.40456723513599996</v>
      </c>
      <c r="AO638" s="85" t="str">
        <f>_xlfn.IFNA(IF(MOD(S_binomial[[#This Row],[Indeks (base 0)]],AF$7)=ROUNDDOWN(AF$7/2,0),S_binomial[[#This Row],[X base]],""),"")</f>
        <v/>
      </c>
      <c r="AP638" s="99" t="str">
        <f t="shared" si="90"/>
        <v xml:space="preserve"> </v>
      </c>
      <c r="AR638" s="54">
        <f t="shared" si="85"/>
        <v>625</v>
      </c>
      <c r="AS638" s="54">
        <f>S_normal27[[#This Row],[Indeks (base 0)]]+1</f>
        <v>626</v>
      </c>
      <c r="AT638" s="54">
        <f t="shared" si="87"/>
        <v>9</v>
      </c>
      <c r="AU638" s="54">
        <f>IF(MOD(S_normal27[[#This Row],[Indeks (base 0)]],AS$8)=0,NA(),_xlfn.POISSON.DIST(S_normal27[[#This Row],[X base]],$H$5,FALSE))</f>
        <v>2.7005039315604771E-3</v>
      </c>
      <c r="AV638" s="99" t="b">
        <f>S_normal27[[#This Row],[X base]]&lt;AS$5</f>
        <v>0</v>
      </c>
      <c r="AW638" s="99" t="b">
        <f>S_normal27[[#This Row],[X base]]=AS$5</f>
        <v>0</v>
      </c>
      <c r="AX638" s="99" t="b">
        <f>S_normal27[[#This Row],[X base]]&gt;AS$5</f>
        <v>1</v>
      </c>
      <c r="AY638" s="99" t="e">
        <f>IF(S_normal27[[#This Row],[Mindre end]],S_normal27[[#This Row],[Poissonfordeling]],NA())</f>
        <v>#N/A</v>
      </c>
      <c r="AZ638" s="99" t="e">
        <f>IF(S_normal27[[#This Row],[Lig med]],S_normal27[[#This Row],[Poissonfordeling]],NA())</f>
        <v>#N/A</v>
      </c>
      <c r="BA638" s="99">
        <f>IF(S_normal27[[#This Row],[Større end]],S_normal27[[#This Row],[Poissonfordeling]],NA())</f>
        <v>2.7005039315604771E-3</v>
      </c>
      <c r="BB638" s="85" t="str">
        <f>_xlfn.IFNA(IF(MOD(S_normal27[[#This Row],[Indeks (base 0)]],AS$8)=ROUNDDOWN(AS$8/2,0),S_normal27[[#This Row],[X base]],""),"")</f>
        <v/>
      </c>
      <c r="BC638" s="99" t="str">
        <f t="shared" si="86"/>
        <v xml:space="preserve"> </v>
      </c>
    </row>
    <row r="639" spans="31:55" x14ac:dyDescent="0.2">
      <c r="AE639" s="54">
        <f t="shared" si="88"/>
        <v>626</v>
      </c>
      <c r="AF639" s="54">
        <f>S_binomial[[#This Row],[Indeks (base 0)]]+1</f>
        <v>627</v>
      </c>
      <c r="AG639" s="99">
        <f t="shared" si="89"/>
        <v>6</v>
      </c>
      <c r="AH639" s="99">
        <f>IF(MOD(S_binomial[[#This Row],[Indeks (base 0)]],AF$7)=0,NA(),_xlfn.BINOM.DIST(S_binomial[[#This Row],[X base]],E$5,E$6,FALSE))</f>
        <v>0.40456723513599996</v>
      </c>
      <c r="AI639" s="99" t="b">
        <f>S_binomial[[#This Row],[X base]]&lt;AF$5</f>
        <v>0</v>
      </c>
      <c r="AJ639" s="99" t="b">
        <f>S_binomial[[#This Row],[X base]]=AF$5</f>
        <v>0</v>
      </c>
      <c r="AK639" s="99" t="b">
        <f>S_binomial[[#This Row],[X base]]&gt;AF$5</f>
        <v>1</v>
      </c>
      <c r="AL639" s="99" t="e">
        <f>IF(S_binomial[[#This Row],[Mindre end]],S_binomial[[#This Row],[Binomialfordeling]],NA())</f>
        <v>#N/A</v>
      </c>
      <c r="AM639" s="99" t="e">
        <f>IF(S_binomial[[#This Row],[Lig med]],S_binomial[[#This Row],[Binomialfordeling]],NA())</f>
        <v>#N/A</v>
      </c>
      <c r="AN639" s="99">
        <f>IF(S_binomial[[#This Row],[Større end]],S_binomial[[#This Row],[Binomialfordeling]],NA())</f>
        <v>0.40456723513599996</v>
      </c>
      <c r="AO639" s="85" t="str">
        <f>_xlfn.IFNA(IF(MOD(S_binomial[[#This Row],[Indeks (base 0)]],AF$7)=ROUNDDOWN(AF$7/2,0),S_binomial[[#This Row],[X base]],""),"")</f>
        <v/>
      </c>
      <c r="AP639" s="99" t="str">
        <f t="shared" si="90"/>
        <v xml:space="preserve"> </v>
      </c>
      <c r="AR639" s="54">
        <f t="shared" si="85"/>
        <v>626</v>
      </c>
      <c r="AS639" s="54">
        <f>S_normal27[[#This Row],[Indeks (base 0)]]+1</f>
        <v>627</v>
      </c>
      <c r="AT639" s="54">
        <f t="shared" si="87"/>
        <v>9</v>
      </c>
      <c r="AU639" s="54">
        <f>IF(MOD(S_normal27[[#This Row],[Indeks (base 0)]],AS$8)=0,NA(),_xlfn.POISSON.DIST(S_normal27[[#This Row],[X base]],$H$5,FALSE))</f>
        <v>2.7005039315604771E-3</v>
      </c>
      <c r="AV639" s="99" t="b">
        <f>S_normal27[[#This Row],[X base]]&lt;AS$5</f>
        <v>0</v>
      </c>
      <c r="AW639" s="99" t="b">
        <f>S_normal27[[#This Row],[X base]]=AS$5</f>
        <v>0</v>
      </c>
      <c r="AX639" s="99" t="b">
        <f>S_normal27[[#This Row],[X base]]&gt;AS$5</f>
        <v>1</v>
      </c>
      <c r="AY639" s="99" t="e">
        <f>IF(S_normal27[[#This Row],[Mindre end]],S_normal27[[#This Row],[Poissonfordeling]],NA())</f>
        <v>#N/A</v>
      </c>
      <c r="AZ639" s="99" t="e">
        <f>IF(S_normal27[[#This Row],[Lig med]],S_normal27[[#This Row],[Poissonfordeling]],NA())</f>
        <v>#N/A</v>
      </c>
      <c r="BA639" s="99">
        <f>IF(S_normal27[[#This Row],[Større end]],S_normal27[[#This Row],[Poissonfordeling]],NA())</f>
        <v>2.7005039315604771E-3</v>
      </c>
      <c r="BB639" s="85" t="str">
        <f>_xlfn.IFNA(IF(MOD(S_normal27[[#This Row],[Indeks (base 0)]],AS$8)=ROUNDDOWN(AS$8/2,0),S_normal27[[#This Row],[X base]],""),"")</f>
        <v/>
      </c>
      <c r="BC639" s="99" t="str">
        <f t="shared" si="86"/>
        <v xml:space="preserve"> </v>
      </c>
    </row>
    <row r="640" spans="31:55" x14ac:dyDescent="0.2">
      <c r="AE640" s="54">
        <f t="shared" si="88"/>
        <v>627</v>
      </c>
      <c r="AF640" s="54">
        <f>S_binomial[[#This Row],[Indeks (base 0)]]+1</f>
        <v>628</v>
      </c>
      <c r="AG640" s="99">
        <f t="shared" si="89"/>
        <v>6</v>
      </c>
      <c r="AH640" s="99">
        <f>IF(MOD(S_binomial[[#This Row],[Indeks (base 0)]],AF$7)=0,NA(),_xlfn.BINOM.DIST(S_binomial[[#This Row],[X base]],E$5,E$6,FALSE))</f>
        <v>0.40456723513599996</v>
      </c>
      <c r="AI640" s="99" t="b">
        <f>S_binomial[[#This Row],[X base]]&lt;AF$5</f>
        <v>0</v>
      </c>
      <c r="AJ640" s="99" t="b">
        <f>S_binomial[[#This Row],[X base]]=AF$5</f>
        <v>0</v>
      </c>
      <c r="AK640" s="99" t="b">
        <f>S_binomial[[#This Row],[X base]]&gt;AF$5</f>
        <v>1</v>
      </c>
      <c r="AL640" s="99" t="e">
        <f>IF(S_binomial[[#This Row],[Mindre end]],S_binomial[[#This Row],[Binomialfordeling]],NA())</f>
        <v>#N/A</v>
      </c>
      <c r="AM640" s="99" t="e">
        <f>IF(S_binomial[[#This Row],[Lig med]],S_binomial[[#This Row],[Binomialfordeling]],NA())</f>
        <v>#N/A</v>
      </c>
      <c r="AN640" s="99">
        <f>IF(S_binomial[[#This Row],[Større end]],S_binomial[[#This Row],[Binomialfordeling]],NA())</f>
        <v>0.40456723513599996</v>
      </c>
      <c r="AO640" s="85" t="str">
        <f>_xlfn.IFNA(IF(MOD(S_binomial[[#This Row],[Indeks (base 0)]],AF$7)=ROUNDDOWN(AF$7/2,0),S_binomial[[#This Row],[X base]],""),"")</f>
        <v/>
      </c>
      <c r="AP640" s="99" t="str">
        <f t="shared" si="90"/>
        <v xml:space="preserve"> </v>
      </c>
      <c r="AR640" s="54">
        <f t="shared" si="85"/>
        <v>627</v>
      </c>
      <c r="AS640" s="54">
        <f>S_normal27[[#This Row],[Indeks (base 0)]]+1</f>
        <v>628</v>
      </c>
      <c r="AT640" s="54">
        <f t="shared" si="87"/>
        <v>9</v>
      </c>
      <c r="AU640" s="54">
        <f>IF(MOD(S_normal27[[#This Row],[Indeks (base 0)]],AS$8)=0,NA(),_xlfn.POISSON.DIST(S_normal27[[#This Row],[X base]],$H$5,FALSE))</f>
        <v>2.7005039315604771E-3</v>
      </c>
      <c r="AV640" s="99" t="b">
        <f>S_normal27[[#This Row],[X base]]&lt;AS$5</f>
        <v>0</v>
      </c>
      <c r="AW640" s="99" t="b">
        <f>S_normal27[[#This Row],[X base]]=AS$5</f>
        <v>0</v>
      </c>
      <c r="AX640" s="99" t="b">
        <f>S_normal27[[#This Row],[X base]]&gt;AS$5</f>
        <v>1</v>
      </c>
      <c r="AY640" s="99" t="e">
        <f>IF(S_normal27[[#This Row],[Mindre end]],S_normal27[[#This Row],[Poissonfordeling]],NA())</f>
        <v>#N/A</v>
      </c>
      <c r="AZ640" s="99" t="e">
        <f>IF(S_normal27[[#This Row],[Lig med]],S_normal27[[#This Row],[Poissonfordeling]],NA())</f>
        <v>#N/A</v>
      </c>
      <c r="BA640" s="99">
        <f>IF(S_normal27[[#This Row],[Større end]],S_normal27[[#This Row],[Poissonfordeling]],NA())</f>
        <v>2.7005039315604771E-3</v>
      </c>
      <c r="BB640" s="85" t="str">
        <f>_xlfn.IFNA(IF(MOD(S_normal27[[#This Row],[Indeks (base 0)]],AS$8)=ROUNDDOWN(AS$8/2,0),S_normal27[[#This Row],[X base]],""),"")</f>
        <v/>
      </c>
      <c r="BC640" s="99" t="str">
        <f t="shared" si="86"/>
        <v xml:space="preserve"> </v>
      </c>
    </row>
    <row r="641" spans="31:55" x14ac:dyDescent="0.2">
      <c r="AE641" s="54">
        <f t="shared" si="88"/>
        <v>628</v>
      </c>
      <c r="AF641" s="54">
        <f>S_binomial[[#This Row],[Indeks (base 0)]]+1</f>
        <v>629</v>
      </c>
      <c r="AG641" s="99">
        <f t="shared" si="89"/>
        <v>6</v>
      </c>
      <c r="AH641" s="99">
        <f>IF(MOD(S_binomial[[#This Row],[Indeks (base 0)]],AF$7)=0,NA(),_xlfn.BINOM.DIST(S_binomial[[#This Row],[X base]],E$5,E$6,FALSE))</f>
        <v>0.40456723513599996</v>
      </c>
      <c r="AI641" s="99" t="b">
        <f>S_binomial[[#This Row],[X base]]&lt;AF$5</f>
        <v>0</v>
      </c>
      <c r="AJ641" s="99" t="b">
        <f>S_binomial[[#This Row],[X base]]=AF$5</f>
        <v>0</v>
      </c>
      <c r="AK641" s="99" t="b">
        <f>S_binomial[[#This Row],[X base]]&gt;AF$5</f>
        <v>1</v>
      </c>
      <c r="AL641" s="99" t="e">
        <f>IF(S_binomial[[#This Row],[Mindre end]],S_binomial[[#This Row],[Binomialfordeling]],NA())</f>
        <v>#N/A</v>
      </c>
      <c r="AM641" s="99" t="e">
        <f>IF(S_binomial[[#This Row],[Lig med]],S_binomial[[#This Row],[Binomialfordeling]],NA())</f>
        <v>#N/A</v>
      </c>
      <c r="AN641" s="99">
        <f>IF(S_binomial[[#This Row],[Større end]],S_binomial[[#This Row],[Binomialfordeling]],NA())</f>
        <v>0.40456723513599996</v>
      </c>
      <c r="AO641" s="85" t="str">
        <f>_xlfn.IFNA(IF(MOD(S_binomial[[#This Row],[Indeks (base 0)]],AF$7)=ROUNDDOWN(AF$7/2,0),S_binomial[[#This Row],[X base]],""),"")</f>
        <v/>
      </c>
      <c r="AP641" s="99" t="str">
        <f t="shared" si="90"/>
        <v xml:space="preserve"> </v>
      </c>
      <c r="AR641" s="54">
        <f t="shared" si="85"/>
        <v>628</v>
      </c>
      <c r="AS641" s="54">
        <f>S_normal27[[#This Row],[Indeks (base 0)]]+1</f>
        <v>629</v>
      </c>
      <c r="AT641" s="54">
        <f t="shared" si="87"/>
        <v>9</v>
      </c>
      <c r="AU641" s="54">
        <f>IF(MOD(S_normal27[[#This Row],[Indeks (base 0)]],AS$8)=0,NA(),_xlfn.POISSON.DIST(S_normal27[[#This Row],[X base]],$H$5,FALSE))</f>
        <v>2.7005039315604771E-3</v>
      </c>
      <c r="AV641" s="99" t="b">
        <f>S_normal27[[#This Row],[X base]]&lt;AS$5</f>
        <v>0</v>
      </c>
      <c r="AW641" s="99" t="b">
        <f>S_normal27[[#This Row],[X base]]=AS$5</f>
        <v>0</v>
      </c>
      <c r="AX641" s="99" t="b">
        <f>S_normal27[[#This Row],[X base]]&gt;AS$5</f>
        <v>1</v>
      </c>
      <c r="AY641" s="99" t="e">
        <f>IF(S_normal27[[#This Row],[Mindre end]],S_normal27[[#This Row],[Poissonfordeling]],NA())</f>
        <v>#N/A</v>
      </c>
      <c r="AZ641" s="99" t="e">
        <f>IF(S_normal27[[#This Row],[Lig med]],S_normal27[[#This Row],[Poissonfordeling]],NA())</f>
        <v>#N/A</v>
      </c>
      <c r="BA641" s="99">
        <f>IF(S_normal27[[#This Row],[Større end]],S_normal27[[#This Row],[Poissonfordeling]],NA())</f>
        <v>2.7005039315604771E-3</v>
      </c>
      <c r="BB641" s="85" t="str">
        <f>_xlfn.IFNA(IF(MOD(S_normal27[[#This Row],[Indeks (base 0)]],AS$8)=ROUNDDOWN(AS$8/2,0),S_normal27[[#This Row],[X base]],""),"")</f>
        <v/>
      </c>
      <c r="BC641" s="99" t="str">
        <f t="shared" si="86"/>
        <v xml:space="preserve"> </v>
      </c>
    </row>
    <row r="642" spans="31:55" x14ac:dyDescent="0.2">
      <c r="AE642" s="54">
        <f t="shared" si="88"/>
        <v>629</v>
      </c>
      <c r="AF642" s="54">
        <f>S_binomial[[#This Row],[Indeks (base 0)]]+1</f>
        <v>630</v>
      </c>
      <c r="AG642" s="99">
        <f t="shared" si="89"/>
        <v>6</v>
      </c>
      <c r="AH642" s="99">
        <f>IF(MOD(S_binomial[[#This Row],[Indeks (base 0)]],AF$7)=0,NA(),_xlfn.BINOM.DIST(S_binomial[[#This Row],[X base]],E$5,E$6,FALSE))</f>
        <v>0.40456723513599996</v>
      </c>
      <c r="AI642" s="99" t="b">
        <f>S_binomial[[#This Row],[X base]]&lt;AF$5</f>
        <v>0</v>
      </c>
      <c r="AJ642" s="99" t="b">
        <f>S_binomial[[#This Row],[X base]]=AF$5</f>
        <v>0</v>
      </c>
      <c r="AK642" s="99" t="b">
        <f>S_binomial[[#This Row],[X base]]&gt;AF$5</f>
        <v>1</v>
      </c>
      <c r="AL642" s="99" t="e">
        <f>IF(S_binomial[[#This Row],[Mindre end]],S_binomial[[#This Row],[Binomialfordeling]],NA())</f>
        <v>#N/A</v>
      </c>
      <c r="AM642" s="99" t="e">
        <f>IF(S_binomial[[#This Row],[Lig med]],S_binomial[[#This Row],[Binomialfordeling]],NA())</f>
        <v>#N/A</v>
      </c>
      <c r="AN642" s="99">
        <f>IF(S_binomial[[#This Row],[Større end]],S_binomial[[#This Row],[Binomialfordeling]],NA())</f>
        <v>0.40456723513599996</v>
      </c>
      <c r="AO642" s="85" t="str">
        <f>_xlfn.IFNA(IF(MOD(S_binomial[[#This Row],[Indeks (base 0)]],AF$7)=ROUNDDOWN(AF$7/2,0),S_binomial[[#This Row],[X base]],""),"")</f>
        <v/>
      </c>
      <c r="AP642" s="99" t="str">
        <f t="shared" si="90"/>
        <v xml:space="preserve"> </v>
      </c>
      <c r="AR642" s="54">
        <f t="shared" si="85"/>
        <v>629</v>
      </c>
      <c r="AS642" s="54">
        <f>S_normal27[[#This Row],[Indeks (base 0)]]+1</f>
        <v>630</v>
      </c>
      <c r="AT642" s="54">
        <f t="shared" si="87"/>
        <v>9</v>
      </c>
      <c r="AU642" s="54">
        <f>IF(MOD(S_normal27[[#This Row],[Indeks (base 0)]],AS$8)=0,NA(),_xlfn.POISSON.DIST(S_normal27[[#This Row],[X base]],$H$5,FALSE))</f>
        <v>2.7005039315604771E-3</v>
      </c>
      <c r="AV642" s="99" t="b">
        <f>S_normal27[[#This Row],[X base]]&lt;AS$5</f>
        <v>0</v>
      </c>
      <c r="AW642" s="99" t="b">
        <f>S_normal27[[#This Row],[X base]]=AS$5</f>
        <v>0</v>
      </c>
      <c r="AX642" s="99" t="b">
        <f>S_normal27[[#This Row],[X base]]&gt;AS$5</f>
        <v>1</v>
      </c>
      <c r="AY642" s="99" t="e">
        <f>IF(S_normal27[[#This Row],[Mindre end]],S_normal27[[#This Row],[Poissonfordeling]],NA())</f>
        <v>#N/A</v>
      </c>
      <c r="AZ642" s="99" t="e">
        <f>IF(S_normal27[[#This Row],[Lig med]],S_normal27[[#This Row],[Poissonfordeling]],NA())</f>
        <v>#N/A</v>
      </c>
      <c r="BA642" s="99">
        <f>IF(S_normal27[[#This Row],[Større end]],S_normal27[[#This Row],[Poissonfordeling]],NA())</f>
        <v>2.7005039315604771E-3</v>
      </c>
      <c r="BB642" s="85" t="str">
        <f>_xlfn.IFNA(IF(MOD(S_normal27[[#This Row],[Indeks (base 0)]],AS$8)=ROUNDDOWN(AS$8/2,0),S_normal27[[#This Row],[X base]],""),"")</f>
        <v/>
      </c>
      <c r="BC642" s="99" t="str">
        <f t="shared" si="86"/>
        <v xml:space="preserve"> </v>
      </c>
    </row>
    <row r="643" spans="31:55" x14ac:dyDescent="0.2">
      <c r="AE643" s="54">
        <f t="shared" si="88"/>
        <v>630</v>
      </c>
      <c r="AF643" s="54">
        <f>S_binomial[[#This Row],[Indeks (base 0)]]+1</f>
        <v>631</v>
      </c>
      <c r="AG643" s="99">
        <f t="shared" si="89"/>
        <v>6</v>
      </c>
      <c r="AH643" s="99">
        <f>IF(MOD(S_binomial[[#This Row],[Indeks (base 0)]],AF$7)=0,NA(),_xlfn.BINOM.DIST(S_binomial[[#This Row],[X base]],E$5,E$6,FALSE))</f>
        <v>0.40456723513599996</v>
      </c>
      <c r="AI643" s="99" t="b">
        <f>S_binomial[[#This Row],[X base]]&lt;AF$5</f>
        <v>0</v>
      </c>
      <c r="AJ643" s="99" t="b">
        <f>S_binomial[[#This Row],[X base]]=AF$5</f>
        <v>0</v>
      </c>
      <c r="AK643" s="99" t="b">
        <f>S_binomial[[#This Row],[X base]]&gt;AF$5</f>
        <v>1</v>
      </c>
      <c r="AL643" s="99" t="e">
        <f>IF(S_binomial[[#This Row],[Mindre end]],S_binomial[[#This Row],[Binomialfordeling]],NA())</f>
        <v>#N/A</v>
      </c>
      <c r="AM643" s="99" t="e">
        <f>IF(S_binomial[[#This Row],[Lig med]],S_binomial[[#This Row],[Binomialfordeling]],NA())</f>
        <v>#N/A</v>
      </c>
      <c r="AN643" s="99">
        <f>IF(S_binomial[[#This Row],[Større end]],S_binomial[[#This Row],[Binomialfordeling]],NA())</f>
        <v>0.40456723513599996</v>
      </c>
      <c r="AO643" s="85" t="str">
        <f>_xlfn.IFNA(IF(MOD(S_binomial[[#This Row],[Indeks (base 0)]],AF$7)=ROUNDDOWN(AF$7/2,0),S_binomial[[#This Row],[X base]],""),"")</f>
        <v/>
      </c>
      <c r="AP643" s="99" t="str">
        <f t="shared" si="90"/>
        <v xml:space="preserve"> </v>
      </c>
      <c r="AR643" s="54">
        <f t="shared" si="85"/>
        <v>630</v>
      </c>
      <c r="AS643" s="54">
        <f>S_normal27[[#This Row],[Indeks (base 0)]]+1</f>
        <v>631</v>
      </c>
      <c r="AT643" s="54">
        <f t="shared" si="87"/>
        <v>9</v>
      </c>
      <c r="AU643" s="54">
        <f>IF(MOD(S_normal27[[#This Row],[Indeks (base 0)]],AS$8)=0,NA(),_xlfn.POISSON.DIST(S_normal27[[#This Row],[X base]],$H$5,FALSE))</f>
        <v>2.7005039315604771E-3</v>
      </c>
      <c r="AV643" s="99" t="b">
        <f>S_normal27[[#This Row],[X base]]&lt;AS$5</f>
        <v>0</v>
      </c>
      <c r="AW643" s="99" t="b">
        <f>S_normal27[[#This Row],[X base]]=AS$5</f>
        <v>0</v>
      </c>
      <c r="AX643" s="99" t="b">
        <f>S_normal27[[#This Row],[X base]]&gt;AS$5</f>
        <v>1</v>
      </c>
      <c r="AY643" s="99" t="e">
        <f>IF(S_normal27[[#This Row],[Mindre end]],S_normal27[[#This Row],[Poissonfordeling]],NA())</f>
        <v>#N/A</v>
      </c>
      <c r="AZ643" s="99" t="e">
        <f>IF(S_normal27[[#This Row],[Lig med]],S_normal27[[#This Row],[Poissonfordeling]],NA())</f>
        <v>#N/A</v>
      </c>
      <c r="BA643" s="99">
        <f>IF(S_normal27[[#This Row],[Større end]],S_normal27[[#This Row],[Poissonfordeling]],NA())</f>
        <v>2.7005039315604771E-3</v>
      </c>
      <c r="BB643" s="85" t="str">
        <f>_xlfn.IFNA(IF(MOD(S_normal27[[#This Row],[Indeks (base 0)]],AS$8)=ROUNDDOWN(AS$8/2,0),S_normal27[[#This Row],[X base]],""),"")</f>
        <v/>
      </c>
      <c r="BC643" s="99" t="str">
        <f t="shared" si="86"/>
        <v xml:space="preserve"> </v>
      </c>
    </row>
    <row r="644" spans="31:55" x14ac:dyDescent="0.2">
      <c r="AE644" s="54">
        <f t="shared" si="88"/>
        <v>631</v>
      </c>
      <c r="AF644" s="54">
        <f>S_binomial[[#This Row],[Indeks (base 0)]]+1</f>
        <v>632</v>
      </c>
      <c r="AG644" s="99">
        <f t="shared" si="89"/>
        <v>6</v>
      </c>
      <c r="AH644" s="99">
        <f>IF(MOD(S_binomial[[#This Row],[Indeks (base 0)]],AF$7)=0,NA(),_xlfn.BINOM.DIST(S_binomial[[#This Row],[X base]],E$5,E$6,FALSE))</f>
        <v>0.40456723513599996</v>
      </c>
      <c r="AI644" s="99" t="b">
        <f>S_binomial[[#This Row],[X base]]&lt;AF$5</f>
        <v>0</v>
      </c>
      <c r="AJ644" s="99" t="b">
        <f>S_binomial[[#This Row],[X base]]=AF$5</f>
        <v>0</v>
      </c>
      <c r="AK644" s="99" t="b">
        <f>S_binomial[[#This Row],[X base]]&gt;AF$5</f>
        <v>1</v>
      </c>
      <c r="AL644" s="99" t="e">
        <f>IF(S_binomial[[#This Row],[Mindre end]],S_binomial[[#This Row],[Binomialfordeling]],NA())</f>
        <v>#N/A</v>
      </c>
      <c r="AM644" s="99" t="e">
        <f>IF(S_binomial[[#This Row],[Lig med]],S_binomial[[#This Row],[Binomialfordeling]],NA())</f>
        <v>#N/A</v>
      </c>
      <c r="AN644" s="99">
        <f>IF(S_binomial[[#This Row],[Større end]],S_binomial[[#This Row],[Binomialfordeling]],NA())</f>
        <v>0.40456723513599996</v>
      </c>
      <c r="AO644" s="85" t="str">
        <f>_xlfn.IFNA(IF(MOD(S_binomial[[#This Row],[Indeks (base 0)]],AF$7)=ROUNDDOWN(AF$7/2,0),S_binomial[[#This Row],[X base]],""),"")</f>
        <v/>
      </c>
      <c r="AP644" s="99" t="str">
        <f t="shared" si="90"/>
        <v xml:space="preserve"> </v>
      </c>
      <c r="AR644" s="54">
        <f t="shared" si="85"/>
        <v>631</v>
      </c>
      <c r="AS644" s="54">
        <f>S_normal27[[#This Row],[Indeks (base 0)]]+1</f>
        <v>632</v>
      </c>
      <c r="AT644" s="54">
        <f t="shared" si="87"/>
        <v>9</v>
      </c>
      <c r="AU644" s="54">
        <f>IF(MOD(S_normal27[[#This Row],[Indeks (base 0)]],AS$8)=0,NA(),_xlfn.POISSON.DIST(S_normal27[[#This Row],[X base]],$H$5,FALSE))</f>
        <v>2.7005039315604771E-3</v>
      </c>
      <c r="AV644" s="99" t="b">
        <f>S_normal27[[#This Row],[X base]]&lt;AS$5</f>
        <v>0</v>
      </c>
      <c r="AW644" s="99" t="b">
        <f>S_normal27[[#This Row],[X base]]=AS$5</f>
        <v>0</v>
      </c>
      <c r="AX644" s="99" t="b">
        <f>S_normal27[[#This Row],[X base]]&gt;AS$5</f>
        <v>1</v>
      </c>
      <c r="AY644" s="99" t="e">
        <f>IF(S_normal27[[#This Row],[Mindre end]],S_normal27[[#This Row],[Poissonfordeling]],NA())</f>
        <v>#N/A</v>
      </c>
      <c r="AZ644" s="99" t="e">
        <f>IF(S_normal27[[#This Row],[Lig med]],S_normal27[[#This Row],[Poissonfordeling]],NA())</f>
        <v>#N/A</v>
      </c>
      <c r="BA644" s="99">
        <f>IF(S_normal27[[#This Row],[Større end]],S_normal27[[#This Row],[Poissonfordeling]],NA())</f>
        <v>2.7005039315604771E-3</v>
      </c>
      <c r="BB644" s="85" t="str">
        <f>_xlfn.IFNA(IF(MOD(S_normal27[[#This Row],[Indeks (base 0)]],AS$8)=ROUNDDOWN(AS$8/2,0),S_normal27[[#This Row],[X base]],""),"")</f>
        <v/>
      </c>
      <c r="BC644" s="99" t="str">
        <f t="shared" si="86"/>
        <v xml:space="preserve"> </v>
      </c>
    </row>
    <row r="645" spans="31:55" x14ac:dyDescent="0.2">
      <c r="AE645" s="54">
        <f t="shared" si="88"/>
        <v>632</v>
      </c>
      <c r="AF645" s="54">
        <f>S_binomial[[#This Row],[Indeks (base 0)]]+1</f>
        <v>633</v>
      </c>
      <c r="AG645" s="99">
        <f t="shared" si="89"/>
        <v>6</v>
      </c>
      <c r="AH645" s="99">
        <f>IF(MOD(S_binomial[[#This Row],[Indeks (base 0)]],AF$7)=0,NA(),_xlfn.BINOM.DIST(S_binomial[[#This Row],[X base]],E$5,E$6,FALSE))</f>
        <v>0.40456723513599996</v>
      </c>
      <c r="AI645" s="99" t="b">
        <f>S_binomial[[#This Row],[X base]]&lt;AF$5</f>
        <v>0</v>
      </c>
      <c r="AJ645" s="99" t="b">
        <f>S_binomial[[#This Row],[X base]]=AF$5</f>
        <v>0</v>
      </c>
      <c r="AK645" s="99" t="b">
        <f>S_binomial[[#This Row],[X base]]&gt;AF$5</f>
        <v>1</v>
      </c>
      <c r="AL645" s="99" t="e">
        <f>IF(S_binomial[[#This Row],[Mindre end]],S_binomial[[#This Row],[Binomialfordeling]],NA())</f>
        <v>#N/A</v>
      </c>
      <c r="AM645" s="99" t="e">
        <f>IF(S_binomial[[#This Row],[Lig med]],S_binomial[[#This Row],[Binomialfordeling]],NA())</f>
        <v>#N/A</v>
      </c>
      <c r="AN645" s="99">
        <f>IF(S_binomial[[#This Row],[Større end]],S_binomial[[#This Row],[Binomialfordeling]],NA())</f>
        <v>0.40456723513599996</v>
      </c>
      <c r="AO645" s="85" t="str">
        <f>_xlfn.IFNA(IF(MOD(S_binomial[[#This Row],[Indeks (base 0)]],AF$7)=ROUNDDOWN(AF$7/2,0),S_binomial[[#This Row],[X base]],""),"")</f>
        <v/>
      </c>
      <c r="AP645" s="99" t="str">
        <f t="shared" si="90"/>
        <v xml:space="preserve"> </v>
      </c>
      <c r="AR645" s="54">
        <f t="shared" si="85"/>
        <v>632</v>
      </c>
      <c r="AS645" s="54">
        <f>S_normal27[[#This Row],[Indeks (base 0)]]+1</f>
        <v>633</v>
      </c>
      <c r="AT645" s="54">
        <f t="shared" si="87"/>
        <v>9</v>
      </c>
      <c r="AU645" s="54">
        <f>IF(MOD(S_normal27[[#This Row],[Indeks (base 0)]],AS$8)=0,NA(),_xlfn.POISSON.DIST(S_normal27[[#This Row],[X base]],$H$5,FALSE))</f>
        <v>2.7005039315604771E-3</v>
      </c>
      <c r="AV645" s="99" t="b">
        <f>S_normal27[[#This Row],[X base]]&lt;AS$5</f>
        <v>0</v>
      </c>
      <c r="AW645" s="99" t="b">
        <f>S_normal27[[#This Row],[X base]]=AS$5</f>
        <v>0</v>
      </c>
      <c r="AX645" s="99" t="b">
        <f>S_normal27[[#This Row],[X base]]&gt;AS$5</f>
        <v>1</v>
      </c>
      <c r="AY645" s="99" t="e">
        <f>IF(S_normal27[[#This Row],[Mindre end]],S_normal27[[#This Row],[Poissonfordeling]],NA())</f>
        <v>#N/A</v>
      </c>
      <c r="AZ645" s="99" t="e">
        <f>IF(S_normal27[[#This Row],[Lig med]],S_normal27[[#This Row],[Poissonfordeling]],NA())</f>
        <v>#N/A</v>
      </c>
      <c r="BA645" s="99">
        <f>IF(S_normal27[[#This Row],[Større end]],S_normal27[[#This Row],[Poissonfordeling]],NA())</f>
        <v>2.7005039315604771E-3</v>
      </c>
      <c r="BB645" s="85" t="str">
        <f>_xlfn.IFNA(IF(MOD(S_normal27[[#This Row],[Indeks (base 0)]],AS$8)=ROUNDDOWN(AS$8/2,0),S_normal27[[#This Row],[X base]],""),"")</f>
        <v/>
      </c>
      <c r="BC645" s="99" t="str">
        <f t="shared" si="86"/>
        <v xml:space="preserve"> </v>
      </c>
    </row>
    <row r="646" spans="31:55" x14ac:dyDescent="0.2">
      <c r="AE646" s="54">
        <f t="shared" si="88"/>
        <v>633</v>
      </c>
      <c r="AF646" s="54">
        <f>S_binomial[[#This Row],[Indeks (base 0)]]+1</f>
        <v>634</v>
      </c>
      <c r="AG646" s="99">
        <f t="shared" si="89"/>
        <v>6</v>
      </c>
      <c r="AH646" s="99">
        <f>IF(MOD(S_binomial[[#This Row],[Indeks (base 0)]],AF$7)=0,NA(),_xlfn.BINOM.DIST(S_binomial[[#This Row],[X base]],E$5,E$6,FALSE))</f>
        <v>0.40456723513599996</v>
      </c>
      <c r="AI646" s="99" t="b">
        <f>S_binomial[[#This Row],[X base]]&lt;AF$5</f>
        <v>0</v>
      </c>
      <c r="AJ646" s="99" t="b">
        <f>S_binomial[[#This Row],[X base]]=AF$5</f>
        <v>0</v>
      </c>
      <c r="AK646" s="99" t="b">
        <f>S_binomial[[#This Row],[X base]]&gt;AF$5</f>
        <v>1</v>
      </c>
      <c r="AL646" s="99" t="e">
        <f>IF(S_binomial[[#This Row],[Mindre end]],S_binomial[[#This Row],[Binomialfordeling]],NA())</f>
        <v>#N/A</v>
      </c>
      <c r="AM646" s="99" t="e">
        <f>IF(S_binomial[[#This Row],[Lig med]],S_binomial[[#This Row],[Binomialfordeling]],NA())</f>
        <v>#N/A</v>
      </c>
      <c r="AN646" s="99">
        <f>IF(S_binomial[[#This Row],[Større end]],S_binomial[[#This Row],[Binomialfordeling]],NA())</f>
        <v>0.40456723513599996</v>
      </c>
      <c r="AO646" s="85" t="str">
        <f>_xlfn.IFNA(IF(MOD(S_binomial[[#This Row],[Indeks (base 0)]],AF$7)=ROUNDDOWN(AF$7/2,0),S_binomial[[#This Row],[X base]],""),"")</f>
        <v/>
      </c>
      <c r="AP646" s="99" t="str">
        <f t="shared" si="90"/>
        <v xml:space="preserve"> </v>
      </c>
      <c r="AR646" s="54">
        <f t="shared" si="85"/>
        <v>633</v>
      </c>
      <c r="AS646" s="54">
        <f>S_normal27[[#This Row],[Indeks (base 0)]]+1</f>
        <v>634</v>
      </c>
      <c r="AT646" s="54">
        <f t="shared" si="87"/>
        <v>9</v>
      </c>
      <c r="AU646" s="54">
        <f>IF(MOD(S_normal27[[#This Row],[Indeks (base 0)]],AS$8)=0,NA(),_xlfn.POISSON.DIST(S_normal27[[#This Row],[X base]],$H$5,FALSE))</f>
        <v>2.7005039315604771E-3</v>
      </c>
      <c r="AV646" s="99" t="b">
        <f>S_normal27[[#This Row],[X base]]&lt;AS$5</f>
        <v>0</v>
      </c>
      <c r="AW646" s="99" t="b">
        <f>S_normal27[[#This Row],[X base]]=AS$5</f>
        <v>0</v>
      </c>
      <c r="AX646" s="99" t="b">
        <f>S_normal27[[#This Row],[X base]]&gt;AS$5</f>
        <v>1</v>
      </c>
      <c r="AY646" s="99" t="e">
        <f>IF(S_normal27[[#This Row],[Mindre end]],S_normal27[[#This Row],[Poissonfordeling]],NA())</f>
        <v>#N/A</v>
      </c>
      <c r="AZ646" s="99" t="e">
        <f>IF(S_normal27[[#This Row],[Lig med]],S_normal27[[#This Row],[Poissonfordeling]],NA())</f>
        <v>#N/A</v>
      </c>
      <c r="BA646" s="99">
        <f>IF(S_normal27[[#This Row],[Større end]],S_normal27[[#This Row],[Poissonfordeling]],NA())</f>
        <v>2.7005039315604771E-3</v>
      </c>
      <c r="BB646" s="85" t="str">
        <f>_xlfn.IFNA(IF(MOD(S_normal27[[#This Row],[Indeks (base 0)]],AS$8)=ROUNDDOWN(AS$8/2,0),S_normal27[[#This Row],[X base]],""),"")</f>
        <v/>
      </c>
      <c r="BC646" s="99" t="str">
        <f t="shared" si="86"/>
        <v xml:space="preserve"> </v>
      </c>
    </row>
    <row r="647" spans="31:55" x14ac:dyDescent="0.2">
      <c r="AE647" s="54">
        <f t="shared" si="88"/>
        <v>634</v>
      </c>
      <c r="AF647" s="54">
        <f>S_binomial[[#This Row],[Indeks (base 0)]]+1</f>
        <v>635</v>
      </c>
      <c r="AG647" s="99">
        <f t="shared" si="89"/>
        <v>6</v>
      </c>
      <c r="AH647" s="99">
        <f>IF(MOD(S_binomial[[#This Row],[Indeks (base 0)]],AF$7)=0,NA(),_xlfn.BINOM.DIST(S_binomial[[#This Row],[X base]],E$5,E$6,FALSE))</f>
        <v>0.40456723513599996</v>
      </c>
      <c r="AI647" s="99" t="b">
        <f>S_binomial[[#This Row],[X base]]&lt;AF$5</f>
        <v>0</v>
      </c>
      <c r="AJ647" s="99" t="b">
        <f>S_binomial[[#This Row],[X base]]=AF$5</f>
        <v>0</v>
      </c>
      <c r="AK647" s="99" t="b">
        <f>S_binomial[[#This Row],[X base]]&gt;AF$5</f>
        <v>1</v>
      </c>
      <c r="AL647" s="99" t="e">
        <f>IF(S_binomial[[#This Row],[Mindre end]],S_binomial[[#This Row],[Binomialfordeling]],NA())</f>
        <v>#N/A</v>
      </c>
      <c r="AM647" s="99" t="e">
        <f>IF(S_binomial[[#This Row],[Lig med]],S_binomial[[#This Row],[Binomialfordeling]],NA())</f>
        <v>#N/A</v>
      </c>
      <c r="AN647" s="99">
        <f>IF(S_binomial[[#This Row],[Større end]],S_binomial[[#This Row],[Binomialfordeling]],NA())</f>
        <v>0.40456723513599996</v>
      </c>
      <c r="AO647" s="85" t="str">
        <f>_xlfn.IFNA(IF(MOD(S_binomial[[#This Row],[Indeks (base 0)]],AF$7)=ROUNDDOWN(AF$7/2,0),S_binomial[[#This Row],[X base]],""),"")</f>
        <v/>
      </c>
      <c r="AP647" s="99" t="str">
        <f t="shared" si="90"/>
        <v xml:space="preserve"> </v>
      </c>
      <c r="AR647" s="54">
        <f t="shared" si="85"/>
        <v>634</v>
      </c>
      <c r="AS647" s="54">
        <f>S_normal27[[#This Row],[Indeks (base 0)]]+1</f>
        <v>635</v>
      </c>
      <c r="AT647" s="54">
        <f t="shared" si="87"/>
        <v>9</v>
      </c>
      <c r="AU647" s="54">
        <f>IF(MOD(S_normal27[[#This Row],[Indeks (base 0)]],AS$8)=0,NA(),_xlfn.POISSON.DIST(S_normal27[[#This Row],[X base]],$H$5,FALSE))</f>
        <v>2.7005039315604771E-3</v>
      </c>
      <c r="AV647" s="99" t="b">
        <f>S_normal27[[#This Row],[X base]]&lt;AS$5</f>
        <v>0</v>
      </c>
      <c r="AW647" s="99" t="b">
        <f>S_normal27[[#This Row],[X base]]=AS$5</f>
        <v>0</v>
      </c>
      <c r="AX647" s="99" t="b">
        <f>S_normal27[[#This Row],[X base]]&gt;AS$5</f>
        <v>1</v>
      </c>
      <c r="AY647" s="99" t="e">
        <f>IF(S_normal27[[#This Row],[Mindre end]],S_normal27[[#This Row],[Poissonfordeling]],NA())</f>
        <v>#N/A</v>
      </c>
      <c r="AZ647" s="99" t="e">
        <f>IF(S_normal27[[#This Row],[Lig med]],S_normal27[[#This Row],[Poissonfordeling]],NA())</f>
        <v>#N/A</v>
      </c>
      <c r="BA647" s="99">
        <f>IF(S_normal27[[#This Row],[Større end]],S_normal27[[#This Row],[Poissonfordeling]],NA())</f>
        <v>2.7005039315604771E-3</v>
      </c>
      <c r="BB647" s="85" t="str">
        <f>_xlfn.IFNA(IF(MOD(S_normal27[[#This Row],[Indeks (base 0)]],AS$8)=ROUNDDOWN(AS$8/2,0),S_normal27[[#This Row],[X base]],""),"")</f>
        <v/>
      </c>
      <c r="BC647" s="99" t="str">
        <f t="shared" si="86"/>
        <v xml:space="preserve"> </v>
      </c>
    </row>
    <row r="648" spans="31:55" x14ac:dyDescent="0.2">
      <c r="AE648" s="54">
        <f t="shared" si="88"/>
        <v>635</v>
      </c>
      <c r="AF648" s="54">
        <f>S_binomial[[#This Row],[Indeks (base 0)]]+1</f>
        <v>636</v>
      </c>
      <c r="AG648" s="99">
        <f t="shared" si="89"/>
        <v>6</v>
      </c>
      <c r="AH648" s="99">
        <f>IF(MOD(S_binomial[[#This Row],[Indeks (base 0)]],AF$7)=0,NA(),_xlfn.BINOM.DIST(S_binomial[[#This Row],[X base]],E$5,E$6,FALSE))</f>
        <v>0.40456723513599996</v>
      </c>
      <c r="AI648" s="99" t="b">
        <f>S_binomial[[#This Row],[X base]]&lt;AF$5</f>
        <v>0</v>
      </c>
      <c r="AJ648" s="99" t="b">
        <f>S_binomial[[#This Row],[X base]]=AF$5</f>
        <v>0</v>
      </c>
      <c r="AK648" s="99" t="b">
        <f>S_binomial[[#This Row],[X base]]&gt;AF$5</f>
        <v>1</v>
      </c>
      <c r="AL648" s="99" t="e">
        <f>IF(S_binomial[[#This Row],[Mindre end]],S_binomial[[#This Row],[Binomialfordeling]],NA())</f>
        <v>#N/A</v>
      </c>
      <c r="AM648" s="99" t="e">
        <f>IF(S_binomial[[#This Row],[Lig med]],S_binomial[[#This Row],[Binomialfordeling]],NA())</f>
        <v>#N/A</v>
      </c>
      <c r="AN648" s="99">
        <f>IF(S_binomial[[#This Row],[Større end]],S_binomial[[#This Row],[Binomialfordeling]],NA())</f>
        <v>0.40456723513599996</v>
      </c>
      <c r="AO648" s="85" t="str">
        <f>_xlfn.IFNA(IF(MOD(S_binomial[[#This Row],[Indeks (base 0)]],AF$7)=ROUNDDOWN(AF$7/2,0),S_binomial[[#This Row],[X base]],""),"")</f>
        <v/>
      </c>
      <c r="AP648" s="99" t="str">
        <f t="shared" si="90"/>
        <v xml:space="preserve"> </v>
      </c>
      <c r="AR648" s="54">
        <f t="shared" si="85"/>
        <v>635</v>
      </c>
      <c r="AS648" s="54">
        <f>S_normal27[[#This Row],[Indeks (base 0)]]+1</f>
        <v>636</v>
      </c>
      <c r="AT648" s="54">
        <f t="shared" si="87"/>
        <v>9</v>
      </c>
      <c r="AU648" s="54">
        <f>IF(MOD(S_normal27[[#This Row],[Indeks (base 0)]],AS$8)=0,NA(),_xlfn.POISSON.DIST(S_normal27[[#This Row],[X base]],$H$5,FALSE))</f>
        <v>2.7005039315604771E-3</v>
      </c>
      <c r="AV648" s="99" t="b">
        <f>S_normal27[[#This Row],[X base]]&lt;AS$5</f>
        <v>0</v>
      </c>
      <c r="AW648" s="99" t="b">
        <f>S_normal27[[#This Row],[X base]]=AS$5</f>
        <v>0</v>
      </c>
      <c r="AX648" s="99" t="b">
        <f>S_normal27[[#This Row],[X base]]&gt;AS$5</f>
        <v>1</v>
      </c>
      <c r="AY648" s="99" t="e">
        <f>IF(S_normal27[[#This Row],[Mindre end]],S_normal27[[#This Row],[Poissonfordeling]],NA())</f>
        <v>#N/A</v>
      </c>
      <c r="AZ648" s="99" t="e">
        <f>IF(S_normal27[[#This Row],[Lig med]],S_normal27[[#This Row],[Poissonfordeling]],NA())</f>
        <v>#N/A</v>
      </c>
      <c r="BA648" s="99">
        <f>IF(S_normal27[[#This Row],[Større end]],S_normal27[[#This Row],[Poissonfordeling]],NA())</f>
        <v>2.7005039315604771E-3</v>
      </c>
      <c r="BB648" s="85" t="str">
        <f>_xlfn.IFNA(IF(MOD(S_normal27[[#This Row],[Indeks (base 0)]],AS$8)=ROUNDDOWN(AS$8/2,0),S_normal27[[#This Row],[X base]],""),"")</f>
        <v/>
      </c>
      <c r="BC648" s="99" t="str">
        <f t="shared" si="86"/>
        <v xml:space="preserve"> </v>
      </c>
    </row>
    <row r="649" spans="31:55" x14ac:dyDescent="0.2">
      <c r="AE649" s="54">
        <f t="shared" si="88"/>
        <v>636</v>
      </c>
      <c r="AF649" s="54">
        <f>S_binomial[[#This Row],[Indeks (base 0)]]+1</f>
        <v>637</v>
      </c>
      <c r="AG649" s="99">
        <f t="shared" si="89"/>
        <v>6</v>
      </c>
      <c r="AH649" s="99">
        <f>IF(MOD(S_binomial[[#This Row],[Indeks (base 0)]],AF$7)=0,NA(),_xlfn.BINOM.DIST(S_binomial[[#This Row],[X base]],E$5,E$6,FALSE))</f>
        <v>0.40456723513599996</v>
      </c>
      <c r="AI649" s="99" t="b">
        <f>S_binomial[[#This Row],[X base]]&lt;AF$5</f>
        <v>0</v>
      </c>
      <c r="AJ649" s="99" t="b">
        <f>S_binomial[[#This Row],[X base]]=AF$5</f>
        <v>0</v>
      </c>
      <c r="AK649" s="99" t="b">
        <f>S_binomial[[#This Row],[X base]]&gt;AF$5</f>
        <v>1</v>
      </c>
      <c r="AL649" s="99" t="e">
        <f>IF(S_binomial[[#This Row],[Mindre end]],S_binomial[[#This Row],[Binomialfordeling]],NA())</f>
        <v>#N/A</v>
      </c>
      <c r="AM649" s="99" t="e">
        <f>IF(S_binomial[[#This Row],[Lig med]],S_binomial[[#This Row],[Binomialfordeling]],NA())</f>
        <v>#N/A</v>
      </c>
      <c r="AN649" s="99">
        <f>IF(S_binomial[[#This Row],[Større end]],S_binomial[[#This Row],[Binomialfordeling]],NA())</f>
        <v>0.40456723513599996</v>
      </c>
      <c r="AO649" s="85" t="str">
        <f>_xlfn.IFNA(IF(MOD(S_binomial[[#This Row],[Indeks (base 0)]],AF$7)=ROUNDDOWN(AF$7/2,0),S_binomial[[#This Row],[X base]],""),"")</f>
        <v/>
      </c>
      <c r="AP649" s="99" t="str">
        <f t="shared" si="90"/>
        <v xml:space="preserve"> </v>
      </c>
      <c r="AR649" s="54">
        <f t="shared" si="85"/>
        <v>636</v>
      </c>
      <c r="AS649" s="54">
        <f>S_normal27[[#This Row],[Indeks (base 0)]]+1</f>
        <v>637</v>
      </c>
      <c r="AT649" s="54">
        <f t="shared" si="87"/>
        <v>9</v>
      </c>
      <c r="AU649" s="54">
        <f>IF(MOD(S_normal27[[#This Row],[Indeks (base 0)]],AS$8)=0,NA(),_xlfn.POISSON.DIST(S_normal27[[#This Row],[X base]],$H$5,FALSE))</f>
        <v>2.7005039315604771E-3</v>
      </c>
      <c r="AV649" s="99" t="b">
        <f>S_normal27[[#This Row],[X base]]&lt;AS$5</f>
        <v>0</v>
      </c>
      <c r="AW649" s="99" t="b">
        <f>S_normal27[[#This Row],[X base]]=AS$5</f>
        <v>0</v>
      </c>
      <c r="AX649" s="99" t="b">
        <f>S_normal27[[#This Row],[X base]]&gt;AS$5</f>
        <v>1</v>
      </c>
      <c r="AY649" s="99" t="e">
        <f>IF(S_normal27[[#This Row],[Mindre end]],S_normal27[[#This Row],[Poissonfordeling]],NA())</f>
        <v>#N/A</v>
      </c>
      <c r="AZ649" s="99" t="e">
        <f>IF(S_normal27[[#This Row],[Lig med]],S_normal27[[#This Row],[Poissonfordeling]],NA())</f>
        <v>#N/A</v>
      </c>
      <c r="BA649" s="99">
        <f>IF(S_normal27[[#This Row],[Større end]],S_normal27[[#This Row],[Poissonfordeling]],NA())</f>
        <v>2.7005039315604771E-3</v>
      </c>
      <c r="BB649" s="85" t="str">
        <f>_xlfn.IFNA(IF(MOD(S_normal27[[#This Row],[Indeks (base 0)]],AS$8)=ROUNDDOWN(AS$8/2,0),S_normal27[[#This Row],[X base]],""),"")</f>
        <v/>
      </c>
      <c r="BC649" s="99" t="str">
        <f t="shared" si="86"/>
        <v xml:space="preserve"> </v>
      </c>
    </row>
    <row r="650" spans="31:55" x14ac:dyDescent="0.2">
      <c r="AE650" s="54">
        <f t="shared" si="88"/>
        <v>637</v>
      </c>
      <c r="AF650" s="54">
        <f>S_binomial[[#This Row],[Indeks (base 0)]]+1</f>
        <v>638</v>
      </c>
      <c r="AG650" s="99">
        <f t="shared" si="89"/>
        <v>6</v>
      </c>
      <c r="AH650" s="99">
        <f>IF(MOD(S_binomial[[#This Row],[Indeks (base 0)]],AF$7)=0,NA(),_xlfn.BINOM.DIST(S_binomial[[#This Row],[X base]],E$5,E$6,FALSE))</f>
        <v>0.40456723513599996</v>
      </c>
      <c r="AI650" s="99" t="b">
        <f>S_binomial[[#This Row],[X base]]&lt;AF$5</f>
        <v>0</v>
      </c>
      <c r="AJ650" s="99" t="b">
        <f>S_binomial[[#This Row],[X base]]=AF$5</f>
        <v>0</v>
      </c>
      <c r="AK650" s="99" t="b">
        <f>S_binomial[[#This Row],[X base]]&gt;AF$5</f>
        <v>1</v>
      </c>
      <c r="AL650" s="99" t="e">
        <f>IF(S_binomial[[#This Row],[Mindre end]],S_binomial[[#This Row],[Binomialfordeling]],NA())</f>
        <v>#N/A</v>
      </c>
      <c r="AM650" s="99" t="e">
        <f>IF(S_binomial[[#This Row],[Lig med]],S_binomial[[#This Row],[Binomialfordeling]],NA())</f>
        <v>#N/A</v>
      </c>
      <c r="AN650" s="99">
        <f>IF(S_binomial[[#This Row],[Større end]],S_binomial[[#This Row],[Binomialfordeling]],NA())</f>
        <v>0.40456723513599996</v>
      </c>
      <c r="AO650" s="85" t="str">
        <f>_xlfn.IFNA(IF(MOD(S_binomial[[#This Row],[Indeks (base 0)]],AF$7)=ROUNDDOWN(AF$7/2,0),S_binomial[[#This Row],[X base]],""),"")</f>
        <v/>
      </c>
      <c r="AP650" s="99" t="str">
        <f t="shared" si="90"/>
        <v xml:space="preserve"> </v>
      </c>
      <c r="AR650" s="54">
        <f t="shared" si="85"/>
        <v>637</v>
      </c>
      <c r="AS650" s="54">
        <f>S_normal27[[#This Row],[Indeks (base 0)]]+1</f>
        <v>638</v>
      </c>
      <c r="AT650" s="54">
        <f t="shared" si="87"/>
        <v>9</v>
      </c>
      <c r="AU650" s="54">
        <f>IF(MOD(S_normal27[[#This Row],[Indeks (base 0)]],AS$8)=0,NA(),_xlfn.POISSON.DIST(S_normal27[[#This Row],[X base]],$H$5,FALSE))</f>
        <v>2.7005039315604771E-3</v>
      </c>
      <c r="AV650" s="99" t="b">
        <f>S_normal27[[#This Row],[X base]]&lt;AS$5</f>
        <v>0</v>
      </c>
      <c r="AW650" s="99" t="b">
        <f>S_normal27[[#This Row],[X base]]=AS$5</f>
        <v>0</v>
      </c>
      <c r="AX650" s="99" t="b">
        <f>S_normal27[[#This Row],[X base]]&gt;AS$5</f>
        <v>1</v>
      </c>
      <c r="AY650" s="99" t="e">
        <f>IF(S_normal27[[#This Row],[Mindre end]],S_normal27[[#This Row],[Poissonfordeling]],NA())</f>
        <v>#N/A</v>
      </c>
      <c r="AZ650" s="99" t="e">
        <f>IF(S_normal27[[#This Row],[Lig med]],S_normal27[[#This Row],[Poissonfordeling]],NA())</f>
        <v>#N/A</v>
      </c>
      <c r="BA650" s="99">
        <f>IF(S_normal27[[#This Row],[Større end]],S_normal27[[#This Row],[Poissonfordeling]],NA())</f>
        <v>2.7005039315604771E-3</v>
      </c>
      <c r="BB650" s="85" t="str">
        <f>_xlfn.IFNA(IF(MOD(S_normal27[[#This Row],[Indeks (base 0)]],AS$8)=ROUNDDOWN(AS$8/2,0),S_normal27[[#This Row],[X base]],""),"")</f>
        <v/>
      </c>
      <c r="BC650" s="99" t="str">
        <f t="shared" si="86"/>
        <v xml:space="preserve"> </v>
      </c>
    </row>
    <row r="651" spans="31:55" x14ac:dyDescent="0.2">
      <c r="AE651" s="54">
        <f t="shared" si="88"/>
        <v>638</v>
      </c>
      <c r="AF651" s="54">
        <f>S_binomial[[#This Row],[Indeks (base 0)]]+1</f>
        <v>639</v>
      </c>
      <c r="AG651" s="99">
        <f t="shared" si="89"/>
        <v>6</v>
      </c>
      <c r="AH651" s="99">
        <f>IF(MOD(S_binomial[[#This Row],[Indeks (base 0)]],AF$7)=0,NA(),_xlfn.BINOM.DIST(S_binomial[[#This Row],[X base]],E$5,E$6,FALSE))</f>
        <v>0.40456723513599996</v>
      </c>
      <c r="AI651" s="99" t="b">
        <f>S_binomial[[#This Row],[X base]]&lt;AF$5</f>
        <v>0</v>
      </c>
      <c r="AJ651" s="99" t="b">
        <f>S_binomial[[#This Row],[X base]]=AF$5</f>
        <v>0</v>
      </c>
      <c r="AK651" s="99" t="b">
        <f>S_binomial[[#This Row],[X base]]&gt;AF$5</f>
        <v>1</v>
      </c>
      <c r="AL651" s="99" t="e">
        <f>IF(S_binomial[[#This Row],[Mindre end]],S_binomial[[#This Row],[Binomialfordeling]],NA())</f>
        <v>#N/A</v>
      </c>
      <c r="AM651" s="99" t="e">
        <f>IF(S_binomial[[#This Row],[Lig med]],S_binomial[[#This Row],[Binomialfordeling]],NA())</f>
        <v>#N/A</v>
      </c>
      <c r="AN651" s="99">
        <f>IF(S_binomial[[#This Row],[Større end]],S_binomial[[#This Row],[Binomialfordeling]],NA())</f>
        <v>0.40456723513599996</v>
      </c>
      <c r="AO651" s="85" t="str">
        <f>_xlfn.IFNA(IF(MOD(S_binomial[[#This Row],[Indeks (base 0)]],AF$7)=ROUNDDOWN(AF$7/2,0),S_binomial[[#This Row],[X base]],""),"")</f>
        <v/>
      </c>
      <c r="AP651" s="99" t="str">
        <f t="shared" si="90"/>
        <v xml:space="preserve"> </v>
      </c>
      <c r="AR651" s="54">
        <f t="shared" si="85"/>
        <v>638</v>
      </c>
      <c r="AS651" s="54">
        <f>S_normal27[[#This Row],[Indeks (base 0)]]+1</f>
        <v>639</v>
      </c>
      <c r="AT651" s="54">
        <f t="shared" si="87"/>
        <v>9</v>
      </c>
      <c r="AU651" s="54">
        <f>IF(MOD(S_normal27[[#This Row],[Indeks (base 0)]],AS$8)=0,NA(),_xlfn.POISSON.DIST(S_normal27[[#This Row],[X base]],$H$5,FALSE))</f>
        <v>2.7005039315604771E-3</v>
      </c>
      <c r="AV651" s="99" t="b">
        <f>S_normal27[[#This Row],[X base]]&lt;AS$5</f>
        <v>0</v>
      </c>
      <c r="AW651" s="99" t="b">
        <f>S_normal27[[#This Row],[X base]]=AS$5</f>
        <v>0</v>
      </c>
      <c r="AX651" s="99" t="b">
        <f>S_normal27[[#This Row],[X base]]&gt;AS$5</f>
        <v>1</v>
      </c>
      <c r="AY651" s="99" t="e">
        <f>IF(S_normal27[[#This Row],[Mindre end]],S_normal27[[#This Row],[Poissonfordeling]],NA())</f>
        <v>#N/A</v>
      </c>
      <c r="AZ651" s="99" t="e">
        <f>IF(S_normal27[[#This Row],[Lig med]],S_normal27[[#This Row],[Poissonfordeling]],NA())</f>
        <v>#N/A</v>
      </c>
      <c r="BA651" s="99">
        <f>IF(S_normal27[[#This Row],[Større end]],S_normal27[[#This Row],[Poissonfordeling]],NA())</f>
        <v>2.7005039315604771E-3</v>
      </c>
      <c r="BB651" s="85" t="str">
        <f>_xlfn.IFNA(IF(MOD(S_normal27[[#This Row],[Indeks (base 0)]],AS$8)=ROUNDDOWN(AS$8/2,0),S_normal27[[#This Row],[X base]],""),"")</f>
        <v/>
      </c>
      <c r="BC651" s="99" t="str">
        <f t="shared" si="86"/>
        <v xml:space="preserve"> </v>
      </c>
    </row>
    <row r="652" spans="31:55" x14ac:dyDescent="0.2">
      <c r="AE652" s="54">
        <f t="shared" si="88"/>
        <v>639</v>
      </c>
      <c r="AF652" s="54">
        <f>S_binomial[[#This Row],[Indeks (base 0)]]+1</f>
        <v>640</v>
      </c>
      <c r="AG652" s="99">
        <f t="shared" si="89"/>
        <v>6</v>
      </c>
      <c r="AH652" s="99">
        <f>IF(MOD(S_binomial[[#This Row],[Indeks (base 0)]],AF$7)=0,NA(),_xlfn.BINOM.DIST(S_binomial[[#This Row],[X base]],E$5,E$6,FALSE))</f>
        <v>0.40456723513599996</v>
      </c>
      <c r="AI652" s="99" t="b">
        <f>S_binomial[[#This Row],[X base]]&lt;AF$5</f>
        <v>0</v>
      </c>
      <c r="AJ652" s="99" t="b">
        <f>S_binomial[[#This Row],[X base]]=AF$5</f>
        <v>0</v>
      </c>
      <c r="AK652" s="99" t="b">
        <f>S_binomial[[#This Row],[X base]]&gt;AF$5</f>
        <v>1</v>
      </c>
      <c r="AL652" s="99" t="e">
        <f>IF(S_binomial[[#This Row],[Mindre end]],S_binomial[[#This Row],[Binomialfordeling]],NA())</f>
        <v>#N/A</v>
      </c>
      <c r="AM652" s="99" t="e">
        <f>IF(S_binomial[[#This Row],[Lig med]],S_binomial[[#This Row],[Binomialfordeling]],NA())</f>
        <v>#N/A</v>
      </c>
      <c r="AN652" s="99">
        <f>IF(S_binomial[[#This Row],[Større end]],S_binomial[[#This Row],[Binomialfordeling]],NA())</f>
        <v>0.40456723513599996</v>
      </c>
      <c r="AO652" s="85" t="str">
        <f>_xlfn.IFNA(IF(MOD(S_binomial[[#This Row],[Indeks (base 0)]],AF$7)=ROUNDDOWN(AF$7/2,0),S_binomial[[#This Row],[X base]],""),"")</f>
        <v/>
      </c>
      <c r="AP652" s="99" t="str">
        <f t="shared" si="90"/>
        <v xml:space="preserve"> </v>
      </c>
      <c r="AR652" s="54">
        <f t="shared" si="85"/>
        <v>639</v>
      </c>
      <c r="AS652" s="54">
        <f>S_normal27[[#This Row],[Indeks (base 0)]]+1</f>
        <v>640</v>
      </c>
      <c r="AT652" s="54">
        <f t="shared" si="87"/>
        <v>9</v>
      </c>
      <c r="AU652" s="54">
        <f>IF(MOD(S_normal27[[#This Row],[Indeks (base 0)]],AS$8)=0,NA(),_xlfn.POISSON.DIST(S_normal27[[#This Row],[X base]],$H$5,FALSE))</f>
        <v>2.7005039315604771E-3</v>
      </c>
      <c r="AV652" s="99" t="b">
        <f>S_normal27[[#This Row],[X base]]&lt;AS$5</f>
        <v>0</v>
      </c>
      <c r="AW652" s="99" t="b">
        <f>S_normal27[[#This Row],[X base]]=AS$5</f>
        <v>0</v>
      </c>
      <c r="AX652" s="99" t="b">
        <f>S_normal27[[#This Row],[X base]]&gt;AS$5</f>
        <v>1</v>
      </c>
      <c r="AY652" s="99" t="e">
        <f>IF(S_normal27[[#This Row],[Mindre end]],S_normal27[[#This Row],[Poissonfordeling]],NA())</f>
        <v>#N/A</v>
      </c>
      <c r="AZ652" s="99" t="e">
        <f>IF(S_normal27[[#This Row],[Lig med]],S_normal27[[#This Row],[Poissonfordeling]],NA())</f>
        <v>#N/A</v>
      </c>
      <c r="BA652" s="99">
        <f>IF(S_normal27[[#This Row],[Større end]],S_normal27[[#This Row],[Poissonfordeling]],NA())</f>
        <v>2.7005039315604771E-3</v>
      </c>
      <c r="BB652" s="85" t="str">
        <f>_xlfn.IFNA(IF(MOD(S_normal27[[#This Row],[Indeks (base 0)]],AS$8)=ROUNDDOWN(AS$8/2,0),S_normal27[[#This Row],[X base]],""),"")</f>
        <v/>
      </c>
      <c r="BC652" s="99" t="str">
        <f t="shared" si="86"/>
        <v xml:space="preserve"> </v>
      </c>
    </row>
    <row r="653" spans="31:55" x14ac:dyDescent="0.2">
      <c r="AE653" s="54">
        <f t="shared" si="88"/>
        <v>640</v>
      </c>
      <c r="AF653" s="54">
        <f>S_binomial[[#This Row],[Indeks (base 0)]]+1</f>
        <v>641</v>
      </c>
      <c r="AG653" s="99">
        <f t="shared" si="89"/>
        <v>6</v>
      </c>
      <c r="AH653" s="99">
        <f>IF(MOD(S_binomial[[#This Row],[Indeks (base 0)]],AF$7)=0,NA(),_xlfn.BINOM.DIST(S_binomial[[#This Row],[X base]],E$5,E$6,FALSE))</f>
        <v>0.40456723513599996</v>
      </c>
      <c r="AI653" s="99" t="b">
        <f>S_binomial[[#This Row],[X base]]&lt;AF$5</f>
        <v>0</v>
      </c>
      <c r="AJ653" s="99" t="b">
        <f>S_binomial[[#This Row],[X base]]=AF$5</f>
        <v>0</v>
      </c>
      <c r="AK653" s="99" t="b">
        <f>S_binomial[[#This Row],[X base]]&gt;AF$5</f>
        <v>1</v>
      </c>
      <c r="AL653" s="99" t="e">
        <f>IF(S_binomial[[#This Row],[Mindre end]],S_binomial[[#This Row],[Binomialfordeling]],NA())</f>
        <v>#N/A</v>
      </c>
      <c r="AM653" s="99" t="e">
        <f>IF(S_binomial[[#This Row],[Lig med]],S_binomial[[#This Row],[Binomialfordeling]],NA())</f>
        <v>#N/A</v>
      </c>
      <c r="AN653" s="99">
        <f>IF(S_binomial[[#This Row],[Større end]],S_binomial[[#This Row],[Binomialfordeling]],NA())</f>
        <v>0.40456723513599996</v>
      </c>
      <c r="AO653" s="85" t="str">
        <f>_xlfn.IFNA(IF(MOD(S_binomial[[#This Row],[Indeks (base 0)]],AF$7)=ROUNDDOWN(AF$7/2,0),S_binomial[[#This Row],[X base]],""),"")</f>
        <v/>
      </c>
      <c r="AP653" s="99" t="str">
        <f t="shared" si="90"/>
        <v xml:space="preserve"> </v>
      </c>
      <c r="AR653" s="54">
        <f t="shared" ref="AR653:AR663" si="91">ROW(AR653)-ROW(AR$13)</f>
        <v>640</v>
      </c>
      <c r="AS653" s="54">
        <f>S_normal27[[#This Row],[Indeks (base 0)]]+1</f>
        <v>641</v>
      </c>
      <c r="AT653" s="54">
        <f t="shared" si="87"/>
        <v>9</v>
      </c>
      <c r="AU653" s="54">
        <f>IF(MOD(S_normal27[[#This Row],[Indeks (base 0)]],AS$8)=0,NA(),_xlfn.POISSON.DIST(S_normal27[[#This Row],[X base]],$H$5,FALSE))</f>
        <v>2.7005039315604771E-3</v>
      </c>
      <c r="AV653" s="99" t="b">
        <f>S_normal27[[#This Row],[X base]]&lt;AS$5</f>
        <v>0</v>
      </c>
      <c r="AW653" s="99" t="b">
        <f>S_normal27[[#This Row],[X base]]=AS$5</f>
        <v>0</v>
      </c>
      <c r="AX653" s="99" t="b">
        <f>S_normal27[[#This Row],[X base]]&gt;AS$5</f>
        <v>1</v>
      </c>
      <c r="AY653" s="99" t="e">
        <f>IF(S_normal27[[#This Row],[Mindre end]],S_normal27[[#This Row],[Poissonfordeling]],NA())</f>
        <v>#N/A</v>
      </c>
      <c r="AZ653" s="99" t="e">
        <f>IF(S_normal27[[#This Row],[Lig med]],S_normal27[[#This Row],[Poissonfordeling]],NA())</f>
        <v>#N/A</v>
      </c>
      <c r="BA653" s="99">
        <f>IF(S_normal27[[#This Row],[Større end]],S_normal27[[#This Row],[Poissonfordeling]],NA())</f>
        <v>2.7005039315604771E-3</v>
      </c>
      <c r="BB653" s="85" t="str">
        <f>_xlfn.IFNA(IF(MOD(S_normal27[[#This Row],[Indeks (base 0)]],AS$8)=ROUNDDOWN(AS$8/2,0),S_normal27[[#This Row],[X base]],""),"")</f>
        <v/>
      </c>
      <c r="BC653" s="99" t="str">
        <f t="shared" ref="BC653:BC663" si="92">_xlfn.IFNA(_xlfn.SWITCH(AS653,BA$7,BA$4,BA$8,BA$5,BA$9,BA$6," ")," ")</f>
        <v xml:space="preserve"> </v>
      </c>
    </row>
    <row r="654" spans="31:55" x14ac:dyDescent="0.2">
      <c r="AE654" s="54">
        <f t="shared" si="88"/>
        <v>641</v>
      </c>
      <c r="AF654" s="54">
        <f>S_binomial[[#This Row],[Indeks (base 0)]]+1</f>
        <v>642</v>
      </c>
      <c r="AG654" s="99">
        <f t="shared" si="89"/>
        <v>6</v>
      </c>
      <c r="AH654" s="99">
        <f>IF(MOD(S_binomial[[#This Row],[Indeks (base 0)]],AF$7)=0,NA(),_xlfn.BINOM.DIST(S_binomial[[#This Row],[X base]],E$5,E$6,FALSE))</f>
        <v>0.40456723513599996</v>
      </c>
      <c r="AI654" s="99" t="b">
        <f>S_binomial[[#This Row],[X base]]&lt;AF$5</f>
        <v>0</v>
      </c>
      <c r="AJ654" s="99" t="b">
        <f>S_binomial[[#This Row],[X base]]=AF$5</f>
        <v>0</v>
      </c>
      <c r="AK654" s="99" t="b">
        <f>S_binomial[[#This Row],[X base]]&gt;AF$5</f>
        <v>1</v>
      </c>
      <c r="AL654" s="99" t="e">
        <f>IF(S_binomial[[#This Row],[Mindre end]],S_binomial[[#This Row],[Binomialfordeling]],NA())</f>
        <v>#N/A</v>
      </c>
      <c r="AM654" s="99" t="e">
        <f>IF(S_binomial[[#This Row],[Lig med]],S_binomial[[#This Row],[Binomialfordeling]],NA())</f>
        <v>#N/A</v>
      </c>
      <c r="AN654" s="99">
        <f>IF(S_binomial[[#This Row],[Større end]],S_binomial[[#This Row],[Binomialfordeling]],NA())</f>
        <v>0.40456723513599996</v>
      </c>
      <c r="AO654" s="85" t="str">
        <f>_xlfn.IFNA(IF(MOD(S_binomial[[#This Row],[Indeks (base 0)]],AF$7)=ROUNDDOWN(AF$7/2,0),S_binomial[[#This Row],[X base]],""),"")</f>
        <v/>
      </c>
      <c r="AP654" s="99" t="str">
        <f t="shared" si="90"/>
        <v xml:space="preserve"> </v>
      </c>
      <c r="AR654" s="54">
        <f t="shared" si="91"/>
        <v>641</v>
      </c>
      <c r="AS654" s="54">
        <f>S_normal27[[#This Row],[Indeks (base 0)]]+1</f>
        <v>642</v>
      </c>
      <c r="AT654" s="54">
        <f t="shared" ref="AT654:AT663" si="93">IF(AR654&lt;AS$9,ROUNDDOWN(AR654/AS$8,0),NA())</f>
        <v>9</v>
      </c>
      <c r="AU654" s="54">
        <f>IF(MOD(S_normal27[[#This Row],[Indeks (base 0)]],AS$8)=0,NA(),_xlfn.POISSON.DIST(S_normal27[[#This Row],[X base]],$H$5,FALSE))</f>
        <v>2.7005039315604771E-3</v>
      </c>
      <c r="AV654" s="99" t="b">
        <f>S_normal27[[#This Row],[X base]]&lt;AS$5</f>
        <v>0</v>
      </c>
      <c r="AW654" s="99" t="b">
        <f>S_normal27[[#This Row],[X base]]=AS$5</f>
        <v>0</v>
      </c>
      <c r="AX654" s="99" t="b">
        <f>S_normal27[[#This Row],[X base]]&gt;AS$5</f>
        <v>1</v>
      </c>
      <c r="AY654" s="99" t="e">
        <f>IF(S_normal27[[#This Row],[Mindre end]],S_normal27[[#This Row],[Poissonfordeling]],NA())</f>
        <v>#N/A</v>
      </c>
      <c r="AZ654" s="99" t="e">
        <f>IF(S_normal27[[#This Row],[Lig med]],S_normal27[[#This Row],[Poissonfordeling]],NA())</f>
        <v>#N/A</v>
      </c>
      <c r="BA654" s="99">
        <f>IF(S_normal27[[#This Row],[Større end]],S_normal27[[#This Row],[Poissonfordeling]],NA())</f>
        <v>2.7005039315604771E-3</v>
      </c>
      <c r="BB654" s="85" t="str">
        <f>_xlfn.IFNA(IF(MOD(S_normal27[[#This Row],[Indeks (base 0)]],AS$8)=ROUNDDOWN(AS$8/2,0),S_normal27[[#This Row],[X base]],""),"")</f>
        <v/>
      </c>
      <c r="BC654" s="99" t="str">
        <f t="shared" si="92"/>
        <v xml:space="preserve"> </v>
      </c>
    </row>
    <row r="655" spans="31:55" x14ac:dyDescent="0.2">
      <c r="AE655" s="54">
        <f t="shared" si="88"/>
        <v>642</v>
      </c>
      <c r="AF655" s="54">
        <f>S_binomial[[#This Row],[Indeks (base 0)]]+1</f>
        <v>643</v>
      </c>
      <c r="AG655" s="99">
        <f t="shared" si="89"/>
        <v>6</v>
      </c>
      <c r="AH655" s="99">
        <f>IF(MOD(S_binomial[[#This Row],[Indeks (base 0)]],AF$7)=0,NA(),_xlfn.BINOM.DIST(S_binomial[[#This Row],[X base]],E$5,E$6,FALSE))</f>
        <v>0.40456723513599996</v>
      </c>
      <c r="AI655" s="99" t="b">
        <f>S_binomial[[#This Row],[X base]]&lt;AF$5</f>
        <v>0</v>
      </c>
      <c r="AJ655" s="99" t="b">
        <f>S_binomial[[#This Row],[X base]]=AF$5</f>
        <v>0</v>
      </c>
      <c r="AK655" s="99" t="b">
        <f>S_binomial[[#This Row],[X base]]&gt;AF$5</f>
        <v>1</v>
      </c>
      <c r="AL655" s="99" t="e">
        <f>IF(S_binomial[[#This Row],[Mindre end]],S_binomial[[#This Row],[Binomialfordeling]],NA())</f>
        <v>#N/A</v>
      </c>
      <c r="AM655" s="99" t="e">
        <f>IF(S_binomial[[#This Row],[Lig med]],S_binomial[[#This Row],[Binomialfordeling]],NA())</f>
        <v>#N/A</v>
      </c>
      <c r="AN655" s="99">
        <f>IF(S_binomial[[#This Row],[Større end]],S_binomial[[#This Row],[Binomialfordeling]],NA())</f>
        <v>0.40456723513599996</v>
      </c>
      <c r="AO655" s="85" t="str">
        <f>_xlfn.IFNA(IF(MOD(S_binomial[[#This Row],[Indeks (base 0)]],AF$7)=ROUNDDOWN(AF$7/2,0),S_binomial[[#This Row],[X base]],""),"")</f>
        <v/>
      </c>
      <c r="AP655" s="99" t="str">
        <f t="shared" si="90"/>
        <v xml:space="preserve"> </v>
      </c>
      <c r="AR655" s="54">
        <f t="shared" si="91"/>
        <v>642</v>
      </c>
      <c r="AS655" s="54">
        <f>S_normal27[[#This Row],[Indeks (base 0)]]+1</f>
        <v>643</v>
      </c>
      <c r="AT655" s="54">
        <f t="shared" si="93"/>
        <v>9</v>
      </c>
      <c r="AU655" s="54">
        <f>IF(MOD(S_normal27[[#This Row],[Indeks (base 0)]],AS$8)=0,NA(),_xlfn.POISSON.DIST(S_normal27[[#This Row],[X base]],$H$5,FALSE))</f>
        <v>2.7005039315604771E-3</v>
      </c>
      <c r="AV655" s="99" t="b">
        <f>S_normal27[[#This Row],[X base]]&lt;AS$5</f>
        <v>0</v>
      </c>
      <c r="AW655" s="99" t="b">
        <f>S_normal27[[#This Row],[X base]]=AS$5</f>
        <v>0</v>
      </c>
      <c r="AX655" s="99" t="b">
        <f>S_normal27[[#This Row],[X base]]&gt;AS$5</f>
        <v>1</v>
      </c>
      <c r="AY655" s="99" t="e">
        <f>IF(S_normal27[[#This Row],[Mindre end]],S_normal27[[#This Row],[Poissonfordeling]],NA())</f>
        <v>#N/A</v>
      </c>
      <c r="AZ655" s="99" t="e">
        <f>IF(S_normal27[[#This Row],[Lig med]],S_normal27[[#This Row],[Poissonfordeling]],NA())</f>
        <v>#N/A</v>
      </c>
      <c r="BA655" s="99">
        <f>IF(S_normal27[[#This Row],[Større end]],S_normal27[[#This Row],[Poissonfordeling]],NA())</f>
        <v>2.7005039315604771E-3</v>
      </c>
      <c r="BB655" s="85" t="str">
        <f>_xlfn.IFNA(IF(MOD(S_normal27[[#This Row],[Indeks (base 0)]],AS$8)=ROUNDDOWN(AS$8/2,0),S_normal27[[#This Row],[X base]],""),"")</f>
        <v/>
      </c>
      <c r="BC655" s="99" t="str">
        <f t="shared" si="92"/>
        <v xml:space="preserve"> </v>
      </c>
    </row>
    <row r="656" spans="31:55" x14ac:dyDescent="0.2">
      <c r="AE656" s="54">
        <f t="shared" ref="AE656:AE663" si="94">ROW(AE656)-ROW(AE$13)</f>
        <v>643</v>
      </c>
      <c r="AF656" s="54">
        <f>S_binomial[[#This Row],[Indeks (base 0)]]+1</f>
        <v>644</v>
      </c>
      <c r="AG656" s="99">
        <f t="shared" ref="AG656:AG663" si="95">IF(AE656&lt;AF$8,ROUNDDOWN(AE656/AF$7,0),NA())</f>
        <v>6</v>
      </c>
      <c r="AH656" s="99">
        <f>IF(MOD(S_binomial[[#This Row],[Indeks (base 0)]],AF$7)=0,NA(),_xlfn.BINOM.DIST(S_binomial[[#This Row],[X base]],E$5,E$6,FALSE))</f>
        <v>0.40456723513599996</v>
      </c>
      <c r="AI656" s="99" t="b">
        <f>S_binomial[[#This Row],[X base]]&lt;AF$5</f>
        <v>0</v>
      </c>
      <c r="AJ656" s="99" t="b">
        <f>S_binomial[[#This Row],[X base]]=AF$5</f>
        <v>0</v>
      </c>
      <c r="AK656" s="99" t="b">
        <f>S_binomial[[#This Row],[X base]]&gt;AF$5</f>
        <v>1</v>
      </c>
      <c r="AL656" s="99" t="e">
        <f>IF(S_binomial[[#This Row],[Mindre end]],S_binomial[[#This Row],[Binomialfordeling]],NA())</f>
        <v>#N/A</v>
      </c>
      <c r="AM656" s="99" t="e">
        <f>IF(S_binomial[[#This Row],[Lig med]],S_binomial[[#This Row],[Binomialfordeling]],NA())</f>
        <v>#N/A</v>
      </c>
      <c r="AN656" s="99">
        <f>IF(S_binomial[[#This Row],[Større end]],S_binomial[[#This Row],[Binomialfordeling]],NA())</f>
        <v>0.40456723513599996</v>
      </c>
      <c r="AO656" s="85" t="str">
        <f>_xlfn.IFNA(IF(MOD(S_binomial[[#This Row],[Indeks (base 0)]],AF$7)=ROUNDDOWN(AF$7/2,0),S_binomial[[#This Row],[X base]],""),"")</f>
        <v/>
      </c>
      <c r="AP656" s="99" t="str">
        <f t="shared" ref="AP656:AP663" si="96">_xlfn.IFNA(_xlfn.SWITCH(AF656,AN$7,AN$4,AN$8,AN$5,AN$9,AN$6," ")," ")</f>
        <v xml:space="preserve"> </v>
      </c>
      <c r="AR656" s="54">
        <f t="shared" si="91"/>
        <v>643</v>
      </c>
      <c r="AS656" s="54">
        <f>S_normal27[[#This Row],[Indeks (base 0)]]+1</f>
        <v>644</v>
      </c>
      <c r="AT656" s="54">
        <f t="shared" si="93"/>
        <v>9</v>
      </c>
      <c r="AU656" s="54">
        <f>IF(MOD(S_normal27[[#This Row],[Indeks (base 0)]],AS$8)=0,NA(),_xlfn.POISSON.DIST(S_normal27[[#This Row],[X base]],$H$5,FALSE))</f>
        <v>2.7005039315604771E-3</v>
      </c>
      <c r="AV656" s="99" t="b">
        <f>S_normal27[[#This Row],[X base]]&lt;AS$5</f>
        <v>0</v>
      </c>
      <c r="AW656" s="99" t="b">
        <f>S_normal27[[#This Row],[X base]]=AS$5</f>
        <v>0</v>
      </c>
      <c r="AX656" s="99" t="b">
        <f>S_normal27[[#This Row],[X base]]&gt;AS$5</f>
        <v>1</v>
      </c>
      <c r="AY656" s="99" t="e">
        <f>IF(S_normal27[[#This Row],[Mindre end]],S_normal27[[#This Row],[Poissonfordeling]],NA())</f>
        <v>#N/A</v>
      </c>
      <c r="AZ656" s="99" t="e">
        <f>IF(S_normal27[[#This Row],[Lig med]],S_normal27[[#This Row],[Poissonfordeling]],NA())</f>
        <v>#N/A</v>
      </c>
      <c r="BA656" s="99">
        <f>IF(S_normal27[[#This Row],[Større end]],S_normal27[[#This Row],[Poissonfordeling]],NA())</f>
        <v>2.7005039315604771E-3</v>
      </c>
      <c r="BB656" s="85" t="str">
        <f>_xlfn.IFNA(IF(MOD(S_normal27[[#This Row],[Indeks (base 0)]],AS$8)=ROUNDDOWN(AS$8/2,0),S_normal27[[#This Row],[X base]],""),"")</f>
        <v/>
      </c>
      <c r="BC656" s="99" t="str">
        <f t="shared" si="92"/>
        <v xml:space="preserve"> </v>
      </c>
    </row>
    <row r="657" spans="31:55" x14ac:dyDescent="0.2">
      <c r="AE657" s="54">
        <f t="shared" si="94"/>
        <v>644</v>
      </c>
      <c r="AF657" s="54">
        <f>S_binomial[[#This Row],[Indeks (base 0)]]+1</f>
        <v>645</v>
      </c>
      <c r="AG657" s="99" t="e">
        <f t="shared" si="95"/>
        <v>#N/A</v>
      </c>
      <c r="AH657" s="99" t="e">
        <f>IF(MOD(S_binomial[[#This Row],[Indeks (base 0)]],AF$7)=0,NA(),_xlfn.BINOM.DIST(S_binomial[[#This Row],[X base]],E$5,E$6,FALSE))</f>
        <v>#N/A</v>
      </c>
      <c r="AI657" s="99" t="e">
        <f>S_binomial[[#This Row],[X base]]&lt;AF$5</f>
        <v>#N/A</v>
      </c>
      <c r="AJ657" s="99" t="e">
        <f>S_binomial[[#This Row],[X base]]=AF$5</f>
        <v>#N/A</v>
      </c>
      <c r="AK657" s="99" t="e">
        <f>S_binomial[[#This Row],[X base]]&gt;AF$5</f>
        <v>#N/A</v>
      </c>
      <c r="AL657" s="99" t="e">
        <f>IF(S_binomial[[#This Row],[Mindre end]],S_binomial[[#This Row],[Binomialfordeling]],NA())</f>
        <v>#N/A</v>
      </c>
      <c r="AM657" s="99" t="e">
        <f>IF(S_binomial[[#This Row],[Lig med]],S_binomial[[#This Row],[Binomialfordeling]],NA())</f>
        <v>#N/A</v>
      </c>
      <c r="AN657" s="99" t="e">
        <f>IF(S_binomial[[#This Row],[Større end]],S_binomial[[#This Row],[Binomialfordeling]],NA())</f>
        <v>#N/A</v>
      </c>
      <c r="AO657" s="85" t="str">
        <f>_xlfn.IFNA(IF(MOD(S_binomial[[#This Row],[Indeks (base 0)]],AF$7)=ROUNDDOWN(AF$7/2,0),S_binomial[[#This Row],[X base]],""),"")</f>
        <v/>
      </c>
      <c r="AP657" s="99" t="str">
        <f t="shared" si="96"/>
        <v xml:space="preserve"> </v>
      </c>
      <c r="AR657" s="54">
        <f t="shared" si="91"/>
        <v>644</v>
      </c>
      <c r="AS657" s="54">
        <f>S_normal27[[#This Row],[Indeks (base 0)]]+1</f>
        <v>645</v>
      </c>
      <c r="AT657" s="54">
        <f t="shared" si="93"/>
        <v>9</v>
      </c>
      <c r="AU657" s="54">
        <f>IF(MOD(S_normal27[[#This Row],[Indeks (base 0)]],AS$8)=0,NA(),_xlfn.POISSON.DIST(S_normal27[[#This Row],[X base]],$H$5,FALSE))</f>
        <v>2.7005039315604771E-3</v>
      </c>
      <c r="AV657" s="99" t="b">
        <f>S_normal27[[#This Row],[X base]]&lt;AS$5</f>
        <v>0</v>
      </c>
      <c r="AW657" s="99" t="b">
        <f>S_normal27[[#This Row],[X base]]=AS$5</f>
        <v>0</v>
      </c>
      <c r="AX657" s="99" t="b">
        <f>S_normal27[[#This Row],[X base]]&gt;AS$5</f>
        <v>1</v>
      </c>
      <c r="AY657" s="99" t="e">
        <f>IF(S_normal27[[#This Row],[Mindre end]],S_normal27[[#This Row],[Poissonfordeling]],NA())</f>
        <v>#N/A</v>
      </c>
      <c r="AZ657" s="99" t="e">
        <f>IF(S_normal27[[#This Row],[Lig med]],S_normal27[[#This Row],[Poissonfordeling]],NA())</f>
        <v>#N/A</v>
      </c>
      <c r="BA657" s="99">
        <f>IF(S_normal27[[#This Row],[Større end]],S_normal27[[#This Row],[Poissonfordeling]],NA())</f>
        <v>2.7005039315604771E-3</v>
      </c>
      <c r="BB657" s="85" t="str">
        <f>_xlfn.IFNA(IF(MOD(S_normal27[[#This Row],[Indeks (base 0)]],AS$8)=ROUNDDOWN(AS$8/2,0),S_normal27[[#This Row],[X base]],""),"")</f>
        <v/>
      </c>
      <c r="BC657" s="99" t="str">
        <f t="shared" si="92"/>
        <v xml:space="preserve"> </v>
      </c>
    </row>
    <row r="658" spans="31:55" x14ac:dyDescent="0.2">
      <c r="AE658" s="54">
        <f t="shared" si="94"/>
        <v>645</v>
      </c>
      <c r="AF658" s="54">
        <f>S_binomial[[#This Row],[Indeks (base 0)]]+1</f>
        <v>646</v>
      </c>
      <c r="AG658" s="99" t="e">
        <f t="shared" si="95"/>
        <v>#N/A</v>
      </c>
      <c r="AH658" s="99" t="e">
        <f>IF(MOD(S_binomial[[#This Row],[Indeks (base 0)]],AF$7)=0,NA(),_xlfn.BINOM.DIST(S_binomial[[#This Row],[X base]],E$5,E$6,FALSE))</f>
        <v>#N/A</v>
      </c>
      <c r="AI658" s="99" t="e">
        <f>S_binomial[[#This Row],[X base]]&lt;AF$5</f>
        <v>#N/A</v>
      </c>
      <c r="AJ658" s="99" t="e">
        <f>S_binomial[[#This Row],[X base]]=AF$5</f>
        <v>#N/A</v>
      </c>
      <c r="AK658" s="99" t="e">
        <f>S_binomial[[#This Row],[X base]]&gt;AF$5</f>
        <v>#N/A</v>
      </c>
      <c r="AL658" s="99" t="e">
        <f>IF(S_binomial[[#This Row],[Mindre end]],S_binomial[[#This Row],[Binomialfordeling]],NA())</f>
        <v>#N/A</v>
      </c>
      <c r="AM658" s="99" t="e">
        <f>IF(S_binomial[[#This Row],[Lig med]],S_binomial[[#This Row],[Binomialfordeling]],NA())</f>
        <v>#N/A</v>
      </c>
      <c r="AN658" s="99" t="e">
        <f>IF(S_binomial[[#This Row],[Større end]],S_binomial[[#This Row],[Binomialfordeling]],NA())</f>
        <v>#N/A</v>
      </c>
      <c r="AO658" s="85" t="str">
        <f>_xlfn.IFNA(IF(MOD(S_binomial[[#This Row],[Indeks (base 0)]],AF$7)=ROUNDDOWN(AF$7/2,0),S_binomial[[#This Row],[X base]],""),"")</f>
        <v/>
      </c>
      <c r="AP658" s="99" t="str">
        <f t="shared" si="96"/>
        <v xml:space="preserve"> </v>
      </c>
      <c r="AR658" s="54">
        <f t="shared" si="91"/>
        <v>645</v>
      </c>
      <c r="AS658" s="54">
        <f>S_normal27[[#This Row],[Indeks (base 0)]]+1</f>
        <v>646</v>
      </c>
      <c r="AT658" s="54">
        <f t="shared" si="93"/>
        <v>9</v>
      </c>
      <c r="AU658" s="54">
        <f>IF(MOD(S_normal27[[#This Row],[Indeks (base 0)]],AS$8)=0,NA(),_xlfn.POISSON.DIST(S_normal27[[#This Row],[X base]],$H$5,FALSE))</f>
        <v>2.7005039315604771E-3</v>
      </c>
      <c r="AV658" s="99" t="b">
        <f>S_normal27[[#This Row],[X base]]&lt;AS$5</f>
        <v>0</v>
      </c>
      <c r="AW658" s="99" t="b">
        <f>S_normal27[[#This Row],[X base]]=AS$5</f>
        <v>0</v>
      </c>
      <c r="AX658" s="99" t="b">
        <f>S_normal27[[#This Row],[X base]]&gt;AS$5</f>
        <v>1</v>
      </c>
      <c r="AY658" s="99" t="e">
        <f>IF(S_normal27[[#This Row],[Mindre end]],S_normal27[[#This Row],[Poissonfordeling]],NA())</f>
        <v>#N/A</v>
      </c>
      <c r="AZ658" s="99" t="e">
        <f>IF(S_normal27[[#This Row],[Lig med]],S_normal27[[#This Row],[Poissonfordeling]],NA())</f>
        <v>#N/A</v>
      </c>
      <c r="BA658" s="99">
        <f>IF(S_normal27[[#This Row],[Større end]],S_normal27[[#This Row],[Poissonfordeling]],NA())</f>
        <v>2.7005039315604771E-3</v>
      </c>
      <c r="BB658" s="85" t="str">
        <f>_xlfn.IFNA(IF(MOD(S_normal27[[#This Row],[Indeks (base 0)]],AS$8)=ROUNDDOWN(AS$8/2,0),S_normal27[[#This Row],[X base]],""),"")</f>
        <v/>
      </c>
      <c r="BC658" s="99" t="str">
        <f t="shared" si="92"/>
        <v xml:space="preserve"> </v>
      </c>
    </row>
    <row r="659" spans="31:55" x14ac:dyDescent="0.2">
      <c r="AE659" s="54">
        <f t="shared" si="94"/>
        <v>646</v>
      </c>
      <c r="AF659" s="54">
        <f>S_binomial[[#This Row],[Indeks (base 0)]]+1</f>
        <v>647</v>
      </c>
      <c r="AG659" s="99" t="e">
        <f t="shared" si="95"/>
        <v>#N/A</v>
      </c>
      <c r="AH659" s="99" t="e">
        <f>IF(MOD(S_binomial[[#This Row],[Indeks (base 0)]],AF$7)=0,NA(),_xlfn.BINOM.DIST(S_binomial[[#This Row],[X base]],E$5,E$6,FALSE))</f>
        <v>#N/A</v>
      </c>
      <c r="AI659" s="99" t="e">
        <f>S_binomial[[#This Row],[X base]]&lt;AF$5</f>
        <v>#N/A</v>
      </c>
      <c r="AJ659" s="99" t="e">
        <f>S_binomial[[#This Row],[X base]]=AF$5</f>
        <v>#N/A</v>
      </c>
      <c r="AK659" s="99" t="e">
        <f>S_binomial[[#This Row],[X base]]&gt;AF$5</f>
        <v>#N/A</v>
      </c>
      <c r="AL659" s="99" t="e">
        <f>IF(S_binomial[[#This Row],[Mindre end]],S_binomial[[#This Row],[Binomialfordeling]],NA())</f>
        <v>#N/A</v>
      </c>
      <c r="AM659" s="99" t="e">
        <f>IF(S_binomial[[#This Row],[Lig med]],S_binomial[[#This Row],[Binomialfordeling]],NA())</f>
        <v>#N/A</v>
      </c>
      <c r="AN659" s="99" t="e">
        <f>IF(S_binomial[[#This Row],[Større end]],S_binomial[[#This Row],[Binomialfordeling]],NA())</f>
        <v>#N/A</v>
      </c>
      <c r="AO659" s="85" t="str">
        <f>_xlfn.IFNA(IF(MOD(S_binomial[[#This Row],[Indeks (base 0)]],AF$7)=ROUNDDOWN(AF$7/2,0),S_binomial[[#This Row],[X base]],""),"")</f>
        <v/>
      </c>
      <c r="AP659" s="99" t="str">
        <f t="shared" si="96"/>
        <v xml:space="preserve"> </v>
      </c>
      <c r="AR659" s="54">
        <f t="shared" si="91"/>
        <v>646</v>
      </c>
      <c r="AS659" s="54">
        <f>S_normal27[[#This Row],[Indeks (base 0)]]+1</f>
        <v>647</v>
      </c>
      <c r="AT659" s="54">
        <f t="shared" si="93"/>
        <v>9</v>
      </c>
      <c r="AU659" s="54">
        <f>IF(MOD(S_normal27[[#This Row],[Indeks (base 0)]],AS$8)=0,NA(),_xlfn.POISSON.DIST(S_normal27[[#This Row],[X base]],$H$5,FALSE))</f>
        <v>2.7005039315604771E-3</v>
      </c>
      <c r="AV659" s="99" t="b">
        <f>S_normal27[[#This Row],[X base]]&lt;AS$5</f>
        <v>0</v>
      </c>
      <c r="AW659" s="99" t="b">
        <f>S_normal27[[#This Row],[X base]]=AS$5</f>
        <v>0</v>
      </c>
      <c r="AX659" s="99" t="b">
        <f>S_normal27[[#This Row],[X base]]&gt;AS$5</f>
        <v>1</v>
      </c>
      <c r="AY659" s="99" t="e">
        <f>IF(S_normal27[[#This Row],[Mindre end]],S_normal27[[#This Row],[Poissonfordeling]],NA())</f>
        <v>#N/A</v>
      </c>
      <c r="AZ659" s="99" t="e">
        <f>IF(S_normal27[[#This Row],[Lig med]],S_normal27[[#This Row],[Poissonfordeling]],NA())</f>
        <v>#N/A</v>
      </c>
      <c r="BA659" s="99">
        <f>IF(S_normal27[[#This Row],[Større end]],S_normal27[[#This Row],[Poissonfordeling]],NA())</f>
        <v>2.7005039315604771E-3</v>
      </c>
      <c r="BB659" s="85" t="str">
        <f>_xlfn.IFNA(IF(MOD(S_normal27[[#This Row],[Indeks (base 0)]],AS$8)=ROUNDDOWN(AS$8/2,0),S_normal27[[#This Row],[X base]],""),"")</f>
        <v/>
      </c>
      <c r="BC659" s="99" t="str">
        <f t="shared" si="92"/>
        <v xml:space="preserve"> </v>
      </c>
    </row>
    <row r="660" spans="31:55" x14ac:dyDescent="0.2">
      <c r="AE660" s="54">
        <f t="shared" si="94"/>
        <v>647</v>
      </c>
      <c r="AF660" s="54">
        <f>S_binomial[[#This Row],[Indeks (base 0)]]+1</f>
        <v>648</v>
      </c>
      <c r="AG660" s="99" t="e">
        <f t="shared" si="95"/>
        <v>#N/A</v>
      </c>
      <c r="AH660" s="99" t="e">
        <f>IF(MOD(S_binomial[[#This Row],[Indeks (base 0)]],AF$7)=0,NA(),_xlfn.BINOM.DIST(S_binomial[[#This Row],[X base]],E$5,E$6,FALSE))</f>
        <v>#N/A</v>
      </c>
      <c r="AI660" s="99" t="e">
        <f>S_binomial[[#This Row],[X base]]&lt;AF$5</f>
        <v>#N/A</v>
      </c>
      <c r="AJ660" s="99" t="e">
        <f>S_binomial[[#This Row],[X base]]=AF$5</f>
        <v>#N/A</v>
      </c>
      <c r="AK660" s="99" t="e">
        <f>S_binomial[[#This Row],[X base]]&gt;AF$5</f>
        <v>#N/A</v>
      </c>
      <c r="AL660" s="99" t="e">
        <f>IF(S_binomial[[#This Row],[Mindre end]],S_binomial[[#This Row],[Binomialfordeling]],NA())</f>
        <v>#N/A</v>
      </c>
      <c r="AM660" s="99" t="e">
        <f>IF(S_binomial[[#This Row],[Lig med]],S_binomial[[#This Row],[Binomialfordeling]],NA())</f>
        <v>#N/A</v>
      </c>
      <c r="AN660" s="99" t="e">
        <f>IF(S_binomial[[#This Row],[Større end]],S_binomial[[#This Row],[Binomialfordeling]],NA())</f>
        <v>#N/A</v>
      </c>
      <c r="AO660" s="85" t="str">
        <f>_xlfn.IFNA(IF(MOD(S_binomial[[#This Row],[Indeks (base 0)]],AF$7)=ROUNDDOWN(AF$7/2,0),S_binomial[[#This Row],[X base]],""),"")</f>
        <v/>
      </c>
      <c r="AP660" s="99" t="str">
        <f t="shared" si="96"/>
        <v xml:space="preserve"> </v>
      </c>
      <c r="AR660" s="54">
        <f t="shared" si="91"/>
        <v>647</v>
      </c>
      <c r="AS660" s="54">
        <f>S_normal27[[#This Row],[Indeks (base 0)]]+1</f>
        <v>648</v>
      </c>
      <c r="AT660" s="54">
        <f t="shared" si="93"/>
        <v>9</v>
      </c>
      <c r="AU660" s="54">
        <f>IF(MOD(S_normal27[[#This Row],[Indeks (base 0)]],AS$8)=0,NA(),_xlfn.POISSON.DIST(S_normal27[[#This Row],[X base]],$H$5,FALSE))</f>
        <v>2.7005039315604771E-3</v>
      </c>
      <c r="AV660" s="99" t="b">
        <f>S_normal27[[#This Row],[X base]]&lt;AS$5</f>
        <v>0</v>
      </c>
      <c r="AW660" s="99" t="b">
        <f>S_normal27[[#This Row],[X base]]=AS$5</f>
        <v>0</v>
      </c>
      <c r="AX660" s="99" t="b">
        <f>S_normal27[[#This Row],[X base]]&gt;AS$5</f>
        <v>1</v>
      </c>
      <c r="AY660" s="99" t="e">
        <f>IF(S_normal27[[#This Row],[Mindre end]],S_normal27[[#This Row],[Poissonfordeling]],NA())</f>
        <v>#N/A</v>
      </c>
      <c r="AZ660" s="99" t="e">
        <f>IF(S_normal27[[#This Row],[Lig med]],S_normal27[[#This Row],[Poissonfordeling]],NA())</f>
        <v>#N/A</v>
      </c>
      <c r="BA660" s="99">
        <f>IF(S_normal27[[#This Row],[Større end]],S_normal27[[#This Row],[Poissonfordeling]],NA())</f>
        <v>2.7005039315604771E-3</v>
      </c>
      <c r="BB660" s="85" t="str">
        <f>_xlfn.IFNA(IF(MOD(S_normal27[[#This Row],[Indeks (base 0)]],AS$8)=ROUNDDOWN(AS$8/2,0),S_normal27[[#This Row],[X base]],""),"")</f>
        <v/>
      </c>
      <c r="BC660" s="99" t="str">
        <f t="shared" si="92"/>
        <v xml:space="preserve"> </v>
      </c>
    </row>
    <row r="661" spans="31:55" x14ac:dyDescent="0.2">
      <c r="AE661" s="54">
        <f t="shared" si="94"/>
        <v>648</v>
      </c>
      <c r="AF661" s="54">
        <f>S_binomial[[#This Row],[Indeks (base 0)]]+1</f>
        <v>649</v>
      </c>
      <c r="AG661" s="99" t="e">
        <f t="shared" si="95"/>
        <v>#N/A</v>
      </c>
      <c r="AH661" s="99" t="e">
        <f>IF(MOD(S_binomial[[#This Row],[Indeks (base 0)]],AF$7)=0,NA(),_xlfn.BINOM.DIST(S_binomial[[#This Row],[X base]],E$5,E$6,FALSE))</f>
        <v>#N/A</v>
      </c>
      <c r="AI661" s="99" t="e">
        <f>S_binomial[[#This Row],[X base]]&lt;AF$5</f>
        <v>#N/A</v>
      </c>
      <c r="AJ661" s="99" t="e">
        <f>S_binomial[[#This Row],[X base]]=AF$5</f>
        <v>#N/A</v>
      </c>
      <c r="AK661" s="99" t="e">
        <f>S_binomial[[#This Row],[X base]]&gt;AF$5</f>
        <v>#N/A</v>
      </c>
      <c r="AL661" s="99" t="e">
        <f>IF(S_binomial[[#This Row],[Mindre end]],S_binomial[[#This Row],[Binomialfordeling]],NA())</f>
        <v>#N/A</v>
      </c>
      <c r="AM661" s="99" t="e">
        <f>IF(S_binomial[[#This Row],[Lig med]],S_binomial[[#This Row],[Binomialfordeling]],NA())</f>
        <v>#N/A</v>
      </c>
      <c r="AN661" s="99" t="e">
        <f>IF(S_binomial[[#This Row],[Større end]],S_binomial[[#This Row],[Binomialfordeling]],NA())</f>
        <v>#N/A</v>
      </c>
      <c r="AO661" s="85" t="str">
        <f>_xlfn.IFNA(IF(MOD(S_binomial[[#This Row],[Indeks (base 0)]],AF$7)=ROUNDDOWN(AF$7/2,0),S_binomial[[#This Row],[X base]],""),"")</f>
        <v/>
      </c>
      <c r="AP661" s="99" t="str">
        <f t="shared" si="96"/>
        <v xml:space="preserve"> </v>
      </c>
      <c r="AR661" s="54">
        <f t="shared" si="91"/>
        <v>648</v>
      </c>
      <c r="AS661" s="54">
        <f>S_normal27[[#This Row],[Indeks (base 0)]]+1</f>
        <v>649</v>
      </c>
      <c r="AT661" s="54">
        <f t="shared" si="93"/>
        <v>9</v>
      </c>
      <c r="AU661" s="54">
        <f>IF(MOD(S_normal27[[#This Row],[Indeks (base 0)]],AS$8)=0,NA(),_xlfn.POISSON.DIST(S_normal27[[#This Row],[X base]],$H$5,FALSE))</f>
        <v>2.7005039315604771E-3</v>
      </c>
      <c r="AV661" s="99" t="b">
        <f>S_normal27[[#This Row],[X base]]&lt;AS$5</f>
        <v>0</v>
      </c>
      <c r="AW661" s="99" t="b">
        <f>S_normal27[[#This Row],[X base]]=AS$5</f>
        <v>0</v>
      </c>
      <c r="AX661" s="99" t="b">
        <f>S_normal27[[#This Row],[X base]]&gt;AS$5</f>
        <v>1</v>
      </c>
      <c r="AY661" s="99" t="e">
        <f>IF(S_normal27[[#This Row],[Mindre end]],S_normal27[[#This Row],[Poissonfordeling]],NA())</f>
        <v>#N/A</v>
      </c>
      <c r="AZ661" s="99" t="e">
        <f>IF(S_normal27[[#This Row],[Lig med]],S_normal27[[#This Row],[Poissonfordeling]],NA())</f>
        <v>#N/A</v>
      </c>
      <c r="BA661" s="99">
        <f>IF(S_normal27[[#This Row],[Større end]],S_normal27[[#This Row],[Poissonfordeling]],NA())</f>
        <v>2.7005039315604771E-3</v>
      </c>
      <c r="BB661" s="85" t="str">
        <f>_xlfn.IFNA(IF(MOD(S_normal27[[#This Row],[Indeks (base 0)]],AS$8)=ROUNDDOWN(AS$8/2,0),S_normal27[[#This Row],[X base]],""),"")</f>
        <v/>
      </c>
      <c r="BC661" s="99" t="str">
        <f t="shared" si="92"/>
        <v xml:space="preserve"> </v>
      </c>
    </row>
    <row r="662" spans="31:55" x14ac:dyDescent="0.2">
      <c r="AE662" s="54">
        <f t="shared" si="94"/>
        <v>649</v>
      </c>
      <c r="AF662" s="54">
        <f>S_binomial[[#This Row],[Indeks (base 0)]]+1</f>
        <v>650</v>
      </c>
      <c r="AG662" s="99" t="e">
        <f t="shared" si="95"/>
        <v>#N/A</v>
      </c>
      <c r="AH662" s="99" t="e">
        <f>IF(MOD(S_binomial[[#This Row],[Indeks (base 0)]],AF$7)=0,NA(),_xlfn.BINOM.DIST(S_binomial[[#This Row],[X base]],E$5,E$6,FALSE))</f>
        <v>#N/A</v>
      </c>
      <c r="AI662" s="99" t="e">
        <f>S_binomial[[#This Row],[X base]]&lt;AF$5</f>
        <v>#N/A</v>
      </c>
      <c r="AJ662" s="99" t="e">
        <f>S_binomial[[#This Row],[X base]]=AF$5</f>
        <v>#N/A</v>
      </c>
      <c r="AK662" s="99" t="e">
        <f>S_binomial[[#This Row],[X base]]&gt;AF$5</f>
        <v>#N/A</v>
      </c>
      <c r="AL662" s="99" t="e">
        <f>IF(S_binomial[[#This Row],[Mindre end]],S_binomial[[#This Row],[Binomialfordeling]],NA())</f>
        <v>#N/A</v>
      </c>
      <c r="AM662" s="99" t="e">
        <f>IF(S_binomial[[#This Row],[Lig med]],S_binomial[[#This Row],[Binomialfordeling]],NA())</f>
        <v>#N/A</v>
      </c>
      <c r="AN662" s="99" t="e">
        <f>IF(S_binomial[[#This Row],[Større end]],S_binomial[[#This Row],[Binomialfordeling]],NA())</f>
        <v>#N/A</v>
      </c>
      <c r="AO662" s="85" t="str">
        <f>_xlfn.IFNA(IF(MOD(S_binomial[[#This Row],[Indeks (base 0)]],AF$7)=ROUNDDOWN(AF$7/2,0),S_binomial[[#This Row],[X base]],""),"")</f>
        <v/>
      </c>
      <c r="AP662" s="99" t="str">
        <f t="shared" si="96"/>
        <v xml:space="preserve"> </v>
      </c>
      <c r="AR662" s="54">
        <f t="shared" si="91"/>
        <v>649</v>
      </c>
      <c r="AS662" s="54">
        <f>S_normal27[[#This Row],[Indeks (base 0)]]+1</f>
        <v>650</v>
      </c>
      <c r="AT662" s="54">
        <f t="shared" si="93"/>
        <v>9</v>
      </c>
      <c r="AU662" s="54">
        <f>IF(MOD(S_normal27[[#This Row],[Indeks (base 0)]],AS$8)=0,NA(),_xlfn.POISSON.DIST(S_normal27[[#This Row],[X base]],$H$5,FALSE))</f>
        <v>2.7005039315604771E-3</v>
      </c>
      <c r="AV662" s="99" t="b">
        <f>S_normal27[[#This Row],[X base]]&lt;AS$5</f>
        <v>0</v>
      </c>
      <c r="AW662" s="99" t="b">
        <f>S_normal27[[#This Row],[X base]]=AS$5</f>
        <v>0</v>
      </c>
      <c r="AX662" s="99" t="b">
        <f>S_normal27[[#This Row],[X base]]&gt;AS$5</f>
        <v>1</v>
      </c>
      <c r="AY662" s="99" t="e">
        <f>IF(S_normal27[[#This Row],[Mindre end]],S_normal27[[#This Row],[Poissonfordeling]],NA())</f>
        <v>#N/A</v>
      </c>
      <c r="AZ662" s="99" t="e">
        <f>IF(S_normal27[[#This Row],[Lig med]],S_normal27[[#This Row],[Poissonfordeling]],NA())</f>
        <v>#N/A</v>
      </c>
      <c r="BA662" s="99">
        <f>IF(S_normal27[[#This Row],[Større end]],S_normal27[[#This Row],[Poissonfordeling]],NA())</f>
        <v>2.7005039315604771E-3</v>
      </c>
      <c r="BB662" s="85" t="str">
        <f>_xlfn.IFNA(IF(MOD(S_normal27[[#This Row],[Indeks (base 0)]],AS$8)=ROUNDDOWN(AS$8/2,0),S_normal27[[#This Row],[X base]],""),"")</f>
        <v/>
      </c>
      <c r="BC662" s="99" t="str">
        <f t="shared" si="92"/>
        <v xml:space="preserve"> </v>
      </c>
    </row>
    <row r="663" spans="31:55" x14ac:dyDescent="0.2">
      <c r="AE663" s="54">
        <f t="shared" si="94"/>
        <v>650</v>
      </c>
      <c r="AF663" s="54">
        <f>S_binomial[[#This Row],[Indeks (base 0)]]+1</f>
        <v>651</v>
      </c>
      <c r="AG663" s="99" t="e">
        <f t="shared" si="95"/>
        <v>#N/A</v>
      </c>
      <c r="AH663" s="99" t="e">
        <f>IF(MOD(S_binomial[[#This Row],[Indeks (base 0)]],AF$7)=0,NA(),_xlfn.BINOM.DIST(S_binomial[[#This Row],[X base]],E$5,E$6,FALSE))</f>
        <v>#N/A</v>
      </c>
      <c r="AI663" s="99" t="e">
        <f>S_binomial[[#This Row],[X base]]&lt;AF$5</f>
        <v>#N/A</v>
      </c>
      <c r="AJ663" s="99" t="e">
        <f>S_binomial[[#This Row],[X base]]=AF$5</f>
        <v>#N/A</v>
      </c>
      <c r="AK663" s="99" t="e">
        <f>S_binomial[[#This Row],[X base]]&gt;AF$5</f>
        <v>#N/A</v>
      </c>
      <c r="AL663" s="99" t="e">
        <f>IF(S_binomial[[#This Row],[Mindre end]],S_binomial[[#This Row],[Binomialfordeling]],NA())</f>
        <v>#N/A</v>
      </c>
      <c r="AM663" s="99" t="e">
        <f>IF(S_binomial[[#This Row],[Lig med]],S_binomial[[#This Row],[Binomialfordeling]],NA())</f>
        <v>#N/A</v>
      </c>
      <c r="AN663" s="99" t="e">
        <f>IF(S_binomial[[#This Row],[Større end]],S_binomial[[#This Row],[Binomialfordeling]],NA())</f>
        <v>#N/A</v>
      </c>
      <c r="AO663" s="85" t="str">
        <f>_xlfn.IFNA(IF(MOD(S_binomial[[#This Row],[Indeks (base 0)]],AF$7)=ROUNDDOWN(AF$7/2,0),S_binomial[[#This Row],[X base]],""),"")</f>
        <v/>
      </c>
      <c r="AP663" s="99" t="str">
        <f t="shared" si="96"/>
        <v xml:space="preserve"> </v>
      </c>
      <c r="AR663" s="54">
        <f t="shared" si="91"/>
        <v>650</v>
      </c>
      <c r="AS663" s="54">
        <f>S_normal27[[#This Row],[Indeks (base 0)]]+1</f>
        <v>651</v>
      </c>
      <c r="AT663" s="54" t="e">
        <f t="shared" si="93"/>
        <v>#N/A</v>
      </c>
      <c r="AU663" s="54" t="e">
        <f>IF(MOD(S_normal27[[#This Row],[Indeks (base 0)]],AS$8)=0,NA(),_xlfn.POISSON.DIST(S_normal27[[#This Row],[X base]],$H$5,FALSE))</f>
        <v>#N/A</v>
      </c>
      <c r="AV663" s="99" t="e">
        <f>S_normal27[[#This Row],[X base]]&lt;AS$5</f>
        <v>#N/A</v>
      </c>
      <c r="AW663" s="99" t="e">
        <f>S_normal27[[#This Row],[X base]]=AS$5</f>
        <v>#N/A</v>
      </c>
      <c r="AX663" s="99" t="e">
        <f>S_normal27[[#This Row],[X base]]&gt;AS$5</f>
        <v>#N/A</v>
      </c>
      <c r="AY663" s="99" t="e">
        <f>IF(S_normal27[[#This Row],[Mindre end]],S_normal27[[#This Row],[Poissonfordeling]],NA())</f>
        <v>#N/A</v>
      </c>
      <c r="AZ663" s="99" t="e">
        <f>IF(S_normal27[[#This Row],[Lig med]],S_normal27[[#This Row],[Poissonfordeling]],NA())</f>
        <v>#N/A</v>
      </c>
      <c r="BA663" s="99" t="e">
        <f>IF(S_normal27[[#This Row],[Større end]],S_normal27[[#This Row],[Poissonfordeling]],NA())</f>
        <v>#N/A</v>
      </c>
      <c r="BB663" s="85" t="str">
        <f>_xlfn.IFNA(IF(MOD(S_normal27[[#This Row],[Indeks (base 0)]],AS$8)=ROUNDDOWN(AS$8/2,0),S_normal27[[#This Row],[X base]],""),"")</f>
        <v/>
      </c>
      <c r="BC663" s="99" t="str">
        <f t="shared" si="92"/>
        <v xml:space="preserve"> </v>
      </c>
    </row>
  </sheetData>
  <sheetProtection formatCells="0" formatColumns="0" formatRows="0" insertColumns="0" insertRows="0" insertHyperlinks="0" deleteColumns="0" deleteRows="0" sort="0" autoFilter="0" pivotTables="0"/>
  <phoneticPr fontId="15" type="noConversion"/>
  <conditionalFormatting sqref="B7">
    <cfRule type="expression" dxfId="31" priority="13">
      <formula>NOT(ISBLANK(B8))</formula>
    </cfRule>
  </conditionalFormatting>
  <conditionalFormatting sqref="E7">
    <cfRule type="expression" dxfId="30" priority="12">
      <formula>NOT(ISBLANK(E8))</formula>
    </cfRule>
  </conditionalFormatting>
  <conditionalFormatting sqref="B8">
    <cfRule type="expression" dxfId="29" priority="11">
      <formula>NOT(ISBLANK(B7))</formula>
    </cfRule>
  </conditionalFormatting>
  <conditionalFormatting sqref="E8">
    <cfRule type="expression" dxfId="28" priority="10">
      <formula>NOT(ISBLANK(E7))</formula>
    </cfRule>
  </conditionalFormatting>
  <conditionalFormatting sqref="E7:E8">
    <cfRule type="expression" dxfId="27" priority="8">
      <formula>NOT(OR(ISBLANK($E$7),ISBLANK($E$8)))</formula>
    </cfRule>
  </conditionalFormatting>
  <conditionalFormatting sqref="B7:B8">
    <cfRule type="expression" dxfId="26" priority="7">
      <formula>NOT(OR(ISBLANK($B$7),ISBLANK($B$8)))</formula>
    </cfRule>
  </conditionalFormatting>
  <conditionalFormatting sqref="H6">
    <cfRule type="expression" dxfId="25" priority="3">
      <formula>NOT(ISBLANK(H7))</formula>
    </cfRule>
  </conditionalFormatting>
  <conditionalFormatting sqref="H6">
    <cfRule type="expression" dxfId="24" priority="1">
      <formula>NOT(OR(ISBLANK($H$6),ISBLANK($H$7)))</formula>
    </cfRule>
  </conditionalFormatting>
  <dataValidations xWindow="469" yWindow="345" count="8">
    <dataValidation type="custom" allowBlank="1" showInputMessage="1" showErrorMessage="1" errorTitle="Vælg et tal" error="Indtast et tal." promptTitle="Vælg en x værdi" prompt="Der kan kun være indtastet en type interesse: enten en x værdi eller en sandsynlighed." sqref="B7" xr:uid="{80BA7DDF-C151-474C-9A98-AEA3A1CCF945}">
      <formula1>ISNUMBER(B7)</formula1>
    </dataValidation>
    <dataValidation type="custom" allowBlank="1" showInputMessage="1" showErrorMessage="1" errorTitle="Vælg et heltal" error="Indtast et helt tal, som er større end eller lig med 0." promptTitle="Vælg en x værdi" prompt="Der kan kun være indtastet en type interesse: enten en x værdi eller en sandsynlighed." sqref="E7 H6" xr:uid="{0E0980FB-E82C-4EA2-8FB7-D42D1486BB59}">
      <formula1>AND(MOD(E6,1)=0,E6&gt;=0)</formula1>
    </dataValidation>
    <dataValidation type="decimal" allowBlank="1" showInputMessage="1" showErrorMessage="1" errorTitle="Vælg en sandsynlighed" error="Vælg en sandsynlighed mellem 0% og 100%." promptTitle="Vælg en sandsynlighed" prompt="Der kan kun være indtastet en type interesse: enten en x værdi eller en sandsynlighed." sqref="E8" xr:uid="{0825DF24-6741-45EA-BB00-3743763E0648}">
      <formula1>0</formula1>
      <formula2>1</formula2>
    </dataValidation>
    <dataValidation type="custom" allowBlank="1" showInputMessage="1" showErrorMessage="1" errorTitle="Vælg et tal" error="Indtast et tal." promptTitle="Vælg et gennemsnit" prompt="Indtast et tal." sqref="B5" xr:uid="{850B335C-ECE2-4299-86F8-337B3518D7C7}">
      <formula1>ISNUMBER(B5)</formula1>
    </dataValidation>
    <dataValidation type="custom" allowBlank="1" showInputMessage="1" showErrorMessage="1" errorTitle="Vælg et tal" error="Indtast et tal." promptTitle="Vælg en standardafvigelse" prompt="Indtast et tal." sqref="B6" xr:uid="{49EBB814-9D42-4D53-9100-476439F7AF9B}">
      <formula1>ISNUMBER(B6)</formula1>
    </dataValidation>
    <dataValidation type="decimal" allowBlank="1" showInputMessage="1" showErrorMessage="1" errorTitle="Vælg en sandsynlighed" error="Indtast en sandsynlighed mellem 0% og 100%." promptTitle="Vælg en sandsynlighed" prompt="Der kan kun være indtastet en type interesse: enten en x værdi eller en sandsynlighed." sqref="B8" xr:uid="{00A73527-377D-414B-BD04-08CD141D5DA3}">
      <formula1>0</formula1>
      <formula2>1</formula2>
    </dataValidation>
    <dataValidation type="custom" allowBlank="1" showInputMessage="1" showErrorMessage="1" errorTitle="Vælg et naturligt antal" error="Indtast et heltal som er større end 0." promptTitle="Vælg et antal forsøg" prompt="Indtast et heltal som er større end 0." sqref="E5 H5" xr:uid="{87A352BC-56C8-4660-B534-E9CB1722B958}">
      <formula1>AND(MOD(E5,1)=0,E5&gt;0)</formula1>
    </dataValidation>
    <dataValidation type="decimal" allowBlank="1" showInputMessage="1" showErrorMessage="1" errorTitle="Vælg en sandsynlighed" error="Indtast et procenttal mellem 0% og 100%." promptTitle="Vælg en sandsynlighed" prompt="Indtast et procenttal mellem 0% og 100%." sqref="E6" xr:uid="{834A3F3D-4021-4F51-A2F0-0DFB4BABC9BC}">
      <formula1>0</formula1>
      <formula2>1</formula2>
    </dataValidation>
  </dataValidations>
  <hyperlinks>
    <hyperlink ref="B1" location="V_Manual_Sandsynlighed" display="Gå til Manual i brug af Sandsynlighed arket               " xr:uid="{BCBEEBD4-8284-4548-B099-75C5D93E7DD3}"/>
  </hyperlinks>
  <pageMargins left="0.7" right="0.7" top="0.75" bottom="0.75" header="0.3" footer="0.3"/>
  <pageSetup paperSize="9" orientation="portrait" r:id="rId1"/>
  <drawing r:id="rId2"/>
  <tableParts count="3">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E23E72-A7E9-4B5B-8983-5B13B28D652F}">
  <sheetPr codeName="Sheet9">
    <tabColor theme="7"/>
  </sheetPr>
  <dimension ref="A1:HT268"/>
  <sheetViews>
    <sheetView showGridLines="0" zoomScaleNormal="100" workbookViewId="0"/>
  </sheetViews>
  <sheetFormatPr defaultRowHeight="14.25" x14ac:dyDescent="0.2"/>
  <cols>
    <col min="1" max="1" width="33.125" customWidth="1"/>
    <col min="2" max="3" width="35.125" customWidth="1"/>
    <col min="4" max="4" width="1.5" customWidth="1"/>
    <col min="5" max="5" width="34.625" customWidth="1"/>
    <col min="6" max="6" width="41.25" customWidth="1"/>
    <col min="7" max="7" width="5.25" customWidth="1"/>
    <col min="8" max="8" width="34.5" customWidth="1"/>
    <col min="9" max="10" width="34.75" customWidth="1"/>
    <col min="11" max="11" width="1.5" customWidth="1"/>
    <col min="12" max="12" width="34.625" customWidth="1"/>
    <col min="13" max="13" width="40.75" customWidth="1"/>
    <col min="14" max="14" width="4.25" customWidth="1"/>
    <col min="15" max="15" width="30.25" customWidth="1"/>
    <col min="16" max="17" width="34.75" bestFit="1" customWidth="1"/>
    <col min="18" max="18" width="1.5" customWidth="1"/>
    <col min="19" max="19" width="34.625" customWidth="1"/>
    <col min="20" max="20" width="44.125" customWidth="1"/>
    <col min="21" max="21" width="5.25" customWidth="1"/>
    <col min="22" max="22" width="30.25" customWidth="1"/>
    <col min="23" max="24" width="34.75" customWidth="1"/>
    <col min="25" max="25" width="1.5" customWidth="1"/>
    <col min="26" max="26" width="34.625" customWidth="1"/>
    <col min="27" max="27" width="44.125" customWidth="1"/>
    <col min="28" max="28" width="5.25" customWidth="1"/>
    <col min="29" max="29" width="30.25" customWidth="1"/>
    <col min="30" max="31" width="34.75" customWidth="1"/>
    <col min="32" max="32" width="1.5" customWidth="1"/>
    <col min="33" max="33" width="34.625" customWidth="1"/>
    <col min="34" max="34" width="44.125" customWidth="1"/>
    <col min="35" max="39" width="5.25" customWidth="1"/>
    <col min="40" max="40" width="8.75" customWidth="1"/>
    <col min="41" max="54" width="10.375" customWidth="1"/>
    <col min="55" max="55" width="8.75" customWidth="1"/>
    <col min="56" max="56" width="33.125" customWidth="1"/>
    <col min="57" max="61" width="34" customWidth="1"/>
    <col min="72" max="72" width="14.625" customWidth="1"/>
    <col min="74" max="74" width="15.375" customWidth="1"/>
    <col min="75" max="75" width="10.75" customWidth="1"/>
    <col min="76" max="76" width="19.5" customWidth="1"/>
    <col min="77" max="77" width="11.25" customWidth="1"/>
    <col min="78" max="78" width="21.25" customWidth="1"/>
    <col min="79" max="79" width="20.25" customWidth="1"/>
    <col min="80" max="80" width="22.75" customWidth="1"/>
    <col min="81" max="81" width="18.5" customWidth="1"/>
    <col min="82" max="82" width="20.125" customWidth="1"/>
    <col min="83" max="83" width="17.875" customWidth="1"/>
    <col min="84" max="84" width="12.375" customWidth="1"/>
    <col min="85" max="85" width="12.125" customWidth="1"/>
    <col min="86" max="89" width="13.375" customWidth="1"/>
    <col min="90" max="93" width="24.875" customWidth="1"/>
    <col min="94" max="94" width="11.75" bestFit="1" customWidth="1"/>
    <col min="95" max="96" width="5.25" customWidth="1"/>
    <col min="97" max="97" width="24.75" bestFit="1" customWidth="1"/>
    <col min="98" max="98" width="16.125" bestFit="1" customWidth="1"/>
    <col min="99" max="99" width="12.875" bestFit="1" customWidth="1"/>
    <col min="100" max="100" width="12.375" bestFit="1" customWidth="1"/>
    <col min="101" max="110" width="5.25" customWidth="1"/>
    <col min="111" max="111" width="8.75" customWidth="1"/>
    <col min="112" max="112" width="14.625" customWidth="1"/>
    <col min="113" max="113" width="8.75" customWidth="1"/>
    <col min="114" max="114" width="15.375" customWidth="1"/>
    <col min="115" max="115" width="10.75" customWidth="1"/>
    <col min="116" max="116" width="19.5" customWidth="1"/>
    <col min="117" max="117" width="11.25" customWidth="1"/>
    <col min="118" max="118" width="21.25" customWidth="1"/>
    <col min="119" max="119" width="20.25" customWidth="1"/>
    <col min="120" max="120" width="22.75" customWidth="1"/>
    <col min="121" max="121" width="18.5" customWidth="1"/>
    <col min="122" max="122" width="20.125" customWidth="1"/>
    <col min="123" max="123" width="17.875" customWidth="1"/>
    <col min="124" max="124" width="12.375" customWidth="1"/>
    <col min="125" max="125" width="12.125" customWidth="1"/>
    <col min="126" max="129" width="8.75" customWidth="1"/>
    <col min="131" max="131" width="14.625" customWidth="1"/>
    <col min="133" max="133" width="15.375" customWidth="1"/>
    <col min="134" max="134" width="10.75" customWidth="1"/>
    <col min="135" max="135" width="19.5" customWidth="1"/>
    <col min="136" max="136" width="11.25" customWidth="1"/>
    <col min="137" max="137" width="21.25" customWidth="1"/>
    <col min="138" max="138" width="20.25" customWidth="1"/>
    <col min="139" max="139" width="22.75" customWidth="1"/>
    <col min="140" max="140" width="18.5" customWidth="1"/>
    <col min="141" max="141" width="20.125" customWidth="1"/>
    <col min="142" max="142" width="17.875" customWidth="1"/>
    <col min="143" max="143" width="12.375" customWidth="1"/>
    <col min="144" max="144" width="12.125" customWidth="1"/>
    <col min="145" max="153" width="12.625" customWidth="1"/>
    <col min="156" max="156" width="17.75" customWidth="1"/>
    <col min="157" max="157" width="13.375" customWidth="1"/>
    <col min="158" max="158" width="11.75" customWidth="1"/>
    <col min="159" max="159" width="17.25" customWidth="1"/>
    <col min="160" max="160" width="11.75" bestFit="1" customWidth="1"/>
    <col min="165" max="165" width="10.125" bestFit="1" customWidth="1"/>
    <col min="166" max="166" width="17.25" customWidth="1"/>
    <col min="167" max="167" width="11.75" bestFit="1" customWidth="1"/>
    <col min="172" max="172" width="10.125" bestFit="1" customWidth="1"/>
    <col min="173" max="173" width="17.25" customWidth="1"/>
    <col min="174" max="174" width="11.75" bestFit="1" customWidth="1"/>
    <col min="179" max="179" width="10.125" bestFit="1" customWidth="1"/>
    <col min="180" max="180" width="17.25" customWidth="1"/>
    <col min="181" max="181" width="11.75" bestFit="1" customWidth="1"/>
    <col min="186" max="186" width="10.125" bestFit="1" customWidth="1"/>
    <col min="187" max="188" width="10.125" customWidth="1"/>
    <col min="192" max="192" width="14.625" customWidth="1"/>
    <col min="194" max="194" width="15.375" customWidth="1"/>
    <col min="195" max="195" width="10.75" customWidth="1"/>
    <col min="196" max="196" width="19.5" customWidth="1"/>
    <col min="197" max="197" width="11.25" customWidth="1"/>
    <col min="198" max="198" width="21.25" customWidth="1"/>
    <col min="199" max="199" width="20.25" customWidth="1"/>
    <col min="200" max="200" width="22.75" customWidth="1"/>
    <col min="201" max="201" width="18.5" customWidth="1"/>
    <col min="202" max="202" width="20.125" customWidth="1"/>
    <col min="203" max="203" width="17.875" customWidth="1"/>
    <col min="204" max="204" width="12.375" customWidth="1"/>
    <col min="205" max="205" width="12.125" customWidth="1"/>
    <col min="206" max="206" width="8.75" customWidth="1"/>
    <col min="209" max="210" width="5.25" customWidth="1"/>
    <col min="212" max="212" width="14.625" customWidth="1"/>
    <col min="214" max="214" width="15.375" customWidth="1"/>
    <col min="215" max="215" width="10.75" customWidth="1"/>
    <col min="216" max="216" width="19.5" customWidth="1"/>
    <col min="217" max="217" width="11.25" customWidth="1"/>
    <col min="218" max="218" width="21.25" customWidth="1"/>
    <col min="219" max="219" width="20.25" customWidth="1"/>
    <col min="220" max="220" width="22.75" customWidth="1"/>
    <col min="221" max="221" width="18.5" customWidth="1"/>
    <col min="222" max="222" width="20.125" customWidth="1"/>
    <col min="223" max="223" width="17.875" customWidth="1"/>
    <col min="224" max="224" width="12.375" customWidth="1"/>
    <col min="225" max="225" width="12.125" customWidth="1"/>
    <col min="229" max="229" width="5.25" customWidth="1"/>
    <col min="263" max="263" width="25.5" bestFit="1" customWidth="1"/>
    <col min="264" max="264" width="4.75" customWidth="1"/>
    <col min="265" max="265" width="35.625" bestFit="1" customWidth="1"/>
    <col min="266" max="269" width="37" customWidth="1"/>
    <col min="270" max="270" width="30" customWidth="1"/>
    <col min="291" max="293" width="5.25" customWidth="1"/>
  </cols>
  <sheetData>
    <row r="1" spans="1:228" s="1" customFormat="1" ht="18.75" x14ac:dyDescent="0.2">
      <c r="A1" s="27" t="s">
        <v>547</v>
      </c>
      <c r="B1" s="69" t="s">
        <v>434</v>
      </c>
      <c r="BD1" s="142"/>
      <c r="BE1" s="142" t="s">
        <v>443</v>
      </c>
      <c r="BF1" s="142" t="s">
        <v>453</v>
      </c>
      <c r="BG1" s="142" t="s">
        <v>468</v>
      </c>
      <c r="BH1" s="142" t="s">
        <v>469</v>
      </c>
      <c r="BI1" s="142" t="s">
        <v>475</v>
      </c>
      <c r="BS1" s="53"/>
      <c r="BT1" s="70" t="s">
        <v>0</v>
      </c>
      <c r="BU1" s="53" t="s">
        <v>289</v>
      </c>
      <c r="BV1" s="70"/>
      <c r="BW1" s="70"/>
      <c r="BX1" s="70"/>
      <c r="BY1" s="70"/>
      <c r="BZ1" s="70"/>
      <c r="CA1" s="70"/>
      <c r="CB1" s="70"/>
      <c r="CC1" s="70"/>
      <c r="CD1" s="70"/>
      <c r="CE1" s="70"/>
      <c r="CF1" s="70"/>
      <c r="CG1" s="70" t="s">
        <v>17</v>
      </c>
      <c r="CH1" s="70" t="s">
        <v>150</v>
      </c>
      <c r="CI1" s="53" t="s">
        <v>334</v>
      </c>
      <c r="CJ1" s="70" t="s">
        <v>333</v>
      </c>
      <c r="CK1" s="1" t="s">
        <v>502</v>
      </c>
      <c r="CM1" s="1" t="s">
        <v>521</v>
      </c>
      <c r="CN1" s="1" t="s">
        <v>17</v>
      </c>
      <c r="CO1" s="1" t="s">
        <v>150</v>
      </c>
      <c r="DG1" s="53"/>
      <c r="DH1" s="70" t="s">
        <v>1</v>
      </c>
      <c r="DI1" s="53" t="s">
        <v>289</v>
      </c>
      <c r="DJ1" s="70"/>
      <c r="DK1" s="70"/>
      <c r="DL1" s="70"/>
      <c r="DM1" s="70"/>
      <c r="DN1" s="70"/>
      <c r="DO1" s="70"/>
      <c r="DP1" s="70"/>
      <c r="DQ1" s="70"/>
      <c r="DR1" s="70"/>
      <c r="DS1" s="70"/>
      <c r="DT1" s="70"/>
      <c r="DU1" s="70" t="s">
        <v>17</v>
      </c>
      <c r="DV1" s="70" t="s">
        <v>150</v>
      </c>
      <c r="DW1" s="53" t="s">
        <v>334</v>
      </c>
      <c r="DX1" s="70" t="s">
        <v>333</v>
      </c>
      <c r="DZ1" s="53"/>
      <c r="EA1" s="70" t="s">
        <v>2</v>
      </c>
      <c r="EB1" s="53" t="s">
        <v>289</v>
      </c>
      <c r="EC1" s="70"/>
      <c r="ED1" s="70"/>
      <c r="EE1" s="70"/>
      <c r="EF1" s="70"/>
      <c r="EG1" s="70"/>
      <c r="EH1" s="70"/>
      <c r="EI1" s="70"/>
      <c r="EJ1" s="70"/>
      <c r="EK1" s="70"/>
      <c r="EL1" s="70"/>
      <c r="EM1" s="70"/>
      <c r="EN1" s="70" t="s">
        <v>17</v>
      </c>
      <c r="EO1" s="70" t="s">
        <v>150</v>
      </c>
      <c r="EP1" s="53" t="s">
        <v>334</v>
      </c>
      <c r="EQ1" s="70" t="s">
        <v>333</v>
      </c>
      <c r="ER1" s="1" t="s">
        <v>502</v>
      </c>
      <c r="ET1" s="1" t="s">
        <v>521</v>
      </c>
      <c r="EU1" s="1" t="s">
        <v>17</v>
      </c>
      <c r="EV1" s="1" t="s">
        <v>150</v>
      </c>
      <c r="FC1" s="1" t="s">
        <v>539</v>
      </c>
      <c r="FD1" s="70"/>
      <c r="FE1" s="70"/>
      <c r="FF1" s="70"/>
      <c r="FG1" s="70"/>
      <c r="FH1" s="70"/>
      <c r="FI1" s="70"/>
      <c r="FK1" s="70"/>
      <c r="FL1" s="70"/>
      <c r="FM1" s="70"/>
      <c r="FN1" s="70"/>
      <c r="FO1" s="70"/>
      <c r="FP1" s="70"/>
      <c r="FQ1" s="1" t="s">
        <v>546</v>
      </c>
      <c r="FR1" s="70"/>
      <c r="FS1" s="70"/>
      <c r="FT1" s="70"/>
      <c r="FU1" s="70"/>
      <c r="FV1" s="70"/>
      <c r="FW1" s="70"/>
      <c r="FX1" s="1" t="s">
        <v>545</v>
      </c>
      <c r="FY1" s="70"/>
      <c r="FZ1" s="70"/>
      <c r="GA1" s="70"/>
      <c r="GB1" s="70"/>
      <c r="GC1" s="70"/>
      <c r="GD1" s="70"/>
      <c r="GE1" s="70"/>
      <c r="GF1" s="70"/>
      <c r="GG1" s="70"/>
      <c r="GI1" s="53"/>
      <c r="GJ1" s="70" t="s">
        <v>3</v>
      </c>
      <c r="GK1" s="53" t="s">
        <v>289</v>
      </c>
      <c r="GL1" s="70"/>
      <c r="GM1" s="70"/>
      <c r="GN1" s="70"/>
      <c r="GO1" s="70"/>
      <c r="GP1" s="70"/>
      <c r="GQ1" s="70"/>
      <c r="GR1" s="70"/>
      <c r="GS1" s="70"/>
      <c r="GT1" s="70"/>
      <c r="GU1" s="70"/>
      <c r="GV1" s="70"/>
      <c r="GW1" s="70" t="s">
        <v>17</v>
      </c>
      <c r="GX1" s="70" t="s">
        <v>150</v>
      </c>
      <c r="GY1" s="53" t="s">
        <v>334</v>
      </c>
      <c r="GZ1" s="70" t="s">
        <v>333</v>
      </c>
      <c r="HC1" s="53"/>
      <c r="HD1" s="70" t="s">
        <v>49</v>
      </c>
      <c r="HE1" s="53" t="s">
        <v>289</v>
      </c>
      <c r="HF1" s="70"/>
      <c r="HG1" s="70"/>
      <c r="HH1" s="70"/>
      <c r="HI1" s="70"/>
      <c r="HJ1" s="70"/>
      <c r="HK1" s="70"/>
      <c r="HL1" s="70"/>
      <c r="HM1" s="70"/>
      <c r="HN1" s="70"/>
      <c r="HO1" s="70"/>
      <c r="HP1" s="70"/>
      <c r="HQ1" s="70" t="s">
        <v>17</v>
      </c>
      <c r="HR1" s="70" t="s">
        <v>150</v>
      </c>
      <c r="HS1" s="53" t="s">
        <v>334</v>
      </c>
      <c r="HT1" s="70" t="s">
        <v>333</v>
      </c>
    </row>
    <row r="2" spans="1:228" x14ac:dyDescent="0.2">
      <c r="A2" s="68" t="s">
        <v>435</v>
      </c>
      <c r="BD2" s="100" t="s">
        <v>44</v>
      </c>
      <c r="BE2" s="108" t="b">
        <f>MATCH(BE9,Hypotesetype_Liste,0)=1</f>
        <v>1</v>
      </c>
      <c r="BF2" s="108" t="b">
        <f>MATCH(BF9,Hypotesetype_Liste,0)=1</f>
        <v>1</v>
      </c>
      <c r="BG2" s="108" t="b">
        <f>MATCH(BG9,Hypotesetype_Liste,0)=1</f>
        <v>1</v>
      </c>
      <c r="BH2" s="108" t="b">
        <f>MATCH(BH9,Hypotesetype_Liste,0)=1</f>
        <v>1</v>
      </c>
      <c r="BI2" s="108" t="b">
        <f>MATCH(BI9,Hypotesetype_Liste,0)=1</f>
        <v>0</v>
      </c>
      <c r="BS2" s="54"/>
      <c r="BT2" s="54" t="s">
        <v>297</v>
      </c>
      <c r="BU2" s="54" t="s">
        <v>17</v>
      </c>
      <c r="BV2" s="54" t="s">
        <v>128</v>
      </c>
      <c r="BW2" s="54" t="s">
        <v>130</v>
      </c>
      <c r="BX2" s="54" t="s">
        <v>142</v>
      </c>
      <c r="BY2" s="54" t="s">
        <v>143</v>
      </c>
      <c r="BZ2" s="54" t="s">
        <v>125</v>
      </c>
      <c r="CA2" s="54" t="s">
        <v>304</v>
      </c>
      <c r="CB2" s="54" t="s">
        <v>310</v>
      </c>
      <c r="CC2" s="54" t="s">
        <v>304</v>
      </c>
      <c r="CD2" s="54" t="s">
        <v>147</v>
      </c>
      <c r="CE2" s="54" t="s">
        <v>148</v>
      </c>
      <c r="CF2" s="54" t="s">
        <v>309</v>
      </c>
      <c r="CG2" s="60">
        <f>IFERROR(ROUND(INDEX(E_g_valg[Venstre position],E_g_aktiv)*BU3,0),-99)</f>
        <v>47</v>
      </c>
      <c r="CH2" s="71">
        <f>IFERROR(ROUND(INDEX(E_g_valg[Venstre position],E_g_aktiv)*BU3/2,0),-99)</f>
        <v>24</v>
      </c>
      <c r="CI2" s="60">
        <f>IF(CH2+1&lt;=0,1,IF(CH2+1&gt;=BU$3,BU$3,CH2+1))</f>
        <v>25</v>
      </c>
      <c r="CJ2" s="54">
        <f>IFERROR(INDEX(CD$10:CD$324,CI2+1),NA())</f>
        <v>1.7910804685522155E-2</v>
      </c>
      <c r="CK2" t="s">
        <v>503</v>
      </c>
      <c r="CL2" t="s">
        <v>347</v>
      </c>
      <c r="CM2" t="e" cm="1">
        <f t="array" ref="CM2">ROUND((INDEX(CU$3:CU$5,CK7)-BU5)/(BU7-BU5)*BU3,0)</f>
        <v>#N/A</v>
      </c>
      <c r="CN2" t="e">
        <f>MAX(0,CM2)</f>
        <v>#N/A</v>
      </c>
      <c r="CO2" t="e">
        <f>ROUND(CN2/2,0)+1</f>
        <v>#N/A</v>
      </c>
      <c r="CP2" t="e" cm="1">
        <f t="array" ref="CP2">INDEX(Eu_tabel_g[Styrke, aktiv],MAX(1,CN2))</f>
        <v>#N/A</v>
      </c>
      <c r="CT2" t="s">
        <v>520</v>
      </c>
      <c r="CU2" t="s">
        <v>513</v>
      </c>
      <c r="CV2" t="s">
        <v>514</v>
      </c>
      <c r="CX2" t="s">
        <v>522</v>
      </c>
      <c r="DG2" s="54"/>
      <c r="DH2" s="54" t="s">
        <v>297</v>
      </c>
      <c r="DI2" s="54" t="s">
        <v>17</v>
      </c>
      <c r="DJ2" s="54" t="s">
        <v>128</v>
      </c>
      <c r="DK2" s="54" t="s">
        <v>130</v>
      </c>
      <c r="DL2" s="54" t="s">
        <v>142</v>
      </c>
      <c r="DM2" s="54" t="s">
        <v>143</v>
      </c>
      <c r="DN2" s="54" t="s">
        <v>125</v>
      </c>
      <c r="DO2" s="54" t="s">
        <v>304</v>
      </c>
      <c r="DP2" s="54" t="s">
        <v>310</v>
      </c>
      <c r="DQ2" s="54" t="s">
        <v>304</v>
      </c>
      <c r="DR2" s="54" t="s">
        <v>147</v>
      </c>
      <c r="DS2" s="54" t="s">
        <v>148</v>
      </c>
      <c r="DT2" s="54" t="s">
        <v>309</v>
      </c>
      <c r="DU2" s="60">
        <f>IFERROR(ROUND(INDEX(E_s_valg[Venstre position],E_s_aktiv)*DI3,0),-99)</f>
        <v>17</v>
      </c>
      <c r="DV2" s="71">
        <f>IFERROR(ROUND(INDEX(E_s_valg[Venstre position],E_s_aktiv)*DI3/2,0),-99)</f>
        <v>9</v>
      </c>
      <c r="DW2" s="60">
        <f>IF(DV2+1&lt;=0,1,IF(DV2+1&gt;=DI$3,DI$3,DV2+1))</f>
        <v>10</v>
      </c>
      <c r="DX2" s="54">
        <f t="shared" ref="DX2:DX3" si="0">IFERROR(INDEX(DR$10:DR$324,DW2),NA())</f>
        <v>1.1437019773006292E-2</v>
      </c>
      <c r="DZ2" s="54"/>
      <c r="EA2" s="54" t="s">
        <v>297</v>
      </c>
      <c r="EB2" s="54" t="s">
        <v>17</v>
      </c>
      <c r="EC2" s="54" t="s">
        <v>128</v>
      </c>
      <c r="ED2" s="54" t="s">
        <v>130</v>
      </c>
      <c r="EE2" s="54" t="s">
        <v>142</v>
      </c>
      <c r="EF2" s="54" t="s">
        <v>143</v>
      </c>
      <c r="EG2" s="54" t="s">
        <v>125</v>
      </c>
      <c r="EH2" s="54" t="s">
        <v>304</v>
      </c>
      <c r="EI2" s="54" t="s">
        <v>310</v>
      </c>
      <c r="EJ2" s="54" t="s">
        <v>304</v>
      </c>
      <c r="EK2" s="54" t="s">
        <v>147</v>
      </c>
      <c r="EL2" s="54" t="s">
        <v>148</v>
      </c>
      <c r="EM2" s="54" t="s">
        <v>309</v>
      </c>
      <c r="EN2" s="60">
        <f>IFERROR(ROUND(INDEX(E_a_valg[Venstre position],E_a_aktiv)*EB3,0),-99)</f>
        <v>47</v>
      </c>
      <c r="EO2" s="71">
        <f>IFERROR(ROUND(INDEX(E_a_valg[Venstre position],E_a_aktiv)*EB3/2,0),-99)</f>
        <v>24</v>
      </c>
      <c r="EP2" s="60">
        <f>IF(EO2+1&lt;=0,1,IF(EO2+1&gt;=EB$3,EB$3,EO2+1))</f>
        <v>25</v>
      </c>
      <c r="EQ2" s="54">
        <f t="shared" ref="EQ2:EQ3" si="1">IFERROR(INDEX(EK$10:EK$324,EP2),NA())</f>
        <v>1.6868301418220717E-2</v>
      </c>
      <c r="ER2" s="161" t="s">
        <v>503</v>
      </c>
      <c r="ES2" s="161" t="s">
        <v>347</v>
      </c>
      <c r="ET2" s="162" t="e" cm="1">
        <f t="array" ref="ET2">ROUND((INDEX(EZ$3:EZ$5,ER7)-MIN(Eu_tabel_a[X base som procent]))/(MAX(Eu_tabel_a[X base som procent])-MIN(Eu_tabel_a[X base som procent]))*EB3,0)</f>
        <v>#N/A</v>
      </c>
      <c r="EU2" s="161" t="e">
        <f>MAX(0,ET2)</f>
        <v>#N/A</v>
      </c>
      <c r="EV2" s="161" t="e">
        <f>ROUND(EU2/2,0)+1</f>
        <v>#N/A</v>
      </c>
      <c r="EW2" s="161" t="e" cm="1">
        <f t="array" ref="EW2">INDEX(Eu_tabel_a[Styrke, aktiv],MAX(1,EU2))</f>
        <v>#N/A</v>
      </c>
      <c r="EX2" s="161"/>
      <c r="EY2" s="161" t="s">
        <v>520</v>
      </c>
      <c r="EZ2" s="161" t="s">
        <v>513</v>
      </c>
      <c r="FA2" s="161" t="s">
        <v>514</v>
      </c>
      <c r="FC2" s="161" t="s">
        <v>537</v>
      </c>
      <c r="FD2" s="161" t="s">
        <v>344</v>
      </c>
      <c r="FE2" s="161" t="s">
        <v>520</v>
      </c>
      <c r="FF2" s="161" t="s">
        <v>532</v>
      </c>
      <c r="FG2" s="161" t="s">
        <v>533</v>
      </c>
      <c r="FH2" s="161" t="s">
        <v>535</v>
      </c>
      <c r="FI2" s="161" t="s">
        <v>534</v>
      </c>
      <c r="FJ2" s="161" t="s">
        <v>536</v>
      </c>
      <c r="FK2" s="161" t="s">
        <v>344</v>
      </c>
      <c r="FL2" s="161" t="s">
        <v>520</v>
      </c>
      <c r="FM2" s="161" t="s">
        <v>532</v>
      </c>
      <c r="FN2" s="161" t="s">
        <v>533</v>
      </c>
      <c r="FO2" s="161" t="s">
        <v>535</v>
      </c>
      <c r="FP2" s="161" t="s">
        <v>534</v>
      </c>
      <c r="FQ2" s="161" t="s">
        <v>544</v>
      </c>
      <c r="FR2" s="161" t="s">
        <v>344</v>
      </c>
      <c r="FS2" s="161" t="s">
        <v>520</v>
      </c>
      <c r="FT2" s="161" t="s">
        <v>532</v>
      </c>
      <c r="FU2" s="161" t="s">
        <v>533</v>
      </c>
      <c r="FV2" s="161" t="s">
        <v>535</v>
      </c>
      <c r="FW2" s="161" t="s">
        <v>534</v>
      </c>
      <c r="FX2" s="161" t="s">
        <v>538</v>
      </c>
      <c r="FY2" s="161" t="s">
        <v>344</v>
      </c>
      <c r="FZ2" s="161" t="s">
        <v>520</v>
      </c>
      <c r="GA2" s="161" t="s">
        <v>532</v>
      </c>
      <c r="GB2" s="161" t="s">
        <v>533</v>
      </c>
      <c r="GC2" s="161" t="s">
        <v>535</v>
      </c>
      <c r="GD2" s="161" t="s">
        <v>534</v>
      </c>
      <c r="GE2" s="42" t="s">
        <v>542</v>
      </c>
      <c r="GF2" s="42" t="s">
        <v>543</v>
      </c>
      <c r="GG2" s="54"/>
      <c r="GI2" s="54"/>
      <c r="GJ2" s="54" t="s">
        <v>297</v>
      </c>
      <c r="GK2" s="54" t="s">
        <v>17</v>
      </c>
      <c r="GL2" s="54" t="s">
        <v>128</v>
      </c>
      <c r="GM2" s="54" t="s">
        <v>130</v>
      </c>
      <c r="GN2" s="54" t="s">
        <v>142</v>
      </c>
      <c r="GO2" s="54" t="s">
        <v>143</v>
      </c>
      <c r="GP2" s="54" t="s">
        <v>125</v>
      </c>
      <c r="GQ2" s="54" t="s">
        <v>304</v>
      </c>
      <c r="GR2" s="54" t="s">
        <v>310</v>
      </c>
      <c r="GS2" s="54" t="s">
        <v>304</v>
      </c>
      <c r="GT2" s="54" t="s">
        <v>147</v>
      </c>
      <c r="GU2" s="54" t="s">
        <v>148</v>
      </c>
      <c r="GV2" s="54" t="s">
        <v>309</v>
      </c>
      <c r="GW2" s="60">
        <f>IFERROR(ROUND(INDEX(E_i_valg[Venstre position],E_i_aktiv)*GK3,0),-99)</f>
        <v>47</v>
      </c>
      <c r="GX2" s="71">
        <f>IFERROR(ROUND(INDEX(E_i_valg[Venstre position],E_i_aktiv)*GK3/2,0),-99)</f>
        <v>24</v>
      </c>
      <c r="GY2" s="60">
        <f>IF(GX2+1&lt;=0,1,IF(GX2+1&gt;=GK$3,GK$3,GX2+1))</f>
        <v>25</v>
      </c>
      <c r="GZ2" s="54">
        <f t="shared" ref="GZ2:GZ3" si="2">IFERROR(INDEX(GT$10:GT$324,GY2),NA())</f>
        <v>1.6868301418220717E-2</v>
      </c>
      <c r="HC2" s="54"/>
      <c r="HD2" s="54" t="s">
        <v>297</v>
      </c>
      <c r="HE2" s="54" t="s">
        <v>17</v>
      </c>
      <c r="HF2" s="54" t="s">
        <v>128</v>
      </c>
      <c r="HG2" s="54" t="s">
        <v>130</v>
      </c>
      <c r="HH2" s="54" t="s">
        <v>142</v>
      </c>
      <c r="HI2" s="54" t="s">
        <v>143</v>
      </c>
      <c r="HJ2" s="54" t="s">
        <v>125</v>
      </c>
      <c r="HK2" s="54" t="s">
        <v>304</v>
      </c>
      <c r="HL2" s="54" t="s">
        <v>310</v>
      </c>
      <c r="HM2" s="54" t="s">
        <v>304</v>
      </c>
      <c r="HN2" s="54" t="s">
        <v>147</v>
      </c>
      <c r="HO2" s="54" t="s">
        <v>148</v>
      </c>
      <c r="HP2" s="54" t="s">
        <v>309</v>
      </c>
      <c r="HQ2" s="60" cm="1">
        <f t="array" ref="HQ2">IFERROR(ROUND(_xlfn.SINGLE(INDEX(E_k_valg[Venstre position],E_k_aktiv))*HE3,0),-99)</f>
        <v>175</v>
      </c>
      <c r="HR2" s="71" cm="1">
        <f t="array" ref="HR2">IFERROR(ROUND(_xlfn.SINGLE(INDEX(E_k_valg[Venstre position],E_k_aktiv))*HE3/2,0),-99)</f>
        <v>87</v>
      </c>
      <c r="HS2" s="60">
        <f>IF(HR2+1&lt;=0,1,IF(HR2+1&gt;=HE$3,HE$3,HR2+1))</f>
        <v>88</v>
      </c>
      <c r="HT2" s="54">
        <f t="shared" ref="HT2:HT3" si="3">IFERROR(INDEX(HN$10:HN$324,HS2),NA())</f>
        <v>0.11702574379435818</v>
      </c>
    </row>
    <row r="3" spans="1:228" x14ac:dyDescent="0.2">
      <c r="BD3" s="100" t="s">
        <v>445</v>
      </c>
      <c r="BE3" s="108" t="b">
        <f>AND(NOT(BE4),NOT(BE2))</f>
        <v>0</v>
      </c>
      <c r="BF3" s="108" t="b">
        <f>AND(NOT(BF4),NOT(BF2))</f>
        <v>0</v>
      </c>
      <c r="BG3" s="108" t="b">
        <f t="shared" ref="BG3:BH3" si="4">AND(NOT(BG4),NOT(BG2))</f>
        <v>0</v>
      </c>
      <c r="BH3" s="108" t="b">
        <f t="shared" si="4"/>
        <v>0</v>
      </c>
      <c r="BI3" s="108" t="b">
        <f t="shared" ref="BI3" si="5">AND(NOT(BI4),NOT(BI2))</f>
        <v>1</v>
      </c>
      <c r="BS3" s="54"/>
      <c r="BT3" s="54"/>
      <c r="BU3" s="60">
        <f>MAX(Eu_tabel_g[Indeks])</f>
        <v>258</v>
      </c>
      <c r="BV3" s="60" t="b">
        <f>INDEX(E_g_valg[Fordeling],E_g_aktiv)=BV2</f>
        <v>1</v>
      </c>
      <c r="BW3" s="60" t="b">
        <f>INDEX(E_g_valg[Fordeling],E_g_aktiv)=BW2</f>
        <v>0</v>
      </c>
      <c r="BX3" s="60" t="b">
        <f>INDEX(E_g_valg[Fordeling],E_g_aktiv)=BX2</f>
        <v>0</v>
      </c>
      <c r="BY3" s="60" t="b">
        <f>INDEX(E_g_valg[Fordeling],E_g_aktiv)=BY2</f>
        <v>0</v>
      </c>
      <c r="BZ3" s="60">
        <f>INDEX(E_g_valg[Teststørrelse],E_g_aktiv)</f>
        <v>-1.9599639845400536</v>
      </c>
      <c r="CA3" s="60" t="str">
        <f>INDEX(E_g_valg[Hypotese],E_g_aktiv)</f>
        <v>Konfidensinterval</v>
      </c>
      <c r="CB3" s="60">
        <f>INDEX(E_g_valg[Venstre teststørrelse],E_g_aktiv)</f>
        <v>-1.9599639845400536</v>
      </c>
      <c r="CC3" s="54" t="s">
        <v>44</v>
      </c>
      <c r="CD3" s="54" t="str">
        <f>CB9</f>
        <v>Forskellig fra teststørrelse</v>
      </c>
      <c r="CE3" s="54" t="str">
        <f>CC9</f>
        <v>Lig med teststørrelse</v>
      </c>
      <c r="CF3" s="54" t="s">
        <v>320</v>
      </c>
      <c r="CG3" s="60">
        <f>IFERROR(ROUND(INDEX(E_g_valg[Midtpunkt position],E_g_aktiv)*BU3,0),-99)</f>
        <v>129</v>
      </c>
      <c r="CH3" s="71">
        <f>IFERROR(ROUND(INDEX(E_g_valg[Midtpunkt position],E_g_aktiv)*BU3,0),-99)</f>
        <v>129</v>
      </c>
      <c r="CI3" s="60">
        <f>IF(CH3+1&lt;=0,1,IF(CH3+1&gt;=BU$3,BU$3,CH3+1))</f>
        <v>130</v>
      </c>
      <c r="CJ3" s="54">
        <f t="shared" ref="CJ3" si="6">IFERROR(INDEX(CD$10:CD$324,CI3),NA())</f>
        <v>0.3989422804014327</v>
      </c>
      <c r="CK3" t="b">
        <f>IFERROR(AND(CA5="Normalfordeling",OR(CL5="Venstresidet hypotese om værdi",CL5="Højresidet hypotese om værdi",CL5="Tosidet hypotese om værdi")),FALSE)</f>
        <v>0</v>
      </c>
      <c r="CL3" t="s">
        <v>364</v>
      </c>
      <c r="CM3">
        <f>CG3</f>
        <v>129</v>
      </c>
      <c r="CN3">
        <f>CM3</f>
        <v>129</v>
      </c>
      <c r="CO3">
        <f>CN3+1</f>
        <v>130</v>
      </c>
      <c r="CP3" t="e" cm="1">
        <f t="array" ref="CP3">INDEX(Eu_tabel_g[Styrke, aktiv],MAX(1,CN3))</f>
        <v>#N/A</v>
      </c>
      <c r="CS3" t="s">
        <v>347</v>
      </c>
      <c r="CT3" s="158">
        <f>$B$67</f>
        <v>0.8</v>
      </c>
      <c r="CU3" s="5">
        <f>_xlfn.NORM.INV(1-Eu_g_konfidensniveau,0,1)-_xlfn.NORM.INV(CT3,0,1)</f>
        <v>-2.4864748605243863</v>
      </c>
      <c r="CV3" t="e">
        <f>NA()</f>
        <v>#N/A</v>
      </c>
      <c r="CX3">
        <f>B68/(CL7/SQRT(B69))</f>
        <v>2.3218739212273629</v>
      </c>
      <c r="DG3" s="54"/>
      <c r="DH3" s="54"/>
      <c r="DI3" s="60">
        <f>MAX(Eu_tabel_s[Indeks])</f>
        <v>258</v>
      </c>
      <c r="DJ3" s="60" t="b">
        <f>INDEX(E_s_valg[Fordeling],E_s_aktiv)=DJ2</f>
        <v>0</v>
      </c>
      <c r="DK3" s="60" t="b">
        <f>INDEX(E_s_valg[Fordeling],E_s_aktiv)=DK2</f>
        <v>0</v>
      </c>
      <c r="DL3" s="60" t="b">
        <f>INDEX(E_s_valg[Fordeling],E_s_aktiv)=DL2</f>
        <v>1</v>
      </c>
      <c r="DM3" s="60" t="b">
        <f>INDEX(E_s_valg[Fordeling],E_s_aktiv)=DM2</f>
        <v>0</v>
      </c>
      <c r="DN3" s="60">
        <f>INDEX(E_s_valg[Teststørrelse],E_s_aktiv)</f>
        <v>3.8157482522360993</v>
      </c>
      <c r="DO3" s="60" t="str">
        <f>INDEX(E_s_valg[Hypotese],E_s_aktiv)</f>
        <v>Konfidensinterval</v>
      </c>
      <c r="DP3" s="60">
        <f>INDEX(E_s_valg[Venstre teststørrelse],E_s_aktiv)</f>
        <v>3.8157482522360993</v>
      </c>
      <c r="DQ3" s="54" t="s">
        <v>44</v>
      </c>
      <c r="DR3" s="54" t="str">
        <f>DP9</f>
        <v>Forskellig fra teststørrelse</v>
      </c>
      <c r="DS3" s="54" t="str">
        <f>DQ9</f>
        <v>Lig med teststørrelse</v>
      </c>
      <c r="DT3" s="54" t="s">
        <v>320</v>
      </c>
      <c r="DU3" s="60">
        <f>IFERROR(ROUND(INDEX(E_s_valg[Midtpunkt position],E_s_aktiv)*DI3,0),-99)</f>
        <v>75</v>
      </c>
      <c r="DV3" s="71">
        <f>IFERROR(ROUND(INDEX(E_s_valg[Midtpunkt position],E_s_aktiv)*DI3,0),-99)</f>
        <v>75</v>
      </c>
      <c r="DW3" s="60">
        <f>IF(DV3+1&lt;=0,1,IF(DV3+1&gt;=DI$3,DI$3,DV3+1))</f>
        <v>76</v>
      </c>
      <c r="DX3" s="54">
        <f t="shared" si="0"/>
        <v>8.7925041836716789E-2</v>
      </c>
      <c r="DZ3" s="54"/>
      <c r="EA3" s="54"/>
      <c r="EB3" s="60">
        <f>MAX(Eu_tabel_a[Indeks])</f>
        <v>258</v>
      </c>
      <c r="EC3" s="60" t="b">
        <f>INDEX(E_a_valg[Fordeling],E_a_aktiv)=EC2</f>
        <v>1</v>
      </c>
      <c r="ED3" s="60" t="b">
        <f>INDEX(E_a_valg[Fordeling],E_a_aktiv)=ED2</f>
        <v>0</v>
      </c>
      <c r="EE3" s="60" t="b">
        <f>INDEX(E_a_valg[Fordeling],E_a_aktiv)=EE2</f>
        <v>0</v>
      </c>
      <c r="EF3" s="60" t="b">
        <f>INDEX(E_a_valg[Fordeling],E_a_aktiv)=EF2</f>
        <v>0</v>
      </c>
      <c r="EG3" s="60">
        <f>INDEX(E_a_valg[Teststørrelse],E_a_aktiv)</f>
        <v>-1.9599639845400536</v>
      </c>
      <c r="EH3" s="60" t="str">
        <f>INDEX(E_a_valg[Hypotese],E_a_aktiv)</f>
        <v>Konfidensinterval</v>
      </c>
      <c r="EI3" s="60">
        <f>INDEX(E_a_valg[Venstre teststørrelse],E_a_aktiv)</f>
        <v>-1.9599639845400536</v>
      </c>
      <c r="EJ3" s="54" t="s">
        <v>44</v>
      </c>
      <c r="EK3" s="54" t="str">
        <f>EI9</f>
        <v>Forskellig fra teststørrelse</v>
      </c>
      <c r="EL3" s="54" t="str">
        <f>EJ9</f>
        <v>Lig med teststørrelse</v>
      </c>
      <c r="EM3" s="54" t="s">
        <v>320</v>
      </c>
      <c r="EN3" s="60">
        <f>IFERROR(ROUND(INDEX(E_a_valg[Midtpunkt position],E_a_aktiv)*EB3,0),-99)</f>
        <v>129</v>
      </c>
      <c r="EO3" s="71">
        <f>IFERROR(ROUND(INDEX(E_a_valg[Midtpunkt position],E_a_aktiv)*EB3,0),-99)</f>
        <v>129</v>
      </c>
      <c r="EP3" s="60">
        <f>IF(EO3+1&lt;=0,1,IF(EO3+1&gt;=EB$3,EB$3,EO3+1))</f>
        <v>130</v>
      </c>
      <c r="EQ3" s="54">
        <f t="shared" si="1"/>
        <v>0.3989422804014327</v>
      </c>
      <c r="ER3" s="161" t="b">
        <f>IFERROR(AND(EH5="Normalfordeling",OR(ES5="Venstresidet hypotese om værdi",ES5="Højresidet hypotese om værdi",ES5="Tosidet hypotese om værdi")),FALSE)</f>
        <v>0</v>
      </c>
      <c r="ES3" s="161" t="s">
        <v>364</v>
      </c>
      <c r="ET3" s="161">
        <f>EN3</f>
        <v>129</v>
      </c>
      <c r="EU3" s="161">
        <f>ET3</f>
        <v>129</v>
      </c>
      <c r="EV3" s="161">
        <f>EU3+1</f>
        <v>130</v>
      </c>
      <c r="EW3" s="161" t="e" cm="1">
        <f t="array" ref="EW3">INDEX(Eu_tabel_a[Styrke, aktiv],EV3)</f>
        <v>#N/A</v>
      </c>
      <c r="EX3" s="161" t="s">
        <v>347</v>
      </c>
      <c r="EY3" s="165">
        <f>$P$67</f>
        <v>0.99</v>
      </c>
      <c r="EZ3" s="166" t="e" cm="1">
        <f t="array" ref="EZ3">IF(_xlfn.AGGREGATE(4,6,FC$6:FC$268)=0,NA(),INDEX(FD6:FD268,_xlfn.AGGREGATE(4,6,FC$6:FC$268)))</f>
        <v>#N/A</v>
      </c>
      <c r="FA3" s="161" t="e">
        <f>NA()</f>
        <v>#N/A</v>
      </c>
      <c r="FC3" t="s">
        <v>531</v>
      </c>
      <c r="FD3">
        <f>_xlfn.IFNA(MIN(EB3,MATCH(EY3,Eu_tabel_a[Styrke venstre],-1)),1)</f>
        <v>1</v>
      </c>
      <c r="FJ3" t="s">
        <v>531</v>
      </c>
      <c r="FK3">
        <f>_xlfn.IFNA(MIN(EB3,MATCH(EY4,Eu_tabel_a[Styrke højre],1)),1)</f>
        <v>1</v>
      </c>
      <c r="FQ3" t="s">
        <v>531</v>
      </c>
      <c r="FR3" t="e">
        <f>IF(GE3,GE4,_xlfn.IFNA(MIN($EB$3,MATCH($P$67,Eu_tabel_a[Styrke tosidet],-1)),1))</f>
        <v>#N/A</v>
      </c>
      <c r="FX3" t="s">
        <v>531</v>
      </c>
      <c r="FY3" t="e">
        <f>IF(GF3,GF4,_xlfn.IFNA(MIN($EB$3,MATCH($P$67,Eu_tabel_a[Styrke tosidet],1)),1))</f>
        <v>#N/A</v>
      </c>
      <c r="GE3" s="42" t="e">
        <f>ER10=0</f>
        <v>#N/A</v>
      </c>
      <c r="GF3" s="42" t="e">
        <f>ER268=0</f>
        <v>#N/A</v>
      </c>
      <c r="GG3" s="54"/>
      <c r="GI3" s="54"/>
      <c r="GJ3" s="54"/>
      <c r="GK3" s="60">
        <f>MAX(Eu_tabel_i[Indeks])</f>
        <v>258</v>
      </c>
      <c r="GL3" s="60" t="b">
        <f>INDEX(E_i_valg[Fordeling],E_i_aktiv)=GL2</f>
        <v>1</v>
      </c>
      <c r="GM3" s="60" t="b">
        <f>INDEX(E_i_valg[Fordeling],E_i_aktiv)=GM2</f>
        <v>0</v>
      </c>
      <c r="GN3" s="60" t="b">
        <f>INDEX(E_i_valg[Fordeling],E_i_aktiv)=GN2</f>
        <v>0</v>
      </c>
      <c r="GO3" s="60" t="b">
        <f>INDEX(E_i_valg[Fordeling],E_i_aktiv)=GO2</f>
        <v>0</v>
      </c>
      <c r="GP3" s="60">
        <f>INDEX(E_i_valg[Teststørrelse],E_i_aktiv)</f>
        <v>-1.9599639845400536</v>
      </c>
      <c r="GQ3" s="60" t="str">
        <f>INDEX(E_i_valg[Hypotese],E_i_aktiv)</f>
        <v>Konfidensinterval</v>
      </c>
      <c r="GR3" s="60">
        <f>INDEX(E_i_valg[Venstre teststørrelse],E_i_aktiv)</f>
        <v>-1.9599639845400536</v>
      </c>
      <c r="GS3" s="54" t="s">
        <v>44</v>
      </c>
      <c r="GT3" s="54" t="str">
        <f>GR9</f>
        <v>Forskellig fra teststørrelse</v>
      </c>
      <c r="GU3" s="54" t="str">
        <f>GS9</f>
        <v>Lig med teststørrelse</v>
      </c>
      <c r="GV3" s="54" t="s">
        <v>320</v>
      </c>
      <c r="GW3" s="60">
        <f>IFERROR(ROUND(INDEX(E_i_valg[Midtpunkt position],E_i_aktiv)*GK3,0),-99)</f>
        <v>129</v>
      </c>
      <c r="GX3" s="71">
        <f>IFERROR(ROUND(INDEX(E_i_valg[Midtpunkt position],E_i_aktiv)*GK3,0),-99)</f>
        <v>129</v>
      </c>
      <c r="GY3" s="60">
        <f>IF(GX3+1&lt;=0,1,IF(GX3+1&gt;=GK$3,GK$3,GX3+1))</f>
        <v>130</v>
      </c>
      <c r="GZ3" s="54">
        <f t="shared" si="2"/>
        <v>0.3989422804014327</v>
      </c>
      <c r="HC3" s="54"/>
      <c r="HD3" s="54"/>
      <c r="HE3" s="60">
        <f>MAX(Eu_tabel_k[Indeks])</f>
        <v>258</v>
      </c>
      <c r="HF3" s="60" t="b" cm="1">
        <f t="array" ref="HF3">_xlfn.SINGLE(INDEX(E_k_valg[Fordeling],E_k_aktiv))=HF2</f>
        <v>0</v>
      </c>
      <c r="HG3" s="60" t="b" cm="1">
        <f t="array" ref="HG3">_xlfn.SINGLE(INDEX(E_k_valg[Fordeling],E_k_aktiv))=HG2</f>
        <v>1</v>
      </c>
      <c r="HH3" s="60" t="b" cm="1">
        <f t="array" ref="HH3">_xlfn.SINGLE(INDEX(E_k_valg[Fordeling],E_k_aktiv))=HH2</f>
        <v>0</v>
      </c>
      <c r="HI3" s="60" t="b" cm="1">
        <f t="array" ref="HI3">_xlfn.SINGLE(INDEX(E_k_valg[Fordeling],E_k_aktiv))=HI2</f>
        <v>0</v>
      </c>
      <c r="HJ3" s="60" cm="1">
        <f t="array" ref="HJ3">_xlfn.SINGLE(INDEX(E_k_valg[Teststørrelse],E_k_aktiv))</f>
        <v>1.7059050335879198</v>
      </c>
      <c r="HK3" s="60" t="str" cm="1">
        <f t="array" ref="HK3">_xlfn.SINGLE(INDEX(E_k_valg[Hypotese],E_k_aktiv))</f>
        <v>Venstresidet</v>
      </c>
      <c r="HL3" s="60" cm="1">
        <f t="array" ref="HL3">_xlfn.SINGLE(INDEX(E_k_valg[Venstre teststørrelse],E_k_aktiv))</f>
        <v>-1.7059050335879198</v>
      </c>
      <c r="HM3" s="54" t="s">
        <v>44</v>
      </c>
      <c r="HN3" s="54" t="str">
        <f>HL9</f>
        <v>Forskellig fra teststørrelse</v>
      </c>
      <c r="HO3" s="54" t="str">
        <f>HM9</f>
        <v>Lig med teststørrelse</v>
      </c>
      <c r="HP3" s="54" t="s">
        <v>320</v>
      </c>
      <c r="HQ3" s="60" cm="1">
        <f t="array" ref="HQ3">IFERROR(ROUND(_xlfn.SINGLE(INDEX(E_k_valg[Midtpunkt position],E_k_aktiv))*HE3,0),-99)</f>
        <v>129</v>
      </c>
      <c r="HR3" s="71" cm="1">
        <f t="array" ref="HR3">IFERROR(ROUND(_xlfn.SINGLE(INDEX(E_k_valg[Midtpunkt position],E_k_aktiv))*HE3,0),-99)</f>
        <v>129</v>
      </c>
      <c r="HS3" s="60">
        <f>IF(HR3+1&lt;=0,1,IF(HR3+1&gt;=HE$3,HE$3,HR3+1))</f>
        <v>130</v>
      </c>
      <c r="HT3" s="54">
        <f t="shared" si="3"/>
        <v>0.38499145083226738</v>
      </c>
    </row>
    <row r="4" spans="1:228" x14ac:dyDescent="0.2">
      <c r="A4" s="3" t="s">
        <v>436</v>
      </c>
      <c r="H4" s="3" t="s">
        <v>452</v>
      </c>
      <c r="O4" s="3" t="s">
        <v>462</v>
      </c>
      <c r="V4" s="3" t="s">
        <v>465</v>
      </c>
      <c r="AC4" s="3" t="s">
        <v>470</v>
      </c>
      <c r="BD4" s="100" t="s">
        <v>444</v>
      </c>
      <c r="BE4" s="108" t="b">
        <f>MATCH(BE9,Hypotesetype_Liste,0)&gt;=5</f>
        <v>0</v>
      </c>
      <c r="BF4" s="108" t="b">
        <f>MATCH(BF9,Hypotesetype_Liste,0)&gt;=5</f>
        <v>0</v>
      </c>
      <c r="BG4" s="108" t="b">
        <f>MATCH(BG9,Hypotesetype_Liste,0)&gt;=5</f>
        <v>0</v>
      </c>
      <c r="BH4" s="108" t="b">
        <f>MATCH(BH9,Hypotesetype_Liste,0)&gt;=5</f>
        <v>0</v>
      </c>
      <c r="BI4" s="108" t="b">
        <f>MATCH(BI9,Hypotesetype_Liste,0)&gt;=5</f>
        <v>0</v>
      </c>
      <c r="BS4" s="54"/>
      <c r="BT4" s="54" t="s">
        <v>291</v>
      </c>
      <c r="BU4" s="54" t="s">
        <v>30</v>
      </c>
      <c r="BV4" s="54" t="s">
        <v>0</v>
      </c>
      <c r="BW4" s="54" t="s">
        <v>129</v>
      </c>
      <c r="BX4" s="54" t="s">
        <v>129</v>
      </c>
      <c r="BY4" s="54" t="s">
        <v>293</v>
      </c>
      <c r="BZ4" s="54"/>
      <c r="CA4" s="54" t="s">
        <v>149</v>
      </c>
      <c r="CB4" s="54" t="s">
        <v>311</v>
      </c>
      <c r="CC4" s="54" t="s">
        <v>302</v>
      </c>
      <c r="CD4" s="54" t="str">
        <f>BZ9</f>
        <v>Mindre end teststørrelse</v>
      </c>
      <c r="CE4" s="54" t="str">
        <f>CA9</f>
        <v>Større end teststørrelse</v>
      </c>
      <c r="CF4" s="54" t="s">
        <v>318</v>
      </c>
      <c r="CG4" s="60">
        <f>IFERROR(ROUND(INDEX(E_g_valg[Højre position],E_g_aktiv)*BU3,0),-99)</f>
        <v>211</v>
      </c>
      <c r="CH4" s="71">
        <f>IFERROR(ROUND((1-(1-INDEX(E_g_valg[Højre position],E_g_aktiv))/2)*BU3,0),-99)</f>
        <v>234</v>
      </c>
      <c r="CI4" s="60">
        <f>IF(CH4+1&lt;=0,1,IF(CH4+1&gt;=BU$3,BU$3,CH4+1))</f>
        <v>235</v>
      </c>
      <c r="CJ4" s="54">
        <f>IFERROR(INDEX(CD$10:CD$324,CI4),NA())</f>
        <v>1.6868301418220717E-2</v>
      </c>
      <c r="CK4" t="s">
        <v>145</v>
      </c>
      <c r="CL4" t="s">
        <v>348</v>
      </c>
      <c r="CM4" t="e" cm="1">
        <f t="array" ref="CM4">ROUND((INDEX(CV$3:CV$5,CK7)-BU5)/(BU7-BU5)*BU3,0)</f>
        <v>#N/A</v>
      </c>
      <c r="CN4" t="e">
        <f>MIN(BU3,CM4)</f>
        <v>#N/A</v>
      </c>
      <c r="CO4" t="e">
        <f>BU3-ROUND((BU3-CN4)/2,0)+1</f>
        <v>#N/A</v>
      </c>
      <c r="CP4" t="e" cm="1">
        <f t="array" ref="CP4">INDEX(Eu_tabel_g[Styrke, aktiv],MAX(1,CN4))</f>
        <v>#N/A</v>
      </c>
      <c r="CS4" t="s">
        <v>348</v>
      </c>
      <c r="CT4" s="158">
        <f>$B$67</f>
        <v>0.8</v>
      </c>
      <c r="CU4" t="e">
        <f>NA()</f>
        <v>#N/A</v>
      </c>
      <c r="CV4" s="5">
        <f>_xlfn.NORM.INV(Eu_g_konfidensniveau,0,1)-NORMINV(1-CT4,0,1)</f>
        <v>2.4864748605243863</v>
      </c>
      <c r="DG4" s="54"/>
      <c r="DH4" s="54" t="s">
        <v>291</v>
      </c>
      <c r="DI4" s="54" t="s">
        <v>30</v>
      </c>
      <c r="DJ4" s="54" t="s">
        <v>0</v>
      </c>
      <c r="DK4" s="54" t="s">
        <v>129</v>
      </c>
      <c r="DL4" s="54" t="s">
        <v>129</v>
      </c>
      <c r="DM4" s="54" t="s">
        <v>293</v>
      </c>
      <c r="DN4" s="54"/>
      <c r="DO4" s="54" t="s">
        <v>149</v>
      </c>
      <c r="DP4" s="54" t="s">
        <v>311</v>
      </c>
      <c r="DQ4" s="54" t="s">
        <v>302</v>
      </c>
      <c r="DR4" s="54" t="str">
        <f>DN9</f>
        <v>Mindre end teststørrelse</v>
      </c>
      <c r="DS4" s="54" t="str">
        <f>DO9</f>
        <v>Større end teststørrelse</v>
      </c>
      <c r="DT4" s="54" t="s">
        <v>318</v>
      </c>
      <c r="DU4" s="60">
        <f>IFERROR(ROUND(INDEX(E_s_valg[Højre position],E_s_aktiv)*DI3,0),-99)</f>
        <v>176</v>
      </c>
      <c r="DV4" s="71">
        <f>IFERROR(ROUND((1-(1-INDEX(E_s_valg[Højre position],E_s_aktiv))/2)*DI3,0),-99)</f>
        <v>217</v>
      </c>
      <c r="DW4" s="60">
        <f>IF(DV4+1&lt;=0,1,IF(DV4+1&gt;=DI$3,DI$3,DV4+1))</f>
        <v>218</v>
      </c>
      <c r="DX4" s="54">
        <f>IFERROR(INDEX(DR$10:DR$324,DW4),NA())</f>
        <v>1.8330054204685668E-3</v>
      </c>
      <c r="DZ4" s="54"/>
      <c r="EA4" s="54" t="s">
        <v>291</v>
      </c>
      <c r="EB4" s="54" t="s">
        <v>30</v>
      </c>
      <c r="EC4" s="54" t="s">
        <v>0</v>
      </c>
      <c r="ED4" s="54" t="s">
        <v>129</v>
      </c>
      <c r="EE4" s="54" t="s">
        <v>129</v>
      </c>
      <c r="EF4" s="54" t="s">
        <v>293</v>
      </c>
      <c r="EG4" s="54"/>
      <c r="EH4" s="54" t="s">
        <v>149</v>
      </c>
      <c r="EI4" s="54" t="s">
        <v>311</v>
      </c>
      <c r="EJ4" s="54" t="s">
        <v>302</v>
      </c>
      <c r="EK4" s="54" t="str">
        <f>EG9</f>
        <v>Mindre end teststørrelse</v>
      </c>
      <c r="EL4" s="54" t="str">
        <f>EH9</f>
        <v>Større end teststørrelse</v>
      </c>
      <c r="EM4" s="54" t="s">
        <v>318</v>
      </c>
      <c r="EN4" s="60">
        <f>IFERROR(ROUND(INDEX(E_a_valg[Højre position],E_a_aktiv)*EB3,0),-99)</f>
        <v>211</v>
      </c>
      <c r="EO4" s="71">
        <f>IFERROR(ROUND((1-(1-INDEX(E_a_valg[Højre position],E_a_aktiv))/2)*EB3,0),-99)</f>
        <v>234</v>
      </c>
      <c r="EP4" s="60">
        <f>IF(EO4+1&lt;=0,1,IF(EO4+1&gt;=EB$3,EB$3,EO4+1))</f>
        <v>235</v>
      </c>
      <c r="EQ4" s="54">
        <f>IFERROR(INDEX(EK$10:EK$324,EP4),NA())</f>
        <v>1.6868301418220717E-2</v>
      </c>
      <c r="ER4" s="161" t="s">
        <v>145</v>
      </c>
      <c r="ES4" s="161" t="s">
        <v>348</v>
      </c>
      <c r="ET4" s="161" t="e" cm="1">
        <f t="array" ref="ET4">ROUND((INDEX(FA$3:FA$5,ER7)-MIN(Eu_tabel_a[X base som procent]))/(MAX(Eu_tabel_a[X base som procent])-MIN(Eu_tabel_a[X base som procent]))*EB3,0)</f>
        <v>#N/A</v>
      </c>
      <c r="EU4" s="161" t="e">
        <f>MIN(EB3,ET4)</f>
        <v>#N/A</v>
      </c>
      <c r="EV4" s="161" t="e">
        <f>EB3-ROUND((EB3-EU4)/2,0)+1</f>
        <v>#N/A</v>
      </c>
      <c r="EW4" s="161" t="e" cm="1">
        <f t="array" ref="EW4">INDEX(Eu_tabel_a[Styrke, aktiv],MAX(1,EU4))</f>
        <v>#N/A</v>
      </c>
      <c r="EX4" s="161" t="s">
        <v>348</v>
      </c>
      <c r="EY4" s="165">
        <f>$P$67</f>
        <v>0.99</v>
      </c>
      <c r="EZ4" s="161" t="e">
        <f>NA()</f>
        <v>#N/A</v>
      </c>
      <c r="FA4" s="166" t="e" cm="1" vm="1">
        <f t="array" aca="1" ref="FA4" ca="1">INDEX(FK6:FK268,_xlfn.AGGREGATE(4,6,FJ$6:FJ$268))</f>
        <v>#VALUE!</v>
      </c>
      <c r="FC4" s="161" t="s">
        <v>529</v>
      </c>
      <c r="FD4" s="161" cm="1">
        <f t="array" ref="FD4">INDEX(Eu_tabel_a[X base som procent],FD3)</f>
        <v>0</v>
      </c>
      <c r="FE4" s="167" t="e" cm="1">
        <f t="array" ref="FE4">INDEX(Eu_tabel_a[Styrke venstre],FD3)</f>
        <v>#DIV/0!</v>
      </c>
      <c r="FJ4" s="161" t="s">
        <v>529</v>
      </c>
      <c r="FK4" s="161" cm="1">
        <f t="array" ref="FK4">INDEX(Eu_tabel_a[X base som procent],FK3)</f>
        <v>0</v>
      </c>
      <c r="FL4" s="167" t="e" cm="1">
        <f t="array" ref="FL4">INDEX(Eu_tabel_a[Styrke højre],FK3)</f>
        <v>#DIV/0!</v>
      </c>
      <c r="FQ4" s="161" t="s">
        <v>529</v>
      </c>
      <c r="FR4" s="161" t="e" cm="1">
        <f t="array" ref="FR4">INDEX(Eu_tabel_a[X base som procent],FR3)</f>
        <v>#N/A</v>
      </c>
      <c r="FS4" s="167" t="e" cm="1">
        <f t="array" ref="FS4">INDEX(Eu_tabel_a[Styrke tosidet],FR3)</f>
        <v>#N/A</v>
      </c>
      <c r="FX4" s="161" t="s">
        <v>529</v>
      </c>
      <c r="FY4" s="161" t="e" cm="1">
        <f t="array" ref="FY4">INDEX(Eu_tabel_a[X base som procent],FY3)</f>
        <v>#N/A</v>
      </c>
      <c r="FZ4" s="167" t="e" cm="1">
        <f t="array" ref="FZ4">INDEX(Eu_tabel_a[Styrke tosidet],FY3)</f>
        <v>#N/A</v>
      </c>
      <c r="GE4" t="e" cm="1">
        <f t="array" ref="GE4">MATCH(TRUE,Eu_tabel_a[Styrke, aktiv]&lt;&gt;0,0)</f>
        <v>#N/A</v>
      </c>
      <c r="GF4" t="e">
        <f>MATCH(0,Eu_tabel_a[Styrke, aktiv],0)-2</f>
        <v>#N/A</v>
      </c>
      <c r="GG4" s="54"/>
      <c r="GI4" s="54"/>
      <c r="GJ4" s="54" t="s">
        <v>291</v>
      </c>
      <c r="GK4" s="54" t="s">
        <v>30</v>
      </c>
      <c r="GL4" s="54" t="s">
        <v>0</v>
      </c>
      <c r="GM4" s="54" t="s">
        <v>129</v>
      </c>
      <c r="GN4" s="54" t="s">
        <v>129</v>
      </c>
      <c r="GO4" s="54" t="s">
        <v>293</v>
      </c>
      <c r="GP4" s="54"/>
      <c r="GQ4" s="54" t="s">
        <v>149</v>
      </c>
      <c r="GR4" s="54" t="s">
        <v>311</v>
      </c>
      <c r="GS4" s="54" t="s">
        <v>302</v>
      </c>
      <c r="GT4" s="54" t="str">
        <f>GP9</f>
        <v>Mindre end teststørrelse</v>
      </c>
      <c r="GU4" s="54" t="str">
        <f>GQ9</f>
        <v>Større end teststørrelse</v>
      </c>
      <c r="GV4" s="54" t="s">
        <v>318</v>
      </c>
      <c r="GW4" s="60">
        <f>IFERROR(ROUND(INDEX(E_i_valg[Højre position],E_i_aktiv)*GK3,0),-99)</f>
        <v>211</v>
      </c>
      <c r="GX4" s="71">
        <f>IFERROR(ROUND((1-(1-INDEX(E_i_valg[Højre position],E_i_aktiv))/2)*GK3,0),-99)</f>
        <v>234</v>
      </c>
      <c r="GY4" s="60">
        <f>IF(GX4+1&lt;=0,1,IF(GX4+1&gt;=GK$3,GK$3,GX4+1))</f>
        <v>235</v>
      </c>
      <c r="GZ4" s="54">
        <f>IFERROR(INDEX(GT$10:GT$324,GY4),NA())</f>
        <v>1.6868301418220717E-2</v>
      </c>
      <c r="HC4" s="54"/>
      <c r="HD4" s="54" t="s">
        <v>291</v>
      </c>
      <c r="HE4" s="54" t="s">
        <v>30</v>
      </c>
      <c r="HF4" s="54" t="s">
        <v>0</v>
      </c>
      <c r="HG4" s="54" t="s">
        <v>129</v>
      </c>
      <c r="HH4" s="54" t="s">
        <v>129</v>
      </c>
      <c r="HI4" s="54" t="s">
        <v>293</v>
      </c>
      <c r="HJ4" s="54"/>
      <c r="HK4" s="54" t="s">
        <v>149</v>
      </c>
      <c r="HL4" s="54" t="s">
        <v>311</v>
      </c>
      <c r="HM4" s="54" t="s">
        <v>302</v>
      </c>
      <c r="HN4" s="54" t="str">
        <f>HJ9</f>
        <v>Mindre end teststørrelse</v>
      </c>
      <c r="HO4" s="54" t="str">
        <f>HK9</f>
        <v>Større end teststørrelse</v>
      </c>
      <c r="HP4" s="54" t="s">
        <v>318</v>
      </c>
      <c r="HQ4" s="60" cm="1">
        <f t="array" ref="HQ4">IFERROR(ROUND(_xlfn.SINGLE(INDEX(E_k_valg[Højre position],E_k_aktiv))*HE3,0),-99)</f>
        <v>175</v>
      </c>
      <c r="HR4" s="71" cm="1">
        <f t="array" ref="HR4">IFERROR(ROUND((1-(1-_xlfn.SINGLE(INDEX(E_k_valg[Højre position],E_k_aktiv)))/2)*HE3,0),-99)</f>
        <v>216</v>
      </c>
      <c r="HS4" s="60">
        <f>IF(HR4+1&lt;=0,1,IF(HR4+1&gt;=HE$3,HE$3,HR4+1))</f>
        <v>217</v>
      </c>
      <c r="HT4" s="54">
        <f>IFERROR(INDEX(HN$10:HN$324,HS4),NA())</f>
        <v>1.0048712376837356E-2</v>
      </c>
    </row>
    <row r="5" spans="1:228" x14ac:dyDescent="0.2">
      <c r="A5" s="100" t="s">
        <v>138</v>
      </c>
      <c r="B5" s="100" t="s">
        <v>441</v>
      </c>
      <c r="C5" s="100" t="s">
        <v>442</v>
      </c>
      <c r="H5" s="100" t="s">
        <v>138</v>
      </c>
      <c r="I5" s="100" t="s">
        <v>441</v>
      </c>
      <c r="J5" s="100" t="s">
        <v>442</v>
      </c>
      <c r="O5" s="100" t="s">
        <v>138</v>
      </c>
      <c r="P5" s="100" t="s">
        <v>441</v>
      </c>
      <c r="Q5" s="100" t="s">
        <v>442</v>
      </c>
      <c r="V5" s="100" t="s">
        <v>138</v>
      </c>
      <c r="W5" s="100" t="s">
        <v>441</v>
      </c>
      <c r="X5" s="100" t="s">
        <v>442</v>
      </c>
      <c r="AC5" s="100" t="s">
        <v>138</v>
      </c>
      <c r="AD5" s="100" t="s">
        <v>441</v>
      </c>
      <c r="BD5" s="100" t="s">
        <v>476</v>
      </c>
      <c r="BE5" s="108" t="b" cm="1">
        <f t="array" ref="BE5">MATCH(INDEX(E_g_valg[],E_g_aktiv,3),Beregningsmetode_liste,0)&gt;=8</f>
        <v>0</v>
      </c>
      <c r="BS5" s="54"/>
      <c r="BT5" s="54"/>
      <c r="BU5" s="60">
        <f>INDEX(E_g_valg[X min],E_g_aktiv)</f>
        <v>-3.0902323061678132</v>
      </c>
      <c r="BV5" s="60">
        <f>INDEX(E_g_valg[Parameter 1],E_g_aktiv)</f>
        <v>0</v>
      </c>
      <c r="BW5" s="60">
        <f>INDEX(E_g_valg[Parameter 1],E_g_aktiv)</f>
        <v>0</v>
      </c>
      <c r="BX5" s="60">
        <f>INDEX(E_g_valg[Parameter 1],E_g_aktiv)</f>
        <v>0</v>
      </c>
      <c r="BY5" s="60">
        <f>INDEX(E_g_valg[Parameter 1],E_g_aktiv)</f>
        <v>0</v>
      </c>
      <c r="BZ5" s="54"/>
      <c r="CA5" s="60" t="str">
        <f>INDEX(Fordeling_liste,MATCH(TRUE,BV3:BY3,0))</f>
        <v>Normalfordeling</v>
      </c>
      <c r="CB5" s="60">
        <f>INDEX(E_g_valg[Højre teststørrelse],E_g_aktiv)</f>
        <v>1.9599639845400536</v>
      </c>
      <c r="CC5" s="54" t="s">
        <v>303</v>
      </c>
      <c r="CD5" s="54" t="str">
        <f>CA9</f>
        <v>Større end teststørrelse</v>
      </c>
      <c r="CE5" s="54" t="str">
        <f>BZ9</f>
        <v>Mindre end teststørrelse</v>
      </c>
      <c r="CF5" s="54" t="s">
        <v>325</v>
      </c>
      <c r="CG5" s="60">
        <f>INDEX(E_g_valg[Venstre label],E_g_aktiv)</f>
        <v>-0.58299999999999996</v>
      </c>
      <c r="CH5" s="60" t="str">
        <f>INDEX(E_g_valg[Venstre forklaring],E_g_aktiv)</f>
        <v>2.5% mindre end -0.583</v>
      </c>
      <c r="CI5" s="42"/>
      <c r="CJ5" s="42"/>
      <c r="CL5" t="str">
        <f>INDEX(E_g_valg[Hypotesetype],E_g_aktiv)</f>
        <v>Konfidensinterval</v>
      </c>
      <c r="CM5" t="s">
        <v>325</v>
      </c>
      <c r="CN5" s="5" t="e" cm="1">
        <f t="array" ref="CN5">(INDEX(CU$3:CU$5,CK7)*CL7/SQRT(Eu_g_n_x)+Eu_g_h0_x)</f>
        <v>#N/A</v>
      </c>
      <c r="CO5" t="e">
        <f>"Styrken er over "&amp;ROUND($B$67,5)*100&amp;"%
hvis populationsgennemsnittet er 
under "&amp;ROUND(CN5,3)</f>
        <v>#N/A</v>
      </c>
      <c r="CS5" t="s">
        <v>515</v>
      </c>
      <c r="CT5" cm="1">
        <f t="array" ref="CT5">INDEX(Styrkeberegning_G[Approximeret power],COUNT(Styrkeberegning_G[Approximeret power]))</f>
        <v>0.8</v>
      </c>
      <c r="CU5" cm="1">
        <f t="array" ref="CU5">INDEX(Styrkeberegning_G[X base venstre],COUNT(Styrkeberegning_G[X base venstre]))</f>
        <v>-2.8015817870135784</v>
      </c>
      <c r="CV5" cm="1">
        <f t="array" ref="CV5">INDEX(Styrkeberegning_G[X base højre],COUNT(Styrkeberegning_G[X base højre]))</f>
        <v>2.8015817870135784</v>
      </c>
      <c r="DG5" s="54"/>
      <c r="DH5" s="54"/>
      <c r="DI5" s="60">
        <f>INDEX(E_s_valg[X min],E_s_aktiv)</f>
        <v>1.8338526646536903</v>
      </c>
      <c r="DJ5" s="60">
        <f>INDEX(E_s_valg[Parameter 1],E_s_aktiv)</f>
        <v>11</v>
      </c>
      <c r="DK5" s="60">
        <f>INDEX(E_s_valg[Parameter 1],E_s_aktiv)</f>
        <v>11</v>
      </c>
      <c r="DL5" s="60">
        <f>INDEX(E_s_valg[Parameter 1],E_s_aktiv)</f>
        <v>11</v>
      </c>
      <c r="DM5" s="60">
        <f>INDEX(E_s_valg[Parameter 1],E_s_aktiv)</f>
        <v>11</v>
      </c>
      <c r="DN5" s="54"/>
      <c r="DO5" s="60" t="str">
        <f>INDEX(Fordeling_liste,MATCH(TRUE,DJ3:DM3,0))</f>
        <v>Chi-i-anden-fordeling</v>
      </c>
      <c r="DP5" s="60">
        <f>INDEX(E_s_valg[Højre teststørrelse],E_s_aktiv)</f>
        <v>21.920049261021205</v>
      </c>
      <c r="DQ5" s="54" t="s">
        <v>303</v>
      </c>
      <c r="DR5" s="54" t="str">
        <f>DO9</f>
        <v>Større end teststørrelse</v>
      </c>
      <c r="DS5" s="54" t="str">
        <f>DN9</f>
        <v>Mindre end teststørrelse</v>
      </c>
      <c r="DT5" s="54" t="s">
        <v>325</v>
      </c>
      <c r="DU5" s="60">
        <f>INDEX(E_s_valg[Venstre label],E_s_aktiv)</f>
        <v>3.0510000000000002</v>
      </c>
      <c r="DV5" s="60" t="str">
        <f>INDEX(E_s_valg[Venstre forklaring],E_s_aktiv)</f>
        <v>2.5% mindre end 3.051</v>
      </c>
      <c r="DW5" s="42"/>
      <c r="DX5" s="42"/>
      <c r="DZ5" s="54"/>
      <c r="EA5" s="54"/>
      <c r="EB5" s="60">
        <f>INDEX(E_a_valg[X min],E_a_aktiv)</f>
        <v>-3.0902323061678132</v>
      </c>
      <c r="EC5" s="60">
        <f>INDEX(E_a_valg[Parameter 1],E_a_aktiv)</f>
        <v>0</v>
      </c>
      <c r="ED5" s="60">
        <f>INDEX(E_a_valg[Parameter 1],E_a_aktiv)</f>
        <v>0</v>
      </c>
      <c r="EE5" s="60">
        <f>INDEX(E_a_valg[Parameter 1],E_a_aktiv)</f>
        <v>0</v>
      </c>
      <c r="EF5" s="60">
        <f>INDEX(E_a_valg[Parameter 1],E_a_aktiv)</f>
        <v>0</v>
      </c>
      <c r="EG5" s="54"/>
      <c r="EH5" s="60" t="str">
        <f>INDEX(Fordeling_liste,MATCH(TRUE,EC3:EF3,0))</f>
        <v>Normalfordeling</v>
      </c>
      <c r="EI5" s="60">
        <f>INDEX(E_a_valg[Højre teststørrelse],E_a_aktiv)</f>
        <v>1.9599639845400536</v>
      </c>
      <c r="EJ5" s="54" t="s">
        <v>303</v>
      </c>
      <c r="EK5" s="54" t="str">
        <f>EH9</f>
        <v>Større end teststørrelse</v>
      </c>
      <c r="EL5" s="54" t="str">
        <f>EG9</f>
        <v>Mindre end teststørrelse</v>
      </c>
      <c r="EM5" s="54" t="s">
        <v>325</v>
      </c>
      <c r="EN5" s="60" t="str">
        <f>INDEX(E_a_valg[Venstre label],E_a_aktiv)</f>
        <v>20.06%</v>
      </c>
      <c r="EO5" s="60" t="str">
        <f>INDEX(E_a_valg[Venstre forklaring],E_a_aktiv)</f>
        <v>2.5% mindre end 20.06%</v>
      </c>
      <c r="EP5" s="42"/>
      <c r="ER5" s="162"/>
      <c r="ES5" s="161" t="str">
        <f>INDEX(E_a_valg[Hypotesetype],E_a_aktiv)</f>
        <v>Konfidensinterval</v>
      </c>
      <c r="ET5" s="161" t="s">
        <v>325</v>
      </c>
      <c r="EU5" s="166" t="e" cm="1">
        <f t="array" ref="EU5">INDEX(EZ$3:EZ$5,ER7)</f>
        <v>#N/A</v>
      </c>
      <c r="EV5" s="161" t="e">
        <f>"Styrken er over "&amp;ROUND($P$67,5)*100&amp;"%
hvis populationsandelen er 
under "&amp;ROUND(EU5,5)*100&amp;"%"</f>
        <v>#N/A</v>
      </c>
      <c r="EW5" s="162"/>
      <c r="EX5" s="161" t="s">
        <v>515</v>
      </c>
      <c r="EY5" s="165">
        <f>$P$67</f>
        <v>0.99</v>
      </c>
      <c r="EZ5" s="170" t="e" cm="1">
        <f t="array" ref="EZ5">IF(_xlfn.AGGREGATE(4,6,FQ$6:FQ$268)=0,NA(),INDEX(FR6:FR268,_xlfn.AGGREGATE(4,6,FQ$6:FQ$268)))</f>
        <v>#N/A</v>
      </c>
      <c r="FA5" s="161" t="e" cm="1">
        <f t="array" ref="FA5">IF(_xlfn.AGGREGATE(4,6,FX$6:FX$268)=0,NA(),INDEX(FY6:FY268,_xlfn.AGGREGATE(4,6,FX$6:FX$268)))</f>
        <v>#N/A</v>
      </c>
      <c r="FC5" s="161" t="s">
        <v>530</v>
      </c>
      <c r="FD5" cm="1">
        <f t="array" ref="FD5">INDEX(Eu_tabel_a[X base som procent],FD3+1)</f>
        <v>0</v>
      </c>
      <c r="FE5" s="7" t="e" cm="1">
        <f t="array" ref="FE5">INDEX(Eu_tabel_a[Styrke venstre],FD3+1)</f>
        <v>#DIV/0!</v>
      </c>
      <c r="FF5">
        <f t="shared" ref="FF5:FG8" si="7">FD5-FD4</f>
        <v>0</v>
      </c>
      <c r="FG5" s="8" t="e">
        <f t="shared" si="7"/>
        <v>#DIV/0!</v>
      </c>
      <c r="FH5" s="8" t="e">
        <f>$P$67-FE4</f>
        <v>#DIV/0!</v>
      </c>
      <c r="FI5" s="168" t="e">
        <f>FF5/(FG5/FH5)</f>
        <v>#DIV/0!</v>
      </c>
      <c r="FJ5" s="161" t="s">
        <v>530</v>
      </c>
      <c r="FK5" cm="1">
        <f t="array" ref="FK5">INDEX(Eu_tabel_a[X base som procent],FK3+1)</f>
        <v>0</v>
      </c>
      <c r="FL5" s="7" t="e" cm="1" vm="2">
        <f t="array" aca="1" ref="FL5" ca="1">IFERROR(INDEX(Eu_tabel_a[Styrke højre],FK3+1),INDEX(Eu_tabel_a[Styrke højre],FK3-1))</f>
        <v>#VALUE!</v>
      </c>
      <c r="FM5">
        <f t="shared" ref="FM5:FM68" si="8">FK5-FK4</f>
        <v>0</v>
      </c>
      <c r="FN5" s="8" t="e" vm="3">
        <f t="shared" ref="FN5:FN68" ca="1" si="9">FL5-FL4</f>
        <v>#VALUE!</v>
      </c>
      <c r="FO5" s="8" t="e">
        <f t="shared" ref="FO5:FO68" si="10">$P$67-FL4</f>
        <v>#DIV/0!</v>
      </c>
      <c r="FP5" s="168" t="e" vm="3">
        <f t="shared" ref="FP5:FP68" ca="1" si="11">FM5/(FN5/FO5)</f>
        <v>#VALUE!</v>
      </c>
      <c r="FQ5" s="161" t="s">
        <v>530</v>
      </c>
      <c r="FR5" t="e" cm="1">
        <f t="array" ref="FR5">INDEX(Eu_tabel_a[X base som procent],FR3+1)</f>
        <v>#N/A</v>
      </c>
      <c r="FS5" s="7" t="e" cm="1">
        <f t="array" ref="FS5">IFERROR(INDEX(Eu_tabel_a[Styrke tosidet],FR3+1),INDEX(Eu_tabel_a[Styrke tosidet],FR3-1))</f>
        <v>#N/A</v>
      </c>
      <c r="FT5" t="e">
        <f>FR5-FR4</f>
        <v>#N/A</v>
      </c>
      <c r="FU5" s="8" t="e">
        <f>FS5-FS4</f>
        <v>#N/A</v>
      </c>
      <c r="FV5" s="8" t="e">
        <f>$P$67-FS4</f>
        <v>#N/A</v>
      </c>
      <c r="FW5" s="168" t="e">
        <f>FT5/(FU5/FV5)</f>
        <v>#N/A</v>
      </c>
      <c r="FX5" s="161" t="s">
        <v>530</v>
      </c>
      <c r="FY5" t="e" cm="1">
        <f t="array" ref="FY5">INDEX(Eu_tabel_a[X base som procent],FY3+1)</f>
        <v>#N/A</v>
      </c>
      <c r="FZ5" s="7" t="e" cm="1">
        <f t="array" ref="FZ5">IFERROR(INDEX(Eu_tabel_a[Styrke tosidet],FY3+1),INDEX(Eu_tabel_a[Styrke tosidet],FY3-1))</f>
        <v>#N/A</v>
      </c>
      <c r="GA5" t="e">
        <f>FY5-FY4</f>
        <v>#N/A</v>
      </c>
      <c r="GB5" s="8" t="e">
        <f>FZ5-FZ4</f>
        <v>#N/A</v>
      </c>
      <c r="GC5" s="8" t="e">
        <f>$P$67-FZ4</f>
        <v>#N/A</v>
      </c>
      <c r="GD5" s="168" t="e">
        <f>GA5/(GB5/GC5)</f>
        <v>#N/A</v>
      </c>
      <c r="GE5" s="168"/>
      <c r="GF5" s="168"/>
      <c r="GG5" s="42"/>
      <c r="GI5" s="54"/>
      <c r="GJ5" s="54"/>
      <c r="GK5" s="60">
        <f>INDEX(E_i_valg[X min],E_i_aktiv)</f>
        <v>-3.0902323061678132</v>
      </c>
      <c r="GL5" s="60">
        <f>INDEX(E_i_valg[Parameter 1],E_i_aktiv)</f>
        <v>0</v>
      </c>
      <c r="GM5" s="60">
        <f>INDEX(E_i_valg[Parameter 1],E_i_aktiv)</f>
        <v>0</v>
      </c>
      <c r="GN5" s="60">
        <f>INDEX(E_i_valg[Parameter 1],E_i_aktiv)</f>
        <v>0</v>
      </c>
      <c r="GO5" s="60">
        <f>INDEX(E_i_valg[Parameter 1],E_i_aktiv)</f>
        <v>0</v>
      </c>
      <c r="GP5" s="54"/>
      <c r="GQ5" s="60" t="str">
        <f>INDEX(Fordeling_liste,MATCH(TRUE,GL3:GO3,0))</f>
        <v>Normalfordeling</v>
      </c>
      <c r="GR5" s="60">
        <f>INDEX(E_i_valg[Højre teststørrelse],E_i_aktiv)</f>
        <v>1.9599639845400536</v>
      </c>
      <c r="GS5" s="54" t="s">
        <v>303</v>
      </c>
      <c r="GT5" s="54" t="str">
        <f>GQ9</f>
        <v>Større end teststørrelse</v>
      </c>
      <c r="GU5" s="54" t="str">
        <f>GP9</f>
        <v>Mindre end teststørrelse</v>
      </c>
      <c r="GV5" s="54" t="s">
        <v>325</v>
      </c>
      <c r="GW5" s="60">
        <f>INDEX(E_i_valg[Venstre label],E_i_aktiv)</f>
        <v>1.0840000000000001</v>
      </c>
      <c r="GX5" s="60" t="str">
        <f>INDEX(E_i_valg[Venstre forklaring],E_i_aktiv)</f>
        <v>2.5% mindre end 1.084</v>
      </c>
      <c r="GY5" s="42"/>
      <c r="GZ5" s="42"/>
      <c r="HC5" s="54"/>
      <c r="HD5" s="54"/>
      <c r="HE5" s="60" cm="1">
        <f t="array" ref="HE5">_xlfn.SINGLE(INDEX(E_k_valg[X min],E_k_aktiv))</f>
        <v>-4.7852896286383331</v>
      </c>
      <c r="HF5" s="60" cm="1">
        <f t="array" ref="HF5">_xlfn.SINGLE(INDEX(E_k_valg[Parameter 1],E_k_aktiv))</f>
        <v>7</v>
      </c>
      <c r="HG5" s="60" cm="1">
        <f t="array" ref="HG5">_xlfn.SINGLE(INDEX(E_k_valg[Parameter 1],E_k_aktiv))</f>
        <v>7</v>
      </c>
      <c r="HH5" s="60" cm="1">
        <f t="array" ref="HH5">_xlfn.SINGLE(INDEX(E_k_valg[Parameter 1],E_k_aktiv))</f>
        <v>7</v>
      </c>
      <c r="HI5" s="60" cm="1">
        <f t="array" ref="HI5">_xlfn.SINGLE(INDEX(E_k_valg[Parameter 1],E_k_aktiv))</f>
        <v>7</v>
      </c>
      <c r="HJ5" s="54"/>
      <c r="HK5" s="60" t="str">
        <f>INDEX(Fordeling_liste,MATCH(TRUE,HF3:HI3,0))</f>
        <v>t-fordeling</v>
      </c>
      <c r="HL5" s="60" cm="1">
        <f t="array" ref="HL5">_xlfn.SINGLE(INDEX(E_k_valg[Højre teststørrelse],E_k_aktiv))</f>
        <v>1.7059050335879198</v>
      </c>
      <c r="HM5" s="54" t="s">
        <v>303</v>
      </c>
      <c r="HN5" s="54" t="str">
        <f>HK9</f>
        <v>Større end teststørrelse</v>
      </c>
      <c r="HO5" s="54" t="str">
        <f>HJ9</f>
        <v>Mindre end teststørrelse</v>
      </c>
      <c r="HP5" s="54" t="s">
        <v>325</v>
      </c>
      <c r="HQ5" s="60" cm="1">
        <f t="array" ref="HQ5">_xlfn.SINGLE(INDEX(E_k_valg[Venstre label],E_k_aktiv))</f>
        <v>0.34100000000000003</v>
      </c>
      <c r="HR5" s="60" t="str" cm="1">
        <f t="array" ref="HR5">_xlfn.SINGLE(INDEX(E_k_valg[Venstre forklaring],E_k_aktiv))</f>
        <v>93.41% mindre end 0.341</v>
      </c>
      <c r="HS5" s="42"/>
      <c r="HT5" s="42"/>
    </row>
    <row r="6" spans="1:228" x14ac:dyDescent="0.2">
      <c r="A6" s="58" t="s">
        <v>438</v>
      </c>
      <c r="B6" s="77" t="s">
        <v>24</v>
      </c>
      <c r="C6" s="77" t="s">
        <v>281</v>
      </c>
      <c r="H6" s="58" t="s">
        <v>438</v>
      </c>
      <c r="I6" s="77" t="s">
        <v>24</v>
      </c>
      <c r="J6" s="77" t="s">
        <v>281</v>
      </c>
      <c r="O6" s="58" t="s">
        <v>438</v>
      </c>
      <c r="P6" s="77" t="s">
        <v>285</v>
      </c>
      <c r="Q6" s="77" t="s">
        <v>285</v>
      </c>
      <c r="V6" s="58" t="s">
        <v>438</v>
      </c>
      <c r="W6" s="77" t="s">
        <v>24</v>
      </c>
      <c r="X6" s="77" t="s">
        <v>281</v>
      </c>
      <c r="AC6" s="58" t="s">
        <v>438</v>
      </c>
      <c r="AD6" s="77" t="s">
        <v>24</v>
      </c>
      <c r="BS6" s="54"/>
      <c r="BT6" s="54" t="s">
        <v>292</v>
      </c>
      <c r="BU6" s="54" t="s">
        <v>31</v>
      </c>
      <c r="BV6" s="54" t="s">
        <v>1</v>
      </c>
      <c r="BW6" s="54"/>
      <c r="BX6" s="54"/>
      <c r="BY6" s="54" t="s">
        <v>294</v>
      </c>
      <c r="BZ6" s="54"/>
      <c r="CA6" s="54"/>
      <c r="CB6" s="54"/>
      <c r="CC6" s="54" t="s">
        <v>127</v>
      </c>
      <c r="CD6" s="54" t="str">
        <f>CB9</f>
        <v>Forskellig fra teststørrelse</v>
      </c>
      <c r="CE6" s="54" t="str">
        <f>CC9</f>
        <v>Lig med teststørrelse</v>
      </c>
      <c r="CF6" s="54" t="s">
        <v>326</v>
      </c>
      <c r="CG6" s="60">
        <f>INDEX(E_g_valg[Midtpunkt label],E_g_aktiv)</f>
        <v>1.8540000000000001</v>
      </c>
      <c r="CH6" s="60" t="str">
        <f>INDEX(E_g_valg[Midtpunkt forklaring],E_g_aktiv)</f>
        <v>95% mellem -0.583 og 4.291</v>
      </c>
      <c r="CI6" s="42"/>
      <c r="CJ6" s="42"/>
      <c r="CK6" t="s">
        <v>504</v>
      </c>
      <c r="CL6" t="s">
        <v>1</v>
      </c>
      <c r="CM6" t="s">
        <v>326</v>
      </c>
      <c r="CN6" s="5">
        <f>Eu_g_h0_x</f>
        <v>0</v>
      </c>
      <c r="CO6" t="e">
        <f>CHOOSE(CK7,"Styrken er under "&amp;ROUND(B67,5)*100&amp;"%
hvis populationsgennemsnittet er 
over "&amp;ROUND(CN5,3),"Styrken er under "&amp;ROUND(B67,5)*100&amp;"%
hvis populationsgennemsnittet er 
under "&amp;ROUND(CN7,3),"Styrken er under "&amp;ROUND(B67,5)*100&amp;"%
hvis populationsgennemsnittet er 
mellem "&amp;ROUND(CN5,3)&amp;" og "&amp;ROUND(CN7,3))</f>
        <v>#N/A</v>
      </c>
      <c r="CS6" t="s">
        <v>516</v>
      </c>
      <c r="CT6" t="s">
        <v>517</v>
      </c>
      <c r="CU6" t="s">
        <v>513</v>
      </c>
      <c r="CV6" t="s">
        <v>514</v>
      </c>
      <c r="DG6" s="54"/>
      <c r="DH6" s="54" t="s">
        <v>292</v>
      </c>
      <c r="DI6" s="54" t="s">
        <v>31</v>
      </c>
      <c r="DJ6" s="54" t="s">
        <v>1</v>
      </c>
      <c r="DK6" s="54"/>
      <c r="DL6" s="54"/>
      <c r="DM6" s="54" t="s">
        <v>294</v>
      </c>
      <c r="DN6" s="54"/>
      <c r="DO6" s="54"/>
      <c r="DP6" s="54"/>
      <c r="DQ6" s="54" t="s">
        <v>127</v>
      </c>
      <c r="DR6" s="54" t="str">
        <f>DP9</f>
        <v>Forskellig fra teststørrelse</v>
      </c>
      <c r="DS6" s="54" t="str">
        <f>DQ9</f>
        <v>Lig med teststørrelse</v>
      </c>
      <c r="DT6" s="54" t="s">
        <v>326</v>
      </c>
      <c r="DU6" s="60">
        <f>INDEX(E_s_valg[Midtpunkt label],E_s_aktiv)</f>
        <v>4.3070000000000004</v>
      </c>
      <c r="DV6" s="60" t="str">
        <f>INDEX(E_s_valg[Midtpunkt forklaring],E_s_aktiv)</f>
        <v>95% mellem 3.051 og 7.313</v>
      </c>
      <c r="DW6" s="42"/>
      <c r="DX6" s="42"/>
      <c r="DZ6" s="54"/>
      <c r="EA6" s="54" t="s">
        <v>292</v>
      </c>
      <c r="EB6" s="54" t="s">
        <v>31</v>
      </c>
      <c r="EC6" s="54" t="s">
        <v>1</v>
      </c>
      <c r="ED6" s="54"/>
      <c r="EE6" s="54"/>
      <c r="EF6" s="54" t="s">
        <v>294</v>
      </c>
      <c r="EG6" s="54"/>
      <c r="EH6" s="54"/>
      <c r="EI6" s="54"/>
      <c r="EJ6" s="54" t="s">
        <v>127</v>
      </c>
      <c r="EK6" s="54" t="str">
        <f>EI9</f>
        <v>Forskellig fra teststørrelse</v>
      </c>
      <c r="EL6" s="54" t="str">
        <f>EJ9</f>
        <v>Lig med teststørrelse</v>
      </c>
      <c r="EM6" s="54" t="s">
        <v>326</v>
      </c>
      <c r="EN6" s="60" t="str">
        <f>INDEX(E_a_valg[Midtpunkt label],E_a_aktiv)</f>
        <v>41.667%</v>
      </c>
      <c r="EO6" s="60" t="str">
        <f>INDEX(E_a_valg[Midtpunkt forklaring],E_a_aktiv)</f>
        <v>95% mellem 20.06% og 63.273%</v>
      </c>
      <c r="EP6" s="42"/>
      <c r="ER6" s="161" t="s">
        <v>504</v>
      </c>
      <c r="ES6" s="161" t="s">
        <v>526</v>
      </c>
      <c r="ET6" s="161" t="s">
        <v>326</v>
      </c>
      <c r="EU6" s="163">
        <f>Eu_a_h0_x</f>
        <v>0</v>
      </c>
      <c r="EV6" s="161" t="e">
        <f>CHOOSE(ER7,"Styrken er under "&amp;ROUND(P67,5)*100&amp;"%
hvis populationsandelen er 
over "&amp;ROUND(EU5,5)*100&amp;"%","Styrken er under "&amp;ROUND(P67,5)*100&amp;"%
hvis populationsandelen er 
under "&amp;ROUND(EU7,5)*100&amp;"%",IF(ISNA(FA5),"Styrken er under "&amp;ROUND(P67,5)*100&amp;"%
hvis populationsandelen er 
over "&amp;ROUND(EU5,5)*100&amp;"%",IF(ISNA(EZ5),"Styrken er under "&amp;ROUND(P67,5)*100&amp;"%
hvis populationsandelen er 
under "&amp;ROUND(EU7,5)*100&amp;"%","Styrken er under "&amp;ROUND(P67,5)*100&amp;"%
hvis populationsandelen er
mellem "&amp;ROUND(EU5,5)*100&amp;"% og "&amp;ROUND(EU7,5)*100&amp;"%")))</f>
        <v>#N/A</v>
      </c>
      <c r="EW6" s="162"/>
      <c r="EX6" s="162"/>
      <c r="EY6" s="161" t="s">
        <v>347</v>
      </c>
      <c r="FC6" s="161" t="e">
        <f>IF(ISERROR(FD6),NA(),ROW(FC6)-ROW(FC$5))</f>
        <v>#N/A</v>
      </c>
      <c r="FD6" s="169" t="e">
        <f>FD4+FI5</f>
        <v>#DIV/0!</v>
      </c>
      <c r="FE6" s="7" t="e">
        <f t="shared" ref="FE6:FE69" si="12">_xlfn.NORM.DIST(-(SQRT(Eu_a_n_x)*(FD6-Eu_a_h0_x)/SQRT(FD6*(1-FD6)))-(_xlfn.NORM.INV(Eu_a_konfidensniveau,0,1)*SQRT((Eu_a_h0_x*(1-Eu_a_h0_x))/(FD6*(1-FD6)))),0,1,TRUE)</f>
        <v>#DIV/0!</v>
      </c>
      <c r="FF6" t="e">
        <f t="shared" si="7"/>
        <v>#DIV/0!</v>
      </c>
      <c r="FG6" s="8" t="e">
        <f t="shared" si="7"/>
        <v>#DIV/0!</v>
      </c>
      <c r="FH6" s="8" t="e">
        <f>$P$67-FE5</f>
        <v>#DIV/0!</v>
      </c>
      <c r="FI6" s="168" t="e">
        <f>FF6/(FG6/FH6)</f>
        <v>#DIV/0!</v>
      </c>
      <c r="FJ6" s="161" t="e">
        <f t="shared" ref="FJ6:FJ69" ca="1" si="13">IF(ISERROR(FK6),NA(),ROW(FJ6)-ROW(FJ$5))</f>
        <v>#N/A</v>
      </c>
      <c r="FK6" s="169" t="e" vm="3">
        <f ca="1">MIN(FK4+FP5,1)</f>
        <v>#VALUE!</v>
      </c>
      <c r="FL6" s="7" t="e" vm="3">
        <f t="shared" ref="FL6:FL69" ca="1" si="14">_xlfn.NORM.DIST((SQRT(Eu_a_n_x)*(FK6-Eu_a_h0_x)/SQRT(FK6*(1-FK6)))-(_xlfn.NORM.INV(Eu_a_konfidensniveau,0,1)*SQRT((Eu_a_h0_x*(1-Eu_a_h0_x))/(FK6*(1-FK6)))),0,1,TRUE)</f>
        <v>#VALUE!</v>
      </c>
      <c r="FM6" t="e" vm="3">
        <f t="shared" ca="1" si="8"/>
        <v>#VALUE!</v>
      </c>
      <c r="FN6" s="8" t="e" vm="3">
        <f t="shared" ca="1" si="9"/>
        <v>#VALUE!</v>
      </c>
      <c r="FO6" s="8" t="e" vm="3">
        <f t="shared" ca="1" si="10"/>
        <v>#VALUE!</v>
      </c>
      <c r="FP6" s="168" t="e" vm="3">
        <f t="shared" ca="1" si="11"/>
        <v>#VALUE!</v>
      </c>
      <c r="FQ6" s="161" t="e">
        <f t="shared" ref="FQ6:FQ69" si="15">IF(ISERROR(FR6),NA(),ROW(FQ6)-ROW(FQ$5))</f>
        <v>#N/A</v>
      </c>
      <c r="FR6" s="169" t="e">
        <f>MIN(1,FR4+FW5)</f>
        <v>#N/A</v>
      </c>
      <c r="FS6" s="7" t="e">
        <f t="shared" ref="FS6:FS69" si="16">_xlfn.NORM.DIST(-(SQRT(Eu_a_n_x)*(FR6-Eu_a_h0_x)/SQRT(FR6*(1-FR6)))-(_xlfn.NORM.INV(1-(1-Eu_a_konfidensniveau)/2,0,1)*SQRT((Eu_a_h0_x*(1-Eu_a_h0_x))/(FR6*(1-FR6)))),0,1,TRUE)+_xlfn.NORM.DIST((SQRT(Eu_a_n_x)*(FR6-Eu_a_h0_x)/SQRT(FR6*(1-FR6)))-(_xlfn.NORM.INV(1-(1-Eu_a_konfidensniveau)/2,0,1)*SQRT((Eu_a_h0_x*(1-Eu_a_h0_x))/(FR6*(1-FR6)))),0,1,TRUE)</f>
        <v>#N/A</v>
      </c>
      <c r="FT6" t="e">
        <f>FR6-FR5</f>
        <v>#N/A</v>
      </c>
      <c r="FU6" s="8" t="e">
        <f>FS6-FS5</f>
        <v>#N/A</v>
      </c>
      <c r="FV6" s="8" t="e">
        <f>$P$67-FS5</f>
        <v>#N/A</v>
      </c>
      <c r="FW6" s="168" t="e">
        <f>FT6/(FU6/FV6)</f>
        <v>#N/A</v>
      </c>
      <c r="FX6" s="161" t="e">
        <f>IF(ISERROR(FY6),NA(),ROW(FX6)-ROW(FX$5))</f>
        <v>#N/A</v>
      </c>
      <c r="FY6" s="169" t="e">
        <f>MIN(1,FY4+GD5)</f>
        <v>#N/A</v>
      </c>
      <c r="FZ6" s="7" t="e">
        <f t="shared" ref="FZ6:FZ69" si="17">_xlfn.NORM.DIST(-(SQRT(Eu_a_n_x)*(FY6-Eu_a_h0_x)/SQRT(FY6*(1-FY6)))-(_xlfn.NORM.INV(1-(1-Eu_a_konfidensniveau)/2,0,1)*SQRT((Eu_a_h0_x*(1-Eu_a_h0_x))/(FY6*(1-FY6)))),0,1,TRUE)+_xlfn.NORM.DIST((SQRT(Eu_a_n_x)*(FY6-Eu_a_h0_x)/SQRT(FY6*(1-FY6)))-(_xlfn.NORM.INV(1-(1-Eu_a_konfidensniveau)/2,0,1)*SQRT((Eu_a_h0_x*(1-Eu_a_h0_x))/(FY6*(1-FY6)))),0,1,TRUE)</f>
        <v>#N/A</v>
      </c>
      <c r="GA6" t="e">
        <f>FY6-FY5</f>
        <v>#N/A</v>
      </c>
      <c r="GB6" s="8" t="e">
        <f>FZ6-FZ5</f>
        <v>#N/A</v>
      </c>
      <c r="GC6" s="8" t="e">
        <f>$P$67-FZ5</f>
        <v>#N/A</v>
      </c>
      <c r="GD6" s="168" t="e">
        <f>GA6/(GB6/GC6)</f>
        <v>#N/A</v>
      </c>
      <c r="GE6" s="168"/>
      <c r="GF6" s="168"/>
      <c r="GG6" s="42"/>
      <c r="GI6" s="54"/>
      <c r="GJ6" s="54" t="s">
        <v>292</v>
      </c>
      <c r="GK6" s="54" t="s">
        <v>31</v>
      </c>
      <c r="GL6" s="54" t="s">
        <v>1</v>
      </c>
      <c r="GM6" s="54"/>
      <c r="GN6" s="54"/>
      <c r="GO6" s="54" t="s">
        <v>294</v>
      </c>
      <c r="GP6" s="54"/>
      <c r="GQ6" s="54"/>
      <c r="GR6" s="54"/>
      <c r="GS6" s="54" t="s">
        <v>127</v>
      </c>
      <c r="GT6" s="54" t="str">
        <f>GR9</f>
        <v>Forskellig fra teststørrelse</v>
      </c>
      <c r="GU6" s="54" t="str">
        <f>GS9</f>
        <v>Lig med teststørrelse</v>
      </c>
      <c r="GV6" s="54" t="s">
        <v>326</v>
      </c>
      <c r="GW6" s="60">
        <f>INDEX(E_i_valg[Midtpunkt label],E_i_aktiv)</f>
        <v>1.8540000000000001</v>
      </c>
      <c r="GX6" s="60" t="str">
        <f>INDEX(E_i_valg[Midtpunkt forklaring],E_i_aktiv)</f>
        <v>95% mellem 1.084 og 2.624</v>
      </c>
      <c r="GY6" s="42"/>
      <c r="GZ6" s="42"/>
      <c r="HC6" s="54"/>
      <c r="HD6" s="54" t="s">
        <v>292</v>
      </c>
      <c r="HE6" s="54" t="s">
        <v>31</v>
      </c>
      <c r="HF6" s="54" t="s">
        <v>1</v>
      </c>
      <c r="HG6" s="54"/>
      <c r="HH6" s="54"/>
      <c r="HI6" s="54" t="s">
        <v>294</v>
      </c>
      <c r="HJ6" s="54"/>
      <c r="HK6" s="54"/>
      <c r="HL6" s="54"/>
      <c r="HM6" s="54" t="s">
        <v>127</v>
      </c>
      <c r="HN6" s="54" t="str">
        <f>HL9</f>
        <v>Forskellig fra teststørrelse</v>
      </c>
      <c r="HO6" s="54" t="str">
        <f>HM9</f>
        <v>Lig med teststørrelse</v>
      </c>
      <c r="HP6" s="54" t="s">
        <v>326</v>
      </c>
      <c r="HQ6" s="60" cm="1">
        <f t="array" ref="HQ6">_xlfn.SINGLE(INDEX(E_k_valg[Midtpunkt label],E_k_aktiv))</f>
        <v>0</v>
      </c>
      <c r="HR6" s="60" t="str" cm="1">
        <f t="array" ref="HR6">_xlfn.SINGLE(INDEX(E_k_valg[Midtpunkt forklaring],E_k_aktiv))</f>
        <v xml:space="preserve"> </v>
      </c>
      <c r="HS6" s="42"/>
      <c r="HT6" s="42"/>
    </row>
    <row r="7" spans="1:228" x14ac:dyDescent="0.2">
      <c r="A7" s="58" t="s">
        <v>460</v>
      </c>
      <c r="B7" s="77">
        <v>1.8540044183209705</v>
      </c>
      <c r="C7" s="77">
        <v>3.359406635758635</v>
      </c>
      <c r="H7" s="58" t="s">
        <v>461</v>
      </c>
      <c r="I7" s="77">
        <v>4.3068660656276769</v>
      </c>
      <c r="J7" s="77">
        <v>4.025703726931031</v>
      </c>
      <c r="O7" s="58" t="s">
        <v>463</v>
      </c>
      <c r="P7" s="78">
        <v>0.41666666666666669</v>
      </c>
      <c r="Q7" s="78">
        <v>0.41666666666666669</v>
      </c>
      <c r="V7" s="58" t="s">
        <v>467</v>
      </c>
      <c r="W7" s="77">
        <v>1.8540044183209705</v>
      </c>
      <c r="X7" s="77">
        <v>3.359406635758635</v>
      </c>
      <c r="AC7" s="58" t="s">
        <v>472</v>
      </c>
      <c r="AD7" s="77">
        <v>0.34073089457687977</v>
      </c>
      <c r="BD7" s="58" t="s">
        <v>448</v>
      </c>
      <c r="BE7" s="100" t="s">
        <v>0</v>
      </c>
      <c r="BF7" s="100" t="s">
        <v>1</v>
      </c>
      <c r="BG7" s="100" t="s">
        <v>2</v>
      </c>
      <c r="BH7" s="100" t="s">
        <v>3</v>
      </c>
      <c r="BI7" s="100" t="s">
        <v>49</v>
      </c>
      <c r="BS7" s="54"/>
      <c r="BT7" s="54"/>
      <c r="BU7" s="60">
        <f>INDEX(E_g_valg[X max],E_g_aktiv)</f>
        <v>3.0902323061678132</v>
      </c>
      <c r="BV7" s="60">
        <f>INDEX(E_g_valg[Parameter 2],E_g_aktiv)</f>
        <v>1</v>
      </c>
      <c r="BW7" s="54"/>
      <c r="BX7" s="54"/>
      <c r="BY7" s="60">
        <f>INDEX(E_g_valg[Parameter 2],E_g_aktiv)</f>
        <v>1</v>
      </c>
      <c r="BZ7" s="54"/>
      <c r="CA7" s="54"/>
      <c r="CB7" s="54"/>
      <c r="CC7" s="54" t="s">
        <v>321</v>
      </c>
      <c r="CD7" s="60">
        <f>MATCH(INDEX(CD3:CD6,MATCH(CA3,CC3:CC6,0)),BZ9:CC9,0)</f>
        <v>3</v>
      </c>
      <c r="CE7" s="60">
        <f>MATCH(INDEX(CE3:CE6,MATCH(CA3,CC3:CC6,0)),BZ9:CC9,0)</f>
        <v>4</v>
      </c>
      <c r="CF7" s="54" t="s">
        <v>327</v>
      </c>
      <c r="CG7" s="60">
        <f>INDEX(E_g_valg[Højre label],E_g_aktiv)</f>
        <v>4.2910000000000004</v>
      </c>
      <c r="CH7" s="60" t="str">
        <f>INDEX(E_g_valg[Højre forklaring],E_g_aktiv)</f>
        <v>2.5% større end 4.291</v>
      </c>
      <c r="CI7" s="42"/>
      <c r="CJ7" s="42"/>
      <c r="CK7" t="e">
        <f>MATCH(CA3,CC4:CC6,0)</f>
        <v>#N/A</v>
      </c>
      <c r="CL7">
        <f>IF(INDEX(E_g_valg[Beregningsmetode],E_g_aktiv)="Normalfordeling med kendt standardafvigelse",Eu_g_s_population_x,Eu_g_s_x)</f>
        <v>4.3068660656276769</v>
      </c>
      <c r="CM7" t="s">
        <v>327</v>
      </c>
      <c r="CN7" s="5" t="e" cm="1">
        <f t="array" ref="CN7">(INDEX(CV$3:CV$5,CK7)*CL7/SQRT(Eu_g_n_x)+Eu_g_h0_x)</f>
        <v>#N/A</v>
      </c>
      <c r="CO7" t="e">
        <f>"Styrken er over "&amp;ROUND(B67,5)*100&amp;"%
hvis populationsgennemsnittet er 
over "&amp;ROUND(CN7,3)</f>
        <v>#N/A</v>
      </c>
      <c r="CS7" t="s">
        <v>518</v>
      </c>
      <c r="CT7">
        <f>_xlfn.NORM.DIST(_xlfn.NORM.INV((1-Eu_g_konfidensniveau)/2,0,1)-CU7,0,1,TRUE)+1-_xlfn.NORM.DIST(_xlfn.NORM.INV(1-(1-Eu_g_konfidensniveau)/2,0,1)-CU7,0,1,TRUE)</f>
        <v>0.8000009605622268</v>
      </c>
      <c r="CU7" s="5">
        <f>_xlfn.NORM.INV((1-Eu_g_konfidensniveau)/2,0,1)-_xlfn.NORM.INV($B$67,0,1)</f>
        <v>-2.8015852181129683</v>
      </c>
      <c r="CV7" s="5">
        <f>CU7*-1</f>
        <v>2.8015852181129683</v>
      </c>
      <c r="DG7" s="54"/>
      <c r="DH7" s="54"/>
      <c r="DI7" s="60">
        <f>INDEX(E_s_valg[X max],E_s_aktiv)</f>
        <v>31.264133620239949</v>
      </c>
      <c r="DJ7" s="60">
        <f>INDEX(E_s_valg[Parameter 2],E_s_aktiv)</f>
        <v>0</v>
      </c>
      <c r="DK7" s="54"/>
      <c r="DL7" s="54"/>
      <c r="DM7" s="60">
        <f>INDEX(E_s_valg[Parameter 2],E_s_aktiv)</f>
        <v>0</v>
      </c>
      <c r="DN7" s="54"/>
      <c r="DO7" s="54"/>
      <c r="DP7" s="54"/>
      <c r="DQ7" s="54" t="s">
        <v>321</v>
      </c>
      <c r="DR7" s="60">
        <f>MATCH(INDEX(DR3:DR6,MATCH(DO3,DQ3:DQ6,0)),DN9:DQ9,0)</f>
        <v>3</v>
      </c>
      <c r="DS7" s="60">
        <f>MATCH(INDEX(DS3:DS6,MATCH(DO3,DQ3:DQ6,0)),DN9:DQ9,0)</f>
        <v>4</v>
      </c>
      <c r="DT7" s="54" t="s">
        <v>327</v>
      </c>
      <c r="DU7" s="60">
        <f>INDEX(E_s_valg[Højre label],E_s_aktiv)</f>
        <v>7.3129999999999997</v>
      </c>
      <c r="DV7" s="60" t="str">
        <f>INDEX(E_s_valg[Højre forklaring],E_s_aktiv)</f>
        <v>2.5% større end 7.313</v>
      </c>
      <c r="DW7" s="42"/>
      <c r="DX7" s="42"/>
      <c r="DZ7" s="54"/>
      <c r="EA7" s="54"/>
      <c r="EB7" s="60">
        <f>INDEX(E_a_valg[X max],E_a_aktiv)</f>
        <v>3.0902323061678132</v>
      </c>
      <c r="EC7" s="60">
        <f>INDEX(E_a_valg[Parameter 2],E_a_aktiv)</f>
        <v>1</v>
      </c>
      <c r="ED7" s="54"/>
      <c r="EE7" s="54"/>
      <c r="EF7" s="60">
        <f>INDEX(E_a_valg[Parameter 2],E_a_aktiv)</f>
        <v>1</v>
      </c>
      <c r="EG7" s="54"/>
      <c r="EH7" s="54"/>
      <c r="EI7" s="54"/>
      <c r="EJ7" s="54" t="s">
        <v>321</v>
      </c>
      <c r="EK7" s="60">
        <f>MATCH(INDEX(EK3:EK6,MATCH(EH3,EJ3:EJ6,0)),EG9:EJ9,0)</f>
        <v>3</v>
      </c>
      <c r="EL7" s="60">
        <f>MATCH(INDEX(EL3:EL6,MATCH(EH3,EJ3:EJ6,0)),EG9:EJ9,0)</f>
        <v>4</v>
      </c>
      <c r="EM7" s="54" t="s">
        <v>327</v>
      </c>
      <c r="EN7" s="60" t="str">
        <f>INDEX(E_a_valg[Højre label],E_a_aktiv)</f>
        <v>63.273%</v>
      </c>
      <c r="EO7" s="60" t="str">
        <f>INDEX(E_a_valg[Højre forklaring],E_a_aktiv)</f>
        <v>2.5% større end 63.273%</v>
      </c>
      <c r="EP7" s="42"/>
      <c r="EQ7" s="42"/>
      <c r="ER7" s="161" t="e">
        <f>MATCH(EH3,EJ4:EJ6,0)</f>
        <v>#N/A</v>
      </c>
      <c r="ES7" s="164" t="s">
        <v>527</v>
      </c>
      <c r="ET7" s="161" t="s">
        <v>327</v>
      </c>
      <c r="EU7" s="166" t="e" cm="1">
        <f t="array" ref="EU7">INDEX(FA$3:FA$5,ER7)</f>
        <v>#N/A</v>
      </c>
      <c r="EV7" s="162" t="e">
        <f>"Styrken er over "&amp;ROUND(P67,5)*100&amp;"%
hvis populationsandelen er 
over "&amp;ROUND(EU7,5)*100&amp;"%"</f>
        <v>#N/A</v>
      </c>
      <c r="EW7" s="162"/>
      <c r="EX7" s="161"/>
      <c r="EY7" s="162"/>
      <c r="FC7" s="161" t="e">
        <f t="shared" ref="FC7:FC70" si="18">IF(ISERROR(FD7),NA(),ROW(FC7)-ROW(FC$5))</f>
        <v>#N/A</v>
      </c>
      <c r="FD7" s="169" t="e">
        <f>FD5+FI6</f>
        <v>#DIV/0!</v>
      </c>
      <c r="FE7" s="7" t="e">
        <f t="shared" si="12"/>
        <v>#DIV/0!</v>
      </c>
      <c r="FF7" t="e">
        <f t="shared" si="7"/>
        <v>#DIV/0!</v>
      </c>
      <c r="FG7" s="8" t="e">
        <f t="shared" si="7"/>
        <v>#DIV/0!</v>
      </c>
      <c r="FH7" s="8" t="e">
        <f>$P$67-FE6</f>
        <v>#DIV/0!</v>
      </c>
      <c r="FI7" s="168" t="e">
        <f>FF7/(FG7/FH7)</f>
        <v>#DIV/0!</v>
      </c>
      <c r="FJ7" s="161" t="e">
        <f t="shared" ca="1" si="13"/>
        <v>#N/A</v>
      </c>
      <c r="FK7" s="169" t="e" vm="3">
        <f t="shared" ref="FK7:FK70" ca="1" si="19">FK5+FP6</f>
        <v>#VALUE!</v>
      </c>
      <c r="FL7" s="7" t="e" vm="3">
        <f t="shared" ca="1" si="14"/>
        <v>#VALUE!</v>
      </c>
      <c r="FM7" t="e" vm="3">
        <f t="shared" ca="1" si="8"/>
        <v>#VALUE!</v>
      </c>
      <c r="FN7" s="8" t="e" vm="3">
        <f t="shared" ca="1" si="9"/>
        <v>#VALUE!</v>
      </c>
      <c r="FO7" s="8" t="e" vm="3">
        <f t="shared" ca="1" si="10"/>
        <v>#VALUE!</v>
      </c>
      <c r="FP7" s="168" t="e" vm="3">
        <f t="shared" ca="1" si="11"/>
        <v>#VALUE!</v>
      </c>
      <c r="FQ7" s="161" t="e">
        <f t="shared" si="15"/>
        <v>#N/A</v>
      </c>
      <c r="FR7" s="169" t="e">
        <f t="shared" ref="FR7:FR70" si="20">FR5+FW6</f>
        <v>#N/A</v>
      </c>
      <c r="FS7" s="7" t="e">
        <f t="shared" si="16"/>
        <v>#N/A</v>
      </c>
      <c r="FT7" t="e">
        <f t="shared" ref="FT7:FT70" si="21">FR7-FR6</f>
        <v>#N/A</v>
      </c>
      <c r="FU7" s="8" t="e">
        <f t="shared" ref="FU7:FU70" si="22">FS7-FS6</f>
        <v>#N/A</v>
      </c>
      <c r="FV7" s="8" t="e">
        <f t="shared" ref="FV7:FV70" si="23">$P$67-FS6</f>
        <v>#N/A</v>
      </c>
      <c r="FW7" s="168" t="e">
        <f t="shared" ref="FW7:FW70" si="24">FT7/(FU7/FV7)</f>
        <v>#N/A</v>
      </c>
      <c r="FX7" s="161" t="e">
        <f t="shared" ref="FX7:FX70" si="25">IF(ISERROR(FY7),NA(),ROW(FX7)-ROW(FX$5))</f>
        <v>#N/A</v>
      </c>
      <c r="FY7" s="169" t="e">
        <f t="shared" ref="FY7:FY70" si="26">FY5+GD6</f>
        <v>#N/A</v>
      </c>
      <c r="FZ7" s="7" t="e">
        <f t="shared" si="17"/>
        <v>#N/A</v>
      </c>
      <c r="GA7" t="e">
        <f t="shared" ref="GA7:GA70" si="27">FY7-FY6</f>
        <v>#N/A</v>
      </c>
      <c r="GB7" s="8" t="e">
        <f t="shared" ref="GB7:GB70" si="28">FZ7-FZ6</f>
        <v>#N/A</v>
      </c>
      <c r="GC7" s="8" t="e">
        <f t="shared" ref="GC7:GC70" si="29">$P$67-FZ6</f>
        <v>#N/A</v>
      </c>
      <c r="GD7" s="168" t="e">
        <f t="shared" ref="GD7:GD70" si="30">GA7/(GB7/GC7)</f>
        <v>#N/A</v>
      </c>
      <c r="GE7" s="168"/>
      <c r="GF7" s="168"/>
      <c r="GG7" s="42"/>
      <c r="GI7" s="54"/>
      <c r="GJ7" s="54"/>
      <c r="GK7" s="60">
        <f>INDEX(E_i_valg[X max],E_i_aktiv)</f>
        <v>3.0902323061678132</v>
      </c>
      <c r="GL7" s="60">
        <f>INDEX(E_i_valg[Parameter 2],E_i_aktiv)</f>
        <v>1</v>
      </c>
      <c r="GM7" s="54"/>
      <c r="GN7" s="54"/>
      <c r="GO7" s="60">
        <f>INDEX(E_i_valg[Parameter 2],E_i_aktiv)</f>
        <v>1</v>
      </c>
      <c r="GP7" s="54"/>
      <c r="GQ7" s="54"/>
      <c r="GR7" s="54"/>
      <c r="GS7" s="54" t="s">
        <v>321</v>
      </c>
      <c r="GT7" s="60">
        <f>MATCH(INDEX(GT3:GT6,MATCH(GQ3,GS3:GS6,0)),GP9:GS9,0)</f>
        <v>3</v>
      </c>
      <c r="GU7" s="60">
        <f>MATCH(INDEX(GU3:GU6,MATCH(GQ3,GS3:GS6,0)),GP9:GS9,0)</f>
        <v>4</v>
      </c>
      <c r="GV7" s="54" t="s">
        <v>327</v>
      </c>
      <c r="GW7" s="60">
        <f>INDEX(E_i_valg[Højre label],E_i_aktiv)</f>
        <v>2.6240000000000001</v>
      </c>
      <c r="GX7" s="60" t="str">
        <f>INDEX(E_i_valg[Højre forklaring],E_i_aktiv)</f>
        <v>2.5% større end 2.624</v>
      </c>
      <c r="GY7" s="42"/>
      <c r="GZ7" s="42"/>
      <c r="HC7" s="54"/>
      <c r="HD7" s="54"/>
      <c r="HE7" s="60" cm="1">
        <f t="array" ref="HE7">_xlfn.SINGLE(INDEX(E_k_valg[X max],E_k_aktiv))</f>
        <v>4.7852896286383331</v>
      </c>
      <c r="HF7" s="60" cm="1">
        <f t="array" ref="HF7">_xlfn.SINGLE(INDEX(E_k_valg[Parameter 2],E_k_aktiv))</f>
        <v>0</v>
      </c>
      <c r="HG7" s="54"/>
      <c r="HH7" s="54"/>
      <c r="HI7" s="60" cm="1">
        <f t="array" ref="HI7">_xlfn.SINGLE(INDEX(E_k_valg[Parameter 2],E_k_aktiv))</f>
        <v>0</v>
      </c>
      <c r="HJ7" s="54"/>
      <c r="HK7" s="54"/>
      <c r="HL7" s="54"/>
      <c r="HM7" s="54" t="s">
        <v>321</v>
      </c>
      <c r="HN7" s="60">
        <f>MATCH(INDEX(HN3:HN6,MATCH(HK3,HM3:HM6,0)),HJ9:HM9,0)</f>
        <v>1</v>
      </c>
      <c r="HO7" s="60">
        <f>MATCH(INDEX(HO3:HO6,MATCH(HK3,HM3:HM6,0)),HJ9:HM9,0)</f>
        <v>2</v>
      </c>
      <c r="HP7" s="54" t="s">
        <v>327</v>
      </c>
      <c r="HQ7" s="60" cm="1">
        <f t="array" ref="HQ7">_xlfn.SINGLE(INDEX(E_k_valg[Højre label],E_k_aktiv))</f>
        <v>0.34100000000000003</v>
      </c>
      <c r="HR7" s="60" t="str" cm="1">
        <f t="array" ref="HR7">_xlfn.SINGLE(INDEX(E_k_valg[Højre forklaring],E_k_aktiv))</f>
        <v>6.59% større end 0.341</v>
      </c>
      <c r="HS7" s="42"/>
      <c r="HT7" s="42"/>
    </row>
    <row r="8" spans="1:228" x14ac:dyDescent="0.2">
      <c r="A8" s="58" t="s">
        <v>447</v>
      </c>
      <c r="B8" s="77"/>
      <c r="C8" s="77"/>
      <c r="H8" s="58" t="s">
        <v>459</v>
      </c>
      <c r="I8" s="77"/>
      <c r="J8" s="103"/>
      <c r="O8" s="58" t="s">
        <v>464</v>
      </c>
      <c r="P8" s="78"/>
      <c r="Q8" s="78"/>
      <c r="V8" s="58" t="s">
        <v>466</v>
      </c>
      <c r="W8" s="77">
        <v>1</v>
      </c>
      <c r="X8" s="103"/>
      <c r="AC8" s="58" t="s">
        <v>473</v>
      </c>
      <c r="AD8" s="77">
        <v>0</v>
      </c>
      <c r="BD8" s="58" t="s">
        <v>152</v>
      </c>
      <c r="BE8" s="108">
        <f>MATCH(1,E_g_valg[Synlig],0)</f>
        <v>1</v>
      </c>
      <c r="BF8" s="108">
        <f>MATCH(1,E_s_valg[Synlig],0)</f>
        <v>1</v>
      </c>
      <c r="BG8" s="108">
        <f>MATCH(1,E_a_valg[Synlig],0)</f>
        <v>1</v>
      </c>
      <c r="BH8" s="108">
        <f>MATCH(1,E_i_valg[Synlig],0)</f>
        <v>1</v>
      </c>
      <c r="BI8" s="108">
        <f>MATCH(1,E_k_valg[Synlig],0)</f>
        <v>1</v>
      </c>
      <c r="FC8" s="161" t="e">
        <f t="shared" si="18"/>
        <v>#N/A</v>
      </c>
      <c r="FD8" s="169" t="e">
        <f>FD6+FI7</f>
        <v>#DIV/0!</v>
      </c>
      <c r="FE8" s="7" t="e">
        <f t="shared" si="12"/>
        <v>#DIV/0!</v>
      </c>
      <c r="FF8" t="e">
        <f t="shared" si="7"/>
        <v>#DIV/0!</v>
      </c>
      <c r="FG8" s="8" t="e">
        <f t="shared" si="7"/>
        <v>#DIV/0!</v>
      </c>
      <c r="FH8" s="8" t="e">
        <f>$P$67-FE7</f>
        <v>#DIV/0!</v>
      </c>
      <c r="FI8" s="168" t="e">
        <f>FF8/(FG8/FH8)</f>
        <v>#DIV/0!</v>
      </c>
      <c r="FJ8" s="161" t="e">
        <f t="shared" ca="1" si="13"/>
        <v>#N/A</v>
      </c>
      <c r="FK8" s="169" t="e" vm="3">
        <f t="shared" ca="1" si="19"/>
        <v>#VALUE!</v>
      </c>
      <c r="FL8" s="7" t="e" vm="3">
        <f t="shared" ca="1" si="14"/>
        <v>#VALUE!</v>
      </c>
      <c r="FM8" t="e" vm="3">
        <f t="shared" ca="1" si="8"/>
        <v>#VALUE!</v>
      </c>
      <c r="FN8" s="8" t="e" vm="3">
        <f t="shared" ca="1" si="9"/>
        <v>#VALUE!</v>
      </c>
      <c r="FO8" s="8" t="e" vm="3">
        <f t="shared" ca="1" si="10"/>
        <v>#VALUE!</v>
      </c>
      <c r="FP8" s="168" t="e" vm="3">
        <f t="shared" ca="1" si="11"/>
        <v>#VALUE!</v>
      </c>
      <c r="FQ8" s="161" t="e">
        <f t="shared" si="15"/>
        <v>#N/A</v>
      </c>
      <c r="FR8" s="169" t="e">
        <f t="shared" si="20"/>
        <v>#N/A</v>
      </c>
      <c r="FS8" s="7" t="e">
        <f t="shared" si="16"/>
        <v>#N/A</v>
      </c>
      <c r="FT8" t="e">
        <f t="shared" si="21"/>
        <v>#N/A</v>
      </c>
      <c r="FU8" s="8" t="e">
        <f t="shared" si="22"/>
        <v>#N/A</v>
      </c>
      <c r="FV8" s="8" t="e">
        <f t="shared" si="23"/>
        <v>#N/A</v>
      </c>
      <c r="FW8" s="168" t="e">
        <f t="shared" si="24"/>
        <v>#N/A</v>
      </c>
      <c r="FX8" s="161" t="e">
        <f t="shared" si="25"/>
        <v>#N/A</v>
      </c>
      <c r="FY8" s="169" t="e">
        <f t="shared" si="26"/>
        <v>#N/A</v>
      </c>
      <c r="FZ8" s="7" t="e">
        <f t="shared" si="17"/>
        <v>#N/A</v>
      </c>
      <c r="GA8" t="e">
        <f t="shared" si="27"/>
        <v>#N/A</v>
      </c>
      <c r="GB8" s="8" t="e">
        <f t="shared" si="28"/>
        <v>#N/A</v>
      </c>
      <c r="GC8" s="8" t="e">
        <f t="shared" si="29"/>
        <v>#N/A</v>
      </c>
      <c r="GD8" s="168" t="e">
        <f t="shared" si="30"/>
        <v>#N/A</v>
      </c>
      <c r="GE8" s="168"/>
      <c r="GF8" s="168"/>
    </row>
    <row r="9" spans="1:228" x14ac:dyDescent="0.2">
      <c r="A9" s="58" t="s">
        <v>461</v>
      </c>
      <c r="B9" s="77">
        <v>4.3068660656276769</v>
      </c>
      <c r="C9" s="77">
        <v>4.025703726931031</v>
      </c>
      <c r="H9" s="58" t="s">
        <v>437</v>
      </c>
      <c r="I9" s="97">
        <v>12</v>
      </c>
      <c r="J9" s="97">
        <v>12</v>
      </c>
      <c r="O9" s="58" t="s">
        <v>437</v>
      </c>
      <c r="P9" s="97">
        <v>20</v>
      </c>
      <c r="Q9" s="97">
        <v>12</v>
      </c>
      <c r="V9" s="58" t="s">
        <v>437</v>
      </c>
      <c r="W9" s="97">
        <v>12</v>
      </c>
      <c r="X9" s="97">
        <v>12</v>
      </c>
      <c r="AC9" s="58" t="s">
        <v>474</v>
      </c>
      <c r="AD9" s="77">
        <v>0.19973614466699974</v>
      </c>
      <c r="BD9" s="58" t="s">
        <v>145</v>
      </c>
      <c r="BE9" s="108" t="str" cm="1">
        <f t="array" ref="BE9">INDEX(E_g_valg[],E_g_aktiv,2)</f>
        <v>Konfidensinterval</v>
      </c>
      <c r="BF9" s="108" t="str" cm="1">
        <f t="array" ref="BF9">INDEX(E_s_valg[],E_s_aktiv,2)</f>
        <v>Konfidensinterval</v>
      </c>
      <c r="BG9" s="108" t="str" cm="1">
        <f t="array" ref="BG9">INDEX(E_a_valg[],E_a_aktiv,2)</f>
        <v>Konfidensinterval</v>
      </c>
      <c r="BH9" s="108" t="str" cm="1">
        <f t="array" ref="BH9">INDEX(E_i_valg[],E_i_aktiv,2)</f>
        <v>Konfidensinterval</v>
      </c>
      <c r="BI9" s="108" t="str" cm="1">
        <f t="array" ref="BI9">INDEX(E_k_valg[],E_k_aktiv,2)</f>
        <v>Venstresidet hypotese om værdi</v>
      </c>
      <c r="BS9" t="s">
        <v>16</v>
      </c>
      <c r="BT9" t="s">
        <v>337</v>
      </c>
      <c r="BU9" t="s">
        <v>290</v>
      </c>
      <c r="BV9" t="s">
        <v>128</v>
      </c>
      <c r="BW9" t="s">
        <v>130</v>
      </c>
      <c r="BX9" t="s">
        <v>142</v>
      </c>
      <c r="BY9" t="s">
        <v>143</v>
      </c>
      <c r="BZ9" t="s">
        <v>298</v>
      </c>
      <c r="CA9" t="s">
        <v>299</v>
      </c>
      <c r="CB9" t="s">
        <v>300</v>
      </c>
      <c r="CC9" t="s">
        <v>301</v>
      </c>
      <c r="CD9" t="s">
        <v>296</v>
      </c>
      <c r="CE9" t="s">
        <v>147</v>
      </c>
      <c r="CF9" t="s">
        <v>148</v>
      </c>
      <c r="CG9" t="s">
        <v>295</v>
      </c>
      <c r="CH9" t="s">
        <v>505</v>
      </c>
      <c r="CI9" t="s">
        <v>506</v>
      </c>
      <c r="CJ9" t="s">
        <v>507</v>
      </c>
      <c r="CK9" t="s">
        <v>508</v>
      </c>
      <c r="CL9" s="159" t="s">
        <v>509</v>
      </c>
      <c r="CM9" s="159" t="s">
        <v>510</v>
      </c>
      <c r="CN9" s="159" t="s">
        <v>511</v>
      </c>
      <c r="CO9" s="159" t="s">
        <v>512</v>
      </c>
      <c r="CP9" s="159" t="s">
        <v>519</v>
      </c>
      <c r="CT9" t="s">
        <v>517</v>
      </c>
      <c r="CU9" t="s">
        <v>513</v>
      </c>
      <c r="CV9" t="s">
        <v>514</v>
      </c>
      <c r="DG9" t="s">
        <v>16</v>
      </c>
      <c r="DH9" t="s">
        <v>337</v>
      </c>
      <c r="DI9" t="s">
        <v>290</v>
      </c>
      <c r="DJ9" t="s">
        <v>128</v>
      </c>
      <c r="DK9" t="s">
        <v>130</v>
      </c>
      <c r="DL9" t="s">
        <v>142</v>
      </c>
      <c r="DM9" t="s">
        <v>143</v>
      </c>
      <c r="DN9" t="s">
        <v>298</v>
      </c>
      <c r="DO9" t="s">
        <v>299</v>
      </c>
      <c r="DP9" t="s">
        <v>300</v>
      </c>
      <c r="DQ9" t="s">
        <v>301</v>
      </c>
      <c r="DR9" t="s">
        <v>296</v>
      </c>
      <c r="DS9" t="s">
        <v>147</v>
      </c>
      <c r="DT9" t="s">
        <v>148</v>
      </c>
      <c r="DU9" t="s">
        <v>295</v>
      </c>
      <c r="DZ9" t="s">
        <v>16</v>
      </c>
      <c r="EA9" t="s">
        <v>337</v>
      </c>
      <c r="EB9" t="s">
        <v>290</v>
      </c>
      <c r="EC9" t="s">
        <v>128</v>
      </c>
      <c r="ED9" t="s">
        <v>130</v>
      </c>
      <c r="EE9" t="s">
        <v>142</v>
      </c>
      <c r="EF9" t="s">
        <v>143</v>
      </c>
      <c r="EG9" t="s">
        <v>298</v>
      </c>
      <c r="EH9" t="s">
        <v>299</v>
      </c>
      <c r="EI9" t="s">
        <v>300</v>
      </c>
      <c r="EJ9" t="s">
        <v>301</v>
      </c>
      <c r="EK9" t="s">
        <v>296</v>
      </c>
      <c r="EL9" t="s">
        <v>147</v>
      </c>
      <c r="EM9" t="s">
        <v>148</v>
      </c>
      <c r="EN9" t="s">
        <v>295</v>
      </c>
      <c r="EO9" t="s">
        <v>505</v>
      </c>
      <c r="EP9" t="s">
        <v>506</v>
      </c>
      <c r="EQ9" t="s">
        <v>507</v>
      </c>
      <c r="ER9" t="s">
        <v>508</v>
      </c>
      <c r="ES9" t="s">
        <v>509</v>
      </c>
      <c r="ET9" t="s">
        <v>510</v>
      </c>
      <c r="EU9" t="s">
        <v>511</v>
      </c>
      <c r="EV9" t="s">
        <v>512</v>
      </c>
      <c r="EW9" t="s">
        <v>519</v>
      </c>
      <c r="EX9" t="s">
        <v>525</v>
      </c>
      <c r="FC9" s="161" t="e">
        <f t="shared" si="18"/>
        <v>#N/A</v>
      </c>
      <c r="FD9" s="169" t="e">
        <f t="shared" ref="FD9:FD30" si="31">FD7+FI8</f>
        <v>#DIV/0!</v>
      </c>
      <c r="FE9" s="7" t="e">
        <f t="shared" si="12"/>
        <v>#DIV/0!</v>
      </c>
      <c r="FF9" t="e">
        <f t="shared" ref="FF9:FF30" si="32">FD9-FD8</f>
        <v>#DIV/0!</v>
      </c>
      <c r="FG9" s="8" t="e">
        <f t="shared" ref="FG9:FG30" si="33">FE9-FE8</f>
        <v>#DIV/0!</v>
      </c>
      <c r="FH9" s="8" t="e">
        <f t="shared" ref="FH9:FH30" si="34">$P$67-FE8</f>
        <v>#DIV/0!</v>
      </c>
      <c r="FI9" s="168" t="e">
        <f t="shared" ref="FI9:FI30" si="35">FF9/(FG9/FH9)</f>
        <v>#DIV/0!</v>
      </c>
      <c r="FJ9" s="161" t="e">
        <f t="shared" ca="1" si="13"/>
        <v>#N/A</v>
      </c>
      <c r="FK9" s="169" t="e" vm="3">
        <f t="shared" ca="1" si="19"/>
        <v>#VALUE!</v>
      </c>
      <c r="FL9" s="7" t="e" vm="3">
        <f t="shared" ca="1" si="14"/>
        <v>#VALUE!</v>
      </c>
      <c r="FM9" t="e" vm="3">
        <f t="shared" ca="1" si="8"/>
        <v>#VALUE!</v>
      </c>
      <c r="FN9" s="8" t="e" vm="3">
        <f t="shared" ca="1" si="9"/>
        <v>#VALUE!</v>
      </c>
      <c r="FO9" s="8" t="e" vm="3">
        <f t="shared" ca="1" si="10"/>
        <v>#VALUE!</v>
      </c>
      <c r="FP9" s="168" t="e" vm="3">
        <f t="shared" ca="1" si="11"/>
        <v>#VALUE!</v>
      </c>
      <c r="FQ9" s="161" t="e">
        <f t="shared" si="15"/>
        <v>#N/A</v>
      </c>
      <c r="FR9" s="169" t="e">
        <f t="shared" si="20"/>
        <v>#N/A</v>
      </c>
      <c r="FS9" s="7" t="e">
        <f t="shared" si="16"/>
        <v>#N/A</v>
      </c>
      <c r="FT9" t="e">
        <f t="shared" si="21"/>
        <v>#N/A</v>
      </c>
      <c r="FU9" s="8" t="e">
        <f t="shared" si="22"/>
        <v>#N/A</v>
      </c>
      <c r="FV9" s="8" t="e">
        <f t="shared" si="23"/>
        <v>#N/A</v>
      </c>
      <c r="FW9" s="168" t="e">
        <f t="shared" si="24"/>
        <v>#N/A</v>
      </c>
      <c r="FX9" s="161" t="e">
        <f t="shared" si="25"/>
        <v>#N/A</v>
      </c>
      <c r="FY9" s="169" t="e">
        <f t="shared" si="26"/>
        <v>#N/A</v>
      </c>
      <c r="FZ9" s="7" t="e">
        <f t="shared" si="17"/>
        <v>#N/A</v>
      </c>
      <c r="GA9" t="e">
        <f t="shared" si="27"/>
        <v>#N/A</v>
      </c>
      <c r="GB9" s="8" t="e">
        <f t="shared" si="28"/>
        <v>#N/A</v>
      </c>
      <c r="GC9" s="8" t="e">
        <f t="shared" si="29"/>
        <v>#N/A</v>
      </c>
      <c r="GD9" s="168" t="e">
        <f t="shared" si="30"/>
        <v>#N/A</v>
      </c>
      <c r="GE9" s="168"/>
      <c r="GF9" s="168"/>
      <c r="GI9" t="s">
        <v>16</v>
      </c>
      <c r="GJ9" t="s">
        <v>337</v>
      </c>
      <c r="GK9" t="s">
        <v>290</v>
      </c>
      <c r="GL9" t="s">
        <v>128</v>
      </c>
      <c r="GM9" t="s">
        <v>130</v>
      </c>
      <c r="GN9" t="s">
        <v>142</v>
      </c>
      <c r="GO9" t="s">
        <v>143</v>
      </c>
      <c r="GP9" t="s">
        <v>298</v>
      </c>
      <c r="GQ9" t="s">
        <v>299</v>
      </c>
      <c r="GR9" t="s">
        <v>300</v>
      </c>
      <c r="GS9" t="s">
        <v>301</v>
      </c>
      <c r="GT9" t="s">
        <v>296</v>
      </c>
      <c r="GU9" t="s">
        <v>147</v>
      </c>
      <c r="GV9" t="s">
        <v>148</v>
      </c>
      <c r="GW9" t="s">
        <v>295</v>
      </c>
      <c r="HC9" t="s">
        <v>16</v>
      </c>
      <c r="HD9" t="s">
        <v>337</v>
      </c>
      <c r="HE9" t="s">
        <v>290</v>
      </c>
      <c r="HF9" t="s">
        <v>128</v>
      </c>
      <c r="HG9" t="s">
        <v>130</v>
      </c>
      <c r="HH9" t="s">
        <v>142</v>
      </c>
      <c r="HI9" t="s">
        <v>143</v>
      </c>
      <c r="HJ9" t="s">
        <v>298</v>
      </c>
      <c r="HK9" t="s">
        <v>299</v>
      </c>
      <c r="HL9" t="s">
        <v>300</v>
      </c>
      <c r="HM9" t="s">
        <v>301</v>
      </c>
      <c r="HN9" t="s">
        <v>296</v>
      </c>
      <c r="HO9" t="s">
        <v>147</v>
      </c>
      <c r="HP9" t="s">
        <v>148</v>
      </c>
      <c r="HQ9" t="s">
        <v>295</v>
      </c>
    </row>
    <row r="10" spans="1:228" x14ac:dyDescent="0.2">
      <c r="A10" s="58" t="s">
        <v>446</v>
      </c>
      <c r="B10" s="77"/>
      <c r="C10" s="77"/>
      <c r="AC10" s="58" t="s">
        <v>437</v>
      </c>
      <c r="AD10" s="97">
        <v>12</v>
      </c>
      <c r="BD10" s="59" t="s">
        <v>153</v>
      </c>
      <c r="BE10" s="108" t="str" cm="1">
        <f t="array" ref="BE10">INDEX(E_g_valg[Diagram titel],E_g_aktiv)</f>
        <v>95% Konfidensinterval for gennemsnit
af Eksempel 1 (interval)</v>
      </c>
      <c r="BF10" s="108" t="str" cm="1">
        <f t="array" ref="BF10">INDEX(E_s_valg[Diagram titel],E_s_aktiv)</f>
        <v>95% Konfidensinterval for standardafvigelse
af Eksempel 1 (interval)</v>
      </c>
      <c r="BG10" s="108" t="str" cm="1">
        <f t="array" ref="BG10">INDEX(E_a_valg[Diagram titel],E_a_aktiv)</f>
        <v>95% Konfidensinterval for andel
af Eksempel 4 (nominal)</v>
      </c>
      <c r="BH10" s="108" t="str" cm="1">
        <f t="array" ref="BH10">INDEX(E_i_valg[Diagram titel],E_i_aktiv)</f>
        <v>95% Konfidensinterval for intensitet
af Eksempel 1 (interval)</v>
      </c>
      <c r="BI10" s="108" t="str" cm="1">
        <f t="array" ref="BI10">INDEX(E_k_valg[Diagram titel],E_k_aktiv)</f>
        <v>Hypotesetest om koefficient i regressionsmodel
Nulhypotesen om at koefficienten for Eksempel 1 (interval) er større end 0
kan ikke afvises med 95% konfidens</v>
      </c>
      <c r="BS10" s="54">
        <f t="shared" ref="BS10:BS73" si="36">ROW(BS10)-ROW(BS$10)</f>
        <v>0</v>
      </c>
      <c r="BT10" s="54">
        <f>Eu_tabel_g[[#This Row],[Indeks]]+1</f>
        <v>1</v>
      </c>
      <c r="BU10" s="54">
        <f t="shared" ref="BU10:BU73" si="37">BU$5+(BU$7-BU$5)/BU$3*BS10</f>
        <v>-3.0902323061678132</v>
      </c>
      <c r="BV10" s="54">
        <f t="shared" ref="BV10:BV73" si="38">IF(BV$3,_xlfn.NORM.DIST(BU10,BV$5,BV$7,FALSE),NA())</f>
        <v>3.3670900770639959E-3</v>
      </c>
      <c r="BW10" s="54" t="e">
        <f t="shared" ref="BW10:BW73" si="39">IF(BW$3,_xlfn.T.DIST(BU10,BW$5,FALSE),NA())</f>
        <v>#N/A</v>
      </c>
      <c r="BX10" s="54" t="e">
        <f t="shared" ref="BX10:BX73" si="40">IF(BX$3,_xlfn.CHISQ.DIST(BU10,BX$5,FALSE),NA())</f>
        <v>#N/A</v>
      </c>
      <c r="BY10" s="54" t="e">
        <f t="shared" ref="BY10:BY73" si="41">IF(BY$3,_xlfn.F.DIST(BU10,BY$5,BY$7,FALSE),NA())</f>
        <v>#N/A</v>
      </c>
      <c r="BZ10" s="54" t="b">
        <f t="shared" ref="BZ10:BZ73" si="42">BU10&lt;BZ$3</f>
        <v>1</v>
      </c>
      <c r="CA10" s="54" t="b">
        <f t="shared" ref="CA10:CA73" si="43">BU10&gt;BZ$3</f>
        <v>0</v>
      </c>
      <c r="CB10" s="54" t="b">
        <f t="shared" ref="CB10:CB73" si="44">OR(BU10&lt;CB$3,BU10&gt;CB$5)</f>
        <v>1</v>
      </c>
      <c r="CC10" s="54" t="b">
        <f t="shared" ref="CC10:CC73" si="45">AND(BU10&gt;CB$3,BU10&lt;CB$5)</f>
        <v>0</v>
      </c>
      <c r="CD10" s="54">
        <f t="shared" ref="CD10" si="46">_xlfn.AGGREGATE(9,6,BV10:BY10)</f>
        <v>3.3670900770639959E-3</v>
      </c>
      <c r="CE10" s="54">
        <f t="shared" ref="CE10:CE73" si="47">IF(INDEX(BZ10:CC10,CD$7),CD10,NA())</f>
        <v>3.3670900770639959E-3</v>
      </c>
      <c r="CF10" s="54" t="e">
        <f t="shared" ref="CF10:CF73" si="48">IF(INDEX(BZ10:CC10,CE$7),CD10,NA())</f>
        <v>#N/A</v>
      </c>
      <c r="CG10" s="72" t="str">
        <f t="shared" ref="CG10:CG73" si="49">_xlfn.SWITCH(BS10,CG$2,CG$5,CG$3,CG$6,CG$4,CG$7,"")</f>
        <v/>
      </c>
      <c r="CH10" s="54">
        <f>_xlfn.NORM.DIST(_xlfn.NORM.INV(1-Eu_g_konfidensniveau,0,1)-Eu_tabel_g[[#This Row],[x base]],0,1,TRUE)</f>
        <v>0.92582422561196043</v>
      </c>
      <c r="CI10" s="54">
        <f>1-_xlfn.NORM.DIST(_xlfn.NORM.INV(Eu_g_konfidensniveau,0,1)-Eu_tabel_g[[#This Row],[x base]],0,1,TRUE)</f>
        <v>1.094811522661665E-6</v>
      </c>
      <c r="CJ10" s="54">
        <f>_xlfn.NORM.DIST(_xlfn.NORM.INV((1-Eu_g_konfidensniveau)/2,0,1)-Eu_tabel_g[[#This Row],[x base]],0,1,TRUE)+1-_xlfn.NORM.DIST(_xlfn.NORM.INV(1-(1-Eu_g_konfidensniveau)/2,0,1)-Eu_tabel_g[[#This Row],[x base]],0,1,TRUE)</f>
        <v>0.87081863135823812</v>
      </c>
      <c r="CK10" s="54" t="e" cm="1">
        <f t="array" ref="CK10">IF($CK$3,INDEX(Eu_tabel_g[[#This Row],[Styrke venstre]:[Styrke tosidet]],CK$7),NA())</f>
        <v>#N/A</v>
      </c>
      <c r="CL10" s="99" t="e">
        <f>Eu_tabel_g[[#This Row],[Falsk positiv
Nulhypotese accepteres
Fejltype 1]]</f>
        <v>#N/A</v>
      </c>
      <c r="CM10" s="99" t="e">
        <f>IF(CHOOSE(CK$7,Eu_tabel_g[[#This Row],[x base]]&gt;0,Eu_tabel_g[[#This Row],[x base]]&lt;0,Eu_tabel_g[[#This Row],[x base]]=0),Eu_tabel_g[[#This Row],[Styrke, aktiv]],NA())</f>
        <v>#N/A</v>
      </c>
      <c r="CN10" s="99" t="e">
        <f>IFERROR(IF($CK$3,Eu_tabel_g[[#This Row],[Styrke, aktiv]],NA()),NA())</f>
        <v>#N/A</v>
      </c>
      <c r="CO10" s="99" t="e">
        <f>IF(ISNA(Eu_tabel_g[[#This Row],[Sand negativ
Nulhypotese afvises
Korrekt]]),NA(),IF($CK$3,1,NA()))</f>
        <v>#N/A</v>
      </c>
      <c r="CP10" s="56" t="str" cm="1">
        <f t="array" ref="CP10">_xlfn.SWITCH(BS10,_xlfn.IFNA(CN$2,-99),CN$5,_xlfn.IFNA(CN$3,-99),CN$6,_xlfn.IFNA(CN$4,-99),CN$7,"")</f>
        <v/>
      </c>
      <c r="CT10" s="7">
        <f t="shared" ref="CT10:CT73" si="50">_xlfn.NORM.DIST(_xlfn.NORM.INV((1-Eu_g_konfidensniveau)/2,0,1)-CU10,0,1,TRUE)+1-_xlfn.NORM.DIST(_xlfn.NORM.INV(1-(1-Eu_g_konfidensniveau)/2,0,1)-CU10,0,1,TRUE)</f>
        <v>0.80000001882220639</v>
      </c>
      <c r="CU10">
        <f>IF(ROW(Styrkeberegning_G[[#This Row],[X base venstre]])=ROW(Styrkeberegning_G[[#Headers],[X base venstre]])+1,CU$7/(CT$7/$B$67),CU9/(CT9/$B$67))</f>
        <v>-2.8015818542458382</v>
      </c>
      <c r="CV10">
        <f>Styrkeberegning_G[[#This Row],[X base venstre]]*-1</f>
        <v>2.8015818542458382</v>
      </c>
      <c r="DG10" s="54">
        <f t="shared" ref="DG10:DG73" si="51">ROW(DG10)-ROW(DG$10)</f>
        <v>0</v>
      </c>
      <c r="DH10" s="54">
        <f t="shared" ref="DH10:DH73" si="52">DG10+1</f>
        <v>1</v>
      </c>
      <c r="DI10" s="54">
        <f t="shared" ref="DI10:DI73" si="53">DI$5+(DI$7-DI$5)/DI$3*DG10</f>
        <v>1.8338526646536903</v>
      </c>
      <c r="DJ10" s="54" t="e">
        <f t="shared" ref="DJ10:DJ73" si="54">IF(DJ$3,_xlfn.NORM.DIST(DI10,DJ$5,DJ$7,FALSE),NA())</f>
        <v>#N/A</v>
      </c>
      <c r="DK10" s="54" t="e">
        <f t="shared" ref="DK10:DK73" si="55">IF(DK$3,_xlfn.T.DIST(DI10,DK$5,FALSE),NA())</f>
        <v>#N/A</v>
      </c>
      <c r="DL10" s="54">
        <f t="shared" ref="DL10:DL73" si="56">IF(DL$3,_xlfn.CHISQ.DIST(DI10,DL$5,FALSE),NA())</f>
        <v>2.584652692089497E-3</v>
      </c>
      <c r="DM10" s="54" t="e">
        <f t="shared" ref="DM10:DM73" si="57">IF(DM$3,_xlfn.F.DIST(DI10,DM$5,DM$7,FALSE),NA())</f>
        <v>#N/A</v>
      </c>
      <c r="DN10" s="54" t="b">
        <f t="shared" ref="DN10:DN73" si="58">DI10&lt;DN$3</f>
        <v>1</v>
      </c>
      <c r="DO10" s="54" t="b">
        <f t="shared" ref="DO10:DO73" si="59">DI10&gt;DN$3</f>
        <v>0</v>
      </c>
      <c r="DP10" s="54" t="b">
        <f t="shared" ref="DP10:DP73" si="60">OR(DI10&lt;DP$3,DI10&gt;DP$5)</f>
        <v>1</v>
      </c>
      <c r="DQ10" s="54" t="b">
        <f t="shared" ref="DQ10:DQ73" si="61">AND(DI10&gt;DP$3,DI10&lt;DP$5)</f>
        <v>0</v>
      </c>
      <c r="DR10" s="54">
        <f t="shared" ref="DR10:DR73" si="62">_xlfn.AGGREGATE(9,6,DJ10:DM10)</f>
        <v>2.584652692089497E-3</v>
      </c>
      <c r="DS10" s="54">
        <f t="shared" ref="DS10:DS73" si="63">IF(INDEX(DN10:DQ10,DR$7),DR10,NA())</f>
        <v>2.584652692089497E-3</v>
      </c>
      <c r="DT10" s="54" t="e">
        <f t="shared" ref="DT10:DT73" si="64">IF(INDEX(DN10:DQ10,DS$7),DR10,NA())</f>
        <v>#N/A</v>
      </c>
      <c r="DU10" s="72" t="str">
        <f t="shared" ref="DU10:DU73" si="65">_xlfn.SWITCH(DG10,DU$2,DU$5,DU$3,DU$6,DU$4,DU$7,"")</f>
        <v/>
      </c>
      <c r="DZ10" s="54">
        <f t="shared" ref="DZ10:DZ73" si="66">ROW(DZ10)-ROW(DZ$10)</f>
        <v>0</v>
      </c>
      <c r="EA10" s="54">
        <f t="shared" ref="EA10:EA73" si="67">DZ10+1</f>
        <v>1</v>
      </c>
      <c r="EB10" s="54">
        <f t="shared" ref="EB10:EB73" si="68">EB$5+(EB$7-EB$5)/EB$3*DZ10</f>
        <v>-3.0902323061678132</v>
      </c>
      <c r="EC10" s="54">
        <f t="shared" ref="EC10:EC73" si="69">IF(EC$3,_xlfn.NORM.DIST(EB10,EC$5,EC$7,FALSE),NA())</f>
        <v>3.3670900770639959E-3</v>
      </c>
      <c r="ED10" s="54" t="e">
        <f t="shared" ref="ED10:ED73" si="70">IF(ED$3,_xlfn.T.DIST(EB10,ED$5,FALSE),NA())</f>
        <v>#N/A</v>
      </c>
      <c r="EE10" s="54" t="e">
        <f t="shared" ref="EE10:EE73" si="71">IF(EE$3,_xlfn.CHISQ.DIST(EB10,EE$5,FALSE),NA())</f>
        <v>#N/A</v>
      </c>
      <c r="EF10" s="54" t="e">
        <f t="shared" ref="EF10:EF73" si="72">IF(EF$3,_xlfn.F.DIST(EB10,EF$5,EF$7,FALSE),NA())</f>
        <v>#N/A</v>
      </c>
      <c r="EG10" s="54" t="b">
        <f t="shared" ref="EG10:EG73" si="73">EB10&lt;EG$3</f>
        <v>1</v>
      </c>
      <c r="EH10" s="54" t="b">
        <f t="shared" ref="EH10:EH73" si="74">EB10&gt;EG$3</f>
        <v>0</v>
      </c>
      <c r="EI10" s="54" t="b">
        <f t="shared" ref="EI10:EI73" si="75">OR(EB10&lt;EI$3,EB10&gt;EI$5)</f>
        <v>1</v>
      </c>
      <c r="EJ10" s="54" t="b">
        <f t="shared" ref="EJ10:EJ73" si="76">AND(EB10&gt;EI$3,EB10&lt;EI$5)</f>
        <v>0</v>
      </c>
      <c r="EK10" s="54">
        <f t="shared" ref="EK10:EK73" si="77">_xlfn.AGGREGATE(9,6,EC10:EF10)</f>
        <v>3.3670900770639959E-3</v>
      </c>
      <c r="EL10" s="54">
        <f t="shared" ref="EL10:EL73" si="78">IF(INDEX(EG10:EJ10,EK$7),EK10,NA())</f>
        <v>3.3670900770639959E-3</v>
      </c>
      <c r="EM10" s="54" t="e">
        <f t="shared" ref="EM10:EM73" si="79">IF(INDEX(EG10:EJ10,EL$7),EK10,NA())</f>
        <v>#N/A</v>
      </c>
      <c r="EN10" s="72" t="str">
        <f t="shared" ref="EN10:EN73" si="80">_xlfn.SWITCH(DZ10,EN$2,EN$5,EN$3,EN$6,EN$4,EN$7,"")</f>
        <v/>
      </c>
      <c r="EO1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0" s="54" t="e" cm="1">
        <f t="array" ref="ER10">IF($CK$3,INDEX(Eu_tabel_a[[#This Row],[Styrke venstre]:[Styrke tosidet]],ER$7),NA())</f>
        <v>#N/A</v>
      </c>
      <c r="ES10" s="54" t="e">
        <f>IF(ER$3,IF(CHOOSE(ER$7,Eu_tabel_a[[#This Row],[x base]]&gt;0,Eu_tabel_a[[#This Row],[x base]]&lt;0,Eu_tabel_a[[#This Row],[x base]]=0),1,NA()),NA())</f>
        <v>#N/A</v>
      </c>
      <c r="ET10" s="99" t="e">
        <f>IF(CHOOSE(ER$7,Eu_tabel_a[[#This Row],[x base]]&gt;0,Eu_tabel_a[[#This Row],[x base]]&lt;0,Eu_tabel_a[[#This Row],[x base]]=0),Eu_tabel_a[[#This Row],[Styrke, aktiv]],NA())</f>
        <v>#N/A</v>
      </c>
      <c r="EU10" s="54" t="e">
        <f>IFERROR(IF($ER$3,Eu_tabel_a[[#This Row],[Styrke, aktiv]],NA()),NA())</f>
        <v>#N/A</v>
      </c>
      <c r="EV10" s="54" t="e">
        <f>IF(ISNA(Eu_tabel_a[[#This Row],[Sand negativ
Nulhypotese afvises
Korrekt]]),NA(),IF(ER$3,1,NA()))</f>
        <v>#N/A</v>
      </c>
      <c r="EW10" s="55" t="str" cm="1">
        <f t="array" ref="EW10">IFERROR(_xlfn.SWITCH(Eu_tabel_a[[#This Row],[Indeks]],_xlfn.IFNA(EU$2,-99),EU$5,_xlfn.IFNA(EU$3,-99),EU$6,_xlfn.IFNA(EU$4,-99),EU$7,""),"")</f>
        <v/>
      </c>
      <c r="EX10" s="54">
        <f>Eu_tabel_a[[#This Row],[x base]]*SQRT(Eu_a_h0_x*(1-Eu_a_h0_x)/Eu_a_n_x)+Eu_a_h0_x</f>
        <v>0</v>
      </c>
      <c r="FC10" s="161" t="e">
        <f t="shared" si="18"/>
        <v>#N/A</v>
      </c>
      <c r="FD10" s="169" t="e">
        <f t="shared" si="31"/>
        <v>#DIV/0!</v>
      </c>
      <c r="FE10" s="7" t="e">
        <f t="shared" si="12"/>
        <v>#DIV/0!</v>
      </c>
      <c r="FF10" t="e">
        <f t="shared" si="32"/>
        <v>#DIV/0!</v>
      </c>
      <c r="FG10" s="8" t="e">
        <f t="shared" si="33"/>
        <v>#DIV/0!</v>
      </c>
      <c r="FH10" s="8" t="e">
        <f t="shared" si="34"/>
        <v>#DIV/0!</v>
      </c>
      <c r="FI10" s="168" t="e">
        <f t="shared" si="35"/>
        <v>#DIV/0!</v>
      </c>
      <c r="FJ10" s="161" t="e">
        <f t="shared" ca="1" si="13"/>
        <v>#N/A</v>
      </c>
      <c r="FK10" s="169" t="e" vm="3">
        <f t="shared" ca="1" si="19"/>
        <v>#VALUE!</v>
      </c>
      <c r="FL10" s="7" t="e" vm="3">
        <f t="shared" ca="1" si="14"/>
        <v>#VALUE!</v>
      </c>
      <c r="FM10" t="e" vm="3">
        <f t="shared" ca="1" si="8"/>
        <v>#VALUE!</v>
      </c>
      <c r="FN10" s="8" t="e" vm="3">
        <f t="shared" ca="1" si="9"/>
        <v>#VALUE!</v>
      </c>
      <c r="FO10" s="8" t="e" vm="3">
        <f t="shared" ca="1" si="10"/>
        <v>#VALUE!</v>
      </c>
      <c r="FP10" s="168" t="e" vm="3">
        <f t="shared" ca="1" si="11"/>
        <v>#VALUE!</v>
      </c>
      <c r="FQ10" s="161" t="e">
        <f t="shared" si="15"/>
        <v>#N/A</v>
      </c>
      <c r="FR10" s="169" t="e">
        <f t="shared" si="20"/>
        <v>#N/A</v>
      </c>
      <c r="FS10" s="7" t="e">
        <f t="shared" si="16"/>
        <v>#N/A</v>
      </c>
      <c r="FT10" t="e">
        <f t="shared" si="21"/>
        <v>#N/A</v>
      </c>
      <c r="FU10" s="8" t="e">
        <f t="shared" si="22"/>
        <v>#N/A</v>
      </c>
      <c r="FV10" s="8" t="e">
        <f t="shared" si="23"/>
        <v>#N/A</v>
      </c>
      <c r="FW10" s="168" t="e">
        <f t="shared" si="24"/>
        <v>#N/A</v>
      </c>
      <c r="FX10" s="161" t="e">
        <f t="shared" si="25"/>
        <v>#N/A</v>
      </c>
      <c r="FY10" s="169" t="e">
        <f t="shared" si="26"/>
        <v>#N/A</v>
      </c>
      <c r="FZ10" s="7" t="e">
        <f t="shared" si="17"/>
        <v>#N/A</v>
      </c>
      <c r="GA10" t="e">
        <f t="shared" si="27"/>
        <v>#N/A</v>
      </c>
      <c r="GB10" s="8" t="e">
        <f t="shared" si="28"/>
        <v>#N/A</v>
      </c>
      <c r="GC10" s="8" t="e">
        <f t="shared" si="29"/>
        <v>#N/A</v>
      </c>
      <c r="GD10" s="168" t="e">
        <f t="shared" si="30"/>
        <v>#N/A</v>
      </c>
      <c r="GE10" s="168"/>
      <c r="GF10" s="168"/>
      <c r="GI10" s="54">
        <f t="shared" ref="GI10:GI73" si="81">ROW(GI10)-ROW(GI$10)</f>
        <v>0</v>
      </c>
      <c r="GJ10" s="54">
        <f t="shared" ref="GJ10:GJ73" si="82">GI10+1</f>
        <v>1</v>
      </c>
      <c r="GK10" s="54">
        <f t="shared" ref="GK10:GK73" si="83">GK$5+(GK$7-GK$5)/GK$3*GI10</f>
        <v>-3.0902323061678132</v>
      </c>
      <c r="GL10" s="54">
        <f t="shared" ref="GL10:GL73" si="84">IF(GL$3,_xlfn.NORM.DIST(GK10,GL$5,GL$7,FALSE),NA())</f>
        <v>3.3670900770639959E-3</v>
      </c>
      <c r="GM10" s="54" t="e">
        <f t="shared" ref="GM10:GM73" si="85">IF(GM$3,_xlfn.T.DIST(GK10,GM$5,FALSE),NA())</f>
        <v>#N/A</v>
      </c>
      <c r="GN10" s="54" t="e">
        <f t="shared" ref="GN10:GN73" si="86">IF(GN$3,_xlfn.CHISQ.DIST(GK10,GN$5,FALSE),NA())</f>
        <v>#N/A</v>
      </c>
      <c r="GO10" s="54" t="e">
        <f t="shared" ref="GO10:GO73" si="87">IF(GO$3,_xlfn.F.DIST(GK10,GO$5,GO$7,FALSE),NA())</f>
        <v>#N/A</v>
      </c>
      <c r="GP10" s="54" t="b">
        <f t="shared" ref="GP10:GP73" si="88">GK10&lt;GP$3</f>
        <v>1</v>
      </c>
      <c r="GQ10" s="54" t="b">
        <f t="shared" ref="GQ10:GQ73" si="89">GK10&gt;GP$3</f>
        <v>0</v>
      </c>
      <c r="GR10" s="54" t="b">
        <f t="shared" ref="GR10:GR73" si="90">OR(GK10&lt;GR$3,GK10&gt;GR$5)</f>
        <v>1</v>
      </c>
      <c r="GS10" s="54" t="b">
        <f t="shared" ref="GS10:GS73" si="91">AND(GK10&gt;GR$3,GK10&lt;GR$5)</f>
        <v>0</v>
      </c>
      <c r="GT10" s="54">
        <f t="shared" ref="GT10:GT73" si="92">_xlfn.AGGREGATE(9,6,GL10:GO10)</f>
        <v>3.3670900770639959E-3</v>
      </c>
      <c r="GU10" s="54">
        <f t="shared" ref="GU10:GU73" si="93">IF(INDEX(GP10:GS10,GT$7),GT10,NA())</f>
        <v>3.3670900770639959E-3</v>
      </c>
      <c r="GV10" s="54" t="e">
        <f t="shared" ref="GV10:GV73" si="94">IF(INDEX(GP10:GS10,GU$7),GT10,NA())</f>
        <v>#N/A</v>
      </c>
      <c r="GW10" s="72" t="str">
        <f t="shared" ref="GW10:GW73" si="95">_xlfn.SWITCH(GI10,GW$2,GW$5,GW$3,GW$6,GW$4,GW$7,"")</f>
        <v/>
      </c>
      <c r="HC10" s="54">
        <f t="shared" ref="HC10:HC73" si="96">ROW(HC10)-ROW(HC$10)</f>
        <v>0</v>
      </c>
      <c r="HD10" s="54">
        <f t="shared" ref="HD10:HD73" si="97">HC10+1</f>
        <v>1</v>
      </c>
      <c r="HE10" s="54">
        <f t="shared" ref="HE10:HE73" si="98">HE$5+(HE$7-HE$5)/HE$3*HC10</f>
        <v>-4.7852896286383331</v>
      </c>
      <c r="HF10" s="54" t="e">
        <f t="shared" ref="HF10:HF73" si="99">IF(HF$3,_xlfn.NORM.DIST(HE10,HF$5,HF$7,FALSE),NA())</f>
        <v>#N/A</v>
      </c>
      <c r="HG10" s="54">
        <f t="shared" ref="HG10:HG73" si="100">IF(HG$3,_xlfn.T.DIST(HE10,HG$5,FALSE),NA())</f>
        <v>1.1566894571072798E-3</v>
      </c>
      <c r="HH10" s="54" t="e">
        <f t="shared" ref="HH10:HH73" si="101">IF(HH$3,_xlfn.CHISQ.DIST(HE10,HH$5,FALSE),NA())</f>
        <v>#N/A</v>
      </c>
      <c r="HI10" s="54" t="e">
        <f t="shared" ref="HI10:HI73" si="102">IF(HI$3,_xlfn.F.DIST(HE10,HI$5,HI$7,FALSE),NA())</f>
        <v>#N/A</v>
      </c>
      <c r="HJ10" s="54" t="b">
        <f t="shared" ref="HJ10:HJ73" si="103">HE10&lt;HJ$3</f>
        <v>1</v>
      </c>
      <c r="HK10" s="54" t="b">
        <f t="shared" ref="HK10:HK73" si="104">HE10&gt;HJ$3</f>
        <v>0</v>
      </c>
      <c r="HL10" s="54" t="b">
        <f t="shared" ref="HL10:HL73" si="105">OR(HE10&lt;HL$3,HE10&gt;HL$5)</f>
        <v>1</v>
      </c>
      <c r="HM10" s="54" t="b">
        <f t="shared" ref="HM10:HM73" si="106">AND(HE10&gt;HL$3,HE10&lt;HL$5)</f>
        <v>0</v>
      </c>
      <c r="HN10" s="54">
        <f t="shared" ref="HN10:HN73" si="107">_xlfn.AGGREGATE(9,6,HF10:HI10)</f>
        <v>1.1566894571072798E-3</v>
      </c>
      <c r="HO10" s="54">
        <f t="shared" ref="HO10:HO73" si="108">IF(INDEX(HJ10:HM10,HN$7),HN10,NA())</f>
        <v>1.1566894571072798E-3</v>
      </c>
      <c r="HP10" s="54" t="e">
        <f t="shared" ref="HP10:HP73" si="109">IF(INDEX(HJ10:HM10,HO$7),HN10,NA())</f>
        <v>#N/A</v>
      </c>
      <c r="HQ10" s="72" t="str">
        <f t="shared" ref="HQ10:HQ73" si="110">_xlfn.SWITCH(HC10,HQ$2,HQ$5,HQ$3,HQ$6,HQ$4,HQ$7,"")</f>
        <v/>
      </c>
    </row>
    <row r="11" spans="1:228" x14ac:dyDescent="0.2">
      <c r="A11" s="58" t="s">
        <v>437</v>
      </c>
      <c r="B11" s="97">
        <v>12</v>
      </c>
      <c r="C11" s="97">
        <v>12</v>
      </c>
      <c r="AC11" s="58" t="s">
        <v>471</v>
      </c>
      <c r="AD11" s="97">
        <v>5</v>
      </c>
      <c r="BD11" s="59" t="s">
        <v>151</v>
      </c>
      <c r="BE11" s="108" t="str">
        <f>INDEX(E_g_valg[X akse titel],E_g_aktiv)</f>
        <v>Populationsestimat for gennemsnit fra stikprøver af størrelsen n = 12
fra en population med gennemsnit = 1.854
 og standardafvigelse = 4.307</v>
      </c>
      <c r="BF11" s="108" t="str">
        <f>INDEX(E_s_valg[X akse titel],E_s_aktiv)</f>
        <v>Populationsestimat for standardafvigelse fra stikprøver af størrelsen n = 12
baseret på en stikprøve med standardafvigelse = 4.307</v>
      </c>
      <c r="BG11" s="108" t="str">
        <f>INDEX(E_a_valg[X akse titel],E_a_aktiv)</f>
        <v>Populationsestimat for andel fra stikprøver af størrelsen n = 20
fra en population med andel = 41.667%</v>
      </c>
      <c r="BH11" s="108" t="str">
        <f>INDEX(E_i_valg[X akse titel],E_i_aktiv)</f>
        <v>Populationsestimat for intensitet fra stikprøver af størrelsen n = 12
fra en population med intensitet = 1.854</v>
      </c>
      <c r="BI11" s="108" t="str">
        <f>INDEX(E_k_valg[X akse titel],E_k_aktiv)</f>
        <v>Koefficient i stikprøver af størrelsen n = 12
fra en population med koefficient = 0</v>
      </c>
      <c r="BS11" s="54">
        <f t="shared" si="36"/>
        <v>1</v>
      </c>
      <c r="BT11" s="54">
        <f>Eu_tabel_g[[#This Row],[Indeks]]+1</f>
        <v>2</v>
      </c>
      <c r="BU11" s="54">
        <f t="shared" si="37"/>
        <v>-3.0662770169727138</v>
      </c>
      <c r="BV11" s="54">
        <f t="shared" si="38"/>
        <v>3.6247646909920227E-3</v>
      </c>
      <c r="BW11" s="54" t="e">
        <f t="shared" si="39"/>
        <v>#N/A</v>
      </c>
      <c r="BX11" s="54" t="e">
        <f t="shared" si="40"/>
        <v>#N/A</v>
      </c>
      <c r="BY11" s="54" t="e">
        <f t="shared" si="41"/>
        <v>#N/A</v>
      </c>
      <c r="BZ11" s="54" t="b">
        <f t="shared" si="42"/>
        <v>1</v>
      </c>
      <c r="CA11" s="54" t="b">
        <f t="shared" si="43"/>
        <v>0</v>
      </c>
      <c r="CB11" s="54" t="b">
        <f t="shared" si="44"/>
        <v>1</v>
      </c>
      <c r="CC11" s="54" t="b">
        <f t="shared" si="45"/>
        <v>0</v>
      </c>
      <c r="CD11" s="54">
        <f t="shared" ref="CD11:CD29" si="111">_xlfn.AGGREGATE(9,6,BV11:BY11)</f>
        <v>3.6247646909920227E-3</v>
      </c>
      <c r="CE11" s="54">
        <f t="shared" si="47"/>
        <v>3.6247646909920227E-3</v>
      </c>
      <c r="CF11" s="54" t="e">
        <f t="shared" si="48"/>
        <v>#N/A</v>
      </c>
      <c r="CG11" s="72" t="str">
        <f t="shared" si="49"/>
        <v/>
      </c>
      <c r="CH11" s="54">
        <f>_xlfn.NORM.DIST(_xlfn.NORM.INV(1-Eu_g_konfidensniveau,0,1)-Eu_tabel_g[[#This Row],[x base]],0,1,TRUE)</f>
        <v>0.92240314468252083</v>
      </c>
      <c r="CI11" s="54">
        <f>1-_xlfn.NORM.DIST(_xlfn.NORM.INV(Eu_g_konfidensniveau,0,1)-Eu_tabel_g[[#This Row],[x base]],0,1,TRUE)</f>
        <v>1.2317312236831413E-6</v>
      </c>
      <c r="CJ11" s="54">
        <f>_xlfn.NORM.DIST(_xlfn.NORM.INV((1-Eu_g_konfidensniveau)/2,0,1)-Eu_tabel_g[[#This Row],[x base]],0,1,TRUE)+1-_xlfn.NORM.DIST(_xlfn.NORM.INV(1-(1-Eu_g_konfidensniveau)/2,0,1)-Eu_tabel_g[[#This Row],[x base]],0,1,TRUE)</f>
        <v>0.86570472365340956</v>
      </c>
      <c r="CK11" s="54" t="e" cm="1">
        <f t="array" ref="CK11">IF($CK$3,INDEX(Eu_tabel_g[[#This Row],[Styrke venstre]:[Styrke tosidet]],CK$7),NA())</f>
        <v>#N/A</v>
      </c>
      <c r="CL11" s="99" t="e">
        <f>Eu_tabel_g[[#This Row],[Falsk positiv
Nulhypotese accepteres
Fejltype 1]]</f>
        <v>#N/A</v>
      </c>
      <c r="CM11" s="99" t="e">
        <f>IF(CHOOSE(CK$7,Eu_tabel_g[[#This Row],[x base]]&gt;0,Eu_tabel_g[[#This Row],[x base]]&lt;0,Eu_tabel_g[[#This Row],[x base]]=0),Eu_tabel_g[[#This Row],[Styrke, aktiv]],NA())</f>
        <v>#N/A</v>
      </c>
      <c r="CN11" s="99" t="e">
        <f>IFERROR(IF($CK$3,Eu_tabel_g[[#This Row],[Styrke, aktiv]],NA()),NA())</f>
        <v>#N/A</v>
      </c>
      <c r="CO11" s="99" t="e">
        <f>IF(ISNA(Eu_tabel_g[[#This Row],[Sand negativ
Nulhypotese afvises
Korrekt]]),NA(),IF($CK$3,1,NA()))</f>
        <v>#N/A</v>
      </c>
      <c r="CP11" s="56" t="str" cm="1">
        <f t="array" ref="CP11">_xlfn.SWITCH(BS11,_xlfn.IFNA(CN$2,-99),CN$5,_xlfn.IFNA(CN$3,-99),CN$6,_xlfn.IFNA(CN$4,-99),CN$7,"")</f>
        <v/>
      </c>
      <c r="CT11" s="7">
        <f t="shared" si="50"/>
        <v>0.80000000036879471</v>
      </c>
      <c r="CU11">
        <f>IF(ROW(Styrkeberegning_G[[#This Row],[X base venstre]])=ROW(Styrkeberegning_G[[#Headers],[X base venstre]])+1,CU$7/(CT$7/$B$67),CU10/(CT10/$B$67))</f>
        <v>-2.8015817883308998</v>
      </c>
      <c r="CV11">
        <f>Styrkeberegning_G[[#This Row],[X base venstre]]*-1</f>
        <v>2.8015817883308998</v>
      </c>
      <c r="DG11" s="54">
        <f t="shared" si="51"/>
        <v>1</v>
      </c>
      <c r="DH11" s="54">
        <f t="shared" si="52"/>
        <v>2</v>
      </c>
      <c r="DI11" s="54">
        <f t="shared" si="53"/>
        <v>1.9479235210706913</v>
      </c>
      <c r="DJ11" s="54" t="e">
        <f t="shared" si="54"/>
        <v>#N/A</v>
      </c>
      <c r="DK11" s="54" t="e">
        <f t="shared" si="55"/>
        <v>#N/A</v>
      </c>
      <c r="DL11" s="54">
        <f t="shared" si="56"/>
        <v>3.2030638559866179E-3</v>
      </c>
      <c r="DM11" s="54" t="e">
        <f t="shared" si="57"/>
        <v>#N/A</v>
      </c>
      <c r="DN11" s="54" t="b">
        <f t="shared" si="58"/>
        <v>1</v>
      </c>
      <c r="DO11" s="54" t="b">
        <f t="shared" si="59"/>
        <v>0</v>
      </c>
      <c r="DP11" s="54" t="b">
        <f t="shared" si="60"/>
        <v>1</v>
      </c>
      <c r="DQ11" s="54" t="b">
        <f t="shared" si="61"/>
        <v>0</v>
      </c>
      <c r="DR11" s="54">
        <f t="shared" si="62"/>
        <v>3.2030638559866179E-3</v>
      </c>
      <c r="DS11" s="54">
        <f t="shared" si="63"/>
        <v>3.2030638559866179E-3</v>
      </c>
      <c r="DT11" s="54" t="e">
        <f t="shared" si="64"/>
        <v>#N/A</v>
      </c>
      <c r="DU11" s="72" t="str">
        <f t="shared" si="65"/>
        <v/>
      </c>
      <c r="DZ11" s="54">
        <f t="shared" si="66"/>
        <v>1</v>
      </c>
      <c r="EA11" s="54">
        <f t="shared" si="67"/>
        <v>2</v>
      </c>
      <c r="EB11" s="54">
        <f t="shared" si="68"/>
        <v>-3.0662770169727138</v>
      </c>
      <c r="EC11" s="54">
        <f t="shared" si="69"/>
        <v>3.6247646909920227E-3</v>
      </c>
      <c r="ED11" s="54" t="e">
        <f t="shared" si="70"/>
        <v>#N/A</v>
      </c>
      <c r="EE11" s="54" t="e">
        <f t="shared" si="71"/>
        <v>#N/A</v>
      </c>
      <c r="EF11" s="54" t="e">
        <f t="shared" si="72"/>
        <v>#N/A</v>
      </c>
      <c r="EG11" s="54" t="b">
        <f t="shared" si="73"/>
        <v>1</v>
      </c>
      <c r="EH11" s="54" t="b">
        <f t="shared" si="74"/>
        <v>0</v>
      </c>
      <c r="EI11" s="54" t="b">
        <f t="shared" si="75"/>
        <v>1</v>
      </c>
      <c r="EJ11" s="54" t="b">
        <f t="shared" si="76"/>
        <v>0</v>
      </c>
      <c r="EK11" s="54">
        <f t="shared" si="77"/>
        <v>3.6247646909920227E-3</v>
      </c>
      <c r="EL11" s="54">
        <f t="shared" si="78"/>
        <v>3.6247646909920227E-3</v>
      </c>
      <c r="EM11" s="54" t="e">
        <f t="shared" si="79"/>
        <v>#N/A</v>
      </c>
      <c r="EN11" s="72" t="str">
        <f t="shared" si="80"/>
        <v/>
      </c>
      <c r="EO1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1" s="54" t="e" cm="1">
        <f t="array" ref="ER11">IF($CK$3,INDEX(Eu_tabel_a[[#This Row],[Styrke venstre]:[Styrke tosidet]],ER$7),NA())</f>
        <v>#N/A</v>
      </c>
      <c r="ES11" s="54" t="e">
        <f>IF(ER$3,IF(CHOOSE(ER$7,Eu_tabel_a[[#This Row],[x base]]&gt;0,Eu_tabel_a[[#This Row],[x base]]&lt;0,Eu_tabel_a[[#This Row],[x base]]=0),1,NA()),NA())</f>
        <v>#N/A</v>
      </c>
      <c r="ET11" s="54" t="e">
        <f>IF(CHOOSE(ER$7,Eu_tabel_a[[#This Row],[x base]]&gt;0,Eu_tabel_a[[#This Row],[x base]]&lt;0,Eu_tabel_a[[#This Row],[x base]]=0),Eu_tabel_a[[#This Row],[Styrke, aktiv]],NA())</f>
        <v>#N/A</v>
      </c>
      <c r="EU11" s="54" t="e">
        <f>IFERROR(IF($ER$3,Eu_tabel_a[[#This Row],[Styrke, aktiv]],NA()),NA())</f>
        <v>#N/A</v>
      </c>
      <c r="EV11" s="54" t="e">
        <f>IF(ISNA(Eu_tabel_a[[#This Row],[Sand negativ
Nulhypotese afvises
Korrekt]]),NA(),IF(ER$3,1,NA()))</f>
        <v>#N/A</v>
      </c>
      <c r="EW11" s="55" t="str" cm="1">
        <f t="array" ref="EW11">IFERROR(_xlfn.SWITCH(Eu_tabel_a[[#This Row],[Indeks]],_xlfn.IFNA(EU$2,-99),EU$5,_xlfn.IFNA(EU$3,-99),EU$6,_xlfn.IFNA(EU$4,-99),EU$7,""),"")</f>
        <v/>
      </c>
      <c r="EX11" s="54">
        <f>Eu_tabel_a[[#This Row],[x base]]*SQRT(Eu_a_h0_x*(1-Eu_a_h0_x)/Eu_a_n_x)+Eu_a_h0_x</f>
        <v>0</v>
      </c>
      <c r="FC11" s="161" t="e">
        <f t="shared" si="18"/>
        <v>#N/A</v>
      </c>
      <c r="FD11" s="169" t="e">
        <f t="shared" si="31"/>
        <v>#DIV/0!</v>
      </c>
      <c r="FE11" s="7" t="e">
        <f t="shared" si="12"/>
        <v>#DIV/0!</v>
      </c>
      <c r="FF11" t="e">
        <f t="shared" si="32"/>
        <v>#DIV/0!</v>
      </c>
      <c r="FG11" s="8" t="e">
        <f t="shared" si="33"/>
        <v>#DIV/0!</v>
      </c>
      <c r="FH11" s="8" t="e">
        <f t="shared" si="34"/>
        <v>#DIV/0!</v>
      </c>
      <c r="FI11" s="168" t="e">
        <f t="shared" si="35"/>
        <v>#DIV/0!</v>
      </c>
      <c r="FJ11" s="161" t="e">
        <f t="shared" ca="1" si="13"/>
        <v>#N/A</v>
      </c>
      <c r="FK11" s="169" t="e" vm="3">
        <f t="shared" ca="1" si="19"/>
        <v>#VALUE!</v>
      </c>
      <c r="FL11" s="7" t="e" vm="3">
        <f t="shared" ca="1" si="14"/>
        <v>#VALUE!</v>
      </c>
      <c r="FM11" t="e" vm="3">
        <f t="shared" ca="1" si="8"/>
        <v>#VALUE!</v>
      </c>
      <c r="FN11" s="8" t="e" vm="3">
        <f t="shared" ca="1" si="9"/>
        <v>#VALUE!</v>
      </c>
      <c r="FO11" s="8" t="e" vm="3">
        <f t="shared" ca="1" si="10"/>
        <v>#VALUE!</v>
      </c>
      <c r="FP11" s="168" t="e" vm="3">
        <f t="shared" ca="1" si="11"/>
        <v>#VALUE!</v>
      </c>
      <c r="FQ11" s="161" t="e">
        <f t="shared" si="15"/>
        <v>#N/A</v>
      </c>
      <c r="FR11" s="169" t="e">
        <f t="shared" si="20"/>
        <v>#N/A</v>
      </c>
      <c r="FS11" s="7" t="e">
        <f t="shared" si="16"/>
        <v>#N/A</v>
      </c>
      <c r="FT11" t="e">
        <f t="shared" si="21"/>
        <v>#N/A</v>
      </c>
      <c r="FU11" s="8" t="e">
        <f t="shared" si="22"/>
        <v>#N/A</v>
      </c>
      <c r="FV11" s="8" t="e">
        <f t="shared" si="23"/>
        <v>#N/A</v>
      </c>
      <c r="FW11" s="168" t="e">
        <f t="shared" si="24"/>
        <v>#N/A</v>
      </c>
      <c r="FX11" s="161" t="e">
        <f t="shared" si="25"/>
        <v>#N/A</v>
      </c>
      <c r="FY11" s="169" t="e">
        <f t="shared" si="26"/>
        <v>#N/A</v>
      </c>
      <c r="FZ11" s="7" t="e">
        <f t="shared" si="17"/>
        <v>#N/A</v>
      </c>
      <c r="GA11" t="e">
        <f t="shared" si="27"/>
        <v>#N/A</v>
      </c>
      <c r="GB11" s="8" t="e">
        <f t="shared" si="28"/>
        <v>#N/A</v>
      </c>
      <c r="GC11" s="8" t="e">
        <f t="shared" si="29"/>
        <v>#N/A</v>
      </c>
      <c r="GD11" s="168" t="e">
        <f t="shared" si="30"/>
        <v>#N/A</v>
      </c>
      <c r="GE11" s="168"/>
      <c r="GF11" s="168"/>
      <c r="GI11" s="54">
        <f t="shared" si="81"/>
        <v>1</v>
      </c>
      <c r="GJ11" s="54">
        <f t="shared" si="82"/>
        <v>2</v>
      </c>
      <c r="GK11" s="54">
        <f t="shared" si="83"/>
        <v>-3.0662770169727138</v>
      </c>
      <c r="GL11" s="54">
        <f t="shared" si="84"/>
        <v>3.6247646909920227E-3</v>
      </c>
      <c r="GM11" s="54" t="e">
        <f t="shared" si="85"/>
        <v>#N/A</v>
      </c>
      <c r="GN11" s="54" t="e">
        <f t="shared" si="86"/>
        <v>#N/A</v>
      </c>
      <c r="GO11" s="54" t="e">
        <f t="shared" si="87"/>
        <v>#N/A</v>
      </c>
      <c r="GP11" s="54" t="b">
        <f t="shared" si="88"/>
        <v>1</v>
      </c>
      <c r="GQ11" s="54" t="b">
        <f t="shared" si="89"/>
        <v>0</v>
      </c>
      <c r="GR11" s="54" t="b">
        <f t="shared" si="90"/>
        <v>1</v>
      </c>
      <c r="GS11" s="54" t="b">
        <f t="shared" si="91"/>
        <v>0</v>
      </c>
      <c r="GT11" s="54">
        <f t="shared" si="92"/>
        <v>3.6247646909920227E-3</v>
      </c>
      <c r="GU11" s="54">
        <f t="shared" si="93"/>
        <v>3.6247646909920227E-3</v>
      </c>
      <c r="GV11" s="54" t="e">
        <f t="shared" si="94"/>
        <v>#N/A</v>
      </c>
      <c r="GW11" s="72" t="str">
        <f t="shared" si="95"/>
        <v/>
      </c>
      <c r="HC11" s="54">
        <f t="shared" si="96"/>
        <v>1</v>
      </c>
      <c r="HD11" s="54">
        <f t="shared" si="97"/>
        <v>2</v>
      </c>
      <c r="HE11" s="54">
        <f t="shared" si="98"/>
        <v>-4.7481943601992764</v>
      </c>
      <c r="HF11" s="54" t="e">
        <f t="shared" si="99"/>
        <v>#N/A</v>
      </c>
      <c r="HG11" s="54">
        <f t="shared" si="100"/>
        <v>1.2130723617778491E-3</v>
      </c>
      <c r="HH11" s="54" t="e">
        <f t="shared" si="101"/>
        <v>#N/A</v>
      </c>
      <c r="HI11" s="54" t="e">
        <f t="shared" si="102"/>
        <v>#N/A</v>
      </c>
      <c r="HJ11" s="54" t="b">
        <f t="shared" si="103"/>
        <v>1</v>
      </c>
      <c r="HK11" s="54" t="b">
        <f t="shared" si="104"/>
        <v>0</v>
      </c>
      <c r="HL11" s="54" t="b">
        <f t="shared" si="105"/>
        <v>1</v>
      </c>
      <c r="HM11" s="54" t="b">
        <f t="shared" si="106"/>
        <v>0</v>
      </c>
      <c r="HN11" s="54">
        <f t="shared" si="107"/>
        <v>1.2130723617778491E-3</v>
      </c>
      <c r="HO11" s="54">
        <f t="shared" si="108"/>
        <v>1.2130723617778491E-3</v>
      </c>
      <c r="HP11" s="54" t="e">
        <f t="shared" si="109"/>
        <v>#N/A</v>
      </c>
      <c r="HQ11" s="72" t="str">
        <f t="shared" si="110"/>
        <v/>
      </c>
    </row>
    <row r="12" spans="1:228" x14ac:dyDescent="0.2">
      <c r="BD12" s="100" t="s">
        <v>14</v>
      </c>
      <c r="BE12" s="58" t="s">
        <v>14</v>
      </c>
      <c r="BF12" s="58" t="s">
        <v>14</v>
      </c>
      <c r="BG12" s="58" t="s">
        <v>14</v>
      </c>
      <c r="BH12" s="58" t="s">
        <v>14</v>
      </c>
      <c r="BI12" s="58" t="s">
        <v>14</v>
      </c>
      <c r="BS12" s="54">
        <f t="shared" si="36"/>
        <v>2</v>
      </c>
      <c r="BT12" s="54">
        <f>Eu_tabel_g[[#This Row],[Indeks]]+1</f>
        <v>3</v>
      </c>
      <c r="BU12" s="54">
        <f t="shared" si="37"/>
        <v>-3.0423217277776144</v>
      </c>
      <c r="BV12" s="54">
        <f t="shared" si="38"/>
        <v>3.8999198362770038E-3</v>
      </c>
      <c r="BW12" s="54" t="e">
        <f t="shared" si="39"/>
        <v>#N/A</v>
      </c>
      <c r="BX12" s="54" t="e">
        <f t="shared" si="40"/>
        <v>#N/A</v>
      </c>
      <c r="BY12" s="54" t="e">
        <f t="shared" si="41"/>
        <v>#N/A</v>
      </c>
      <c r="BZ12" s="54" t="b">
        <f t="shared" si="42"/>
        <v>1</v>
      </c>
      <c r="CA12" s="54" t="b">
        <f t="shared" si="43"/>
        <v>0</v>
      </c>
      <c r="CB12" s="54" t="b">
        <f t="shared" si="44"/>
        <v>1</v>
      </c>
      <c r="CC12" s="54" t="b">
        <f t="shared" si="45"/>
        <v>0</v>
      </c>
      <c r="CD12" s="54">
        <f t="shared" si="111"/>
        <v>3.8999198362770038E-3</v>
      </c>
      <c r="CE12" s="54">
        <f t="shared" si="47"/>
        <v>3.8999198362770038E-3</v>
      </c>
      <c r="CF12" s="54" t="e">
        <f t="shared" si="48"/>
        <v>#N/A</v>
      </c>
      <c r="CG12" s="72" t="str">
        <f t="shared" si="49"/>
        <v/>
      </c>
      <c r="CH12" s="54">
        <f>_xlfn.NORM.DIST(_xlfn.NORM.INV(1-Eu_g_konfidensniveau,0,1)-Eu_tabel_g[[#This Row],[x base]],0,1,TRUE)</f>
        <v>0.91886357365027505</v>
      </c>
      <c r="CI12" s="54">
        <f>1-_xlfn.NORM.DIST(_xlfn.NORM.INV(Eu_g_konfidensniveau,0,1)-Eu_tabel_g[[#This Row],[x base]],0,1,TRUE)</f>
        <v>1.3850080688992961E-6</v>
      </c>
      <c r="CJ12" s="54">
        <f>_xlfn.NORM.DIST(_xlfn.NORM.INV((1-Eu_g_konfidensniveau)/2,0,1)-Eu_tabel_g[[#This Row],[x base]],0,1,TRUE)+1-_xlfn.NORM.DIST(_xlfn.NORM.INV(1-(1-Eu_g_konfidensniveau)/2,0,1)-Eu_tabel_g[[#This Row],[x base]],0,1,TRUE)</f>
        <v>0.86045348467743621</v>
      </c>
      <c r="CK12" s="54" t="e" cm="1">
        <f t="array" ref="CK12">IF($CK$3,INDEX(Eu_tabel_g[[#This Row],[Styrke venstre]:[Styrke tosidet]],CK$7),NA())</f>
        <v>#N/A</v>
      </c>
      <c r="CL12" s="99" t="e">
        <f>Eu_tabel_g[[#This Row],[Falsk positiv
Nulhypotese accepteres
Fejltype 1]]</f>
        <v>#N/A</v>
      </c>
      <c r="CM12" s="99" t="e">
        <f>IF(CHOOSE(CK$7,Eu_tabel_g[[#This Row],[x base]]&gt;0,Eu_tabel_g[[#This Row],[x base]]&lt;0,Eu_tabel_g[[#This Row],[x base]]=0),Eu_tabel_g[[#This Row],[Styrke, aktiv]],NA())</f>
        <v>#N/A</v>
      </c>
      <c r="CN12" s="99" t="e">
        <f>IFERROR(IF($CK$3,Eu_tabel_g[[#This Row],[Styrke, aktiv]],NA()),NA())</f>
        <v>#N/A</v>
      </c>
      <c r="CO12" s="99" t="e">
        <f>IF(ISNA(Eu_tabel_g[[#This Row],[Sand negativ
Nulhypotese afvises
Korrekt]]),NA(),IF($CK$3,1,NA()))</f>
        <v>#N/A</v>
      </c>
      <c r="CP12" s="56" t="str" cm="1">
        <f t="array" ref="CP12">_xlfn.SWITCH(BS12,_xlfn.IFNA(CN$2,-99),CN$5,_xlfn.IFNA(CN$3,-99),CN$6,_xlfn.IFNA(CN$4,-99),CN$7,"")</f>
        <v/>
      </c>
      <c r="CT12" s="7">
        <f t="shared" si="50"/>
        <v>0.80000000000722593</v>
      </c>
      <c r="CU12">
        <f>IF(ROW(Styrkeberegning_G[[#This Row],[X base venstre]])=ROW(Styrkeberegning_G[[#Headers],[X base venstre]])+1,CU$7/(CT$7/$B$67),CU11/(CT11/$B$67))</f>
        <v>-2.8015817870393893</v>
      </c>
      <c r="CV12">
        <f>Styrkeberegning_G[[#This Row],[X base venstre]]*-1</f>
        <v>2.8015817870393893</v>
      </c>
      <c r="DG12" s="54">
        <f t="shared" si="51"/>
        <v>2</v>
      </c>
      <c r="DH12" s="54">
        <f t="shared" si="52"/>
        <v>3</v>
      </c>
      <c r="DI12" s="54">
        <f t="shared" si="53"/>
        <v>2.0619943774876925</v>
      </c>
      <c r="DJ12" s="54" t="e">
        <f t="shared" si="54"/>
        <v>#N/A</v>
      </c>
      <c r="DK12" s="54" t="e">
        <f t="shared" si="55"/>
        <v>#N/A</v>
      </c>
      <c r="DL12" s="54">
        <f t="shared" si="56"/>
        <v>3.9085485663345257E-3</v>
      </c>
      <c r="DM12" s="54" t="e">
        <f t="shared" si="57"/>
        <v>#N/A</v>
      </c>
      <c r="DN12" s="54" t="b">
        <f t="shared" si="58"/>
        <v>1</v>
      </c>
      <c r="DO12" s="54" t="b">
        <f t="shared" si="59"/>
        <v>0</v>
      </c>
      <c r="DP12" s="54" t="b">
        <f t="shared" si="60"/>
        <v>1</v>
      </c>
      <c r="DQ12" s="54" t="b">
        <f t="shared" si="61"/>
        <v>0</v>
      </c>
      <c r="DR12" s="54">
        <f t="shared" si="62"/>
        <v>3.9085485663345257E-3</v>
      </c>
      <c r="DS12" s="54">
        <f t="shared" si="63"/>
        <v>3.9085485663345257E-3</v>
      </c>
      <c r="DT12" s="54" t="e">
        <f t="shared" si="64"/>
        <v>#N/A</v>
      </c>
      <c r="DU12" s="72" t="str">
        <f t="shared" si="65"/>
        <v/>
      </c>
      <c r="DZ12" s="54">
        <f t="shared" si="66"/>
        <v>2</v>
      </c>
      <c r="EA12" s="54">
        <f t="shared" si="67"/>
        <v>3</v>
      </c>
      <c r="EB12" s="54">
        <f t="shared" si="68"/>
        <v>-3.0423217277776144</v>
      </c>
      <c r="EC12" s="54">
        <f t="shared" si="69"/>
        <v>3.8999198362770038E-3</v>
      </c>
      <c r="ED12" s="54" t="e">
        <f t="shared" si="70"/>
        <v>#N/A</v>
      </c>
      <c r="EE12" s="54" t="e">
        <f t="shared" si="71"/>
        <v>#N/A</v>
      </c>
      <c r="EF12" s="54" t="e">
        <f t="shared" si="72"/>
        <v>#N/A</v>
      </c>
      <c r="EG12" s="54" t="b">
        <f t="shared" si="73"/>
        <v>1</v>
      </c>
      <c r="EH12" s="54" t="b">
        <f t="shared" si="74"/>
        <v>0</v>
      </c>
      <c r="EI12" s="54" t="b">
        <f t="shared" si="75"/>
        <v>1</v>
      </c>
      <c r="EJ12" s="54" t="b">
        <f t="shared" si="76"/>
        <v>0</v>
      </c>
      <c r="EK12" s="54">
        <f t="shared" si="77"/>
        <v>3.8999198362770038E-3</v>
      </c>
      <c r="EL12" s="54">
        <f t="shared" si="78"/>
        <v>3.8999198362770038E-3</v>
      </c>
      <c r="EM12" s="54" t="e">
        <f t="shared" si="79"/>
        <v>#N/A</v>
      </c>
      <c r="EN12" s="72" t="str">
        <f t="shared" si="80"/>
        <v/>
      </c>
      <c r="EO1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2" s="54" t="e" cm="1">
        <f t="array" ref="ER12">IF($CK$3,INDEX(Eu_tabel_a[[#This Row],[Styrke venstre]:[Styrke tosidet]],ER$7),NA())</f>
        <v>#N/A</v>
      </c>
      <c r="ES12" s="54" t="e">
        <f>IF(ER$3,IF(CHOOSE(ER$7,Eu_tabel_a[[#This Row],[x base]]&gt;0,Eu_tabel_a[[#This Row],[x base]]&lt;0,Eu_tabel_a[[#This Row],[x base]]=0),1,NA()),NA())</f>
        <v>#N/A</v>
      </c>
      <c r="ET12" s="54" t="e">
        <f>IF(CHOOSE(ER$7,Eu_tabel_a[[#This Row],[x base]]&gt;0,Eu_tabel_a[[#This Row],[x base]]&lt;0,Eu_tabel_a[[#This Row],[x base]]=0),Eu_tabel_a[[#This Row],[Styrke, aktiv]],NA())</f>
        <v>#N/A</v>
      </c>
      <c r="EU12" s="54" t="e">
        <f>IFERROR(IF($ER$3,Eu_tabel_a[[#This Row],[Styrke, aktiv]],NA()),NA())</f>
        <v>#N/A</v>
      </c>
      <c r="EV12" s="54" t="e">
        <f>IF(ISNA(Eu_tabel_a[[#This Row],[Sand negativ
Nulhypotese afvises
Korrekt]]),NA(),IF(ER$3,1,NA()))</f>
        <v>#N/A</v>
      </c>
      <c r="EW12" s="55" t="str" cm="1">
        <f t="array" ref="EW12">IFERROR(_xlfn.SWITCH(Eu_tabel_a[[#This Row],[Indeks]],_xlfn.IFNA(EU$2,-99),EU$5,_xlfn.IFNA(EU$3,-99),EU$6,_xlfn.IFNA(EU$4,-99),EU$7,""),"")</f>
        <v/>
      </c>
      <c r="EX12" s="54">
        <f>Eu_tabel_a[[#This Row],[x base]]*SQRT(Eu_a_h0_x*(1-Eu_a_h0_x)/Eu_a_n_x)+Eu_a_h0_x</f>
        <v>0</v>
      </c>
      <c r="FC12" s="161" t="e">
        <f t="shared" si="18"/>
        <v>#N/A</v>
      </c>
      <c r="FD12" s="169" t="e">
        <f t="shared" si="31"/>
        <v>#DIV/0!</v>
      </c>
      <c r="FE12" s="7" t="e">
        <f t="shared" si="12"/>
        <v>#DIV/0!</v>
      </c>
      <c r="FF12" t="e">
        <f t="shared" si="32"/>
        <v>#DIV/0!</v>
      </c>
      <c r="FG12" s="8" t="e">
        <f t="shared" si="33"/>
        <v>#DIV/0!</v>
      </c>
      <c r="FH12" s="8" t="e">
        <f t="shared" si="34"/>
        <v>#DIV/0!</v>
      </c>
      <c r="FI12" s="168" t="e">
        <f t="shared" si="35"/>
        <v>#DIV/0!</v>
      </c>
      <c r="FJ12" s="161" t="e">
        <f t="shared" ca="1" si="13"/>
        <v>#N/A</v>
      </c>
      <c r="FK12" s="169" t="e" vm="3">
        <f t="shared" ca="1" si="19"/>
        <v>#VALUE!</v>
      </c>
      <c r="FL12" s="7" t="e" vm="3">
        <f t="shared" ca="1" si="14"/>
        <v>#VALUE!</v>
      </c>
      <c r="FM12" t="e" vm="3">
        <f t="shared" ca="1" si="8"/>
        <v>#VALUE!</v>
      </c>
      <c r="FN12" s="8" t="e" vm="3">
        <f t="shared" ca="1" si="9"/>
        <v>#VALUE!</v>
      </c>
      <c r="FO12" s="8" t="e" vm="3">
        <f t="shared" ca="1" si="10"/>
        <v>#VALUE!</v>
      </c>
      <c r="FP12" s="168" t="e" vm="3">
        <f t="shared" ca="1" si="11"/>
        <v>#VALUE!</v>
      </c>
      <c r="FQ12" s="161" t="e">
        <f t="shared" si="15"/>
        <v>#N/A</v>
      </c>
      <c r="FR12" s="169" t="e">
        <f t="shared" si="20"/>
        <v>#N/A</v>
      </c>
      <c r="FS12" s="7" t="e">
        <f t="shared" si="16"/>
        <v>#N/A</v>
      </c>
      <c r="FT12" t="e">
        <f t="shared" si="21"/>
        <v>#N/A</v>
      </c>
      <c r="FU12" s="8" t="e">
        <f t="shared" si="22"/>
        <v>#N/A</v>
      </c>
      <c r="FV12" s="8" t="e">
        <f t="shared" si="23"/>
        <v>#N/A</v>
      </c>
      <c r="FW12" s="168" t="e">
        <f t="shared" si="24"/>
        <v>#N/A</v>
      </c>
      <c r="FX12" s="161" t="e">
        <f t="shared" si="25"/>
        <v>#N/A</v>
      </c>
      <c r="FY12" s="169" t="e">
        <f t="shared" si="26"/>
        <v>#N/A</v>
      </c>
      <c r="FZ12" s="7" t="e">
        <f t="shared" si="17"/>
        <v>#N/A</v>
      </c>
      <c r="GA12" t="e">
        <f t="shared" si="27"/>
        <v>#N/A</v>
      </c>
      <c r="GB12" s="8" t="e">
        <f t="shared" si="28"/>
        <v>#N/A</v>
      </c>
      <c r="GC12" s="8" t="e">
        <f t="shared" si="29"/>
        <v>#N/A</v>
      </c>
      <c r="GD12" s="168" t="e">
        <f t="shared" si="30"/>
        <v>#N/A</v>
      </c>
      <c r="GE12" s="168"/>
      <c r="GF12" s="168"/>
      <c r="GI12" s="54">
        <f t="shared" si="81"/>
        <v>2</v>
      </c>
      <c r="GJ12" s="54">
        <f t="shared" si="82"/>
        <v>3</v>
      </c>
      <c r="GK12" s="54">
        <f t="shared" si="83"/>
        <v>-3.0423217277776144</v>
      </c>
      <c r="GL12" s="54">
        <f t="shared" si="84"/>
        <v>3.8999198362770038E-3</v>
      </c>
      <c r="GM12" s="54" t="e">
        <f t="shared" si="85"/>
        <v>#N/A</v>
      </c>
      <c r="GN12" s="54" t="e">
        <f t="shared" si="86"/>
        <v>#N/A</v>
      </c>
      <c r="GO12" s="54" t="e">
        <f t="shared" si="87"/>
        <v>#N/A</v>
      </c>
      <c r="GP12" s="54" t="b">
        <f t="shared" si="88"/>
        <v>1</v>
      </c>
      <c r="GQ12" s="54" t="b">
        <f t="shared" si="89"/>
        <v>0</v>
      </c>
      <c r="GR12" s="54" t="b">
        <f t="shared" si="90"/>
        <v>1</v>
      </c>
      <c r="GS12" s="54" t="b">
        <f t="shared" si="91"/>
        <v>0</v>
      </c>
      <c r="GT12" s="54">
        <f t="shared" si="92"/>
        <v>3.8999198362770038E-3</v>
      </c>
      <c r="GU12" s="54">
        <f t="shared" si="93"/>
        <v>3.8999198362770038E-3</v>
      </c>
      <c r="GV12" s="54" t="e">
        <f t="shared" si="94"/>
        <v>#N/A</v>
      </c>
      <c r="GW12" s="72" t="str">
        <f t="shared" si="95"/>
        <v/>
      </c>
      <c r="HC12" s="54">
        <f t="shared" si="96"/>
        <v>2</v>
      </c>
      <c r="HD12" s="54">
        <f t="shared" si="97"/>
        <v>3</v>
      </c>
      <c r="HE12" s="54">
        <f t="shared" si="98"/>
        <v>-4.7110990917602198</v>
      </c>
      <c r="HF12" s="54" t="e">
        <f t="shared" si="99"/>
        <v>#N/A</v>
      </c>
      <c r="HG12" s="54">
        <f t="shared" si="100"/>
        <v>1.2724530798355995E-3</v>
      </c>
      <c r="HH12" s="54" t="e">
        <f t="shared" si="101"/>
        <v>#N/A</v>
      </c>
      <c r="HI12" s="54" t="e">
        <f t="shared" si="102"/>
        <v>#N/A</v>
      </c>
      <c r="HJ12" s="54" t="b">
        <f t="shared" si="103"/>
        <v>1</v>
      </c>
      <c r="HK12" s="54" t="b">
        <f t="shared" si="104"/>
        <v>0</v>
      </c>
      <c r="HL12" s="54" t="b">
        <f t="shared" si="105"/>
        <v>1</v>
      </c>
      <c r="HM12" s="54" t="b">
        <f t="shared" si="106"/>
        <v>0</v>
      </c>
      <c r="HN12" s="54">
        <f t="shared" si="107"/>
        <v>1.2724530798355995E-3</v>
      </c>
      <c r="HO12" s="54">
        <f t="shared" si="108"/>
        <v>1.2724530798355995E-3</v>
      </c>
      <c r="HP12" s="54" t="e">
        <f t="shared" si="109"/>
        <v>#N/A</v>
      </c>
      <c r="HQ12" s="72" t="str">
        <f t="shared" si="110"/>
        <v/>
      </c>
    </row>
    <row r="13" spans="1:228" x14ac:dyDescent="0.2">
      <c r="BD13" s="58" t="s">
        <v>155</v>
      </c>
      <c r="BE13" s="60" t="str">
        <f>INDEX(E_g_valg[Forudsætning 1],E_g_aktiv)</f>
        <v>Datatypen er interval</v>
      </c>
      <c r="BF13" s="60" t="str">
        <f>INDEX(E_s_valg[Forudsætning 1],E_s_aktiv)</f>
        <v>Datatypen er interval</v>
      </c>
      <c r="BG13" s="60" t="str">
        <f>INDEX(E_a_valg[Forudsætning 1],E_a_aktiv)</f>
        <v>Datatypen er nominal, hvor succes er TRUE og øvrige værdier er FALSE</v>
      </c>
      <c r="BH13" s="60" t="str">
        <f>INDEX(E_i_valg[Forudsætning 1],E_i_aktiv)</f>
        <v>Observationerne består af antal successer fra lige store tidsintervaller</v>
      </c>
      <c r="BI13" s="60" t="str">
        <f>INDEX(E_k_valg[Forudsætning 1],E_k_aktiv)</f>
        <v>Datatypen er interval</v>
      </c>
      <c r="BS13" s="54">
        <f t="shared" si="36"/>
        <v>3</v>
      </c>
      <c r="BT13" s="54">
        <f>Eu_tabel_g[[#This Row],[Indeks]]+1</f>
        <v>4</v>
      </c>
      <c r="BU13" s="54">
        <f t="shared" si="37"/>
        <v>-3.0183664385825151</v>
      </c>
      <c r="BV13" s="54">
        <f t="shared" si="38"/>
        <v>4.1935547655993473E-3</v>
      </c>
      <c r="BW13" s="54" t="e">
        <f t="shared" si="39"/>
        <v>#N/A</v>
      </c>
      <c r="BX13" s="54" t="e">
        <f t="shared" si="40"/>
        <v>#N/A</v>
      </c>
      <c r="BY13" s="54" t="e">
        <f t="shared" si="41"/>
        <v>#N/A</v>
      </c>
      <c r="BZ13" s="54" t="b">
        <f t="shared" si="42"/>
        <v>1</v>
      </c>
      <c r="CA13" s="54" t="b">
        <f t="shared" si="43"/>
        <v>0</v>
      </c>
      <c r="CB13" s="54" t="b">
        <f t="shared" si="44"/>
        <v>1</v>
      </c>
      <c r="CC13" s="54" t="b">
        <f t="shared" si="45"/>
        <v>0</v>
      </c>
      <c r="CD13" s="54">
        <f t="shared" si="111"/>
        <v>4.1935547655993473E-3</v>
      </c>
      <c r="CE13" s="54">
        <f t="shared" si="47"/>
        <v>4.1935547655993473E-3</v>
      </c>
      <c r="CF13" s="54" t="e">
        <f t="shared" si="48"/>
        <v>#N/A</v>
      </c>
      <c r="CG13" s="72" t="str">
        <f t="shared" si="49"/>
        <v/>
      </c>
      <c r="CH13" s="54">
        <f>_xlfn.NORM.DIST(_xlfn.NORM.INV(1-Eu_g_konfidensniveau,0,1)-Eu_tabel_g[[#This Row],[x base]],0,1,TRUE)</f>
        <v>0.91520350942874473</v>
      </c>
      <c r="CI13" s="54">
        <f>1-_xlfn.NORM.DIST(_xlfn.NORM.INV(Eu_g_konfidensniveau,0,1)-Eu_tabel_g[[#This Row],[x base]],0,1,TRUE)</f>
        <v>1.5564977342563679E-6</v>
      </c>
      <c r="CJ13" s="54">
        <f>_xlfn.NORM.DIST(_xlfn.NORM.INV((1-Eu_g_konfidensniveau)/2,0,1)-Eu_tabel_g[[#This Row],[x base]],0,1,TRUE)+1-_xlfn.NORM.DIST(_xlfn.NORM.INV(1-(1-Eu_g_konfidensniveau)/2,0,1)-Eu_tabel_g[[#This Row],[x base]],0,1,TRUE)</f>
        <v>0.85506432011602818</v>
      </c>
      <c r="CK13" s="54" t="e" cm="1">
        <f t="array" ref="CK13">IF($CK$3,INDEX(Eu_tabel_g[[#This Row],[Styrke venstre]:[Styrke tosidet]],CK$7),NA())</f>
        <v>#N/A</v>
      </c>
      <c r="CL13" s="99" t="e">
        <f>Eu_tabel_g[[#This Row],[Falsk positiv
Nulhypotese accepteres
Fejltype 1]]</f>
        <v>#N/A</v>
      </c>
      <c r="CM13" s="99" t="e">
        <f>IF(CHOOSE(CK$7,Eu_tabel_g[[#This Row],[x base]]&gt;0,Eu_tabel_g[[#This Row],[x base]]&lt;0,Eu_tabel_g[[#This Row],[x base]]=0),Eu_tabel_g[[#This Row],[Styrke, aktiv]],NA())</f>
        <v>#N/A</v>
      </c>
      <c r="CN13" s="99" t="e">
        <f>IFERROR(IF($CK$3,Eu_tabel_g[[#This Row],[Styrke, aktiv]],NA()),NA())</f>
        <v>#N/A</v>
      </c>
      <c r="CO13" s="99" t="e">
        <f>IF(ISNA(Eu_tabel_g[[#This Row],[Sand negativ
Nulhypotese afvises
Korrekt]]),NA(),IF($CK$3,1,NA()))</f>
        <v>#N/A</v>
      </c>
      <c r="CP13" s="56" t="str" cm="1">
        <f t="array" ref="CP13">_xlfn.SWITCH(BS13,_xlfn.IFNA(CN$2,-99),CN$5,_xlfn.IFNA(CN$3,-99),CN$6,_xlfn.IFNA(CN$4,-99),CN$7,"")</f>
        <v/>
      </c>
      <c r="CT13" s="7">
        <f t="shared" si="50"/>
        <v>0.80000000000014171</v>
      </c>
      <c r="CU13">
        <f>IF(ROW(Styrkeberegning_G[[#This Row],[X base venstre]])=ROW(Styrkeberegning_G[[#Headers],[X base venstre]])+1,CU$7/(CT$7/$B$67),CU12/(CT12/$B$67))</f>
        <v>-2.8015817870140847</v>
      </c>
      <c r="CV13">
        <f>Styrkeberegning_G[[#This Row],[X base venstre]]*-1</f>
        <v>2.8015817870140847</v>
      </c>
      <c r="DG13" s="54">
        <f t="shared" si="51"/>
        <v>3</v>
      </c>
      <c r="DH13" s="54">
        <f t="shared" si="52"/>
        <v>4</v>
      </c>
      <c r="DI13" s="54">
        <f t="shared" si="53"/>
        <v>2.1760652339046933</v>
      </c>
      <c r="DJ13" s="54" t="e">
        <f t="shared" si="54"/>
        <v>#N/A</v>
      </c>
      <c r="DK13" s="54" t="e">
        <f t="shared" si="55"/>
        <v>#N/A</v>
      </c>
      <c r="DL13" s="54">
        <f t="shared" si="56"/>
        <v>4.7040864314258782E-3</v>
      </c>
      <c r="DM13" s="54" t="e">
        <f t="shared" si="57"/>
        <v>#N/A</v>
      </c>
      <c r="DN13" s="54" t="b">
        <f t="shared" si="58"/>
        <v>1</v>
      </c>
      <c r="DO13" s="54" t="b">
        <f t="shared" si="59"/>
        <v>0</v>
      </c>
      <c r="DP13" s="54" t="b">
        <f t="shared" si="60"/>
        <v>1</v>
      </c>
      <c r="DQ13" s="54" t="b">
        <f t="shared" si="61"/>
        <v>0</v>
      </c>
      <c r="DR13" s="54">
        <f t="shared" si="62"/>
        <v>4.7040864314258782E-3</v>
      </c>
      <c r="DS13" s="54">
        <f t="shared" si="63"/>
        <v>4.7040864314258782E-3</v>
      </c>
      <c r="DT13" s="54" t="e">
        <f t="shared" si="64"/>
        <v>#N/A</v>
      </c>
      <c r="DU13" s="72" t="str">
        <f t="shared" si="65"/>
        <v/>
      </c>
      <c r="DZ13" s="54">
        <f t="shared" si="66"/>
        <v>3</v>
      </c>
      <c r="EA13" s="54">
        <f t="shared" si="67"/>
        <v>4</v>
      </c>
      <c r="EB13" s="54">
        <f t="shared" si="68"/>
        <v>-3.0183664385825151</v>
      </c>
      <c r="EC13" s="54">
        <f t="shared" si="69"/>
        <v>4.1935547655993473E-3</v>
      </c>
      <c r="ED13" s="54" t="e">
        <f t="shared" si="70"/>
        <v>#N/A</v>
      </c>
      <c r="EE13" s="54" t="e">
        <f t="shared" si="71"/>
        <v>#N/A</v>
      </c>
      <c r="EF13" s="54" t="e">
        <f t="shared" si="72"/>
        <v>#N/A</v>
      </c>
      <c r="EG13" s="54" t="b">
        <f t="shared" si="73"/>
        <v>1</v>
      </c>
      <c r="EH13" s="54" t="b">
        <f t="shared" si="74"/>
        <v>0</v>
      </c>
      <c r="EI13" s="54" t="b">
        <f t="shared" si="75"/>
        <v>1</v>
      </c>
      <c r="EJ13" s="54" t="b">
        <f t="shared" si="76"/>
        <v>0</v>
      </c>
      <c r="EK13" s="54">
        <f t="shared" si="77"/>
        <v>4.1935547655993473E-3</v>
      </c>
      <c r="EL13" s="54">
        <f t="shared" si="78"/>
        <v>4.1935547655993473E-3</v>
      </c>
      <c r="EM13" s="54" t="e">
        <f t="shared" si="79"/>
        <v>#N/A</v>
      </c>
      <c r="EN13" s="72" t="str">
        <f t="shared" si="80"/>
        <v/>
      </c>
      <c r="EO1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3" s="54" t="e" cm="1">
        <f t="array" ref="ER13">IF($CK$3,INDEX(Eu_tabel_a[[#This Row],[Styrke venstre]:[Styrke tosidet]],ER$7),NA())</f>
        <v>#N/A</v>
      </c>
      <c r="ES13" s="54" t="e">
        <f>IF(ER$3,IF(CHOOSE(ER$7,Eu_tabel_a[[#This Row],[x base]]&gt;0,Eu_tabel_a[[#This Row],[x base]]&lt;0,Eu_tabel_a[[#This Row],[x base]]=0),1,NA()),NA())</f>
        <v>#N/A</v>
      </c>
      <c r="ET13" s="54" t="e">
        <f>IF(CHOOSE(ER$7,Eu_tabel_a[[#This Row],[x base]]&gt;0,Eu_tabel_a[[#This Row],[x base]]&lt;0,Eu_tabel_a[[#This Row],[x base]]=0),Eu_tabel_a[[#This Row],[Styrke, aktiv]],NA())</f>
        <v>#N/A</v>
      </c>
      <c r="EU13" s="54" t="e">
        <f>IFERROR(IF($ER$3,Eu_tabel_a[[#This Row],[Styrke, aktiv]],NA()),NA())</f>
        <v>#N/A</v>
      </c>
      <c r="EV13" s="54" t="e">
        <f>IF(ISNA(Eu_tabel_a[[#This Row],[Sand negativ
Nulhypotese afvises
Korrekt]]),NA(),IF(ER$3,1,NA()))</f>
        <v>#N/A</v>
      </c>
      <c r="EW13" s="55" t="str" cm="1">
        <f t="array" ref="EW13">IFERROR(_xlfn.SWITCH(Eu_tabel_a[[#This Row],[Indeks]],_xlfn.IFNA(EU$2,-99),EU$5,_xlfn.IFNA(EU$3,-99),EU$6,_xlfn.IFNA(EU$4,-99),EU$7,""),"")</f>
        <v/>
      </c>
      <c r="EX13" s="54">
        <f>Eu_tabel_a[[#This Row],[x base]]*SQRT(Eu_a_h0_x*(1-Eu_a_h0_x)/Eu_a_n_x)+Eu_a_h0_x</f>
        <v>0</v>
      </c>
      <c r="FC13" s="161" t="e">
        <f t="shared" si="18"/>
        <v>#N/A</v>
      </c>
      <c r="FD13" s="169" t="e">
        <f t="shared" si="31"/>
        <v>#DIV/0!</v>
      </c>
      <c r="FE13" s="7" t="e">
        <f t="shared" si="12"/>
        <v>#DIV/0!</v>
      </c>
      <c r="FF13" t="e">
        <f t="shared" si="32"/>
        <v>#DIV/0!</v>
      </c>
      <c r="FG13" s="8" t="e">
        <f t="shared" si="33"/>
        <v>#DIV/0!</v>
      </c>
      <c r="FH13" s="8" t="e">
        <f t="shared" si="34"/>
        <v>#DIV/0!</v>
      </c>
      <c r="FI13" s="168" t="e">
        <f t="shared" si="35"/>
        <v>#DIV/0!</v>
      </c>
      <c r="FJ13" s="161" t="e">
        <f t="shared" ca="1" si="13"/>
        <v>#N/A</v>
      </c>
      <c r="FK13" s="169" t="e" vm="3">
        <f t="shared" ca="1" si="19"/>
        <v>#VALUE!</v>
      </c>
      <c r="FL13" s="7" t="e" vm="3">
        <f t="shared" ca="1" si="14"/>
        <v>#VALUE!</v>
      </c>
      <c r="FM13" t="e" vm="3">
        <f t="shared" ca="1" si="8"/>
        <v>#VALUE!</v>
      </c>
      <c r="FN13" s="8" t="e" vm="3">
        <f t="shared" ca="1" si="9"/>
        <v>#VALUE!</v>
      </c>
      <c r="FO13" s="8" t="e" vm="3">
        <f t="shared" ca="1" si="10"/>
        <v>#VALUE!</v>
      </c>
      <c r="FP13" s="168" t="e" vm="3">
        <f t="shared" ca="1" si="11"/>
        <v>#VALUE!</v>
      </c>
      <c r="FQ13" s="161" t="e">
        <f t="shared" si="15"/>
        <v>#N/A</v>
      </c>
      <c r="FR13" s="169" t="e">
        <f t="shared" si="20"/>
        <v>#N/A</v>
      </c>
      <c r="FS13" s="7" t="e">
        <f t="shared" si="16"/>
        <v>#N/A</v>
      </c>
      <c r="FT13" t="e">
        <f t="shared" si="21"/>
        <v>#N/A</v>
      </c>
      <c r="FU13" s="8" t="e">
        <f t="shared" si="22"/>
        <v>#N/A</v>
      </c>
      <c r="FV13" s="8" t="e">
        <f t="shared" si="23"/>
        <v>#N/A</v>
      </c>
      <c r="FW13" s="168" t="e">
        <f t="shared" si="24"/>
        <v>#N/A</v>
      </c>
      <c r="FX13" s="161" t="e">
        <f t="shared" si="25"/>
        <v>#N/A</v>
      </c>
      <c r="FY13" s="169" t="e">
        <f t="shared" si="26"/>
        <v>#N/A</v>
      </c>
      <c r="FZ13" s="7" t="e">
        <f t="shared" si="17"/>
        <v>#N/A</v>
      </c>
      <c r="GA13" t="e">
        <f t="shared" si="27"/>
        <v>#N/A</v>
      </c>
      <c r="GB13" s="8" t="e">
        <f t="shared" si="28"/>
        <v>#N/A</v>
      </c>
      <c r="GC13" s="8" t="e">
        <f t="shared" si="29"/>
        <v>#N/A</v>
      </c>
      <c r="GD13" s="168" t="e">
        <f t="shared" si="30"/>
        <v>#N/A</v>
      </c>
      <c r="GE13" s="168"/>
      <c r="GF13" s="168"/>
      <c r="GI13" s="54">
        <f t="shared" si="81"/>
        <v>3</v>
      </c>
      <c r="GJ13" s="54">
        <f t="shared" si="82"/>
        <v>4</v>
      </c>
      <c r="GK13" s="54">
        <f t="shared" si="83"/>
        <v>-3.0183664385825151</v>
      </c>
      <c r="GL13" s="54">
        <f t="shared" si="84"/>
        <v>4.1935547655993473E-3</v>
      </c>
      <c r="GM13" s="54" t="e">
        <f t="shared" si="85"/>
        <v>#N/A</v>
      </c>
      <c r="GN13" s="54" t="e">
        <f t="shared" si="86"/>
        <v>#N/A</v>
      </c>
      <c r="GO13" s="54" t="e">
        <f t="shared" si="87"/>
        <v>#N/A</v>
      </c>
      <c r="GP13" s="54" t="b">
        <f t="shared" si="88"/>
        <v>1</v>
      </c>
      <c r="GQ13" s="54" t="b">
        <f t="shared" si="89"/>
        <v>0</v>
      </c>
      <c r="GR13" s="54" t="b">
        <f t="shared" si="90"/>
        <v>1</v>
      </c>
      <c r="GS13" s="54" t="b">
        <f t="shared" si="91"/>
        <v>0</v>
      </c>
      <c r="GT13" s="54">
        <f t="shared" si="92"/>
        <v>4.1935547655993473E-3</v>
      </c>
      <c r="GU13" s="54">
        <f t="shared" si="93"/>
        <v>4.1935547655993473E-3</v>
      </c>
      <c r="GV13" s="54" t="e">
        <f t="shared" si="94"/>
        <v>#N/A</v>
      </c>
      <c r="GW13" s="72" t="str">
        <f t="shared" si="95"/>
        <v/>
      </c>
      <c r="HC13" s="54">
        <f t="shared" si="96"/>
        <v>3</v>
      </c>
      <c r="HD13" s="54">
        <f t="shared" si="97"/>
        <v>4</v>
      </c>
      <c r="HE13" s="54">
        <f t="shared" si="98"/>
        <v>-4.6740038233211623</v>
      </c>
      <c r="HF13" s="54" t="e">
        <f t="shared" si="99"/>
        <v>#N/A</v>
      </c>
      <c r="HG13" s="54">
        <f t="shared" si="100"/>
        <v>1.3350024886192569E-3</v>
      </c>
      <c r="HH13" s="54" t="e">
        <f t="shared" si="101"/>
        <v>#N/A</v>
      </c>
      <c r="HI13" s="54" t="e">
        <f t="shared" si="102"/>
        <v>#N/A</v>
      </c>
      <c r="HJ13" s="54" t="b">
        <f t="shared" si="103"/>
        <v>1</v>
      </c>
      <c r="HK13" s="54" t="b">
        <f t="shared" si="104"/>
        <v>0</v>
      </c>
      <c r="HL13" s="54" t="b">
        <f t="shared" si="105"/>
        <v>1</v>
      </c>
      <c r="HM13" s="54" t="b">
        <f t="shared" si="106"/>
        <v>0</v>
      </c>
      <c r="HN13" s="54">
        <f t="shared" si="107"/>
        <v>1.3350024886192569E-3</v>
      </c>
      <c r="HO13" s="54">
        <f t="shared" si="108"/>
        <v>1.3350024886192569E-3</v>
      </c>
      <c r="HP13" s="54" t="e">
        <f t="shared" si="109"/>
        <v>#N/A</v>
      </c>
      <c r="HQ13" s="72" t="str">
        <f t="shared" si="110"/>
        <v/>
      </c>
    </row>
    <row r="14" spans="1:228" x14ac:dyDescent="0.2">
      <c r="A14" s="3" t="s">
        <v>440</v>
      </c>
      <c r="O14" s="3" t="s">
        <v>440</v>
      </c>
      <c r="V14" s="3" t="s">
        <v>440</v>
      </c>
      <c r="BD14" s="58" t="s">
        <v>156</v>
      </c>
      <c r="BE14" s="60">
        <f>INDEX(E_g_valg[Forudsætning 2],E_g_aktiv)</f>
        <v>0</v>
      </c>
      <c r="BF14" s="60">
        <f>INDEX(E_s_valg[Forudsætning 2],E_s_aktiv)</f>
        <v>0</v>
      </c>
      <c r="BG14" s="60">
        <f>INDEX(E_a_valg[Forudsætning 2],E_a_aktiv)</f>
        <v>0</v>
      </c>
      <c r="BH14" s="60">
        <f>INDEX(E_i_valg[Forudsætning 2],E_i_aktiv)</f>
        <v>0</v>
      </c>
      <c r="BI14" s="60" t="str">
        <f>INDEX(E_k_valg[Forudsætning 2],E_k_aktiv)</f>
        <v>Forudsætningerne for den lineære regression er opfyldt</v>
      </c>
      <c r="BS14" s="54">
        <f t="shared" si="36"/>
        <v>4</v>
      </c>
      <c r="BT14" s="54">
        <f>Eu_tabel_g[[#This Row],[Indeks]]+1</f>
        <v>5</v>
      </c>
      <c r="BU14" s="54">
        <f t="shared" si="37"/>
        <v>-2.9944111493874157</v>
      </c>
      <c r="BV14" s="54">
        <f t="shared" si="38"/>
        <v>4.5067112740675413E-3</v>
      </c>
      <c r="BW14" s="54" t="e">
        <f t="shared" si="39"/>
        <v>#N/A</v>
      </c>
      <c r="BX14" s="54" t="e">
        <f t="shared" si="40"/>
        <v>#N/A</v>
      </c>
      <c r="BY14" s="54" t="e">
        <f t="shared" si="41"/>
        <v>#N/A</v>
      </c>
      <c r="BZ14" s="54" t="b">
        <f t="shared" si="42"/>
        <v>1</v>
      </c>
      <c r="CA14" s="54" t="b">
        <f t="shared" si="43"/>
        <v>0</v>
      </c>
      <c r="CB14" s="54" t="b">
        <f t="shared" si="44"/>
        <v>1</v>
      </c>
      <c r="CC14" s="54" t="b">
        <f t="shared" si="45"/>
        <v>0</v>
      </c>
      <c r="CD14" s="54">
        <f t="shared" si="111"/>
        <v>4.5067112740675413E-3</v>
      </c>
      <c r="CE14" s="54">
        <f t="shared" si="47"/>
        <v>4.5067112740675413E-3</v>
      </c>
      <c r="CF14" s="54" t="e">
        <f t="shared" si="48"/>
        <v>#N/A</v>
      </c>
      <c r="CG14" s="72" t="str">
        <f t="shared" si="49"/>
        <v/>
      </c>
      <c r="CH14" s="54">
        <f>_xlfn.NORM.DIST(_xlfn.NORM.INV(1-Eu_g_konfidensniveau,0,1)-Eu_tabel_g[[#This Row],[x base]],0,1,TRUE)</f>
        <v>0.91142102134110681</v>
      </c>
      <c r="CI14" s="54">
        <f>1-_xlfn.NORM.DIST(_xlfn.NORM.INV(Eu_g_konfidensniveau,0,1)-Eu_tabel_g[[#This Row],[x base]],0,1,TRUE)</f>
        <v>1.7482542555846692E-6</v>
      </c>
      <c r="CJ14" s="54">
        <f>_xlfn.NORM.DIST(_xlfn.NORM.INV((1-Eu_g_konfidensniveau)/2,0,1)-Eu_tabel_g[[#This Row],[x base]],0,1,TRUE)+1-_xlfn.NORM.DIST(_xlfn.NORM.INV(1-(1-Eu_g_konfidensniveau)/2,0,1)-Eu_tabel_g[[#This Row],[x base]],0,1,TRUE)</f>
        <v>0.84953678041496672</v>
      </c>
      <c r="CK14" s="54" t="e" cm="1">
        <f t="array" ref="CK14">IF($CK$3,INDEX(Eu_tabel_g[[#This Row],[Styrke venstre]:[Styrke tosidet]],CK$7),NA())</f>
        <v>#N/A</v>
      </c>
      <c r="CL14" s="99" t="e">
        <f>Eu_tabel_g[[#This Row],[Falsk positiv
Nulhypotese accepteres
Fejltype 1]]</f>
        <v>#N/A</v>
      </c>
      <c r="CM14" s="99" t="e">
        <f>IF(CHOOSE(CK$7,Eu_tabel_g[[#This Row],[x base]]&gt;0,Eu_tabel_g[[#This Row],[x base]]&lt;0,Eu_tabel_g[[#This Row],[x base]]=0),Eu_tabel_g[[#This Row],[Styrke, aktiv]],NA())</f>
        <v>#N/A</v>
      </c>
      <c r="CN14" s="99" t="e">
        <f>IFERROR(IF($CK$3,Eu_tabel_g[[#This Row],[Styrke, aktiv]],NA()),NA())</f>
        <v>#N/A</v>
      </c>
      <c r="CO14" s="99" t="e">
        <f>IF(ISNA(Eu_tabel_g[[#This Row],[Sand negativ
Nulhypotese afvises
Korrekt]]),NA(),IF($CK$3,1,NA()))</f>
        <v>#N/A</v>
      </c>
      <c r="CP14" s="56" t="str" cm="1">
        <f t="array" ref="CP14">_xlfn.SWITCH(BS14,_xlfn.IFNA(CN$2,-99),CN$5,_xlfn.IFNA(CN$3,-99),CN$6,_xlfn.IFNA(CN$4,-99),CN$7,"")</f>
        <v/>
      </c>
      <c r="CT14" s="7">
        <f t="shared" si="50"/>
        <v>0.80000000000000271</v>
      </c>
      <c r="CU14">
        <f>IF(ROW(Styrkeberegning_G[[#This Row],[X base venstre]])=ROW(Styrkeberegning_G[[#Headers],[X base venstre]])+1,CU$7/(CT$7/$B$67),CU13/(CT13/$B$67))</f>
        <v>-2.8015817870135882</v>
      </c>
      <c r="CV14">
        <f>Styrkeberegning_G[[#This Row],[X base venstre]]*-1</f>
        <v>2.8015817870135882</v>
      </c>
      <c r="DG14" s="54">
        <f t="shared" si="51"/>
        <v>4</v>
      </c>
      <c r="DH14" s="54">
        <f t="shared" si="52"/>
        <v>5</v>
      </c>
      <c r="DI14" s="54">
        <f t="shared" si="53"/>
        <v>2.2901360903216945</v>
      </c>
      <c r="DJ14" s="54" t="e">
        <f t="shared" si="54"/>
        <v>#N/A</v>
      </c>
      <c r="DK14" s="54" t="e">
        <f t="shared" si="55"/>
        <v>#N/A</v>
      </c>
      <c r="DL14" s="54">
        <f t="shared" si="56"/>
        <v>5.5918734303673726E-3</v>
      </c>
      <c r="DM14" s="54" t="e">
        <f t="shared" si="57"/>
        <v>#N/A</v>
      </c>
      <c r="DN14" s="54" t="b">
        <f t="shared" si="58"/>
        <v>1</v>
      </c>
      <c r="DO14" s="54" t="b">
        <f t="shared" si="59"/>
        <v>0</v>
      </c>
      <c r="DP14" s="54" t="b">
        <f t="shared" si="60"/>
        <v>1</v>
      </c>
      <c r="DQ14" s="54" t="b">
        <f t="shared" si="61"/>
        <v>0</v>
      </c>
      <c r="DR14" s="54">
        <f t="shared" si="62"/>
        <v>5.5918734303673726E-3</v>
      </c>
      <c r="DS14" s="54">
        <f t="shared" si="63"/>
        <v>5.5918734303673726E-3</v>
      </c>
      <c r="DT14" s="54" t="e">
        <f t="shared" si="64"/>
        <v>#N/A</v>
      </c>
      <c r="DU14" s="72" t="str">
        <f t="shared" si="65"/>
        <v/>
      </c>
      <c r="DZ14" s="54">
        <f t="shared" si="66"/>
        <v>4</v>
      </c>
      <c r="EA14" s="54">
        <f t="shared" si="67"/>
        <v>5</v>
      </c>
      <c r="EB14" s="54">
        <f t="shared" si="68"/>
        <v>-2.9944111493874157</v>
      </c>
      <c r="EC14" s="54">
        <f t="shared" si="69"/>
        <v>4.5067112740675413E-3</v>
      </c>
      <c r="ED14" s="54" t="e">
        <f t="shared" si="70"/>
        <v>#N/A</v>
      </c>
      <c r="EE14" s="54" t="e">
        <f t="shared" si="71"/>
        <v>#N/A</v>
      </c>
      <c r="EF14" s="54" t="e">
        <f t="shared" si="72"/>
        <v>#N/A</v>
      </c>
      <c r="EG14" s="54" t="b">
        <f t="shared" si="73"/>
        <v>1</v>
      </c>
      <c r="EH14" s="54" t="b">
        <f t="shared" si="74"/>
        <v>0</v>
      </c>
      <c r="EI14" s="54" t="b">
        <f t="shared" si="75"/>
        <v>1</v>
      </c>
      <c r="EJ14" s="54" t="b">
        <f t="shared" si="76"/>
        <v>0</v>
      </c>
      <c r="EK14" s="54">
        <f t="shared" si="77"/>
        <v>4.5067112740675413E-3</v>
      </c>
      <c r="EL14" s="54">
        <f t="shared" si="78"/>
        <v>4.5067112740675413E-3</v>
      </c>
      <c r="EM14" s="54" t="e">
        <f t="shared" si="79"/>
        <v>#N/A</v>
      </c>
      <c r="EN14" s="72" t="str">
        <f t="shared" si="80"/>
        <v/>
      </c>
      <c r="EO1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4" s="54" t="e" cm="1">
        <f t="array" ref="ER14">IF($CK$3,INDEX(Eu_tabel_a[[#This Row],[Styrke venstre]:[Styrke tosidet]],ER$7),NA())</f>
        <v>#N/A</v>
      </c>
      <c r="ES14" s="54" t="e">
        <f>IF(ER$3,IF(CHOOSE(ER$7,Eu_tabel_a[[#This Row],[x base]]&gt;0,Eu_tabel_a[[#This Row],[x base]]&lt;0,Eu_tabel_a[[#This Row],[x base]]=0),1,NA()),NA())</f>
        <v>#N/A</v>
      </c>
      <c r="ET14" s="54" t="e">
        <f>IF(CHOOSE(ER$7,Eu_tabel_a[[#This Row],[x base]]&gt;0,Eu_tabel_a[[#This Row],[x base]]&lt;0,Eu_tabel_a[[#This Row],[x base]]=0),Eu_tabel_a[[#This Row],[Styrke, aktiv]],NA())</f>
        <v>#N/A</v>
      </c>
      <c r="EU14" s="54" t="e">
        <f>IFERROR(IF($ER$3,Eu_tabel_a[[#This Row],[Styrke, aktiv]],NA()),NA())</f>
        <v>#N/A</v>
      </c>
      <c r="EV14" s="54" t="e">
        <f>IF(ISNA(Eu_tabel_a[[#This Row],[Sand negativ
Nulhypotese afvises
Korrekt]]),NA(),IF(ER$3,1,NA()))</f>
        <v>#N/A</v>
      </c>
      <c r="EW14" s="55" t="str" cm="1">
        <f t="array" ref="EW14">IFERROR(_xlfn.SWITCH(Eu_tabel_a[[#This Row],[Indeks]],_xlfn.IFNA(EU$2,-99),EU$5,_xlfn.IFNA(EU$3,-99),EU$6,_xlfn.IFNA(EU$4,-99),EU$7,""),"")</f>
        <v/>
      </c>
      <c r="EX14" s="54">
        <f>Eu_tabel_a[[#This Row],[x base]]*SQRT(Eu_a_h0_x*(1-Eu_a_h0_x)/Eu_a_n_x)+Eu_a_h0_x</f>
        <v>0</v>
      </c>
      <c r="FC14" s="161" t="e">
        <f t="shared" si="18"/>
        <v>#N/A</v>
      </c>
      <c r="FD14" s="169" t="e">
        <f t="shared" si="31"/>
        <v>#DIV/0!</v>
      </c>
      <c r="FE14" s="7" t="e">
        <f t="shared" si="12"/>
        <v>#DIV/0!</v>
      </c>
      <c r="FF14" t="e">
        <f t="shared" si="32"/>
        <v>#DIV/0!</v>
      </c>
      <c r="FG14" s="8" t="e">
        <f t="shared" si="33"/>
        <v>#DIV/0!</v>
      </c>
      <c r="FH14" s="8" t="e">
        <f t="shared" si="34"/>
        <v>#DIV/0!</v>
      </c>
      <c r="FI14" s="168" t="e">
        <f t="shared" si="35"/>
        <v>#DIV/0!</v>
      </c>
      <c r="FJ14" s="161" t="e">
        <f t="shared" ca="1" si="13"/>
        <v>#N/A</v>
      </c>
      <c r="FK14" s="169" t="e" vm="3">
        <f t="shared" ca="1" si="19"/>
        <v>#VALUE!</v>
      </c>
      <c r="FL14" s="7" t="e" vm="3">
        <f t="shared" ca="1" si="14"/>
        <v>#VALUE!</v>
      </c>
      <c r="FM14" t="e" vm="3">
        <f t="shared" ca="1" si="8"/>
        <v>#VALUE!</v>
      </c>
      <c r="FN14" s="8" t="e" vm="3">
        <f t="shared" ca="1" si="9"/>
        <v>#VALUE!</v>
      </c>
      <c r="FO14" s="8" t="e" vm="3">
        <f t="shared" ca="1" si="10"/>
        <v>#VALUE!</v>
      </c>
      <c r="FP14" s="168" t="e" vm="3">
        <f t="shared" ca="1" si="11"/>
        <v>#VALUE!</v>
      </c>
      <c r="FQ14" s="161" t="e">
        <f t="shared" si="15"/>
        <v>#N/A</v>
      </c>
      <c r="FR14" s="169" t="e">
        <f t="shared" si="20"/>
        <v>#N/A</v>
      </c>
      <c r="FS14" s="7" t="e">
        <f t="shared" si="16"/>
        <v>#N/A</v>
      </c>
      <c r="FT14" t="e">
        <f t="shared" si="21"/>
        <v>#N/A</v>
      </c>
      <c r="FU14" s="8" t="e">
        <f t="shared" si="22"/>
        <v>#N/A</v>
      </c>
      <c r="FV14" s="8" t="e">
        <f t="shared" si="23"/>
        <v>#N/A</v>
      </c>
      <c r="FW14" s="168" t="e">
        <f t="shared" si="24"/>
        <v>#N/A</v>
      </c>
      <c r="FX14" s="161" t="e">
        <f t="shared" si="25"/>
        <v>#N/A</v>
      </c>
      <c r="FY14" s="169" t="e">
        <f t="shared" si="26"/>
        <v>#N/A</v>
      </c>
      <c r="FZ14" s="7" t="e">
        <f t="shared" si="17"/>
        <v>#N/A</v>
      </c>
      <c r="GA14" t="e">
        <f t="shared" si="27"/>
        <v>#N/A</v>
      </c>
      <c r="GB14" s="8" t="e">
        <f t="shared" si="28"/>
        <v>#N/A</v>
      </c>
      <c r="GC14" s="8" t="e">
        <f t="shared" si="29"/>
        <v>#N/A</v>
      </c>
      <c r="GD14" s="168" t="e">
        <f t="shared" si="30"/>
        <v>#N/A</v>
      </c>
      <c r="GE14" s="168"/>
      <c r="GF14" s="168"/>
      <c r="GI14" s="54">
        <f t="shared" si="81"/>
        <v>4</v>
      </c>
      <c r="GJ14" s="54">
        <f t="shared" si="82"/>
        <v>5</v>
      </c>
      <c r="GK14" s="54">
        <f t="shared" si="83"/>
        <v>-2.9944111493874157</v>
      </c>
      <c r="GL14" s="54">
        <f t="shared" si="84"/>
        <v>4.5067112740675413E-3</v>
      </c>
      <c r="GM14" s="54" t="e">
        <f t="shared" si="85"/>
        <v>#N/A</v>
      </c>
      <c r="GN14" s="54" t="e">
        <f t="shared" si="86"/>
        <v>#N/A</v>
      </c>
      <c r="GO14" s="54" t="e">
        <f t="shared" si="87"/>
        <v>#N/A</v>
      </c>
      <c r="GP14" s="54" t="b">
        <f t="shared" si="88"/>
        <v>1</v>
      </c>
      <c r="GQ14" s="54" t="b">
        <f t="shared" si="89"/>
        <v>0</v>
      </c>
      <c r="GR14" s="54" t="b">
        <f t="shared" si="90"/>
        <v>1</v>
      </c>
      <c r="GS14" s="54" t="b">
        <f t="shared" si="91"/>
        <v>0</v>
      </c>
      <c r="GT14" s="54">
        <f t="shared" si="92"/>
        <v>4.5067112740675413E-3</v>
      </c>
      <c r="GU14" s="54">
        <f t="shared" si="93"/>
        <v>4.5067112740675413E-3</v>
      </c>
      <c r="GV14" s="54" t="e">
        <f t="shared" si="94"/>
        <v>#N/A</v>
      </c>
      <c r="GW14" s="72" t="str">
        <f t="shared" si="95"/>
        <v/>
      </c>
      <c r="HC14" s="54">
        <f t="shared" si="96"/>
        <v>4</v>
      </c>
      <c r="HD14" s="54">
        <f t="shared" si="97"/>
        <v>5</v>
      </c>
      <c r="HE14" s="54">
        <f t="shared" si="98"/>
        <v>-4.6369085548821056</v>
      </c>
      <c r="HF14" s="54" t="e">
        <f t="shared" si="99"/>
        <v>#N/A</v>
      </c>
      <c r="HG14" s="54">
        <f t="shared" si="100"/>
        <v>1.4009017297980497E-3</v>
      </c>
      <c r="HH14" s="54" t="e">
        <f t="shared" si="101"/>
        <v>#N/A</v>
      </c>
      <c r="HI14" s="54" t="e">
        <f t="shared" si="102"/>
        <v>#N/A</v>
      </c>
      <c r="HJ14" s="54" t="b">
        <f t="shared" si="103"/>
        <v>1</v>
      </c>
      <c r="HK14" s="54" t="b">
        <f t="shared" si="104"/>
        <v>0</v>
      </c>
      <c r="HL14" s="54" t="b">
        <f t="shared" si="105"/>
        <v>1</v>
      </c>
      <c r="HM14" s="54" t="b">
        <f t="shared" si="106"/>
        <v>0</v>
      </c>
      <c r="HN14" s="54">
        <f t="shared" si="107"/>
        <v>1.4009017297980497E-3</v>
      </c>
      <c r="HO14" s="54">
        <f t="shared" si="108"/>
        <v>1.4009017297980497E-3</v>
      </c>
      <c r="HP14" s="54" t="e">
        <f t="shared" si="109"/>
        <v>#N/A</v>
      </c>
      <c r="HQ14" s="72" t="str">
        <f t="shared" si="110"/>
        <v/>
      </c>
    </row>
    <row r="15" spans="1:228" x14ac:dyDescent="0.2">
      <c r="A15" s="58" t="s">
        <v>4</v>
      </c>
      <c r="B15" s="43">
        <v>0.95</v>
      </c>
      <c r="C15" s="100" t="s">
        <v>431</v>
      </c>
      <c r="H15" s="3" t="s">
        <v>440</v>
      </c>
      <c r="O15" s="58" t="s">
        <v>4</v>
      </c>
      <c r="P15" s="43">
        <v>0.95</v>
      </c>
      <c r="Q15" s="100" t="s">
        <v>1108</v>
      </c>
      <c r="V15" s="58" t="s">
        <v>4</v>
      </c>
      <c r="W15" s="43">
        <v>0.95</v>
      </c>
      <c r="X15" s="100" t="s">
        <v>431</v>
      </c>
      <c r="AC15" s="3" t="s">
        <v>440</v>
      </c>
      <c r="BD15" s="58" t="s">
        <v>160</v>
      </c>
      <c r="BE15" s="60" t="str">
        <f>INDEX(E_g_valg[Forudsætning 3],E_g_aktiv)</f>
        <v>Antal observationer er større end 30</v>
      </c>
      <c r="BF15" s="60">
        <f>INDEX(E_s_valg[Forudsætning 3],E_s_aktiv)</f>
        <v>0</v>
      </c>
      <c r="BG15" s="60" t="str">
        <f>INDEX(E_a_valg[Forudsætning 3],E_a_aktiv)</f>
        <v>Forudsætningsformlen n * p̂ * ( 1 - p̂ ) &gt; 9 er opfyldt</v>
      </c>
      <c r="BH15" s="60" t="str">
        <f>INDEX(E_i_valg[Forudsætning 3],E_i_aktiv)</f>
        <v>Forudsætningsformlen λ̂ * n &gt; 9 er opfyldt</v>
      </c>
      <c r="BI15" s="60">
        <f>INDEX(E_k_valg[Forudsætning 3],E_k_aktiv)</f>
        <v>0</v>
      </c>
      <c r="BS15" s="54">
        <f t="shared" si="36"/>
        <v>5</v>
      </c>
      <c r="BT15" s="54">
        <f>Eu_tabel_g[[#This Row],[Indeks]]+1</f>
        <v>6</v>
      </c>
      <c r="BU15" s="54">
        <f t="shared" si="37"/>
        <v>-2.9704558601923168</v>
      </c>
      <c r="BV15" s="54">
        <f t="shared" si="38"/>
        <v>4.8404744224978778E-3</v>
      </c>
      <c r="BW15" s="54" t="e">
        <f t="shared" si="39"/>
        <v>#N/A</v>
      </c>
      <c r="BX15" s="54" t="e">
        <f t="shared" si="40"/>
        <v>#N/A</v>
      </c>
      <c r="BY15" s="54" t="e">
        <f t="shared" si="41"/>
        <v>#N/A</v>
      </c>
      <c r="BZ15" s="54" t="b">
        <f t="shared" si="42"/>
        <v>1</v>
      </c>
      <c r="CA15" s="54" t="b">
        <f t="shared" si="43"/>
        <v>0</v>
      </c>
      <c r="CB15" s="54" t="b">
        <f t="shared" si="44"/>
        <v>1</v>
      </c>
      <c r="CC15" s="54" t="b">
        <f t="shared" si="45"/>
        <v>0</v>
      </c>
      <c r="CD15" s="54">
        <f t="shared" si="111"/>
        <v>4.8404744224978778E-3</v>
      </c>
      <c r="CE15" s="54">
        <f t="shared" si="47"/>
        <v>4.8404744224978778E-3</v>
      </c>
      <c r="CF15" s="54" t="e">
        <f t="shared" si="48"/>
        <v>#N/A</v>
      </c>
      <c r="CG15" s="72" t="str">
        <f t="shared" si="49"/>
        <v/>
      </c>
      <c r="CH15" s="54">
        <f>_xlfn.NORM.DIST(_xlfn.NORM.INV(1-Eu_g_konfidensniveau,0,1)-Eu_tabel_g[[#This Row],[x base]],0,1,TRUE)</f>
        <v>0.90751425694156995</v>
      </c>
      <c r="CI15" s="54">
        <f>1-_xlfn.NORM.DIST(_xlfn.NORM.INV(Eu_g_konfidensniveau,0,1)-Eu_tabel_g[[#This Row],[x base]],0,1,TRUE)</f>
        <v>1.9625497901243349E-6</v>
      </c>
      <c r="CJ15" s="54">
        <f>_xlfn.NORM.DIST(_xlfn.NORM.INV((1-Eu_g_konfidensniveau)/2,0,1)-Eu_tabel_g[[#This Row],[x base]],0,1,TRUE)+1-_xlfn.NORM.DIST(_xlfn.NORM.INV(1-(1-Eu_g_konfidensniveau)/2,0,1)-Eu_tabel_g[[#This Row],[x base]],0,1,TRUE)</f>
        <v>0.84387056532820104</v>
      </c>
      <c r="CK15" s="54" t="e" cm="1">
        <f t="array" ref="CK15">IF($CK$3,INDEX(Eu_tabel_g[[#This Row],[Styrke venstre]:[Styrke tosidet]],CK$7),NA())</f>
        <v>#N/A</v>
      </c>
      <c r="CL15" s="99" t="e">
        <f>Eu_tabel_g[[#This Row],[Falsk positiv
Nulhypotese accepteres
Fejltype 1]]</f>
        <v>#N/A</v>
      </c>
      <c r="CM15" s="99" t="e">
        <f>IF(CHOOSE(CK$7,Eu_tabel_g[[#This Row],[x base]]&gt;0,Eu_tabel_g[[#This Row],[x base]]&lt;0,Eu_tabel_g[[#This Row],[x base]]=0),Eu_tabel_g[[#This Row],[Styrke, aktiv]],NA())</f>
        <v>#N/A</v>
      </c>
      <c r="CN15" s="99" t="e">
        <f>IFERROR(IF($CK$3,Eu_tabel_g[[#This Row],[Styrke, aktiv]],NA()),NA())</f>
        <v>#N/A</v>
      </c>
      <c r="CO15" s="99" t="e">
        <f>IF(ISNA(Eu_tabel_g[[#This Row],[Sand negativ
Nulhypotese afvises
Korrekt]]),NA(),IF($CK$3,1,NA()))</f>
        <v>#N/A</v>
      </c>
      <c r="CP15" s="56" t="str" cm="1">
        <f t="array" ref="CP15">_xlfn.SWITCH(BS15,_xlfn.IFNA(CN$2,-99),CN$5,_xlfn.IFNA(CN$3,-99),CN$6,_xlfn.IFNA(CN$4,-99),CN$7,"")</f>
        <v/>
      </c>
      <c r="CT15" s="7">
        <f t="shared" si="50"/>
        <v>0.80000000000000027</v>
      </c>
      <c r="CU15">
        <f>IF(ROW(Styrkeberegning_G[[#This Row],[X base venstre]])=ROW(Styrkeberegning_G[[#Headers],[X base venstre]])+1,CU$7/(CT$7/$B$67),CU14/(CT14/$B$67))</f>
        <v>-2.8015817870135789</v>
      </c>
      <c r="CV15">
        <f>Styrkeberegning_G[[#This Row],[X base venstre]]*-1</f>
        <v>2.8015817870135789</v>
      </c>
      <c r="DG15" s="54">
        <f t="shared" si="51"/>
        <v>5</v>
      </c>
      <c r="DH15" s="54">
        <f t="shared" si="52"/>
        <v>6</v>
      </c>
      <c r="DI15" s="54">
        <f t="shared" si="53"/>
        <v>2.4042069467386953</v>
      </c>
      <c r="DJ15" s="54" t="e">
        <f t="shared" si="54"/>
        <v>#N/A</v>
      </c>
      <c r="DK15" s="54" t="e">
        <f t="shared" si="55"/>
        <v>#N/A</v>
      </c>
      <c r="DL15" s="54">
        <f t="shared" si="56"/>
        <v>6.5733183610466994E-3</v>
      </c>
      <c r="DM15" s="54" t="e">
        <f t="shared" si="57"/>
        <v>#N/A</v>
      </c>
      <c r="DN15" s="54" t="b">
        <f t="shared" si="58"/>
        <v>1</v>
      </c>
      <c r="DO15" s="54" t="b">
        <f t="shared" si="59"/>
        <v>0</v>
      </c>
      <c r="DP15" s="54" t="b">
        <f t="shared" si="60"/>
        <v>1</v>
      </c>
      <c r="DQ15" s="54" t="b">
        <f t="shared" si="61"/>
        <v>0</v>
      </c>
      <c r="DR15" s="54">
        <f t="shared" si="62"/>
        <v>6.5733183610466994E-3</v>
      </c>
      <c r="DS15" s="54">
        <f t="shared" si="63"/>
        <v>6.5733183610466994E-3</v>
      </c>
      <c r="DT15" s="54" t="e">
        <f t="shared" si="64"/>
        <v>#N/A</v>
      </c>
      <c r="DU15" s="72" t="str">
        <f t="shared" si="65"/>
        <v/>
      </c>
      <c r="DZ15" s="54">
        <f t="shared" si="66"/>
        <v>5</v>
      </c>
      <c r="EA15" s="54">
        <f t="shared" si="67"/>
        <v>6</v>
      </c>
      <c r="EB15" s="54">
        <f t="shared" si="68"/>
        <v>-2.9704558601923168</v>
      </c>
      <c r="EC15" s="54">
        <f t="shared" si="69"/>
        <v>4.8404744224978778E-3</v>
      </c>
      <c r="ED15" s="54" t="e">
        <f t="shared" si="70"/>
        <v>#N/A</v>
      </c>
      <c r="EE15" s="54" t="e">
        <f t="shared" si="71"/>
        <v>#N/A</v>
      </c>
      <c r="EF15" s="54" t="e">
        <f t="shared" si="72"/>
        <v>#N/A</v>
      </c>
      <c r="EG15" s="54" t="b">
        <f t="shared" si="73"/>
        <v>1</v>
      </c>
      <c r="EH15" s="54" t="b">
        <f t="shared" si="74"/>
        <v>0</v>
      </c>
      <c r="EI15" s="54" t="b">
        <f t="shared" si="75"/>
        <v>1</v>
      </c>
      <c r="EJ15" s="54" t="b">
        <f t="shared" si="76"/>
        <v>0</v>
      </c>
      <c r="EK15" s="54">
        <f t="shared" si="77"/>
        <v>4.8404744224978778E-3</v>
      </c>
      <c r="EL15" s="54">
        <f t="shared" si="78"/>
        <v>4.8404744224978778E-3</v>
      </c>
      <c r="EM15" s="54" t="e">
        <f t="shared" si="79"/>
        <v>#N/A</v>
      </c>
      <c r="EN15" s="72" t="str">
        <f t="shared" si="80"/>
        <v/>
      </c>
      <c r="EO1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5" s="54" t="e" cm="1">
        <f t="array" ref="ER15">IF($CK$3,INDEX(Eu_tabel_a[[#This Row],[Styrke venstre]:[Styrke tosidet]],ER$7),NA())</f>
        <v>#N/A</v>
      </c>
      <c r="ES15" s="54" t="e">
        <f>IF(ER$3,IF(CHOOSE(ER$7,Eu_tabel_a[[#This Row],[x base]]&gt;0,Eu_tabel_a[[#This Row],[x base]]&lt;0,Eu_tabel_a[[#This Row],[x base]]=0),1,NA()),NA())</f>
        <v>#N/A</v>
      </c>
      <c r="ET15" s="54" t="e">
        <f>IF(CHOOSE(ER$7,Eu_tabel_a[[#This Row],[x base]]&gt;0,Eu_tabel_a[[#This Row],[x base]]&lt;0,Eu_tabel_a[[#This Row],[x base]]=0),Eu_tabel_a[[#This Row],[Styrke, aktiv]],NA())</f>
        <v>#N/A</v>
      </c>
      <c r="EU15" s="54" t="e">
        <f>IFERROR(IF($ER$3,Eu_tabel_a[[#This Row],[Styrke, aktiv]],NA()),NA())</f>
        <v>#N/A</v>
      </c>
      <c r="EV15" s="54" t="e">
        <f>IF(ISNA(Eu_tabel_a[[#This Row],[Sand negativ
Nulhypotese afvises
Korrekt]]),NA(),IF(ER$3,1,NA()))</f>
        <v>#N/A</v>
      </c>
      <c r="EW15" s="55" t="str" cm="1">
        <f t="array" ref="EW15">IFERROR(_xlfn.SWITCH(Eu_tabel_a[[#This Row],[Indeks]],_xlfn.IFNA(EU$2,-99),EU$5,_xlfn.IFNA(EU$3,-99),EU$6,_xlfn.IFNA(EU$4,-99),EU$7,""),"")</f>
        <v/>
      </c>
      <c r="EX15" s="54">
        <f>Eu_tabel_a[[#This Row],[x base]]*SQRT(Eu_a_h0_x*(1-Eu_a_h0_x)/Eu_a_n_x)+Eu_a_h0_x</f>
        <v>0</v>
      </c>
      <c r="FC15" s="161" t="e">
        <f t="shared" si="18"/>
        <v>#N/A</v>
      </c>
      <c r="FD15" s="169" t="e">
        <f t="shared" si="31"/>
        <v>#DIV/0!</v>
      </c>
      <c r="FE15" s="7" t="e">
        <f t="shared" si="12"/>
        <v>#DIV/0!</v>
      </c>
      <c r="FF15" t="e">
        <f t="shared" si="32"/>
        <v>#DIV/0!</v>
      </c>
      <c r="FG15" s="8" t="e">
        <f t="shared" si="33"/>
        <v>#DIV/0!</v>
      </c>
      <c r="FH15" s="8" t="e">
        <f t="shared" si="34"/>
        <v>#DIV/0!</v>
      </c>
      <c r="FI15" s="168" t="e">
        <f t="shared" si="35"/>
        <v>#DIV/0!</v>
      </c>
      <c r="FJ15" s="161" t="e">
        <f t="shared" ca="1" si="13"/>
        <v>#N/A</v>
      </c>
      <c r="FK15" s="169" t="e" vm="3">
        <f t="shared" ca="1" si="19"/>
        <v>#VALUE!</v>
      </c>
      <c r="FL15" s="7" t="e" vm="3">
        <f t="shared" ca="1" si="14"/>
        <v>#VALUE!</v>
      </c>
      <c r="FM15" t="e" vm="3">
        <f t="shared" ca="1" si="8"/>
        <v>#VALUE!</v>
      </c>
      <c r="FN15" s="8" t="e" vm="3">
        <f t="shared" ca="1" si="9"/>
        <v>#VALUE!</v>
      </c>
      <c r="FO15" s="8" t="e" vm="3">
        <f t="shared" ca="1" si="10"/>
        <v>#VALUE!</v>
      </c>
      <c r="FP15" s="168" t="e" vm="3">
        <f t="shared" ca="1" si="11"/>
        <v>#VALUE!</v>
      </c>
      <c r="FQ15" s="161" t="e">
        <f t="shared" si="15"/>
        <v>#N/A</v>
      </c>
      <c r="FR15" s="169" t="e">
        <f t="shared" si="20"/>
        <v>#N/A</v>
      </c>
      <c r="FS15" s="7" t="e">
        <f t="shared" si="16"/>
        <v>#N/A</v>
      </c>
      <c r="FT15" t="e">
        <f t="shared" si="21"/>
        <v>#N/A</v>
      </c>
      <c r="FU15" s="8" t="e">
        <f t="shared" si="22"/>
        <v>#N/A</v>
      </c>
      <c r="FV15" s="8" t="e">
        <f t="shared" si="23"/>
        <v>#N/A</v>
      </c>
      <c r="FW15" s="168" t="e">
        <f t="shared" si="24"/>
        <v>#N/A</v>
      </c>
      <c r="FX15" s="161" t="e">
        <f t="shared" si="25"/>
        <v>#N/A</v>
      </c>
      <c r="FY15" s="169" t="e">
        <f t="shared" si="26"/>
        <v>#N/A</v>
      </c>
      <c r="FZ15" s="7" t="e">
        <f t="shared" si="17"/>
        <v>#N/A</v>
      </c>
      <c r="GA15" t="e">
        <f t="shared" si="27"/>
        <v>#N/A</v>
      </c>
      <c r="GB15" s="8" t="e">
        <f t="shared" si="28"/>
        <v>#N/A</v>
      </c>
      <c r="GC15" s="8" t="e">
        <f t="shared" si="29"/>
        <v>#N/A</v>
      </c>
      <c r="GD15" s="168" t="e">
        <f t="shared" si="30"/>
        <v>#N/A</v>
      </c>
      <c r="GE15" s="168"/>
      <c r="GF15" s="168"/>
      <c r="GI15" s="54">
        <f t="shared" si="81"/>
        <v>5</v>
      </c>
      <c r="GJ15" s="54">
        <f t="shared" si="82"/>
        <v>6</v>
      </c>
      <c r="GK15" s="54">
        <f t="shared" si="83"/>
        <v>-2.9704558601923168</v>
      </c>
      <c r="GL15" s="54">
        <f t="shared" si="84"/>
        <v>4.8404744224978778E-3</v>
      </c>
      <c r="GM15" s="54" t="e">
        <f t="shared" si="85"/>
        <v>#N/A</v>
      </c>
      <c r="GN15" s="54" t="e">
        <f t="shared" si="86"/>
        <v>#N/A</v>
      </c>
      <c r="GO15" s="54" t="e">
        <f t="shared" si="87"/>
        <v>#N/A</v>
      </c>
      <c r="GP15" s="54" t="b">
        <f t="shared" si="88"/>
        <v>1</v>
      </c>
      <c r="GQ15" s="54" t="b">
        <f t="shared" si="89"/>
        <v>0</v>
      </c>
      <c r="GR15" s="54" t="b">
        <f t="shared" si="90"/>
        <v>1</v>
      </c>
      <c r="GS15" s="54" t="b">
        <f t="shared" si="91"/>
        <v>0</v>
      </c>
      <c r="GT15" s="54">
        <f t="shared" si="92"/>
        <v>4.8404744224978778E-3</v>
      </c>
      <c r="GU15" s="54">
        <f t="shared" si="93"/>
        <v>4.8404744224978778E-3</v>
      </c>
      <c r="GV15" s="54" t="e">
        <f t="shared" si="94"/>
        <v>#N/A</v>
      </c>
      <c r="GW15" s="72" t="str">
        <f t="shared" si="95"/>
        <v/>
      </c>
      <c r="HC15" s="54">
        <f t="shared" si="96"/>
        <v>5</v>
      </c>
      <c r="HD15" s="54">
        <f t="shared" si="97"/>
        <v>6</v>
      </c>
      <c r="HE15" s="54">
        <f t="shared" si="98"/>
        <v>-4.599813286443049</v>
      </c>
      <c r="HF15" s="54" t="e">
        <f t="shared" si="99"/>
        <v>#N/A</v>
      </c>
      <c r="HG15" s="54">
        <f t="shared" si="100"/>
        <v>1.4703428466840097E-3</v>
      </c>
      <c r="HH15" s="54" t="e">
        <f t="shared" si="101"/>
        <v>#N/A</v>
      </c>
      <c r="HI15" s="54" t="e">
        <f t="shared" si="102"/>
        <v>#N/A</v>
      </c>
      <c r="HJ15" s="54" t="b">
        <f t="shared" si="103"/>
        <v>1</v>
      </c>
      <c r="HK15" s="54" t="b">
        <f t="shared" si="104"/>
        <v>0</v>
      </c>
      <c r="HL15" s="54" t="b">
        <f t="shared" si="105"/>
        <v>1</v>
      </c>
      <c r="HM15" s="54" t="b">
        <f t="shared" si="106"/>
        <v>0</v>
      </c>
      <c r="HN15" s="54">
        <f t="shared" si="107"/>
        <v>1.4703428466840097E-3</v>
      </c>
      <c r="HO15" s="54">
        <f t="shared" si="108"/>
        <v>1.4703428466840097E-3</v>
      </c>
      <c r="HP15" s="54" t="e">
        <f t="shared" si="109"/>
        <v>#N/A</v>
      </c>
      <c r="HQ15" s="72" t="str">
        <f t="shared" si="110"/>
        <v/>
      </c>
    </row>
    <row r="16" spans="1:228" x14ac:dyDescent="0.2">
      <c r="A16" s="58" t="s">
        <v>432</v>
      </c>
      <c r="B16" s="77">
        <v>1</v>
      </c>
      <c r="C16" s="102" cm="1">
        <f t="array" ref="C16">IFERROR(IF(BE2,INDEX(E_g_valg[Stikprøvestørrelse for ønsket fejlmargin],E_g_aktiv),NA()),NA())</f>
        <v>72</v>
      </c>
      <c r="H16" s="58" t="s">
        <v>4</v>
      </c>
      <c r="I16" s="43">
        <v>0.95</v>
      </c>
      <c r="O16" s="58" t="s">
        <v>432</v>
      </c>
      <c r="P16" s="78">
        <v>0.01</v>
      </c>
      <c r="Q16" s="102" cm="1">
        <f t="array" ref="Q16">IFERROR(IF(BG2,INDEX(E_a_valg[Stikprøvestørrelse for ønsket fejlmargin],E_a_aktiv),NA()),NA())</f>
        <v>9337</v>
      </c>
      <c r="V16" s="58" t="s">
        <v>432</v>
      </c>
      <c r="W16" s="77">
        <v>1</v>
      </c>
      <c r="X16" s="102" cm="1">
        <f t="array" ref="X16">IFERROR(IF(BH2,INDEX(E_i_valg[Stikprøvestørrelse for ønsket fejlmargin],E_i_aktiv),NA()),NA())</f>
        <v>8</v>
      </c>
      <c r="AC16" s="58" t="s">
        <v>4</v>
      </c>
      <c r="AD16" s="43">
        <v>0.95</v>
      </c>
      <c r="BD16" s="58" t="s">
        <v>165</v>
      </c>
      <c r="BE16" s="60" t="str">
        <f>INDEX(E_g_valg[Forudsætning 4],E_g_aktiv)</f>
        <v>Standardafvigelse i populationen er ikke kendt</v>
      </c>
      <c r="BF16" s="60" t="str">
        <f>INDEX(E_s_valg[Forudsætning 4],E_s_aktiv)</f>
        <v>Populationen er normalfordelt</v>
      </c>
      <c r="BG16" s="60">
        <f>INDEX(E_a_valg[Forudsætning 4],E_a_aktiv)</f>
        <v>0</v>
      </c>
      <c r="BH16" s="60">
        <f>INDEX(E_i_valg[Forudsætning 4],E_i_aktiv)</f>
        <v>0</v>
      </c>
      <c r="BI16" s="60">
        <f>INDEX(E_k_valg[Forudsætning 4],E_k_aktiv)</f>
        <v>0</v>
      </c>
      <c r="BS16" s="54">
        <f t="shared" si="36"/>
        <v>6</v>
      </c>
      <c r="BT16" s="54">
        <f>Eu_tabel_g[[#This Row],[Indeks]]+1</f>
        <v>7</v>
      </c>
      <c r="BU16" s="54">
        <f t="shared" si="37"/>
        <v>-2.9465005709972174</v>
      </c>
      <c r="BV16" s="54">
        <f t="shared" si="38"/>
        <v>5.1959731862444456E-3</v>
      </c>
      <c r="BW16" s="54" t="e">
        <f t="shared" si="39"/>
        <v>#N/A</v>
      </c>
      <c r="BX16" s="54" t="e">
        <f t="shared" si="40"/>
        <v>#N/A</v>
      </c>
      <c r="BY16" s="54" t="e">
        <f t="shared" si="41"/>
        <v>#N/A</v>
      </c>
      <c r="BZ16" s="54" t="b">
        <f t="shared" si="42"/>
        <v>1</v>
      </c>
      <c r="CA16" s="54" t="b">
        <f t="shared" si="43"/>
        <v>0</v>
      </c>
      <c r="CB16" s="54" t="b">
        <f t="shared" si="44"/>
        <v>1</v>
      </c>
      <c r="CC16" s="54" t="b">
        <f t="shared" si="45"/>
        <v>0</v>
      </c>
      <c r="CD16" s="54">
        <f t="shared" si="111"/>
        <v>5.1959731862444456E-3</v>
      </c>
      <c r="CE16" s="54">
        <f t="shared" si="47"/>
        <v>5.1959731862444456E-3</v>
      </c>
      <c r="CF16" s="54" t="e">
        <f t="shared" si="48"/>
        <v>#N/A</v>
      </c>
      <c r="CG16" s="72" t="str">
        <f t="shared" si="49"/>
        <v/>
      </c>
      <c r="CH16" s="54">
        <f>_xlfn.NORM.DIST(_xlfn.NORM.INV(1-Eu_g_konfidensniveau,0,1)-Eu_tabel_g[[#This Row],[x base]],0,1,TRUE)</f>
        <v>0.90348144784895701</v>
      </c>
      <c r="CI16" s="54">
        <f>1-_xlfn.NORM.DIST(_xlfn.NORM.INV(Eu_g_konfidensniveau,0,1)-Eu_tabel_g[[#This Row],[x base]],0,1,TRUE)</f>
        <v>2.2018961847170004E-6</v>
      </c>
      <c r="CJ16" s="54">
        <f>_xlfn.NORM.DIST(_xlfn.NORM.INV((1-Eu_g_konfidensniveau)/2,0,1)-Eu_tabel_g[[#This Row],[x base]],0,1,TRUE)+1-_xlfn.NORM.DIST(_xlfn.NORM.INV(1-(1-Eu_g_konfidensniveau)/2,0,1)-Eu_tabel_g[[#This Row],[x base]],0,1,TRUE)</f>
        <v>0.83806552823634373</v>
      </c>
      <c r="CK16" s="54" t="e" cm="1">
        <f t="array" ref="CK16">IF($CK$3,INDEX(Eu_tabel_g[[#This Row],[Styrke venstre]:[Styrke tosidet]],CK$7),NA())</f>
        <v>#N/A</v>
      </c>
      <c r="CL16" s="99" t="e">
        <f>Eu_tabel_g[[#This Row],[Falsk positiv
Nulhypotese accepteres
Fejltype 1]]</f>
        <v>#N/A</v>
      </c>
      <c r="CM16" s="99" t="e">
        <f>IF(CHOOSE(CK$7,Eu_tabel_g[[#This Row],[x base]]&gt;0,Eu_tabel_g[[#This Row],[x base]]&lt;0,Eu_tabel_g[[#This Row],[x base]]=0),Eu_tabel_g[[#This Row],[Styrke, aktiv]],NA())</f>
        <v>#N/A</v>
      </c>
      <c r="CN16" s="99" t="e">
        <f>IFERROR(IF($CK$3,Eu_tabel_g[[#This Row],[Styrke, aktiv]],NA()),NA())</f>
        <v>#N/A</v>
      </c>
      <c r="CO16" s="99" t="e">
        <f>IF(ISNA(Eu_tabel_g[[#This Row],[Sand negativ
Nulhypotese afvises
Korrekt]]),NA(),IF($CK$3,1,NA()))</f>
        <v>#N/A</v>
      </c>
      <c r="CP16" s="56" t="str" cm="1">
        <f t="array" ref="CP16">_xlfn.SWITCH(BS16,_xlfn.IFNA(CN$2,-99),CN$5,_xlfn.IFNA(CN$3,-99),CN$6,_xlfn.IFNA(CN$4,-99),CN$7,"")</f>
        <v/>
      </c>
      <c r="CT16" s="7">
        <f t="shared" si="50"/>
        <v>0.8</v>
      </c>
      <c r="CU16">
        <f>IF(ROW(Styrkeberegning_G[[#This Row],[X base venstre]])=ROW(Styrkeberegning_G[[#Headers],[X base venstre]])+1,CU$7/(CT$7/$B$67),CU15/(CT15/$B$67))</f>
        <v>-2.8015817870135784</v>
      </c>
      <c r="CV16">
        <f>Styrkeberegning_G[[#This Row],[X base venstre]]*-1</f>
        <v>2.8015817870135784</v>
      </c>
      <c r="DG16" s="54">
        <f t="shared" si="51"/>
        <v>6</v>
      </c>
      <c r="DH16" s="54">
        <f t="shared" si="52"/>
        <v>7</v>
      </c>
      <c r="DI16" s="54">
        <f t="shared" si="53"/>
        <v>2.5182778031556965</v>
      </c>
      <c r="DJ16" s="54" t="e">
        <f t="shared" si="54"/>
        <v>#N/A</v>
      </c>
      <c r="DK16" s="54" t="e">
        <f t="shared" si="55"/>
        <v>#N/A</v>
      </c>
      <c r="DL16" s="54">
        <f t="shared" si="56"/>
        <v>7.6490508688432726E-3</v>
      </c>
      <c r="DM16" s="54" t="e">
        <f t="shared" si="57"/>
        <v>#N/A</v>
      </c>
      <c r="DN16" s="54" t="b">
        <f t="shared" si="58"/>
        <v>1</v>
      </c>
      <c r="DO16" s="54" t="b">
        <f t="shared" si="59"/>
        <v>0</v>
      </c>
      <c r="DP16" s="54" t="b">
        <f t="shared" si="60"/>
        <v>1</v>
      </c>
      <c r="DQ16" s="54" t="b">
        <f t="shared" si="61"/>
        <v>0</v>
      </c>
      <c r="DR16" s="54">
        <f t="shared" si="62"/>
        <v>7.6490508688432726E-3</v>
      </c>
      <c r="DS16" s="54">
        <f t="shared" si="63"/>
        <v>7.6490508688432726E-3</v>
      </c>
      <c r="DT16" s="54" t="e">
        <f t="shared" si="64"/>
        <v>#N/A</v>
      </c>
      <c r="DU16" s="72" t="str">
        <f t="shared" si="65"/>
        <v/>
      </c>
      <c r="DZ16" s="54">
        <f t="shared" si="66"/>
        <v>6</v>
      </c>
      <c r="EA16" s="54">
        <f t="shared" si="67"/>
        <v>7</v>
      </c>
      <c r="EB16" s="54">
        <f t="shared" si="68"/>
        <v>-2.9465005709972174</v>
      </c>
      <c r="EC16" s="54">
        <f t="shared" si="69"/>
        <v>5.1959731862444456E-3</v>
      </c>
      <c r="ED16" s="54" t="e">
        <f t="shared" si="70"/>
        <v>#N/A</v>
      </c>
      <c r="EE16" s="54" t="e">
        <f t="shared" si="71"/>
        <v>#N/A</v>
      </c>
      <c r="EF16" s="54" t="e">
        <f t="shared" si="72"/>
        <v>#N/A</v>
      </c>
      <c r="EG16" s="54" t="b">
        <f t="shared" si="73"/>
        <v>1</v>
      </c>
      <c r="EH16" s="54" t="b">
        <f t="shared" si="74"/>
        <v>0</v>
      </c>
      <c r="EI16" s="54" t="b">
        <f t="shared" si="75"/>
        <v>1</v>
      </c>
      <c r="EJ16" s="54" t="b">
        <f t="shared" si="76"/>
        <v>0</v>
      </c>
      <c r="EK16" s="54">
        <f t="shared" si="77"/>
        <v>5.1959731862444456E-3</v>
      </c>
      <c r="EL16" s="54">
        <f t="shared" si="78"/>
        <v>5.1959731862444456E-3</v>
      </c>
      <c r="EM16" s="54" t="e">
        <f t="shared" si="79"/>
        <v>#N/A</v>
      </c>
      <c r="EN16" s="72" t="str">
        <f t="shared" si="80"/>
        <v/>
      </c>
      <c r="EO1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6" s="54" t="e" cm="1">
        <f t="array" ref="ER16">IF($CK$3,INDEX(Eu_tabel_a[[#This Row],[Styrke venstre]:[Styrke tosidet]],ER$7),NA())</f>
        <v>#N/A</v>
      </c>
      <c r="ES16" s="54" t="e">
        <f>IF(ER$3,IF(CHOOSE(ER$7,Eu_tabel_a[[#This Row],[x base]]&gt;0,Eu_tabel_a[[#This Row],[x base]]&lt;0,Eu_tabel_a[[#This Row],[x base]]=0),1,NA()),NA())</f>
        <v>#N/A</v>
      </c>
      <c r="ET16" s="54" t="e">
        <f>IF(CHOOSE(ER$7,Eu_tabel_a[[#This Row],[x base]]&gt;0,Eu_tabel_a[[#This Row],[x base]]&lt;0,Eu_tabel_a[[#This Row],[x base]]=0),Eu_tabel_a[[#This Row],[Styrke, aktiv]],NA())</f>
        <v>#N/A</v>
      </c>
      <c r="EU16" s="54" t="e">
        <f>IFERROR(IF($ER$3,Eu_tabel_a[[#This Row],[Styrke, aktiv]],NA()),NA())</f>
        <v>#N/A</v>
      </c>
      <c r="EV16" s="54" t="e">
        <f>IF(ISNA(Eu_tabel_a[[#This Row],[Sand negativ
Nulhypotese afvises
Korrekt]]),NA(),IF(ER$3,1,NA()))</f>
        <v>#N/A</v>
      </c>
      <c r="EW16" s="55" t="str" cm="1">
        <f t="array" ref="EW16">IFERROR(_xlfn.SWITCH(Eu_tabel_a[[#This Row],[Indeks]],_xlfn.IFNA(EU$2,-99),EU$5,_xlfn.IFNA(EU$3,-99),EU$6,_xlfn.IFNA(EU$4,-99),EU$7,""),"")</f>
        <v/>
      </c>
      <c r="EX16" s="54">
        <f>Eu_tabel_a[[#This Row],[x base]]*SQRT(Eu_a_h0_x*(1-Eu_a_h0_x)/Eu_a_n_x)+Eu_a_h0_x</f>
        <v>0</v>
      </c>
      <c r="FC16" s="161" t="e">
        <f t="shared" si="18"/>
        <v>#N/A</v>
      </c>
      <c r="FD16" s="169" t="e">
        <f t="shared" si="31"/>
        <v>#DIV/0!</v>
      </c>
      <c r="FE16" s="7" t="e">
        <f t="shared" si="12"/>
        <v>#DIV/0!</v>
      </c>
      <c r="FF16" t="e">
        <f t="shared" si="32"/>
        <v>#DIV/0!</v>
      </c>
      <c r="FG16" s="8" t="e">
        <f t="shared" si="33"/>
        <v>#DIV/0!</v>
      </c>
      <c r="FH16" s="8" t="e">
        <f t="shared" si="34"/>
        <v>#DIV/0!</v>
      </c>
      <c r="FI16" s="168" t="e">
        <f t="shared" si="35"/>
        <v>#DIV/0!</v>
      </c>
      <c r="FJ16" s="161" t="e">
        <f t="shared" ca="1" si="13"/>
        <v>#N/A</v>
      </c>
      <c r="FK16" s="169" t="e" vm="3">
        <f t="shared" ca="1" si="19"/>
        <v>#VALUE!</v>
      </c>
      <c r="FL16" s="7" t="e" vm="3">
        <f t="shared" ca="1" si="14"/>
        <v>#VALUE!</v>
      </c>
      <c r="FM16" t="e" vm="3">
        <f t="shared" ca="1" si="8"/>
        <v>#VALUE!</v>
      </c>
      <c r="FN16" s="8" t="e" vm="3">
        <f t="shared" ca="1" si="9"/>
        <v>#VALUE!</v>
      </c>
      <c r="FO16" s="8" t="e" vm="3">
        <f t="shared" ca="1" si="10"/>
        <v>#VALUE!</v>
      </c>
      <c r="FP16" s="168" t="e" vm="3">
        <f t="shared" ca="1" si="11"/>
        <v>#VALUE!</v>
      </c>
      <c r="FQ16" s="161" t="e">
        <f t="shared" si="15"/>
        <v>#N/A</v>
      </c>
      <c r="FR16" s="169" t="e">
        <f t="shared" si="20"/>
        <v>#N/A</v>
      </c>
      <c r="FS16" s="7" t="e">
        <f t="shared" si="16"/>
        <v>#N/A</v>
      </c>
      <c r="FT16" t="e">
        <f t="shared" si="21"/>
        <v>#N/A</v>
      </c>
      <c r="FU16" s="8" t="e">
        <f t="shared" si="22"/>
        <v>#N/A</v>
      </c>
      <c r="FV16" s="8" t="e">
        <f t="shared" si="23"/>
        <v>#N/A</v>
      </c>
      <c r="FW16" s="168" t="e">
        <f t="shared" si="24"/>
        <v>#N/A</v>
      </c>
      <c r="FX16" s="161" t="e">
        <f t="shared" si="25"/>
        <v>#N/A</v>
      </c>
      <c r="FY16" s="169" t="e">
        <f t="shared" si="26"/>
        <v>#N/A</v>
      </c>
      <c r="FZ16" s="7" t="e">
        <f t="shared" si="17"/>
        <v>#N/A</v>
      </c>
      <c r="GA16" t="e">
        <f t="shared" si="27"/>
        <v>#N/A</v>
      </c>
      <c r="GB16" s="8" t="e">
        <f t="shared" si="28"/>
        <v>#N/A</v>
      </c>
      <c r="GC16" s="8" t="e">
        <f t="shared" si="29"/>
        <v>#N/A</v>
      </c>
      <c r="GD16" s="168" t="e">
        <f t="shared" si="30"/>
        <v>#N/A</v>
      </c>
      <c r="GE16" s="168"/>
      <c r="GF16" s="168"/>
      <c r="GI16" s="54">
        <f t="shared" si="81"/>
        <v>6</v>
      </c>
      <c r="GJ16" s="54">
        <f t="shared" si="82"/>
        <v>7</v>
      </c>
      <c r="GK16" s="54">
        <f t="shared" si="83"/>
        <v>-2.9465005709972174</v>
      </c>
      <c r="GL16" s="54">
        <f t="shared" si="84"/>
        <v>5.1959731862444456E-3</v>
      </c>
      <c r="GM16" s="54" t="e">
        <f t="shared" si="85"/>
        <v>#N/A</v>
      </c>
      <c r="GN16" s="54" t="e">
        <f t="shared" si="86"/>
        <v>#N/A</v>
      </c>
      <c r="GO16" s="54" t="e">
        <f t="shared" si="87"/>
        <v>#N/A</v>
      </c>
      <c r="GP16" s="54" t="b">
        <f t="shared" si="88"/>
        <v>1</v>
      </c>
      <c r="GQ16" s="54" t="b">
        <f t="shared" si="89"/>
        <v>0</v>
      </c>
      <c r="GR16" s="54" t="b">
        <f t="shared" si="90"/>
        <v>1</v>
      </c>
      <c r="GS16" s="54" t="b">
        <f t="shared" si="91"/>
        <v>0</v>
      </c>
      <c r="GT16" s="54">
        <f t="shared" si="92"/>
        <v>5.1959731862444456E-3</v>
      </c>
      <c r="GU16" s="54">
        <f t="shared" si="93"/>
        <v>5.1959731862444456E-3</v>
      </c>
      <c r="GV16" s="54" t="e">
        <f t="shared" si="94"/>
        <v>#N/A</v>
      </c>
      <c r="GW16" s="72" t="str">
        <f t="shared" si="95"/>
        <v/>
      </c>
      <c r="HC16" s="54">
        <f t="shared" si="96"/>
        <v>6</v>
      </c>
      <c r="HD16" s="54">
        <f t="shared" si="97"/>
        <v>7</v>
      </c>
      <c r="HE16" s="54">
        <f t="shared" si="98"/>
        <v>-4.5627180180039923</v>
      </c>
      <c r="HF16" s="54" t="e">
        <f t="shared" si="99"/>
        <v>#N/A</v>
      </c>
      <c r="HG16" s="54">
        <f t="shared" si="100"/>
        <v>1.5435294614151312E-3</v>
      </c>
      <c r="HH16" s="54" t="e">
        <f t="shared" si="101"/>
        <v>#N/A</v>
      </c>
      <c r="HI16" s="54" t="e">
        <f t="shared" si="102"/>
        <v>#N/A</v>
      </c>
      <c r="HJ16" s="54" t="b">
        <f t="shared" si="103"/>
        <v>1</v>
      </c>
      <c r="HK16" s="54" t="b">
        <f t="shared" si="104"/>
        <v>0</v>
      </c>
      <c r="HL16" s="54" t="b">
        <f t="shared" si="105"/>
        <v>1</v>
      </c>
      <c r="HM16" s="54" t="b">
        <f t="shared" si="106"/>
        <v>0</v>
      </c>
      <c r="HN16" s="54">
        <f t="shared" si="107"/>
        <v>1.5435294614151312E-3</v>
      </c>
      <c r="HO16" s="54">
        <f t="shared" si="108"/>
        <v>1.5435294614151312E-3</v>
      </c>
      <c r="HP16" s="54" t="e">
        <f t="shared" si="109"/>
        <v>#N/A</v>
      </c>
      <c r="HQ16" s="72" t="str">
        <f t="shared" si="110"/>
        <v/>
      </c>
    </row>
    <row r="17" spans="56:225" x14ac:dyDescent="0.2">
      <c r="BD17" s="100" t="s">
        <v>454</v>
      </c>
      <c r="BE17" s="58" t="s">
        <v>454</v>
      </c>
      <c r="BF17" s="58" t="s">
        <v>454</v>
      </c>
      <c r="BG17" s="58" t="s">
        <v>454</v>
      </c>
      <c r="BH17" s="58" t="s">
        <v>454</v>
      </c>
      <c r="BI17" s="58" t="s">
        <v>454</v>
      </c>
      <c r="BS17" s="54">
        <f t="shared" si="36"/>
        <v>7</v>
      </c>
      <c r="BT17" s="54">
        <f>Eu_tabel_g[[#This Row],[Indeks]]+1</f>
        <v>8</v>
      </c>
      <c r="BU17" s="54">
        <f t="shared" si="37"/>
        <v>-2.922545281802118</v>
      </c>
      <c r="BV17" s="54">
        <f t="shared" si="38"/>
        <v>5.5743810217063422E-3</v>
      </c>
      <c r="BW17" s="54" t="e">
        <f t="shared" si="39"/>
        <v>#N/A</v>
      </c>
      <c r="BX17" s="54" t="e">
        <f t="shared" si="40"/>
        <v>#N/A</v>
      </c>
      <c r="BY17" s="54" t="e">
        <f t="shared" si="41"/>
        <v>#N/A</v>
      </c>
      <c r="BZ17" s="54" t="b">
        <f t="shared" si="42"/>
        <v>1</v>
      </c>
      <c r="CA17" s="54" t="b">
        <f t="shared" si="43"/>
        <v>0</v>
      </c>
      <c r="CB17" s="54" t="b">
        <f t="shared" si="44"/>
        <v>1</v>
      </c>
      <c r="CC17" s="54" t="b">
        <f t="shared" si="45"/>
        <v>0</v>
      </c>
      <c r="CD17" s="54">
        <f t="shared" si="111"/>
        <v>5.5743810217063422E-3</v>
      </c>
      <c r="CE17" s="54">
        <f t="shared" si="47"/>
        <v>5.5743810217063422E-3</v>
      </c>
      <c r="CF17" s="54" t="e">
        <f t="shared" si="48"/>
        <v>#N/A</v>
      </c>
      <c r="CG17" s="72" t="str">
        <f t="shared" si="49"/>
        <v/>
      </c>
      <c r="CH17" s="54">
        <f>_xlfn.NORM.DIST(_xlfn.NORM.INV(1-Eu_g_konfidensniveau,0,1)-Eu_tabel_g[[#This Row],[x base]],0,1,TRUE)</f>
        <v>0.89932091557589511</v>
      </c>
      <c r="CI17" s="54">
        <f>1-_xlfn.NORM.DIST(_xlfn.NORM.INV(Eu_g_konfidensniveau,0,1)-Eu_tabel_g[[#This Row],[x base]],0,1,TRUE)</f>
        <v>2.4690684962136444E-6</v>
      </c>
      <c r="CJ17" s="54">
        <f>_xlfn.NORM.DIST(_xlfn.NORM.INV((1-Eu_g_konfidensniveau)/2,0,1)-Eu_tabel_g[[#This Row],[x base]],0,1,TRUE)+1-_xlfn.NORM.DIST(_xlfn.NORM.INV(1-(1-Eu_g_konfidensniveau)/2,0,1)-Eu_tabel_g[[#This Row],[x base]],0,1,TRUE)</f>
        <v>0.83212168021726474</v>
      </c>
      <c r="CK17" s="54" t="e" cm="1">
        <f t="array" ref="CK17">IF($CK$3,INDEX(Eu_tabel_g[[#This Row],[Styrke venstre]:[Styrke tosidet]],CK$7),NA())</f>
        <v>#N/A</v>
      </c>
      <c r="CL17" s="99" t="e">
        <f>Eu_tabel_g[[#This Row],[Falsk positiv
Nulhypotese accepteres
Fejltype 1]]</f>
        <v>#N/A</v>
      </c>
      <c r="CM17" s="99" t="e">
        <f>IF(CHOOSE(CK$7,Eu_tabel_g[[#This Row],[x base]]&gt;0,Eu_tabel_g[[#This Row],[x base]]&lt;0,Eu_tabel_g[[#This Row],[x base]]=0),Eu_tabel_g[[#This Row],[Styrke, aktiv]],NA())</f>
        <v>#N/A</v>
      </c>
      <c r="CN17" s="99" t="e">
        <f>IFERROR(IF($CK$3,Eu_tabel_g[[#This Row],[Styrke, aktiv]],NA()),NA())</f>
        <v>#N/A</v>
      </c>
      <c r="CO17" s="99" t="e">
        <f>IF(ISNA(Eu_tabel_g[[#This Row],[Sand negativ
Nulhypotese afvises
Korrekt]]),NA(),IF($CK$3,1,NA()))</f>
        <v>#N/A</v>
      </c>
      <c r="CP17" s="56" t="str" cm="1">
        <f t="array" ref="CP17">_xlfn.SWITCH(BS17,_xlfn.IFNA(CN$2,-99),CN$5,_xlfn.IFNA(CN$3,-99),CN$6,_xlfn.IFNA(CN$4,-99),CN$7,"")</f>
        <v/>
      </c>
      <c r="CT17" s="7">
        <f t="shared" si="50"/>
        <v>0.8</v>
      </c>
      <c r="CU17">
        <f>IF(ROW(Styrkeberegning_G[[#This Row],[X base venstre]])=ROW(Styrkeberegning_G[[#Headers],[X base venstre]])+1,CU$7/(CT$7/$B$67),CU16/(CT16/$B$67))</f>
        <v>-2.8015817870135784</v>
      </c>
      <c r="CV17">
        <f>Styrkeberegning_G[[#This Row],[X base venstre]]*-1</f>
        <v>2.8015817870135784</v>
      </c>
      <c r="DG17" s="54">
        <f t="shared" si="51"/>
        <v>7</v>
      </c>
      <c r="DH17" s="54">
        <f t="shared" si="52"/>
        <v>8</v>
      </c>
      <c r="DI17" s="54">
        <f t="shared" si="53"/>
        <v>2.6323486595726973</v>
      </c>
      <c r="DJ17" s="54" t="e">
        <f t="shared" si="54"/>
        <v>#N/A</v>
      </c>
      <c r="DK17" s="54" t="e">
        <f t="shared" si="55"/>
        <v>#N/A</v>
      </c>
      <c r="DL17" s="54">
        <f t="shared" si="56"/>
        <v>8.8189394770563246E-3</v>
      </c>
      <c r="DM17" s="54" t="e">
        <f t="shared" si="57"/>
        <v>#N/A</v>
      </c>
      <c r="DN17" s="54" t="b">
        <f t="shared" si="58"/>
        <v>1</v>
      </c>
      <c r="DO17" s="54" t="b">
        <f t="shared" si="59"/>
        <v>0</v>
      </c>
      <c r="DP17" s="54" t="b">
        <f t="shared" si="60"/>
        <v>1</v>
      </c>
      <c r="DQ17" s="54" t="b">
        <f t="shared" si="61"/>
        <v>0</v>
      </c>
      <c r="DR17" s="54">
        <f t="shared" si="62"/>
        <v>8.8189394770563246E-3</v>
      </c>
      <c r="DS17" s="54">
        <f t="shared" si="63"/>
        <v>8.8189394770563246E-3</v>
      </c>
      <c r="DT17" s="54" t="e">
        <f t="shared" si="64"/>
        <v>#N/A</v>
      </c>
      <c r="DU17" s="72" t="str">
        <f t="shared" si="65"/>
        <v/>
      </c>
      <c r="DZ17" s="54">
        <f t="shared" si="66"/>
        <v>7</v>
      </c>
      <c r="EA17" s="54">
        <f t="shared" si="67"/>
        <v>8</v>
      </c>
      <c r="EB17" s="54">
        <f t="shared" si="68"/>
        <v>-2.922545281802118</v>
      </c>
      <c r="EC17" s="54">
        <f t="shared" si="69"/>
        <v>5.5743810217063422E-3</v>
      </c>
      <c r="ED17" s="54" t="e">
        <f t="shared" si="70"/>
        <v>#N/A</v>
      </c>
      <c r="EE17" s="54" t="e">
        <f t="shared" si="71"/>
        <v>#N/A</v>
      </c>
      <c r="EF17" s="54" t="e">
        <f t="shared" si="72"/>
        <v>#N/A</v>
      </c>
      <c r="EG17" s="54" t="b">
        <f t="shared" si="73"/>
        <v>1</v>
      </c>
      <c r="EH17" s="54" t="b">
        <f t="shared" si="74"/>
        <v>0</v>
      </c>
      <c r="EI17" s="54" t="b">
        <f t="shared" si="75"/>
        <v>1</v>
      </c>
      <c r="EJ17" s="54" t="b">
        <f t="shared" si="76"/>
        <v>0</v>
      </c>
      <c r="EK17" s="54">
        <f t="shared" si="77"/>
        <v>5.5743810217063422E-3</v>
      </c>
      <c r="EL17" s="54">
        <f t="shared" si="78"/>
        <v>5.5743810217063422E-3</v>
      </c>
      <c r="EM17" s="54" t="e">
        <f t="shared" si="79"/>
        <v>#N/A</v>
      </c>
      <c r="EN17" s="72" t="str">
        <f t="shared" si="80"/>
        <v/>
      </c>
      <c r="EO1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7" s="54" t="e" cm="1">
        <f t="array" ref="ER17">IF($CK$3,INDEX(Eu_tabel_a[[#This Row],[Styrke venstre]:[Styrke tosidet]],ER$7),NA())</f>
        <v>#N/A</v>
      </c>
      <c r="ES17" s="54" t="e">
        <f>IF(ER$3,IF(CHOOSE(ER$7,Eu_tabel_a[[#This Row],[x base]]&gt;0,Eu_tabel_a[[#This Row],[x base]]&lt;0,Eu_tabel_a[[#This Row],[x base]]=0),1,NA()),NA())</f>
        <v>#N/A</v>
      </c>
      <c r="ET17" s="54" t="e">
        <f>IF(CHOOSE(ER$7,Eu_tabel_a[[#This Row],[x base]]&gt;0,Eu_tabel_a[[#This Row],[x base]]&lt;0,Eu_tabel_a[[#This Row],[x base]]=0),Eu_tabel_a[[#This Row],[Styrke, aktiv]],NA())</f>
        <v>#N/A</v>
      </c>
      <c r="EU17" s="54" t="e">
        <f>IFERROR(IF($ER$3,Eu_tabel_a[[#This Row],[Styrke, aktiv]],NA()),NA())</f>
        <v>#N/A</v>
      </c>
      <c r="EV17" s="54" t="e">
        <f>IF(ISNA(Eu_tabel_a[[#This Row],[Sand negativ
Nulhypotese afvises
Korrekt]]),NA(),IF(ER$3,1,NA()))</f>
        <v>#N/A</v>
      </c>
      <c r="EW17" s="55" t="str" cm="1">
        <f t="array" ref="EW17">IFERROR(_xlfn.SWITCH(Eu_tabel_a[[#This Row],[Indeks]],_xlfn.IFNA(EU$2,-99),EU$5,_xlfn.IFNA(EU$3,-99),EU$6,_xlfn.IFNA(EU$4,-99),EU$7,""),"")</f>
        <v/>
      </c>
      <c r="EX17" s="54">
        <f>Eu_tabel_a[[#This Row],[x base]]*SQRT(Eu_a_h0_x*(1-Eu_a_h0_x)/Eu_a_n_x)+Eu_a_h0_x</f>
        <v>0</v>
      </c>
      <c r="FC17" s="161" t="e">
        <f t="shared" si="18"/>
        <v>#N/A</v>
      </c>
      <c r="FD17" s="169" t="e">
        <f t="shared" si="31"/>
        <v>#DIV/0!</v>
      </c>
      <c r="FE17" s="7" t="e">
        <f t="shared" si="12"/>
        <v>#DIV/0!</v>
      </c>
      <c r="FF17" t="e">
        <f t="shared" si="32"/>
        <v>#DIV/0!</v>
      </c>
      <c r="FG17" s="8" t="e">
        <f t="shared" si="33"/>
        <v>#DIV/0!</v>
      </c>
      <c r="FH17" s="8" t="e">
        <f t="shared" si="34"/>
        <v>#DIV/0!</v>
      </c>
      <c r="FI17" s="168" t="e">
        <f t="shared" si="35"/>
        <v>#DIV/0!</v>
      </c>
      <c r="FJ17" s="161" t="e">
        <f t="shared" ca="1" si="13"/>
        <v>#N/A</v>
      </c>
      <c r="FK17" s="169" t="e" vm="3">
        <f t="shared" ca="1" si="19"/>
        <v>#VALUE!</v>
      </c>
      <c r="FL17" s="7" t="e" vm="3">
        <f t="shared" ca="1" si="14"/>
        <v>#VALUE!</v>
      </c>
      <c r="FM17" t="e" vm="3">
        <f t="shared" ca="1" si="8"/>
        <v>#VALUE!</v>
      </c>
      <c r="FN17" s="8" t="e" vm="3">
        <f t="shared" ca="1" si="9"/>
        <v>#VALUE!</v>
      </c>
      <c r="FO17" s="8" t="e" vm="3">
        <f t="shared" ca="1" si="10"/>
        <v>#VALUE!</v>
      </c>
      <c r="FP17" s="168" t="e" vm="3">
        <f t="shared" ca="1" si="11"/>
        <v>#VALUE!</v>
      </c>
      <c r="FQ17" s="161" t="e">
        <f t="shared" si="15"/>
        <v>#N/A</v>
      </c>
      <c r="FR17" s="169" t="e">
        <f t="shared" si="20"/>
        <v>#N/A</v>
      </c>
      <c r="FS17" s="7" t="e">
        <f t="shared" si="16"/>
        <v>#N/A</v>
      </c>
      <c r="FT17" t="e">
        <f t="shared" si="21"/>
        <v>#N/A</v>
      </c>
      <c r="FU17" s="8" t="e">
        <f t="shared" si="22"/>
        <v>#N/A</v>
      </c>
      <c r="FV17" s="8" t="e">
        <f t="shared" si="23"/>
        <v>#N/A</v>
      </c>
      <c r="FW17" s="168" t="e">
        <f t="shared" si="24"/>
        <v>#N/A</v>
      </c>
      <c r="FX17" s="161" t="e">
        <f t="shared" si="25"/>
        <v>#N/A</v>
      </c>
      <c r="FY17" s="169" t="e">
        <f t="shared" si="26"/>
        <v>#N/A</v>
      </c>
      <c r="FZ17" s="7" t="e">
        <f t="shared" si="17"/>
        <v>#N/A</v>
      </c>
      <c r="GA17" t="e">
        <f t="shared" si="27"/>
        <v>#N/A</v>
      </c>
      <c r="GB17" s="8" t="e">
        <f t="shared" si="28"/>
        <v>#N/A</v>
      </c>
      <c r="GC17" s="8" t="e">
        <f t="shared" si="29"/>
        <v>#N/A</v>
      </c>
      <c r="GD17" s="168" t="e">
        <f t="shared" si="30"/>
        <v>#N/A</v>
      </c>
      <c r="GE17" s="168"/>
      <c r="GF17" s="168"/>
      <c r="GI17" s="54">
        <f t="shared" si="81"/>
        <v>7</v>
      </c>
      <c r="GJ17" s="54">
        <f t="shared" si="82"/>
        <v>8</v>
      </c>
      <c r="GK17" s="54">
        <f t="shared" si="83"/>
        <v>-2.922545281802118</v>
      </c>
      <c r="GL17" s="54">
        <f t="shared" si="84"/>
        <v>5.5743810217063422E-3</v>
      </c>
      <c r="GM17" s="54" t="e">
        <f t="shared" si="85"/>
        <v>#N/A</v>
      </c>
      <c r="GN17" s="54" t="e">
        <f t="shared" si="86"/>
        <v>#N/A</v>
      </c>
      <c r="GO17" s="54" t="e">
        <f t="shared" si="87"/>
        <v>#N/A</v>
      </c>
      <c r="GP17" s="54" t="b">
        <f t="shared" si="88"/>
        <v>1</v>
      </c>
      <c r="GQ17" s="54" t="b">
        <f t="shared" si="89"/>
        <v>0</v>
      </c>
      <c r="GR17" s="54" t="b">
        <f t="shared" si="90"/>
        <v>1</v>
      </c>
      <c r="GS17" s="54" t="b">
        <f t="shared" si="91"/>
        <v>0</v>
      </c>
      <c r="GT17" s="54">
        <f t="shared" si="92"/>
        <v>5.5743810217063422E-3</v>
      </c>
      <c r="GU17" s="54">
        <f t="shared" si="93"/>
        <v>5.5743810217063422E-3</v>
      </c>
      <c r="GV17" s="54" t="e">
        <f t="shared" si="94"/>
        <v>#N/A</v>
      </c>
      <c r="GW17" s="72" t="str">
        <f t="shared" si="95"/>
        <v/>
      </c>
      <c r="HC17" s="54">
        <f t="shared" si="96"/>
        <v>7</v>
      </c>
      <c r="HD17" s="54">
        <f t="shared" si="97"/>
        <v>8</v>
      </c>
      <c r="HE17" s="54">
        <f t="shared" si="98"/>
        <v>-4.5256227495649348</v>
      </c>
      <c r="HF17" s="54" t="e">
        <f t="shared" si="99"/>
        <v>#N/A</v>
      </c>
      <c r="HG17" s="54">
        <f t="shared" si="100"/>
        <v>1.6206774944199514E-3</v>
      </c>
      <c r="HH17" s="54" t="e">
        <f t="shared" si="101"/>
        <v>#N/A</v>
      </c>
      <c r="HI17" s="54" t="e">
        <f t="shared" si="102"/>
        <v>#N/A</v>
      </c>
      <c r="HJ17" s="54" t="b">
        <f t="shared" si="103"/>
        <v>1</v>
      </c>
      <c r="HK17" s="54" t="b">
        <f t="shared" si="104"/>
        <v>0</v>
      </c>
      <c r="HL17" s="54" t="b">
        <f t="shared" si="105"/>
        <v>1</v>
      </c>
      <c r="HM17" s="54" t="b">
        <f t="shared" si="106"/>
        <v>0</v>
      </c>
      <c r="HN17" s="54">
        <f t="shared" si="107"/>
        <v>1.6206774944199514E-3</v>
      </c>
      <c r="HO17" s="54">
        <f t="shared" si="108"/>
        <v>1.6206774944199514E-3</v>
      </c>
      <c r="HP17" s="54" t="e">
        <f t="shared" si="109"/>
        <v>#N/A</v>
      </c>
      <c r="HQ17" s="72" t="str">
        <f t="shared" si="110"/>
        <v/>
      </c>
    </row>
    <row r="18" spans="56:225" x14ac:dyDescent="0.2">
      <c r="BD18" s="58" t="s">
        <v>155</v>
      </c>
      <c r="BE18" s="60" t="b">
        <f>INDEX(E_g_valg[Kontrol af forudsætning 1],E_g_aktiv)</f>
        <v>1</v>
      </c>
      <c r="BF18" s="60" t="b">
        <f>INDEX(E_s_valg[Kontrol af forudsætning 1],E_s_aktiv)</f>
        <v>1</v>
      </c>
      <c r="BG18" s="60" t="b">
        <f>INDEX(E_a_valg[Kontrol af forudsætning 1],E_a_aktiv)</f>
        <v>1</v>
      </c>
      <c r="BH18" s="60" t="b">
        <f>INDEX(E_i_valg[Kontrol af forudsætning 1],E_i_aktiv)</f>
        <v>1</v>
      </c>
      <c r="BI18" s="60" t="b">
        <f>INDEX(E_k_valg[Kontrol af forudsætning 1],E_k_aktiv)</f>
        <v>1</v>
      </c>
      <c r="BS18" s="54">
        <f t="shared" si="36"/>
        <v>8</v>
      </c>
      <c r="BT18" s="54">
        <f>Eu_tabel_g[[#This Row],[Indeks]]+1</f>
        <v>9</v>
      </c>
      <c r="BU18" s="54">
        <f t="shared" si="37"/>
        <v>-2.8985899926070187</v>
      </c>
      <c r="BV18" s="54">
        <f t="shared" si="38"/>
        <v>5.9769163423966454E-3</v>
      </c>
      <c r="BW18" s="54" t="e">
        <f t="shared" si="39"/>
        <v>#N/A</v>
      </c>
      <c r="BX18" s="54" t="e">
        <f t="shared" si="40"/>
        <v>#N/A</v>
      </c>
      <c r="BY18" s="54" t="e">
        <f t="shared" si="41"/>
        <v>#N/A</v>
      </c>
      <c r="BZ18" s="54" t="b">
        <f t="shared" si="42"/>
        <v>1</v>
      </c>
      <c r="CA18" s="54" t="b">
        <f t="shared" si="43"/>
        <v>0</v>
      </c>
      <c r="CB18" s="54" t="b">
        <f t="shared" si="44"/>
        <v>1</v>
      </c>
      <c r="CC18" s="54" t="b">
        <f t="shared" si="45"/>
        <v>0</v>
      </c>
      <c r="CD18" s="54">
        <f t="shared" si="111"/>
        <v>5.9769163423966454E-3</v>
      </c>
      <c r="CE18" s="54">
        <f t="shared" si="47"/>
        <v>5.9769163423966454E-3</v>
      </c>
      <c r="CF18" s="54" t="e">
        <f t="shared" si="48"/>
        <v>#N/A</v>
      </c>
      <c r="CG18" s="72" t="str">
        <f t="shared" si="49"/>
        <v/>
      </c>
      <c r="CH18" s="54">
        <f>_xlfn.NORM.DIST(_xlfn.NORM.INV(1-Eu_g_konfidensniveau,0,1)-Eu_tabel_g[[#This Row],[x base]],0,1,TRUE)</f>
        <v>0.89503107733648157</v>
      </c>
      <c r="CI18" s="54">
        <f>1-_xlfn.NORM.DIST(_xlfn.NORM.INV(Eu_g_konfidensniveau,0,1)-Eu_tabel_g[[#This Row],[x base]],0,1,TRUE)</f>
        <v>2.767130622527425E-6</v>
      </c>
      <c r="CJ18" s="54">
        <f>_xlfn.NORM.DIST(_xlfn.NORM.INV((1-Eu_g_konfidensniveau)/2,0,1)-Eu_tabel_g[[#This Row],[x base]],0,1,TRUE)+1-_xlfn.NORM.DIST(_xlfn.NORM.INV(1-(1-Eu_g_konfidensniveau)/2,0,1)-Eu_tabel_g[[#This Row],[x base]],0,1,TRUE)</f>
        <v>0.82603919385088276</v>
      </c>
      <c r="CK18" s="54" t="e" cm="1">
        <f t="array" ref="CK18">IF($CK$3,INDEX(Eu_tabel_g[[#This Row],[Styrke venstre]:[Styrke tosidet]],CK$7),NA())</f>
        <v>#N/A</v>
      </c>
      <c r="CL18" s="99" t="e">
        <f>Eu_tabel_g[[#This Row],[Falsk positiv
Nulhypotese accepteres
Fejltype 1]]</f>
        <v>#N/A</v>
      </c>
      <c r="CM18" s="99" t="e">
        <f>IF(CHOOSE(CK$7,Eu_tabel_g[[#This Row],[x base]]&gt;0,Eu_tabel_g[[#This Row],[x base]]&lt;0,Eu_tabel_g[[#This Row],[x base]]=0),Eu_tabel_g[[#This Row],[Styrke, aktiv]],NA())</f>
        <v>#N/A</v>
      </c>
      <c r="CN18" s="99" t="e">
        <f>IFERROR(IF($CK$3,Eu_tabel_g[[#This Row],[Styrke, aktiv]],NA()),NA())</f>
        <v>#N/A</v>
      </c>
      <c r="CO18" s="99" t="e">
        <f>IF(ISNA(Eu_tabel_g[[#This Row],[Sand negativ
Nulhypotese afvises
Korrekt]]),NA(),IF($CK$3,1,NA()))</f>
        <v>#N/A</v>
      </c>
      <c r="CP18" s="56" t="str" cm="1">
        <f t="array" ref="CP18">_xlfn.SWITCH(BS18,_xlfn.IFNA(CN$2,-99),CN$5,_xlfn.IFNA(CN$3,-99),CN$6,_xlfn.IFNA(CN$4,-99),CN$7,"")</f>
        <v/>
      </c>
      <c r="CT18" s="7">
        <f t="shared" si="50"/>
        <v>0.8</v>
      </c>
      <c r="CU18">
        <f>IF(ROW(Styrkeberegning_G[[#This Row],[X base venstre]])=ROW(Styrkeberegning_G[[#Headers],[X base venstre]])+1,CU$7/(CT$7/$B$67),CU17/(CT17/$B$67))</f>
        <v>-2.8015817870135784</v>
      </c>
      <c r="CV18">
        <f>Styrkeberegning_G[[#This Row],[X base venstre]]*-1</f>
        <v>2.8015817870135784</v>
      </c>
      <c r="DG18" s="54">
        <f t="shared" si="51"/>
        <v>8</v>
      </c>
      <c r="DH18" s="54">
        <f t="shared" si="52"/>
        <v>9</v>
      </c>
      <c r="DI18" s="54">
        <f t="shared" si="53"/>
        <v>2.7464195159896985</v>
      </c>
      <c r="DJ18" s="54" t="e">
        <f t="shared" si="54"/>
        <v>#N/A</v>
      </c>
      <c r="DK18" s="54" t="e">
        <f t="shared" si="55"/>
        <v>#N/A</v>
      </c>
      <c r="DL18" s="54">
        <f t="shared" si="56"/>
        <v>1.0082118119969227E-2</v>
      </c>
      <c r="DM18" s="54" t="e">
        <f t="shared" si="57"/>
        <v>#N/A</v>
      </c>
      <c r="DN18" s="54" t="b">
        <f t="shared" si="58"/>
        <v>1</v>
      </c>
      <c r="DO18" s="54" t="b">
        <f t="shared" si="59"/>
        <v>0</v>
      </c>
      <c r="DP18" s="54" t="b">
        <f t="shared" si="60"/>
        <v>1</v>
      </c>
      <c r="DQ18" s="54" t="b">
        <f t="shared" si="61"/>
        <v>0</v>
      </c>
      <c r="DR18" s="54">
        <f t="shared" si="62"/>
        <v>1.0082118119969227E-2</v>
      </c>
      <c r="DS18" s="54">
        <f t="shared" si="63"/>
        <v>1.0082118119969227E-2</v>
      </c>
      <c r="DT18" s="54" t="e">
        <f t="shared" si="64"/>
        <v>#N/A</v>
      </c>
      <c r="DU18" s="72" t="str">
        <f t="shared" si="65"/>
        <v/>
      </c>
      <c r="DZ18" s="54">
        <f t="shared" si="66"/>
        <v>8</v>
      </c>
      <c r="EA18" s="54">
        <f t="shared" si="67"/>
        <v>9</v>
      </c>
      <c r="EB18" s="54">
        <f t="shared" si="68"/>
        <v>-2.8985899926070187</v>
      </c>
      <c r="EC18" s="54">
        <f t="shared" si="69"/>
        <v>5.9769163423966454E-3</v>
      </c>
      <c r="ED18" s="54" t="e">
        <f t="shared" si="70"/>
        <v>#N/A</v>
      </c>
      <c r="EE18" s="54" t="e">
        <f t="shared" si="71"/>
        <v>#N/A</v>
      </c>
      <c r="EF18" s="54" t="e">
        <f t="shared" si="72"/>
        <v>#N/A</v>
      </c>
      <c r="EG18" s="54" t="b">
        <f t="shared" si="73"/>
        <v>1</v>
      </c>
      <c r="EH18" s="54" t="b">
        <f t="shared" si="74"/>
        <v>0</v>
      </c>
      <c r="EI18" s="54" t="b">
        <f t="shared" si="75"/>
        <v>1</v>
      </c>
      <c r="EJ18" s="54" t="b">
        <f t="shared" si="76"/>
        <v>0</v>
      </c>
      <c r="EK18" s="54">
        <f t="shared" si="77"/>
        <v>5.9769163423966454E-3</v>
      </c>
      <c r="EL18" s="54">
        <f t="shared" si="78"/>
        <v>5.9769163423966454E-3</v>
      </c>
      <c r="EM18" s="54" t="e">
        <f t="shared" si="79"/>
        <v>#N/A</v>
      </c>
      <c r="EN18" s="72" t="str">
        <f t="shared" si="80"/>
        <v/>
      </c>
      <c r="EO1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8" s="54" t="e" cm="1">
        <f t="array" ref="ER18">IF($CK$3,INDEX(Eu_tabel_a[[#This Row],[Styrke venstre]:[Styrke tosidet]],ER$7),NA())</f>
        <v>#N/A</v>
      </c>
      <c r="ES18" s="54" t="e">
        <f>IF(ER$3,IF(CHOOSE(ER$7,Eu_tabel_a[[#This Row],[x base]]&gt;0,Eu_tabel_a[[#This Row],[x base]]&lt;0,Eu_tabel_a[[#This Row],[x base]]=0),1,NA()),NA())</f>
        <v>#N/A</v>
      </c>
      <c r="ET18" s="54" t="e">
        <f>IF(CHOOSE(ER$7,Eu_tabel_a[[#This Row],[x base]]&gt;0,Eu_tabel_a[[#This Row],[x base]]&lt;0,Eu_tabel_a[[#This Row],[x base]]=0),Eu_tabel_a[[#This Row],[Styrke, aktiv]],NA())</f>
        <v>#N/A</v>
      </c>
      <c r="EU18" s="54" t="e">
        <f>IFERROR(IF($ER$3,Eu_tabel_a[[#This Row],[Styrke, aktiv]],NA()),NA())</f>
        <v>#N/A</v>
      </c>
      <c r="EV18" s="54" t="e">
        <f>IF(ISNA(Eu_tabel_a[[#This Row],[Sand negativ
Nulhypotese afvises
Korrekt]]),NA(),IF(ER$3,1,NA()))</f>
        <v>#N/A</v>
      </c>
      <c r="EW18" s="55" t="str" cm="1">
        <f t="array" ref="EW18">IFERROR(_xlfn.SWITCH(Eu_tabel_a[[#This Row],[Indeks]],_xlfn.IFNA(EU$2,-99),EU$5,_xlfn.IFNA(EU$3,-99),EU$6,_xlfn.IFNA(EU$4,-99),EU$7,""),"")</f>
        <v/>
      </c>
      <c r="EX18" s="54">
        <f>Eu_tabel_a[[#This Row],[x base]]*SQRT(Eu_a_h0_x*(1-Eu_a_h0_x)/Eu_a_n_x)+Eu_a_h0_x</f>
        <v>0</v>
      </c>
      <c r="FC18" s="161" t="e">
        <f t="shared" si="18"/>
        <v>#N/A</v>
      </c>
      <c r="FD18" s="169" t="e">
        <f t="shared" si="31"/>
        <v>#DIV/0!</v>
      </c>
      <c r="FE18" s="7" t="e">
        <f t="shared" si="12"/>
        <v>#DIV/0!</v>
      </c>
      <c r="FF18" t="e">
        <f t="shared" si="32"/>
        <v>#DIV/0!</v>
      </c>
      <c r="FG18" s="8" t="e">
        <f t="shared" si="33"/>
        <v>#DIV/0!</v>
      </c>
      <c r="FH18" s="8" t="e">
        <f t="shared" si="34"/>
        <v>#DIV/0!</v>
      </c>
      <c r="FI18" s="168" t="e">
        <f t="shared" si="35"/>
        <v>#DIV/0!</v>
      </c>
      <c r="FJ18" s="161" t="e">
        <f t="shared" ca="1" si="13"/>
        <v>#N/A</v>
      </c>
      <c r="FK18" s="169" t="e" vm="3">
        <f t="shared" ca="1" si="19"/>
        <v>#VALUE!</v>
      </c>
      <c r="FL18" s="7" t="e" vm="3">
        <f t="shared" ca="1" si="14"/>
        <v>#VALUE!</v>
      </c>
      <c r="FM18" t="e" vm="3">
        <f t="shared" ca="1" si="8"/>
        <v>#VALUE!</v>
      </c>
      <c r="FN18" s="8" t="e" vm="3">
        <f t="shared" ca="1" si="9"/>
        <v>#VALUE!</v>
      </c>
      <c r="FO18" s="8" t="e" vm="3">
        <f t="shared" ca="1" si="10"/>
        <v>#VALUE!</v>
      </c>
      <c r="FP18" s="168" t="e" vm="3">
        <f t="shared" ca="1" si="11"/>
        <v>#VALUE!</v>
      </c>
      <c r="FQ18" s="161" t="e">
        <f t="shared" si="15"/>
        <v>#N/A</v>
      </c>
      <c r="FR18" s="169" t="e">
        <f t="shared" si="20"/>
        <v>#N/A</v>
      </c>
      <c r="FS18" s="7" t="e">
        <f t="shared" si="16"/>
        <v>#N/A</v>
      </c>
      <c r="FT18" t="e">
        <f t="shared" si="21"/>
        <v>#N/A</v>
      </c>
      <c r="FU18" s="8" t="e">
        <f t="shared" si="22"/>
        <v>#N/A</v>
      </c>
      <c r="FV18" s="8" t="e">
        <f t="shared" si="23"/>
        <v>#N/A</v>
      </c>
      <c r="FW18" s="168" t="e">
        <f t="shared" si="24"/>
        <v>#N/A</v>
      </c>
      <c r="FX18" s="161" t="e">
        <f t="shared" si="25"/>
        <v>#N/A</v>
      </c>
      <c r="FY18" s="169" t="e">
        <f t="shared" si="26"/>
        <v>#N/A</v>
      </c>
      <c r="FZ18" s="7" t="e">
        <f t="shared" si="17"/>
        <v>#N/A</v>
      </c>
      <c r="GA18" t="e">
        <f t="shared" si="27"/>
        <v>#N/A</v>
      </c>
      <c r="GB18" s="8" t="e">
        <f t="shared" si="28"/>
        <v>#N/A</v>
      </c>
      <c r="GC18" s="8" t="e">
        <f t="shared" si="29"/>
        <v>#N/A</v>
      </c>
      <c r="GD18" s="168" t="e">
        <f t="shared" si="30"/>
        <v>#N/A</v>
      </c>
      <c r="GE18" s="168"/>
      <c r="GF18" s="168"/>
      <c r="GI18" s="54">
        <f t="shared" si="81"/>
        <v>8</v>
      </c>
      <c r="GJ18" s="54">
        <f t="shared" si="82"/>
        <v>9</v>
      </c>
      <c r="GK18" s="54">
        <f t="shared" si="83"/>
        <v>-2.8985899926070187</v>
      </c>
      <c r="GL18" s="54">
        <f t="shared" si="84"/>
        <v>5.9769163423966454E-3</v>
      </c>
      <c r="GM18" s="54" t="e">
        <f t="shared" si="85"/>
        <v>#N/A</v>
      </c>
      <c r="GN18" s="54" t="e">
        <f t="shared" si="86"/>
        <v>#N/A</v>
      </c>
      <c r="GO18" s="54" t="e">
        <f t="shared" si="87"/>
        <v>#N/A</v>
      </c>
      <c r="GP18" s="54" t="b">
        <f t="shared" si="88"/>
        <v>1</v>
      </c>
      <c r="GQ18" s="54" t="b">
        <f t="shared" si="89"/>
        <v>0</v>
      </c>
      <c r="GR18" s="54" t="b">
        <f t="shared" si="90"/>
        <v>1</v>
      </c>
      <c r="GS18" s="54" t="b">
        <f t="shared" si="91"/>
        <v>0</v>
      </c>
      <c r="GT18" s="54">
        <f t="shared" si="92"/>
        <v>5.9769163423966454E-3</v>
      </c>
      <c r="GU18" s="54">
        <f t="shared" si="93"/>
        <v>5.9769163423966454E-3</v>
      </c>
      <c r="GV18" s="54" t="e">
        <f t="shared" si="94"/>
        <v>#N/A</v>
      </c>
      <c r="GW18" s="72" t="str">
        <f t="shared" si="95"/>
        <v/>
      </c>
      <c r="HC18" s="54">
        <f t="shared" si="96"/>
        <v>8</v>
      </c>
      <c r="HD18" s="54">
        <f t="shared" si="97"/>
        <v>9</v>
      </c>
      <c r="HE18" s="54">
        <f t="shared" si="98"/>
        <v>-4.4885274811258782</v>
      </c>
      <c r="HF18" s="54" t="e">
        <f t="shared" si="99"/>
        <v>#N/A</v>
      </c>
      <c r="HG18" s="54">
        <f t="shared" si="100"/>
        <v>1.7020159287022905E-3</v>
      </c>
      <c r="HH18" s="54" t="e">
        <f t="shared" si="101"/>
        <v>#N/A</v>
      </c>
      <c r="HI18" s="54" t="e">
        <f t="shared" si="102"/>
        <v>#N/A</v>
      </c>
      <c r="HJ18" s="54" t="b">
        <f t="shared" si="103"/>
        <v>1</v>
      </c>
      <c r="HK18" s="54" t="b">
        <f t="shared" si="104"/>
        <v>0</v>
      </c>
      <c r="HL18" s="54" t="b">
        <f t="shared" si="105"/>
        <v>1</v>
      </c>
      <c r="HM18" s="54" t="b">
        <f t="shared" si="106"/>
        <v>0</v>
      </c>
      <c r="HN18" s="54">
        <f t="shared" si="107"/>
        <v>1.7020159287022905E-3</v>
      </c>
      <c r="HO18" s="54">
        <f t="shared" si="108"/>
        <v>1.7020159287022905E-3</v>
      </c>
      <c r="HP18" s="54" t="e">
        <f t="shared" si="109"/>
        <v>#N/A</v>
      </c>
      <c r="HQ18" s="72" t="str">
        <f t="shared" si="110"/>
        <v/>
      </c>
    </row>
    <row r="19" spans="56:225" x14ac:dyDescent="0.2">
      <c r="BD19" s="58" t="s">
        <v>156</v>
      </c>
      <c r="BE19" s="60">
        <f>INDEX(E_g_valg[Kontrol af forudsætning 2],E_g_aktiv)</f>
        <v>0</v>
      </c>
      <c r="BF19" s="60">
        <f>INDEX(E_s_valg[Kontrol af forudsætning 2],E_s_aktiv)</f>
        <v>0</v>
      </c>
      <c r="BG19" s="60">
        <f>INDEX(E_a_valg[Kontrol af forudsætning 2],E_a_aktiv)</f>
        <v>0</v>
      </c>
      <c r="BH19" s="60">
        <f>INDEX(E_i_valg[Kontrol af forudsætning 2],E_i_aktiv)</f>
        <v>0</v>
      </c>
      <c r="BI19" s="60" t="str">
        <f>INDEX(E_k_valg[Kontrol af forudsætning 2],E_k_aktiv)</f>
        <v>Skal vurderes</v>
      </c>
      <c r="BS19" s="54">
        <f t="shared" si="36"/>
        <v>9</v>
      </c>
      <c r="BT19" s="54">
        <f>Eu_tabel_g[[#This Row],[Indeks]]+1</f>
        <v>10</v>
      </c>
      <c r="BU19" s="54">
        <f t="shared" si="37"/>
        <v>-2.8746347034119193</v>
      </c>
      <c r="BV19" s="54">
        <f t="shared" si="38"/>
        <v>6.4048428962354522E-3</v>
      </c>
      <c r="BW19" s="54" t="e">
        <f t="shared" si="39"/>
        <v>#N/A</v>
      </c>
      <c r="BX19" s="54" t="e">
        <f t="shared" si="40"/>
        <v>#N/A</v>
      </c>
      <c r="BY19" s="54" t="e">
        <f t="shared" si="41"/>
        <v>#N/A</v>
      </c>
      <c r="BZ19" s="54" t="b">
        <f t="shared" si="42"/>
        <v>1</v>
      </c>
      <c r="CA19" s="54" t="b">
        <f t="shared" si="43"/>
        <v>0</v>
      </c>
      <c r="CB19" s="54" t="b">
        <f t="shared" si="44"/>
        <v>1</v>
      </c>
      <c r="CC19" s="54" t="b">
        <f t="shared" si="45"/>
        <v>0</v>
      </c>
      <c r="CD19" s="54">
        <f t="shared" si="111"/>
        <v>6.4048428962354522E-3</v>
      </c>
      <c r="CE19" s="54">
        <f t="shared" si="47"/>
        <v>6.4048428962354522E-3</v>
      </c>
      <c r="CF19" s="54" t="e">
        <f t="shared" si="48"/>
        <v>#N/A</v>
      </c>
      <c r="CG19" s="72" t="str">
        <f t="shared" si="49"/>
        <v/>
      </c>
      <c r="CH19" s="54">
        <f>_xlfn.NORM.DIST(_xlfn.NORM.INV(1-Eu_g_konfidensniveau,0,1)-Eu_tabel_g[[#This Row],[x base]],0,1,TRUE)</f>
        <v>0.89061045181482168</v>
      </c>
      <c r="CI19" s="54">
        <f>1-_xlfn.NORM.DIST(_xlfn.NORM.INV(Eu_g_konfidensniveau,0,1)-Eu_tabel_g[[#This Row],[x base]],0,1,TRUE)</f>
        <v>3.0994632123082511E-6</v>
      </c>
      <c r="CJ19" s="54">
        <f>_xlfn.NORM.DIST(_xlfn.NORM.INV((1-Eu_g_konfidensniveau)/2,0,1)-Eu_tabel_g[[#This Row],[x base]],0,1,TRUE)+1-_xlfn.NORM.DIST(_xlfn.NORM.INV(1-(1-Eu_g_konfidensniveau)/2,0,1)-Eu_tabel_g[[#This Row],[x base]],0,1,TRUE)</f>
        <v>0.81981840674074768</v>
      </c>
      <c r="CK19" s="54" t="e" cm="1">
        <f t="array" ref="CK19">IF($CK$3,INDEX(Eu_tabel_g[[#This Row],[Styrke venstre]:[Styrke tosidet]],CK$7),NA())</f>
        <v>#N/A</v>
      </c>
      <c r="CL19" s="99" t="e">
        <f>Eu_tabel_g[[#This Row],[Falsk positiv
Nulhypotese accepteres
Fejltype 1]]</f>
        <v>#N/A</v>
      </c>
      <c r="CM19" s="99" t="e">
        <f>IF(CHOOSE(CK$7,Eu_tabel_g[[#This Row],[x base]]&gt;0,Eu_tabel_g[[#This Row],[x base]]&lt;0,Eu_tabel_g[[#This Row],[x base]]=0),Eu_tabel_g[[#This Row],[Styrke, aktiv]],NA())</f>
        <v>#N/A</v>
      </c>
      <c r="CN19" s="99" t="e">
        <f>IFERROR(IF($CK$3,Eu_tabel_g[[#This Row],[Styrke, aktiv]],NA()),NA())</f>
        <v>#N/A</v>
      </c>
      <c r="CO19" s="99" t="e">
        <f>IF(ISNA(Eu_tabel_g[[#This Row],[Sand negativ
Nulhypotese afvises
Korrekt]]),NA(),IF($CK$3,1,NA()))</f>
        <v>#N/A</v>
      </c>
      <c r="CP19" s="56" t="str" cm="1">
        <f t="array" ref="CP19">_xlfn.SWITCH(BS19,_xlfn.IFNA(CN$2,-99),CN$5,_xlfn.IFNA(CN$3,-99),CN$6,_xlfn.IFNA(CN$4,-99),CN$7,"")</f>
        <v/>
      </c>
      <c r="CT19" s="7">
        <f t="shared" si="50"/>
        <v>0.8</v>
      </c>
      <c r="CU19">
        <f>IF(ROW(Styrkeberegning_G[[#This Row],[X base venstre]])=ROW(Styrkeberegning_G[[#Headers],[X base venstre]])+1,CU$7/(CT$7/$B$67),CU18/(CT18/$B$67))</f>
        <v>-2.8015817870135784</v>
      </c>
      <c r="CV19">
        <f>Styrkeberegning_G[[#This Row],[X base venstre]]*-1</f>
        <v>2.8015817870135784</v>
      </c>
      <c r="DG19" s="54">
        <f t="shared" si="51"/>
        <v>9</v>
      </c>
      <c r="DH19" s="54">
        <f t="shared" si="52"/>
        <v>10</v>
      </c>
      <c r="DI19" s="54">
        <f t="shared" si="53"/>
        <v>2.8604903724066997</v>
      </c>
      <c r="DJ19" s="54" t="e">
        <f t="shared" si="54"/>
        <v>#N/A</v>
      </c>
      <c r="DK19" s="54" t="e">
        <f t="shared" si="55"/>
        <v>#N/A</v>
      </c>
      <c r="DL19" s="54">
        <f t="shared" si="56"/>
        <v>1.1437019773006292E-2</v>
      </c>
      <c r="DM19" s="54" t="e">
        <f t="shared" si="57"/>
        <v>#N/A</v>
      </c>
      <c r="DN19" s="54" t="b">
        <f t="shared" si="58"/>
        <v>1</v>
      </c>
      <c r="DO19" s="54" t="b">
        <f t="shared" si="59"/>
        <v>0</v>
      </c>
      <c r="DP19" s="54" t="b">
        <f t="shared" si="60"/>
        <v>1</v>
      </c>
      <c r="DQ19" s="54" t="b">
        <f t="shared" si="61"/>
        <v>0</v>
      </c>
      <c r="DR19" s="54">
        <f t="shared" si="62"/>
        <v>1.1437019773006292E-2</v>
      </c>
      <c r="DS19" s="54">
        <f t="shared" si="63"/>
        <v>1.1437019773006292E-2</v>
      </c>
      <c r="DT19" s="54" t="e">
        <f t="shared" si="64"/>
        <v>#N/A</v>
      </c>
      <c r="DU19" s="72" t="str">
        <f t="shared" si="65"/>
        <v/>
      </c>
      <c r="DZ19" s="54">
        <f t="shared" si="66"/>
        <v>9</v>
      </c>
      <c r="EA19" s="54">
        <f t="shared" si="67"/>
        <v>10</v>
      </c>
      <c r="EB19" s="54">
        <f t="shared" si="68"/>
        <v>-2.8746347034119193</v>
      </c>
      <c r="EC19" s="54">
        <f t="shared" si="69"/>
        <v>6.4048428962354522E-3</v>
      </c>
      <c r="ED19" s="54" t="e">
        <f t="shared" si="70"/>
        <v>#N/A</v>
      </c>
      <c r="EE19" s="54" t="e">
        <f t="shared" si="71"/>
        <v>#N/A</v>
      </c>
      <c r="EF19" s="54" t="e">
        <f t="shared" si="72"/>
        <v>#N/A</v>
      </c>
      <c r="EG19" s="54" t="b">
        <f t="shared" si="73"/>
        <v>1</v>
      </c>
      <c r="EH19" s="54" t="b">
        <f t="shared" si="74"/>
        <v>0</v>
      </c>
      <c r="EI19" s="54" t="b">
        <f t="shared" si="75"/>
        <v>1</v>
      </c>
      <c r="EJ19" s="54" t="b">
        <f t="shared" si="76"/>
        <v>0</v>
      </c>
      <c r="EK19" s="54">
        <f t="shared" si="77"/>
        <v>6.4048428962354522E-3</v>
      </c>
      <c r="EL19" s="54">
        <f t="shared" si="78"/>
        <v>6.4048428962354522E-3</v>
      </c>
      <c r="EM19" s="54" t="e">
        <f t="shared" si="79"/>
        <v>#N/A</v>
      </c>
      <c r="EN19" s="72" t="str">
        <f t="shared" si="80"/>
        <v/>
      </c>
      <c r="EO1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9" s="54" t="e" cm="1">
        <f t="array" ref="ER19">IF($CK$3,INDEX(Eu_tabel_a[[#This Row],[Styrke venstre]:[Styrke tosidet]],ER$7),NA())</f>
        <v>#N/A</v>
      </c>
      <c r="ES19" s="54" t="e">
        <f>IF(ER$3,IF(CHOOSE(ER$7,Eu_tabel_a[[#This Row],[x base]]&gt;0,Eu_tabel_a[[#This Row],[x base]]&lt;0,Eu_tabel_a[[#This Row],[x base]]=0),1,NA()),NA())</f>
        <v>#N/A</v>
      </c>
      <c r="ET19" s="54" t="e">
        <f>IF(CHOOSE(ER$7,Eu_tabel_a[[#This Row],[x base]]&gt;0,Eu_tabel_a[[#This Row],[x base]]&lt;0,Eu_tabel_a[[#This Row],[x base]]=0),Eu_tabel_a[[#This Row],[Styrke, aktiv]],NA())</f>
        <v>#N/A</v>
      </c>
      <c r="EU19" s="54" t="e">
        <f>IFERROR(IF($ER$3,Eu_tabel_a[[#This Row],[Styrke, aktiv]],NA()),NA())</f>
        <v>#N/A</v>
      </c>
      <c r="EV19" s="54" t="e">
        <f>IF(ISNA(Eu_tabel_a[[#This Row],[Sand negativ
Nulhypotese afvises
Korrekt]]),NA(),IF(ER$3,1,NA()))</f>
        <v>#N/A</v>
      </c>
      <c r="EW19" s="55" t="str" cm="1">
        <f t="array" ref="EW19">IFERROR(_xlfn.SWITCH(Eu_tabel_a[[#This Row],[Indeks]],_xlfn.IFNA(EU$2,-99),EU$5,_xlfn.IFNA(EU$3,-99),EU$6,_xlfn.IFNA(EU$4,-99),EU$7,""),"")</f>
        <v/>
      </c>
      <c r="EX19" s="54">
        <f>Eu_tabel_a[[#This Row],[x base]]*SQRT(Eu_a_h0_x*(1-Eu_a_h0_x)/Eu_a_n_x)+Eu_a_h0_x</f>
        <v>0</v>
      </c>
      <c r="FC19" s="161" t="e">
        <f t="shared" si="18"/>
        <v>#N/A</v>
      </c>
      <c r="FD19" s="169" t="e">
        <f t="shared" si="31"/>
        <v>#DIV/0!</v>
      </c>
      <c r="FE19" s="7" t="e">
        <f t="shared" si="12"/>
        <v>#DIV/0!</v>
      </c>
      <c r="FF19" t="e">
        <f t="shared" si="32"/>
        <v>#DIV/0!</v>
      </c>
      <c r="FG19" s="8" t="e">
        <f t="shared" si="33"/>
        <v>#DIV/0!</v>
      </c>
      <c r="FH19" s="8" t="e">
        <f t="shared" si="34"/>
        <v>#DIV/0!</v>
      </c>
      <c r="FI19" s="168" t="e">
        <f t="shared" si="35"/>
        <v>#DIV/0!</v>
      </c>
      <c r="FJ19" s="161" t="e">
        <f t="shared" ca="1" si="13"/>
        <v>#N/A</v>
      </c>
      <c r="FK19" s="169" t="e" vm="3">
        <f t="shared" ca="1" si="19"/>
        <v>#VALUE!</v>
      </c>
      <c r="FL19" s="7" t="e" vm="3">
        <f t="shared" ca="1" si="14"/>
        <v>#VALUE!</v>
      </c>
      <c r="FM19" t="e" vm="3">
        <f t="shared" ca="1" si="8"/>
        <v>#VALUE!</v>
      </c>
      <c r="FN19" s="8" t="e" vm="3">
        <f t="shared" ca="1" si="9"/>
        <v>#VALUE!</v>
      </c>
      <c r="FO19" s="8" t="e" vm="3">
        <f t="shared" ca="1" si="10"/>
        <v>#VALUE!</v>
      </c>
      <c r="FP19" s="168" t="e" vm="3">
        <f t="shared" ca="1" si="11"/>
        <v>#VALUE!</v>
      </c>
      <c r="FQ19" s="161" t="e">
        <f t="shared" si="15"/>
        <v>#N/A</v>
      </c>
      <c r="FR19" s="169" t="e">
        <f t="shared" si="20"/>
        <v>#N/A</v>
      </c>
      <c r="FS19" s="7" t="e">
        <f t="shared" si="16"/>
        <v>#N/A</v>
      </c>
      <c r="FT19" t="e">
        <f t="shared" si="21"/>
        <v>#N/A</v>
      </c>
      <c r="FU19" s="8" t="e">
        <f t="shared" si="22"/>
        <v>#N/A</v>
      </c>
      <c r="FV19" s="8" t="e">
        <f t="shared" si="23"/>
        <v>#N/A</v>
      </c>
      <c r="FW19" s="168" t="e">
        <f t="shared" si="24"/>
        <v>#N/A</v>
      </c>
      <c r="FX19" s="161" t="e">
        <f t="shared" si="25"/>
        <v>#N/A</v>
      </c>
      <c r="FY19" s="169" t="e">
        <f t="shared" si="26"/>
        <v>#N/A</v>
      </c>
      <c r="FZ19" s="7" t="e">
        <f t="shared" si="17"/>
        <v>#N/A</v>
      </c>
      <c r="GA19" t="e">
        <f t="shared" si="27"/>
        <v>#N/A</v>
      </c>
      <c r="GB19" s="8" t="e">
        <f t="shared" si="28"/>
        <v>#N/A</v>
      </c>
      <c r="GC19" s="8" t="e">
        <f t="shared" si="29"/>
        <v>#N/A</v>
      </c>
      <c r="GD19" s="168" t="e">
        <f t="shared" si="30"/>
        <v>#N/A</v>
      </c>
      <c r="GE19" s="168"/>
      <c r="GF19" s="168"/>
      <c r="GI19" s="54">
        <f t="shared" si="81"/>
        <v>9</v>
      </c>
      <c r="GJ19" s="54">
        <f t="shared" si="82"/>
        <v>10</v>
      </c>
      <c r="GK19" s="54">
        <f t="shared" si="83"/>
        <v>-2.8746347034119193</v>
      </c>
      <c r="GL19" s="54">
        <f t="shared" si="84"/>
        <v>6.4048428962354522E-3</v>
      </c>
      <c r="GM19" s="54" t="e">
        <f t="shared" si="85"/>
        <v>#N/A</v>
      </c>
      <c r="GN19" s="54" t="e">
        <f t="shared" si="86"/>
        <v>#N/A</v>
      </c>
      <c r="GO19" s="54" t="e">
        <f t="shared" si="87"/>
        <v>#N/A</v>
      </c>
      <c r="GP19" s="54" t="b">
        <f t="shared" si="88"/>
        <v>1</v>
      </c>
      <c r="GQ19" s="54" t="b">
        <f t="shared" si="89"/>
        <v>0</v>
      </c>
      <c r="GR19" s="54" t="b">
        <f t="shared" si="90"/>
        <v>1</v>
      </c>
      <c r="GS19" s="54" t="b">
        <f t="shared" si="91"/>
        <v>0</v>
      </c>
      <c r="GT19" s="54">
        <f t="shared" si="92"/>
        <v>6.4048428962354522E-3</v>
      </c>
      <c r="GU19" s="54">
        <f t="shared" si="93"/>
        <v>6.4048428962354522E-3</v>
      </c>
      <c r="GV19" s="54" t="e">
        <f t="shared" si="94"/>
        <v>#N/A</v>
      </c>
      <c r="GW19" s="72" t="str">
        <f t="shared" si="95"/>
        <v/>
      </c>
      <c r="HC19" s="54">
        <f t="shared" si="96"/>
        <v>9</v>
      </c>
      <c r="HD19" s="54">
        <f t="shared" si="97"/>
        <v>10</v>
      </c>
      <c r="HE19" s="54">
        <f t="shared" si="98"/>
        <v>-4.4514322126868215</v>
      </c>
      <c r="HF19" s="54" t="e">
        <f t="shared" si="99"/>
        <v>#N/A</v>
      </c>
      <c r="HG19" s="54">
        <f t="shared" si="100"/>
        <v>1.7877876216175568E-3</v>
      </c>
      <c r="HH19" s="54" t="e">
        <f t="shared" si="101"/>
        <v>#N/A</v>
      </c>
      <c r="HI19" s="54" t="e">
        <f t="shared" si="102"/>
        <v>#N/A</v>
      </c>
      <c r="HJ19" s="54" t="b">
        <f t="shared" si="103"/>
        <v>1</v>
      </c>
      <c r="HK19" s="54" t="b">
        <f t="shared" si="104"/>
        <v>0</v>
      </c>
      <c r="HL19" s="54" t="b">
        <f t="shared" si="105"/>
        <v>1</v>
      </c>
      <c r="HM19" s="54" t="b">
        <f t="shared" si="106"/>
        <v>0</v>
      </c>
      <c r="HN19" s="54">
        <f t="shared" si="107"/>
        <v>1.7877876216175568E-3</v>
      </c>
      <c r="HO19" s="54">
        <f t="shared" si="108"/>
        <v>1.7877876216175568E-3</v>
      </c>
      <c r="HP19" s="54" t="e">
        <f t="shared" si="109"/>
        <v>#N/A</v>
      </c>
      <c r="HQ19" s="72" t="str">
        <f t="shared" si="110"/>
        <v/>
      </c>
    </row>
    <row r="20" spans="56:225" x14ac:dyDescent="0.2">
      <c r="BD20" s="58" t="s">
        <v>160</v>
      </c>
      <c r="BE20" s="60" t="b">
        <f>INDEX(E_g_valg[Kontrol af forudsætning 3],E_g_aktiv)</f>
        <v>0</v>
      </c>
      <c r="BF20" s="60">
        <f>INDEX(E_s_valg[Kontrol af forudsætning 3],E_s_aktiv)</f>
        <v>0</v>
      </c>
      <c r="BG20" s="60" t="b">
        <f>INDEX(E_a_valg[Kontrol af forudsætning 3],E_a_aktiv)</f>
        <v>0</v>
      </c>
      <c r="BH20" s="60" t="b">
        <f>INDEX(E_i_valg[Kontrol af forudsætning 3],E_i_aktiv)</f>
        <v>1</v>
      </c>
      <c r="BI20" s="60">
        <f>INDEX(E_k_valg[Kontrol af forudsætning 3],E_k_aktiv)</f>
        <v>0</v>
      </c>
      <c r="BS20" s="54">
        <f t="shared" si="36"/>
        <v>10</v>
      </c>
      <c r="BT20" s="54">
        <f>Eu_tabel_g[[#This Row],[Indeks]]+1</f>
        <v>11</v>
      </c>
      <c r="BU20" s="54">
        <f t="shared" si="37"/>
        <v>-2.8506794142168199</v>
      </c>
      <c r="BV20" s="54">
        <f t="shared" si="38"/>
        <v>6.859470035530551E-3</v>
      </c>
      <c r="BW20" s="54" t="e">
        <f t="shared" si="39"/>
        <v>#N/A</v>
      </c>
      <c r="BX20" s="54" t="e">
        <f t="shared" si="40"/>
        <v>#N/A</v>
      </c>
      <c r="BY20" s="54" t="e">
        <f t="shared" si="41"/>
        <v>#N/A</v>
      </c>
      <c r="BZ20" s="54" t="b">
        <f t="shared" si="42"/>
        <v>1</v>
      </c>
      <c r="CA20" s="54" t="b">
        <f t="shared" si="43"/>
        <v>0</v>
      </c>
      <c r="CB20" s="54" t="b">
        <f t="shared" si="44"/>
        <v>1</v>
      </c>
      <c r="CC20" s="54" t="b">
        <f t="shared" si="45"/>
        <v>0</v>
      </c>
      <c r="CD20" s="54">
        <f t="shared" si="111"/>
        <v>6.859470035530551E-3</v>
      </c>
      <c r="CE20" s="54">
        <f t="shared" si="47"/>
        <v>6.859470035530551E-3</v>
      </c>
      <c r="CF20" s="54" t="e">
        <f t="shared" si="48"/>
        <v>#N/A</v>
      </c>
      <c r="CG20" s="72" t="str">
        <f t="shared" si="49"/>
        <v/>
      </c>
      <c r="CH20" s="54">
        <f>_xlfn.NORM.DIST(_xlfn.NORM.INV(1-Eu_g_konfidensniveau,0,1)-Eu_tabel_g[[#This Row],[x base]],0,1,TRUE)</f>
        <v>0.8860576648764078</v>
      </c>
      <c r="CI20" s="54">
        <f>1-_xlfn.NORM.DIST(_xlfn.NORM.INV(Eu_g_konfidensniveau,0,1)-Eu_tabel_g[[#This Row],[x base]],0,1,TRUE)</f>
        <v>3.4697940337613531E-6</v>
      </c>
      <c r="CJ20" s="54">
        <f>_xlfn.NORM.DIST(_xlfn.NORM.INV((1-Eu_g_konfidensniveau)/2,0,1)-Eu_tabel_g[[#This Row],[x base]],0,1,TRUE)+1-_xlfn.NORM.DIST(_xlfn.NORM.INV(1-(1-Eu_g_konfidensniveau)/2,0,1)-Eu_tabel_g[[#This Row],[x base]],0,1,TRUE)</f>
        <v>0.8134598247355912</v>
      </c>
      <c r="CK20" s="54" t="e" cm="1">
        <f t="array" ref="CK20">IF($CK$3,INDEX(Eu_tabel_g[[#This Row],[Styrke venstre]:[Styrke tosidet]],CK$7),NA())</f>
        <v>#N/A</v>
      </c>
      <c r="CL20" s="99" t="e">
        <f>Eu_tabel_g[[#This Row],[Falsk positiv
Nulhypotese accepteres
Fejltype 1]]</f>
        <v>#N/A</v>
      </c>
      <c r="CM20" s="99" t="e">
        <f>IF(CHOOSE(CK$7,Eu_tabel_g[[#This Row],[x base]]&gt;0,Eu_tabel_g[[#This Row],[x base]]&lt;0,Eu_tabel_g[[#This Row],[x base]]=0),Eu_tabel_g[[#This Row],[Styrke, aktiv]],NA())</f>
        <v>#N/A</v>
      </c>
      <c r="CN20" s="99" t="e">
        <f>IFERROR(IF($CK$3,Eu_tabel_g[[#This Row],[Styrke, aktiv]],NA()),NA())</f>
        <v>#N/A</v>
      </c>
      <c r="CO20" s="99" t="e">
        <f>IF(ISNA(Eu_tabel_g[[#This Row],[Sand negativ
Nulhypotese afvises
Korrekt]]),NA(),IF($CK$3,1,NA()))</f>
        <v>#N/A</v>
      </c>
      <c r="CP20" s="56" t="str" cm="1">
        <f t="array" ref="CP20">_xlfn.SWITCH(BS20,_xlfn.IFNA(CN$2,-99),CN$5,_xlfn.IFNA(CN$3,-99),CN$6,_xlfn.IFNA(CN$4,-99),CN$7,"")</f>
        <v/>
      </c>
      <c r="CT20" s="7">
        <f t="shared" si="50"/>
        <v>0.8</v>
      </c>
      <c r="CU20">
        <f>IF(ROW(Styrkeberegning_G[[#This Row],[X base venstre]])=ROW(Styrkeberegning_G[[#Headers],[X base venstre]])+1,CU$7/(CT$7/$B$67),CU19/(CT19/$B$67))</f>
        <v>-2.8015817870135784</v>
      </c>
      <c r="CV20">
        <f>Styrkeberegning_G[[#This Row],[X base venstre]]*-1</f>
        <v>2.8015817870135784</v>
      </c>
      <c r="DG20" s="54">
        <f t="shared" si="51"/>
        <v>10</v>
      </c>
      <c r="DH20" s="54">
        <f t="shared" si="52"/>
        <v>11</v>
      </c>
      <c r="DI20" s="54">
        <f t="shared" si="53"/>
        <v>2.9745612288237004</v>
      </c>
      <c r="DJ20" s="54" t="e">
        <f t="shared" si="54"/>
        <v>#N/A</v>
      </c>
      <c r="DK20" s="54" t="e">
        <f t="shared" si="55"/>
        <v>#N/A</v>
      </c>
      <c r="DL20" s="54">
        <f t="shared" si="56"/>
        <v>1.2881415876320907E-2</v>
      </c>
      <c r="DM20" s="54" t="e">
        <f t="shared" si="57"/>
        <v>#N/A</v>
      </c>
      <c r="DN20" s="54" t="b">
        <f t="shared" si="58"/>
        <v>1</v>
      </c>
      <c r="DO20" s="54" t="b">
        <f t="shared" si="59"/>
        <v>0</v>
      </c>
      <c r="DP20" s="54" t="b">
        <f t="shared" si="60"/>
        <v>1</v>
      </c>
      <c r="DQ20" s="54" t="b">
        <f t="shared" si="61"/>
        <v>0</v>
      </c>
      <c r="DR20" s="54">
        <f t="shared" si="62"/>
        <v>1.2881415876320907E-2</v>
      </c>
      <c r="DS20" s="54">
        <f t="shared" si="63"/>
        <v>1.2881415876320907E-2</v>
      </c>
      <c r="DT20" s="54" t="e">
        <f t="shared" si="64"/>
        <v>#N/A</v>
      </c>
      <c r="DU20" s="72" t="str">
        <f t="shared" si="65"/>
        <v/>
      </c>
      <c r="DZ20" s="54">
        <f t="shared" si="66"/>
        <v>10</v>
      </c>
      <c r="EA20" s="54">
        <f t="shared" si="67"/>
        <v>11</v>
      </c>
      <c r="EB20" s="54">
        <f t="shared" si="68"/>
        <v>-2.8506794142168199</v>
      </c>
      <c r="EC20" s="54">
        <f t="shared" si="69"/>
        <v>6.859470035530551E-3</v>
      </c>
      <c r="ED20" s="54" t="e">
        <f t="shared" si="70"/>
        <v>#N/A</v>
      </c>
      <c r="EE20" s="54" t="e">
        <f t="shared" si="71"/>
        <v>#N/A</v>
      </c>
      <c r="EF20" s="54" t="e">
        <f t="shared" si="72"/>
        <v>#N/A</v>
      </c>
      <c r="EG20" s="54" t="b">
        <f t="shared" si="73"/>
        <v>1</v>
      </c>
      <c r="EH20" s="54" t="b">
        <f t="shared" si="74"/>
        <v>0</v>
      </c>
      <c r="EI20" s="54" t="b">
        <f t="shared" si="75"/>
        <v>1</v>
      </c>
      <c r="EJ20" s="54" t="b">
        <f t="shared" si="76"/>
        <v>0</v>
      </c>
      <c r="EK20" s="54">
        <f t="shared" si="77"/>
        <v>6.859470035530551E-3</v>
      </c>
      <c r="EL20" s="54">
        <f t="shared" si="78"/>
        <v>6.859470035530551E-3</v>
      </c>
      <c r="EM20" s="54" t="e">
        <f t="shared" si="79"/>
        <v>#N/A</v>
      </c>
      <c r="EN20" s="72" t="str">
        <f t="shared" si="80"/>
        <v/>
      </c>
      <c r="EO2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0" s="54" t="e" cm="1">
        <f t="array" ref="ER20">IF($CK$3,INDEX(Eu_tabel_a[[#This Row],[Styrke venstre]:[Styrke tosidet]],ER$7),NA())</f>
        <v>#N/A</v>
      </c>
      <c r="ES20" s="54" t="e">
        <f>IF(ER$3,IF(CHOOSE(ER$7,Eu_tabel_a[[#This Row],[x base]]&gt;0,Eu_tabel_a[[#This Row],[x base]]&lt;0,Eu_tabel_a[[#This Row],[x base]]=0),1,NA()),NA())</f>
        <v>#N/A</v>
      </c>
      <c r="ET20" s="54" t="e">
        <f>IF(CHOOSE(ER$7,Eu_tabel_a[[#This Row],[x base]]&gt;0,Eu_tabel_a[[#This Row],[x base]]&lt;0,Eu_tabel_a[[#This Row],[x base]]=0),Eu_tabel_a[[#This Row],[Styrke, aktiv]],NA())</f>
        <v>#N/A</v>
      </c>
      <c r="EU20" s="54" t="e">
        <f>IFERROR(IF($ER$3,Eu_tabel_a[[#This Row],[Styrke, aktiv]],NA()),NA())</f>
        <v>#N/A</v>
      </c>
      <c r="EV20" s="54" t="e">
        <f>IF(ISNA(Eu_tabel_a[[#This Row],[Sand negativ
Nulhypotese afvises
Korrekt]]),NA(),IF(ER$3,1,NA()))</f>
        <v>#N/A</v>
      </c>
      <c r="EW20" s="55" t="str" cm="1">
        <f t="array" ref="EW20">IFERROR(_xlfn.SWITCH(Eu_tabel_a[[#This Row],[Indeks]],_xlfn.IFNA(EU$2,-99),EU$5,_xlfn.IFNA(EU$3,-99),EU$6,_xlfn.IFNA(EU$4,-99),EU$7,""),"")</f>
        <v/>
      </c>
      <c r="EX20" s="54">
        <f>Eu_tabel_a[[#This Row],[x base]]*SQRT(Eu_a_h0_x*(1-Eu_a_h0_x)/Eu_a_n_x)+Eu_a_h0_x</f>
        <v>0</v>
      </c>
      <c r="FC20" s="161" t="e">
        <f t="shared" si="18"/>
        <v>#N/A</v>
      </c>
      <c r="FD20" s="169" t="e">
        <f t="shared" si="31"/>
        <v>#DIV/0!</v>
      </c>
      <c r="FE20" s="7" t="e">
        <f t="shared" si="12"/>
        <v>#DIV/0!</v>
      </c>
      <c r="FF20" t="e">
        <f t="shared" si="32"/>
        <v>#DIV/0!</v>
      </c>
      <c r="FG20" s="8" t="e">
        <f t="shared" si="33"/>
        <v>#DIV/0!</v>
      </c>
      <c r="FH20" s="8" t="e">
        <f t="shared" si="34"/>
        <v>#DIV/0!</v>
      </c>
      <c r="FI20" s="168" t="e">
        <f t="shared" si="35"/>
        <v>#DIV/0!</v>
      </c>
      <c r="FJ20" s="161" t="e">
        <f t="shared" ca="1" si="13"/>
        <v>#N/A</v>
      </c>
      <c r="FK20" s="169" t="e" vm="3">
        <f t="shared" ca="1" si="19"/>
        <v>#VALUE!</v>
      </c>
      <c r="FL20" s="7" t="e" vm="3">
        <f t="shared" ca="1" si="14"/>
        <v>#VALUE!</v>
      </c>
      <c r="FM20" t="e" vm="3">
        <f t="shared" ca="1" si="8"/>
        <v>#VALUE!</v>
      </c>
      <c r="FN20" s="8" t="e" vm="3">
        <f t="shared" ca="1" si="9"/>
        <v>#VALUE!</v>
      </c>
      <c r="FO20" s="8" t="e" vm="3">
        <f t="shared" ca="1" si="10"/>
        <v>#VALUE!</v>
      </c>
      <c r="FP20" s="168" t="e" vm="3">
        <f t="shared" ca="1" si="11"/>
        <v>#VALUE!</v>
      </c>
      <c r="FQ20" s="161" t="e">
        <f t="shared" si="15"/>
        <v>#N/A</v>
      </c>
      <c r="FR20" s="169" t="e">
        <f t="shared" si="20"/>
        <v>#N/A</v>
      </c>
      <c r="FS20" s="7" t="e">
        <f t="shared" si="16"/>
        <v>#N/A</v>
      </c>
      <c r="FT20" t="e">
        <f t="shared" si="21"/>
        <v>#N/A</v>
      </c>
      <c r="FU20" s="8" t="e">
        <f t="shared" si="22"/>
        <v>#N/A</v>
      </c>
      <c r="FV20" s="8" t="e">
        <f t="shared" si="23"/>
        <v>#N/A</v>
      </c>
      <c r="FW20" s="168" t="e">
        <f t="shared" si="24"/>
        <v>#N/A</v>
      </c>
      <c r="FX20" s="161" t="e">
        <f t="shared" si="25"/>
        <v>#N/A</v>
      </c>
      <c r="FY20" s="169" t="e">
        <f t="shared" si="26"/>
        <v>#N/A</v>
      </c>
      <c r="FZ20" s="7" t="e">
        <f t="shared" si="17"/>
        <v>#N/A</v>
      </c>
      <c r="GA20" t="e">
        <f t="shared" si="27"/>
        <v>#N/A</v>
      </c>
      <c r="GB20" s="8" t="e">
        <f t="shared" si="28"/>
        <v>#N/A</v>
      </c>
      <c r="GC20" s="8" t="e">
        <f t="shared" si="29"/>
        <v>#N/A</v>
      </c>
      <c r="GD20" s="168" t="e">
        <f t="shared" si="30"/>
        <v>#N/A</v>
      </c>
      <c r="GE20" s="168"/>
      <c r="GF20" s="168"/>
      <c r="GI20" s="54">
        <f t="shared" si="81"/>
        <v>10</v>
      </c>
      <c r="GJ20" s="54">
        <f t="shared" si="82"/>
        <v>11</v>
      </c>
      <c r="GK20" s="54">
        <f t="shared" si="83"/>
        <v>-2.8506794142168199</v>
      </c>
      <c r="GL20" s="54">
        <f t="shared" si="84"/>
        <v>6.859470035530551E-3</v>
      </c>
      <c r="GM20" s="54" t="e">
        <f t="shared" si="85"/>
        <v>#N/A</v>
      </c>
      <c r="GN20" s="54" t="e">
        <f t="shared" si="86"/>
        <v>#N/A</v>
      </c>
      <c r="GO20" s="54" t="e">
        <f t="shared" si="87"/>
        <v>#N/A</v>
      </c>
      <c r="GP20" s="54" t="b">
        <f t="shared" si="88"/>
        <v>1</v>
      </c>
      <c r="GQ20" s="54" t="b">
        <f t="shared" si="89"/>
        <v>0</v>
      </c>
      <c r="GR20" s="54" t="b">
        <f t="shared" si="90"/>
        <v>1</v>
      </c>
      <c r="GS20" s="54" t="b">
        <f t="shared" si="91"/>
        <v>0</v>
      </c>
      <c r="GT20" s="54">
        <f t="shared" si="92"/>
        <v>6.859470035530551E-3</v>
      </c>
      <c r="GU20" s="54">
        <f t="shared" si="93"/>
        <v>6.859470035530551E-3</v>
      </c>
      <c r="GV20" s="54" t="e">
        <f t="shared" si="94"/>
        <v>#N/A</v>
      </c>
      <c r="GW20" s="72" t="str">
        <f t="shared" si="95"/>
        <v/>
      </c>
      <c r="HC20" s="54">
        <f t="shared" si="96"/>
        <v>10</v>
      </c>
      <c r="HD20" s="54">
        <f t="shared" si="97"/>
        <v>11</v>
      </c>
      <c r="HE20" s="54">
        <f t="shared" si="98"/>
        <v>-4.4143369442477649</v>
      </c>
      <c r="HF20" s="54" t="e">
        <f t="shared" si="99"/>
        <v>#N/A</v>
      </c>
      <c r="HG20" s="54">
        <f t="shared" si="100"/>
        <v>1.8782501669481135E-3</v>
      </c>
      <c r="HH20" s="54" t="e">
        <f t="shared" si="101"/>
        <v>#N/A</v>
      </c>
      <c r="HI20" s="54" t="e">
        <f t="shared" si="102"/>
        <v>#N/A</v>
      </c>
      <c r="HJ20" s="54" t="b">
        <f t="shared" si="103"/>
        <v>1</v>
      </c>
      <c r="HK20" s="54" t="b">
        <f t="shared" si="104"/>
        <v>0</v>
      </c>
      <c r="HL20" s="54" t="b">
        <f t="shared" si="105"/>
        <v>1</v>
      </c>
      <c r="HM20" s="54" t="b">
        <f t="shared" si="106"/>
        <v>0</v>
      </c>
      <c r="HN20" s="54">
        <f t="shared" si="107"/>
        <v>1.8782501669481135E-3</v>
      </c>
      <c r="HO20" s="54">
        <f t="shared" si="108"/>
        <v>1.8782501669481135E-3</v>
      </c>
      <c r="HP20" s="54" t="e">
        <f t="shared" si="109"/>
        <v>#N/A</v>
      </c>
      <c r="HQ20" s="72" t="str">
        <f t="shared" si="110"/>
        <v/>
      </c>
    </row>
    <row r="21" spans="56:225" x14ac:dyDescent="0.2">
      <c r="BD21" s="58" t="s">
        <v>165</v>
      </c>
      <c r="BE21" s="60" t="str">
        <f>INDEX(E_g_valg[Kontrol af forudsætning 4],E_g_aktiv)</f>
        <v>Skal vurderes</v>
      </c>
      <c r="BF21" s="60" t="str">
        <f>INDEX(E_s_valg[Kontrol af forudsætning 4],E_s_aktiv)</f>
        <v>Skal vurderes</v>
      </c>
      <c r="BG21" s="60">
        <f>INDEX(E_a_valg[Kontrol af forudsætning 4],E_a_aktiv)</f>
        <v>0</v>
      </c>
      <c r="BH21" s="60">
        <f>INDEX(E_i_valg[Kontrol af forudsætning 4],E_i_aktiv)</f>
        <v>0</v>
      </c>
      <c r="BI21" s="60">
        <f>INDEX(E_k_valg[Kontrol af forudsætning 4],E_k_aktiv)</f>
        <v>0</v>
      </c>
      <c r="BS21" s="54">
        <f t="shared" si="36"/>
        <v>11</v>
      </c>
      <c r="BT21" s="54">
        <f>Eu_tabel_g[[#This Row],[Indeks]]+1</f>
        <v>12</v>
      </c>
      <c r="BU21" s="54">
        <f t="shared" si="37"/>
        <v>-2.8267241250217205</v>
      </c>
      <c r="BV21" s="54">
        <f t="shared" si="38"/>
        <v>7.3421528709367023E-3</v>
      </c>
      <c r="BW21" s="54" t="e">
        <f t="shared" si="39"/>
        <v>#N/A</v>
      </c>
      <c r="BX21" s="54" t="e">
        <f t="shared" si="40"/>
        <v>#N/A</v>
      </c>
      <c r="BY21" s="54" t="e">
        <f t="shared" si="41"/>
        <v>#N/A</v>
      </c>
      <c r="BZ21" s="54" t="b">
        <f t="shared" si="42"/>
        <v>1</v>
      </c>
      <c r="CA21" s="54" t="b">
        <f t="shared" si="43"/>
        <v>0</v>
      </c>
      <c r="CB21" s="54" t="b">
        <f t="shared" si="44"/>
        <v>1</v>
      </c>
      <c r="CC21" s="54" t="b">
        <f t="shared" si="45"/>
        <v>0</v>
      </c>
      <c r="CD21" s="54">
        <f t="shared" si="111"/>
        <v>7.3421528709367023E-3</v>
      </c>
      <c r="CE21" s="54">
        <f t="shared" si="47"/>
        <v>7.3421528709367023E-3</v>
      </c>
      <c r="CF21" s="54" t="e">
        <f t="shared" si="48"/>
        <v>#N/A</v>
      </c>
      <c r="CG21" s="72" t="str">
        <f t="shared" si="49"/>
        <v/>
      </c>
      <c r="CH21" s="54">
        <f>_xlfn.NORM.DIST(_xlfn.NORM.INV(1-Eu_g_konfidensniveau,0,1)-Eu_tabel_g[[#This Row],[x base]],0,1,TRUE)</f>
        <v>0.88137145520395488</v>
      </c>
      <c r="CI21" s="54">
        <f>1-_xlfn.NORM.DIST(_xlfn.NORM.INV(Eu_g_konfidensniveau,0,1)-Eu_tabel_g[[#This Row],[x base]],0,1,TRUE)</f>
        <v>3.882230990903679E-6</v>
      </c>
      <c r="CJ21" s="54">
        <f>_xlfn.NORM.DIST(_xlfn.NORM.INV((1-Eu_g_konfidensniveau)/2,0,1)-Eu_tabel_g[[#This Row],[x base]],0,1,TRUE)+1-_xlfn.NORM.DIST(_xlfn.NORM.INV(1-(1-Eu_g_konfidensniveau)/2,0,1)-Eu_tabel_g[[#This Row],[x base]],0,1,TRUE)</f>
        <v>0.80696412483467084</v>
      </c>
      <c r="CK21" s="54" t="e" cm="1">
        <f t="array" ref="CK21">IF($CK$3,INDEX(Eu_tabel_g[[#This Row],[Styrke venstre]:[Styrke tosidet]],CK$7),NA())</f>
        <v>#N/A</v>
      </c>
      <c r="CL21" s="99" t="e">
        <f>Eu_tabel_g[[#This Row],[Falsk positiv
Nulhypotese accepteres
Fejltype 1]]</f>
        <v>#N/A</v>
      </c>
      <c r="CM21" s="99" t="e">
        <f>IF(CHOOSE(CK$7,Eu_tabel_g[[#This Row],[x base]]&gt;0,Eu_tabel_g[[#This Row],[x base]]&lt;0,Eu_tabel_g[[#This Row],[x base]]=0),Eu_tabel_g[[#This Row],[Styrke, aktiv]],NA())</f>
        <v>#N/A</v>
      </c>
      <c r="CN21" s="99" t="e">
        <f>IFERROR(IF($CK$3,Eu_tabel_g[[#This Row],[Styrke, aktiv]],NA()),NA())</f>
        <v>#N/A</v>
      </c>
      <c r="CO21" s="99" t="e">
        <f>IF(ISNA(Eu_tabel_g[[#This Row],[Sand negativ
Nulhypotese afvises
Korrekt]]),NA(),IF($CK$3,1,NA()))</f>
        <v>#N/A</v>
      </c>
      <c r="CP21" s="56" t="str" cm="1">
        <f t="array" ref="CP21">_xlfn.SWITCH(BS21,_xlfn.IFNA(CN$2,-99),CN$5,_xlfn.IFNA(CN$3,-99),CN$6,_xlfn.IFNA(CN$4,-99),CN$7,"")</f>
        <v/>
      </c>
      <c r="CT21" s="7">
        <f t="shared" si="50"/>
        <v>0.8</v>
      </c>
      <c r="CU21">
        <f>IF(ROW(Styrkeberegning_G[[#This Row],[X base venstre]])=ROW(Styrkeberegning_G[[#Headers],[X base venstre]])+1,CU$7/(CT$7/$B$67),CU20/(CT20/$B$67))</f>
        <v>-2.8015817870135784</v>
      </c>
      <c r="CV21">
        <f>Styrkeberegning_G[[#This Row],[X base venstre]]*-1</f>
        <v>2.8015817870135784</v>
      </c>
      <c r="DG21" s="54">
        <f t="shared" si="51"/>
        <v>11</v>
      </c>
      <c r="DH21" s="54">
        <f t="shared" si="52"/>
        <v>12</v>
      </c>
      <c r="DI21" s="54">
        <f t="shared" si="53"/>
        <v>3.0886320852407012</v>
      </c>
      <c r="DJ21" s="54" t="e">
        <f t="shared" si="54"/>
        <v>#N/A</v>
      </c>
      <c r="DK21" s="54" t="e">
        <f t="shared" si="55"/>
        <v>#N/A</v>
      </c>
      <c r="DL21" s="54">
        <f t="shared" si="56"/>
        <v>1.4412460354358489E-2</v>
      </c>
      <c r="DM21" s="54" t="e">
        <f t="shared" si="57"/>
        <v>#N/A</v>
      </c>
      <c r="DN21" s="54" t="b">
        <f t="shared" si="58"/>
        <v>1</v>
      </c>
      <c r="DO21" s="54" t="b">
        <f t="shared" si="59"/>
        <v>0</v>
      </c>
      <c r="DP21" s="54" t="b">
        <f t="shared" si="60"/>
        <v>1</v>
      </c>
      <c r="DQ21" s="54" t="b">
        <f t="shared" si="61"/>
        <v>0</v>
      </c>
      <c r="DR21" s="54">
        <f t="shared" si="62"/>
        <v>1.4412460354358489E-2</v>
      </c>
      <c r="DS21" s="54">
        <f t="shared" si="63"/>
        <v>1.4412460354358489E-2</v>
      </c>
      <c r="DT21" s="54" t="e">
        <f t="shared" si="64"/>
        <v>#N/A</v>
      </c>
      <c r="DU21" s="72" t="str">
        <f t="shared" si="65"/>
        <v/>
      </c>
      <c r="DZ21" s="54">
        <f t="shared" si="66"/>
        <v>11</v>
      </c>
      <c r="EA21" s="54">
        <f t="shared" si="67"/>
        <v>12</v>
      </c>
      <c r="EB21" s="54">
        <f t="shared" si="68"/>
        <v>-2.8267241250217205</v>
      </c>
      <c r="EC21" s="54">
        <f t="shared" si="69"/>
        <v>7.3421528709367023E-3</v>
      </c>
      <c r="ED21" s="54" t="e">
        <f t="shared" si="70"/>
        <v>#N/A</v>
      </c>
      <c r="EE21" s="54" t="e">
        <f t="shared" si="71"/>
        <v>#N/A</v>
      </c>
      <c r="EF21" s="54" t="e">
        <f t="shared" si="72"/>
        <v>#N/A</v>
      </c>
      <c r="EG21" s="54" t="b">
        <f t="shared" si="73"/>
        <v>1</v>
      </c>
      <c r="EH21" s="54" t="b">
        <f t="shared" si="74"/>
        <v>0</v>
      </c>
      <c r="EI21" s="54" t="b">
        <f t="shared" si="75"/>
        <v>1</v>
      </c>
      <c r="EJ21" s="54" t="b">
        <f t="shared" si="76"/>
        <v>0</v>
      </c>
      <c r="EK21" s="54">
        <f t="shared" si="77"/>
        <v>7.3421528709367023E-3</v>
      </c>
      <c r="EL21" s="54">
        <f t="shared" si="78"/>
        <v>7.3421528709367023E-3</v>
      </c>
      <c r="EM21" s="54" t="e">
        <f t="shared" si="79"/>
        <v>#N/A</v>
      </c>
      <c r="EN21" s="72" t="str">
        <f t="shared" si="80"/>
        <v/>
      </c>
      <c r="EO2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1" s="54" t="e" cm="1">
        <f t="array" ref="ER21">IF($CK$3,INDEX(Eu_tabel_a[[#This Row],[Styrke venstre]:[Styrke tosidet]],ER$7),NA())</f>
        <v>#N/A</v>
      </c>
      <c r="ES21" s="54" t="e">
        <f>IF(ER$3,IF(CHOOSE(ER$7,Eu_tabel_a[[#This Row],[x base]]&gt;0,Eu_tabel_a[[#This Row],[x base]]&lt;0,Eu_tabel_a[[#This Row],[x base]]=0),1,NA()),NA())</f>
        <v>#N/A</v>
      </c>
      <c r="ET21" s="54" t="e">
        <f>IF(CHOOSE(ER$7,Eu_tabel_a[[#This Row],[x base]]&gt;0,Eu_tabel_a[[#This Row],[x base]]&lt;0,Eu_tabel_a[[#This Row],[x base]]=0),Eu_tabel_a[[#This Row],[Styrke, aktiv]],NA())</f>
        <v>#N/A</v>
      </c>
      <c r="EU21" s="54" t="e">
        <f>IFERROR(IF($ER$3,Eu_tabel_a[[#This Row],[Styrke, aktiv]],NA()),NA())</f>
        <v>#N/A</v>
      </c>
      <c r="EV21" s="54" t="e">
        <f>IF(ISNA(Eu_tabel_a[[#This Row],[Sand negativ
Nulhypotese afvises
Korrekt]]),NA(),IF(ER$3,1,NA()))</f>
        <v>#N/A</v>
      </c>
      <c r="EW21" s="55" t="str" cm="1">
        <f t="array" ref="EW21">IFERROR(_xlfn.SWITCH(Eu_tabel_a[[#This Row],[Indeks]],_xlfn.IFNA(EU$2,-99),EU$5,_xlfn.IFNA(EU$3,-99),EU$6,_xlfn.IFNA(EU$4,-99),EU$7,""),"")</f>
        <v/>
      </c>
      <c r="EX21" s="54">
        <f>Eu_tabel_a[[#This Row],[x base]]*SQRT(Eu_a_h0_x*(1-Eu_a_h0_x)/Eu_a_n_x)+Eu_a_h0_x</f>
        <v>0</v>
      </c>
      <c r="FC21" s="161" t="e">
        <f t="shared" si="18"/>
        <v>#N/A</v>
      </c>
      <c r="FD21" s="169" t="e">
        <f t="shared" si="31"/>
        <v>#DIV/0!</v>
      </c>
      <c r="FE21" s="7" t="e">
        <f t="shared" si="12"/>
        <v>#DIV/0!</v>
      </c>
      <c r="FF21" t="e">
        <f t="shared" si="32"/>
        <v>#DIV/0!</v>
      </c>
      <c r="FG21" s="8" t="e">
        <f t="shared" si="33"/>
        <v>#DIV/0!</v>
      </c>
      <c r="FH21" s="8" t="e">
        <f t="shared" si="34"/>
        <v>#DIV/0!</v>
      </c>
      <c r="FI21" s="168" t="e">
        <f t="shared" si="35"/>
        <v>#DIV/0!</v>
      </c>
      <c r="FJ21" s="161" t="e">
        <f t="shared" ca="1" si="13"/>
        <v>#N/A</v>
      </c>
      <c r="FK21" s="169" t="e" vm="3">
        <f t="shared" ca="1" si="19"/>
        <v>#VALUE!</v>
      </c>
      <c r="FL21" s="7" t="e" vm="3">
        <f t="shared" ca="1" si="14"/>
        <v>#VALUE!</v>
      </c>
      <c r="FM21" t="e" vm="3">
        <f t="shared" ca="1" si="8"/>
        <v>#VALUE!</v>
      </c>
      <c r="FN21" s="8" t="e" vm="3">
        <f t="shared" ca="1" si="9"/>
        <v>#VALUE!</v>
      </c>
      <c r="FO21" s="8" t="e" vm="3">
        <f t="shared" ca="1" si="10"/>
        <v>#VALUE!</v>
      </c>
      <c r="FP21" s="168" t="e" vm="3">
        <f t="shared" ca="1" si="11"/>
        <v>#VALUE!</v>
      </c>
      <c r="FQ21" s="161" t="e">
        <f t="shared" si="15"/>
        <v>#N/A</v>
      </c>
      <c r="FR21" s="169" t="e">
        <f t="shared" si="20"/>
        <v>#N/A</v>
      </c>
      <c r="FS21" s="7" t="e">
        <f t="shared" si="16"/>
        <v>#N/A</v>
      </c>
      <c r="FT21" t="e">
        <f t="shared" si="21"/>
        <v>#N/A</v>
      </c>
      <c r="FU21" s="8" t="e">
        <f t="shared" si="22"/>
        <v>#N/A</v>
      </c>
      <c r="FV21" s="8" t="e">
        <f t="shared" si="23"/>
        <v>#N/A</v>
      </c>
      <c r="FW21" s="168" t="e">
        <f t="shared" si="24"/>
        <v>#N/A</v>
      </c>
      <c r="FX21" s="161" t="e">
        <f t="shared" si="25"/>
        <v>#N/A</v>
      </c>
      <c r="FY21" s="169" t="e">
        <f t="shared" si="26"/>
        <v>#N/A</v>
      </c>
      <c r="FZ21" s="7" t="e">
        <f t="shared" si="17"/>
        <v>#N/A</v>
      </c>
      <c r="GA21" t="e">
        <f t="shared" si="27"/>
        <v>#N/A</v>
      </c>
      <c r="GB21" s="8" t="e">
        <f t="shared" si="28"/>
        <v>#N/A</v>
      </c>
      <c r="GC21" s="8" t="e">
        <f t="shared" si="29"/>
        <v>#N/A</v>
      </c>
      <c r="GD21" s="168" t="e">
        <f t="shared" si="30"/>
        <v>#N/A</v>
      </c>
      <c r="GE21" s="168"/>
      <c r="GF21" s="168"/>
      <c r="GI21" s="54">
        <f t="shared" si="81"/>
        <v>11</v>
      </c>
      <c r="GJ21" s="54">
        <f t="shared" si="82"/>
        <v>12</v>
      </c>
      <c r="GK21" s="54">
        <f t="shared" si="83"/>
        <v>-2.8267241250217205</v>
      </c>
      <c r="GL21" s="54">
        <f t="shared" si="84"/>
        <v>7.3421528709367023E-3</v>
      </c>
      <c r="GM21" s="54" t="e">
        <f t="shared" si="85"/>
        <v>#N/A</v>
      </c>
      <c r="GN21" s="54" t="e">
        <f t="shared" si="86"/>
        <v>#N/A</v>
      </c>
      <c r="GO21" s="54" t="e">
        <f t="shared" si="87"/>
        <v>#N/A</v>
      </c>
      <c r="GP21" s="54" t="b">
        <f t="shared" si="88"/>
        <v>1</v>
      </c>
      <c r="GQ21" s="54" t="b">
        <f t="shared" si="89"/>
        <v>0</v>
      </c>
      <c r="GR21" s="54" t="b">
        <f t="shared" si="90"/>
        <v>1</v>
      </c>
      <c r="GS21" s="54" t="b">
        <f t="shared" si="91"/>
        <v>0</v>
      </c>
      <c r="GT21" s="54">
        <f t="shared" si="92"/>
        <v>7.3421528709367023E-3</v>
      </c>
      <c r="GU21" s="54">
        <f t="shared" si="93"/>
        <v>7.3421528709367023E-3</v>
      </c>
      <c r="GV21" s="54" t="e">
        <f t="shared" si="94"/>
        <v>#N/A</v>
      </c>
      <c r="GW21" s="72" t="str">
        <f t="shared" si="95"/>
        <v/>
      </c>
      <c r="HC21" s="54">
        <f t="shared" si="96"/>
        <v>11</v>
      </c>
      <c r="HD21" s="54">
        <f t="shared" si="97"/>
        <v>12</v>
      </c>
      <c r="HE21" s="54">
        <f t="shared" si="98"/>
        <v>-4.3772416758087074</v>
      </c>
      <c r="HF21" s="54" t="e">
        <f t="shared" si="99"/>
        <v>#N/A</v>
      </c>
      <c r="HG21" s="54">
        <f t="shared" si="100"/>
        <v>1.973676810225125E-3</v>
      </c>
      <c r="HH21" s="54" t="e">
        <f t="shared" si="101"/>
        <v>#N/A</v>
      </c>
      <c r="HI21" s="54" t="e">
        <f t="shared" si="102"/>
        <v>#N/A</v>
      </c>
      <c r="HJ21" s="54" t="b">
        <f t="shared" si="103"/>
        <v>1</v>
      </c>
      <c r="HK21" s="54" t="b">
        <f t="shared" si="104"/>
        <v>0</v>
      </c>
      <c r="HL21" s="54" t="b">
        <f t="shared" si="105"/>
        <v>1</v>
      </c>
      <c r="HM21" s="54" t="b">
        <f t="shared" si="106"/>
        <v>0</v>
      </c>
      <c r="HN21" s="54">
        <f t="shared" si="107"/>
        <v>1.973676810225125E-3</v>
      </c>
      <c r="HO21" s="54">
        <f t="shared" si="108"/>
        <v>1.973676810225125E-3</v>
      </c>
      <c r="HP21" s="54" t="e">
        <f t="shared" si="109"/>
        <v>#N/A</v>
      </c>
      <c r="HQ21" s="72" t="str">
        <f t="shared" si="110"/>
        <v/>
      </c>
    </row>
    <row r="22" spans="56:225" x14ac:dyDescent="0.2">
      <c r="BD22" s="100" t="s">
        <v>457</v>
      </c>
      <c r="BE22" s="58" t="s">
        <v>450</v>
      </c>
      <c r="BF22" s="58" t="s">
        <v>450</v>
      </c>
      <c r="BG22" s="58" t="s">
        <v>450</v>
      </c>
      <c r="BH22" s="58" t="s">
        <v>450</v>
      </c>
      <c r="BI22" s="58" t="s">
        <v>450</v>
      </c>
      <c r="BS22" s="54">
        <f t="shared" si="36"/>
        <v>12</v>
      </c>
      <c r="BT22" s="54">
        <f>Eu_tabel_g[[#This Row],[Indeks]]+1</f>
        <v>13</v>
      </c>
      <c r="BU22" s="54">
        <f t="shared" si="37"/>
        <v>-2.8027688358266212</v>
      </c>
      <c r="BV22" s="54">
        <f t="shared" si="38"/>
        <v>7.8542923005407734E-3</v>
      </c>
      <c r="BW22" s="54" t="e">
        <f t="shared" si="39"/>
        <v>#N/A</v>
      </c>
      <c r="BX22" s="54" t="e">
        <f t="shared" si="40"/>
        <v>#N/A</v>
      </c>
      <c r="BY22" s="54" t="e">
        <f t="shared" si="41"/>
        <v>#N/A</v>
      </c>
      <c r="BZ22" s="54" t="b">
        <f t="shared" si="42"/>
        <v>1</v>
      </c>
      <c r="CA22" s="54" t="b">
        <f t="shared" si="43"/>
        <v>0</v>
      </c>
      <c r="CB22" s="54" t="b">
        <f t="shared" si="44"/>
        <v>1</v>
      </c>
      <c r="CC22" s="54" t="b">
        <f t="shared" si="45"/>
        <v>0</v>
      </c>
      <c r="CD22" s="54">
        <f t="shared" si="111"/>
        <v>7.8542923005407734E-3</v>
      </c>
      <c r="CE22" s="54">
        <f t="shared" si="47"/>
        <v>7.8542923005407734E-3</v>
      </c>
      <c r="CF22" s="54" t="e">
        <f t="shared" si="48"/>
        <v>#N/A</v>
      </c>
      <c r="CG22" s="72" t="str">
        <f t="shared" si="49"/>
        <v/>
      </c>
      <c r="CH22" s="54">
        <f>_xlfn.NORM.DIST(_xlfn.NORM.INV(1-Eu_g_konfidensniveau,0,1)-Eu_tabel_g[[#This Row],[x base]],0,1,TRUE)</f>
        <v>0.87655067983900448</v>
      </c>
      <c r="CI22" s="54">
        <f>1-_xlfn.NORM.DIST(_xlfn.NORM.INV(Eu_g_konfidensniveau,0,1)-Eu_tabel_g[[#This Row],[x base]],0,1,TRUE)</f>
        <v>4.3412979959800424E-6</v>
      </c>
      <c r="CJ22" s="54">
        <f>_xlfn.NORM.DIST(_xlfn.NORM.INV((1-Eu_g_konfidensniveau)/2,0,1)-Eu_tabel_g[[#This Row],[x base]],0,1,TRUE)+1-_xlfn.NORM.DIST(_xlfn.NORM.INV(1-(1-Eu_g_konfidensniveau)/2,0,1)-Eu_tabel_g[[#This Row],[x base]],0,1,TRUE)</f>
        <v>0.80033215776148381</v>
      </c>
      <c r="CK22" s="54" t="e" cm="1">
        <f t="array" ref="CK22">IF($CK$3,INDEX(Eu_tabel_g[[#This Row],[Styrke venstre]:[Styrke tosidet]],CK$7),NA())</f>
        <v>#N/A</v>
      </c>
      <c r="CL22" s="99" t="e">
        <f>Eu_tabel_g[[#This Row],[Falsk positiv
Nulhypotese accepteres
Fejltype 1]]</f>
        <v>#N/A</v>
      </c>
      <c r="CM22" s="99" t="e">
        <f>IF(CHOOSE(CK$7,Eu_tabel_g[[#This Row],[x base]]&gt;0,Eu_tabel_g[[#This Row],[x base]]&lt;0,Eu_tabel_g[[#This Row],[x base]]=0),Eu_tabel_g[[#This Row],[Styrke, aktiv]],NA())</f>
        <v>#N/A</v>
      </c>
      <c r="CN22" s="99" t="e">
        <f>IFERROR(IF($CK$3,Eu_tabel_g[[#This Row],[Styrke, aktiv]],NA()),NA())</f>
        <v>#N/A</v>
      </c>
      <c r="CO22" s="99" t="e">
        <f>IF(ISNA(Eu_tabel_g[[#This Row],[Sand negativ
Nulhypotese afvises
Korrekt]]),NA(),IF($CK$3,1,NA()))</f>
        <v>#N/A</v>
      </c>
      <c r="CP22" s="56" t="str" cm="1">
        <f t="array" ref="CP22">_xlfn.SWITCH(BS22,_xlfn.IFNA(CN$2,-99),CN$5,_xlfn.IFNA(CN$3,-99),CN$6,_xlfn.IFNA(CN$4,-99),CN$7,"")</f>
        <v/>
      </c>
      <c r="CT22" s="7">
        <f t="shared" si="50"/>
        <v>0.8</v>
      </c>
      <c r="CU22">
        <f>IF(ROW(Styrkeberegning_G[[#This Row],[X base venstre]])=ROW(Styrkeberegning_G[[#Headers],[X base venstre]])+1,CU$7/(CT$7/$B$67),CU21/(CT21/$B$67))</f>
        <v>-2.8015817870135784</v>
      </c>
      <c r="CV22">
        <f>Styrkeberegning_G[[#This Row],[X base venstre]]*-1</f>
        <v>2.8015817870135784</v>
      </c>
      <c r="DG22" s="54">
        <f t="shared" si="51"/>
        <v>12</v>
      </c>
      <c r="DH22" s="54">
        <f t="shared" si="52"/>
        <v>13</v>
      </c>
      <c r="DI22" s="54">
        <f t="shared" si="53"/>
        <v>3.2027029416577024</v>
      </c>
      <c r="DJ22" s="54" t="e">
        <f t="shared" si="54"/>
        <v>#N/A</v>
      </c>
      <c r="DK22" s="54" t="e">
        <f t="shared" si="55"/>
        <v>#N/A</v>
      </c>
      <c r="DL22" s="54">
        <f t="shared" si="56"/>
        <v>1.6026737141399662E-2</v>
      </c>
      <c r="DM22" s="54" t="e">
        <f t="shared" si="57"/>
        <v>#N/A</v>
      </c>
      <c r="DN22" s="54" t="b">
        <f t="shared" si="58"/>
        <v>1</v>
      </c>
      <c r="DO22" s="54" t="b">
        <f t="shared" si="59"/>
        <v>0</v>
      </c>
      <c r="DP22" s="54" t="b">
        <f t="shared" si="60"/>
        <v>1</v>
      </c>
      <c r="DQ22" s="54" t="b">
        <f t="shared" si="61"/>
        <v>0</v>
      </c>
      <c r="DR22" s="54">
        <f t="shared" si="62"/>
        <v>1.6026737141399662E-2</v>
      </c>
      <c r="DS22" s="54">
        <f t="shared" si="63"/>
        <v>1.6026737141399662E-2</v>
      </c>
      <c r="DT22" s="54" t="e">
        <f t="shared" si="64"/>
        <v>#N/A</v>
      </c>
      <c r="DU22" s="72" t="str">
        <f t="shared" si="65"/>
        <v/>
      </c>
      <c r="DZ22" s="54">
        <f t="shared" si="66"/>
        <v>12</v>
      </c>
      <c r="EA22" s="54">
        <f t="shared" si="67"/>
        <v>13</v>
      </c>
      <c r="EB22" s="54">
        <f t="shared" si="68"/>
        <v>-2.8027688358266212</v>
      </c>
      <c r="EC22" s="54">
        <f t="shared" si="69"/>
        <v>7.8542923005407734E-3</v>
      </c>
      <c r="ED22" s="54" t="e">
        <f t="shared" si="70"/>
        <v>#N/A</v>
      </c>
      <c r="EE22" s="54" t="e">
        <f t="shared" si="71"/>
        <v>#N/A</v>
      </c>
      <c r="EF22" s="54" t="e">
        <f t="shared" si="72"/>
        <v>#N/A</v>
      </c>
      <c r="EG22" s="54" t="b">
        <f t="shared" si="73"/>
        <v>1</v>
      </c>
      <c r="EH22" s="54" t="b">
        <f t="shared" si="74"/>
        <v>0</v>
      </c>
      <c r="EI22" s="54" t="b">
        <f t="shared" si="75"/>
        <v>1</v>
      </c>
      <c r="EJ22" s="54" t="b">
        <f t="shared" si="76"/>
        <v>0</v>
      </c>
      <c r="EK22" s="54">
        <f t="shared" si="77"/>
        <v>7.8542923005407734E-3</v>
      </c>
      <c r="EL22" s="54">
        <f t="shared" si="78"/>
        <v>7.8542923005407734E-3</v>
      </c>
      <c r="EM22" s="54" t="e">
        <f t="shared" si="79"/>
        <v>#N/A</v>
      </c>
      <c r="EN22" s="72" t="str">
        <f t="shared" si="80"/>
        <v/>
      </c>
      <c r="EO2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2" s="54" t="e" cm="1">
        <f t="array" ref="ER22">IF($CK$3,INDEX(Eu_tabel_a[[#This Row],[Styrke venstre]:[Styrke tosidet]],ER$7),NA())</f>
        <v>#N/A</v>
      </c>
      <c r="ES22" s="54" t="e">
        <f>IF(ER$3,IF(CHOOSE(ER$7,Eu_tabel_a[[#This Row],[x base]]&gt;0,Eu_tabel_a[[#This Row],[x base]]&lt;0,Eu_tabel_a[[#This Row],[x base]]=0),1,NA()),NA())</f>
        <v>#N/A</v>
      </c>
      <c r="ET22" s="54" t="e">
        <f>IF(CHOOSE(ER$7,Eu_tabel_a[[#This Row],[x base]]&gt;0,Eu_tabel_a[[#This Row],[x base]]&lt;0,Eu_tabel_a[[#This Row],[x base]]=0),Eu_tabel_a[[#This Row],[Styrke, aktiv]],NA())</f>
        <v>#N/A</v>
      </c>
      <c r="EU22" s="54" t="e">
        <f>IFERROR(IF($ER$3,Eu_tabel_a[[#This Row],[Styrke, aktiv]],NA()),NA())</f>
        <v>#N/A</v>
      </c>
      <c r="EV22" s="54" t="e">
        <f>IF(ISNA(Eu_tabel_a[[#This Row],[Sand negativ
Nulhypotese afvises
Korrekt]]),NA(),IF(ER$3,1,NA()))</f>
        <v>#N/A</v>
      </c>
      <c r="EW22" s="55" t="str" cm="1">
        <f t="array" ref="EW22">IFERROR(_xlfn.SWITCH(Eu_tabel_a[[#This Row],[Indeks]],_xlfn.IFNA(EU$2,-99),EU$5,_xlfn.IFNA(EU$3,-99),EU$6,_xlfn.IFNA(EU$4,-99),EU$7,""),"")</f>
        <v/>
      </c>
      <c r="EX22" s="54">
        <f>Eu_tabel_a[[#This Row],[x base]]*SQRT(Eu_a_h0_x*(1-Eu_a_h0_x)/Eu_a_n_x)+Eu_a_h0_x</f>
        <v>0</v>
      </c>
      <c r="FC22" s="161" t="e">
        <f t="shared" si="18"/>
        <v>#N/A</v>
      </c>
      <c r="FD22" s="169" t="e">
        <f t="shared" si="31"/>
        <v>#DIV/0!</v>
      </c>
      <c r="FE22" s="7" t="e">
        <f t="shared" si="12"/>
        <v>#DIV/0!</v>
      </c>
      <c r="FF22" t="e">
        <f t="shared" si="32"/>
        <v>#DIV/0!</v>
      </c>
      <c r="FG22" s="8" t="e">
        <f t="shared" si="33"/>
        <v>#DIV/0!</v>
      </c>
      <c r="FH22" s="8" t="e">
        <f t="shared" si="34"/>
        <v>#DIV/0!</v>
      </c>
      <c r="FI22" s="168" t="e">
        <f t="shared" si="35"/>
        <v>#DIV/0!</v>
      </c>
      <c r="FJ22" s="161" t="e">
        <f t="shared" ca="1" si="13"/>
        <v>#N/A</v>
      </c>
      <c r="FK22" s="169" t="e" vm="3">
        <f t="shared" ca="1" si="19"/>
        <v>#VALUE!</v>
      </c>
      <c r="FL22" s="7" t="e" vm="3">
        <f t="shared" ca="1" si="14"/>
        <v>#VALUE!</v>
      </c>
      <c r="FM22" t="e" vm="3">
        <f t="shared" ca="1" si="8"/>
        <v>#VALUE!</v>
      </c>
      <c r="FN22" s="8" t="e" vm="3">
        <f t="shared" ca="1" si="9"/>
        <v>#VALUE!</v>
      </c>
      <c r="FO22" s="8" t="e" vm="3">
        <f t="shared" ca="1" si="10"/>
        <v>#VALUE!</v>
      </c>
      <c r="FP22" s="168" t="e" vm="3">
        <f t="shared" ca="1" si="11"/>
        <v>#VALUE!</v>
      </c>
      <c r="FQ22" s="161" t="e">
        <f t="shared" si="15"/>
        <v>#N/A</v>
      </c>
      <c r="FR22" s="169" t="e">
        <f t="shared" si="20"/>
        <v>#N/A</v>
      </c>
      <c r="FS22" s="7" t="e">
        <f t="shared" si="16"/>
        <v>#N/A</v>
      </c>
      <c r="FT22" t="e">
        <f t="shared" si="21"/>
        <v>#N/A</v>
      </c>
      <c r="FU22" s="8" t="e">
        <f t="shared" si="22"/>
        <v>#N/A</v>
      </c>
      <c r="FV22" s="8" t="e">
        <f t="shared" si="23"/>
        <v>#N/A</v>
      </c>
      <c r="FW22" s="168" t="e">
        <f t="shared" si="24"/>
        <v>#N/A</v>
      </c>
      <c r="FX22" s="161" t="e">
        <f t="shared" si="25"/>
        <v>#N/A</v>
      </c>
      <c r="FY22" s="169" t="e">
        <f t="shared" si="26"/>
        <v>#N/A</v>
      </c>
      <c r="FZ22" s="7" t="e">
        <f t="shared" si="17"/>
        <v>#N/A</v>
      </c>
      <c r="GA22" t="e">
        <f t="shared" si="27"/>
        <v>#N/A</v>
      </c>
      <c r="GB22" s="8" t="e">
        <f t="shared" si="28"/>
        <v>#N/A</v>
      </c>
      <c r="GC22" s="8" t="e">
        <f t="shared" si="29"/>
        <v>#N/A</v>
      </c>
      <c r="GD22" s="168" t="e">
        <f t="shared" si="30"/>
        <v>#N/A</v>
      </c>
      <c r="GE22" s="168"/>
      <c r="GF22" s="168"/>
      <c r="GI22" s="54">
        <f t="shared" si="81"/>
        <v>12</v>
      </c>
      <c r="GJ22" s="54">
        <f t="shared" si="82"/>
        <v>13</v>
      </c>
      <c r="GK22" s="54">
        <f t="shared" si="83"/>
        <v>-2.8027688358266212</v>
      </c>
      <c r="GL22" s="54">
        <f t="shared" si="84"/>
        <v>7.8542923005407734E-3</v>
      </c>
      <c r="GM22" s="54" t="e">
        <f t="shared" si="85"/>
        <v>#N/A</v>
      </c>
      <c r="GN22" s="54" t="e">
        <f t="shared" si="86"/>
        <v>#N/A</v>
      </c>
      <c r="GO22" s="54" t="e">
        <f t="shared" si="87"/>
        <v>#N/A</v>
      </c>
      <c r="GP22" s="54" t="b">
        <f t="shared" si="88"/>
        <v>1</v>
      </c>
      <c r="GQ22" s="54" t="b">
        <f t="shared" si="89"/>
        <v>0</v>
      </c>
      <c r="GR22" s="54" t="b">
        <f t="shared" si="90"/>
        <v>1</v>
      </c>
      <c r="GS22" s="54" t="b">
        <f t="shared" si="91"/>
        <v>0</v>
      </c>
      <c r="GT22" s="54">
        <f t="shared" si="92"/>
        <v>7.8542923005407734E-3</v>
      </c>
      <c r="GU22" s="54">
        <f t="shared" si="93"/>
        <v>7.8542923005407734E-3</v>
      </c>
      <c r="GV22" s="54" t="e">
        <f t="shared" si="94"/>
        <v>#N/A</v>
      </c>
      <c r="GW22" s="72" t="str">
        <f t="shared" si="95"/>
        <v/>
      </c>
      <c r="HC22" s="54">
        <f t="shared" si="96"/>
        <v>12</v>
      </c>
      <c r="HD22" s="54">
        <f t="shared" si="97"/>
        <v>13</v>
      </c>
      <c r="HE22" s="54">
        <f t="shared" si="98"/>
        <v>-4.3401464073696507</v>
      </c>
      <c r="HF22" s="54" t="e">
        <f t="shared" si="99"/>
        <v>#N/A</v>
      </c>
      <c r="HG22" s="54">
        <f t="shared" si="100"/>
        <v>2.0743574203867876E-3</v>
      </c>
      <c r="HH22" s="54" t="e">
        <f t="shared" si="101"/>
        <v>#N/A</v>
      </c>
      <c r="HI22" s="54" t="e">
        <f t="shared" si="102"/>
        <v>#N/A</v>
      </c>
      <c r="HJ22" s="54" t="b">
        <f t="shared" si="103"/>
        <v>1</v>
      </c>
      <c r="HK22" s="54" t="b">
        <f t="shared" si="104"/>
        <v>0</v>
      </c>
      <c r="HL22" s="54" t="b">
        <f t="shared" si="105"/>
        <v>1</v>
      </c>
      <c r="HM22" s="54" t="b">
        <f t="shared" si="106"/>
        <v>0</v>
      </c>
      <c r="HN22" s="54">
        <f t="shared" si="107"/>
        <v>2.0743574203867876E-3</v>
      </c>
      <c r="HO22" s="54">
        <f t="shared" si="108"/>
        <v>2.0743574203867876E-3</v>
      </c>
      <c r="HP22" s="54" t="e">
        <f t="shared" si="109"/>
        <v>#N/A</v>
      </c>
      <c r="HQ22" s="72" t="str">
        <f t="shared" si="110"/>
        <v/>
      </c>
    </row>
    <row r="23" spans="56:225" x14ac:dyDescent="0.2">
      <c r="BD23" s="58" t="s">
        <v>155</v>
      </c>
      <c r="BE23" s="60" cm="1">
        <f t="array" ref="BE23">MATCH(LARGE((BE18:BE21&lt;&gt;0)*{4;3;2;1},ROWS(BE18:BE18)),{4;3;2;1},0)</f>
        <v>1</v>
      </c>
      <c r="BF23" s="60" cm="1">
        <f t="array" ref="BF23">MATCH(LARGE((BF18:BF21&lt;&gt;0)*{4;3;2;1},ROWS(BF18:BF18)),{4;3;2;1},0)</f>
        <v>1</v>
      </c>
      <c r="BG23" s="60" cm="1">
        <f t="array" ref="BG23">MATCH(LARGE((BG18:BG21&lt;&gt;0)*{4;3;2;1},ROWS(BG18:BG18)),{4;3;2;1},0)</f>
        <v>1</v>
      </c>
      <c r="BH23" s="60" cm="1">
        <f t="array" ref="BH23">MATCH(LARGE((BH18:BH21&lt;&gt;0)*{4;3;2;1},ROWS(BH18:BH18)),{4;3;2;1},0)</f>
        <v>1</v>
      </c>
      <c r="BI23" s="60" cm="1">
        <f t="array" ref="BI23">MATCH(LARGE((BI18:BI21&lt;&gt;0)*{4;3;2;1},ROWS(BI18:BI18)),{4;3;2;1},0)</f>
        <v>1</v>
      </c>
      <c r="BS23" s="54">
        <f t="shared" si="36"/>
        <v>13</v>
      </c>
      <c r="BT23" s="54">
        <f>Eu_tabel_g[[#This Row],[Indeks]]+1</f>
        <v>14</v>
      </c>
      <c r="BU23" s="54">
        <f t="shared" si="37"/>
        <v>-2.7788135466315218</v>
      </c>
      <c r="BV23" s="54">
        <f t="shared" si="38"/>
        <v>8.3973349051078925E-3</v>
      </c>
      <c r="BW23" s="54" t="e">
        <f t="shared" si="39"/>
        <v>#N/A</v>
      </c>
      <c r="BX23" s="54" t="e">
        <f t="shared" si="40"/>
        <v>#N/A</v>
      </c>
      <c r="BY23" s="54" t="e">
        <f t="shared" si="41"/>
        <v>#N/A</v>
      </c>
      <c r="BZ23" s="54" t="b">
        <f t="shared" si="42"/>
        <v>1</v>
      </c>
      <c r="CA23" s="54" t="b">
        <f t="shared" si="43"/>
        <v>0</v>
      </c>
      <c r="CB23" s="54" t="b">
        <f t="shared" si="44"/>
        <v>1</v>
      </c>
      <c r="CC23" s="54" t="b">
        <f t="shared" si="45"/>
        <v>0</v>
      </c>
      <c r="CD23" s="54">
        <f t="shared" si="111"/>
        <v>8.3973349051078925E-3</v>
      </c>
      <c r="CE23" s="54">
        <f t="shared" si="47"/>
        <v>8.3973349051078925E-3</v>
      </c>
      <c r="CF23" s="54" t="e">
        <f t="shared" si="48"/>
        <v>#N/A</v>
      </c>
      <c r="CG23" s="72" t="str">
        <f t="shared" si="49"/>
        <v/>
      </c>
      <c r="CH23" s="54">
        <f>_xlfn.NORM.DIST(_xlfn.NORM.INV(1-Eu_g_konfidensniveau,0,1)-Eu_tabel_g[[#This Row],[x base]],0,1,TRUE)</f>
        <v>0.87159431961038669</v>
      </c>
      <c r="CI23" s="54">
        <f>1-_xlfn.NORM.DIST(_xlfn.NORM.INV(Eu_g_konfidensniveau,0,1)-Eu_tabel_g[[#This Row],[x base]],0,1,TRUE)</f>
        <v>4.8519739090924219E-6</v>
      </c>
      <c r="CJ23" s="54">
        <f>_xlfn.NORM.DIST(_xlfn.NORM.INV((1-Eu_g_konfidensniveau)/2,0,1)-Eu_tabel_g[[#This Row],[x base]],0,1,TRUE)+1-_xlfn.NORM.DIST(_xlfn.NORM.INV(1-(1-Eu_g_konfidensniveau)/2,0,1)-Eu_tabel_g[[#This Row],[x base]],0,1,TRUE)</f>
        <v>0.79356495019123918</v>
      </c>
      <c r="CK23" s="54" t="e" cm="1">
        <f t="array" ref="CK23">IF($CK$3,INDEX(Eu_tabel_g[[#This Row],[Styrke venstre]:[Styrke tosidet]],CK$7),NA())</f>
        <v>#N/A</v>
      </c>
      <c r="CL23" s="99" t="e">
        <f>Eu_tabel_g[[#This Row],[Falsk positiv
Nulhypotese accepteres
Fejltype 1]]</f>
        <v>#N/A</v>
      </c>
      <c r="CM23" s="99" t="e">
        <f>IF(CHOOSE(CK$7,Eu_tabel_g[[#This Row],[x base]]&gt;0,Eu_tabel_g[[#This Row],[x base]]&lt;0,Eu_tabel_g[[#This Row],[x base]]=0),Eu_tabel_g[[#This Row],[Styrke, aktiv]],NA())</f>
        <v>#N/A</v>
      </c>
      <c r="CN23" s="99" t="e">
        <f>IFERROR(IF($CK$3,Eu_tabel_g[[#This Row],[Styrke, aktiv]],NA()),NA())</f>
        <v>#N/A</v>
      </c>
      <c r="CO23" s="99" t="e">
        <f>IF(ISNA(Eu_tabel_g[[#This Row],[Sand negativ
Nulhypotese afvises
Korrekt]]),NA(),IF($CK$3,1,NA()))</f>
        <v>#N/A</v>
      </c>
      <c r="CP23" s="56" t="str" cm="1">
        <f t="array" ref="CP23">_xlfn.SWITCH(BS23,_xlfn.IFNA(CN$2,-99),CN$5,_xlfn.IFNA(CN$3,-99),CN$6,_xlfn.IFNA(CN$4,-99),CN$7,"")</f>
        <v/>
      </c>
      <c r="CT23" s="7">
        <f t="shared" si="50"/>
        <v>0.8</v>
      </c>
      <c r="CU23">
        <f>IF(ROW(Styrkeberegning_G[[#This Row],[X base venstre]])=ROW(Styrkeberegning_G[[#Headers],[X base venstre]])+1,CU$7/(CT$7/$B$67),CU22/(CT22/$B$67))</f>
        <v>-2.8015817870135784</v>
      </c>
      <c r="CV23">
        <f>Styrkeberegning_G[[#This Row],[X base venstre]]*-1</f>
        <v>2.8015817870135784</v>
      </c>
      <c r="DG23" s="54">
        <f t="shared" si="51"/>
        <v>13</v>
      </c>
      <c r="DH23" s="54">
        <f t="shared" si="52"/>
        <v>14</v>
      </c>
      <c r="DI23" s="54">
        <f t="shared" si="53"/>
        <v>3.3167737980747036</v>
      </c>
      <c r="DJ23" s="54" t="e">
        <f t="shared" si="54"/>
        <v>#N/A</v>
      </c>
      <c r="DK23" s="54" t="e">
        <f t="shared" si="55"/>
        <v>#N/A</v>
      </c>
      <c r="DL23" s="54">
        <f t="shared" si="56"/>
        <v>1.7720310229491915E-2</v>
      </c>
      <c r="DM23" s="54" t="e">
        <f t="shared" si="57"/>
        <v>#N/A</v>
      </c>
      <c r="DN23" s="54" t="b">
        <f t="shared" si="58"/>
        <v>1</v>
      </c>
      <c r="DO23" s="54" t="b">
        <f t="shared" si="59"/>
        <v>0</v>
      </c>
      <c r="DP23" s="54" t="b">
        <f t="shared" si="60"/>
        <v>1</v>
      </c>
      <c r="DQ23" s="54" t="b">
        <f t="shared" si="61"/>
        <v>0</v>
      </c>
      <c r="DR23" s="54">
        <f t="shared" si="62"/>
        <v>1.7720310229491915E-2</v>
      </c>
      <c r="DS23" s="54">
        <f t="shared" si="63"/>
        <v>1.7720310229491915E-2</v>
      </c>
      <c r="DT23" s="54" t="e">
        <f t="shared" si="64"/>
        <v>#N/A</v>
      </c>
      <c r="DU23" s="72" t="str">
        <f t="shared" si="65"/>
        <v/>
      </c>
      <c r="DZ23" s="54">
        <f t="shared" si="66"/>
        <v>13</v>
      </c>
      <c r="EA23" s="54">
        <f t="shared" si="67"/>
        <v>14</v>
      </c>
      <c r="EB23" s="54">
        <f t="shared" si="68"/>
        <v>-2.7788135466315218</v>
      </c>
      <c r="EC23" s="54">
        <f t="shared" si="69"/>
        <v>8.3973349051078925E-3</v>
      </c>
      <c r="ED23" s="54" t="e">
        <f t="shared" si="70"/>
        <v>#N/A</v>
      </c>
      <c r="EE23" s="54" t="e">
        <f t="shared" si="71"/>
        <v>#N/A</v>
      </c>
      <c r="EF23" s="54" t="e">
        <f t="shared" si="72"/>
        <v>#N/A</v>
      </c>
      <c r="EG23" s="54" t="b">
        <f t="shared" si="73"/>
        <v>1</v>
      </c>
      <c r="EH23" s="54" t="b">
        <f t="shared" si="74"/>
        <v>0</v>
      </c>
      <c r="EI23" s="54" t="b">
        <f t="shared" si="75"/>
        <v>1</v>
      </c>
      <c r="EJ23" s="54" t="b">
        <f t="shared" si="76"/>
        <v>0</v>
      </c>
      <c r="EK23" s="54">
        <f t="shared" si="77"/>
        <v>8.3973349051078925E-3</v>
      </c>
      <c r="EL23" s="54">
        <f t="shared" si="78"/>
        <v>8.3973349051078925E-3</v>
      </c>
      <c r="EM23" s="54" t="e">
        <f t="shared" si="79"/>
        <v>#N/A</v>
      </c>
      <c r="EN23" s="72" t="str">
        <f t="shared" si="80"/>
        <v/>
      </c>
      <c r="EO2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3" s="54" t="e" cm="1">
        <f t="array" ref="ER23">IF($CK$3,INDEX(Eu_tabel_a[[#This Row],[Styrke venstre]:[Styrke tosidet]],ER$7),NA())</f>
        <v>#N/A</v>
      </c>
      <c r="ES23" s="54" t="e">
        <f>IF(ER$3,IF(CHOOSE(ER$7,Eu_tabel_a[[#This Row],[x base]]&gt;0,Eu_tabel_a[[#This Row],[x base]]&lt;0,Eu_tabel_a[[#This Row],[x base]]=0),1,NA()),NA())</f>
        <v>#N/A</v>
      </c>
      <c r="ET23" s="54" t="e">
        <f>IF(CHOOSE(ER$7,Eu_tabel_a[[#This Row],[x base]]&gt;0,Eu_tabel_a[[#This Row],[x base]]&lt;0,Eu_tabel_a[[#This Row],[x base]]=0),Eu_tabel_a[[#This Row],[Styrke, aktiv]],NA())</f>
        <v>#N/A</v>
      </c>
      <c r="EU23" s="54" t="e">
        <f>IFERROR(IF($ER$3,Eu_tabel_a[[#This Row],[Styrke, aktiv]],NA()),NA())</f>
        <v>#N/A</v>
      </c>
      <c r="EV23" s="54" t="e">
        <f>IF(ISNA(Eu_tabel_a[[#This Row],[Sand negativ
Nulhypotese afvises
Korrekt]]),NA(),IF(ER$3,1,NA()))</f>
        <v>#N/A</v>
      </c>
      <c r="EW23" s="55" t="str" cm="1">
        <f t="array" ref="EW23">IFERROR(_xlfn.SWITCH(Eu_tabel_a[[#This Row],[Indeks]],_xlfn.IFNA(EU$2,-99),EU$5,_xlfn.IFNA(EU$3,-99),EU$6,_xlfn.IFNA(EU$4,-99),EU$7,""),"")</f>
        <v/>
      </c>
      <c r="EX23" s="54">
        <f>Eu_tabel_a[[#This Row],[x base]]*SQRT(Eu_a_h0_x*(1-Eu_a_h0_x)/Eu_a_n_x)+Eu_a_h0_x</f>
        <v>0</v>
      </c>
      <c r="FC23" s="161" t="e">
        <f t="shared" si="18"/>
        <v>#N/A</v>
      </c>
      <c r="FD23" s="169" t="e">
        <f t="shared" si="31"/>
        <v>#DIV/0!</v>
      </c>
      <c r="FE23" s="7" t="e">
        <f t="shared" si="12"/>
        <v>#DIV/0!</v>
      </c>
      <c r="FF23" t="e">
        <f t="shared" si="32"/>
        <v>#DIV/0!</v>
      </c>
      <c r="FG23" s="8" t="e">
        <f t="shared" si="33"/>
        <v>#DIV/0!</v>
      </c>
      <c r="FH23" s="8" t="e">
        <f t="shared" si="34"/>
        <v>#DIV/0!</v>
      </c>
      <c r="FI23" s="168" t="e">
        <f t="shared" si="35"/>
        <v>#DIV/0!</v>
      </c>
      <c r="FJ23" s="161" t="e">
        <f t="shared" ca="1" si="13"/>
        <v>#N/A</v>
      </c>
      <c r="FK23" s="169" t="e" vm="3">
        <f t="shared" ca="1" si="19"/>
        <v>#VALUE!</v>
      </c>
      <c r="FL23" s="7" t="e" vm="3">
        <f t="shared" ca="1" si="14"/>
        <v>#VALUE!</v>
      </c>
      <c r="FM23" t="e" vm="3">
        <f t="shared" ca="1" si="8"/>
        <v>#VALUE!</v>
      </c>
      <c r="FN23" s="8" t="e" vm="3">
        <f t="shared" ca="1" si="9"/>
        <v>#VALUE!</v>
      </c>
      <c r="FO23" s="8" t="e" vm="3">
        <f t="shared" ca="1" si="10"/>
        <v>#VALUE!</v>
      </c>
      <c r="FP23" s="168" t="e" vm="3">
        <f t="shared" ca="1" si="11"/>
        <v>#VALUE!</v>
      </c>
      <c r="FQ23" s="161" t="e">
        <f t="shared" si="15"/>
        <v>#N/A</v>
      </c>
      <c r="FR23" s="169" t="e">
        <f t="shared" si="20"/>
        <v>#N/A</v>
      </c>
      <c r="FS23" s="7" t="e">
        <f t="shared" si="16"/>
        <v>#N/A</v>
      </c>
      <c r="FT23" t="e">
        <f t="shared" si="21"/>
        <v>#N/A</v>
      </c>
      <c r="FU23" s="8" t="e">
        <f t="shared" si="22"/>
        <v>#N/A</v>
      </c>
      <c r="FV23" s="8" t="e">
        <f t="shared" si="23"/>
        <v>#N/A</v>
      </c>
      <c r="FW23" s="168" t="e">
        <f t="shared" si="24"/>
        <v>#N/A</v>
      </c>
      <c r="FX23" s="161" t="e">
        <f t="shared" si="25"/>
        <v>#N/A</v>
      </c>
      <c r="FY23" s="169" t="e">
        <f t="shared" si="26"/>
        <v>#N/A</v>
      </c>
      <c r="FZ23" s="7" t="e">
        <f t="shared" si="17"/>
        <v>#N/A</v>
      </c>
      <c r="GA23" t="e">
        <f t="shared" si="27"/>
        <v>#N/A</v>
      </c>
      <c r="GB23" s="8" t="e">
        <f t="shared" si="28"/>
        <v>#N/A</v>
      </c>
      <c r="GC23" s="8" t="e">
        <f t="shared" si="29"/>
        <v>#N/A</v>
      </c>
      <c r="GD23" s="168" t="e">
        <f t="shared" si="30"/>
        <v>#N/A</v>
      </c>
      <c r="GE23" s="168"/>
      <c r="GF23" s="168"/>
      <c r="GI23" s="54">
        <f t="shared" si="81"/>
        <v>13</v>
      </c>
      <c r="GJ23" s="54">
        <f t="shared" si="82"/>
        <v>14</v>
      </c>
      <c r="GK23" s="54">
        <f t="shared" si="83"/>
        <v>-2.7788135466315218</v>
      </c>
      <c r="GL23" s="54">
        <f t="shared" si="84"/>
        <v>8.3973349051078925E-3</v>
      </c>
      <c r="GM23" s="54" t="e">
        <f t="shared" si="85"/>
        <v>#N/A</v>
      </c>
      <c r="GN23" s="54" t="e">
        <f t="shared" si="86"/>
        <v>#N/A</v>
      </c>
      <c r="GO23" s="54" t="e">
        <f t="shared" si="87"/>
        <v>#N/A</v>
      </c>
      <c r="GP23" s="54" t="b">
        <f t="shared" si="88"/>
        <v>1</v>
      </c>
      <c r="GQ23" s="54" t="b">
        <f t="shared" si="89"/>
        <v>0</v>
      </c>
      <c r="GR23" s="54" t="b">
        <f t="shared" si="90"/>
        <v>1</v>
      </c>
      <c r="GS23" s="54" t="b">
        <f t="shared" si="91"/>
        <v>0</v>
      </c>
      <c r="GT23" s="54">
        <f t="shared" si="92"/>
        <v>8.3973349051078925E-3</v>
      </c>
      <c r="GU23" s="54">
        <f t="shared" si="93"/>
        <v>8.3973349051078925E-3</v>
      </c>
      <c r="GV23" s="54" t="e">
        <f t="shared" si="94"/>
        <v>#N/A</v>
      </c>
      <c r="GW23" s="72" t="str">
        <f t="shared" si="95"/>
        <v/>
      </c>
      <c r="HC23" s="54">
        <f t="shared" si="96"/>
        <v>13</v>
      </c>
      <c r="HD23" s="54">
        <f t="shared" si="97"/>
        <v>14</v>
      </c>
      <c r="HE23" s="54">
        <f t="shared" si="98"/>
        <v>-4.3030511389305941</v>
      </c>
      <c r="HF23" s="54" t="e">
        <f t="shared" si="99"/>
        <v>#N/A</v>
      </c>
      <c r="HG23" s="54">
        <f t="shared" si="100"/>
        <v>2.1805995210078645E-3</v>
      </c>
      <c r="HH23" s="54" t="e">
        <f t="shared" si="101"/>
        <v>#N/A</v>
      </c>
      <c r="HI23" s="54" t="e">
        <f t="shared" si="102"/>
        <v>#N/A</v>
      </c>
      <c r="HJ23" s="54" t="b">
        <f t="shared" si="103"/>
        <v>1</v>
      </c>
      <c r="HK23" s="54" t="b">
        <f t="shared" si="104"/>
        <v>0</v>
      </c>
      <c r="HL23" s="54" t="b">
        <f t="shared" si="105"/>
        <v>1</v>
      </c>
      <c r="HM23" s="54" t="b">
        <f t="shared" si="106"/>
        <v>0</v>
      </c>
      <c r="HN23" s="54">
        <f t="shared" si="107"/>
        <v>2.1805995210078645E-3</v>
      </c>
      <c r="HO23" s="54">
        <f t="shared" si="108"/>
        <v>2.1805995210078645E-3</v>
      </c>
      <c r="HP23" s="54" t="e">
        <f t="shared" si="109"/>
        <v>#N/A</v>
      </c>
      <c r="HQ23" s="72" t="str">
        <f t="shared" si="110"/>
        <v/>
      </c>
    </row>
    <row r="24" spans="56:225" x14ac:dyDescent="0.2">
      <c r="BD24" s="58" t="s">
        <v>156</v>
      </c>
      <c r="BE24" s="60" cm="1">
        <f t="array" ref="BE24">MATCH(LARGE((BE18:BE21&lt;&gt;0)*{4;3;2;1},ROWS(BE18:BE19)),{4;3;2;1},0)</f>
        <v>3</v>
      </c>
      <c r="BF24" s="60" cm="1">
        <f t="array" ref="BF24">MATCH(LARGE((BF18:BF21&lt;&gt;0)*{4;3;2;1},ROWS(BF18:BF19)),{4;3;2;1},0)</f>
        <v>4</v>
      </c>
      <c r="BG24" s="60" cm="1">
        <f t="array" ref="BG24">MATCH(LARGE((BG18:BG21&lt;&gt;0)*{4;3;2;1},ROWS(BG18:BG19)),{4;3;2;1},0)</f>
        <v>3</v>
      </c>
      <c r="BH24" s="60" cm="1">
        <f t="array" ref="BH24">MATCH(LARGE((BH18:BH21&lt;&gt;0)*{4;3;2;1},ROWS(BH18:BH19)),{4;3;2;1},0)</f>
        <v>3</v>
      </c>
      <c r="BI24" s="60" cm="1">
        <f t="array" ref="BI24">MATCH(LARGE((BI18:BI21&lt;&gt;0)*{4;3;2;1},ROWS(BI18:BI19)),{4;3;2;1},0)</f>
        <v>2</v>
      </c>
      <c r="BS24" s="54">
        <f t="shared" si="36"/>
        <v>14</v>
      </c>
      <c r="BT24" s="54">
        <f>Eu_tabel_g[[#This Row],[Indeks]]+1</f>
        <v>15</v>
      </c>
      <c r="BU24" s="54">
        <f t="shared" si="37"/>
        <v>-2.7548582574364224</v>
      </c>
      <c r="BV24" s="54">
        <f t="shared" si="38"/>
        <v>8.9727727004466455E-3</v>
      </c>
      <c r="BW24" s="54" t="e">
        <f t="shared" si="39"/>
        <v>#N/A</v>
      </c>
      <c r="BX24" s="54" t="e">
        <f t="shared" si="40"/>
        <v>#N/A</v>
      </c>
      <c r="BY24" s="54" t="e">
        <f t="shared" si="41"/>
        <v>#N/A</v>
      </c>
      <c r="BZ24" s="54" t="b">
        <f t="shared" si="42"/>
        <v>1</v>
      </c>
      <c r="CA24" s="54" t="b">
        <f t="shared" si="43"/>
        <v>0</v>
      </c>
      <c r="CB24" s="54" t="b">
        <f t="shared" si="44"/>
        <v>1</v>
      </c>
      <c r="CC24" s="54" t="b">
        <f t="shared" si="45"/>
        <v>0</v>
      </c>
      <c r="CD24" s="54">
        <f t="shared" si="111"/>
        <v>8.9727727004466455E-3</v>
      </c>
      <c r="CE24" s="54">
        <f t="shared" si="47"/>
        <v>8.9727727004466455E-3</v>
      </c>
      <c r="CF24" s="54" t="e">
        <f t="shared" si="48"/>
        <v>#N/A</v>
      </c>
      <c r="CG24" s="72" t="str">
        <f t="shared" si="49"/>
        <v/>
      </c>
      <c r="CH24" s="54">
        <f>_xlfn.NORM.DIST(_xlfn.NORM.INV(1-Eu_g_konfidensniveau,0,1)-Eu_tabel_g[[#This Row],[x base]],0,1,TRUE)</f>
        <v>0.86650148443046449</v>
      </c>
      <c r="CI24" s="54">
        <f>1-_xlfn.NORM.DIST(_xlfn.NORM.INV(Eu_g_konfidensniveau,0,1)-Eu_tabel_g[[#This Row],[x base]],0,1,TRUE)</f>
        <v>5.4197347799656015E-6</v>
      </c>
      <c r="CJ24" s="54">
        <f>_xlfn.NORM.DIST(_xlfn.NORM.INV((1-Eu_g_konfidensniveau)/2,0,1)-Eu_tabel_g[[#This Row],[x base]],0,1,TRUE)+1-_xlfn.NORM.DIST(_xlfn.NORM.INV(1-(1-Eu_g_konfidensniveau)/2,0,1)-Eu_tabel_g[[#This Row],[x base]],0,1,TRUE)</f>
        <v>0.78666370661837781</v>
      </c>
      <c r="CK24" s="54" t="e" cm="1">
        <f t="array" ref="CK24">IF($CK$3,INDEX(Eu_tabel_g[[#This Row],[Styrke venstre]:[Styrke tosidet]],CK$7),NA())</f>
        <v>#N/A</v>
      </c>
      <c r="CL24" s="99" t="e">
        <f>Eu_tabel_g[[#This Row],[Falsk positiv
Nulhypotese accepteres
Fejltype 1]]</f>
        <v>#N/A</v>
      </c>
      <c r="CM24" s="99" t="e">
        <f>IF(CHOOSE(CK$7,Eu_tabel_g[[#This Row],[x base]]&gt;0,Eu_tabel_g[[#This Row],[x base]]&lt;0,Eu_tabel_g[[#This Row],[x base]]=0),Eu_tabel_g[[#This Row],[Styrke, aktiv]],NA())</f>
        <v>#N/A</v>
      </c>
      <c r="CN24" s="99" t="e">
        <f>IFERROR(IF($CK$3,Eu_tabel_g[[#This Row],[Styrke, aktiv]],NA()),NA())</f>
        <v>#N/A</v>
      </c>
      <c r="CO24" s="99" t="e">
        <f>IF(ISNA(Eu_tabel_g[[#This Row],[Sand negativ
Nulhypotese afvises
Korrekt]]),NA(),IF($CK$3,1,NA()))</f>
        <v>#N/A</v>
      </c>
      <c r="CP24" s="56" t="str" cm="1">
        <f t="array" ref="CP24">_xlfn.SWITCH(BS24,_xlfn.IFNA(CN$2,-99),CN$5,_xlfn.IFNA(CN$3,-99),CN$6,_xlfn.IFNA(CN$4,-99),CN$7,"")</f>
        <v/>
      </c>
      <c r="CT24" s="7">
        <f t="shared" si="50"/>
        <v>0.8</v>
      </c>
      <c r="CU24">
        <f>IF(ROW(Styrkeberegning_G[[#This Row],[X base venstre]])=ROW(Styrkeberegning_G[[#Headers],[X base venstre]])+1,CU$7/(CT$7/$B$67),CU23/(CT23/$B$67))</f>
        <v>-2.8015817870135784</v>
      </c>
      <c r="CV24">
        <f>Styrkeberegning_G[[#This Row],[X base venstre]]*-1</f>
        <v>2.8015817870135784</v>
      </c>
      <c r="DG24" s="54">
        <f t="shared" si="51"/>
        <v>14</v>
      </c>
      <c r="DH24" s="54">
        <f t="shared" si="52"/>
        <v>15</v>
      </c>
      <c r="DI24" s="54">
        <f t="shared" si="53"/>
        <v>3.4308446544917044</v>
      </c>
      <c r="DJ24" s="54" t="e">
        <f t="shared" si="54"/>
        <v>#N/A</v>
      </c>
      <c r="DK24" s="54" t="e">
        <f t="shared" si="55"/>
        <v>#N/A</v>
      </c>
      <c r="DL24" s="54">
        <f t="shared" si="56"/>
        <v>1.9488775358795587E-2</v>
      </c>
      <c r="DM24" s="54" t="e">
        <f t="shared" si="57"/>
        <v>#N/A</v>
      </c>
      <c r="DN24" s="54" t="b">
        <f t="shared" si="58"/>
        <v>1</v>
      </c>
      <c r="DO24" s="54" t="b">
        <f t="shared" si="59"/>
        <v>0</v>
      </c>
      <c r="DP24" s="54" t="b">
        <f t="shared" si="60"/>
        <v>1</v>
      </c>
      <c r="DQ24" s="54" t="b">
        <f t="shared" si="61"/>
        <v>0</v>
      </c>
      <c r="DR24" s="54">
        <f t="shared" si="62"/>
        <v>1.9488775358795587E-2</v>
      </c>
      <c r="DS24" s="54">
        <f t="shared" si="63"/>
        <v>1.9488775358795587E-2</v>
      </c>
      <c r="DT24" s="54" t="e">
        <f t="shared" si="64"/>
        <v>#N/A</v>
      </c>
      <c r="DU24" s="72" t="str">
        <f t="shared" si="65"/>
        <v/>
      </c>
      <c r="DZ24" s="54">
        <f t="shared" si="66"/>
        <v>14</v>
      </c>
      <c r="EA24" s="54">
        <f t="shared" si="67"/>
        <v>15</v>
      </c>
      <c r="EB24" s="54">
        <f t="shared" si="68"/>
        <v>-2.7548582574364224</v>
      </c>
      <c r="EC24" s="54">
        <f t="shared" si="69"/>
        <v>8.9727727004466455E-3</v>
      </c>
      <c r="ED24" s="54" t="e">
        <f t="shared" si="70"/>
        <v>#N/A</v>
      </c>
      <c r="EE24" s="54" t="e">
        <f t="shared" si="71"/>
        <v>#N/A</v>
      </c>
      <c r="EF24" s="54" t="e">
        <f t="shared" si="72"/>
        <v>#N/A</v>
      </c>
      <c r="EG24" s="54" t="b">
        <f t="shared" si="73"/>
        <v>1</v>
      </c>
      <c r="EH24" s="54" t="b">
        <f t="shared" si="74"/>
        <v>0</v>
      </c>
      <c r="EI24" s="54" t="b">
        <f t="shared" si="75"/>
        <v>1</v>
      </c>
      <c r="EJ24" s="54" t="b">
        <f t="shared" si="76"/>
        <v>0</v>
      </c>
      <c r="EK24" s="54">
        <f t="shared" si="77"/>
        <v>8.9727727004466455E-3</v>
      </c>
      <c r="EL24" s="54">
        <f t="shared" si="78"/>
        <v>8.9727727004466455E-3</v>
      </c>
      <c r="EM24" s="54" t="e">
        <f t="shared" si="79"/>
        <v>#N/A</v>
      </c>
      <c r="EN24" s="72" t="str">
        <f t="shared" si="80"/>
        <v/>
      </c>
      <c r="EO2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4" s="54" t="e" cm="1">
        <f t="array" ref="ER24">IF($CK$3,INDEX(Eu_tabel_a[[#This Row],[Styrke venstre]:[Styrke tosidet]],ER$7),NA())</f>
        <v>#N/A</v>
      </c>
      <c r="ES24" s="54" t="e">
        <f>IF(ER$3,IF(CHOOSE(ER$7,Eu_tabel_a[[#This Row],[x base]]&gt;0,Eu_tabel_a[[#This Row],[x base]]&lt;0,Eu_tabel_a[[#This Row],[x base]]=0),1,NA()),NA())</f>
        <v>#N/A</v>
      </c>
      <c r="ET24" s="54" t="e">
        <f>IF(CHOOSE(ER$7,Eu_tabel_a[[#This Row],[x base]]&gt;0,Eu_tabel_a[[#This Row],[x base]]&lt;0,Eu_tabel_a[[#This Row],[x base]]=0),Eu_tabel_a[[#This Row],[Styrke, aktiv]],NA())</f>
        <v>#N/A</v>
      </c>
      <c r="EU24" s="54" t="e">
        <f>IFERROR(IF($ER$3,Eu_tabel_a[[#This Row],[Styrke, aktiv]],NA()),NA())</f>
        <v>#N/A</v>
      </c>
      <c r="EV24" s="54" t="e">
        <f>IF(ISNA(Eu_tabel_a[[#This Row],[Sand negativ
Nulhypotese afvises
Korrekt]]),NA(),IF(ER$3,1,NA()))</f>
        <v>#N/A</v>
      </c>
      <c r="EW24" s="55" t="str" cm="1">
        <f t="array" ref="EW24">IFERROR(_xlfn.SWITCH(Eu_tabel_a[[#This Row],[Indeks]],_xlfn.IFNA(EU$2,-99),EU$5,_xlfn.IFNA(EU$3,-99),EU$6,_xlfn.IFNA(EU$4,-99),EU$7,""),"")</f>
        <v/>
      </c>
      <c r="EX24" s="54">
        <f>Eu_tabel_a[[#This Row],[x base]]*SQRT(Eu_a_h0_x*(1-Eu_a_h0_x)/Eu_a_n_x)+Eu_a_h0_x</f>
        <v>0</v>
      </c>
      <c r="FC24" s="161" t="e">
        <f t="shared" si="18"/>
        <v>#N/A</v>
      </c>
      <c r="FD24" s="169" t="e">
        <f t="shared" si="31"/>
        <v>#DIV/0!</v>
      </c>
      <c r="FE24" s="7" t="e">
        <f t="shared" si="12"/>
        <v>#DIV/0!</v>
      </c>
      <c r="FF24" t="e">
        <f t="shared" si="32"/>
        <v>#DIV/0!</v>
      </c>
      <c r="FG24" s="8" t="e">
        <f t="shared" si="33"/>
        <v>#DIV/0!</v>
      </c>
      <c r="FH24" s="8" t="e">
        <f t="shared" si="34"/>
        <v>#DIV/0!</v>
      </c>
      <c r="FI24" s="168" t="e">
        <f t="shared" si="35"/>
        <v>#DIV/0!</v>
      </c>
      <c r="FJ24" s="161" t="e">
        <f t="shared" ca="1" si="13"/>
        <v>#N/A</v>
      </c>
      <c r="FK24" s="169" t="e" vm="3">
        <f t="shared" ca="1" si="19"/>
        <v>#VALUE!</v>
      </c>
      <c r="FL24" s="7" t="e" vm="3">
        <f t="shared" ca="1" si="14"/>
        <v>#VALUE!</v>
      </c>
      <c r="FM24" t="e" vm="3">
        <f t="shared" ca="1" si="8"/>
        <v>#VALUE!</v>
      </c>
      <c r="FN24" s="8" t="e" vm="3">
        <f t="shared" ca="1" si="9"/>
        <v>#VALUE!</v>
      </c>
      <c r="FO24" s="8" t="e" vm="3">
        <f t="shared" ca="1" si="10"/>
        <v>#VALUE!</v>
      </c>
      <c r="FP24" s="168" t="e" vm="3">
        <f t="shared" ca="1" si="11"/>
        <v>#VALUE!</v>
      </c>
      <c r="FQ24" s="161" t="e">
        <f t="shared" si="15"/>
        <v>#N/A</v>
      </c>
      <c r="FR24" s="169" t="e">
        <f t="shared" si="20"/>
        <v>#N/A</v>
      </c>
      <c r="FS24" s="7" t="e">
        <f t="shared" si="16"/>
        <v>#N/A</v>
      </c>
      <c r="FT24" t="e">
        <f t="shared" si="21"/>
        <v>#N/A</v>
      </c>
      <c r="FU24" s="8" t="e">
        <f t="shared" si="22"/>
        <v>#N/A</v>
      </c>
      <c r="FV24" s="8" t="e">
        <f t="shared" si="23"/>
        <v>#N/A</v>
      </c>
      <c r="FW24" s="168" t="e">
        <f t="shared" si="24"/>
        <v>#N/A</v>
      </c>
      <c r="FX24" s="161" t="e">
        <f t="shared" si="25"/>
        <v>#N/A</v>
      </c>
      <c r="FY24" s="169" t="e">
        <f t="shared" si="26"/>
        <v>#N/A</v>
      </c>
      <c r="FZ24" s="7" t="e">
        <f t="shared" si="17"/>
        <v>#N/A</v>
      </c>
      <c r="GA24" t="e">
        <f t="shared" si="27"/>
        <v>#N/A</v>
      </c>
      <c r="GB24" s="8" t="e">
        <f t="shared" si="28"/>
        <v>#N/A</v>
      </c>
      <c r="GC24" s="8" t="e">
        <f t="shared" si="29"/>
        <v>#N/A</v>
      </c>
      <c r="GD24" s="168" t="e">
        <f t="shared" si="30"/>
        <v>#N/A</v>
      </c>
      <c r="GE24" s="168"/>
      <c r="GF24" s="168"/>
      <c r="GI24" s="54">
        <f t="shared" si="81"/>
        <v>14</v>
      </c>
      <c r="GJ24" s="54">
        <f t="shared" si="82"/>
        <v>15</v>
      </c>
      <c r="GK24" s="54">
        <f t="shared" si="83"/>
        <v>-2.7548582574364224</v>
      </c>
      <c r="GL24" s="54">
        <f t="shared" si="84"/>
        <v>8.9727727004466455E-3</v>
      </c>
      <c r="GM24" s="54" t="e">
        <f t="shared" si="85"/>
        <v>#N/A</v>
      </c>
      <c r="GN24" s="54" t="e">
        <f t="shared" si="86"/>
        <v>#N/A</v>
      </c>
      <c r="GO24" s="54" t="e">
        <f t="shared" si="87"/>
        <v>#N/A</v>
      </c>
      <c r="GP24" s="54" t="b">
        <f t="shared" si="88"/>
        <v>1</v>
      </c>
      <c r="GQ24" s="54" t="b">
        <f t="shared" si="89"/>
        <v>0</v>
      </c>
      <c r="GR24" s="54" t="b">
        <f t="shared" si="90"/>
        <v>1</v>
      </c>
      <c r="GS24" s="54" t="b">
        <f t="shared" si="91"/>
        <v>0</v>
      </c>
      <c r="GT24" s="54">
        <f t="shared" si="92"/>
        <v>8.9727727004466455E-3</v>
      </c>
      <c r="GU24" s="54">
        <f t="shared" si="93"/>
        <v>8.9727727004466455E-3</v>
      </c>
      <c r="GV24" s="54" t="e">
        <f t="shared" si="94"/>
        <v>#N/A</v>
      </c>
      <c r="GW24" s="72" t="str">
        <f t="shared" si="95"/>
        <v/>
      </c>
      <c r="HC24" s="54">
        <f t="shared" si="96"/>
        <v>14</v>
      </c>
      <c r="HD24" s="54">
        <f t="shared" si="97"/>
        <v>15</v>
      </c>
      <c r="HE24" s="54">
        <f t="shared" si="98"/>
        <v>-4.2659558704915375</v>
      </c>
      <c r="HF24" s="54" t="e">
        <f t="shared" si="99"/>
        <v>#N/A</v>
      </c>
      <c r="HG24" s="54">
        <f t="shared" si="100"/>
        <v>2.292729384481872E-3</v>
      </c>
      <c r="HH24" s="54" t="e">
        <f t="shared" si="101"/>
        <v>#N/A</v>
      </c>
      <c r="HI24" s="54" t="e">
        <f t="shared" si="102"/>
        <v>#N/A</v>
      </c>
      <c r="HJ24" s="54" t="b">
        <f t="shared" si="103"/>
        <v>1</v>
      </c>
      <c r="HK24" s="54" t="b">
        <f t="shared" si="104"/>
        <v>0</v>
      </c>
      <c r="HL24" s="54" t="b">
        <f t="shared" si="105"/>
        <v>1</v>
      </c>
      <c r="HM24" s="54" t="b">
        <f t="shared" si="106"/>
        <v>0</v>
      </c>
      <c r="HN24" s="54">
        <f t="shared" si="107"/>
        <v>2.292729384481872E-3</v>
      </c>
      <c r="HO24" s="54">
        <f t="shared" si="108"/>
        <v>2.292729384481872E-3</v>
      </c>
      <c r="HP24" s="54" t="e">
        <f t="shared" si="109"/>
        <v>#N/A</v>
      </c>
      <c r="HQ24" s="72" t="str">
        <f t="shared" si="110"/>
        <v/>
      </c>
    </row>
    <row r="25" spans="56:225" x14ac:dyDescent="0.2">
      <c r="BD25" s="58" t="s">
        <v>160</v>
      </c>
      <c r="BE25" s="60" cm="1">
        <f t="array" ref="BE25">MATCH(LARGE((BE18:BE21&lt;&gt;0)*{4;3;2;1},ROWS(BE18:BE20)),{4;3;2;1},0)</f>
        <v>4</v>
      </c>
      <c r="BF25" s="60" t="e" cm="1">
        <f t="array" ref="BF25">MATCH(LARGE((BF18:BF21&lt;&gt;0)*{4;3;2;1},ROWS(BF18:BF20)),{4;3;2;1},0)</f>
        <v>#N/A</v>
      </c>
      <c r="BG25" s="60" t="e" cm="1">
        <f t="array" ref="BG25">MATCH(LARGE((BG18:BG21&lt;&gt;0)*{4;3;2;1},ROWS(BG18:BG20)),{4;3;2;1},0)</f>
        <v>#N/A</v>
      </c>
      <c r="BH25" s="60" t="e" cm="1">
        <f t="array" ref="BH25">MATCH(LARGE((BH18:BH21&lt;&gt;0)*{4;3;2;1},ROWS(BH18:BH20)),{4;3;2;1},0)</f>
        <v>#N/A</v>
      </c>
      <c r="BI25" s="60" t="e" cm="1">
        <f t="array" ref="BI25">MATCH(LARGE((BI18:BI21&lt;&gt;0)*{4;3;2;1},ROWS(BI18:BI20)),{4;3;2;1},0)</f>
        <v>#N/A</v>
      </c>
      <c r="BS25" s="54">
        <f t="shared" si="36"/>
        <v>15</v>
      </c>
      <c r="BT25" s="54">
        <f>Eu_tabel_g[[#This Row],[Indeks]]+1</f>
        <v>16</v>
      </c>
      <c r="BU25" s="54">
        <f t="shared" si="37"/>
        <v>-2.7309029682413231</v>
      </c>
      <c r="BV25" s="54">
        <f t="shared" si="38"/>
        <v>9.582142737811215E-3</v>
      </c>
      <c r="BW25" s="54" t="e">
        <f t="shared" si="39"/>
        <v>#N/A</v>
      </c>
      <c r="BX25" s="54" t="e">
        <f t="shared" si="40"/>
        <v>#N/A</v>
      </c>
      <c r="BY25" s="54" t="e">
        <f t="shared" si="41"/>
        <v>#N/A</v>
      </c>
      <c r="BZ25" s="54" t="b">
        <f t="shared" si="42"/>
        <v>1</v>
      </c>
      <c r="CA25" s="54" t="b">
        <f t="shared" si="43"/>
        <v>0</v>
      </c>
      <c r="CB25" s="54" t="b">
        <f t="shared" si="44"/>
        <v>1</v>
      </c>
      <c r="CC25" s="54" t="b">
        <f t="shared" si="45"/>
        <v>0</v>
      </c>
      <c r="CD25" s="54">
        <f t="shared" si="111"/>
        <v>9.582142737811215E-3</v>
      </c>
      <c r="CE25" s="54">
        <f t="shared" si="47"/>
        <v>9.582142737811215E-3</v>
      </c>
      <c r="CF25" s="54" t="e">
        <f t="shared" si="48"/>
        <v>#N/A</v>
      </c>
      <c r="CG25" s="72" t="str">
        <f t="shared" si="49"/>
        <v/>
      </c>
      <c r="CH25" s="54">
        <f>_xlfn.NORM.DIST(_xlfn.NORM.INV(1-Eu_g_konfidensniveau,0,1)-Eu_tabel_g[[#This Row],[x base]],0,1,TRUE)</f>
        <v>0.86127141844000243</v>
      </c>
      <c r="CI25" s="54">
        <f>1-_xlfn.NORM.DIST(_xlfn.NORM.INV(Eu_g_konfidensniveau,0,1)-Eu_tabel_g[[#This Row],[x base]],0,1,TRUE)</f>
        <v>6.0505996323234612E-6</v>
      </c>
      <c r="CJ25" s="54">
        <f>_xlfn.NORM.DIST(_xlfn.NORM.INV((1-Eu_g_konfidensniveau)/2,0,1)-Eu_tabel_g[[#This Row],[x base]],0,1,TRUE)+1-_xlfn.NORM.DIST(_xlfn.NORM.INV(1-(1-Eu_g_konfidensniveau)/2,0,1)-Eu_tabel_g[[#This Row],[x base]],0,1,TRUE)</f>
        <v>0.7796298108514037</v>
      </c>
      <c r="CK25" s="54" t="e" cm="1">
        <f t="array" ref="CK25">IF($CK$3,INDEX(Eu_tabel_g[[#This Row],[Styrke venstre]:[Styrke tosidet]],CK$7),NA())</f>
        <v>#N/A</v>
      </c>
      <c r="CL25" s="99" t="e">
        <f>Eu_tabel_g[[#This Row],[Falsk positiv
Nulhypotese accepteres
Fejltype 1]]</f>
        <v>#N/A</v>
      </c>
      <c r="CM25" s="99" t="e">
        <f>IF(CHOOSE(CK$7,Eu_tabel_g[[#This Row],[x base]]&gt;0,Eu_tabel_g[[#This Row],[x base]]&lt;0,Eu_tabel_g[[#This Row],[x base]]=0),Eu_tabel_g[[#This Row],[Styrke, aktiv]],NA())</f>
        <v>#N/A</v>
      </c>
      <c r="CN25" s="99" t="e">
        <f>IFERROR(IF($CK$3,Eu_tabel_g[[#This Row],[Styrke, aktiv]],NA()),NA())</f>
        <v>#N/A</v>
      </c>
      <c r="CO25" s="99" t="e">
        <f>IF(ISNA(Eu_tabel_g[[#This Row],[Sand negativ
Nulhypotese afvises
Korrekt]]),NA(),IF($CK$3,1,NA()))</f>
        <v>#N/A</v>
      </c>
      <c r="CP25" s="56" t="str" cm="1">
        <f t="array" ref="CP25">_xlfn.SWITCH(BS25,_xlfn.IFNA(CN$2,-99),CN$5,_xlfn.IFNA(CN$3,-99),CN$6,_xlfn.IFNA(CN$4,-99),CN$7,"")</f>
        <v/>
      </c>
      <c r="CT25" s="7">
        <f t="shared" si="50"/>
        <v>0.8</v>
      </c>
      <c r="CU25">
        <f>IF(ROW(Styrkeberegning_G[[#This Row],[X base venstre]])=ROW(Styrkeberegning_G[[#Headers],[X base venstre]])+1,CU$7/(CT$7/$B$67),CU24/(CT24/$B$67))</f>
        <v>-2.8015817870135784</v>
      </c>
      <c r="CV25">
        <f>Styrkeberegning_G[[#This Row],[X base venstre]]*-1</f>
        <v>2.8015817870135784</v>
      </c>
      <c r="DG25" s="54">
        <f t="shared" si="51"/>
        <v>15</v>
      </c>
      <c r="DH25" s="54">
        <f t="shared" si="52"/>
        <v>16</v>
      </c>
      <c r="DI25" s="54">
        <f t="shared" si="53"/>
        <v>3.5449155109087052</v>
      </c>
      <c r="DJ25" s="54" t="e">
        <f t="shared" si="54"/>
        <v>#N/A</v>
      </c>
      <c r="DK25" s="54" t="e">
        <f t="shared" si="55"/>
        <v>#N/A</v>
      </c>
      <c r="DL25" s="54">
        <f t="shared" si="56"/>
        <v>2.1327312569947666E-2</v>
      </c>
      <c r="DM25" s="54" t="e">
        <f t="shared" si="57"/>
        <v>#N/A</v>
      </c>
      <c r="DN25" s="54" t="b">
        <f t="shared" si="58"/>
        <v>1</v>
      </c>
      <c r="DO25" s="54" t="b">
        <f t="shared" si="59"/>
        <v>0</v>
      </c>
      <c r="DP25" s="54" t="b">
        <f t="shared" si="60"/>
        <v>1</v>
      </c>
      <c r="DQ25" s="54" t="b">
        <f t="shared" si="61"/>
        <v>0</v>
      </c>
      <c r="DR25" s="54">
        <f t="shared" si="62"/>
        <v>2.1327312569947666E-2</v>
      </c>
      <c r="DS25" s="54">
        <f t="shared" si="63"/>
        <v>2.1327312569947666E-2</v>
      </c>
      <c r="DT25" s="54" t="e">
        <f t="shared" si="64"/>
        <v>#N/A</v>
      </c>
      <c r="DU25" s="72" t="str">
        <f t="shared" si="65"/>
        <v/>
      </c>
      <c r="DZ25" s="54">
        <f t="shared" si="66"/>
        <v>15</v>
      </c>
      <c r="EA25" s="54">
        <f t="shared" si="67"/>
        <v>16</v>
      </c>
      <c r="EB25" s="54">
        <f t="shared" si="68"/>
        <v>-2.7309029682413231</v>
      </c>
      <c r="EC25" s="54">
        <f t="shared" si="69"/>
        <v>9.582142737811215E-3</v>
      </c>
      <c r="ED25" s="54" t="e">
        <f t="shared" si="70"/>
        <v>#N/A</v>
      </c>
      <c r="EE25" s="54" t="e">
        <f t="shared" si="71"/>
        <v>#N/A</v>
      </c>
      <c r="EF25" s="54" t="e">
        <f t="shared" si="72"/>
        <v>#N/A</v>
      </c>
      <c r="EG25" s="54" t="b">
        <f t="shared" si="73"/>
        <v>1</v>
      </c>
      <c r="EH25" s="54" t="b">
        <f t="shared" si="74"/>
        <v>0</v>
      </c>
      <c r="EI25" s="54" t="b">
        <f t="shared" si="75"/>
        <v>1</v>
      </c>
      <c r="EJ25" s="54" t="b">
        <f t="shared" si="76"/>
        <v>0</v>
      </c>
      <c r="EK25" s="54">
        <f t="shared" si="77"/>
        <v>9.582142737811215E-3</v>
      </c>
      <c r="EL25" s="54">
        <f t="shared" si="78"/>
        <v>9.582142737811215E-3</v>
      </c>
      <c r="EM25" s="54" t="e">
        <f t="shared" si="79"/>
        <v>#N/A</v>
      </c>
      <c r="EN25" s="72" t="str">
        <f t="shared" si="80"/>
        <v/>
      </c>
      <c r="EO2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5" s="54" t="e" cm="1">
        <f t="array" ref="ER25">IF($CK$3,INDEX(Eu_tabel_a[[#This Row],[Styrke venstre]:[Styrke tosidet]],ER$7),NA())</f>
        <v>#N/A</v>
      </c>
      <c r="ES25" s="54" t="e">
        <f>IF(ER$3,IF(CHOOSE(ER$7,Eu_tabel_a[[#This Row],[x base]]&gt;0,Eu_tabel_a[[#This Row],[x base]]&lt;0,Eu_tabel_a[[#This Row],[x base]]=0),1,NA()),NA())</f>
        <v>#N/A</v>
      </c>
      <c r="ET25" s="54" t="e">
        <f>IF(CHOOSE(ER$7,Eu_tabel_a[[#This Row],[x base]]&gt;0,Eu_tabel_a[[#This Row],[x base]]&lt;0,Eu_tabel_a[[#This Row],[x base]]=0),Eu_tabel_a[[#This Row],[Styrke, aktiv]],NA())</f>
        <v>#N/A</v>
      </c>
      <c r="EU25" s="54" t="e">
        <f>IFERROR(IF($ER$3,Eu_tabel_a[[#This Row],[Styrke, aktiv]],NA()),NA())</f>
        <v>#N/A</v>
      </c>
      <c r="EV25" s="54" t="e">
        <f>IF(ISNA(Eu_tabel_a[[#This Row],[Sand negativ
Nulhypotese afvises
Korrekt]]),NA(),IF(ER$3,1,NA()))</f>
        <v>#N/A</v>
      </c>
      <c r="EW25" s="55" t="str" cm="1">
        <f t="array" ref="EW25">IFERROR(_xlfn.SWITCH(Eu_tabel_a[[#This Row],[Indeks]],_xlfn.IFNA(EU$2,-99),EU$5,_xlfn.IFNA(EU$3,-99),EU$6,_xlfn.IFNA(EU$4,-99),EU$7,""),"")</f>
        <v/>
      </c>
      <c r="EX25" s="54">
        <f>Eu_tabel_a[[#This Row],[x base]]*SQRT(Eu_a_h0_x*(1-Eu_a_h0_x)/Eu_a_n_x)+Eu_a_h0_x</f>
        <v>0</v>
      </c>
      <c r="FC25" s="161" t="e">
        <f t="shared" si="18"/>
        <v>#N/A</v>
      </c>
      <c r="FD25" s="169" t="e">
        <f t="shared" si="31"/>
        <v>#DIV/0!</v>
      </c>
      <c r="FE25" s="7" t="e">
        <f t="shared" si="12"/>
        <v>#DIV/0!</v>
      </c>
      <c r="FF25" t="e">
        <f t="shared" si="32"/>
        <v>#DIV/0!</v>
      </c>
      <c r="FG25" s="8" t="e">
        <f t="shared" si="33"/>
        <v>#DIV/0!</v>
      </c>
      <c r="FH25" s="8" t="e">
        <f t="shared" si="34"/>
        <v>#DIV/0!</v>
      </c>
      <c r="FI25" s="168" t="e">
        <f t="shared" si="35"/>
        <v>#DIV/0!</v>
      </c>
      <c r="FJ25" s="161" t="e">
        <f t="shared" ca="1" si="13"/>
        <v>#N/A</v>
      </c>
      <c r="FK25" s="169" t="e" vm="3">
        <f t="shared" ca="1" si="19"/>
        <v>#VALUE!</v>
      </c>
      <c r="FL25" s="7" t="e" vm="3">
        <f t="shared" ca="1" si="14"/>
        <v>#VALUE!</v>
      </c>
      <c r="FM25" t="e" vm="3">
        <f t="shared" ca="1" si="8"/>
        <v>#VALUE!</v>
      </c>
      <c r="FN25" s="8" t="e" vm="3">
        <f t="shared" ca="1" si="9"/>
        <v>#VALUE!</v>
      </c>
      <c r="FO25" s="8" t="e" vm="3">
        <f t="shared" ca="1" si="10"/>
        <v>#VALUE!</v>
      </c>
      <c r="FP25" s="168" t="e" vm="3">
        <f t="shared" ca="1" si="11"/>
        <v>#VALUE!</v>
      </c>
      <c r="FQ25" s="161" t="e">
        <f t="shared" si="15"/>
        <v>#N/A</v>
      </c>
      <c r="FR25" s="169" t="e">
        <f t="shared" si="20"/>
        <v>#N/A</v>
      </c>
      <c r="FS25" s="7" t="e">
        <f t="shared" si="16"/>
        <v>#N/A</v>
      </c>
      <c r="FT25" t="e">
        <f t="shared" si="21"/>
        <v>#N/A</v>
      </c>
      <c r="FU25" s="8" t="e">
        <f t="shared" si="22"/>
        <v>#N/A</v>
      </c>
      <c r="FV25" s="8" t="e">
        <f t="shared" si="23"/>
        <v>#N/A</v>
      </c>
      <c r="FW25" s="168" t="e">
        <f t="shared" si="24"/>
        <v>#N/A</v>
      </c>
      <c r="FX25" s="161" t="e">
        <f t="shared" si="25"/>
        <v>#N/A</v>
      </c>
      <c r="FY25" s="169" t="e">
        <f t="shared" si="26"/>
        <v>#N/A</v>
      </c>
      <c r="FZ25" s="7" t="e">
        <f t="shared" si="17"/>
        <v>#N/A</v>
      </c>
      <c r="GA25" t="e">
        <f t="shared" si="27"/>
        <v>#N/A</v>
      </c>
      <c r="GB25" s="8" t="e">
        <f t="shared" si="28"/>
        <v>#N/A</v>
      </c>
      <c r="GC25" s="8" t="e">
        <f t="shared" si="29"/>
        <v>#N/A</v>
      </c>
      <c r="GD25" s="168" t="e">
        <f t="shared" si="30"/>
        <v>#N/A</v>
      </c>
      <c r="GE25" s="168"/>
      <c r="GF25" s="168"/>
      <c r="GI25" s="54">
        <f t="shared" si="81"/>
        <v>15</v>
      </c>
      <c r="GJ25" s="54">
        <f t="shared" si="82"/>
        <v>16</v>
      </c>
      <c r="GK25" s="54">
        <f t="shared" si="83"/>
        <v>-2.7309029682413231</v>
      </c>
      <c r="GL25" s="54">
        <f t="shared" si="84"/>
        <v>9.582142737811215E-3</v>
      </c>
      <c r="GM25" s="54" t="e">
        <f t="shared" si="85"/>
        <v>#N/A</v>
      </c>
      <c r="GN25" s="54" t="e">
        <f t="shared" si="86"/>
        <v>#N/A</v>
      </c>
      <c r="GO25" s="54" t="e">
        <f t="shared" si="87"/>
        <v>#N/A</v>
      </c>
      <c r="GP25" s="54" t="b">
        <f t="shared" si="88"/>
        <v>1</v>
      </c>
      <c r="GQ25" s="54" t="b">
        <f t="shared" si="89"/>
        <v>0</v>
      </c>
      <c r="GR25" s="54" t="b">
        <f t="shared" si="90"/>
        <v>1</v>
      </c>
      <c r="GS25" s="54" t="b">
        <f t="shared" si="91"/>
        <v>0</v>
      </c>
      <c r="GT25" s="54">
        <f t="shared" si="92"/>
        <v>9.582142737811215E-3</v>
      </c>
      <c r="GU25" s="54">
        <f t="shared" si="93"/>
        <v>9.582142737811215E-3</v>
      </c>
      <c r="GV25" s="54" t="e">
        <f t="shared" si="94"/>
        <v>#N/A</v>
      </c>
      <c r="GW25" s="72" t="str">
        <f t="shared" si="95"/>
        <v/>
      </c>
      <c r="HC25" s="54">
        <f t="shared" si="96"/>
        <v>15</v>
      </c>
      <c r="HD25" s="54">
        <f t="shared" si="97"/>
        <v>16</v>
      </c>
      <c r="HE25" s="54">
        <f t="shared" si="98"/>
        <v>-4.2288606020524799</v>
      </c>
      <c r="HF25" s="54" t="e">
        <f t="shared" si="99"/>
        <v>#N/A</v>
      </c>
      <c r="HG25" s="54">
        <f t="shared" si="100"/>
        <v>2.4110931926843594E-3</v>
      </c>
      <c r="HH25" s="54" t="e">
        <f t="shared" si="101"/>
        <v>#N/A</v>
      </c>
      <c r="HI25" s="54" t="e">
        <f t="shared" si="102"/>
        <v>#N/A</v>
      </c>
      <c r="HJ25" s="54" t="b">
        <f t="shared" si="103"/>
        <v>1</v>
      </c>
      <c r="HK25" s="54" t="b">
        <f t="shared" si="104"/>
        <v>0</v>
      </c>
      <c r="HL25" s="54" t="b">
        <f t="shared" si="105"/>
        <v>1</v>
      </c>
      <c r="HM25" s="54" t="b">
        <f t="shared" si="106"/>
        <v>0</v>
      </c>
      <c r="HN25" s="54">
        <f t="shared" si="107"/>
        <v>2.4110931926843594E-3</v>
      </c>
      <c r="HO25" s="54">
        <f t="shared" si="108"/>
        <v>2.4110931926843594E-3</v>
      </c>
      <c r="HP25" s="54" t="e">
        <f t="shared" si="109"/>
        <v>#N/A</v>
      </c>
      <c r="HQ25" s="72" t="str">
        <f t="shared" si="110"/>
        <v/>
      </c>
    </row>
    <row r="26" spans="56:225" x14ac:dyDescent="0.2">
      <c r="BD26" s="58" t="s">
        <v>165</v>
      </c>
      <c r="BE26" s="60" t="e" cm="1">
        <f t="array" ref="BE26">MATCH(LARGE((BE18:BE21&lt;&gt;0)*{4;3;2;1},ROWS(BE18:BE21)),{4;3;2;1},0)</f>
        <v>#N/A</v>
      </c>
      <c r="BF26" s="60" t="e" cm="1">
        <f t="array" ref="BF26">MATCH(LARGE((BF18:BF21&lt;&gt;0)*{4;3;2;1},ROWS(BF18:BF21)),{4;3;2;1},0)</f>
        <v>#N/A</v>
      </c>
      <c r="BG26" s="60" t="e" cm="1">
        <f t="array" ref="BG26">MATCH(LARGE((BG18:BG21&lt;&gt;0)*{4;3;2;1},ROWS(BG18:BG21)),{4;3;2;1},0)</f>
        <v>#N/A</v>
      </c>
      <c r="BH26" s="60" t="e" cm="1">
        <f t="array" ref="BH26">MATCH(LARGE((BH18:BH21&lt;&gt;0)*{4;3;2;1},ROWS(BH18:BH21)),{4;3;2;1},0)</f>
        <v>#N/A</v>
      </c>
      <c r="BI26" s="60" t="e" cm="1">
        <f t="array" ref="BI26">MATCH(LARGE((BI18:BI21&lt;&gt;0)*{4;3;2;1},ROWS(BI18:BI21)),{4;3;2;1},0)</f>
        <v>#N/A</v>
      </c>
      <c r="BS26" s="54">
        <f t="shared" si="36"/>
        <v>16</v>
      </c>
      <c r="BT26" s="54">
        <f>Eu_tabel_g[[#This Row],[Indeks]]+1</f>
        <v>17</v>
      </c>
      <c r="BU26" s="54">
        <f t="shared" si="37"/>
        <v>-2.7069476790462241</v>
      </c>
      <c r="BV26" s="54">
        <f t="shared" si="38"/>
        <v>1.0227026543258957E-2</v>
      </c>
      <c r="BW26" s="54" t="e">
        <f t="shared" si="39"/>
        <v>#N/A</v>
      </c>
      <c r="BX26" s="54" t="e">
        <f t="shared" si="40"/>
        <v>#N/A</v>
      </c>
      <c r="BY26" s="54" t="e">
        <f t="shared" si="41"/>
        <v>#N/A</v>
      </c>
      <c r="BZ26" s="54" t="b">
        <f t="shared" si="42"/>
        <v>1</v>
      </c>
      <c r="CA26" s="54" t="b">
        <f t="shared" si="43"/>
        <v>0</v>
      </c>
      <c r="CB26" s="54" t="b">
        <f t="shared" si="44"/>
        <v>1</v>
      </c>
      <c r="CC26" s="54" t="b">
        <f t="shared" si="45"/>
        <v>0</v>
      </c>
      <c r="CD26" s="54">
        <f t="shared" si="111"/>
        <v>1.0227026543258957E-2</v>
      </c>
      <c r="CE26" s="54">
        <f t="shared" si="47"/>
        <v>1.0227026543258957E-2</v>
      </c>
      <c r="CF26" s="54" t="e">
        <f t="shared" si="48"/>
        <v>#N/A</v>
      </c>
      <c r="CG26" s="72" t="str">
        <f t="shared" si="49"/>
        <v/>
      </c>
      <c r="CH26" s="54">
        <f>_xlfn.NORM.DIST(_xlfn.NORM.INV(1-Eu_g_konfidensniveau,0,1)-Eu_tabel_g[[#This Row],[x base]],0,1,TRUE)</f>
        <v>0.85590350498249024</v>
      </c>
      <c r="CI26" s="54">
        <f>1-_xlfn.NORM.DIST(_xlfn.NORM.INV(Eu_g_konfidensniveau,0,1)-Eu_tabel_g[[#This Row],[x base]],0,1,TRUE)</f>
        <v>6.7511800520003717E-6</v>
      </c>
      <c r="CJ26" s="54">
        <f>_xlfn.NORM.DIST(_xlfn.NORM.INV((1-Eu_g_konfidensniveau)/2,0,1)-Eu_tabel_g[[#This Row],[x base]],0,1,TRUE)+1-_xlfn.NORM.DIST(_xlfn.NORM.INV(1-(1-Eu_g_konfidensniveau)/2,0,1)-Eu_tabel_g[[#This Row],[x base]],0,1,TRUE)</f>
        <v>0.77246482712333409</v>
      </c>
      <c r="CK26" s="54" t="e" cm="1">
        <f t="array" ref="CK26">IF($CK$3,INDEX(Eu_tabel_g[[#This Row],[Styrke venstre]:[Styrke tosidet]],CK$7),NA())</f>
        <v>#N/A</v>
      </c>
      <c r="CL26" s="99" t="e">
        <f>Eu_tabel_g[[#This Row],[Falsk positiv
Nulhypotese accepteres
Fejltype 1]]</f>
        <v>#N/A</v>
      </c>
      <c r="CM26" s="99" t="e">
        <f>IF(CHOOSE(CK$7,Eu_tabel_g[[#This Row],[x base]]&gt;0,Eu_tabel_g[[#This Row],[x base]]&lt;0,Eu_tabel_g[[#This Row],[x base]]=0),Eu_tabel_g[[#This Row],[Styrke, aktiv]],NA())</f>
        <v>#N/A</v>
      </c>
      <c r="CN26" s="99" t="e">
        <f>IFERROR(IF($CK$3,Eu_tabel_g[[#This Row],[Styrke, aktiv]],NA()),NA())</f>
        <v>#N/A</v>
      </c>
      <c r="CO26" s="99" t="e">
        <f>IF(ISNA(Eu_tabel_g[[#This Row],[Sand negativ
Nulhypotese afvises
Korrekt]]),NA(),IF($CK$3,1,NA()))</f>
        <v>#N/A</v>
      </c>
      <c r="CP26" s="56" t="str" cm="1">
        <f t="array" ref="CP26">_xlfn.SWITCH(BS26,_xlfn.IFNA(CN$2,-99),CN$5,_xlfn.IFNA(CN$3,-99),CN$6,_xlfn.IFNA(CN$4,-99),CN$7,"")</f>
        <v/>
      </c>
      <c r="CT26" s="7">
        <f t="shared" si="50"/>
        <v>0.8</v>
      </c>
      <c r="CU26">
        <f>IF(ROW(Styrkeberegning_G[[#This Row],[X base venstre]])=ROW(Styrkeberegning_G[[#Headers],[X base venstre]])+1,CU$7/(CT$7/$B$67),CU25/(CT25/$B$67))</f>
        <v>-2.8015817870135784</v>
      </c>
      <c r="CV26">
        <f>Styrkeberegning_G[[#This Row],[X base venstre]]*-1</f>
        <v>2.8015817870135784</v>
      </c>
      <c r="DG26" s="54">
        <f t="shared" si="51"/>
        <v>16</v>
      </c>
      <c r="DH26" s="54">
        <f t="shared" si="52"/>
        <v>17</v>
      </c>
      <c r="DI26" s="54">
        <f t="shared" si="53"/>
        <v>3.6589863673257064</v>
      </c>
      <c r="DJ26" s="54" t="e">
        <f t="shared" si="54"/>
        <v>#N/A</v>
      </c>
      <c r="DK26" s="54" t="e">
        <f t="shared" si="55"/>
        <v>#N/A</v>
      </c>
      <c r="DL26" s="54">
        <f t="shared" si="56"/>
        <v>2.3230738932695595E-2</v>
      </c>
      <c r="DM26" s="54" t="e">
        <f t="shared" si="57"/>
        <v>#N/A</v>
      </c>
      <c r="DN26" s="54" t="b">
        <f t="shared" si="58"/>
        <v>1</v>
      </c>
      <c r="DO26" s="54" t="b">
        <f t="shared" si="59"/>
        <v>0</v>
      </c>
      <c r="DP26" s="54" t="b">
        <f t="shared" si="60"/>
        <v>1</v>
      </c>
      <c r="DQ26" s="54" t="b">
        <f t="shared" si="61"/>
        <v>0</v>
      </c>
      <c r="DR26" s="54">
        <f t="shared" si="62"/>
        <v>2.3230738932695595E-2</v>
      </c>
      <c r="DS26" s="54">
        <f t="shared" si="63"/>
        <v>2.3230738932695595E-2</v>
      </c>
      <c r="DT26" s="54" t="e">
        <f t="shared" si="64"/>
        <v>#N/A</v>
      </c>
      <c r="DU26" s="72" t="str">
        <f t="shared" si="65"/>
        <v/>
      </c>
      <c r="DZ26" s="54">
        <f t="shared" si="66"/>
        <v>16</v>
      </c>
      <c r="EA26" s="54">
        <f t="shared" si="67"/>
        <v>17</v>
      </c>
      <c r="EB26" s="54">
        <f t="shared" si="68"/>
        <v>-2.7069476790462241</v>
      </c>
      <c r="EC26" s="54">
        <f t="shared" si="69"/>
        <v>1.0227026543258957E-2</v>
      </c>
      <c r="ED26" s="54" t="e">
        <f t="shared" si="70"/>
        <v>#N/A</v>
      </c>
      <c r="EE26" s="54" t="e">
        <f t="shared" si="71"/>
        <v>#N/A</v>
      </c>
      <c r="EF26" s="54" t="e">
        <f t="shared" si="72"/>
        <v>#N/A</v>
      </c>
      <c r="EG26" s="54" t="b">
        <f t="shared" si="73"/>
        <v>1</v>
      </c>
      <c r="EH26" s="54" t="b">
        <f t="shared" si="74"/>
        <v>0</v>
      </c>
      <c r="EI26" s="54" t="b">
        <f t="shared" si="75"/>
        <v>1</v>
      </c>
      <c r="EJ26" s="54" t="b">
        <f t="shared" si="76"/>
        <v>0</v>
      </c>
      <c r="EK26" s="54">
        <f t="shared" si="77"/>
        <v>1.0227026543258957E-2</v>
      </c>
      <c r="EL26" s="54">
        <f t="shared" si="78"/>
        <v>1.0227026543258957E-2</v>
      </c>
      <c r="EM26" s="54" t="e">
        <f t="shared" si="79"/>
        <v>#N/A</v>
      </c>
      <c r="EN26" s="72" t="str">
        <f t="shared" si="80"/>
        <v/>
      </c>
      <c r="EO2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6" s="54" t="e" cm="1">
        <f t="array" ref="ER26">IF($CK$3,INDEX(Eu_tabel_a[[#This Row],[Styrke venstre]:[Styrke tosidet]],ER$7),NA())</f>
        <v>#N/A</v>
      </c>
      <c r="ES26" s="54" t="e">
        <f>IF(ER$3,IF(CHOOSE(ER$7,Eu_tabel_a[[#This Row],[x base]]&gt;0,Eu_tabel_a[[#This Row],[x base]]&lt;0,Eu_tabel_a[[#This Row],[x base]]=0),1,NA()),NA())</f>
        <v>#N/A</v>
      </c>
      <c r="ET26" s="54" t="e">
        <f>IF(CHOOSE(ER$7,Eu_tabel_a[[#This Row],[x base]]&gt;0,Eu_tabel_a[[#This Row],[x base]]&lt;0,Eu_tabel_a[[#This Row],[x base]]=0),Eu_tabel_a[[#This Row],[Styrke, aktiv]],NA())</f>
        <v>#N/A</v>
      </c>
      <c r="EU26" s="54" t="e">
        <f>IFERROR(IF($ER$3,Eu_tabel_a[[#This Row],[Styrke, aktiv]],NA()),NA())</f>
        <v>#N/A</v>
      </c>
      <c r="EV26" s="54" t="e">
        <f>IF(ISNA(Eu_tabel_a[[#This Row],[Sand negativ
Nulhypotese afvises
Korrekt]]),NA(),IF(ER$3,1,NA()))</f>
        <v>#N/A</v>
      </c>
      <c r="EW26" s="55" t="str" cm="1">
        <f t="array" ref="EW26">IFERROR(_xlfn.SWITCH(Eu_tabel_a[[#This Row],[Indeks]],_xlfn.IFNA(EU$2,-99),EU$5,_xlfn.IFNA(EU$3,-99),EU$6,_xlfn.IFNA(EU$4,-99),EU$7,""),"")</f>
        <v/>
      </c>
      <c r="EX26" s="54">
        <f>Eu_tabel_a[[#This Row],[x base]]*SQRT(Eu_a_h0_x*(1-Eu_a_h0_x)/Eu_a_n_x)+Eu_a_h0_x</f>
        <v>0</v>
      </c>
      <c r="FC26" s="161" t="e">
        <f t="shared" si="18"/>
        <v>#N/A</v>
      </c>
      <c r="FD26" s="169" t="e">
        <f t="shared" si="31"/>
        <v>#DIV/0!</v>
      </c>
      <c r="FE26" s="7" t="e">
        <f t="shared" si="12"/>
        <v>#DIV/0!</v>
      </c>
      <c r="FF26" t="e">
        <f t="shared" si="32"/>
        <v>#DIV/0!</v>
      </c>
      <c r="FG26" s="8" t="e">
        <f t="shared" si="33"/>
        <v>#DIV/0!</v>
      </c>
      <c r="FH26" s="8" t="e">
        <f t="shared" si="34"/>
        <v>#DIV/0!</v>
      </c>
      <c r="FI26" s="168" t="e">
        <f t="shared" si="35"/>
        <v>#DIV/0!</v>
      </c>
      <c r="FJ26" s="161" t="e">
        <f t="shared" ca="1" si="13"/>
        <v>#N/A</v>
      </c>
      <c r="FK26" s="169" t="e" vm="3">
        <f t="shared" ca="1" si="19"/>
        <v>#VALUE!</v>
      </c>
      <c r="FL26" s="7" t="e" vm="3">
        <f t="shared" ca="1" si="14"/>
        <v>#VALUE!</v>
      </c>
      <c r="FM26" t="e" vm="3">
        <f t="shared" ca="1" si="8"/>
        <v>#VALUE!</v>
      </c>
      <c r="FN26" s="8" t="e" vm="3">
        <f t="shared" ca="1" si="9"/>
        <v>#VALUE!</v>
      </c>
      <c r="FO26" s="8" t="e" vm="3">
        <f t="shared" ca="1" si="10"/>
        <v>#VALUE!</v>
      </c>
      <c r="FP26" s="168" t="e" vm="3">
        <f t="shared" ca="1" si="11"/>
        <v>#VALUE!</v>
      </c>
      <c r="FQ26" s="161" t="e">
        <f t="shared" si="15"/>
        <v>#N/A</v>
      </c>
      <c r="FR26" s="169" t="e">
        <f t="shared" si="20"/>
        <v>#N/A</v>
      </c>
      <c r="FS26" s="7" t="e">
        <f t="shared" si="16"/>
        <v>#N/A</v>
      </c>
      <c r="FT26" t="e">
        <f t="shared" si="21"/>
        <v>#N/A</v>
      </c>
      <c r="FU26" s="8" t="e">
        <f t="shared" si="22"/>
        <v>#N/A</v>
      </c>
      <c r="FV26" s="8" t="e">
        <f t="shared" si="23"/>
        <v>#N/A</v>
      </c>
      <c r="FW26" s="168" t="e">
        <f t="shared" si="24"/>
        <v>#N/A</v>
      </c>
      <c r="FX26" s="161" t="e">
        <f t="shared" si="25"/>
        <v>#N/A</v>
      </c>
      <c r="FY26" s="169" t="e">
        <f t="shared" si="26"/>
        <v>#N/A</v>
      </c>
      <c r="FZ26" s="7" t="e">
        <f t="shared" si="17"/>
        <v>#N/A</v>
      </c>
      <c r="GA26" t="e">
        <f t="shared" si="27"/>
        <v>#N/A</v>
      </c>
      <c r="GB26" s="8" t="e">
        <f t="shared" si="28"/>
        <v>#N/A</v>
      </c>
      <c r="GC26" s="8" t="e">
        <f t="shared" si="29"/>
        <v>#N/A</v>
      </c>
      <c r="GD26" s="168" t="e">
        <f t="shared" si="30"/>
        <v>#N/A</v>
      </c>
      <c r="GE26" s="168"/>
      <c r="GF26" s="168"/>
      <c r="GI26" s="54">
        <f t="shared" si="81"/>
        <v>16</v>
      </c>
      <c r="GJ26" s="54">
        <f t="shared" si="82"/>
        <v>17</v>
      </c>
      <c r="GK26" s="54">
        <f t="shared" si="83"/>
        <v>-2.7069476790462241</v>
      </c>
      <c r="GL26" s="54">
        <f t="shared" si="84"/>
        <v>1.0227026543258957E-2</v>
      </c>
      <c r="GM26" s="54" t="e">
        <f t="shared" si="85"/>
        <v>#N/A</v>
      </c>
      <c r="GN26" s="54" t="e">
        <f t="shared" si="86"/>
        <v>#N/A</v>
      </c>
      <c r="GO26" s="54" t="e">
        <f t="shared" si="87"/>
        <v>#N/A</v>
      </c>
      <c r="GP26" s="54" t="b">
        <f t="shared" si="88"/>
        <v>1</v>
      </c>
      <c r="GQ26" s="54" t="b">
        <f t="shared" si="89"/>
        <v>0</v>
      </c>
      <c r="GR26" s="54" t="b">
        <f t="shared" si="90"/>
        <v>1</v>
      </c>
      <c r="GS26" s="54" t="b">
        <f t="shared" si="91"/>
        <v>0</v>
      </c>
      <c r="GT26" s="54">
        <f t="shared" si="92"/>
        <v>1.0227026543258957E-2</v>
      </c>
      <c r="GU26" s="54">
        <f t="shared" si="93"/>
        <v>1.0227026543258957E-2</v>
      </c>
      <c r="GV26" s="54" t="e">
        <f t="shared" si="94"/>
        <v>#N/A</v>
      </c>
      <c r="GW26" s="72" t="str">
        <f t="shared" si="95"/>
        <v/>
      </c>
      <c r="HC26" s="54">
        <f t="shared" si="96"/>
        <v>16</v>
      </c>
      <c r="HD26" s="54">
        <f t="shared" si="97"/>
        <v>17</v>
      </c>
      <c r="HE26" s="54">
        <f t="shared" si="98"/>
        <v>-4.1917653336134233</v>
      </c>
      <c r="HF26" s="54" t="e">
        <f t="shared" si="99"/>
        <v>#N/A</v>
      </c>
      <c r="HG26" s="54">
        <f t="shared" si="100"/>
        <v>2.5360582677923203E-3</v>
      </c>
      <c r="HH26" s="54" t="e">
        <f t="shared" si="101"/>
        <v>#N/A</v>
      </c>
      <c r="HI26" s="54" t="e">
        <f t="shared" si="102"/>
        <v>#N/A</v>
      </c>
      <c r="HJ26" s="54" t="b">
        <f t="shared" si="103"/>
        <v>1</v>
      </c>
      <c r="HK26" s="54" t="b">
        <f t="shared" si="104"/>
        <v>0</v>
      </c>
      <c r="HL26" s="54" t="b">
        <f t="shared" si="105"/>
        <v>1</v>
      </c>
      <c r="HM26" s="54" t="b">
        <f t="shared" si="106"/>
        <v>0</v>
      </c>
      <c r="HN26" s="54">
        <f t="shared" si="107"/>
        <v>2.5360582677923203E-3</v>
      </c>
      <c r="HO26" s="54">
        <f t="shared" si="108"/>
        <v>2.5360582677923203E-3</v>
      </c>
      <c r="HP26" s="54" t="e">
        <f t="shared" si="109"/>
        <v>#N/A</v>
      </c>
      <c r="HQ26" s="72" t="str">
        <f t="shared" si="110"/>
        <v/>
      </c>
    </row>
    <row r="27" spans="56:225" x14ac:dyDescent="0.2">
      <c r="BD27" s="100" t="s">
        <v>456</v>
      </c>
      <c r="BE27" s="58" t="s">
        <v>449</v>
      </c>
      <c r="BF27" s="58" t="s">
        <v>449</v>
      </c>
      <c r="BG27" s="58" t="s">
        <v>449</v>
      </c>
      <c r="BH27" s="58" t="s">
        <v>449</v>
      </c>
      <c r="BI27" s="58" t="s">
        <v>449</v>
      </c>
      <c r="BS27" s="54">
        <f t="shared" si="36"/>
        <v>17</v>
      </c>
      <c r="BT27" s="54">
        <f>Eu_tabel_g[[#This Row],[Indeks]]+1</f>
        <v>18</v>
      </c>
      <c r="BU27" s="54">
        <f t="shared" si="37"/>
        <v>-2.6829923898511248</v>
      </c>
      <c r="BV27" s="54">
        <f t="shared" si="38"/>
        <v>1.0909049386925537E-2</v>
      </c>
      <c r="BW27" s="54" t="e">
        <f t="shared" si="39"/>
        <v>#N/A</v>
      </c>
      <c r="BX27" s="54" t="e">
        <f t="shared" si="40"/>
        <v>#N/A</v>
      </c>
      <c r="BY27" s="54" t="e">
        <f t="shared" si="41"/>
        <v>#N/A</v>
      </c>
      <c r="BZ27" s="54" t="b">
        <f t="shared" si="42"/>
        <v>1</v>
      </c>
      <c r="CA27" s="54" t="b">
        <f t="shared" si="43"/>
        <v>0</v>
      </c>
      <c r="CB27" s="54" t="b">
        <f t="shared" si="44"/>
        <v>1</v>
      </c>
      <c r="CC27" s="54" t="b">
        <f t="shared" si="45"/>
        <v>0</v>
      </c>
      <c r="CD27" s="54">
        <f t="shared" si="111"/>
        <v>1.0909049386925537E-2</v>
      </c>
      <c r="CE27" s="54">
        <f t="shared" si="47"/>
        <v>1.0909049386925537E-2</v>
      </c>
      <c r="CF27" s="54" t="e">
        <f t="shared" si="48"/>
        <v>#N/A</v>
      </c>
      <c r="CG27" s="72" t="str">
        <f t="shared" si="49"/>
        <v/>
      </c>
      <c r="CH27" s="54">
        <f>_xlfn.NORM.DIST(_xlfn.NORM.INV(1-Eu_g_konfidensniveau,0,1)-Eu_tabel_g[[#This Row],[x base]],0,1,TRUE)</f>
        <v>0.85039727138881704</v>
      </c>
      <c r="CI27" s="54">
        <f>1-_xlfn.NORM.DIST(_xlfn.NORM.INV(Eu_g_konfidensniveau,0,1)-Eu_tabel_g[[#This Row],[x base]],0,1,TRUE)</f>
        <v>7.5287338512364244E-6</v>
      </c>
      <c r="CJ27" s="54">
        <f>_xlfn.NORM.DIST(_xlfn.NORM.INV((1-Eu_g_konfidensniveau)/2,0,1)-Eu_tabel_g[[#This Row],[x base]],0,1,TRUE)+1-_xlfn.NORM.DIST(_xlfn.NORM.INV(1-(1-Eu_g_konfidensniveau)/2,0,1)-Eu_tabel_g[[#This Row],[x base]],0,1,TRUE)</f>
        <v>0.76517050080719218</v>
      </c>
      <c r="CK27" s="54" t="e" cm="1">
        <f t="array" ref="CK27">IF($CK$3,INDEX(Eu_tabel_g[[#This Row],[Styrke venstre]:[Styrke tosidet]],CK$7),NA())</f>
        <v>#N/A</v>
      </c>
      <c r="CL27" s="99" t="e">
        <f>Eu_tabel_g[[#This Row],[Falsk positiv
Nulhypotese accepteres
Fejltype 1]]</f>
        <v>#N/A</v>
      </c>
      <c r="CM27" s="99" t="e">
        <f>IF(CHOOSE(CK$7,Eu_tabel_g[[#This Row],[x base]]&gt;0,Eu_tabel_g[[#This Row],[x base]]&lt;0,Eu_tabel_g[[#This Row],[x base]]=0),Eu_tabel_g[[#This Row],[Styrke, aktiv]],NA())</f>
        <v>#N/A</v>
      </c>
      <c r="CN27" s="99" t="e">
        <f>IFERROR(IF($CK$3,Eu_tabel_g[[#This Row],[Styrke, aktiv]],NA()),NA())</f>
        <v>#N/A</v>
      </c>
      <c r="CO27" s="99" t="e">
        <f>IF(ISNA(Eu_tabel_g[[#This Row],[Sand negativ
Nulhypotese afvises
Korrekt]]),NA(),IF($CK$3,1,NA()))</f>
        <v>#N/A</v>
      </c>
      <c r="CP27" s="56" t="str" cm="1">
        <f t="array" ref="CP27">_xlfn.SWITCH(BS27,_xlfn.IFNA(CN$2,-99),CN$5,_xlfn.IFNA(CN$3,-99),CN$6,_xlfn.IFNA(CN$4,-99),CN$7,"")</f>
        <v/>
      </c>
      <c r="CT27" s="7">
        <f t="shared" si="50"/>
        <v>0.8</v>
      </c>
      <c r="CU27">
        <f>IF(ROW(Styrkeberegning_G[[#This Row],[X base venstre]])=ROW(Styrkeberegning_G[[#Headers],[X base venstre]])+1,CU$7/(CT$7/$B$67),CU26/(CT26/$B$67))</f>
        <v>-2.8015817870135784</v>
      </c>
      <c r="CV27">
        <f>Styrkeberegning_G[[#This Row],[X base venstre]]*-1</f>
        <v>2.8015817870135784</v>
      </c>
      <c r="DG27" s="54">
        <f t="shared" si="51"/>
        <v>17</v>
      </c>
      <c r="DH27" s="54">
        <f t="shared" si="52"/>
        <v>18</v>
      </c>
      <c r="DI27" s="54">
        <f t="shared" si="53"/>
        <v>3.7730572237427076</v>
      </c>
      <c r="DJ27" s="54" t="e">
        <f t="shared" si="54"/>
        <v>#N/A</v>
      </c>
      <c r="DK27" s="54" t="e">
        <f t="shared" si="55"/>
        <v>#N/A</v>
      </c>
      <c r="DL27" s="54">
        <f t="shared" si="56"/>
        <v>2.5193560854176802E-2</v>
      </c>
      <c r="DM27" s="54" t="e">
        <f t="shared" si="57"/>
        <v>#N/A</v>
      </c>
      <c r="DN27" s="54" t="b">
        <f t="shared" si="58"/>
        <v>1</v>
      </c>
      <c r="DO27" s="54" t="b">
        <f t="shared" si="59"/>
        <v>0</v>
      </c>
      <c r="DP27" s="54" t="b">
        <f t="shared" si="60"/>
        <v>1</v>
      </c>
      <c r="DQ27" s="54" t="b">
        <f t="shared" si="61"/>
        <v>0</v>
      </c>
      <c r="DR27" s="54">
        <f t="shared" si="62"/>
        <v>2.5193560854176802E-2</v>
      </c>
      <c r="DS27" s="54">
        <f t="shared" si="63"/>
        <v>2.5193560854176802E-2</v>
      </c>
      <c r="DT27" s="54" t="e">
        <f t="shared" si="64"/>
        <v>#N/A</v>
      </c>
      <c r="DU27" s="72">
        <f t="shared" si="65"/>
        <v>3.0510000000000002</v>
      </c>
      <c r="DZ27" s="54">
        <f t="shared" si="66"/>
        <v>17</v>
      </c>
      <c r="EA27" s="54">
        <f t="shared" si="67"/>
        <v>18</v>
      </c>
      <c r="EB27" s="54">
        <f t="shared" si="68"/>
        <v>-2.6829923898511248</v>
      </c>
      <c r="EC27" s="54">
        <f t="shared" si="69"/>
        <v>1.0909049386925537E-2</v>
      </c>
      <c r="ED27" s="54" t="e">
        <f t="shared" si="70"/>
        <v>#N/A</v>
      </c>
      <c r="EE27" s="54" t="e">
        <f t="shared" si="71"/>
        <v>#N/A</v>
      </c>
      <c r="EF27" s="54" t="e">
        <f t="shared" si="72"/>
        <v>#N/A</v>
      </c>
      <c r="EG27" s="54" t="b">
        <f t="shared" si="73"/>
        <v>1</v>
      </c>
      <c r="EH27" s="54" t="b">
        <f t="shared" si="74"/>
        <v>0</v>
      </c>
      <c r="EI27" s="54" t="b">
        <f t="shared" si="75"/>
        <v>1</v>
      </c>
      <c r="EJ27" s="54" t="b">
        <f t="shared" si="76"/>
        <v>0</v>
      </c>
      <c r="EK27" s="54">
        <f t="shared" si="77"/>
        <v>1.0909049386925537E-2</v>
      </c>
      <c r="EL27" s="54">
        <f t="shared" si="78"/>
        <v>1.0909049386925537E-2</v>
      </c>
      <c r="EM27" s="54" t="e">
        <f t="shared" si="79"/>
        <v>#N/A</v>
      </c>
      <c r="EN27" s="72" t="str">
        <f t="shared" si="80"/>
        <v/>
      </c>
      <c r="EO2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7" s="54" t="e" cm="1">
        <f t="array" ref="ER27">IF($CK$3,INDEX(Eu_tabel_a[[#This Row],[Styrke venstre]:[Styrke tosidet]],ER$7),NA())</f>
        <v>#N/A</v>
      </c>
      <c r="ES27" s="54" t="e">
        <f>IF(ER$3,IF(CHOOSE(ER$7,Eu_tabel_a[[#This Row],[x base]]&gt;0,Eu_tabel_a[[#This Row],[x base]]&lt;0,Eu_tabel_a[[#This Row],[x base]]=0),1,NA()),NA())</f>
        <v>#N/A</v>
      </c>
      <c r="ET27" s="54" t="e">
        <f>IF(CHOOSE(ER$7,Eu_tabel_a[[#This Row],[x base]]&gt;0,Eu_tabel_a[[#This Row],[x base]]&lt;0,Eu_tabel_a[[#This Row],[x base]]=0),Eu_tabel_a[[#This Row],[Styrke, aktiv]],NA())</f>
        <v>#N/A</v>
      </c>
      <c r="EU27" s="54" t="e">
        <f>IFERROR(IF($ER$3,Eu_tabel_a[[#This Row],[Styrke, aktiv]],NA()),NA())</f>
        <v>#N/A</v>
      </c>
      <c r="EV27" s="54" t="e">
        <f>IF(ISNA(Eu_tabel_a[[#This Row],[Sand negativ
Nulhypotese afvises
Korrekt]]),NA(),IF(ER$3,1,NA()))</f>
        <v>#N/A</v>
      </c>
      <c r="EW27" s="55" t="str" cm="1">
        <f t="array" ref="EW27">IFERROR(_xlfn.SWITCH(Eu_tabel_a[[#This Row],[Indeks]],_xlfn.IFNA(EU$2,-99),EU$5,_xlfn.IFNA(EU$3,-99),EU$6,_xlfn.IFNA(EU$4,-99),EU$7,""),"")</f>
        <v/>
      </c>
      <c r="EX27" s="54">
        <f>Eu_tabel_a[[#This Row],[x base]]*SQRT(Eu_a_h0_x*(1-Eu_a_h0_x)/Eu_a_n_x)+Eu_a_h0_x</f>
        <v>0</v>
      </c>
      <c r="FC27" s="161" t="e">
        <f t="shared" si="18"/>
        <v>#N/A</v>
      </c>
      <c r="FD27" s="169" t="e">
        <f t="shared" si="31"/>
        <v>#DIV/0!</v>
      </c>
      <c r="FE27" s="7" t="e">
        <f t="shared" si="12"/>
        <v>#DIV/0!</v>
      </c>
      <c r="FF27" t="e">
        <f t="shared" si="32"/>
        <v>#DIV/0!</v>
      </c>
      <c r="FG27" s="8" t="e">
        <f t="shared" si="33"/>
        <v>#DIV/0!</v>
      </c>
      <c r="FH27" s="8" t="e">
        <f t="shared" si="34"/>
        <v>#DIV/0!</v>
      </c>
      <c r="FI27" s="168" t="e">
        <f t="shared" si="35"/>
        <v>#DIV/0!</v>
      </c>
      <c r="FJ27" s="161" t="e">
        <f t="shared" ca="1" si="13"/>
        <v>#N/A</v>
      </c>
      <c r="FK27" s="169" t="e" vm="3">
        <f t="shared" ca="1" si="19"/>
        <v>#VALUE!</v>
      </c>
      <c r="FL27" s="7" t="e" vm="3">
        <f t="shared" ca="1" si="14"/>
        <v>#VALUE!</v>
      </c>
      <c r="FM27" t="e" vm="3">
        <f t="shared" ca="1" si="8"/>
        <v>#VALUE!</v>
      </c>
      <c r="FN27" s="8" t="e" vm="3">
        <f t="shared" ca="1" si="9"/>
        <v>#VALUE!</v>
      </c>
      <c r="FO27" s="8" t="e" vm="3">
        <f t="shared" ca="1" si="10"/>
        <v>#VALUE!</v>
      </c>
      <c r="FP27" s="168" t="e" vm="3">
        <f t="shared" ca="1" si="11"/>
        <v>#VALUE!</v>
      </c>
      <c r="FQ27" s="161" t="e">
        <f t="shared" si="15"/>
        <v>#N/A</v>
      </c>
      <c r="FR27" s="169" t="e">
        <f t="shared" si="20"/>
        <v>#N/A</v>
      </c>
      <c r="FS27" s="7" t="e">
        <f t="shared" si="16"/>
        <v>#N/A</v>
      </c>
      <c r="FT27" t="e">
        <f t="shared" si="21"/>
        <v>#N/A</v>
      </c>
      <c r="FU27" s="8" t="e">
        <f t="shared" si="22"/>
        <v>#N/A</v>
      </c>
      <c r="FV27" s="8" t="e">
        <f t="shared" si="23"/>
        <v>#N/A</v>
      </c>
      <c r="FW27" s="168" t="e">
        <f t="shared" si="24"/>
        <v>#N/A</v>
      </c>
      <c r="FX27" s="161" t="e">
        <f t="shared" si="25"/>
        <v>#N/A</v>
      </c>
      <c r="FY27" s="169" t="e">
        <f t="shared" si="26"/>
        <v>#N/A</v>
      </c>
      <c r="FZ27" s="7" t="e">
        <f t="shared" si="17"/>
        <v>#N/A</v>
      </c>
      <c r="GA27" t="e">
        <f t="shared" si="27"/>
        <v>#N/A</v>
      </c>
      <c r="GB27" s="8" t="e">
        <f t="shared" si="28"/>
        <v>#N/A</v>
      </c>
      <c r="GC27" s="8" t="e">
        <f t="shared" si="29"/>
        <v>#N/A</v>
      </c>
      <c r="GD27" s="168" t="e">
        <f t="shared" si="30"/>
        <v>#N/A</v>
      </c>
      <c r="GE27" s="168"/>
      <c r="GF27" s="168"/>
      <c r="GI27" s="54">
        <f t="shared" si="81"/>
        <v>17</v>
      </c>
      <c r="GJ27" s="54">
        <f t="shared" si="82"/>
        <v>18</v>
      </c>
      <c r="GK27" s="54">
        <f t="shared" si="83"/>
        <v>-2.6829923898511248</v>
      </c>
      <c r="GL27" s="54">
        <f t="shared" si="84"/>
        <v>1.0909049386925537E-2</v>
      </c>
      <c r="GM27" s="54" t="e">
        <f t="shared" si="85"/>
        <v>#N/A</v>
      </c>
      <c r="GN27" s="54" t="e">
        <f t="shared" si="86"/>
        <v>#N/A</v>
      </c>
      <c r="GO27" s="54" t="e">
        <f t="shared" si="87"/>
        <v>#N/A</v>
      </c>
      <c r="GP27" s="54" t="b">
        <f t="shared" si="88"/>
        <v>1</v>
      </c>
      <c r="GQ27" s="54" t="b">
        <f t="shared" si="89"/>
        <v>0</v>
      </c>
      <c r="GR27" s="54" t="b">
        <f t="shared" si="90"/>
        <v>1</v>
      </c>
      <c r="GS27" s="54" t="b">
        <f t="shared" si="91"/>
        <v>0</v>
      </c>
      <c r="GT27" s="54">
        <f t="shared" si="92"/>
        <v>1.0909049386925537E-2</v>
      </c>
      <c r="GU27" s="54">
        <f t="shared" si="93"/>
        <v>1.0909049386925537E-2</v>
      </c>
      <c r="GV27" s="54" t="e">
        <f t="shared" si="94"/>
        <v>#N/A</v>
      </c>
      <c r="GW27" s="72" t="str">
        <f t="shared" si="95"/>
        <v/>
      </c>
      <c r="HC27" s="54">
        <f t="shared" si="96"/>
        <v>17</v>
      </c>
      <c r="HD27" s="54">
        <f t="shared" si="97"/>
        <v>18</v>
      </c>
      <c r="HE27" s="54">
        <f t="shared" si="98"/>
        <v>-4.1546700651743667</v>
      </c>
      <c r="HF27" s="54" t="e">
        <f t="shared" si="99"/>
        <v>#N/A</v>
      </c>
      <c r="HG27" s="54">
        <f t="shared" si="100"/>
        <v>2.6680143770795384E-3</v>
      </c>
      <c r="HH27" s="54" t="e">
        <f t="shared" si="101"/>
        <v>#N/A</v>
      </c>
      <c r="HI27" s="54" t="e">
        <f t="shared" si="102"/>
        <v>#N/A</v>
      </c>
      <c r="HJ27" s="54" t="b">
        <f t="shared" si="103"/>
        <v>1</v>
      </c>
      <c r="HK27" s="54" t="b">
        <f t="shared" si="104"/>
        <v>0</v>
      </c>
      <c r="HL27" s="54" t="b">
        <f t="shared" si="105"/>
        <v>1</v>
      </c>
      <c r="HM27" s="54" t="b">
        <f t="shared" si="106"/>
        <v>0</v>
      </c>
      <c r="HN27" s="54">
        <f t="shared" si="107"/>
        <v>2.6680143770795384E-3</v>
      </c>
      <c r="HO27" s="54">
        <f t="shared" si="108"/>
        <v>2.6680143770795384E-3</v>
      </c>
      <c r="HP27" s="54" t="e">
        <f t="shared" si="109"/>
        <v>#N/A</v>
      </c>
      <c r="HQ27" s="72" t="str">
        <f t="shared" si="110"/>
        <v/>
      </c>
    </row>
    <row r="28" spans="56:225" x14ac:dyDescent="0.2">
      <c r="BD28" s="58" t="s">
        <v>155</v>
      </c>
      <c r="BE28" s="60" t="str">
        <f>_xlfn.IFNA(IF(INDEX(BE13:BE16,BE23)&lt;&gt;0,IF(BE23&gt;0,INDEX(BE13:BE16,BE23),""),""),"")</f>
        <v>Datatypen er interval</v>
      </c>
      <c r="BF28" s="60" t="str">
        <f>_xlfn.IFNA(IF(INDEX(BF13:BF16,BF23)&lt;&gt;0,IF(BF23&gt;0,INDEX(BF13:BF16,BF23),""),""),"")</f>
        <v>Datatypen er interval</v>
      </c>
      <c r="BG28" s="60" t="str">
        <f t="shared" ref="BG28:BH28" si="112">_xlfn.IFNA(IF(INDEX(BG13:BG16,BG23)&lt;&gt;0,IF(BG23&gt;0,INDEX(BG13:BG16,BG23),""),""),"")</f>
        <v>Datatypen er nominal, hvor succes er TRUE og øvrige værdier er FALSE</v>
      </c>
      <c r="BH28" s="60" t="str">
        <f t="shared" si="112"/>
        <v>Observationerne består af antal successer fra lige store tidsintervaller</v>
      </c>
      <c r="BI28" s="60" t="str">
        <f t="shared" ref="BI28" si="113">_xlfn.IFNA(IF(INDEX(BI13:BI16,BI23)&lt;&gt;0,IF(BI23&gt;0,INDEX(BI13:BI16,BI23),""),""),"")</f>
        <v>Datatypen er interval</v>
      </c>
      <c r="BS28" s="54">
        <f t="shared" si="36"/>
        <v>18</v>
      </c>
      <c r="BT28" s="54">
        <f>Eu_tabel_g[[#This Row],[Indeks]]+1</f>
        <v>19</v>
      </c>
      <c r="BU28" s="54">
        <f t="shared" si="37"/>
        <v>-2.6590371006560254</v>
      </c>
      <c r="BV28" s="54">
        <f t="shared" si="38"/>
        <v>1.1629879373268774E-2</v>
      </c>
      <c r="BW28" s="54" t="e">
        <f t="shared" si="39"/>
        <v>#N/A</v>
      </c>
      <c r="BX28" s="54" t="e">
        <f t="shared" si="40"/>
        <v>#N/A</v>
      </c>
      <c r="BY28" s="54" t="e">
        <f t="shared" si="41"/>
        <v>#N/A</v>
      </c>
      <c r="BZ28" s="54" t="b">
        <f t="shared" si="42"/>
        <v>1</v>
      </c>
      <c r="CA28" s="54" t="b">
        <f t="shared" si="43"/>
        <v>0</v>
      </c>
      <c r="CB28" s="54" t="b">
        <f t="shared" si="44"/>
        <v>1</v>
      </c>
      <c r="CC28" s="54" t="b">
        <f t="shared" si="45"/>
        <v>0</v>
      </c>
      <c r="CD28" s="54">
        <f t="shared" si="111"/>
        <v>1.1629879373268774E-2</v>
      </c>
      <c r="CE28" s="54">
        <f t="shared" si="47"/>
        <v>1.1629879373268774E-2</v>
      </c>
      <c r="CF28" s="54" t="e">
        <f t="shared" si="48"/>
        <v>#N/A</v>
      </c>
      <c r="CG28" s="72" t="str">
        <f t="shared" si="49"/>
        <v/>
      </c>
      <c r="CH28" s="54">
        <f>_xlfn.NORM.DIST(_xlfn.NORM.INV(1-Eu_g_konfidensniveau,0,1)-Eu_tabel_g[[#This Row],[x base]],0,1,TRUE)</f>
        <v>0.84475239355334408</v>
      </c>
      <c r="CI28" s="54">
        <f>1-_xlfn.NORM.DIST(_xlfn.NORM.INV(Eu_g_konfidensniveau,0,1)-Eu_tabel_g[[#This Row],[x base]],0,1,TRUE)</f>
        <v>8.3912230994798165E-6</v>
      </c>
      <c r="CJ28" s="54">
        <f>_xlfn.NORM.DIST(_xlfn.NORM.INV((1-Eu_g_konfidensniveau)/2,0,1)-Eu_tabel_g[[#This Row],[x base]],0,1,TRUE)+1-_xlfn.NORM.DIST(_xlfn.NORM.INV(1-(1-Eu_g_konfidensniveau)/2,0,1)-Eu_tabel_g[[#This Row],[x base]],0,1,TRUE)</f>
        <v>0.7577487587271472</v>
      </c>
      <c r="CK28" s="54" t="e" cm="1">
        <f t="array" ref="CK28">IF($CK$3,INDEX(Eu_tabel_g[[#This Row],[Styrke venstre]:[Styrke tosidet]],CK$7),NA())</f>
        <v>#N/A</v>
      </c>
      <c r="CL28" s="99" t="e">
        <f>Eu_tabel_g[[#This Row],[Falsk positiv
Nulhypotese accepteres
Fejltype 1]]</f>
        <v>#N/A</v>
      </c>
      <c r="CM28" s="99" t="e">
        <f>IF(CHOOSE(CK$7,Eu_tabel_g[[#This Row],[x base]]&gt;0,Eu_tabel_g[[#This Row],[x base]]&lt;0,Eu_tabel_g[[#This Row],[x base]]=0),Eu_tabel_g[[#This Row],[Styrke, aktiv]],NA())</f>
        <v>#N/A</v>
      </c>
      <c r="CN28" s="99" t="e">
        <f>IFERROR(IF($CK$3,Eu_tabel_g[[#This Row],[Styrke, aktiv]],NA()),NA())</f>
        <v>#N/A</v>
      </c>
      <c r="CO28" s="99" t="e">
        <f>IF(ISNA(Eu_tabel_g[[#This Row],[Sand negativ
Nulhypotese afvises
Korrekt]]),NA(),IF($CK$3,1,NA()))</f>
        <v>#N/A</v>
      </c>
      <c r="CP28" s="56" t="str" cm="1">
        <f t="array" ref="CP28">_xlfn.SWITCH(BS28,_xlfn.IFNA(CN$2,-99),CN$5,_xlfn.IFNA(CN$3,-99),CN$6,_xlfn.IFNA(CN$4,-99),CN$7,"")</f>
        <v/>
      </c>
      <c r="CT28" s="7">
        <f t="shared" si="50"/>
        <v>0.8</v>
      </c>
      <c r="CU28">
        <f>IF(ROW(Styrkeberegning_G[[#This Row],[X base venstre]])=ROW(Styrkeberegning_G[[#Headers],[X base venstre]])+1,CU$7/(CT$7/$B$67),CU27/(CT27/$B$67))</f>
        <v>-2.8015817870135784</v>
      </c>
      <c r="CV28">
        <f>Styrkeberegning_G[[#This Row],[X base venstre]]*-1</f>
        <v>2.8015817870135784</v>
      </c>
      <c r="DG28" s="54">
        <f t="shared" si="51"/>
        <v>18</v>
      </c>
      <c r="DH28" s="54">
        <f t="shared" si="52"/>
        <v>19</v>
      </c>
      <c r="DI28" s="54">
        <f t="shared" si="53"/>
        <v>3.8871280801597088</v>
      </c>
      <c r="DJ28" s="54" t="e">
        <f t="shared" si="54"/>
        <v>#N/A</v>
      </c>
      <c r="DK28" s="54" t="e">
        <f t="shared" si="55"/>
        <v>#N/A</v>
      </c>
      <c r="DL28" s="54">
        <f t="shared" si="56"/>
        <v>2.7210025453453968E-2</v>
      </c>
      <c r="DM28" s="54" t="e">
        <f t="shared" si="57"/>
        <v>#N/A</v>
      </c>
      <c r="DN28" s="54" t="b">
        <f t="shared" si="58"/>
        <v>0</v>
      </c>
      <c r="DO28" s="54" t="b">
        <f t="shared" si="59"/>
        <v>1</v>
      </c>
      <c r="DP28" s="54" t="b">
        <f t="shared" si="60"/>
        <v>0</v>
      </c>
      <c r="DQ28" s="54" t="b">
        <f t="shared" si="61"/>
        <v>1</v>
      </c>
      <c r="DR28" s="54">
        <f t="shared" si="62"/>
        <v>2.7210025453453968E-2</v>
      </c>
      <c r="DS28" s="54" t="e">
        <f t="shared" si="63"/>
        <v>#N/A</v>
      </c>
      <c r="DT28" s="54">
        <f t="shared" si="64"/>
        <v>2.7210025453453968E-2</v>
      </c>
      <c r="DU28" s="72" t="str">
        <f t="shared" si="65"/>
        <v/>
      </c>
      <c r="DZ28" s="54">
        <f t="shared" si="66"/>
        <v>18</v>
      </c>
      <c r="EA28" s="54">
        <f t="shared" si="67"/>
        <v>19</v>
      </c>
      <c r="EB28" s="54">
        <f t="shared" si="68"/>
        <v>-2.6590371006560254</v>
      </c>
      <c r="EC28" s="54">
        <f t="shared" si="69"/>
        <v>1.1629879373268774E-2</v>
      </c>
      <c r="ED28" s="54" t="e">
        <f t="shared" si="70"/>
        <v>#N/A</v>
      </c>
      <c r="EE28" s="54" t="e">
        <f t="shared" si="71"/>
        <v>#N/A</v>
      </c>
      <c r="EF28" s="54" t="e">
        <f t="shared" si="72"/>
        <v>#N/A</v>
      </c>
      <c r="EG28" s="54" t="b">
        <f t="shared" si="73"/>
        <v>1</v>
      </c>
      <c r="EH28" s="54" t="b">
        <f t="shared" si="74"/>
        <v>0</v>
      </c>
      <c r="EI28" s="54" t="b">
        <f t="shared" si="75"/>
        <v>1</v>
      </c>
      <c r="EJ28" s="54" t="b">
        <f t="shared" si="76"/>
        <v>0</v>
      </c>
      <c r="EK28" s="54">
        <f t="shared" si="77"/>
        <v>1.1629879373268774E-2</v>
      </c>
      <c r="EL28" s="54">
        <f t="shared" si="78"/>
        <v>1.1629879373268774E-2</v>
      </c>
      <c r="EM28" s="54" t="e">
        <f t="shared" si="79"/>
        <v>#N/A</v>
      </c>
      <c r="EN28" s="72" t="str">
        <f t="shared" si="80"/>
        <v/>
      </c>
      <c r="EO2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8" s="54" t="e" cm="1">
        <f t="array" ref="ER28">IF($CK$3,INDEX(Eu_tabel_a[[#This Row],[Styrke venstre]:[Styrke tosidet]],ER$7),NA())</f>
        <v>#N/A</v>
      </c>
      <c r="ES28" s="54" t="e">
        <f>IF(ER$3,IF(CHOOSE(ER$7,Eu_tabel_a[[#This Row],[x base]]&gt;0,Eu_tabel_a[[#This Row],[x base]]&lt;0,Eu_tabel_a[[#This Row],[x base]]=0),1,NA()),NA())</f>
        <v>#N/A</v>
      </c>
      <c r="ET28" s="54" t="e">
        <f>IF(CHOOSE(ER$7,Eu_tabel_a[[#This Row],[x base]]&gt;0,Eu_tabel_a[[#This Row],[x base]]&lt;0,Eu_tabel_a[[#This Row],[x base]]=0),Eu_tabel_a[[#This Row],[Styrke, aktiv]],NA())</f>
        <v>#N/A</v>
      </c>
      <c r="EU28" s="54" t="e">
        <f>IFERROR(IF($ER$3,Eu_tabel_a[[#This Row],[Styrke, aktiv]],NA()),NA())</f>
        <v>#N/A</v>
      </c>
      <c r="EV28" s="54" t="e">
        <f>IF(ISNA(Eu_tabel_a[[#This Row],[Sand negativ
Nulhypotese afvises
Korrekt]]),NA(),IF(ER$3,1,NA()))</f>
        <v>#N/A</v>
      </c>
      <c r="EW28" s="55" t="str" cm="1">
        <f t="array" ref="EW28">IFERROR(_xlfn.SWITCH(Eu_tabel_a[[#This Row],[Indeks]],_xlfn.IFNA(EU$2,-99),EU$5,_xlfn.IFNA(EU$3,-99),EU$6,_xlfn.IFNA(EU$4,-99),EU$7,""),"")</f>
        <v/>
      </c>
      <c r="EX28" s="54">
        <f>Eu_tabel_a[[#This Row],[x base]]*SQRT(Eu_a_h0_x*(1-Eu_a_h0_x)/Eu_a_n_x)+Eu_a_h0_x</f>
        <v>0</v>
      </c>
      <c r="FC28" s="161" t="e">
        <f t="shared" si="18"/>
        <v>#N/A</v>
      </c>
      <c r="FD28" s="169" t="e">
        <f t="shared" si="31"/>
        <v>#DIV/0!</v>
      </c>
      <c r="FE28" s="7" t="e">
        <f t="shared" si="12"/>
        <v>#DIV/0!</v>
      </c>
      <c r="FF28" t="e">
        <f t="shared" si="32"/>
        <v>#DIV/0!</v>
      </c>
      <c r="FG28" s="8" t="e">
        <f t="shared" si="33"/>
        <v>#DIV/0!</v>
      </c>
      <c r="FH28" s="8" t="e">
        <f t="shared" si="34"/>
        <v>#DIV/0!</v>
      </c>
      <c r="FI28" s="168" t="e">
        <f t="shared" si="35"/>
        <v>#DIV/0!</v>
      </c>
      <c r="FJ28" s="161" t="e">
        <f t="shared" ca="1" si="13"/>
        <v>#N/A</v>
      </c>
      <c r="FK28" s="169" t="e" vm="3">
        <f t="shared" ca="1" si="19"/>
        <v>#VALUE!</v>
      </c>
      <c r="FL28" s="7" t="e" vm="3">
        <f t="shared" ca="1" si="14"/>
        <v>#VALUE!</v>
      </c>
      <c r="FM28" t="e" vm="3">
        <f t="shared" ca="1" si="8"/>
        <v>#VALUE!</v>
      </c>
      <c r="FN28" s="8" t="e" vm="3">
        <f t="shared" ca="1" si="9"/>
        <v>#VALUE!</v>
      </c>
      <c r="FO28" s="8" t="e" vm="3">
        <f t="shared" ca="1" si="10"/>
        <v>#VALUE!</v>
      </c>
      <c r="FP28" s="168" t="e" vm="3">
        <f t="shared" ca="1" si="11"/>
        <v>#VALUE!</v>
      </c>
      <c r="FQ28" s="161" t="e">
        <f t="shared" si="15"/>
        <v>#N/A</v>
      </c>
      <c r="FR28" s="169" t="e">
        <f t="shared" si="20"/>
        <v>#N/A</v>
      </c>
      <c r="FS28" s="7" t="e">
        <f t="shared" si="16"/>
        <v>#N/A</v>
      </c>
      <c r="FT28" t="e">
        <f t="shared" si="21"/>
        <v>#N/A</v>
      </c>
      <c r="FU28" s="8" t="e">
        <f t="shared" si="22"/>
        <v>#N/A</v>
      </c>
      <c r="FV28" s="8" t="e">
        <f t="shared" si="23"/>
        <v>#N/A</v>
      </c>
      <c r="FW28" s="168" t="e">
        <f t="shared" si="24"/>
        <v>#N/A</v>
      </c>
      <c r="FX28" s="161" t="e">
        <f t="shared" si="25"/>
        <v>#N/A</v>
      </c>
      <c r="FY28" s="169" t="e">
        <f t="shared" si="26"/>
        <v>#N/A</v>
      </c>
      <c r="FZ28" s="7" t="e">
        <f t="shared" si="17"/>
        <v>#N/A</v>
      </c>
      <c r="GA28" t="e">
        <f t="shared" si="27"/>
        <v>#N/A</v>
      </c>
      <c r="GB28" s="8" t="e">
        <f t="shared" si="28"/>
        <v>#N/A</v>
      </c>
      <c r="GC28" s="8" t="e">
        <f t="shared" si="29"/>
        <v>#N/A</v>
      </c>
      <c r="GD28" s="168" t="e">
        <f t="shared" si="30"/>
        <v>#N/A</v>
      </c>
      <c r="GE28" s="168"/>
      <c r="GF28" s="168"/>
      <c r="GI28" s="54">
        <f t="shared" si="81"/>
        <v>18</v>
      </c>
      <c r="GJ28" s="54">
        <f t="shared" si="82"/>
        <v>19</v>
      </c>
      <c r="GK28" s="54">
        <f t="shared" si="83"/>
        <v>-2.6590371006560254</v>
      </c>
      <c r="GL28" s="54">
        <f t="shared" si="84"/>
        <v>1.1629879373268774E-2</v>
      </c>
      <c r="GM28" s="54" t="e">
        <f t="shared" si="85"/>
        <v>#N/A</v>
      </c>
      <c r="GN28" s="54" t="e">
        <f t="shared" si="86"/>
        <v>#N/A</v>
      </c>
      <c r="GO28" s="54" t="e">
        <f t="shared" si="87"/>
        <v>#N/A</v>
      </c>
      <c r="GP28" s="54" t="b">
        <f t="shared" si="88"/>
        <v>1</v>
      </c>
      <c r="GQ28" s="54" t="b">
        <f t="shared" si="89"/>
        <v>0</v>
      </c>
      <c r="GR28" s="54" t="b">
        <f t="shared" si="90"/>
        <v>1</v>
      </c>
      <c r="GS28" s="54" t="b">
        <f t="shared" si="91"/>
        <v>0</v>
      </c>
      <c r="GT28" s="54">
        <f t="shared" si="92"/>
        <v>1.1629879373268774E-2</v>
      </c>
      <c r="GU28" s="54">
        <f t="shared" si="93"/>
        <v>1.1629879373268774E-2</v>
      </c>
      <c r="GV28" s="54" t="e">
        <f t="shared" si="94"/>
        <v>#N/A</v>
      </c>
      <c r="GW28" s="72" t="str">
        <f t="shared" si="95"/>
        <v/>
      </c>
      <c r="HC28" s="54">
        <f t="shared" si="96"/>
        <v>18</v>
      </c>
      <c r="HD28" s="54">
        <f t="shared" si="97"/>
        <v>19</v>
      </c>
      <c r="HE28" s="54">
        <f t="shared" si="98"/>
        <v>-4.11757479673531</v>
      </c>
      <c r="HF28" s="54" t="e">
        <f t="shared" si="99"/>
        <v>#N/A</v>
      </c>
      <c r="HG28" s="54">
        <f t="shared" si="100"/>
        <v>2.8073751156491695E-3</v>
      </c>
      <c r="HH28" s="54" t="e">
        <f t="shared" si="101"/>
        <v>#N/A</v>
      </c>
      <c r="HI28" s="54" t="e">
        <f t="shared" si="102"/>
        <v>#N/A</v>
      </c>
      <c r="HJ28" s="54" t="b">
        <f t="shared" si="103"/>
        <v>1</v>
      </c>
      <c r="HK28" s="54" t="b">
        <f t="shared" si="104"/>
        <v>0</v>
      </c>
      <c r="HL28" s="54" t="b">
        <f t="shared" si="105"/>
        <v>1</v>
      </c>
      <c r="HM28" s="54" t="b">
        <f t="shared" si="106"/>
        <v>0</v>
      </c>
      <c r="HN28" s="54">
        <f t="shared" si="107"/>
        <v>2.8073751156491695E-3</v>
      </c>
      <c r="HO28" s="54">
        <f t="shared" si="108"/>
        <v>2.8073751156491695E-3</v>
      </c>
      <c r="HP28" s="54" t="e">
        <f t="shared" si="109"/>
        <v>#N/A</v>
      </c>
      <c r="HQ28" s="72" t="str">
        <f t="shared" si="110"/>
        <v/>
      </c>
    </row>
    <row r="29" spans="56:225" x14ac:dyDescent="0.2">
      <c r="BD29" s="58" t="s">
        <v>156</v>
      </c>
      <c r="BE29" s="60" t="str">
        <f>_xlfn.IFNA(IF(INDEX(BE13:BE16,BE24)&lt;&gt;0,IF(BE24&gt;BE23,INDEX(BE13:BE16,BE24),""),""),"")</f>
        <v>Antal observationer er større end 30</v>
      </c>
      <c r="BF29" s="60" t="str">
        <f>_xlfn.IFNA(IF(INDEX(BF13:BF16,BF24)&lt;&gt;0,IF(BF24&gt;BF23,INDEX(BF13:BF16,BF24),""),""),"")</f>
        <v>Populationen er normalfordelt</v>
      </c>
      <c r="BG29" s="60" t="str">
        <f t="shared" ref="BG29:BH29" si="114">_xlfn.IFNA(IF(INDEX(BG13:BG16,BG24)&lt;&gt;0,IF(BG24&gt;BG23,INDEX(BG13:BG16,BG24),""),""),"")</f>
        <v>Forudsætningsformlen n * p̂ * ( 1 - p̂ ) &gt; 9 er opfyldt</v>
      </c>
      <c r="BH29" s="60" t="str">
        <f t="shared" si="114"/>
        <v>Forudsætningsformlen λ̂ * n &gt; 9 er opfyldt</v>
      </c>
      <c r="BI29" s="60" t="str">
        <f t="shared" ref="BI29" si="115">_xlfn.IFNA(IF(INDEX(BI13:BI16,BI24)&lt;&gt;0,IF(BI24&gt;BI23,INDEX(BI13:BI16,BI24),""),""),"")</f>
        <v>Forudsætningerne for den lineære regression er opfyldt</v>
      </c>
      <c r="BS29" s="54">
        <f t="shared" si="36"/>
        <v>19</v>
      </c>
      <c r="BT29" s="54">
        <f>Eu_tabel_g[[#This Row],[Indeks]]+1</f>
        <v>20</v>
      </c>
      <c r="BU29" s="54">
        <f t="shared" si="37"/>
        <v>-2.635081811460926</v>
      </c>
      <c r="BV29" s="54">
        <f t="shared" si="38"/>
        <v>1.2391226343470816E-2</v>
      </c>
      <c r="BW29" s="54" t="e">
        <f t="shared" si="39"/>
        <v>#N/A</v>
      </c>
      <c r="BX29" s="54" t="e">
        <f t="shared" si="40"/>
        <v>#N/A</v>
      </c>
      <c r="BY29" s="54" t="e">
        <f t="shared" si="41"/>
        <v>#N/A</v>
      </c>
      <c r="BZ29" s="54" t="b">
        <f t="shared" si="42"/>
        <v>1</v>
      </c>
      <c r="CA29" s="54" t="b">
        <f t="shared" si="43"/>
        <v>0</v>
      </c>
      <c r="CB29" s="54" t="b">
        <f t="shared" si="44"/>
        <v>1</v>
      </c>
      <c r="CC29" s="54" t="b">
        <f t="shared" si="45"/>
        <v>0</v>
      </c>
      <c r="CD29" s="54">
        <f t="shared" si="111"/>
        <v>1.2391226343470816E-2</v>
      </c>
      <c r="CE29" s="54">
        <f t="shared" si="47"/>
        <v>1.2391226343470816E-2</v>
      </c>
      <c r="CF29" s="54" t="e">
        <f t="shared" si="48"/>
        <v>#N/A</v>
      </c>
      <c r="CG29" s="72" t="str">
        <f t="shared" si="49"/>
        <v/>
      </c>
      <c r="CH29" s="54">
        <f>_xlfn.NORM.DIST(_xlfn.NORM.INV(1-Eu_g_konfidensniveau,0,1)-Eu_tabel_g[[#This Row],[x base]],0,1,TRUE)</f>
        <v>0.83896870028264225</v>
      </c>
      <c r="CI29" s="54">
        <f>1-_xlfn.NORM.DIST(_xlfn.NORM.INV(Eu_g_konfidensniveau,0,1)-Eu_tabel_g[[#This Row],[x base]],0,1,TRUE)</f>
        <v>9.3473768245644351E-6</v>
      </c>
      <c r="CJ29" s="54">
        <f>_xlfn.NORM.DIST(_xlfn.NORM.INV((1-Eu_g_konfidensniveau)/2,0,1)-Eu_tabel_g[[#This Row],[x base]],0,1,TRUE)+1-_xlfn.NORM.DIST(_xlfn.NORM.INV(1-(1-Eu_g_konfidensniveau)/2,0,1)-Eu_tabel_g[[#This Row],[x base]],0,1,TRUE)</f>
        <v>0.75020170905714323</v>
      </c>
      <c r="CK29" s="54" t="e" cm="1">
        <f t="array" ref="CK29">IF($CK$3,INDEX(Eu_tabel_g[[#This Row],[Styrke venstre]:[Styrke tosidet]],CK$7),NA())</f>
        <v>#N/A</v>
      </c>
      <c r="CL29" s="99" t="e">
        <f>Eu_tabel_g[[#This Row],[Falsk positiv
Nulhypotese accepteres
Fejltype 1]]</f>
        <v>#N/A</v>
      </c>
      <c r="CM29" s="99" t="e">
        <f>IF(CHOOSE(CK$7,Eu_tabel_g[[#This Row],[x base]]&gt;0,Eu_tabel_g[[#This Row],[x base]]&lt;0,Eu_tabel_g[[#This Row],[x base]]=0),Eu_tabel_g[[#This Row],[Styrke, aktiv]],NA())</f>
        <v>#N/A</v>
      </c>
      <c r="CN29" s="99" t="e">
        <f>IFERROR(IF($CK$3,Eu_tabel_g[[#This Row],[Styrke, aktiv]],NA()),NA())</f>
        <v>#N/A</v>
      </c>
      <c r="CO29" s="99" t="e">
        <f>IF(ISNA(Eu_tabel_g[[#This Row],[Sand negativ
Nulhypotese afvises
Korrekt]]),NA(),IF($CK$3,1,NA()))</f>
        <v>#N/A</v>
      </c>
      <c r="CP29" s="56" t="str" cm="1">
        <f t="array" ref="CP29">_xlfn.SWITCH(BS29,_xlfn.IFNA(CN$2,-99),CN$5,_xlfn.IFNA(CN$3,-99),CN$6,_xlfn.IFNA(CN$4,-99),CN$7,"")</f>
        <v/>
      </c>
      <c r="CT29" s="7">
        <f t="shared" si="50"/>
        <v>0.8</v>
      </c>
      <c r="CU29">
        <f>IF(ROW(Styrkeberegning_G[[#This Row],[X base venstre]])=ROW(Styrkeberegning_G[[#Headers],[X base venstre]])+1,CU$7/(CT$7/$B$67),CU28/(CT28/$B$67))</f>
        <v>-2.8015817870135784</v>
      </c>
      <c r="CV29">
        <f>Styrkeberegning_G[[#This Row],[X base venstre]]*-1</f>
        <v>2.8015817870135784</v>
      </c>
      <c r="DG29" s="54">
        <f t="shared" si="51"/>
        <v>19</v>
      </c>
      <c r="DH29" s="54">
        <f t="shared" si="52"/>
        <v>20</v>
      </c>
      <c r="DI29" s="54">
        <f t="shared" si="53"/>
        <v>4.0011989365767091</v>
      </c>
      <c r="DJ29" s="54" t="e">
        <f t="shared" si="54"/>
        <v>#N/A</v>
      </c>
      <c r="DK29" s="54" t="e">
        <f t="shared" si="55"/>
        <v>#N/A</v>
      </c>
      <c r="DL29" s="54">
        <f t="shared" si="56"/>
        <v>2.9274170566074054E-2</v>
      </c>
      <c r="DM29" s="54" t="e">
        <f t="shared" si="57"/>
        <v>#N/A</v>
      </c>
      <c r="DN29" s="54" t="b">
        <f t="shared" si="58"/>
        <v>0</v>
      </c>
      <c r="DO29" s="54" t="b">
        <f t="shared" si="59"/>
        <v>1</v>
      </c>
      <c r="DP29" s="54" t="b">
        <f t="shared" si="60"/>
        <v>0</v>
      </c>
      <c r="DQ29" s="54" t="b">
        <f t="shared" si="61"/>
        <v>1</v>
      </c>
      <c r="DR29" s="54">
        <f t="shared" si="62"/>
        <v>2.9274170566074054E-2</v>
      </c>
      <c r="DS29" s="54" t="e">
        <f t="shared" si="63"/>
        <v>#N/A</v>
      </c>
      <c r="DT29" s="54">
        <f t="shared" si="64"/>
        <v>2.9274170566074054E-2</v>
      </c>
      <c r="DU29" s="72" t="str">
        <f t="shared" si="65"/>
        <v/>
      </c>
      <c r="DZ29" s="54">
        <f t="shared" si="66"/>
        <v>19</v>
      </c>
      <c r="EA29" s="54">
        <f t="shared" si="67"/>
        <v>20</v>
      </c>
      <c r="EB29" s="54">
        <f t="shared" si="68"/>
        <v>-2.635081811460926</v>
      </c>
      <c r="EC29" s="54">
        <f t="shared" si="69"/>
        <v>1.2391226343470816E-2</v>
      </c>
      <c r="ED29" s="54" t="e">
        <f t="shared" si="70"/>
        <v>#N/A</v>
      </c>
      <c r="EE29" s="54" t="e">
        <f t="shared" si="71"/>
        <v>#N/A</v>
      </c>
      <c r="EF29" s="54" t="e">
        <f t="shared" si="72"/>
        <v>#N/A</v>
      </c>
      <c r="EG29" s="54" t="b">
        <f t="shared" si="73"/>
        <v>1</v>
      </c>
      <c r="EH29" s="54" t="b">
        <f t="shared" si="74"/>
        <v>0</v>
      </c>
      <c r="EI29" s="54" t="b">
        <f t="shared" si="75"/>
        <v>1</v>
      </c>
      <c r="EJ29" s="54" t="b">
        <f t="shared" si="76"/>
        <v>0</v>
      </c>
      <c r="EK29" s="54">
        <f t="shared" si="77"/>
        <v>1.2391226343470816E-2</v>
      </c>
      <c r="EL29" s="54">
        <f t="shared" si="78"/>
        <v>1.2391226343470816E-2</v>
      </c>
      <c r="EM29" s="54" t="e">
        <f t="shared" si="79"/>
        <v>#N/A</v>
      </c>
      <c r="EN29" s="72" t="str">
        <f t="shared" si="80"/>
        <v/>
      </c>
      <c r="EO2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9" s="54" t="e" cm="1">
        <f t="array" ref="ER29">IF($CK$3,INDEX(Eu_tabel_a[[#This Row],[Styrke venstre]:[Styrke tosidet]],ER$7),NA())</f>
        <v>#N/A</v>
      </c>
      <c r="ES29" s="54" t="e">
        <f>IF(ER$3,IF(CHOOSE(ER$7,Eu_tabel_a[[#This Row],[x base]]&gt;0,Eu_tabel_a[[#This Row],[x base]]&lt;0,Eu_tabel_a[[#This Row],[x base]]=0),1,NA()),NA())</f>
        <v>#N/A</v>
      </c>
      <c r="ET29" s="54" t="e">
        <f>IF(CHOOSE(ER$7,Eu_tabel_a[[#This Row],[x base]]&gt;0,Eu_tabel_a[[#This Row],[x base]]&lt;0,Eu_tabel_a[[#This Row],[x base]]=0),Eu_tabel_a[[#This Row],[Styrke, aktiv]],NA())</f>
        <v>#N/A</v>
      </c>
      <c r="EU29" s="54" t="e">
        <f>IFERROR(IF($ER$3,Eu_tabel_a[[#This Row],[Styrke, aktiv]],NA()),NA())</f>
        <v>#N/A</v>
      </c>
      <c r="EV29" s="54" t="e">
        <f>IF(ISNA(Eu_tabel_a[[#This Row],[Sand negativ
Nulhypotese afvises
Korrekt]]),NA(),IF(ER$3,1,NA()))</f>
        <v>#N/A</v>
      </c>
      <c r="EW29" s="55" t="str" cm="1">
        <f t="array" ref="EW29">IFERROR(_xlfn.SWITCH(Eu_tabel_a[[#This Row],[Indeks]],_xlfn.IFNA(EU$2,-99),EU$5,_xlfn.IFNA(EU$3,-99),EU$6,_xlfn.IFNA(EU$4,-99),EU$7,""),"")</f>
        <v/>
      </c>
      <c r="EX29" s="54">
        <f>Eu_tabel_a[[#This Row],[x base]]*SQRT(Eu_a_h0_x*(1-Eu_a_h0_x)/Eu_a_n_x)+Eu_a_h0_x</f>
        <v>0</v>
      </c>
      <c r="FC29" s="161" t="e">
        <f t="shared" si="18"/>
        <v>#N/A</v>
      </c>
      <c r="FD29" s="169" t="e">
        <f t="shared" si="31"/>
        <v>#DIV/0!</v>
      </c>
      <c r="FE29" s="7" t="e">
        <f t="shared" si="12"/>
        <v>#DIV/0!</v>
      </c>
      <c r="FF29" t="e">
        <f t="shared" si="32"/>
        <v>#DIV/0!</v>
      </c>
      <c r="FG29" s="8" t="e">
        <f t="shared" si="33"/>
        <v>#DIV/0!</v>
      </c>
      <c r="FH29" s="8" t="e">
        <f t="shared" si="34"/>
        <v>#DIV/0!</v>
      </c>
      <c r="FI29" s="168" t="e">
        <f t="shared" si="35"/>
        <v>#DIV/0!</v>
      </c>
      <c r="FJ29" s="161" t="e">
        <f t="shared" ca="1" si="13"/>
        <v>#N/A</v>
      </c>
      <c r="FK29" s="169" t="e" vm="3">
        <f t="shared" ca="1" si="19"/>
        <v>#VALUE!</v>
      </c>
      <c r="FL29" s="7" t="e" vm="3">
        <f t="shared" ca="1" si="14"/>
        <v>#VALUE!</v>
      </c>
      <c r="FM29" t="e" vm="3">
        <f t="shared" ca="1" si="8"/>
        <v>#VALUE!</v>
      </c>
      <c r="FN29" s="8" t="e" vm="3">
        <f t="shared" ca="1" si="9"/>
        <v>#VALUE!</v>
      </c>
      <c r="FO29" s="8" t="e" vm="3">
        <f t="shared" ca="1" si="10"/>
        <v>#VALUE!</v>
      </c>
      <c r="FP29" s="168" t="e" vm="3">
        <f t="shared" ca="1" si="11"/>
        <v>#VALUE!</v>
      </c>
      <c r="FQ29" s="161" t="e">
        <f t="shared" si="15"/>
        <v>#N/A</v>
      </c>
      <c r="FR29" s="169" t="e">
        <f t="shared" si="20"/>
        <v>#N/A</v>
      </c>
      <c r="FS29" s="7" t="e">
        <f t="shared" si="16"/>
        <v>#N/A</v>
      </c>
      <c r="FT29" t="e">
        <f t="shared" si="21"/>
        <v>#N/A</v>
      </c>
      <c r="FU29" s="8" t="e">
        <f t="shared" si="22"/>
        <v>#N/A</v>
      </c>
      <c r="FV29" s="8" t="e">
        <f t="shared" si="23"/>
        <v>#N/A</v>
      </c>
      <c r="FW29" s="168" t="e">
        <f t="shared" si="24"/>
        <v>#N/A</v>
      </c>
      <c r="FX29" s="161" t="e">
        <f t="shared" si="25"/>
        <v>#N/A</v>
      </c>
      <c r="FY29" s="169" t="e">
        <f t="shared" si="26"/>
        <v>#N/A</v>
      </c>
      <c r="FZ29" s="7" t="e">
        <f t="shared" si="17"/>
        <v>#N/A</v>
      </c>
      <c r="GA29" t="e">
        <f t="shared" si="27"/>
        <v>#N/A</v>
      </c>
      <c r="GB29" s="8" t="e">
        <f t="shared" si="28"/>
        <v>#N/A</v>
      </c>
      <c r="GC29" s="8" t="e">
        <f t="shared" si="29"/>
        <v>#N/A</v>
      </c>
      <c r="GD29" s="168" t="e">
        <f t="shared" si="30"/>
        <v>#N/A</v>
      </c>
      <c r="GE29" s="168"/>
      <c r="GF29" s="168"/>
      <c r="GI29" s="54">
        <f t="shared" si="81"/>
        <v>19</v>
      </c>
      <c r="GJ29" s="54">
        <f t="shared" si="82"/>
        <v>20</v>
      </c>
      <c r="GK29" s="54">
        <f t="shared" si="83"/>
        <v>-2.635081811460926</v>
      </c>
      <c r="GL29" s="54">
        <f t="shared" si="84"/>
        <v>1.2391226343470816E-2</v>
      </c>
      <c r="GM29" s="54" t="e">
        <f t="shared" si="85"/>
        <v>#N/A</v>
      </c>
      <c r="GN29" s="54" t="e">
        <f t="shared" si="86"/>
        <v>#N/A</v>
      </c>
      <c r="GO29" s="54" t="e">
        <f t="shared" si="87"/>
        <v>#N/A</v>
      </c>
      <c r="GP29" s="54" t="b">
        <f t="shared" si="88"/>
        <v>1</v>
      </c>
      <c r="GQ29" s="54" t="b">
        <f t="shared" si="89"/>
        <v>0</v>
      </c>
      <c r="GR29" s="54" t="b">
        <f t="shared" si="90"/>
        <v>1</v>
      </c>
      <c r="GS29" s="54" t="b">
        <f t="shared" si="91"/>
        <v>0</v>
      </c>
      <c r="GT29" s="54">
        <f t="shared" si="92"/>
        <v>1.2391226343470816E-2</v>
      </c>
      <c r="GU29" s="54">
        <f t="shared" si="93"/>
        <v>1.2391226343470816E-2</v>
      </c>
      <c r="GV29" s="54" t="e">
        <f t="shared" si="94"/>
        <v>#N/A</v>
      </c>
      <c r="GW29" s="72" t="str">
        <f t="shared" si="95"/>
        <v/>
      </c>
      <c r="HC29" s="54">
        <f t="shared" si="96"/>
        <v>19</v>
      </c>
      <c r="HD29" s="54">
        <f t="shared" si="97"/>
        <v>20</v>
      </c>
      <c r="HE29" s="54">
        <f t="shared" si="98"/>
        <v>-4.0804795282962534</v>
      </c>
      <c r="HF29" s="54" t="e">
        <f t="shared" si="99"/>
        <v>#N/A</v>
      </c>
      <c r="HG29" s="54">
        <f t="shared" si="100"/>
        <v>2.9545793712011021E-3</v>
      </c>
      <c r="HH29" s="54" t="e">
        <f t="shared" si="101"/>
        <v>#N/A</v>
      </c>
      <c r="HI29" s="54" t="e">
        <f t="shared" si="102"/>
        <v>#N/A</v>
      </c>
      <c r="HJ29" s="54" t="b">
        <f t="shared" si="103"/>
        <v>1</v>
      </c>
      <c r="HK29" s="54" t="b">
        <f t="shared" si="104"/>
        <v>0</v>
      </c>
      <c r="HL29" s="54" t="b">
        <f t="shared" si="105"/>
        <v>1</v>
      </c>
      <c r="HM29" s="54" t="b">
        <f t="shared" si="106"/>
        <v>0</v>
      </c>
      <c r="HN29" s="54">
        <f t="shared" si="107"/>
        <v>2.9545793712011021E-3</v>
      </c>
      <c r="HO29" s="54">
        <f t="shared" si="108"/>
        <v>2.9545793712011021E-3</v>
      </c>
      <c r="HP29" s="54" t="e">
        <f t="shared" si="109"/>
        <v>#N/A</v>
      </c>
      <c r="HQ29" s="72" t="str">
        <f t="shared" si="110"/>
        <v/>
      </c>
    </row>
    <row r="30" spans="56:225" x14ac:dyDescent="0.2">
      <c r="BD30" s="58" t="s">
        <v>160</v>
      </c>
      <c r="BE30" s="60" t="str">
        <f>_xlfn.IFNA(IF(INDEX(BE13:BE16,BE25)&lt;&gt;0,IF(BE25&gt;BE24,INDEX(BE13:BE16,BE25),""),""),"")</f>
        <v>Standardafvigelse i populationen er ikke kendt</v>
      </c>
      <c r="BF30" s="60" t="str">
        <f>_xlfn.IFNA(IF(INDEX(BF13:BF16,BF25)&lt;&gt;0,IF(BF25&gt;BF24,INDEX(BF13:BF16,BF25),""),""),"")</f>
        <v/>
      </c>
      <c r="BG30" s="60" t="str">
        <f t="shared" ref="BG30:BH30" si="116">_xlfn.IFNA(IF(INDEX(BG13:BG16,BG25)&lt;&gt;0,IF(BG25&gt;BG24,INDEX(BG13:BG16,BG25),""),""),"")</f>
        <v/>
      </c>
      <c r="BH30" s="60" t="str">
        <f t="shared" si="116"/>
        <v/>
      </c>
      <c r="BI30" s="60" t="str">
        <f t="shared" ref="BI30" si="117">_xlfn.IFNA(IF(INDEX(BI13:BI16,BI25)&lt;&gt;0,IF(BI25&gt;BI24,INDEX(BI13:BI16,BI25),""),""),"")</f>
        <v/>
      </c>
      <c r="BS30" s="54">
        <f t="shared" si="36"/>
        <v>20</v>
      </c>
      <c r="BT30" s="54">
        <f>Eu_tabel_g[[#This Row],[Indeks]]+1</f>
        <v>21</v>
      </c>
      <c r="BU30" s="54">
        <f t="shared" si="37"/>
        <v>-2.6111265222658266</v>
      </c>
      <c r="BV30" s="54">
        <f t="shared" si="38"/>
        <v>1.319484058137666E-2</v>
      </c>
      <c r="BW30" s="54" t="e">
        <f t="shared" si="39"/>
        <v>#N/A</v>
      </c>
      <c r="BX30" s="54" t="e">
        <f t="shared" si="40"/>
        <v>#N/A</v>
      </c>
      <c r="BY30" s="54" t="e">
        <f t="shared" si="41"/>
        <v>#N/A</v>
      </c>
      <c r="BZ30" s="54" t="b">
        <f t="shared" si="42"/>
        <v>1</v>
      </c>
      <c r="CA30" s="54" t="b">
        <f t="shared" si="43"/>
        <v>0</v>
      </c>
      <c r="CB30" s="54" t="b">
        <f t="shared" si="44"/>
        <v>1</v>
      </c>
      <c r="CC30" s="54" t="b">
        <f t="shared" si="45"/>
        <v>0</v>
      </c>
      <c r="CD30" s="54">
        <f t="shared" ref="CD30:CD32" si="118">_xlfn.AGGREGATE(9,6,BV30:BY30)</f>
        <v>1.319484058137666E-2</v>
      </c>
      <c r="CE30" s="54">
        <f t="shared" si="47"/>
        <v>1.319484058137666E-2</v>
      </c>
      <c r="CF30" s="54" t="e">
        <f t="shared" si="48"/>
        <v>#N/A</v>
      </c>
      <c r="CG30" s="72" t="str">
        <f t="shared" si="49"/>
        <v/>
      </c>
      <c r="CH30" s="54">
        <f>_xlfn.NORM.DIST(_xlfn.NORM.INV(1-Eu_g_konfidensniveau,0,1)-Eu_tabel_g[[#This Row],[x base]],0,1,TRUE)</f>
        <v>0.83304617739848219</v>
      </c>
      <c r="CI30" s="54">
        <f>1-_xlfn.NORM.DIST(_xlfn.NORM.INV(Eu_g_konfidensniveau,0,1)-Eu_tabel_g[[#This Row],[x base]],0,1,TRUE)</f>
        <v>1.0406758709557984E-5</v>
      </c>
      <c r="CJ30" s="54">
        <f>_xlfn.NORM.DIST(_xlfn.NORM.INV((1-Eu_g_konfidensniveau)/2,0,1)-Eu_tabel_g[[#This Row],[x base]],0,1,TRUE)+1-_xlfn.NORM.DIST(_xlfn.NORM.INV(1-(1-Eu_g_konfidensniveau)/2,0,1)-Eu_tabel_g[[#This Row],[x base]],0,1,TRUE)</f>
        <v>0.74253164080016698</v>
      </c>
      <c r="CK30" s="54" t="e" cm="1">
        <f t="array" ref="CK30">IF($CK$3,INDEX(Eu_tabel_g[[#This Row],[Styrke venstre]:[Styrke tosidet]],CK$7),NA())</f>
        <v>#N/A</v>
      </c>
      <c r="CL30" s="99" t="e">
        <f>Eu_tabel_g[[#This Row],[Falsk positiv
Nulhypotese accepteres
Fejltype 1]]</f>
        <v>#N/A</v>
      </c>
      <c r="CM30" s="99" t="e">
        <f>IF(CHOOSE(CK$7,Eu_tabel_g[[#This Row],[x base]]&gt;0,Eu_tabel_g[[#This Row],[x base]]&lt;0,Eu_tabel_g[[#This Row],[x base]]=0),Eu_tabel_g[[#This Row],[Styrke, aktiv]],NA())</f>
        <v>#N/A</v>
      </c>
      <c r="CN30" s="99" t="e">
        <f>IFERROR(IF($CK$3,Eu_tabel_g[[#This Row],[Styrke, aktiv]],NA()),NA())</f>
        <v>#N/A</v>
      </c>
      <c r="CO30" s="99" t="e">
        <f>IF(ISNA(Eu_tabel_g[[#This Row],[Sand negativ
Nulhypotese afvises
Korrekt]]),NA(),IF($CK$3,1,NA()))</f>
        <v>#N/A</v>
      </c>
      <c r="CP30" s="56" t="str" cm="1">
        <f t="array" ref="CP30">_xlfn.SWITCH(BS30,_xlfn.IFNA(CN$2,-99),CN$5,_xlfn.IFNA(CN$3,-99),CN$6,_xlfn.IFNA(CN$4,-99),CN$7,"")</f>
        <v/>
      </c>
      <c r="CT30" s="7">
        <f t="shared" si="50"/>
        <v>0.8</v>
      </c>
      <c r="CU30">
        <f>IF(ROW(Styrkeberegning_G[[#This Row],[X base venstre]])=ROW(Styrkeberegning_G[[#Headers],[X base venstre]])+1,CU$7/(CT$7/$B$67),CU29/(CT29/$B$67))</f>
        <v>-2.8015817870135784</v>
      </c>
      <c r="CV30">
        <f>Styrkeberegning_G[[#This Row],[X base venstre]]*-1</f>
        <v>2.8015817870135784</v>
      </c>
      <c r="DG30" s="54">
        <f t="shared" si="51"/>
        <v>20</v>
      </c>
      <c r="DH30" s="54">
        <f t="shared" si="52"/>
        <v>21</v>
      </c>
      <c r="DI30" s="54">
        <f t="shared" si="53"/>
        <v>4.1152697929937103</v>
      </c>
      <c r="DJ30" s="54" t="e">
        <f t="shared" si="54"/>
        <v>#N/A</v>
      </c>
      <c r="DK30" s="54" t="e">
        <f t="shared" si="55"/>
        <v>#N/A</v>
      </c>
      <c r="DL30" s="54">
        <f t="shared" si="56"/>
        <v>3.1379873013457245E-2</v>
      </c>
      <c r="DM30" s="54" t="e">
        <f t="shared" si="57"/>
        <v>#N/A</v>
      </c>
      <c r="DN30" s="54" t="b">
        <f t="shared" si="58"/>
        <v>0</v>
      </c>
      <c r="DO30" s="54" t="b">
        <f t="shared" si="59"/>
        <v>1</v>
      </c>
      <c r="DP30" s="54" t="b">
        <f t="shared" si="60"/>
        <v>0</v>
      </c>
      <c r="DQ30" s="54" t="b">
        <f t="shared" si="61"/>
        <v>1</v>
      </c>
      <c r="DR30" s="54">
        <f t="shared" si="62"/>
        <v>3.1379873013457245E-2</v>
      </c>
      <c r="DS30" s="54" t="e">
        <f t="shared" si="63"/>
        <v>#N/A</v>
      </c>
      <c r="DT30" s="54">
        <f t="shared" si="64"/>
        <v>3.1379873013457245E-2</v>
      </c>
      <c r="DU30" s="72" t="str">
        <f t="shared" si="65"/>
        <v/>
      </c>
      <c r="DZ30" s="54">
        <f t="shared" si="66"/>
        <v>20</v>
      </c>
      <c r="EA30" s="54">
        <f t="shared" si="67"/>
        <v>21</v>
      </c>
      <c r="EB30" s="54">
        <f t="shared" si="68"/>
        <v>-2.6111265222658266</v>
      </c>
      <c r="EC30" s="54">
        <f t="shared" si="69"/>
        <v>1.319484058137666E-2</v>
      </c>
      <c r="ED30" s="54" t="e">
        <f t="shared" si="70"/>
        <v>#N/A</v>
      </c>
      <c r="EE30" s="54" t="e">
        <f t="shared" si="71"/>
        <v>#N/A</v>
      </c>
      <c r="EF30" s="54" t="e">
        <f t="shared" si="72"/>
        <v>#N/A</v>
      </c>
      <c r="EG30" s="54" t="b">
        <f t="shared" si="73"/>
        <v>1</v>
      </c>
      <c r="EH30" s="54" t="b">
        <f t="shared" si="74"/>
        <v>0</v>
      </c>
      <c r="EI30" s="54" t="b">
        <f t="shared" si="75"/>
        <v>1</v>
      </c>
      <c r="EJ30" s="54" t="b">
        <f t="shared" si="76"/>
        <v>0</v>
      </c>
      <c r="EK30" s="54">
        <f t="shared" si="77"/>
        <v>1.319484058137666E-2</v>
      </c>
      <c r="EL30" s="54">
        <f t="shared" si="78"/>
        <v>1.319484058137666E-2</v>
      </c>
      <c r="EM30" s="54" t="e">
        <f t="shared" si="79"/>
        <v>#N/A</v>
      </c>
      <c r="EN30" s="72" t="str">
        <f t="shared" si="80"/>
        <v/>
      </c>
      <c r="EO3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3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3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30" s="54" t="e" cm="1">
        <f t="array" ref="ER30">IF($CK$3,INDEX(Eu_tabel_a[[#This Row],[Styrke venstre]:[Styrke tosidet]],ER$7),NA())</f>
        <v>#N/A</v>
      </c>
      <c r="ES30" s="54" t="e">
        <f>IF(ER$3,IF(CHOOSE(ER$7,Eu_tabel_a[[#This Row],[x base]]&gt;0,Eu_tabel_a[[#This Row],[x base]]&lt;0,Eu_tabel_a[[#This Row],[x base]]=0),1,NA()),NA())</f>
        <v>#N/A</v>
      </c>
      <c r="ET30" s="54" t="e">
        <f>IF(CHOOSE(ER$7,Eu_tabel_a[[#This Row],[x base]]&gt;0,Eu_tabel_a[[#This Row],[x base]]&lt;0,Eu_tabel_a[[#This Row],[x base]]=0),Eu_tabel_a[[#This Row],[Styrke, aktiv]],NA())</f>
        <v>#N/A</v>
      </c>
      <c r="EU30" s="54" t="e">
        <f>IFERROR(IF($ER$3,Eu_tabel_a[[#This Row],[Styrke, aktiv]],NA()),NA())</f>
        <v>#N/A</v>
      </c>
      <c r="EV30" s="54" t="e">
        <f>IF(ISNA(Eu_tabel_a[[#This Row],[Sand negativ
Nulhypotese afvises
Korrekt]]),NA(),IF(ER$3,1,NA()))</f>
        <v>#N/A</v>
      </c>
      <c r="EW30" s="55" t="str" cm="1">
        <f t="array" ref="EW30">IFERROR(_xlfn.SWITCH(Eu_tabel_a[[#This Row],[Indeks]],_xlfn.IFNA(EU$2,-99),EU$5,_xlfn.IFNA(EU$3,-99),EU$6,_xlfn.IFNA(EU$4,-99),EU$7,""),"")</f>
        <v/>
      </c>
      <c r="EX30" s="54">
        <f>Eu_tabel_a[[#This Row],[x base]]*SQRT(Eu_a_h0_x*(1-Eu_a_h0_x)/Eu_a_n_x)+Eu_a_h0_x</f>
        <v>0</v>
      </c>
      <c r="FC30" s="161" t="e">
        <f t="shared" si="18"/>
        <v>#N/A</v>
      </c>
      <c r="FD30" s="169" t="e">
        <f t="shared" si="31"/>
        <v>#DIV/0!</v>
      </c>
      <c r="FE30" s="7" t="e">
        <f t="shared" si="12"/>
        <v>#DIV/0!</v>
      </c>
      <c r="FF30" t="e">
        <f t="shared" si="32"/>
        <v>#DIV/0!</v>
      </c>
      <c r="FG30" s="8" t="e">
        <f t="shared" si="33"/>
        <v>#DIV/0!</v>
      </c>
      <c r="FH30" s="8" t="e">
        <f t="shared" si="34"/>
        <v>#DIV/0!</v>
      </c>
      <c r="FI30" s="168" t="e">
        <f t="shared" si="35"/>
        <v>#DIV/0!</v>
      </c>
      <c r="FJ30" s="161" t="e">
        <f t="shared" ca="1" si="13"/>
        <v>#N/A</v>
      </c>
      <c r="FK30" s="169" t="e" vm="3">
        <f t="shared" ca="1" si="19"/>
        <v>#VALUE!</v>
      </c>
      <c r="FL30" s="7" t="e" vm="3">
        <f t="shared" ca="1" si="14"/>
        <v>#VALUE!</v>
      </c>
      <c r="FM30" t="e" vm="3">
        <f t="shared" ca="1" si="8"/>
        <v>#VALUE!</v>
      </c>
      <c r="FN30" s="8" t="e" vm="3">
        <f t="shared" ca="1" si="9"/>
        <v>#VALUE!</v>
      </c>
      <c r="FO30" s="8" t="e" vm="3">
        <f t="shared" ca="1" si="10"/>
        <v>#VALUE!</v>
      </c>
      <c r="FP30" s="168" t="e" vm="3">
        <f t="shared" ca="1" si="11"/>
        <v>#VALUE!</v>
      </c>
      <c r="FQ30" s="161" t="e">
        <f t="shared" si="15"/>
        <v>#N/A</v>
      </c>
      <c r="FR30" s="169" t="e">
        <f t="shared" si="20"/>
        <v>#N/A</v>
      </c>
      <c r="FS30" s="7" t="e">
        <f t="shared" si="16"/>
        <v>#N/A</v>
      </c>
      <c r="FT30" t="e">
        <f t="shared" si="21"/>
        <v>#N/A</v>
      </c>
      <c r="FU30" s="8" t="e">
        <f t="shared" si="22"/>
        <v>#N/A</v>
      </c>
      <c r="FV30" s="8" t="e">
        <f t="shared" si="23"/>
        <v>#N/A</v>
      </c>
      <c r="FW30" s="168" t="e">
        <f t="shared" si="24"/>
        <v>#N/A</v>
      </c>
      <c r="FX30" s="161" t="e">
        <f t="shared" si="25"/>
        <v>#N/A</v>
      </c>
      <c r="FY30" s="169" t="e">
        <f t="shared" si="26"/>
        <v>#N/A</v>
      </c>
      <c r="FZ30" s="7" t="e">
        <f t="shared" si="17"/>
        <v>#N/A</v>
      </c>
      <c r="GA30" t="e">
        <f t="shared" si="27"/>
        <v>#N/A</v>
      </c>
      <c r="GB30" s="8" t="e">
        <f t="shared" si="28"/>
        <v>#N/A</v>
      </c>
      <c r="GC30" s="8" t="e">
        <f t="shared" si="29"/>
        <v>#N/A</v>
      </c>
      <c r="GD30" s="168" t="e">
        <f t="shared" si="30"/>
        <v>#N/A</v>
      </c>
      <c r="GE30" s="168"/>
      <c r="GF30" s="168"/>
      <c r="GI30" s="54">
        <f t="shared" si="81"/>
        <v>20</v>
      </c>
      <c r="GJ30" s="54">
        <f t="shared" si="82"/>
        <v>21</v>
      </c>
      <c r="GK30" s="54">
        <f t="shared" si="83"/>
        <v>-2.6111265222658266</v>
      </c>
      <c r="GL30" s="54">
        <f t="shared" si="84"/>
        <v>1.319484058137666E-2</v>
      </c>
      <c r="GM30" s="54" t="e">
        <f t="shared" si="85"/>
        <v>#N/A</v>
      </c>
      <c r="GN30" s="54" t="e">
        <f t="shared" si="86"/>
        <v>#N/A</v>
      </c>
      <c r="GO30" s="54" t="e">
        <f t="shared" si="87"/>
        <v>#N/A</v>
      </c>
      <c r="GP30" s="54" t="b">
        <f t="shared" si="88"/>
        <v>1</v>
      </c>
      <c r="GQ30" s="54" t="b">
        <f t="shared" si="89"/>
        <v>0</v>
      </c>
      <c r="GR30" s="54" t="b">
        <f t="shared" si="90"/>
        <v>1</v>
      </c>
      <c r="GS30" s="54" t="b">
        <f t="shared" si="91"/>
        <v>0</v>
      </c>
      <c r="GT30" s="54">
        <f t="shared" si="92"/>
        <v>1.319484058137666E-2</v>
      </c>
      <c r="GU30" s="54">
        <f t="shared" si="93"/>
        <v>1.319484058137666E-2</v>
      </c>
      <c r="GV30" s="54" t="e">
        <f t="shared" si="94"/>
        <v>#N/A</v>
      </c>
      <c r="GW30" s="72" t="str">
        <f t="shared" si="95"/>
        <v/>
      </c>
      <c r="HC30" s="54">
        <f t="shared" si="96"/>
        <v>20</v>
      </c>
      <c r="HD30" s="54">
        <f t="shared" si="97"/>
        <v>21</v>
      </c>
      <c r="HE30" s="54">
        <f t="shared" si="98"/>
        <v>-4.0433842598571959</v>
      </c>
      <c r="HF30" s="54" t="e">
        <f t="shared" si="99"/>
        <v>#N/A</v>
      </c>
      <c r="HG30" s="54">
        <f t="shared" si="100"/>
        <v>3.1100928750608663E-3</v>
      </c>
      <c r="HH30" s="54" t="e">
        <f t="shared" si="101"/>
        <v>#N/A</v>
      </c>
      <c r="HI30" s="54" t="e">
        <f t="shared" si="102"/>
        <v>#N/A</v>
      </c>
      <c r="HJ30" s="54" t="b">
        <f t="shared" si="103"/>
        <v>1</v>
      </c>
      <c r="HK30" s="54" t="b">
        <f t="shared" si="104"/>
        <v>0</v>
      </c>
      <c r="HL30" s="54" t="b">
        <f t="shared" si="105"/>
        <v>1</v>
      </c>
      <c r="HM30" s="54" t="b">
        <f t="shared" si="106"/>
        <v>0</v>
      </c>
      <c r="HN30" s="54">
        <f t="shared" si="107"/>
        <v>3.1100928750608663E-3</v>
      </c>
      <c r="HO30" s="54">
        <f t="shared" si="108"/>
        <v>3.1100928750608663E-3</v>
      </c>
      <c r="HP30" s="54" t="e">
        <f t="shared" si="109"/>
        <v>#N/A</v>
      </c>
      <c r="HQ30" s="72" t="str">
        <f t="shared" si="110"/>
        <v/>
      </c>
    </row>
    <row r="31" spans="56:225" x14ac:dyDescent="0.2">
      <c r="BD31" s="58" t="s">
        <v>165</v>
      </c>
      <c r="BE31" s="60" t="str">
        <f>_xlfn.IFNA(IF(INDEX(BE13:BE16,BE26)&lt;&gt;0,IF(BE26&gt;BE25,INDEX(BE13:BE16,BE26),""),""),"")</f>
        <v/>
      </c>
      <c r="BF31" s="60" t="str">
        <f>_xlfn.IFNA(IF(INDEX(BF13:BF16,BF26)&lt;&gt;0,IF(BF26&gt;BF25,INDEX(BF13:BF16,BF26),""),""),"")</f>
        <v/>
      </c>
      <c r="BG31" s="60" t="str">
        <f t="shared" ref="BG31:BH31" si="119">_xlfn.IFNA(IF(INDEX(BG13:BG16,BG26)&lt;&gt;0,IF(BG26&gt;BG25,INDEX(BG13:BG16,BG26),""),""),"")</f>
        <v/>
      </c>
      <c r="BH31" s="60" t="str">
        <f t="shared" si="119"/>
        <v/>
      </c>
      <c r="BI31" s="60" t="str">
        <f t="shared" ref="BI31" si="120">_xlfn.IFNA(IF(INDEX(BI13:BI16,BI26)&lt;&gt;0,IF(BI26&gt;BI25,INDEX(BI13:BI16,BI26),""),""),"")</f>
        <v/>
      </c>
      <c r="BS31" s="54">
        <f t="shared" si="36"/>
        <v>21</v>
      </c>
      <c r="BT31" s="54">
        <f>Eu_tabel_g[[#This Row],[Indeks]]+1</f>
        <v>22</v>
      </c>
      <c r="BU31" s="54">
        <f t="shared" si="37"/>
        <v>-2.5871712330707273</v>
      </c>
      <c r="BV31" s="54">
        <f t="shared" si="38"/>
        <v>1.4042511314589688E-2</v>
      </c>
      <c r="BW31" s="54" t="e">
        <f t="shared" si="39"/>
        <v>#N/A</v>
      </c>
      <c r="BX31" s="54" t="e">
        <f t="shared" si="40"/>
        <v>#N/A</v>
      </c>
      <c r="BY31" s="54" t="e">
        <f t="shared" si="41"/>
        <v>#N/A</v>
      </c>
      <c r="BZ31" s="54" t="b">
        <f t="shared" si="42"/>
        <v>1</v>
      </c>
      <c r="CA31" s="54" t="b">
        <f t="shared" si="43"/>
        <v>0</v>
      </c>
      <c r="CB31" s="54" t="b">
        <f t="shared" si="44"/>
        <v>1</v>
      </c>
      <c r="CC31" s="54" t="b">
        <f t="shared" si="45"/>
        <v>0</v>
      </c>
      <c r="CD31" s="54">
        <f t="shared" si="118"/>
        <v>1.4042511314589688E-2</v>
      </c>
      <c r="CE31" s="54">
        <f t="shared" si="47"/>
        <v>1.4042511314589688E-2</v>
      </c>
      <c r="CF31" s="54" t="e">
        <f t="shared" si="48"/>
        <v>#N/A</v>
      </c>
      <c r="CG31" s="72" t="str">
        <f t="shared" si="49"/>
        <v/>
      </c>
      <c r="CH31" s="54">
        <f>_xlfn.NORM.DIST(_xlfn.NORM.INV(1-Eu_g_konfidensniveau,0,1)-Eu_tabel_g[[#This Row],[x base]],0,1,TRUE)</f>
        <v>0.82698497157704665</v>
      </c>
      <c r="CI31" s="54">
        <f>1-_xlfn.NORM.DIST(_xlfn.NORM.INV(Eu_g_konfidensniveau,0,1)-Eu_tabel_g[[#This Row],[x base]],0,1,TRUE)</f>
        <v>1.1579840120568008E-5</v>
      </c>
      <c r="CJ31" s="54">
        <f>_xlfn.NORM.DIST(_xlfn.NORM.INV((1-Eu_g_konfidensniveau)/2,0,1)-Eu_tabel_g[[#This Row],[x base]],0,1,TRUE)+1-_xlfn.NORM.DIST(_xlfn.NORM.INV(1-(1-Eu_g_konfidensniveau)/2,0,1)-Eu_tabel_g[[#This Row],[x base]],0,1,TRUE)</f>
        <v>0.73474102284264042</v>
      </c>
      <c r="CK31" s="54" t="e" cm="1">
        <f t="array" ref="CK31">IF($CK$3,INDEX(Eu_tabel_g[[#This Row],[Styrke venstre]:[Styrke tosidet]],CK$7),NA())</f>
        <v>#N/A</v>
      </c>
      <c r="CL31" s="99" t="e">
        <f>Eu_tabel_g[[#This Row],[Falsk positiv
Nulhypotese accepteres
Fejltype 1]]</f>
        <v>#N/A</v>
      </c>
      <c r="CM31" s="99" t="e">
        <f>IF(CHOOSE(CK$7,Eu_tabel_g[[#This Row],[x base]]&gt;0,Eu_tabel_g[[#This Row],[x base]]&lt;0,Eu_tabel_g[[#This Row],[x base]]=0),Eu_tabel_g[[#This Row],[Styrke, aktiv]],NA())</f>
        <v>#N/A</v>
      </c>
      <c r="CN31" s="99" t="e">
        <f>IFERROR(IF($CK$3,Eu_tabel_g[[#This Row],[Styrke, aktiv]],NA()),NA())</f>
        <v>#N/A</v>
      </c>
      <c r="CO31" s="99" t="e">
        <f>IF(ISNA(Eu_tabel_g[[#This Row],[Sand negativ
Nulhypotese afvises
Korrekt]]),NA(),IF($CK$3,1,NA()))</f>
        <v>#N/A</v>
      </c>
      <c r="CP31" s="56" t="str" cm="1">
        <f t="array" ref="CP31">_xlfn.SWITCH(BS31,_xlfn.IFNA(CN$2,-99),CN$5,_xlfn.IFNA(CN$3,-99),CN$6,_xlfn.IFNA(CN$4,-99),CN$7,"")</f>
        <v/>
      </c>
      <c r="CT31" s="7">
        <f t="shared" si="50"/>
        <v>0.8</v>
      </c>
      <c r="CU31">
        <f>IF(ROW(Styrkeberegning_G[[#This Row],[X base venstre]])=ROW(Styrkeberegning_G[[#Headers],[X base venstre]])+1,CU$7/(CT$7/$B$67),CU30/(CT30/$B$67))</f>
        <v>-2.8015817870135784</v>
      </c>
      <c r="CV31">
        <f>Styrkeberegning_G[[#This Row],[X base venstre]]*-1</f>
        <v>2.8015817870135784</v>
      </c>
      <c r="DG31" s="54">
        <f t="shared" si="51"/>
        <v>21</v>
      </c>
      <c r="DH31" s="54">
        <f t="shared" si="52"/>
        <v>22</v>
      </c>
      <c r="DI31" s="54">
        <f t="shared" si="53"/>
        <v>4.2293406494107115</v>
      </c>
      <c r="DJ31" s="54" t="e">
        <f t="shared" si="54"/>
        <v>#N/A</v>
      </c>
      <c r="DK31" s="54" t="e">
        <f t="shared" si="55"/>
        <v>#N/A</v>
      </c>
      <c r="DL31" s="54">
        <f t="shared" si="56"/>
        <v>3.3520894836903251E-2</v>
      </c>
      <c r="DM31" s="54" t="e">
        <f t="shared" si="57"/>
        <v>#N/A</v>
      </c>
      <c r="DN31" s="54" t="b">
        <f t="shared" si="58"/>
        <v>0</v>
      </c>
      <c r="DO31" s="54" t="b">
        <f t="shared" si="59"/>
        <v>1</v>
      </c>
      <c r="DP31" s="54" t="b">
        <f t="shared" si="60"/>
        <v>0</v>
      </c>
      <c r="DQ31" s="54" t="b">
        <f t="shared" si="61"/>
        <v>1</v>
      </c>
      <c r="DR31" s="54">
        <f t="shared" si="62"/>
        <v>3.3520894836903251E-2</v>
      </c>
      <c r="DS31" s="54" t="e">
        <f t="shared" si="63"/>
        <v>#N/A</v>
      </c>
      <c r="DT31" s="54">
        <f t="shared" si="64"/>
        <v>3.3520894836903251E-2</v>
      </c>
      <c r="DU31" s="72" t="str">
        <f t="shared" si="65"/>
        <v/>
      </c>
      <c r="DZ31" s="54">
        <f t="shared" si="66"/>
        <v>21</v>
      </c>
      <c r="EA31" s="54">
        <f t="shared" si="67"/>
        <v>22</v>
      </c>
      <c r="EB31" s="54">
        <f t="shared" si="68"/>
        <v>-2.5871712330707273</v>
      </c>
      <c r="EC31" s="54">
        <f t="shared" si="69"/>
        <v>1.4042511314589688E-2</v>
      </c>
      <c r="ED31" s="54" t="e">
        <f t="shared" si="70"/>
        <v>#N/A</v>
      </c>
      <c r="EE31" s="54" t="e">
        <f t="shared" si="71"/>
        <v>#N/A</v>
      </c>
      <c r="EF31" s="54" t="e">
        <f t="shared" si="72"/>
        <v>#N/A</v>
      </c>
      <c r="EG31" s="54" t="b">
        <f t="shared" si="73"/>
        <v>1</v>
      </c>
      <c r="EH31" s="54" t="b">
        <f t="shared" si="74"/>
        <v>0</v>
      </c>
      <c r="EI31" s="54" t="b">
        <f t="shared" si="75"/>
        <v>1</v>
      </c>
      <c r="EJ31" s="54" t="b">
        <f t="shared" si="76"/>
        <v>0</v>
      </c>
      <c r="EK31" s="54">
        <f t="shared" si="77"/>
        <v>1.4042511314589688E-2</v>
      </c>
      <c r="EL31" s="54">
        <f t="shared" si="78"/>
        <v>1.4042511314589688E-2</v>
      </c>
      <c r="EM31" s="54" t="e">
        <f t="shared" si="79"/>
        <v>#N/A</v>
      </c>
      <c r="EN31" s="72" t="str">
        <f t="shared" si="80"/>
        <v/>
      </c>
      <c r="EO3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3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3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31" s="54" t="e" cm="1">
        <f t="array" ref="ER31">IF($CK$3,INDEX(Eu_tabel_a[[#This Row],[Styrke venstre]:[Styrke tosidet]],ER$7),NA())</f>
        <v>#N/A</v>
      </c>
      <c r="ES31" s="54" t="e">
        <f>IF(ER$3,IF(CHOOSE(ER$7,Eu_tabel_a[[#This Row],[x base]]&gt;0,Eu_tabel_a[[#This Row],[x base]]&lt;0,Eu_tabel_a[[#This Row],[x base]]=0),1,NA()),NA())</f>
        <v>#N/A</v>
      </c>
      <c r="ET31" s="54" t="e">
        <f>IF(CHOOSE(ER$7,Eu_tabel_a[[#This Row],[x base]]&gt;0,Eu_tabel_a[[#This Row],[x base]]&lt;0,Eu_tabel_a[[#This Row],[x base]]=0),Eu_tabel_a[[#This Row],[Styrke, aktiv]],NA())</f>
        <v>#N/A</v>
      </c>
      <c r="EU31" s="54" t="e">
        <f>IFERROR(IF($ER$3,Eu_tabel_a[[#This Row],[Styrke, aktiv]],NA()),NA())</f>
        <v>#N/A</v>
      </c>
      <c r="EV31" s="54" t="e">
        <f>IF(ISNA(Eu_tabel_a[[#This Row],[Sand negativ
Nulhypotese afvises
Korrekt]]),NA(),IF(ER$3,1,NA()))</f>
        <v>#N/A</v>
      </c>
      <c r="EW31" s="55" t="str" cm="1">
        <f t="array" ref="EW31">IFERROR(_xlfn.SWITCH(Eu_tabel_a[[#This Row],[Indeks]],_xlfn.IFNA(EU$2,-99),EU$5,_xlfn.IFNA(EU$3,-99),EU$6,_xlfn.IFNA(EU$4,-99),EU$7,""),"")</f>
        <v/>
      </c>
      <c r="EX31" s="54">
        <f>Eu_tabel_a[[#This Row],[x base]]*SQRT(Eu_a_h0_x*(1-Eu_a_h0_x)/Eu_a_n_x)+Eu_a_h0_x</f>
        <v>0</v>
      </c>
      <c r="FC31" s="161" t="e">
        <f t="shared" si="18"/>
        <v>#N/A</v>
      </c>
      <c r="FD31" s="169" t="e">
        <f t="shared" ref="FD31:FD94" si="121">FD29+FI30</f>
        <v>#DIV/0!</v>
      </c>
      <c r="FE31" s="7" t="e">
        <f t="shared" si="12"/>
        <v>#DIV/0!</v>
      </c>
      <c r="FF31" t="e">
        <f t="shared" ref="FF31:FF94" si="122">FD31-FD30</f>
        <v>#DIV/0!</v>
      </c>
      <c r="FG31" s="8" t="e">
        <f t="shared" ref="FG31:FG94" si="123">FE31-FE30</f>
        <v>#DIV/0!</v>
      </c>
      <c r="FH31" s="8" t="e">
        <f t="shared" ref="FH31:FH94" si="124">$P$67-FE30</f>
        <v>#DIV/0!</v>
      </c>
      <c r="FI31" s="168" t="e">
        <f t="shared" ref="FI31:FI94" si="125">FF31/(FG31/FH31)</f>
        <v>#DIV/0!</v>
      </c>
      <c r="FJ31" s="161" t="e">
        <f t="shared" ca="1" si="13"/>
        <v>#N/A</v>
      </c>
      <c r="FK31" s="169" t="e" vm="3">
        <f t="shared" ca="1" si="19"/>
        <v>#VALUE!</v>
      </c>
      <c r="FL31" s="7" t="e" vm="3">
        <f t="shared" ca="1" si="14"/>
        <v>#VALUE!</v>
      </c>
      <c r="FM31" t="e" vm="3">
        <f t="shared" ca="1" si="8"/>
        <v>#VALUE!</v>
      </c>
      <c r="FN31" s="8" t="e" vm="3">
        <f t="shared" ca="1" si="9"/>
        <v>#VALUE!</v>
      </c>
      <c r="FO31" s="8" t="e" vm="3">
        <f t="shared" ca="1" si="10"/>
        <v>#VALUE!</v>
      </c>
      <c r="FP31" s="168" t="e" vm="3">
        <f t="shared" ca="1" si="11"/>
        <v>#VALUE!</v>
      </c>
      <c r="FQ31" s="161" t="e">
        <f t="shared" si="15"/>
        <v>#N/A</v>
      </c>
      <c r="FR31" s="169" t="e">
        <f t="shared" si="20"/>
        <v>#N/A</v>
      </c>
      <c r="FS31" s="7" t="e">
        <f t="shared" si="16"/>
        <v>#N/A</v>
      </c>
      <c r="FT31" t="e">
        <f t="shared" si="21"/>
        <v>#N/A</v>
      </c>
      <c r="FU31" s="8" t="e">
        <f t="shared" si="22"/>
        <v>#N/A</v>
      </c>
      <c r="FV31" s="8" t="e">
        <f t="shared" si="23"/>
        <v>#N/A</v>
      </c>
      <c r="FW31" s="168" t="e">
        <f t="shared" si="24"/>
        <v>#N/A</v>
      </c>
      <c r="FX31" s="161" t="e">
        <f t="shared" si="25"/>
        <v>#N/A</v>
      </c>
      <c r="FY31" s="169" t="e">
        <f t="shared" si="26"/>
        <v>#N/A</v>
      </c>
      <c r="FZ31" s="7" t="e">
        <f t="shared" si="17"/>
        <v>#N/A</v>
      </c>
      <c r="GA31" t="e">
        <f t="shared" si="27"/>
        <v>#N/A</v>
      </c>
      <c r="GB31" s="8" t="e">
        <f t="shared" si="28"/>
        <v>#N/A</v>
      </c>
      <c r="GC31" s="8" t="e">
        <f t="shared" si="29"/>
        <v>#N/A</v>
      </c>
      <c r="GD31" s="168" t="e">
        <f t="shared" si="30"/>
        <v>#N/A</v>
      </c>
      <c r="GE31" s="168"/>
      <c r="GF31" s="168"/>
      <c r="GI31" s="54">
        <f t="shared" si="81"/>
        <v>21</v>
      </c>
      <c r="GJ31" s="54">
        <f t="shared" si="82"/>
        <v>22</v>
      </c>
      <c r="GK31" s="54">
        <f t="shared" si="83"/>
        <v>-2.5871712330707273</v>
      </c>
      <c r="GL31" s="54">
        <f t="shared" si="84"/>
        <v>1.4042511314589688E-2</v>
      </c>
      <c r="GM31" s="54" t="e">
        <f t="shared" si="85"/>
        <v>#N/A</v>
      </c>
      <c r="GN31" s="54" t="e">
        <f t="shared" si="86"/>
        <v>#N/A</v>
      </c>
      <c r="GO31" s="54" t="e">
        <f t="shared" si="87"/>
        <v>#N/A</v>
      </c>
      <c r="GP31" s="54" t="b">
        <f t="shared" si="88"/>
        <v>1</v>
      </c>
      <c r="GQ31" s="54" t="b">
        <f t="shared" si="89"/>
        <v>0</v>
      </c>
      <c r="GR31" s="54" t="b">
        <f t="shared" si="90"/>
        <v>1</v>
      </c>
      <c r="GS31" s="54" t="b">
        <f t="shared" si="91"/>
        <v>0</v>
      </c>
      <c r="GT31" s="54">
        <f t="shared" si="92"/>
        <v>1.4042511314589688E-2</v>
      </c>
      <c r="GU31" s="54">
        <f t="shared" si="93"/>
        <v>1.4042511314589688E-2</v>
      </c>
      <c r="GV31" s="54" t="e">
        <f t="shared" si="94"/>
        <v>#N/A</v>
      </c>
      <c r="GW31" s="72" t="str">
        <f t="shared" si="95"/>
        <v/>
      </c>
      <c r="HC31" s="54">
        <f t="shared" si="96"/>
        <v>21</v>
      </c>
      <c r="HD31" s="54">
        <f t="shared" si="97"/>
        <v>22</v>
      </c>
      <c r="HE31" s="54">
        <f t="shared" si="98"/>
        <v>-4.0062889914181392</v>
      </c>
      <c r="HF31" s="54" t="e">
        <f t="shared" si="99"/>
        <v>#N/A</v>
      </c>
      <c r="HG31" s="54">
        <f t="shared" si="100"/>
        <v>3.2744098438161496E-3</v>
      </c>
      <c r="HH31" s="54" t="e">
        <f t="shared" si="101"/>
        <v>#N/A</v>
      </c>
      <c r="HI31" s="54" t="e">
        <f t="shared" si="102"/>
        <v>#N/A</v>
      </c>
      <c r="HJ31" s="54" t="b">
        <f t="shared" si="103"/>
        <v>1</v>
      </c>
      <c r="HK31" s="54" t="b">
        <f t="shared" si="104"/>
        <v>0</v>
      </c>
      <c r="HL31" s="54" t="b">
        <f t="shared" si="105"/>
        <v>1</v>
      </c>
      <c r="HM31" s="54" t="b">
        <f t="shared" si="106"/>
        <v>0</v>
      </c>
      <c r="HN31" s="54">
        <f t="shared" si="107"/>
        <v>3.2744098438161496E-3</v>
      </c>
      <c r="HO31" s="54">
        <f t="shared" si="108"/>
        <v>3.2744098438161496E-3</v>
      </c>
      <c r="HP31" s="54" t="e">
        <f t="shared" si="109"/>
        <v>#N/A</v>
      </c>
      <c r="HQ31" s="72" t="str">
        <f t="shared" si="110"/>
        <v/>
      </c>
    </row>
    <row r="32" spans="56:225" x14ac:dyDescent="0.2">
      <c r="BD32" s="100" t="s">
        <v>458</v>
      </c>
      <c r="BE32" s="58" t="s">
        <v>455</v>
      </c>
      <c r="BF32" s="58" t="s">
        <v>455</v>
      </c>
      <c r="BG32" s="58" t="s">
        <v>455</v>
      </c>
      <c r="BH32" s="58" t="s">
        <v>455</v>
      </c>
      <c r="BI32" s="58" t="s">
        <v>455</v>
      </c>
      <c r="BS32" s="139">
        <f t="shared" si="36"/>
        <v>22</v>
      </c>
      <c r="BT32" s="54">
        <f>Eu_tabel_g[[#This Row],[Indeks]]+1</f>
        <v>23</v>
      </c>
      <c r="BU32" s="139">
        <f t="shared" si="37"/>
        <v>-2.5632159438756279</v>
      </c>
      <c r="BV32" s="139">
        <f t="shared" si="38"/>
        <v>1.4936065002642981E-2</v>
      </c>
      <c r="BW32" s="139" t="e">
        <f t="shared" si="39"/>
        <v>#N/A</v>
      </c>
      <c r="BX32" s="139" t="e">
        <f t="shared" si="40"/>
        <v>#N/A</v>
      </c>
      <c r="BY32" s="139" t="e">
        <f t="shared" si="41"/>
        <v>#N/A</v>
      </c>
      <c r="BZ32" s="139" t="b">
        <f t="shared" si="42"/>
        <v>1</v>
      </c>
      <c r="CA32" s="139" t="b">
        <f t="shared" si="43"/>
        <v>0</v>
      </c>
      <c r="CB32" s="139" t="b">
        <f t="shared" si="44"/>
        <v>1</v>
      </c>
      <c r="CC32" s="139" t="b">
        <f t="shared" si="45"/>
        <v>0</v>
      </c>
      <c r="CD32" s="139">
        <f t="shared" si="118"/>
        <v>1.4936065002642981E-2</v>
      </c>
      <c r="CE32" s="139">
        <f t="shared" si="47"/>
        <v>1.4936065002642981E-2</v>
      </c>
      <c r="CF32" s="139" t="e">
        <f t="shared" si="48"/>
        <v>#N/A</v>
      </c>
      <c r="CG32" s="140" t="str">
        <f t="shared" si="49"/>
        <v/>
      </c>
      <c r="CH32" s="54">
        <f>_xlfn.NORM.DIST(_xlfn.NORM.INV(1-Eu_g_konfidensniveau,0,1)-Eu_tabel_g[[#This Row],[x base]],0,1,TRUE)</f>
        <v>0.82078539390681737</v>
      </c>
      <c r="CI32" s="54">
        <f>1-_xlfn.NORM.DIST(_xlfn.NORM.INV(Eu_g_konfidensniveau,0,1)-Eu_tabel_g[[#This Row],[x base]],0,1,TRUE)</f>
        <v>1.2878078825662165E-5</v>
      </c>
      <c r="CJ32" s="54">
        <f>_xlfn.NORM.DIST(_xlfn.NORM.INV((1-Eu_g_konfidensniveau)/2,0,1)-Eu_tabel_g[[#This Row],[x base]],0,1,TRUE)+1-_xlfn.NORM.DIST(_xlfn.NORM.INV(1-(1-Eu_g_konfidensniveau)/2,0,1)-Eu_tabel_g[[#This Row],[x base]],0,1,TRUE)</f>
        <v>0.726832502579835</v>
      </c>
      <c r="CK32" s="54" t="e" cm="1">
        <f t="array" ref="CK32">IF($CK$3,INDEX(Eu_tabel_g[[#This Row],[Styrke venstre]:[Styrke tosidet]],CK$7),NA())</f>
        <v>#N/A</v>
      </c>
      <c r="CL32" s="99" t="e">
        <f>Eu_tabel_g[[#This Row],[Falsk positiv
Nulhypotese accepteres
Fejltype 1]]</f>
        <v>#N/A</v>
      </c>
      <c r="CM32" s="99" t="e">
        <f>IF(CHOOSE(CK$7,Eu_tabel_g[[#This Row],[x base]]&gt;0,Eu_tabel_g[[#This Row],[x base]]&lt;0,Eu_tabel_g[[#This Row],[x base]]=0),Eu_tabel_g[[#This Row],[Styrke, aktiv]],NA())</f>
        <v>#N/A</v>
      </c>
      <c r="CN32" s="99" t="e">
        <f>IFERROR(IF($CK$3,Eu_tabel_g[[#This Row],[Styrke, aktiv]],NA()),NA())</f>
        <v>#N/A</v>
      </c>
      <c r="CO32" s="99" t="e">
        <f>IF(ISNA(Eu_tabel_g[[#This Row],[Sand negativ
Nulhypotese afvises
Korrekt]]),NA(),IF($CK$3,1,NA()))</f>
        <v>#N/A</v>
      </c>
      <c r="CP32" s="56" t="str" cm="1">
        <f t="array" ref="CP32">_xlfn.SWITCH(BS32,_xlfn.IFNA(CN$2,-99),CN$5,_xlfn.IFNA(CN$3,-99),CN$6,_xlfn.IFNA(CN$4,-99),CN$7,"")</f>
        <v/>
      </c>
      <c r="CT32" s="7">
        <f t="shared" si="50"/>
        <v>0.8</v>
      </c>
      <c r="CU32">
        <f>IF(ROW(Styrkeberegning_G[[#This Row],[X base venstre]])=ROW(Styrkeberegning_G[[#Headers],[X base venstre]])+1,CU$7/(CT$7/$B$67),CU31/(CT31/$B$67))</f>
        <v>-2.8015817870135784</v>
      </c>
      <c r="CV32">
        <f>Styrkeberegning_G[[#This Row],[X base venstre]]*-1</f>
        <v>2.8015817870135784</v>
      </c>
      <c r="DG32" s="139">
        <f t="shared" si="51"/>
        <v>22</v>
      </c>
      <c r="DH32" s="54">
        <f t="shared" si="52"/>
        <v>23</v>
      </c>
      <c r="DI32" s="139">
        <f t="shared" si="53"/>
        <v>4.3434115058277127</v>
      </c>
      <c r="DJ32" s="139" t="e">
        <f t="shared" si="54"/>
        <v>#N/A</v>
      </c>
      <c r="DK32" s="139" t="e">
        <f t="shared" si="55"/>
        <v>#N/A</v>
      </c>
      <c r="DL32" s="139">
        <f t="shared" si="56"/>
        <v>3.5690927255072682E-2</v>
      </c>
      <c r="DM32" s="139" t="e">
        <f t="shared" si="57"/>
        <v>#N/A</v>
      </c>
      <c r="DN32" s="139" t="b">
        <f t="shared" si="58"/>
        <v>0</v>
      </c>
      <c r="DO32" s="139" t="b">
        <f t="shared" si="59"/>
        <v>1</v>
      </c>
      <c r="DP32" s="139" t="b">
        <f t="shared" si="60"/>
        <v>0</v>
      </c>
      <c r="DQ32" s="139" t="b">
        <f t="shared" si="61"/>
        <v>1</v>
      </c>
      <c r="DR32" s="139">
        <f t="shared" si="62"/>
        <v>3.5690927255072682E-2</v>
      </c>
      <c r="DS32" s="139" t="e">
        <f t="shared" si="63"/>
        <v>#N/A</v>
      </c>
      <c r="DT32" s="139">
        <f t="shared" si="64"/>
        <v>3.5690927255072682E-2</v>
      </c>
      <c r="DU32" s="140" t="str">
        <f t="shared" si="65"/>
        <v/>
      </c>
      <c r="DZ32" s="139">
        <f t="shared" si="66"/>
        <v>22</v>
      </c>
      <c r="EA32" s="54">
        <f t="shared" si="67"/>
        <v>23</v>
      </c>
      <c r="EB32" s="139">
        <f t="shared" si="68"/>
        <v>-2.5632159438756279</v>
      </c>
      <c r="EC32" s="139">
        <f t="shared" si="69"/>
        <v>1.4936065002642981E-2</v>
      </c>
      <c r="ED32" s="139" t="e">
        <f t="shared" si="70"/>
        <v>#N/A</v>
      </c>
      <c r="EE32" s="139" t="e">
        <f t="shared" si="71"/>
        <v>#N/A</v>
      </c>
      <c r="EF32" s="139" t="e">
        <f t="shared" si="72"/>
        <v>#N/A</v>
      </c>
      <c r="EG32" s="139" t="b">
        <f t="shared" si="73"/>
        <v>1</v>
      </c>
      <c r="EH32" s="139" t="b">
        <f t="shared" si="74"/>
        <v>0</v>
      </c>
      <c r="EI32" s="139" t="b">
        <f t="shared" si="75"/>
        <v>1</v>
      </c>
      <c r="EJ32" s="139" t="b">
        <f t="shared" si="76"/>
        <v>0</v>
      </c>
      <c r="EK32" s="139">
        <f t="shared" si="77"/>
        <v>1.4936065002642981E-2</v>
      </c>
      <c r="EL32" s="139">
        <f t="shared" si="78"/>
        <v>1.4936065002642981E-2</v>
      </c>
      <c r="EM32" s="139" t="e">
        <f t="shared" si="79"/>
        <v>#N/A</v>
      </c>
      <c r="EN32" s="140" t="str">
        <f t="shared" si="80"/>
        <v/>
      </c>
      <c r="EO3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3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3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32" s="54" t="e" cm="1">
        <f t="array" ref="ER32">IF($CK$3,INDEX(Eu_tabel_a[[#This Row],[Styrke venstre]:[Styrke tosidet]],ER$7),NA())</f>
        <v>#N/A</v>
      </c>
      <c r="ES32" s="54" t="e">
        <f>IF(ER$3,IF(CHOOSE(ER$7,Eu_tabel_a[[#This Row],[x base]]&gt;0,Eu_tabel_a[[#This Row],[x base]]&lt;0,Eu_tabel_a[[#This Row],[x base]]=0),1,NA()),NA())</f>
        <v>#N/A</v>
      </c>
      <c r="ET32" s="54" t="e">
        <f>IF(CHOOSE(ER$7,Eu_tabel_a[[#This Row],[x base]]&gt;0,Eu_tabel_a[[#This Row],[x base]]&lt;0,Eu_tabel_a[[#This Row],[x base]]=0),Eu_tabel_a[[#This Row],[Styrke, aktiv]],NA())</f>
        <v>#N/A</v>
      </c>
      <c r="EU32" s="54" t="e">
        <f>IFERROR(IF($ER$3,Eu_tabel_a[[#This Row],[Styrke, aktiv]],NA()),NA())</f>
        <v>#N/A</v>
      </c>
      <c r="EV32" s="54" t="e">
        <f>IF(ISNA(Eu_tabel_a[[#This Row],[Sand negativ
Nulhypotese afvises
Korrekt]]),NA(),IF(ER$3,1,NA()))</f>
        <v>#N/A</v>
      </c>
      <c r="EW32" s="55" t="str" cm="1">
        <f t="array" ref="EW32">IFERROR(_xlfn.SWITCH(Eu_tabel_a[[#This Row],[Indeks]],_xlfn.IFNA(EU$2,-99),EU$5,_xlfn.IFNA(EU$3,-99),EU$6,_xlfn.IFNA(EU$4,-99),EU$7,""),"")</f>
        <v/>
      </c>
      <c r="EX32" s="54">
        <f>Eu_tabel_a[[#This Row],[x base]]*SQRT(Eu_a_h0_x*(1-Eu_a_h0_x)/Eu_a_n_x)+Eu_a_h0_x</f>
        <v>0</v>
      </c>
      <c r="FC32" s="161" t="e">
        <f t="shared" si="18"/>
        <v>#N/A</v>
      </c>
      <c r="FD32" s="169" t="e">
        <f t="shared" si="121"/>
        <v>#DIV/0!</v>
      </c>
      <c r="FE32" s="7" t="e">
        <f t="shared" si="12"/>
        <v>#DIV/0!</v>
      </c>
      <c r="FF32" t="e">
        <f t="shared" si="122"/>
        <v>#DIV/0!</v>
      </c>
      <c r="FG32" s="8" t="e">
        <f t="shared" si="123"/>
        <v>#DIV/0!</v>
      </c>
      <c r="FH32" s="8" t="e">
        <f t="shared" si="124"/>
        <v>#DIV/0!</v>
      </c>
      <c r="FI32" s="168" t="e">
        <f t="shared" si="125"/>
        <v>#DIV/0!</v>
      </c>
      <c r="FJ32" s="161" t="e">
        <f t="shared" ca="1" si="13"/>
        <v>#N/A</v>
      </c>
      <c r="FK32" s="169" t="e" vm="3">
        <f t="shared" ca="1" si="19"/>
        <v>#VALUE!</v>
      </c>
      <c r="FL32" s="7" t="e" vm="3">
        <f t="shared" ca="1" si="14"/>
        <v>#VALUE!</v>
      </c>
      <c r="FM32" t="e" vm="3">
        <f t="shared" ca="1" si="8"/>
        <v>#VALUE!</v>
      </c>
      <c r="FN32" s="8" t="e" vm="3">
        <f t="shared" ca="1" si="9"/>
        <v>#VALUE!</v>
      </c>
      <c r="FO32" s="8" t="e" vm="3">
        <f t="shared" ca="1" si="10"/>
        <v>#VALUE!</v>
      </c>
      <c r="FP32" s="168" t="e" vm="3">
        <f t="shared" ca="1" si="11"/>
        <v>#VALUE!</v>
      </c>
      <c r="FQ32" s="161" t="e">
        <f t="shared" si="15"/>
        <v>#N/A</v>
      </c>
      <c r="FR32" s="169" t="e">
        <f t="shared" si="20"/>
        <v>#N/A</v>
      </c>
      <c r="FS32" s="7" t="e">
        <f t="shared" si="16"/>
        <v>#N/A</v>
      </c>
      <c r="FT32" t="e">
        <f t="shared" si="21"/>
        <v>#N/A</v>
      </c>
      <c r="FU32" s="8" t="e">
        <f t="shared" si="22"/>
        <v>#N/A</v>
      </c>
      <c r="FV32" s="8" t="e">
        <f t="shared" si="23"/>
        <v>#N/A</v>
      </c>
      <c r="FW32" s="168" t="e">
        <f t="shared" si="24"/>
        <v>#N/A</v>
      </c>
      <c r="FX32" s="161" t="e">
        <f t="shared" si="25"/>
        <v>#N/A</v>
      </c>
      <c r="FY32" s="169" t="e">
        <f t="shared" si="26"/>
        <v>#N/A</v>
      </c>
      <c r="FZ32" s="7" t="e">
        <f t="shared" si="17"/>
        <v>#N/A</v>
      </c>
      <c r="GA32" t="e">
        <f t="shared" si="27"/>
        <v>#N/A</v>
      </c>
      <c r="GB32" s="8" t="e">
        <f t="shared" si="28"/>
        <v>#N/A</v>
      </c>
      <c r="GC32" s="8" t="e">
        <f t="shared" si="29"/>
        <v>#N/A</v>
      </c>
      <c r="GD32" s="168" t="e">
        <f t="shared" si="30"/>
        <v>#N/A</v>
      </c>
      <c r="GE32" s="168"/>
      <c r="GF32" s="168"/>
      <c r="GI32" s="139">
        <f t="shared" si="81"/>
        <v>22</v>
      </c>
      <c r="GJ32" s="54">
        <f t="shared" si="82"/>
        <v>23</v>
      </c>
      <c r="GK32" s="139">
        <f t="shared" si="83"/>
        <v>-2.5632159438756279</v>
      </c>
      <c r="GL32" s="139">
        <f t="shared" si="84"/>
        <v>1.4936065002642981E-2</v>
      </c>
      <c r="GM32" s="139" t="e">
        <f t="shared" si="85"/>
        <v>#N/A</v>
      </c>
      <c r="GN32" s="139" t="e">
        <f t="shared" si="86"/>
        <v>#N/A</v>
      </c>
      <c r="GO32" s="139" t="e">
        <f t="shared" si="87"/>
        <v>#N/A</v>
      </c>
      <c r="GP32" s="139" t="b">
        <f t="shared" si="88"/>
        <v>1</v>
      </c>
      <c r="GQ32" s="139" t="b">
        <f t="shared" si="89"/>
        <v>0</v>
      </c>
      <c r="GR32" s="139" t="b">
        <f t="shared" si="90"/>
        <v>1</v>
      </c>
      <c r="GS32" s="139" t="b">
        <f t="shared" si="91"/>
        <v>0</v>
      </c>
      <c r="GT32" s="139">
        <f t="shared" si="92"/>
        <v>1.4936065002642981E-2</v>
      </c>
      <c r="GU32" s="139">
        <f t="shared" si="93"/>
        <v>1.4936065002642981E-2</v>
      </c>
      <c r="GV32" s="139" t="e">
        <f t="shared" si="94"/>
        <v>#N/A</v>
      </c>
      <c r="GW32" s="140" t="str">
        <f t="shared" si="95"/>
        <v/>
      </c>
      <c r="HC32" s="139">
        <f t="shared" si="96"/>
        <v>22</v>
      </c>
      <c r="HD32" s="54">
        <f t="shared" si="97"/>
        <v>23</v>
      </c>
      <c r="HE32" s="139">
        <f t="shared" si="98"/>
        <v>-3.9691937229790826</v>
      </c>
      <c r="HF32" s="139" t="e">
        <f t="shared" si="99"/>
        <v>#N/A</v>
      </c>
      <c r="HG32" s="139">
        <f t="shared" si="100"/>
        <v>3.4480547160141268E-3</v>
      </c>
      <c r="HH32" s="139" t="e">
        <f t="shared" si="101"/>
        <v>#N/A</v>
      </c>
      <c r="HI32" s="139" t="e">
        <f t="shared" si="102"/>
        <v>#N/A</v>
      </c>
      <c r="HJ32" s="139" t="b">
        <f t="shared" si="103"/>
        <v>1</v>
      </c>
      <c r="HK32" s="139" t="b">
        <f t="shared" si="104"/>
        <v>0</v>
      </c>
      <c r="HL32" s="139" t="b">
        <f t="shared" si="105"/>
        <v>1</v>
      </c>
      <c r="HM32" s="139" t="b">
        <f t="shared" si="106"/>
        <v>0</v>
      </c>
      <c r="HN32" s="139">
        <f t="shared" si="107"/>
        <v>3.4480547160141268E-3</v>
      </c>
      <c r="HO32" s="139">
        <f t="shared" si="108"/>
        <v>3.4480547160141268E-3</v>
      </c>
      <c r="HP32" s="139" t="e">
        <f t="shared" si="109"/>
        <v>#N/A</v>
      </c>
      <c r="HQ32" s="140" t="str">
        <f t="shared" si="110"/>
        <v/>
      </c>
    </row>
    <row r="33" spans="1:225" x14ac:dyDescent="0.2">
      <c r="N33" s="146"/>
      <c r="BD33" s="58" t="s">
        <v>155</v>
      </c>
      <c r="BE33" s="60" t="b">
        <f>_xlfn.IFNA(IF(INDEX(BE18:BE21,BE23)&lt;&gt;0,IF(BE23&gt;0,INDEX(BE18:BE21,BE23),""),""),"")</f>
        <v>1</v>
      </c>
      <c r="BF33" s="60" t="b">
        <f>_xlfn.IFNA(IF(INDEX(BF18:BF21,BF23)&lt;&gt;0,IF(BF23&gt;0,INDEX(BF18:BF21,BF23),""),""),"")</f>
        <v>1</v>
      </c>
      <c r="BG33" s="60" t="b">
        <f t="shared" ref="BG33:BH33" si="126">_xlfn.IFNA(IF(INDEX(BG18:BG21,BG23)&lt;&gt;0,IF(BG23&gt;0,INDEX(BG18:BG21,BG23),""),""),"")</f>
        <v>1</v>
      </c>
      <c r="BH33" s="60" t="b">
        <f t="shared" si="126"/>
        <v>1</v>
      </c>
      <c r="BI33" s="60" t="b">
        <f t="shared" ref="BI33" si="127">_xlfn.IFNA(IF(INDEX(BI18:BI21,BI23)&lt;&gt;0,IF(BI23&gt;0,INDEX(BI18:BI21,BI23),""),""),"")</f>
        <v>1</v>
      </c>
      <c r="BS33" s="139">
        <f t="shared" si="36"/>
        <v>23</v>
      </c>
      <c r="BT33" s="54">
        <f>Eu_tabel_g[[#This Row],[Indeks]]+1</f>
        <v>24</v>
      </c>
      <c r="BU33" s="139">
        <f t="shared" si="37"/>
        <v>-2.5392606546805285</v>
      </c>
      <c r="BV33" s="139">
        <f t="shared" si="38"/>
        <v>1.5877363404520849E-2</v>
      </c>
      <c r="BW33" s="139" t="e">
        <f t="shared" si="39"/>
        <v>#N/A</v>
      </c>
      <c r="BX33" s="139" t="e">
        <f t="shared" si="40"/>
        <v>#N/A</v>
      </c>
      <c r="BY33" s="139" t="e">
        <f t="shared" si="41"/>
        <v>#N/A</v>
      </c>
      <c r="BZ33" s="139" t="b">
        <f t="shared" si="42"/>
        <v>1</v>
      </c>
      <c r="CA33" s="139" t="b">
        <f t="shared" si="43"/>
        <v>0</v>
      </c>
      <c r="CB33" s="139" t="b">
        <f t="shared" si="44"/>
        <v>1</v>
      </c>
      <c r="CC33" s="139" t="b">
        <f t="shared" si="45"/>
        <v>0</v>
      </c>
      <c r="CD33" s="139">
        <f t="shared" ref="CD33:CD61" si="128">_xlfn.AGGREGATE(9,6,BV33:BY33)</f>
        <v>1.5877363404520849E-2</v>
      </c>
      <c r="CE33" s="139">
        <f t="shared" si="47"/>
        <v>1.5877363404520849E-2</v>
      </c>
      <c r="CF33" s="139" t="e">
        <f t="shared" si="48"/>
        <v>#N/A</v>
      </c>
      <c r="CG33" s="140" t="str">
        <f t="shared" si="49"/>
        <v/>
      </c>
      <c r="CH33" s="54">
        <f>_xlfn.NORM.DIST(_xlfn.NORM.INV(1-Eu_g_konfidensniveau,0,1)-Eu_tabel_g[[#This Row],[x base]],0,1,TRUE)</f>
        <v>0.8144479231481434</v>
      </c>
      <c r="CI33" s="54">
        <f>1-_xlfn.NORM.DIST(_xlfn.NORM.INV(Eu_g_konfidensniveau,0,1)-Eu_tabel_g[[#This Row],[x base]],0,1,TRUE)</f>
        <v>1.4314003777604611E-5</v>
      </c>
      <c r="CJ33" s="54">
        <f>_xlfn.NORM.DIST(_xlfn.NORM.INV((1-Eu_g_konfidensniveau)/2,0,1)-Eu_tabel_g[[#This Row],[x base]],0,1,TRUE)+1-_xlfn.NORM.DIST(_xlfn.NORM.INV(1-(1-Eu_g_konfidensniveau)/2,0,1)-Eu_tabel_g[[#This Row],[x base]],0,1,TRUE)</f>
        <v>0.71880890410963205</v>
      </c>
      <c r="CK33" s="54" t="e" cm="1">
        <f t="array" ref="CK33">IF($CK$3,INDEX(Eu_tabel_g[[#This Row],[Styrke venstre]:[Styrke tosidet]],CK$7),NA())</f>
        <v>#N/A</v>
      </c>
      <c r="CL33" s="99" t="e">
        <f>Eu_tabel_g[[#This Row],[Falsk positiv
Nulhypotese accepteres
Fejltype 1]]</f>
        <v>#N/A</v>
      </c>
      <c r="CM33" s="99" t="e">
        <f>IF(CHOOSE(CK$7,Eu_tabel_g[[#This Row],[x base]]&gt;0,Eu_tabel_g[[#This Row],[x base]]&lt;0,Eu_tabel_g[[#This Row],[x base]]=0),Eu_tabel_g[[#This Row],[Styrke, aktiv]],NA())</f>
        <v>#N/A</v>
      </c>
      <c r="CN33" s="99" t="e">
        <f>IFERROR(IF($CK$3,Eu_tabel_g[[#This Row],[Styrke, aktiv]],NA()),NA())</f>
        <v>#N/A</v>
      </c>
      <c r="CO33" s="99" t="e">
        <f>IF(ISNA(Eu_tabel_g[[#This Row],[Sand negativ
Nulhypotese afvises
Korrekt]]),NA(),IF($CK$3,1,NA()))</f>
        <v>#N/A</v>
      </c>
      <c r="CP33" s="56" t="str" cm="1">
        <f t="array" ref="CP33">_xlfn.SWITCH(BS33,_xlfn.IFNA(CN$2,-99),CN$5,_xlfn.IFNA(CN$3,-99),CN$6,_xlfn.IFNA(CN$4,-99),CN$7,"")</f>
        <v/>
      </c>
      <c r="CT33" s="7">
        <f t="shared" si="50"/>
        <v>0.8</v>
      </c>
      <c r="CU33">
        <f>IF(ROW(Styrkeberegning_G[[#This Row],[X base venstre]])=ROW(Styrkeberegning_G[[#Headers],[X base venstre]])+1,CU$7/(CT$7/$B$67),CU32/(CT32/$B$67))</f>
        <v>-2.8015817870135784</v>
      </c>
      <c r="CV33">
        <f>Styrkeberegning_G[[#This Row],[X base venstre]]*-1</f>
        <v>2.8015817870135784</v>
      </c>
      <c r="DG33" s="139">
        <f t="shared" si="51"/>
        <v>23</v>
      </c>
      <c r="DH33" s="54">
        <f t="shared" si="52"/>
        <v>24</v>
      </c>
      <c r="DI33" s="139">
        <f t="shared" si="53"/>
        <v>4.4574823622447131</v>
      </c>
      <c r="DJ33" s="139" t="e">
        <f t="shared" si="54"/>
        <v>#N/A</v>
      </c>
      <c r="DK33" s="139" t="e">
        <f t="shared" si="55"/>
        <v>#N/A</v>
      </c>
      <c r="DL33" s="139">
        <f t="shared" si="56"/>
        <v>3.7883632157168431E-2</v>
      </c>
      <c r="DM33" s="139" t="e">
        <f t="shared" si="57"/>
        <v>#N/A</v>
      </c>
      <c r="DN33" s="139" t="b">
        <f t="shared" si="58"/>
        <v>0</v>
      </c>
      <c r="DO33" s="139" t="b">
        <f t="shared" si="59"/>
        <v>1</v>
      </c>
      <c r="DP33" s="139" t="b">
        <f t="shared" si="60"/>
        <v>0</v>
      </c>
      <c r="DQ33" s="139" t="b">
        <f t="shared" si="61"/>
        <v>1</v>
      </c>
      <c r="DR33" s="139">
        <f t="shared" si="62"/>
        <v>3.7883632157168431E-2</v>
      </c>
      <c r="DS33" s="139" t="e">
        <f t="shared" si="63"/>
        <v>#N/A</v>
      </c>
      <c r="DT33" s="139">
        <f t="shared" si="64"/>
        <v>3.7883632157168431E-2</v>
      </c>
      <c r="DU33" s="140" t="str">
        <f t="shared" si="65"/>
        <v/>
      </c>
      <c r="DZ33" s="139">
        <f t="shared" si="66"/>
        <v>23</v>
      </c>
      <c r="EA33" s="54">
        <f t="shared" si="67"/>
        <v>24</v>
      </c>
      <c r="EB33" s="139">
        <f t="shared" si="68"/>
        <v>-2.5392606546805285</v>
      </c>
      <c r="EC33" s="139">
        <f t="shared" si="69"/>
        <v>1.5877363404520849E-2</v>
      </c>
      <c r="ED33" s="139" t="e">
        <f t="shared" si="70"/>
        <v>#N/A</v>
      </c>
      <c r="EE33" s="139" t="e">
        <f t="shared" si="71"/>
        <v>#N/A</v>
      </c>
      <c r="EF33" s="139" t="e">
        <f t="shared" si="72"/>
        <v>#N/A</v>
      </c>
      <c r="EG33" s="139" t="b">
        <f t="shared" si="73"/>
        <v>1</v>
      </c>
      <c r="EH33" s="139" t="b">
        <f t="shared" si="74"/>
        <v>0</v>
      </c>
      <c r="EI33" s="139" t="b">
        <f t="shared" si="75"/>
        <v>1</v>
      </c>
      <c r="EJ33" s="139" t="b">
        <f t="shared" si="76"/>
        <v>0</v>
      </c>
      <c r="EK33" s="139">
        <f t="shared" si="77"/>
        <v>1.5877363404520849E-2</v>
      </c>
      <c r="EL33" s="139">
        <f t="shared" si="78"/>
        <v>1.5877363404520849E-2</v>
      </c>
      <c r="EM33" s="139" t="e">
        <f t="shared" si="79"/>
        <v>#N/A</v>
      </c>
      <c r="EN33" s="140" t="str">
        <f t="shared" si="80"/>
        <v/>
      </c>
      <c r="EO3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3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3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33" s="54" t="e" cm="1">
        <f t="array" ref="ER33">IF($CK$3,INDEX(Eu_tabel_a[[#This Row],[Styrke venstre]:[Styrke tosidet]],ER$7),NA())</f>
        <v>#N/A</v>
      </c>
      <c r="ES33" s="54" t="e">
        <f>IF(ER$3,IF(CHOOSE(ER$7,Eu_tabel_a[[#This Row],[x base]]&gt;0,Eu_tabel_a[[#This Row],[x base]]&lt;0,Eu_tabel_a[[#This Row],[x base]]=0),1,NA()),NA())</f>
        <v>#N/A</v>
      </c>
      <c r="ET33" s="54" t="e">
        <f>IF(CHOOSE(ER$7,Eu_tabel_a[[#This Row],[x base]]&gt;0,Eu_tabel_a[[#This Row],[x base]]&lt;0,Eu_tabel_a[[#This Row],[x base]]=0),Eu_tabel_a[[#This Row],[Styrke, aktiv]],NA())</f>
        <v>#N/A</v>
      </c>
      <c r="EU33" s="54" t="e">
        <f>IFERROR(IF($ER$3,Eu_tabel_a[[#This Row],[Styrke, aktiv]],NA()),NA())</f>
        <v>#N/A</v>
      </c>
      <c r="EV33" s="54" t="e">
        <f>IF(ISNA(Eu_tabel_a[[#This Row],[Sand negativ
Nulhypotese afvises
Korrekt]]),NA(),IF(ER$3,1,NA()))</f>
        <v>#N/A</v>
      </c>
      <c r="EW33" s="55" t="str" cm="1">
        <f t="array" ref="EW33">IFERROR(_xlfn.SWITCH(Eu_tabel_a[[#This Row],[Indeks]],_xlfn.IFNA(EU$2,-99),EU$5,_xlfn.IFNA(EU$3,-99),EU$6,_xlfn.IFNA(EU$4,-99),EU$7,""),"")</f>
        <v/>
      </c>
      <c r="EX33" s="54">
        <f>Eu_tabel_a[[#This Row],[x base]]*SQRT(Eu_a_h0_x*(1-Eu_a_h0_x)/Eu_a_n_x)+Eu_a_h0_x</f>
        <v>0</v>
      </c>
      <c r="FC33" s="161" t="e">
        <f t="shared" si="18"/>
        <v>#N/A</v>
      </c>
      <c r="FD33" s="169" t="e">
        <f t="shared" si="121"/>
        <v>#DIV/0!</v>
      </c>
      <c r="FE33" s="7" t="e">
        <f t="shared" si="12"/>
        <v>#DIV/0!</v>
      </c>
      <c r="FF33" t="e">
        <f t="shared" si="122"/>
        <v>#DIV/0!</v>
      </c>
      <c r="FG33" s="8" t="e">
        <f t="shared" si="123"/>
        <v>#DIV/0!</v>
      </c>
      <c r="FH33" s="8" t="e">
        <f t="shared" si="124"/>
        <v>#DIV/0!</v>
      </c>
      <c r="FI33" s="168" t="e">
        <f t="shared" si="125"/>
        <v>#DIV/0!</v>
      </c>
      <c r="FJ33" s="161" t="e">
        <f t="shared" ca="1" si="13"/>
        <v>#N/A</v>
      </c>
      <c r="FK33" s="169" t="e" vm="3">
        <f t="shared" ca="1" si="19"/>
        <v>#VALUE!</v>
      </c>
      <c r="FL33" s="7" t="e" vm="3">
        <f t="shared" ca="1" si="14"/>
        <v>#VALUE!</v>
      </c>
      <c r="FM33" t="e" vm="3">
        <f t="shared" ca="1" si="8"/>
        <v>#VALUE!</v>
      </c>
      <c r="FN33" s="8" t="e" vm="3">
        <f t="shared" ca="1" si="9"/>
        <v>#VALUE!</v>
      </c>
      <c r="FO33" s="8" t="e" vm="3">
        <f t="shared" ca="1" si="10"/>
        <v>#VALUE!</v>
      </c>
      <c r="FP33" s="168" t="e" vm="3">
        <f t="shared" ca="1" si="11"/>
        <v>#VALUE!</v>
      </c>
      <c r="FQ33" s="161" t="e">
        <f t="shared" si="15"/>
        <v>#N/A</v>
      </c>
      <c r="FR33" s="169" t="e">
        <f t="shared" si="20"/>
        <v>#N/A</v>
      </c>
      <c r="FS33" s="7" t="e">
        <f t="shared" si="16"/>
        <v>#N/A</v>
      </c>
      <c r="FT33" t="e">
        <f t="shared" si="21"/>
        <v>#N/A</v>
      </c>
      <c r="FU33" s="8" t="e">
        <f t="shared" si="22"/>
        <v>#N/A</v>
      </c>
      <c r="FV33" s="8" t="e">
        <f t="shared" si="23"/>
        <v>#N/A</v>
      </c>
      <c r="FW33" s="168" t="e">
        <f t="shared" si="24"/>
        <v>#N/A</v>
      </c>
      <c r="FX33" s="161" t="e">
        <f t="shared" si="25"/>
        <v>#N/A</v>
      </c>
      <c r="FY33" s="169" t="e">
        <f t="shared" si="26"/>
        <v>#N/A</v>
      </c>
      <c r="FZ33" s="7" t="e">
        <f t="shared" si="17"/>
        <v>#N/A</v>
      </c>
      <c r="GA33" t="e">
        <f t="shared" si="27"/>
        <v>#N/A</v>
      </c>
      <c r="GB33" s="8" t="e">
        <f t="shared" si="28"/>
        <v>#N/A</v>
      </c>
      <c r="GC33" s="8" t="e">
        <f t="shared" si="29"/>
        <v>#N/A</v>
      </c>
      <c r="GD33" s="168" t="e">
        <f t="shared" si="30"/>
        <v>#N/A</v>
      </c>
      <c r="GE33" s="168"/>
      <c r="GF33" s="168"/>
      <c r="GI33" s="139">
        <f t="shared" si="81"/>
        <v>23</v>
      </c>
      <c r="GJ33" s="54">
        <f t="shared" si="82"/>
        <v>24</v>
      </c>
      <c r="GK33" s="139">
        <f t="shared" si="83"/>
        <v>-2.5392606546805285</v>
      </c>
      <c r="GL33" s="139">
        <f t="shared" si="84"/>
        <v>1.5877363404520849E-2</v>
      </c>
      <c r="GM33" s="139" t="e">
        <f t="shared" si="85"/>
        <v>#N/A</v>
      </c>
      <c r="GN33" s="139" t="e">
        <f t="shared" si="86"/>
        <v>#N/A</v>
      </c>
      <c r="GO33" s="139" t="e">
        <f t="shared" si="87"/>
        <v>#N/A</v>
      </c>
      <c r="GP33" s="139" t="b">
        <f t="shared" si="88"/>
        <v>1</v>
      </c>
      <c r="GQ33" s="139" t="b">
        <f t="shared" si="89"/>
        <v>0</v>
      </c>
      <c r="GR33" s="139" t="b">
        <f t="shared" si="90"/>
        <v>1</v>
      </c>
      <c r="GS33" s="139" t="b">
        <f t="shared" si="91"/>
        <v>0</v>
      </c>
      <c r="GT33" s="139">
        <f t="shared" si="92"/>
        <v>1.5877363404520849E-2</v>
      </c>
      <c r="GU33" s="139">
        <f t="shared" si="93"/>
        <v>1.5877363404520849E-2</v>
      </c>
      <c r="GV33" s="139" t="e">
        <f t="shared" si="94"/>
        <v>#N/A</v>
      </c>
      <c r="GW33" s="140" t="str">
        <f t="shared" si="95"/>
        <v/>
      </c>
      <c r="HC33" s="139">
        <f t="shared" si="96"/>
        <v>23</v>
      </c>
      <c r="HD33" s="54">
        <f t="shared" si="97"/>
        <v>24</v>
      </c>
      <c r="HE33" s="139">
        <f t="shared" si="98"/>
        <v>-3.9320984545400255</v>
      </c>
      <c r="HF33" s="139" t="e">
        <f t="shared" si="99"/>
        <v>#N/A</v>
      </c>
      <c r="HG33" s="139">
        <f t="shared" si="100"/>
        <v>3.6315839884640427E-3</v>
      </c>
      <c r="HH33" s="139" t="e">
        <f t="shared" si="101"/>
        <v>#N/A</v>
      </c>
      <c r="HI33" s="139" t="e">
        <f t="shared" si="102"/>
        <v>#N/A</v>
      </c>
      <c r="HJ33" s="139" t="b">
        <f t="shared" si="103"/>
        <v>1</v>
      </c>
      <c r="HK33" s="139" t="b">
        <f t="shared" si="104"/>
        <v>0</v>
      </c>
      <c r="HL33" s="139" t="b">
        <f t="shared" si="105"/>
        <v>1</v>
      </c>
      <c r="HM33" s="139" t="b">
        <f t="shared" si="106"/>
        <v>0</v>
      </c>
      <c r="HN33" s="139">
        <f t="shared" si="107"/>
        <v>3.6315839884640427E-3</v>
      </c>
      <c r="HO33" s="139">
        <f t="shared" si="108"/>
        <v>3.6315839884640427E-3</v>
      </c>
      <c r="HP33" s="139" t="e">
        <f t="shared" si="109"/>
        <v>#N/A</v>
      </c>
      <c r="HQ33" s="140" t="str">
        <f t="shared" si="110"/>
        <v/>
      </c>
    </row>
    <row r="34" spans="1:225" x14ac:dyDescent="0.2">
      <c r="A34" s="63" t="s">
        <v>14</v>
      </c>
      <c r="B34" s="64"/>
      <c r="C34" s="65" t="s">
        <v>154</v>
      </c>
      <c r="E34" s="63" t="s">
        <v>429</v>
      </c>
      <c r="F34" s="123"/>
      <c r="H34" s="63" t="s">
        <v>14</v>
      </c>
      <c r="I34" s="64"/>
      <c r="J34" s="65" t="s">
        <v>154</v>
      </c>
      <c r="L34" s="63" t="s">
        <v>429</v>
      </c>
      <c r="M34" s="123"/>
      <c r="N34" s="146"/>
      <c r="O34" s="63" t="s">
        <v>14</v>
      </c>
      <c r="P34" s="64"/>
      <c r="Q34" s="65" t="s">
        <v>154</v>
      </c>
      <c r="S34" s="63" t="s">
        <v>429</v>
      </c>
      <c r="T34" s="123"/>
      <c r="V34" s="63" t="s">
        <v>14</v>
      </c>
      <c r="W34" s="64"/>
      <c r="X34" s="65" t="s">
        <v>154</v>
      </c>
      <c r="Z34" s="63" t="s">
        <v>429</v>
      </c>
      <c r="AA34" s="123"/>
      <c r="AC34" s="63" t="s">
        <v>14</v>
      </c>
      <c r="AD34" s="64"/>
      <c r="AE34" s="65" t="s">
        <v>154</v>
      </c>
      <c r="AG34" s="63" t="s">
        <v>429</v>
      </c>
      <c r="AH34" s="123"/>
      <c r="BD34" s="58" t="s">
        <v>156</v>
      </c>
      <c r="BE34" s="60" t="b">
        <f>_xlfn.IFNA(IF(INDEX(BE18:BE21,BE24)&lt;&gt;0,IF(BE24&gt;BE23,INDEX(BE18:BE21,BE24),""),""),"")</f>
        <v>0</v>
      </c>
      <c r="BF34" s="60" t="str">
        <f>_xlfn.IFNA(IF(INDEX(BF18:BF21,BF24)&lt;&gt;0,IF(BF24&gt;BF23,INDEX(BF18:BF21,BF24),""),""),"")</f>
        <v>Skal vurderes</v>
      </c>
      <c r="BG34" s="60" t="b">
        <f t="shared" ref="BG34:BH34" si="129">_xlfn.IFNA(IF(INDEX(BG18:BG21,BG24)&lt;&gt;0,IF(BG24&gt;BG23,INDEX(BG18:BG21,BG24),""),""),"")</f>
        <v>0</v>
      </c>
      <c r="BH34" s="60" t="b">
        <f t="shared" si="129"/>
        <v>1</v>
      </c>
      <c r="BI34" s="60" t="str">
        <f t="shared" ref="BI34" si="130">_xlfn.IFNA(IF(INDEX(BI18:BI21,BI24)&lt;&gt;0,IF(BI24&gt;BI23,INDEX(BI18:BI21,BI24),""),""),"")</f>
        <v>Skal vurderes</v>
      </c>
      <c r="BS34" s="139">
        <f t="shared" si="36"/>
        <v>24</v>
      </c>
      <c r="BT34" s="54">
        <f>Eu_tabel_g[[#This Row],[Indeks]]+1</f>
        <v>25</v>
      </c>
      <c r="BU34" s="139">
        <f t="shared" si="37"/>
        <v>-2.5153053654854292</v>
      </c>
      <c r="BV34" s="139">
        <f t="shared" si="38"/>
        <v>1.6868301418220717E-2</v>
      </c>
      <c r="BW34" s="139" t="e">
        <f t="shared" si="39"/>
        <v>#N/A</v>
      </c>
      <c r="BX34" s="139" t="e">
        <f t="shared" si="40"/>
        <v>#N/A</v>
      </c>
      <c r="BY34" s="139" t="e">
        <f t="shared" si="41"/>
        <v>#N/A</v>
      </c>
      <c r="BZ34" s="139" t="b">
        <f t="shared" si="42"/>
        <v>1</v>
      </c>
      <c r="CA34" s="139" t="b">
        <f t="shared" si="43"/>
        <v>0</v>
      </c>
      <c r="CB34" s="139" t="b">
        <f t="shared" si="44"/>
        <v>1</v>
      </c>
      <c r="CC34" s="139" t="b">
        <f t="shared" si="45"/>
        <v>0</v>
      </c>
      <c r="CD34" s="139">
        <f t="shared" si="128"/>
        <v>1.6868301418220717E-2</v>
      </c>
      <c r="CE34" s="139">
        <f t="shared" si="47"/>
        <v>1.6868301418220717E-2</v>
      </c>
      <c r="CF34" s="139" t="e">
        <f t="shared" si="48"/>
        <v>#N/A</v>
      </c>
      <c r="CG34" s="140" t="str">
        <f t="shared" si="49"/>
        <v/>
      </c>
      <c r="CH34" s="54">
        <f>_xlfn.NORM.DIST(_xlfn.NORM.INV(1-Eu_g_konfidensniveau,0,1)-Eu_tabel_g[[#This Row],[x base]],0,1,TRUE)</f>
        <v>0.80797320867814038</v>
      </c>
      <c r="CI34" s="54">
        <f>1-_xlfn.NORM.DIST(_xlfn.NORM.INV(Eu_g_konfidensniveau,0,1)-Eu_tabel_g[[#This Row],[x base]],0,1,TRUE)</f>
        <v>1.5901306353871547E-5</v>
      </c>
      <c r="CJ34" s="54">
        <f>_xlfn.NORM.DIST(_xlfn.NORM.INV((1-Eu_g_konfidensniveau)/2,0,1)-Eu_tabel_g[[#This Row],[x base]],0,1,TRUE)+1-_xlfn.NORM.DIST(_xlfn.NORM.INV(1-(1-Eu_g_konfidensniveau)/2,0,1)-Eu_tabel_g[[#This Row],[x base]],0,1,TRUE)</f>
        <v>0.71067322599342742</v>
      </c>
      <c r="CK34" s="54" t="e" cm="1">
        <f t="array" ref="CK34">IF($CK$3,INDEX(Eu_tabel_g[[#This Row],[Styrke venstre]:[Styrke tosidet]],CK$7),NA())</f>
        <v>#N/A</v>
      </c>
      <c r="CL34" s="99" t="e">
        <f>Eu_tabel_g[[#This Row],[Falsk positiv
Nulhypotese accepteres
Fejltype 1]]</f>
        <v>#N/A</v>
      </c>
      <c r="CM34" s="99" t="e">
        <f>IF(CHOOSE(CK$7,Eu_tabel_g[[#This Row],[x base]]&gt;0,Eu_tabel_g[[#This Row],[x base]]&lt;0,Eu_tabel_g[[#This Row],[x base]]=0),Eu_tabel_g[[#This Row],[Styrke, aktiv]],NA())</f>
        <v>#N/A</v>
      </c>
      <c r="CN34" s="99" t="e">
        <f>IFERROR(IF($CK$3,Eu_tabel_g[[#This Row],[Styrke, aktiv]],NA()),NA())</f>
        <v>#N/A</v>
      </c>
      <c r="CO34" s="99" t="e">
        <f>IF(ISNA(Eu_tabel_g[[#This Row],[Sand negativ
Nulhypotese afvises
Korrekt]]),NA(),IF($CK$3,1,NA()))</f>
        <v>#N/A</v>
      </c>
      <c r="CP34" s="56" t="str" cm="1">
        <f t="array" ref="CP34">_xlfn.SWITCH(BS34,_xlfn.IFNA(CN$2,-99),CN$5,_xlfn.IFNA(CN$3,-99),CN$6,_xlfn.IFNA(CN$4,-99),CN$7,"")</f>
        <v/>
      </c>
      <c r="CT34" s="7">
        <f t="shared" si="50"/>
        <v>0.8</v>
      </c>
      <c r="CU34">
        <f>IF(ROW(Styrkeberegning_G[[#This Row],[X base venstre]])=ROW(Styrkeberegning_G[[#Headers],[X base venstre]])+1,CU$7/(CT$7/$B$67),CU33/(CT33/$B$67))</f>
        <v>-2.8015817870135784</v>
      </c>
      <c r="CV34">
        <f>Styrkeberegning_G[[#This Row],[X base venstre]]*-1</f>
        <v>2.8015817870135784</v>
      </c>
      <c r="DG34" s="139">
        <f t="shared" si="51"/>
        <v>24</v>
      </c>
      <c r="DH34" s="54">
        <f t="shared" si="52"/>
        <v>25</v>
      </c>
      <c r="DI34" s="139">
        <f t="shared" si="53"/>
        <v>4.5715532186617143</v>
      </c>
      <c r="DJ34" s="139" t="e">
        <f t="shared" si="54"/>
        <v>#N/A</v>
      </c>
      <c r="DK34" s="139" t="e">
        <f t="shared" si="55"/>
        <v>#N/A</v>
      </c>
      <c r="DL34" s="139">
        <f t="shared" si="56"/>
        <v>4.0092680991955953E-2</v>
      </c>
      <c r="DM34" s="139" t="e">
        <f t="shared" si="57"/>
        <v>#N/A</v>
      </c>
      <c r="DN34" s="139" t="b">
        <f t="shared" si="58"/>
        <v>0</v>
      </c>
      <c r="DO34" s="139" t="b">
        <f t="shared" si="59"/>
        <v>1</v>
      </c>
      <c r="DP34" s="139" t="b">
        <f t="shared" si="60"/>
        <v>0</v>
      </c>
      <c r="DQ34" s="139" t="b">
        <f t="shared" si="61"/>
        <v>1</v>
      </c>
      <c r="DR34" s="139">
        <f t="shared" si="62"/>
        <v>4.0092680991955953E-2</v>
      </c>
      <c r="DS34" s="139" t="e">
        <f t="shared" si="63"/>
        <v>#N/A</v>
      </c>
      <c r="DT34" s="139">
        <f t="shared" si="64"/>
        <v>4.0092680991955953E-2</v>
      </c>
      <c r="DU34" s="140" t="str">
        <f t="shared" si="65"/>
        <v/>
      </c>
      <c r="DZ34" s="139">
        <f t="shared" si="66"/>
        <v>24</v>
      </c>
      <c r="EA34" s="54">
        <f t="shared" si="67"/>
        <v>25</v>
      </c>
      <c r="EB34" s="139">
        <f t="shared" si="68"/>
        <v>-2.5153053654854292</v>
      </c>
      <c r="EC34" s="139">
        <f t="shared" si="69"/>
        <v>1.6868301418220717E-2</v>
      </c>
      <c r="ED34" s="139" t="e">
        <f t="shared" si="70"/>
        <v>#N/A</v>
      </c>
      <c r="EE34" s="139" t="e">
        <f t="shared" si="71"/>
        <v>#N/A</v>
      </c>
      <c r="EF34" s="139" t="e">
        <f t="shared" si="72"/>
        <v>#N/A</v>
      </c>
      <c r="EG34" s="139" t="b">
        <f t="shared" si="73"/>
        <v>1</v>
      </c>
      <c r="EH34" s="139" t="b">
        <f t="shared" si="74"/>
        <v>0</v>
      </c>
      <c r="EI34" s="139" t="b">
        <f t="shared" si="75"/>
        <v>1</v>
      </c>
      <c r="EJ34" s="139" t="b">
        <f t="shared" si="76"/>
        <v>0</v>
      </c>
      <c r="EK34" s="139">
        <f t="shared" si="77"/>
        <v>1.6868301418220717E-2</v>
      </c>
      <c r="EL34" s="139">
        <f t="shared" si="78"/>
        <v>1.6868301418220717E-2</v>
      </c>
      <c r="EM34" s="139" t="e">
        <f t="shared" si="79"/>
        <v>#N/A</v>
      </c>
      <c r="EN34" s="140" t="str">
        <f t="shared" si="80"/>
        <v/>
      </c>
      <c r="EO3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3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3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34" s="54" t="e" cm="1">
        <f t="array" ref="ER34">IF($CK$3,INDEX(Eu_tabel_a[[#This Row],[Styrke venstre]:[Styrke tosidet]],ER$7),NA())</f>
        <v>#N/A</v>
      </c>
      <c r="ES34" s="54" t="e">
        <f>IF(ER$3,IF(CHOOSE(ER$7,Eu_tabel_a[[#This Row],[x base]]&gt;0,Eu_tabel_a[[#This Row],[x base]]&lt;0,Eu_tabel_a[[#This Row],[x base]]=0),1,NA()),NA())</f>
        <v>#N/A</v>
      </c>
      <c r="ET34" s="54" t="e">
        <f>IF(CHOOSE(ER$7,Eu_tabel_a[[#This Row],[x base]]&gt;0,Eu_tabel_a[[#This Row],[x base]]&lt;0,Eu_tabel_a[[#This Row],[x base]]=0),Eu_tabel_a[[#This Row],[Styrke, aktiv]],NA())</f>
        <v>#N/A</v>
      </c>
      <c r="EU34" s="54" t="e">
        <f>IFERROR(IF($ER$3,Eu_tabel_a[[#This Row],[Styrke, aktiv]],NA()),NA())</f>
        <v>#N/A</v>
      </c>
      <c r="EV34" s="54" t="e">
        <f>IF(ISNA(Eu_tabel_a[[#This Row],[Sand negativ
Nulhypotese afvises
Korrekt]]),NA(),IF(ER$3,1,NA()))</f>
        <v>#N/A</v>
      </c>
      <c r="EW34" s="55" t="str" cm="1">
        <f t="array" ref="EW34">IFERROR(_xlfn.SWITCH(Eu_tabel_a[[#This Row],[Indeks]],_xlfn.IFNA(EU$2,-99),EU$5,_xlfn.IFNA(EU$3,-99),EU$6,_xlfn.IFNA(EU$4,-99),EU$7,""),"")</f>
        <v/>
      </c>
      <c r="EX34" s="54">
        <f>Eu_tabel_a[[#This Row],[x base]]*SQRT(Eu_a_h0_x*(1-Eu_a_h0_x)/Eu_a_n_x)+Eu_a_h0_x</f>
        <v>0</v>
      </c>
      <c r="FC34" s="161" t="e">
        <f t="shared" si="18"/>
        <v>#N/A</v>
      </c>
      <c r="FD34" s="169" t="e">
        <f t="shared" si="121"/>
        <v>#DIV/0!</v>
      </c>
      <c r="FE34" s="7" t="e">
        <f t="shared" si="12"/>
        <v>#DIV/0!</v>
      </c>
      <c r="FF34" t="e">
        <f t="shared" si="122"/>
        <v>#DIV/0!</v>
      </c>
      <c r="FG34" s="8" t="e">
        <f t="shared" si="123"/>
        <v>#DIV/0!</v>
      </c>
      <c r="FH34" s="8" t="e">
        <f t="shared" si="124"/>
        <v>#DIV/0!</v>
      </c>
      <c r="FI34" s="168" t="e">
        <f t="shared" si="125"/>
        <v>#DIV/0!</v>
      </c>
      <c r="FJ34" s="161" t="e">
        <f t="shared" ca="1" si="13"/>
        <v>#N/A</v>
      </c>
      <c r="FK34" s="169" t="e" vm="3">
        <f t="shared" ca="1" si="19"/>
        <v>#VALUE!</v>
      </c>
      <c r="FL34" s="7" t="e" vm="3">
        <f t="shared" ca="1" si="14"/>
        <v>#VALUE!</v>
      </c>
      <c r="FM34" t="e" vm="3">
        <f t="shared" ca="1" si="8"/>
        <v>#VALUE!</v>
      </c>
      <c r="FN34" s="8" t="e" vm="3">
        <f t="shared" ca="1" si="9"/>
        <v>#VALUE!</v>
      </c>
      <c r="FO34" s="8" t="e" vm="3">
        <f t="shared" ca="1" si="10"/>
        <v>#VALUE!</v>
      </c>
      <c r="FP34" s="168" t="e" vm="3">
        <f t="shared" ca="1" si="11"/>
        <v>#VALUE!</v>
      </c>
      <c r="FQ34" s="161" t="e">
        <f t="shared" si="15"/>
        <v>#N/A</v>
      </c>
      <c r="FR34" s="169" t="e">
        <f t="shared" si="20"/>
        <v>#N/A</v>
      </c>
      <c r="FS34" s="7" t="e">
        <f t="shared" si="16"/>
        <v>#N/A</v>
      </c>
      <c r="FT34" t="e">
        <f t="shared" si="21"/>
        <v>#N/A</v>
      </c>
      <c r="FU34" s="8" t="e">
        <f t="shared" si="22"/>
        <v>#N/A</v>
      </c>
      <c r="FV34" s="8" t="e">
        <f t="shared" si="23"/>
        <v>#N/A</v>
      </c>
      <c r="FW34" s="168" t="e">
        <f t="shared" si="24"/>
        <v>#N/A</v>
      </c>
      <c r="FX34" s="161" t="e">
        <f t="shared" si="25"/>
        <v>#N/A</v>
      </c>
      <c r="FY34" s="169" t="e">
        <f t="shared" si="26"/>
        <v>#N/A</v>
      </c>
      <c r="FZ34" s="7" t="e">
        <f t="shared" si="17"/>
        <v>#N/A</v>
      </c>
      <c r="GA34" t="e">
        <f t="shared" si="27"/>
        <v>#N/A</v>
      </c>
      <c r="GB34" s="8" t="e">
        <f t="shared" si="28"/>
        <v>#N/A</v>
      </c>
      <c r="GC34" s="8" t="e">
        <f t="shared" si="29"/>
        <v>#N/A</v>
      </c>
      <c r="GD34" s="168" t="e">
        <f t="shared" si="30"/>
        <v>#N/A</v>
      </c>
      <c r="GE34" s="168"/>
      <c r="GF34" s="168"/>
      <c r="GI34" s="139">
        <f t="shared" si="81"/>
        <v>24</v>
      </c>
      <c r="GJ34" s="54">
        <f t="shared" si="82"/>
        <v>25</v>
      </c>
      <c r="GK34" s="139">
        <f t="shared" si="83"/>
        <v>-2.5153053654854292</v>
      </c>
      <c r="GL34" s="139">
        <f t="shared" si="84"/>
        <v>1.6868301418220717E-2</v>
      </c>
      <c r="GM34" s="139" t="e">
        <f t="shared" si="85"/>
        <v>#N/A</v>
      </c>
      <c r="GN34" s="139" t="e">
        <f t="shared" si="86"/>
        <v>#N/A</v>
      </c>
      <c r="GO34" s="139" t="e">
        <f t="shared" si="87"/>
        <v>#N/A</v>
      </c>
      <c r="GP34" s="139" t="b">
        <f t="shared" si="88"/>
        <v>1</v>
      </c>
      <c r="GQ34" s="139" t="b">
        <f t="shared" si="89"/>
        <v>0</v>
      </c>
      <c r="GR34" s="139" t="b">
        <f t="shared" si="90"/>
        <v>1</v>
      </c>
      <c r="GS34" s="139" t="b">
        <f t="shared" si="91"/>
        <v>0</v>
      </c>
      <c r="GT34" s="139">
        <f t="shared" si="92"/>
        <v>1.6868301418220717E-2</v>
      </c>
      <c r="GU34" s="139">
        <f t="shared" si="93"/>
        <v>1.6868301418220717E-2</v>
      </c>
      <c r="GV34" s="139" t="e">
        <f t="shared" si="94"/>
        <v>#N/A</v>
      </c>
      <c r="GW34" s="140" t="str">
        <f t="shared" si="95"/>
        <v/>
      </c>
      <c r="HC34" s="139">
        <f t="shared" si="96"/>
        <v>24</v>
      </c>
      <c r="HD34" s="54">
        <f t="shared" si="97"/>
        <v>25</v>
      </c>
      <c r="HE34" s="139">
        <f t="shared" si="98"/>
        <v>-3.8950031861009689</v>
      </c>
      <c r="HF34" s="139" t="e">
        <f t="shared" si="99"/>
        <v>#N/A</v>
      </c>
      <c r="HG34" s="139">
        <f t="shared" si="100"/>
        <v>3.8255881567615399E-3</v>
      </c>
      <c r="HH34" s="139" t="e">
        <f t="shared" si="101"/>
        <v>#N/A</v>
      </c>
      <c r="HI34" s="139" t="e">
        <f t="shared" si="102"/>
        <v>#N/A</v>
      </c>
      <c r="HJ34" s="139" t="b">
        <f t="shared" si="103"/>
        <v>1</v>
      </c>
      <c r="HK34" s="139" t="b">
        <f t="shared" si="104"/>
        <v>0</v>
      </c>
      <c r="HL34" s="139" t="b">
        <f t="shared" si="105"/>
        <v>1</v>
      </c>
      <c r="HM34" s="139" t="b">
        <f t="shared" si="106"/>
        <v>0</v>
      </c>
      <c r="HN34" s="139">
        <f t="shared" si="107"/>
        <v>3.8255881567615399E-3</v>
      </c>
      <c r="HO34" s="139">
        <f t="shared" si="108"/>
        <v>3.8255881567615399E-3</v>
      </c>
      <c r="HP34" s="139" t="e">
        <f t="shared" si="109"/>
        <v>#N/A</v>
      </c>
      <c r="HQ34" s="140" t="str">
        <f t="shared" si="110"/>
        <v/>
      </c>
    </row>
    <row r="35" spans="1:225" x14ac:dyDescent="0.2">
      <c r="A35" s="66" t="str">
        <f>BE28</f>
        <v>Datatypen er interval</v>
      </c>
      <c r="B35" s="64"/>
      <c r="C35" s="61" t="str">
        <f>IF(ISLOGICAL(BE33),IF(BE33,"Opfyldt","Ikke opfyldt"),BE33)</f>
        <v>Opfyldt</v>
      </c>
      <c r="E35" s="100" t="s">
        <v>138</v>
      </c>
      <c r="F35" s="144" t="str" cm="1">
        <f t="array" ref="F35">INDEX(E_g_valg[Parameter],E_g_aktiv)</f>
        <v>Gennemsnit</v>
      </c>
      <c r="H35" s="66" t="str">
        <f>BF28</f>
        <v>Datatypen er interval</v>
      </c>
      <c r="I35" s="64"/>
      <c r="J35" s="61" t="str">
        <f>IF(ISLOGICAL(BF33),IF(BF33,"Opfyldt","Ikke opfyldt"),BF33)</f>
        <v>Opfyldt</v>
      </c>
      <c r="L35" s="100" t="s">
        <v>138</v>
      </c>
      <c r="M35" s="144" t="str" cm="1">
        <f t="array" ref="M35">INDEX(E_s_valg[Parameter],E_s_aktiv)</f>
        <v>Standardafvigelse</v>
      </c>
      <c r="N35" s="146"/>
      <c r="O35" s="66" t="str">
        <f>BG28</f>
        <v>Datatypen er nominal, hvor succes er TRUE og øvrige værdier er FALSE</v>
      </c>
      <c r="P35" s="64"/>
      <c r="Q35" s="61" t="str">
        <f>IF(ISLOGICAL(BG33),IF(BG33,"Opfyldt","Ikke opfyldt"),BG33)</f>
        <v>Opfyldt</v>
      </c>
      <c r="S35" s="100" t="s">
        <v>138</v>
      </c>
      <c r="T35" s="144" t="str" cm="1">
        <f t="array" ref="T35">INDEX(E_a_valg[Parameter],E_a_aktiv)</f>
        <v>Andel</v>
      </c>
      <c r="V35" s="66" t="str">
        <f>BH28</f>
        <v>Observationerne består af antal successer fra lige store tidsintervaller</v>
      </c>
      <c r="W35" s="64"/>
      <c r="X35" s="61" t="str">
        <f>IF(ISLOGICAL(BH33),IF(BH33,"Opfyldt","Ikke opfyldt"),BH33)</f>
        <v>Opfyldt</v>
      </c>
      <c r="Z35" s="100" t="s">
        <v>138</v>
      </c>
      <c r="AA35" s="144" t="str" cm="1">
        <f t="array" ref="AA35">INDEX(E_i_valg[Parameter],E_i_aktiv)</f>
        <v>Intensitet</v>
      </c>
      <c r="AC35" s="66" t="str">
        <f>BI28</f>
        <v>Datatypen er interval</v>
      </c>
      <c r="AD35" s="64"/>
      <c r="AE35" s="61" t="str">
        <f>IF(ISLOGICAL(BI33),IF(BI33,"Opfyldt","Ikke opfyldt"),BI33)</f>
        <v>Opfyldt</v>
      </c>
      <c r="AG35" s="100" t="s">
        <v>138</v>
      </c>
      <c r="AH35" s="144" t="str" cm="1">
        <f t="array" ref="AH35">INDEX(E_k_valg[Parameter],E_k_aktiv)</f>
        <v>Koefficient i regressionsmodel</v>
      </c>
      <c r="BD35" s="58" t="s">
        <v>160</v>
      </c>
      <c r="BE35" s="60" t="str">
        <f>_xlfn.IFNA(IF(INDEX(BE18:BE21,BE25)&lt;&gt;0,IF(BE25&gt;BE24,INDEX(BE18:BE21,BE25),""),""),"")</f>
        <v>Skal vurderes</v>
      </c>
      <c r="BF35" s="60" t="str">
        <f>_xlfn.IFNA(IF(INDEX(BF18:BF21,BF25)&lt;&gt;0,IF(BF25&gt;BF24,INDEX(BF18:BF21,BF25),""),""),"")</f>
        <v/>
      </c>
      <c r="BG35" s="60" t="str">
        <f t="shared" ref="BG35:BH35" si="131">_xlfn.IFNA(IF(INDEX(BG18:BG21,BG25)&lt;&gt;0,IF(BG25&gt;BG24,INDEX(BG18:BG21,BG25),""),""),"")</f>
        <v/>
      </c>
      <c r="BH35" s="60" t="str">
        <f t="shared" si="131"/>
        <v/>
      </c>
      <c r="BI35" s="60" t="str">
        <f t="shared" ref="BI35" si="132">_xlfn.IFNA(IF(INDEX(BI18:BI21,BI25)&lt;&gt;0,IF(BI25&gt;BI24,INDEX(BI18:BI21,BI25),""),""),"")</f>
        <v/>
      </c>
      <c r="BS35" s="139">
        <f t="shared" si="36"/>
        <v>25</v>
      </c>
      <c r="BT35" s="54">
        <f>Eu_tabel_g[[#This Row],[Indeks]]+1</f>
        <v>26</v>
      </c>
      <c r="BU35" s="139">
        <f t="shared" si="37"/>
        <v>-2.4913500762903302</v>
      </c>
      <c r="BV35" s="139">
        <f t="shared" si="38"/>
        <v>1.7910804685522155E-2</v>
      </c>
      <c r="BW35" s="139" t="e">
        <f t="shared" si="39"/>
        <v>#N/A</v>
      </c>
      <c r="BX35" s="139" t="e">
        <f t="shared" si="40"/>
        <v>#N/A</v>
      </c>
      <c r="BY35" s="139" t="e">
        <f t="shared" si="41"/>
        <v>#N/A</v>
      </c>
      <c r="BZ35" s="139" t="b">
        <f t="shared" si="42"/>
        <v>1</v>
      </c>
      <c r="CA35" s="139" t="b">
        <f t="shared" si="43"/>
        <v>0</v>
      </c>
      <c r="CB35" s="139" t="b">
        <f t="shared" si="44"/>
        <v>1</v>
      </c>
      <c r="CC35" s="139" t="b">
        <f t="shared" si="45"/>
        <v>0</v>
      </c>
      <c r="CD35" s="139">
        <f t="shared" si="128"/>
        <v>1.7910804685522155E-2</v>
      </c>
      <c r="CE35" s="139">
        <f t="shared" si="47"/>
        <v>1.7910804685522155E-2</v>
      </c>
      <c r="CF35" s="139" t="e">
        <f t="shared" si="48"/>
        <v>#N/A</v>
      </c>
      <c r="CG35" s="140" t="str">
        <f t="shared" si="49"/>
        <v/>
      </c>
      <c r="CH35" s="54">
        <f>_xlfn.NORM.DIST(_xlfn.NORM.INV(1-Eu_g_konfidensniveau,0,1)-Eu_tabel_g[[#This Row],[x base]],0,1,TRUE)</f>
        <v>0.80136207310529262</v>
      </c>
      <c r="CI35" s="54">
        <f>1-_xlfn.NORM.DIST(_xlfn.NORM.INV(Eu_g_konfidensniveau,0,1)-Eu_tabel_g[[#This Row],[x base]],0,1,TRUE)</f>
        <v>1.7654938465727632E-5</v>
      </c>
      <c r="CJ35" s="54">
        <f>_xlfn.NORM.DIST(_xlfn.NORM.INV((1-Eu_g_konfidensniveau)/2,0,1)-Eu_tabel_g[[#This Row],[x base]],0,1,TRUE)+1-_xlfn.NORM.DIST(_xlfn.NORM.INV(1-(1-Eu_g_konfidensniveau)/2,0,1)-Eu_tabel_g[[#This Row],[x base]],0,1,TRUE)</f>
        <v>0.70242863858448579</v>
      </c>
      <c r="CK35" s="54" t="e" cm="1">
        <f t="array" ref="CK35">IF($CK$3,INDEX(Eu_tabel_g[[#This Row],[Styrke venstre]:[Styrke tosidet]],CK$7),NA())</f>
        <v>#N/A</v>
      </c>
      <c r="CL35" s="99" t="e">
        <f>Eu_tabel_g[[#This Row],[Falsk positiv
Nulhypotese accepteres
Fejltype 1]]</f>
        <v>#N/A</v>
      </c>
      <c r="CM35" s="99" t="e">
        <f>IF(CHOOSE(CK$7,Eu_tabel_g[[#This Row],[x base]]&gt;0,Eu_tabel_g[[#This Row],[x base]]&lt;0,Eu_tabel_g[[#This Row],[x base]]=0),Eu_tabel_g[[#This Row],[Styrke, aktiv]],NA())</f>
        <v>#N/A</v>
      </c>
      <c r="CN35" s="99" t="e">
        <f>IFERROR(IF($CK$3,Eu_tabel_g[[#This Row],[Styrke, aktiv]],NA()),NA())</f>
        <v>#N/A</v>
      </c>
      <c r="CO35" s="99" t="e">
        <f>IF(ISNA(Eu_tabel_g[[#This Row],[Sand negativ
Nulhypotese afvises
Korrekt]]),NA(),IF($CK$3,1,NA()))</f>
        <v>#N/A</v>
      </c>
      <c r="CP35" s="56" t="str" cm="1">
        <f t="array" ref="CP35">_xlfn.SWITCH(BS35,_xlfn.IFNA(CN$2,-99),CN$5,_xlfn.IFNA(CN$3,-99),CN$6,_xlfn.IFNA(CN$4,-99),CN$7,"")</f>
        <v/>
      </c>
      <c r="CT35" s="7">
        <f t="shared" si="50"/>
        <v>0.8</v>
      </c>
      <c r="CU35">
        <f>IF(ROW(Styrkeberegning_G[[#This Row],[X base venstre]])=ROW(Styrkeberegning_G[[#Headers],[X base venstre]])+1,CU$7/(CT$7/$B$67),CU34/(CT34/$B$67))</f>
        <v>-2.8015817870135784</v>
      </c>
      <c r="CV35">
        <f>Styrkeberegning_G[[#This Row],[X base venstre]]*-1</f>
        <v>2.8015817870135784</v>
      </c>
      <c r="DG35" s="139">
        <f t="shared" si="51"/>
        <v>25</v>
      </c>
      <c r="DH35" s="54">
        <f t="shared" si="52"/>
        <v>26</v>
      </c>
      <c r="DI35" s="139">
        <f t="shared" si="53"/>
        <v>4.6856240750787155</v>
      </c>
      <c r="DJ35" s="139" t="e">
        <f t="shared" si="54"/>
        <v>#N/A</v>
      </c>
      <c r="DK35" s="139" t="e">
        <f t="shared" si="55"/>
        <v>#N/A</v>
      </c>
      <c r="DL35" s="139">
        <f t="shared" si="56"/>
        <v>4.2311790955508063E-2</v>
      </c>
      <c r="DM35" s="139" t="e">
        <f t="shared" si="57"/>
        <v>#N/A</v>
      </c>
      <c r="DN35" s="139" t="b">
        <f t="shared" si="58"/>
        <v>0</v>
      </c>
      <c r="DO35" s="139" t="b">
        <f t="shared" si="59"/>
        <v>1</v>
      </c>
      <c r="DP35" s="139" t="b">
        <f t="shared" si="60"/>
        <v>0</v>
      </c>
      <c r="DQ35" s="139" t="b">
        <f t="shared" si="61"/>
        <v>1</v>
      </c>
      <c r="DR35" s="139">
        <f t="shared" si="62"/>
        <v>4.2311790955508063E-2</v>
      </c>
      <c r="DS35" s="139" t="e">
        <f t="shared" si="63"/>
        <v>#N/A</v>
      </c>
      <c r="DT35" s="139">
        <f t="shared" si="64"/>
        <v>4.2311790955508063E-2</v>
      </c>
      <c r="DU35" s="140" t="str">
        <f t="shared" si="65"/>
        <v/>
      </c>
      <c r="DZ35" s="139">
        <f t="shared" si="66"/>
        <v>25</v>
      </c>
      <c r="EA35" s="54">
        <f t="shared" si="67"/>
        <v>26</v>
      </c>
      <c r="EB35" s="139">
        <f t="shared" si="68"/>
        <v>-2.4913500762903302</v>
      </c>
      <c r="EC35" s="139">
        <f t="shared" si="69"/>
        <v>1.7910804685522155E-2</v>
      </c>
      <c r="ED35" s="139" t="e">
        <f t="shared" si="70"/>
        <v>#N/A</v>
      </c>
      <c r="EE35" s="139" t="e">
        <f t="shared" si="71"/>
        <v>#N/A</v>
      </c>
      <c r="EF35" s="139" t="e">
        <f t="shared" si="72"/>
        <v>#N/A</v>
      </c>
      <c r="EG35" s="139" t="b">
        <f t="shared" si="73"/>
        <v>1</v>
      </c>
      <c r="EH35" s="139" t="b">
        <f t="shared" si="74"/>
        <v>0</v>
      </c>
      <c r="EI35" s="139" t="b">
        <f t="shared" si="75"/>
        <v>1</v>
      </c>
      <c r="EJ35" s="139" t="b">
        <f t="shared" si="76"/>
        <v>0</v>
      </c>
      <c r="EK35" s="139">
        <f t="shared" si="77"/>
        <v>1.7910804685522155E-2</v>
      </c>
      <c r="EL35" s="139">
        <f t="shared" si="78"/>
        <v>1.7910804685522155E-2</v>
      </c>
      <c r="EM35" s="139" t="e">
        <f t="shared" si="79"/>
        <v>#N/A</v>
      </c>
      <c r="EN35" s="140" t="str">
        <f t="shared" si="80"/>
        <v/>
      </c>
      <c r="EO3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3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3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35" s="54" t="e" cm="1">
        <f t="array" ref="ER35">IF($CK$3,INDEX(Eu_tabel_a[[#This Row],[Styrke venstre]:[Styrke tosidet]],ER$7),NA())</f>
        <v>#N/A</v>
      </c>
      <c r="ES35" s="54" t="e">
        <f>IF(ER$3,IF(CHOOSE(ER$7,Eu_tabel_a[[#This Row],[x base]]&gt;0,Eu_tabel_a[[#This Row],[x base]]&lt;0,Eu_tabel_a[[#This Row],[x base]]=0),1,NA()),NA())</f>
        <v>#N/A</v>
      </c>
      <c r="ET35" s="54" t="e">
        <f>IF(CHOOSE(ER$7,Eu_tabel_a[[#This Row],[x base]]&gt;0,Eu_tabel_a[[#This Row],[x base]]&lt;0,Eu_tabel_a[[#This Row],[x base]]=0),Eu_tabel_a[[#This Row],[Styrke, aktiv]],NA())</f>
        <v>#N/A</v>
      </c>
      <c r="EU35" s="54" t="e">
        <f>IFERROR(IF($ER$3,Eu_tabel_a[[#This Row],[Styrke, aktiv]],NA()),NA())</f>
        <v>#N/A</v>
      </c>
      <c r="EV35" s="54" t="e">
        <f>IF(ISNA(Eu_tabel_a[[#This Row],[Sand negativ
Nulhypotese afvises
Korrekt]]),NA(),IF(ER$3,1,NA()))</f>
        <v>#N/A</v>
      </c>
      <c r="EW35" s="55" t="str" cm="1">
        <f t="array" ref="EW35">IFERROR(_xlfn.SWITCH(Eu_tabel_a[[#This Row],[Indeks]],_xlfn.IFNA(EU$2,-99),EU$5,_xlfn.IFNA(EU$3,-99),EU$6,_xlfn.IFNA(EU$4,-99),EU$7,""),"")</f>
        <v/>
      </c>
      <c r="EX35" s="54">
        <f>Eu_tabel_a[[#This Row],[x base]]*SQRT(Eu_a_h0_x*(1-Eu_a_h0_x)/Eu_a_n_x)+Eu_a_h0_x</f>
        <v>0</v>
      </c>
      <c r="FC35" s="161" t="e">
        <f t="shared" si="18"/>
        <v>#N/A</v>
      </c>
      <c r="FD35" s="169" t="e">
        <f t="shared" si="121"/>
        <v>#DIV/0!</v>
      </c>
      <c r="FE35" s="7" t="e">
        <f t="shared" si="12"/>
        <v>#DIV/0!</v>
      </c>
      <c r="FF35" t="e">
        <f t="shared" si="122"/>
        <v>#DIV/0!</v>
      </c>
      <c r="FG35" s="8" t="e">
        <f t="shared" si="123"/>
        <v>#DIV/0!</v>
      </c>
      <c r="FH35" s="8" t="e">
        <f t="shared" si="124"/>
        <v>#DIV/0!</v>
      </c>
      <c r="FI35" s="168" t="e">
        <f t="shared" si="125"/>
        <v>#DIV/0!</v>
      </c>
      <c r="FJ35" s="161" t="e">
        <f t="shared" ca="1" si="13"/>
        <v>#N/A</v>
      </c>
      <c r="FK35" s="169" t="e" vm="3">
        <f t="shared" ca="1" si="19"/>
        <v>#VALUE!</v>
      </c>
      <c r="FL35" s="7" t="e" vm="3">
        <f t="shared" ca="1" si="14"/>
        <v>#VALUE!</v>
      </c>
      <c r="FM35" t="e" vm="3">
        <f t="shared" ca="1" si="8"/>
        <v>#VALUE!</v>
      </c>
      <c r="FN35" s="8" t="e" vm="3">
        <f t="shared" ca="1" si="9"/>
        <v>#VALUE!</v>
      </c>
      <c r="FO35" s="8" t="e" vm="3">
        <f t="shared" ca="1" si="10"/>
        <v>#VALUE!</v>
      </c>
      <c r="FP35" s="168" t="e" vm="3">
        <f t="shared" ca="1" si="11"/>
        <v>#VALUE!</v>
      </c>
      <c r="FQ35" s="161" t="e">
        <f t="shared" si="15"/>
        <v>#N/A</v>
      </c>
      <c r="FR35" s="169" t="e">
        <f t="shared" si="20"/>
        <v>#N/A</v>
      </c>
      <c r="FS35" s="7" t="e">
        <f t="shared" si="16"/>
        <v>#N/A</v>
      </c>
      <c r="FT35" t="e">
        <f t="shared" si="21"/>
        <v>#N/A</v>
      </c>
      <c r="FU35" s="8" t="e">
        <f t="shared" si="22"/>
        <v>#N/A</v>
      </c>
      <c r="FV35" s="8" t="e">
        <f t="shared" si="23"/>
        <v>#N/A</v>
      </c>
      <c r="FW35" s="168" t="e">
        <f t="shared" si="24"/>
        <v>#N/A</v>
      </c>
      <c r="FX35" s="161" t="e">
        <f t="shared" si="25"/>
        <v>#N/A</v>
      </c>
      <c r="FY35" s="169" t="e">
        <f t="shared" si="26"/>
        <v>#N/A</v>
      </c>
      <c r="FZ35" s="7" t="e">
        <f t="shared" si="17"/>
        <v>#N/A</v>
      </c>
      <c r="GA35" t="e">
        <f t="shared" si="27"/>
        <v>#N/A</v>
      </c>
      <c r="GB35" s="8" t="e">
        <f t="shared" si="28"/>
        <v>#N/A</v>
      </c>
      <c r="GC35" s="8" t="e">
        <f t="shared" si="29"/>
        <v>#N/A</v>
      </c>
      <c r="GD35" s="168" t="e">
        <f t="shared" si="30"/>
        <v>#N/A</v>
      </c>
      <c r="GE35" s="168"/>
      <c r="GF35" s="168"/>
      <c r="GI35" s="139">
        <f t="shared" si="81"/>
        <v>25</v>
      </c>
      <c r="GJ35" s="54">
        <f t="shared" si="82"/>
        <v>26</v>
      </c>
      <c r="GK35" s="139">
        <f t="shared" si="83"/>
        <v>-2.4913500762903302</v>
      </c>
      <c r="GL35" s="139">
        <f t="shared" si="84"/>
        <v>1.7910804685522155E-2</v>
      </c>
      <c r="GM35" s="139" t="e">
        <f t="shared" si="85"/>
        <v>#N/A</v>
      </c>
      <c r="GN35" s="139" t="e">
        <f t="shared" si="86"/>
        <v>#N/A</v>
      </c>
      <c r="GO35" s="139" t="e">
        <f t="shared" si="87"/>
        <v>#N/A</v>
      </c>
      <c r="GP35" s="139" t="b">
        <f t="shared" si="88"/>
        <v>1</v>
      </c>
      <c r="GQ35" s="139" t="b">
        <f t="shared" si="89"/>
        <v>0</v>
      </c>
      <c r="GR35" s="139" t="b">
        <f t="shared" si="90"/>
        <v>1</v>
      </c>
      <c r="GS35" s="139" t="b">
        <f t="shared" si="91"/>
        <v>0</v>
      </c>
      <c r="GT35" s="139">
        <f t="shared" si="92"/>
        <v>1.7910804685522155E-2</v>
      </c>
      <c r="GU35" s="139">
        <f t="shared" si="93"/>
        <v>1.7910804685522155E-2</v>
      </c>
      <c r="GV35" s="139" t="e">
        <f t="shared" si="94"/>
        <v>#N/A</v>
      </c>
      <c r="GW35" s="140" t="str">
        <f t="shared" si="95"/>
        <v/>
      </c>
      <c r="HC35" s="139">
        <f t="shared" si="96"/>
        <v>25</v>
      </c>
      <c r="HD35" s="54">
        <f t="shared" si="97"/>
        <v>26</v>
      </c>
      <c r="HE35" s="139">
        <f t="shared" si="98"/>
        <v>-3.8579079176619118</v>
      </c>
      <c r="HF35" s="139" t="e">
        <f t="shared" si="99"/>
        <v>#N/A</v>
      </c>
      <c r="HG35" s="139">
        <f t="shared" si="100"/>
        <v>4.0306937646998392E-3</v>
      </c>
      <c r="HH35" s="139" t="e">
        <f t="shared" si="101"/>
        <v>#N/A</v>
      </c>
      <c r="HI35" s="139" t="e">
        <f t="shared" si="102"/>
        <v>#N/A</v>
      </c>
      <c r="HJ35" s="139" t="b">
        <f t="shared" si="103"/>
        <v>1</v>
      </c>
      <c r="HK35" s="139" t="b">
        <f t="shared" si="104"/>
        <v>0</v>
      </c>
      <c r="HL35" s="139" t="b">
        <f t="shared" si="105"/>
        <v>1</v>
      </c>
      <c r="HM35" s="139" t="b">
        <f t="shared" si="106"/>
        <v>0</v>
      </c>
      <c r="HN35" s="139">
        <f t="shared" si="107"/>
        <v>4.0306937646998392E-3</v>
      </c>
      <c r="HO35" s="139">
        <f t="shared" si="108"/>
        <v>4.0306937646998392E-3</v>
      </c>
      <c r="HP35" s="139" t="e">
        <f t="shared" si="109"/>
        <v>#N/A</v>
      </c>
      <c r="HQ35" s="140" t="str">
        <f t="shared" si="110"/>
        <v/>
      </c>
    </row>
    <row r="36" spans="1:225" x14ac:dyDescent="0.2">
      <c r="A36" s="66" t="str">
        <f>BE29</f>
        <v>Antal observationer er større end 30</v>
      </c>
      <c r="B36" s="64"/>
      <c r="C36" s="61" t="str">
        <f>IF(ISLOGICAL(BE34),IF(BE34,"Opfyldt","Ikke opfyldt"),BE34)</f>
        <v>Ikke opfyldt</v>
      </c>
      <c r="E36" s="100" t="s">
        <v>145</v>
      </c>
      <c r="F36" s="144" t="str" cm="1">
        <f t="array" ref="F36">INDEX(E_g_valg[Hypotesetype],E_g_aktiv)</f>
        <v>Konfidensinterval</v>
      </c>
      <c r="H36" s="66" t="str">
        <f>BF29</f>
        <v>Populationen er normalfordelt</v>
      </c>
      <c r="I36" s="64"/>
      <c r="J36" s="61" t="str">
        <f>IF(ISLOGICAL(BF34),IF(BF34,"Opfyldt","Ikke opfyldt"),BF34)</f>
        <v>Skal vurderes</v>
      </c>
      <c r="L36" s="100" t="s">
        <v>145</v>
      </c>
      <c r="M36" s="144" t="str" cm="1">
        <f t="array" ref="M36">INDEX(E_s_valg[Hypotesetype],E_s_aktiv)</f>
        <v>Konfidensinterval</v>
      </c>
      <c r="N36" s="146"/>
      <c r="O36" s="66" t="str">
        <f>BG29</f>
        <v>Forudsætningsformlen n * p̂ * ( 1 - p̂ ) &gt; 9 er opfyldt</v>
      </c>
      <c r="P36" s="64"/>
      <c r="Q36" s="61" t="str">
        <f>IF(ISLOGICAL(BG34),IF(BG34,"Opfyldt","Ikke opfyldt"),BG34)</f>
        <v>Ikke opfyldt</v>
      </c>
      <c r="S36" s="100" t="s">
        <v>145</v>
      </c>
      <c r="T36" s="144" t="str" cm="1">
        <f t="array" ref="T36">INDEX(E_a_valg[Hypotesetype],E_a_aktiv)</f>
        <v>Konfidensinterval</v>
      </c>
      <c r="V36" s="66" t="str">
        <f>BH29</f>
        <v>Forudsætningsformlen λ̂ * n &gt; 9 er opfyldt</v>
      </c>
      <c r="W36" s="64"/>
      <c r="X36" s="61" t="str">
        <f>IF(ISLOGICAL(BH34),IF(BH34,"Opfyldt","Ikke opfyldt"),BH34)</f>
        <v>Opfyldt</v>
      </c>
      <c r="Z36" s="100" t="s">
        <v>145</v>
      </c>
      <c r="AA36" s="144" t="str" cm="1">
        <f t="array" ref="AA36">INDEX(E_i_valg[Hypotesetype],E_i_aktiv)</f>
        <v>Konfidensinterval</v>
      </c>
      <c r="AC36" s="66" t="str">
        <f>BI29</f>
        <v>Forudsætningerne for den lineære regression er opfyldt</v>
      </c>
      <c r="AD36" s="64"/>
      <c r="AE36" s="61" t="str">
        <f>IF(ISLOGICAL(BI34),IF(BI34,"Opfyldt","Ikke opfyldt"),BI34)</f>
        <v>Skal vurderes</v>
      </c>
      <c r="AG36" s="100" t="s">
        <v>145</v>
      </c>
      <c r="AH36" s="144" t="str" cm="1">
        <f t="array" ref="AH36">INDEX(E_k_valg[Hypotesetype],E_k_aktiv)</f>
        <v>Venstresidet hypotese om værdi</v>
      </c>
      <c r="BD36" s="58" t="s">
        <v>165</v>
      </c>
      <c r="BE36" s="60" t="str">
        <f>_xlfn.IFNA(IF(INDEX(BE18:BE21,BE26)&lt;&gt;0,IF(BE26&gt;BE25,INDEX(BE18:BE21,BE26),""),""),"")</f>
        <v/>
      </c>
      <c r="BF36" s="60" t="str">
        <f>_xlfn.IFNA(IF(INDEX(BF18:BF21,BF26)&lt;&gt;0,IF(BF26&gt;BF25,INDEX(BF18:BF21,BF26),""),""),"")</f>
        <v/>
      </c>
      <c r="BG36" s="60" t="str">
        <f t="shared" ref="BG36:BH36" si="133">_xlfn.IFNA(IF(INDEX(BG18:BG21,BG26)&lt;&gt;0,IF(BG26&gt;BG25,INDEX(BG18:BG21,BG26),""),""),"")</f>
        <v/>
      </c>
      <c r="BH36" s="60" t="str">
        <f t="shared" si="133"/>
        <v/>
      </c>
      <c r="BI36" s="60" t="str">
        <f t="shared" ref="BI36" si="134">_xlfn.IFNA(IF(INDEX(BI18:BI21,BI26)&lt;&gt;0,IF(BI26&gt;BI25,INDEX(BI18:BI21,BI26),""),""),"")</f>
        <v/>
      </c>
      <c r="BS36" s="139">
        <f t="shared" si="36"/>
        <v>26</v>
      </c>
      <c r="BT36" s="54">
        <f>Eu_tabel_g[[#This Row],[Indeks]]+1</f>
        <v>27</v>
      </c>
      <c r="BU36" s="139">
        <f t="shared" si="37"/>
        <v>-2.4673947870952309</v>
      </c>
      <c r="BV36" s="139">
        <f t="shared" si="38"/>
        <v>1.9006826955669413E-2</v>
      </c>
      <c r="BW36" s="139" t="e">
        <f t="shared" si="39"/>
        <v>#N/A</v>
      </c>
      <c r="BX36" s="139" t="e">
        <f t="shared" si="40"/>
        <v>#N/A</v>
      </c>
      <c r="BY36" s="139" t="e">
        <f t="shared" si="41"/>
        <v>#N/A</v>
      </c>
      <c r="BZ36" s="139" t="b">
        <f t="shared" si="42"/>
        <v>1</v>
      </c>
      <c r="CA36" s="139" t="b">
        <f t="shared" si="43"/>
        <v>0</v>
      </c>
      <c r="CB36" s="139" t="b">
        <f t="shared" si="44"/>
        <v>1</v>
      </c>
      <c r="CC36" s="139" t="b">
        <f t="shared" si="45"/>
        <v>0</v>
      </c>
      <c r="CD36" s="139">
        <f t="shared" si="128"/>
        <v>1.9006826955669413E-2</v>
      </c>
      <c r="CE36" s="139">
        <f t="shared" si="47"/>
        <v>1.9006826955669413E-2</v>
      </c>
      <c r="CF36" s="139" t="e">
        <f t="shared" si="48"/>
        <v>#N/A</v>
      </c>
      <c r="CG36" s="140" t="str">
        <f t="shared" si="49"/>
        <v/>
      </c>
      <c r="CH36" s="54">
        <f>_xlfn.NORM.DIST(_xlfn.NORM.INV(1-Eu_g_konfidensniveau,0,1)-Eu_tabel_g[[#This Row],[x base]],0,1,TRUE)</f>
        <v>0.79461551453892731</v>
      </c>
      <c r="CI36" s="54">
        <f>1-_xlfn.NORM.DIST(_xlfn.NORM.INV(Eu_g_konfidensniveau,0,1)-Eu_tabel_g[[#This Row],[x base]],0,1,TRUE)</f>
        <v>1.9591217965242436E-5</v>
      </c>
      <c r="CJ36" s="54">
        <f>_xlfn.NORM.DIST(_xlfn.NORM.INV((1-Eu_g_konfidensniveau)/2,0,1)-Eu_tabel_g[[#This Row],[x base]],0,1,TRUE)+1-_xlfn.NORM.DIST(_xlfn.NORM.INV(1-(1-Eu_g_konfidensniveau)/2,0,1)-Eu_tabel_g[[#This Row],[x base]],0,1,TRUE)</f>
        <v>0.6940784809255639</v>
      </c>
      <c r="CK36" s="54" t="e" cm="1">
        <f t="array" ref="CK36">IF($CK$3,INDEX(Eu_tabel_g[[#This Row],[Styrke venstre]:[Styrke tosidet]],CK$7),NA())</f>
        <v>#N/A</v>
      </c>
      <c r="CL36" s="99" t="e">
        <f>Eu_tabel_g[[#This Row],[Falsk positiv
Nulhypotese accepteres
Fejltype 1]]</f>
        <v>#N/A</v>
      </c>
      <c r="CM36" s="99" t="e">
        <f>IF(CHOOSE(CK$7,Eu_tabel_g[[#This Row],[x base]]&gt;0,Eu_tabel_g[[#This Row],[x base]]&lt;0,Eu_tabel_g[[#This Row],[x base]]=0),Eu_tabel_g[[#This Row],[Styrke, aktiv]],NA())</f>
        <v>#N/A</v>
      </c>
      <c r="CN36" s="99" t="e">
        <f>IFERROR(IF($CK$3,Eu_tabel_g[[#This Row],[Styrke, aktiv]],NA()),NA())</f>
        <v>#N/A</v>
      </c>
      <c r="CO36" s="99" t="e">
        <f>IF(ISNA(Eu_tabel_g[[#This Row],[Sand negativ
Nulhypotese afvises
Korrekt]]),NA(),IF($CK$3,1,NA()))</f>
        <v>#N/A</v>
      </c>
      <c r="CP36" s="56" t="str" cm="1">
        <f t="array" ref="CP36">_xlfn.SWITCH(BS36,_xlfn.IFNA(CN$2,-99),CN$5,_xlfn.IFNA(CN$3,-99),CN$6,_xlfn.IFNA(CN$4,-99),CN$7,"")</f>
        <v/>
      </c>
      <c r="CT36" s="7">
        <f t="shared" si="50"/>
        <v>0.8</v>
      </c>
      <c r="CU36">
        <f>IF(ROW(Styrkeberegning_G[[#This Row],[X base venstre]])=ROW(Styrkeberegning_G[[#Headers],[X base venstre]])+1,CU$7/(CT$7/$B$67),CU35/(CT35/$B$67))</f>
        <v>-2.8015817870135784</v>
      </c>
      <c r="CV36">
        <f>Styrkeberegning_G[[#This Row],[X base venstre]]*-1</f>
        <v>2.8015817870135784</v>
      </c>
      <c r="DG36" s="139">
        <f t="shared" si="51"/>
        <v>26</v>
      </c>
      <c r="DH36" s="54">
        <f t="shared" si="52"/>
        <v>27</v>
      </c>
      <c r="DI36" s="139">
        <f t="shared" si="53"/>
        <v>4.7996949314957167</v>
      </c>
      <c r="DJ36" s="139" t="e">
        <f t="shared" si="54"/>
        <v>#N/A</v>
      </c>
      <c r="DK36" s="139" t="e">
        <f t="shared" si="55"/>
        <v>#N/A</v>
      </c>
      <c r="DL36" s="139">
        <f t="shared" si="56"/>
        <v>4.4534758418438077E-2</v>
      </c>
      <c r="DM36" s="139" t="e">
        <f t="shared" si="57"/>
        <v>#N/A</v>
      </c>
      <c r="DN36" s="139" t="b">
        <f t="shared" si="58"/>
        <v>0</v>
      </c>
      <c r="DO36" s="139" t="b">
        <f t="shared" si="59"/>
        <v>1</v>
      </c>
      <c r="DP36" s="139" t="b">
        <f t="shared" si="60"/>
        <v>0</v>
      </c>
      <c r="DQ36" s="139" t="b">
        <f t="shared" si="61"/>
        <v>1</v>
      </c>
      <c r="DR36" s="139">
        <f t="shared" si="62"/>
        <v>4.4534758418438077E-2</v>
      </c>
      <c r="DS36" s="139" t="e">
        <f t="shared" si="63"/>
        <v>#N/A</v>
      </c>
      <c r="DT36" s="139">
        <f t="shared" si="64"/>
        <v>4.4534758418438077E-2</v>
      </c>
      <c r="DU36" s="140" t="str">
        <f t="shared" si="65"/>
        <v/>
      </c>
      <c r="DZ36" s="139">
        <f t="shared" si="66"/>
        <v>26</v>
      </c>
      <c r="EA36" s="54">
        <f t="shared" si="67"/>
        <v>27</v>
      </c>
      <c r="EB36" s="139">
        <f t="shared" si="68"/>
        <v>-2.4673947870952309</v>
      </c>
      <c r="EC36" s="139">
        <f t="shared" si="69"/>
        <v>1.9006826955669413E-2</v>
      </c>
      <c r="ED36" s="139" t="e">
        <f t="shared" si="70"/>
        <v>#N/A</v>
      </c>
      <c r="EE36" s="139" t="e">
        <f t="shared" si="71"/>
        <v>#N/A</v>
      </c>
      <c r="EF36" s="139" t="e">
        <f t="shared" si="72"/>
        <v>#N/A</v>
      </c>
      <c r="EG36" s="139" t="b">
        <f t="shared" si="73"/>
        <v>1</v>
      </c>
      <c r="EH36" s="139" t="b">
        <f t="shared" si="74"/>
        <v>0</v>
      </c>
      <c r="EI36" s="139" t="b">
        <f t="shared" si="75"/>
        <v>1</v>
      </c>
      <c r="EJ36" s="139" t="b">
        <f t="shared" si="76"/>
        <v>0</v>
      </c>
      <c r="EK36" s="139">
        <f t="shared" si="77"/>
        <v>1.9006826955669413E-2</v>
      </c>
      <c r="EL36" s="139">
        <f t="shared" si="78"/>
        <v>1.9006826955669413E-2</v>
      </c>
      <c r="EM36" s="139" t="e">
        <f t="shared" si="79"/>
        <v>#N/A</v>
      </c>
      <c r="EN36" s="140" t="str">
        <f t="shared" si="80"/>
        <v/>
      </c>
      <c r="EO3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3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3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36" s="54" t="e" cm="1">
        <f t="array" ref="ER36">IF($CK$3,INDEX(Eu_tabel_a[[#This Row],[Styrke venstre]:[Styrke tosidet]],ER$7),NA())</f>
        <v>#N/A</v>
      </c>
      <c r="ES36" s="54" t="e">
        <f>IF(ER$3,IF(CHOOSE(ER$7,Eu_tabel_a[[#This Row],[x base]]&gt;0,Eu_tabel_a[[#This Row],[x base]]&lt;0,Eu_tabel_a[[#This Row],[x base]]=0),1,NA()),NA())</f>
        <v>#N/A</v>
      </c>
      <c r="ET36" s="54" t="e">
        <f>IF(CHOOSE(ER$7,Eu_tabel_a[[#This Row],[x base]]&gt;0,Eu_tabel_a[[#This Row],[x base]]&lt;0,Eu_tabel_a[[#This Row],[x base]]=0),Eu_tabel_a[[#This Row],[Styrke, aktiv]],NA())</f>
        <v>#N/A</v>
      </c>
      <c r="EU36" s="54" t="e">
        <f>IFERROR(IF($ER$3,Eu_tabel_a[[#This Row],[Styrke, aktiv]],NA()),NA())</f>
        <v>#N/A</v>
      </c>
      <c r="EV36" s="54" t="e">
        <f>IF(ISNA(Eu_tabel_a[[#This Row],[Sand negativ
Nulhypotese afvises
Korrekt]]),NA(),IF(ER$3,1,NA()))</f>
        <v>#N/A</v>
      </c>
      <c r="EW36" s="55" t="str" cm="1">
        <f t="array" ref="EW36">IFERROR(_xlfn.SWITCH(Eu_tabel_a[[#This Row],[Indeks]],_xlfn.IFNA(EU$2,-99),EU$5,_xlfn.IFNA(EU$3,-99),EU$6,_xlfn.IFNA(EU$4,-99),EU$7,""),"")</f>
        <v/>
      </c>
      <c r="EX36" s="54">
        <f>Eu_tabel_a[[#This Row],[x base]]*SQRT(Eu_a_h0_x*(1-Eu_a_h0_x)/Eu_a_n_x)+Eu_a_h0_x</f>
        <v>0</v>
      </c>
      <c r="FC36" s="161" t="e">
        <f t="shared" si="18"/>
        <v>#N/A</v>
      </c>
      <c r="FD36" s="169" t="e">
        <f t="shared" si="121"/>
        <v>#DIV/0!</v>
      </c>
      <c r="FE36" s="7" t="e">
        <f t="shared" si="12"/>
        <v>#DIV/0!</v>
      </c>
      <c r="FF36" t="e">
        <f t="shared" si="122"/>
        <v>#DIV/0!</v>
      </c>
      <c r="FG36" s="8" t="e">
        <f t="shared" si="123"/>
        <v>#DIV/0!</v>
      </c>
      <c r="FH36" s="8" t="e">
        <f t="shared" si="124"/>
        <v>#DIV/0!</v>
      </c>
      <c r="FI36" s="168" t="e">
        <f t="shared" si="125"/>
        <v>#DIV/0!</v>
      </c>
      <c r="FJ36" s="161" t="e">
        <f t="shared" ca="1" si="13"/>
        <v>#N/A</v>
      </c>
      <c r="FK36" s="169" t="e" vm="3">
        <f t="shared" ca="1" si="19"/>
        <v>#VALUE!</v>
      </c>
      <c r="FL36" s="7" t="e" vm="3">
        <f t="shared" ca="1" si="14"/>
        <v>#VALUE!</v>
      </c>
      <c r="FM36" t="e" vm="3">
        <f t="shared" ca="1" si="8"/>
        <v>#VALUE!</v>
      </c>
      <c r="FN36" s="8" t="e" vm="3">
        <f t="shared" ca="1" si="9"/>
        <v>#VALUE!</v>
      </c>
      <c r="FO36" s="8" t="e" vm="3">
        <f t="shared" ca="1" si="10"/>
        <v>#VALUE!</v>
      </c>
      <c r="FP36" s="168" t="e" vm="3">
        <f t="shared" ca="1" si="11"/>
        <v>#VALUE!</v>
      </c>
      <c r="FQ36" s="161" t="e">
        <f t="shared" si="15"/>
        <v>#N/A</v>
      </c>
      <c r="FR36" s="169" t="e">
        <f t="shared" si="20"/>
        <v>#N/A</v>
      </c>
      <c r="FS36" s="7" t="e">
        <f t="shared" si="16"/>
        <v>#N/A</v>
      </c>
      <c r="FT36" t="e">
        <f t="shared" si="21"/>
        <v>#N/A</v>
      </c>
      <c r="FU36" s="8" t="e">
        <f t="shared" si="22"/>
        <v>#N/A</v>
      </c>
      <c r="FV36" s="8" t="e">
        <f t="shared" si="23"/>
        <v>#N/A</v>
      </c>
      <c r="FW36" s="168" t="e">
        <f t="shared" si="24"/>
        <v>#N/A</v>
      </c>
      <c r="FX36" s="161" t="e">
        <f t="shared" si="25"/>
        <v>#N/A</v>
      </c>
      <c r="FY36" s="169" t="e">
        <f t="shared" si="26"/>
        <v>#N/A</v>
      </c>
      <c r="FZ36" s="7" t="e">
        <f t="shared" si="17"/>
        <v>#N/A</v>
      </c>
      <c r="GA36" t="e">
        <f t="shared" si="27"/>
        <v>#N/A</v>
      </c>
      <c r="GB36" s="8" t="e">
        <f t="shared" si="28"/>
        <v>#N/A</v>
      </c>
      <c r="GC36" s="8" t="e">
        <f t="shared" si="29"/>
        <v>#N/A</v>
      </c>
      <c r="GD36" s="168" t="e">
        <f t="shared" si="30"/>
        <v>#N/A</v>
      </c>
      <c r="GE36" s="168"/>
      <c r="GF36" s="168"/>
      <c r="GI36" s="139">
        <f t="shared" si="81"/>
        <v>26</v>
      </c>
      <c r="GJ36" s="54">
        <f t="shared" si="82"/>
        <v>27</v>
      </c>
      <c r="GK36" s="139">
        <f t="shared" si="83"/>
        <v>-2.4673947870952309</v>
      </c>
      <c r="GL36" s="139">
        <f t="shared" si="84"/>
        <v>1.9006826955669413E-2</v>
      </c>
      <c r="GM36" s="139" t="e">
        <f t="shared" si="85"/>
        <v>#N/A</v>
      </c>
      <c r="GN36" s="139" t="e">
        <f t="shared" si="86"/>
        <v>#N/A</v>
      </c>
      <c r="GO36" s="139" t="e">
        <f t="shared" si="87"/>
        <v>#N/A</v>
      </c>
      <c r="GP36" s="139" t="b">
        <f t="shared" si="88"/>
        <v>1</v>
      </c>
      <c r="GQ36" s="139" t="b">
        <f t="shared" si="89"/>
        <v>0</v>
      </c>
      <c r="GR36" s="139" t="b">
        <f t="shared" si="90"/>
        <v>1</v>
      </c>
      <c r="GS36" s="139" t="b">
        <f t="shared" si="91"/>
        <v>0</v>
      </c>
      <c r="GT36" s="139">
        <f t="shared" si="92"/>
        <v>1.9006826955669413E-2</v>
      </c>
      <c r="GU36" s="139">
        <f t="shared" si="93"/>
        <v>1.9006826955669413E-2</v>
      </c>
      <c r="GV36" s="139" t="e">
        <f t="shared" si="94"/>
        <v>#N/A</v>
      </c>
      <c r="GW36" s="140" t="str">
        <f t="shared" si="95"/>
        <v/>
      </c>
      <c r="HC36" s="139">
        <f t="shared" si="96"/>
        <v>26</v>
      </c>
      <c r="HD36" s="54">
        <f t="shared" si="97"/>
        <v>27</v>
      </c>
      <c r="HE36" s="139">
        <f t="shared" si="98"/>
        <v>-3.8208126492228551</v>
      </c>
      <c r="HF36" s="139" t="e">
        <f t="shared" si="99"/>
        <v>#N/A</v>
      </c>
      <c r="HG36" s="139">
        <f t="shared" si="100"/>
        <v>4.2475655672530406E-3</v>
      </c>
      <c r="HH36" s="139" t="e">
        <f t="shared" si="101"/>
        <v>#N/A</v>
      </c>
      <c r="HI36" s="139" t="e">
        <f t="shared" si="102"/>
        <v>#N/A</v>
      </c>
      <c r="HJ36" s="139" t="b">
        <f t="shared" si="103"/>
        <v>1</v>
      </c>
      <c r="HK36" s="139" t="b">
        <f t="shared" si="104"/>
        <v>0</v>
      </c>
      <c r="HL36" s="139" t="b">
        <f t="shared" si="105"/>
        <v>1</v>
      </c>
      <c r="HM36" s="139" t="b">
        <f t="shared" si="106"/>
        <v>0</v>
      </c>
      <c r="HN36" s="139">
        <f t="shared" si="107"/>
        <v>4.2475655672530406E-3</v>
      </c>
      <c r="HO36" s="139">
        <f t="shared" si="108"/>
        <v>4.2475655672530406E-3</v>
      </c>
      <c r="HP36" s="139" t="e">
        <f t="shared" si="109"/>
        <v>#N/A</v>
      </c>
      <c r="HQ36" s="140" t="str">
        <f t="shared" si="110"/>
        <v/>
      </c>
    </row>
    <row r="37" spans="1:225" x14ac:dyDescent="0.2">
      <c r="A37" s="66" t="str">
        <f>BE30</f>
        <v>Standardafvigelse i populationen er ikke kendt</v>
      </c>
      <c r="B37" s="64"/>
      <c r="C37" s="61" t="str">
        <f>IF(ISLOGICAL(BE35),IF(BE35,"Opfyldt","Ikke opfyldt"),BE35)</f>
        <v>Skal vurderes</v>
      </c>
      <c r="E37" s="100" t="s">
        <v>222</v>
      </c>
      <c r="F37" s="144" t="str" cm="1">
        <f t="array" ref="F37">INDEX(E_g_valg[Beregningsmetode],E_g_aktiv)</f>
        <v>Normalfordeling</v>
      </c>
      <c r="H37" s="66" t="str">
        <f>BF30</f>
        <v/>
      </c>
      <c r="I37" s="64"/>
      <c r="J37" s="61" t="str">
        <f>IF(ISLOGICAL(BF35),IF(BF35,"Opfyldt","Ikke opfyldt"),BF35)</f>
        <v/>
      </c>
      <c r="L37" s="100" t="s">
        <v>222</v>
      </c>
      <c r="M37" s="144" t="str" cm="1">
        <f t="array" ref="M37">INDEX(E_s_valg[Beregningsmetode],E_s_aktiv)</f>
        <v>Chi-i-anden-fordeling</v>
      </c>
      <c r="N37" s="146"/>
      <c r="O37" s="66" t="str">
        <f>BG30</f>
        <v/>
      </c>
      <c r="P37" s="64"/>
      <c r="Q37" s="61" t="str">
        <f>IF(ISLOGICAL(BG35),IF(BG35,"Opfyldt","Ikke opfyldt"),BG35)</f>
        <v/>
      </c>
      <c r="S37" s="100" t="s">
        <v>222</v>
      </c>
      <c r="T37" s="144" t="str" cm="1">
        <f t="array" ref="T37">INDEX(E_a_valg[Beregningsmetode],E_a_aktiv)</f>
        <v>Normalfordeling</v>
      </c>
      <c r="V37" s="66" t="str">
        <f>BH30</f>
        <v/>
      </c>
      <c r="W37" s="64"/>
      <c r="X37" s="61" t="str">
        <f>IF(ISLOGICAL(BH35),IF(BH35,"Opfyldt","Ikke opfyldt"),BH35)</f>
        <v/>
      </c>
      <c r="Z37" s="100" t="s">
        <v>222</v>
      </c>
      <c r="AA37" s="144" t="str" cm="1">
        <f t="array" ref="AA37">INDEX(E_i_valg[Beregningsmetode],E_i_aktiv)</f>
        <v>Normalfordeling</v>
      </c>
      <c r="AC37" s="66" t="str">
        <f>BI30</f>
        <v/>
      </c>
      <c r="AD37" s="64"/>
      <c r="AE37" s="61" t="str">
        <f>IF(ISLOGICAL(BI35),IF(BI35,"Opfyldt","Ikke opfyldt"),BI35)</f>
        <v/>
      </c>
      <c r="AG37" s="100" t="s">
        <v>222</v>
      </c>
      <c r="AH37" s="144" t="str" cm="1">
        <f t="array" ref="AH37">INDEX(E_k_valg[Beregningsmetode],E_k_aktiv)</f>
        <v>t-fordeling</v>
      </c>
      <c r="BS37" s="139">
        <f t="shared" si="36"/>
        <v>27</v>
      </c>
      <c r="BT37" s="54">
        <f>Eu_tabel_g[[#This Row],[Indeks]]+1</f>
        <v>28</v>
      </c>
      <c r="BU37" s="139">
        <f t="shared" si="37"/>
        <v>-2.4434394979001315</v>
      </c>
      <c r="BV37" s="139">
        <f t="shared" si="38"/>
        <v>2.0158347202276675E-2</v>
      </c>
      <c r="BW37" s="139" t="e">
        <f t="shared" si="39"/>
        <v>#N/A</v>
      </c>
      <c r="BX37" s="139" t="e">
        <f t="shared" si="40"/>
        <v>#N/A</v>
      </c>
      <c r="BY37" s="139" t="e">
        <f t="shared" si="41"/>
        <v>#N/A</v>
      </c>
      <c r="BZ37" s="139" t="b">
        <f t="shared" si="42"/>
        <v>1</v>
      </c>
      <c r="CA37" s="139" t="b">
        <f t="shared" si="43"/>
        <v>0</v>
      </c>
      <c r="CB37" s="139" t="b">
        <f t="shared" si="44"/>
        <v>1</v>
      </c>
      <c r="CC37" s="139" t="b">
        <f t="shared" si="45"/>
        <v>0</v>
      </c>
      <c r="CD37" s="139">
        <f t="shared" si="128"/>
        <v>2.0158347202276675E-2</v>
      </c>
      <c r="CE37" s="139">
        <f t="shared" si="47"/>
        <v>2.0158347202276675E-2</v>
      </c>
      <c r="CF37" s="139" t="e">
        <f t="shared" si="48"/>
        <v>#N/A</v>
      </c>
      <c r="CG37" s="140" t="str">
        <f t="shared" si="49"/>
        <v/>
      </c>
      <c r="CH37" s="54">
        <f>_xlfn.NORM.DIST(_xlfn.NORM.INV(1-Eu_g_konfidensniveau,0,1)-Eu_tabel_g[[#This Row],[x base]],0,1,TRUE)</f>
        <v>0.78773470849961547</v>
      </c>
      <c r="CI37" s="54">
        <f>1-_xlfn.NORM.DIST(_xlfn.NORM.INV(Eu_g_konfidensniveau,0,1)-Eu_tabel_g[[#This Row],[x base]],0,1,TRUE)</f>
        <v>2.1727941800664397E-5</v>
      </c>
      <c r="CJ37" s="54">
        <f>_xlfn.NORM.DIST(_xlfn.NORM.INV((1-Eu_g_konfidensniveau)/2,0,1)-Eu_tabel_g[[#This Row],[x base]],0,1,TRUE)+1-_xlfn.NORM.DIST(_xlfn.NORM.INV(1-(1-Eu_g_konfidensniveau)/2,0,1)-Eu_tabel_g[[#This Row],[x base]],0,1,TRUE)</f>
        <v>0.68562625721916726</v>
      </c>
      <c r="CK37" s="54" t="e" cm="1">
        <f t="array" ref="CK37">IF($CK$3,INDEX(Eu_tabel_g[[#This Row],[Styrke venstre]:[Styrke tosidet]],CK$7),NA())</f>
        <v>#N/A</v>
      </c>
      <c r="CL37" s="99" t="e">
        <f>Eu_tabel_g[[#This Row],[Falsk positiv
Nulhypotese accepteres
Fejltype 1]]</f>
        <v>#N/A</v>
      </c>
      <c r="CM37" s="99" t="e">
        <f>IF(CHOOSE(CK$7,Eu_tabel_g[[#This Row],[x base]]&gt;0,Eu_tabel_g[[#This Row],[x base]]&lt;0,Eu_tabel_g[[#This Row],[x base]]=0),Eu_tabel_g[[#This Row],[Styrke, aktiv]],NA())</f>
        <v>#N/A</v>
      </c>
      <c r="CN37" s="99" t="e">
        <f>IFERROR(IF($CK$3,Eu_tabel_g[[#This Row],[Styrke, aktiv]],NA()),NA())</f>
        <v>#N/A</v>
      </c>
      <c r="CO37" s="99" t="e">
        <f>IF(ISNA(Eu_tabel_g[[#This Row],[Sand negativ
Nulhypotese afvises
Korrekt]]),NA(),IF($CK$3,1,NA()))</f>
        <v>#N/A</v>
      </c>
      <c r="CP37" s="56" t="str" cm="1">
        <f t="array" ref="CP37">_xlfn.SWITCH(BS37,_xlfn.IFNA(CN$2,-99),CN$5,_xlfn.IFNA(CN$3,-99),CN$6,_xlfn.IFNA(CN$4,-99),CN$7,"")</f>
        <v/>
      </c>
      <c r="CT37" s="7">
        <f t="shared" si="50"/>
        <v>0.8</v>
      </c>
      <c r="CU37">
        <f>IF(ROW(Styrkeberegning_G[[#This Row],[X base venstre]])=ROW(Styrkeberegning_G[[#Headers],[X base venstre]])+1,CU$7/(CT$7/$B$67),CU36/(CT36/$B$67))</f>
        <v>-2.8015817870135784</v>
      </c>
      <c r="CV37">
        <f>Styrkeberegning_G[[#This Row],[X base venstre]]*-1</f>
        <v>2.8015817870135784</v>
      </c>
      <c r="DG37" s="139">
        <f t="shared" si="51"/>
        <v>27</v>
      </c>
      <c r="DH37" s="54">
        <f t="shared" si="52"/>
        <v>28</v>
      </c>
      <c r="DI37" s="139">
        <f t="shared" si="53"/>
        <v>4.913765787912717</v>
      </c>
      <c r="DJ37" s="139" t="e">
        <f t="shared" si="54"/>
        <v>#N/A</v>
      </c>
      <c r="DK37" s="139" t="e">
        <f t="shared" si="55"/>
        <v>#N/A</v>
      </c>
      <c r="DL37" s="139">
        <f t="shared" si="56"/>
        <v>4.6755489566712091E-2</v>
      </c>
      <c r="DM37" s="139" t="e">
        <f t="shared" si="57"/>
        <v>#N/A</v>
      </c>
      <c r="DN37" s="139" t="b">
        <f t="shared" si="58"/>
        <v>0</v>
      </c>
      <c r="DO37" s="139" t="b">
        <f t="shared" si="59"/>
        <v>1</v>
      </c>
      <c r="DP37" s="139" t="b">
        <f t="shared" si="60"/>
        <v>0</v>
      </c>
      <c r="DQ37" s="139" t="b">
        <f t="shared" si="61"/>
        <v>1</v>
      </c>
      <c r="DR37" s="139">
        <f t="shared" si="62"/>
        <v>4.6755489566712091E-2</v>
      </c>
      <c r="DS37" s="139" t="e">
        <f t="shared" si="63"/>
        <v>#N/A</v>
      </c>
      <c r="DT37" s="139">
        <f t="shared" si="64"/>
        <v>4.6755489566712091E-2</v>
      </c>
      <c r="DU37" s="140" t="str">
        <f t="shared" si="65"/>
        <v/>
      </c>
      <c r="DZ37" s="139">
        <f t="shared" si="66"/>
        <v>27</v>
      </c>
      <c r="EA37" s="54">
        <f t="shared" si="67"/>
        <v>28</v>
      </c>
      <c r="EB37" s="139">
        <f t="shared" si="68"/>
        <v>-2.4434394979001315</v>
      </c>
      <c r="EC37" s="139">
        <f t="shared" si="69"/>
        <v>2.0158347202276675E-2</v>
      </c>
      <c r="ED37" s="139" t="e">
        <f t="shared" si="70"/>
        <v>#N/A</v>
      </c>
      <c r="EE37" s="139" t="e">
        <f t="shared" si="71"/>
        <v>#N/A</v>
      </c>
      <c r="EF37" s="139" t="e">
        <f t="shared" si="72"/>
        <v>#N/A</v>
      </c>
      <c r="EG37" s="139" t="b">
        <f t="shared" si="73"/>
        <v>1</v>
      </c>
      <c r="EH37" s="139" t="b">
        <f t="shared" si="74"/>
        <v>0</v>
      </c>
      <c r="EI37" s="139" t="b">
        <f t="shared" si="75"/>
        <v>1</v>
      </c>
      <c r="EJ37" s="139" t="b">
        <f t="shared" si="76"/>
        <v>0</v>
      </c>
      <c r="EK37" s="139">
        <f t="shared" si="77"/>
        <v>2.0158347202276675E-2</v>
      </c>
      <c r="EL37" s="139">
        <f t="shared" si="78"/>
        <v>2.0158347202276675E-2</v>
      </c>
      <c r="EM37" s="139" t="e">
        <f t="shared" si="79"/>
        <v>#N/A</v>
      </c>
      <c r="EN37" s="140" t="str">
        <f t="shared" si="80"/>
        <v/>
      </c>
      <c r="EO3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3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3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37" s="54" t="e" cm="1">
        <f t="array" ref="ER37">IF($CK$3,INDEX(Eu_tabel_a[[#This Row],[Styrke venstre]:[Styrke tosidet]],ER$7),NA())</f>
        <v>#N/A</v>
      </c>
      <c r="ES37" s="54" t="e">
        <f>IF(ER$3,IF(CHOOSE(ER$7,Eu_tabel_a[[#This Row],[x base]]&gt;0,Eu_tabel_a[[#This Row],[x base]]&lt;0,Eu_tabel_a[[#This Row],[x base]]=0),1,NA()),NA())</f>
        <v>#N/A</v>
      </c>
      <c r="ET37" s="54" t="e">
        <f>IF(CHOOSE(ER$7,Eu_tabel_a[[#This Row],[x base]]&gt;0,Eu_tabel_a[[#This Row],[x base]]&lt;0,Eu_tabel_a[[#This Row],[x base]]=0),Eu_tabel_a[[#This Row],[Styrke, aktiv]],NA())</f>
        <v>#N/A</v>
      </c>
      <c r="EU37" s="54" t="e">
        <f>IFERROR(IF($ER$3,Eu_tabel_a[[#This Row],[Styrke, aktiv]],NA()),NA())</f>
        <v>#N/A</v>
      </c>
      <c r="EV37" s="54" t="e">
        <f>IF(ISNA(Eu_tabel_a[[#This Row],[Sand negativ
Nulhypotese afvises
Korrekt]]),NA(),IF(ER$3,1,NA()))</f>
        <v>#N/A</v>
      </c>
      <c r="EW37" s="55" t="str" cm="1">
        <f t="array" ref="EW37">IFERROR(_xlfn.SWITCH(Eu_tabel_a[[#This Row],[Indeks]],_xlfn.IFNA(EU$2,-99),EU$5,_xlfn.IFNA(EU$3,-99),EU$6,_xlfn.IFNA(EU$4,-99),EU$7,""),"")</f>
        <v/>
      </c>
      <c r="EX37" s="54">
        <f>Eu_tabel_a[[#This Row],[x base]]*SQRT(Eu_a_h0_x*(1-Eu_a_h0_x)/Eu_a_n_x)+Eu_a_h0_x</f>
        <v>0</v>
      </c>
      <c r="FC37" s="161" t="e">
        <f t="shared" si="18"/>
        <v>#N/A</v>
      </c>
      <c r="FD37" s="169" t="e">
        <f t="shared" si="121"/>
        <v>#DIV/0!</v>
      </c>
      <c r="FE37" s="7" t="e">
        <f t="shared" si="12"/>
        <v>#DIV/0!</v>
      </c>
      <c r="FF37" t="e">
        <f t="shared" si="122"/>
        <v>#DIV/0!</v>
      </c>
      <c r="FG37" s="8" t="e">
        <f t="shared" si="123"/>
        <v>#DIV/0!</v>
      </c>
      <c r="FH37" s="8" t="e">
        <f t="shared" si="124"/>
        <v>#DIV/0!</v>
      </c>
      <c r="FI37" s="168" t="e">
        <f t="shared" si="125"/>
        <v>#DIV/0!</v>
      </c>
      <c r="FJ37" s="161" t="e">
        <f t="shared" ca="1" si="13"/>
        <v>#N/A</v>
      </c>
      <c r="FK37" s="169" t="e" vm="3">
        <f t="shared" ca="1" si="19"/>
        <v>#VALUE!</v>
      </c>
      <c r="FL37" s="7" t="e" vm="3">
        <f t="shared" ca="1" si="14"/>
        <v>#VALUE!</v>
      </c>
      <c r="FM37" t="e" vm="3">
        <f t="shared" ca="1" si="8"/>
        <v>#VALUE!</v>
      </c>
      <c r="FN37" s="8" t="e" vm="3">
        <f t="shared" ca="1" si="9"/>
        <v>#VALUE!</v>
      </c>
      <c r="FO37" s="8" t="e" vm="3">
        <f t="shared" ca="1" si="10"/>
        <v>#VALUE!</v>
      </c>
      <c r="FP37" s="168" t="e" vm="3">
        <f t="shared" ca="1" si="11"/>
        <v>#VALUE!</v>
      </c>
      <c r="FQ37" s="161" t="e">
        <f t="shared" si="15"/>
        <v>#N/A</v>
      </c>
      <c r="FR37" s="169" t="e">
        <f t="shared" si="20"/>
        <v>#N/A</v>
      </c>
      <c r="FS37" s="7" t="e">
        <f t="shared" si="16"/>
        <v>#N/A</v>
      </c>
      <c r="FT37" t="e">
        <f t="shared" si="21"/>
        <v>#N/A</v>
      </c>
      <c r="FU37" s="8" t="e">
        <f t="shared" si="22"/>
        <v>#N/A</v>
      </c>
      <c r="FV37" s="8" t="e">
        <f t="shared" si="23"/>
        <v>#N/A</v>
      </c>
      <c r="FW37" s="168" t="e">
        <f t="shared" si="24"/>
        <v>#N/A</v>
      </c>
      <c r="FX37" s="161" t="e">
        <f t="shared" si="25"/>
        <v>#N/A</v>
      </c>
      <c r="FY37" s="169" t="e">
        <f t="shared" si="26"/>
        <v>#N/A</v>
      </c>
      <c r="FZ37" s="7" t="e">
        <f t="shared" si="17"/>
        <v>#N/A</v>
      </c>
      <c r="GA37" t="e">
        <f t="shared" si="27"/>
        <v>#N/A</v>
      </c>
      <c r="GB37" s="8" t="e">
        <f t="shared" si="28"/>
        <v>#N/A</v>
      </c>
      <c r="GC37" s="8" t="e">
        <f t="shared" si="29"/>
        <v>#N/A</v>
      </c>
      <c r="GD37" s="168" t="e">
        <f t="shared" si="30"/>
        <v>#N/A</v>
      </c>
      <c r="GE37" s="168"/>
      <c r="GF37" s="168"/>
      <c r="GI37" s="139">
        <f t="shared" si="81"/>
        <v>27</v>
      </c>
      <c r="GJ37" s="54">
        <f t="shared" si="82"/>
        <v>28</v>
      </c>
      <c r="GK37" s="139">
        <f t="shared" si="83"/>
        <v>-2.4434394979001315</v>
      </c>
      <c r="GL37" s="139">
        <f t="shared" si="84"/>
        <v>2.0158347202276675E-2</v>
      </c>
      <c r="GM37" s="139" t="e">
        <f t="shared" si="85"/>
        <v>#N/A</v>
      </c>
      <c r="GN37" s="139" t="e">
        <f t="shared" si="86"/>
        <v>#N/A</v>
      </c>
      <c r="GO37" s="139" t="e">
        <f t="shared" si="87"/>
        <v>#N/A</v>
      </c>
      <c r="GP37" s="139" t="b">
        <f t="shared" si="88"/>
        <v>1</v>
      </c>
      <c r="GQ37" s="139" t="b">
        <f t="shared" si="89"/>
        <v>0</v>
      </c>
      <c r="GR37" s="139" t="b">
        <f t="shared" si="90"/>
        <v>1</v>
      </c>
      <c r="GS37" s="139" t="b">
        <f t="shared" si="91"/>
        <v>0</v>
      </c>
      <c r="GT37" s="139">
        <f t="shared" si="92"/>
        <v>2.0158347202276675E-2</v>
      </c>
      <c r="GU37" s="139">
        <f t="shared" si="93"/>
        <v>2.0158347202276675E-2</v>
      </c>
      <c r="GV37" s="139" t="e">
        <f t="shared" si="94"/>
        <v>#N/A</v>
      </c>
      <c r="GW37" s="140" t="str">
        <f t="shared" si="95"/>
        <v/>
      </c>
      <c r="HC37" s="139">
        <f t="shared" si="96"/>
        <v>27</v>
      </c>
      <c r="HD37" s="54">
        <f t="shared" si="97"/>
        <v>28</v>
      </c>
      <c r="HE37" s="139">
        <f t="shared" si="98"/>
        <v>-3.7837173807837985</v>
      </c>
      <c r="HF37" s="139" t="e">
        <f t="shared" si="99"/>
        <v>#N/A</v>
      </c>
      <c r="HG37" s="139">
        <f t="shared" si="100"/>
        <v>4.4769088118036685E-3</v>
      </c>
      <c r="HH37" s="139" t="e">
        <f t="shared" si="101"/>
        <v>#N/A</v>
      </c>
      <c r="HI37" s="139" t="e">
        <f t="shared" si="102"/>
        <v>#N/A</v>
      </c>
      <c r="HJ37" s="139" t="b">
        <f t="shared" si="103"/>
        <v>1</v>
      </c>
      <c r="HK37" s="139" t="b">
        <f t="shared" si="104"/>
        <v>0</v>
      </c>
      <c r="HL37" s="139" t="b">
        <f t="shared" si="105"/>
        <v>1</v>
      </c>
      <c r="HM37" s="139" t="b">
        <f t="shared" si="106"/>
        <v>0</v>
      </c>
      <c r="HN37" s="139">
        <f t="shared" si="107"/>
        <v>4.4769088118036685E-3</v>
      </c>
      <c r="HO37" s="139">
        <f t="shared" si="108"/>
        <v>4.4769088118036685E-3</v>
      </c>
      <c r="HP37" s="139" t="e">
        <f t="shared" si="109"/>
        <v>#N/A</v>
      </c>
      <c r="HQ37" s="140" t="str">
        <f t="shared" si="110"/>
        <v/>
      </c>
    </row>
    <row r="38" spans="1:225" x14ac:dyDescent="0.2">
      <c r="A38" s="66" t="str">
        <f>BE31</f>
        <v/>
      </c>
      <c r="B38" s="64"/>
      <c r="C38" s="61" t="str">
        <f>IF(ISLOGICAL(BE36),IF(BE36,"Opfyldt","Ikke opfyldt"),BE36)</f>
        <v/>
      </c>
      <c r="E38" s="100" t="s">
        <v>4</v>
      </c>
      <c r="F38" s="143">
        <f>Eu_g_konfidensniveau</f>
        <v>0.95</v>
      </c>
      <c r="H38" s="66" t="str">
        <f>BF31</f>
        <v/>
      </c>
      <c r="I38" s="64"/>
      <c r="J38" s="61" t="str">
        <f>IF(ISLOGICAL(BF36),IF(BF36,"Opfyldt","Ikke opfyldt"),BF36)</f>
        <v/>
      </c>
      <c r="L38" s="100" t="s">
        <v>4</v>
      </c>
      <c r="M38" s="143">
        <f>Eu_s_konfidensniveau</f>
        <v>0.95</v>
      </c>
      <c r="N38" s="146"/>
      <c r="O38" s="66" t="str">
        <f>BG31</f>
        <v/>
      </c>
      <c r="P38" s="64"/>
      <c r="Q38" s="61" t="str">
        <f>IF(ISLOGICAL(BG36),IF(BG36,"Opfyldt","Ikke opfyldt"),BG36)</f>
        <v/>
      </c>
      <c r="S38" s="100" t="s">
        <v>4</v>
      </c>
      <c r="T38" s="143">
        <f>Eu_a_konfidensniveau</f>
        <v>0.95</v>
      </c>
      <c r="V38" s="66" t="str">
        <f>BH31</f>
        <v/>
      </c>
      <c r="W38" s="64"/>
      <c r="X38" s="61" t="str">
        <f>IF(ISLOGICAL(BH36),IF(BH36,"Opfyldt","Ikke opfyldt"),BH36)</f>
        <v/>
      </c>
      <c r="Z38" s="100" t="s">
        <v>4</v>
      </c>
      <c r="AA38" s="143">
        <f>Eu_i_konfidensniveau</f>
        <v>0.95</v>
      </c>
      <c r="AC38" s="66" t="str">
        <f>BI31</f>
        <v/>
      </c>
      <c r="AD38" s="64"/>
      <c r="AE38" s="61" t="str">
        <f>IF(ISLOGICAL(BI36),IF(BI36,"Opfyldt","Ikke opfyldt"),BI36)</f>
        <v/>
      </c>
      <c r="AG38" s="100" t="s">
        <v>4</v>
      </c>
      <c r="AH38" s="143">
        <f>Eu_k_konfidensniveau</f>
        <v>0.95</v>
      </c>
      <c r="BD38" s="100" t="s">
        <v>1119</v>
      </c>
      <c r="BE38" s="108" t="str">
        <f>B42</f>
        <v>Eksempel 1 (interval)</v>
      </c>
      <c r="BF38" s="108" t="str">
        <f>I42</f>
        <v>Eksempel 2 (interval)</v>
      </c>
      <c r="BG38" s="108" t="str">
        <f>P42</f>
        <v>Eksempel 4 (nominal)</v>
      </c>
      <c r="BH38" s="108" t="str">
        <f>W42</f>
        <v>Eksempel 1 (interval)</v>
      </c>
      <c r="BI38" s="108" t="str">
        <f>AD42</f>
        <v>Eksempel 1 (interval)</v>
      </c>
      <c r="BS38" s="139">
        <f t="shared" si="36"/>
        <v>28</v>
      </c>
      <c r="BT38" s="54">
        <f>Eu_tabel_g[[#This Row],[Indeks]]+1</f>
        <v>29</v>
      </c>
      <c r="BU38" s="139">
        <f t="shared" si="37"/>
        <v>-2.4194842087050321</v>
      </c>
      <c r="BV38" s="139">
        <f t="shared" si="38"/>
        <v>2.1367366488433549E-2</v>
      </c>
      <c r="BW38" s="139" t="e">
        <f t="shared" si="39"/>
        <v>#N/A</v>
      </c>
      <c r="BX38" s="139" t="e">
        <f t="shared" si="40"/>
        <v>#N/A</v>
      </c>
      <c r="BY38" s="139" t="e">
        <f t="shared" si="41"/>
        <v>#N/A</v>
      </c>
      <c r="BZ38" s="139" t="b">
        <f t="shared" si="42"/>
        <v>1</v>
      </c>
      <c r="CA38" s="139" t="b">
        <f t="shared" si="43"/>
        <v>0</v>
      </c>
      <c r="CB38" s="139" t="b">
        <f t="shared" si="44"/>
        <v>1</v>
      </c>
      <c r="CC38" s="139" t="b">
        <f t="shared" si="45"/>
        <v>0</v>
      </c>
      <c r="CD38" s="139">
        <f t="shared" si="128"/>
        <v>2.1367366488433549E-2</v>
      </c>
      <c r="CE38" s="139">
        <f t="shared" si="47"/>
        <v>2.1367366488433549E-2</v>
      </c>
      <c r="CF38" s="139" t="e">
        <f t="shared" si="48"/>
        <v>#N/A</v>
      </c>
      <c r="CG38" s="140" t="str">
        <f t="shared" si="49"/>
        <v/>
      </c>
      <c r="CH38" s="54">
        <f>_xlfn.NORM.DIST(_xlfn.NORM.INV(1-Eu_g_konfidensniveau,0,1)-Eu_tabel_g[[#This Row],[x base]],0,1,TRUE)</f>
        <v>0.78072100945750522</v>
      </c>
      <c r="CI38" s="54">
        <f>1-_xlfn.NORM.DIST(_xlfn.NORM.INV(Eu_g_konfidensniveau,0,1)-Eu_tabel_g[[#This Row],[x base]],0,1,TRUE)</f>
        <v>2.4084507387889253E-5</v>
      </c>
      <c r="CJ38" s="54">
        <f>_xlfn.NORM.DIST(_xlfn.NORM.INV((1-Eu_g_konfidensniveau)/2,0,1)-Eu_tabel_g[[#This Row],[x base]],0,1,TRUE)+1-_xlfn.NORM.DIST(_xlfn.NORM.INV(1-(1-Eu_g_konfidensniveau)/2,0,1)-Eu_tabel_g[[#This Row],[x base]],0,1,TRUE)</f>
        <v>0.67707563287535322</v>
      </c>
      <c r="CK38" s="54" t="e" cm="1">
        <f t="array" ref="CK38">IF($CK$3,INDEX(Eu_tabel_g[[#This Row],[Styrke venstre]:[Styrke tosidet]],CK$7),NA())</f>
        <v>#N/A</v>
      </c>
      <c r="CL38" s="99" t="e">
        <f>Eu_tabel_g[[#This Row],[Falsk positiv
Nulhypotese accepteres
Fejltype 1]]</f>
        <v>#N/A</v>
      </c>
      <c r="CM38" s="99" t="e">
        <f>IF(CHOOSE(CK$7,Eu_tabel_g[[#This Row],[x base]]&gt;0,Eu_tabel_g[[#This Row],[x base]]&lt;0,Eu_tabel_g[[#This Row],[x base]]=0),Eu_tabel_g[[#This Row],[Styrke, aktiv]],NA())</f>
        <v>#N/A</v>
      </c>
      <c r="CN38" s="99" t="e">
        <f>IFERROR(IF($CK$3,Eu_tabel_g[[#This Row],[Styrke, aktiv]],NA()),NA())</f>
        <v>#N/A</v>
      </c>
      <c r="CO38" s="99" t="e">
        <f>IF(ISNA(Eu_tabel_g[[#This Row],[Sand negativ
Nulhypotese afvises
Korrekt]]),NA(),IF($CK$3,1,NA()))</f>
        <v>#N/A</v>
      </c>
      <c r="CP38" s="56" t="str" cm="1">
        <f t="array" ref="CP38">_xlfn.SWITCH(BS38,_xlfn.IFNA(CN$2,-99),CN$5,_xlfn.IFNA(CN$3,-99),CN$6,_xlfn.IFNA(CN$4,-99),CN$7,"")</f>
        <v/>
      </c>
      <c r="CT38" s="7">
        <f t="shared" si="50"/>
        <v>0.8</v>
      </c>
      <c r="CU38">
        <f>IF(ROW(Styrkeberegning_G[[#This Row],[X base venstre]])=ROW(Styrkeberegning_G[[#Headers],[X base venstre]])+1,CU$7/(CT$7/$B$67),CU37/(CT37/$B$67))</f>
        <v>-2.8015817870135784</v>
      </c>
      <c r="CV38">
        <f>Styrkeberegning_G[[#This Row],[X base venstre]]*-1</f>
        <v>2.8015817870135784</v>
      </c>
      <c r="DG38" s="139">
        <f t="shared" si="51"/>
        <v>28</v>
      </c>
      <c r="DH38" s="54">
        <f t="shared" si="52"/>
        <v>29</v>
      </c>
      <c r="DI38" s="139">
        <f t="shared" si="53"/>
        <v>5.0278366443297182</v>
      </c>
      <c r="DJ38" s="139" t="e">
        <f t="shared" si="54"/>
        <v>#N/A</v>
      </c>
      <c r="DK38" s="139" t="e">
        <f t="shared" si="55"/>
        <v>#N/A</v>
      </c>
      <c r="DL38" s="139">
        <f t="shared" si="56"/>
        <v>4.8968028259221252E-2</v>
      </c>
      <c r="DM38" s="139" t="e">
        <f t="shared" si="57"/>
        <v>#N/A</v>
      </c>
      <c r="DN38" s="139" t="b">
        <f t="shared" si="58"/>
        <v>0</v>
      </c>
      <c r="DO38" s="139" t="b">
        <f t="shared" si="59"/>
        <v>1</v>
      </c>
      <c r="DP38" s="139" t="b">
        <f t="shared" si="60"/>
        <v>0</v>
      </c>
      <c r="DQ38" s="139" t="b">
        <f t="shared" si="61"/>
        <v>1</v>
      </c>
      <c r="DR38" s="139">
        <f t="shared" si="62"/>
        <v>4.8968028259221252E-2</v>
      </c>
      <c r="DS38" s="139" t="e">
        <f t="shared" si="63"/>
        <v>#N/A</v>
      </c>
      <c r="DT38" s="139">
        <f t="shared" si="64"/>
        <v>4.8968028259221252E-2</v>
      </c>
      <c r="DU38" s="140" t="str">
        <f t="shared" si="65"/>
        <v/>
      </c>
      <c r="DZ38" s="139">
        <f t="shared" si="66"/>
        <v>28</v>
      </c>
      <c r="EA38" s="54">
        <f t="shared" si="67"/>
        <v>29</v>
      </c>
      <c r="EB38" s="139">
        <f t="shared" si="68"/>
        <v>-2.4194842087050321</v>
      </c>
      <c r="EC38" s="139">
        <f t="shared" si="69"/>
        <v>2.1367366488433549E-2</v>
      </c>
      <c r="ED38" s="139" t="e">
        <f t="shared" si="70"/>
        <v>#N/A</v>
      </c>
      <c r="EE38" s="139" t="e">
        <f t="shared" si="71"/>
        <v>#N/A</v>
      </c>
      <c r="EF38" s="139" t="e">
        <f t="shared" si="72"/>
        <v>#N/A</v>
      </c>
      <c r="EG38" s="139" t="b">
        <f t="shared" si="73"/>
        <v>1</v>
      </c>
      <c r="EH38" s="139" t="b">
        <f t="shared" si="74"/>
        <v>0</v>
      </c>
      <c r="EI38" s="139" t="b">
        <f t="shared" si="75"/>
        <v>1</v>
      </c>
      <c r="EJ38" s="139" t="b">
        <f t="shared" si="76"/>
        <v>0</v>
      </c>
      <c r="EK38" s="139">
        <f t="shared" si="77"/>
        <v>2.1367366488433549E-2</v>
      </c>
      <c r="EL38" s="139">
        <f t="shared" si="78"/>
        <v>2.1367366488433549E-2</v>
      </c>
      <c r="EM38" s="139" t="e">
        <f t="shared" si="79"/>
        <v>#N/A</v>
      </c>
      <c r="EN38" s="140" t="str">
        <f t="shared" si="80"/>
        <v/>
      </c>
      <c r="EO3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3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3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38" s="54" t="e" cm="1">
        <f t="array" ref="ER38">IF($CK$3,INDEX(Eu_tabel_a[[#This Row],[Styrke venstre]:[Styrke tosidet]],ER$7),NA())</f>
        <v>#N/A</v>
      </c>
      <c r="ES38" s="54" t="e">
        <f>IF(ER$3,IF(CHOOSE(ER$7,Eu_tabel_a[[#This Row],[x base]]&gt;0,Eu_tabel_a[[#This Row],[x base]]&lt;0,Eu_tabel_a[[#This Row],[x base]]=0),1,NA()),NA())</f>
        <v>#N/A</v>
      </c>
      <c r="ET38" s="54" t="e">
        <f>IF(CHOOSE(ER$7,Eu_tabel_a[[#This Row],[x base]]&gt;0,Eu_tabel_a[[#This Row],[x base]]&lt;0,Eu_tabel_a[[#This Row],[x base]]=0),Eu_tabel_a[[#This Row],[Styrke, aktiv]],NA())</f>
        <v>#N/A</v>
      </c>
      <c r="EU38" s="54" t="e">
        <f>IFERROR(IF($ER$3,Eu_tabel_a[[#This Row],[Styrke, aktiv]],NA()),NA())</f>
        <v>#N/A</v>
      </c>
      <c r="EV38" s="54" t="e">
        <f>IF(ISNA(Eu_tabel_a[[#This Row],[Sand negativ
Nulhypotese afvises
Korrekt]]),NA(),IF(ER$3,1,NA()))</f>
        <v>#N/A</v>
      </c>
      <c r="EW38" s="55" t="str" cm="1">
        <f t="array" ref="EW38">IFERROR(_xlfn.SWITCH(Eu_tabel_a[[#This Row],[Indeks]],_xlfn.IFNA(EU$2,-99),EU$5,_xlfn.IFNA(EU$3,-99),EU$6,_xlfn.IFNA(EU$4,-99),EU$7,""),"")</f>
        <v/>
      </c>
      <c r="EX38" s="54">
        <f>Eu_tabel_a[[#This Row],[x base]]*SQRT(Eu_a_h0_x*(1-Eu_a_h0_x)/Eu_a_n_x)+Eu_a_h0_x</f>
        <v>0</v>
      </c>
      <c r="FC38" s="161" t="e">
        <f t="shared" si="18"/>
        <v>#N/A</v>
      </c>
      <c r="FD38" s="169" t="e">
        <f t="shared" si="121"/>
        <v>#DIV/0!</v>
      </c>
      <c r="FE38" s="7" t="e">
        <f t="shared" si="12"/>
        <v>#DIV/0!</v>
      </c>
      <c r="FF38" t="e">
        <f t="shared" si="122"/>
        <v>#DIV/0!</v>
      </c>
      <c r="FG38" s="8" t="e">
        <f t="shared" si="123"/>
        <v>#DIV/0!</v>
      </c>
      <c r="FH38" s="8" t="e">
        <f t="shared" si="124"/>
        <v>#DIV/0!</v>
      </c>
      <c r="FI38" s="168" t="e">
        <f t="shared" si="125"/>
        <v>#DIV/0!</v>
      </c>
      <c r="FJ38" s="161" t="e">
        <f t="shared" ca="1" si="13"/>
        <v>#N/A</v>
      </c>
      <c r="FK38" s="169" t="e" vm="3">
        <f t="shared" ca="1" si="19"/>
        <v>#VALUE!</v>
      </c>
      <c r="FL38" s="7" t="e" vm="3">
        <f t="shared" ca="1" si="14"/>
        <v>#VALUE!</v>
      </c>
      <c r="FM38" t="e" vm="3">
        <f t="shared" ca="1" si="8"/>
        <v>#VALUE!</v>
      </c>
      <c r="FN38" s="8" t="e" vm="3">
        <f t="shared" ca="1" si="9"/>
        <v>#VALUE!</v>
      </c>
      <c r="FO38" s="8" t="e" vm="3">
        <f t="shared" ca="1" si="10"/>
        <v>#VALUE!</v>
      </c>
      <c r="FP38" s="168" t="e" vm="3">
        <f t="shared" ca="1" si="11"/>
        <v>#VALUE!</v>
      </c>
      <c r="FQ38" s="161" t="e">
        <f t="shared" si="15"/>
        <v>#N/A</v>
      </c>
      <c r="FR38" s="169" t="e">
        <f t="shared" si="20"/>
        <v>#N/A</v>
      </c>
      <c r="FS38" s="7" t="e">
        <f t="shared" si="16"/>
        <v>#N/A</v>
      </c>
      <c r="FT38" t="e">
        <f t="shared" si="21"/>
        <v>#N/A</v>
      </c>
      <c r="FU38" s="8" t="e">
        <f t="shared" si="22"/>
        <v>#N/A</v>
      </c>
      <c r="FV38" s="8" t="e">
        <f t="shared" si="23"/>
        <v>#N/A</v>
      </c>
      <c r="FW38" s="168" t="e">
        <f t="shared" si="24"/>
        <v>#N/A</v>
      </c>
      <c r="FX38" s="161" t="e">
        <f t="shared" si="25"/>
        <v>#N/A</v>
      </c>
      <c r="FY38" s="169" t="e">
        <f t="shared" si="26"/>
        <v>#N/A</v>
      </c>
      <c r="FZ38" s="7" t="e">
        <f t="shared" si="17"/>
        <v>#N/A</v>
      </c>
      <c r="GA38" t="e">
        <f t="shared" si="27"/>
        <v>#N/A</v>
      </c>
      <c r="GB38" s="8" t="e">
        <f t="shared" si="28"/>
        <v>#N/A</v>
      </c>
      <c r="GC38" s="8" t="e">
        <f t="shared" si="29"/>
        <v>#N/A</v>
      </c>
      <c r="GD38" s="168" t="e">
        <f t="shared" si="30"/>
        <v>#N/A</v>
      </c>
      <c r="GE38" s="168"/>
      <c r="GF38" s="168"/>
      <c r="GI38" s="139">
        <f t="shared" si="81"/>
        <v>28</v>
      </c>
      <c r="GJ38" s="54">
        <f t="shared" si="82"/>
        <v>29</v>
      </c>
      <c r="GK38" s="139">
        <f t="shared" si="83"/>
        <v>-2.4194842087050321</v>
      </c>
      <c r="GL38" s="139">
        <f t="shared" si="84"/>
        <v>2.1367366488433549E-2</v>
      </c>
      <c r="GM38" s="139" t="e">
        <f t="shared" si="85"/>
        <v>#N/A</v>
      </c>
      <c r="GN38" s="139" t="e">
        <f t="shared" si="86"/>
        <v>#N/A</v>
      </c>
      <c r="GO38" s="139" t="e">
        <f t="shared" si="87"/>
        <v>#N/A</v>
      </c>
      <c r="GP38" s="139" t="b">
        <f t="shared" si="88"/>
        <v>1</v>
      </c>
      <c r="GQ38" s="139" t="b">
        <f t="shared" si="89"/>
        <v>0</v>
      </c>
      <c r="GR38" s="139" t="b">
        <f t="shared" si="90"/>
        <v>1</v>
      </c>
      <c r="GS38" s="139" t="b">
        <f t="shared" si="91"/>
        <v>0</v>
      </c>
      <c r="GT38" s="139">
        <f t="shared" si="92"/>
        <v>2.1367366488433549E-2</v>
      </c>
      <c r="GU38" s="139">
        <f t="shared" si="93"/>
        <v>2.1367366488433549E-2</v>
      </c>
      <c r="GV38" s="139" t="e">
        <f t="shared" si="94"/>
        <v>#N/A</v>
      </c>
      <c r="GW38" s="140" t="str">
        <f t="shared" si="95"/>
        <v/>
      </c>
      <c r="HC38" s="139">
        <f t="shared" si="96"/>
        <v>28</v>
      </c>
      <c r="HD38" s="54">
        <f t="shared" si="97"/>
        <v>29</v>
      </c>
      <c r="HE38" s="139">
        <f t="shared" si="98"/>
        <v>-3.7466221123447414</v>
      </c>
      <c r="HF38" s="139" t="e">
        <f t="shared" si="99"/>
        <v>#N/A</v>
      </c>
      <c r="HG38" s="139">
        <f t="shared" si="100"/>
        <v>4.7194716422334568E-3</v>
      </c>
      <c r="HH38" s="139" t="e">
        <f t="shared" si="101"/>
        <v>#N/A</v>
      </c>
      <c r="HI38" s="139" t="e">
        <f t="shared" si="102"/>
        <v>#N/A</v>
      </c>
      <c r="HJ38" s="139" t="b">
        <f t="shared" si="103"/>
        <v>1</v>
      </c>
      <c r="HK38" s="139" t="b">
        <f t="shared" si="104"/>
        <v>0</v>
      </c>
      <c r="HL38" s="139" t="b">
        <f t="shared" si="105"/>
        <v>1</v>
      </c>
      <c r="HM38" s="139" t="b">
        <f t="shared" si="106"/>
        <v>0</v>
      </c>
      <c r="HN38" s="139">
        <f t="shared" si="107"/>
        <v>4.7194716422334568E-3</v>
      </c>
      <c r="HO38" s="139">
        <f t="shared" si="108"/>
        <v>4.7194716422334568E-3</v>
      </c>
      <c r="HP38" s="139" t="e">
        <f t="shared" si="109"/>
        <v>#N/A</v>
      </c>
      <c r="HQ38" s="140" t="str">
        <f t="shared" si="110"/>
        <v/>
      </c>
    </row>
    <row r="39" spans="1:225" x14ac:dyDescent="0.2">
      <c r="E39" s="100" t="s">
        <v>477</v>
      </c>
      <c r="F39" s="144" cm="1">
        <f t="array" ref="F39">IF($BE$2,INDEX(E_g_valg[Venstre label base],E_g_aktiv),NA())</f>
        <v>-0.58278968089955363</v>
      </c>
      <c r="L39" s="100" t="s">
        <v>477</v>
      </c>
      <c r="M39" s="144" cm="1">
        <f t="array" ref="M39">IF($BF$2,INDEX(E_s_valg[Venstre label base],E_s_aktiv),NA())</f>
        <v>3.0509630363038913</v>
      </c>
      <c r="N39" s="146"/>
      <c r="S39" s="100" t="s">
        <v>477</v>
      </c>
      <c r="T39" s="144" cm="1">
        <f t="array" ref="T39">IF($BG$2,INDEX(E_a_valg[Venstre label base],E_a_aktiv),NA())</f>
        <v>0.20060094659432398</v>
      </c>
      <c r="Z39" s="100" t="s">
        <v>477</v>
      </c>
      <c r="AA39" s="144" cm="1">
        <f t="array" ref="AA39">IF($BH$2,INDEX(E_i_valg[Venstre label base],E_i_aktiv),NA())</f>
        <v>1.08361049168533</v>
      </c>
      <c r="AG39" s="100" t="s">
        <v>477</v>
      </c>
      <c r="AH39" s="144" t="e" cm="1">
        <f t="array" ref="AH39">IF($BI$2,INDEX(E_k_valg[Venstre label base],E_k_aktiv),NA())</f>
        <v>#N/A</v>
      </c>
      <c r="BD39" s="100" t="s">
        <v>1120</v>
      </c>
      <c r="BE39" s="108" cm="1">
        <f t="array" ref="BE39:BI39">_xlfn.XMATCH(BE38:BI38,DataHeaders,0)</f>
        <v>1</v>
      </c>
      <c r="BF39" s="108">
        <v>2</v>
      </c>
      <c r="BG39" s="108">
        <v>4</v>
      </c>
      <c r="BH39" s="108">
        <v>1</v>
      </c>
      <c r="BI39" s="108">
        <v>1</v>
      </c>
      <c r="BS39" s="139">
        <f t="shared" si="36"/>
        <v>29</v>
      </c>
      <c r="BT39" s="54">
        <f>Eu_tabel_g[[#This Row],[Indeks]]+1</f>
        <v>30</v>
      </c>
      <c r="BU39" s="139">
        <f t="shared" si="37"/>
        <v>-2.3955289195099327</v>
      </c>
      <c r="BV39" s="139">
        <f t="shared" si="38"/>
        <v>2.2635904575720501E-2</v>
      </c>
      <c r="BW39" s="139" t="e">
        <f t="shared" si="39"/>
        <v>#N/A</v>
      </c>
      <c r="BX39" s="139" t="e">
        <f t="shared" si="40"/>
        <v>#N/A</v>
      </c>
      <c r="BY39" s="139" t="e">
        <f t="shared" si="41"/>
        <v>#N/A</v>
      </c>
      <c r="BZ39" s="139" t="b">
        <f t="shared" si="42"/>
        <v>1</v>
      </c>
      <c r="CA39" s="139" t="b">
        <f t="shared" si="43"/>
        <v>0</v>
      </c>
      <c r="CB39" s="139" t="b">
        <f t="shared" si="44"/>
        <v>1</v>
      </c>
      <c r="CC39" s="139" t="b">
        <f t="shared" si="45"/>
        <v>0</v>
      </c>
      <c r="CD39" s="139">
        <f t="shared" si="128"/>
        <v>2.2635904575720501E-2</v>
      </c>
      <c r="CE39" s="139">
        <f t="shared" si="47"/>
        <v>2.2635904575720501E-2</v>
      </c>
      <c r="CF39" s="139" t="e">
        <f t="shared" si="48"/>
        <v>#N/A</v>
      </c>
      <c r="CG39" s="140" t="str">
        <f t="shared" si="49"/>
        <v/>
      </c>
      <c r="CH39" s="54">
        <f>_xlfn.NORM.DIST(_xlfn.NORM.INV(1-Eu_g_konfidensniveau,0,1)-Eu_tabel_g[[#This Row],[x base]],0,1,TRUE)</f>
        <v>0.77357595198661899</v>
      </c>
      <c r="CI39" s="54">
        <f>1-_xlfn.NORM.DIST(_xlfn.NORM.INV(Eu_g_konfidensniveau,0,1)-Eu_tabel_g[[#This Row],[x base]],0,1,TRUE)</f>
        <v>2.6682042684300633E-5</v>
      </c>
      <c r="CJ39" s="54">
        <f>_xlfn.NORM.DIST(_xlfn.NORM.INV((1-Eu_g_konfidensniveau)/2,0,1)-Eu_tabel_g[[#This Row],[x base]],0,1,TRUE)+1-_xlfn.NORM.DIST(_xlfn.NORM.INV(1-(1-Eu_g_konfidensniveau)/2,0,1)-Eu_tabel_g[[#This Row],[x base]],0,1,TRUE)</f>
        <v>0.66843043014353232</v>
      </c>
      <c r="CK39" s="54" t="e" cm="1">
        <f t="array" ref="CK39">IF($CK$3,INDEX(Eu_tabel_g[[#This Row],[Styrke venstre]:[Styrke tosidet]],CK$7),NA())</f>
        <v>#N/A</v>
      </c>
      <c r="CL39" s="99" t="e">
        <f>Eu_tabel_g[[#This Row],[Falsk positiv
Nulhypotese accepteres
Fejltype 1]]</f>
        <v>#N/A</v>
      </c>
      <c r="CM39" s="99" t="e">
        <f>IF(CHOOSE(CK$7,Eu_tabel_g[[#This Row],[x base]]&gt;0,Eu_tabel_g[[#This Row],[x base]]&lt;0,Eu_tabel_g[[#This Row],[x base]]=0),Eu_tabel_g[[#This Row],[Styrke, aktiv]],NA())</f>
        <v>#N/A</v>
      </c>
      <c r="CN39" s="99" t="e">
        <f>IFERROR(IF($CK$3,Eu_tabel_g[[#This Row],[Styrke, aktiv]],NA()),NA())</f>
        <v>#N/A</v>
      </c>
      <c r="CO39" s="99" t="e">
        <f>IF(ISNA(Eu_tabel_g[[#This Row],[Sand negativ
Nulhypotese afvises
Korrekt]]),NA(),IF($CK$3,1,NA()))</f>
        <v>#N/A</v>
      </c>
      <c r="CP39" s="56" t="str" cm="1">
        <f t="array" ref="CP39">_xlfn.SWITCH(BS39,_xlfn.IFNA(CN$2,-99),CN$5,_xlfn.IFNA(CN$3,-99),CN$6,_xlfn.IFNA(CN$4,-99),CN$7,"")</f>
        <v/>
      </c>
      <c r="CT39" s="7">
        <f t="shared" si="50"/>
        <v>0.8</v>
      </c>
      <c r="CU39">
        <f>IF(ROW(Styrkeberegning_G[[#This Row],[X base venstre]])=ROW(Styrkeberegning_G[[#Headers],[X base venstre]])+1,CU$7/(CT$7/$B$67),CU38/(CT38/$B$67))</f>
        <v>-2.8015817870135784</v>
      </c>
      <c r="CV39">
        <f>Styrkeberegning_G[[#This Row],[X base venstre]]*-1</f>
        <v>2.8015817870135784</v>
      </c>
      <c r="DG39" s="139">
        <f t="shared" si="51"/>
        <v>29</v>
      </c>
      <c r="DH39" s="54">
        <f t="shared" si="52"/>
        <v>30</v>
      </c>
      <c r="DI39" s="139">
        <f t="shared" si="53"/>
        <v>5.1419075007467194</v>
      </c>
      <c r="DJ39" s="139" t="e">
        <f t="shared" si="54"/>
        <v>#N/A</v>
      </c>
      <c r="DK39" s="139" t="e">
        <f t="shared" si="55"/>
        <v>#N/A</v>
      </c>
      <c r="DL39" s="139">
        <f t="shared" si="56"/>
        <v>5.1166581130469804E-2</v>
      </c>
      <c r="DM39" s="139" t="e">
        <f t="shared" si="57"/>
        <v>#N/A</v>
      </c>
      <c r="DN39" s="139" t="b">
        <f t="shared" si="58"/>
        <v>0</v>
      </c>
      <c r="DO39" s="139" t="b">
        <f t="shared" si="59"/>
        <v>1</v>
      </c>
      <c r="DP39" s="139" t="b">
        <f t="shared" si="60"/>
        <v>0</v>
      </c>
      <c r="DQ39" s="139" t="b">
        <f t="shared" si="61"/>
        <v>1</v>
      </c>
      <c r="DR39" s="139">
        <f t="shared" si="62"/>
        <v>5.1166581130469804E-2</v>
      </c>
      <c r="DS39" s="139" t="e">
        <f t="shared" si="63"/>
        <v>#N/A</v>
      </c>
      <c r="DT39" s="139">
        <f t="shared" si="64"/>
        <v>5.1166581130469804E-2</v>
      </c>
      <c r="DU39" s="140" t="str">
        <f t="shared" si="65"/>
        <v/>
      </c>
      <c r="DZ39" s="139">
        <f t="shared" si="66"/>
        <v>29</v>
      </c>
      <c r="EA39" s="54">
        <f t="shared" si="67"/>
        <v>30</v>
      </c>
      <c r="EB39" s="139">
        <f t="shared" si="68"/>
        <v>-2.3955289195099327</v>
      </c>
      <c r="EC39" s="139">
        <f t="shared" si="69"/>
        <v>2.2635904575720501E-2</v>
      </c>
      <c r="ED39" s="139" t="e">
        <f t="shared" si="70"/>
        <v>#N/A</v>
      </c>
      <c r="EE39" s="139" t="e">
        <f t="shared" si="71"/>
        <v>#N/A</v>
      </c>
      <c r="EF39" s="139" t="e">
        <f t="shared" si="72"/>
        <v>#N/A</v>
      </c>
      <c r="EG39" s="139" t="b">
        <f t="shared" si="73"/>
        <v>1</v>
      </c>
      <c r="EH39" s="139" t="b">
        <f t="shared" si="74"/>
        <v>0</v>
      </c>
      <c r="EI39" s="139" t="b">
        <f t="shared" si="75"/>
        <v>1</v>
      </c>
      <c r="EJ39" s="139" t="b">
        <f t="shared" si="76"/>
        <v>0</v>
      </c>
      <c r="EK39" s="139">
        <f t="shared" si="77"/>
        <v>2.2635904575720501E-2</v>
      </c>
      <c r="EL39" s="139">
        <f t="shared" si="78"/>
        <v>2.2635904575720501E-2</v>
      </c>
      <c r="EM39" s="139" t="e">
        <f t="shared" si="79"/>
        <v>#N/A</v>
      </c>
      <c r="EN39" s="140" t="str">
        <f t="shared" si="80"/>
        <v/>
      </c>
      <c r="EO3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3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3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39" s="54" t="e" cm="1">
        <f t="array" ref="ER39">IF($CK$3,INDEX(Eu_tabel_a[[#This Row],[Styrke venstre]:[Styrke tosidet]],ER$7),NA())</f>
        <v>#N/A</v>
      </c>
      <c r="ES39" s="54" t="e">
        <f>IF(ER$3,IF(CHOOSE(ER$7,Eu_tabel_a[[#This Row],[x base]]&gt;0,Eu_tabel_a[[#This Row],[x base]]&lt;0,Eu_tabel_a[[#This Row],[x base]]=0),1,NA()),NA())</f>
        <v>#N/A</v>
      </c>
      <c r="ET39" s="54" t="e">
        <f>IF(CHOOSE(ER$7,Eu_tabel_a[[#This Row],[x base]]&gt;0,Eu_tabel_a[[#This Row],[x base]]&lt;0,Eu_tabel_a[[#This Row],[x base]]=0),Eu_tabel_a[[#This Row],[Styrke, aktiv]],NA())</f>
        <v>#N/A</v>
      </c>
      <c r="EU39" s="54" t="e">
        <f>IFERROR(IF($ER$3,Eu_tabel_a[[#This Row],[Styrke, aktiv]],NA()),NA())</f>
        <v>#N/A</v>
      </c>
      <c r="EV39" s="54" t="e">
        <f>IF(ISNA(Eu_tabel_a[[#This Row],[Sand negativ
Nulhypotese afvises
Korrekt]]),NA(),IF(ER$3,1,NA()))</f>
        <v>#N/A</v>
      </c>
      <c r="EW39" s="55" t="str" cm="1">
        <f t="array" ref="EW39">IFERROR(_xlfn.SWITCH(Eu_tabel_a[[#This Row],[Indeks]],_xlfn.IFNA(EU$2,-99),EU$5,_xlfn.IFNA(EU$3,-99),EU$6,_xlfn.IFNA(EU$4,-99),EU$7,""),"")</f>
        <v/>
      </c>
      <c r="EX39" s="54">
        <f>Eu_tabel_a[[#This Row],[x base]]*SQRT(Eu_a_h0_x*(1-Eu_a_h0_x)/Eu_a_n_x)+Eu_a_h0_x</f>
        <v>0</v>
      </c>
      <c r="FC39" s="161" t="e">
        <f t="shared" si="18"/>
        <v>#N/A</v>
      </c>
      <c r="FD39" s="169" t="e">
        <f t="shared" si="121"/>
        <v>#DIV/0!</v>
      </c>
      <c r="FE39" s="7" t="e">
        <f t="shared" si="12"/>
        <v>#DIV/0!</v>
      </c>
      <c r="FF39" t="e">
        <f t="shared" si="122"/>
        <v>#DIV/0!</v>
      </c>
      <c r="FG39" s="8" t="e">
        <f t="shared" si="123"/>
        <v>#DIV/0!</v>
      </c>
      <c r="FH39" s="8" t="e">
        <f t="shared" si="124"/>
        <v>#DIV/0!</v>
      </c>
      <c r="FI39" s="168" t="e">
        <f t="shared" si="125"/>
        <v>#DIV/0!</v>
      </c>
      <c r="FJ39" s="161" t="e">
        <f t="shared" ca="1" si="13"/>
        <v>#N/A</v>
      </c>
      <c r="FK39" s="169" t="e" vm="3">
        <f t="shared" ca="1" si="19"/>
        <v>#VALUE!</v>
      </c>
      <c r="FL39" s="7" t="e" vm="3">
        <f t="shared" ca="1" si="14"/>
        <v>#VALUE!</v>
      </c>
      <c r="FM39" t="e" vm="3">
        <f t="shared" ca="1" si="8"/>
        <v>#VALUE!</v>
      </c>
      <c r="FN39" s="8" t="e" vm="3">
        <f t="shared" ca="1" si="9"/>
        <v>#VALUE!</v>
      </c>
      <c r="FO39" s="8" t="e" vm="3">
        <f t="shared" ca="1" si="10"/>
        <v>#VALUE!</v>
      </c>
      <c r="FP39" s="168" t="e" vm="3">
        <f t="shared" ca="1" si="11"/>
        <v>#VALUE!</v>
      </c>
      <c r="FQ39" s="161" t="e">
        <f t="shared" si="15"/>
        <v>#N/A</v>
      </c>
      <c r="FR39" s="169" t="e">
        <f t="shared" si="20"/>
        <v>#N/A</v>
      </c>
      <c r="FS39" s="7" t="e">
        <f t="shared" si="16"/>
        <v>#N/A</v>
      </c>
      <c r="FT39" t="e">
        <f t="shared" si="21"/>
        <v>#N/A</v>
      </c>
      <c r="FU39" s="8" t="e">
        <f t="shared" si="22"/>
        <v>#N/A</v>
      </c>
      <c r="FV39" s="8" t="e">
        <f t="shared" si="23"/>
        <v>#N/A</v>
      </c>
      <c r="FW39" s="168" t="e">
        <f t="shared" si="24"/>
        <v>#N/A</v>
      </c>
      <c r="FX39" s="161" t="e">
        <f t="shared" si="25"/>
        <v>#N/A</v>
      </c>
      <c r="FY39" s="169" t="e">
        <f t="shared" si="26"/>
        <v>#N/A</v>
      </c>
      <c r="FZ39" s="7" t="e">
        <f t="shared" si="17"/>
        <v>#N/A</v>
      </c>
      <c r="GA39" t="e">
        <f t="shared" si="27"/>
        <v>#N/A</v>
      </c>
      <c r="GB39" s="8" t="e">
        <f t="shared" si="28"/>
        <v>#N/A</v>
      </c>
      <c r="GC39" s="8" t="e">
        <f t="shared" si="29"/>
        <v>#N/A</v>
      </c>
      <c r="GD39" s="168" t="e">
        <f t="shared" si="30"/>
        <v>#N/A</v>
      </c>
      <c r="GE39" s="168"/>
      <c r="GF39" s="168"/>
      <c r="GI39" s="139">
        <f t="shared" si="81"/>
        <v>29</v>
      </c>
      <c r="GJ39" s="54">
        <f t="shared" si="82"/>
        <v>30</v>
      </c>
      <c r="GK39" s="139">
        <f t="shared" si="83"/>
        <v>-2.3955289195099327</v>
      </c>
      <c r="GL39" s="139">
        <f t="shared" si="84"/>
        <v>2.2635904575720501E-2</v>
      </c>
      <c r="GM39" s="139" t="e">
        <f t="shared" si="85"/>
        <v>#N/A</v>
      </c>
      <c r="GN39" s="139" t="e">
        <f t="shared" si="86"/>
        <v>#N/A</v>
      </c>
      <c r="GO39" s="139" t="e">
        <f t="shared" si="87"/>
        <v>#N/A</v>
      </c>
      <c r="GP39" s="139" t="b">
        <f t="shared" si="88"/>
        <v>1</v>
      </c>
      <c r="GQ39" s="139" t="b">
        <f t="shared" si="89"/>
        <v>0</v>
      </c>
      <c r="GR39" s="139" t="b">
        <f t="shared" si="90"/>
        <v>1</v>
      </c>
      <c r="GS39" s="139" t="b">
        <f t="shared" si="91"/>
        <v>0</v>
      </c>
      <c r="GT39" s="139">
        <f t="shared" si="92"/>
        <v>2.2635904575720501E-2</v>
      </c>
      <c r="GU39" s="139">
        <f t="shared" si="93"/>
        <v>2.2635904575720501E-2</v>
      </c>
      <c r="GV39" s="139" t="e">
        <f t="shared" si="94"/>
        <v>#N/A</v>
      </c>
      <c r="GW39" s="140" t="str">
        <f t="shared" si="95"/>
        <v/>
      </c>
      <c r="HC39" s="139">
        <f t="shared" si="96"/>
        <v>29</v>
      </c>
      <c r="HD39" s="54">
        <f t="shared" si="97"/>
        <v>30</v>
      </c>
      <c r="HE39" s="139">
        <f t="shared" si="98"/>
        <v>-3.7095268439056843</v>
      </c>
      <c r="HF39" s="139" t="e">
        <f t="shared" si="99"/>
        <v>#N/A</v>
      </c>
      <c r="HG39" s="139">
        <f t="shared" si="100"/>
        <v>4.9760476303971407E-3</v>
      </c>
      <c r="HH39" s="139" t="e">
        <f t="shared" si="101"/>
        <v>#N/A</v>
      </c>
      <c r="HI39" s="139" t="e">
        <f t="shared" si="102"/>
        <v>#N/A</v>
      </c>
      <c r="HJ39" s="139" t="b">
        <f t="shared" si="103"/>
        <v>1</v>
      </c>
      <c r="HK39" s="139" t="b">
        <f t="shared" si="104"/>
        <v>0</v>
      </c>
      <c r="HL39" s="139" t="b">
        <f t="shared" si="105"/>
        <v>1</v>
      </c>
      <c r="HM39" s="139" t="b">
        <f t="shared" si="106"/>
        <v>0</v>
      </c>
      <c r="HN39" s="139">
        <f t="shared" si="107"/>
        <v>4.9760476303971407E-3</v>
      </c>
      <c r="HO39" s="139">
        <f t="shared" si="108"/>
        <v>4.9760476303971407E-3</v>
      </c>
      <c r="HP39" s="139" t="e">
        <f t="shared" si="109"/>
        <v>#N/A</v>
      </c>
      <c r="HQ39" s="140" t="str">
        <f t="shared" si="110"/>
        <v/>
      </c>
    </row>
    <row r="40" spans="1:225" x14ac:dyDescent="0.2">
      <c r="A40" s="63" t="s">
        <v>483</v>
      </c>
      <c r="B40" s="123"/>
      <c r="E40" s="100" t="s">
        <v>478</v>
      </c>
      <c r="F40" s="144" cm="1">
        <f t="array" ref="F40">IF($BE$2,INDEX(E_g_valg[Højre label base],E_g_aktiv),NA())</f>
        <v>4.2907985175414947</v>
      </c>
      <c r="H40" s="63" t="s">
        <v>483</v>
      </c>
      <c r="I40" s="123"/>
      <c r="L40" s="100" t="s">
        <v>478</v>
      </c>
      <c r="M40" s="144" cm="1">
        <f t="array" ref="M40">IF($BF$2,INDEX(E_s_valg[Højre label base],E_s_aktiv),NA())</f>
        <v>7.3125332181107092</v>
      </c>
      <c r="N40" s="146"/>
      <c r="O40" s="63" t="s">
        <v>483</v>
      </c>
      <c r="P40" s="123"/>
      <c r="S40" s="100" t="s">
        <v>478</v>
      </c>
      <c r="T40" s="144" cm="1">
        <f t="array" ref="T40">IF($BG$2,INDEX(E_a_valg[Højre label base],E_a_aktiv),NA())</f>
        <v>0.63273238673900933</v>
      </c>
      <c r="V40" s="63" t="s">
        <v>483</v>
      </c>
      <c r="W40" s="123"/>
      <c r="Z40" s="100" t="s">
        <v>478</v>
      </c>
      <c r="AA40" s="144" cm="1">
        <f t="array" ref="AA40">IF($BH$2,INDEX(E_i_valg[Højre label base],E_i_aktiv),NA())</f>
        <v>2.6243983449566111</v>
      </c>
      <c r="AC40" s="63" t="s">
        <v>485</v>
      </c>
      <c r="AD40" s="122"/>
      <c r="AE40" s="123"/>
      <c r="AG40" s="100" t="s">
        <v>478</v>
      </c>
      <c r="AH40" s="144" t="e" cm="1">
        <f t="array" ref="AH40">IF($BI$2,INDEX(E_k_valg[Højre label base],E_k_aktiv),NA())</f>
        <v>#N/A</v>
      </c>
      <c r="BD40" s="100" t="s">
        <v>29</v>
      </c>
      <c r="BE40" s="108" cm="1">
        <f t="array" ref="BE40:BI40">INDEX(DataBeregning!B5:CW5,_xlfn.ANCHORARRAY(BE39))</f>
        <v>12</v>
      </c>
      <c r="BF40" s="108">
        <v>12</v>
      </c>
      <c r="BG40" s="108">
        <v>12</v>
      </c>
      <c r="BH40" s="108">
        <v>12</v>
      </c>
      <c r="BI40" s="108">
        <v>12</v>
      </c>
      <c r="BS40" s="139">
        <f t="shared" si="36"/>
        <v>30</v>
      </c>
      <c r="BT40" s="54">
        <f>Eu_tabel_g[[#This Row],[Indeks]]+1</f>
        <v>31</v>
      </c>
      <c r="BU40" s="139">
        <f t="shared" si="37"/>
        <v>-2.3715736303148334</v>
      </c>
      <c r="BV40" s="139">
        <f t="shared" si="38"/>
        <v>2.3965996273642005E-2</v>
      </c>
      <c r="BW40" s="139" t="e">
        <f t="shared" si="39"/>
        <v>#N/A</v>
      </c>
      <c r="BX40" s="139" t="e">
        <f t="shared" si="40"/>
        <v>#N/A</v>
      </c>
      <c r="BY40" s="139" t="e">
        <f t="shared" si="41"/>
        <v>#N/A</v>
      </c>
      <c r="BZ40" s="139" t="b">
        <f t="shared" si="42"/>
        <v>1</v>
      </c>
      <c r="CA40" s="139" t="b">
        <f t="shared" si="43"/>
        <v>0</v>
      </c>
      <c r="CB40" s="139" t="b">
        <f t="shared" si="44"/>
        <v>1</v>
      </c>
      <c r="CC40" s="139" t="b">
        <f t="shared" si="45"/>
        <v>0</v>
      </c>
      <c r="CD40" s="139">
        <f t="shared" si="128"/>
        <v>2.3965996273642005E-2</v>
      </c>
      <c r="CE40" s="139">
        <f t="shared" si="47"/>
        <v>2.3965996273642005E-2</v>
      </c>
      <c r="CF40" s="139" t="e">
        <f t="shared" si="48"/>
        <v>#N/A</v>
      </c>
      <c r="CG40" s="140" t="str">
        <f t="shared" si="49"/>
        <v/>
      </c>
      <c r="CH40" s="54">
        <f>_xlfn.NORM.DIST(_xlfn.NORM.INV(1-Eu_g_konfidensniveau,0,1)-Eu_tabel_g[[#This Row],[x base]],0,1,TRUE)</f>
        <v>0.76630125152424844</v>
      </c>
      <c r="CI40" s="54">
        <f>1-_xlfn.NORM.DIST(_xlfn.NORM.INV(Eu_g_konfidensniveau,0,1)-Eu_tabel_g[[#This Row],[x base]],0,1,TRUE)</f>
        <v>2.9543545472243693E-5</v>
      </c>
      <c r="CJ40" s="54">
        <f>_xlfn.NORM.DIST(_xlfn.NORM.INV((1-Eu_g_konfidensniveau)/2,0,1)-Eu_tabel_g[[#This Row],[x base]],0,1,TRUE)+1-_xlfn.NORM.DIST(_xlfn.NORM.INV(1-(1-Eu_g_konfidensniveau)/2,0,1)-Eu_tabel_g[[#This Row],[x base]],0,1,TRUE)</f>
        <v>0.65969462333628126</v>
      </c>
      <c r="CK40" s="54" t="e" cm="1">
        <f t="array" ref="CK40">IF($CK$3,INDEX(Eu_tabel_g[[#This Row],[Styrke venstre]:[Styrke tosidet]],CK$7),NA())</f>
        <v>#N/A</v>
      </c>
      <c r="CL40" s="99" t="e">
        <f>Eu_tabel_g[[#This Row],[Falsk positiv
Nulhypotese accepteres
Fejltype 1]]</f>
        <v>#N/A</v>
      </c>
      <c r="CM40" s="99" t="e">
        <f>IF(CHOOSE(CK$7,Eu_tabel_g[[#This Row],[x base]]&gt;0,Eu_tabel_g[[#This Row],[x base]]&lt;0,Eu_tabel_g[[#This Row],[x base]]=0),Eu_tabel_g[[#This Row],[Styrke, aktiv]],NA())</f>
        <v>#N/A</v>
      </c>
      <c r="CN40" s="99" t="e">
        <f>IFERROR(IF($CK$3,Eu_tabel_g[[#This Row],[Styrke, aktiv]],NA()),NA())</f>
        <v>#N/A</v>
      </c>
      <c r="CO40" s="99" t="e">
        <f>IF(ISNA(Eu_tabel_g[[#This Row],[Sand negativ
Nulhypotese afvises
Korrekt]]),NA(),IF($CK$3,1,NA()))</f>
        <v>#N/A</v>
      </c>
      <c r="CP40" s="56" t="str" cm="1">
        <f t="array" ref="CP40">_xlfn.SWITCH(BS40,_xlfn.IFNA(CN$2,-99),CN$5,_xlfn.IFNA(CN$3,-99),CN$6,_xlfn.IFNA(CN$4,-99),CN$7,"")</f>
        <v/>
      </c>
      <c r="CT40" s="7">
        <f t="shared" si="50"/>
        <v>0.8</v>
      </c>
      <c r="CU40">
        <f>IF(ROW(Styrkeberegning_G[[#This Row],[X base venstre]])=ROW(Styrkeberegning_G[[#Headers],[X base venstre]])+1,CU$7/(CT$7/$B$67),CU39/(CT39/$B$67))</f>
        <v>-2.8015817870135784</v>
      </c>
      <c r="CV40">
        <f>Styrkeberegning_G[[#This Row],[X base venstre]]*-1</f>
        <v>2.8015817870135784</v>
      </c>
      <c r="DG40" s="139">
        <f t="shared" si="51"/>
        <v>30</v>
      </c>
      <c r="DH40" s="54">
        <f t="shared" si="52"/>
        <v>31</v>
      </c>
      <c r="DI40" s="139">
        <f t="shared" si="53"/>
        <v>5.2559783571637206</v>
      </c>
      <c r="DJ40" s="139" t="e">
        <f t="shared" si="54"/>
        <v>#N/A</v>
      </c>
      <c r="DK40" s="139" t="e">
        <f t="shared" si="55"/>
        <v>#N/A</v>
      </c>
      <c r="DL40" s="139">
        <f t="shared" si="56"/>
        <v>5.3345539988300897E-2</v>
      </c>
      <c r="DM40" s="139" t="e">
        <f t="shared" si="57"/>
        <v>#N/A</v>
      </c>
      <c r="DN40" s="139" t="b">
        <f t="shared" si="58"/>
        <v>0</v>
      </c>
      <c r="DO40" s="139" t="b">
        <f t="shared" si="59"/>
        <v>1</v>
      </c>
      <c r="DP40" s="139" t="b">
        <f t="shared" si="60"/>
        <v>0</v>
      </c>
      <c r="DQ40" s="139" t="b">
        <f t="shared" si="61"/>
        <v>1</v>
      </c>
      <c r="DR40" s="139">
        <f t="shared" si="62"/>
        <v>5.3345539988300897E-2</v>
      </c>
      <c r="DS40" s="139" t="e">
        <f t="shared" si="63"/>
        <v>#N/A</v>
      </c>
      <c r="DT40" s="139">
        <f t="shared" si="64"/>
        <v>5.3345539988300897E-2</v>
      </c>
      <c r="DU40" s="140" t="str">
        <f t="shared" si="65"/>
        <v/>
      </c>
      <c r="DZ40" s="139">
        <f t="shared" si="66"/>
        <v>30</v>
      </c>
      <c r="EA40" s="54">
        <f t="shared" si="67"/>
        <v>31</v>
      </c>
      <c r="EB40" s="139">
        <f t="shared" si="68"/>
        <v>-2.3715736303148334</v>
      </c>
      <c r="EC40" s="139">
        <f t="shared" si="69"/>
        <v>2.3965996273642005E-2</v>
      </c>
      <c r="ED40" s="139" t="e">
        <f t="shared" si="70"/>
        <v>#N/A</v>
      </c>
      <c r="EE40" s="139" t="e">
        <f t="shared" si="71"/>
        <v>#N/A</v>
      </c>
      <c r="EF40" s="139" t="e">
        <f t="shared" si="72"/>
        <v>#N/A</v>
      </c>
      <c r="EG40" s="139" t="b">
        <f t="shared" si="73"/>
        <v>1</v>
      </c>
      <c r="EH40" s="139" t="b">
        <f t="shared" si="74"/>
        <v>0</v>
      </c>
      <c r="EI40" s="139" t="b">
        <f t="shared" si="75"/>
        <v>1</v>
      </c>
      <c r="EJ40" s="139" t="b">
        <f t="shared" si="76"/>
        <v>0</v>
      </c>
      <c r="EK40" s="139">
        <f t="shared" si="77"/>
        <v>2.3965996273642005E-2</v>
      </c>
      <c r="EL40" s="139">
        <f t="shared" si="78"/>
        <v>2.3965996273642005E-2</v>
      </c>
      <c r="EM40" s="139" t="e">
        <f t="shared" si="79"/>
        <v>#N/A</v>
      </c>
      <c r="EN40" s="140" t="str">
        <f t="shared" si="80"/>
        <v/>
      </c>
      <c r="EO4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4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4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40" s="54" t="e" cm="1">
        <f t="array" ref="ER40">IF($CK$3,INDEX(Eu_tabel_a[[#This Row],[Styrke venstre]:[Styrke tosidet]],ER$7),NA())</f>
        <v>#N/A</v>
      </c>
      <c r="ES40" s="54" t="e">
        <f>IF(ER$3,IF(CHOOSE(ER$7,Eu_tabel_a[[#This Row],[x base]]&gt;0,Eu_tabel_a[[#This Row],[x base]]&lt;0,Eu_tabel_a[[#This Row],[x base]]=0),1,NA()),NA())</f>
        <v>#N/A</v>
      </c>
      <c r="ET40" s="54" t="e">
        <f>IF(CHOOSE(ER$7,Eu_tabel_a[[#This Row],[x base]]&gt;0,Eu_tabel_a[[#This Row],[x base]]&lt;0,Eu_tabel_a[[#This Row],[x base]]=0),Eu_tabel_a[[#This Row],[Styrke, aktiv]],NA())</f>
        <v>#N/A</v>
      </c>
      <c r="EU40" s="54" t="e">
        <f>IFERROR(IF($ER$3,Eu_tabel_a[[#This Row],[Styrke, aktiv]],NA()),NA())</f>
        <v>#N/A</v>
      </c>
      <c r="EV40" s="54" t="e">
        <f>IF(ISNA(Eu_tabel_a[[#This Row],[Sand negativ
Nulhypotese afvises
Korrekt]]),NA(),IF(ER$3,1,NA()))</f>
        <v>#N/A</v>
      </c>
      <c r="EW40" s="55" t="str" cm="1">
        <f t="array" ref="EW40">IFERROR(_xlfn.SWITCH(Eu_tabel_a[[#This Row],[Indeks]],_xlfn.IFNA(EU$2,-99),EU$5,_xlfn.IFNA(EU$3,-99),EU$6,_xlfn.IFNA(EU$4,-99),EU$7,""),"")</f>
        <v/>
      </c>
      <c r="EX40" s="54">
        <f>Eu_tabel_a[[#This Row],[x base]]*SQRT(Eu_a_h0_x*(1-Eu_a_h0_x)/Eu_a_n_x)+Eu_a_h0_x</f>
        <v>0</v>
      </c>
      <c r="FC40" s="161" t="e">
        <f t="shared" si="18"/>
        <v>#N/A</v>
      </c>
      <c r="FD40" s="169" t="e">
        <f t="shared" si="121"/>
        <v>#DIV/0!</v>
      </c>
      <c r="FE40" s="7" t="e">
        <f t="shared" si="12"/>
        <v>#DIV/0!</v>
      </c>
      <c r="FF40" t="e">
        <f t="shared" si="122"/>
        <v>#DIV/0!</v>
      </c>
      <c r="FG40" s="8" t="e">
        <f t="shared" si="123"/>
        <v>#DIV/0!</v>
      </c>
      <c r="FH40" s="8" t="e">
        <f t="shared" si="124"/>
        <v>#DIV/0!</v>
      </c>
      <c r="FI40" s="168" t="e">
        <f t="shared" si="125"/>
        <v>#DIV/0!</v>
      </c>
      <c r="FJ40" s="161" t="e">
        <f t="shared" ca="1" si="13"/>
        <v>#N/A</v>
      </c>
      <c r="FK40" s="169" t="e" vm="3">
        <f t="shared" ca="1" si="19"/>
        <v>#VALUE!</v>
      </c>
      <c r="FL40" s="7" t="e" vm="3">
        <f t="shared" ca="1" si="14"/>
        <v>#VALUE!</v>
      </c>
      <c r="FM40" t="e" vm="3">
        <f t="shared" ca="1" si="8"/>
        <v>#VALUE!</v>
      </c>
      <c r="FN40" s="8" t="e" vm="3">
        <f t="shared" ca="1" si="9"/>
        <v>#VALUE!</v>
      </c>
      <c r="FO40" s="8" t="e" vm="3">
        <f t="shared" ca="1" si="10"/>
        <v>#VALUE!</v>
      </c>
      <c r="FP40" s="168" t="e" vm="3">
        <f t="shared" ca="1" si="11"/>
        <v>#VALUE!</v>
      </c>
      <c r="FQ40" s="161" t="e">
        <f t="shared" si="15"/>
        <v>#N/A</v>
      </c>
      <c r="FR40" s="169" t="e">
        <f t="shared" si="20"/>
        <v>#N/A</v>
      </c>
      <c r="FS40" s="7" t="e">
        <f t="shared" si="16"/>
        <v>#N/A</v>
      </c>
      <c r="FT40" t="e">
        <f t="shared" si="21"/>
        <v>#N/A</v>
      </c>
      <c r="FU40" s="8" t="e">
        <f t="shared" si="22"/>
        <v>#N/A</v>
      </c>
      <c r="FV40" s="8" t="e">
        <f t="shared" si="23"/>
        <v>#N/A</v>
      </c>
      <c r="FW40" s="168" t="e">
        <f t="shared" si="24"/>
        <v>#N/A</v>
      </c>
      <c r="FX40" s="161" t="e">
        <f t="shared" si="25"/>
        <v>#N/A</v>
      </c>
      <c r="FY40" s="169" t="e">
        <f t="shared" si="26"/>
        <v>#N/A</v>
      </c>
      <c r="FZ40" s="7" t="e">
        <f t="shared" si="17"/>
        <v>#N/A</v>
      </c>
      <c r="GA40" t="e">
        <f t="shared" si="27"/>
        <v>#N/A</v>
      </c>
      <c r="GB40" s="8" t="e">
        <f t="shared" si="28"/>
        <v>#N/A</v>
      </c>
      <c r="GC40" s="8" t="e">
        <f t="shared" si="29"/>
        <v>#N/A</v>
      </c>
      <c r="GD40" s="168" t="e">
        <f t="shared" si="30"/>
        <v>#N/A</v>
      </c>
      <c r="GE40" s="168"/>
      <c r="GF40" s="168"/>
      <c r="GI40" s="139">
        <f t="shared" si="81"/>
        <v>30</v>
      </c>
      <c r="GJ40" s="54">
        <f t="shared" si="82"/>
        <v>31</v>
      </c>
      <c r="GK40" s="139">
        <f t="shared" si="83"/>
        <v>-2.3715736303148334</v>
      </c>
      <c r="GL40" s="139">
        <f t="shared" si="84"/>
        <v>2.3965996273642005E-2</v>
      </c>
      <c r="GM40" s="139" t="e">
        <f t="shared" si="85"/>
        <v>#N/A</v>
      </c>
      <c r="GN40" s="139" t="e">
        <f t="shared" si="86"/>
        <v>#N/A</v>
      </c>
      <c r="GO40" s="139" t="e">
        <f t="shared" si="87"/>
        <v>#N/A</v>
      </c>
      <c r="GP40" s="139" t="b">
        <f t="shared" si="88"/>
        <v>1</v>
      </c>
      <c r="GQ40" s="139" t="b">
        <f t="shared" si="89"/>
        <v>0</v>
      </c>
      <c r="GR40" s="139" t="b">
        <f t="shared" si="90"/>
        <v>1</v>
      </c>
      <c r="GS40" s="139" t="b">
        <f t="shared" si="91"/>
        <v>0</v>
      </c>
      <c r="GT40" s="139">
        <f t="shared" si="92"/>
        <v>2.3965996273642005E-2</v>
      </c>
      <c r="GU40" s="139">
        <f t="shared" si="93"/>
        <v>2.3965996273642005E-2</v>
      </c>
      <c r="GV40" s="139" t="e">
        <f t="shared" si="94"/>
        <v>#N/A</v>
      </c>
      <c r="GW40" s="140" t="str">
        <f t="shared" si="95"/>
        <v/>
      </c>
      <c r="HC40" s="139">
        <f t="shared" si="96"/>
        <v>30</v>
      </c>
      <c r="HD40" s="54">
        <f t="shared" si="97"/>
        <v>31</v>
      </c>
      <c r="HE40" s="139">
        <f t="shared" si="98"/>
        <v>-3.6724315754666277</v>
      </c>
      <c r="HF40" s="139" t="e">
        <f t="shared" si="99"/>
        <v>#N/A</v>
      </c>
      <c r="HG40" s="139">
        <f t="shared" si="100"/>
        <v>5.2474784393453646E-3</v>
      </c>
      <c r="HH40" s="139" t="e">
        <f t="shared" si="101"/>
        <v>#N/A</v>
      </c>
      <c r="HI40" s="139" t="e">
        <f t="shared" si="102"/>
        <v>#N/A</v>
      </c>
      <c r="HJ40" s="139" t="b">
        <f t="shared" si="103"/>
        <v>1</v>
      </c>
      <c r="HK40" s="139" t="b">
        <f t="shared" si="104"/>
        <v>0</v>
      </c>
      <c r="HL40" s="139" t="b">
        <f t="shared" si="105"/>
        <v>1</v>
      </c>
      <c r="HM40" s="139" t="b">
        <f t="shared" si="106"/>
        <v>0</v>
      </c>
      <c r="HN40" s="139">
        <f t="shared" si="107"/>
        <v>5.2474784393453646E-3</v>
      </c>
      <c r="HO40" s="139">
        <f t="shared" si="108"/>
        <v>5.2474784393453646E-3</v>
      </c>
      <c r="HP40" s="139" t="e">
        <f t="shared" si="109"/>
        <v>#N/A</v>
      </c>
      <c r="HQ40" s="140" t="str">
        <f t="shared" si="110"/>
        <v/>
      </c>
    </row>
    <row r="41" spans="1:225" x14ac:dyDescent="0.2">
      <c r="A41" s="75" t="s">
        <v>138</v>
      </c>
      <c r="B41" s="75" t="s">
        <v>373</v>
      </c>
      <c r="E41" s="100" t="s">
        <v>480</v>
      </c>
      <c r="F41" s="144" t="e" cm="1">
        <f t="array" ref="F41">IF(NOT($BE$2),INDEX(E_g_valg[Fordeling],E_g_aktiv),NA())</f>
        <v>#N/A</v>
      </c>
      <c r="H41" s="75" t="s">
        <v>138</v>
      </c>
      <c r="I41" s="75" t="s">
        <v>373</v>
      </c>
      <c r="L41" s="100" t="s">
        <v>480</v>
      </c>
      <c r="M41" s="144" t="e" cm="1">
        <f t="array" ref="M41">IF(NOT($BF$2),INDEX(E_s_valg[Fordeling],E_s_aktiv),NA())</f>
        <v>#N/A</v>
      </c>
      <c r="N41" s="146"/>
      <c r="O41" s="75" t="s">
        <v>138</v>
      </c>
      <c r="P41" s="75" t="s">
        <v>373</v>
      </c>
      <c r="S41" s="100" t="s">
        <v>480</v>
      </c>
      <c r="T41" s="144" t="e" cm="1">
        <f t="array" ref="T41">IF(NOT($BG$2),INDEX(E_a_valg[Fordeling],E_a_aktiv),NA())</f>
        <v>#N/A</v>
      </c>
      <c r="V41" s="75" t="s">
        <v>138</v>
      </c>
      <c r="W41" s="75" t="s">
        <v>373</v>
      </c>
      <c r="Z41" s="100" t="s">
        <v>480</v>
      </c>
      <c r="AA41" s="144" t="e" cm="1">
        <f t="array" ref="AA41">IF(NOT($BH$2),INDEX(E_i_valg[Fordeling],E_i_aktiv),NA())</f>
        <v>#N/A</v>
      </c>
      <c r="AC41" s="75" t="s">
        <v>138</v>
      </c>
      <c r="AD41" s="75" t="s">
        <v>373</v>
      </c>
      <c r="AE41" s="58" t="s">
        <v>484</v>
      </c>
      <c r="AG41" s="100" t="s">
        <v>480</v>
      </c>
      <c r="AH41" s="144" t="str" cm="1">
        <f t="array" ref="AH41">IF(NOT($BI$2),INDEX(E_k_valg[Fordeling],E_k_aktiv),NA())</f>
        <v>t-fordeling</v>
      </c>
      <c r="BD41" s="203" t="s">
        <v>1121</v>
      </c>
      <c r="BE41" cm="1">
        <f t="array" ref="BE41:BE52">INDEX(Data,_xlfn.SEQUENCE(BE40),BE39)</f>
        <v>1.2989587493526971</v>
      </c>
      <c r="BF41" cm="1">
        <f t="array" ref="BF41:BF52">INDEX(Data,_xlfn.SEQUENCE(BF40),BF39)</f>
        <v>2</v>
      </c>
      <c r="BG41" t="b" cm="1">
        <f t="array" ref="BG41:BG52">INDEX(Data,_xlfn.SEQUENCE(BG40),BG39)</f>
        <v>0</v>
      </c>
      <c r="BH41" cm="1">
        <f t="array" ref="BH41:BH52">INDEX(Data,_xlfn.SEQUENCE(BH40),BH39)</f>
        <v>1.2989587493526971</v>
      </c>
      <c r="BI41" cm="1">
        <f t="array" ref="BI41:BI52">INDEX(Data,_xlfn.SEQUENCE(BI40),BI39)</f>
        <v>1.2989587493526971</v>
      </c>
      <c r="BS41" s="139">
        <f t="shared" si="36"/>
        <v>31</v>
      </c>
      <c r="BT41" s="54">
        <f>Eu_tabel_g[[#This Row],[Indeks]]+1</f>
        <v>32</v>
      </c>
      <c r="BU41" s="139">
        <f t="shared" si="37"/>
        <v>-2.347618341119734</v>
      </c>
      <c r="BV41" s="139">
        <f t="shared" si="38"/>
        <v>2.5359687526847842E-2</v>
      </c>
      <c r="BW41" s="139" t="e">
        <f t="shared" si="39"/>
        <v>#N/A</v>
      </c>
      <c r="BX41" s="139" t="e">
        <f t="shared" si="40"/>
        <v>#N/A</v>
      </c>
      <c r="BY41" s="139" t="e">
        <f t="shared" si="41"/>
        <v>#N/A</v>
      </c>
      <c r="BZ41" s="139" t="b">
        <f t="shared" si="42"/>
        <v>1</v>
      </c>
      <c r="CA41" s="139" t="b">
        <f t="shared" si="43"/>
        <v>0</v>
      </c>
      <c r="CB41" s="139" t="b">
        <f t="shared" si="44"/>
        <v>1</v>
      </c>
      <c r="CC41" s="139" t="b">
        <f t="shared" si="45"/>
        <v>0</v>
      </c>
      <c r="CD41" s="139">
        <f t="shared" si="128"/>
        <v>2.5359687526847842E-2</v>
      </c>
      <c r="CE41" s="139">
        <f t="shared" si="47"/>
        <v>2.5359687526847842E-2</v>
      </c>
      <c r="CF41" s="139" t="e">
        <f t="shared" si="48"/>
        <v>#N/A</v>
      </c>
      <c r="CG41" s="140" t="str">
        <f t="shared" si="49"/>
        <v/>
      </c>
      <c r="CH41" s="54">
        <f>_xlfn.NORM.DIST(_xlfn.NORM.INV(1-Eu_g_konfidensniveau,0,1)-Eu_tabel_g[[#This Row],[x base]],0,1,TRUE)</f>
        <v>0.7588988047257339</v>
      </c>
      <c r="CI41" s="54">
        <f>1-_xlfn.NORM.DIST(_xlfn.NORM.INV(Eu_g_konfidensniveau,0,1)-Eu_tabel_g[[#This Row],[x base]],0,1,TRUE)</f>
        <v>3.2694032375379933E-5</v>
      </c>
      <c r="CJ41" s="54">
        <f>_xlfn.NORM.DIST(_xlfn.NORM.INV((1-Eu_g_konfidensniveau)/2,0,1)-Eu_tabel_g[[#This Row],[x base]],0,1,TRUE)+1-_xlfn.NORM.DIST(_xlfn.NORM.INV(1-(1-Eu_g_konfidensniveau)/2,0,1)-Eu_tabel_g[[#This Row],[x base]],0,1,TRUE)</f>
        <v>0.65087233365469499</v>
      </c>
      <c r="CK41" s="54" t="e" cm="1">
        <f t="array" ref="CK41">IF($CK$3,INDEX(Eu_tabel_g[[#This Row],[Styrke venstre]:[Styrke tosidet]],CK$7),NA())</f>
        <v>#N/A</v>
      </c>
      <c r="CL41" s="99" t="e">
        <f>Eu_tabel_g[[#This Row],[Falsk positiv
Nulhypotese accepteres
Fejltype 1]]</f>
        <v>#N/A</v>
      </c>
      <c r="CM41" s="99" t="e">
        <f>IF(CHOOSE(CK$7,Eu_tabel_g[[#This Row],[x base]]&gt;0,Eu_tabel_g[[#This Row],[x base]]&lt;0,Eu_tabel_g[[#This Row],[x base]]=0),Eu_tabel_g[[#This Row],[Styrke, aktiv]],NA())</f>
        <v>#N/A</v>
      </c>
      <c r="CN41" s="99" t="e">
        <f>IFERROR(IF($CK$3,Eu_tabel_g[[#This Row],[Styrke, aktiv]],NA()),NA())</f>
        <v>#N/A</v>
      </c>
      <c r="CO41" s="99" t="e">
        <f>IF(ISNA(Eu_tabel_g[[#This Row],[Sand negativ
Nulhypotese afvises
Korrekt]]),NA(),IF($CK$3,1,NA()))</f>
        <v>#N/A</v>
      </c>
      <c r="CP41" s="56" t="str" cm="1">
        <f t="array" ref="CP41">_xlfn.SWITCH(BS41,_xlfn.IFNA(CN$2,-99),CN$5,_xlfn.IFNA(CN$3,-99),CN$6,_xlfn.IFNA(CN$4,-99),CN$7,"")</f>
        <v/>
      </c>
      <c r="CT41" s="7">
        <f t="shared" si="50"/>
        <v>0.8</v>
      </c>
      <c r="CU41">
        <f>IF(ROW(Styrkeberegning_G[[#This Row],[X base venstre]])=ROW(Styrkeberegning_G[[#Headers],[X base venstre]])+1,CU$7/(CT$7/$B$67),CU40/(CT40/$B$67))</f>
        <v>-2.8015817870135784</v>
      </c>
      <c r="CV41">
        <f>Styrkeberegning_G[[#This Row],[X base venstre]]*-1</f>
        <v>2.8015817870135784</v>
      </c>
      <c r="DG41" s="139">
        <f t="shared" si="51"/>
        <v>31</v>
      </c>
      <c r="DH41" s="54">
        <f t="shared" si="52"/>
        <v>32</v>
      </c>
      <c r="DI41" s="139">
        <f t="shared" si="53"/>
        <v>5.370049213580721</v>
      </c>
      <c r="DJ41" s="139" t="e">
        <f t="shared" si="54"/>
        <v>#N/A</v>
      </c>
      <c r="DK41" s="139" t="e">
        <f t="shared" si="55"/>
        <v>#N/A</v>
      </c>
      <c r="DL41" s="139">
        <f t="shared" si="56"/>
        <v>5.5499501574844977E-2</v>
      </c>
      <c r="DM41" s="139" t="e">
        <f t="shared" si="57"/>
        <v>#N/A</v>
      </c>
      <c r="DN41" s="139" t="b">
        <f t="shared" si="58"/>
        <v>0</v>
      </c>
      <c r="DO41" s="139" t="b">
        <f t="shared" si="59"/>
        <v>1</v>
      </c>
      <c r="DP41" s="139" t="b">
        <f t="shared" si="60"/>
        <v>0</v>
      </c>
      <c r="DQ41" s="139" t="b">
        <f t="shared" si="61"/>
        <v>1</v>
      </c>
      <c r="DR41" s="139">
        <f t="shared" si="62"/>
        <v>5.5499501574844977E-2</v>
      </c>
      <c r="DS41" s="139" t="e">
        <f t="shared" si="63"/>
        <v>#N/A</v>
      </c>
      <c r="DT41" s="139">
        <f t="shared" si="64"/>
        <v>5.5499501574844977E-2</v>
      </c>
      <c r="DU41" s="140" t="str">
        <f t="shared" si="65"/>
        <v/>
      </c>
      <c r="DZ41" s="139">
        <f t="shared" si="66"/>
        <v>31</v>
      </c>
      <c r="EA41" s="54">
        <f t="shared" si="67"/>
        <v>32</v>
      </c>
      <c r="EB41" s="139">
        <f t="shared" si="68"/>
        <v>-2.347618341119734</v>
      </c>
      <c r="EC41" s="139">
        <f t="shared" si="69"/>
        <v>2.5359687526847842E-2</v>
      </c>
      <c r="ED41" s="139" t="e">
        <f t="shared" si="70"/>
        <v>#N/A</v>
      </c>
      <c r="EE41" s="139" t="e">
        <f t="shared" si="71"/>
        <v>#N/A</v>
      </c>
      <c r="EF41" s="139" t="e">
        <f t="shared" si="72"/>
        <v>#N/A</v>
      </c>
      <c r="EG41" s="139" t="b">
        <f t="shared" si="73"/>
        <v>1</v>
      </c>
      <c r="EH41" s="139" t="b">
        <f t="shared" si="74"/>
        <v>0</v>
      </c>
      <c r="EI41" s="139" t="b">
        <f t="shared" si="75"/>
        <v>1</v>
      </c>
      <c r="EJ41" s="139" t="b">
        <f t="shared" si="76"/>
        <v>0</v>
      </c>
      <c r="EK41" s="139">
        <f t="shared" si="77"/>
        <v>2.5359687526847842E-2</v>
      </c>
      <c r="EL41" s="139">
        <f t="shared" si="78"/>
        <v>2.5359687526847842E-2</v>
      </c>
      <c r="EM41" s="139" t="e">
        <f t="shared" si="79"/>
        <v>#N/A</v>
      </c>
      <c r="EN41" s="140" t="str">
        <f t="shared" si="80"/>
        <v/>
      </c>
      <c r="EO4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4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4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41" s="54" t="e" cm="1">
        <f t="array" ref="ER41">IF($CK$3,INDEX(Eu_tabel_a[[#This Row],[Styrke venstre]:[Styrke tosidet]],ER$7),NA())</f>
        <v>#N/A</v>
      </c>
      <c r="ES41" s="54" t="e">
        <f>IF(ER$3,IF(CHOOSE(ER$7,Eu_tabel_a[[#This Row],[x base]]&gt;0,Eu_tabel_a[[#This Row],[x base]]&lt;0,Eu_tabel_a[[#This Row],[x base]]=0),1,NA()),NA())</f>
        <v>#N/A</v>
      </c>
      <c r="ET41" s="54" t="e">
        <f>IF(CHOOSE(ER$7,Eu_tabel_a[[#This Row],[x base]]&gt;0,Eu_tabel_a[[#This Row],[x base]]&lt;0,Eu_tabel_a[[#This Row],[x base]]=0),Eu_tabel_a[[#This Row],[Styrke, aktiv]],NA())</f>
        <v>#N/A</v>
      </c>
      <c r="EU41" s="54" t="e">
        <f>IFERROR(IF($ER$3,Eu_tabel_a[[#This Row],[Styrke, aktiv]],NA()),NA())</f>
        <v>#N/A</v>
      </c>
      <c r="EV41" s="54" t="e">
        <f>IF(ISNA(Eu_tabel_a[[#This Row],[Sand negativ
Nulhypotese afvises
Korrekt]]),NA(),IF(ER$3,1,NA()))</f>
        <v>#N/A</v>
      </c>
      <c r="EW41" s="55" t="str" cm="1">
        <f t="array" ref="EW41">IFERROR(_xlfn.SWITCH(Eu_tabel_a[[#This Row],[Indeks]],_xlfn.IFNA(EU$2,-99),EU$5,_xlfn.IFNA(EU$3,-99),EU$6,_xlfn.IFNA(EU$4,-99),EU$7,""),"")</f>
        <v/>
      </c>
      <c r="EX41" s="54">
        <f>Eu_tabel_a[[#This Row],[x base]]*SQRT(Eu_a_h0_x*(1-Eu_a_h0_x)/Eu_a_n_x)+Eu_a_h0_x</f>
        <v>0</v>
      </c>
      <c r="FC41" s="161" t="e">
        <f t="shared" si="18"/>
        <v>#N/A</v>
      </c>
      <c r="FD41" s="169" t="e">
        <f t="shared" si="121"/>
        <v>#DIV/0!</v>
      </c>
      <c r="FE41" s="7" t="e">
        <f t="shared" si="12"/>
        <v>#DIV/0!</v>
      </c>
      <c r="FF41" t="e">
        <f t="shared" si="122"/>
        <v>#DIV/0!</v>
      </c>
      <c r="FG41" s="8" t="e">
        <f t="shared" si="123"/>
        <v>#DIV/0!</v>
      </c>
      <c r="FH41" s="8" t="e">
        <f t="shared" si="124"/>
        <v>#DIV/0!</v>
      </c>
      <c r="FI41" s="168" t="e">
        <f t="shared" si="125"/>
        <v>#DIV/0!</v>
      </c>
      <c r="FJ41" s="161" t="e">
        <f t="shared" ca="1" si="13"/>
        <v>#N/A</v>
      </c>
      <c r="FK41" s="169" t="e" vm="3">
        <f t="shared" ca="1" si="19"/>
        <v>#VALUE!</v>
      </c>
      <c r="FL41" s="7" t="e" vm="3">
        <f t="shared" ca="1" si="14"/>
        <v>#VALUE!</v>
      </c>
      <c r="FM41" t="e" vm="3">
        <f t="shared" ca="1" si="8"/>
        <v>#VALUE!</v>
      </c>
      <c r="FN41" s="8" t="e" vm="3">
        <f t="shared" ca="1" si="9"/>
        <v>#VALUE!</v>
      </c>
      <c r="FO41" s="8" t="e" vm="3">
        <f t="shared" ca="1" si="10"/>
        <v>#VALUE!</v>
      </c>
      <c r="FP41" s="168" t="e" vm="3">
        <f t="shared" ca="1" si="11"/>
        <v>#VALUE!</v>
      </c>
      <c r="FQ41" s="161" t="e">
        <f t="shared" si="15"/>
        <v>#N/A</v>
      </c>
      <c r="FR41" s="169" t="e">
        <f t="shared" si="20"/>
        <v>#N/A</v>
      </c>
      <c r="FS41" s="7" t="e">
        <f t="shared" si="16"/>
        <v>#N/A</v>
      </c>
      <c r="FT41" t="e">
        <f t="shared" si="21"/>
        <v>#N/A</v>
      </c>
      <c r="FU41" s="8" t="e">
        <f t="shared" si="22"/>
        <v>#N/A</v>
      </c>
      <c r="FV41" s="8" t="e">
        <f t="shared" si="23"/>
        <v>#N/A</v>
      </c>
      <c r="FW41" s="168" t="e">
        <f t="shared" si="24"/>
        <v>#N/A</v>
      </c>
      <c r="FX41" s="161" t="e">
        <f t="shared" si="25"/>
        <v>#N/A</v>
      </c>
      <c r="FY41" s="169" t="e">
        <f t="shared" si="26"/>
        <v>#N/A</v>
      </c>
      <c r="FZ41" s="7" t="e">
        <f t="shared" si="17"/>
        <v>#N/A</v>
      </c>
      <c r="GA41" t="e">
        <f t="shared" si="27"/>
        <v>#N/A</v>
      </c>
      <c r="GB41" s="8" t="e">
        <f t="shared" si="28"/>
        <v>#N/A</v>
      </c>
      <c r="GC41" s="8" t="e">
        <f t="shared" si="29"/>
        <v>#N/A</v>
      </c>
      <c r="GD41" s="168" t="e">
        <f t="shared" si="30"/>
        <v>#N/A</v>
      </c>
      <c r="GE41" s="168"/>
      <c r="GF41" s="168"/>
      <c r="GI41" s="139">
        <f t="shared" si="81"/>
        <v>31</v>
      </c>
      <c r="GJ41" s="54">
        <f t="shared" si="82"/>
        <v>32</v>
      </c>
      <c r="GK41" s="139">
        <f t="shared" si="83"/>
        <v>-2.347618341119734</v>
      </c>
      <c r="GL41" s="139">
        <f t="shared" si="84"/>
        <v>2.5359687526847842E-2</v>
      </c>
      <c r="GM41" s="139" t="e">
        <f t="shared" si="85"/>
        <v>#N/A</v>
      </c>
      <c r="GN41" s="139" t="e">
        <f t="shared" si="86"/>
        <v>#N/A</v>
      </c>
      <c r="GO41" s="139" t="e">
        <f t="shared" si="87"/>
        <v>#N/A</v>
      </c>
      <c r="GP41" s="139" t="b">
        <f t="shared" si="88"/>
        <v>1</v>
      </c>
      <c r="GQ41" s="139" t="b">
        <f t="shared" si="89"/>
        <v>0</v>
      </c>
      <c r="GR41" s="139" t="b">
        <f t="shared" si="90"/>
        <v>1</v>
      </c>
      <c r="GS41" s="139" t="b">
        <f t="shared" si="91"/>
        <v>0</v>
      </c>
      <c r="GT41" s="139">
        <f t="shared" si="92"/>
        <v>2.5359687526847842E-2</v>
      </c>
      <c r="GU41" s="139">
        <f t="shared" si="93"/>
        <v>2.5359687526847842E-2</v>
      </c>
      <c r="GV41" s="139" t="e">
        <f t="shared" si="94"/>
        <v>#N/A</v>
      </c>
      <c r="GW41" s="140" t="str">
        <f t="shared" si="95"/>
        <v/>
      </c>
      <c r="HC41" s="139">
        <f t="shared" si="96"/>
        <v>31</v>
      </c>
      <c r="HD41" s="54">
        <f t="shared" si="97"/>
        <v>32</v>
      </c>
      <c r="HE41" s="139">
        <f t="shared" si="98"/>
        <v>-3.635336307027571</v>
      </c>
      <c r="HF41" s="139" t="e">
        <f t="shared" si="99"/>
        <v>#N/A</v>
      </c>
      <c r="HG41" s="139">
        <f t="shared" si="100"/>
        <v>5.5346566224468898E-3</v>
      </c>
      <c r="HH41" s="139" t="e">
        <f t="shared" si="101"/>
        <v>#N/A</v>
      </c>
      <c r="HI41" s="139" t="e">
        <f t="shared" si="102"/>
        <v>#N/A</v>
      </c>
      <c r="HJ41" s="139" t="b">
        <f t="shared" si="103"/>
        <v>1</v>
      </c>
      <c r="HK41" s="139" t="b">
        <f t="shared" si="104"/>
        <v>0</v>
      </c>
      <c r="HL41" s="139" t="b">
        <f t="shared" si="105"/>
        <v>1</v>
      </c>
      <c r="HM41" s="139" t="b">
        <f t="shared" si="106"/>
        <v>0</v>
      </c>
      <c r="HN41" s="139">
        <f t="shared" si="107"/>
        <v>5.5346566224468898E-3</v>
      </c>
      <c r="HO41" s="139">
        <f t="shared" si="108"/>
        <v>5.5346566224468898E-3</v>
      </c>
      <c r="HP41" s="139" t="e">
        <f t="shared" si="109"/>
        <v>#N/A</v>
      </c>
      <c r="HQ41" s="140" t="str">
        <f t="shared" si="110"/>
        <v/>
      </c>
    </row>
    <row r="42" spans="1:225" x14ac:dyDescent="0.2">
      <c r="A42" s="58" t="s">
        <v>13</v>
      </c>
      <c r="B42" s="41" t="s">
        <v>24</v>
      </c>
      <c r="E42" s="100" t="s">
        <v>481</v>
      </c>
      <c r="F42" s="144" t="e" cm="1">
        <f t="array" ref="F42">IF(NOT($BE$2),INDEX(E_g_valg[Parameter 1],E_g_aktiv),NA())</f>
        <v>#N/A</v>
      </c>
      <c r="H42" s="58" t="s">
        <v>13</v>
      </c>
      <c r="I42" s="41" t="s">
        <v>281</v>
      </c>
      <c r="L42" s="100" t="s">
        <v>481</v>
      </c>
      <c r="M42" s="144" t="e" cm="1">
        <f t="array" ref="M42">IF(NOT($BF$2),INDEX(E_s_valg[Parameter 1],E_s_aktiv),NA())</f>
        <v>#N/A</v>
      </c>
      <c r="N42" s="146"/>
      <c r="O42" s="58" t="s">
        <v>13</v>
      </c>
      <c r="P42" s="41" t="s">
        <v>285</v>
      </c>
      <c r="S42" s="100" t="s">
        <v>481</v>
      </c>
      <c r="T42" s="144" t="e" cm="1">
        <f t="array" ref="T42">IF(NOT($BG$2),INDEX(E_a_valg[Parameter 1],E_a_aktiv),NA())</f>
        <v>#N/A</v>
      </c>
      <c r="V42" s="58" t="s">
        <v>13</v>
      </c>
      <c r="W42" s="41" t="s">
        <v>24</v>
      </c>
      <c r="Z42" s="100" t="s">
        <v>481</v>
      </c>
      <c r="AA42" s="144" t="e" cm="1">
        <f t="array" ref="AA42">IF(NOT($BH$2),INDEX(E_i_valg[Parameter 1],E_i_aktiv),NA())</f>
        <v>#N/A</v>
      </c>
      <c r="AC42" s="58" t="s">
        <v>13</v>
      </c>
      <c r="AD42" s="41" t="s">
        <v>24</v>
      </c>
      <c r="AE42" s="148" t="b" cm="1">
        <f t="array" ref="AE42">OR(AD42=_xlfn.ANCHORARRAY(LineærRegression!ET11))</f>
        <v>0</v>
      </c>
      <c r="AG42" s="100" t="s">
        <v>481</v>
      </c>
      <c r="AH42" s="144" cm="1">
        <f t="array" ref="AH42">IF(NOT($BI$2),INDEX(E_k_valg[Parameter 1],E_k_aktiv),NA())</f>
        <v>7</v>
      </c>
      <c r="BE42">
        <v>-1.1469596428732241</v>
      </c>
      <c r="BF42">
        <v>-3.2725647568992748</v>
      </c>
      <c r="BG42" t="b">
        <v>1</v>
      </c>
      <c r="BH42">
        <v>-1.1469596428732241</v>
      </c>
      <c r="BI42">
        <v>-1.1469596428732241</v>
      </c>
      <c r="BS42" s="139">
        <f t="shared" si="36"/>
        <v>32</v>
      </c>
      <c r="BT42" s="54">
        <f>Eu_tabel_g[[#This Row],[Indeks]]+1</f>
        <v>33</v>
      </c>
      <c r="BU42" s="139">
        <f t="shared" si="37"/>
        <v>-2.3236630519246346</v>
      </c>
      <c r="BV42" s="139">
        <f t="shared" si="38"/>
        <v>2.681903123843965E-2</v>
      </c>
      <c r="BW42" s="139" t="e">
        <f t="shared" si="39"/>
        <v>#N/A</v>
      </c>
      <c r="BX42" s="139" t="e">
        <f t="shared" si="40"/>
        <v>#N/A</v>
      </c>
      <c r="BY42" s="139" t="e">
        <f t="shared" si="41"/>
        <v>#N/A</v>
      </c>
      <c r="BZ42" s="139" t="b">
        <f t="shared" si="42"/>
        <v>1</v>
      </c>
      <c r="CA42" s="139" t="b">
        <f t="shared" si="43"/>
        <v>0</v>
      </c>
      <c r="CB42" s="139" t="b">
        <f t="shared" si="44"/>
        <v>1</v>
      </c>
      <c r="CC42" s="139" t="b">
        <f t="shared" si="45"/>
        <v>0</v>
      </c>
      <c r="CD42" s="139">
        <f t="shared" si="128"/>
        <v>2.681903123843965E-2</v>
      </c>
      <c r="CE42" s="139">
        <f t="shared" si="47"/>
        <v>2.681903123843965E-2</v>
      </c>
      <c r="CF42" s="139" t="e">
        <f t="shared" si="48"/>
        <v>#N/A</v>
      </c>
      <c r="CG42" s="140" t="str">
        <f t="shared" si="49"/>
        <v/>
      </c>
      <c r="CH42" s="54">
        <f>_xlfn.NORM.DIST(_xlfn.NORM.INV(1-Eu_g_konfidensniveau,0,1)-Eu_tabel_g[[#This Row],[x base]],0,1,TRUE)</f>
        <v>0.75137068940614915</v>
      </c>
      <c r="CI42" s="54">
        <f>1-_xlfn.NORM.DIST(_xlfn.NORM.INV(Eu_g_konfidensniveau,0,1)-Eu_tabel_g[[#This Row],[x base]],0,1,TRUE)</f>
        <v>3.6160698152931658E-5</v>
      </c>
      <c r="CJ42" s="54">
        <f>_xlfn.NORM.DIST(_xlfn.NORM.INV((1-Eu_g_konfidensniveau)/2,0,1)-Eu_tabel_g[[#This Row],[x base]],0,1,TRUE)+1-_xlfn.NORM.DIST(_xlfn.NORM.INV(1-(1-Eu_g_konfidensniveau)/2,0,1)-Eu_tabel_g[[#This Row],[x base]],0,1,TRUE)</f>
        <v>0.64196782362632765</v>
      </c>
      <c r="CK42" s="54" t="e" cm="1">
        <f t="array" ref="CK42">IF($CK$3,INDEX(Eu_tabel_g[[#This Row],[Styrke venstre]:[Styrke tosidet]],CK$7),NA())</f>
        <v>#N/A</v>
      </c>
      <c r="CL42" s="99" t="e">
        <f>Eu_tabel_g[[#This Row],[Falsk positiv
Nulhypotese accepteres
Fejltype 1]]</f>
        <v>#N/A</v>
      </c>
      <c r="CM42" s="99" t="e">
        <f>IF(CHOOSE(CK$7,Eu_tabel_g[[#This Row],[x base]]&gt;0,Eu_tabel_g[[#This Row],[x base]]&lt;0,Eu_tabel_g[[#This Row],[x base]]=0),Eu_tabel_g[[#This Row],[Styrke, aktiv]],NA())</f>
        <v>#N/A</v>
      </c>
      <c r="CN42" s="99" t="e">
        <f>IFERROR(IF($CK$3,Eu_tabel_g[[#This Row],[Styrke, aktiv]],NA()),NA())</f>
        <v>#N/A</v>
      </c>
      <c r="CO42" s="99" t="e">
        <f>IF(ISNA(Eu_tabel_g[[#This Row],[Sand negativ
Nulhypotese afvises
Korrekt]]),NA(),IF($CK$3,1,NA()))</f>
        <v>#N/A</v>
      </c>
      <c r="CP42" s="56" t="str" cm="1">
        <f t="array" ref="CP42">_xlfn.SWITCH(BS42,_xlfn.IFNA(CN$2,-99),CN$5,_xlfn.IFNA(CN$3,-99),CN$6,_xlfn.IFNA(CN$4,-99),CN$7,"")</f>
        <v/>
      </c>
      <c r="CT42" s="7">
        <f t="shared" si="50"/>
        <v>0.8</v>
      </c>
      <c r="CU42">
        <f>IF(ROW(Styrkeberegning_G[[#This Row],[X base venstre]])=ROW(Styrkeberegning_G[[#Headers],[X base venstre]])+1,CU$7/(CT$7/$B$67),CU41/(CT41/$B$67))</f>
        <v>-2.8015817870135784</v>
      </c>
      <c r="CV42">
        <f>Styrkeberegning_G[[#This Row],[X base venstre]]*-1</f>
        <v>2.8015817870135784</v>
      </c>
      <c r="DG42" s="139">
        <f t="shared" si="51"/>
        <v>32</v>
      </c>
      <c r="DH42" s="54">
        <f t="shared" si="52"/>
        <v>33</v>
      </c>
      <c r="DI42" s="139">
        <f t="shared" si="53"/>
        <v>5.4841200699977222</v>
      </c>
      <c r="DJ42" s="139" t="e">
        <f t="shared" si="54"/>
        <v>#N/A</v>
      </c>
      <c r="DK42" s="139" t="e">
        <f t="shared" si="55"/>
        <v>#N/A</v>
      </c>
      <c r="DL42" s="139">
        <f t="shared" si="56"/>
        <v>5.7623284774130229E-2</v>
      </c>
      <c r="DM42" s="139" t="e">
        <f t="shared" si="57"/>
        <v>#N/A</v>
      </c>
      <c r="DN42" s="139" t="b">
        <f t="shared" si="58"/>
        <v>0</v>
      </c>
      <c r="DO42" s="139" t="b">
        <f t="shared" si="59"/>
        <v>1</v>
      </c>
      <c r="DP42" s="139" t="b">
        <f t="shared" si="60"/>
        <v>0</v>
      </c>
      <c r="DQ42" s="139" t="b">
        <f t="shared" si="61"/>
        <v>1</v>
      </c>
      <c r="DR42" s="139">
        <f t="shared" si="62"/>
        <v>5.7623284774130229E-2</v>
      </c>
      <c r="DS42" s="139" t="e">
        <f t="shared" si="63"/>
        <v>#N/A</v>
      </c>
      <c r="DT42" s="139">
        <f t="shared" si="64"/>
        <v>5.7623284774130229E-2</v>
      </c>
      <c r="DU42" s="140" t="str">
        <f t="shared" si="65"/>
        <v/>
      </c>
      <c r="DZ42" s="139">
        <f t="shared" si="66"/>
        <v>32</v>
      </c>
      <c r="EA42" s="54">
        <f t="shared" si="67"/>
        <v>33</v>
      </c>
      <c r="EB42" s="139">
        <f t="shared" si="68"/>
        <v>-2.3236630519246346</v>
      </c>
      <c r="EC42" s="139">
        <f t="shared" si="69"/>
        <v>2.681903123843965E-2</v>
      </c>
      <c r="ED42" s="139" t="e">
        <f t="shared" si="70"/>
        <v>#N/A</v>
      </c>
      <c r="EE42" s="139" t="e">
        <f t="shared" si="71"/>
        <v>#N/A</v>
      </c>
      <c r="EF42" s="139" t="e">
        <f t="shared" si="72"/>
        <v>#N/A</v>
      </c>
      <c r="EG42" s="139" t="b">
        <f t="shared" si="73"/>
        <v>1</v>
      </c>
      <c r="EH42" s="139" t="b">
        <f t="shared" si="74"/>
        <v>0</v>
      </c>
      <c r="EI42" s="139" t="b">
        <f t="shared" si="75"/>
        <v>1</v>
      </c>
      <c r="EJ42" s="139" t="b">
        <f t="shared" si="76"/>
        <v>0</v>
      </c>
      <c r="EK42" s="139">
        <f t="shared" si="77"/>
        <v>2.681903123843965E-2</v>
      </c>
      <c r="EL42" s="139">
        <f t="shared" si="78"/>
        <v>2.681903123843965E-2</v>
      </c>
      <c r="EM42" s="139" t="e">
        <f t="shared" si="79"/>
        <v>#N/A</v>
      </c>
      <c r="EN42" s="140" t="str">
        <f t="shared" si="80"/>
        <v/>
      </c>
      <c r="EO4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4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4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42" s="54" t="e" cm="1">
        <f t="array" ref="ER42">IF($CK$3,INDEX(Eu_tabel_a[[#This Row],[Styrke venstre]:[Styrke tosidet]],ER$7),NA())</f>
        <v>#N/A</v>
      </c>
      <c r="ES42" s="54" t="e">
        <f>IF(ER$3,IF(CHOOSE(ER$7,Eu_tabel_a[[#This Row],[x base]]&gt;0,Eu_tabel_a[[#This Row],[x base]]&lt;0,Eu_tabel_a[[#This Row],[x base]]=0),1,NA()),NA())</f>
        <v>#N/A</v>
      </c>
      <c r="ET42" s="54" t="e">
        <f>IF(CHOOSE(ER$7,Eu_tabel_a[[#This Row],[x base]]&gt;0,Eu_tabel_a[[#This Row],[x base]]&lt;0,Eu_tabel_a[[#This Row],[x base]]=0),Eu_tabel_a[[#This Row],[Styrke, aktiv]],NA())</f>
        <v>#N/A</v>
      </c>
      <c r="EU42" s="54" t="e">
        <f>IFERROR(IF($ER$3,Eu_tabel_a[[#This Row],[Styrke, aktiv]],NA()),NA())</f>
        <v>#N/A</v>
      </c>
      <c r="EV42" s="54" t="e">
        <f>IF(ISNA(Eu_tabel_a[[#This Row],[Sand negativ
Nulhypotese afvises
Korrekt]]),NA(),IF(ER$3,1,NA()))</f>
        <v>#N/A</v>
      </c>
      <c r="EW42" s="55" t="str" cm="1">
        <f t="array" ref="EW42">IFERROR(_xlfn.SWITCH(Eu_tabel_a[[#This Row],[Indeks]],_xlfn.IFNA(EU$2,-99),EU$5,_xlfn.IFNA(EU$3,-99),EU$6,_xlfn.IFNA(EU$4,-99),EU$7,""),"")</f>
        <v/>
      </c>
      <c r="EX42" s="54">
        <f>Eu_tabel_a[[#This Row],[x base]]*SQRT(Eu_a_h0_x*(1-Eu_a_h0_x)/Eu_a_n_x)+Eu_a_h0_x</f>
        <v>0</v>
      </c>
      <c r="FC42" s="161" t="e">
        <f t="shared" si="18"/>
        <v>#N/A</v>
      </c>
      <c r="FD42" s="169" t="e">
        <f t="shared" si="121"/>
        <v>#DIV/0!</v>
      </c>
      <c r="FE42" s="7" t="e">
        <f t="shared" si="12"/>
        <v>#DIV/0!</v>
      </c>
      <c r="FF42" t="e">
        <f t="shared" si="122"/>
        <v>#DIV/0!</v>
      </c>
      <c r="FG42" s="8" t="e">
        <f t="shared" si="123"/>
        <v>#DIV/0!</v>
      </c>
      <c r="FH42" s="8" t="e">
        <f t="shared" si="124"/>
        <v>#DIV/0!</v>
      </c>
      <c r="FI42" s="168" t="e">
        <f t="shared" si="125"/>
        <v>#DIV/0!</v>
      </c>
      <c r="FJ42" s="161" t="e">
        <f t="shared" ca="1" si="13"/>
        <v>#N/A</v>
      </c>
      <c r="FK42" s="169" t="e" vm="3">
        <f t="shared" ca="1" si="19"/>
        <v>#VALUE!</v>
      </c>
      <c r="FL42" s="7" t="e" vm="3">
        <f t="shared" ca="1" si="14"/>
        <v>#VALUE!</v>
      </c>
      <c r="FM42" t="e" vm="3">
        <f t="shared" ca="1" si="8"/>
        <v>#VALUE!</v>
      </c>
      <c r="FN42" s="8" t="e" vm="3">
        <f t="shared" ca="1" si="9"/>
        <v>#VALUE!</v>
      </c>
      <c r="FO42" s="8" t="e" vm="3">
        <f t="shared" ca="1" si="10"/>
        <v>#VALUE!</v>
      </c>
      <c r="FP42" s="168" t="e" vm="3">
        <f t="shared" ca="1" si="11"/>
        <v>#VALUE!</v>
      </c>
      <c r="FQ42" s="161" t="e">
        <f t="shared" si="15"/>
        <v>#N/A</v>
      </c>
      <c r="FR42" s="169" t="e">
        <f t="shared" si="20"/>
        <v>#N/A</v>
      </c>
      <c r="FS42" s="7" t="e">
        <f t="shared" si="16"/>
        <v>#N/A</v>
      </c>
      <c r="FT42" t="e">
        <f t="shared" si="21"/>
        <v>#N/A</v>
      </c>
      <c r="FU42" s="8" t="e">
        <f t="shared" si="22"/>
        <v>#N/A</v>
      </c>
      <c r="FV42" s="8" t="e">
        <f t="shared" si="23"/>
        <v>#N/A</v>
      </c>
      <c r="FW42" s="168" t="e">
        <f t="shared" si="24"/>
        <v>#N/A</v>
      </c>
      <c r="FX42" s="161" t="e">
        <f t="shared" si="25"/>
        <v>#N/A</v>
      </c>
      <c r="FY42" s="169" t="e">
        <f t="shared" si="26"/>
        <v>#N/A</v>
      </c>
      <c r="FZ42" s="7" t="e">
        <f t="shared" si="17"/>
        <v>#N/A</v>
      </c>
      <c r="GA42" t="e">
        <f t="shared" si="27"/>
        <v>#N/A</v>
      </c>
      <c r="GB42" s="8" t="e">
        <f t="shared" si="28"/>
        <v>#N/A</v>
      </c>
      <c r="GC42" s="8" t="e">
        <f t="shared" si="29"/>
        <v>#N/A</v>
      </c>
      <c r="GD42" s="168" t="e">
        <f t="shared" si="30"/>
        <v>#N/A</v>
      </c>
      <c r="GE42" s="168"/>
      <c r="GF42" s="168"/>
      <c r="GI42" s="139">
        <f t="shared" si="81"/>
        <v>32</v>
      </c>
      <c r="GJ42" s="54">
        <f t="shared" si="82"/>
        <v>33</v>
      </c>
      <c r="GK42" s="139">
        <f t="shared" si="83"/>
        <v>-2.3236630519246346</v>
      </c>
      <c r="GL42" s="139">
        <f t="shared" si="84"/>
        <v>2.681903123843965E-2</v>
      </c>
      <c r="GM42" s="139" t="e">
        <f t="shared" si="85"/>
        <v>#N/A</v>
      </c>
      <c r="GN42" s="139" t="e">
        <f t="shared" si="86"/>
        <v>#N/A</v>
      </c>
      <c r="GO42" s="139" t="e">
        <f t="shared" si="87"/>
        <v>#N/A</v>
      </c>
      <c r="GP42" s="139" t="b">
        <f t="shared" si="88"/>
        <v>1</v>
      </c>
      <c r="GQ42" s="139" t="b">
        <f t="shared" si="89"/>
        <v>0</v>
      </c>
      <c r="GR42" s="139" t="b">
        <f t="shared" si="90"/>
        <v>1</v>
      </c>
      <c r="GS42" s="139" t="b">
        <f t="shared" si="91"/>
        <v>0</v>
      </c>
      <c r="GT42" s="139">
        <f t="shared" si="92"/>
        <v>2.681903123843965E-2</v>
      </c>
      <c r="GU42" s="139">
        <f t="shared" si="93"/>
        <v>2.681903123843965E-2</v>
      </c>
      <c r="GV42" s="139" t="e">
        <f t="shared" si="94"/>
        <v>#N/A</v>
      </c>
      <c r="GW42" s="140" t="str">
        <f t="shared" si="95"/>
        <v/>
      </c>
      <c r="HC42" s="139">
        <f t="shared" si="96"/>
        <v>32</v>
      </c>
      <c r="HD42" s="54">
        <f t="shared" si="97"/>
        <v>33</v>
      </c>
      <c r="HE42" s="139">
        <f t="shared" si="98"/>
        <v>-3.598241038588514</v>
      </c>
      <c r="HF42" s="139" t="e">
        <f t="shared" si="99"/>
        <v>#N/A</v>
      </c>
      <c r="HG42" s="139">
        <f t="shared" si="100"/>
        <v>5.8385285622718358E-3</v>
      </c>
      <c r="HH42" s="139" t="e">
        <f t="shared" si="101"/>
        <v>#N/A</v>
      </c>
      <c r="HI42" s="139" t="e">
        <f t="shared" si="102"/>
        <v>#N/A</v>
      </c>
      <c r="HJ42" s="139" t="b">
        <f t="shared" si="103"/>
        <v>1</v>
      </c>
      <c r="HK42" s="139" t="b">
        <f t="shared" si="104"/>
        <v>0</v>
      </c>
      <c r="HL42" s="139" t="b">
        <f t="shared" si="105"/>
        <v>1</v>
      </c>
      <c r="HM42" s="139" t="b">
        <f t="shared" si="106"/>
        <v>0</v>
      </c>
      <c r="HN42" s="139">
        <f t="shared" si="107"/>
        <v>5.8385285622718358E-3</v>
      </c>
      <c r="HO42" s="139">
        <f t="shared" si="108"/>
        <v>5.8385285622718358E-3</v>
      </c>
      <c r="HP42" s="139" t="e">
        <f t="shared" si="109"/>
        <v>#N/A</v>
      </c>
      <c r="HQ42" s="140" t="str">
        <f t="shared" si="110"/>
        <v/>
      </c>
    </row>
    <row r="43" spans="1:225" x14ac:dyDescent="0.2">
      <c r="A43" s="58" t="s">
        <v>460</v>
      </c>
      <c r="B43" s="156">
        <f>AVERAGE(_xlfn.ANCHORARRAY(BE41))</f>
        <v>1.8540044183209705</v>
      </c>
      <c r="E43" s="100" t="s">
        <v>482</v>
      </c>
      <c r="F43" s="144" t="e" cm="1">
        <f t="array" ref="F43">IF(NOT($BE$2),IF(NOT(ISBLANK(INDEX(E_g_valg[Parameter 2],E_g_aktiv))),INDEX(E_g_valg[Parameter 2],E_g_aktiv),NA()),NA())</f>
        <v>#N/A</v>
      </c>
      <c r="H43" s="58" t="s">
        <v>461</v>
      </c>
      <c r="I43" s="156">
        <f>_xlfn.STDEV.S(_xlfn.ANCHORARRAY(BF41))</f>
        <v>4.2847095293134156</v>
      </c>
      <c r="L43" s="100" t="s">
        <v>482</v>
      </c>
      <c r="M43" s="144" t="e" cm="1">
        <f t="array" ref="M43">IF(NOT($BF$2),IF(NOT(ISBLANK(INDEX(E_s_valg[Parameter 2],E_s_aktiv))),INDEX(E_s_valg[Parameter 2],E_s_aktiv),NA()),NA())</f>
        <v>#N/A</v>
      </c>
      <c r="N43" s="146"/>
      <c r="O43" s="58" t="s">
        <v>463</v>
      </c>
      <c r="P43" s="150">
        <f>COUNTIF(_xlfn.ANCHORARRAY(BG41),TRUE)/COUNTA(_xlfn.ANCHORARRAY(BG41))</f>
        <v>0.41666666666666669</v>
      </c>
      <c r="S43" s="100" t="s">
        <v>482</v>
      </c>
      <c r="T43" s="144" t="e" cm="1">
        <f t="array" ref="T43">IF(NOT($BG$2),IF(NOT(ISBLANK(INDEX(E_a_valg[Parameter 2],E_a_aktiv))),INDEX(E_a_valg[Parameter 2],E_a_aktiv),NA()),NA())</f>
        <v>#N/A</v>
      </c>
      <c r="V43" s="100" t="s">
        <v>467</v>
      </c>
      <c r="W43" s="108">
        <f>AVERAGE(_xlfn.ANCHORARRAY(BH41))</f>
        <v>1.8540044183209705</v>
      </c>
      <c r="Z43" s="100" t="s">
        <v>482</v>
      </c>
      <c r="AA43" s="144" t="e" cm="1">
        <f t="array" ref="AA43">IF(NOT($BH$2),IF(NOT(ISBLANK(INDEX(E_i_valg[Parameter 2],E_i_aktiv))),INDEX(E_i_valg[Parameter 2],E_i_aktiv),NA()),NA())</f>
        <v>#N/A</v>
      </c>
      <c r="AC43" s="58" t="s">
        <v>472</v>
      </c>
      <c r="AD43" s="108" t="e">
        <f>IF(AE42,INDEX(_xlfn.ANCHORARRAY(LineærRegression!ET25),MATCH(AD42,_xlfn.ANCHORARRAY(LineærRegression!ET11))),NA())</f>
        <v>#N/A</v>
      </c>
      <c r="AE43" s="152"/>
      <c r="AG43" s="100" t="s">
        <v>482</v>
      </c>
      <c r="AH43" s="144" t="e" cm="1">
        <f t="array" ref="AH43">IF(NOT($BI$2),IF(NOT(ISBLANK(INDEX(E_k_valg[Parameter 2],E_k_aktiv))),INDEX(E_k_valg[Parameter 2],E_k_aktiv),NA()),NA())</f>
        <v>#N/A</v>
      </c>
      <c r="BE43">
        <v>-0.40935481016144565</v>
      </c>
      <c r="BF43">
        <v>2.0315172703350726</v>
      </c>
      <c r="BG43" t="b">
        <v>0</v>
      </c>
      <c r="BH43">
        <v>-0.40935481016144565</v>
      </c>
      <c r="BI43">
        <v>-0.40935481016144565</v>
      </c>
      <c r="BS43" s="139">
        <f t="shared" si="36"/>
        <v>33</v>
      </c>
      <c r="BT43" s="54">
        <f>Eu_tabel_g[[#This Row],[Indeks]]+1</f>
        <v>34</v>
      </c>
      <c r="BU43" s="139">
        <f t="shared" si="37"/>
        <v>-2.2997077627295353</v>
      </c>
      <c r="BV43" s="139">
        <f t="shared" si="38"/>
        <v>2.8346082828649768E-2</v>
      </c>
      <c r="BW43" s="139" t="e">
        <f t="shared" si="39"/>
        <v>#N/A</v>
      </c>
      <c r="BX43" s="139" t="e">
        <f t="shared" si="40"/>
        <v>#N/A</v>
      </c>
      <c r="BY43" s="139" t="e">
        <f t="shared" si="41"/>
        <v>#N/A</v>
      </c>
      <c r="BZ43" s="139" t="b">
        <f t="shared" si="42"/>
        <v>1</v>
      </c>
      <c r="CA43" s="139" t="b">
        <f t="shared" si="43"/>
        <v>0</v>
      </c>
      <c r="CB43" s="139" t="b">
        <f t="shared" si="44"/>
        <v>1</v>
      </c>
      <c r="CC43" s="139" t="b">
        <f t="shared" si="45"/>
        <v>0</v>
      </c>
      <c r="CD43" s="139">
        <f t="shared" si="128"/>
        <v>2.8346082828649768E-2</v>
      </c>
      <c r="CE43" s="139">
        <f t="shared" si="47"/>
        <v>2.8346082828649768E-2</v>
      </c>
      <c r="CF43" s="139" t="e">
        <f t="shared" si="48"/>
        <v>#N/A</v>
      </c>
      <c r="CG43" s="140" t="str">
        <f t="shared" si="49"/>
        <v/>
      </c>
      <c r="CH43" s="54">
        <f>_xlfn.NORM.DIST(_xlfn.NORM.INV(1-Eu_g_konfidensniveau,0,1)-Eu_tabel_g[[#This Row],[x base]],0,1,TRUE)</f>
        <v>0.74371916406168304</v>
      </c>
      <c r="CI43" s="54">
        <f>1-_xlfn.NORM.DIST(_xlfn.NORM.INV(Eu_g_konfidensniveau,0,1)-Eu_tabel_g[[#This Row],[x base]],0,1,TRUE)</f>
        <v>3.9973085832145649E-5</v>
      </c>
      <c r="CJ43" s="54">
        <f>_xlfn.NORM.DIST(_xlfn.NORM.INV((1-Eu_g_konfidensniveau)/2,0,1)-Eu_tabel_g[[#This Row],[x base]],0,1,TRUE)+1-_xlfn.NORM.DIST(_xlfn.NORM.INV(1-(1-Eu_g_konfidensniveau)/2,0,1)-Eu_tabel_g[[#This Row],[x base]],0,1,TRUE)</f>
        <v>0.63298549116825475</v>
      </c>
      <c r="CK43" s="54" t="e" cm="1">
        <f t="array" ref="CK43">IF($CK$3,INDEX(Eu_tabel_g[[#This Row],[Styrke venstre]:[Styrke tosidet]],CK$7),NA())</f>
        <v>#N/A</v>
      </c>
      <c r="CL43" s="99" t="e">
        <f>Eu_tabel_g[[#This Row],[Falsk positiv
Nulhypotese accepteres
Fejltype 1]]</f>
        <v>#N/A</v>
      </c>
      <c r="CM43" s="99" t="e">
        <f>IF(CHOOSE(CK$7,Eu_tabel_g[[#This Row],[x base]]&gt;0,Eu_tabel_g[[#This Row],[x base]]&lt;0,Eu_tabel_g[[#This Row],[x base]]=0),Eu_tabel_g[[#This Row],[Styrke, aktiv]],NA())</f>
        <v>#N/A</v>
      </c>
      <c r="CN43" s="99" t="e">
        <f>IFERROR(IF($CK$3,Eu_tabel_g[[#This Row],[Styrke, aktiv]],NA()),NA())</f>
        <v>#N/A</v>
      </c>
      <c r="CO43" s="99" t="e">
        <f>IF(ISNA(Eu_tabel_g[[#This Row],[Sand negativ
Nulhypotese afvises
Korrekt]]),NA(),IF($CK$3,1,NA()))</f>
        <v>#N/A</v>
      </c>
      <c r="CP43" s="56" t="str" cm="1">
        <f t="array" ref="CP43">_xlfn.SWITCH(BS43,_xlfn.IFNA(CN$2,-99),CN$5,_xlfn.IFNA(CN$3,-99),CN$6,_xlfn.IFNA(CN$4,-99),CN$7,"")</f>
        <v/>
      </c>
      <c r="CT43" s="7">
        <f t="shared" si="50"/>
        <v>0.8</v>
      </c>
      <c r="CU43">
        <f>IF(ROW(Styrkeberegning_G[[#This Row],[X base venstre]])=ROW(Styrkeberegning_G[[#Headers],[X base venstre]])+1,CU$7/(CT$7/$B$67),CU42/(CT42/$B$67))</f>
        <v>-2.8015817870135784</v>
      </c>
      <c r="CV43">
        <f>Styrkeberegning_G[[#This Row],[X base venstre]]*-1</f>
        <v>2.8015817870135784</v>
      </c>
      <c r="DG43" s="139">
        <f t="shared" si="51"/>
        <v>33</v>
      </c>
      <c r="DH43" s="54">
        <f t="shared" si="52"/>
        <v>34</v>
      </c>
      <c r="DI43" s="139">
        <f t="shared" si="53"/>
        <v>5.5981909264147234</v>
      </c>
      <c r="DJ43" s="139" t="e">
        <f t="shared" si="54"/>
        <v>#N/A</v>
      </c>
      <c r="DK43" s="139" t="e">
        <f t="shared" si="55"/>
        <v>#N/A</v>
      </c>
      <c r="DL43" s="139">
        <f t="shared" si="56"/>
        <v>5.9711945362308241E-2</v>
      </c>
      <c r="DM43" s="139" t="e">
        <f t="shared" si="57"/>
        <v>#N/A</v>
      </c>
      <c r="DN43" s="139" t="b">
        <f t="shared" si="58"/>
        <v>0</v>
      </c>
      <c r="DO43" s="139" t="b">
        <f t="shared" si="59"/>
        <v>1</v>
      </c>
      <c r="DP43" s="139" t="b">
        <f t="shared" si="60"/>
        <v>0</v>
      </c>
      <c r="DQ43" s="139" t="b">
        <f t="shared" si="61"/>
        <v>1</v>
      </c>
      <c r="DR43" s="139">
        <f t="shared" si="62"/>
        <v>5.9711945362308241E-2</v>
      </c>
      <c r="DS43" s="139" t="e">
        <f t="shared" si="63"/>
        <v>#N/A</v>
      </c>
      <c r="DT43" s="139">
        <f t="shared" si="64"/>
        <v>5.9711945362308241E-2</v>
      </c>
      <c r="DU43" s="140" t="str">
        <f t="shared" si="65"/>
        <v/>
      </c>
      <c r="DZ43" s="139">
        <f t="shared" si="66"/>
        <v>33</v>
      </c>
      <c r="EA43" s="54">
        <f t="shared" si="67"/>
        <v>34</v>
      </c>
      <c r="EB43" s="139">
        <f t="shared" si="68"/>
        <v>-2.2997077627295353</v>
      </c>
      <c r="EC43" s="139">
        <f t="shared" si="69"/>
        <v>2.8346082828649768E-2</v>
      </c>
      <c r="ED43" s="139" t="e">
        <f t="shared" si="70"/>
        <v>#N/A</v>
      </c>
      <c r="EE43" s="139" t="e">
        <f t="shared" si="71"/>
        <v>#N/A</v>
      </c>
      <c r="EF43" s="139" t="e">
        <f t="shared" si="72"/>
        <v>#N/A</v>
      </c>
      <c r="EG43" s="139" t="b">
        <f t="shared" si="73"/>
        <v>1</v>
      </c>
      <c r="EH43" s="139" t="b">
        <f t="shared" si="74"/>
        <v>0</v>
      </c>
      <c r="EI43" s="139" t="b">
        <f t="shared" si="75"/>
        <v>1</v>
      </c>
      <c r="EJ43" s="139" t="b">
        <f t="shared" si="76"/>
        <v>0</v>
      </c>
      <c r="EK43" s="139">
        <f t="shared" si="77"/>
        <v>2.8346082828649768E-2</v>
      </c>
      <c r="EL43" s="139">
        <f t="shared" si="78"/>
        <v>2.8346082828649768E-2</v>
      </c>
      <c r="EM43" s="139" t="e">
        <f t="shared" si="79"/>
        <v>#N/A</v>
      </c>
      <c r="EN43" s="140" t="str">
        <f t="shared" si="80"/>
        <v/>
      </c>
      <c r="EO4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4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4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43" s="54" t="e" cm="1">
        <f t="array" ref="ER43">IF($CK$3,INDEX(Eu_tabel_a[[#This Row],[Styrke venstre]:[Styrke tosidet]],ER$7),NA())</f>
        <v>#N/A</v>
      </c>
      <c r="ES43" s="54" t="e">
        <f>IF(ER$3,IF(CHOOSE(ER$7,Eu_tabel_a[[#This Row],[x base]]&gt;0,Eu_tabel_a[[#This Row],[x base]]&lt;0,Eu_tabel_a[[#This Row],[x base]]=0),1,NA()),NA())</f>
        <v>#N/A</v>
      </c>
      <c r="ET43" s="54" t="e">
        <f>IF(CHOOSE(ER$7,Eu_tabel_a[[#This Row],[x base]]&gt;0,Eu_tabel_a[[#This Row],[x base]]&lt;0,Eu_tabel_a[[#This Row],[x base]]=0),Eu_tabel_a[[#This Row],[Styrke, aktiv]],NA())</f>
        <v>#N/A</v>
      </c>
      <c r="EU43" s="54" t="e">
        <f>IFERROR(IF($ER$3,Eu_tabel_a[[#This Row],[Styrke, aktiv]],NA()),NA())</f>
        <v>#N/A</v>
      </c>
      <c r="EV43" s="54" t="e">
        <f>IF(ISNA(Eu_tabel_a[[#This Row],[Sand negativ
Nulhypotese afvises
Korrekt]]),NA(),IF(ER$3,1,NA()))</f>
        <v>#N/A</v>
      </c>
      <c r="EW43" s="55" t="str" cm="1">
        <f t="array" ref="EW43">IFERROR(_xlfn.SWITCH(Eu_tabel_a[[#This Row],[Indeks]],_xlfn.IFNA(EU$2,-99),EU$5,_xlfn.IFNA(EU$3,-99),EU$6,_xlfn.IFNA(EU$4,-99),EU$7,""),"")</f>
        <v/>
      </c>
      <c r="EX43" s="54">
        <f>Eu_tabel_a[[#This Row],[x base]]*SQRT(Eu_a_h0_x*(1-Eu_a_h0_x)/Eu_a_n_x)+Eu_a_h0_x</f>
        <v>0</v>
      </c>
      <c r="FC43" s="161" t="e">
        <f t="shared" si="18"/>
        <v>#N/A</v>
      </c>
      <c r="FD43" s="169" t="e">
        <f t="shared" si="121"/>
        <v>#DIV/0!</v>
      </c>
      <c r="FE43" s="7" t="e">
        <f t="shared" si="12"/>
        <v>#DIV/0!</v>
      </c>
      <c r="FF43" t="e">
        <f t="shared" si="122"/>
        <v>#DIV/0!</v>
      </c>
      <c r="FG43" s="8" t="e">
        <f t="shared" si="123"/>
        <v>#DIV/0!</v>
      </c>
      <c r="FH43" s="8" t="e">
        <f t="shared" si="124"/>
        <v>#DIV/0!</v>
      </c>
      <c r="FI43" s="168" t="e">
        <f t="shared" si="125"/>
        <v>#DIV/0!</v>
      </c>
      <c r="FJ43" s="161" t="e">
        <f t="shared" ca="1" si="13"/>
        <v>#N/A</v>
      </c>
      <c r="FK43" s="169" t="e" vm="3">
        <f t="shared" ca="1" si="19"/>
        <v>#VALUE!</v>
      </c>
      <c r="FL43" s="7" t="e" vm="3">
        <f t="shared" ca="1" si="14"/>
        <v>#VALUE!</v>
      </c>
      <c r="FM43" t="e" vm="3">
        <f t="shared" ca="1" si="8"/>
        <v>#VALUE!</v>
      </c>
      <c r="FN43" s="8" t="e" vm="3">
        <f t="shared" ca="1" si="9"/>
        <v>#VALUE!</v>
      </c>
      <c r="FO43" s="8" t="e" vm="3">
        <f t="shared" ca="1" si="10"/>
        <v>#VALUE!</v>
      </c>
      <c r="FP43" s="168" t="e" vm="3">
        <f t="shared" ca="1" si="11"/>
        <v>#VALUE!</v>
      </c>
      <c r="FQ43" s="161" t="e">
        <f t="shared" si="15"/>
        <v>#N/A</v>
      </c>
      <c r="FR43" s="169" t="e">
        <f t="shared" si="20"/>
        <v>#N/A</v>
      </c>
      <c r="FS43" s="7" t="e">
        <f t="shared" si="16"/>
        <v>#N/A</v>
      </c>
      <c r="FT43" t="e">
        <f t="shared" si="21"/>
        <v>#N/A</v>
      </c>
      <c r="FU43" s="8" t="e">
        <f t="shared" si="22"/>
        <v>#N/A</v>
      </c>
      <c r="FV43" s="8" t="e">
        <f t="shared" si="23"/>
        <v>#N/A</v>
      </c>
      <c r="FW43" s="168" t="e">
        <f t="shared" si="24"/>
        <v>#N/A</v>
      </c>
      <c r="FX43" s="161" t="e">
        <f t="shared" si="25"/>
        <v>#N/A</v>
      </c>
      <c r="FY43" s="169" t="e">
        <f t="shared" si="26"/>
        <v>#N/A</v>
      </c>
      <c r="FZ43" s="7" t="e">
        <f t="shared" si="17"/>
        <v>#N/A</v>
      </c>
      <c r="GA43" t="e">
        <f t="shared" si="27"/>
        <v>#N/A</v>
      </c>
      <c r="GB43" s="8" t="e">
        <f t="shared" si="28"/>
        <v>#N/A</v>
      </c>
      <c r="GC43" s="8" t="e">
        <f t="shared" si="29"/>
        <v>#N/A</v>
      </c>
      <c r="GD43" s="168" t="e">
        <f t="shared" si="30"/>
        <v>#N/A</v>
      </c>
      <c r="GE43" s="168"/>
      <c r="GF43" s="168"/>
      <c r="GI43" s="139">
        <f t="shared" si="81"/>
        <v>33</v>
      </c>
      <c r="GJ43" s="54">
        <f t="shared" si="82"/>
        <v>34</v>
      </c>
      <c r="GK43" s="139">
        <f t="shared" si="83"/>
        <v>-2.2997077627295353</v>
      </c>
      <c r="GL43" s="139">
        <f t="shared" si="84"/>
        <v>2.8346082828649768E-2</v>
      </c>
      <c r="GM43" s="139" t="e">
        <f t="shared" si="85"/>
        <v>#N/A</v>
      </c>
      <c r="GN43" s="139" t="e">
        <f t="shared" si="86"/>
        <v>#N/A</v>
      </c>
      <c r="GO43" s="139" t="e">
        <f t="shared" si="87"/>
        <v>#N/A</v>
      </c>
      <c r="GP43" s="139" t="b">
        <f t="shared" si="88"/>
        <v>1</v>
      </c>
      <c r="GQ43" s="139" t="b">
        <f t="shared" si="89"/>
        <v>0</v>
      </c>
      <c r="GR43" s="139" t="b">
        <f t="shared" si="90"/>
        <v>1</v>
      </c>
      <c r="GS43" s="139" t="b">
        <f t="shared" si="91"/>
        <v>0</v>
      </c>
      <c r="GT43" s="139">
        <f t="shared" si="92"/>
        <v>2.8346082828649768E-2</v>
      </c>
      <c r="GU43" s="139">
        <f t="shared" si="93"/>
        <v>2.8346082828649768E-2</v>
      </c>
      <c r="GV43" s="139" t="e">
        <f t="shared" si="94"/>
        <v>#N/A</v>
      </c>
      <c r="GW43" s="140" t="str">
        <f t="shared" si="95"/>
        <v/>
      </c>
      <c r="HC43" s="139">
        <f t="shared" si="96"/>
        <v>33</v>
      </c>
      <c r="HD43" s="54">
        <f t="shared" si="97"/>
        <v>34</v>
      </c>
      <c r="HE43" s="139">
        <f t="shared" si="98"/>
        <v>-3.5611457701494569</v>
      </c>
      <c r="HF43" s="139" t="e">
        <f t="shared" si="99"/>
        <v>#N/A</v>
      </c>
      <c r="HG43" s="139">
        <f t="shared" si="100"/>
        <v>6.160097552727048E-3</v>
      </c>
      <c r="HH43" s="139" t="e">
        <f t="shared" si="101"/>
        <v>#N/A</v>
      </c>
      <c r="HI43" s="139" t="e">
        <f t="shared" si="102"/>
        <v>#N/A</v>
      </c>
      <c r="HJ43" s="139" t="b">
        <f t="shared" si="103"/>
        <v>1</v>
      </c>
      <c r="HK43" s="139" t="b">
        <f t="shared" si="104"/>
        <v>0</v>
      </c>
      <c r="HL43" s="139" t="b">
        <f t="shared" si="105"/>
        <v>1</v>
      </c>
      <c r="HM43" s="139" t="b">
        <f t="shared" si="106"/>
        <v>0</v>
      </c>
      <c r="HN43" s="139">
        <f t="shared" si="107"/>
        <v>6.160097552727048E-3</v>
      </c>
      <c r="HO43" s="139">
        <f t="shared" si="108"/>
        <v>6.160097552727048E-3</v>
      </c>
      <c r="HP43" s="139" t="e">
        <f t="shared" si="109"/>
        <v>#N/A</v>
      </c>
      <c r="HQ43" s="140" t="str">
        <f t="shared" si="110"/>
        <v/>
      </c>
    </row>
    <row r="44" spans="1:225" x14ac:dyDescent="0.2">
      <c r="A44" s="58" t="s">
        <v>447</v>
      </c>
      <c r="B44" s="157"/>
      <c r="E44" s="100" t="s">
        <v>125</v>
      </c>
      <c r="F44" s="144" t="e" cm="1">
        <f t="array" ref="F44">IF(NOT($BE$2),INDEX(E_g_valg[Teststørrelse],E_g_aktiv),NA())</f>
        <v>#N/A</v>
      </c>
      <c r="H44" s="58" t="s">
        <v>459</v>
      </c>
      <c r="I44" s="157"/>
      <c r="L44" s="100" t="s">
        <v>125</v>
      </c>
      <c r="M44" s="144" t="e" cm="1">
        <f t="array" ref="M44">IF(NOT($BF$2),INDEX(E_s_valg[Teststørrelse],E_s_aktiv),NA())</f>
        <v>#N/A</v>
      </c>
      <c r="N44" s="146"/>
      <c r="O44" s="58" t="s">
        <v>464</v>
      </c>
      <c r="P44" s="149"/>
      <c r="S44" s="100" t="s">
        <v>125</v>
      </c>
      <c r="T44" s="144" t="e" cm="1">
        <f t="array" ref="T44">IF(NOT($BG$2),INDEX(E_a_valg[Teststørrelse],E_a_aktiv),NA())</f>
        <v>#N/A</v>
      </c>
      <c r="V44" s="100" t="s">
        <v>466</v>
      </c>
      <c r="W44" s="149"/>
      <c r="Z44" s="100" t="s">
        <v>125</v>
      </c>
      <c r="AA44" s="144" t="e" cm="1">
        <f t="array" ref="AA44">IF(NOT($BH$2),INDEX(E_i_valg[Teststørrelse],E_i_aktiv),NA())</f>
        <v>#N/A</v>
      </c>
      <c r="AC44" s="58" t="s">
        <v>473</v>
      </c>
      <c r="AD44" s="149"/>
      <c r="AE44" s="153"/>
      <c r="AG44" s="100" t="s">
        <v>125</v>
      </c>
      <c r="AH44" s="144" cm="1">
        <f t="array" ref="AH44">IF(NOT($BI$2),INDEX(E_k_valg[Teststørrelse],E_k_aktiv),NA())</f>
        <v>1.7059050335879198</v>
      </c>
      <c r="BE44">
        <v>-1.479592604535932</v>
      </c>
      <c r="BF44">
        <v>-2.2379718387660041</v>
      </c>
      <c r="BG44" t="b">
        <v>0</v>
      </c>
      <c r="BH44">
        <v>-1.479592604535932</v>
      </c>
      <c r="BI44">
        <v>-1.479592604535932</v>
      </c>
      <c r="BS44" s="139">
        <f t="shared" si="36"/>
        <v>34</v>
      </c>
      <c r="BT44" s="54">
        <f>Eu_tabel_g[[#This Row],[Indeks]]+1</f>
        <v>35</v>
      </c>
      <c r="BU44" s="139">
        <f t="shared" si="37"/>
        <v>-2.2757524735344363</v>
      </c>
      <c r="BV44" s="139">
        <f t="shared" si="38"/>
        <v>2.9942895529230493E-2</v>
      </c>
      <c r="BW44" s="139" t="e">
        <f t="shared" si="39"/>
        <v>#N/A</v>
      </c>
      <c r="BX44" s="139" t="e">
        <f t="shared" si="40"/>
        <v>#N/A</v>
      </c>
      <c r="BY44" s="139" t="e">
        <f t="shared" si="41"/>
        <v>#N/A</v>
      </c>
      <c r="BZ44" s="139" t="b">
        <f t="shared" si="42"/>
        <v>1</v>
      </c>
      <c r="CA44" s="139" t="b">
        <f t="shared" si="43"/>
        <v>0</v>
      </c>
      <c r="CB44" s="139" t="b">
        <f t="shared" si="44"/>
        <v>1</v>
      </c>
      <c r="CC44" s="139" t="b">
        <f t="shared" si="45"/>
        <v>0</v>
      </c>
      <c r="CD44" s="139">
        <f t="shared" si="128"/>
        <v>2.9942895529230493E-2</v>
      </c>
      <c r="CE44" s="139">
        <f t="shared" si="47"/>
        <v>2.9942895529230493E-2</v>
      </c>
      <c r="CF44" s="139" t="e">
        <f t="shared" si="48"/>
        <v>#N/A</v>
      </c>
      <c r="CG44" s="140" t="str">
        <f t="shared" si="49"/>
        <v/>
      </c>
      <c r="CH44" s="54">
        <f>_xlfn.NORM.DIST(_xlfn.NORM.INV(1-Eu_g_konfidensniveau,0,1)-Eu_tabel_g[[#This Row],[x base]],0,1,TRUE)</f>
        <v>0.73594666696484901</v>
      </c>
      <c r="CI44" s="54">
        <f>1-_xlfn.NORM.DIST(_xlfn.NORM.INV(Eu_g_konfidensniveau,0,1)-Eu_tabel_g[[#This Row],[x base]],0,1,TRUE)</f>
        <v>4.416326825673611E-5</v>
      </c>
      <c r="CJ44" s="54">
        <f>_xlfn.NORM.DIST(_xlfn.NORM.INV((1-Eu_g_konfidensniveau)/2,0,1)-Eu_tabel_g[[#This Row],[x base]],0,1,TRUE)+1-_xlfn.NORM.DIST(_xlfn.NORM.INV(1-(1-Eu_g_konfidensniveau)/2,0,1)-Eu_tabel_g[[#This Row],[x base]],0,1,TRUE)</f>
        <v>0.62392986328924072</v>
      </c>
      <c r="CK44" s="54" t="e" cm="1">
        <f t="array" ref="CK44">IF($CK$3,INDEX(Eu_tabel_g[[#This Row],[Styrke venstre]:[Styrke tosidet]],CK$7),NA())</f>
        <v>#N/A</v>
      </c>
      <c r="CL44" s="99" t="e">
        <f>Eu_tabel_g[[#This Row],[Falsk positiv
Nulhypotese accepteres
Fejltype 1]]</f>
        <v>#N/A</v>
      </c>
      <c r="CM44" s="99" t="e">
        <f>IF(CHOOSE(CK$7,Eu_tabel_g[[#This Row],[x base]]&gt;0,Eu_tabel_g[[#This Row],[x base]]&lt;0,Eu_tabel_g[[#This Row],[x base]]=0),Eu_tabel_g[[#This Row],[Styrke, aktiv]],NA())</f>
        <v>#N/A</v>
      </c>
      <c r="CN44" s="99" t="e">
        <f>IFERROR(IF($CK$3,Eu_tabel_g[[#This Row],[Styrke, aktiv]],NA()),NA())</f>
        <v>#N/A</v>
      </c>
      <c r="CO44" s="99" t="e">
        <f>IF(ISNA(Eu_tabel_g[[#This Row],[Sand negativ
Nulhypotese afvises
Korrekt]]),NA(),IF($CK$3,1,NA()))</f>
        <v>#N/A</v>
      </c>
      <c r="CP44" s="56" t="str" cm="1">
        <f t="array" ref="CP44">_xlfn.SWITCH(BS44,_xlfn.IFNA(CN$2,-99),CN$5,_xlfn.IFNA(CN$3,-99),CN$6,_xlfn.IFNA(CN$4,-99),CN$7,"")</f>
        <v/>
      </c>
      <c r="CT44" s="7">
        <f t="shared" si="50"/>
        <v>0.8</v>
      </c>
      <c r="CU44">
        <f>IF(ROW(Styrkeberegning_G[[#This Row],[X base venstre]])=ROW(Styrkeberegning_G[[#Headers],[X base venstre]])+1,CU$7/(CT$7/$B$67),CU43/(CT43/$B$67))</f>
        <v>-2.8015817870135784</v>
      </c>
      <c r="CV44">
        <f>Styrkeberegning_G[[#This Row],[X base venstre]]*-1</f>
        <v>2.8015817870135784</v>
      </c>
      <c r="DG44" s="139">
        <f t="shared" si="51"/>
        <v>34</v>
      </c>
      <c r="DH44" s="54">
        <f t="shared" si="52"/>
        <v>35</v>
      </c>
      <c r="DI44" s="139">
        <f t="shared" si="53"/>
        <v>5.7122617828317246</v>
      </c>
      <c r="DJ44" s="139" t="e">
        <f t="shared" si="54"/>
        <v>#N/A</v>
      </c>
      <c r="DK44" s="139" t="e">
        <f t="shared" si="55"/>
        <v>#N/A</v>
      </c>
      <c r="DL44" s="139">
        <f t="shared" si="56"/>
        <v>6.1760788406504986E-2</v>
      </c>
      <c r="DM44" s="139" t="e">
        <f t="shared" si="57"/>
        <v>#N/A</v>
      </c>
      <c r="DN44" s="139" t="b">
        <f t="shared" si="58"/>
        <v>0</v>
      </c>
      <c r="DO44" s="139" t="b">
        <f t="shared" si="59"/>
        <v>1</v>
      </c>
      <c r="DP44" s="139" t="b">
        <f t="shared" si="60"/>
        <v>0</v>
      </c>
      <c r="DQ44" s="139" t="b">
        <f t="shared" si="61"/>
        <v>1</v>
      </c>
      <c r="DR44" s="139">
        <f t="shared" si="62"/>
        <v>6.1760788406504986E-2</v>
      </c>
      <c r="DS44" s="139" t="e">
        <f t="shared" si="63"/>
        <v>#N/A</v>
      </c>
      <c r="DT44" s="139">
        <f t="shared" si="64"/>
        <v>6.1760788406504986E-2</v>
      </c>
      <c r="DU44" s="140" t="str">
        <f t="shared" si="65"/>
        <v/>
      </c>
      <c r="DZ44" s="139">
        <f t="shared" si="66"/>
        <v>34</v>
      </c>
      <c r="EA44" s="54">
        <f t="shared" si="67"/>
        <v>35</v>
      </c>
      <c r="EB44" s="139">
        <f t="shared" si="68"/>
        <v>-2.2757524735344363</v>
      </c>
      <c r="EC44" s="139">
        <f t="shared" si="69"/>
        <v>2.9942895529230493E-2</v>
      </c>
      <c r="ED44" s="139" t="e">
        <f t="shared" si="70"/>
        <v>#N/A</v>
      </c>
      <c r="EE44" s="139" t="e">
        <f t="shared" si="71"/>
        <v>#N/A</v>
      </c>
      <c r="EF44" s="139" t="e">
        <f t="shared" si="72"/>
        <v>#N/A</v>
      </c>
      <c r="EG44" s="139" t="b">
        <f t="shared" si="73"/>
        <v>1</v>
      </c>
      <c r="EH44" s="139" t="b">
        <f t="shared" si="74"/>
        <v>0</v>
      </c>
      <c r="EI44" s="139" t="b">
        <f t="shared" si="75"/>
        <v>1</v>
      </c>
      <c r="EJ44" s="139" t="b">
        <f t="shared" si="76"/>
        <v>0</v>
      </c>
      <c r="EK44" s="139">
        <f t="shared" si="77"/>
        <v>2.9942895529230493E-2</v>
      </c>
      <c r="EL44" s="139">
        <f t="shared" si="78"/>
        <v>2.9942895529230493E-2</v>
      </c>
      <c r="EM44" s="139" t="e">
        <f t="shared" si="79"/>
        <v>#N/A</v>
      </c>
      <c r="EN44" s="140" t="str">
        <f t="shared" si="80"/>
        <v/>
      </c>
      <c r="EO4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4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4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44" s="54" t="e" cm="1">
        <f t="array" ref="ER44">IF($CK$3,INDEX(Eu_tabel_a[[#This Row],[Styrke venstre]:[Styrke tosidet]],ER$7),NA())</f>
        <v>#N/A</v>
      </c>
      <c r="ES44" s="54" t="e">
        <f>IF(ER$3,IF(CHOOSE(ER$7,Eu_tabel_a[[#This Row],[x base]]&gt;0,Eu_tabel_a[[#This Row],[x base]]&lt;0,Eu_tabel_a[[#This Row],[x base]]=0),1,NA()),NA())</f>
        <v>#N/A</v>
      </c>
      <c r="ET44" s="54" t="e">
        <f>IF(CHOOSE(ER$7,Eu_tabel_a[[#This Row],[x base]]&gt;0,Eu_tabel_a[[#This Row],[x base]]&lt;0,Eu_tabel_a[[#This Row],[x base]]=0),Eu_tabel_a[[#This Row],[Styrke, aktiv]],NA())</f>
        <v>#N/A</v>
      </c>
      <c r="EU44" s="54" t="e">
        <f>IFERROR(IF($ER$3,Eu_tabel_a[[#This Row],[Styrke, aktiv]],NA()),NA())</f>
        <v>#N/A</v>
      </c>
      <c r="EV44" s="54" t="e">
        <f>IF(ISNA(Eu_tabel_a[[#This Row],[Sand negativ
Nulhypotese afvises
Korrekt]]),NA(),IF(ER$3,1,NA()))</f>
        <v>#N/A</v>
      </c>
      <c r="EW44" s="55" t="str" cm="1">
        <f t="array" ref="EW44">IFERROR(_xlfn.SWITCH(Eu_tabel_a[[#This Row],[Indeks]],_xlfn.IFNA(EU$2,-99),EU$5,_xlfn.IFNA(EU$3,-99),EU$6,_xlfn.IFNA(EU$4,-99),EU$7,""),"")</f>
        <v/>
      </c>
      <c r="EX44" s="54">
        <f>Eu_tabel_a[[#This Row],[x base]]*SQRT(Eu_a_h0_x*(1-Eu_a_h0_x)/Eu_a_n_x)+Eu_a_h0_x</f>
        <v>0</v>
      </c>
      <c r="FC44" s="161" t="e">
        <f t="shared" si="18"/>
        <v>#N/A</v>
      </c>
      <c r="FD44" s="169" t="e">
        <f t="shared" si="121"/>
        <v>#DIV/0!</v>
      </c>
      <c r="FE44" s="7" t="e">
        <f t="shared" si="12"/>
        <v>#DIV/0!</v>
      </c>
      <c r="FF44" t="e">
        <f t="shared" si="122"/>
        <v>#DIV/0!</v>
      </c>
      <c r="FG44" s="8" t="e">
        <f t="shared" si="123"/>
        <v>#DIV/0!</v>
      </c>
      <c r="FH44" s="8" t="e">
        <f t="shared" si="124"/>
        <v>#DIV/0!</v>
      </c>
      <c r="FI44" s="168" t="e">
        <f t="shared" si="125"/>
        <v>#DIV/0!</v>
      </c>
      <c r="FJ44" s="161" t="e">
        <f t="shared" ca="1" si="13"/>
        <v>#N/A</v>
      </c>
      <c r="FK44" s="169" t="e" vm="3">
        <f t="shared" ca="1" si="19"/>
        <v>#VALUE!</v>
      </c>
      <c r="FL44" s="7" t="e" vm="3">
        <f t="shared" ca="1" si="14"/>
        <v>#VALUE!</v>
      </c>
      <c r="FM44" t="e" vm="3">
        <f t="shared" ca="1" si="8"/>
        <v>#VALUE!</v>
      </c>
      <c r="FN44" s="8" t="e" vm="3">
        <f t="shared" ca="1" si="9"/>
        <v>#VALUE!</v>
      </c>
      <c r="FO44" s="8" t="e" vm="3">
        <f t="shared" ca="1" si="10"/>
        <v>#VALUE!</v>
      </c>
      <c r="FP44" s="168" t="e" vm="3">
        <f t="shared" ca="1" si="11"/>
        <v>#VALUE!</v>
      </c>
      <c r="FQ44" s="161" t="e">
        <f t="shared" si="15"/>
        <v>#N/A</v>
      </c>
      <c r="FR44" s="169" t="e">
        <f t="shared" si="20"/>
        <v>#N/A</v>
      </c>
      <c r="FS44" s="7" t="e">
        <f t="shared" si="16"/>
        <v>#N/A</v>
      </c>
      <c r="FT44" t="e">
        <f t="shared" si="21"/>
        <v>#N/A</v>
      </c>
      <c r="FU44" s="8" t="e">
        <f t="shared" si="22"/>
        <v>#N/A</v>
      </c>
      <c r="FV44" s="8" t="e">
        <f t="shared" si="23"/>
        <v>#N/A</v>
      </c>
      <c r="FW44" s="168" t="e">
        <f t="shared" si="24"/>
        <v>#N/A</v>
      </c>
      <c r="FX44" s="161" t="e">
        <f t="shared" si="25"/>
        <v>#N/A</v>
      </c>
      <c r="FY44" s="169" t="e">
        <f t="shared" si="26"/>
        <v>#N/A</v>
      </c>
      <c r="FZ44" s="7" t="e">
        <f t="shared" si="17"/>
        <v>#N/A</v>
      </c>
      <c r="GA44" t="e">
        <f t="shared" si="27"/>
        <v>#N/A</v>
      </c>
      <c r="GB44" s="8" t="e">
        <f t="shared" si="28"/>
        <v>#N/A</v>
      </c>
      <c r="GC44" s="8" t="e">
        <f t="shared" si="29"/>
        <v>#N/A</v>
      </c>
      <c r="GD44" s="168" t="e">
        <f t="shared" si="30"/>
        <v>#N/A</v>
      </c>
      <c r="GE44" s="168"/>
      <c r="GF44" s="168"/>
      <c r="GI44" s="139">
        <f t="shared" si="81"/>
        <v>34</v>
      </c>
      <c r="GJ44" s="54">
        <f t="shared" si="82"/>
        <v>35</v>
      </c>
      <c r="GK44" s="139">
        <f t="shared" si="83"/>
        <v>-2.2757524735344363</v>
      </c>
      <c r="GL44" s="139">
        <f t="shared" si="84"/>
        <v>2.9942895529230493E-2</v>
      </c>
      <c r="GM44" s="139" t="e">
        <f t="shared" si="85"/>
        <v>#N/A</v>
      </c>
      <c r="GN44" s="139" t="e">
        <f t="shared" si="86"/>
        <v>#N/A</v>
      </c>
      <c r="GO44" s="139" t="e">
        <f t="shared" si="87"/>
        <v>#N/A</v>
      </c>
      <c r="GP44" s="139" t="b">
        <f t="shared" si="88"/>
        <v>1</v>
      </c>
      <c r="GQ44" s="139" t="b">
        <f t="shared" si="89"/>
        <v>0</v>
      </c>
      <c r="GR44" s="139" t="b">
        <f t="shared" si="90"/>
        <v>1</v>
      </c>
      <c r="GS44" s="139" t="b">
        <f t="shared" si="91"/>
        <v>0</v>
      </c>
      <c r="GT44" s="139">
        <f t="shared" si="92"/>
        <v>2.9942895529230493E-2</v>
      </c>
      <c r="GU44" s="139">
        <f t="shared" si="93"/>
        <v>2.9942895529230493E-2</v>
      </c>
      <c r="GV44" s="139" t="e">
        <f t="shared" si="94"/>
        <v>#N/A</v>
      </c>
      <c r="GW44" s="140" t="str">
        <f t="shared" si="95"/>
        <v/>
      </c>
      <c r="HC44" s="139">
        <f t="shared" si="96"/>
        <v>34</v>
      </c>
      <c r="HD44" s="54">
        <f t="shared" si="97"/>
        <v>35</v>
      </c>
      <c r="HE44" s="139">
        <f t="shared" si="98"/>
        <v>-3.5240505017104002</v>
      </c>
      <c r="HF44" s="139" t="e">
        <f t="shared" si="99"/>
        <v>#N/A</v>
      </c>
      <c r="HG44" s="139">
        <f t="shared" si="100"/>
        <v>6.5004270274693883E-3</v>
      </c>
      <c r="HH44" s="139" t="e">
        <f t="shared" si="101"/>
        <v>#N/A</v>
      </c>
      <c r="HI44" s="139" t="e">
        <f t="shared" si="102"/>
        <v>#N/A</v>
      </c>
      <c r="HJ44" s="139" t="b">
        <f t="shared" si="103"/>
        <v>1</v>
      </c>
      <c r="HK44" s="139" t="b">
        <f t="shared" si="104"/>
        <v>0</v>
      </c>
      <c r="HL44" s="139" t="b">
        <f t="shared" si="105"/>
        <v>1</v>
      </c>
      <c r="HM44" s="139" t="b">
        <f t="shared" si="106"/>
        <v>0</v>
      </c>
      <c r="HN44" s="139">
        <f t="shared" si="107"/>
        <v>6.5004270274693883E-3</v>
      </c>
      <c r="HO44" s="139">
        <f t="shared" si="108"/>
        <v>6.5004270274693883E-3</v>
      </c>
      <c r="HP44" s="139" t="e">
        <f t="shared" si="109"/>
        <v>#N/A</v>
      </c>
      <c r="HQ44" s="140" t="str">
        <f t="shared" si="110"/>
        <v/>
      </c>
    </row>
    <row r="45" spans="1:225" x14ac:dyDescent="0.2">
      <c r="A45" s="58" t="s">
        <v>461</v>
      </c>
      <c r="B45" s="156">
        <f>_xlfn.STDEV.S(_xlfn.ANCHORARRAY(BE41))</f>
        <v>4.3068660656276769</v>
      </c>
      <c r="E45" s="100" t="s">
        <v>439</v>
      </c>
      <c r="F45" s="145" t="e" cm="1">
        <f t="array" ref="F45">IF(NOT($BE$2),INDEX(E_g_valg[p-værdi],E_g_aktiv),NA())</f>
        <v>#N/A</v>
      </c>
      <c r="H45" s="58" t="s">
        <v>437</v>
      </c>
      <c r="I45" s="108">
        <f>COUNT(_xlfn.ANCHORARRAY(BF41))</f>
        <v>12</v>
      </c>
      <c r="L45" s="100" t="s">
        <v>439</v>
      </c>
      <c r="M45" s="145" t="e" cm="1">
        <f t="array" ref="M45">IF(NOT($BF$2),INDEX(E_s_valg[p-værdi],E_s_aktiv),NA())</f>
        <v>#N/A</v>
      </c>
      <c r="N45" s="147"/>
      <c r="O45" s="58" t="s">
        <v>437</v>
      </c>
      <c r="P45" s="108">
        <f>COUNTA(_xlfn.ANCHORARRAY(BG41))</f>
        <v>12</v>
      </c>
      <c r="S45" s="100" t="s">
        <v>439</v>
      </c>
      <c r="T45" s="145" t="e" cm="1">
        <f t="array" ref="T45">IF(NOT($BG$2),INDEX(E_a_valg[p-værdi],E_a_aktiv),NA())</f>
        <v>#N/A</v>
      </c>
      <c r="V45" s="100" t="s">
        <v>437</v>
      </c>
      <c r="W45" s="108">
        <f>COUNT(_xlfn.ANCHORARRAY(BH41))</f>
        <v>12</v>
      </c>
      <c r="Z45" s="100" t="s">
        <v>439</v>
      </c>
      <c r="AA45" s="145" t="e" cm="1">
        <f t="array" ref="AA45">IF(NOT($BH$2),INDEX(E_i_valg[p-værdi],E_i_aktiv),NA())</f>
        <v>#N/A</v>
      </c>
      <c r="AC45" s="58" t="s">
        <v>474</v>
      </c>
      <c r="AD45" s="108" t="e" cm="1">
        <f t="array" ref="AD45">IF(AE42,INDEX(_xlfn.ANCHORARRAY(LineærRegression!ET49),MATCH(AD42,_xlfn.ANCHORARRAY(LineærRegression!ET11))+1),NA())</f>
        <v>#N/A</v>
      </c>
      <c r="AE45" s="153"/>
      <c r="AG45" s="100" t="s">
        <v>439</v>
      </c>
      <c r="AH45" s="145" cm="1">
        <f t="array" ref="AH45">IF(NOT($BI$2),INDEX(E_k_valg[p-værdi],E_k_aktiv),NA())</f>
        <v>0.93410377293293312</v>
      </c>
      <c r="BE45">
        <v>1.8110756828005981</v>
      </c>
      <c r="BF45">
        <v>4</v>
      </c>
      <c r="BG45" t="b">
        <v>0</v>
      </c>
      <c r="BH45">
        <v>1.8110756828005981</v>
      </c>
      <c r="BI45">
        <v>1.8110756828005981</v>
      </c>
      <c r="BS45" s="139">
        <f t="shared" si="36"/>
        <v>35</v>
      </c>
      <c r="BT45" s="54">
        <f>Eu_tabel_g[[#This Row],[Indeks]]+1</f>
        <v>36</v>
      </c>
      <c r="BU45" s="139">
        <f t="shared" si="37"/>
        <v>-2.2517971843393365</v>
      </c>
      <c r="BV45" s="139">
        <f t="shared" si="38"/>
        <v>3.161151541500333E-2</v>
      </c>
      <c r="BW45" s="139" t="e">
        <f t="shared" si="39"/>
        <v>#N/A</v>
      </c>
      <c r="BX45" s="139" t="e">
        <f t="shared" si="40"/>
        <v>#N/A</v>
      </c>
      <c r="BY45" s="139" t="e">
        <f t="shared" si="41"/>
        <v>#N/A</v>
      </c>
      <c r="BZ45" s="139" t="b">
        <f t="shared" si="42"/>
        <v>1</v>
      </c>
      <c r="CA45" s="139" t="b">
        <f t="shared" si="43"/>
        <v>0</v>
      </c>
      <c r="CB45" s="139" t="b">
        <f t="shared" si="44"/>
        <v>1</v>
      </c>
      <c r="CC45" s="139" t="b">
        <f t="shared" si="45"/>
        <v>0</v>
      </c>
      <c r="CD45" s="139">
        <f t="shared" si="128"/>
        <v>3.161151541500333E-2</v>
      </c>
      <c r="CE45" s="139">
        <f t="shared" si="47"/>
        <v>3.161151541500333E-2</v>
      </c>
      <c r="CF45" s="139" t="e">
        <f t="shared" si="48"/>
        <v>#N/A</v>
      </c>
      <c r="CG45" s="140" t="str">
        <f t="shared" si="49"/>
        <v/>
      </c>
      <c r="CH45" s="54">
        <f>_xlfn.NORM.DIST(_xlfn.NORM.INV(1-Eu_g_konfidensniveau,0,1)-Eu_tabel_g[[#This Row],[x base]],0,1,TRUE)</f>
        <v>0.72805581482902693</v>
      </c>
      <c r="CI45" s="54">
        <f>1-_xlfn.NORM.DIST(_xlfn.NORM.INV(Eu_g_konfidensniveau,0,1)-Eu_tabel_g[[#This Row],[x base]],0,1,TRUE)</f>
        <v>4.8766041650272207E-5</v>
      </c>
      <c r="CJ45" s="54">
        <f>_xlfn.NORM.DIST(_xlfn.NORM.INV((1-Eu_g_konfidensniveau)/2,0,1)-Eu_tabel_g[[#This Row],[x base]],0,1,TRUE)+1-_xlfn.NORM.DIST(_xlfn.NORM.INV(1-(1-Eu_g_konfidensniveau)/2,0,1)-Eu_tabel_g[[#This Row],[x base]],0,1,TRUE)</f>
        <v>0.6148055894464014</v>
      </c>
      <c r="CK45" s="54" t="e" cm="1">
        <f t="array" ref="CK45">IF($CK$3,INDEX(Eu_tabel_g[[#This Row],[Styrke venstre]:[Styrke tosidet]],CK$7),NA())</f>
        <v>#N/A</v>
      </c>
      <c r="CL45" s="99" t="e">
        <f>Eu_tabel_g[[#This Row],[Falsk positiv
Nulhypotese accepteres
Fejltype 1]]</f>
        <v>#N/A</v>
      </c>
      <c r="CM45" s="99" t="e">
        <f>IF(CHOOSE(CK$7,Eu_tabel_g[[#This Row],[x base]]&gt;0,Eu_tabel_g[[#This Row],[x base]]&lt;0,Eu_tabel_g[[#This Row],[x base]]=0),Eu_tabel_g[[#This Row],[Styrke, aktiv]],NA())</f>
        <v>#N/A</v>
      </c>
      <c r="CN45" s="99" t="e">
        <f>IFERROR(IF($CK$3,Eu_tabel_g[[#This Row],[Styrke, aktiv]],NA()),NA())</f>
        <v>#N/A</v>
      </c>
      <c r="CO45" s="99" t="e">
        <f>IF(ISNA(Eu_tabel_g[[#This Row],[Sand negativ
Nulhypotese afvises
Korrekt]]),NA(),IF($CK$3,1,NA()))</f>
        <v>#N/A</v>
      </c>
      <c r="CP45" s="56" t="str" cm="1">
        <f t="array" ref="CP45">_xlfn.SWITCH(BS45,_xlfn.IFNA(CN$2,-99),CN$5,_xlfn.IFNA(CN$3,-99),CN$6,_xlfn.IFNA(CN$4,-99),CN$7,"")</f>
        <v/>
      </c>
      <c r="CT45" s="7">
        <f t="shared" si="50"/>
        <v>0.8</v>
      </c>
      <c r="CU45">
        <f>IF(ROW(Styrkeberegning_G[[#This Row],[X base venstre]])=ROW(Styrkeberegning_G[[#Headers],[X base venstre]])+1,CU$7/(CT$7/$B$67),CU44/(CT44/$B$67))</f>
        <v>-2.8015817870135784</v>
      </c>
      <c r="CV45">
        <f>Styrkeberegning_G[[#This Row],[X base venstre]]*-1</f>
        <v>2.8015817870135784</v>
      </c>
      <c r="DG45" s="139">
        <f t="shared" si="51"/>
        <v>35</v>
      </c>
      <c r="DH45" s="54">
        <f t="shared" si="52"/>
        <v>36</v>
      </c>
      <c r="DI45" s="139">
        <f t="shared" si="53"/>
        <v>5.8263326392487258</v>
      </c>
      <c r="DJ45" s="139" t="e">
        <f t="shared" si="54"/>
        <v>#N/A</v>
      </c>
      <c r="DK45" s="139" t="e">
        <f t="shared" si="55"/>
        <v>#N/A</v>
      </c>
      <c r="DL45" s="139">
        <f t="shared" si="56"/>
        <v>6.3765378426136568E-2</v>
      </c>
      <c r="DM45" s="139" t="e">
        <f t="shared" si="57"/>
        <v>#N/A</v>
      </c>
      <c r="DN45" s="139" t="b">
        <f t="shared" si="58"/>
        <v>0</v>
      </c>
      <c r="DO45" s="139" t="b">
        <f t="shared" si="59"/>
        <v>1</v>
      </c>
      <c r="DP45" s="139" t="b">
        <f t="shared" si="60"/>
        <v>0</v>
      </c>
      <c r="DQ45" s="139" t="b">
        <f t="shared" si="61"/>
        <v>1</v>
      </c>
      <c r="DR45" s="139">
        <f t="shared" si="62"/>
        <v>6.3765378426136568E-2</v>
      </c>
      <c r="DS45" s="139" t="e">
        <f t="shared" si="63"/>
        <v>#N/A</v>
      </c>
      <c r="DT45" s="139">
        <f t="shared" si="64"/>
        <v>6.3765378426136568E-2</v>
      </c>
      <c r="DU45" s="140" t="str">
        <f t="shared" si="65"/>
        <v/>
      </c>
      <c r="DZ45" s="139">
        <f t="shared" si="66"/>
        <v>35</v>
      </c>
      <c r="EA45" s="54">
        <f t="shared" si="67"/>
        <v>36</v>
      </c>
      <c r="EB45" s="139">
        <f t="shared" si="68"/>
        <v>-2.2517971843393365</v>
      </c>
      <c r="EC45" s="139">
        <f t="shared" si="69"/>
        <v>3.161151541500333E-2</v>
      </c>
      <c r="ED45" s="139" t="e">
        <f t="shared" si="70"/>
        <v>#N/A</v>
      </c>
      <c r="EE45" s="139" t="e">
        <f t="shared" si="71"/>
        <v>#N/A</v>
      </c>
      <c r="EF45" s="139" t="e">
        <f t="shared" si="72"/>
        <v>#N/A</v>
      </c>
      <c r="EG45" s="139" t="b">
        <f t="shared" si="73"/>
        <v>1</v>
      </c>
      <c r="EH45" s="139" t="b">
        <f t="shared" si="74"/>
        <v>0</v>
      </c>
      <c r="EI45" s="139" t="b">
        <f t="shared" si="75"/>
        <v>1</v>
      </c>
      <c r="EJ45" s="139" t="b">
        <f t="shared" si="76"/>
        <v>0</v>
      </c>
      <c r="EK45" s="139">
        <f t="shared" si="77"/>
        <v>3.161151541500333E-2</v>
      </c>
      <c r="EL45" s="139">
        <f t="shared" si="78"/>
        <v>3.161151541500333E-2</v>
      </c>
      <c r="EM45" s="139" t="e">
        <f t="shared" si="79"/>
        <v>#N/A</v>
      </c>
      <c r="EN45" s="140" t="str">
        <f t="shared" si="80"/>
        <v/>
      </c>
      <c r="EO4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4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4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45" s="54" t="e" cm="1">
        <f t="array" ref="ER45">IF($CK$3,INDEX(Eu_tabel_a[[#This Row],[Styrke venstre]:[Styrke tosidet]],ER$7),NA())</f>
        <v>#N/A</v>
      </c>
      <c r="ES45" s="54" t="e">
        <f>IF(ER$3,IF(CHOOSE(ER$7,Eu_tabel_a[[#This Row],[x base]]&gt;0,Eu_tabel_a[[#This Row],[x base]]&lt;0,Eu_tabel_a[[#This Row],[x base]]=0),1,NA()),NA())</f>
        <v>#N/A</v>
      </c>
      <c r="ET45" s="54" t="e">
        <f>IF(CHOOSE(ER$7,Eu_tabel_a[[#This Row],[x base]]&gt;0,Eu_tabel_a[[#This Row],[x base]]&lt;0,Eu_tabel_a[[#This Row],[x base]]=0),Eu_tabel_a[[#This Row],[Styrke, aktiv]],NA())</f>
        <v>#N/A</v>
      </c>
      <c r="EU45" s="54" t="e">
        <f>IFERROR(IF($ER$3,Eu_tabel_a[[#This Row],[Styrke, aktiv]],NA()),NA())</f>
        <v>#N/A</v>
      </c>
      <c r="EV45" s="54" t="e">
        <f>IF(ISNA(Eu_tabel_a[[#This Row],[Sand negativ
Nulhypotese afvises
Korrekt]]),NA(),IF(ER$3,1,NA()))</f>
        <v>#N/A</v>
      </c>
      <c r="EW45" s="55" t="str" cm="1">
        <f t="array" ref="EW45">IFERROR(_xlfn.SWITCH(Eu_tabel_a[[#This Row],[Indeks]],_xlfn.IFNA(EU$2,-99),EU$5,_xlfn.IFNA(EU$3,-99),EU$6,_xlfn.IFNA(EU$4,-99),EU$7,""),"")</f>
        <v/>
      </c>
      <c r="EX45" s="54">
        <f>Eu_tabel_a[[#This Row],[x base]]*SQRT(Eu_a_h0_x*(1-Eu_a_h0_x)/Eu_a_n_x)+Eu_a_h0_x</f>
        <v>0</v>
      </c>
      <c r="FC45" s="161" t="e">
        <f t="shared" si="18"/>
        <v>#N/A</v>
      </c>
      <c r="FD45" s="169" t="e">
        <f t="shared" si="121"/>
        <v>#DIV/0!</v>
      </c>
      <c r="FE45" s="7" t="e">
        <f t="shared" si="12"/>
        <v>#DIV/0!</v>
      </c>
      <c r="FF45" t="e">
        <f t="shared" si="122"/>
        <v>#DIV/0!</v>
      </c>
      <c r="FG45" s="8" t="e">
        <f t="shared" si="123"/>
        <v>#DIV/0!</v>
      </c>
      <c r="FH45" s="8" t="e">
        <f t="shared" si="124"/>
        <v>#DIV/0!</v>
      </c>
      <c r="FI45" s="168" t="e">
        <f t="shared" si="125"/>
        <v>#DIV/0!</v>
      </c>
      <c r="FJ45" s="161" t="e">
        <f t="shared" ca="1" si="13"/>
        <v>#N/A</v>
      </c>
      <c r="FK45" s="169" t="e" vm="3">
        <f t="shared" ca="1" si="19"/>
        <v>#VALUE!</v>
      </c>
      <c r="FL45" s="7" t="e" vm="3">
        <f t="shared" ca="1" si="14"/>
        <v>#VALUE!</v>
      </c>
      <c r="FM45" t="e" vm="3">
        <f t="shared" ca="1" si="8"/>
        <v>#VALUE!</v>
      </c>
      <c r="FN45" s="8" t="e" vm="3">
        <f t="shared" ca="1" si="9"/>
        <v>#VALUE!</v>
      </c>
      <c r="FO45" s="8" t="e" vm="3">
        <f t="shared" ca="1" si="10"/>
        <v>#VALUE!</v>
      </c>
      <c r="FP45" s="168" t="e" vm="3">
        <f t="shared" ca="1" si="11"/>
        <v>#VALUE!</v>
      </c>
      <c r="FQ45" s="161" t="e">
        <f t="shared" si="15"/>
        <v>#N/A</v>
      </c>
      <c r="FR45" s="169" t="e">
        <f t="shared" si="20"/>
        <v>#N/A</v>
      </c>
      <c r="FS45" s="7" t="e">
        <f t="shared" si="16"/>
        <v>#N/A</v>
      </c>
      <c r="FT45" t="e">
        <f t="shared" si="21"/>
        <v>#N/A</v>
      </c>
      <c r="FU45" s="8" t="e">
        <f t="shared" si="22"/>
        <v>#N/A</v>
      </c>
      <c r="FV45" s="8" t="e">
        <f t="shared" si="23"/>
        <v>#N/A</v>
      </c>
      <c r="FW45" s="168" t="e">
        <f t="shared" si="24"/>
        <v>#N/A</v>
      </c>
      <c r="FX45" s="161" t="e">
        <f t="shared" si="25"/>
        <v>#N/A</v>
      </c>
      <c r="FY45" s="169" t="e">
        <f t="shared" si="26"/>
        <v>#N/A</v>
      </c>
      <c r="FZ45" s="7" t="e">
        <f t="shared" si="17"/>
        <v>#N/A</v>
      </c>
      <c r="GA45" t="e">
        <f t="shared" si="27"/>
        <v>#N/A</v>
      </c>
      <c r="GB45" s="8" t="e">
        <f t="shared" si="28"/>
        <v>#N/A</v>
      </c>
      <c r="GC45" s="8" t="e">
        <f t="shared" si="29"/>
        <v>#N/A</v>
      </c>
      <c r="GD45" s="168" t="e">
        <f t="shared" si="30"/>
        <v>#N/A</v>
      </c>
      <c r="GE45" s="168"/>
      <c r="GF45" s="168"/>
      <c r="GI45" s="139">
        <f t="shared" si="81"/>
        <v>35</v>
      </c>
      <c r="GJ45" s="54">
        <f t="shared" si="82"/>
        <v>36</v>
      </c>
      <c r="GK45" s="139">
        <f t="shared" si="83"/>
        <v>-2.2517971843393365</v>
      </c>
      <c r="GL45" s="139">
        <f t="shared" si="84"/>
        <v>3.161151541500333E-2</v>
      </c>
      <c r="GM45" s="139" t="e">
        <f t="shared" si="85"/>
        <v>#N/A</v>
      </c>
      <c r="GN45" s="139" t="e">
        <f t="shared" si="86"/>
        <v>#N/A</v>
      </c>
      <c r="GO45" s="139" t="e">
        <f t="shared" si="87"/>
        <v>#N/A</v>
      </c>
      <c r="GP45" s="139" t="b">
        <f t="shared" si="88"/>
        <v>1</v>
      </c>
      <c r="GQ45" s="139" t="b">
        <f t="shared" si="89"/>
        <v>0</v>
      </c>
      <c r="GR45" s="139" t="b">
        <f t="shared" si="90"/>
        <v>1</v>
      </c>
      <c r="GS45" s="139" t="b">
        <f t="shared" si="91"/>
        <v>0</v>
      </c>
      <c r="GT45" s="139">
        <f t="shared" si="92"/>
        <v>3.161151541500333E-2</v>
      </c>
      <c r="GU45" s="139">
        <f t="shared" si="93"/>
        <v>3.161151541500333E-2</v>
      </c>
      <c r="GV45" s="139" t="e">
        <f t="shared" si="94"/>
        <v>#N/A</v>
      </c>
      <c r="GW45" s="140" t="str">
        <f t="shared" si="95"/>
        <v/>
      </c>
      <c r="HC45" s="139">
        <f t="shared" si="96"/>
        <v>35</v>
      </c>
      <c r="HD45" s="54">
        <f t="shared" si="97"/>
        <v>36</v>
      </c>
      <c r="HE45" s="139">
        <f t="shared" si="98"/>
        <v>-3.4869552332713436</v>
      </c>
      <c r="HF45" s="139" t="e">
        <f t="shared" si="99"/>
        <v>#N/A</v>
      </c>
      <c r="HG45" s="139">
        <f t="shared" si="100"/>
        <v>6.8606439370502287E-3</v>
      </c>
      <c r="HH45" s="139" t="e">
        <f t="shared" si="101"/>
        <v>#N/A</v>
      </c>
      <c r="HI45" s="139" t="e">
        <f t="shared" si="102"/>
        <v>#N/A</v>
      </c>
      <c r="HJ45" s="139" t="b">
        <f t="shared" si="103"/>
        <v>1</v>
      </c>
      <c r="HK45" s="139" t="b">
        <f t="shared" si="104"/>
        <v>0</v>
      </c>
      <c r="HL45" s="139" t="b">
        <f t="shared" si="105"/>
        <v>1</v>
      </c>
      <c r="HM45" s="139" t="b">
        <f t="shared" si="106"/>
        <v>0</v>
      </c>
      <c r="HN45" s="139">
        <f t="shared" si="107"/>
        <v>6.8606439370502287E-3</v>
      </c>
      <c r="HO45" s="139">
        <f t="shared" si="108"/>
        <v>6.8606439370502287E-3</v>
      </c>
      <c r="HP45" s="139" t="e">
        <f t="shared" si="109"/>
        <v>#N/A</v>
      </c>
      <c r="HQ45" s="140" t="str">
        <f t="shared" si="110"/>
        <v/>
      </c>
    </row>
    <row r="46" spans="1:225" x14ac:dyDescent="0.2">
      <c r="A46" s="58" t="s">
        <v>446</v>
      </c>
      <c r="B46" s="157"/>
      <c r="E46" s="100" t="s">
        <v>479</v>
      </c>
      <c r="F46" s="145" t="e" cm="1">
        <f t="array" ref="F46">IF(NOT($BE$2),IF(INDEX(E_g_valg[Nulhypotese kan ikke afvises],E_g_aktiv),"Nulhypotese kan ikke afvises","Nulhypotese afvises"),NA())</f>
        <v>#N/A</v>
      </c>
      <c r="L46" s="100" t="s">
        <v>479</v>
      </c>
      <c r="M46" s="145" t="e" cm="1">
        <f t="array" ref="M46">IF(NOT($BF$2),IF(INDEX(E_s_valg[Nulhypotese kan ikke afvises],E_s_aktiv),"Nulhypotese kan ikke afvises","Nulhypotese afvises"),NA())</f>
        <v>#N/A</v>
      </c>
      <c r="N46" s="147"/>
      <c r="S46" s="100" t="s">
        <v>479</v>
      </c>
      <c r="T46" s="145" t="e" cm="1">
        <f t="array" ref="T46">IF(NOT($BG$2),IF(INDEX(E_a_valg[Nulhypotese kan ikke afvises],E_a_aktiv),"Nulhypotese kan ikke afvises","Nulhypotese afvises"),NA())</f>
        <v>#N/A</v>
      </c>
      <c r="Z46" s="100" t="s">
        <v>479</v>
      </c>
      <c r="AA46" s="145" t="e" cm="1">
        <f t="array" ref="AA46">IF(NOT($BH$2),IF(INDEX(E_i_valg[Nulhypotese kan ikke afvises],E_i_aktiv),"Nulhypotese kan ikke afvises","Nulhypotese afvises"),NA())</f>
        <v>#N/A</v>
      </c>
      <c r="AC46" s="58" t="s">
        <v>437</v>
      </c>
      <c r="AD46" s="108" t="e">
        <f>IF(AE42,LineærRegression!AQ14,NA())</f>
        <v>#N/A</v>
      </c>
      <c r="AE46" s="153"/>
      <c r="AG46" s="100" t="s">
        <v>479</v>
      </c>
      <c r="AH46" s="145" t="str" cm="1">
        <f t="array" ref="AH46">IF(NOT($BI$2),IF(INDEX(E_k_valg[Nulhypotese kan ikke afvises],E_k_aktiv),"Nulhypotese kan ikke afvises","Nulhypotese afvises"),NA())</f>
        <v>Nulhypotese kan ikke afvises</v>
      </c>
      <c r="BE46">
        <v>8</v>
      </c>
      <c r="BF46">
        <v>5</v>
      </c>
      <c r="BG46" t="b">
        <v>1</v>
      </c>
      <c r="BH46">
        <v>8</v>
      </c>
      <c r="BI46">
        <v>8</v>
      </c>
      <c r="BS46" s="139">
        <f t="shared" si="36"/>
        <v>36</v>
      </c>
      <c r="BT46" s="54">
        <f>Eu_tabel_g[[#This Row],[Indeks]]+1</f>
        <v>37</v>
      </c>
      <c r="BU46" s="139">
        <f t="shared" si="37"/>
        <v>-2.2278418951442376</v>
      </c>
      <c r="BV46" s="139">
        <f t="shared" si="38"/>
        <v>3.3353976175184367E-2</v>
      </c>
      <c r="BW46" s="139" t="e">
        <f t="shared" si="39"/>
        <v>#N/A</v>
      </c>
      <c r="BX46" s="139" t="e">
        <f t="shared" si="40"/>
        <v>#N/A</v>
      </c>
      <c r="BY46" s="139" t="e">
        <f t="shared" si="41"/>
        <v>#N/A</v>
      </c>
      <c r="BZ46" s="139" t="b">
        <f t="shared" si="42"/>
        <v>1</v>
      </c>
      <c r="CA46" s="139" t="b">
        <f t="shared" si="43"/>
        <v>0</v>
      </c>
      <c r="CB46" s="139" t="b">
        <f t="shared" si="44"/>
        <v>1</v>
      </c>
      <c r="CC46" s="139" t="b">
        <f t="shared" si="45"/>
        <v>0</v>
      </c>
      <c r="CD46" s="139">
        <f t="shared" si="128"/>
        <v>3.3353976175184367E-2</v>
      </c>
      <c r="CE46" s="139">
        <f t="shared" si="47"/>
        <v>3.3353976175184367E-2</v>
      </c>
      <c r="CF46" s="139" t="e">
        <f t="shared" si="48"/>
        <v>#N/A</v>
      </c>
      <c r="CG46" s="140" t="str">
        <f t="shared" si="49"/>
        <v/>
      </c>
      <c r="CH46" s="54">
        <f>_xlfn.NORM.DIST(_xlfn.NORM.INV(1-Eu_g_konfidensniveau,0,1)-Eu_tabel_g[[#This Row],[x base]],0,1,TRUE)</f>
        <v>0.72004940103926862</v>
      </c>
      <c r="CI46" s="54">
        <f>1-_xlfn.NORM.DIST(_xlfn.NORM.INV(Eu_g_konfidensniveau,0,1)-Eu_tabel_g[[#This Row],[x base]],0,1,TRUE)</f>
        <v>5.3819131802024245E-5</v>
      </c>
      <c r="CJ46" s="54">
        <f>_xlfn.NORM.DIST(_xlfn.NORM.INV((1-Eu_g_konfidensniveau)/2,0,1)-Eu_tabel_g[[#This Row],[x base]],0,1,TRUE)+1-_xlfn.NORM.DIST(_xlfn.NORM.INV(1-(1-Eu_g_konfidensniveau)/2,0,1)-Eu_tabel_g[[#This Row],[x base]],0,1,TRUE)</f>
        <v>0.60561743457312678</v>
      </c>
      <c r="CK46" s="54" t="e" cm="1">
        <f t="array" ref="CK46">IF($CK$3,INDEX(Eu_tabel_g[[#This Row],[Styrke venstre]:[Styrke tosidet]],CK$7),NA())</f>
        <v>#N/A</v>
      </c>
      <c r="CL46" s="99" t="e">
        <f>Eu_tabel_g[[#This Row],[Falsk positiv
Nulhypotese accepteres
Fejltype 1]]</f>
        <v>#N/A</v>
      </c>
      <c r="CM46" s="99" t="e">
        <f>IF(CHOOSE(CK$7,Eu_tabel_g[[#This Row],[x base]]&gt;0,Eu_tabel_g[[#This Row],[x base]]&lt;0,Eu_tabel_g[[#This Row],[x base]]=0),Eu_tabel_g[[#This Row],[Styrke, aktiv]],NA())</f>
        <v>#N/A</v>
      </c>
      <c r="CN46" s="99" t="e">
        <f>IFERROR(IF($CK$3,Eu_tabel_g[[#This Row],[Styrke, aktiv]],NA()),NA())</f>
        <v>#N/A</v>
      </c>
      <c r="CO46" s="99" t="e">
        <f>IF(ISNA(Eu_tabel_g[[#This Row],[Sand negativ
Nulhypotese afvises
Korrekt]]),NA(),IF($CK$3,1,NA()))</f>
        <v>#N/A</v>
      </c>
      <c r="CP46" s="56" t="str" cm="1">
        <f t="array" ref="CP46">_xlfn.SWITCH(BS46,_xlfn.IFNA(CN$2,-99),CN$5,_xlfn.IFNA(CN$3,-99),CN$6,_xlfn.IFNA(CN$4,-99),CN$7,"")</f>
        <v/>
      </c>
      <c r="CT46" s="7">
        <f t="shared" si="50"/>
        <v>0.8</v>
      </c>
      <c r="CU46">
        <f>IF(ROW(Styrkeberegning_G[[#This Row],[X base venstre]])=ROW(Styrkeberegning_G[[#Headers],[X base venstre]])+1,CU$7/(CT$7/$B$67),CU45/(CT45/$B$67))</f>
        <v>-2.8015817870135784</v>
      </c>
      <c r="CV46">
        <f>Styrkeberegning_G[[#This Row],[X base venstre]]*-1</f>
        <v>2.8015817870135784</v>
      </c>
      <c r="DG46" s="139">
        <f t="shared" si="51"/>
        <v>36</v>
      </c>
      <c r="DH46" s="54">
        <f t="shared" si="52"/>
        <v>37</v>
      </c>
      <c r="DI46" s="139">
        <f t="shared" si="53"/>
        <v>5.940403495665727</v>
      </c>
      <c r="DJ46" s="139" t="e">
        <f t="shared" si="54"/>
        <v>#N/A</v>
      </c>
      <c r="DK46" s="139" t="e">
        <f t="shared" si="55"/>
        <v>#N/A</v>
      </c>
      <c r="DL46" s="139">
        <f t="shared" si="56"/>
        <v>6.5721547436379868E-2</v>
      </c>
      <c r="DM46" s="139" t="e">
        <f t="shared" si="57"/>
        <v>#N/A</v>
      </c>
      <c r="DN46" s="139" t="b">
        <f t="shared" si="58"/>
        <v>0</v>
      </c>
      <c r="DO46" s="139" t="b">
        <f t="shared" si="59"/>
        <v>1</v>
      </c>
      <c r="DP46" s="139" t="b">
        <f t="shared" si="60"/>
        <v>0</v>
      </c>
      <c r="DQ46" s="139" t="b">
        <f t="shared" si="61"/>
        <v>1</v>
      </c>
      <c r="DR46" s="139">
        <f t="shared" si="62"/>
        <v>6.5721547436379868E-2</v>
      </c>
      <c r="DS46" s="139" t="e">
        <f t="shared" si="63"/>
        <v>#N/A</v>
      </c>
      <c r="DT46" s="139">
        <f t="shared" si="64"/>
        <v>6.5721547436379868E-2</v>
      </c>
      <c r="DU46" s="140" t="str">
        <f t="shared" si="65"/>
        <v/>
      </c>
      <c r="DZ46" s="139">
        <f t="shared" si="66"/>
        <v>36</v>
      </c>
      <c r="EA46" s="54">
        <f t="shared" si="67"/>
        <v>37</v>
      </c>
      <c r="EB46" s="139">
        <f t="shared" si="68"/>
        <v>-2.2278418951442376</v>
      </c>
      <c r="EC46" s="139">
        <f t="shared" si="69"/>
        <v>3.3353976175184367E-2</v>
      </c>
      <c r="ED46" s="139" t="e">
        <f t="shared" si="70"/>
        <v>#N/A</v>
      </c>
      <c r="EE46" s="139" t="e">
        <f t="shared" si="71"/>
        <v>#N/A</v>
      </c>
      <c r="EF46" s="139" t="e">
        <f t="shared" si="72"/>
        <v>#N/A</v>
      </c>
      <c r="EG46" s="139" t="b">
        <f t="shared" si="73"/>
        <v>1</v>
      </c>
      <c r="EH46" s="139" t="b">
        <f t="shared" si="74"/>
        <v>0</v>
      </c>
      <c r="EI46" s="139" t="b">
        <f t="shared" si="75"/>
        <v>1</v>
      </c>
      <c r="EJ46" s="139" t="b">
        <f t="shared" si="76"/>
        <v>0</v>
      </c>
      <c r="EK46" s="139">
        <f t="shared" si="77"/>
        <v>3.3353976175184367E-2</v>
      </c>
      <c r="EL46" s="139">
        <f t="shared" si="78"/>
        <v>3.3353976175184367E-2</v>
      </c>
      <c r="EM46" s="139" t="e">
        <f t="shared" si="79"/>
        <v>#N/A</v>
      </c>
      <c r="EN46" s="140" t="str">
        <f t="shared" si="80"/>
        <v/>
      </c>
      <c r="EO4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4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4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46" s="54" t="e" cm="1">
        <f t="array" ref="ER46">IF($CK$3,INDEX(Eu_tabel_a[[#This Row],[Styrke venstre]:[Styrke tosidet]],ER$7),NA())</f>
        <v>#N/A</v>
      </c>
      <c r="ES46" s="54" t="e">
        <f>IF(ER$3,IF(CHOOSE(ER$7,Eu_tabel_a[[#This Row],[x base]]&gt;0,Eu_tabel_a[[#This Row],[x base]]&lt;0,Eu_tabel_a[[#This Row],[x base]]=0),1,NA()),NA())</f>
        <v>#N/A</v>
      </c>
      <c r="ET46" s="54" t="e">
        <f>IF(CHOOSE(ER$7,Eu_tabel_a[[#This Row],[x base]]&gt;0,Eu_tabel_a[[#This Row],[x base]]&lt;0,Eu_tabel_a[[#This Row],[x base]]=0),Eu_tabel_a[[#This Row],[Styrke, aktiv]],NA())</f>
        <v>#N/A</v>
      </c>
      <c r="EU46" s="54" t="e">
        <f>IFERROR(IF($ER$3,Eu_tabel_a[[#This Row],[Styrke, aktiv]],NA()),NA())</f>
        <v>#N/A</v>
      </c>
      <c r="EV46" s="54" t="e">
        <f>IF(ISNA(Eu_tabel_a[[#This Row],[Sand negativ
Nulhypotese afvises
Korrekt]]),NA(),IF(ER$3,1,NA()))</f>
        <v>#N/A</v>
      </c>
      <c r="EW46" s="55" t="str" cm="1">
        <f t="array" ref="EW46">IFERROR(_xlfn.SWITCH(Eu_tabel_a[[#This Row],[Indeks]],_xlfn.IFNA(EU$2,-99),EU$5,_xlfn.IFNA(EU$3,-99),EU$6,_xlfn.IFNA(EU$4,-99),EU$7,""),"")</f>
        <v/>
      </c>
      <c r="EX46" s="54">
        <f>Eu_tabel_a[[#This Row],[x base]]*SQRT(Eu_a_h0_x*(1-Eu_a_h0_x)/Eu_a_n_x)+Eu_a_h0_x</f>
        <v>0</v>
      </c>
      <c r="FC46" s="161" t="e">
        <f t="shared" si="18"/>
        <v>#N/A</v>
      </c>
      <c r="FD46" s="169" t="e">
        <f t="shared" si="121"/>
        <v>#DIV/0!</v>
      </c>
      <c r="FE46" s="7" t="e">
        <f t="shared" si="12"/>
        <v>#DIV/0!</v>
      </c>
      <c r="FF46" t="e">
        <f t="shared" si="122"/>
        <v>#DIV/0!</v>
      </c>
      <c r="FG46" s="8" t="e">
        <f t="shared" si="123"/>
        <v>#DIV/0!</v>
      </c>
      <c r="FH46" s="8" t="e">
        <f t="shared" si="124"/>
        <v>#DIV/0!</v>
      </c>
      <c r="FI46" s="168" t="e">
        <f t="shared" si="125"/>
        <v>#DIV/0!</v>
      </c>
      <c r="FJ46" s="161" t="e">
        <f t="shared" ca="1" si="13"/>
        <v>#N/A</v>
      </c>
      <c r="FK46" s="169" t="e" vm="3">
        <f t="shared" ca="1" si="19"/>
        <v>#VALUE!</v>
      </c>
      <c r="FL46" s="7" t="e" vm="3">
        <f t="shared" ca="1" si="14"/>
        <v>#VALUE!</v>
      </c>
      <c r="FM46" t="e" vm="3">
        <f t="shared" ca="1" si="8"/>
        <v>#VALUE!</v>
      </c>
      <c r="FN46" s="8" t="e" vm="3">
        <f t="shared" ca="1" si="9"/>
        <v>#VALUE!</v>
      </c>
      <c r="FO46" s="8" t="e" vm="3">
        <f t="shared" ca="1" si="10"/>
        <v>#VALUE!</v>
      </c>
      <c r="FP46" s="168" t="e" vm="3">
        <f t="shared" ca="1" si="11"/>
        <v>#VALUE!</v>
      </c>
      <c r="FQ46" s="161" t="e">
        <f t="shared" si="15"/>
        <v>#N/A</v>
      </c>
      <c r="FR46" s="169" t="e">
        <f t="shared" si="20"/>
        <v>#N/A</v>
      </c>
      <c r="FS46" s="7" t="e">
        <f t="shared" si="16"/>
        <v>#N/A</v>
      </c>
      <c r="FT46" t="e">
        <f t="shared" si="21"/>
        <v>#N/A</v>
      </c>
      <c r="FU46" s="8" t="e">
        <f t="shared" si="22"/>
        <v>#N/A</v>
      </c>
      <c r="FV46" s="8" t="e">
        <f t="shared" si="23"/>
        <v>#N/A</v>
      </c>
      <c r="FW46" s="168" t="e">
        <f t="shared" si="24"/>
        <v>#N/A</v>
      </c>
      <c r="FX46" s="161" t="e">
        <f t="shared" si="25"/>
        <v>#N/A</v>
      </c>
      <c r="FY46" s="169" t="e">
        <f t="shared" si="26"/>
        <v>#N/A</v>
      </c>
      <c r="FZ46" s="7" t="e">
        <f t="shared" si="17"/>
        <v>#N/A</v>
      </c>
      <c r="GA46" t="e">
        <f t="shared" si="27"/>
        <v>#N/A</v>
      </c>
      <c r="GB46" s="8" t="e">
        <f t="shared" si="28"/>
        <v>#N/A</v>
      </c>
      <c r="GC46" s="8" t="e">
        <f t="shared" si="29"/>
        <v>#N/A</v>
      </c>
      <c r="GD46" s="168" t="e">
        <f t="shared" si="30"/>
        <v>#N/A</v>
      </c>
      <c r="GE46" s="168"/>
      <c r="GF46" s="168"/>
      <c r="GI46" s="139">
        <f t="shared" si="81"/>
        <v>36</v>
      </c>
      <c r="GJ46" s="54">
        <f t="shared" si="82"/>
        <v>37</v>
      </c>
      <c r="GK46" s="139">
        <f t="shared" si="83"/>
        <v>-2.2278418951442376</v>
      </c>
      <c r="GL46" s="139">
        <f t="shared" si="84"/>
        <v>3.3353976175184367E-2</v>
      </c>
      <c r="GM46" s="139" t="e">
        <f t="shared" si="85"/>
        <v>#N/A</v>
      </c>
      <c r="GN46" s="139" t="e">
        <f t="shared" si="86"/>
        <v>#N/A</v>
      </c>
      <c r="GO46" s="139" t="e">
        <f t="shared" si="87"/>
        <v>#N/A</v>
      </c>
      <c r="GP46" s="139" t="b">
        <f t="shared" si="88"/>
        <v>1</v>
      </c>
      <c r="GQ46" s="139" t="b">
        <f t="shared" si="89"/>
        <v>0</v>
      </c>
      <c r="GR46" s="139" t="b">
        <f t="shared" si="90"/>
        <v>1</v>
      </c>
      <c r="GS46" s="139" t="b">
        <f t="shared" si="91"/>
        <v>0</v>
      </c>
      <c r="GT46" s="139">
        <f t="shared" si="92"/>
        <v>3.3353976175184367E-2</v>
      </c>
      <c r="GU46" s="139">
        <f t="shared" si="93"/>
        <v>3.3353976175184367E-2</v>
      </c>
      <c r="GV46" s="139" t="e">
        <f t="shared" si="94"/>
        <v>#N/A</v>
      </c>
      <c r="GW46" s="140" t="str">
        <f t="shared" si="95"/>
        <v/>
      </c>
      <c r="HC46" s="139">
        <f t="shared" si="96"/>
        <v>36</v>
      </c>
      <c r="HD46" s="54">
        <f t="shared" si="97"/>
        <v>37</v>
      </c>
      <c r="HE46" s="139">
        <f t="shared" si="98"/>
        <v>-3.4498599648322865</v>
      </c>
      <c r="HF46" s="139" t="e">
        <f t="shared" si="99"/>
        <v>#N/A</v>
      </c>
      <c r="HG46" s="139">
        <f t="shared" si="100"/>
        <v>7.2419422765507783E-3</v>
      </c>
      <c r="HH46" s="139" t="e">
        <f t="shared" si="101"/>
        <v>#N/A</v>
      </c>
      <c r="HI46" s="139" t="e">
        <f t="shared" si="102"/>
        <v>#N/A</v>
      </c>
      <c r="HJ46" s="139" t="b">
        <f t="shared" si="103"/>
        <v>1</v>
      </c>
      <c r="HK46" s="139" t="b">
        <f t="shared" si="104"/>
        <v>0</v>
      </c>
      <c r="HL46" s="139" t="b">
        <f t="shared" si="105"/>
        <v>1</v>
      </c>
      <c r="HM46" s="139" t="b">
        <f t="shared" si="106"/>
        <v>0</v>
      </c>
      <c r="HN46" s="139">
        <f t="shared" si="107"/>
        <v>7.2419422765507783E-3</v>
      </c>
      <c r="HO46" s="139">
        <f t="shared" si="108"/>
        <v>7.2419422765507783E-3</v>
      </c>
      <c r="HP46" s="139" t="e">
        <f t="shared" si="109"/>
        <v>#N/A</v>
      </c>
      <c r="HQ46" s="140" t="str">
        <f t="shared" si="110"/>
        <v/>
      </c>
    </row>
    <row r="47" spans="1:225" x14ac:dyDescent="0.2">
      <c r="A47" s="58" t="s">
        <v>437</v>
      </c>
      <c r="B47" s="108">
        <f>COUNT(_xlfn.ANCHORARRAY(BE41))</f>
        <v>12</v>
      </c>
      <c r="AC47" s="58" t="s">
        <v>471</v>
      </c>
      <c r="AD47" s="108" t="e">
        <f>IF(AE42,LineærRegression!AQ16,NA())</f>
        <v>#N/A</v>
      </c>
      <c r="AE47" s="154"/>
      <c r="BE47">
        <v>-0.30723615599325882</v>
      </c>
      <c r="BF47">
        <v>2.0228895016109072</v>
      </c>
      <c r="BG47" t="b">
        <v>0</v>
      </c>
      <c r="BH47">
        <v>-0.30723615599325882</v>
      </c>
      <c r="BI47">
        <v>-0.30723615599325882</v>
      </c>
      <c r="BS47" s="139">
        <f t="shared" si="36"/>
        <v>37</v>
      </c>
      <c r="BT47" s="54">
        <f>Eu_tabel_g[[#This Row],[Indeks]]+1</f>
        <v>38</v>
      </c>
      <c r="BU47" s="139">
        <f t="shared" si="37"/>
        <v>-2.2038866059491382</v>
      </c>
      <c r="BV47" s="139">
        <f t="shared" si="38"/>
        <v>3.5172293628326232E-2</v>
      </c>
      <c r="BW47" s="139" t="e">
        <f t="shared" si="39"/>
        <v>#N/A</v>
      </c>
      <c r="BX47" s="139" t="e">
        <f t="shared" si="40"/>
        <v>#N/A</v>
      </c>
      <c r="BY47" s="139" t="e">
        <f t="shared" si="41"/>
        <v>#N/A</v>
      </c>
      <c r="BZ47" s="139" t="b">
        <f t="shared" si="42"/>
        <v>1</v>
      </c>
      <c r="CA47" s="139" t="b">
        <f t="shared" si="43"/>
        <v>0</v>
      </c>
      <c r="CB47" s="139" t="b">
        <f t="shared" si="44"/>
        <v>1</v>
      </c>
      <c r="CC47" s="139" t="b">
        <f t="shared" si="45"/>
        <v>0</v>
      </c>
      <c r="CD47" s="139">
        <f t="shared" si="128"/>
        <v>3.5172293628326232E-2</v>
      </c>
      <c r="CE47" s="139">
        <f t="shared" si="47"/>
        <v>3.5172293628326232E-2</v>
      </c>
      <c r="CF47" s="139" t="e">
        <f t="shared" si="48"/>
        <v>#N/A</v>
      </c>
      <c r="CG47" s="140" t="str">
        <f t="shared" si="49"/>
        <v/>
      </c>
      <c r="CH47" s="54">
        <f>_xlfn.NORM.DIST(_xlfn.NORM.INV(1-Eu_g_konfidensniveau,0,1)-Eu_tabel_g[[#This Row],[x base]],0,1,TRUE)</f>
        <v>0.71193039344774511</v>
      </c>
      <c r="CI47" s="54">
        <f>1-_xlfn.NORM.DIST(_xlfn.NORM.INV(Eu_g_konfidensniveau,0,1)-Eu_tabel_g[[#This Row],[x base]],0,1,TRUE)</f>
        <v>5.9363413504986973E-5</v>
      </c>
      <c r="CJ47" s="54">
        <f>_xlfn.NORM.DIST(_xlfn.NORM.INV((1-Eu_g_konfidensniveau)/2,0,1)-Eu_tabel_g[[#This Row],[x base]],0,1,TRUE)+1-_xlfn.NORM.DIST(_xlfn.NORM.INV(1-(1-Eu_g_konfidensniveau)/2,0,1)-Eu_tabel_g[[#This Row],[x base]],0,1,TRUE)</f>
        <v>0.59637027179631996</v>
      </c>
      <c r="CK47" s="54" t="e" cm="1">
        <f t="array" ref="CK47">IF($CK$3,INDEX(Eu_tabel_g[[#This Row],[Styrke venstre]:[Styrke tosidet]],CK$7),NA())</f>
        <v>#N/A</v>
      </c>
      <c r="CL47" s="99" t="e">
        <f>Eu_tabel_g[[#This Row],[Falsk positiv
Nulhypotese accepteres
Fejltype 1]]</f>
        <v>#N/A</v>
      </c>
      <c r="CM47" s="99" t="e">
        <f>IF(CHOOSE(CK$7,Eu_tabel_g[[#This Row],[x base]]&gt;0,Eu_tabel_g[[#This Row],[x base]]&lt;0,Eu_tabel_g[[#This Row],[x base]]=0),Eu_tabel_g[[#This Row],[Styrke, aktiv]],NA())</f>
        <v>#N/A</v>
      </c>
      <c r="CN47" s="99" t="e">
        <f>IFERROR(IF($CK$3,Eu_tabel_g[[#This Row],[Styrke, aktiv]],NA()),NA())</f>
        <v>#N/A</v>
      </c>
      <c r="CO47" s="99" t="e">
        <f>IF(ISNA(Eu_tabel_g[[#This Row],[Sand negativ
Nulhypotese afvises
Korrekt]]),NA(),IF($CK$3,1,NA()))</f>
        <v>#N/A</v>
      </c>
      <c r="CP47" s="56" t="str" cm="1">
        <f t="array" ref="CP47">_xlfn.SWITCH(BS47,_xlfn.IFNA(CN$2,-99),CN$5,_xlfn.IFNA(CN$3,-99),CN$6,_xlfn.IFNA(CN$4,-99),CN$7,"")</f>
        <v/>
      </c>
      <c r="CT47" s="7">
        <f t="shared" si="50"/>
        <v>0.8</v>
      </c>
      <c r="CU47">
        <f>IF(ROW(Styrkeberegning_G[[#This Row],[X base venstre]])=ROW(Styrkeberegning_G[[#Headers],[X base venstre]])+1,CU$7/(CT$7/$B$67),CU46/(CT46/$B$67))</f>
        <v>-2.8015817870135784</v>
      </c>
      <c r="CV47">
        <f>Styrkeberegning_G[[#This Row],[X base venstre]]*-1</f>
        <v>2.8015817870135784</v>
      </c>
      <c r="DG47" s="139">
        <f t="shared" si="51"/>
        <v>37</v>
      </c>
      <c r="DH47" s="54">
        <f t="shared" si="52"/>
        <v>38</v>
      </c>
      <c r="DI47" s="139">
        <f t="shared" si="53"/>
        <v>6.0544743520827273</v>
      </c>
      <c r="DJ47" s="139" t="e">
        <f t="shared" si="54"/>
        <v>#N/A</v>
      </c>
      <c r="DK47" s="139" t="e">
        <f t="shared" si="55"/>
        <v>#N/A</v>
      </c>
      <c r="DL47" s="139">
        <f t="shared" si="56"/>
        <v>6.7625400997576274E-2</v>
      </c>
      <c r="DM47" s="139" t="e">
        <f t="shared" si="57"/>
        <v>#N/A</v>
      </c>
      <c r="DN47" s="139" t="b">
        <f t="shared" si="58"/>
        <v>0</v>
      </c>
      <c r="DO47" s="139" t="b">
        <f t="shared" si="59"/>
        <v>1</v>
      </c>
      <c r="DP47" s="139" t="b">
        <f t="shared" si="60"/>
        <v>0</v>
      </c>
      <c r="DQ47" s="139" t="b">
        <f t="shared" si="61"/>
        <v>1</v>
      </c>
      <c r="DR47" s="139">
        <f t="shared" si="62"/>
        <v>6.7625400997576274E-2</v>
      </c>
      <c r="DS47" s="139" t="e">
        <f t="shared" si="63"/>
        <v>#N/A</v>
      </c>
      <c r="DT47" s="139">
        <f t="shared" si="64"/>
        <v>6.7625400997576274E-2</v>
      </c>
      <c r="DU47" s="140" t="str">
        <f t="shared" si="65"/>
        <v/>
      </c>
      <c r="DZ47" s="139">
        <f t="shared" si="66"/>
        <v>37</v>
      </c>
      <c r="EA47" s="54">
        <f t="shared" si="67"/>
        <v>38</v>
      </c>
      <c r="EB47" s="139">
        <f t="shared" si="68"/>
        <v>-2.2038866059491382</v>
      </c>
      <c r="EC47" s="139">
        <f t="shared" si="69"/>
        <v>3.5172293628326232E-2</v>
      </c>
      <c r="ED47" s="139" t="e">
        <f t="shared" si="70"/>
        <v>#N/A</v>
      </c>
      <c r="EE47" s="139" t="e">
        <f t="shared" si="71"/>
        <v>#N/A</v>
      </c>
      <c r="EF47" s="139" t="e">
        <f t="shared" si="72"/>
        <v>#N/A</v>
      </c>
      <c r="EG47" s="139" t="b">
        <f t="shared" si="73"/>
        <v>1</v>
      </c>
      <c r="EH47" s="139" t="b">
        <f t="shared" si="74"/>
        <v>0</v>
      </c>
      <c r="EI47" s="139" t="b">
        <f t="shared" si="75"/>
        <v>1</v>
      </c>
      <c r="EJ47" s="139" t="b">
        <f t="shared" si="76"/>
        <v>0</v>
      </c>
      <c r="EK47" s="139">
        <f t="shared" si="77"/>
        <v>3.5172293628326232E-2</v>
      </c>
      <c r="EL47" s="139">
        <f t="shared" si="78"/>
        <v>3.5172293628326232E-2</v>
      </c>
      <c r="EM47" s="139" t="e">
        <f t="shared" si="79"/>
        <v>#N/A</v>
      </c>
      <c r="EN47" s="140" t="str">
        <f t="shared" si="80"/>
        <v/>
      </c>
      <c r="EO4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4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4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47" s="54" t="e" cm="1">
        <f t="array" ref="ER47">IF($CK$3,INDEX(Eu_tabel_a[[#This Row],[Styrke venstre]:[Styrke tosidet]],ER$7),NA())</f>
        <v>#N/A</v>
      </c>
      <c r="ES47" s="54" t="e">
        <f>IF(ER$3,IF(CHOOSE(ER$7,Eu_tabel_a[[#This Row],[x base]]&gt;0,Eu_tabel_a[[#This Row],[x base]]&lt;0,Eu_tabel_a[[#This Row],[x base]]=0),1,NA()),NA())</f>
        <v>#N/A</v>
      </c>
      <c r="ET47" s="54" t="e">
        <f>IF(CHOOSE(ER$7,Eu_tabel_a[[#This Row],[x base]]&gt;0,Eu_tabel_a[[#This Row],[x base]]&lt;0,Eu_tabel_a[[#This Row],[x base]]=0),Eu_tabel_a[[#This Row],[Styrke, aktiv]],NA())</f>
        <v>#N/A</v>
      </c>
      <c r="EU47" s="54" t="e">
        <f>IFERROR(IF($ER$3,Eu_tabel_a[[#This Row],[Styrke, aktiv]],NA()),NA())</f>
        <v>#N/A</v>
      </c>
      <c r="EV47" s="54" t="e">
        <f>IF(ISNA(Eu_tabel_a[[#This Row],[Sand negativ
Nulhypotese afvises
Korrekt]]),NA(),IF(ER$3,1,NA()))</f>
        <v>#N/A</v>
      </c>
      <c r="EW47" s="55" t="str" cm="1">
        <f t="array" ref="EW47">IFERROR(_xlfn.SWITCH(Eu_tabel_a[[#This Row],[Indeks]],_xlfn.IFNA(EU$2,-99),EU$5,_xlfn.IFNA(EU$3,-99),EU$6,_xlfn.IFNA(EU$4,-99),EU$7,""),"")</f>
        <v/>
      </c>
      <c r="EX47" s="54">
        <f>Eu_tabel_a[[#This Row],[x base]]*SQRT(Eu_a_h0_x*(1-Eu_a_h0_x)/Eu_a_n_x)+Eu_a_h0_x</f>
        <v>0</v>
      </c>
      <c r="FC47" s="161" t="e">
        <f t="shared" si="18"/>
        <v>#N/A</v>
      </c>
      <c r="FD47" s="169" t="e">
        <f t="shared" si="121"/>
        <v>#DIV/0!</v>
      </c>
      <c r="FE47" s="7" t="e">
        <f t="shared" si="12"/>
        <v>#DIV/0!</v>
      </c>
      <c r="FF47" t="e">
        <f t="shared" si="122"/>
        <v>#DIV/0!</v>
      </c>
      <c r="FG47" s="8" t="e">
        <f t="shared" si="123"/>
        <v>#DIV/0!</v>
      </c>
      <c r="FH47" s="8" t="e">
        <f t="shared" si="124"/>
        <v>#DIV/0!</v>
      </c>
      <c r="FI47" s="168" t="e">
        <f t="shared" si="125"/>
        <v>#DIV/0!</v>
      </c>
      <c r="FJ47" s="161" t="e">
        <f t="shared" ca="1" si="13"/>
        <v>#N/A</v>
      </c>
      <c r="FK47" s="169" t="e" vm="3">
        <f t="shared" ca="1" si="19"/>
        <v>#VALUE!</v>
      </c>
      <c r="FL47" s="7" t="e" vm="3">
        <f t="shared" ca="1" si="14"/>
        <v>#VALUE!</v>
      </c>
      <c r="FM47" t="e" vm="3">
        <f t="shared" ca="1" si="8"/>
        <v>#VALUE!</v>
      </c>
      <c r="FN47" s="8" t="e" vm="3">
        <f t="shared" ca="1" si="9"/>
        <v>#VALUE!</v>
      </c>
      <c r="FO47" s="8" t="e" vm="3">
        <f t="shared" ca="1" si="10"/>
        <v>#VALUE!</v>
      </c>
      <c r="FP47" s="168" t="e" vm="3">
        <f t="shared" ca="1" si="11"/>
        <v>#VALUE!</v>
      </c>
      <c r="FQ47" s="161" t="e">
        <f t="shared" si="15"/>
        <v>#N/A</v>
      </c>
      <c r="FR47" s="169" t="e">
        <f t="shared" si="20"/>
        <v>#N/A</v>
      </c>
      <c r="FS47" s="7" t="e">
        <f t="shared" si="16"/>
        <v>#N/A</v>
      </c>
      <c r="FT47" t="e">
        <f t="shared" si="21"/>
        <v>#N/A</v>
      </c>
      <c r="FU47" s="8" t="e">
        <f t="shared" si="22"/>
        <v>#N/A</v>
      </c>
      <c r="FV47" s="8" t="e">
        <f t="shared" si="23"/>
        <v>#N/A</v>
      </c>
      <c r="FW47" s="168" t="e">
        <f t="shared" si="24"/>
        <v>#N/A</v>
      </c>
      <c r="FX47" s="161" t="e">
        <f t="shared" si="25"/>
        <v>#N/A</v>
      </c>
      <c r="FY47" s="169" t="e">
        <f t="shared" si="26"/>
        <v>#N/A</v>
      </c>
      <c r="FZ47" s="7" t="e">
        <f t="shared" si="17"/>
        <v>#N/A</v>
      </c>
      <c r="GA47" t="e">
        <f t="shared" si="27"/>
        <v>#N/A</v>
      </c>
      <c r="GB47" s="8" t="e">
        <f t="shared" si="28"/>
        <v>#N/A</v>
      </c>
      <c r="GC47" s="8" t="e">
        <f t="shared" si="29"/>
        <v>#N/A</v>
      </c>
      <c r="GD47" s="168" t="e">
        <f t="shared" si="30"/>
        <v>#N/A</v>
      </c>
      <c r="GE47" s="168"/>
      <c r="GF47" s="168"/>
      <c r="GI47" s="139">
        <f t="shared" si="81"/>
        <v>37</v>
      </c>
      <c r="GJ47" s="54">
        <f t="shared" si="82"/>
        <v>38</v>
      </c>
      <c r="GK47" s="139">
        <f t="shared" si="83"/>
        <v>-2.2038866059491382</v>
      </c>
      <c r="GL47" s="139">
        <f t="shared" si="84"/>
        <v>3.5172293628326232E-2</v>
      </c>
      <c r="GM47" s="139" t="e">
        <f t="shared" si="85"/>
        <v>#N/A</v>
      </c>
      <c r="GN47" s="139" t="e">
        <f t="shared" si="86"/>
        <v>#N/A</v>
      </c>
      <c r="GO47" s="139" t="e">
        <f t="shared" si="87"/>
        <v>#N/A</v>
      </c>
      <c r="GP47" s="139" t="b">
        <f t="shared" si="88"/>
        <v>1</v>
      </c>
      <c r="GQ47" s="139" t="b">
        <f t="shared" si="89"/>
        <v>0</v>
      </c>
      <c r="GR47" s="139" t="b">
        <f t="shared" si="90"/>
        <v>1</v>
      </c>
      <c r="GS47" s="139" t="b">
        <f t="shared" si="91"/>
        <v>0</v>
      </c>
      <c r="GT47" s="139">
        <f t="shared" si="92"/>
        <v>3.5172293628326232E-2</v>
      </c>
      <c r="GU47" s="139">
        <f t="shared" si="93"/>
        <v>3.5172293628326232E-2</v>
      </c>
      <c r="GV47" s="139" t="e">
        <f t="shared" si="94"/>
        <v>#N/A</v>
      </c>
      <c r="GW47" s="140" t="str">
        <f t="shared" si="95"/>
        <v/>
      </c>
      <c r="HC47" s="139">
        <f t="shared" si="96"/>
        <v>37</v>
      </c>
      <c r="HD47" s="54">
        <f t="shared" si="97"/>
        <v>38</v>
      </c>
      <c r="HE47" s="139">
        <f t="shared" si="98"/>
        <v>-3.4127646963932294</v>
      </c>
      <c r="HF47" s="139" t="e">
        <f t="shared" si="99"/>
        <v>#N/A</v>
      </c>
      <c r="HG47" s="139">
        <f t="shared" si="100"/>
        <v>7.6455867646367508E-3</v>
      </c>
      <c r="HH47" s="139" t="e">
        <f t="shared" si="101"/>
        <v>#N/A</v>
      </c>
      <c r="HI47" s="139" t="e">
        <f t="shared" si="102"/>
        <v>#N/A</v>
      </c>
      <c r="HJ47" s="139" t="b">
        <f t="shared" si="103"/>
        <v>1</v>
      </c>
      <c r="HK47" s="139" t="b">
        <f t="shared" si="104"/>
        <v>0</v>
      </c>
      <c r="HL47" s="139" t="b">
        <f t="shared" si="105"/>
        <v>1</v>
      </c>
      <c r="HM47" s="139" t="b">
        <f t="shared" si="106"/>
        <v>0</v>
      </c>
      <c r="HN47" s="139">
        <f t="shared" si="107"/>
        <v>7.6455867646367508E-3</v>
      </c>
      <c r="HO47" s="139">
        <f t="shared" si="108"/>
        <v>7.6455867646367508E-3</v>
      </c>
      <c r="HP47" s="139" t="e">
        <f t="shared" si="109"/>
        <v>#N/A</v>
      </c>
      <c r="HQ47" s="140" t="str">
        <f t="shared" si="110"/>
        <v/>
      </c>
    </row>
    <row r="48" spans="1:225" x14ac:dyDescent="0.2">
      <c r="BE48">
        <v>13</v>
      </c>
      <c r="BF48">
        <v>9</v>
      </c>
      <c r="BG48" t="b">
        <v>1</v>
      </c>
      <c r="BH48">
        <v>13</v>
      </c>
      <c r="BI48">
        <v>13</v>
      </c>
      <c r="BS48" s="139">
        <f t="shared" si="36"/>
        <v>38</v>
      </c>
      <c r="BT48" s="54">
        <f>Eu_tabel_g[[#This Row],[Indeks]]+1</f>
        <v>39</v>
      </c>
      <c r="BU48" s="139">
        <f t="shared" si="37"/>
        <v>-2.1799313167540388</v>
      </c>
      <c r="BV48" s="139">
        <f t="shared" si="38"/>
        <v>3.706845998598688E-2</v>
      </c>
      <c r="BW48" s="139" t="e">
        <f t="shared" si="39"/>
        <v>#N/A</v>
      </c>
      <c r="BX48" s="139" t="e">
        <f t="shared" si="40"/>
        <v>#N/A</v>
      </c>
      <c r="BY48" s="139" t="e">
        <f t="shared" si="41"/>
        <v>#N/A</v>
      </c>
      <c r="BZ48" s="139" t="b">
        <f t="shared" si="42"/>
        <v>1</v>
      </c>
      <c r="CA48" s="139" t="b">
        <f t="shared" si="43"/>
        <v>0</v>
      </c>
      <c r="CB48" s="139" t="b">
        <f t="shared" si="44"/>
        <v>1</v>
      </c>
      <c r="CC48" s="139" t="b">
        <f t="shared" si="45"/>
        <v>0</v>
      </c>
      <c r="CD48" s="139">
        <f t="shared" si="128"/>
        <v>3.706845998598688E-2</v>
      </c>
      <c r="CE48" s="139">
        <f t="shared" si="47"/>
        <v>3.706845998598688E-2</v>
      </c>
      <c r="CF48" s="139" t="e">
        <f t="shared" si="48"/>
        <v>#N/A</v>
      </c>
      <c r="CG48" s="140" t="str">
        <f t="shared" si="49"/>
        <v/>
      </c>
      <c r="CH48" s="54">
        <f>_xlfn.NORM.DIST(_xlfn.NORM.INV(1-Eu_g_konfidensniveau,0,1)-Eu_tabel_g[[#This Row],[x base]],0,1,TRUE)</f>
        <v>0.70370193173370943</v>
      </c>
      <c r="CI48" s="54">
        <f>1-_xlfn.NORM.DIST(_xlfn.NORM.INV(Eu_g_konfidensniveau,0,1)-Eu_tabel_g[[#This Row],[x base]],0,1,TRUE)</f>
        <v>6.5443143886456667E-5</v>
      </c>
      <c r="CJ48" s="54">
        <f>_xlfn.NORM.DIST(_xlfn.NORM.INV((1-Eu_g_konfidensniveau)/2,0,1)-Eu_tabel_g[[#This Row],[x base]],0,1,TRUE)+1-_xlfn.NORM.DIST(_xlfn.NORM.INV(1-(1-Eu_g_konfidensniveau)/2,0,1)-Eu_tabel_g[[#This Row],[x base]],0,1,TRUE)</f>
        <v>0.58706907486227267</v>
      </c>
      <c r="CK48" s="54" t="e" cm="1">
        <f t="array" ref="CK48">IF($CK$3,INDEX(Eu_tabel_g[[#This Row],[Styrke venstre]:[Styrke tosidet]],CK$7),NA())</f>
        <v>#N/A</v>
      </c>
      <c r="CL48" s="99" t="e">
        <f>Eu_tabel_g[[#This Row],[Falsk positiv
Nulhypotese accepteres
Fejltype 1]]</f>
        <v>#N/A</v>
      </c>
      <c r="CM48" s="99" t="e">
        <f>IF(CHOOSE(CK$7,Eu_tabel_g[[#This Row],[x base]]&gt;0,Eu_tabel_g[[#This Row],[x base]]&lt;0,Eu_tabel_g[[#This Row],[x base]]=0),Eu_tabel_g[[#This Row],[Styrke, aktiv]],NA())</f>
        <v>#N/A</v>
      </c>
      <c r="CN48" s="99" t="e">
        <f>IFERROR(IF($CK$3,Eu_tabel_g[[#This Row],[Styrke, aktiv]],NA()),NA())</f>
        <v>#N/A</v>
      </c>
      <c r="CO48" s="99" t="e">
        <f>IF(ISNA(Eu_tabel_g[[#This Row],[Sand negativ
Nulhypotese afvises
Korrekt]]),NA(),IF($CK$3,1,NA()))</f>
        <v>#N/A</v>
      </c>
      <c r="CP48" s="56" t="str" cm="1">
        <f t="array" ref="CP48">_xlfn.SWITCH(BS48,_xlfn.IFNA(CN$2,-99),CN$5,_xlfn.IFNA(CN$3,-99),CN$6,_xlfn.IFNA(CN$4,-99),CN$7,"")</f>
        <v/>
      </c>
      <c r="CT48" s="7">
        <f t="shared" si="50"/>
        <v>0.8</v>
      </c>
      <c r="CU48">
        <f>IF(ROW(Styrkeberegning_G[[#This Row],[X base venstre]])=ROW(Styrkeberegning_G[[#Headers],[X base venstre]])+1,CU$7/(CT$7/$B$67),CU47/(CT47/$B$67))</f>
        <v>-2.8015817870135784</v>
      </c>
      <c r="CV48">
        <f>Styrkeberegning_G[[#This Row],[X base venstre]]*-1</f>
        <v>2.8015817870135784</v>
      </c>
      <c r="DG48" s="139">
        <f t="shared" si="51"/>
        <v>38</v>
      </c>
      <c r="DH48" s="54">
        <f t="shared" si="52"/>
        <v>39</v>
      </c>
      <c r="DI48" s="139">
        <f t="shared" si="53"/>
        <v>6.1685452084997285</v>
      </c>
      <c r="DJ48" s="139" t="e">
        <f t="shared" si="54"/>
        <v>#N/A</v>
      </c>
      <c r="DK48" s="139" t="e">
        <f t="shared" si="55"/>
        <v>#N/A</v>
      </c>
      <c r="DL48" s="139">
        <f t="shared" si="56"/>
        <v>6.9473322396871304E-2</v>
      </c>
      <c r="DM48" s="139" t="e">
        <f t="shared" si="57"/>
        <v>#N/A</v>
      </c>
      <c r="DN48" s="139" t="b">
        <f t="shared" si="58"/>
        <v>0</v>
      </c>
      <c r="DO48" s="139" t="b">
        <f t="shared" si="59"/>
        <v>1</v>
      </c>
      <c r="DP48" s="139" t="b">
        <f t="shared" si="60"/>
        <v>0</v>
      </c>
      <c r="DQ48" s="139" t="b">
        <f t="shared" si="61"/>
        <v>1</v>
      </c>
      <c r="DR48" s="139">
        <f t="shared" si="62"/>
        <v>6.9473322396871304E-2</v>
      </c>
      <c r="DS48" s="139" t="e">
        <f t="shared" si="63"/>
        <v>#N/A</v>
      </c>
      <c r="DT48" s="139">
        <f t="shared" si="64"/>
        <v>6.9473322396871304E-2</v>
      </c>
      <c r="DU48" s="140" t="str">
        <f t="shared" si="65"/>
        <v/>
      </c>
      <c r="DZ48" s="139">
        <f t="shared" si="66"/>
        <v>38</v>
      </c>
      <c r="EA48" s="54">
        <f t="shared" si="67"/>
        <v>39</v>
      </c>
      <c r="EB48" s="139">
        <f t="shared" si="68"/>
        <v>-2.1799313167540388</v>
      </c>
      <c r="EC48" s="139">
        <f t="shared" si="69"/>
        <v>3.706845998598688E-2</v>
      </c>
      <c r="ED48" s="139" t="e">
        <f t="shared" si="70"/>
        <v>#N/A</v>
      </c>
      <c r="EE48" s="139" t="e">
        <f t="shared" si="71"/>
        <v>#N/A</v>
      </c>
      <c r="EF48" s="139" t="e">
        <f t="shared" si="72"/>
        <v>#N/A</v>
      </c>
      <c r="EG48" s="139" t="b">
        <f t="shared" si="73"/>
        <v>1</v>
      </c>
      <c r="EH48" s="139" t="b">
        <f t="shared" si="74"/>
        <v>0</v>
      </c>
      <c r="EI48" s="139" t="b">
        <f t="shared" si="75"/>
        <v>1</v>
      </c>
      <c r="EJ48" s="139" t="b">
        <f t="shared" si="76"/>
        <v>0</v>
      </c>
      <c r="EK48" s="139">
        <f t="shared" si="77"/>
        <v>3.706845998598688E-2</v>
      </c>
      <c r="EL48" s="139">
        <f t="shared" si="78"/>
        <v>3.706845998598688E-2</v>
      </c>
      <c r="EM48" s="139" t="e">
        <f t="shared" si="79"/>
        <v>#N/A</v>
      </c>
      <c r="EN48" s="140" t="str">
        <f t="shared" si="80"/>
        <v/>
      </c>
      <c r="EO4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4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4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48" s="54" t="e" cm="1">
        <f t="array" ref="ER48">IF($CK$3,INDEX(Eu_tabel_a[[#This Row],[Styrke venstre]:[Styrke tosidet]],ER$7),NA())</f>
        <v>#N/A</v>
      </c>
      <c r="ES48" s="54" t="e">
        <f>IF(ER$3,IF(CHOOSE(ER$7,Eu_tabel_a[[#This Row],[x base]]&gt;0,Eu_tabel_a[[#This Row],[x base]]&lt;0,Eu_tabel_a[[#This Row],[x base]]=0),1,NA()),NA())</f>
        <v>#N/A</v>
      </c>
      <c r="ET48" s="54" t="e">
        <f>IF(CHOOSE(ER$7,Eu_tabel_a[[#This Row],[x base]]&gt;0,Eu_tabel_a[[#This Row],[x base]]&lt;0,Eu_tabel_a[[#This Row],[x base]]=0),Eu_tabel_a[[#This Row],[Styrke, aktiv]],NA())</f>
        <v>#N/A</v>
      </c>
      <c r="EU48" s="54" t="e">
        <f>IFERROR(IF($ER$3,Eu_tabel_a[[#This Row],[Styrke, aktiv]],NA()),NA())</f>
        <v>#N/A</v>
      </c>
      <c r="EV48" s="54" t="e">
        <f>IF(ISNA(Eu_tabel_a[[#This Row],[Sand negativ
Nulhypotese afvises
Korrekt]]),NA(),IF(ER$3,1,NA()))</f>
        <v>#N/A</v>
      </c>
      <c r="EW48" s="55" t="str" cm="1">
        <f t="array" ref="EW48">IFERROR(_xlfn.SWITCH(Eu_tabel_a[[#This Row],[Indeks]],_xlfn.IFNA(EU$2,-99),EU$5,_xlfn.IFNA(EU$3,-99),EU$6,_xlfn.IFNA(EU$4,-99),EU$7,""),"")</f>
        <v/>
      </c>
      <c r="EX48" s="54">
        <f>Eu_tabel_a[[#This Row],[x base]]*SQRT(Eu_a_h0_x*(1-Eu_a_h0_x)/Eu_a_n_x)+Eu_a_h0_x</f>
        <v>0</v>
      </c>
      <c r="FC48" s="161" t="e">
        <f t="shared" si="18"/>
        <v>#N/A</v>
      </c>
      <c r="FD48" s="169" t="e">
        <f t="shared" si="121"/>
        <v>#DIV/0!</v>
      </c>
      <c r="FE48" s="7" t="e">
        <f t="shared" si="12"/>
        <v>#DIV/0!</v>
      </c>
      <c r="FF48" t="e">
        <f t="shared" si="122"/>
        <v>#DIV/0!</v>
      </c>
      <c r="FG48" s="8" t="e">
        <f t="shared" si="123"/>
        <v>#DIV/0!</v>
      </c>
      <c r="FH48" s="8" t="e">
        <f t="shared" si="124"/>
        <v>#DIV/0!</v>
      </c>
      <c r="FI48" s="168" t="e">
        <f t="shared" si="125"/>
        <v>#DIV/0!</v>
      </c>
      <c r="FJ48" s="161" t="e">
        <f t="shared" ca="1" si="13"/>
        <v>#N/A</v>
      </c>
      <c r="FK48" s="169" t="e" vm="3">
        <f t="shared" ca="1" si="19"/>
        <v>#VALUE!</v>
      </c>
      <c r="FL48" s="7" t="e" vm="3">
        <f t="shared" ca="1" si="14"/>
        <v>#VALUE!</v>
      </c>
      <c r="FM48" t="e" vm="3">
        <f t="shared" ca="1" si="8"/>
        <v>#VALUE!</v>
      </c>
      <c r="FN48" s="8" t="e" vm="3">
        <f t="shared" ca="1" si="9"/>
        <v>#VALUE!</v>
      </c>
      <c r="FO48" s="8" t="e" vm="3">
        <f t="shared" ca="1" si="10"/>
        <v>#VALUE!</v>
      </c>
      <c r="FP48" s="168" t="e" vm="3">
        <f t="shared" ca="1" si="11"/>
        <v>#VALUE!</v>
      </c>
      <c r="FQ48" s="161" t="e">
        <f t="shared" si="15"/>
        <v>#N/A</v>
      </c>
      <c r="FR48" s="169" t="e">
        <f t="shared" si="20"/>
        <v>#N/A</v>
      </c>
      <c r="FS48" s="7" t="e">
        <f t="shared" si="16"/>
        <v>#N/A</v>
      </c>
      <c r="FT48" t="e">
        <f t="shared" si="21"/>
        <v>#N/A</v>
      </c>
      <c r="FU48" s="8" t="e">
        <f t="shared" si="22"/>
        <v>#N/A</v>
      </c>
      <c r="FV48" s="8" t="e">
        <f t="shared" si="23"/>
        <v>#N/A</v>
      </c>
      <c r="FW48" s="168" t="e">
        <f t="shared" si="24"/>
        <v>#N/A</v>
      </c>
      <c r="FX48" s="161" t="e">
        <f t="shared" si="25"/>
        <v>#N/A</v>
      </c>
      <c r="FY48" s="169" t="e">
        <f t="shared" si="26"/>
        <v>#N/A</v>
      </c>
      <c r="FZ48" s="7" t="e">
        <f t="shared" si="17"/>
        <v>#N/A</v>
      </c>
      <c r="GA48" t="e">
        <f t="shared" si="27"/>
        <v>#N/A</v>
      </c>
      <c r="GB48" s="8" t="e">
        <f t="shared" si="28"/>
        <v>#N/A</v>
      </c>
      <c r="GC48" s="8" t="e">
        <f t="shared" si="29"/>
        <v>#N/A</v>
      </c>
      <c r="GD48" s="168" t="e">
        <f t="shared" si="30"/>
        <v>#N/A</v>
      </c>
      <c r="GE48" s="168"/>
      <c r="GF48" s="168"/>
      <c r="GI48" s="139">
        <f t="shared" si="81"/>
        <v>38</v>
      </c>
      <c r="GJ48" s="54">
        <f t="shared" si="82"/>
        <v>39</v>
      </c>
      <c r="GK48" s="139">
        <f t="shared" si="83"/>
        <v>-2.1799313167540388</v>
      </c>
      <c r="GL48" s="139">
        <f t="shared" si="84"/>
        <v>3.706845998598688E-2</v>
      </c>
      <c r="GM48" s="139" t="e">
        <f t="shared" si="85"/>
        <v>#N/A</v>
      </c>
      <c r="GN48" s="139" t="e">
        <f t="shared" si="86"/>
        <v>#N/A</v>
      </c>
      <c r="GO48" s="139" t="e">
        <f t="shared" si="87"/>
        <v>#N/A</v>
      </c>
      <c r="GP48" s="139" t="b">
        <f t="shared" si="88"/>
        <v>1</v>
      </c>
      <c r="GQ48" s="139" t="b">
        <f t="shared" si="89"/>
        <v>0</v>
      </c>
      <c r="GR48" s="139" t="b">
        <f t="shared" si="90"/>
        <v>1</v>
      </c>
      <c r="GS48" s="139" t="b">
        <f t="shared" si="91"/>
        <v>0</v>
      </c>
      <c r="GT48" s="139">
        <f t="shared" si="92"/>
        <v>3.706845998598688E-2</v>
      </c>
      <c r="GU48" s="139">
        <f t="shared" si="93"/>
        <v>3.706845998598688E-2</v>
      </c>
      <c r="GV48" s="139" t="e">
        <f t="shared" si="94"/>
        <v>#N/A</v>
      </c>
      <c r="GW48" s="140" t="str">
        <f t="shared" si="95"/>
        <v/>
      </c>
      <c r="HC48" s="139">
        <f t="shared" si="96"/>
        <v>38</v>
      </c>
      <c r="HD48" s="54">
        <f t="shared" si="97"/>
        <v>39</v>
      </c>
      <c r="HE48" s="139">
        <f t="shared" si="98"/>
        <v>-3.3756694279541728</v>
      </c>
      <c r="HF48" s="139" t="e">
        <f t="shared" si="99"/>
        <v>#N/A</v>
      </c>
      <c r="HG48" s="139">
        <f t="shared" si="100"/>
        <v>8.0729166739766621E-3</v>
      </c>
      <c r="HH48" s="139" t="e">
        <f t="shared" si="101"/>
        <v>#N/A</v>
      </c>
      <c r="HI48" s="139" t="e">
        <f t="shared" si="102"/>
        <v>#N/A</v>
      </c>
      <c r="HJ48" s="139" t="b">
        <f t="shared" si="103"/>
        <v>1</v>
      </c>
      <c r="HK48" s="139" t="b">
        <f t="shared" si="104"/>
        <v>0</v>
      </c>
      <c r="HL48" s="139" t="b">
        <f t="shared" si="105"/>
        <v>1</v>
      </c>
      <c r="HM48" s="139" t="b">
        <f t="shared" si="106"/>
        <v>0</v>
      </c>
      <c r="HN48" s="139">
        <f t="shared" si="107"/>
        <v>8.0729166739766621E-3</v>
      </c>
      <c r="HO48" s="139">
        <f t="shared" si="108"/>
        <v>8.0729166739766621E-3</v>
      </c>
      <c r="HP48" s="139" t="e">
        <f t="shared" si="109"/>
        <v>#N/A</v>
      </c>
      <c r="HQ48" s="140" t="str">
        <f t="shared" si="110"/>
        <v/>
      </c>
    </row>
    <row r="49" spans="57:225" x14ac:dyDescent="0.2">
      <c r="BE49">
        <v>1.3803796539630533</v>
      </c>
      <c r="BF49">
        <v>6.3251059591845431</v>
      </c>
      <c r="BG49" t="b">
        <v>1</v>
      </c>
      <c r="BH49">
        <v>1.3803796539630533</v>
      </c>
      <c r="BI49">
        <v>1.3803796539630533</v>
      </c>
      <c r="BS49" s="139">
        <f t="shared" si="36"/>
        <v>39</v>
      </c>
      <c r="BT49" s="54">
        <f>Eu_tabel_g[[#This Row],[Indeks]]+1</f>
        <v>40</v>
      </c>
      <c r="BU49" s="139">
        <f t="shared" si="37"/>
        <v>-2.1559760275589395</v>
      </c>
      <c r="BV49" s="139">
        <f t="shared" si="38"/>
        <v>3.9044437871557765E-2</v>
      </c>
      <c r="BW49" s="139" t="e">
        <f t="shared" si="39"/>
        <v>#N/A</v>
      </c>
      <c r="BX49" s="139" t="e">
        <f t="shared" si="40"/>
        <v>#N/A</v>
      </c>
      <c r="BY49" s="139" t="e">
        <f t="shared" si="41"/>
        <v>#N/A</v>
      </c>
      <c r="BZ49" s="139" t="b">
        <f t="shared" si="42"/>
        <v>1</v>
      </c>
      <c r="CA49" s="139" t="b">
        <f t="shared" si="43"/>
        <v>0</v>
      </c>
      <c r="CB49" s="139" t="b">
        <f t="shared" si="44"/>
        <v>1</v>
      </c>
      <c r="CC49" s="139" t="b">
        <f t="shared" si="45"/>
        <v>0</v>
      </c>
      <c r="CD49" s="139">
        <f t="shared" si="128"/>
        <v>3.9044437871557765E-2</v>
      </c>
      <c r="CE49" s="139">
        <f t="shared" si="47"/>
        <v>3.9044437871557765E-2</v>
      </c>
      <c r="CF49" s="139" t="e">
        <f t="shared" si="48"/>
        <v>#N/A</v>
      </c>
      <c r="CG49" s="140" t="str">
        <f t="shared" si="49"/>
        <v/>
      </c>
      <c r="CH49" s="54">
        <f>_xlfn.NORM.DIST(_xlfn.NORM.INV(1-Eu_g_konfidensniveau,0,1)-Eu_tabel_g[[#This Row],[x base]],0,1,TRUE)</f>
        <v>0.69536732432934545</v>
      </c>
      <c r="CI49" s="54">
        <f>1-_xlfn.NORM.DIST(_xlfn.NORM.INV(Eu_g_konfidensniveau,0,1)-Eu_tabel_g[[#This Row],[x base]],0,1,TRUE)</f>
        <v>7.2106210282307792E-5</v>
      </c>
      <c r="CJ49" s="54">
        <f>_xlfn.NORM.DIST(_xlfn.NORM.INV((1-Eu_g_konfidensniveau)/2,0,1)-Eu_tabel_g[[#This Row],[x base]],0,1,TRUE)+1-_xlfn.NORM.DIST(_xlfn.NORM.INV(1-(1-Eu_g_konfidensniveau)/2,0,1)-Eu_tabel_g[[#This Row],[x base]],0,1,TRUE)</f>
        <v>0.57771891029166778</v>
      </c>
      <c r="CK49" s="54" t="e" cm="1">
        <f t="array" ref="CK49">IF($CK$3,INDEX(Eu_tabel_g[[#This Row],[Styrke venstre]:[Styrke tosidet]],CK$7),NA())</f>
        <v>#N/A</v>
      </c>
      <c r="CL49" s="99" t="e">
        <f>Eu_tabel_g[[#This Row],[Falsk positiv
Nulhypotese accepteres
Fejltype 1]]</f>
        <v>#N/A</v>
      </c>
      <c r="CM49" s="99" t="e">
        <f>IF(CHOOSE(CK$7,Eu_tabel_g[[#This Row],[x base]]&gt;0,Eu_tabel_g[[#This Row],[x base]]&lt;0,Eu_tabel_g[[#This Row],[x base]]=0),Eu_tabel_g[[#This Row],[Styrke, aktiv]],NA())</f>
        <v>#N/A</v>
      </c>
      <c r="CN49" s="99" t="e">
        <f>IFERROR(IF($CK$3,Eu_tabel_g[[#This Row],[Styrke, aktiv]],NA()),NA())</f>
        <v>#N/A</v>
      </c>
      <c r="CO49" s="99" t="e">
        <f>IF(ISNA(Eu_tabel_g[[#This Row],[Sand negativ
Nulhypotese afvises
Korrekt]]),NA(),IF($CK$3,1,NA()))</f>
        <v>#N/A</v>
      </c>
      <c r="CP49" s="56" t="str" cm="1">
        <f t="array" ref="CP49">_xlfn.SWITCH(BS49,_xlfn.IFNA(CN$2,-99),CN$5,_xlfn.IFNA(CN$3,-99),CN$6,_xlfn.IFNA(CN$4,-99),CN$7,"")</f>
        <v/>
      </c>
      <c r="CT49" s="7">
        <f t="shared" si="50"/>
        <v>0.8</v>
      </c>
      <c r="CU49">
        <f>IF(ROW(Styrkeberegning_G[[#This Row],[X base venstre]])=ROW(Styrkeberegning_G[[#Headers],[X base venstre]])+1,CU$7/(CT$7/$B$67),CU48/(CT48/$B$67))</f>
        <v>-2.8015817870135784</v>
      </c>
      <c r="CV49">
        <f>Styrkeberegning_G[[#This Row],[X base venstre]]*-1</f>
        <v>2.8015817870135784</v>
      </c>
      <c r="DG49" s="139">
        <f t="shared" si="51"/>
        <v>39</v>
      </c>
      <c r="DH49" s="54">
        <f t="shared" si="52"/>
        <v>40</v>
      </c>
      <c r="DI49" s="139">
        <f t="shared" si="53"/>
        <v>6.2826160649167297</v>
      </c>
      <c r="DJ49" s="139" t="e">
        <f t="shared" si="54"/>
        <v>#N/A</v>
      </c>
      <c r="DK49" s="139" t="e">
        <f t="shared" si="55"/>
        <v>#N/A</v>
      </c>
      <c r="DL49" s="139">
        <f t="shared" si="56"/>
        <v>7.126197508955133E-2</v>
      </c>
      <c r="DM49" s="139" t="e">
        <f t="shared" si="57"/>
        <v>#N/A</v>
      </c>
      <c r="DN49" s="139" t="b">
        <f t="shared" si="58"/>
        <v>0</v>
      </c>
      <c r="DO49" s="139" t="b">
        <f t="shared" si="59"/>
        <v>1</v>
      </c>
      <c r="DP49" s="139" t="b">
        <f t="shared" si="60"/>
        <v>0</v>
      </c>
      <c r="DQ49" s="139" t="b">
        <f t="shared" si="61"/>
        <v>1</v>
      </c>
      <c r="DR49" s="139">
        <f t="shared" si="62"/>
        <v>7.126197508955133E-2</v>
      </c>
      <c r="DS49" s="139" t="e">
        <f t="shared" si="63"/>
        <v>#N/A</v>
      </c>
      <c r="DT49" s="139">
        <f t="shared" si="64"/>
        <v>7.126197508955133E-2</v>
      </c>
      <c r="DU49" s="140" t="str">
        <f t="shared" si="65"/>
        <v/>
      </c>
      <c r="DZ49" s="139">
        <f t="shared" si="66"/>
        <v>39</v>
      </c>
      <c r="EA49" s="54">
        <f t="shared" si="67"/>
        <v>40</v>
      </c>
      <c r="EB49" s="139">
        <f t="shared" si="68"/>
        <v>-2.1559760275589395</v>
      </c>
      <c r="EC49" s="139">
        <f t="shared" si="69"/>
        <v>3.9044437871557765E-2</v>
      </c>
      <c r="ED49" s="139" t="e">
        <f t="shared" si="70"/>
        <v>#N/A</v>
      </c>
      <c r="EE49" s="139" t="e">
        <f t="shared" si="71"/>
        <v>#N/A</v>
      </c>
      <c r="EF49" s="139" t="e">
        <f t="shared" si="72"/>
        <v>#N/A</v>
      </c>
      <c r="EG49" s="139" t="b">
        <f t="shared" si="73"/>
        <v>1</v>
      </c>
      <c r="EH49" s="139" t="b">
        <f t="shared" si="74"/>
        <v>0</v>
      </c>
      <c r="EI49" s="139" t="b">
        <f t="shared" si="75"/>
        <v>1</v>
      </c>
      <c r="EJ49" s="139" t="b">
        <f t="shared" si="76"/>
        <v>0</v>
      </c>
      <c r="EK49" s="139">
        <f t="shared" si="77"/>
        <v>3.9044437871557765E-2</v>
      </c>
      <c r="EL49" s="139">
        <f t="shared" si="78"/>
        <v>3.9044437871557765E-2</v>
      </c>
      <c r="EM49" s="139" t="e">
        <f t="shared" si="79"/>
        <v>#N/A</v>
      </c>
      <c r="EN49" s="140" t="str">
        <f t="shared" si="80"/>
        <v/>
      </c>
      <c r="EO4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4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4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49" s="54" t="e" cm="1">
        <f t="array" ref="ER49">IF($CK$3,INDEX(Eu_tabel_a[[#This Row],[Styrke venstre]:[Styrke tosidet]],ER$7),NA())</f>
        <v>#N/A</v>
      </c>
      <c r="ES49" s="54" t="e">
        <f>IF(ER$3,IF(CHOOSE(ER$7,Eu_tabel_a[[#This Row],[x base]]&gt;0,Eu_tabel_a[[#This Row],[x base]]&lt;0,Eu_tabel_a[[#This Row],[x base]]=0),1,NA()),NA())</f>
        <v>#N/A</v>
      </c>
      <c r="ET49" s="54" t="e">
        <f>IF(CHOOSE(ER$7,Eu_tabel_a[[#This Row],[x base]]&gt;0,Eu_tabel_a[[#This Row],[x base]]&lt;0,Eu_tabel_a[[#This Row],[x base]]=0),Eu_tabel_a[[#This Row],[Styrke, aktiv]],NA())</f>
        <v>#N/A</v>
      </c>
      <c r="EU49" s="54" t="e">
        <f>IFERROR(IF($ER$3,Eu_tabel_a[[#This Row],[Styrke, aktiv]],NA()),NA())</f>
        <v>#N/A</v>
      </c>
      <c r="EV49" s="54" t="e">
        <f>IF(ISNA(Eu_tabel_a[[#This Row],[Sand negativ
Nulhypotese afvises
Korrekt]]),NA(),IF(ER$3,1,NA()))</f>
        <v>#N/A</v>
      </c>
      <c r="EW49" s="55" t="str" cm="1">
        <f t="array" ref="EW49">IFERROR(_xlfn.SWITCH(Eu_tabel_a[[#This Row],[Indeks]],_xlfn.IFNA(EU$2,-99),EU$5,_xlfn.IFNA(EU$3,-99),EU$6,_xlfn.IFNA(EU$4,-99),EU$7,""),"")</f>
        <v/>
      </c>
      <c r="EX49" s="54">
        <f>Eu_tabel_a[[#This Row],[x base]]*SQRT(Eu_a_h0_x*(1-Eu_a_h0_x)/Eu_a_n_x)+Eu_a_h0_x</f>
        <v>0</v>
      </c>
      <c r="FC49" s="161" t="e">
        <f t="shared" si="18"/>
        <v>#N/A</v>
      </c>
      <c r="FD49" s="169" t="e">
        <f t="shared" si="121"/>
        <v>#DIV/0!</v>
      </c>
      <c r="FE49" s="7" t="e">
        <f t="shared" si="12"/>
        <v>#DIV/0!</v>
      </c>
      <c r="FF49" t="e">
        <f t="shared" si="122"/>
        <v>#DIV/0!</v>
      </c>
      <c r="FG49" s="8" t="e">
        <f t="shared" si="123"/>
        <v>#DIV/0!</v>
      </c>
      <c r="FH49" s="8" t="e">
        <f t="shared" si="124"/>
        <v>#DIV/0!</v>
      </c>
      <c r="FI49" s="168" t="e">
        <f t="shared" si="125"/>
        <v>#DIV/0!</v>
      </c>
      <c r="FJ49" s="161" t="e">
        <f t="shared" ca="1" si="13"/>
        <v>#N/A</v>
      </c>
      <c r="FK49" s="169" t="e" vm="3">
        <f t="shared" ca="1" si="19"/>
        <v>#VALUE!</v>
      </c>
      <c r="FL49" s="7" t="e" vm="3">
        <f t="shared" ca="1" si="14"/>
        <v>#VALUE!</v>
      </c>
      <c r="FM49" t="e" vm="3">
        <f t="shared" ca="1" si="8"/>
        <v>#VALUE!</v>
      </c>
      <c r="FN49" s="8" t="e" vm="3">
        <f t="shared" ca="1" si="9"/>
        <v>#VALUE!</v>
      </c>
      <c r="FO49" s="8" t="e" vm="3">
        <f t="shared" ca="1" si="10"/>
        <v>#VALUE!</v>
      </c>
      <c r="FP49" s="168" t="e" vm="3">
        <f t="shared" ca="1" si="11"/>
        <v>#VALUE!</v>
      </c>
      <c r="FQ49" s="161" t="e">
        <f t="shared" si="15"/>
        <v>#N/A</v>
      </c>
      <c r="FR49" s="169" t="e">
        <f t="shared" si="20"/>
        <v>#N/A</v>
      </c>
      <c r="FS49" s="7" t="e">
        <f t="shared" si="16"/>
        <v>#N/A</v>
      </c>
      <c r="FT49" t="e">
        <f t="shared" si="21"/>
        <v>#N/A</v>
      </c>
      <c r="FU49" s="8" t="e">
        <f t="shared" si="22"/>
        <v>#N/A</v>
      </c>
      <c r="FV49" s="8" t="e">
        <f t="shared" si="23"/>
        <v>#N/A</v>
      </c>
      <c r="FW49" s="168" t="e">
        <f t="shared" si="24"/>
        <v>#N/A</v>
      </c>
      <c r="FX49" s="161" t="e">
        <f t="shared" si="25"/>
        <v>#N/A</v>
      </c>
      <c r="FY49" s="169" t="e">
        <f t="shared" si="26"/>
        <v>#N/A</v>
      </c>
      <c r="FZ49" s="7" t="e">
        <f t="shared" si="17"/>
        <v>#N/A</v>
      </c>
      <c r="GA49" t="e">
        <f t="shared" si="27"/>
        <v>#N/A</v>
      </c>
      <c r="GB49" s="8" t="e">
        <f t="shared" si="28"/>
        <v>#N/A</v>
      </c>
      <c r="GC49" s="8" t="e">
        <f t="shared" si="29"/>
        <v>#N/A</v>
      </c>
      <c r="GD49" s="168" t="e">
        <f t="shared" si="30"/>
        <v>#N/A</v>
      </c>
      <c r="GE49" s="168"/>
      <c r="GF49" s="168"/>
      <c r="GI49" s="139">
        <f t="shared" si="81"/>
        <v>39</v>
      </c>
      <c r="GJ49" s="54">
        <f t="shared" si="82"/>
        <v>40</v>
      </c>
      <c r="GK49" s="139">
        <f t="shared" si="83"/>
        <v>-2.1559760275589395</v>
      </c>
      <c r="GL49" s="139">
        <f t="shared" si="84"/>
        <v>3.9044437871557765E-2</v>
      </c>
      <c r="GM49" s="139" t="e">
        <f t="shared" si="85"/>
        <v>#N/A</v>
      </c>
      <c r="GN49" s="139" t="e">
        <f t="shared" si="86"/>
        <v>#N/A</v>
      </c>
      <c r="GO49" s="139" t="e">
        <f t="shared" si="87"/>
        <v>#N/A</v>
      </c>
      <c r="GP49" s="139" t="b">
        <f t="shared" si="88"/>
        <v>1</v>
      </c>
      <c r="GQ49" s="139" t="b">
        <f t="shared" si="89"/>
        <v>0</v>
      </c>
      <c r="GR49" s="139" t="b">
        <f t="shared" si="90"/>
        <v>1</v>
      </c>
      <c r="GS49" s="139" t="b">
        <f t="shared" si="91"/>
        <v>0</v>
      </c>
      <c r="GT49" s="139">
        <f t="shared" si="92"/>
        <v>3.9044437871557765E-2</v>
      </c>
      <c r="GU49" s="139">
        <f t="shared" si="93"/>
        <v>3.9044437871557765E-2</v>
      </c>
      <c r="GV49" s="139" t="e">
        <f t="shared" si="94"/>
        <v>#N/A</v>
      </c>
      <c r="GW49" s="140" t="str">
        <f t="shared" si="95"/>
        <v/>
      </c>
      <c r="HC49" s="139">
        <f t="shared" si="96"/>
        <v>39</v>
      </c>
      <c r="HD49" s="54">
        <f t="shared" si="97"/>
        <v>40</v>
      </c>
      <c r="HE49" s="139">
        <f t="shared" si="98"/>
        <v>-3.3385741595151162</v>
      </c>
      <c r="HF49" s="139" t="e">
        <f t="shared" si="99"/>
        <v>#N/A</v>
      </c>
      <c r="HG49" s="139">
        <f t="shared" si="100"/>
        <v>8.5253498118103947E-3</v>
      </c>
      <c r="HH49" s="139" t="e">
        <f t="shared" si="101"/>
        <v>#N/A</v>
      </c>
      <c r="HI49" s="139" t="e">
        <f t="shared" si="102"/>
        <v>#N/A</v>
      </c>
      <c r="HJ49" s="139" t="b">
        <f t="shared" si="103"/>
        <v>1</v>
      </c>
      <c r="HK49" s="139" t="b">
        <f t="shared" si="104"/>
        <v>0</v>
      </c>
      <c r="HL49" s="139" t="b">
        <f t="shared" si="105"/>
        <v>1</v>
      </c>
      <c r="HM49" s="139" t="b">
        <f t="shared" si="106"/>
        <v>0</v>
      </c>
      <c r="HN49" s="139">
        <f t="shared" si="107"/>
        <v>8.5253498118103947E-3</v>
      </c>
      <c r="HO49" s="139">
        <f t="shared" si="108"/>
        <v>8.5253498118103947E-3</v>
      </c>
      <c r="HP49" s="139" t="e">
        <f t="shared" si="109"/>
        <v>#N/A</v>
      </c>
      <c r="HQ49" s="140" t="str">
        <f t="shared" si="110"/>
        <v/>
      </c>
    </row>
    <row r="50" spans="57:225" x14ac:dyDescent="0.2">
      <c r="BE50">
        <v>8.4427372017371785E-2</v>
      </c>
      <c r="BF50">
        <v>5.4220501567463426</v>
      </c>
      <c r="BG50" t="b">
        <v>1</v>
      </c>
      <c r="BH50">
        <v>8.4427372017371785E-2</v>
      </c>
      <c r="BI50">
        <v>8.4427372017371785E-2</v>
      </c>
      <c r="BS50" s="139">
        <f t="shared" si="36"/>
        <v>40</v>
      </c>
      <c r="BT50" s="54">
        <f>Eu_tabel_g[[#This Row],[Indeks]]+1</f>
        <v>41</v>
      </c>
      <c r="BU50" s="139">
        <f t="shared" si="37"/>
        <v>-2.1320207383638401</v>
      </c>
      <c r="BV50" s="139">
        <f t="shared" si="38"/>
        <v>4.1102154102044132E-2</v>
      </c>
      <c r="BW50" s="139" t="e">
        <f t="shared" si="39"/>
        <v>#N/A</v>
      </c>
      <c r="BX50" s="139" t="e">
        <f t="shared" si="40"/>
        <v>#N/A</v>
      </c>
      <c r="BY50" s="139" t="e">
        <f t="shared" si="41"/>
        <v>#N/A</v>
      </c>
      <c r="BZ50" s="139" t="b">
        <f t="shared" si="42"/>
        <v>1</v>
      </c>
      <c r="CA50" s="139" t="b">
        <f t="shared" si="43"/>
        <v>0</v>
      </c>
      <c r="CB50" s="139" t="b">
        <f t="shared" si="44"/>
        <v>1</v>
      </c>
      <c r="CC50" s="139" t="b">
        <f t="shared" si="45"/>
        <v>0</v>
      </c>
      <c r="CD50" s="139">
        <f t="shared" si="128"/>
        <v>4.1102154102044132E-2</v>
      </c>
      <c r="CE50" s="139">
        <f t="shared" si="47"/>
        <v>4.1102154102044132E-2</v>
      </c>
      <c r="CF50" s="139" t="e">
        <f t="shared" si="48"/>
        <v>#N/A</v>
      </c>
      <c r="CG50" s="140" t="str">
        <f t="shared" si="49"/>
        <v/>
      </c>
      <c r="CH50" s="54">
        <f>_xlfn.NORM.DIST(_xlfn.NORM.INV(1-Eu_g_konfidensniveau,0,1)-Eu_tabel_g[[#This Row],[x base]],0,1,TRUE)</f>
        <v>0.68693004491440468</v>
      </c>
      <c r="CI50" s="54">
        <f>1-_xlfn.NORM.DIST(_xlfn.NORM.INV(Eu_g_konfidensniveau,0,1)-Eu_tabel_g[[#This Row],[x base]],0,1,TRUE)</f>
        <v>7.9404393321991229E-5</v>
      </c>
      <c r="CJ50" s="54">
        <f>_xlfn.NORM.DIST(_xlfn.NORM.INV((1-Eu_g_konfidensniveau)/2,0,1)-Eu_tabel_g[[#This Row],[x base]],0,1,TRUE)+1-_xlfn.NORM.DIST(_xlfn.NORM.INV(1-(1-Eu_g_konfidensniveau)/2,0,1)-Eu_tabel_g[[#This Row],[x base]],0,1,TRUE)</f>
        <v>0.56832492928531286</v>
      </c>
      <c r="CK50" s="54" t="e" cm="1">
        <f t="array" ref="CK50">IF($CK$3,INDEX(Eu_tabel_g[[#This Row],[Styrke venstre]:[Styrke tosidet]],CK$7),NA())</f>
        <v>#N/A</v>
      </c>
      <c r="CL50" s="99" t="e">
        <f>Eu_tabel_g[[#This Row],[Falsk positiv
Nulhypotese accepteres
Fejltype 1]]</f>
        <v>#N/A</v>
      </c>
      <c r="CM50" s="99" t="e">
        <f>IF(CHOOSE(CK$7,Eu_tabel_g[[#This Row],[x base]]&gt;0,Eu_tabel_g[[#This Row],[x base]]&lt;0,Eu_tabel_g[[#This Row],[x base]]=0),Eu_tabel_g[[#This Row],[Styrke, aktiv]],NA())</f>
        <v>#N/A</v>
      </c>
      <c r="CN50" s="99" t="e">
        <f>IFERROR(IF($CK$3,Eu_tabel_g[[#This Row],[Styrke, aktiv]],NA()),NA())</f>
        <v>#N/A</v>
      </c>
      <c r="CO50" s="99" t="e">
        <f>IF(ISNA(Eu_tabel_g[[#This Row],[Sand negativ
Nulhypotese afvises
Korrekt]]),NA(),IF($CK$3,1,NA()))</f>
        <v>#N/A</v>
      </c>
      <c r="CP50" s="56" t="str" cm="1">
        <f t="array" ref="CP50">_xlfn.SWITCH(BS50,_xlfn.IFNA(CN$2,-99),CN$5,_xlfn.IFNA(CN$3,-99),CN$6,_xlfn.IFNA(CN$4,-99),CN$7,"")</f>
        <v/>
      </c>
      <c r="CT50" s="7">
        <f t="shared" si="50"/>
        <v>0.8</v>
      </c>
      <c r="CU50">
        <f>IF(ROW(Styrkeberegning_G[[#This Row],[X base venstre]])=ROW(Styrkeberegning_G[[#Headers],[X base venstre]])+1,CU$7/(CT$7/$B$67),CU49/(CT49/$B$67))</f>
        <v>-2.8015817870135784</v>
      </c>
      <c r="CV50">
        <f>Styrkeberegning_G[[#This Row],[X base venstre]]*-1</f>
        <v>2.8015817870135784</v>
      </c>
      <c r="DG50" s="139">
        <f t="shared" si="51"/>
        <v>40</v>
      </c>
      <c r="DH50" s="54">
        <f t="shared" si="52"/>
        <v>41</v>
      </c>
      <c r="DI50" s="139">
        <f t="shared" si="53"/>
        <v>6.396686921333731</v>
      </c>
      <c r="DJ50" s="139" t="e">
        <f t="shared" si="54"/>
        <v>#N/A</v>
      </c>
      <c r="DK50" s="139" t="e">
        <f t="shared" si="55"/>
        <v>#N/A</v>
      </c>
      <c r="DL50" s="139">
        <f t="shared" si="56"/>
        <v>7.2988303527497175E-2</v>
      </c>
      <c r="DM50" s="139" t="e">
        <f t="shared" si="57"/>
        <v>#N/A</v>
      </c>
      <c r="DN50" s="139" t="b">
        <f t="shared" si="58"/>
        <v>0</v>
      </c>
      <c r="DO50" s="139" t="b">
        <f t="shared" si="59"/>
        <v>1</v>
      </c>
      <c r="DP50" s="139" t="b">
        <f t="shared" si="60"/>
        <v>0</v>
      </c>
      <c r="DQ50" s="139" t="b">
        <f t="shared" si="61"/>
        <v>1</v>
      </c>
      <c r="DR50" s="139">
        <f t="shared" si="62"/>
        <v>7.2988303527497175E-2</v>
      </c>
      <c r="DS50" s="139" t="e">
        <f t="shared" si="63"/>
        <v>#N/A</v>
      </c>
      <c r="DT50" s="139">
        <f t="shared" si="64"/>
        <v>7.2988303527497175E-2</v>
      </c>
      <c r="DU50" s="140" t="str">
        <f t="shared" si="65"/>
        <v/>
      </c>
      <c r="DZ50" s="139">
        <f t="shared" si="66"/>
        <v>40</v>
      </c>
      <c r="EA50" s="54">
        <f t="shared" si="67"/>
        <v>41</v>
      </c>
      <c r="EB50" s="139">
        <f t="shared" si="68"/>
        <v>-2.1320207383638401</v>
      </c>
      <c r="EC50" s="139">
        <f t="shared" si="69"/>
        <v>4.1102154102044132E-2</v>
      </c>
      <c r="ED50" s="139" t="e">
        <f t="shared" si="70"/>
        <v>#N/A</v>
      </c>
      <c r="EE50" s="139" t="e">
        <f t="shared" si="71"/>
        <v>#N/A</v>
      </c>
      <c r="EF50" s="139" t="e">
        <f t="shared" si="72"/>
        <v>#N/A</v>
      </c>
      <c r="EG50" s="139" t="b">
        <f t="shared" si="73"/>
        <v>1</v>
      </c>
      <c r="EH50" s="139" t="b">
        <f t="shared" si="74"/>
        <v>0</v>
      </c>
      <c r="EI50" s="139" t="b">
        <f t="shared" si="75"/>
        <v>1</v>
      </c>
      <c r="EJ50" s="139" t="b">
        <f t="shared" si="76"/>
        <v>0</v>
      </c>
      <c r="EK50" s="139">
        <f t="shared" si="77"/>
        <v>4.1102154102044132E-2</v>
      </c>
      <c r="EL50" s="139">
        <f t="shared" si="78"/>
        <v>4.1102154102044132E-2</v>
      </c>
      <c r="EM50" s="139" t="e">
        <f t="shared" si="79"/>
        <v>#N/A</v>
      </c>
      <c r="EN50" s="140" t="str">
        <f t="shared" si="80"/>
        <v/>
      </c>
      <c r="EO5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5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5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50" s="54" t="e" cm="1">
        <f t="array" ref="ER50">IF($CK$3,INDEX(Eu_tabel_a[[#This Row],[Styrke venstre]:[Styrke tosidet]],ER$7),NA())</f>
        <v>#N/A</v>
      </c>
      <c r="ES50" s="54" t="e">
        <f>IF(ER$3,IF(CHOOSE(ER$7,Eu_tabel_a[[#This Row],[x base]]&gt;0,Eu_tabel_a[[#This Row],[x base]]&lt;0,Eu_tabel_a[[#This Row],[x base]]=0),1,NA()),NA())</f>
        <v>#N/A</v>
      </c>
      <c r="ET50" s="54" t="e">
        <f>IF(CHOOSE(ER$7,Eu_tabel_a[[#This Row],[x base]]&gt;0,Eu_tabel_a[[#This Row],[x base]]&lt;0,Eu_tabel_a[[#This Row],[x base]]=0),Eu_tabel_a[[#This Row],[Styrke, aktiv]],NA())</f>
        <v>#N/A</v>
      </c>
      <c r="EU50" s="54" t="e">
        <f>IFERROR(IF($ER$3,Eu_tabel_a[[#This Row],[Styrke, aktiv]],NA()),NA())</f>
        <v>#N/A</v>
      </c>
      <c r="EV50" s="54" t="e">
        <f>IF(ISNA(Eu_tabel_a[[#This Row],[Sand negativ
Nulhypotese afvises
Korrekt]]),NA(),IF(ER$3,1,NA()))</f>
        <v>#N/A</v>
      </c>
      <c r="EW50" s="55" t="str" cm="1">
        <f t="array" ref="EW50">IFERROR(_xlfn.SWITCH(Eu_tabel_a[[#This Row],[Indeks]],_xlfn.IFNA(EU$2,-99),EU$5,_xlfn.IFNA(EU$3,-99),EU$6,_xlfn.IFNA(EU$4,-99),EU$7,""),"")</f>
        <v/>
      </c>
      <c r="EX50" s="54">
        <f>Eu_tabel_a[[#This Row],[x base]]*SQRT(Eu_a_h0_x*(1-Eu_a_h0_x)/Eu_a_n_x)+Eu_a_h0_x</f>
        <v>0</v>
      </c>
      <c r="FC50" s="161" t="e">
        <f t="shared" si="18"/>
        <v>#N/A</v>
      </c>
      <c r="FD50" s="169" t="e">
        <f t="shared" si="121"/>
        <v>#DIV/0!</v>
      </c>
      <c r="FE50" s="7" t="e">
        <f t="shared" si="12"/>
        <v>#DIV/0!</v>
      </c>
      <c r="FF50" t="e">
        <f t="shared" si="122"/>
        <v>#DIV/0!</v>
      </c>
      <c r="FG50" s="8" t="e">
        <f t="shared" si="123"/>
        <v>#DIV/0!</v>
      </c>
      <c r="FH50" s="8" t="e">
        <f t="shared" si="124"/>
        <v>#DIV/0!</v>
      </c>
      <c r="FI50" s="168" t="e">
        <f t="shared" si="125"/>
        <v>#DIV/0!</v>
      </c>
      <c r="FJ50" s="161" t="e">
        <f t="shared" ca="1" si="13"/>
        <v>#N/A</v>
      </c>
      <c r="FK50" s="169" t="e" vm="3">
        <f t="shared" ca="1" si="19"/>
        <v>#VALUE!</v>
      </c>
      <c r="FL50" s="7" t="e" vm="3">
        <f t="shared" ca="1" si="14"/>
        <v>#VALUE!</v>
      </c>
      <c r="FM50" t="e" vm="3">
        <f t="shared" ca="1" si="8"/>
        <v>#VALUE!</v>
      </c>
      <c r="FN50" s="8" t="e" vm="3">
        <f t="shared" ca="1" si="9"/>
        <v>#VALUE!</v>
      </c>
      <c r="FO50" s="8" t="e" vm="3">
        <f t="shared" ca="1" si="10"/>
        <v>#VALUE!</v>
      </c>
      <c r="FP50" s="168" t="e" vm="3">
        <f t="shared" ca="1" si="11"/>
        <v>#VALUE!</v>
      </c>
      <c r="FQ50" s="161" t="e">
        <f t="shared" si="15"/>
        <v>#N/A</v>
      </c>
      <c r="FR50" s="169" t="e">
        <f t="shared" si="20"/>
        <v>#N/A</v>
      </c>
      <c r="FS50" s="7" t="e">
        <f t="shared" si="16"/>
        <v>#N/A</v>
      </c>
      <c r="FT50" t="e">
        <f t="shared" si="21"/>
        <v>#N/A</v>
      </c>
      <c r="FU50" s="8" t="e">
        <f t="shared" si="22"/>
        <v>#N/A</v>
      </c>
      <c r="FV50" s="8" t="e">
        <f t="shared" si="23"/>
        <v>#N/A</v>
      </c>
      <c r="FW50" s="168" t="e">
        <f t="shared" si="24"/>
        <v>#N/A</v>
      </c>
      <c r="FX50" s="161" t="e">
        <f t="shared" si="25"/>
        <v>#N/A</v>
      </c>
      <c r="FY50" s="169" t="e">
        <f t="shared" si="26"/>
        <v>#N/A</v>
      </c>
      <c r="FZ50" s="7" t="e">
        <f t="shared" si="17"/>
        <v>#N/A</v>
      </c>
      <c r="GA50" t="e">
        <f t="shared" si="27"/>
        <v>#N/A</v>
      </c>
      <c r="GB50" s="8" t="e">
        <f t="shared" si="28"/>
        <v>#N/A</v>
      </c>
      <c r="GC50" s="8" t="e">
        <f t="shared" si="29"/>
        <v>#N/A</v>
      </c>
      <c r="GD50" s="168" t="e">
        <f t="shared" si="30"/>
        <v>#N/A</v>
      </c>
      <c r="GE50" s="168"/>
      <c r="GF50" s="168"/>
      <c r="GI50" s="139">
        <f t="shared" si="81"/>
        <v>40</v>
      </c>
      <c r="GJ50" s="54">
        <f t="shared" si="82"/>
        <v>41</v>
      </c>
      <c r="GK50" s="139">
        <f t="shared" si="83"/>
        <v>-2.1320207383638401</v>
      </c>
      <c r="GL50" s="139">
        <f t="shared" si="84"/>
        <v>4.1102154102044132E-2</v>
      </c>
      <c r="GM50" s="139" t="e">
        <f t="shared" si="85"/>
        <v>#N/A</v>
      </c>
      <c r="GN50" s="139" t="e">
        <f t="shared" si="86"/>
        <v>#N/A</v>
      </c>
      <c r="GO50" s="139" t="e">
        <f t="shared" si="87"/>
        <v>#N/A</v>
      </c>
      <c r="GP50" s="139" t="b">
        <f t="shared" si="88"/>
        <v>1</v>
      </c>
      <c r="GQ50" s="139" t="b">
        <f t="shared" si="89"/>
        <v>0</v>
      </c>
      <c r="GR50" s="139" t="b">
        <f t="shared" si="90"/>
        <v>1</v>
      </c>
      <c r="GS50" s="139" t="b">
        <f t="shared" si="91"/>
        <v>0</v>
      </c>
      <c r="GT50" s="139">
        <f t="shared" si="92"/>
        <v>4.1102154102044132E-2</v>
      </c>
      <c r="GU50" s="139">
        <f t="shared" si="93"/>
        <v>4.1102154102044132E-2</v>
      </c>
      <c r="GV50" s="139" t="e">
        <f t="shared" si="94"/>
        <v>#N/A</v>
      </c>
      <c r="GW50" s="140" t="str">
        <f t="shared" si="95"/>
        <v/>
      </c>
      <c r="HC50" s="139">
        <f t="shared" si="96"/>
        <v>40</v>
      </c>
      <c r="HD50" s="54">
        <f t="shared" si="97"/>
        <v>41</v>
      </c>
      <c r="HE50" s="139">
        <f t="shared" si="98"/>
        <v>-3.3014788910760591</v>
      </c>
      <c r="HF50" s="139" t="e">
        <f t="shared" si="99"/>
        <v>#N/A</v>
      </c>
      <c r="HG50" s="139">
        <f t="shared" si="100"/>
        <v>9.0043866481057163E-3</v>
      </c>
      <c r="HH50" s="139" t="e">
        <f t="shared" si="101"/>
        <v>#N/A</v>
      </c>
      <c r="HI50" s="139" t="e">
        <f t="shared" si="102"/>
        <v>#N/A</v>
      </c>
      <c r="HJ50" s="139" t="b">
        <f t="shared" si="103"/>
        <v>1</v>
      </c>
      <c r="HK50" s="139" t="b">
        <f t="shared" si="104"/>
        <v>0</v>
      </c>
      <c r="HL50" s="139" t="b">
        <f t="shared" si="105"/>
        <v>1</v>
      </c>
      <c r="HM50" s="139" t="b">
        <f t="shared" si="106"/>
        <v>0</v>
      </c>
      <c r="HN50" s="139">
        <f t="shared" si="107"/>
        <v>9.0043866481057163E-3</v>
      </c>
      <c r="HO50" s="139">
        <f t="shared" si="108"/>
        <v>9.0043866481057163E-3</v>
      </c>
      <c r="HP50" s="139" t="e">
        <f t="shared" si="109"/>
        <v>#N/A</v>
      </c>
      <c r="HQ50" s="140" t="str">
        <f t="shared" si="110"/>
        <v/>
      </c>
    </row>
    <row r="51" spans="57:225" x14ac:dyDescent="0.2">
      <c r="BE51">
        <v>0.91409189597286977</v>
      </c>
      <c r="BF51">
        <v>9.7085240838788316</v>
      </c>
      <c r="BG51" t="b">
        <v>0</v>
      </c>
      <c r="BH51">
        <v>0.91409189597286977</v>
      </c>
      <c r="BI51">
        <v>0.91409189597286977</v>
      </c>
      <c r="BS51" s="139">
        <f t="shared" si="36"/>
        <v>41</v>
      </c>
      <c r="BT51" s="54">
        <f>Eu_tabel_g[[#This Row],[Indeks]]+1</f>
        <v>42</v>
      </c>
      <c r="BU51" s="139">
        <f t="shared" si="37"/>
        <v>-2.1080654491687407</v>
      </c>
      <c r="BV51" s="139">
        <f t="shared" si="38"/>
        <v>4.3243493241990262E-2</v>
      </c>
      <c r="BW51" s="139" t="e">
        <f t="shared" si="39"/>
        <v>#N/A</v>
      </c>
      <c r="BX51" s="139" t="e">
        <f t="shared" si="40"/>
        <v>#N/A</v>
      </c>
      <c r="BY51" s="139" t="e">
        <f t="shared" si="41"/>
        <v>#N/A</v>
      </c>
      <c r="BZ51" s="139" t="b">
        <f t="shared" si="42"/>
        <v>1</v>
      </c>
      <c r="CA51" s="139" t="b">
        <f t="shared" si="43"/>
        <v>0</v>
      </c>
      <c r="CB51" s="139" t="b">
        <f t="shared" si="44"/>
        <v>1</v>
      </c>
      <c r="CC51" s="139" t="b">
        <f t="shared" si="45"/>
        <v>0</v>
      </c>
      <c r="CD51" s="139">
        <f t="shared" si="128"/>
        <v>4.3243493241990262E-2</v>
      </c>
      <c r="CE51" s="139">
        <f t="shared" si="47"/>
        <v>4.3243493241990262E-2</v>
      </c>
      <c r="CF51" s="139" t="e">
        <f t="shared" si="48"/>
        <v>#N/A</v>
      </c>
      <c r="CG51" s="140" t="str">
        <f t="shared" si="49"/>
        <v/>
      </c>
      <c r="CH51" s="54">
        <f>_xlfn.NORM.DIST(_xlfn.NORM.INV(1-Eu_g_konfidensniveau,0,1)-Eu_tabel_g[[#This Row],[x base]],0,1,TRUE)</f>
        <v>0.67839372848406132</v>
      </c>
      <c r="CI51" s="54">
        <f>1-_xlfn.NORM.DIST(_xlfn.NORM.INV(Eu_g_konfidensniveau,0,1)-Eu_tabel_g[[#This Row],[x base]],0,1,TRUE)</f>
        <v>8.7393645895605943E-5</v>
      </c>
      <c r="CJ51" s="54">
        <f>_xlfn.NORM.DIST(_xlfn.NORM.INV((1-Eu_g_konfidensniveau)/2,0,1)-Eu_tabel_g[[#This Row],[x base]],0,1,TRUE)+1-_xlfn.NORM.DIST(_xlfn.NORM.INV(1-(1-Eu_g_konfidensniveau)/2,0,1)-Eu_tabel_g[[#This Row],[x base]],0,1,TRUE)</f>
        <v>0.55889235940323401</v>
      </c>
      <c r="CK51" s="54" t="e" cm="1">
        <f t="array" ref="CK51">IF($CK$3,INDEX(Eu_tabel_g[[#This Row],[Styrke venstre]:[Styrke tosidet]],CK$7),NA())</f>
        <v>#N/A</v>
      </c>
      <c r="CL51" s="99" t="e">
        <f>Eu_tabel_g[[#This Row],[Falsk positiv
Nulhypotese accepteres
Fejltype 1]]</f>
        <v>#N/A</v>
      </c>
      <c r="CM51" s="99" t="e">
        <f>IF(CHOOSE(CK$7,Eu_tabel_g[[#This Row],[x base]]&gt;0,Eu_tabel_g[[#This Row],[x base]]&lt;0,Eu_tabel_g[[#This Row],[x base]]=0),Eu_tabel_g[[#This Row],[Styrke, aktiv]],NA())</f>
        <v>#N/A</v>
      </c>
      <c r="CN51" s="99" t="e">
        <f>IFERROR(IF($CK$3,Eu_tabel_g[[#This Row],[Styrke, aktiv]],NA()),NA())</f>
        <v>#N/A</v>
      </c>
      <c r="CO51" s="99" t="e">
        <f>IF(ISNA(Eu_tabel_g[[#This Row],[Sand negativ
Nulhypotese afvises
Korrekt]]),NA(),IF($CK$3,1,NA()))</f>
        <v>#N/A</v>
      </c>
      <c r="CP51" s="56" t="str" cm="1">
        <f t="array" ref="CP51">_xlfn.SWITCH(BS51,_xlfn.IFNA(CN$2,-99),CN$5,_xlfn.IFNA(CN$3,-99),CN$6,_xlfn.IFNA(CN$4,-99),CN$7,"")</f>
        <v/>
      </c>
      <c r="CT51" s="7">
        <f t="shared" si="50"/>
        <v>0.8</v>
      </c>
      <c r="CU51">
        <f>IF(ROW(Styrkeberegning_G[[#This Row],[X base venstre]])=ROW(Styrkeberegning_G[[#Headers],[X base venstre]])+1,CU$7/(CT$7/$B$67),CU50/(CT50/$B$67))</f>
        <v>-2.8015817870135784</v>
      </c>
      <c r="CV51">
        <f>Styrkeberegning_G[[#This Row],[X base venstre]]*-1</f>
        <v>2.8015817870135784</v>
      </c>
      <c r="DG51" s="139">
        <f t="shared" si="51"/>
        <v>41</v>
      </c>
      <c r="DH51" s="54">
        <f t="shared" si="52"/>
        <v>42</v>
      </c>
      <c r="DI51" s="139">
        <f t="shared" si="53"/>
        <v>6.5107577777507313</v>
      </c>
      <c r="DJ51" s="139" t="e">
        <f t="shared" si="54"/>
        <v>#N/A</v>
      </c>
      <c r="DK51" s="139" t="e">
        <f t="shared" si="55"/>
        <v>#N/A</v>
      </c>
      <c r="DL51" s="139">
        <f t="shared" si="56"/>
        <v>7.4649532501100041E-2</v>
      </c>
      <c r="DM51" s="139" t="e">
        <f t="shared" si="57"/>
        <v>#N/A</v>
      </c>
      <c r="DN51" s="139" t="b">
        <f t="shared" si="58"/>
        <v>0</v>
      </c>
      <c r="DO51" s="139" t="b">
        <f t="shared" si="59"/>
        <v>1</v>
      </c>
      <c r="DP51" s="139" t="b">
        <f t="shared" si="60"/>
        <v>0</v>
      </c>
      <c r="DQ51" s="139" t="b">
        <f t="shared" si="61"/>
        <v>1</v>
      </c>
      <c r="DR51" s="139">
        <f t="shared" si="62"/>
        <v>7.4649532501100041E-2</v>
      </c>
      <c r="DS51" s="139" t="e">
        <f t="shared" si="63"/>
        <v>#N/A</v>
      </c>
      <c r="DT51" s="139">
        <f t="shared" si="64"/>
        <v>7.4649532501100041E-2</v>
      </c>
      <c r="DU51" s="140" t="str">
        <f t="shared" si="65"/>
        <v/>
      </c>
      <c r="DZ51" s="139">
        <f t="shared" si="66"/>
        <v>41</v>
      </c>
      <c r="EA51" s="54">
        <f t="shared" si="67"/>
        <v>42</v>
      </c>
      <c r="EB51" s="139">
        <f t="shared" si="68"/>
        <v>-2.1080654491687407</v>
      </c>
      <c r="EC51" s="139">
        <f t="shared" si="69"/>
        <v>4.3243493241990262E-2</v>
      </c>
      <c r="ED51" s="139" t="e">
        <f t="shared" si="70"/>
        <v>#N/A</v>
      </c>
      <c r="EE51" s="139" t="e">
        <f t="shared" si="71"/>
        <v>#N/A</v>
      </c>
      <c r="EF51" s="139" t="e">
        <f t="shared" si="72"/>
        <v>#N/A</v>
      </c>
      <c r="EG51" s="139" t="b">
        <f t="shared" si="73"/>
        <v>1</v>
      </c>
      <c r="EH51" s="139" t="b">
        <f t="shared" si="74"/>
        <v>0</v>
      </c>
      <c r="EI51" s="139" t="b">
        <f t="shared" si="75"/>
        <v>1</v>
      </c>
      <c r="EJ51" s="139" t="b">
        <f t="shared" si="76"/>
        <v>0</v>
      </c>
      <c r="EK51" s="139">
        <f t="shared" si="77"/>
        <v>4.3243493241990262E-2</v>
      </c>
      <c r="EL51" s="139">
        <f t="shared" si="78"/>
        <v>4.3243493241990262E-2</v>
      </c>
      <c r="EM51" s="139" t="e">
        <f t="shared" si="79"/>
        <v>#N/A</v>
      </c>
      <c r="EN51" s="140" t="str">
        <f t="shared" si="80"/>
        <v/>
      </c>
      <c r="EO5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5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5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51" s="54" t="e" cm="1">
        <f t="array" ref="ER51">IF($CK$3,INDEX(Eu_tabel_a[[#This Row],[Styrke venstre]:[Styrke tosidet]],ER$7),NA())</f>
        <v>#N/A</v>
      </c>
      <c r="ES51" s="54" t="e">
        <f>IF(ER$3,IF(CHOOSE(ER$7,Eu_tabel_a[[#This Row],[x base]]&gt;0,Eu_tabel_a[[#This Row],[x base]]&lt;0,Eu_tabel_a[[#This Row],[x base]]=0),1,NA()),NA())</f>
        <v>#N/A</v>
      </c>
      <c r="ET51" s="54" t="e">
        <f>IF(CHOOSE(ER$7,Eu_tabel_a[[#This Row],[x base]]&gt;0,Eu_tabel_a[[#This Row],[x base]]&lt;0,Eu_tabel_a[[#This Row],[x base]]=0),Eu_tabel_a[[#This Row],[Styrke, aktiv]],NA())</f>
        <v>#N/A</v>
      </c>
      <c r="EU51" s="54" t="e">
        <f>IFERROR(IF($ER$3,Eu_tabel_a[[#This Row],[Styrke, aktiv]],NA()),NA())</f>
        <v>#N/A</v>
      </c>
      <c r="EV51" s="54" t="e">
        <f>IF(ISNA(Eu_tabel_a[[#This Row],[Sand negativ
Nulhypotese afvises
Korrekt]]),NA(),IF(ER$3,1,NA()))</f>
        <v>#N/A</v>
      </c>
      <c r="EW51" s="55" t="str" cm="1">
        <f t="array" ref="EW51">IFERROR(_xlfn.SWITCH(Eu_tabel_a[[#This Row],[Indeks]],_xlfn.IFNA(EU$2,-99),EU$5,_xlfn.IFNA(EU$3,-99),EU$6,_xlfn.IFNA(EU$4,-99),EU$7,""),"")</f>
        <v/>
      </c>
      <c r="EX51" s="54">
        <f>Eu_tabel_a[[#This Row],[x base]]*SQRT(Eu_a_h0_x*(1-Eu_a_h0_x)/Eu_a_n_x)+Eu_a_h0_x</f>
        <v>0</v>
      </c>
      <c r="FC51" s="161" t="e">
        <f t="shared" si="18"/>
        <v>#N/A</v>
      </c>
      <c r="FD51" s="169" t="e">
        <f t="shared" si="121"/>
        <v>#DIV/0!</v>
      </c>
      <c r="FE51" s="7" t="e">
        <f t="shared" si="12"/>
        <v>#DIV/0!</v>
      </c>
      <c r="FF51" t="e">
        <f t="shared" si="122"/>
        <v>#DIV/0!</v>
      </c>
      <c r="FG51" s="8" t="e">
        <f t="shared" si="123"/>
        <v>#DIV/0!</v>
      </c>
      <c r="FH51" s="8" t="e">
        <f t="shared" si="124"/>
        <v>#DIV/0!</v>
      </c>
      <c r="FI51" s="168" t="e">
        <f t="shared" si="125"/>
        <v>#DIV/0!</v>
      </c>
      <c r="FJ51" s="161" t="e">
        <f t="shared" ca="1" si="13"/>
        <v>#N/A</v>
      </c>
      <c r="FK51" s="169" t="e" vm="3">
        <f t="shared" ca="1" si="19"/>
        <v>#VALUE!</v>
      </c>
      <c r="FL51" s="7" t="e" vm="3">
        <f t="shared" ca="1" si="14"/>
        <v>#VALUE!</v>
      </c>
      <c r="FM51" t="e" vm="3">
        <f t="shared" ca="1" si="8"/>
        <v>#VALUE!</v>
      </c>
      <c r="FN51" s="8" t="e" vm="3">
        <f t="shared" ca="1" si="9"/>
        <v>#VALUE!</v>
      </c>
      <c r="FO51" s="8" t="e" vm="3">
        <f t="shared" ca="1" si="10"/>
        <v>#VALUE!</v>
      </c>
      <c r="FP51" s="168" t="e" vm="3">
        <f t="shared" ca="1" si="11"/>
        <v>#VALUE!</v>
      </c>
      <c r="FQ51" s="161" t="e">
        <f t="shared" si="15"/>
        <v>#N/A</v>
      </c>
      <c r="FR51" s="169" t="e">
        <f t="shared" si="20"/>
        <v>#N/A</v>
      </c>
      <c r="FS51" s="7" t="e">
        <f t="shared" si="16"/>
        <v>#N/A</v>
      </c>
      <c r="FT51" t="e">
        <f t="shared" si="21"/>
        <v>#N/A</v>
      </c>
      <c r="FU51" s="8" t="e">
        <f t="shared" si="22"/>
        <v>#N/A</v>
      </c>
      <c r="FV51" s="8" t="e">
        <f t="shared" si="23"/>
        <v>#N/A</v>
      </c>
      <c r="FW51" s="168" t="e">
        <f t="shared" si="24"/>
        <v>#N/A</v>
      </c>
      <c r="FX51" s="161" t="e">
        <f t="shared" si="25"/>
        <v>#N/A</v>
      </c>
      <c r="FY51" s="169" t="e">
        <f t="shared" si="26"/>
        <v>#N/A</v>
      </c>
      <c r="FZ51" s="7" t="e">
        <f t="shared" si="17"/>
        <v>#N/A</v>
      </c>
      <c r="GA51" t="e">
        <f t="shared" si="27"/>
        <v>#N/A</v>
      </c>
      <c r="GB51" s="8" t="e">
        <f t="shared" si="28"/>
        <v>#N/A</v>
      </c>
      <c r="GC51" s="8" t="e">
        <f t="shared" si="29"/>
        <v>#N/A</v>
      </c>
      <c r="GD51" s="168" t="e">
        <f t="shared" si="30"/>
        <v>#N/A</v>
      </c>
      <c r="GE51" s="168"/>
      <c r="GF51" s="168"/>
      <c r="GI51" s="139">
        <f t="shared" si="81"/>
        <v>41</v>
      </c>
      <c r="GJ51" s="54">
        <f t="shared" si="82"/>
        <v>42</v>
      </c>
      <c r="GK51" s="139">
        <f t="shared" si="83"/>
        <v>-2.1080654491687407</v>
      </c>
      <c r="GL51" s="139">
        <f t="shared" si="84"/>
        <v>4.3243493241990262E-2</v>
      </c>
      <c r="GM51" s="139" t="e">
        <f t="shared" si="85"/>
        <v>#N/A</v>
      </c>
      <c r="GN51" s="139" t="e">
        <f t="shared" si="86"/>
        <v>#N/A</v>
      </c>
      <c r="GO51" s="139" t="e">
        <f t="shared" si="87"/>
        <v>#N/A</v>
      </c>
      <c r="GP51" s="139" t="b">
        <f t="shared" si="88"/>
        <v>1</v>
      </c>
      <c r="GQ51" s="139" t="b">
        <f t="shared" si="89"/>
        <v>0</v>
      </c>
      <c r="GR51" s="139" t="b">
        <f t="shared" si="90"/>
        <v>1</v>
      </c>
      <c r="GS51" s="139" t="b">
        <f t="shared" si="91"/>
        <v>0</v>
      </c>
      <c r="GT51" s="139">
        <f t="shared" si="92"/>
        <v>4.3243493241990262E-2</v>
      </c>
      <c r="GU51" s="139">
        <f t="shared" si="93"/>
        <v>4.3243493241990262E-2</v>
      </c>
      <c r="GV51" s="139" t="e">
        <f t="shared" si="94"/>
        <v>#N/A</v>
      </c>
      <c r="GW51" s="140" t="str">
        <f t="shared" si="95"/>
        <v/>
      </c>
      <c r="HC51" s="139">
        <f t="shared" si="96"/>
        <v>41</v>
      </c>
      <c r="HD51" s="54">
        <f t="shared" si="97"/>
        <v>42</v>
      </c>
      <c r="HE51" s="139">
        <f t="shared" si="98"/>
        <v>-3.2643836226370024</v>
      </c>
      <c r="HF51" s="139" t="e">
        <f t="shared" si="99"/>
        <v>#N/A</v>
      </c>
      <c r="HG51" s="139">
        <f t="shared" si="100"/>
        <v>9.511614587176604E-3</v>
      </c>
      <c r="HH51" s="139" t="e">
        <f t="shared" si="101"/>
        <v>#N/A</v>
      </c>
      <c r="HI51" s="139" t="e">
        <f t="shared" si="102"/>
        <v>#N/A</v>
      </c>
      <c r="HJ51" s="139" t="b">
        <f t="shared" si="103"/>
        <v>1</v>
      </c>
      <c r="HK51" s="139" t="b">
        <f t="shared" si="104"/>
        <v>0</v>
      </c>
      <c r="HL51" s="139" t="b">
        <f t="shared" si="105"/>
        <v>1</v>
      </c>
      <c r="HM51" s="139" t="b">
        <f t="shared" si="106"/>
        <v>0</v>
      </c>
      <c r="HN51" s="139">
        <f t="shared" si="107"/>
        <v>9.511614587176604E-3</v>
      </c>
      <c r="HO51" s="139">
        <f t="shared" si="108"/>
        <v>9.511614587176604E-3</v>
      </c>
      <c r="HP51" s="139" t="e">
        <f t="shared" si="109"/>
        <v>#N/A</v>
      </c>
      <c r="HQ51" s="140" t="str">
        <f t="shared" si="110"/>
        <v/>
      </c>
    </row>
    <row r="52" spans="57:225" x14ac:dyDescent="0.2">
      <c r="BE52">
        <v>-0.89773712069108735</v>
      </c>
      <c r="BF52">
        <v>9.7085240838788316</v>
      </c>
      <c r="BG52" t="b">
        <v>0</v>
      </c>
      <c r="BH52">
        <v>-0.89773712069108735</v>
      </c>
      <c r="BI52">
        <v>-0.89773712069108735</v>
      </c>
      <c r="BS52" s="139">
        <f t="shared" si="36"/>
        <v>42</v>
      </c>
      <c r="BT52" s="54">
        <f>Eu_tabel_g[[#This Row],[Indeks]]+1</f>
        <v>43</v>
      </c>
      <c r="BU52" s="139">
        <f t="shared" si="37"/>
        <v>-2.0841101599736414</v>
      </c>
      <c r="BV52" s="139">
        <f t="shared" si="38"/>
        <v>4.5470290940174081E-2</v>
      </c>
      <c r="BW52" s="139" t="e">
        <f t="shared" si="39"/>
        <v>#N/A</v>
      </c>
      <c r="BX52" s="139" t="e">
        <f t="shared" si="40"/>
        <v>#N/A</v>
      </c>
      <c r="BY52" s="139" t="e">
        <f t="shared" si="41"/>
        <v>#N/A</v>
      </c>
      <c r="BZ52" s="139" t="b">
        <f t="shared" si="42"/>
        <v>1</v>
      </c>
      <c r="CA52" s="139" t="b">
        <f t="shared" si="43"/>
        <v>0</v>
      </c>
      <c r="CB52" s="139" t="b">
        <f t="shared" si="44"/>
        <v>1</v>
      </c>
      <c r="CC52" s="139" t="b">
        <f t="shared" si="45"/>
        <v>0</v>
      </c>
      <c r="CD52" s="139">
        <f t="shared" si="128"/>
        <v>4.5470290940174081E-2</v>
      </c>
      <c r="CE52" s="139">
        <f t="shared" si="47"/>
        <v>4.5470290940174081E-2</v>
      </c>
      <c r="CF52" s="139" t="e">
        <f t="shared" si="48"/>
        <v>#N/A</v>
      </c>
      <c r="CG52" s="140" t="str">
        <f t="shared" si="49"/>
        <v/>
      </c>
      <c r="CH52" s="54">
        <f>_xlfn.NORM.DIST(_xlfn.NORM.INV(1-Eu_g_konfidensniveau,0,1)-Eu_tabel_g[[#This Row],[x base]],0,1,TRUE)</f>
        <v>0.66976216699595215</v>
      </c>
      <c r="CI52" s="54">
        <f>1-_xlfn.NORM.DIST(_xlfn.NORM.INV(Eu_g_konfidensniveau,0,1)-Eu_tabel_g[[#This Row],[x base]],0,1,TRUE)</f>
        <v>9.6134388684721017E-5</v>
      </c>
      <c r="CJ52" s="54">
        <f>_xlfn.NORM.DIST(_xlfn.NORM.INV((1-Eu_g_konfidensniveau)/2,0,1)-Eu_tabel_g[[#This Row],[x base]],0,1,TRUE)+1-_xlfn.NORM.DIST(_xlfn.NORM.INV(1-(1-Eu_g_konfidensniveau)/2,0,1)-Eu_tabel_g[[#This Row],[x base]],0,1,TRUE)</f>
        <v>0.54942649604071081</v>
      </c>
      <c r="CK52" s="54" t="e" cm="1">
        <f t="array" ref="CK52">IF($CK$3,INDEX(Eu_tabel_g[[#This Row],[Styrke venstre]:[Styrke tosidet]],CK$7),NA())</f>
        <v>#N/A</v>
      </c>
      <c r="CL52" s="99" t="e">
        <f>Eu_tabel_g[[#This Row],[Falsk positiv
Nulhypotese accepteres
Fejltype 1]]</f>
        <v>#N/A</v>
      </c>
      <c r="CM52" s="99" t="e">
        <f>IF(CHOOSE(CK$7,Eu_tabel_g[[#This Row],[x base]]&gt;0,Eu_tabel_g[[#This Row],[x base]]&lt;0,Eu_tabel_g[[#This Row],[x base]]=0),Eu_tabel_g[[#This Row],[Styrke, aktiv]],NA())</f>
        <v>#N/A</v>
      </c>
      <c r="CN52" s="99" t="e">
        <f>IFERROR(IF($CK$3,Eu_tabel_g[[#This Row],[Styrke, aktiv]],NA()),NA())</f>
        <v>#N/A</v>
      </c>
      <c r="CO52" s="99" t="e">
        <f>IF(ISNA(Eu_tabel_g[[#This Row],[Sand negativ
Nulhypotese afvises
Korrekt]]),NA(),IF($CK$3,1,NA()))</f>
        <v>#N/A</v>
      </c>
      <c r="CP52" s="56" t="str" cm="1">
        <f t="array" ref="CP52">_xlfn.SWITCH(BS52,_xlfn.IFNA(CN$2,-99),CN$5,_xlfn.IFNA(CN$3,-99),CN$6,_xlfn.IFNA(CN$4,-99),CN$7,"")</f>
        <v/>
      </c>
      <c r="CT52" s="7">
        <f t="shared" si="50"/>
        <v>0.8</v>
      </c>
      <c r="CU52">
        <f>IF(ROW(Styrkeberegning_G[[#This Row],[X base venstre]])=ROW(Styrkeberegning_G[[#Headers],[X base venstre]])+1,CU$7/(CT$7/$B$67),CU51/(CT51/$B$67))</f>
        <v>-2.8015817870135784</v>
      </c>
      <c r="CV52">
        <f>Styrkeberegning_G[[#This Row],[X base venstre]]*-1</f>
        <v>2.8015817870135784</v>
      </c>
      <c r="DG52" s="139">
        <f t="shared" si="51"/>
        <v>42</v>
      </c>
      <c r="DH52" s="54">
        <f t="shared" si="52"/>
        <v>43</v>
      </c>
      <c r="DI52" s="139">
        <f t="shared" si="53"/>
        <v>6.6248286341677325</v>
      </c>
      <c r="DJ52" s="139" t="e">
        <f t="shared" si="54"/>
        <v>#N/A</v>
      </c>
      <c r="DK52" s="139" t="e">
        <f t="shared" si="55"/>
        <v>#N/A</v>
      </c>
      <c r="DL52" s="139">
        <f t="shared" si="56"/>
        <v>7.6243165119018616E-2</v>
      </c>
      <c r="DM52" s="139" t="e">
        <f t="shared" si="57"/>
        <v>#N/A</v>
      </c>
      <c r="DN52" s="139" t="b">
        <f t="shared" si="58"/>
        <v>0</v>
      </c>
      <c r="DO52" s="139" t="b">
        <f t="shared" si="59"/>
        <v>1</v>
      </c>
      <c r="DP52" s="139" t="b">
        <f t="shared" si="60"/>
        <v>0</v>
      </c>
      <c r="DQ52" s="139" t="b">
        <f t="shared" si="61"/>
        <v>1</v>
      </c>
      <c r="DR52" s="139">
        <f t="shared" si="62"/>
        <v>7.6243165119018616E-2</v>
      </c>
      <c r="DS52" s="139" t="e">
        <f t="shared" si="63"/>
        <v>#N/A</v>
      </c>
      <c r="DT52" s="139">
        <f t="shared" si="64"/>
        <v>7.6243165119018616E-2</v>
      </c>
      <c r="DU52" s="140" t="str">
        <f t="shared" si="65"/>
        <v/>
      </c>
      <c r="DZ52" s="139">
        <f t="shared" si="66"/>
        <v>42</v>
      </c>
      <c r="EA52" s="54">
        <f t="shared" si="67"/>
        <v>43</v>
      </c>
      <c r="EB52" s="139">
        <f t="shared" si="68"/>
        <v>-2.0841101599736414</v>
      </c>
      <c r="EC52" s="139">
        <f t="shared" si="69"/>
        <v>4.5470290940174081E-2</v>
      </c>
      <c r="ED52" s="139" t="e">
        <f t="shared" si="70"/>
        <v>#N/A</v>
      </c>
      <c r="EE52" s="139" t="e">
        <f t="shared" si="71"/>
        <v>#N/A</v>
      </c>
      <c r="EF52" s="139" t="e">
        <f t="shared" si="72"/>
        <v>#N/A</v>
      </c>
      <c r="EG52" s="139" t="b">
        <f t="shared" si="73"/>
        <v>1</v>
      </c>
      <c r="EH52" s="139" t="b">
        <f t="shared" si="74"/>
        <v>0</v>
      </c>
      <c r="EI52" s="139" t="b">
        <f t="shared" si="75"/>
        <v>1</v>
      </c>
      <c r="EJ52" s="139" t="b">
        <f t="shared" si="76"/>
        <v>0</v>
      </c>
      <c r="EK52" s="139">
        <f t="shared" si="77"/>
        <v>4.5470290940174081E-2</v>
      </c>
      <c r="EL52" s="139">
        <f t="shared" si="78"/>
        <v>4.5470290940174081E-2</v>
      </c>
      <c r="EM52" s="139" t="e">
        <f t="shared" si="79"/>
        <v>#N/A</v>
      </c>
      <c r="EN52" s="140" t="str">
        <f t="shared" si="80"/>
        <v/>
      </c>
      <c r="EO5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5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5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52" s="54" t="e" cm="1">
        <f t="array" ref="ER52">IF($CK$3,INDEX(Eu_tabel_a[[#This Row],[Styrke venstre]:[Styrke tosidet]],ER$7),NA())</f>
        <v>#N/A</v>
      </c>
      <c r="ES52" s="54" t="e">
        <f>IF(ER$3,IF(CHOOSE(ER$7,Eu_tabel_a[[#This Row],[x base]]&gt;0,Eu_tabel_a[[#This Row],[x base]]&lt;0,Eu_tabel_a[[#This Row],[x base]]=0),1,NA()),NA())</f>
        <v>#N/A</v>
      </c>
      <c r="ET52" s="54" t="e">
        <f>IF(CHOOSE(ER$7,Eu_tabel_a[[#This Row],[x base]]&gt;0,Eu_tabel_a[[#This Row],[x base]]&lt;0,Eu_tabel_a[[#This Row],[x base]]=0),Eu_tabel_a[[#This Row],[Styrke, aktiv]],NA())</f>
        <v>#N/A</v>
      </c>
      <c r="EU52" s="54" t="e">
        <f>IFERROR(IF($ER$3,Eu_tabel_a[[#This Row],[Styrke, aktiv]],NA()),NA())</f>
        <v>#N/A</v>
      </c>
      <c r="EV52" s="54" t="e">
        <f>IF(ISNA(Eu_tabel_a[[#This Row],[Sand negativ
Nulhypotese afvises
Korrekt]]),NA(),IF(ER$3,1,NA()))</f>
        <v>#N/A</v>
      </c>
      <c r="EW52" s="55" t="str" cm="1">
        <f t="array" ref="EW52">IFERROR(_xlfn.SWITCH(Eu_tabel_a[[#This Row],[Indeks]],_xlfn.IFNA(EU$2,-99),EU$5,_xlfn.IFNA(EU$3,-99),EU$6,_xlfn.IFNA(EU$4,-99),EU$7,""),"")</f>
        <v/>
      </c>
      <c r="EX52" s="54">
        <f>Eu_tabel_a[[#This Row],[x base]]*SQRT(Eu_a_h0_x*(1-Eu_a_h0_x)/Eu_a_n_x)+Eu_a_h0_x</f>
        <v>0</v>
      </c>
      <c r="FC52" s="161" t="e">
        <f t="shared" si="18"/>
        <v>#N/A</v>
      </c>
      <c r="FD52" s="169" t="e">
        <f t="shared" si="121"/>
        <v>#DIV/0!</v>
      </c>
      <c r="FE52" s="7" t="e">
        <f t="shared" si="12"/>
        <v>#DIV/0!</v>
      </c>
      <c r="FF52" t="e">
        <f t="shared" si="122"/>
        <v>#DIV/0!</v>
      </c>
      <c r="FG52" s="8" t="e">
        <f t="shared" si="123"/>
        <v>#DIV/0!</v>
      </c>
      <c r="FH52" s="8" t="e">
        <f t="shared" si="124"/>
        <v>#DIV/0!</v>
      </c>
      <c r="FI52" s="168" t="e">
        <f t="shared" si="125"/>
        <v>#DIV/0!</v>
      </c>
      <c r="FJ52" s="161" t="e">
        <f t="shared" ca="1" si="13"/>
        <v>#N/A</v>
      </c>
      <c r="FK52" s="169" t="e" vm="3">
        <f t="shared" ca="1" si="19"/>
        <v>#VALUE!</v>
      </c>
      <c r="FL52" s="7" t="e" vm="3">
        <f t="shared" ca="1" si="14"/>
        <v>#VALUE!</v>
      </c>
      <c r="FM52" t="e" vm="3">
        <f t="shared" ca="1" si="8"/>
        <v>#VALUE!</v>
      </c>
      <c r="FN52" s="8" t="e" vm="3">
        <f t="shared" ca="1" si="9"/>
        <v>#VALUE!</v>
      </c>
      <c r="FO52" s="8" t="e" vm="3">
        <f t="shared" ca="1" si="10"/>
        <v>#VALUE!</v>
      </c>
      <c r="FP52" s="168" t="e" vm="3">
        <f t="shared" ca="1" si="11"/>
        <v>#VALUE!</v>
      </c>
      <c r="FQ52" s="161" t="e">
        <f t="shared" si="15"/>
        <v>#N/A</v>
      </c>
      <c r="FR52" s="169" t="e">
        <f t="shared" si="20"/>
        <v>#N/A</v>
      </c>
      <c r="FS52" s="7" t="e">
        <f t="shared" si="16"/>
        <v>#N/A</v>
      </c>
      <c r="FT52" t="e">
        <f t="shared" si="21"/>
        <v>#N/A</v>
      </c>
      <c r="FU52" s="8" t="e">
        <f t="shared" si="22"/>
        <v>#N/A</v>
      </c>
      <c r="FV52" s="8" t="e">
        <f t="shared" si="23"/>
        <v>#N/A</v>
      </c>
      <c r="FW52" s="168" t="e">
        <f t="shared" si="24"/>
        <v>#N/A</v>
      </c>
      <c r="FX52" s="161" t="e">
        <f t="shared" si="25"/>
        <v>#N/A</v>
      </c>
      <c r="FY52" s="169" t="e">
        <f t="shared" si="26"/>
        <v>#N/A</v>
      </c>
      <c r="FZ52" s="7" t="e">
        <f t="shared" si="17"/>
        <v>#N/A</v>
      </c>
      <c r="GA52" t="e">
        <f t="shared" si="27"/>
        <v>#N/A</v>
      </c>
      <c r="GB52" s="8" t="e">
        <f t="shared" si="28"/>
        <v>#N/A</v>
      </c>
      <c r="GC52" s="8" t="e">
        <f t="shared" si="29"/>
        <v>#N/A</v>
      </c>
      <c r="GD52" s="168" t="e">
        <f t="shared" si="30"/>
        <v>#N/A</v>
      </c>
      <c r="GE52" s="168"/>
      <c r="GF52" s="168"/>
      <c r="GI52" s="139">
        <f t="shared" si="81"/>
        <v>42</v>
      </c>
      <c r="GJ52" s="54">
        <f t="shared" si="82"/>
        <v>43</v>
      </c>
      <c r="GK52" s="139">
        <f t="shared" si="83"/>
        <v>-2.0841101599736414</v>
      </c>
      <c r="GL52" s="139">
        <f t="shared" si="84"/>
        <v>4.5470290940174081E-2</v>
      </c>
      <c r="GM52" s="139" t="e">
        <f t="shared" si="85"/>
        <v>#N/A</v>
      </c>
      <c r="GN52" s="139" t="e">
        <f t="shared" si="86"/>
        <v>#N/A</v>
      </c>
      <c r="GO52" s="139" t="e">
        <f t="shared" si="87"/>
        <v>#N/A</v>
      </c>
      <c r="GP52" s="139" t="b">
        <f t="shared" si="88"/>
        <v>1</v>
      </c>
      <c r="GQ52" s="139" t="b">
        <f t="shared" si="89"/>
        <v>0</v>
      </c>
      <c r="GR52" s="139" t="b">
        <f t="shared" si="90"/>
        <v>1</v>
      </c>
      <c r="GS52" s="139" t="b">
        <f t="shared" si="91"/>
        <v>0</v>
      </c>
      <c r="GT52" s="139">
        <f t="shared" si="92"/>
        <v>4.5470290940174081E-2</v>
      </c>
      <c r="GU52" s="139">
        <f t="shared" si="93"/>
        <v>4.5470290940174081E-2</v>
      </c>
      <c r="GV52" s="139" t="e">
        <f t="shared" si="94"/>
        <v>#N/A</v>
      </c>
      <c r="GW52" s="140" t="str">
        <f t="shared" si="95"/>
        <v/>
      </c>
      <c r="HC52" s="139">
        <f t="shared" si="96"/>
        <v>42</v>
      </c>
      <c r="HD52" s="54">
        <f t="shared" si="97"/>
        <v>43</v>
      </c>
      <c r="HE52" s="139">
        <f t="shared" si="98"/>
        <v>-3.2272883541979454</v>
      </c>
      <c r="HF52" s="139" t="e">
        <f t="shared" si="99"/>
        <v>#N/A</v>
      </c>
      <c r="HG52" s="139">
        <f t="shared" si="100"/>
        <v>1.0048712376837356E-2</v>
      </c>
      <c r="HH52" s="139" t="e">
        <f t="shared" si="101"/>
        <v>#N/A</v>
      </c>
      <c r="HI52" s="139" t="e">
        <f t="shared" si="102"/>
        <v>#N/A</v>
      </c>
      <c r="HJ52" s="139" t="b">
        <f t="shared" si="103"/>
        <v>1</v>
      </c>
      <c r="HK52" s="139" t="b">
        <f t="shared" si="104"/>
        <v>0</v>
      </c>
      <c r="HL52" s="139" t="b">
        <f t="shared" si="105"/>
        <v>1</v>
      </c>
      <c r="HM52" s="139" t="b">
        <f t="shared" si="106"/>
        <v>0</v>
      </c>
      <c r="HN52" s="139">
        <f t="shared" si="107"/>
        <v>1.0048712376837356E-2</v>
      </c>
      <c r="HO52" s="139">
        <f t="shared" si="108"/>
        <v>1.0048712376837356E-2</v>
      </c>
      <c r="HP52" s="139" t="e">
        <f t="shared" si="109"/>
        <v>#N/A</v>
      </c>
      <c r="HQ52" s="140" t="str">
        <f t="shared" si="110"/>
        <v/>
      </c>
    </row>
    <row r="53" spans="57:225" x14ac:dyDescent="0.2">
      <c r="BS53" s="139">
        <f t="shared" si="36"/>
        <v>43</v>
      </c>
      <c r="BT53" s="54">
        <f>Eu_tabel_g[[#This Row],[Indeks]]+1</f>
        <v>44</v>
      </c>
      <c r="BU53" s="139">
        <f t="shared" si="37"/>
        <v>-2.0601548707785424</v>
      </c>
      <c r="BV53" s="139">
        <f t="shared" si="38"/>
        <v>4.7784327061153015E-2</v>
      </c>
      <c r="BW53" s="139" t="e">
        <f t="shared" si="39"/>
        <v>#N/A</v>
      </c>
      <c r="BX53" s="139" t="e">
        <f t="shared" si="40"/>
        <v>#N/A</v>
      </c>
      <c r="BY53" s="139" t="e">
        <f t="shared" si="41"/>
        <v>#N/A</v>
      </c>
      <c r="BZ53" s="139" t="b">
        <f t="shared" si="42"/>
        <v>1</v>
      </c>
      <c r="CA53" s="139" t="b">
        <f t="shared" si="43"/>
        <v>0</v>
      </c>
      <c r="CB53" s="139" t="b">
        <f t="shared" si="44"/>
        <v>1</v>
      </c>
      <c r="CC53" s="139" t="b">
        <f t="shared" si="45"/>
        <v>0</v>
      </c>
      <c r="CD53" s="139">
        <f t="shared" si="128"/>
        <v>4.7784327061153015E-2</v>
      </c>
      <c r="CE53" s="139">
        <f t="shared" si="47"/>
        <v>4.7784327061153015E-2</v>
      </c>
      <c r="CF53" s="139" t="e">
        <f t="shared" si="48"/>
        <v>#N/A</v>
      </c>
      <c r="CG53" s="140" t="str">
        <f t="shared" si="49"/>
        <v/>
      </c>
      <c r="CH53" s="54">
        <f>_xlfn.NORM.DIST(_xlfn.NORM.INV(1-Eu_g_konfidensniveau,0,1)-Eu_tabel_g[[#This Row],[x base]],0,1,TRUE)</f>
        <v>0.66103930460390115</v>
      </c>
      <c r="CI53" s="54">
        <f>1-_xlfn.NORM.DIST(_xlfn.NORM.INV(Eu_g_konfidensniveau,0,1)-Eu_tabel_g[[#This Row],[x base]],0,1,TRUE)</f>
        <v>1.0569182294417612E-4</v>
      </c>
      <c r="CJ53" s="54">
        <f>_xlfn.NORM.DIST(_xlfn.NORM.INV((1-Eu_g_konfidensniveau)/2,0,1)-Eu_tabel_g[[#This Row],[x base]],0,1,TRUE)+1-_xlfn.NORM.DIST(_xlfn.NORM.INV(1-(1-Eu_g_konfidensniveau)/2,0,1)-Eu_tabel_g[[#This Row],[x base]],0,1,TRUE)</f>
        <v>0.53993269372568653</v>
      </c>
      <c r="CK53" s="54" t="e" cm="1">
        <f t="array" ref="CK53">IF($CK$3,INDEX(Eu_tabel_g[[#This Row],[Styrke venstre]:[Styrke tosidet]],CK$7),NA())</f>
        <v>#N/A</v>
      </c>
      <c r="CL53" s="99" t="e">
        <f>Eu_tabel_g[[#This Row],[Falsk positiv
Nulhypotese accepteres
Fejltype 1]]</f>
        <v>#N/A</v>
      </c>
      <c r="CM53" s="99" t="e">
        <f>IF(CHOOSE(CK$7,Eu_tabel_g[[#This Row],[x base]]&gt;0,Eu_tabel_g[[#This Row],[x base]]&lt;0,Eu_tabel_g[[#This Row],[x base]]=0),Eu_tabel_g[[#This Row],[Styrke, aktiv]],NA())</f>
        <v>#N/A</v>
      </c>
      <c r="CN53" s="99" t="e">
        <f>IFERROR(IF($CK$3,Eu_tabel_g[[#This Row],[Styrke, aktiv]],NA()),NA())</f>
        <v>#N/A</v>
      </c>
      <c r="CO53" s="99" t="e">
        <f>IF(ISNA(Eu_tabel_g[[#This Row],[Sand negativ
Nulhypotese afvises
Korrekt]]),NA(),IF($CK$3,1,NA()))</f>
        <v>#N/A</v>
      </c>
      <c r="CP53" s="56" t="str" cm="1">
        <f t="array" ref="CP53">_xlfn.SWITCH(BS53,_xlfn.IFNA(CN$2,-99),CN$5,_xlfn.IFNA(CN$3,-99),CN$6,_xlfn.IFNA(CN$4,-99),CN$7,"")</f>
        <v/>
      </c>
      <c r="CT53" s="7">
        <f t="shared" si="50"/>
        <v>0.8</v>
      </c>
      <c r="CU53">
        <f>IF(ROW(Styrkeberegning_G[[#This Row],[X base venstre]])=ROW(Styrkeberegning_G[[#Headers],[X base venstre]])+1,CU$7/(CT$7/$B$67),CU52/(CT52/$B$67))</f>
        <v>-2.8015817870135784</v>
      </c>
      <c r="CV53">
        <f>Styrkeberegning_G[[#This Row],[X base venstre]]*-1</f>
        <v>2.8015817870135784</v>
      </c>
      <c r="DG53" s="139">
        <f t="shared" si="51"/>
        <v>43</v>
      </c>
      <c r="DH53" s="54">
        <f t="shared" si="52"/>
        <v>44</v>
      </c>
      <c r="DI53" s="139">
        <f t="shared" si="53"/>
        <v>6.7388994905847337</v>
      </c>
      <c r="DJ53" s="139" t="e">
        <f t="shared" si="54"/>
        <v>#N/A</v>
      </c>
      <c r="DK53" s="139" t="e">
        <f t="shared" si="55"/>
        <v>#N/A</v>
      </c>
      <c r="DL53" s="139">
        <f t="shared" si="56"/>
        <v>7.7766979547437623E-2</v>
      </c>
      <c r="DM53" s="139" t="e">
        <f t="shared" si="57"/>
        <v>#N/A</v>
      </c>
      <c r="DN53" s="139" t="b">
        <f t="shared" si="58"/>
        <v>0</v>
      </c>
      <c r="DO53" s="139" t="b">
        <f t="shared" si="59"/>
        <v>1</v>
      </c>
      <c r="DP53" s="139" t="b">
        <f t="shared" si="60"/>
        <v>0</v>
      </c>
      <c r="DQ53" s="139" t="b">
        <f t="shared" si="61"/>
        <v>1</v>
      </c>
      <c r="DR53" s="139">
        <f t="shared" si="62"/>
        <v>7.7766979547437623E-2</v>
      </c>
      <c r="DS53" s="139" t="e">
        <f t="shared" si="63"/>
        <v>#N/A</v>
      </c>
      <c r="DT53" s="139">
        <f t="shared" si="64"/>
        <v>7.7766979547437623E-2</v>
      </c>
      <c r="DU53" s="140" t="str">
        <f t="shared" si="65"/>
        <v/>
      </c>
      <c r="DZ53" s="139">
        <f t="shared" si="66"/>
        <v>43</v>
      </c>
      <c r="EA53" s="54">
        <f t="shared" si="67"/>
        <v>44</v>
      </c>
      <c r="EB53" s="139">
        <f t="shared" si="68"/>
        <v>-2.0601548707785424</v>
      </c>
      <c r="EC53" s="139">
        <f t="shared" si="69"/>
        <v>4.7784327061153015E-2</v>
      </c>
      <c r="ED53" s="139" t="e">
        <f t="shared" si="70"/>
        <v>#N/A</v>
      </c>
      <c r="EE53" s="139" t="e">
        <f t="shared" si="71"/>
        <v>#N/A</v>
      </c>
      <c r="EF53" s="139" t="e">
        <f t="shared" si="72"/>
        <v>#N/A</v>
      </c>
      <c r="EG53" s="139" t="b">
        <f t="shared" si="73"/>
        <v>1</v>
      </c>
      <c r="EH53" s="139" t="b">
        <f t="shared" si="74"/>
        <v>0</v>
      </c>
      <c r="EI53" s="139" t="b">
        <f t="shared" si="75"/>
        <v>1</v>
      </c>
      <c r="EJ53" s="139" t="b">
        <f t="shared" si="76"/>
        <v>0</v>
      </c>
      <c r="EK53" s="139">
        <f t="shared" si="77"/>
        <v>4.7784327061153015E-2</v>
      </c>
      <c r="EL53" s="139">
        <f t="shared" si="78"/>
        <v>4.7784327061153015E-2</v>
      </c>
      <c r="EM53" s="139" t="e">
        <f t="shared" si="79"/>
        <v>#N/A</v>
      </c>
      <c r="EN53" s="140" t="str">
        <f t="shared" si="80"/>
        <v/>
      </c>
      <c r="EO5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5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5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53" s="54" t="e" cm="1">
        <f t="array" ref="ER53">IF($CK$3,INDEX(Eu_tabel_a[[#This Row],[Styrke venstre]:[Styrke tosidet]],ER$7),NA())</f>
        <v>#N/A</v>
      </c>
      <c r="ES53" s="54" t="e">
        <f>IF(ER$3,IF(CHOOSE(ER$7,Eu_tabel_a[[#This Row],[x base]]&gt;0,Eu_tabel_a[[#This Row],[x base]]&lt;0,Eu_tabel_a[[#This Row],[x base]]=0),1,NA()),NA())</f>
        <v>#N/A</v>
      </c>
      <c r="ET53" s="54" t="e">
        <f>IF(CHOOSE(ER$7,Eu_tabel_a[[#This Row],[x base]]&gt;0,Eu_tabel_a[[#This Row],[x base]]&lt;0,Eu_tabel_a[[#This Row],[x base]]=0),Eu_tabel_a[[#This Row],[Styrke, aktiv]],NA())</f>
        <v>#N/A</v>
      </c>
      <c r="EU53" s="54" t="e">
        <f>IFERROR(IF($ER$3,Eu_tabel_a[[#This Row],[Styrke, aktiv]],NA()),NA())</f>
        <v>#N/A</v>
      </c>
      <c r="EV53" s="54" t="e">
        <f>IF(ISNA(Eu_tabel_a[[#This Row],[Sand negativ
Nulhypotese afvises
Korrekt]]),NA(),IF(ER$3,1,NA()))</f>
        <v>#N/A</v>
      </c>
      <c r="EW53" s="55" t="str" cm="1">
        <f t="array" ref="EW53">IFERROR(_xlfn.SWITCH(Eu_tabel_a[[#This Row],[Indeks]],_xlfn.IFNA(EU$2,-99),EU$5,_xlfn.IFNA(EU$3,-99),EU$6,_xlfn.IFNA(EU$4,-99),EU$7,""),"")</f>
        <v/>
      </c>
      <c r="EX53" s="54">
        <f>Eu_tabel_a[[#This Row],[x base]]*SQRT(Eu_a_h0_x*(1-Eu_a_h0_x)/Eu_a_n_x)+Eu_a_h0_x</f>
        <v>0</v>
      </c>
      <c r="FC53" s="161" t="e">
        <f t="shared" si="18"/>
        <v>#N/A</v>
      </c>
      <c r="FD53" s="169" t="e">
        <f t="shared" si="121"/>
        <v>#DIV/0!</v>
      </c>
      <c r="FE53" s="7" t="e">
        <f t="shared" si="12"/>
        <v>#DIV/0!</v>
      </c>
      <c r="FF53" t="e">
        <f t="shared" si="122"/>
        <v>#DIV/0!</v>
      </c>
      <c r="FG53" s="8" t="e">
        <f t="shared" si="123"/>
        <v>#DIV/0!</v>
      </c>
      <c r="FH53" s="8" t="e">
        <f t="shared" si="124"/>
        <v>#DIV/0!</v>
      </c>
      <c r="FI53" s="168" t="e">
        <f t="shared" si="125"/>
        <v>#DIV/0!</v>
      </c>
      <c r="FJ53" s="161" t="e">
        <f t="shared" ca="1" si="13"/>
        <v>#N/A</v>
      </c>
      <c r="FK53" s="169" t="e" vm="3">
        <f t="shared" ca="1" si="19"/>
        <v>#VALUE!</v>
      </c>
      <c r="FL53" s="7" t="e" vm="3">
        <f t="shared" ca="1" si="14"/>
        <v>#VALUE!</v>
      </c>
      <c r="FM53" t="e" vm="3">
        <f t="shared" ca="1" si="8"/>
        <v>#VALUE!</v>
      </c>
      <c r="FN53" s="8" t="e" vm="3">
        <f t="shared" ca="1" si="9"/>
        <v>#VALUE!</v>
      </c>
      <c r="FO53" s="8" t="e" vm="3">
        <f t="shared" ca="1" si="10"/>
        <v>#VALUE!</v>
      </c>
      <c r="FP53" s="168" t="e" vm="3">
        <f t="shared" ca="1" si="11"/>
        <v>#VALUE!</v>
      </c>
      <c r="FQ53" s="161" t="e">
        <f t="shared" si="15"/>
        <v>#N/A</v>
      </c>
      <c r="FR53" s="169" t="e">
        <f t="shared" si="20"/>
        <v>#N/A</v>
      </c>
      <c r="FS53" s="7" t="e">
        <f t="shared" si="16"/>
        <v>#N/A</v>
      </c>
      <c r="FT53" t="e">
        <f t="shared" si="21"/>
        <v>#N/A</v>
      </c>
      <c r="FU53" s="8" t="e">
        <f t="shared" si="22"/>
        <v>#N/A</v>
      </c>
      <c r="FV53" s="8" t="e">
        <f t="shared" si="23"/>
        <v>#N/A</v>
      </c>
      <c r="FW53" s="168" t="e">
        <f t="shared" si="24"/>
        <v>#N/A</v>
      </c>
      <c r="FX53" s="161" t="e">
        <f t="shared" si="25"/>
        <v>#N/A</v>
      </c>
      <c r="FY53" s="169" t="e">
        <f t="shared" si="26"/>
        <v>#N/A</v>
      </c>
      <c r="FZ53" s="7" t="e">
        <f t="shared" si="17"/>
        <v>#N/A</v>
      </c>
      <c r="GA53" t="e">
        <f t="shared" si="27"/>
        <v>#N/A</v>
      </c>
      <c r="GB53" s="8" t="e">
        <f t="shared" si="28"/>
        <v>#N/A</v>
      </c>
      <c r="GC53" s="8" t="e">
        <f t="shared" si="29"/>
        <v>#N/A</v>
      </c>
      <c r="GD53" s="168" t="e">
        <f t="shared" si="30"/>
        <v>#N/A</v>
      </c>
      <c r="GE53" s="168"/>
      <c r="GF53" s="168"/>
      <c r="GI53" s="139">
        <f t="shared" si="81"/>
        <v>43</v>
      </c>
      <c r="GJ53" s="54">
        <f t="shared" si="82"/>
        <v>44</v>
      </c>
      <c r="GK53" s="139">
        <f t="shared" si="83"/>
        <v>-2.0601548707785424</v>
      </c>
      <c r="GL53" s="139">
        <f t="shared" si="84"/>
        <v>4.7784327061153015E-2</v>
      </c>
      <c r="GM53" s="139" t="e">
        <f t="shared" si="85"/>
        <v>#N/A</v>
      </c>
      <c r="GN53" s="139" t="e">
        <f t="shared" si="86"/>
        <v>#N/A</v>
      </c>
      <c r="GO53" s="139" t="e">
        <f t="shared" si="87"/>
        <v>#N/A</v>
      </c>
      <c r="GP53" s="139" t="b">
        <f t="shared" si="88"/>
        <v>1</v>
      </c>
      <c r="GQ53" s="139" t="b">
        <f t="shared" si="89"/>
        <v>0</v>
      </c>
      <c r="GR53" s="139" t="b">
        <f t="shared" si="90"/>
        <v>1</v>
      </c>
      <c r="GS53" s="139" t="b">
        <f t="shared" si="91"/>
        <v>0</v>
      </c>
      <c r="GT53" s="139">
        <f t="shared" si="92"/>
        <v>4.7784327061153015E-2</v>
      </c>
      <c r="GU53" s="139">
        <f t="shared" si="93"/>
        <v>4.7784327061153015E-2</v>
      </c>
      <c r="GV53" s="139" t="e">
        <f t="shared" si="94"/>
        <v>#N/A</v>
      </c>
      <c r="GW53" s="140" t="str">
        <f t="shared" si="95"/>
        <v/>
      </c>
      <c r="HC53" s="139">
        <f t="shared" si="96"/>
        <v>43</v>
      </c>
      <c r="HD53" s="54">
        <f t="shared" si="97"/>
        <v>44</v>
      </c>
      <c r="HE53" s="139">
        <f t="shared" si="98"/>
        <v>-3.1901930857588887</v>
      </c>
      <c r="HF53" s="139" t="e">
        <f t="shared" si="99"/>
        <v>#N/A</v>
      </c>
      <c r="HG53" s="139">
        <f t="shared" si="100"/>
        <v>1.061745464710373E-2</v>
      </c>
      <c r="HH53" s="139" t="e">
        <f t="shared" si="101"/>
        <v>#N/A</v>
      </c>
      <c r="HI53" s="139" t="e">
        <f t="shared" si="102"/>
        <v>#N/A</v>
      </c>
      <c r="HJ53" s="139" t="b">
        <f t="shared" si="103"/>
        <v>1</v>
      </c>
      <c r="HK53" s="139" t="b">
        <f t="shared" si="104"/>
        <v>0</v>
      </c>
      <c r="HL53" s="139" t="b">
        <f t="shared" si="105"/>
        <v>1</v>
      </c>
      <c r="HM53" s="139" t="b">
        <f t="shared" si="106"/>
        <v>0</v>
      </c>
      <c r="HN53" s="139">
        <f t="shared" si="107"/>
        <v>1.061745464710373E-2</v>
      </c>
      <c r="HO53" s="139">
        <f t="shared" si="108"/>
        <v>1.061745464710373E-2</v>
      </c>
      <c r="HP53" s="139" t="e">
        <f t="shared" si="109"/>
        <v>#N/A</v>
      </c>
      <c r="HQ53" s="140" t="str">
        <f t="shared" si="110"/>
        <v/>
      </c>
    </row>
    <row r="54" spans="57:225" x14ac:dyDescent="0.2">
      <c r="BS54" s="139">
        <f t="shared" si="36"/>
        <v>44</v>
      </c>
      <c r="BT54" s="54">
        <f>Eu_tabel_g[[#This Row],[Indeks]]+1</f>
        <v>45</v>
      </c>
      <c r="BU54" s="139">
        <f t="shared" si="37"/>
        <v>-2.0361995815834426</v>
      </c>
      <c r="BV54" s="139">
        <f t="shared" si="38"/>
        <v>5.0187318625221689E-2</v>
      </c>
      <c r="BW54" s="139" t="e">
        <f t="shared" si="39"/>
        <v>#N/A</v>
      </c>
      <c r="BX54" s="139" t="e">
        <f t="shared" si="40"/>
        <v>#N/A</v>
      </c>
      <c r="BY54" s="139" t="e">
        <f t="shared" si="41"/>
        <v>#N/A</v>
      </c>
      <c r="BZ54" s="139" t="b">
        <f t="shared" si="42"/>
        <v>1</v>
      </c>
      <c r="CA54" s="139" t="b">
        <f t="shared" si="43"/>
        <v>0</v>
      </c>
      <c r="CB54" s="139" t="b">
        <f t="shared" si="44"/>
        <v>1</v>
      </c>
      <c r="CC54" s="139" t="b">
        <f t="shared" si="45"/>
        <v>0</v>
      </c>
      <c r="CD54" s="139">
        <f t="shared" si="128"/>
        <v>5.0187318625221689E-2</v>
      </c>
      <c r="CE54" s="139">
        <f t="shared" si="47"/>
        <v>5.0187318625221689E-2</v>
      </c>
      <c r="CF54" s="139" t="e">
        <f t="shared" si="48"/>
        <v>#N/A</v>
      </c>
      <c r="CG54" s="140" t="str">
        <f t="shared" si="49"/>
        <v/>
      </c>
      <c r="CH54" s="54">
        <f>_xlfn.NORM.DIST(_xlfn.NORM.INV(1-Eu_g_konfidensniveau,0,1)-Eu_tabel_g[[#This Row],[x base]],0,1,TRUE)</f>
        <v>0.65222923248733788</v>
      </c>
      <c r="CI54" s="54">
        <f>1-_xlfn.NORM.DIST(_xlfn.NORM.INV(Eu_g_konfidensniveau,0,1)-Eu_tabel_g[[#This Row],[x base]],0,1,TRUE)</f>
        <v>1.1613626122131127E-4</v>
      </c>
      <c r="CJ54" s="54">
        <f>_xlfn.NORM.DIST(_xlfn.NORM.INV((1-Eu_g_konfidensniveau)/2,0,1)-Eu_tabel_g[[#This Row],[x base]],0,1,TRUE)+1-_xlfn.NORM.DIST(_xlfn.NORM.INV(1-(1-Eu_g_konfidensniveau)/2,0,1)-Eu_tabel_g[[#This Row],[x base]],0,1,TRUE)</f>
        <v>0.53041635726275116</v>
      </c>
      <c r="CK54" s="54" t="e" cm="1">
        <f t="array" ref="CK54">IF($CK$3,INDEX(Eu_tabel_g[[#This Row],[Styrke venstre]:[Styrke tosidet]],CK$7),NA())</f>
        <v>#N/A</v>
      </c>
      <c r="CL54" s="99" t="e">
        <f>Eu_tabel_g[[#This Row],[Falsk positiv
Nulhypotese accepteres
Fejltype 1]]</f>
        <v>#N/A</v>
      </c>
      <c r="CM54" s="99" t="e">
        <f>IF(CHOOSE(CK$7,Eu_tabel_g[[#This Row],[x base]]&gt;0,Eu_tabel_g[[#This Row],[x base]]&lt;0,Eu_tabel_g[[#This Row],[x base]]=0),Eu_tabel_g[[#This Row],[Styrke, aktiv]],NA())</f>
        <v>#N/A</v>
      </c>
      <c r="CN54" s="99" t="e">
        <f>IFERROR(IF($CK$3,Eu_tabel_g[[#This Row],[Styrke, aktiv]],NA()),NA())</f>
        <v>#N/A</v>
      </c>
      <c r="CO54" s="99" t="e">
        <f>IF(ISNA(Eu_tabel_g[[#This Row],[Sand negativ
Nulhypotese afvises
Korrekt]]),NA(),IF($CK$3,1,NA()))</f>
        <v>#N/A</v>
      </c>
      <c r="CP54" s="56" t="str" cm="1">
        <f t="array" ref="CP54">_xlfn.SWITCH(BS54,_xlfn.IFNA(CN$2,-99),CN$5,_xlfn.IFNA(CN$3,-99),CN$6,_xlfn.IFNA(CN$4,-99),CN$7,"")</f>
        <v/>
      </c>
      <c r="CT54" s="7">
        <f t="shared" si="50"/>
        <v>0.8</v>
      </c>
      <c r="CU54">
        <f>IF(ROW(Styrkeberegning_G[[#This Row],[X base venstre]])=ROW(Styrkeberegning_G[[#Headers],[X base venstre]])+1,CU$7/(CT$7/$B$67),CU53/(CT53/$B$67))</f>
        <v>-2.8015817870135784</v>
      </c>
      <c r="CV54">
        <f>Styrkeberegning_G[[#This Row],[X base venstre]]*-1</f>
        <v>2.8015817870135784</v>
      </c>
      <c r="DG54" s="139">
        <f t="shared" si="51"/>
        <v>44</v>
      </c>
      <c r="DH54" s="54">
        <f t="shared" si="52"/>
        <v>45</v>
      </c>
      <c r="DI54" s="139">
        <f t="shared" si="53"/>
        <v>6.8529703470017349</v>
      </c>
      <c r="DJ54" s="139" t="e">
        <f t="shared" si="54"/>
        <v>#N/A</v>
      </c>
      <c r="DK54" s="139" t="e">
        <f t="shared" si="55"/>
        <v>#N/A</v>
      </c>
      <c r="DL54" s="139">
        <f t="shared" si="56"/>
        <v>7.9219024627133594E-2</v>
      </c>
      <c r="DM54" s="139" t="e">
        <f t="shared" si="57"/>
        <v>#N/A</v>
      </c>
      <c r="DN54" s="139" t="b">
        <f t="shared" si="58"/>
        <v>0</v>
      </c>
      <c r="DO54" s="139" t="b">
        <f t="shared" si="59"/>
        <v>1</v>
      </c>
      <c r="DP54" s="139" t="b">
        <f t="shared" si="60"/>
        <v>0</v>
      </c>
      <c r="DQ54" s="139" t="b">
        <f t="shared" si="61"/>
        <v>1</v>
      </c>
      <c r="DR54" s="139">
        <f t="shared" si="62"/>
        <v>7.9219024627133594E-2</v>
      </c>
      <c r="DS54" s="139" t="e">
        <f t="shared" si="63"/>
        <v>#N/A</v>
      </c>
      <c r="DT54" s="139">
        <f t="shared" si="64"/>
        <v>7.9219024627133594E-2</v>
      </c>
      <c r="DU54" s="140" t="str">
        <f t="shared" si="65"/>
        <v/>
      </c>
      <c r="DZ54" s="139">
        <f t="shared" si="66"/>
        <v>44</v>
      </c>
      <c r="EA54" s="54">
        <f t="shared" si="67"/>
        <v>45</v>
      </c>
      <c r="EB54" s="139">
        <f t="shared" si="68"/>
        <v>-2.0361995815834426</v>
      </c>
      <c r="EC54" s="139">
        <f t="shared" si="69"/>
        <v>5.0187318625221689E-2</v>
      </c>
      <c r="ED54" s="139" t="e">
        <f t="shared" si="70"/>
        <v>#N/A</v>
      </c>
      <c r="EE54" s="139" t="e">
        <f t="shared" si="71"/>
        <v>#N/A</v>
      </c>
      <c r="EF54" s="139" t="e">
        <f t="shared" si="72"/>
        <v>#N/A</v>
      </c>
      <c r="EG54" s="139" t="b">
        <f t="shared" si="73"/>
        <v>1</v>
      </c>
      <c r="EH54" s="139" t="b">
        <f t="shared" si="74"/>
        <v>0</v>
      </c>
      <c r="EI54" s="139" t="b">
        <f t="shared" si="75"/>
        <v>1</v>
      </c>
      <c r="EJ54" s="139" t="b">
        <f t="shared" si="76"/>
        <v>0</v>
      </c>
      <c r="EK54" s="139">
        <f t="shared" si="77"/>
        <v>5.0187318625221689E-2</v>
      </c>
      <c r="EL54" s="139">
        <f t="shared" si="78"/>
        <v>5.0187318625221689E-2</v>
      </c>
      <c r="EM54" s="139" t="e">
        <f t="shared" si="79"/>
        <v>#N/A</v>
      </c>
      <c r="EN54" s="140" t="str">
        <f t="shared" si="80"/>
        <v/>
      </c>
      <c r="EO5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5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5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54" s="54" t="e" cm="1">
        <f t="array" ref="ER54">IF($CK$3,INDEX(Eu_tabel_a[[#This Row],[Styrke venstre]:[Styrke tosidet]],ER$7),NA())</f>
        <v>#N/A</v>
      </c>
      <c r="ES54" s="54" t="e">
        <f>IF(ER$3,IF(CHOOSE(ER$7,Eu_tabel_a[[#This Row],[x base]]&gt;0,Eu_tabel_a[[#This Row],[x base]]&lt;0,Eu_tabel_a[[#This Row],[x base]]=0),1,NA()),NA())</f>
        <v>#N/A</v>
      </c>
      <c r="ET54" s="54" t="e">
        <f>IF(CHOOSE(ER$7,Eu_tabel_a[[#This Row],[x base]]&gt;0,Eu_tabel_a[[#This Row],[x base]]&lt;0,Eu_tabel_a[[#This Row],[x base]]=0),Eu_tabel_a[[#This Row],[Styrke, aktiv]],NA())</f>
        <v>#N/A</v>
      </c>
      <c r="EU54" s="54" t="e">
        <f>IFERROR(IF($ER$3,Eu_tabel_a[[#This Row],[Styrke, aktiv]],NA()),NA())</f>
        <v>#N/A</v>
      </c>
      <c r="EV54" s="54" t="e">
        <f>IF(ISNA(Eu_tabel_a[[#This Row],[Sand negativ
Nulhypotese afvises
Korrekt]]),NA(),IF(ER$3,1,NA()))</f>
        <v>#N/A</v>
      </c>
      <c r="EW54" s="55" t="str" cm="1">
        <f t="array" ref="EW54">IFERROR(_xlfn.SWITCH(Eu_tabel_a[[#This Row],[Indeks]],_xlfn.IFNA(EU$2,-99),EU$5,_xlfn.IFNA(EU$3,-99),EU$6,_xlfn.IFNA(EU$4,-99),EU$7,""),"")</f>
        <v/>
      </c>
      <c r="EX54" s="54">
        <f>Eu_tabel_a[[#This Row],[x base]]*SQRT(Eu_a_h0_x*(1-Eu_a_h0_x)/Eu_a_n_x)+Eu_a_h0_x</f>
        <v>0</v>
      </c>
      <c r="FC54" s="161" t="e">
        <f t="shared" si="18"/>
        <v>#N/A</v>
      </c>
      <c r="FD54" s="169" t="e">
        <f t="shared" si="121"/>
        <v>#DIV/0!</v>
      </c>
      <c r="FE54" s="7" t="e">
        <f t="shared" si="12"/>
        <v>#DIV/0!</v>
      </c>
      <c r="FF54" t="e">
        <f t="shared" si="122"/>
        <v>#DIV/0!</v>
      </c>
      <c r="FG54" s="8" t="e">
        <f t="shared" si="123"/>
        <v>#DIV/0!</v>
      </c>
      <c r="FH54" s="8" t="e">
        <f t="shared" si="124"/>
        <v>#DIV/0!</v>
      </c>
      <c r="FI54" s="168" t="e">
        <f t="shared" si="125"/>
        <v>#DIV/0!</v>
      </c>
      <c r="FJ54" s="161" t="e">
        <f t="shared" ca="1" si="13"/>
        <v>#N/A</v>
      </c>
      <c r="FK54" s="169" t="e" vm="3">
        <f t="shared" ca="1" si="19"/>
        <v>#VALUE!</v>
      </c>
      <c r="FL54" s="7" t="e" vm="3">
        <f t="shared" ca="1" si="14"/>
        <v>#VALUE!</v>
      </c>
      <c r="FM54" t="e" vm="3">
        <f t="shared" ca="1" si="8"/>
        <v>#VALUE!</v>
      </c>
      <c r="FN54" s="8" t="e" vm="3">
        <f t="shared" ca="1" si="9"/>
        <v>#VALUE!</v>
      </c>
      <c r="FO54" s="8" t="e" vm="3">
        <f t="shared" ca="1" si="10"/>
        <v>#VALUE!</v>
      </c>
      <c r="FP54" s="168" t="e" vm="3">
        <f t="shared" ca="1" si="11"/>
        <v>#VALUE!</v>
      </c>
      <c r="FQ54" s="161" t="e">
        <f t="shared" si="15"/>
        <v>#N/A</v>
      </c>
      <c r="FR54" s="169" t="e">
        <f t="shared" si="20"/>
        <v>#N/A</v>
      </c>
      <c r="FS54" s="7" t="e">
        <f t="shared" si="16"/>
        <v>#N/A</v>
      </c>
      <c r="FT54" t="e">
        <f t="shared" si="21"/>
        <v>#N/A</v>
      </c>
      <c r="FU54" s="8" t="e">
        <f t="shared" si="22"/>
        <v>#N/A</v>
      </c>
      <c r="FV54" s="8" t="e">
        <f t="shared" si="23"/>
        <v>#N/A</v>
      </c>
      <c r="FW54" s="168" t="e">
        <f t="shared" si="24"/>
        <v>#N/A</v>
      </c>
      <c r="FX54" s="161" t="e">
        <f t="shared" si="25"/>
        <v>#N/A</v>
      </c>
      <c r="FY54" s="169" t="e">
        <f t="shared" si="26"/>
        <v>#N/A</v>
      </c>
      <c r="FZ54" s="7" t="e">
        <f t="shared" si="17"/>
        <v>#N/A</v>
      </c>
      <c r="GA54" t="e">
        <f t="shared" si="27"/>
        <v>#N/A</v>
      </c>
      <c r="GB54" s="8" t="e">
        <f t="shared" si="28"/>
        <v>#N/A</v>
      </c>
      <c r="GC54" s="8" t="e">
        <f t="shared" si="29"/>
        <v>#N/A</v>
      </c>
      <c r="GD54" s="168" t="e">
        <f t="shared" si="30"/>
        <v>#N/A</v>
      </c>
      <c r="GE54" s="168"/>
      <c r="GF54" s="168"/>
      <c r="GI54" s="139">
        <f t="shared" si="81"/>
        <v>44</v>
      </c>
      <c r="GJ54" s="54">
        <f t="shared" si="82"/>
        <v>45</v>
      </c>
      <c r="GK54" s="139">
        <f t="shared" si="83"/>
        <v>-2.0361995815834426</v>
      </c>
      <c r="GL54" s="139">
        <f t="shared" si="84"/>
        <v>5.0187318625221689E-2</v>
      </c>
      <c r="GM54" s="139" t="e">
        <f t="shared" si="85"/>
        <v>#N/A</v>
      </c>
      <c r="GN54" s="139" t="e">
        <f t="shared" si="86"/>
        <v>#N/A</v>
      </c>
      <c r="GO54" s="139" t="e">
        <f t="shared" si="87"/>
        <v>#N/A</v>
      </c>
      <c r="GP54" s="139" t="b">
        <f t="shared" si="88"/>
        <v>1</v>
      </c>
      <c r="GQ54" s="139" t="b">
        <f t="shared" si="89"/>
        <v>0</v>
      </c>
      <c r="GR54" s="139" t="b">
        <f t="shared" si="90"/>
        <v>1</v>
      </c>
      <c r="GS54" s="139" t="b">
        <f t="shared" si="91"/>
        <v>0</v>
      </c>
      <c r="GT54" s="139">
        <f t="shared" si="92"/>
        <v>5.0187318625221689E-2</v>
      </c>
      <c r="GU54" s="139">
        <f t="shared" si="93"/>
        <v>5.0187318625221689E-2</v>
      </c>
      <c r="GV54" s="139" t="e">
        <f t="shared" si="94"/>
        <v>#N/A</v>
      </c>
      <c r="GW54" s="140" t="str">
        <f t="shared" si="95"/>
        <v/>
      </c>
      <c r="HC54" s="139">
        <f t="shared" si="96"/>
        <v>44</v>
      </c>
      <c r="HD54" s="54">
        <f t="shared" si="97"/>
        <v>45</v>
      </c>
      <c r="HE54" s="139">
        <f t="shared" si="98"/>
        <v>-3.1530978173198321</v>
      </c>
      <c r="HF54" s="139" t="e">
        <f t="shared" si="99"/>
        <v>#N/A</v>
      </c>
      <c r="HG54" s="139">
        <f t="shared" si="100"/>
        <v>1.1219716568102925E-2</v>
      </c>
      <c r="HH54" s="139" t="e">
        <f t="shared" si="101"/>
        <v>#N/A</v>
      </c>
      <c r="HI54" s="139" t="e">
        <f t="shared" si="102"/>
        <v>#N/A</v>
      </c>
      <c r="HJ54" s="139" t="b">
        <f t="shared" si="103"/>
        <v>1</v>
      </c>
      <c r="HK54" s="139" t="b">
        <f t="shared" si="104"/>
        <v>0</v>
      </c>
      <c r="HL54" s="139" t="b">
        <f t="shared" si="105"/>
        <v>1</v>
      </c>
      <c r="HM54" s="139" t="b">
        <f t="shared" si="106"/>
        <v>0</v>
      </c>
      <c r="HN54" s="139">
        <f t="shared" si="107"/>
        <v>1.1219716568102925E-2</v>
      </c>
      <c r="HO54" s="139">
        <f t="shared" si="108"/>
        <v>1.1219716568102925E-2</v>
      </c>
      <c r="HP54" s="139" t="e">
        <f t="shared" si="109"/>
        <v>#N/A</v>
      </c>
      <c r="HQ54" s="140" t="str">
        <f t="shared" si="110"/>
        <v/>
      </c>
    </row>
    <row r="55" spans="57:225" x14ac:dyDescent="0.2">
      <c r="BS55" s="139">
        <f t="shared" si="36"/>
        <v>45</v>
      </c>
      <c r="BT55" s="54">
        <f>Eu_tabel_g[[#This Row],[Indeks]]+1</f>
        <v>46</v>
      </c>
      <c r="BU55" s="139">
        <f t="shared" si="37"/>
        <v>-2.0122442923883437</v>
      </c>
      <c r="BV55" s="139">
        <f t="shared" si="38"/>
        <v>5.2680912571830774E-2</v>
      </c>
      <c r="BW55" s="139" t="e">
        <f t="shared" si="39"/>
        <v>#N/A</v>
      </c>
      <c r="BX55" s="139" t="e">
        <f t="shared" si="40"/>
        <v>#N/A</v>
      </c>
      <c r="BY55" s="139" t="e">
        <f t="shared" si="41"/>
        <v>#N/A</v>
      </c>
      <c r="BZ55" s="139" t="b">
        <f t="shared" si="42"/>
        <v>1</v>
      </c>
      <c r="CA55" s="139" t="b">
        <f t="shared" si="43"/>
        <v>0</v>
      </c>
      <c r="CB55" s="139" t="b">
        <f t="shared" si="44"/>
        <v>1</v>
      </c>
      <c r="CC55" s="139" t="b">
        <f t="shared" si="45"/>
        <v>0</v>
      </c>
      <c r="CD55" s="139">
        <f t="shared" si="128"/>
        <v>5.2680912571830774E-2</v>
      </c>
      <c r="CE55" s="139">
        <f t="shared" si="47"/>
        <v>5.2680912571830774E-2</v>
      </c>
      <c r="CF55" s="139" t="e">
        <f t="shared" si="48"/>
        <v>#N/A</v>
      </c>
      <c r="CG55" s="140" t="str">
        <f t="shared" si="49"/>
        <v/>
      </c>
      <c r="CH55" s="54">
        <f>_xlfn.NORM.DIST(_xlfn.NORM.INV(1-Eu_g_konfidensniveau,0,1)-Eu_tabel_g[[#This Row],[x base]],0,1,TRUE)</f>
        <v>0.64333618328693531</v>
      </c>
      <c r="CI55" s="54">
        <f>1-_xlfn.NORM.DIST(_xlfn.NORM.INV(Eu_g_konfidensniveau,0,1)-Eu_tabel_g[[#This Row],[x base]],0,1,TRUE)</f>
        <v>1.2754347670462796E-4</v>
      </c>
      <c r="CJ55" s="54">
        <f>_xlfn.NORM.DIST(_xlfn.NORM.INV((1-Eu_g_konfidensniveau)/2,0,1)-Eu_tabel_g[[#This Row],[x base]],0,1,TRUE)+1-_xlfn.NORM.DIST(_xlfn.NORM.INV(1-(1-Eu_g_konfidensniveau)/2,0,1)-Eu_tabel_g[[#This Row],[x base]],0,1,TRUE)</f>
        <v>0.5208829327495752</v>
      </c>
      <c r="CK55" s="54" t="e" cm="1">
        <f t="array" ref="CK55">IF($CK$3,INDEX(Eu_tabel_g[[#This Row],[Styrke venstre]:[Styrke tosidet]],CK$7),NA())</f>
        <v>#N/A</v>
      </c>
      <c r="CL55" s="99" t="e">
        <f>Eu_tabel_g[[#This Row],[Falsk positiv
Nulhypotese accepteres
Fejltype 1]]</f>
        <v>#N/A</v>
      </c>
      <c r="CM55" s="99" t="e">
        <f>IF(CHOOSE(CK$7,Eu_tabel_g[[#This Row],[x base]]&gt;0,Eu_tabel_g[[#This Row],[x base]]&lt;0,Eu_tabel_g[[#This Row],[x base]]=0),Eu_tabel_g[[#This Row],[Styrke, aktiv]],NA())</f>
        <v>#N/A</v>
      </c>
      <c r="CN55" s="99" t="e">
        <f>IFERROR(IF($CK$3,Eu_tabel_g[[#This Row],[Styrke, aktiv]],NA()),NA())</f>
        <v>#N/A</v>
      </c>
      <c r="CO55" s="99" t="e">
        <f>IF(ISNA(Eu_tabel_g[[#This Row],[Sand negativ
Nulhypotese afvises
Korrekt]]),NA(),IF($CK$3,1,NA()))</f>
        <v>#N/A</v>
      </c>
      <c r="CP55" s="56" t="str" cm="1">
        <f t="array" ref="CP55">_xlfn.SWITCH(BS55,_xlfn.IFNA(CN$2,-99),CN$5,_xlfn.IFNA(CN$3,-99),CN$6,_xlfn.IFNA(CN$4,-99),CN$7,"")</f>
        <v/>
      </c>
      <c r="CT55" s="7">
        <f t="shared" si="50"/>
        <v>0.8</v>
      </c>
      <c r="CU55">
        <f>IF(ROW(Styrkeberegning_G[[#This Row],[X base venstre]])=ROW(Styrkeberegning_G[[#Headers],[X base venstre]])+1,CU$7/(CT$7/$B$67),CU54/(CT54/$B$67))</f>
        <v>-2.8015817870135784</v>
      </c>
      <c r="CV55">
        <f>Styrkeberegning_G[[#This Row],[X base venstre]]*-1</f>
        <v>2.8015817870135784</v>
      </c>
      <c r="DG55" s="139">
        <f t="shared" si="51"/>
        <v>45</v>
      </c>
      <c r="DH55" s="54">
        <f t="shared" si="52"/>
        <v>46</v>
      </c>
      <c r="DI55" s="139">
        <f t="shared" si="53"/>
        <v>6.9670412034187352</v>
      </c>
      <c r="DJ55" s="139" t="e">
        <f t="shared" si="54"/>
        <v>#N/A</v>
      </c>
      <c r="DK55" s="139" t="e">
        <f t="shared" si="55"/>
        <v>#N/A</v>
      </c>
      <c r="DL55" s="139">
        <f t="shared" si="56"/>
        <v>8.0597614482774499E-2</v>
      </c>
      <c r="DM55" s="139" t="e">
        <f t="shared" si="57"/>
        <v>#N/A</v>
      </c>
      <c r="DN55" s="139" t="b">
        <f t="shared" si="58"/>
        <v>0</v>
      </c>
      <c r="DO55" s="139" t="b">
        <f t="shared" si="59"/>
        <v>1</v>
      </c>
      <c r="DP55" s="139" t="b">
        <f t="shared" si="60"/>
        <v>0</v>
      </c>
      <c r="DQ55" s="139" t="b">
        <f t="shared" si="61"/>
        <v>1</v>
      </c>
      <c r="DR55" s="139">
        <f t="shared" si="62"/>
        <v>8.0597614482774499E-2</v>
      </c>
      <c r="DS55" s="139" t="e">
        <f t="shared" si="63"/>
        <v>#N/A</v>
      </c>
      <c r="DT55" s="139">
        <f t="shared" si="64"/>
        <v>8.0597614482774499E-2</v>
      </c>
      <c r="DU55" s="140" t="str">
        <f t="shared" si="65"/>
        <v/>
      </c>
      <c r="DZ55" s="139">
        <f t="shared" si="66"/>
        <v>45</v>
      </c>
      <c r="EA55" s="54">
        <f t="shared" si="67"/>
        <v>46</v>
      </c>
      <c r="EB55" s="139">
        <f t="shared" si="68"/>
        <v>-2.0122442923883437</v>
      </c>
      <c r="EC55" s="139">
        <f t="shared" si="69"/>
        <v>5.2680912571830774E-2</v>
      </c>
      <c r="ED55" s="139" t="e">
        <f t="shared" si="70"/>
        <v>#N/A</v>
      </c>
      <c r="EE55" s="139" t="e">
        <f t="shared" si="71"/>
        <v>#N/A</v>
      </c>
      <c r="EF55" s="139" t="e">
        <f t="shared" si="72"/>
        <v>#N/A</v>
      </c>
      <c r="EG55" s="139" t="b">
        <f t="shared" si="73"/>
        <v>1</v>
      </c>
      <c r="EH55" s="139" t="b">
        <f t="shared" si="74"/>
        <v>0</v>
      </c>
      <c r="EI55" s="139" t="b">
        <f t="shared" si="75"/>
        <v>1</v>
      </c>
      <c r="EJ55" s="139" t="b">
        <f t="shared" si="76"/>
        <v>0</v>
      </c>
      <c r="EK55" s="139">
        <f t="shared" si="77"/>
        <v>5.2680912571830774E-2</v>
      </c>
      <c r="EL55" s="139">
        <f t="shared" si="78"/>
        <v>5.2680912571830774E-2</v>
      </c>
      <c r="EM55" s="139" t="e">
        <f t="shared" si="79"/>
        <v>#N/A</v>
      </c>
      <c r="EN55" s="140" t="str">
        <f t="shared" si="80"/>
        <v/>
      </c>
      <c r="EO5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5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5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55" s="54" t="e" cm="1">
        <f t="array" ref="ER55">IF($CK$3,INDEX(Eu_tabel_a[[#This Row],[Styrke venstre]:[Styrke tosidet]],ER$7),NA())</f>
        <v>#N/A</v>
      </c>
      <c r="ES55" s="54" t="e">
        <f>IF(ER$3,IF(CHOOSE(ER$7,Eu_tabel_a[[#This Row],[x base]]&gt;0,Eu_tabel_a[[#This Row],[x base]]&lt;0,Eu_tabel_a[[#This Row],[x base]]=0),1,NA()),NA())</f>
        <v>#N/A</v>
      </c>
      <c r="ET55" s="54" t="e">
        <f>IF(CHOOSE(ER$7,Eu_tabel_a[[#This Row],[x base]]&gt;0,Eu_tabel_a[[#This Row],[x base]]&lt;0,Eu_tabel_a[[#This Row],[x base]]=0),Eu_tabel_a[[#This Row],[Styrke, aktiv]],NA())</f>
        <v>#N/A</v>
      </c>
      <c r="EU55" s="54" t="e">
        <f>IFERROR(IF($ER$3,Eu_tabel_a[[#This Row],[Styrke, aktiv]],NA()),NA())</f>
        <v>#N/A</v>
      </c>
      <c r="EV55" s="54" t="e">
        <f>IF(ISNA(Eu_tabel_a[[#This Row],[Sand negativ
Nulhypotese afvises
Korrekt]]),NA(),IF(ER$3,1,NA()))</f>
        <v>#N/A</v>
      </c>
      <c r="EW55" s="55" t="str" cm="1">
        <f t="array" ref="EW55">IFERROR(_xlfn.SWITCH(Eu_tabel_a[[#This Row],[Indeks]],_xlfn.IFNA(EU$2,-99),EU$5,_xlfn.IFNA(EU$3,-99),EU$6,_xlfn.IFNA(EU$4,-99),EU$7,""),"")</f>
        <v/>
      </c>
      <c r="EX55" s="54">
        <f>Eu_tabel_a[[#This Row],[x base]]*SQRT(Eu_a_h0_x*(1-Eu_a_h0_x)/Eu_a_n_x)+Eu_a_h0_x</f>
        <v>0</v>
      </c>
      <c r="FC55" s="161" t="e">
        <f t="shared" si="18"/>
        <v>#N/A</v>
      </c>
      <c r="FD55" s="169" t="e">
        <f t="shared" si="121"/>
        <v>#DIV/0!</v>
      </c>
      <c r="FE55" s="7" t="e">
        <f t="shared" si="12"/>
        <v>#DIV/0!</v>
      </c>
      <c r="FF55" t="e">
        <f t="shared" si="122"/>
        <v>#DIV/0!</v>
      </c>
      <c r="FG55" s="8" t="e">
        <f t="shared" si="123"/>
        <v>#DIV/0!</v>
      </c>
      <c r="FH55" s="8" t="e">
        <f t="shared" si="124"/>
        <v>#DIV/0!</v>
      </c>
      <c r="FI55" s="168" t="e">
        <f t="shared" si="125"/>
        <v>#DIV/0!</v>
      </c>
      <c r="FJ55" s="161" t="e">
        <f t="shared" ca="1" si="13"/>
        <v>#N/A</v>
      </c>
      <c r="FK55" s="169" t="e" vm="3">
        <f t="shared" ca="1" si="19"/>
        <v>#VALUE!</v>
      </c>
      <c r="FL55" s="7" t="e" vm="3">
        <f t="shared" ca="1" si="14"/>
        <v>#VALUE!</v>
      </c>
      <c r="FM55" t="e" vm="3">
        <f t="shared" ca="1" si="8"/>
        <v>#VALUE!</v>
      </c>
      <c r="FN55" s="8" t="e" vm="3">
        <f t="shared" ca="1" si="9"/>
        <v>#VALUE!</v>
      </c>
      <c r="FO55" s="8" t="e" vm="3">
        <f t="shared" ca="1" si="10"/>
        <v>#VALUE!</v>
      </c>
      <c r="FP55" s="168" t="e" vm="3">
        <f t="shared" ca="1" si="11"/>
        <v>#VALUE!</v>
      </c>
      <c r="FQ55" s="161" t="e">
        <f t="shared" si="15"/>
        <v>#N/A</v>
      </c>
      <c r="FR55" s="169" t="e">
        <f t="shared" si="20"/>
        <v>#N/A</v>
      </c>
      <c r="FS55" s="7" t="e">
        <f t="shared" si="16"/>
        <v>#N/A</v>
      </c>
      <c r="FT55" t="e">
        <f t="shared" si="21"/>
        <v>#N/A</v>
      </c>
      <c r="FU55" s="8" t="e">
        <f t="shared" si="22"/>
        <v>#N/A</v>
      </c>
      <c r="FV55" s="8" t="e">
        <f t="shared" si="23"/>
        <v>#N/A</v>
      </c>
      <c r="FW55" s="168" t="e">
        <f t="shared" si="24"/>
        <v>#N/A</v>
      </c>
      <c r="FX55" s="161" t="e">
        <f t="shared" si="25"/>
        <v>#N/A</v>
      </c>
      <c r="FY55" s="169" t="e">
        <f t="shared" si="26"/>
        <v>#N/A</v>
      </c>
      <c r="FZ55" s="7" t="e">
        <f t="shared" si="17"/>
        <v>#N/A</v>
      </c>
      <c r="GA55" t="e">
        <f t="shared" si="27"/>
        <v>#N/A</v>
      </c>
      <c r="GB55" s="8" t="e">
        <f t="shared" si="28"/>
        <v>#N/A</v>
      </c>
      <c r="GC55" s="8" t="e">
        <f t="shared" si="29"/>
        <v>#N/A</v>
      </c>
      <c r="GD55" s="168" t="e">
        <f t="shared" si="30"/>
        <v>#N/A</v>
      </c>
      <c r="GE55" s="168"/>
      <c r="GF55" s="168"/>
      <c r="GI55" s="139">
        <f t="shared" si="81"/>
        <v>45</v>
      </c>
      <c r="GJ55" s="54">
        <f t="shared" si="82"/>
        <v>46</v>
      </c>
      <c r="GK55" s="139">
        <f t="shared" si="83"/>
        <v>-2.0122442923883437</v>
      </c>
      <c r="GL55" s="139">
        <f t="shared" si="84"/>
        <v>5.2680912571830774E-2</v>
      </c>
      <c r="GM55" s="139" t="e">
        <f t="shared" si="85"/>
        <v>#N/A</v>
      </c>
      <c r="GN55" s="139" t="e">
        <f t="shared" si="86"/>
        <v>#N/A</v>
      </c>
      <c r="GO55" s="139" t="e">
        <f t="shared" si="87"/>
        <v>#N/A</v>
      </c>
      <c r="GP55" s="139" t="b">
        <f t="shared" si="88"/>
        <v>1</v>
      </c>
      <c r="GQ55" s="139" t="b">
        <f t="shared" si="89"/>
        <v>0</v>
      </c>
      <c r="GR55" s="139" t="b">
        <f t="shared" si="90"/>
        <v>1</v>
      </c>
      <c r="GS55" s="139" t="b">
        <f t="shared" si="91"/>
        <v>0</v>
      </c>
      <c r="GT55" s="139">
        <f t="shared" si="92"/>
        <v>5.2680912571830774E-2</v>
      </c>
      <c r="GU55" s="139">
        <f t="shared" si="93"/>
        <v>5.2680912571830774E-2</v>
      </c>
      <c r="GV55" s="139" t="e">
        <f t="shared" si="94"/>
        <v>#N/A</v>
      </c>
      <c r="GW55" s="140" t="str">
        <f t="shared" si="95"/>
        <v/>
      </c>
      <c r="HC55" s="139">
        <f t="shared" si="96"/>
        <v>45</v>
      </c>
      <c r="HD55" s="54">
        <f t="shared" si="97"/>
        <v>46</v>
      </c>
      <c r="HE55" s="139">
        <f t="shared" si="98"/>
        <v>-3.116002548880775</v>
      </c>
      <c r="HF55" s="139" t="e">
        <f t="shared" si="99"/>
        <v>#N/A</v>
      </c>
      <c r="HG55" s="139">
        <f t="shared" si="100"/>
        <v>1.1857478614188162E-2</v>
      </c>
      <c r="HH55" s="139" t="e">
        <f t="shared" si="101"/>
        <v>#N/A</v>
      </c>
      <c r="HI55" s="139" t="e">
        <f t="shared" si="102"/>
        <v>#N/A</v>
      </c>
      <c r="HJ55" s="139" t="b">
        <f t="shared" si="103"/>
        <v>1</v>
      </c>
      <c r="HK55" s="139" t="b">
        <f t="shared" si="104"/>
        <v>0</v>
      </c>
      <c r="HL55" s="139" t="b">
        <f t="shared" si="105"/>
        <v>1</v>
      </c>
      <c r="HM55" s="139" t="b">
        <f t="shared" si="106"/>
        <v>0</v>
      </c>
      <c r="HN55" s="139">
        <f t="shared" si="107"/>
        <v>1.1857478614188162E-2</v>
      </c>
      <c r="HO55" s="139">
        <f t="shared" si="108"/>
        <v>1.1857478614188162E-2</v>
      </c>
      <c r="HP55" s="139" t="e">
        <f t="shared" si="109"/>
        <v>#N/A</v>
      </c>
      <c r="HQ55" s="140" t="str">
        <f t="shared" si="110"/>
        <v/>
      </c>
    </row>
    <row r="56" spans="57:225" x14ac:dyDescent="0.2">
      <c r="BS56" s="139">
        <f t="shared" si="36"/>
        <v>46</v>
      </c>
      <c r="BT56" s="54">
        <f>Eu_tabel_g[[#This Row],[Indeks]]+1</f>
        <v>47</v>
      </c>
      <c r="BU56" s="139">
        <f t="shared" si="37"/>
        <v>-1.9882890031932441</v>
      </c>
      <c r="BV56" s="139">
        <f t="shared" si="38"/>
        <v>5.5266678363017151E-2</v>
      </c>
      <c r="BW56" s="139" t="e">
        <f t="shared" si="39"/>
        <v>#N/A</v>
      </c>
      <c r="BX56" s="139" t="e">
        <f t="shared" si="40"/>
        <v>#N/A</v>
      </c>
      <c r="BY56" s="139" t="e">
        <f t="shared" si="41"/>
        <v>#N/A</v>
      </c>
      <c r="BZ56" s="139" t="b">
        <f t="shared" si="42"/>
        <v>1</v>
      </c>
      <c r="CA56" s="139" t="b">
        <f t="shared" si="43"/>
        <v>0</v>
      </c>
      <c r="CB56" s="139" t="b">
        <f t="shared" si="44"/>
        <v>1</v>
      </c>
      <c r="CC56" s="139" t="b">
        <f t="shared" si="45"/>
        <v>0</v>
      </c>
      <c r="CD56" s="139">
        <f t="shared" si="128"/>
        <v>5.5266678363017151E-2</v>
      </c>
      <c r="CE56" s="139">
        <f t="shared" si="47"/>
        <v>5.5266678363017151E-2</v>
      </c>
      <c r="CF56" s="139" t="e">
        <f t="shared" si="48"/>
        <v>#N/A</v>
      </c>
      <c r="CG56" s="140" t="str">
        <f t="shared" si="49"/>
        <v/>
      </c>
      <c r="CH56" s="54">
        <f>_xlfn.NORM.DIST(_xlfn.NORM.INV(1-Eu_g_konfidensniveau,0,1)-Eu_tabel_g[[#This Row],[x base]],0,1,TRUE)</f>
        <v>0.63436452515844188</v>
      </c>
      <c r="CI56" s="54">
        <f>1-_xlfn.NORM.DIST(_xlfn.NORM.INV(Eu_g_konfidensniveau,0,1)-Eu_tabel_g[[#This Row],[x base]],0,1,TRUE)</f>
        <v>1.3999507188600102E-4</v>
      </c>
      <c r="CJ56" s="54">
        <f>_xlfn.NORM.DIST(_xlfn.NORM.INV((1-Eu_g_konfidensniveau)/2,0,1)-Eu_tabel_g[[#This Row],[x base]],0,1,TRUE)+1-_xlfn.NORM.DIST(_xlfn.NORM.INV(1-(1-Eu_g_konfidensniveau)/2,0,1)-Eu_tabel_g[[#This Row],[x base]],0,1,TRUE)</f>
        <v>0.51133789849221656</v>
      </c>
      <c r="CK56" s="54" t="e" cm="1">
        <f t="array" ref="CK56">IF($CK$3,INDEX(Eu_tabel_g[[#This Row],[Styrke venstre]:[Styrke tosidet]],CK$7),NA())</f>
        <v>#N/A</v>
      </c>
      <c r="CL56" s="99" t="e">
        <f>Eu_tabel_g[[#This Row],[Falsk positiv
Nulhypotese accepteres
Fejltype 1]]</f>
        <v>#N/A</v>
      </c>
      <c r="CM56" s="99" t="e">
        <f>IF(CHOOSE(CK$7,Eu_tabel_g[[#This Row],[x base]]&gt;0,Eu_tabel_g[[#This Row],[x base]]&lt;0,Eu_tabel_g[[#This Row],[x base]]=0),Eu_tabel_g[[#This Row],[Styrke, aktiv]],NA())</f>
        <v>#N/A</v>
      </c>
      <c r="CN56" s="99" t="e">
        <f>IFERROR(IF($CK$3,Eu_tabel_g[[#This Row],[Styrke, aktiv]],NA()),NA())</f>
        <v>#N/A</v>
      </c>
      <c r="CO56" s="99" t="e">
        <f>IF(ISNA(Eu_tabel_g[[#This Row],[Sand negativ
Nulhypotese afvises
Korrekt]]),NA(),IF($CK$3,1,NA()))</f>
        <v>#N/A</v>
      </c>
      <c r="CP56" s="56" t="str" cm="1">
        <f t="array" ref="CP56">_xlfn.SWITCH(BS56,_xlfn.IFNA(CN$2,-99),CN$5,_xlfn.IFNA(CN$3,-99),CN$6,_xlfn.IFNA(CN$4,-99),CN$7,"")</f>
        <v/>
      </c>
      <c r="CT56" s="7">
        <f t="shared" si="50"/>
        <v>0.8</v>
      </c>
      <c r="CU56">
        <f>IF(ROW(Styrkeberegning_G[[#This Row],[X base venstre]])=ROW(Styrkeberegning_G[[#Headers],[X base venstre]])+1,CU$7/(CT$7/$B$67),CU55/(CT55/$B$67))</f>
        <v>-2.8015817870135784</v>
      </c>
      <c r="CV56">
        <f>Styrkeberegning_G[[#This Row],[X base venstre]]*-1</f>
        <v>2.8015817870135784</v>
      </c>
      <c r="DG56" s="139">
        <f t="shared" si="51"/>
        <v>46</v>
      </c>
      <c r="DH56" s="54">
        <f t="shared" si="52"/>
        <v>47</v>
      </c>
      <c r="DI56" s="139">
        <f t="shared" si="53"/>
        <v>7.0811120598357364</v>
      </c>
      <c r="DJ56" s="139" t="e">
        <f t="shared" si="54"/>
        <v>#N/A</v>
      </c>
      <c r="DK56" s="139" t="e">
        <f t="shared" si="55"/>
        <v>#N/A</v>
      </c>
      <c r="DL56" s="139">
        <f t="shared" si="56"/>
        <v>8.1901322234579216E-2</v>
      </c>
      <c r="DM56" s="139" t="e">
        <f t="shared" si="57"/>
        <v>#N/A</v>
      </c>
      <c r="DN56" s="139" t="b">
        <f t="shared" si="58"/>
        <v>0</v>
      </c>
      <c r="DO56" s="139" t="b">
        <f t="shared" si="59"/>
        <v>1</v>
      </c>
      <c r="DP56" s="139" t="b">
        <f t="shared" si="60"/>
        <v>0</v>
      </c>
      <c r="DQ56" s="139" t="b">
        <f t="shared" si="61"/>
        <v>1</v>
      </c>
      <c r="DR56" s="139">
        <f t="shared" si="62"/>
        <v>8.1901322234579216E-2</v>
      </c>
      <c r="DS56" s="139" t="e">
        <f t="shared" si="63"/>
        <v>#N/A</v>
      </c>
      <c r="DT56" s="139">
        <f t="shared" si="64"/>
        <v>8.1901322234579216E-2</v>
      </c>
      <c r="DU56" s="140" t="str">
        <f t="shared" si="65"/>
        <v/>
      </c>
      <c r="DZ56" s="139">
        <f t="shared" si="66"/>
        <v>46</v>
      </c>
      <c r="EA56" s="54">
        <f t="shared" si="67"/>
        <v>47</v>
      </c>
      <c r="EB56" s="139">
        <f t="shared" si="68"/>
        <v>-1.9882890031932441</v>
      </c>
      <c r="EC56" s="139">
        <f t="shared" si="69"/>
        <v>5.5266678363017151E-2</v>
      </c>
      <c r="ED56" s="139" t="e">
        <f t="shared" si="70"/>
        <v>#N/A</v>
      </c>
      <c r="EE56" s="139" t="e">
        <f t="shared" si="71"/>
        <v>#N/A</v>
      </c>
      <c r="EF56" s="139" t="e">
        <f t="shared" si="72"/>
        <v>#N/A</v>
      </c>
      <c r="EG56" s="139" t="b">
        <f t="shared" si="73"/>
        <v>1</v>
      </c>
      <c r="EH56" s="139" t="b">
        <f t="shared" si="74"/>
        <v>0</v>
      </c>
      <c r="EI56" s="139" t="b">
        <f t="shared" si="75"/>
        <v>1</v>
      </c>
      <c r="EJ56" s="139" t="b">
        <f t="shared" si="76"/>
        <v>0</v>
      </c>
      <c r="EK56" s="139">
        <f t="shared" si="77"/>
        <v>5.5266678363017151E-2</v>
      </c>
      <c r="EL56" s="139">
        <f t="shared" si="78"/>
        <v>5.5266678363017151E-2</v>
      </c>
      <c r="EM56" s="139" t="e">
        <f t="shared" si="79"/>
        <v>#N/A</v>
      </c>
      <c r="EN56" s="140" t="str">
        <f t="shared" si="80"/>
        <v/>
      </c>
      <c r="EO5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5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5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56" s="54" t="e" cm="1">
        <f t="array" ref="ER56">IF($CK$3,INDEX(Eu_tabel_a[[#This Row],[Styrke venstre]:[Styrke tosidet]],ER$7),NA())</f>
        <v>#N/A</v>
      </c>
      <c r="ES56" s="54" t="e">
        <f>IF(ER$3,IF(CHOOSE(ER$7,Eu_tabel_a[[#This Row],[x base]]&gt;0,Eu_tabel_a[[#This Row],[x base]]&lt;0,Eu_tabel_a[[#This Row],[x base]]=0),1,NA()),NA())</f>
        <v>#N/A</v>
      </c>
      <c r="ET56" s="54" t="e">
        <f>IF(CHOOSE(ER$7,Eu_tabel_a[[#This Row],[x base]]&gt;0,Eu_tabel_a[[#This Row],[x base]]&lt;0,Eu_tabel_a[[#This Row],[x base]]=0),Eu_tabel_a[[#This Row],[Styrke, aktiv]],NA())</f>
        <v>#N/A</v>
      </c>
      <c r="EU56" s="54" t="e">
        <f>IFERROR(IF($ER$3,Eu_tabel_a[[#This Row],[Styrke, aktiv]],NA()),NA())</f>
        <v>#N/A</v>
      </c>
      <c r="EV56" s="54" t="e">
        <f>IF(ISNA(Eu_tabel_a[[#This Row],[Sand negativ
Nulhypotese afvises
Korrekt]]),NA(),IF(ER$3,1,NA()))</f>
        <v>#N/A</v>
      </c>
      <c r="EW56" s="55" t="str" cm="1">
        <f t="array" ref="EW56">IFERROR(_xlfn.SWITCH(Eu_tabel_a[[#This Row],[Indeks]],_xlfn.IFNA(EU$2,-99),EU$5,_xlfn.IFNA(EU$3,-99),EU$6,_xlfn.IFNA(EU$4,-99),EU$7,""),"")</f>
        <v/>
      </c>
      <c r="EX56" s="54">
        <f>Eu_tabel_a[[#This Row],[x base]]*SQRT(Eu_a_h0_x*(1-Eu_a_h0_x)/Eu_a_n_x)+Eu_a_h0_x</f>
        <v>0</v>
      </c>
      <c r="FC56" s="161" t="e">
        <f t="shared" si="18"/>
        <v>#N/A</v>
      </c>
      <c r="FD56" s="169" t="e">
        <f t="shared" si="121"/>
        <v>#DIV/0!</v>
      </c>
      <c r="FE56" s="7" t="e">
        <f t="shared" si="12"/>
        <v>#DIV/0!</v>
      </c>
      <c r="FF56" t="e">
        <f t="shared" si="122"/>
        <v>#DIV/0!</v>
      </c>
      <c r="FG56" s="8" t="e">
        <f t="shared" si="123"/>
        <v>#DIV/0!</v>
      </c>
      <c r="FH56" s="8" t="e">
        <f t="shared" si="124"/>
        <v>#DIV/0!</v>
      </c>
      <c r="FI56" s="168" t="e">
        <f t="shared" si="125"/>
        <v>#DIV/0!</v>
      </c>
      <c r="FJ56" s="161" t="e">
        <f t="shared" ca="1" si="13"/>
        <v>#N/A</v>
      </c>
      <c r="FK56" s="169" t="e" vm="3">
        <f t="shared" ca="1" si="19"/>
        <v>#VALUE!</v>
      </c>
      <c r="FL56" s="7" t="e" vm="3">
        <f t="shared" ca="1" si="14"/>
        <v>#VALUE!</v>
      </c>
      <c r="FM56" t="e" vm="3">
        <f t="shared" ca="1" si="8"/>
        <v>#VALUE!</v>
      </c>
      <c r="FN56" s="8" t="e" vm="3">
        <f t="shared" ca="1" si="9"/>
        <v>#VALUE!</v>
      </c>
      <c r="FO56" s="8" t="e" vm="3">
        <f t="shared" ca="1" si="10"/>
        <v>#VALUE!</v>
      </c>
      <c r="FP56" s="168" t="e" vm="3">
        <f t="shared" ca="1" si="11"/>
        <v>#VALUE!</v>
      </c>
      <c r="FQ56" s="161" t="e">
        <f t="shared" si="15"/>
        <v>#N/A</v>
      </c>
      <c r="FR56" s="169" t="e">
        <f t="shared" si="20"/>
        <v>#N/A</v>
      </c>
      <c r="FS56" s="7" t="e">
        <f t="shared" si="16"/>
        <v>#N/A</v>
      </c>
      <c r="FT56" t="e">
        <f t="shared" si="21"/>
        <v>#N/A</v>
      </c>
      <c r="FU56" s="8" t="e">
        <f t="shared" si="22"/>
        <v>#N/A</v>
      </c>
      <c r="FV56" s="8" t="e">
        <f t="shared" si="23"/>
        <v>#N/A</v>
      </c>
      <c r="FW56" s="168" t="e">
        <f t="shared" si="24"/>
        <v>#N/A</v>
      </c>
      <c r="FX56" s="161" t="e">
        <f t="shared" si="25"/>
        <v>#N/A</v>
      </c>
      <c r="FY56" s="169" t="e">
        <f t="shared" si="26"/>
        <v>#N/A</v>
      </c>
      <c r="FZ56" s="7" t="e">
        <f t="shared" si="17"/>
        <v>#N/A</v>
      </c>
      <c r="GA56" t="e">
        <f t="shared" si="27"/>
        <v>#N/A</v>
      </c>
      <c r="GB56" s="8" t="e">
        <f t="shared" si="28"/>
        <v>#N/A</v>
      </c>
      <c r="GC56" s="8" t="e">
        <f t="shared" si="29"/>
        <v>#N/A</v>
      </c>
      <c r="GD56" s="168" t="e">
        <f t="shared" si="30"/>
        <v>#N/A</v>
      </c>
      <c r="GE56" s="168"/>
      <c r="GF56" s="168"/>
      <c r="GI56" s="139">
        <f t="shared" si="81"/>
        <v>46</v>
      </c>
      <c r="GJ56" s="54">
        <f t="shared" si="82"/>
        <v>47</v>
      </c>
      <c r="GK56" s="139">
        <f t="shared" si="83"/>
        <v>-1.9882890031932441</v>
      </c>
      <c r="GL56" s="139">
        <f t="shared" si="84"/>
        <v>5.5266678363017151E-2</v>
      </c>
      <c r="GM56" s="139" t="e">
        <f t="shared" si="85"/>
        <v>#N/A</v>
      </c>
      <c r="GN56" s="139" t="e">
        <f t="shared" si="86"/>
        <v>#N/A</v>
      </c>
      <c r="GO56" s="139" t="e">
        <f t="shared" si="87"/>
        <v>#N/A</v>
      </c>
      <c r="GP56" s="139" t="b">
        <f t="shared" si="88"/>
        <v>1</v>
      </c>
      <c r="GQ56" s="139" t="b">
        <f t="shared" si="89"/>
        <v>0</v>
      </c>
      <c r="GR56" s="139" t="b">
        <f t="shared" si="90"/>
        <v>1</v>
      </c>
      <c r="GS56" s="139" t="b">
        <f t="shared" si="91"/>
        <v>0</v>
      </c>
      <c r="GT56" s="139">
        <f t="shared" si="92"/>
        <v>5.5266678363017151E-2</v>
      </c>
      <c r="GU56" s="139">
        <f t="shared" si="93"/>
        <v>5.5266678363017151E-2</v>
      </c>
      <c r="GV56" s="139" t="e">
        <f t="shared" si="94"/>
        <v>#N/A</v>
      </c>
      <c r="GW56" s="140" t="str">
        <f t="shared" si="95"/>
        <v/>
      </c>
      <c r="HC56" s="139">
        <f t="shared" si="96"/>
        <v>46</v>
      </c>
      <c r="HD56" s="54">
        <f t="shared" si="97"/>
        <v>47</v>
      </c>
      <c r="HE56" s="139">
        <f t="shared" si="98"/>
        <v>-3.0789072804417179</v>
      </c>
      <c r="HF56" s="139" t="e">
        <f t="shared" si="99"/>
        <v>#N/A</v>
      </c>
      <c r="HG56" s="139">
        <f t="shared" si="100"/>
        <v>1.2532831418244374E-2</v>
      </c>
      <c r="HH56" s="139" t="e">
        <f t="shared" si="101"/>
        <v>#N/A</v>
      </c>
      <c r="HI56" s="139" t="e">
        <f t="shared" si="102"/>
        <v>#N/A</v>
      </c>
      <c r="HJ56" s="139" t="b">
        <f t="shared" si="103"/>
        <v>1</v>
      </c>
      <c r="HK56" s="139" t="b">
        <f t="shared" si="104"/>
        <v>0</v>
      </c>
      <c r="HL56" s="139" t="b">
        <f t="shared" si="105"/>
        <v>1</v>
      </c>
      <c r="HM56" s="139" t="b">
        <f t="shared" si="106"/>
        <v>0</v>
      </c>
      <c r="HN56" s="139">
        <f t="shared" si="107"/>
        <v>1.2532831418244374E-2</v>
      </c>
      <c r="HO56" s="139">
        <f t="shared" si="108"/>
        <v>1.2532831418244374E-2</v>
      </c>
      <c r="HP56" s="139" t="e">
        <f t="shared" si="109"/>
        <v>#N/A</v>
      </c>
      <c r="HQ56" s="140" t="str">
        <f t="shared" si="110"/>
        <v/>
      </c>
    </row>
    <row r="57" spans="57:225" x14ac:dyDescent="0.2">
      <c r="BS57" s="139">
        <f t="shared" si="36"/>
        <v>47</v>
      </c>
      <c r="BT57" s="54">
        <f>Eu_tabel_g[[#This Row],[Indeks]]+1</f>
        <v>48</v>
      </c>
      <c r="BU57" s="139">
        <f t="shared" si="37"/>
        <v>-1.9643337139981449</v>
      </c>
      <c r="BV57" s="139">
        <f t="shared" si="38"/>
        <v>5.7946100444885101E-2</v>
      </c>
      <c r="BW57" s="139" t="e">
        <f t="shared" si="39"/>
        <v>#N/A</v>
      </c>
      <c r="BX57" s="139" t="e">
        <f t="shared" si="40"/>
        <v>#N/A</v>
      </c>
      <c r="BY57" s="139" t="e">
        <f t="shared" si="41"/>
        <v>#N/A</v>
      </c>
      <c r="BZ57" s="139" t="b">
        <f t="shared" si="42"/>
        <v>1</v>
      </c>
      <c r="CA57" s="139" t="b">
        <f t="shared" si="43"/>
        <v>0</v>
      </c>
      <c r="CB57" s="139" t="b">
        <f t="shared" si="44"/>
        <v>1</v>
      </c>
      <c r="CC57" s="139" t="b">
        <f t="shared" si="45"/>
        <v>0</v>
      </c>
      <c r="CD57" s="139">
        <f t="shared" si="128"/>
        <v>5.7946100444885101E-2</v>
      </c>
      <c r="CE57" s="139">
        <f t="shared" si="47"/>
        <v>5.7946100444885101E-2</v>
      </c>
      <c r="CF57" s="139" t="e">
        <f t="shared" si="48"/>
        <v>#N/A</v>
      </c>
      <c r="CG57" s="140">
        <f t="shared" si="49"/>
        <v>-0.58299999999999996</v>
      </c>
      <c r="CH57" s="54">
        <f>_xlfn.NORM.DIST(_xlfn.NORM.INV(1-Eu_g_konfidensniveau,0,1)-Eu_tabel_g[[#This Row],[x base]],0,1,TRUE)</f>
        <v>0.62531875545814997</v>
      </c>
      <c r="CI57" s="54">
        <f>1-_xlfn.NORM.DIST(_xlfn.NORM.INV(Eu_g_konfidensniveau,0,1)-Eu_tabel_g[[#This Row],[x base]],0,1,TRUE)</f>
        <v>1.5357886721900638E-4</v>
      </c>
      <c r="CJ57" s="54">
        <f>_xlfn.NORM.DIST(_xlfn.NORM.INV((1-Eu_g_konfidensniveau)/2,0,1)-Eu_tabel_g[[#This Row],[x base]],0,1,TRUE)+1-_xlfn.NORM.DIST(_xlfn.NORM.INV(1-(1-Eu_g_konfidensniveau)/2,0,1)-Eu_tabel_g[[#This Row],[x base]],0,1,TRUE)</f>
        <v>0.50178675584621901</v>
      </c>
      <c r="CK57" s="54" t="e" cm="1">
        <f t="array" ref="CK57">IF($CK$3,INDEX(Eu_tabel_g[[#This Row],[Styrke venstre]:[Styrke tosidet]],CK$7),NA())</f>
        <v>#N/A</v>
      </c>
      <c r="CL57" s="99" t="e">
        <f>Eu_tabel_g[[#This Row],[Falsk positiv
Nulhypotese accepteres
Fejltype 1]]</f>
        <v>#N/A</v>
      </c>
      <c r="CM57" s="99" t="e">
        <f>IF(CHOOSE(CK$7,Eu_tabel_g[[#This Row],[x base]]&gt;0,Eu_tabel_g[[#This Row],[x base]]&lt;0,Eu_tabel_g[[#This Row],[x base]]=0),Eu_tabel_g[[#This Row],[Styrke, aktiv]],NA())</f>
        <v>#N/A</v>
      </c>
      <c r="CN57" s="99" t="e">
        <f>IFERROR(IF($CK$3,Eu_tabel_g[[#This Row],[Styrke, aktiv]],NA()),NA())</f>
        <v>#N/A</v>
      </c>
      <c r="CO57" s="99" t="e">
        <f>IF(ISNA(Eu_tabel_g[[#This Row],[Sand negativ
Nulhypotese afvises
Korrekt]]),NA(),IF($CK$3,1,NA()))</f>
        <v>#N/A</v>
      </c>
      <c r="CP57" s="56" t="str" cm="1">
        <f t="array" ref="CP57">_xlfn.SWITCH(BS57,_xlfn.IFNA(CN$2,-99),CN$5,_xlfn.IFNA(CN$3,-99),CN$6,_xlfn.IFNA(CN$4,-99),CN$7,"")</f>
        <v/>
      </c>
      <c r="CT57" s="7">
        <f t="shared" si="50"/>
        <v>0.8</v>
      </c>
      <c r="CU57">
        <f>IF(ROW(Styrkeberegning_G[[#This Row],[X base venstre]])=ROW(Styrkeberegning_G[[#Headers],[X base venstre]])+1,CU$7/(CT$7/$B$67),CU56/(CT56/$B$67))</f>
        <v>-2.8015817870135784</v>
      </c>
      <c r="CV57">
        <f>Styrkeberegning_G[[#This Row],[X base venstre]]*-1</f>
        <v>2.8015817870135784</v>
      </c>
      <c r="DG57" s="139">
        <f t="shared" si="51"/>
        <v>47</v>
      </c>
      <c r="DH57" s="54">
        <f t="shared" si="52"/>
        <v>48</v>
      </c>
      <c r="DI57" s="139">
        <f t="shared" si="53"/>
        <v>7.1951829162527376</v>
      </c>
      <c r="DJ57" s="139" t="e">
        <f t="shared" si="54"/>
        <v>#N/A</v>
      </c>
      <c r="DK57" s="139" t="e">
        <f t="shared" si="55"/>
        <v>#N/A</v>
      </c>
      <c r="DL57" s="139">
        <f t="shared" si="56"/>
        <v>8.3128972917823465E-2</v>
      </c>
      <c r="DM57" s="139" t="e">
        <f t="shared" si="57"/>
        <v>#N/A</v>
      </c>
      <c r="DN57" s="139" t="b">
        <f t="shared" si="58"/>
        <v>0</v>
      </c>
      <c r="DO57" s="139" t="b">
        <f t="shared" si="59"/>
        <v>1</v>
      </c>
      <c r="DP57" s="139" t="b">
        <f t="shared" si="60"/>
        <v>0</v>
      </c>
      <c r="DQ57" s="139" t="b">
        <f t="shared" si="61"/>
        <v>1</v>
      </c>
      <c r="DR57" s="139">
        <f t="shared" si="62"/>
        <v>8.3128972917823465E-2</v>
      </c>
      <c r="DS57" s="139" t="e">
        <f t="shared" si="63"/>
        <v>#N/A</v>
      </c>
      <c r="DT57" s="139">
        <f t="shared" si="64"/>
        <v>8.3128972917823465E-2</v>
      </c>
      <c r="DU57" s="140" t="str">
        <f t="shared" si="65"/>
        <v/>
      </c>
      <c r="DZ57" s="139">
        <f t="shared" si="66"/>
        <v>47</v>
      </c>
      <c r="EA57" s="54">
        <f t="shared" si="67"/>
        <v>48</v>
      </c>
      <c r="EB57" s="139">
        <f t="shared" si="68"/>
        <v>-1.9643337139981449</v>
      </c>
      <c r="EC57" s="139">
        <f t="shared" si="69"/>
        <v>5.7946100444885101E-2</v>
      </c>
      <c r="ED57" s="139" t="e">
        <f t="shared" si="70"/>
        <v>#N/A</v>
      </c>
      <c r="EE57" s="139" t="e">
        <f t="shared" si="71"/>
        <v>#N/A</v>
      </c>
      <c r="EF57" s="139" t="e">
        <f t="shared" si="72"/>
        <v>#N/A</v>
      </c>
      <c r="EG57" s="139" t="b">
        <f t="shared" si="73"/>
        <v>1</v>
      </c>
      <c r="EH57" s="139" t="b">
        <f t="shared" si="74"/>
        <v>0</v>
      </c>
      <c r="EI57" s="139" t="b">
        <f t="shared" si="75"/>
        <v>1</v>
      </c>
      <c r="EJ57" s="139" t="b">
        <f t="shared" si="76"/>
        <v>0</v>
      </c>
      <c r="EK57" s="139">
        <f t="shared" si="77"/>
        <v>5.7946100444885101E-2</v>
      </c>
      <c r="EL57" s="139">
        <f t="shared" si="78"/>
        <v>5.7946100444885101E-2</v>
      </c>
      <c r="EM57" s="139" t="e">
        <f t="shared" si="79"/>
        <v>#N/A</v>
      </c>
      <c r="EN57" s="140" t="str">
        <f t="shared" si="80"/>
        <v>20.06%</v>
      </c>
      <c r="EO5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5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5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57" s="54" t="e" cm="1">
        <f t="array" ref="ER57">IF($CK$3,INDEX(Eu_tabel_a[[#This Row],[Styrke venstre]:[Styrke tosidet]],ER$7),NA())</f>
        <v>#N/A</v>
      </c>
      <c r="ES57" s="54" t="e">
        <f>IF(ER$3,IF(CHOOSE(ER$7,Eu_tabel_a[[#This Row],[x base]]&gt;0,Eu_tabel_a[[#This Row],[x base]]&lt;0,Eu_tabel_a[[#This Row],[x base]]=0),1,NA()),NA())</f>
        <v>#N/A</v>
      </c>
      <c r="ET57" s="54" t="e">
        <f>IF(CHOOSE(ER$7,Eu_tabel_a[[#This Row],[x base]]&gt;0,Eu_tabel_a[[#This Row],[x base]]&lt;0,Eu_tabel_a[[#This Row],[x base]]=0),Eu_tabel_a[[#This Row],[Styrke, aktiv]],NA())</f>
        <v>#N/A</v>
      </c>
      <c r="EU57" s="54" t="e">
        <f>IFERROR(IF($ER$3,Eu_tabel_a[[#This Row],[Styrke, aktiv]],NA()),NA())</f>
        <v>#N/A</v>
      </c>
      <c r="EV57" s="54" t="e">
        <f>IF(ISNA(Eu_tabel_a[[#This Row],[Sand negativ
Nulhypotese afvises
Korrekt]]),NA(),IF(ER$3,1,NA()))</f>
        <v>#N/A</v>
      </c>
      <c r="EW57" s="55" t="str" cm="1">
        <f t="array" ref="EW57">IFERROR(_xlfn.SWITCH(Eu_tabel_a[[#This Row],[Indeks]],_xlfn.IFNA(EU$2,-99),EU$5,_xlfn.IFNA(EU$3,-99),EU$6,_xlfn.IFNA(EU$4,-99),EU$7,""),"")</f>
        <v/>
      </c>
      <c r="EX57" s="54">
        <f>Eu_tabel_a[[#This Row],[x base]]*SQRT(Eu_a_h0_x*(1-Eu_a_h0_x)/Eu_a_n_x)+Eu_a_h0_x</f>
        <v>0</v>
      </c>
      <c r="FC57" s="161" t="e">
        <f t="shared" si="18"/>
        <v>#N/A</v>
      </c>
      <c r="FD57" s="169" t="e">
        <f t="shared" si="121"/>
        <v>#DIV/0!</v>
      </c>
      <c r="FE57" s="7" t="e">
        <f t="shared" si="12"/>
        <v>#DIV/0!</v>
      </c>
      <c r="FF57" t="e">
        <f t="shared" si="122"/>
        <v>#DIV/0!</v>
      </c>
      <c r="FG57" s="8" t="e">
        <f t="shared" si="123"/>
        <v>#DIV/0!</v>
      </c>
      <c r="FH57" s="8" t="e">
        <f t="shared" si="124"/>
        <v>#DIV/0!</v>
      </c>
      <c r="FI57" s="168" t="e">
        <f t="shared" si="125"/>
        <v>#DIV/0!</v>
      </c>
      <c r="FJ57" s="161" t="e">
        <f t="shared" ca="1" si="13"/>
        <v>#N/A</v>
      </c>
      <c r="FK57" s="169" t="e" vm="3">
        <f t="shared" ca="1" si="19"/>
        <v>#VALUE!</v>
      </c>
      <c r="FL57" s="7" t="e" vm="3">
        <f t="shared" ca="1" si="14"/>
        <v>#VALUE!</v>
      </c>
      <c r="FM57" t="e" vm="3">
        <f t="shared" ca="1" si="8"/>
        <v>#VALUE!</v>
      </c>
      <c r="FN57" s="8" t="e" vm="3">
        <f t="shared" ca="1" si="9"/>
        <v>#VALUE!</v>
      </c>
      <c r="FO57" s="8" t="e" vm="3">
        <f t="shared" ca="1" si="10"/>
        <v>#VALUE!</v>
      </c>
      <c r="FP57" s="168" t="e" vm="3">
        <f t="shared" ca="1" si="11"/>
        <v>#VALUE!</v>
      </c>
      <c r="FQ57" s="161" t="e">
        <f t="shared" si="15"/>
        <v>#N/A</v>
      </c>
      <c r="FR57" s="169" t="e">
        <f t="shared" si="20"/>
        <v>#N/A</v>
      </c>
      <c r="FS57" s="7" t="e">
        <f t="shared" si="16"/>
        <v>#N/A</v>
      </c>
      <c r="FT57" t="e">
        <f t="shared" si="21"/>
        <v>#N/A</v>
      </c>
      <c r="FU57" s="8" t="e">
        <f t="shared" si="22"/>
        <v>#N/A</v>
      </c>
      <c r="FV57" s="8" t="e">
        <f t="shared" si="23"/>
        <v>#N/A</v>
      </c>
      <c r="FW57" s="168" t="e">
        <f t="shared" si="24"/>
        <v>#N/A</v>
      </c>
      <c r="FX57" s="161" t="e">
        <f t="shared" si="25"/>
        <v>#N/A</v>
      </c>
      <c r="FY57" s="169" t="e">
        <f t="shared" si="26"/>
        <v>#N/A</v>
      </c>
      <c r="FZ57" s="7" t="e">
        <f t="shared" si="17"/>
        <v>#N/A</v>
      </c>
      <c r="GA57" t="e">
        <f t="shared" si="27"/>
        <v>#N/A</v>
      </c>
      <c r="GB57" s="8" t="e">
        <f t="shared" si="28"/>
        <v>#N/A</v>
      </c>
      <c r="GC57" s="8" t="e">
        <f t="shared" si="29"/>
        <v>#N/A</v>
      </c>
      <c r="GD57" s="168" t="e">
        <f t="shared" si="30"/>
        <v>#N/A</v>
      </c>
      <c r="GE57" s="168"/>
      <c r="GF57" s="168"/>
      <c r="GI57" s="139">
        <f t="shared" si="81"/>
        <v>47</v>
      </c>
      <c r="GJ57" s="54">
        <f t="shared" si="82"/>
        <v>48</v>
      </c>
      <c r="GK57" s="139">
        <f t="shared" si="83"/>
        <v>-1.9643337139981449</v>
      </c>
      <c r="GL57" s="139">
        <f t="shared" si="84"/>
        <v>5.7946100444885101E-2</v>
      </c>
      <c r="GM57" s="139" t="e">
        <f t="shared" si="85"/>
        <v>#N/A</v>
      </c>
      <c r="GN57" s="139" t="e">
        <f t="shared" si="86"/>
        <v>#N/A</v>
      </c>
      <c r="GO57" s="139" t="e">
        <f t="shared" si="87"/>
        <v>#N/A</v>
      </c>
      <c r="GP57" s="139" t="b">
        <f t="shared" si="88"/>
        <v>1</v>
      </c>
      <c r="GQ57" s="139" t="b">
        <f t="shared" si="89"/>
        <v>0</v>
      </c>
      <c r="GR57" s="139" t="b">
        <f t="shared" si="90"/>
        <v>1</v>
      </c>
      <c r="GS57" s="139" t="b">
        <f t="shared" si="91"/>
        <v>0</v>
      </c>
      <c r="GT57" s="139">
        <f t="shared" si="92"/>
        <v>5.7946100444885101E-2</v>
      </c>
      <c r="GU57" s="139">
        <f t="shared" si="93"/>
        <v>5.7946100444885101E-2</v>
      </c>
      <c r="GV57" s="139" t="e">
        <f t="shared" si="94"/>
        <v>#N/A</v>
      </c>
      <c r="GW57" s="140">
        <f t="shared" si="95"/>
        <v>1.0840000000000001</v>
      </c>
      <c r="HC57" s="139">
        <f t="shared" si="96"/>
        <v>47</v>
      </c>
      <c r="HD57" s="54">
        <f t="shared" si="97"/>
        <v>48</v>
      </c>
      <c r="HE57" s="139">
        <f t="shared" si="98"/>
        <v>-3.0418120120026613</v>
      </c>
      <c r="HF57" s="139" t="e">
        <f t="shared" si="99"/>
        <v>#N/A</v>
      </c>
      <c r="HG57" s="139">
        <f t="shared" si="100"/>
        <v>1.3247980696787178E-2</v>
      </c>
      <c r="HH57" s="139" t="e">
        <f t="shared" si="101"/>
        <v>#N/A</v>
      </c>
      <c r="HI57" s="139" t="e">
        <f t="shared" si="102"/>
        <v>#N/A</v>
      </c>
      <c r="HJ57" s="139" t="b">
        <f t="shared" si="103"/>
        <v>1</v>
      </c>
      <c r="HK57" s="139" t="b">
        <f t="shared" si="104"/>
        <v>0</v>
      </c>
      <c r="HL57" s="139" t="b">
        <f t="shared" si="105"/>
        <v>1</v>
      </c>
      <c r="HM57" s="139" t="b">
        <f t="shared" si="106"/>
        <v>0</v>
      </c>
      <c r="HN57" s="139">
        <f t="shared" si="107"/>
        <v>1.3247980696787178E-2</v>
      </c>
      <c r="HO57" s="139">
        <f t="shared" si="108"/>
        <v>1.3247980696787178E-2</v>
      </c>
      <c r="HP57" s="139" t="e">
        <f t="shared" si="109"/>
        <v>#N/A</v>
      </c>
      <c r="HQ57" s="140" t="str">
        <f t="shared" si="110"/>
        <v/>
      </c>
    </row>
    <row r="58" spans="57:225" x14ac:dyDescent="0.2">
      <c r="BS58" s="139">
        <f t="shared" si="36"/>
        <v>48</v>
      </c>
      <c r="BT58" s="54">
        <f>Eu_tabel_g[[#This Row],[Indeks]]+1</f>
        <v>49</v>
      </c>
      <c r="BU58" s="139">
        <f t="shared" si="37"/>
        <v>-1.9403784248030456</v>
      </c>
      <c r="BV58" s="139">
        <f t="shared" si="38"/>
        <v>6.0720570586669888E-2</v>
      </c>
      <c r="BW58" s="139" t="e">
        <f t="shared" si="39"/>
        <v>#N/A</v>
      </c>
      <c r="BX58" s="139" t="e">
        <f t="shared" si="40"/>
        <v>#N/A</v>
      </c>
      <c r="BY58" s="139" t="e">
        <f t="shared" si="41"/>
        <v>#N/A</v>
      </c>
      <c r="BZ58" s="139" t="b">
        <f t="shared" si="42"/>
        <v>0</v>
      </c>
      <c r="CA58" s="139" t="b">
        <f t="shared" si="43"/>
        <v>1</v>
      </c>
      <c r="CB58" s="139" t="b">
        <f t="shared" si="44"/>
        <v>0</v>
      </c>
      <c r="CC58" s="139" t="b">
        <f t="shared" si="45"/>
        <v>1</v>
      </c>
      <c r="CD58" s="139">
        <f t="shared" si="128"/>
        <v>6.0720570586669888E-2</v>
      </c>
      <c r="CE58" s="139" t="e">
        <f t="shared" si="47"/>
        <v>#N/A</v>
      </c>
      <c r="CF58" s="139">
        <f t="shared" si="48"/>
        <v>6.0720570586669888E-2</v>
      </c>
      <c r="CG58" s="140" t="str">
        <f t="shared" si="49"/>
        <v/>
      </c>
      <c r="CH58" s="54">
        <f>_xlfn.NORM.DIST(_xlfn.NORM.INV(1-Eu_g_konfidensniveau,0,1)-Eu_tabel_g[[#This Row],[x base]],0,1,TRUE)</f>
        <v>0.61620349407481712</v>
      </c>
      <c r="CI58" s="54">
        <f>1-_xlfn.NORM.DIST(_xlfn.NORM.INV(Eu_g_konfidensniveau,0,1)-Eu_tabel_g[[#This Row],[x base]],0,1,TRUE)</f>
        <v>1.6838931044338423E-4</v>
      </c>
      <c r="CJ58" s="54">
        <f>_xlfn.NORM.DIST(_xlfn.NORM.INV((1-Eu_g_konfidensniveau)/2,0,1)-Eu_tabel_g[[#This Row],[x base]],0,1,TRUE)+1-_xlfn.NORM.DIST(_xlfn.NORM.INV(1-(1-Eu_g_konfidensniveau)/2,0,1)-Eu_tabel_g[[#This Row],[x base]],0,1,TRUE)</f>
        <v>0.49223502001074981</v>
      </c>
      <c r="CK58" s="54" t="e" cm="1">
        <f t="array" ref="CK58">IF($CK$3,INDEX(Eu_tabel_g[[#This Row],[Styrke venstre]:[Styrke tosidet]],CK$7),NA())</f>
        <v>#N/A</v>
      </c>
      <c r="CL58" s="99" t="e">
        <f>Eu_tabel_g[[#This Row],[Falsk positiv
Nulhypotese accepteres
Fejltype 1]]</f>
        <v>#N/A</v>
      </c>
      <c r="CM58" s="99" t="e">
        <f>IF(CHOOSE(CK$7,Eu_tabel_g[[#This Row],[x base]]&gt;0,Eu_tabel_g[[#This Row],[x base]]&lt;0,Eu_tabel_g[[#This Row],[x base]]=0),Eu_tabel_g[[#This Row],[Styrke, aktiv]],NA())</f>
        <v>#N/A</v>
      </c>
      <c r="CN58" s="99" t="e">
        <f>IFERROR(IF($CK$3,Eu_tabel_g[[#This Row],[Styrke, aktiv]],NA()),NA())</f>
        <v>#N/A</v>
      </c>
      <c r="CO58" s="99" t="e">
        <f>IF(ISNA(Eu_tabel_g[[#This Row],[Sand negativ
Nulhypotese afvises
Korrekt]]),NA(),IF($CK$3,1,NA()))</f>
        <v>#N/A</v>
      </c>
      <c r="CP58" s="56" t="str" cm="1">
        <f t="array" ref="CP58">_xlfn.SWITCH(BS58,_xlfn.IFNA(CN$2,-99),CN$5,_xlfn.IFNA(CN$3,-99),CN$6,_xlfn.IFNA(CN$4,-99),CN$7,"")</f>
        <v/>
      </c>
      <c r="CT58" s="7">
        <f t="shared" si="50"/>
        <v>0.8</v>
      </c>
      <c r="CU58">
        <f>IF(ROW(Styrkeberegning_G[[#This Row],[X base venstre]])=ROW(Styrkeberegning_G[[#Headers],[X base venstre]])+1,CU$7/(CT$7/$B$67),CU57/(CT57/$B$67))</f>
        <v>-2.8015817870135784</v>
      </c>
      <c r="CV58">
        <f>Styrkeberegning_G[[#This Row],[X base venstre]]*-1</f>
        <v>2.8015817870135784</v>
      </c>
      <c r="DG58" s="139">
        <f t="shared" si="51"/>
        <v>48</v>
      </c>
      <c r="DH58" s="54">
        <f t="shared" si="52"/>
        <v>49</v>
      </c>
      <c r="DI58" s="139">
        <f t="shared" si="53"/>
        <v>7.3092537726697389</v>
      </c>
      <c r="DJ58" s="139" t="e">
        <f t="shared" si="54"/>
        <v>#N/A</v>
      </c>
      <c r="DK58" s="139" t="e">
        <f t="shared" si="55"/>
        <v>#N/A</v>
      </c>
      <c r="DL58" s="139">
        <f t="shared" si="56"/>
        <v>8.4279635710785644E-2</v>
      </c>
      <c r="DM58" s="139" t="e">
        <f t="shared" si="57"/>
        <v>#N/A</v>
      </c>
      <c r="DN58" s="139" t="b">
        <f t="shared" si="58"/>
        <v>0</v>
      </c>
      <c r="DO58" s="139" t="b">
        <f t="shared" si="59"/>
        <v>1</v>
      </c>
      <c r="DP58" s="139" t="b">
        <f t="shared" si="60"/>
        <v>0</v>
      </c>
      <c r="DQ58" s="139" t="b">
        <f t="shared" si="61"/>
        <v>1</v>
      </c>
      <c r="DR58" s="139">
        <f t="shared" si="62"/>
        <v>8.4279635710785644E-2</v>
      </c>
      <c r="DS58" s="139" t="e">
        <f t="shared" si="63"/>
        <v>#N/A</v>
      </c>
      <c r="DT58" s="139">
        <f t="shared" si="64"/>
        <v>8.4279635710785644E-2</v>
      </c>
      <c r="DU58" s="140" t="str">
        <f t="shared" si="65"/>
        <v/>
      </c>
      <c r="DZ58" s="139">
        <f t="shared" si="66"/>
        <v>48</v>
      </c>
      <c r="EA58" s="54">
        <f t="shared" si="67"/>
        <v>49</v>
      </c>
      <c r="EB58" s="139">
        <f t="shared" si="68"/>
        <v>-1.9403784248030456</v>
      </c>
      <c r="EC58" s="139">
        <f t="shared" si="69"/>
        <v>6.0720570586669888E-2</v>
      </c>
      <c r="ED58" s="139" t="e">
        <f t="shared" si="70"/>
        <v>#N/A</v>
      </c>
      <c r="EE58" s="139" t="e">
        <f t="shared" si="71"/>
        <v>#N/A</v>
      </c>
      <c r="EF58" s="139" t="e">
        <f t="shared" si="72"/>
        <v>#N/A</v>
      </c>
      <c r="EG58" s="139" t="b">
        <f t="shared" si="73"/>
        <v>0</v>
      </c>
      <c r="EH58" s="139" t="b">
        <f t="shared" si="74"/>
        <v>1</v>
      </c>
      <c r="EI58" s="139" t="b">
        <f t="shared" si="75"/>
        <v>0</v>
      </c>
      <c r="EJ58" s="139" t="b">
        <f t="shared" si="76"/>
        <v>1</v>
      </c>
      <c r="EK58" s="139">
        <f t="shared" si="77"/>
        <v>6.0720570586669888E-2</v>
      </c>
      <c r="EL58" s="139" t="e">
        <f t="shared" si="78"/>
        <v>#N/A</v>
      </c>
      <c r="EM58" s="139">
        <f t="shared" si="79"/>
        <v>6.0720570586669888E-2</v>
      </c>
      <c r="EN58" s="140" t="str">
        <f t="shared" si="80"/>
        <v/>
      </c>
      <c r="EO5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5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5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58" s="54" t="e" cm="1">
        <f t="array" ref="ER58">IF($CK$3,INDEX(Eu_tabel_a[[#This Row],[Styrke venstre]:[Styrke tosidet]],ER$7),NA())</f>
        <v>#N/A</v>
      </c>
      <c r="ES58" s="54" t="e">
        <f>IF(ER$3,IF(CHOOSE(ER$7,Eu_tabel_a[[#This Row],[x base]]&gt;0,Eu_tabel_a[[#This Row],[x base]]&lt;0,Eu_tabel_a[[#This Row],[x base]]=0),1,NA()),NA())</f>
        <v>#N/A</v>
      </c>
      <c r="ET58" s="54" t="e">
        <f>IF(CHOOSE(ER$7,Eu_tabel_a[[#This Row],[x base]]&gt;0,Eu_tabel_a[[#This Row],[x base]]&lt;0,Eu_tabel_a[[#This Row],[x base]]=0),Eu_tabel_a[[#This Row],[Styrke, aktiv]],NA())</f>
        <v>#N/A</v>
      </c>
      <c r="EU58" s="54" t="e">
        <f>IFERROR(IF($ER$3,Eu_tabel_a[[#This Row],[Styrke, aktiv]],NA()),NA())</f>
        <v>#N/A</v>
      </c>
      <c r="EV58" s="54" t="e">
        <f>IF(ISNA(Eu_tabel_a[[#This Row],[Sand negativ
Nulhypotese afvises
Korrekt]]),NA(),IF(ER$3,1,NA()))</f>
        <v>#N/A</v>
      </c>
      <c r="EW58" s="55" t="str" cm="1">
        <f t="array" ref="EW58">IFERROR(_xlfn.SWITCH(Eu_tabel_a[[#This Row],[Indeks]],_xlfn.IFNA(EU$2,-99),EU$5,_xlfn.IFNA(EU$3,-99),EU$6,_xlfn.IFNA(EU$4,-99),EU$7,""),"")</f>
        <v/>
      </c>
      <c r="EX58" s="54">
        <f>Eu_tabel_a[[#This Row],[x base]]*SQRT(Eu_a_h0_x*(1-Eu_a_h0_x)/Eu_a_n_x)+Eu_a_h0_x</f>
        <v>0</v>
      </c>
      <c r="FC58" s="161" t="e">
        <f t="shared" si="18"/>
        <v>#N/A</v>
      </c>
      <c r="FD58" s="169" t="e">
        <f t="shared" si="121"/>
        <v>#DIV/0!</v>
      </c>
      <c r="FE58" s="7" t="e">
        <f t="shared" si="12"/>
        <v>#DIV/0!</v>
      </c>
      <c r="FF58" t="e">
        <f t="shared" si="122"/>
        <v>#DIV/0!</v>
      </c>
      <c r="FG58" s="8" t="e">
        <f t="shared" si="123"/>
        <v>#DIV/0!</v>
      </c>
      <c r="FH58" s="8" t="e">
        <f t="shared" si="124"/>
        <v>#DIV/0!</v>
      </c>
      <c r="FI58" s="168" t="e">
        <f t="shared" si="125"/>
        <v>#DIV/0!</v>
      </c>
      <c r="FJ58" s="161" t="e">
        <f t="shared" ca="1" si="13"/>
        <v>#N/A</v>
      </c>
      <c r="FK58" s="169" t="e" vm="3">
        <f t="shared" ca="1" si="19"/>
        <v>#VALUE!</v>
      </c>
      <c r="FL58" s="7" t="e" vm="3">
        <f t="shared" ca="1" si="14"/>
        <v>#VALUE!</v>
      </c>
      <c r="FM58" t="e" vm="3">
        <f t="shared" ca="1" si="8"/>
        <v>#VALUE!</v>
      </c>
      <c r="FN58" s="8" t="e" vm="3">
        <f t="shared" ca="1" si="9"/>
        <v>#VALUE!</v>
      </c>
      <c r="FO58" s="8" t="e" vm="3">
        <f t="shared" ca="1" si="10"/>
        <v>#VALUE!</v>
      </c>
      <c r="FP58" s="168" t="e" vm="3">
        <f t="shared" ca="1" si="11"/>
        <v>#VALUE!</v>
      </c>
      <c r="FQ58" s="161" t="e">
        <f t="shared" si="15"/>
        <v>#N/A</v>
      </c>
      <c r="FR58" s="169" t="e">
        <f t="shared" si="20"/>
        <v>#N/A</v>
      </c>
      <c r="FS58" s="7" t="e">
        <f t="shared" si="16"/>
        <v>#N/A</v>
      </c>
      <c r="FT58" t="e">
        <f t="shared" si="21"/>
        <v>#N/A</v>
      </c>
      <c r="FU58" s="8" t="e">
        <f t="shared" si="22"/>
        <v>#N/A</v>
      </c>
      <c r="FV58" s="8" t="e">
        <f t="shared" si="23"/>
        <v>#N/A</v>
      </c>
      <c r="FW58" s="168" t="e">
        <f t="shared" si="24"/>
        <v>#N/A</v>
      </c>
      <c r="FX58" s="161" t="e">
        <f t="shared" si="25"/>
        <v>#N/A</v>
      </c>
      <c r="FY58" s="169" t="e">
        <f t="shared" si="26"/>
        <v>#N/A</v>
      </c>
      <c r="FZ58" s="7" t="e">
        <f t="shared" si="17"/>
        <v>#N/A</v>
      </c>
      <c r="GA58" t="e">
        <f t="shared" si="27"/>
        <v>#N/A</v>
      </c>
      <c r="GB58" s="8" t="e">
        <f t="shared" si="28"/>
        <v>#N/A</v>
      </c>
      <c r="GC58" s="8" t="e">
        <f t="shared" si="29"/>
        <v>#N/A</v>
      </c>
      <c r="GD58" s="168" t="e">
        <f t="shared" si="30"/>
        <v>#N/A</v>
      </c>
      <c r="GE58" s="168"/>
      <c r="GF58" s="168"/>
      <c r="GI58" s="139">
        <f t="shared" si="81"/>
        <v>48</v>
      </c>
      <c r="GJ58" s="54">
        <f t="shared" si="82"/>
        <v>49</v>
      </c>
      <c r="GK58" s="139">
        <f t="shared" si="83"/>
        <v>-1.9403784248030456</v>
      </c>
      <c r="GL58" s="139">
        <f t="shared" si="84"/>
        <v>6.0720570586669888E-2</v>
      </c>
      <c r="GM58" s="139" t="e">
        <f t="shared" si="85"/>
        <v>#N/A</v>
      </c>
      <c r="GN58" s="139" t="e">
        <f t="shared" si="86"/>
        <v>#N/A</v>
      </c>
      <c r="GO58" s="139" t="e">
        <f t="shared" si="87"/>
        <v>#N/A</v>
      </c>
      <c r="GP58" s="139" t="b">
        <f t="shared" si="88"/>
        <v>0</v>
      </c>
      <c r="GQ58" s="139" t="b">
        <f t="shared" si="89"/>
        <v>1</v>
      </c>
      <c r="GR58" s="139" t="b">
        <f t="shared" si="90"/>
        <v>0</v>
      </c>
      <c r="GS58" s="139" t="b">
        <f t="shared" si="91"/>
        <v>1</v>
      </c>
      <c r="GT58" s="139">
        <f t="shared" si="92"/>
        <v>6.0720570586669888E-2</v>
      </c>
      <c r="GU58" s="139" t="e">
        <f t="shared" si="93"/>
        <v>#N/A</v>
      </c>
      <c r="GV58" s="139">
        <f t="shared" si="94"/>
        <v>6.0720570586669888E-2</v>
      </c>
      <c r="GW58" s="140" t="str">
        <f t="shared" si="95"/>
        <v/>
      </c>
      <c r="HC58" s="139">
        <f t="shared" si="96"/>
        <v>48</v>
      </c>
      <c r="HD58" s="54">
        <f t="shared" si="97"/>
        <v>49</v>
      </c>
      <c r="HE58" s="139">
        <f t="shared" si="98"/>
        <v>-3.0047167435636046</v>
      </c>
      <c r="HF58" s="139" t="e">
        <f t="shared" si="99"/>
        <v>#N/A</v>
      </c>
      <c r="HG58" s="139">
        <f t="shared" si="100"/>
        <v>1.4005252222668935E-2</v>
      </c>
      <c r="HH58" s="139" t="e">
        <f t="shared" si="101"/>
        <v>#N/A</v>
      </c>
      <c r="HI58" s="139" t="e">
        <f t="shared" si="102"/>
        <v>#N/A</v>
      </c>
      <c r="HJ58" s="139" t="b">
        <f t="shared" si="103"/>
        <v>1</v>
      </c>
      <c r="HK58" s="139" t="b">
        <f t="shared" si="104"/>
        <v>0</v>
      </c>
      <c r="HL58" s="139" t="b">
        <f t="shared" si="105"/>
        <v>1</v>
      </c>
      <c r="HM58" s="139" t="b">
        <f t="shared" si="106"/>
        <v>0</v>
      </c>
      <c r="HN58" s="139">
        <f t="shared" si="107"/>
        <v>1.4005252222668935E-2</v>
      </c>
      <c r="HO58" s="139">
        <f t="shared" si="108"/>
        <v>1.4005252222668935E-2</v>
      </c>
      <c r="HP58" s="139" t="e">
        <f t="shared" si="109"/>
        <v>#N/A</v>
      </c>
      <c r="HQ58" s="140" t="str">
        <f t="shared" si="110"/>
        <v/>
      </c>
    </row>
    <row r="59" spans="57:225" x14ac:dyDescent="0.2">
      <c r="BS59" s="139">
        <f t="shared" si="36"/>
        <v>49</v>
      </c>
      <c r="BT59" s="54">
        <f>Eu_tabel_g[[#This Row],[Indeks]]+1</f>
        <v>50</v>
      </c>
      <c r="BU59" s="139">
        <f t="shared" si="37"/>
        <v>-1.9164231356079462</v>
      </c>
      <c r="BV59" s="139">
        <f t="shared" si="38"/>
        <v>6.3591380118377214E-2</v>
      </c>
      <c r="BW59" s="139" t="e">
        <f t="shared" si="39"/>
        <v>#N/A</v>
      </c>
      <c r="BX59" s="139" t="e">
        <f t="shared" si="40"/>
        <v>#N/A</v>
      </c>
      <c r="BY59" s="139" t="e">
        <f t="shared" si="41"/>
        <v>#N/A</v>
      </c>
      <c r="BZ59" s="139" t="b">
        <f t="shared" si="42"/>
        <v>0</v>
      </c>
      <c r="CA59" s="139" t="b">
        <f t="shared" si="43"/>
        <v>1</v>
      </c>
      <c r="CB59" s="139" t="b">
        <f t="shared" si="44"/>
        <v>0</v>
      </c>
      <c r="CC59" s="139" t="b">
        <f t="shared" si="45"/>
        <v>1</v>
      </c>
      <c r="CD59" s="139">
        <f t="shared" si="128"/>
        <v>6.3591380118377214E-2</v>
      </c>
      <c r="CE59" s="139" t="e">
        <f t="shared" si="47"/>
        <v>#N/A</v>
      </c>
      <c r="CF59" s="139">
        <f t="shared" si="48"/>
        <v>6.3591380118377214E-2</v>
      </c>
      <c r="CG59" s="140" t="str">
        <f t="shared" si="49"/>
        <v/>
      </c>
      <c r="CH59" s="54">
        <f>_xlfn.NORM.DIST(_xlfn.NORM.INV(1-Eu_g_konfidensniveau,0,1)-Eu_tabel_g[[#This Row],[x base]],0,1,TRUE)</f>
        <v>0.60702347642423038</v>
      </c>
      <c r="CI59" s="54">
        <f>1-_xlfn.NORM.DIST(_xlfn.NORM.INV(Eu_g_konfidensniveau,0,1)-Eu_tabel_g[[#This Row],[x base]],0,1,TRUE)</f>
        <v>1.8452790723522128E-4</v>
      </c>
      <c r="CJ59" s="54">
        <f>_xlfn.NORM.DIST(_xlfn.NORM.INV((1-Eu_g_konfidensniveau)/2,0,1)-Eu_tabel_g[[#This Row],[x base]],0,1,TRUE)+1-_xlfn.NORM.DIST(_xlfn.NORM.INV(1-(1-Eu_g_konfidensniveau)/2,0,1)-Eu_tabel_g[[#This Row],[x base]],0,1,TRUE)</f>
        <v>0.48268821080330226</v>
      </c>
      <c r="CK59" s="54" t="e" cm="1">
        <f t="array" ref="CK59">IF($CK$3,INDEX(Eu_tabel_g[[#This Row],[Styrke venstre]:[Styrke tosidet]],CK$7),NA())</f>
        <v>#N/A</v>
      </c>
      <c r="CL59" s="99" t="e">
        <f>Eu_tabel_g[[#This Row],[Falsk positiv
Nulhypotese accepteres
Fejltype 1]]</f>
        <v>#N/A</v>
      </c>
      <c r="CM59" s="99" t="e">
        <f>IF(CHOOSE(CK$7,Eu_tabel_g[[#This Row],[x base]]&gt;0,Eu_tabel_g[[#This Row],[x base]]&lt;0,Eu_tabel_g[[#This Row],[x base]]=0),Eu_tabel_g[[#This Row],[Styrke, aktiv]],NA())</f>
        <v>#N/A</v>
      </c>
      <c r="CN59" s="99" t="e">
        <f>IFERROR(IF($CK$3,Eu_tabel_g[[#This Row],[Styrke, aktiv]],NA()),NA())</f>
        <v>#N/A</v>
      </c>
      <c r="CO59" s="99" t="e">
        <f>IF(ISNA(Eu_tabel_g[[#This Row],[Sand negativ
Nulhypotese afvises
Korrekt]]),NA(),IF($CK$3,1,NA()))</f>
        <v>#N/A</v>
      </c>
      <c r="CP59" s="56" t="str" cm="1">
        <f t="array" ref="CP59">_xlfn.SWITCH(BS59,_xlfn.IFNA(CN$2,-99),CN$5,_xlfn.IFNA(CN$3,-99),CN$6,_xlfn.IFNA(CN$4,-99),CN$7,"")</f>
        <v/>
      </c>
      <c r="CT59" s="7">
        <f t="shared" si="50"/>
        <v>0.8</v>
      </c>
      <c r="CU59">
        <f>IF(ROW(Styrkeberegning_G[[#This Row],[X base venstre]])=ROW(Styrkeberegning_G[[#Headers],[X base venstre]])+1,CU$7/(CT$7/$B$67),CU58/(CT58/$B$67))</f>
        <v>-2.8015817870135784</v>
      </c>
      <c r="CV59">
        <f>Styrkeberegning_G[[#This Row],[X base venstre]]*-1</f>
        <v>2.8015817870135784</v>
      </c>
      <c r="DG59" s="139">
        <f t="shared" si="51"/>
        <v>49</v>
      </c>
      <c r="DH59" s="54">
        <f t="shared" si="52"/>
        <v>50</v>
      </c>
      <c r="DI59" s="139">
        <f t="shared" si="53"/>
        <v>7.4233246290867401</v>
      </c>
      <c r="DJ59" s="139" t="e">
        <f t="shared" si="54"/>
        <v>#N/A</v>
      </c>
      <c r="DK59" s="139" t="e">
        <f t="shared" si="55"/>
        <v>#N/A</v>
      </c>
      <c r="DL59" s="139">
        <f t="shared" si="56"/>
        <v>8.5352615566646459E-2</v>
      </c>
      <c r="DM59" s="139" t="e">
        <f t="shared" si="57"/>
        <v>#N/A</v>
      </c>
      <c r="DN59" s="139" t="b">
        <f t="shared" si="58"/>
        <v>0</v>
      </c>
      <c r="DO59" s="139" t="b">
        <f t="shared" si="59"/>
        <v>1</v>
      </c>
      <c r="DP59" s="139" t="b">
        <f t="shared" si="60"/>
        <v>0</v>
      </c>
      <c r="DQ59" s="139" t="b">
        <f t="shared" si="61"/>
        <v>1</v>
      </c>
      <c r="DR59" s="139">
        <f t="shared" si="62"/>
        <v>8.5352615566646459E-2</v>
      </c>
      <c r="DS59" s="139" t="e">
        <f t="shared" si="63"/>
        <v>#N/A</v>
      </c>
      <c r="DT59" s="139">
        <f t="shared" si="64"/>
        <v>8.5352615566646459E-2</v>
      </c>
      <c r="DU59" s="140" t="str">
        <f t="shared" si="65"/>
        <v/>
      </c>
      <c r="DZ59" s="139">
        <f t="shared" si="66"/>
        <v>49</v>
      </c>
      <c r="EA59" s="54">
        <f t="shared" si="67"/>
        <v>50</v>
      </c>
      <c r="EB59" s="139">
        <f t="shared" si="68"/>
        <v>-1.9164231356079462</v>
      </c>
      <c r="EC59" s="139">
        <f t="shared" si="69"/>
        <v>6.3591380118377214E-2</v>
      </c>
      <c r="ED59" s="139" t="e">
        <f t="shared" si="70"/>
        <v>#N/A</v>
      </c>
      <c r="EE59" s="139" t="e">
        <f t="shared" si="71"/>
        <v>#N/A</v>
      </c>
      <c r="EF59" s="139" t="e">
        <f t="shared" si="72"/>
        <v>#N/A</v>
      </c>
      <c r="EG59" s="139" t="b">
        <f t="shared" si="73"/>
        <v>0</v>
      </c>
      <c r="EH59" s="139" t="b">
        <f t="shared" si="74"/>
        <v>1</v>
      </c>
      <c r="EI59" s="139" t="b">
        <f t="shared" si="75"/>
        <v>0</v>
      </c>
      <c r="EJ59" s="139" t="b">
        <f t="shared" si="76"/>
        <v>1</v>
      </c>
      <c r="EK59" s="139">
        <f t="shared" si="77"/>
        <v>6.3591380118377214E-2</v>
      </c>
      <c r="EL59" s="139" t="e">
        <f t="shared" si="78"/>
        <v>#N/A</v>
      </c>
      <c r="EM59" s="139">
        <f t="shared" si="79"/>
        <v>6.3591380118377214E-2</v>
      </c>
      <c r="EN59" s="140" t="str">
        <f t="shared" si="80"/>
        <v/>
      </c>
      <c r="EO5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5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5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59" s="54" t="e" cm="1">
        <f t="array" ref="ER59">IF($CK$3,INDEX(Eu_tabel_a[[#This Row],[Styrke venstre]:[Styrke tosidet]],ER$7),NA())</f>
        <v>#N/A</v>
      </c>
      <c r="ES59" s="54" t="e">
        <f>IF(ER$3,IF(CHOOSE(ER$7,Eu_tabel_a[[#This Row],[x base]]&gt;0,Eu_tabel_a[[#This Row],[x base]]&lt;0,Eu_tabel_a[[#This Row],[x base]]=0),1,NA()),NA())</f>
        <v>#N/A</v>
      </c>
      <c r="ET59" s="54" t="e">
        <f>IF(CHOOSE(ER$7,Eu_tabel_a[[#This Row],[x base]]&gt;0,Eu_tabel_a[[#This Row],[x base]]&lt;0,Eu_tabel_a[[#This Row],[x base]]=0),Eu_tabel_a[[#This Row],[Styrke, aktiv]],NA())</f>
        <v>#N/A</v>
      </c>
      <c r="EU59" s="54" t="e">
        <f>IFERROR(IF($ER$3,Eu_tabel_a[[#This Row],[Styrke, aktiv]],NA()),NA())</f>
        <v>#N/A</v>
      </c>
      <c r="EV59" s="54" t="e">
        <f>IF(ISNA(Eu_tabel_a[[#This Row],[Sand negativ
Nulhypotese afvises
Korrekt]]),NA(),IF(ER$3,1,NA()))</f>
        <v>#N/A</v>
      </c>
      <c r="EW59" s="55" t="str" cm="1">
        <f t="array" ref="EW59">IFERROR(_xlfn.SWITCH(Eu_tabel_a[[#This Row],[Indeks]],_xlfn.IFNA(EU$2,-99),EU$5,_xlfn.IFNA(EU$3,-99),EU$6,_xlfn.IFNA(EU$4,-99),EU$7,""),"")</f>
        <v/>
      </c>
      <c r="EX59" s="54">
        <f>Eu_tabel_a[[#This Row],[x base]]*SQRT(Eu_a_h0_x*(1-Eu_a_h0_x)/Eu_a_n_x)+Eu_a_h0_x</f>
        <v>0</v>
      </c>
      <c r="FC59" s="161" t="e">
        <f t="shared" si="18"/>
        <v>#N/A</v>
      </c>
      <c r="FD59" s="169" t="e">
        <f t="shared" si="121"/>
        <v>#DIV/0!</v>
      </c>
      <c r="FE59" s="7" t="e">
        <f t="shared" si="12"/>
        <v>#DIV/0!</v>
      </c>
      <c r="FF59" t="e">
        <f t="shared" si="122"/>
        <v>#DIV/0!</v>
      </c>
      <c r="FG59" s="8" t="e">
        <f t="shared" si="123"/>
        <v>#DIV/0!</v>
      </c>
      <c r="FH59" s="8" t="e">
        <f t="shared" si="124"/>
        <v>#DIV/0!</v>
      </c>
      <c r="FI59" s="168" t="e">
        <f t="shared" si="125"/>
        <v>#DIV/0!</v>
      </c>
      <c r="FJ59" s="161" t="e">
        <f t="shared" ca="1" si="13"/>
        <v>#N/A</v>
      </c>
      <c r="FK59" s="169" t="e" vm="3">
        <f t="shared" ca="1" si="19"/>
        <v>#VALUE!</v>
      </c>
      <c r="FL59" s="7" t="e" vm="3">
        <f t="shared" ca="1" si="14"/>
        <v>#VALUE!</v>
      </c>
      <c r="FM59" t="e" vm="3">
        <f t="shared" ca="1" si="8"/>
        <v>#VALUE!</v>
      </c>
      <c r="FN59" s="8" t="e" vm="3">
        <f t="shared" ca="1" si="9"/>
        <v>#VALUE!</v>
      </c>
      <c r="FO59" s="8" t="e" vm="3">
        <f t="shared" ca="1" si="10"/>
        <v>#VALUE!</v>
      </c>
      <c r="FP59" s="168" t="e" vm="3">
        <f t="shared" ca="1" si="11"/>
        <v>#VALUE!</v>
      </c>
      <c r="FQ59" s="161" t="e">
        <f t="shared" si="15"/>
        <v>#N/A</v>
      </c>
      <c r="FR59" s="169" t="e">
        <f t="shared" si="20"/>
        <v>#N/A</v>
      </c>
      <c r="FS59" s="7" t="e">
        <f t="shared" si="16"/>
        <v>#N/A</v>
      </c>
      <c r="FT59" t="e">
        <f t="shared" si="21"/>
        <v>#N/A</v>
      </c>
      <c r="FU59" s="8" t="e">
        <f t="shared" si="22"/>
        <v>#N/A</v>
      </c>
      <c r="FV59" s="8" t="e">
        <f t="shared" si="23"/>
        <v>#N/A</v>
      </c>
      <c r="FW59" s="168" t="e">
        <f t="shared" si="24"/>
        <v>#N/A</v>
      </c>
      <c r="FX59" s="161" t="e">
        <f t="shared" si="25"/>
        <v>#N/A</v>
      </c>
      <c r="FY59" s="169" t="e">
        <f t="shared" si="26"/>
        <v>#N/A</v>
      </c>
      <c r="FZ59" s="7" t="e">
        <f t="shared" si="17"/>
        <v>#N/A</v>
      </c>
      <c r="GA59" t="e">
        <f t="shared" si="27"/>
        <v>#N/A</v>
      </c>
      <c r="GB59" s="8" t="e">
        <f t="shared" si="28"/>
        <v>#N/A</v>
      </c>
      <c r="GC59" s="8" t="e">
        <f t="shared" si="29"/>
        <v>#N/A</v>
      </c>
      <c r="GD59" s="168" t="e">
        <f t="shared" si="30"/>
        <v>#N/A</v>
      </c>
      <c r="GE59" s="168"/>
      <c r="GF59" s="168"/>
      <c r="GI59" s="139">
        <f t="shared" si="81"/>
        <v>49</v>
      </c>
      <c r="GJ59" s="54">
        <f t="shared" si="82"/>
        <v>50</v>
      </c>
      <c r="GK59" s="139">
        <f t="shared" si="83"/>
        <v>-1.9164231356079462</v>
      </c>
      <c r="GL59" s="139">
        <f t="shared" si="84"/>
        <v>6.3591380118377214E-2</v>
      </c>
      <c r="GM59" s="139" t="e">
        <f t="shared" si="85"/>
        <v>#N/A</v>
      </c>
      <c r="GN59" s="139" t="e">
        <f t="shared" si="86"/>
        <v>#N/A</v>
      </c>
      <c r="GO59" s="139" t="e">
        <f t="shared" si="87"/>
        <v>#N/A</v>
      </c>
      <c r="GP59" s="139" t="b">
        <f t="shared" si="88"/>
        <v>0</v>
      </c>
      <c r="GQ59" s="139" t="b">
        <f t="shared" si="89"/>
        <v>1</v>
      </c>
      <c r="GR59" s="139" t="b">
        <f t="shared" si="90"/>
        <v>0</v>
      </c>
      <c r="GS59" s="139" t="b">
        <f t="shared" si="91"/>
        <v>1</v>
      </c>
      <c r="GT59" s="139">
        <f t="shared" si="92"/>
        <v>6.3591380118377214E-2</v>
      </c>
      <c r="GU59" s="139" t="e">
        <f t="shared" si="93"/>
        <v>#N/A</v>
      </c>
      <c r="GV59" s="139">
        <f t="shared" si="94"/>
        <v>6.3591380118377214E-2</v>
      </c>
      <c r="GW59" s="140" t="str">
        <f t="shared" si="95"/>
        <v/>
      </c>
      <c r="HC59" s="139">
        <f t="shared" si="96"/>
        <v>49</v>
      </c>
      <c r="HD59" s="54">
        <f t="shared" si="97"/>
        <v>50</v>
      </c>
      <c r="HE59" s="139">
        <f t="shared" si="98"/>
        <v>-2.9676214751245475</v>
      </c>
      <c r="HF59" s="139" t="e">
        <f t="shared" si="99"/>
        <v>#N/A</v>
      </c>
      <c r="HG59" s="139">
        <f t="shared" si="100"/>
        <v>1.4807096817980554E-2</v>
      </c>
      <c r="HH59" s="139" t="e">
        <f t="shared" si="101"/>
        <v>#N/A</v>
      </c>
      <c r="HI59" s="139" t="e">
        <f t="shared" si="102"/>
        <v>#N/A</v>
      </c>
      <c r="HJ59" s="139" t="b">
        <f t="shared" si="103"/>
        <v>1</v>
      </c>
      <c r="HK59" s="139" t="b">
        <f t="shared" si="104"/>
        <v>0</v>
      </c>
      <c r="HL59" s="139" t="b">
        <f t="shared" si="105"/>
        <v>1</v>
      </c>
      <c r="HM59" s="139" t="b">
        <f t="shared" si="106"/>
        <v>0</v>
      </c>
      <c r="HN59" s="139">
        <f t="shared" si="107"/>
        <v>1.4807096817980554E-2</v>
      </c>
      <c r="HO59" s="139">
        <f t="shared" si="108"/>
        <v>1.4807096817980554E-2</v>
      </c>
      <c r="HP59" s="139" t="e">
        <f t="shared" si="109"/>
        <v>#N/A</v>
      </c>
      <c r="HQ59" s="140" t="str">
        <f t="shared" si="110"/>
        <v/>
      </c>
    </row>
    <row r="60" spans="57:225" x14ac:dyDescent="0.2">
      <c r="BS60" s="139">
        <f t="shared" si="36"/>
        <v>50</v>
      </c>
      <c r="BT60" s="54">
        <f>Eu_tabel_g[[#This Row],[Indeks]]+1</f>
        <v>51</v>
      </c>
      <c r="BU60" s="139">
        <f t="shared" si="37"/>
        <v>-1.8924678464128468</v>
      </c>
      <c r="BV60" s="139">
        <f t="shared" si="38"/>
        <v>6.6559712089436965E-2</v>
      </c>
      <c r="BW60" s="139" t="e">
        <f t="shared" si="39"/>
        <v>#N/A</v>
      </c>
      <c r="BX60" s="139" t="e">
        <f t="shared" si="40"/>
        <v>#N/A</v>
      </c>
      <c r="BY60" s="139" t="e">
        <f t="shared" si="41"/>
        <v>#N/A</v>
      </c>
      <c r="BZ60" s="139" t="b">
        <f t="shared" si="42"/>
        <v>0</v>
      </c>
      <c r="CA60" s="139" t="b">
        <f t="shared" si="43"/>
        <v>1</v>
      </c>
      <c r="CB60" s="139" t="b">
        <f t="shared" si="44"/>
        <v>0</v>
      </c>
      <c r="CC60" s="139" t="b">
        <f t="shared" si="45"/>
        <v>1</v>
      </c>
      <c r="CD60" s="139">
        <f t="shared" si="128"/>
        <v>6.6559712089436965E-2</v>
      </c>
      <c r="CE60" s="139" t="e">
        <f t="shared" si="47"/>
        <v>#N/A</v>
      </c>
      <c r="CF60" s="139">
        <f t="shared" si="48"/>
        <v>6.6559712089436965E-2</v>
      </c>
      <c r="CG60" s="140" t="str">
        <f t="shared" si="49"/>
        <v/>
      </c>
      <c r="CH60" s="54">
        <f>_xlfn.NORM.DIST(_xlfn.NORM.INV(1-Eu_g_konfidensniveau,0,1)-Eu_tabel_g[[#This Row],[x base]],0,1,TRUE)</f>
        <v>0.59778354612388784</v>
      </c>
      <c r="CI60" s="54">
        <f>1-_xlfn.NORM.DIST(_xlfn.NORM.INV(Eu_g_konfidensniveau,0,1)-Eu_tabel_g[[#This Row],[x base]],0,1,TRUE)</f>
        <v>2.0210367382411665E-4</v>
      </c>
      <c r="CJ60" s="54">
        <f>_xlfn.NORM.DIST(_xlfn.NORM.INV((1-Eu_g_konfidensniveau)/2,0,1)-Eu_tabel_g[[#This Row],[x base]],0,1,TRUE)+1-_xlfn.NORM.DIST(_xlfn.NORM.INV(1-(1-Eu_g_konfidensniveau)/2,0,1)-Eu_tabel_g[[#This Row],[x base]],0,1,TRUE)</f>
        <v>0.47315184344261096</v>
      </c>
      <c r="CK60" s="54" t="e" cm="1">
        <f t="array" ref="CK60">IF($CK$3,INDEX(Eu_tabel_g[[#This Row],[Styrke venstre]:[Styrke tosidet]],CK$7),NA())</f>
        <v>#N/A</v>
      </c>
      <c r="CL60" s="99" t="e">
        <f>Eu_tabel_g[[#This Row],[Falsk positiv
Nulhypotese accepteres
Fejltype 1]]</f>
        <v>#N/A</v>
      </c>
      <c r="CM60" s="99" t="e">
        <f>IF(CHOOSE(CK$7,Eu_tabel_g[[#This Row],[x base]]&gt;0,Eu_tabel_g[[#This Row],[x base]]&lt;0,Eu_tabel_g[[#This Row],[x base]]=0),Eu_tabel_g[[#This Row],[Styrke, aktiv]],NA())</f>
        <v>#N/A</v>
      </c>
      <c r="CN60" s="99" t="e">
        <f>IFERROR(IF($CK$3,Eu_tabel_g[[#This Row],[Styrke, aktiv]],NA()),NA())</f>
        <v>#N/A</v>
      </c>
      <c r="CO60" s="99" t="e">
        <f>IF(ISNA(Eu_tabel_g[[#This Row],[Sand negativ
Nulhypotese afvises
Korrekt]]),NA(),IF($CK$3,1,NA()))</f>
        <v>#N/A</v>
      </c>
      <c r="CP60" s="56" t="str" cm="1">
        <f t="array" ref="CP60">_xlfn.SWITCH(BS60,_xlfn.IFNA(CN$2,-99),CN$5,_xlfn.IFNA(CN$3,-99),CN$6,_xlfn.IFNA(CN$4,-99),CN$7,"")</f>
        <v/>
      </c>
      <c r="CT60" s="7">
        <f t="shared" si="50"/>
        <v>0.8</v>
      </c>
      <c r="CU60">
        <f>IF(ROW(Styrkeberegning_G[[#This Row],[X base venstre]])=ROW(Styrkeberegning_G[[#Headers],[X base venstre]])+1,CU$7/(CT$7/$B$67),CU59/(CT59/$B$67))</f>
        <v>-2.8015817870135784</v>
      </c>
      <c r="CV60">
        <f>Styrkeberegning_G[[#This Row],[X base venstre]]*-1</f>
        <v>2.8015817870135784</v>
      </c>
      <c r="DG60" s="139">
        <f t="shared" si="51"/>
        <v>50</v>
      </c>
      <c r="DH60" s="54">
        <f t="shared" si="52"/>
        <v>51</v>
      </c>
      <c r="DI60" s="139">
        <f t="shared" si="53"/>
        <v>7.5373954855037404</v>
      </c>
      <c r="DJ60" s="139" t="e">
        <f t="shared" si="54"/>
        <v>#N/A</v>
      </c>
      <c r="DK60" s="139" t="e">
        <f t="shared" si="55"/>
        <v>#N/A</v>
      </c>
      <c r="DL60" s="139">
        <f t="shared" si="56"/>
        <v>8.6347444339654689E-2</v>
      </c>
      <c r="DM60" s="139" t="e">
        <f t="shared" si="57"/>
        <v>#N/A</v>
      </c>
      <c r="DN60" s="139" t="b">
        <f t="shared" si="58"/>
        <v>0</v>
      </c>
      <c r="DO60" s="139" t="b">
        <f t="shared" si="59"/>
        <v>1</v>
      </c>
      <c r="DP60" s="139" t="b">
        <f t="shared" si="60"/>
        <v>0</v>
      </c>
      <c r="DQ60" s="139" t="b">
        <f t="shared" si="61"/>
        <v>1</v>
      </c>
      <c r="DR60" s="139">
        <f t="shared" si="62"/>
        <v>8.6347444339654689E-2</v>
      </c>
      <c r="DS60" s="139" t="e">
        <f t="shared" si="63"/>
        <v>#N/A</v>
      </c>
      <c r="DT60" s="139">
        <f t="shared" si="64"/>
        <v>8.6347444339654689E-2</v>
      </c>
      <c r="DU60" s="140" t="str">
        <f t="shared" si="65"/>
        <v/>
      </c>
      <c r="DZ60" s="139">
        <f t="shared" si="66"/>
        <v>50</v>
      </c>
      <c r="EA60" s="54">
        <f t="shared" si="67"/>
        <v>51</v>
      </c>
      <c r="EB60" s="139">
        <f t="shared" si="68"/>
        <v>-1.8924678464128468</v>
      </c>
      <c r="EC60" s="139">
        <f t="shared" si="69"/>
        <v>6.6559712089436965E-2</v>
      </c>
      <c r="ED60" s="139" t="e">
        <f t="shared" si="70"/>
        <v>#N/A</v>
      </c>
      <c r="EE60" s="139" t="e">
        <f t="shared" si="71"/>
        <v>#N/A</v>
      </c>
      <c r="EF60" s="139" t="e">
        <f t="shared" si="72"/>
        <v>#N/A</v>
      </c>
      <c r="EG60" s="139" t="b">
        <f t="shared" si="73"/>
        <v>0</v>
      </c>
      <c r="EH60" s="139" t="b">
        <f t="shared" si="74"/>
        <v>1</v>
      </c>
      <c r="EI60" s="139" t="b">
        <f t="shared" si="75"/>
        <v>0</v>
      </c>
      <c r="EJ60" s="139" t="b">
        <f t="shared" si="76"/>
        <v>1</v>
      </c>
      <c r="EK60" s="139">
        <f t="shared" si="77"/>
        <v>6.6559712089436965E-2</v>
      </c>
      <c r="EL60" s="139" t="e">
        <f t="shared" si="78"/>
        <v>#N/A</v>
      </c>
      <c r="EM60" s="139">
        <f t="shared" si="79"/>
        <v>6.6559712089436965E-2</v>
      </c>
      <c r="EN60" s="140" t="str">
        <f t="shared" si="80"/>
        <v/>
      </c>
      <c r="EO6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6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6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60" s="54" t="e" cm="1">
        <f t="array" ref="ER60">IF($CK$3,INDEX(Eu_tabel_a[[#This Row],[Styrke venstre]:[Styrke tosidet]],ER$7),NA())</f>
        <v>#N/A</v>
      </c>
      <c r="ES60" s="54" t="e">
        <f>IF(ER$3,IF(CHOOSE(ER$7,Eu_tabel_a[[#This Row],[x base]]&gt;0,Eu_tabel_a[[#This Row],[x base]]&lt;0,Eu_tabel_a[[#This Row],[x base]]=0),1,NA()),NA())</f>
        <v>#N/A</v>
      </c>
      <c r="ET60" s="54" t="e">
        <f>IF(CHOOSE(ER$7,Eu_tabel_a[[#This Row],[x base]]&gt;0,Eu_tabel_a[[#This Row],[x base]]&lt;0,Eu_tabel_a[[#This Row],[x base]]=0),Eu_tabel_a[[#This Row],[Styrke, aktiv]],NA())</f>
        <v>#N/A</v>
      </c>
      <c r="EU60" s="54" t="e">
        <f>IFERROR(IF($ER$3,Eu_tabel_a[[#This Row],[Styrke, aktiv]],NA()),NA())</f>
        <v>#N/A</v>
      </c>
      <c r="EV60" s="54" t="e">
        <f>IF(ISNA(Eu_tabel_a[[#This Row],[Sand negativ
Nulhypotese afvises
Korrekt]]),NA(),IF(ER$3,1,NA()))</f>
        <v>#N/A</v>
      </c>
      <c r="EW60" s="55" t="str" cm="1">
        <f t="array" ref="EW60">IFERROR(_xlfn.SWITCH(Eu_tabel_a[[#This Row],[Indeks]],_xlfn.IFNA(EU$2,-99),EU$5,_xlfn.IFNA(EU$3,-99),EU$6,_xlfn.IFNA(EU$4,-99),EU$7,""),"")</f>
        <v/>
      </c>
      <c r="EX60" s="54">
        <f>Eu_tabel_a[[#This Row],[x base]]*SQRT(Eu_a_h0_x*(1-Eu_a_h0_x)/Eu_a_n_x)+Eu_a_h0_x</f>
        <v>0</v>
      </c>
      <c r="FC60" s="161" t="e">
        <f t="shared" si="18"/>
        <v>#N/A</v>
      </c>
      <c r="FD60" s="169" t="e">
        <f t="shared" si="121"/>
        <v>#DIV/0!</v>
      </c>
      <c r="FE60" s="7" t="e">
        <f t="shared" si="12"/>
        <v>#DIV/0!</v>
      </c>
      <c r="FF60" t="e">
        <f t="shared" si="122"/>
        <v>#DIV/0!</v>
      </c>
      <c r="FG60" s="8" t="e">
        <f t="shared" si="123"/>
        <v>#DIV/0!</v>
      </c>
      <c r="FH60" s="8" t="e">
        <f t="shared" si="124"/>
        <v>#DIV/0!</v>
      </c>
      <c r="FI60" s="168" t="e">
        <f t="shared" si="125"/>
        <v>#DIV/0!</v>
      </c>
      <c r="FJ60" s="161" t="e">
        <f t="shared" ca="1" si="13"/>
        <v>#N/A</v>
      </c>
      <c r="FK60" s="169" t="e" vm="3">
        <f t="shared" ca="1" si="19"/>
        <v>#VALUE!</v>
      </c>
      <c r="FL60" s="7" t="e" vm="3">
        <f t="shared" ca="1" si="14"/>
        <v>#VALUE!</v>
      </c>
      <c r="FM60" t="e" vm="3">
        <f t="shared" ca="1" si="8"/>
        <v>#VALUE!</v>
      </c>
      <c r="FN60" s="8" t="e" vm="3">
        <f t="shared" ca="1" si="9"/>
        <v>#VALUE!</v>
      </c>
      <c r="FO60" s="8" t="e" vm="3">
        <f t="shared" ca="1" si="10"/>
        <v>#VALUE!</v>
      </c>
      <c r="FP60" s="168" t="e" vm="3">
        <f t="shared" ca="1" si="11"/>
        <v>#VALUE!</v>
      </c>
      <c r="FQ60" s="161" t="e">
        <f t="shared" si="15"/>
        <v>#N/A</v>
      </c>
      <c r="FR60" s="169" t="e">
        <f t="shared" si="20"/>
        <v>#N/A</v>
      </c>
      <c r="FS60" s="7" t="e">
        <f t="shared" si="16"/>
        <v>#N/A</v>
      </c>
      <c r="FT60" t="e">
        <f t="shared" si="21"/>
        <v>#N/A</v>
      </c>
      <c r="FU60" s="8" t="e">
        <f t="shared" si="22"/>
        <v>#N/A</v>
      </c>
      <c r="FV60" s="8" t="e">
        <f t="shared" si="23"/>
        <v>#N/A</v>
      </c>
      <c r="FW60" s="168" t="e">
        <f t="shared" si="24"/>
        <v>#N/A</v>
      </c>
      <c r="FX60" s="161" t="e">
        <f t="shared" si="25"/>
        <v>#N/A</v>
      </c>
      <c r="FY60" s="169" t="e">
        <f t="shared" si="26"/>
        <v>#N/A</v>
      </c>
      <c r="FZ60" s="7" t="e">
        <f t="shared" si="17"/>
        <v>#N/A</v>
      </c>
      <c r="GA60" t="e">
        <f t="shared" si="27"/>
        <v>#N/A</v>
      </c>
      <c r="GB60" s="8" t="e">
        <f t="shared" si="28"/>
        <v>#N/A</v>
      </c>
      <c r="GC60" s="8" t="e">
        <f t="shared" si="29"/>
        <v>#N/A</v>
      </c>
      <c r="GD60" s="168" t="e">
        <f t="shared" si="30"/>
        <v>#N/A</v>
      </c>
      <c r="GE60" s="168"/>
      <c r="GF60" s="168"/>
      <c r="GI60" s="139">
        <f t="shared" si="81"/>
        <v>50</v>
      </c>
      <c r="GJ60" s="54">
        <f t="shared" si="82"/>
        <v>51</v>
      </c>
      <c r="GK60" s="139">
        <f t="shared" si="83"/>
        <v>-1.8924678464128468</v>
      </c>
      <c r="GL60" s="139">
        <f t="shared" si="84"/>
        <v>6.6559712089436965E-2</v>
      </c>
      <c r="GM60" s="139" t="e">
        <f t="shared" si="85"/>
        <v>#N/A</v>
      </c>
      <c r="GN60" s="139" t="e">
        <f t="shared" si="86"/>
        <v>#N/A</v>
      </c>
      <c r="GO60" s="139" t="e">
        <f t="shared" si="87"/>
        <v>#N/A</v>
      </c>
      <c r="GP60" s="139" t="b">
        <f t="shared" si="88"/>
        <v>0</v>
      </c>
      <c r="GQ60" s="139" t="b">
        <f t="shared" si="89"/>
        <v>1</v>
      </c>
      <c r="GR60" s="139" t="b">
        <f t="shared" si="90"/>
        <v>0</v>
      </c>
      <c r="GS60" s="139" t="b">
        <f t="shared" si="91"/>
        <v>1</v>
      </c>
      <c r="GT60" s="139">
        <f t="shared" si="92"/>
        <v>6.6559712089436965E-2</v>
      </c>
      <c r="GU60" s="139" t="e">
        <f t="shared" si="93"/>
        <v>#N/A</v>
      </c>
      <c r="GV60" s="139">
        <f t="shared" si="94"/>
        <v>6.6559712089436965E-2</v>
      </c>
      <c r="GW60" s="140" t="str">
        <f t="shared" si="95"/>
        <v/>
      </c>
      <c r="HC60" s="139">
        <f t="shared" si="96"/>
        <v>50</v>
      </c>
      <c r="HD60" s="54">
        <f t="shared" si="97"/>
        <v>51</v>
      </c>
      <c r="HE60" s="139">
        <f t="shared" si="98"/>
        <v>-2.9305262066854905</v>
      </c>
      <c r="HF60" s="139" t="e">
        <f t="shared" si="99"/>
        <v>#N/A</v>
      </c>
      <c r="HG60" s="139">
        <f t="shared" si="100"/>
        <v>1.5656095335046926E-2</v>
      </c>
      <c r="HH60" s="139" t="e">
        <f t="shared" si="101"/>
        <v>#N/A</v>
      </c>
      <c r="HI60" s="139" t="e">
        <f t="shared" si="102"/>
        <v>#N/A</v>
      </c>
      <c r="HJ60" s="139" t="b">
        <f t="shared" si="103"/>
        <v>1</v>
      </c>
      <c r="HK60" s="139" t="b">
        <f t="shared" si="104"/>
        <v>0</v>
      </c>
      <c r="HL60" s="139" t="b">
        <f t="shared" si="105"/>
        <v>1</v>
      </c>
      <c r="HM60" s="139" t="b">
        <f t="shared" si="106"/>
        <v>0</v>
      </c>
      <c r="HN60" s="139">
        <f t="shared" si="107"/>
        <v>1.5656095335046926E-2</v>
      </c>
      <c r="HO60" s="139">
        <f t="shared" si="108"/>
        <v>1.5656095335046926E-2</v>
      </c>
      <c r="HP60" s="139" t="e">
        <f t="shared" si="109"/>
        <v>#N/A</v>
      </c>
      <c r="HQ60" s="140" t="str">
        <f t="shared" si="110"/>
        <v/>
      </c>
    </row>
    <row r="61" spans="57:225" x14ac:dyDescent="0.2">
      <c r="BS61" s="139">
        <f t="shared" si="36"/>
        <v>51</v>
      </c>
      <c r="BT61" s="54">
        <f>Eu_tabel_g[[#This Row],[Indeks]]+1</f>
        <v>52</v>
      </c>
      <c r="BU61" s="139">
        <f t="shared" si="37"/>
        <v>-1.8685125572177474</v>
      </c>
      <c r="BV61" s="139">
        <f t="shared" si="38"/>
        <v>6.962663337221206E-2</v>
      </c>
      <c r="BW61" s="139" t="e">
        <f t="shared" si="39"/>
        <v>#N/A</v>
      </c>
      <c r="BX61" s="139" t="e">
        <f t="shared" si="40"/>
        <v>#N/A</v>
      </c>
      <c r="BY61" s="139" t="e">
        <f t="shared" si="41"/>
        <v>#N/A</v>
      </c>
      <c r="BZ61" s="139" t="b">
        <f t="shared" si="42"/>
        <v>0</v>
      </c>
      <c r="CA61" s="139" t="b">
        <f t="shared" si="43"/>
        <v>1</v>
      </c>
      <c r="CB61" s="139" t="b">
        <f t="shared" si="44"/>
        <v>0</v>
      </c>
      <c r="CC61" s="139" t="b">
        <f t="shared" si="45"/>
        <v>1</v>
      </c>
      <c r="CD61" s="139">
        <f t="shared" si="128"/>
        <v>6.962663337221206E-2</v>
      </c>
      <c r="CE61" s="139" t="e">
        <f t="shared" si="47"/>
        <v>#N/A</v>
      </c>
      <c r="CF61" s="139">
        <f t="shared" si="48"/>
        <v>6.962663337221206E-2</v>
      </c>
      <c r="CG61" s="140" t="str">
        <f t="shared" si="49"/>
        <v/>
      </c>
      <c r="CH61" s="54">
        <f>_xlfn.NORM.DIST(_xlfn.NORM.INV(1-Eu_g_konfidensniveau,0,1)-Eu_tabel_g[[#This Row],[x base]],0,1,TRUE)</f>
        <v>0.58848864736652096</v>
      </c>
      <c r="CI61" s="54">
        <f>1-_xlfn.NORM.DIST(_xlfn.NORM.INV(Eu_g_konfidensniveau,0,1)-Eu_tabel_g[[#This Row],[x base]],0,1,TRUE)</f>
        <v>2.2123361219905657E-4</v>
      </c>
      <c r="CJ61" s="54">
        <f>_xlfn.NORM.DIST(_xlfn.NORM.INV((1-Eu_g_konfidensniveau)/2,0,1)-Eu_tabel_g[[#This Row],[x base]],0,1,TRUE)+1-_xlfn.NORM.DIST(_xlfn.NORM.INV(1-(1-Eu_g_konfidensniveau)/2,0,1)-Eu_tabel_g[[#This Row],[x base]],0,1,TRUE)</f>
        <v>0.46363141936747898</v>
      </c>
      <c r="CK61" s="54" t="e" cm="1">
        <f t="array" ref="CK61">IF($CK$3,INDEX(Eu_tabel_g[[#This Row],[Styrke venstre]:[Styrke tosidet]],CK$7),NA())</f>
        <v>#N/A</v>
      </c>
      <c r="CL61" s="99" t="e">
        <f>Eu_tabel_g[[#This Row],[Falsk positiv
Nulhypotese accepteres
Fejltype 1]]</f>
        <v>#N/A</v>
      </c>
      <c r="CM61" s="99" t="e">
        <f>IF(CHOOSE(CK$7,Eu_tabel_g[[#This Row],[x base]]&gt;0,Eu_tabel_g[[#This Row],[x base]]&lt;0,Eu_tabel_g[[#This Row],[x base]]=0),Eu_tabel_g[[#This Row],[Styrke, aktiv]],NA())</f>
        <v>#N/A</v>
      </c>
      <c r="CN61" s="99" t="e">
        <f>IFERROR(IF($CK$3,Eu_tabel_g[[#This Row],[Styrke, aktiv]],NA()),NA())</f>
        <v>#N/A</v>
      </c>
      <c r="CO61" s="99" t="e">
        <f>IF(ISNA(Eu_tabel_g[[#This Row],[Sand negativ
Nulhypotese afvises
Korrekt]]),NA(),IF($CK$3,1,NA()))</f>
        <v>#N/A</v>
      </c>
      <c r="CP61" s="56" t="str" cm="1">
        <f t="array" ref="CP61">_xlfn.SWITCH(BS61,_xlfn.IFNA(CN$2,-99),CN$5,_xlfn.IFNA(CN$3,-99),CN$6,_xlfn.IFNA(CN$4,-99),CN$7,"")</f>
        <v/>
      </c>
      <c r="CT61" s="7">
        <f t="shared" si="50"/>
        <v>0.8</v>
      </c>
      <c r="CU61">
        <f>IF(ROW(Styrkeberegning_G[[#This Row],[X base venstre]])=ROW(Styrkeberegning_G[[#Headers],[X base venstre]])+1,CU$7/(CT$7/$B$67),CU60/(CT60/$B$67))</f>
        <v>-2.8015817870135784</v>
      </c>
      <c r="CV61">
        <f>Styrkeberegning_G[[#This Row],[X base venstre]]*-1</f>
        <v>2.8015817870135784</v>
      </c>
      <c r="DG61" s="139">
        <f t="shared" si="51"/>
        <v>51</v>
      </c>
      <c r="DH61" s="54">
        <f t="shared" si="52"/>
        <v>52</v>
      </c>
      <c r="DI61" s="139">
        <f t="shared" si="53"/>
        <v>7.6514663419207416</v>
      </c>
      <c r="DJ61" s="139" t="e">
        <f t="shared" si="54"/>
        <v>#N/A</v>
      </c>
      <c r="DK61" s="139" t="e">
        <f t="shared" si="55"/>
        <v>#N/A</v>
      </c>
      <c r="DL61" s="139">
        <f t="shared" si="56"/>
        <v>8.7263871490603204E-2</v>
      </c>
      <c r="DM61" s="139" t="e">
        <f t="shared" si="57"/>
        <v>#N/A</v>
      </c>
      <c r="DN61" s="139" t="b">
        <f t="shared" si="58"/>
        <v>0</v>
      </c>
      <c r="DO61" s="139" t="b">
        <f t="shared" si="59"/>
        <v>1</v>
      </c>
      <c r="DP61" s="139" t="b">
        <f t="shared" si="60"/>
        <v>0</v>
      </c>
      <c r="DQ61" s="139" t="b">
        <f t="shared" si="61"/>
        <v>1</v>
      </c>
      <c r="DR61" s="139">
        <f t="shared" si="62"/>
        <v>8.7263871490603204E-2</v>
      </c>
      <c r="DS61" s="139" t="e">
        <f t="shared" si="63"/>
        <v>#N/A</v>
      </c>
      <c r="DT61" s="139">
        <f t="shared" si="64"/>
        <v>8.7263871490603204E-2</v>
      </c>
      <c r="DU61" s="140" t="str">
        <f t="shared" si="65"/>
        <v/>
      </c>
      <c r="DZ61" s="139">
        <f t="shared" si="66"/>
        <v>51</v>
      </c>
      <c r="EA61" s="54">
        <f t="shared" si="67"/>
        <v>52</v>
      </c>
      <c r="EB61" s="139">
        <f t="shared" si="68"/>
        <v>-1.8685125572177474</v>
      </c>
      <c r="EC61" s="139">
        <f t="shared" si="69"/>
        <v>6.962663337221206E-2</v>
      </c>
      <c r="ED61" s="139" t="e">
        <f t="shared" si="70"/>
        <v>#N/A</v>
      </c>
      <c r="EE61" s="139" t="e">
        <f t="shared" si="71"/>
        <v>#N/A</v>
      </c>
      <c r="EF61" s="139" t="e">
        <f t="shared" si="72"/>
        <v>#N/A</v>
      </c>
      <c r="EG61" s="139" t="b">
        <f t="shared" si="73"/>
        <v>0</v>
      </c>
      <c r="EH61" s="139" t="b">
        <f t="shared" si="74"/>
        <v>1</v>
      </c>
      <c r="EI61" s="139" t="b">
        <f t="shared" si="75"/>
        <v>0</v>
      </c>
      <c r="EJ61" s="139" t="b">
        <f t="shared" si="76"/>
        <v>1</v>
      </c>
      <c r="EK61" s="139">
        <f t="shared" si="77"/>
        <v>6.962663337221206E-2</v>
      </c>
      <c r="EL61" s="139" t="e">
        <f t="shared" si="78"/>
        <v>#N/A</v>
      </c>
      <c r="EM61" s="139">
        <f t="shared" si="79"/>
        <v>6.962663337221206E-2</v>
      </c>
      <c r="EN61" s="140" t="str">
        <f t="shared" si="80"/>
        <v/>
      </c>
      <c r="EO6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6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6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61" s="54" t="e" cm="1">
        <f t="array" ref="ER61">IF($CK$3,INDEX(Eu_tabel_a[[#This Row],[Styrke venstre]:[Styrke tosidet]],ER$7),NA())</f>
        <v>#N/A</v>
      </c>
      <c r="ES61" s="54" t="e">
        <f>IF(ER$3,IF(CHOOSE(ER$7,Eu_tabel_a[[#This Row],[x base]]&gt;0,Eu_tabel_a[[#This Row],[x base]]&lt;0,Eu_tabel_a[[#This Row],[x base]]=0),1,NA()),NA())</f>
        <v>#N/A</v>
      </c>
      <c r="ET61" s="54" t="e">
        <f>IF(CHOOSE(ER$7,Eu_tabel_a[[#This Row],[x base]]&gt;0,Eu_tabel_a[[#This Row],[x base]]&lt;0,Eu_tabel_a[[#This Row],[x base]]=0),Eu_tabel_a[[#This Row],[Styrke, aktiv]],NA())</f>
        <v>#N/A</v>
      </c>
      <c r="EU61" s="54" t="e">
        <f>IFERROR(IF($ER$3,Eu_tabel_a[[#This Row],[Styrke, aktiv]],NA()),NA())</f>
        <v>#N/A</v>
      </c>
      <c r="EV61" s="54" t="e">
        <f>IF(ISNA(Eu_tabel_a[[#This Row],[Sand negativ
Nulhypotese afvises
Korrekt]]),NA(),IF(ER$3,1,NA()))</f>
        <v>#N/A</v>
      </c>
      <c r="EW61" s="55" t="str" cm="1">
        <f t="array" ref="EW61">IFERROR(_xlfn.SWITCH(Eu_tabel_a[[#This Row],[Indeks]],_xlfn.IFNA(EU$2,-99),EU$5,_xlfn.IFNA(EU$3,-99),EU$6,_xlfn.IFNA(EU$4,-99),EU$7,""),"")</f>
        <v/>
      </c>
      <c r="EX61" s="54">
        <f>Eu_tabel_a[[#This Row],[x base]]*SQRT(Eu_a_h0_x*(1-Eu_a_h0_x)/Eu_a_n_x)+Eu_a_h0_x</f>
        <v>0</v>
      </c>
      <c r="FC61" s="161" t="e">
        <f t="shared" si="18"/>
        <v>#N/A</v>
      </c>
      <c r="FD61" s="169" t="e">
        <f t="shared" si="121"/>
        <v>#DIV/0!</v>
      </c>
      <c r="FE61" s="7" t="e">
        <f t="shared" si="12"/>
        <v>#DIV/0!</v>
      </c>
      <c r="FF61" t="e">
        <f t="shared" si="122"/>
        <v>#DIV/0!</v>
      </c>
      <c r="FG61" s="8" t="e">
        <f t="shared" si="123"/>
        <v>#DIV/0!</v>
      </c>
      <c r="FH61" s="8" t="e">
        <f t="shared" si="124"/>
        <v>#DIV/0!</v>
      </c>
      <c r="FI61" s="168" t="e">
        <f t="shared" si="125"/>
        <v>#DIV/0!</v>
      </c>
      <c r="FJ61" s="161" t="e">
        <f t="shared" ca="1" si="13"/>
        <v>#N/A</v>
      </c>
      <c r="FK61" s="169" t="e" vm="3">
        <f t="shared" ca="1" si="19"/>
        <v>#VALUE!</v>
      </c>
      <c r="FL61" s="7" t="e" vm="3">
        <f t="shared" ca="1" si="14"/>
        <v>#VALUE!</v>
      </c>
      <c r="FM61" t="e" vm="3">
        <f t="shared" ca="1" si="8"/>
        <v>#VALUE!</v>
      </c>
      <c r="FN61" s="8" t="e" vm="3">
        <f t="shared" ca="1" si="9"/>
        <v>#VALUE!</v>
      </c>
      <c r="FO61" s="8" t="e" vm="3">
        <f t="shared" ca="1" si="10"/>
        <v>#VALUE!</v>
      </c>
      <c r="FP61" s="168" t="e" vm="3">
        <f t="shared" ca="1" si="11"/>
        <v>#VALUE!</v>
      </c>
      <c r="FQ61" s="161" t="e">
        <f t="shared" si="15"/>
        <v>#N/A</v>
      </c>
      <c r="FR61" s="169" t="e">
        <f t="shared" si="20"/>
        <v>#N/A</v>
      </c>
      <c r="FS61" s="7" t="e">
        <f t="shared" si="16"/>
        <v>#N/A</v>
      </c>
      <c r="FT61" t="e">
        <f t="shared" si="21"/>
        <v>#N/A</v>
      </c>
      <c r="FU61" s="8" t="e">
        <f t="shared" si="22"/>
        <v>#N/A</v>
      </c>
      <c r="FV61" s="8" t="e">
        <f t="shared" si="23"/>
        <v>#N/A</v>
      </c>
      <c r="FW61" s="168" t="e">
        <f t="shared" si="24"/>
        <v>#N/A</v>
      </c>
      <c r="FX61" s="161" t="e">
        <f t="shared" si="25"/>
        <v>#N/A</v>
      </c>
      <c r="FY61" s="169" t="e">
        <f t="shared" si="26"/>
        <v>#N/A</v>
      </c>
      <c r="FZ61" s="7" t="e">
        <f t="shared" si="17"/>
        <v>#N/A</v>
      </c>
      <c r="GA61" t="e">
        <f t="shared" si="27"/>
        <v>#N/A</v>
      </c>
      <c r="GB61" s="8" t="e">
        <f t="shared" si="28"/>
        <v>#N/A</v>
      </c>
      <c r="GC61" s="8" t="e">
        <f t="shared" si="29"/>
        <v>#N/A</v>
      </c>
      <c r="GD61" s="168" t="e">
        <f t="shared" si="30"/>
        <v>#N/A</v>
      </c>
      <c r="GE61" s="168"/>
      <c r="GF61" s="168"/>
      <c r="GI61" s="139">
        <f t="shared" si="81"/>
        <v>51</v>
      </c>
      <c r="GJ61" s="54">
        <f t="shared" si="82"/>
        <v>52</v>
      </c>
      <c r="GK61" s="139">
        <f t="shared" si="83"/>
        <v>-1.8685125572177474</v>
      </c>
      <c r="GL61" s="139">
        <f t="shared" si="84"/>
        <v>6.962663337221206E-2</v>
      </c>
      <c r="GM61" s="139" t="e">
        <f t="shared" si="85"/>
        <v>#N/A</v>
      </c>
      <c r="GN61" s="139" t="e">
        <f t="shared" si="86"/>
        <v>#N/A</v>
      </c>
      <c r="GO61" s="139" t="e">
        <f t="shared" si="87"/>
        <v>#N/A</v>
      </c>
      <c r="GP61" s="139" t="b">
        <f t="shared" si="88"/>
        <v>0</v>
      </c>
      <c r="GQ61" s="139" t="b">
        <f t="shared" si="89"/>
        <v>1</v>
      </c>
      <c r="GR61" s="139" t="b">
        <f t="shared" si="90"/>
        <v>0</v>
      </c>
      <c r="GS61" s="139" t="b">
        <f t="shared" si="91"/>
        <v>1</v>
      </c>
      <c r="GT61" s="139">
        <f t="shared" si="92"/>
        <v>6.962663337221206E-2</v>
      </c>
      <c r="GU61" s="139" t="e">
        <f t="shared" si="93"/>
        <v>#N/A</v>
      </c>
      <c r="GV61" s="139">
        <f t="shared" si="94"/>
        <v>6.962663337221206E-2</v>
      </c>
      <c r="GW61" s="140" t="str">
        <f t="shared" si="95"/>
        <v/>
      </c>
      <c r="HC61" s="139">
        <f t="shared" si="96"/>
        <v>51</v>
      </c>
      <c r="HD61" s="54">
        <f t="shared" si="97"/>
        <v>52</v>
      </c>
      <c r="HE61" s="139">
        <f t="shared" si="98"/>
        <v>-2.8934309382464338</v>
      </c>
      <c r="HF61" s="139" t="e">
        <f t="shared" si="99"/>
        <v>#N/A</v>
      </c>
      <c r="HG61" s="139">
        <f t="shared" si="100"/>
        <v>1.6554963588224721E-2</v>
      </c>
      <c r="HH61" s="139" t="e">
        <f t="shared" si="101"/>
        <v>#N/A</v>
      </c>
      <c r="HI61" s="139" t="e">
        <f t="shared" si="102"/>
        <v>#N/A</v>
      </c>
      <c r="HJ61" s="139" t="b">
        <f t="shared" si="103"/>
        <v>1</v>
      </c>
      <c r="HK61" s="139" t="b">
        <f t="shared" si="104"/>
        <v>0</v>
      </c>
      <c r="HL61" s="139" t="b">
        <f t="shared" si="105"/>
        <v>1</v>
      </c>
      <c r="HM61" s="139" t="b">
        <f t="shared" si="106"/>
        <v>0</v>
      </c>
      <c r="HN61" s="139">
        <f t="shared" si="107"/>
        <v>1.6554963588224721E-2</v>
      </c>
      <c r="HO61" s="139">
        <f t="shared" si="108"/>
        <v>1.6554963588224721E-2</v>
      </c>
      <c r="HP61" s="139" t="e">
        <f t="shared" si="109"/>
        <v>#N/A</v>
      </c>
      <c r="HQ61" s="140" t="str">
        <f t="shared" si="110"/>
        <v/>
      </c>
    </row>
    <row r="62" spans="57:225" x14ac:dyDescent="0.2">
      <c r="BS62" s="54">
        <f t="shared" si="36"/>
        <v>52</v>
      </c>
      <c r="BT62" s="54">
        <f>Eu_tabel_g[[#This Row],[Indeks]]+1</f>
        <v>53</v>
      </c>
      <c r="BU62" s="54">
        <f t="shared" si="37"/>
        <v>-1.8445572680226483</v>
      </c>
      <c r="BV62" s="54">
        <f t="shared" si="38"/>
        <v>7.279308673556574E-2</v>
      </c>
      <c r="BW62" s="54" t="e">
        <f t="shared" si="39"/>
        <v>#N/A</v>
      </c>
      <c r="BX62" s="54" t="e">
        <f t="shared" si="40"/>
        <v>#N/A</v>
      </c>
      <c r="BY62" s="54" t="e">
        <f t="shared" si="41"/>
        <v>#N/A</v>
      </c>
      <c r="BZ62" s="54" t="b">
        <f t="shared" si="42"/>
        <v>0</v>
      </c>
      <c r="CA62" s="54" t="b">
        <f t="shared" si="43"/>
        <v>1</v>
      </c>
      <c r="CB62" s="54" t="b">
        <f t="shared" si="44"/>
        <v>0</v>
      </c>
      <c r="CC62" s="54" t="b">
        <f t="shared" si="45"/>
        <v>1</v>
      </c>
      <c r="CD62" s="54">
        <f t="shared" ref="CD62:CD93" si="135">_xlfn.AGGREGATE(9,6,BV62:BY62)</f>
        <v>7.279308673556574E-2</v>
      </c>
      <c r="CE62" s="54" t="e">
        <f t="shared" si="47"/>
        <v>#N/A</v>
      </c>
      <c r="CF62" s="54">
        <f t="shared" si="48"/>
        <v>7.279308673556574E-2</v>
      </c>
      <c r="CG62" s="72" t="str">
        <f t="shared" si="49"/>
        <v/>
      </c>
      <c r="CH62" s="54">
        <f>_xlfn.NORM.DIST(_xlfn.NORM.INV(1-Eu_g_konfidensniveau,0,1)-Eu_tabel_g[[#This Row],[x base]],0,1,TRUE)</f>
        <v>0.57914381701234707</v>
      </c>
      <c r="CI62" s="54">
        <f>1-_xlfn.NORM.DIST(_xlfn.NORM.INV(Eu_g_konfidensniveau,0,1)-Eu_tabel_g[[#This Row],[x base]],0,1,TRUE)</f>
        <v>2.4204320849685601E-4</v>
      </c>
      <c r="CJ62" s="54">
        <f>_xlfn.NORM.DIST(_xlfn.NORM.INV((1-Eu_g_konfidensniveau)/2,0,1)-Eu_tabel_g[[#This Row],[x base]],0,1,TRUE)+1-_xlfn.NORM.DIST(_xlfn.NORM.INV(1-(1-Eu_g_konfidensniveau)/2,0,1)-Eu_tabel_g[[#This Row],[x base]],0,1,TRUE)</f>
        <v>0.45413241711912855</v>
      </c>
      <c r="CK62" s="54" t="e" cm="1">
        <f t="array" ref="CK62">IF($CK$3,INDEX(Eu_tabel_g[[#This Row],[Styrke venstre]:[Styrke tosidet]],CK$7),NA())</f>
        <v>#N/A</v>
      </c>
      <c r="CL62" s="99" t="e">
        <f>Eu_tabel_g[[#This Row],[Falsk positiv
Nulhypotese accepteres
Fejltype 1]]</f>
        <v>#N/A</v>
      </c>
      <c r="CM62" s="99" t="e">
        <f>IF(CHOOSE(CK$7,Eu_tabel_g[[#This Row],[x base]]&gt;0,Eu_tabel_g[[#This Row],[x base]]&lt;0,Eu_tabel_g[[#This Row],[x base]]=0),Eu_tabel_g[[#This Row],[Styrke, aktiv]],NA())</f>
        <v>#N/A</v>
      </c>
      <c r="CN62" s="99" t="e">
        <f>IFERROR(IF($CK$3,Eu_tabel_g[[#This Row],[Styrke, aktiv]],NA()),NA())</f>
        <v>#N/A</v>
      </c>
      <c r="CO62" s="99" t="e">
        <f>IF(ISNA(Eu_tabel_g[[#This Row],[Sand negativ
Nulhypotese afvises
Korrekt]]),NA(),IF($CK$3,1,NA()))</f>
        <v>#N/A</v>
      </c>
      <c r="CP62" s="56" t="str" cm="1">
        <f t="array" ref="CP62">_xlfn.SWITCH(BS62,_xlfn.IFNA(CN$2,-99),CN$5,_xlfn.IFNA(CN$3,-99),CN$6,_xlfn.IFNA(CN$4,-99),CN$7,"")</f>
        <v/>
      </c>
      <c r="CT62" s="7">
        <f t="shared" si="50"/>
        <v>0.8</v>
      </c>
      <c r="CU62">
        <f>IF(ROW(Styrkeberegning_G[[#This Row],[X base venstre]])=ROW(Styrkeberegning_G[[#Headers],[X base venstre]])+1,CU$7/(CT$7/$B$67),CU61/(CT61/$B$67))</f>
        <v>-2.8015817870135784</v>
      </c>
      <c r="CV62">
        <f>Styrkeberegning_G[[#This Row],[X base venstre]]*-1</f>
        <v>2.8015817870135784</v>
      </c>
      <c r="DG62" s="54">
        <f t="shared" si="51"/>
        <v>52</v>
      </c>
      <c r="DH62" s="54">
        <f t="shared" si="52"/>
        <v>53</v>
      </c>
      <c r="DI62" s="54">
        <f t="shared" si="53"/>
        <v>7.7655371983377428</v>
      </c>
      <c r="DJ62" s="54" t="e">
        <f t="shared" si="54"/>
        <v>#N/A</v>
      </c>
      <c r="DK62" s="54" t="e">
        <f t="shared" si="55"/>
        <v>#N/A</v>
      </c>
      <c r="DL62" s="54">
        <f t="shared" si="56"/>
        <v>8.8101854451371309E-2</v>
      </c>
      <c r="DM62" s="54" t="e">
        <f t="shared" si="57"/>
        <v>#N/A</v>
      </c>
      <c r="DN62" s="54" t="b">
        <f t="shared" si="58"/>
        <v>0</v>
      </c>
      <c r="DO62" s="54" t="b">
        <f t="shared" si="59"/>
        <v>1</v>
      </c>
      <c r="DP62" s="54" t="b">
        <f t="shared" si="60"/>
        <v>0</v>
      </c>
      <c r="DQ62" s="54" t="b">
        <f t="shared" si="61"/>
        <v>1</v>
      </c>
      <c r="DR62" s="54">
        <f t="shared" si="62"/>
        <v>8.8101854451371309E-2</v>
      </c>
      <c r="DS62" s="54" t="e">
        <f t="shared" si="63"/>
        <v>#N/A</v>
      </c>
      <c r="DT62" s="54">
        <f t="shared" si="64"/>
        <v>8.8101854451371309E-2</v>
      </c>
      <c r="DU62" s="72" t="str">
        <f t="shared" si="65"/>
        <v/>
      </c>
      <c r="DZ62" s="54">
        <f t="shared" si="66"/>
        <v>52</v>
      </c>
      <c r="EA62" s="54">
        <f t="shared" si="67"/>
        <v>53</v>
      </c>
      <c r="EB62" s="54">
        <f t="shared" si="68"/>
        <v>-1.8445572680226483</v>
      </c>
      <c r="EC62" s="54">
        <f t="shared" si="69"/>
        <v>7.279308673556574E-2</v>
      </c>
      <c r="ED62" s="54" t="e">
        <f t="shared" si="70"/>
        <v>#N/A</v>
      </c>
      <c r="EE62" s="54" t="e">
        <f t="shared" si="71"/>
        <v>#N/A</v>
      </c>
      <c r="EF62" s="54" t="e">
        <f t="shared" si="72"/>
        <v>#N/A</v>
      </c>
      <c r="EG62" s="54" t="b">
        <f t="shared" si="73"/>
        <v>0</v>
      </c>
      <c r="EH62" s="54" t="b">
        <f t="shared" si="74"/>
        <v>1</v>
      </c>
      <c r="EI62" s="54" t="b">
        <f t="shared" si="75"/>
        <v>0</v>
      </c>
      <c r="EJ62" s="54" t="b">
        <f t="shared" si="76"/>
        <v>1</v>
      </c>
      <c r="EK62" s="54">
        <f t="shared" si="77"/>
        <v>7.279308673556574E-2</v>
      </c>
      <c r="EL62" s="54" t="e">
        <f t="shared" si="78"/>
        <v>#N/A</v>
      </c>
      <c r="EM62" s="54">
        <f t="shared" si="79"/>
        <v>7.279308673556574E-2</v>
      </c>
      <c r="EN62" s="72" t="str">
        <f t="shared" si="80"/>
        <v/>
      </c>
      <c r="EO6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6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6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62" s="54" t="e" cm="1">
        <f t="array" ref="ER62">IF($CK$3,INDEX(Eu_tabel_a[[#This Row],[Styrke venstre]:[Styrke tosidet]],ER$7),NA())</f>
        <v>#N/A</v>
      </c>
      <c r="ES62" s="54" t="e">
        <f>IF(ER$3,IF(CHOOSE(ER$7,Eu_tabel_a[[#This Row],[x base]]&gt;0,Eu_tabel_a[[#This Row],[x base]]&lt;0,Eu_tabel_a[[#This Row],[x base]]=0),1,NA()),NA())</f>
        <v>#N/A</v>
      </c>
      <c r="ET62" s="54" t="e">
        <f>IF(CHOOSE(ER$7,Eu_tabel_a[[#This Row],[x base]]&gt;0,Eu_tabel_a[[#This Row],[x base]]&lt;0,Eu_tabel_a[[#This Row],[x base]]=0),Eu_tabel_a[[#This Row],[Styrke, aktiv]],NA())</f>
        <v>#N/A</v>
      </c>
      <c r="EU62" s="54" t="e">
        <f>IFERROR(IF($ER$3,Eu_tabel_a[[#This Row],[Styrke, aktiv]],NA()),NA())</f>
        <v>#N/A</v>
      </c>
      <c r="EV62" s="54" t="e">
        <f>IF(ISNA(Eu_tabel_a[[#This Row],[Sand negativ
Nulhypotese afvises
Korrekt]]),NA(),IF(ER$3,1,NA()))</f>
        <v>#N/A</v>
      </c>
      <c r="EW62" s="55" t="str" cm="1">
        <f t="array" ref="EW62">IFERROR(_xlfn.SWITCH(Eu_tabel_a[[#This Row],[Indeks]],_xlfn.IFNA(EU$2,-99),EU$5,_xlfn.IFNA(EU$3,-99),EU$6,_xlfn.IFNA(EU$4,-99),EU$7,""),"")</f>
        <v/>
      </c>
      <c r="EX62" s="54">
        <f>Eu_tabel_a[[#This Row],[x base]]*SQRT(Eu_a_h0_x*(1-Eu_a_h0_x)/Eu_a_n_x)+Eu_a_h0_x</f>
        <v>0</v>
      </c>
      <c r="FC62" s="161" t="e">
        <f t="shared" si="18"/>
        <v>#N/A</v>
      </c>
      <c r="FD62" s="169" t="e">
        <f t="shared" si="121"/>
        <v>#DIV/0!</v>
      </c>
      <c r="FE62" s="7" t="e">
        <f t="shared" si="12"/>
        <v>#DIV/0!</v>
      </c>
      <c r="FF62" t="e">
        <f t="shared" si="122"/>
        <v>#DIV/0!</v>
      </c>
      <c r="FG62" s="8" t="e">
        <f t="shared" si="123"/>
        <v>#DIV/0!</v>
      </c>
      <c r="FH62" s="8" t="e">
        <f t="shared" si="124"/>
        <v>#DIV/0!</v>
      </c>
      <c r="FI62" s="168" t="e">
        <f t="shared" si="125"/>
        <v>#DIV/0!</v>
      </c>
      <c r="FJ62" s="161" t="e">
        <f t="shared" ca="1" si="13"/>
        <v>#N/A</v>
      </c>
      <c r="FK62" s="169" t="e" vm="3">
        <f t="shared" ca="1" si="19"/>
        <v>#VALUE!</v>
      </c>
      <c r="FL62" s="7" t="e" vm="3">
        <f t="shared" ca="1" si="14"/>
        <v>#VALUE!</v>
      </c>
      <c r="FM62" t="e" vm="3">
        <f t="shared" ca="1" si="8"/>
        <v>#VALUE!</v>
      </c>
      <c r="FN62" s="8" t="e" vm="3">
        <f t="shared" ca="1" si="9"/>
        <v>#VALUE!</v>
      </c>
      <c r="FO62" s="8" t="e" vm="3">
        <f t="shared" ca="1" si="10"/>
        <v>#VALUE!</v>
      </c>
      <c r="FP62" s="168" t="e" vm="3">
        <f t="shared" ca="1" si="11"/>
        <v>#VALUE!</v>
      </c>
      <c r="FQ62" s="161" t="e">
        <f t="shared" si="15"/>
        <v>#N/A</v>
      </c>
      <c r="FR62" s="169" t="e">
        <f t="shared" si="20"/>
        <v>#N/A</v>
      </c>
      <c r="FS62" s="7" t="e">
        <f t="shared" si="16"/>
        <v>#N/A</v>
      </c>
      <c r="FT62" t="e">
        <f t="shared" si="21"/>
        <v>#N/A</v>
      </c>
      <c r="FU62" s="8" t="e">
        <f t="shared" si="22"/>
        <v>#N/A</v>
      </c>
      <c r="FV62" s="8" t="e">
        <f t="shared" si="23"/>
        <v>#N/A</v>
      </c>
      <c r="FW62" s="168" t="e">
        <f t="shared" si="24"/>
        <v>#N/A</v>
      </c>
      <c r="FX62" s="161" t="e">
        <f t="shared" si="25"/>
        <v>#N/A</v>
      </c>
      <c r="FY62" s="169" t="e">
        <f t="shared" si="26"/>
        <v>#N/A</v>
      </c>
      <c r="FZ62" s="7" t="e">
        <f t="shared" si="17"/>
        <v>#N/A</v>
      </c>
      <c r="GA62" t="e">
        <f t="shared" si="27"/>
        <v>#N/A</v>
      </c>
      <c r="GB62" s="8" t="e">
        <f t="shared" si="28"/>
        <v>#N/A</v>
      </c>
      <c r="GC62" s="8" t="e">
        <f t="shared" si="29"/>
        <v>#N/A</v>
      </c>
      <c r="GD62" s="168" t="e">
        <f t="shared" si="30"/>
        <v>#N/A</v>
      </c>
      <c r="GE62" s="168"/>
      <c r="GF62" s="168"/>
      <c r="GI62" s="54">
        <f t="shared" si="81"/>
        <v>52</v>
      </c>
      <c r="GJ62" s="54">
        <f t="shared" si="82"/>
        <v>53</v>
      </c>
      <c r="GK62" s="54">
        <f t="shared" si="83"/>
        <v>-1.8445572680226483</v>
      </c>
      <c r="GL62" s="54">
        <f t="shared" si="84"/>
        <v>7.279308673556574E-2</v>
      </c>
      <c r="GM62" s="54" t="e">
        <f t="shared" si="85"/>
        <v>#N/A</v>
      </c>
      <c r="GN62" s="54" t="e">
        <f t="shared" si="86"/>
        <v>#N/A</v>
      </c>
      <c r="GO62" s="54" t="e">
        <f t="shared" si="87"/>
        <v>#N/A</v>
      </c>
      <c r="GP62" s="54" t="b">
        <f t="shared" si="88"/>
        <v>0</v>
      </c>
      <c r="GQ62" s="54" t="b">
        <f t="shared" si="89"/>
        <v>1</v>
      </c>
      <c r="GR62" s="54" t="b">
        <f t="shared" si="90"/>
        <v>0</v>
      </c>
      <c r="GS62" s="54" t="b">
        <f t="shared" si="91"/>
        <v>1</v>
      </c>
      <c r="GT62" s="54">
        <f t="shared" si="92"/>
        <v>7.279308673556574E-2</v>
      </c>
      <c r="GU62" s="54" t="e">
        <f t="shared" si="93"/>
        <v>#N/A</v>
      </c>
      <c r="GV62" s="54">
        <f t="shared" si="94"/>
        <v>7.279308673556574E-2</v>
      </c>
      <c r="GW62" s="72" t="str">
        <f t="shared" si="95"/>
        <v/>
      </c>
      <c r="HC62" s="54">
        <f t="shared" si="96"/>
        <v>52</v>
      </c>
      <c r="HD62" s="54">
        <f t="shared" si="97"/>
        <v>53</v>
      </c>
      <c r="HE62" s="54">
        <f t="shared" si="98"/>
        <v>-2.8563356698073772</v>
      </c>
      <c r="HF62" s="54" t="e">
        <f t="shared" si="99"/>
        <v>#N/A</v>
      </c>
      <c r="HG62" s="54">
        <f t="shared" si="100"/>
        <v>1.750655719349652E-2</v>
      </c>
      <c r="HH62" s="54" t="e">
        <f t="shared" si="101"/>
        <v>#N/A</v>
      </c>
      <c r="HI62" s="54" t="e">
        <f t="shared" si="102"/>
        <v>#N/A</v>
      </c>
      <c r="HJ62" s="54" t="b">
        <f t="shared" si="103"/>
        <v>1</v>
      </c>
      <c r="HK62" s="54" t="b">
        <f t="shared" si="104"/>
        <v>0</v>
      </c>
      <c r="HL62" s="54" t="b">
        <f t="shared" si="105"/>
        <v>1</v>
      </c>
      <c r="HM62" s="54" t="b">
        <f t="shared" si="106"/>
        <v>0</v>
      </c>
      <c r="HN62" s="54">
        <f t="shared" si="107"/>
        <v>1.750655719349652E-2</v>
      </c>
      <c r="HO62" s="54">
        <f t="shared" si="108"/>
        <v>1.750655719349652E-2</v>
      </c>
      <c r="HP62" s="54" t="e">
        <f t="shared" si="109"/>
        <v>#N/A</v>
      </c>
      <c r="HQ62" s="72" t="str">
        <f t="shared" si="110"/>
        <v/>
      </c>
    </row>
    <row r="63" spans="57:225" x14ac:dyDescent="0.2">
      <c r="BS63" s="54">
        <f t="shared" si="36"/>
        <v>53</v>
      </c>
      <c r="BT63" s="54">
        <f>Eu_tabel_g[[#This Row],[Indeks]]+1</f>
        <v>54</v>
      </c>
      <c r="BU63" s="54">
        <f t="shared" si="37"/>
        <v>-1.8206019788275489</v>
      </c>
      <c r="BV63" s="54">
        <f t="shared" si="38"/>
        <v>7.6059882914996185E-2</v>
      </c>
      <c r="BW63" s="54" t="e">
        <f t="shared" si="39"/>
        <v>#N/A</v>
      </c>
      <c r="BX63" s="54" t="e">
        <f t="shared" si="40"/>
        <v>#N/A</v>
      </c>
      <c r="BY63" s="54" t="e">
        <f t="shared" si="41"/>
        <v>#N/A</v>
      </c>
      <c r="BZ63" s="54" t="b">
        <f t="shared" si="42"/>
        <v>0</v>
      </c>
      <c r="CA63" s="54" t="b">
        <f t="shared" si="43"/>
        <v>1</v>
      </c>
      <c r="CB63" s="54" t="b">
        <f t="shared" si="44"/>
        <v>0</v>
      </c>
      <c r="CC63" s="54" t="b">
        <f t="shared" si="45"/>
        <v>1</v>
      </c>
      <c r="CD63" s="54">
        <f t="shared" si="135"/>
        <v>7.6059882914996185E-2</v>
      </c>
      <c r="CE63" s="54" t="e">
        <f t="shared" si="47"/>
        <v>#N/A</v>
      </c>
      <c r="CF63" s="54">
        <f t="shared" si="48"/>
        <v>7.6059882914996185E-2</v>
      </c>
      <c r="CG63" s="72" t="str">
        <f t="shared" si="49"/>
        <v/>
      </c>
      <c r="CH63" s="54">
        <f>_xlfn.NORM.DIST(_xlfn.NORM.INV(1-Eu_g_konfidensniveau,0,1)-Eu_tabel_g[[#This Row],[x base]],0,1,TRUE)</f>
        <v>0.56975417642104742</v>
      </c>
      <c r="CI63" s="54">
        <f>1-_xlfn.NORM.DIST(_xlfn.NORM.INV(Eu_g_konfidensniveau,0,1)-Eu_tabel_g[[#This Row],[x base]],0,1,TRUE)</f>
        <v>2.6466695513982508E-4</v>
      </c>
      <c r="CJ63" s="54">
        <f>_xlfn.NORM.DIST(_xlfn.NORM.INV((1-Eu_g_konfidensniveau)/2,0,1)-Eu_tabel_g[[#This Row],[x base]],0,1,TRUE)+1-_xlfn.NORM.DIST(_xlfn.NORM.INV(1-(1-Eu_g_konfidensniveau)/2,0,1)-Eu_tabel_g[[#This Row],[x base]],0,1,TRUE)</f>
        <v>0.44466028331450513</v>
      </c>
      <c r="CK63" s="54" t="e" cm="1">
        <f t="array" ref="CK63">IF($CK$3,INDEX(Eu_tabel_g[[#This Row],[Styrke venstre]:[Styrke tosidet]],CK$7),NA())</f>
        <v>#N/A</v>
      </c>
      <c r="CL63" s="99" t="e">
        <f>Eu_tabel_g[[#This Row],[Falsk positiv
Nulhypotese accepteres
Fejltype 1]]</f>
        <v>#N/A</v>
      </c>
      <c r="CM63" s="99" t="e">
        <f>IF(CHOOSE(CK$7,Eu_tabel_g[[#This Row],[x base]]&gt;0,Eu_tabel_g[[#This Row],[x base]]&lt;0,Eu_tabel_g[[#This Row],[x base]]=0),Eu_tabel_g[[#This Row],[Styrke, aktiv]],NA())</f>
        <v>#N/A</v>
      </c>
      <c r="CN63" s="99" t="e">
        <f>IFERROR(IF($CK$3,Eu_tabel_g[[#This Row],[Styrke, aktiv]],NA()),NA())</f>
        <v>#N/A</v>
      </c>
      <c r="CO63" s="99" t="e">
        <f>IF(ISNA(Eu_tabel_g[[#This Row],[Sand negativ
Nulhypotese afvises
Korrekt]]),NA(),IF($CK$3,1,NA()))</f>
        <v>#N/A</v>
      </c>
      <c r="CP63" s="56" t="str" cm="1">
        <f t="array" ref="CP63">_xlfn.SWITCH(BS63,_xlfn.IFNA(CN$2,-99),CN$5,_xlfn.IFNA(CN$3,-99),CN$6,_xlfn.IFNA(CN$4,-99),CN$7,"")</f>
        <v/>
      </c>
      <c r="CT63" s="7">
        <f t="shared" si="50"/>
        <v>0.8</v>
      </c>
      <c r="CU63">
        <f>IF(ROW(Styrkeberegning_G[[#This Row],[X base venstre]])=ROW(Styrkeberegning_G[[#Headers],[X base venstre]])+1,CU$7/(CT$7/$B$67),CU62/(CT62/$B$67))</f>
        <v>-2.8015817870135784</v>
      </c>
      <c r="CV63">
        <f>Styrkeberegning_G[[#This Row],[X base venstre]]*-1</f>
        <v>2.8015817870135784</v>
      </c>
      <c r="DG63" s="54">
        <f t="shared" si="51"/>
        <v>53</v>
      </c>
      <c r="DH63" s="54">
        <f t="shared" si="52"/>
        <v>54</v>
      </c>
      <c r="DI63" s="54">
        <f t="shared" si="53"/>
        <v>7.879608054754744</v>
      </c>
      <c r="DJ63" s="54" t="e">
        <f t="shared" si="54"/>
        <v>#N/A</v>
      </c>
      <c r="DK63" s="54" t="e">
        <f t="shared" si="55"/>
        <v>#N/A</v>
      </c>
      <c r="DL63" s="54">
        <f t="shared" si="56"/>
        <v>8.8861548723025457E-2</v>
      </c>
      <c r="DM63" s="54" t="e">
        <f t="shared" si="57"/>
        <v>#N/A</v>
      </c>
      <c r="DN63" s="54" t="b">
        <f t="shared" si="58"/>
        <v>0</v>
      </c>
      <c r="DO63" s="54" t="b">
        <f t="shared" si="59"/>
        <v>1</v>
      </c>
      <c r="DP63" s="54" t="b">
        <f t="shared" si="60"/>
        <v>0</v>
      </c>
      <c r="DQ63" s="54" t="b">
        <f t="shared" si="61"/>
        <v>1</v>
      </c>
      <c r="DR63" s="54">
        <f t="shared" si="62"/>
        <v>8.8861548723025457E-2</v>
      </c>
      <c r="DS63" s="54" t="e">
        <f t="shared" si="63"/>
        <v>#N/A</v>
      </c>
      <c r="DT63" s="54">
        <f t="shared" si="64"/>
        <v>8.8861548723025457E-2</v>
      </c>
      <c r="DU63" s="72" t="str">
        <f t="shared" si="65"/>
        <v/>
      </c>
      <c r="DZ63" s="54">
        <f t="shared" si="66"/>
        <v>53</v>
      </c>
      <c r="EA63" s="54">
        <f t="shared" si="67"/>
        <v>54</v>
      </c>
      <c r="EB63" s="54">
        <f t="shared" si="68"/>
        <v>-1.8206019788275489</v>
      </c>
      <c r="EC63" s="54">
        <f t="shared" si="69"/>
        <v>7.6059882914996185E-2</v>
      </c>
      <c r="ED63" s="54" t="e">
        <f t="shared" si="70"/>
        <v>#N/A</v>
      </c>
      <c r="EE63" s="54" t="e">
        <f t="shared" si="71"/>
        <v>#N/A</v>
      </c>
      <c r="EF63" s="54" t="e">
        <f t="shared" si="72"/>
        <v>#N/A</v>
      </c>
      <c r="EG63" s="54" t="b">
        <f t="shared" si="73"/>
        <v>0</v>
      </c>
      <c r="EH63" s="54" t="b">
        <f t="shared" si="74"/>
        <v>1</v>
      </c>
      <c r="EI63" s="54" t="b">
        <f t="shared" si="75"/>
        <v>0</v>
      </c>
      <c r="EJ63" s="54" t="b">
        <f t="shared" si="76"/>
        <v>1</v>
      </c>
      <c r="EK63" s="54">
        <f t="shared" si="77"/>
        <v>7.6059882914996185E-2</v>
      </c>
      <c r="EL63" s="54" t="e">
        <f t="shared" si="78"/>
        <v>#N/A</v>
      </c>
      <c r="EM63" s="54">
        <f t="shared" si="79"/>
        <v>7.6059882914996185E-2</v>
      </c>
      <c r="EN63" s="72" t="str">
        <f t="shared" si="80"/>
        <v/>
      </c>
      <c r="EO6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6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6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63" s="54" t="e" cm="1">
        <f t="array" ref="ER63">IF($CK$3,INDEX(Eu_tabel_a[[#This Row],[Styrke venstre]:[Styrke tosidet]],ER$7),NA())</f>
        <v>#N/A</v>
      </c>
      <c r="ES63" s="54" t="e">
        <f>IF(ER$3,IF(CHOOSE(ER$7,Eu_tabel_a[[#This Row],[x base]]&gt;0,Eu_tabel_a[[#This Row],[x base]]&lt;0,Eu_tabel_a[[#This Row],[x base]]=0),1,NA()),NA())</f>
        <v>#N/A</v>
      </c>
      <c r="ET63" s="54" t="e">
        <f>IF(CHOOSE(ER$7,Eu_tabel_a[[#This Row],[x base]]&gt;0,Eu_tabel_a[[#This Row],[x base]]&lt;0,Eu_tabel_a[[#This Row],[x base]]=0),Eu_tabel_a[[#This Row],[Styrke, aktiv]],NA())</f>
        <v>#N/A</v>
      </c>
      <c r="EU63" s="54" t="e">
        <f>IFERROR(IF($ER$3,Eu_tabel_a[[#This Row],[Styrke, aktiv]],NA()),NA())</f>
        <v>#N/A</v>
      </c>
      <c r="EV63" s="54" t="e">
        <f>IF(ISNA(Eu_tabel_a[[#This Row],[Sand negativ
Nulhypotese afvises
Korrekt]]),NA(),IF(ER$3,1,NA()))</f>
        <v>#N/A</v>
      </c>
      <c r="EW63" s="55" t="str" cm="1">
        <f t="array" ref="EW63">IFERROR(_xlfn.SWITCH(Eu_tabel_a[[#This Row],[Indeks]],_xlfn.IFNA(EU$2,-99),EU$5,_xlfn.IFNA(EU$3,-99),EU$6,_xlfn.IFNA(EU$4,-99),EU$7,""),"")</f>
        <v/>
      </c>
      <c r="EX63" s="54">
        <f>Eu_tabel_a[[#This Row],[x base]]*SQRT(Eu_a_h0_x*(1-Eu_a_h0_x)/Eu_a_n_x)+Eu_a_h0_x</f>
        <v>0</v>
      </c>
      <c r="FC63" s="161" t="e">
        <f t="shared" si="18"/>
        <v>#N/A</v>
      </c>
      <c r="FD63" s="169" t="e">
        <f t="shared" si="121"/>
        <v>#DIV/0!</v>
      </c>
      <c r="FE63" s="7" t="e">
        <f t="shared" si="12"/>
        <v>#DIV/0!</v>
      </c>
      <c r="FF63" t="e">
        <f t="shared" si="122"/>
        <v>#DIV/0!</v>
      </c>
      <c r="FG63" s="8" t="e">
        <f t="shared" si="123"/>
        <v>#DIV/0!</v>
      </c>
      <c r="FH63" s="8" t="e">
        <f t="shared" si="124"/>
        <v>#DIV/0!</v>
      </c>
      <c r="FI63" s="168" t="e">
        <f t="shared" si="125"/>
        <v>#DIV/0!</v>
      </c>
      <c r="FJ63" s="161" t="e">
        <f t="shared" ca="1" si="13"/>
        <v>#N/A</v>
      </c>
      <c r="FK63" s="169" t="e" vm="3">
        <f t="shared" ca="1" si="19"/>
        <v>#VALUE!</v>
      </c>
      <c r="FL63" s="7" t="e" vm="3">
        <f t="shared" ca="1" si="14"/>
        <v>#VALUE!</v>
      </c>
      <c r="FM63" t="e" vm="3">
        <f t="shared" ca="1" si="8"/>
        <v>#VALUE!</v>
      </c>
      <c r="FN63" s="8" t="e" vm="3">
        <f t="shared" ca="1" si="9"/>
        <v>#VALUE!</v>
      </c>
      <c r="FO63" s="8" t="e" vm="3">
        <f t="shared" ca="1" si="10"/>
        <v>#VALUE!</v>
      </c>
      <c r="FP63" s="168" t="e" vm="3">
        <f t="shared" ca="1" si="11"/>
        <v>#VALUE!</v>
      </c>
      <c r="FQ63" s="161" t="e">
        <f t="shared" si="15"/>
        <v>#N/A</v>
      </c>
      <c r="FR63" s="169" t="e">
        <f t="shared" si="20"/>
        <v>#N/A</v>
      </c>
      <c r="FS63" s="7" t="e">
        <f t="shared" si="16"/>
        <v>#N/A</v>
      </c>
      <c r="FT63" t="e">
        <f t="shared" si="21"/>
        <v>#N/A</v>
      </c>
      <c r="FU63" s="8" t="e">
        <f t="shared" si="22"/>
        <v>#N/A</v>
      </c>
      <c r="FV63" s="8" t="e">
        <f t="shared" si="23"/>
        <v>#N/A</v>
      </c>
      <c r="FW63" s="168" t="e">
        <f t="shared" si="24"/>
        <v>#N/A</v>
      </c>
      <c r="FX63" s="161" t="e">
        <f t="shared" si="25"/>
        <v>#N/A</v>
      </c>
      <c r="FY63" s="169" t="e">
        <f t="shared" si="26"/>
        <v>#N/A</v>
      </c>
      <c r="FZ63" s="7" t="e">
        <f t="shared" si="17"/>
        <v>#N/A</v>
      </c>
      <c r="GA63" t="e">
        <f t="shared" si="27"/>
        <v>#N/A</v>
      </c>
      <c r="GB63" s="8" t="e">
        <f t="shared" si="28"/>
        <v>#N/A</v>
      </c>
      <c r="GC63" s="8" t="e">
        <f t="shared" si="29"/>
        <v>#N/A</v>
      </c>
      <c r="GD63" s="168" t="e">
        <f t="shared" si="30"/>
        <v>#N/A</v>
      </c>
      <c r="GE63" s="168"/>
      <c r="GF63" s="168"/>
      <c r="GI63" s="54">
        <f t="shared" si="81"/>
        <v>53</v>
      </c>
      <c r="GJ63" s="54">
        <f t="shared" si="82"/>
        <v>54</v>
      </c>
      <c r="GK63" s="54">
        <f t="shared" si="83"/>
        <v>-1.8206019788275489</v>
      </c>
      <c r="GL63" s="54">
        <f t="shared" si="84"/>
        <v>7.6059882914996185E-2</v>
      </c>
      <c r="GM63" s="54" t="e">
        <f t="shared" si="85"/>
        <v>#N/A</v>
      </c>
      <c r="GN63" s="54" t="e">
        <f t="shared" si="86"/>
        <v>#N/A</v>
      </c>
      <c r="GO63" s="54" t="e">
        <f t="shared" si="87"/>
        <v>#N/A</v>
      </c>
      <c r="GP63" s="54" t="b">
        <f t="shared" si="88"/>
        <v>0</v>
      </c>
      <c r="GQ63" s="54" t="b">
        <f t="shared" si="89"/>
        <v>1</v>
      </c>
      <c r="GR63" s="54" t="b">
        <f t="shared" si="90"/>
        <v>0</v>
      </c>
      <c r="GS63" s="54" t="b">
        <f t="shared" si="91"/>
        <v>1</v>
      </c>
      <c r="GT63" s="54">
        <f t="shared" si="92"/>
        <v>7.6059882914996185E-2</v>
      </c>
      <c r="GU63" s="54" t="e">
        <f t="shared" si="93"/>
        <v>#N/A</v>
      </c>
      <c r="GV63" s="54">
        <f t="shared" si="94"/>
        <v>7.6059882914996185E-2</v>
      </c>
      <c r="GW63" s="72" t="str">
        <f t="shared" si="95"/>
        <v/>
      </c>
      <c r="HC63" s="54">
        <f t="shared" si="96"/>
        <v>53</v>
      </c>
      <c r="HD63" s="54">
        <f t="shared" si="97"/>
        <v>54</v>
      </c>
      <c r="HE63" s="54">
        <f t="shared" si="98"/>
        <v>-2.8192404013683201</v>
      </c>
      <c r="HF63" s="54" t="e">
        <f t="shared" si="99"/>
        <v>#N/A</v>
      </c>
      <c r="HG63" s="54">
        <f t="shared" si="100"/>
        <v>1.8513876266587268E-2</v>
      </c>
      <c r="HH63" s="54" t="e">
        <f t="shared" si="101"/>
        <v>#N/A</v>
      </c>
      <c r="HI63" s="54" t="e">
        <f t="shared" si="102"/>
        <v>#N/A</v>
      </c>
      <c r="HJ63" s="54" t="b">
        <f t="shared" si="103"/>
        <v>1</v>
      </c>
      <c r="HK63" s="54" t="b">
        <f t="shared" si="104"/>
        <v>0</v>
      </c>
      <c r="HL63" s="54" t="b">
        <f t="shared" si="105"/>
        <v>1</v>
      </c>
      <c r="HM63" s="54" t="b">
        <f t="shared" si="106"/>
        <v>0</v>
      </c>
      <c r="HN63" s="54">
        <f t="shared" si="107"/>
        <v>1.8513876266587268E-2</v>
      </c>
      <c r="HO63" s="54">
        <f t="shared" si="108"/>
        <v>1.8513876266587268E-2</v>
      </c>
      <c r="HP63" s="54" t="e">
        <f t="shared" si="109"/>
        <v>#N/A</v>
      </c>
      <c r="HQ63" s="72" t="str">
        <f t="shared" si="110"/>
        <v/>
      </c>
    </row>
    <row r="64" spans="57:225" x14ac:dyDescent="0.2">
      <c r="BS64" s="54">
        <f t="shared" si="36"/>
        <v>54</v>
      </c>
      <c r="BT64" s="54">
        <f>Eu_tabel_g[[#This Row],[Indeks]]+1</f>
        <v>55</v>
      </c>
      <c r="BU64" s="54">
        <f t="shared" si="37"/>
        <v>-1.7966466896324496</v>
      </c>
      <c r="BV64" s="54">
        <f t="shared" si="38"/>
        <v>7.9427692707090408E-2</v>
      </c>
      <c r="BW64" s="54" t="e">
        <f t="shared" si="39"/>
        <v>#N/A</v>
      </c>
      <c r="BX64" s="54" t="e">
        <f t="shared" si="40"/>
        <v>#N/A</v>
      </c>
      <c r="BY64" s="54" t="e">
        <f t="shared" si="41"/>
        <v>#N/A</v>
      </c>
      <c r="BZ64" s="54" t="b">
        <f t="shared" si="42"/>
        <v>0</v>
      </c>
      <c r="CA64" s="54" t="b">
        <f t="shared" si="43"/>
        <v>1</v>
      </c>
      <c r="CB64" s="54" t="b">
        <f t="shared" si="44"/>
        <v>0</v>
      </c>
      <c r="CC64" s="54" t="b">
        <f t="shared" si="45"/>
        <v>1</v>
      </c>
      <c r="CD64" s="54">
        <f t="shared" si="135"/>
        <v>7.9427692707090408E-2</v>
      </c>
      <c r="CE64" s="54" t="e">
        <f t="shared" si="47"/>
        <v>#N/A</v>
      </c>
      <c r="CF64" s="54">
        <f t="shared" si="48"/>
        <v>7.9427692707090408E-2</v>
      </c>
      <c r="CG64" s="72" t="str">
        <f t="shared" si="49"/>
        <v/>
      </c>
      <c r="CH64" s="54">
        <f>_xlfn.NORM.DIST(_xlfn.NORM.INV(1-Eu_g_konfidensniveau,0,1)-Eu_tabel_g[[#This Row],[x base]],0,1,TRUE)</f>
        <v>0.56032492304548553</v>
      </c>
      <c r="CI64" s="54">
        <f>1-_xlfn.NORM.DIST(_xlfn.NORM.INV(Eu_g_konfidensniveau,0,1)-Eu_tabel_g[[#This Row],[x base]],0,1,TRUE)</f>
        <v>2.8924889725157055E-4</v>
      </c>
      <c r="CJ64" s="54">
        <f>_xlfn.NORM.DIST(_xlfn.NORM.INV((1-Eu_g_konfidensniveau)/2,0,1)-Eu_tabel_g[[#This Row],[x base]],0,1,TRUE)+1-_xlfn.NORM.DIST(_xlfn.NORM.INV(1-(1-Eu_g_konfidensniveau)/2,0,1)-Eu_tabel_g[[#This Row],[x base]],0,1,TRUE)</f>
        <v>0.435220423737672</v>
      </c>
      <c r="CK64" s="54" t="e" cm="1">
        <f t="array" ref="CK64">IF($CK$3,INDEX(Eu_tabel_g[[#This Row],[Styrke venstre]:[Styrke tosidet]],CK$7),NA())</f>
        <v>#N/A</v>
      </c>
      <c r="CL64" s="99" t="e">
        <f>Eu_tabel_g[[#This Row],[Falsk positiv
Nulhypotese accepteres
Fejltype 1]]</f>
        <v>#N/A</v>
      </c>
      <c r="CM64" s="99" t="e">
        <f>IF(CHOOSE(CK$7,Eu_tabel_g[[#This Row],[x base]]&gt;0,Eu_tabel_g[[#This Row],[x base]]&lt;0,Eu_tabel_g[[#This Row],[x base]]=0),Eu_tabel_g[[#This Row],[Styrke, aktiv]],NA())</f>
        <v>#N/A</v>
      </c>
      <c r="CN64" s="99" t="e">
        <f>IFERROR(IF($CK$3,Eu_tabel_g[[#This Row],[Styrke, aktiv]],NA()),NA())</f>
        <v>#N/A</v>
      </c>
      <c r="CO64" s="99" t="e">
        <f>IF(ISNA(Eu_tabel_g[[#This Row],[Sand negativ
Nulhypotese afvises
Korrekt]]),NA(),IF($CK$3,1,NA()))</f>
        <v>#N/A</v>
      </c>
      <c r="CP64" s="56" t="str" cm="1">
        <f t="array" ref="CP64">_xlfn.SWITCH(BS64,_xlfn.IFNA(CN$2,-99),CN$5,_xlfn.IFNA(CN$3,-99),CN$6,_xlfn.IFNA(CN$4,-99),CN$7,"")</f>
        <v/>
      </c>
      <c r="CT64" s="7">
        <f t="shared" si="50"/>
        <v>0.8</v>
      </c>
      <c r="CU64">
        <f>IF(ROW(Styrkeberegning_G[[#This Row],[X base venstre]])=ROW(Styrkeberegning_G[[#Headers],[X base venstre]])+1,CU$7/(CT$7/$B$67),CU63/(CT63/$B$67))</f>
        <v>-2.8015817870135784</v>
      </c>
      <c r="CV64">
        <f>Styrkeberegning_G[[#This Row],[X base venstre]]*-1</f>
        <v>2.8015817870135784</v>
      </c>
      <c r="DG64" s="54">
        <f t="shared" si="51"/>
        <v>54</v>
      </c>
      <c r="DH64" s="54">
        <f t="shared" si="52"/>
        <v>55</v>
      </c>
      <c r="DI64" s="54">
        <f t="shared" si="53"/>
        <v>7.9936789111717443</v>
      </c>
      <c r="DJ64" s="54" t="e">
        <f t="shared" si="54"/>
        <v>#N/A</v>
      </c>
      <c r="DK64" s="54" t="e">
        <f t="shared" si="55"/>
        <v>#N/A</v>
      </c>
      <c r="DL64" s="54">
        <f t="shared" si="56"/>
        <v>8.954329777676559E-2</v>
      </c>
      <c r="DM64" s="54" t="e">
        <f t="shared" si="57"/>
        <v>#N/A</v>
      </c>
      <c r="DN64" s="54" t="b">
        <f t="shared" si="58"/>
        <v>0</v>
      </c>
      <c r="DO64" s="54" t="b">
        <f t="shared" si="59"/>
        <v>1</v>
      </c>
      <c r="DP64" s="54" t="b">
        <f t="shared" si="60"/>
        <v>0</v>
      </c>
      <c r="DQ64" s="54" t="b">
        <f t="shared" si="61"/>
        <v>1</v>
      </c>
      <c r="DR64" s="54">
        <f t="shared" si="62"/>
        <v>8.954329777676559E-2</v>
      </c>
      <c r="DS64" s="54" t="e">
        <f t="shared" si="63"/>
        <v>#N/A</v>
      </c>
      <c r="DT64" s="54">
        <f t="shared" si="64"/>
        <v>8.954329777676559E-2</v>
      </c>
      <c r="DU64" s="72" t="str">
        <f t="shared" si="65"/>
        <v/>
      </c>
      <c r="DZ64" s="54">
        <f t="shared" si="66"/>
        <v>54</v>
      </c>
      <c r="EA64" s="54">
        <f t="shared" si="67"/>
        <v>55</v>
      </c>
      <c r="EB64" s="54">
        <f t="shared" si="68"/>
        <v>-1.7966466896324496</v>
      </c>
      <c r="EC64" s="54">
        <f t="shared" si="69"/>
        <v>7.9427692707090408E-2</v>
      </c>
      <c r="ED64" s="54" t="e">
        <f t="shared" si="70"/>
        <v>#N/A</v>
      </c>
      <c r="EE64" s="54" t="e">
        <f t="shared" si="71"/>
        <v>#N/A</v>
      </c>
      <c r="EF64" s="54" t="e">
        <f t="shared" si="72"/>
        <v>#N/A</v>
      </c>
      <c r="EG64" s="54" t="b">
        <f t="shared" si="73"/>
        <v>0</v>
      </c>
      <c r="EH64" s="54" t="b">
        <f t="shared" si="74"/>
        <v>1</v>
      </c>
      <c r="EI64" s="54" t="b">
        <f t="shared" si="75"/>
        <v>0</v>
      </c>
      <c r="EJ64" s="54" t="b">
        <f t="shared" si="76"/>
        <v>1</v>
      </c>
      <c r="EK64" s="54">
        <f t="shared" si="77"/>
        <v>7.9427692707090408E-2</v>
      </c>
      <c r="EL64" s="54" t="e">
        <f t="shared" si="78"/>
        <v>#N/A</v>
      </c>
      <c r="EM64" s="54">
        <f t="shared" si="79"/>
        <v>7.9427692707090408E-2</v>
      </c>
      <c r="EN64" s="72" t="str">
        <f t="shared" si="80"/>
        <v/>
      </c>
      <c r="EO6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6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6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64" s="54" t="e" cm="1">
        <f t="array" ref="ER64">IF($CK$3,INDEX(Eu_tabel_a[[#This Row],[Styrke venstre]:[Styrke tosidet]],ER$7),NA())</f>
        <v>#N/A</v>
      </c>
      <c r="ES64" s="54" t="e">
        <f>IF(ER$3,IF(CHOOSE(ER$7,Eu_tabel_a[[#This Row],[x base]]&gt;0,Eu_tabel_a[[#This Row],[x base]]&lt;0,Eu_tabel_a[[#This Row],[x base]]=0),1,NA()),NA())</f>
        <v>#N/A</v>
      </c>
      <c r="ET64" s="54" t="e">
        <f>IF(CHOOSE(ER$7,Eu_tabel_a[[#This Row],[x base]]&gt;0,Eu_tabel_a[[#This Row],[x base]]&lt;0,Eu_tabel_a[[#This Row],[x base]]=0),Eu_tabel_a[[#This Row],[Styrke, aktiv]],NA())</f>
        <v>#N/A</v>
      </c>
      <c r="EU64" s="54" t="e">
        <f>IFERROR(IF($ER$3,Eu_tabel_a[[#This Row],[Styrke, aktiv]],NA()),NA())</f>
        <v>#N/A</v>
      </c>
      <c r="EV64" s="54" t="e">
        <f>IF(ISNA(Eu_tabel_a[[#This Row],[Sand negativ
Nulhypotese afvises
Korrekt]]),NA(),IF(ER$3,1,NA()))</f>
        <v>#N/A</v>
      </c>
      <c r="EW64" s="55" t="str" cm="1">
        <f t="array" ref="EW64">IFERROR(_xlfn.SWITCH(Eu_tabel_a[[#This Row],[Indeks]],_xlfn.IFNA(EU$2,-99),EU$5,_xlfn.IFNA(EU$3,-99),EU$6,_xlfn.IFNA(EU$4,-99),EU$7,""),"")</f>
        <v/>
      </c>
      <c r="EX64" s="54">
        <f>Eu_tabel_a[[#This Row],[x base]]*SQRT(Eu_a_h0_x*(1-Eu_a_h0_x)/Eu_a_n_x)+Eu_a_h0_x</f>
        <v>0</v>
      </c>
      <c r="FC64" s="161" t="e">
        <f t="shared" si="18"/>
        <v>#N/A</v>
      </c>
      <c r="FD64" s="169" t="e">
        <f t="shared" si="121"/>
        <v>#DIV/0!</v>
      </c>
      <c r="FE64" s="7" t="e">
        <f t="shared" si="12"/>
        <v>#DIV/0!</v>
      </c>
      <c r="FF64" t="e">
        <f t="shared" si="122"/>
        <v>#DIV/0!</v>
      </c>
      <c r="FG64" s="8" t="e">
        <f t="shared" si="123"/>
        <v>#DIV/0!</v>
      </c>
      <c r="FH64" s="8" t="e">
        <f t="shared" si="124"/>
        <v>#DIV/0!</v>
      </c>
      <c r="FI64" s="168" t="e">
        <f t="shared" si="125"/>
        <v>#DIV/0!</v>
      </c>
      <c r="FJ64" s="161" t="e">
        <f t="shared" ca="1" si="13"/>
        <v>#N/A</v>
      </c>
      <c r="FK64" s="169" t="e" vm="3">
        <f t="shared" ca="1" si="19"/>
        <v>#VALUE!</v>
      </c>
      <c r="FL64" s="7" t="e" vm="3">
        <f t="shared" ca="1" si="14"/>
        <v>#VALUE!</v>
      </c>
      <c r="FM64" t="e" vm="3">
        <f t="shared" ca="1" si="8"/>
        <v>#VALUE!</v>
      </c>
      <c r="FN64" s="8" t="e" vm="3">
        <f t="shared" ca="1" si="9"/>
        <v>#VALUE!</v>
      </c>
      <c r="FO64" s="8" t="e" vm="3">
        <f t="shared" ca="1" si="10"/>
        <v>#VALUE!</v>
      </c>
      <c r="FP64" s="168" t="e" vm="3">
        <f t="shared" ca="1" si="11"/>
        <v>#VALUE!</v>
      </c>
      <c r="FQ64" s="161" t="e">
        <f t="shared" si="15"/>
        <v>#N/A</v>
      </c>
      <c r="FR64" s="169" t="e">
        <f t="shared" si="20"/>
        <v>#N/A</v>
      </c>
      <c r="FS64" s="7" t="e">
        <f t="shared" si="16"/>
        <v>#N/A</v>
      </c>
      <c r="FT64" t="e">
        <f t="shared" si="21"/>
        <v>#N/A</v>
      </c>
      <c r="FU64" s="8" t="e">
        <f t="shared" si="22"/>
        <v>#N/A</v>
      </c>
      <c r="FV64" s="8" t="e">
        <f t="shared" si="23"/>
        <v>#N/A</v>
      </c>
      <c r="FW64" s="168" t="e">
        <f t="shared" si="24"/>
        <v>#N/A</v>
      </c>
      <c r="FX64" s="161" t="e">
        <f t="shared" si="25"/>
        <v>#N/A</v>
      </c>
      <c r="FY64" s="169" t="e">
        <f t="shared" si="26"/>
        <v>#N/A</v>
      </c>
      <c r="FZ64" s="7" t="e">
        <f t="shared" si="17"/>
        <v>#N/A</v>
      </c>
      <c r="GA64" t="e">
        <f t="shared" si="27"/>
        <v>#N/A</v>
      </c>
      <c r="GB64" s="8" t="e">
        <f t="shared" si="28"/>
        <v>#N/A</v>
      </c>
      <c r="GC64" s="8" t="e">
        <f t="shared" si="29"/>
        <v>#N/A</v>
      </c>
      <c r="GD64" s="168" t="e">
        <f t="shared" si="30"/>
        <v>#N/A</v>
      </c>
      <c r="GE64" s="168"/>
      <c r="GF64" s="168"/>
      <c r="GI64" s="54">
        <f t="shared" si="81"/>
        <v>54</v>
      </c>
      <c r="GJ64" s="54">
        <f t="shared" si="82"/>
        <v>55</v>
      </c>
      <c r="GK64" s="54">
        <f t="shared" si="83"/>
        <v>-1.7966466896324496</v>
      </c>
      <c r="GL64" s="54">
        <f t="shared" si="84"/>
        <v>7.9427692707090408E-2</v>
      </c>
      <c r="GM64" s="54" t="e">
        <f t="shared" si="85"/>
        <v>#N/A</v>
      </c>
      <c r="GN64" s="54" t="e">
        <f t="shared" si="86"/>
        <v>#N/A</v>
      </c>
      <c r="GO64" s="54" t="e">
        <f t="shared" si="87"/>
        <v>#N/A</v>
      </c>
      <c r="GP64" s="54" t="b">
        <f t="shared" si="88"/>
        <v>0</v>
      </c>
      <c r="GQ64" s="54" t="b">
        <f t="shared" si="89"/>
        <v>1</v>
      </c>
      <c r="GR64" s="54" t="b">
        <f t="shared" si="90"/>
        <v>0</v>
      </c>
      <c r="GS64" s="54" t="b">
        <f t="shared" si="91"/>
        <v>1</v>
      </c>
      <c r="GT64" s="54">
        <f t="shared" si="92"/>
        <v>7.9427692707090408E-2</v>
      </c>
      <c r="GU64" s="54" t="e">
        <f t="shared" si="93"/>
        <v>#N/A</v>
      </c>
      <c r="GV64" s="54">
        <f t="shared" si="94"/>
        <v>7.9427692707090408E-2</v>
      </c>
      <c r="GW64" s="72" t="str">
        <f t="shared" si="95"/>
        <v/>
      </c>
      <c r="HC64" s="54">
        <f t="shared" si="96"/>
        <v>54</v>
      </c>
      <c r="HD64" s="54">
        <f t="shared" si="97"/>
        <v>55</v>
      </c>
      <c r="HE64" s="54">
        <f t="shared" si="98"/>
        <v>-2.7821451329292635</v>
      </c>
      <c r="HF64" s="54" t="e">
        <f t="shared" si="99"/>
        <v>#N/A</v>
      </c>
      <c r="HG64" s="54">
        <f t="shared" si="100"/>
        <v>1.9580069923484249E-2</v>
      </c>
      <c r="HH64" s="54" t="e">
        <f t="shared" si="101"/>
        <v>#N/A</v>
      </c>
      <c r="HI64" s="54" t="e">
        <f t="shared" si="102"/>
        <v>#N/A</v>
      </c>
      <c r="HJ64" s="54" t="b">
        <f t="shared" si="103"/>
        <v>1</v>
      </c>
      <c r="HK64" s="54" t="b">
        <f t="shared" si="104"/>
        <v>0</v>
      </c>
      <c r="HL64" s="54" t="b">
        <f t="shared" si="105"/>
        <v>1</v>
      </c>
      <c r="HM64" s="54" t="b">
        <f t="shared" si="106"/>
        <v>0</v>
      </c>
      <c r="HN64" s="54">
        <f t="shared" si="107"/>
        <v>1.9580069923484249E-2</v>
      </c>
      <c r="HO64" s="54">
        <f t="shared" si="108"/>
        <v>1.9580069923484249E-2</v>
      </c>
      <c r="HP64" s="54" t="e">
        <f t="shared" si="109"/>
        <v>#N/A</v>
      </c>
      <c r="HQ64" s="72" t="str">
        <f t="shared" si="110"/>
        <v/>
      </c>
    </row>
    <row r="65" spans="1:225" x14ac:dyDescent="0.2">
      <c r="A65" s="3" t="s">
        <v>500</v>
      </c>
      <c r="O65" s="3" t="s">
        <v>528</v>
      </c>
      <c r="BS65" s="54">
        <f t="shared" si="36"/>
        <v>55</v>
      </c>
      <c r="BT65" s="54">
        <f>Eu_tabel_g[[#This Row],[Indeks]]+1</f>
        <v>56</v>
      </c>
      <c r="BU65" s="54">
        <f t="shared" si="37"/>
        <v>-1.7726914004373502</v>
      </c>
      <c r="BV65" s="54">
        <f t="shared" si="38"/>
        <v>8.2897039117220475E-2</v>
      </c>
      <c r="BW65" s="54" t="e">
        <f t="shared" si="39"/>
        <v>#N/A</v>
      </c>
      <c r="BX65" s="54" t="e">
        <f t="shared" si="40"/>
        <v>#N/A</v>
      </c>
      <c r="BY65" s="54" t="e">
        <f t="shared" si="41"/>
        <v>#N/A</v>
      </c>
      <c r="BZ65" s="54" t="b">
        <f t="shared" si="42"/>
        <v>0</v>
      </c>
      <c r="CA65" s="54" t="b">
        <f t="shared" si="43"/>
        <v>1</v>
      </c>
      <c r="CB65" s="54" t="b">
        <f t="shared" si="44"/>
        <v>0</v>
      </c>
      <c r="CC65" s="54" t="b">
        <f t="shared" si="45"/>
        <v>1</v>
      </c>
      <c r="CD65" s="54">
        <f t="shared" si="135"/>
        <v>8.2897039117220475E-2</v>
      </c>
      <c r="CE65" s="54" t="e">
        <f t="shared" si="47"/>
        <v>#N/A</v>
      </c>
      <c r="CF65" s="54">
        <f t="shared" si="48"/>
        <v>8.2897039117220475E-2</v>
      </c>
      <c r="CG65" s="72" t="str">
        <f t="shared" si="49"/>
        <v/>
      </c>
      <c r="CH65" s="54">
        <f>_xlfn.NORM.DIST(_xlfn.NORM.INV(1-Eu_g_konfidensniveau,0,1)-Eu_tabel_g[[#This Row],[x base]],0,1,TRUE)</f>
        <v>0.55086132181012348</v>
      </c>
      <c r="CI65" s="54">
        <f>1-_xlfn.NORM.DIST(_xlfn.NORM.INV(Eu_g_konfidensniveau,0,1)-Eu_tabel_g[[#This Row],[x base]],0,1,TRUE)</f>
        <v>3.1594320383954155E-4</v>
      </c>
      <c r="CJ65" s="54">
        <f>_xlfn.NORM.DIST(_xlfn.NORM.INV((1-Eu_g_konfidensniveau)/2,0,1)-Eu_tabel_g[[#This Row],[x base]],0,1,TRUE)+1-_xlfn.NORM.DIST(_xlfn.NORM.INV(1-(1-Eu_g_konfidensniveau)/2,0,1)-Eu_tabel_g[[#This Row],[x base]],0,1,TRUE)</f>
        <v>0.42581819457602854</v>
      </c>
      <c r="CK65" s="54" t="e" cm="1">
        <f t="array" ref="CK65">IF($CK$3,INDEX(Eu_tabel_g[[#This Row],[Styrke venstre]:[Styrke tosidet]],CK$7),NA())</f>
        <v>#N/A</v>
      </c>
      <c r="CL65" s="99" t="e">
        <f>Eu_tabel_g[[#This Row],[Falsk positiv
Nulhypotese accepteres
Fejltype 1]]</f>
        <v>#N/A</v>
      </c>
      <c r="CM65" s="99" t="e">
        <f>IF(CHOOSE(CK$7,Eu_tabel_g[[#This Row],[x base]]&gt;0,Eu_tabel_g[[#This Row],[x base]]&lt;0,Eu_tabel_g[[#This Row],[x base]]=0),Eu_tabel_g[[#This Row],[Styrke, aktiv]],NA())</f>
        <v>#N/A</v>
      </c>
      <c r="CN65" s="99" t="e">
        <f>IFERROR(IF($CK$3,Eu_tabel_g[[#This Row],[Styrke, aktiv]],NA()),NA())</f>
        <v>#N/A</v>
      </c>
      <c r="CO65" s="99" t="e">
        <f>IF(ISNA(Eu_tabel_g[[#This Row],[Sand negativ
Nulhypotese afvises
Korrekt]]),NA(),IF($CK$3,1,NA()))</f>
        <v>#N/A</v>
      </c>
      <c r="CP65" s="56" t="str" cm="1">
        <f t="array" ref="CP65">_xlfn.SWITCH(BS65,_xlfn.IFNA(CN$2,-99),CN$5,_xlfn.IFNA(CN$3,-99),CN$6,_xlfn.IFNA(CN$4,-99),CN$7,"")</f>
        <v/>
      </c>
      <c r="CT65" s="7">
        <f t="shared" si="50"/>
        <v>0.8</v>
      </c>
      <c r="CU65">
        <f>IF(ROW(Styrkeberegning_G[[#This Row],[X base venstre]])=ROW(Styrkeberegning_G[[#Headers],[X base venstre]])+1,CU$7/(CT$7/$B$67),CU64/(CT64/$B$67))</f>
        <v>-2.8015817870135784</v>
      </c>
      <c r="CV65">
        <f>Styrkeberegning_G[[#This Row],[X base venstre]]*-1</f>
        <v>2.8015817870135784</v>
      </c>
      <c r="DG65" s="54">
        <f t="shared" si="51"/>
        <v>55</v>
      </c>
      <c r="DH65" s="54">
        <f t="shared" si="52"/>
        <v>56</v>
      </c>
      <c r="DI65" s="54">
        <f t="shared" si="53"/>
        <v>8.1077497675887447</v>
      </c>
      <c r="DJ65" s="54" t="e">
        <f t="shared" si="54"/>
        <v>#N/A</v>
      </c>
      <c r="DK65" s="54" t="e">
        <f t="shared" si="55"/>
        <v>#N/A</v>
      </c>
      <c r="DL65" s="54">
        <f t="shared" si="56"/>
        <v>9.0147622821889442E-2</v>
      </c>
      <c r="DM65" s="54" t="e">
        <f t="shared" si="57"/>
        <v>#N/A</v>
      </c>
      <c r="DN65" s="54" t="b">
        <f t="shared" si="58"/>
        <v>0</v>
      </c>
      <c r="DO65" s="54" t="b">
        <f t="shared" si="59"/>
        <v>1</v>
      </c>
      <c r="DP65" s="54" t="b">
        <f t="shared" si="60"/>
        <v>0</v>
      </c>
      <c r="DQ65" s="54" t="b">
        <f t="shared" si="61"/>
        <v>1</v>
      </c>
      <c r="DR65" s="54">
        <f t="shared" si="62"/>
        <v>9.0147622821889442E-2</v>
      </c>
      <c r="DS65" s="54" t="e">
        <f t="shared" si="63"/>
        <v>#N/A</v>
      </c>
      <c r="DT65" s="54">
        <f t="shared" si="64"/>
        <v>9.0147622821889442E-2</v>
      </c>
      <c r="DU65" s="72" t="str">
        <f t="shared" si="65"/>
        <v/>
      </c>
      <c r="DZ65" s="54">
        <f t="shared" si="66"/>
        <v>55</v>
      </c>
      <c r="EA65" s="54">
        <f t="shared" si="67"/>
        <v>56</v>
      </c>
      <c r="EB65" s="54">
        <f t="shared" si="68"/>
        <v>-1.7726914004373502</v>
      </c>
      <c r="EC65" s="54">
        <f t="shared" si="69"/>
        <v>8.2897039117220475E-2</v>
      </c>
      <c r="ED65" s="54" t="e">
        <f t="shared" si="70"/>
        <v>#N/A</v>
      </c>
      <c r="EE65" s="54" t="e">
        <f t="shared" si="71"/>
        <v>#N/A</v>
      </c>
      <c r="EF65" s="54" t="e">
        <f t="shared" si="72"/>
        <v>#N/A</v>
      </c>
      <c r="EG65" s="54" t="b">
        <f t="shared" si="73"/>
        <v>0</v>
      </c>
      <c r="EH65" s="54" t="b">
        <f t="shared" si="74"/>
        <v>1</v>
      </c>
      <c r="EI65" s="54" t="b">
        <f t="shared" si="75"/>
        <v>0</v>
      </c>
      <c r="EJ65" s="54" t="b">
        <f t="shared" si="76"/>
        <v>1</v>
      </c>
      <c r="EK65" s="54">
        <f t="shared" si="77"/>
        <v>8.2897039117220475E-2</v>
      </c>
      <c r="EL65" s="54" t="e">
        <f t="shared" si="78"/>
        <v>#N/A</v>
      </c>
      <c r="EM65" s="54">
        <f t="shared" si="79"/>
        <v>8.2897039117220475E-2</v>
      </c>
      <c r="EN65" s="72" t="str">
        <f t="shared" si="80"/>
        <v/>
      </c>
      <c r="EO6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6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6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65" s="54" t="e" cm="1">
        <f t="array" ref="ER65">IF($CK$3,INDEX(Eu_tabel_a[[#This Row],[Styrke venstre]:[Styrke tosidet]],ER$7),NA())</f>
        <v>#N/A</v>
      </c>
      <c r="ES65" s="54" t="e">
        <f>IF(ER$3,IF(CHOOSE(ER$7,Eu_tabel_a[[#This Row],[x base]]&gt;0,Eu_tabel_a[[#This Row],[x base]]&lt;0,Eu_tabel_a[[#This Row],[x base]]=0),1,NA()),NA())</f>
        <v>#N/A</v>
      </c>
      <c r="ET65" s="54" t="e">
        <f>IF(CHOOSE(ER$7,Eu_tabel_a[[#This Row],[x base]]&gt;0,Eu_tabel_a[[#This Row],[x base]]&lt;0,Eu_tabel_a[[#This Row],[x base]]=0),Eu_tabel_a[[#This Row],[Styrke, aktiv]],NA())</f>
        <v>#N/A</v>
      </c>
      <c r="EU65" s="54" t="e">
        <f>IFERROR(IF($ER$3,Eu_tabel_a[[#This Row],[Styrke, aktiv]],NA()),NA())</f>
        <v>#N/A</v>
      </c>
      <c r="EV65" s="54" t="e">
        <f>IF(ISNA(Eu_tabel_a[[#This Row],[Sand negativ
Nulhypotese afvises
Korrekt]]),NA(),IF(ER$3,1,NA()))</f>
        <v>#N/A</v>
      </c>
      <c r="EW65" s="55" t="str" cm="1">
        <f t="array" ref="EW65">IFERROR(_xlfn.SWITCH(Eu_tabel_a[[#This Row],[Indeks]],_xlfn.IFNA(EU$2,-99),EU$5,_xlfn.IFNA(EU$3,-99),EU$6,_xlfn.IFNA(EU$4,-99),EU$7,""),"")</f>
        <v/>
      </c>
      <c r="EX65" s="54">
        <f>Eu_tabel_a[[#This Row],[x base]]*SQRT(Eu_a_h0_x*(1-Eu_a_h0_x)/Eu_a_n_x)+Eu_a_h0_x</f>
        <v>0</v>
      </c>
      <c r="FC65" s="161" t="e">
        <f t="shared" si="18"/>
        <v>#N/A</v>
      </c>
      <c r="FD65" s="169" t="e">
        <f t="shared" si="121"/>
        <v>#DIV/0!</v>
      </c>
      <c r="FE65" s="7" t="e">
        <f t="shared" si="12"/>
        <v>#DIV/0!</v>
      </c>
      <c r="FF65" t="e">
        <f t="shared" si="122"/>
        <v>#DIV/0!</v>
      </c>
      <c r="FG65" s="8" t="e">
        <f t="shared" si="123"/>
        <v>#DIV/0!</v>
      </c>
      <c r="FH65" s="8" t="e">
        <f t="shared" si="124"/>
        <v>#DIV/0!</v>
      </c>
      <c r="FI65" s="168" t="e">
        <f t="shared" si="125"/>
        <v>#DIV/0!</v>
      </c>
      <c r="FJ65" s="161" t="e">
        <f t="shared" ca="1" si="13"/>
        <v>#N/A</v>
      </c>
      <c r="FK65" s="169" t="e" vm="3">
        <f t="shared" ca="1" si="19"/>
        <v>#VALUE!</v>
      </c>
      <c r="FL65" s="7" t="e" vm="3">
        <f t="shared" ca="1" si="14"/>
        <v>#VALUE!</v>
      </c>
      <c r="FM65" t="e" vm="3">
        <f t="shared" ca="1" si="8"/>
        <v>#VALUE!</v>
      </c>
      <c r="FN65" s="8" t="e" vm="3">
        <f t="shared" ca="1" si="9"/>
        <v>#VALUE!</v>
      </c>
      <c r="FO65" s="8" t="e" vm="3">
        <f t="shared" ca="1" si="10"/>
        <v>#VALUE!</v>
      </c>
      <c r="FP65" s="168" t="e" vm="3">
        <f t="shared" ca="1" si="11"/>
        <v>#VALUE!</v>
      </c>
      <c r="FQ65" s="161" t="e">
        <f t="shared" si="15"/>
        <v>#N/A</v>
      </c>
      <c r="FR65" s="169" t="e">
        <f t="shared" si="20"/>
        <v>#N/A</v>
      </c>
      <c r="FS65" s="7" t="e">
        <f t="shared" si="16"/>
        <v>#N/A</v>
      </c>
      <c r="FT65" t="e">
        <f t="shared" si="21"/>
        <v>#N/A</v>
      </c>
      <c r="FU65" s="8" t="e">
        <f t="shared" si="22"/>
        <v>#N/A</v>
      </c>
      <c r="FV65" s="8" t="e">
        <f t="shared" si="23"/>
        <v>#N/A</v>
      </c>
      <c r="FW65" s="168" t="e">
        <f t="shared" si="24"/>
        <v>#N/A</v>
      </c>
      <c r="FX65" s="161" t="e">
        <f t="shared" si="25"/>
        <v>#N/A</v>
      </c>
      <c r="FY65" s="169" t="e">
        <f t="shared" si="26"/>
        <v>#N/A</v>
      </c>
      <c r="FZ65" s="7" t="e">
        <f t="shared" si="17"/>
        <v>#N/A</v>
      </c>
      <c r="GA65" t="e">
        <f t="shared" si="27"/>
        <v>#N/A</v>
      </c>
      <c r="GB65" s="8" t="e">
        <f t="shared" si="28"/>
        <v>#N/A</v>
      </c>
      <c r="GC65" s="8" t="e">
        <f t="shared" si="29"/>
        <v>#N/A</v>
      </c>
      <c r="GD65" s="168" t="e">
        <f t="shared" si="30"/>
        <v>#N/A</v>
      </c>
      <c r="GE65" s="168"/>
      <c r="GF65" s="168"/>
      <c r="GI65" s="54">
        <f t="shared" si="81"/>
        <v>55</v>
      </c>
      <c r="GJ65" s="54">
        <f t="shared" si="82"/>
        <v>56</v>
      </c>
      <c r="GK65" s="54">
        <f t="shared" si="83"/>
        <v>-1.7726914004373502</v>
      </c>
      <c r="GL65" s="54">
        <f t="shared" si="84"/>
        <v>8.2897039117220475E-2</v>
      </c>
      <c r="GM65" s="54" t="e">
        <f t="shared" si="85"/>
        <v>#N/A</v>
      </c>
      <c r="GN65" s="54" t="e">
        <f t="shared" si="86"/>
        <v>#N/A</v>
      </c>
      <c r="GO65" s="54" t="e">
        <f t="shared" si="87"/>
        <v>#N/A</v>
      </c>
      <c r="GP65" s="54" t="b">
        <f t="shared" si="88"/>
        <v>0</v>
      </c>
      <c r="GQ65" s="54" t="b">
        <f t="shared" si="89"/>
        <v>1</v>
      </c>
      <c r="GR65" s="54" t="b">
        <f t="shared" si="90"/>
        <v>0</v>
      </c>
      <c r="GS65" s="54" t="b">
        <f t="shared" si="91"/>
        <v>1</v>
      </c>
      <c r="GT65" s="54">
        <f t="shared" si="92"/>
        <v>8.2897039117220475E-2</v>
      </c>
      <c r="GU65" s="54" t="e">
        <f t="shared" si="93"/>
        <v>#N/A</v>
      </c>
      <c r="GV65" s="54">
        <f t="shared" si="94"/>
        <v>8.2897039117220475E-2</v>
      </c>
      <c r="GW65" s="72" t="str">
        <f t="shared" si="95"/>
        <v/>
      </c>
      <c r="HC65" s="54">
        <f t="shared" si="96"/>
        <v>55</v>
      </c>
      <c r="HD65" s="54">
        <f t="shared" si="97"/>
        <v>56</v>
      </c>
      <c r="HE65" s="54">
        <f t="shared" si="98"/>
        <v>-2.7450498644902064</v>
      </c>
      <c r="HF65" s="54" t="e">
        <f t="shared" si="99"/>
        <v>#N/A</v>
      </c>
      <c r="HG65" s="54">
        <f t="shared" si="100"/>
        <v>2.0708440519801124E-2</v>
      </c>
      <c r="HH65" s="54" t="e">
        <f t="shared" si="101"/>
        <v>#N/A</v>
      </c>
      <c r="HI65" s="54" t="e">
        <f t="shared" si="102"/>
        <v>#N/A</v>
      </c>
      <c r="HJ65" s="54" t="b">
        <f t="shared" si="103"/>
        <v>1</v>
      </c>
      <c r="HK65" s="54" t="b">
        <f t="shared" si="104"/>
        <v>0</v>
      </c>
      <c r="HL65" s="54" t="b">
        <f t="shared" si="105"/>
        <v>1</v>
      </c>
      <c r="HM65" s="54" t="b">
        <f t="shared" si="106"/>
        <v>0</v>
      </c>
      <c r="HN65" s="54">
        <f t="shared" si="107"/>
        <v>2.0708440519801124E-2</v>
      </c>
      <c r="HO65" s="54">
        <f t="shared" si="108"/>
        <v>2.0708440519801124E-2</v>
      </c>
      <c r="HP65" s="54" t="e">
        <f t="shared" si="109"/>
        <v>#N/A</v>
      </c>
      <c r="HQ65" s="72" t="str">
        <f t="shared" si="110"/>
        <v/>
      </c>
    </row>
    <row r="66" spans="1:225" x14ac:dyDescent="0.2">
      <c r="A66" s="100" t="s">
        <v>138</v>
      </c>
      <c r="B66" s="100" t="s">
        <v>523</v>
      </c>
      <c r="C66" s="100" t="s">
        <v>524</v>
      </c>
      <c r="O66" s="100" t="s">
        <v>138</v>
      </c>
      <c r="P66" s="100" t="s">
        <v>523</v>
      </c>
      <c r="Q66" s="100" t="s">
        <v>524</v>
      </c>
      <c r="BS66" s="54">
        <f t="shared" si="36"/>
        <v>56</v>
      </c>
      <c r="BT66" s="54">
        <f>Eu_tabel_g[[#This Row],[Indeks]]+1</f>
        <v>57</v>
      </c>
      <c r="BU66" s="54">
        <f t="shared" si="37"/>
        <v>-1.7487361112422508</v>
      </c>
      <c r="BV66" s="54">
        <f t="shared" si="38"/>
        <v>8.6468289590491687E-2</v>
      </c>
      <c r="BW66" s="54" t="e">
        <f t="shared" si="39"/>
        <v>#N/A</v>
      </c>
      <c r="BX66" s="54" t="e">
        <f t="shared" si="40"/>
        <v>#N/A</v>
      </c>
      <c r="BY66" s="54" t="e">
        <f t="shared" si="41"/>
        <v>#N/A</v>
      </c>
      <c r="BZ66" s="54" t="b">
        <f t="shared" si="42"/>
        <v>0</v>
      </c>
      <c r="CA66" s="54" t="b">
        <f t="shared" si="43"/>
        <v>1</v>
      </c>
      <c r="CB66" s="54" t="b">
        <f t="shared" si="44"/>
        <v>0</v>
      </c>
      <c r="CC66" s="54" t="b">
        <f t="shared" si="45"/>
        <v>1</v>
      </c>
      <c r="CD66" s="54">
        <f t="shared" si="135"/>
        <v>8.6468289590491687E-2</v>
      </c>
      <c r="CE66" s="54" t="e">
        <f t="shared" si="47"/>
        <v>#N/A</v>
      </c>
      <c r="CF66" s="54">
        <f t="shared" si="48"/>
        <v>8.6468289590491687E-2</v>
      </c>
      <c r="CG66" s="72" t="str">
        <f t="shared" si="49"/>
        <v/>
      </c>
      <c r="CH66" s="54">
        <f>_xlfn.NORM.DIST(_xlfn.NORM.INV(1-Eu_g_konfidensniveau,0,1)-Eu_tabel_g[[#This Row],[x base]],0,1,TRUE)</f>
        <v>0.54136869629794371</v>
      </c>
      <c r="CI66" s="54">
        <f>1-_xlfn.NORM.DIST(_xlfn.NORM.INV(Eu_g_konfidensniveau,0,1)-Eu_tabel_g[[#This Row],[x base]],0,1,TRUE)</f>
        <v>3.4491476418885281E-4</v>
      </c>
      <c r="CJ66" s="54">
        <f>_xlfn.NORM.DIST(_xlfn.NORM.INV((1-Eu_g_konfidensniveau)/2,0,1)-Eu_tabel_g[[#This Row],[x base]],0,1,TRUE)+1-_xlfn.NORM.DIST(_xlfn.NORM.INV(1-(1-Eu_g_konfidensniveau)/2,0,1)-Eu_tabel_g[[#This Row],[x base]],0,1,TRUE)</f>
        <v>0.41645889382757761</v>
      </c>
      <c r="CK66" s="54" t="e" cm="1">
        <f t="array" ref="CK66">IF($CK$3,INDEX(Eu_tabel_g[[#This Row],[Styrke venstre]:[Styrke tosidet]],CK$7),NA())</f>
        <v>#N/A</v>
      </c>
      <c r="CL66" s="99" t="e">
        <f>Eu_tabel_g[[#This Row],[Falsk positiv
Nulhypotese accepteres
Fejltype 1]]</f>
        <v>#N/A</v>
      </c>
      <c r="CM66" s="99" t="e">
        <f>IF(CHOOSE(CK$7,Eu_tabel_g[[#This Row],[x base]]&gt;0,Eu_tabel_g[[#This Row],[x base]]&lt;0,Eu_tabel_g[[#This Row],[x base]]=0),Eu_tabel_g[[#This Row],[Styrke, aktiv]],NA())</f>
        <v>#N/A</v>
      </c>
      <c r="CN66" s="99" t="e">
        <f>IFERROR(IF($CK$3,Eu_tabel_g[[#This Row],[Styrke, aktiv]],NA()),NA())</f>
        <v>#N/A</v>
      </c>
      <c r="CO66" s="99" t="e">
        <f>IF(ISNA(Eu_tabel_g[[#This Row],[Sand negativ
Nulhypotese afvises
Korrekt]]),NA(),IF($CK$3,1,NA()))</f>
        <v>#N/A</v>
      </c>
      <c r="CP66" s="56" t="str" cm="1">
        <f t="array" ref="CP66">_xlfn.SWITCH(BS66,_xlfn.IFNA(CN$2,-99),CN$5,_xlfn.IFNA(CN$3,-99),CN$6,_xlfn.IFNA(CN$4,-99),CN$7,"")</f>
        <v/>
      </c>
      <c r="CT66" s="7">
        <f t="shared" si="50"/>
        <v>0.8</v>
      </c>
      <c r="CU66">
        <f>IF(ROW(Styrkeberegning_G[[#This Row],[X base venstre]])=ROW(Styrkeberegning_G[[#Headers],[X base venstre]])+1,CU$7/(CT$7/$B$67),CU65/(CT65/$B$67))</f>
        <v>-2.8015817870135784</v>
      </c>
      <c r="CV66">
        <f>Styrkeberegning_G[[#This Row],[X base venstre]]*-1</f>
        <v>2.8015817870135784</v>
      </c>
      <c r="DG66" s="54">
        <f t="shared" si="51"/>
        <v>56</v>
      </c>
      <c r="DH66" s="54">
        <f t="shared" si="52"/>
        <v>57</v>
      </c>
      <c r="DI66" s="54">
        <f t="shared" si="53"/>
        <v>8.2218206240057459</v>
      </c>
      <c r="DJ66" s="54" t="e">
        <f t="shared" si="54"/>
        <v>#N/A</v>
      </c>
      <c r="DK66" s="54" t="e">
        <f t="shared" si="55"/>
        <v>#N/A</v>
      </c>
      <c r="DL66" s="54">
        <f t="shared" si="56"/>
        <v>9.0675212499950975E-2</v>
      </c>
      <c r="DM66" s="54" t="e">
        <f t="shared" si="57"/>
        <v>#N/A</v>
      </c>
      <c r="DN66" s="54" t="b">
        <f t="shared" si="58"/>
        <v>0</v>
      </c>
      <c r="DO66" s="54" t="b">
        <f t="shared" si="59"/>
        <v>1</v>
      </c>
      <c r="DP66" s="54" t="b">
        <f t="shared" si="60"/>
        <v>0</v>
      </c>
      <c r="DQ66" s="54" t="b">
        <f t="shared" si="61"/>
        <v>1</v>
      </c>
      <c r="DR66" s="54">
        <f t="shared" si="62"/>
        <v>9.0675212499950975E-2</v>
      </c>
      <c r="DS66" s="54" t="e">
        <f t="shared" si="63"/>
        <v>#N/A</v>
      </c>
      <c r="DT66" s="54">
        <f t="shared" si="64"/>
        <v>9.0675212499950975E-2</v>
      </c>
      <c r="DU66" s="72" t="str">
        <f t="shared" si="65"/>
        <v/>
      </c>
      <c r="DZ66" s="54">
        <f t="shared" si="66"/>
        <v>56</v>
      </c>
      <c r="EA66" s="54">
        <f t="shared" si="67"/>
        <v>57</v>
      </c>
      <c r="EB66" s="54">
        <f t="shared" si="68"/>
        <v>-1.7487361112422508</v>
      </c>
      <c r="EC66" s="54">
        <f t="shared" si="69"/>
        <v>8.6468289590491687E-2</v>
      </c>
      <c r="ED66" s="54" t="e">
        <f t="shared" si="70"/>
        <v>#N/A</v>
      </c>
      <c r="EE66" s="54" t="e">
        <f t="shared" si="71"/>
        <v>#N/A</v>
      </c>
      <c r="EF66" s="54" t="e">
        <f t="shared" si="72"/>
        <v>#N/A</v>
      </c>
      <c r="EG66" s="54" t="b">
        <f t="shared" si="73"/>
        <v>0</v>
      </c>
      <c r="EH66" s="54" t="b">
        <f t="shared" si="74"/>
        <v>1</v>
      </c>
      <c r="EI66" s="54" t="b">
        <f t="shared" si="75"/>
        <v>0</v>
      </c>
      <c r="EJ66" s="54" t="b">
        <f t="shared" si="76"/>
        <v>1</v>
      </c>
      <c r="EK66" s="54">
        <f t="shared" si="77"/>
        <v>8.6468289590491687E-2</v>
      </c>
      <c r="EL66" s="54" t="e">
        <f t="shared" si="78"/>
        <v>#N/A</v>
      </c>
      <c r="EM66" s="54">
        <f t="shared" si="79"/>
        <v>8.6468289590491687E-2</v>
      </c>
      <c r="EN66" s="72" t="str">
        <f t="shared" si="80"/>
        <v/>
      </c>
      <c r="EO6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6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6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66" s="54" t="e" cm="1">
        <f t="array" ref="ER66">IF($CK$3,INDEX(Eu_tabel_a[[#This Row],[Styrke venstre]:[Styrke tosidet]],ER$7),NA())</f>
        <v>#N/A</v>
      </c>
      <c r="ES66" s="54" t="e">
        <f>IF(ER$3,IF(CHOOSE(ER$7,Eu_tabel_a[[#This Row],[x base]]&gt;0,Eu_tabel_a[[#This Row],[x base]]&lt;0,Eu_tabel_a[[#This Row],[x base]]=0),1,NA()),NA())</f>
        <v>#N/A</v>
      </c>
      <c r="ET66" s="54" t="e">
        <f>IF(CHOOSE(ER$7,Eu_tabel_a[[#This Row],[x base]]&gt;0,Eu_tabel_a[[#This Row],[x base]]&lt;0,Eu_tabel_a[[#This Row],[x base]]=0),Eu_tabel_a[[#This Row],[Styrke, aktiv]],NA())</f>
        <v>#N/A</v>
      </c>
      <c r="EU66" s="54" t="e">
        <f>IFERROR(IF($ER$3,Eu_tabel_a[[#This Row],[Styrke, aktiv]],NA()),NA())</f>
        <v>#N/A</v>
      </c>
      <c r="EV66" s="54" t="e">
        <f>IF(ISNA(Eu_tabel_a[[#This Row],[Sand negativ
Nulhypotese afvises
Korrekt]]),NA(),IF(ER$3,1,NA()))</f>
        <v>#N/A</v>
      </c>
      <c r="EW66" s="55" t="str" cm="1">
        <f t="array" ref="EW66">IFERROR(_xlfn.SWITCH(Eu_tabel_a[[#This Row],[Indeks]],_xlfn.IFNA(EU$2,-99),EU$5,_xlfn.IFNA(EU$3,-99),EU$6,_xlfn.IFNA(EU$4,-99),EU$7,""),"")</f>
        <v/>
      </c>
      <c r="EX66" s="54">
        <f>Eu_tabel_a[[#This Row],[x base]]*SQRT(Eu_a_h0_x*(1-Eu_a_h0_x)/Eu_a_n_x)+Eu_a_h0_x</f>
        <v>0</v>
      </c>
      <c r="FC66" s="161" t="e">
        <f t="shared" si="18"/>
        <v>#N/A</v>
      </c>
      <c r="FD66" s="169" t="e">
        <f t="shared" si="121"/>
        <v>#DIV/0!</v>
      </c>
      <c r="FE66" s="7" t="e">
        <f t="shared" si="12"/>
        <v>#DIV/0!</v>
      </c>
      <c r="FF66" t="e">
        <f t="shared" si="122"/>
        <v>#DIV/0!</v>
      </c>
      <c r="FG66" s="8" t="e">
        <f t="shared" si="123"/>
        <v>#DIV/0!</v>
      </c>
      <c r="FH66" s="8" t="e">
        <f t="shared" si="124"/>
        <v>#DIV/0!</v>
      </c>
      <c r="FI66" s="168" t="e">
        <f t="shared" si="125"/>
        <v>#DIV/0!</v>
      </c>
      <c r="FJ66" s="161" t="e">
        <f t="shared" ca="1" si="13"/>
        <v>#N/A</v>
      </c>
      <c r="FK66" s="169" t="e" vm="3">
        <f t="shared" ca="1" si="19"/>
        <v>#VALUE!</v>
      </c>
      <c r="FL66" s="7" t="e" vm="3">
        <f t="shared" ca="1" si="14"/>
        <v>#VALUE!</v>
      </c>
      <c r="FM66" t="e" vm="3">
        <f t="shared" ca="1" si="8"/>
        <v>#VALUE!</v>
      </c>
      <c r="FN66" s="8" t="e" vm="3">
        <f t="shared" ca="1" si="9"/>
        <v>#VALUE!</v>
      </c>
      <c r="FO66" s="8" t="e" vm="3">
        <f t="shared" ca="1" si="10"/>
        <v>#VALUE!</v>
      </c>
      <c r="FP66" s="168" t="e" vm="3">
        <f t="shared" ca="1" si="11"/>
        <v>#VALUE!</v>
      </c>
      <c r="FQ66" s="161" t="e">
        <f t="shared" si="15"/>
        <v>#N/A</v>
      </c>
      <c r="FR66" s="169" t="e">
        <f t="shared" si="20"/>
        <v>#N/A</v>
      </c>
      <c r="FS66" s="7" t="e">
        <f t="shared" si="16"/>
        <v>#N/A</v>
      </c>
      <c r="FT66" t="e">
        <f t="shared" si="21"/>
        <v>#N/A</v>
      </c>
      <c r="FU66" s="8" t="e">
        <f t="shared" si="22"/>
        <v>#N/A</v>
      </c>
      <c r="FV66" s="8" t="e">
        <f t="shared" si="23"/>
        <v>#N/A</v>
      </c>
      <c r="FW66" s="168" t="e">
        <f t="shared" si="24"/>
        <v>#N/A</v>
      </c>
      <c r="FX66" s="161" t="e">
        <f t="shared" si="25"/>
        <v>#N/A</v>
      </c>
      <c r="FY66" s="169" t="e">
        <f t="shared" si="26"/>
        <v>#N/A</v>
      </c>
      <c r="FZ66" s="7" t="e">
        <f t="shared" si="17"/>
        <v>#N/A</v>
      </c>
      <c r="GA66" t="e">
        <f t="shared" si="27"/>
        <v>#N/A</v>
      </c>
      <c r="GB66" s="8" t="e">
        <f t="shared" si="28"/>
        <v>#N/A</v>
      </c>
      <c r="GC66" s="8" t="e">
        <f t="shared" si="29"/>
        <v>#N/A</v>
      </c>
      <c r="GD66" s="168" t="e">
        <f t="shared" si="30"/>
        <v>#N/A</v>
      </c>
      <c r="GE66" s="168"/>
      <c r="GF66" s="168"/>
      <c r="GI66" s="54">
        <f t="shared" si="81"/>
        <v>56</v>
      </c>
      <c r="GJ66" s="54">
        <f t="shared" si="82"/>
        <v>57</v>
      </c>
      <c r="GK66" s="54">
        <f t="shared" si="83"/>
        <v>-1.7487361112422508</v>
      </c>
      <c r="GL66" s="54">
        <f t="shared" si="84"/>
        <v>8.6468289590491687E-2</v>
      </c>
      <c r="GM66" s="54" t="e">
        <f t="shared" si="85"/>
        <v>#N/A</v>
      </c>
      <c r="GN66" s="54" t="e">
        <f t="shared" si="86"/>
        <v>#N/A</v>
      </c>
      <c r="GO66" s="54" t="e">
        <f t="shared" si="87"/>
        <v>#N/A</v>
      </c>
      <c r="GP66" s="54" t="b">
        <f t="shared" si="88"/>
        <v>0</v>
      </c>
      <c r="GQ66" s="54" t="b">
        <f t="shared" si="89"/>
        <v>1</v>
      </c>
      <c r="GR66" s="54" t="b">
        <f t="shared" si="90"/>
        <v>0</v>
      </c>
      <c r="GS66" s="54" t="b">
        <f t="shared" si="91"/>
        <v>1</v>
      </c>
      <c r="GT66" s="54">
        <f t="shared" si="92"/>
        <v>8.6468289590491687E-2</v>
      </c>
      <c r="GU66" s="54" t="e">
        <f t="shared" si="93"/>
        <v>#N/A</v>
      </c>
      <c r="GV66" s="54">
        <f t="shared" si="94"/>
        <v>8.6468289590491687E-2</v>
      </c>
      <c r="GW66" s="72" t="str">
        <f t="shared" si="95"/>
        <v/>
      </c>
      <c r="HC66" s="54">
        <f t="shared" si="96"/>
        <v>56</v>
      </c>
      <c r="HD66" s="54">
        <f t="shared" si="97"/>
        <v>57</v>
      </c>
      <c r="HE66" s="54">
        <f t="shared" si="98"/>
        <v>-2.7079545960511497</v>
      </c>
      <c r="HF66" s="54" t="e">
        <f t="shared" si="99"/>
        <v>#N/A</v>
      </c>
      <c r="HG66" s="54">
        <f t="shared" si="100"/>
        <v>2.1902447557375637E-2</v>
      </c>
      <c r="HH66" s="54" t="e">
        <f t="shared" si="101"/>
        <v>#N/A</v>
      </c>
      <c r="HI66" s="54" t="e">
        <f t="shared" si="102"/>
        <v>#N/A</v>
      </c>
      <c r="HJ66" s="54" t="b">
        <f t="shared" si="103"/>
        <v>1</v>
      </c>
      <c r="HK66" s="54" t="b">
        <f t="shared" si="104"/>
        <v>0</v>
      </c>
      <c r="HL66" s="54" t="b">
        <f t="shared" si="105"/>
        <v>1</v>
      </c>
      <c r="HM66" s="54" t="b">
        <f t="shared" si="106"/>
        <v>0</v>
      </c>
      <c r="HN66" s="54">
        <f t="shared" si="107"/>
        <v>2.1902447557375637E-2</v>
      </c>
      <c r="HO66" s="54">
        <f t="shared" si="108"/>
        <v>2.1902447557375637E-2</v>
      </c>
      <c r="HP66" s="54" t="e">
        <f t="shared" si="109"/>
        <v>#N/A</v>
      </c>
      <c r="HQ66" s="72" t="str">
        <f t="shared" si="110"/>
        <v/>
      </c>
    </row>
    <row r="67" spans="1:225" x14ac:dyDescent="0.2">
      <c r="A67" s="58" t="s">
        <v>501</v>
      </c>
      <c r="B67" s="78">
        <v>0.8</v>
      </c>
      <c r="C67" s="160" t="e">
        <f>IF(CK7=3,_xlfn.NORM.DIST(_xlfn.NORM.INV((1-Eu_g_konfidensniveau)/2,0,1)-CX3,0,1,TRUE)+1-_xlfn.NORM.DIST(_xlfn.NORM.INV(1-(1-Eu_g_konfidensniveau)/2,0,1)-CX3,0,1,TRUE),1-_xlfn.NORM.DIST(_xlfn.NORM.INV(Eu_g_konfidensniveau,0,1)-CX3,0,1,TRUE))</f>
        <v>#N/A</v>
      </c>
      <c r="O67" s="58" t="s">
        <v>501</v>
      </c>
      <c r="P67" s="78">
        <v>0.99</v>
      </c>
      <c r="Q67" s="160"/>
      <c r="BS67" s="54">
        <f t="shared" si="36"/>
        <v>57</v>
      </c>
      <c r="BT67" s="54">
        <f>Eu_tabel_g[[#This Row],[Indeks]]+1</f>
        <v>58</v>
      </c>
      <c r="BU67" s="54">
        <f t="shared" si="37"/>
        <v>-1.7247808220471517</v>
      </c>
      <c r="BV67" s="54">
        <f t="shared" si="38"/>
        <v>9.014164835694867E-2</v>
      </c>
      <c r="BW67" s="54" t="e">
        <f t="shared" si="39"/>
        <v>#N/A</v>
      </c>
      <c r="BX67" s="54" t="e">
        <f t="shared" si="40"/>
        <v>#N/A</v>
      </c>
      <c r="BY67" s="54" t="e">
        <f t="shared" si="41"/>
        <v>#N/A</v>
      </c>
      <c r="BZ67" s="54" t="b">
        <f t="shared" si="42"/>
        <v>0</v>
      </c>
      <c r="CA67" s="54" t="b">
        <f t="shared" si="43"/>
        <v>1</v>
      </c>
      <c r="CB67" s="54" t="b">
        <f t="shared" si="44"/>
        <v>0</v>
      </c>
      <c r="CC67" s="54" t="b">
        <f t="shared" si="45"/>
        <v>1</v>
      </c>
      <c r="CD67" s="54">
        <f t="shared" si="135"/>
        <v>9.014164835694867E-2</v>
      </c>
      <c r="CE67" s="54" t="e">
        <f t="shared" si="47"/>
        <v>#N/A</v>
      </c>
      <c r="CF67" s="54">
        <f t="shared" si="48"/>
        <v>9.014164835694867E-2</v>
      </c>
      <c r="CG67" s="72" t="str">
        <f t="shared" si="49"/>
        <v/>
      </c>
      <c r="CH67" s="54">
        <f>_xlfn.NORM.DIST(_xlfn.NORM.INV(1-Eu_g_konfidensniveau,0,1)-Eu_tabel_g[[#This Row],[x base]],0,1,TRUE)</f>
        <v>0.5318524197704475</v>
      </c>
      <c r="CI67" s="54">
        <f>1-_xlfn.NORM.DIST(_xlfn.NORM.INV(Eu_g_konfidensniveau,0,1)-Eu_tabel_g[[#This Row],[x base]],0,1,TRUE)</f>
        <v>3.7633980985574134E-4</v>
      </c>
      <c r="CJ67" s="54">
        <f>_xlfn.NORM.DIST(_xlfn.NORM.INV((1-Eu_g_konfidensniveau)/2,0,1)-Eu_tabel_g[[#This Row],[x base]],0,1,TRUE)+1-_xlfn.NORM.DIST(_xlfn.NORM.INV(1-(1-Eu_g_konfidensniveau)/2,0,1)-Eu_tabel_g[[#This Row],[x base]],0,1,TRUE)</f>
        <v>0.40714775290485905</v>
      </c>
      <c r="CK67" s="54" t="e" cm="1">
        <f t="array" ref="CK67">IF($CK$3,INDEX(Eu_tabel_g[[#This Row],[Styrke venstre]:[Styrke tosidet]],CK$7),NA())</f>
        <v>#N/A</v>
      </c>
      <c r="CL67" s="99" t="e">
        <f>Eu_tabel_g[[#This Row],[Falsk positiv
Nulhypotese accepteres
Fejltype 1]]</f>
        <v>#N/A</v>
      </c>
      <c r="CM67" s="99" t="e">
        <f>IF(CHOOSE(CK$7,Eu_tabel_g[[#This Row],[x base]]&gt;0,Eu_tabel_g[[#This Row],[x base]]&lt;0,Eu_tabel_g[[#This Row],[x base]]=0),Eu_tabel_g[[#This Row],[Styrke, aktiv]],NA())</f>
        <v>#N/A</v>
      </c>
      <c r="CN67" s="99" t="e">
        <f>IFERROR(IF($CK$3,Eu_tabel_g[[#This Row],[Styrke, aktiv]],NA()),NA())</f>
        <v>#N/A</v>
      </c>
      <c r="CO67" s="99" t="e">
        <f>IF(ISNA(Eu_tabel_g[[#This Row],[Sand negativ
Nulhypotese afvises
Korrekt]]),NA(),IF($CK$3,1,NA()))</f>
        <v>#N/A</v>
      </c>
      <c r="CP67" s="56" t="str" cm="1">
        <f t="array" ref="CP67">_xlfn.SWITCH(BS67,_xlfn.IFNA(CN$2,-99),CN$5,_xlfn.IFNA(CN$3,-99),CN$6,_xlfn.IFNA(CN$4,-99),CN$7,"")</f>
        <v/>
      </c>
      <c r="CT67" s="7">
        <f t="shared" si="50"/>
        <v>0.8</v>
      </c>
      <c r="CU67">
        <f>IF(ROW(Styrkeberegning_G[[#This Row],[X base venstre]])=ROW(Styrkeberegning_G[[#Headers],[X base venstre]])+1,CU$7/(CT$7/$B$67),CU66/(CT66/$B$67))</f>
        <v>-2.8015817870135784</v>
      </c>
      <c r="CV67">
        <f>Styrkeberegning_G[[#This Row],[X base venstre]]*-1</f>
        <v>2.8015817870135784</v>
      </c>
      <c r="DG67" s="54">
        <f t="shared" si="51"/>
        <v>57</v>
      </c>
      <c r="DH67" s="54">
        <f t="shared" si="52"/>
        <v>58</v>
      </c>
      <c r="DI67" s="54">
        <f t="shared" si="53"/>
        <v>8.3358914804227471</v>
      </c>
      <c r="DJ67" s="54" t="e">
        <f t="shared" si="54"/>
        <v>#N/A</v>
      </c>
      <c r="DK67" s="54" t="e">
        <f t="shared" si="55"/>
        <v>#N/A</v>
      </c>
      <c r="DL67" s="54">
        <f t="shared" si="56"/>
        <v>9.1126912559427717E-2</v>
      </c>
      <c r="DM67" s="54" t="e">
        <f t="shared" si="57"/>
        <v>#N/A</v>
      </c>
      <c r="DN67" s="54" t="b">
        <f t="shared" si="58"/>
        <v>0</v>
      </c>
      <c r="DO67" s="54" t="b">
        <f t="shared" si="59"/>
        <v>1</v>
      </c>
      <c r="DP67" s="54" t="b">
        <f t="shared" si="60"/>
        <v>0</v>
      </c>
      <c r="DQ67" s="54" t="b">
        <f t="shared" si="61"/>
        <v>1</v>
      </c>
      <c r="DR67" s="54">
        <f t="shared" si="62"/>
        <v>9.1126912559427717E-2</v>
      </c>
      <c r="DS67" s="54" t="e">
        <f t="shared" si="63"/>
        <v>#N/A</v>
      </c>
      <c r="DT67" s="54">
        <f t="shared" si="64"/>
        <v>9.1126912559427717E-2</v>
      </c>
      <c r="DU67" s="72" t="str">
        <f t="shared" si="65"/>
        <v/>
      </c>
      <c r="DZ67" s="54">
        <f t="shared" si="66"/>
        <v>57</v>
      </c>
      <c r="EA67" s="54">
        <f t="shared" si="67"/>
        <v>58</v>
      </c>
      <c r="EB67" s="54">
        <f t="shared" si="68"/>
        <v>-1.7247808220471517</v>
      </c>
      <c r="EC67" s="54">
        <f t="shared" si="69"/>
        <v>9.014164835694867E-2</v>
      </c>
      <c r="ED67" s="54" t="e">
        <f t="shared" si="70"/>
        <v>#N/A</v>
      </c>
      <c r="EE67" s="54" t="e">
        <f t="shared" si="71"/>
        <v>#N/A</v>
      </c>
      <c r="EF67" s="54" t="e">
        <f t="shared" si="72"/>
        <v>#N/A</v>
      </c>
      <c r="EG67" s="54" t="b">
        <f t="shared" si="73"/>
        <v>0</v>
      </c>
      <c r="EH67" s="54" t="b">
        <f t="shared" si="74"/>
        <v>1</v>
      </c>
      <c r="EI67" s="54" t="b">
        <f t="shared" si="75"/>
        <v>0</v>
      </c>
      <c r="EJ67" s="54" t="b">
        <f t="shared" si="76"/>
        <v>1</v>
      </c>
      <c r="EK67" s="54">
        <f t="shared" si="77"/>
        <v>9.014164835694867E-2</v>
      </c>
      <c r="EL67" s="54" t="e">
        <f t="shared" si="78"/>
        <v>#N/A</v>
      </c>
      <c r="EM67" s="54">
        <f t="shared" si="79"/>
        <v>9.014164835694867E-2</v>
      </c>
      <c r="EN67" s="72" t="str">
        <f t="shared" si="80"/>
        <v/>
      </c>
      <c r="EO6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6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6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67" s="54" t="e" cm="1">
        <f t="array" ref="ER67">IF($CK$3,INDEX(Eu_tabel_a[[#This Row],[Styrke venstre]:[Styrke tosidet]],ER$7),NA())</f>
        <v>#N/A</v>
      </c>
      <c r="ES67" s="54" t="e">
        <f>IF(ER$3,IF(CHOOSE(ER$7,Eu_tabel_a[[#This Row],[x base]]&gt;0,Eu_tabel_a[[#This Row],[x base]]&lt;0,Eu_tabel_a[[#This Row],[x base]]=0),1,NA()),NA())</f>
        <v>#N/A</v>
      </c>
      <c r="ET67" s="54" t="e">
        <f>IF(CHOOSE(ER$7,Eu_tabel_a[[#This Row],[x base]]&gt;0,Eu_tabel_a[[#This Row],[x base]]&lt;0,Eu_tabel_a[[#This Row],[x base]]=0),Eu_tabel_a[[#This Row],[Styrke, aktiv]],NA())</f>
        <v>#N/A</v>
      </c>
      <c r="EU67" s="54" t="e">
        <f>IFERROR(IF($ER$3,Eu_tabel_a[[#This Row],[Styrke, aktiv]],NA()),NA())</f>
        <v>#N/A</v>
      </c>
      <c r="EV67" s="54" t="e">
        <f>IF(ISNA(Eu_tabel_a[[#This Row],[Sand negativ
Nulhypotese afvises
Korrekt]]),NA(),IF(ER$3,1,NA()))</f>
        <v>#N/A</v>
      </c>
      <c r="EW67" s="55" t="str" cm="1">
        <f t="array" ref="EW67">IFERROR(_xlfn.SWITCH(Eu_tabel_a[[#This Row],[Indeks]],_xlfn.IFNA(EU$2,-99),EU$5,_xlfn.IFNA(EU$3,-99),EU$6,_xlfn.IFNA(EU$4,-99),EU$7,""),"")</f>
        <v/>
      </c>
      <c r="EX67" s="54">
        <f>Eu_tabel_a[[#This Row],[x base]]*SQRT(Eu_a_h0_x*(1-Eu_a_h0_x)/Eu_a_n_x)+Eu_a_h0_x</f>
        <v>0</v>
      </c>
      <c r="FC67" s="161" t="e">
        <f t="shared" si="18"/>
        <v>#N/A</v>
      </c>
      <c r="FD67" s="169" t="e">
        <f t="shared" si="121"/>
        <v>#DIV/0!</v>
      </c>
      <c r="FE67" s="7" t="e">
        <f t="shared" si="12"/>
        <v>#DIV/0!</v>
      </c>
      <c r="FF67" t="e">
        <f t="shared" si="122"/>
        <v>#DIV/0!</v>
      </c>
      <c r="FG67" s="8" t="e">
        <f t="shared" si="123"/>
        <v>#DIV/0!</v>
      </c>
      <c r="FH67" s="8" t="e">
        <f t="shared" si="124"/>
        <v>#DIV/0!</v>
      </c>
      <c r="FI67" s="168" t="e">
        <f t="shared" si="125"/>
        <v>#DIV/0!</v>
      </c>
      <c r="FJ67" s="161" t="e">
        <f t="shared" ca="1" si="13"/>
        <v>#N/A</v>
      </c>
      <c r="FK67" s="169" t="e" vm="3">
        <f t="shared" ca="1" si="19"/>
        <v>#VALUE!</v>
      </c>
      <c r="FL67" s="7" t="e" vm="3">
        <f t="shared" ca="1" si="14"/>
        <v>#VALUE!</v>
      </c>
      <c r="FM67" t="e" vm="3">
        <f t="shared" ca="1" si="8"/>
        <v>#VALUE!</v>
      </c>
      <c r="FN67" s="8" t="e" vm="3">
        <f t="shared" ca="1" si="9"/>
        <v>#VALUE!</v>
      </c>
      <c r="FO67" s="8" t="e" vm="3">
        <f t="shared" ca="1" si="10"/>
        <v>#VALUE!</v>
      </c>
      <c r="FP67" s="168" t="e" vm="3">
        <f t="shared" ca="1" si="11"/>
        <v>#VALUE!</v>
      </c>
      <c r="FQ67" s="161" t="e">
        <f t="shared" si="15"/>
        <v>#N/A</v>
      </c>
      <c r="FR67" s="169" t="e">
        <f t="shared" si="20"/>
        <v>#N/A</v>
      </c>
      <c r="FS67" s="7" t="e">
        <f t="shared" si="16"/>
        <v>#N/A</v>
      </c>
      <c r="FT67" t="e">
        <f t="shared" si="21"/>
        <v>#N/A</v>
      </c>
      <c r="FU67" s="8" t="e">
        <f t="shared" si="22"/>
        <v>#N/A</v>
      </c>
      <c r="FV67" s="8" t="e">
        <f t="shared" si="23"/>
        <v>#N/A</v>
      </c>
      <c r="FW67" s="168" t="e">
        <f t="shared" si="24"/>
        <v>#N/A</v>
      </c>
      <c r="FX67" s="161" t="e">
        <f t="shared" si="25"/>
        <v>#N/A</v>
      </c>
      <c r="FY67" s="169" t="e">
        <f t="shared" si="26"/>
        <v>#N/A</v>
      </c>
      <c r="FZ67" s="7" t="e">
        <f t="shared" si="17"/>
        <v>#N/A</v>
      </c>
      <c r="GA67" t="e">
        <f t="shared" si="27"/>
        <v>#N/A</v>
      </c>
      <c r="GB67" s="8" t="e">
        <f t="shared" si="28"/>
        <v>#N/A</v>
      </c>
      <c r="GC67" s="8" t="e">
        <f t="shared" si="29"/>
        <v>#N/A</v>
      </c>
      <c r="GD67" s="168" t="e">
        <f t="shared" si="30"/>
        <v>#N/A</v>
      </c>
      <c r="GE67" s="168"/>
      <c r="GF67" s="168"/>
      <c r="GI67" s="54">
        <f t="shared" si="81"/>
        <v>57</v>
      </c>
      <c r="GJ67" s="54">
        <f t="shared" si="82"/>
        <v>58</v>
      </c>
      <c r="GK67" s="54">
        <f t="shared" si="83"/>
        <v>-1.7247808220471517</v>
      </c>
      <c r="GL67" s="54">
        <f t="shared" si="84"/>
        <v>9.014164835694867E-2</v>
      </c>
      <c r="GM67" s="54" t="e">
        <f t="shared" si="85"/>
        <v>#N/A</v>
      </c>
      <c r="GN67" s="54" t="e">
        <f t="shared" si="86"/>
        <v>#N/A</v>
      </c>
      <c r="GO67" s="54" t="e">
        <f t="shared" si="87"/>
        <v>#N/A</v>
      </c>
      <c r="GP67" s="54" t="b">
        <f t="shared" si="88"/>
        <v>0</v>
      </c>
      <c r="GQ67" s="54" t="b">
        <f t="shared" si="89"/>
        <v>1</v>
      </c>
      <c r="GR67" s="54" t="b">
        <f t="shared" si="90"/>
        <v>0</v>
      </c>
      <c r="GS67" s="54" t="b">
        <f t="shared" si="91"/>
        <v>1</v>
      </c>
      <c r="GT67" s="54">
        <f t="shared" si="92"/>
        <v>9.014164835694867E-2</v>
      </c>
      <c r="GU67" s="54" t="e">
        <f t="shared" si="93"/>
        <v>#N/A</v>
      </c>
      <c r="GV67" s="54">
        <f t="shared" si="94"/>
        <v>9.014164835694867E-2</v>
      </c>
      <c r="GW67" s="72" t="str">
        <f t="shared" si="95"/>
        <v/>
      </c>
      <c r="HC67" s="54">
        <f t="shared" si="96"/>
        <v>57</v>
      </c>
      <c r="HD67" s="54">
        <f t="shared" si="97"/>
        <v>58</v>
      </c>
      <c r="HE67" s="54">
        <f t="shared" si="98"/>
        <v>-2.6708593276120927</v>
      </c>
      <c r="HF67" s="54" t="e">
        <f t="shared" si="99"/>
        <v>#N/A</v>
      </c>
      <c r="HG67" s="54">
        <f t="shared" si="100"/>
        <v>2.3165711177825694E-2</v>
      </c>
      <c r="HH67" s="54" t="e">
        <f t="shared" si="101"/>
        <v>#N/A</v>
      </c>
      <c r="HI67" s="54" t="e">
        <f t="shared" si="102"/>
        <v>#N/A</v>
      </c>
      <c r="HJ67" s="54" t="b">
        <f t="shared" si="103"/>
        <v>1</v>
      </c>
      <c r="HK67" s="54" t="b">
        <f t="shared" si="104"/>
        <v>0</v>
      </c>
      <c r="HL67" s="54" t="b">
        <f t="shared" si="105"/>
        <v>1</v>
      </c>
      <c r="HM67" s="54" t="b">
        <f t="shared" si="106"/>
        <v>0</v>
      </c>
      <c r="HN67" s="54">
        <f t="shared" si="107"/>
        <v>2.3165711177825694E-2</v>
      </c>
      <c r="HO67" s="54">
        <f t="shared" si="108"/>
        <v>2.3165711177825694E-2</v>
      </c>
      <c r="HP67" s="54" t="e">
        <f t="shared" si="109"/>
        <v>#N/A</v>
      </c>
      <c r="HQ67" s="72" t="str">
        <f t="shared" si="110"/>
        <v/>
      </c>
    </row>
    <row r="68" spans="1:225" x14ac:dyDescent="0.2">
      <c r="A68" s="58" t="s">
        <v>430</v>
      </c>
      <c r="B68" s="77">
        <v>1</v>
      </c>
      <c r="C68" s="103" t="e" cm="1">
        <f t="array" ref="C68">ABS(INDEX(CU$3:CV$5,CK7,IF(CK7=3,2,CK7))*CL7/SQRT(B69))</f>
        <v>#N/A</v>
      </c>
      <c r="O68" s="58" t="s">
        <v>541</v>
      </c>
      <c r="P68" s="78">
        <v>-0.01</v>
      </c>
      <c r="Q68" s="160" t="e">
        <f>EU5-Eu_a_h0_x</f>
        <v>#N/A</v>
      </c>
      <c r="BS68" s="54">
        <f t="shared" si="36"/>
        <v>58</v>
      </c>
      <c r="BT68" s="54">
        <f>Eu_tabel_g[[#This Row],[Indeks]]+1</f>
        <v>59</v>
      </c>
      <c r="BU68" s="54">
        <f t="shared" si="37"/>
        <v>-1.7008255328520523</v>
      </c>
      <c r="BV68" s="54">
        <f t="shared" si="38"/>
        <v>9.3917148922940161E-2</v>
      </c>
      <c r="BW68" s="54" t="e">
        <f t="shared" si="39"/>
        <v>#N/A</v>
      </c>
      <c r="BX68" s="54" t="e">
        <f t="shared" si="40"/>
        <v>#N/A</v>
      </c>
      <c r="BY68" s="54" t="e">
        <f t="shared" si="41"/>
        <v>#N/A</v>
      </c>
      <c r="BZ68" s="54" t="b">
        <f t="shared" si="42"/>
        <v>0</v>
      </c>
      <c r="CA68" s="54" t="b">
        <f t="shared" si="43"/>
        <v>1</v>
      </c>
      <c r="CB68" s="54" t="b">
        <f t="shared" si="44"/>
        <v>0</v>
      </c>
      <c r="CC68" s="54" t="b">
        <f t="shared" si="45"/>
        <v>1</v>
      </c>
      <c r="CD68" s="54">
        <f t="shared" si="135"/>
        <v>9.3917148922940161E-2</v>
      </c>
      <c r="CE68" s="54" t="e">
        <f t="shared" si="47"/>
        <v>#N/A</v>
      </c>
      <c r="CF68" s="54">
        <f t="shared" si="48"/>
        <v>9.3917148922940161E-2</v>
      </c>
      <c r="CG68" s="72" t="str">
        <f t="shared" si="49"/>
        <v/>
      </c>
      <c r="CH68" s="54">
        <f>_xlfn.NORM.DIST(_xlfn.NORM.INV(1-Eu_g_konfidensniveau,0,1)-Eu_tabel_g[[#This Row],[x base]],0,1,TRUE)</f>
        <v>0.52231790604596395</v>
      </c>
      <c r="CI68" s="54">
        <f>1-_xlfn.NORM.DIST(_xlfn.NORM.INV(Eu_g_konfidensniveau,0,1)-Eu_tabel_g[[#This Row],[x base]],0,1,TRUE)</f>
        <v>4.1040656259572206E-4</v>
      </c>
      <c r="CJ68" s="54">
        <f>_xlfn.NORM.DIST(_xlfn.NORM.INV((1-Eu_g_konfidensniveau)/2,0,1)-Eu_tabel_g[[#This Row],[x base]],0,1,TRUE)+1-_xlfn.NORM.DIST(_xlfn.NORM.INV(1-(1-Eu_g_konfidensniveau)/2,0,1)-Eu_tabel_g[[#This Row],[x base]],0,1,TRUE)</f>
        <v>0.39788992846045124</v>
      </c>
      <c r="CK68" s="54" t="e" cm="1">
        <f t="array" ref="CK68">IF($CK$3,INDEX(Eu_tabel_g[[#This Row],[Styrke venstre]:[Styrke tosidet]],CK$7),NA())</f>
        <v>#N/A</v>
      </c>
      <c r="CL68" s="99" t="e">
        <f>Eu_tabel_g[[#This Row],[Falsk positiv
Nulhypotese accepteres
Fejltype 1]]</f>
        <v>#N/A</v>
      </c>
      <c r="CM68" s="99" t="e">
        <f>IF(CHOOSE(CK$7,Eu_tabel_g[[#This Row],[x base]]&gt;0,Eu_tabel_g[[#This Row],[x base]]&lt;0,Eu_tabel_g[[#This Row],[x base]]=0),Eu_tabel_g[[#This Row],[Styrke, aktiv]],NA())</f>
        <v>#N/A</v>
      </c>
      <c r="CN68" s="99" t="e">
        <f>IFERROR(IF($CK$3,Eu_tabel_g[[#This Row],[Styrke, aktiv]],NA()),NA())</f>
        <v>#N/A</v>
      </c>
      <c r="CO68" s="99" t="e">
        <f>IF(ISNA(Eu_tabel_g[[#This Row],[Sand negativ
Nulhypotese afvises
Korrekt]]),NA(),IF($CK$3,1,NA()))</f>
        <v>#N/A</v>
      </c>
      <c r="CP68" s="56" t="str" cm="1">
        <f t="array" ref="CP68">_xlfn.SWITCH(BS68,_xlfn.IFNA(CN$2,-99),CN$5,_xlfn.IFNA(CN$3,-99),CN$6,_xlfn.IFNA(CN$4,-99),CN$7,"")</f>
        <v/>
      </c>
      <c r="CT68" s="7">
        <f t="shared" si="50"/>
        <v>0.8</v>
      </c>
      <c r="CU68">
        <f>IF(ROW(Styrkeberegning_G[[#This Row],[X base venstre]])=ROW(Styrkeberegning_G[[#Headers],[X base venstre]])+1,CU$7/(CT$7/$B$67),CU67/(CT67/$B$67))</f>
        <v>-2.8015817870135784</v>
      </c>
      <c r="CV68">
        <f>Styrkeberegning_G[[#This Row],[X base venstre]]*-1</f>
        <v>2.8015817870135784</v>
      </c>
      <c r="DG68" s="54">
        <f t="shared" si="51"/>
        <v>58</v>
      </c>
      <c r="DH68" s="54">
        <f t="shared" si="52"/>
        <v>59</v>
      </c>
      <c r="DI68" s="54">
        <f t="shared" si="53"/>
        <v>8.4499623368397483</v>
      </c>
      <c r="DJ68" s="54" t="e">
        <f t="shared" si="54"/>
        <v>#N/A</v>
      </c>
      <c r="DK68" s="54" t="e">
        <f t="shared" si="55"/>
        <v>#N/A</v>
      </c>
      <c r="DL68" s="54">
        <f t="shared" si="56"/>
        <v>9.1503715560512691E-2</v>
      </c>
      <c r="DM68" s="54" t="e">
        <f t="shared" si="57"/>
        <v>#N/A</v>
      </c>
      <c r="DN68" s="54" t="b">
        <f t="shared" si="58"/>
        <v>0</v>
      </c>
      <c r="DO68" s="54" t="b">
        <f t="shared" si="59"/>
        <v>1</v>
      </c>
      <c r="DP68" s="54" t="b">
        <f t="shared" si="60"/>
        <v>0</v>
      </c>
      <c r="DQ68" s="54" t="b">
        <f t="shared" si="61"/>
        <v>1</v>
      </c>
      <c r="DR68" s="54">
        <f t="shared" si="62"/>
        <v>9.1503715560512691E-2</v>
      </c>
      <c r="DS68" s="54" t="e">
        <f t="shared" si="63"/>
        <v>#N/A</v>
      </c>
      <c r="DT68" s="54">
        <f t="shared" si="64"/>
        <v>9.1503715560512691E-2</v>
      </c>
      <c r="DU68" s="72" t="str">
        <f t="shared" si="65"/>
        <v/>
      </c>
      <c r="DZ68" s="54">
        <f t="shared" si="66"/>
        <v>58</v>
      </c>
      <c r="EA68" s="54">
        <f t="shared" si="67"/>
        <v>59</v>
      </c>
      <c r="EB68" s="54">
        <f t="shared" si="68"/>
        <v>-1.7008255328520523</v>
      </c>
      <c r="EC68" s="54">
        <f t="shared" si="69"/>
        <v>9.3917148922940161E-2</v>
      </c>
      <c r="ED68" s="54" t="e">
        <f t="shared" si="70"/>
        <v>#N/A</v>
      </c>
      <c r="EE68" s="54" t="e">
        <f t="shared" si="71"/>
        <v>#N/A</v>
      </c>
      <c r="EF68" s="54" t="e">
        <f t="shared" si="72"/>
        <v>#N/A</v>
      </c>
      <c r="EG68" s="54" t="b">
        <f t="shared" si="73"/>
        <v>0</v>
      </c>
      <c r="EH68" s="54" t="b">
        <f t="shared" si="74"/>
        <v>1</v>
      </c>
      <c r="EI68" s="54" t="b">
        <f t="shared" si="75"/>
        <v>0</v>
      </c>
      <c r="EJ68" s="54" t="b">
        <f t="shared" si="76"/>
        <v>1</v>
      </c>
      <c r="EK68" s="54">
        <f t="shared" si="77"/>
        <v>9.3917148922940161E-2</v>
      </c>
      <c r="EL68" s="54" t="e">
        <f t="shared" si="78"/>
        <v>#N/A</v>
      </c>
      <c r="EM68" s="54">
        <f t="shared" si="79"/>
        <v>9.3917148922940161E-2</v>
      </c>
      <c r="EN68" s="72" t="str">
        <f t="shared" si="80"/>
        <v/>
      </c>
      <c r="EO6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6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6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68" s="54" t="e" cm="1">
        <f t="array" ref="ER68">IF($CK$3,INDEX(Eu_tabel_a[[#This Row],[Styrke venstre]:[Styrke tosidet]],ER$7),NA())</f>
        <v>#N/A</v>
      </c>
      <c r="ES68" s="54" t="e">
        <f>IF(ER$3,IF(CHOOSE(ER$7,Eu_tabel_a[[#This Row],[x base]]&gt;0,Eu_tabel_a[[#This Row],[x base]]&lt;0,Eu_tabel_a[[#This Row],[x base]]=0),1,NA()),NA())</f>
        <v>#N/A</v>
      </c>
      <c r="ET68" s="54" t="e">
        <f>IF(CHOOSE(ER$7,Eu_tabel_a[[#This Row],[x base]]&gt;0,Eu_tabel_a[[#This Row],[x base]]&lt;0,Eu_tabel_a[[#This Row],[x base]]=0),Eu_tabel_a[[#This Row],[Styrke, aktiv]],NA())</f>
        <v>#N/A</v>
      </c>
      <c r="EU68" s="54" t="e">
        <f>IFERROR(IF($ER$3,Eu_tabel_a[[#This Row],[Styrke, aktiv]],NA()),NA())</f>
        <v>#N/A</v>
      </c>
      <c r="EV68" s="54" t="e">
        <f>IF(ISNA(Eu_tabel_a[[#This Row],[Sand negativ
Nulhypotese afvises
Korrekt]]),NA(),IF(ER$3,1,NA()))</f>
        <v>#N/A</v>
      </c>
      <c r="EW68" s="55" t="str" cm="1">
        <f t="array" ref="EW68">IFERROR(_xlfn.SWITCH(Eu_tabel_a[[#This Row],[Indeks]],_xlfn.IFNA(EU$2,-99),EU$5,_xlfn.IFNA(EU$3,-99),EU$6,_xlfn.IFNA(EU$4,-99),EU$7,""),"")</f>
        <v/>
      </c>
      <c r="EX68" s="54">
        <f>Eu_tabel_a[[#This Row],[x base]]*SQRT(Eu_a_h0_x*(1-Eu_a_h0_x)/Eu_a_n_x)+Eu_a_h0_x</f>
        <v>0</v>
      </c>
      <c r="FC68" s="161" t="e">
        <f t="shared" si="18"/>
        <v>#N/A</v>
      </c>
      <c r="FD68" s="169" t="e">
        <f t="shared" si="121"/>
        <v>#DIV/0!</v>
      </c>
      <c r="FE68" s="7" t="e">
        <f t="shared" si="12"/>
        <v>#DIV/0!</v>
      </c>
      <c r="FF68" t="e">
        <f t="shared" si="122"/>
        <v>#DIV/0!</v>
      </c>
      <c r="FG68" s="8" t="e">
        <f t="shared" si="123"/>
        <v>#DIV/0!</v>
      </c>
      <c r="FH68" s="8" t="e">
        <f t="shared" si="124"/>
        <v>#DIV/0!</v>
      </c>
      <c r="FI68" s="168" t="e">
        <f t="shared" si="125"/>
        <v>#DIV/0!</v>
      </c>
      <c r="FJ68" s="161" t="e">
        <f t="shared" ca="1" si="13"/>
        <v>#N/A</v>
      </c>
      <c r="FK68" s="169" t="e" vm="3">
        <f t="shared" ca="1" si="19"/>
        <v>#VALUE!</v>
      </c>
      <c r="FL68" s="7" t="e" vm="3">
        <f t="shared" ca="1" si="14"/>
        <v>#VALUE!</v>
      </c>
      <c r="FM68" t="e" vm="3">
        <f t="shared" ca="1" si="8"/>
        <v>#VALUE!</v>
      </c>
      <c r="FN68" s="8" t="e" vm="3">
        <f t="shared" ca="1" si="9"/>
        <v>#VALUE!</v>
      </c>
      <c r="FO68" s="8" t="e" vm="3">
        <f t="shared" ca="1" si="10"/>
        <v>#VALUE!</v>
      </c>
      <c r="FP68" s="168" t="e" vm="3">
        <f t="shared" ca="1" si="11"/>
        <v>#VALUE!</v>
      </c>
      <c r="FQ68" s="161" t="e">
        <f t="shared" si="15"/>
        <v>#N/A</v>
      </c>
      <c r="FR68" s="169" t="e">
        <f t="shared" si="20"/>
        <v>#N/A</v>
      </c>
      <c r="FS68" s="7" t="e">
        <f t="shared" si="16"/>
        <v>#N/A</v>
      </c>
      <c r="FT68" t="e">
        <f t="shared" si="21"/>
        <v>#N/A</v>
      </c>
      <c r="FU68" s="8" t="e">
        <f t="shared" si="22"/>
        <v>#N/A</v>
      </c>
      <c r="FV68" s="8" t="e">
        <f t="shared" si="23"/>
        <v>#N/A</v>
      </c>
      <c r="FW68" s="168" t="e">
        <f t="shared" si="24"/>
        <v>#N/A</v>
      </c>
      <c r="FX68" s="161" t="e">
        <f t="shared" si="25"/>
        <v>#N/A</v>
      </c>
      <c r="FY68" s="169" t="e">
        <f t="shared" si="26"/>
        <v>#N/A</v>
      </c>
      <c r="FZ68" s="7" t="e">
        <f t="shared" si="17"/>
        <v>#N/A</v>
      </c>
      <c r="GA68" t="e">
        <f t="shared" si="27"/>
        <v>#N/A</v>
      </c>
      <c r="GB68" s="8" t="e">
        <f t="shared" si="28"/>
        <v>#N/A</v>
      </c>
      <c r="GC68" s="8" t="e">
        <f t="shared" si="29"/>
        <v>#N/A</v>
      </c>
      <c r="GD68" s="168" t="e">
        <f t="shared" si="30"/>
        <v>#N/A</v>
      </c>
      <c r="GE68" s="168"/>
      <c r="GF68" s="168"/>
      <c r="GI68" s="54">
        <f t="shared" si="81"/>
        <v>58</v>
      </c>
      <c r="GJ68" s="54">
        <f t="shared" si="82"/>
        <v>59</v>
      </c>
      <c r="GK68" s="54">
        <f t="shared" si="83"/>
        <v>-1.7008255328520523</v>
      </c>
      <c r="GL68" s="54">
        <f t="shared" si="84"/>
        <v>9.3917148922940161E-2</v>
      </c>
      <c r="GM68" s="54" t="e">
        <f t="shared" si="85"/>
        <v>#N/A</v>
      </c>
      <c r="GN68" s="54" t="e">
        <f t="shared" si="86"/>
        <v>#N/A</v>
      </c>
      <c r="GO68" s="54" t="e">
        <f t="shared" si="87"/>
        <v>#N/A</v>
      </c>
      <c r="GP68" s="54" t="b">
        <f t="shared" si="88"/>
        <v>0</v>
      </c>
      <c r="GQ68" s="54" t="b">
        <f t="shared" si="89"/>
        <v>1</v>
      </c>
      <c r="GR68" s="54" t="b">
        <f t="shared" si="90"/>
        <v>0</v>
      </c>
      <c r="GS68" s="54" t="b">
        <f t="shared" si="91"/>
        <v>1</v>
      </c>
      <c r="GT68" s="54">
        <f t="shared" si="92"/>
        <v>9.3917148922940161E-2</v>
      </c>
      <c r="GU68" s="54" t="e">
        <f t="shared" si="93"/>
        <v>#N/A</v>
      </c>
      <c r="GV68" s="54">
        <f t="shared" si="94"/>
        <v>9.3917148922940161E-2</v>
      </c>
      <c r="GW68" s="72" t="str">
        <f t="shared" si="95"/>
        <v/>
      </c>
      <c r="HC68" s="54">
        <f t="shared" si="96"/>
        <v>58</v>
      </c>
      <c r="HD68" s="54">
        <f t="shared" si="97"/>
        <v>59</v>
      </c>
      <c r="HE68" s="54">
        <f t="shared" si="98"/>
        <v>-2.633764059173036</v>
      </c>
      <c r="HF68" s="54" t="e">
        <f t="shared" si="99"/>
        <v>#N/A</v>
      </c>
      <c r="HG68" s="54">
        <f t="shared" si="100"/>
        <v>2.4502015153508718E-2</v>
      </c>
      <c r="HH68" s="54" t="e">
        <f t="shared" si="101"/>
        <v>#N/A</v>
      </c>
      <c r="HI68" s="54" t="e">
        <f t="shared" si="102"/>
        <v>#N/A</v>
      </c>
      <c r="HJ68" s="54" t="b">
        <f t="shared" si="103"/>
        <v>1</v>
      </c>
      <c r="HK68" s="54" t="b">
        <f t="shared" si="104"/>
        <v>0</v>
      </c>
      <c r="HL68" s="54" t="b">
        <f t="shared" si="105"/>
        <v>1</v>
      </c>
      <c r="HM68" s="54" t="b">
        <f t="shared" si="106"/>
        <v>0</v>
      </c>
      <c r="HN68" s="54">
        <f t="shared" si="107"/>
        <v>2.4502015153508718E-2</v>
      </c>
      <c r="HO68" s="54">
        <f t="shared" si="108"/>
        <v>2.4502015153508718E-2</v>
      </c>
      <c r="HP68" s="54" t="e">
        <f t="shared" si="109"/>
        <v>#N/A</v>
      </c>
      <c r="HQ68" s="72" t="str">
        <f t="shared" si="110"/>
        <v/>
      </c>
    </row>
    <row r="69" spans="1:225" x14ac:dyDescent="0.2">
      <c r="A69" s="58" t="s">
        <v>437</v>
      </c>
      <c r="B69" s="97">
        <v>100</v>
      </c>
      <c r="C69" s="102" t="e" cm="1">
        <f t="array" ref="C69">ROUNDUP((INDEX(CU$3:CV$5,CK7,IF(CK7=3,2,CK7))*CL7/B68)^2,0)</f>
        <v>#N/A</v>
      </c>
      <c r="O69" s="58" t="s">
        <v>540</v>
      </c>
      <c r="P69" s="78">
        <v>0.01</v>
      </c>
      <c r="Q69" s="160" t="e">
        <f>EU7-Eu_a_h0_x</f>
        <v>#N/A</v>
      </c>
      <c r="BS69" s="54">
        <f t="shared" si="36"/>
        <v>59</v>
      </c>
      <c r="BT69" s="54">
        <f>Eu_tabel_g[[#This Row],[Indeks]]+1</f>
        <v>60</v>
      </c>
      <c r="BU69" s="54">
        <f t="shared" si="37"/>
        <v>-1.6768702436569529</v>
      </c>
      <c r="BV69" s="54">
        <f t="shared" si="38"/>
        <v>9.7794646741325916E-2</v>
      </c>
      <c r="BW69" s="54" t="e">
        <f t="shared" si="39"/>
        <v>#N/A</v>
      </c>
      <c r="BX69" s="54" t="e">
        <f t="shared" si="40"/>
        <v>#N/A</v>
      </c>
      <c r="BY69" s="54" t="e">
        <f t="shared" si="41"/>
        <v>#N/A</v>
      </c>
      <c r="BZ69" s="54" t="b">
        <f t="shared" si="42"/>
        <v>0</v>
      </c>
      <c r="CA69" s="54" t="b">
        <f t="shared" si="43"/>
        <v>1</v>
      </c>
      <c r="CB69" s="54" t="b">
        <f t="shared" si="44"/>
        <v>0</v>
      </c>
      <c r="CC69" s="54" t="b">
        <f t="shared" si="45"/>
        <v>1</v>
      </c>
      <c r="CD69" s="54">
        <f t="shared" si="135"/>
        <v>9.7794646741325916E-2</v>
      </c>
      <c r="CE69" s="54" t="e">
        <f t="shared" si="47"/>
        <v>#N/A</v>
      </c>
      <c r="CF69" s="54">
        <f t="shared" si="48"/>
        <v>9.7794646741325916E-2</v>
      </c>
      <c r="CG69" s="72" t="str">
        <f t="shared" si="49"/>
        <v/>
      </c>
      <c r="CH69" s="54">
        <f>_xlfn.NORM.DIST(_xlfn.NORM.INV(1-Eu_g_konfidensniveau,0,1)-Eu_tabel_g[[#This Row],[x base]],0,1,TRUE)</f>
        <v>0.51277060026207</v>
      </c>
      <c r="CI69" s="54">
        <f>1-_xlfn.NORM.DIST(_xlfn.NORM.INV(Eu_g_konfidensniveau,0,1)-Eu_tabel_g[[#This Row],[x base]],0,1,TRUE)</f>
        <v>4.4731590849211855E-4</v>
      </c>
      <c r="CJ69" s="54">
        <f>_xlfn.NORM.DIST(_xlfn.NORM.INV((1-Eu_g_konfidensniveau)/2,0,1)-Eu_tabel_g[[#This Row],[x base]],0,1,TRUE)+1-_xlfn.NORM.DIST(_xlfn.NORM.INV(1-(1-Eu_g_konfidensniveau)/2,0,1)-Eu_tabel_g[[#This Row],[x base]],0,1,TRUE)</f>
        <v>0.38869049445814396</v>
      </c>
      <c r="CK69" s="54" t="e" cm="1">
        <f t="array" ref="CK69">IF($CK$3,INDEX(Eu_tabel_g[[#This Row],[Styrke venstre]:[Styrke tosidet]],CK$7),NA())</f>
        <v>#N/A</v>
      </c>
      <c r="CL69" s="99" t="e">
        <f>Eu_tabel_g[[#This Row],[Falsk positiv
Nulhypotese accepteres
Fejltype 1]]</f>
        <v>#N/A</v>
      </c>
      <c r="CM69" s="99" t="e">
        <f>IF(CHOOSE(CK$7,Eu_tabel_g[[#This Row],[x base]]&gt;0,Eu_tabel_g[[#This Row],[x base]]&lt;0,Eu_tabel_g[[#This Row],[x base]]=0),Eu_tabel_g[[#This Row],[Styrke, aktiv]],NA())</f>
        <v>#N/A</v>
      </c>
      <c r="CN69" s="99" t="e">
        <f>IFERROR(IF($CK$3,Eu_tabel_g[[#This Row],[Styrke, aktiv]],NA()),NA())</f>
        <v>#N/A</v>
      </c>
      <c r="CO69" s="99" t="e">
        <f>IF(ISNA(Eu_tabel_g[[#This Row],[Sand negativ
Nulhypotese afvises
Korrekt]]),NA(),IF($CK$3,1,NA()))</f>
        <v>#N/A</v>
      </c>
      <c r="CP69" s="56" t="str" cm="1">
        <f t="array" ref="CP69">_xlfn.SWITCH(BS69,_xlfn.IFNA(CN$2,-99),CN$5,_xlfn.IFNA(CN$3,-99),CN$6,_xlfn.IFNA(CN$4,-99),CN$7,"")</f>
        <v/>
      </c>
      <c r="CT69" s="7">
        <f t="shared" si="50"/>
        <v>0.8</v>
      </c>
      <c r="CU69">
        <f>IF(ROW(Styrkeberegning_G[[#This Row],[X base venstre]])=ROW(Styrkeberegning_G[[#Headers],[X base venstre]])+1,CU$7/(CT$7/$B$67),CU68/(CT68/$B$67))</f>
        <v>-2.8015817870135784</v>
      </c>
      <c r="CV69">
        <f>Styrkeberegning_G[[#This Row],[X base venstre]]*-1</f>
        <v>2.8015817870135784</v>
      </c>
      <c r="DG69" s="54">
        <f t="shared" si="51"/>
        <v>59</v>
      </c>
      <c r="DH69" s="54">
        <f t="shared" si="52"/>
        <v>60</v>
      </c>
      <c r="DI69" s="54">
        <f t="shared" si="53"/>
        <v>8.5640331932567495</v>
      </c>
      <c r="DJ69" s="54" t="e">
        <f t="shared" si="54"/>
        <v>#N/A</v>
      </c>
      <c r="DK69" s="54" t="e">
        <f t="shared" si="55"/>
        <v>#N/A</v>
      </c>
      <c r="DL69" s="54">
        <f t="shared" si="56"/>
        <v>9.1806750655112832E-2</v>
      </c>
      <c r="DM69" s="54" t="e">
        <f t="shared" si="57"/>
        <v>#N/A</v>
      </c>
      <c r="DN69" s="54" t="b">
        <f t="shared" si="58"/>
        <v>0</v>
      </c>
      <c r="DO69" s="54" t="b">
        <f t="shared" si="59"/>
        <v>1</v>
      </c>
      <c r="DP69" s="54" t="b">
        <f t="shared" si="60"/>
        <v>0</v>
      </c>
      <c r="DQ69" s="54" t="b">
        <f t="shared" si="61"/>
        <v>1</v>
      </c>
      <c r="DR69" s="54">
        <f t="shared" si="62"/>
        <v>9.1806750655112832E-2</v>
      </c>
      <c r="DS69" s="54" t="e">
        <f t="shared" si="63"/>
        <v>#N/A</v>
      </c>
      <c r="DT69" s="54">
        <f t="shared" si="64"/>
        <v>9.1806750655112832E-2</v>
      </c>
      <c r="DU69" s="72" t="str">
        <f t="shared" si="65"/>
        <v/>
      </c>
      <c r="DZ69" s="54">
        <f t="shared" si="66"/>
        <v>59</v>
      </c>
      <c r="EA69" s="54">
        <f t="shared" si="67"/>
        <v>60</v>
      </c>
      <c r="EB69" s="54">
        <f t="shared" si="68"/>
        <v>-1.6768702436569529</v>
      </c>
      <c r="EC69" s="54">
        <f t="shared" si="69"/>
        <v>9.7794646741325916E-2</v>
      </c>
      <c r="ED69" s="54" t="e">
        <f t="shared" si="70"/>
        <v>#N/A</v>
      </c>
      <c r="EE69" s="54" t="e">
        <f t="shared" si="71"/>
        <v>#N/A</v>
      </c>
      <c r="EF69" s="54" t="e">
        <f t="shared" si="72"/>
        <v>#N/A</v>
      </c>
      <c r="EG69" s="54" t="b">
        <f t="shared" si="73"/>
        <v>0</v>
      </c>
      <c r="EH69" s="54" t="b">
        <f t="shared" si="74"/>
        <v>1</v>
      </c>
      <c r="EI69" s="54" t="b">
        <f t="shared" si="75"/>
        <v>0</v>
      </c>
      <c r="EJ69" s="54" t="b">
        <f t="shared" si="76"/>
        <v>1</v>
      </c>
      <c r="EK69" s="54">
        <f t="shared" si="77"/>
        <v>9.7794646741325916E-2</v>
      </c>
      <c r="EL69" s="54" t="e">
        <f t="shared" si="78"/>
        <v>#N/A</v>
      </c>
      <c r="EM69" s="54">
        <f t="shared" si="79"/>
        <v>9.7794646741325916E-2</v>
      </c>
      <c r="EN69" s="72" t="str">
        <f t="shared" si="80"/>
        <v/>
      </c>
      <c r="EO6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6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6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69" s="54" t="e" cm="1">
        <f t="array" ref="ER69">IF($CK$3,INDEX(Eu_tabel_a[[#This Row],[Styrke venstre]:[Styrke tosidet]],ER$7),NA())</f>
        <v>#N/A</v>
      </c>
      <c r="ES69" s="54" t="e">
        <f>IF(ER$3,IF(CHOOSE(ER$7,Eu_tabel_a[[#This Row],[x base]]&gt;0,Eu_tabel_a[[#This Row],[x base]]&lt;0,Eu_tabel_a[[#This Row],[x base]]=0),1,NA()),NA())</f>
        <v>#N/A</v>
      </c>
      <c r="ET69" s="54" t="e">
        <f>IF(CHOOSE(ER$7,Eu_tabel_a[[#This Row],[x base]]&gt;0,Eu_tabel_a[[#This Row],[x base]]&lt;0,Eu_tabel_a[[#This Row],[x base]]=0),Eu_tabel_a[[#This Row],[Styrke, aktiv]],NA())</f>
        <v>#N/A</v>
      </c>
      <c r="EU69" s="54" t="e">
        <f>IFERROR(IF($ER$3,Eu_tabel_a[[#This Row],[Styrke, aktiv]],NA()),NA())</f>
        <v>#N/A</v>
      </c>
      <c r="EV69" s="54" t="e">
        <f>IF(ISNA(Eu_tabel_a[[#This Row],[Sand negativ
Nulhypotese afvises
Korrekt]]),NA(),IF(ER$3,1,NA()))</f>
        <v>#N/A</v>
      </c>
      <c r="EW69" s="55" t="str" cm="1">
        <f t="array" ref="EW69">IFERROR(_xlfn.SWITCH(Eu_tabel_a[[#This Row],[Indeks]],_xlfn.IFNA(EU$2,-99),EU$5,_xlfn.IFNA(EU$3,-99),EU$6,_xlfn.IFNA(EU$4,-99),EU$7,""),"")</f>
        <v/>
      </c>
      <c r="EX69" s="54">
        <f>Eu_tabel_a[[#This Row],[x base]]*SQRT(Eu_a_h0_x*(1-Eu_a_h0_x)/Eu_a_n_x)+Eu_a_h0_x</f>
        <v>0</v>
      </c>
      <c r="FC69" s="161" t="e">
        <f t="shared" si="18"/>
        <v>#N/A</v>
      </c>
      <c r="FD69" s="169" t="e">
        <f t="shared" si="121"/>
        <v>#DIV/0!</v>
      </c>
      <c r="FE69" s="7" t="e">
        <f t="shared" si="12"/>
        <v>#DIV/0!</v>
      </c>
      <c r="FF69" t="e">
        <f t="shared" si="122"/>
        <v>#DIV/0!</v>
      </c>
      <c r="FG69" s="8" t="e">
        <f t="shared" si="123"/>
        <v>#DIV/0!</v>
      </c>
      <c r="FH69" s="8" t="e">
        <f t="shared" si="124"/>
        <v>#DIV/0!</v>
      </c>
      <c r="FI69" s="168" t="e">
        <f t="shared" si="125"/>
        <v>#DIV/0!</v>
      </c>
      <c r="FJ69" s="161" t="e">
        <f t="shared" ca="1" si="13"/>
        <v>#N/A</v>
      </c>
      <c r="FK69" s="169" t="e" vm="3">
        <f t="shared" ca="1" si="19"/>
        <v>#VALUE!</v>
      </c>
      <c r="FL69" s="7" t="e" vm="3">
        <f t="shared" ca="1" si="14"/>
        <v>#VALUE!</v>
      </c>
      <c r="FM69" t="e" vm="3">
        <f t="shared" ref="FM69:FM132" ca="1" si="136">FK69-FK68</f>
        <v>#VALUE!</v>
      </c>
      <c r="FN69" s="8" t="e" vm="3">
        <f t="shared" ref="FN69:FN132" ca="1" si="137">FL69-FL68</f>
        <v>#VALUE!</v>
      </c>
      <c r="FO69" s="8" t="e" vm="3">
        <f t="shared" ref="FO69:FO132" ca="1" si="138">$P$67-FL68</f>
        <v>#VALUE!</v>
      </c>
      <c r="FP69" s="168" t="e" vm="3">
        <f t="shared" ref="FP69:FP132" ca="1" si="139">FM69/(FN69/FO69)</f>
        <v>#VALUE!</v>
      </c>
      <c r="FQ69" s="161" t="e">
        <f t="shared" si="15"/>
        <v>#N/A</v>
      </c>
      <c r="FR69" s="169" t="e">
        <f t="shared" si="20"/>
        <v>#N/A</v>
      </c>
      <c r="FS69" s="7" t="e">
        <f t="shared" si="16"/>
        <v>#N/A</v>
      </c>
      <c r="FT69" t="e">
        <f t="shared" si="21"/>
        <v>#N/A</v>
      </c>
      <c r="FU69" s="8" t="e">
        <f t="shared" si="22"/>
        <v>#N/A</v>
      </c>
      <c r="FV69" s="8" t="e">
        <f t="shared" si="23"/>
        <v>#N/A</v>
      </c>
      <c r="FW69" s="168" t="e">
        <f t="shared" si="24"/>
        <v>#N/A</v>
      </c>
      <c r="FX69" s="161" t="e">
        <f t="shared" si="25"/>
        <v>#N/A</v>
      </c>
      <c r="FY69" s="169" t="e">
        <f t="shared" si="26"/>
        <v>#N/A</v>
      </c>
      <c r="FZ69" s="7" t="e">
        <f t="shared" si="17"/>
        <v>#N/A</v>
      </c>
      <c r="GA69" t="e">
        <f t="shared" si="27"/>
        <v>#N/A</v>
      </c>
      <c r="GB69" s="8" t="e">
        <f t="shared" si="28"/>
        <v>#N/A</v>
      </c>
      <c r="GC69" s="8" t="e">
        <f t="shared" si="29"/>
        <v>#N/A</v>
      </c>
      <c r="GD69" s="168" t="e">
        <f t="shared" si="30"/>
        <v>#N/A</v>
      </c>
      <c r="GE69" s="168"/>
      <c r="GF69" s="168"/>
      <c r="GI69" s="54">
        <f t="shared" si="81"/>
        <v>59</v>
      </c>
      <c r="GJ69" s="54">
        <f t="shared" si="82"/>
        <v>60</v>
      </c>
      <c r="GK69" s="54">
        <f t="shared" si="83"/>
        <v>-1.6768702436569529</v>
      </c>
      <c r="GL69" s="54">
        <f t="shared" si="84"/>
        <v>9.7794646741325916E-2</v>
      </c>
      <c r="GM69" s="54" t="e">
        <f t="shared" si="85"/>
        <v>#N/A</v>
      </c>
      <c r="GN69" s="54" t="e">
        <f t="shared" si="86"/>
        <v>#N/A</v>
      </c>
      <c r="GO69" s="54" t="e">
        <f t="shared" si="87"/>
        <v>#N/A</v>
      </c>
      <c r="GP69" s="54" t="b">
        <f t="shared" si="88"/>
        <v>0</v>
      </c>
      <c r="GQ69" s="54" t="b">
        <f t="shared" si="89"/>
        <v>1</v>
      </c>
      <c r="GR69" s="54" t="b">
        <f t="shared" si="90"/>
        <v>0</v>
      </c>
      <c r="GS69" s="54" t="b">
        <f t="shared" si="91"/>
        <v>1</v>
      </c>
      <c r="GT69" s="54">
        <f t="shared" si="92"/>
        <v>9.7794646741325916E-2</v>
      </c>
      <c r="GU69" s="54" t="e">
        <f t="shared" si="93"/>
        <v>#N/A</v>
      </c>
      <c r="GV69" s="54">
        <f t="shared" si="94"/>
        <v>9.7794646741325916E-2</v>
      </c>
      <c r="GW69" s="72" t="str">
        <f t="shared" si="95"/>
        <v/>
      </c>
      <c r="HC69" s="54">
        <f t="shared" si="96"/>
        <v>59</v>
      </c>
      <c r="HD69" s="54">
        <f t="shared" si="97"/>
        <v>60</v>
      </c>
      <c r="HE69" s="54">
        <f t="shared" si="98"/>
        <v>-2.5966687907339789</v>
      </c>
      <c r="HF69" s="54" t="e">
        <f t="shared" si="99"/>
        <v>#N/A</v>
      </c>
      <c r="HG69" s="54">
        <f t="shared" si="100"/>
        <v>2.5915309276453989E-2</v>
      </c>
      <c r="HH69" s="54" t="e">
        <f t="shared" si="101"/>
        <v>#N/A</v>
      </c>
      <c r="HI69" s="54" t="e">
        <f t="shared" si="102"/>
        <v>#N/A</v>
      </c>
      <c r="HJ69" s="54" t="b">
        <f t="shared" si="103"/>
        <v>1</v>
      </c>
      <c r="HK69" s="54" t="b">
        <f t="shared" si="104"/>
        <v>0</v>
      </c>
      <c r="HL69" s="54" t="b">
        <f t="shared" si="105"/>
        <v>1</v>
      </c>
      <c r="HM69" s="54" t="b">
        <f t="shared" si="106"/>
        <v>0</v>
      </c>
      <c r="HN69" s="54">
        <f t="shared" si="107"/>
        <v>2.5915309276453989E-2</v>
      </c>
      <c r="HO69" s="54">
        <f t="shared" si="108"/>
        <v>2.5915309276453989E-2</v>
      </c>
      <c r="HP69" s="54" t="e">
        <f t="shared" si="109"/>
        <v>#N/A</v>
      </c>
      <c r="HQ69" s="72" t="str">
        <f t="shared" si="110"/>
        <v/>
      </c>
    </row>
    <row r="70" spans="1:225" x14ac:dyDescent="0.2">
      <c r="BS70" s="54">
        <f t="shared" si="36"/>
        <v>60</v>
      </c>
      <c r="BT70" s="54">
        <f>Eu_tabel_g[[#This Row],[Indeks]]+1</f>
        <v>61</v>
      </c>
      <c r="BU70" s="54">
        <f t="shared" si="37"/>
        <v>-1.6529149544618535</v>
      </c>
      <c r="BV70" s="54">
        <f t="shared" si="38"/>
        <v>0.10177381209387595</v>
      </c>
      <c r="BW70" s="54" t="e">
        <f t="shared" si="39"/>
        <v>#N/A</v>
      </c>
      <c r="BX70" s="54" t="e">
        <f t="shared" si="40"/>
        <v>#N/A</v>
      </c>
      <c r="BY70" s="54" t="e">
        <f t="shared" si="41"/>
        <v>#N/A</v>
      </c>
      <c r="BZ70" s="54" t="b">
        <f t="shared" si="42"/>
        <v>0</v>
      </c>
      <c r="CA70" s="54" t="b">
        <f t="shared" si="43"/>
        <v>1</v>
      </c>
      <c r="CB70" s="54" t="b">
        <f t="shared" si="44"/>
        <v>0</v>
      </c>
      <c r="CC70" s="54" t="b">
        <f t="shared" si="45"/>
        <v>1</v>
      </c>
      <c r="CD70" s="54">
        <f t="shared" si="135"/>
        <v>0.10177381209387595</v>
      </c>
      <c r="CE70" s="54" t="e">
        <f t="shared" si="47"/>
        <v>#N/A</v>
      </c>
      <c r="CF70" s="54">
        <f t="shared" si="48"/>
        <v>0.10177381209387595</v>
      </c>
      <c r="CG70" s="72" t="str">
        <f t="shared" si="49"/>
        <v/>
      </c>
      <c r="CH70" s="54">
        <f>_xlfn.NORM.DIST(_xlfn.NORM.INV(1-Eu_g_konfidensniveau,0,1)-Eu_tabel_g[[#This Row],[x base]],0,1,TRUE)</f>
        <v>0.50321596954838599</v>
      </c>
      <c r="CI70" s="54">
        <f>1-_xlfn.NORM.DIST(_xlfn.NORM.INV(Eu_g_konfidensniveau,0,1)-Eu_tabel_g[[#This Row],[x base]],0,1,TRUE)</f>
        <v>4.8728209848247772E-4</v>
      </c>
      <c r="CJ70" s="54">
        <f>_xlfn.NORM.DIST(_xlfn.NORM.INV((1-Eu_g_konfidensniveau)/2,0,1)-Eu_tabel_g[[#This Row],[x base]],0,1,TRUE)+1-_xlfn.NORM.DIST(_xlfn.NORM.INV(1-(1-Eu_g_konfidensniveau)/2,0,1)-Eu_tabel_g[[#This Row],[x base]],0,1,TRUE)</f>
        <v>0.37955443451297199</v>
      </c>
      <c r="CK70" s="54" t="e" cm="1">
        <f t="array" ref="CK70">IF($CK$3,INDEX(Eu_tabel_g[[#This Row],[Styrke venstre]:[Styrke tosidet]],CK$7),NA())</f>
        <v>#N/A</v>
      </c>
      <c r="CL70" s="99" t="e">
        <f>Eu_tabel_g[[#This Row],[Falsk positiv
Nulhypotese accepteres
Fejltype 1]]</f>
        <v>#N/A</v>
      </c>
      <c r="CM70" s="99" t="e">
        <f>IF(CHOOSE(CK$7,Eu_tabel_g[[#This Row],[x base]]&gt;0,Eu_tabel_g[[#This Row],[x base]]&lt;0,Eu_tabel_g[[#This Row],[x base]]=0),Eu_tabel_g[[#This Row],[Styrke, aktiv]],NA())</f>
        <v>#N/A</v>
      </c>
      <c r="CN70" s="99" t="e">
        <f>IFERROR(IF($CK$3,Eu_tabel_g[[#This Row],[Styrke, aktiv]],NA()),NA())</f>
        <v>#N/A</v>
      </c>
      <c r="CO70" s="99" t="e">
        <f>IF(ISNA(Eu_tabel_g[[#This Row],[Sand negativ
Nulhypotese afvises
Korrekt]]),NA(),IF($CK$3,1,NA()))</f>
        <v>#N/A</v>
      </c>
      <c r="CP70" s="56" t="str" cm="1">
        <f t="array" ref="CP70">_xlfn.SWITCH(BS70,_xlfn.IFNA(CN$2,-99),CN$5,_xlfn.IFNA(CN$3,-99),CN$6,_xlfn.IFNA(CN$4,-99),CN$7,"")</f>
        <v/>
      </c>
      <c r="CT70" s="7">
        <f t="shared" si="50"/>
        <v>0.8</v>
      </c>
      <c r="CU70">
        <f>IF(ROW(Styrkeberegning_G[[#This Row],[X base venstre]])=ROW(Styrkeberegning_G[[#Headers],[X base venstre]])+1,CU$7/(CT$7/$B$67),CU69/(CT69/$B$67))</f>
        <v>-2.8015817870135784</v>
      </c>
      <c r="CV70">
        <f>Styrkeberegning_G[[#This Row],[X base venstre]]*-1</f>
        <v>2.8015817870135784</v>
      </c>
      <c r="DG70" s="54">
        <f t="shared" si="51"/>
        <v>60</v>
      </c>
      <c r="DH70" s="54">
        <f t="shared" si="52"/>
        <v>61</v>
      </c>
      <c r="DI70" s="54">
        <f t="shared" si="53"/>
        <v>8.6781040496737507</v>
      </c>
      <c r="DJ70" s="54" t="e">
        <f t="shared" si="54"/>
        <v>#N/A</v>
      </c>
      <c r="DK70" s="54" t="e">
        <f t="shared" si="55"/>
        <v>#N/A</v>
      </c>
      <c r="DL70" s="54">
        <f t="shared" si="56"/>
        <v>9.2037273482789353E-2</v>
      </c>
      <c r="DM70" s="54" t="e">
        <f t="shared" si="57"/>
        <v>#N/A</v>
      </c>
      <c r="DN70" s="54" t="b">
        <f t="shared" si="58"/>
        <v>0</v>
      </c>
      <c r="DO70" s="54" t="b">
        <f t="shared" si="59"/>
        <v>1</v>
      </c>
      <c r="DP70" s="54" t="b">
        <f t="shared" si="60"/>
        <v>0</v>
      </c>
      <c r="DQ70" s="54" t="b">
        <f t="shared" si="61"/>
        <v>1</v>
      </c>
      <c r="DR70" s="54">
        <f t="shared" si="62"/>
        <v>9.2037273482789353E-2</v>
      </c>
      <c r="DS70" s="54" t="e">
        <f t="shared" si="63"/>
        <v>#N/A</v>
      </c>
      <c r="DT70" s="54">
        <f t="shared" si="64"/>
        <v>9.2037273482789353E-2</v>
      </c>
      <c r="DU70" s="72" t="str">
        <f t="shared" si="65"/>
        <v/>
      </c>
      <c r="DZ70" s="54">
        <f t="shared" si="66"/>
        <v>60</v>
      </c>
      <c r="EA70" s="54">
        <f t="shared" si="67"/>
        <v>61</v>
      </c>
      <c r="EB70" s="54">
        <f t="shared" si="68"/>
        <v>-1.6529149544618535</v>
      </c>
      <c r="EC70" s="54">
        <f t="shared" si="69"/>
        <v>0.10177381209387595</v>
      </c>
      <c r="ED70" s="54" t="e">
        <f t="shared" si="70"/>
        <v>#N/A</v>
      </c>
      <c r="EE70" s="54" t="e">
        <f t="shared" si="71"/>
        <v>#N/A</v>
      </c>
      <c r="EF70" s="54" t="e">
        <f t="shared" si="72"/>
        <v>#N/A</v>
      </c>
      <c r="EG70" s="54" t="b">
        <f t="shared" si="73"/>
        <v>0</v>
      </c>
      <c r="EH70" s="54" t="b">
        <f t="shared" si="74"/>
        <v>1</v>
      </c>
      <c r="EI70" s="54" t="b">
        <f t="shared" si="75"/>
        <v>0</v>
      </c>
      <c r="EJ70" s="54" t="b">
        <f t="shared" si="76"/>
        <v>1</v>
      </c>
      <c r="EK70" s="54">
        <f t="shared" si="77"/>
        <v>0.10177381209387595</v>
      </c>
      <c r="EL70" s="54" t="e">
        <f t="shared" si="78"/>
        <v>#N/A</v>
      </c>
      <c r="EM70" s="54">
        <f t="shared" si="79"/>
        <v>0.10177381209387595</v>
      </c>
      <c r="EN70" s="72" t="str">
        <f t="shared" si="80"/>
        <v/>
      </c>
      <c r="EO7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7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7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70" s="54" t="e" cm="1">
        <f t="array" ref="ER70">IF($CK$3,INDEX(Eu_tabel_a[[#This Row],[Styrke venstre]:[Styrke tosidet]],ER$7),NA())</f>
        <v>#N/A</v>
      </c>
      <c r="ES70" s="54" t="e">
        <f>IF(ER$3,IF(CHOOSE(ER$7,Eu_tabel_a[[#This Row],[x base]]&gt;0,Eu_tabel_a[[#This Row],[x base]]&lt;0,Eu_tabel_a[[#This Row],[x base]]=0),1,NA()),NA())</f>
        <v>#N/A</v>
      </c>
      <c r="ET70" s="54" t="e">
        <f>IF(CHOOSE(ER$7,Eu_tabel_a[[#This Row],[x base]]&gt;0,Eu_tabel_a[[#This Row],[x base]]&lt;0,Eu_tabel_a[[#This Row],[x base]]=0),Eu_tabel_a[[#This Row],[Styrke, aktiv]],NA())</f>
        <v>#N/A</v>
      </c>
      <c r="EU70" s="54" t="e">
        <f>IFERROR(IF($ER$3,Eu_tabel_a[[#This Row],[Styrke, aktiv]],NA()),NA())</f>
        <v>#N/A</v>
      </c>
      <c r="EV70" s="54" t="e">
        <f>IF(ISNA(Eu_tabel_a[[#This Row],[Sand negativ
Nulhypotese afvises
Korrekt]]),NA(),IF(ER$3,1,NA()))</f>
        <v>#N/A</v>
      </c>
      <c r="EW70" s="55" t="str" cm="1">
        <f t="array" ref="EW70">IFERROR(_xlfn.SWITCH(Eu_tabel_a[[#This Row],[Indeks]],_xlfn.IFNA(EU$2,-99),EU$5,_xlfn.IFNA(EU$3,-99),EU$6,_xlfn.IFNA(EU$4,-99),EU$7,""),"")</f>
        <v/>
      </c>
      <c r="EX70" s="54">
        <f>Eu_tabel_a[[#This Row],[x base]]*SQRT(Eu_a_h0_x*(1-Eu_a_h0_x)/Eu_a_n_x)+Eu_a_h0_x</f>
        <v>0</v>
      </c>
      <c r="FC70" s="161" t="e">
        <f t="shared" si="18"/>
        <v>#N/A</v>
      </c>
      <c r="FD70" s="169" t="e">
        <f t="shared" si="121"/>
        <v>#DIV/0!</v>
      </c>
      <c r="FE70" s="7" t="e">
        <f t="shared" ref="FE70:FE133" si="140">_xlfn.NORM.DIST(-(SQRT(Eu_a_n_x)*(FD70-Eu_a_h0_x)/SQRT(FD70*(1-FD70)))-(_xlfn.NORM.INV(Eu_a_konfidensniveau,0,1)*SQRT((Eu_a_h0_x*(1-Eu_a_h0_x))/(FD70*(1-FD70)))),0,1,TRUE)</f>
        <v>#DIV/0!</v>
      </c>
      <c r="FF70" t="e">
        <f t="shared" si="122"/>
        <v>#DIV/0!</v>
      </c>
      <c r="FG70" s="8" t="e">
        <f t="shared" si="123"/>
        <v>#DIV/0!</v>
      </c>
      <c r="FH70" s="8" t="e">
        <f t="shared" si="124"/>
        <v>#DIV/0!</v>
      </c>
      <c r="FI70" s="168" t="e">
        <f t="shared" si="125"/>
        <v>#DIV/0!</v>
      </c>
      <c r="FJ70" s="161" t="e">
        <f t="shared" ref="FJ70:FJ133" ca="1" si="141">IF(ISERROR(FK70),NA(),ROW(FJ70)-ROW(FJ$5))</f>
        <v>#N/A</v>
      </c>
      <c r="FK70" s="169" t="e" vm="3">
        <f t="shared" ca="1" si="19"/>
        <v>#VALUE!</v>
      </c>
      <c r="FL70" s="7" t="e" vm="3">
        <f t="shared" ref="FL70:FL133" ca="1" si="142">_xlfn.NORM.DIST((SQRT(Eu_a_n_x)*(FK70-Eu_a_h0_x)/SQRT(FK70*(1-FK70)))-(_xlfn.NORM.INV(Eu_a_konfidensniveau,0,1)*SQRT((Eu_a_h0_x*(1-Eu_a_h0_x))/(FK70*(1-FK70)))),0,1,TRUE)</f>
        <v>#VALUE!</v>
      </c>
      <c r="FM70" t="e" vm="3">
        <f t="shared" ca="1" si="136"/>
        <v>#VALUE!</v>
      </c>
      <c r="FN70" s="8" t="e" vm="3">
        <f t="shared" ca="1" si="137"/>
        <v>#VALUE!</v>
      </c>
      <c r="FO70" s="8" t="e" vm="3">
        <f t="shared" ca="1" si="138"/>
        <v>#VALUE!</v>
      </c>
      <c r="FP70" s="168" t="e" vm="3">
        <f t="shared" ca="1" si="139"/>
        <v>#VALUE!</v>
      </c>
      <c r="FQ70" s="161" t="e">
        <f t="shared" ref="FQ70:FQ133" si="143">IF(ISERROR(FR70),NA(),ROW(FQ70)-ROW(FQ$5))</f>
        <v>#N/A</v>
      </c>
      <c r="FR70" s="169" t="e">
        <f t="shared" si="20"/>
        <v>#N/A</v>
      </c>
      <c r="FS70" s="7" t="e">
        <f t="shared" ref="FS70:FS133" si="144">_xlfn.NORM.DIST(-(SQRT(Eu_a_n_x)*(FR70-Eu_a_h0_x)/SQRT(FR70*(1-FR70)))-(_xlfn.NORM.INV(1-(1-Eu_a_konfidensniveau)/2,0,1)*SQRT((Eu_a_h0_x*(1-Eu_a_h0_x))/(FR70*(1-FR70)))),0,1,TRUE)+_xlfn.NORM.DIST((SQRT(Eu_a_n_x)*(FR70-Eu_a_h0_x)/SQRT(FR70*(1-FR70)))-(_xlfn.NORM.INV(1-(1-Eu_a_konfidensniveau)/2,0,1)*SQRT((Eu_a_h0_x*(1-Eu_a_h0_x))/(FR70*(1-FR70)))),0,1,TRUE)</f>
        <v>#N/A</v>
      </c>
      <c r="FT70" t="e">
        <f t="shared" si="21"/>
        <v>#N/A</v>
      </c>
      <c r="FU70" s="8" t="e">
        <f t="shared" si="22"/>
        <v>#N/A</v>
      </c>
      <c r="FV70" s="8" t="e">
        <f t="shared" si="23"/>
        <v>#N/A</v>
      </c>
      <c r="FW70" s="168" t="e">
        <f t="shared" si="24"/>
        <v>#N/A</v>
      </c>
      <c r="FX70" s="161" t="e">
        <f t="shared" si="25"/>
        <v>#N/A</v>
      </c>
      <c r="FY70" s="169" t="e">
        <f t="shared" si="26"/>
        <v>#N/A</v>
      </c>
      <c r="FZ70" s="7" t="e">
        <f t="shared" ref="FZ70:FZ133" si="145">_xlfn.NORM.DIST(-(SQRT(Eu_a_n_x)*(FY70-Eu_a_h0_x)/SQRT(FY70*(1-FY70)))-(_xlfn.NORM.INV(1-(1-Eu_a_konfidensniveau)/2,0,1)*SQRT((Eu_a_h0_x*(1-Eu_a_h0_x))/(FY70*(1-FY70)))),0,1,TRUE)+_xlfn.NORM.DIST((SQRT(Eu_a_n_x)*(FY70-Eu_a_h0_x)/SQRT(FY70*(1-FY70)))-(_xlfn.NORM.INV(1-(1-Eu_a_konfidensniveau)/2,0,1)*SQRT((Eu_a_h0_x*(1-Eu_a_h0_x))/(FY70*(1-FY70)))),0,1,TRUE)</f>
        <v>#N/A</v>
      </c>
      <c r="GA70" t="e">
        <f t="shared" si="27"/>
        <v>#N/A</v>
      </c>
      <c r="GB70" s="8" t="e">
        <f t="shared" si="28"/>
        <v>#N/A</v>
      </c>
      <c r="GC70" s="8" t="e">
        <f t="shared" si="29"/>
        <v>#N/A</v>
      </c>
      <c r="GD70" s="168" t="e">
        <f t="shared" si="30"/>
        <v>#N/A</v>
      </c>
      <c r="GE70" s="168"/>
      <c r="GF70" s="168"/>
      <c r="GI70" s="54">
        <f t="shared" si="81"/>
        <v>60</v>
      </c>
      <c r="GJ70" s="54">
        <f t="shared" si="82"/>
        <v>61</v>
      </c>
      <c r="GK70" s="54">
        <f t="shared" si="83"/>
        <v>-1.6529149544618535</v>
      </c>
      <c r="GL70" s="54">
        <f t="shared" si="84"/>
        <v>0.10177381209387595</v>
      </c>
      <c r="GM70" s="54" t="e">
        <f t="shared" si="85"/>
        <v>#N/A</v>
      </c>
      <c r="GN70" s="54" t="e">
        <f t="shared" si="86"/>
        <v>#N/A</v>
      </c>
      <c r="GO70" s="54" t="e">
        <f t="shared" si="87"/>
        <v>#N/A</v>
      </c>
      <c r="GP70" s="54" t="b">
        <f t="shared" si="88"/>
        <v>0</v>
      </c>
      <c r="GQ70" s="54" t="b">
        <f t="shared" si="89"/>
        <v>1</v>
      </c>
      <c r="GR70" s="54" t="b">
        <f t="shared" si="90"/>
        <v>0</v>
      </c>
      <c r="GS70" s="54" t="b">
        <f t="shared" si="91"/>
        <v>1</v>
      </c>
      <c r="GT70" s="54">
        <f t="shared" si="92"/>
        <v>0.10177381209387595</v>
      </c>
      <c r="GU70" s="54" t="e">
        <f t="shared" si="93"/>
        <v>#N/A</v>
      </c>
      <c r="GV70" s="54">
        <f t="shared" si="94"/>
        <v>0.10177381209387595</v>
      </c>
      <c r="GW70" s="72" t="str">
        <f t="shared" si="95"/>
        <v/>
      </c>
      <c r="HC70" s="54">
        <f t="shared" si="96"/>
        <v>60</v>
      </c>
      <c r="HD70" s="54">
        <f t="shared" si="97"/>
        <v>61</v>
      </c>
      <c r="HE70" s="54">
        <f t="shared" si="98"/>
        <v>-2.5595735222949223</v>
      </c>
      <c r="HF70" s="54" t="e">
        <f t="shared" si="99"/>
        <v>#N/A</v>
      </c>
      <c r="HG70" s="54">
        <f t="shared" si="100"/>
        <v>2.7409711035389889E-2</v>
      </c>
      <c r="HH70" s="54" t="e">
        <f t="shared" si="101"/>
        <v>#N/A</v>
      </c>
      <c r="HI70" s="54" t="e">
        <f t="shared" si="102"/>
        <v>#N/A</v>
      </c>
      <c r="HJ70" s="54" t="b">
        <f t="shared" si="103"/>
        <v>1</v>
      </c>
      <c r="HK70" s="54" t="b">
        <f t="shared" si="104"/>
        <v>0</v>
      </c>
      <c r="HL70" s="54" t="b">
        <f t="shared" si="105"/>
        <v>1</v>
      </c>
      <c r="HM70" s="54" t="b">
        <f t="shared" si="106"/>
        <v>0</v>
      </c>
      <c r="HN70" s="54">
        <f t="shared" si="107"/>
        <v>2.7409711035389889E-2</v>
      </c>
      <c r="HO70" s="54">
        <f t="shared" si="108"/>
        <v>2.7409711035389889E-2</v>
      </c>
      <c r="HP70" s="54" t="e">
        <f t="shared" si="109"/>
        <v>#N/A</v>
      </c>
      <c r="HQ70" s="72" t="str">
        <f t="shared" si="110"/>
        <v/>
      </c>
    </row>
    <row r="71" spans="1:225" x14ac:dyDescent="0.2">
      <c r="BS71" s="54">
        <f t="shared" si="36"/>
        <v>61</v>
      </c>
      <c r="BT71" s="54">
        <f>Eu_tabel_g[[#This Row],[Indeks]]+1</f>
        <v>62</v>
      </c>
      <c r="BU71" s="54">
        <f t="shared" si="37"/>
        <v>-1.6289596652667542</v>
      </c>
      <c r="BV71" s="54">
        <f t="shared" si="38"/>
        <v>0.10585412321974697</v>
      </c>
      <c r="BW71" s="54" t="e">
        <f t="shared" si="39"/>
        <v>#N/A</v>
      </c>
      <c r="BX71" s="54" t="e">
        <f t="shared" si="40"/>
        <v>#N/A</v>
      </c>
      <c r="BY71" s="54" t="e">
        <f t="shared" si="41"/>
        <v>#N/A</v>
      </c>
      <c r="BZ71" s="54" t="b">
        <f t="shared" si="42"/>
        <v>0</v>
      </c>
      <c r="CA71" s="54" t="b">
        <f t="shared" si="43"/>
        <v>1</v>
      </c>
      <c r="CB71" s="54" t="b">
        <f t="shared" si="44"/>
        <v>0</v>
      </c>
      <c r="CC71" s="54" t="b">
        <f t="shared" si="45"/>
        <v>1</v>
      </c>
      <c r="CD71" s="54">
        <f t="shared" si="135"/>
        <v>0.10585412321974697</v>
      </c>
      <c r="CE71" s="54" t="e">
        <f t="shared" si="47"/>
        <v>#N/A</v>
      </c>
      <c r="CF71" s="54">
        <f t="shared" si="48"/>
        <v>0.10585412321974697</v>
      </c>
      <c r="CG71" s="72" t="str">
        <f t="shared" si="49"/>
        <v/>
      </c>
      <c r="CH71" s="54">
        <f>_xlfn.NORM.DIST(_xlfn.NORM.INV(1-Eu_g_konfidensniveau,0,1)-Eu_tabel_g[[#This Row],[x base]],0,1,TRUE)</f>
        <v>0.49365949363636824</v>
      </c>
      <c r="CI71" s="54">
        <f>1-_xlfn.NORM.DIST(_xlfn.NORM.INV(Eu_g_konfidensniveau,0,1)-Eu_tabel_g[[#This Row],[x base]],0,1,TRUE)</f>
        <v>5.3053347540099605E-4</v>
      </c>
      <c r="CJ71" s="54">
        <f>_xlfn.NORM.DIST(_xlfn.NORM.INV((1-Eu_g_konfidensniveau)/2,0,1)-Eu_tabel_g[[#This Row],[x base]],0,1,TRUE)+1-_xlfn.NORM.DIST(_xlfn.NORM.INV(1-(1-Eu_g_konfidensniveau)/2,0,1)-Eu_tabel_g[[#This Row],[x base]],0,1,TRUE)</f>
        <v>0.37048663452232122</v>
      </c>
      <c r="CK71" s="54" t="e" cm="1">
        <f t="array" ref="CK71">IF($CK$3,INDEX(Eu_tabel_g[[#This Row],[Styrke venstre]:[Styrke tosidet]],CK$7),NA())</f>
        <v>#N/A</v>
      </c>
      <c r="CL71" s="99" t="e">
        <f>Eu_tabel_g[[#This Row],[Falsk positiv
Nulhypotese accepteres
Fejltype 1]]</f>
        <v>#N/A</v>
      </c>
      <c r="CM71" s="99" t="e">
        <f>IF(CHOOSE(CK$7,Eu_tabel_g[[#This Row],[x base]]&gt;0,Eu_tabel_g[[#This Row],[x base]]&lt;0,Eu_tabel_g[[#This Row],[x base]]=0),Eu_tabel_g[[#This Row],[Styrke, aktiv]],NA())</f>
        <v>#N/A</v>
      </c>
      <c r="CN71" s="99" t="e">
        <f>IFERROR(IF($CK$3,Eu_tabel_g[[#This Row],[Styrke, aktiv]],NA()),NA())</f>
        <v>#N/A</v>
      </c>
      <c r="CO71" s="99" t="e">
        <f>IF(ISNA(Eu_tabel_g[[#This Row],[Sand negativ
Nulhypotese afvises
Korrekt]]),NA(),IF($CK$3,1,NA()))</f>
        <v>#N/A</v>
      </c>
      <c r="CP71" s="56" t="str" cm="1">
        <f t="array" ref="CP71">_xlfn.SWITCH(BS71,_xlfn.IFNA(CN$2,-99),CN$5,_xlfn.IFNA(CN$3,-99),CN$6,_xlfn.IFNA(CN$4,-99),CN$7,"")</f>
        <v/>
      </c>
      <c r="CT71" s="7">
        <f t="shared" si="50"/>
        <v>0.8</v>
      </c>
      <c r="CU71">
        <f>IF(ROW(Styrkeberegning_G[[#This Row],[X base venstre]])=ROW(Styrkeberegning_G[[#Headers],[X base venstre]])+1,CU$7/(CT$7/$B$67),CU70/(CT70/$B$67))</f>
        <v>-2.8015817870135784</v>
      </c>
      <c r="CV71">
        <f>Styrkeberegning_G[[#This Row],[X base venstre]]*-1</f>
        <v>2.8015817870135784</v>
      </c>
      <c r="DG71" s="54">
        <f t="shared" si="51"/>
        <v>61</v>
      </c>
      <c r="DH71" s="54">
        <f t="shared" si="52"/>
        <v>62</v>
      </c>
      <c r="DI71" s="54">
        <f t="shared" si="53"/>
        <v>8.7921749060907519</v>
      </c>
      <c r="DJ71" s="54" t="e">
        <f t="shared" si="54"/>
        <v>#N/A</v>
      </c>
      <c r="DK71" s="54" t="e">
        <f t="shared" si="55"/>
        <v>#N/A</v>
      </c>
      <c r="DL71" s="54">
        <f t="shared" si="56"/>
        <v>9.2196656219217965E-2</v>
      </c>
      <c r="DM71" s="54" t="e">
        <f t="shared" si="57"/>
        <v>#N/A</v>
      </c>
      <c r="DN71" s="54" t="b">
        <f t="shared" si="58"/>
        <v>0</v>
      </c>
      <c r="DO71" s="54" t="b">
        <f t="shared" si="59"/>
        <v>1</v>
      </c>
      <c r="DP71" s="54" t="b">
        <f t="shared" si="60"/>
        <v>0</v>
      </c>
      <c r="DQ71" s="54" t="b">
        <f t="shared" si="61"/>
        <v>1</v>
      </c>
      <c r="DR71" s="54">
        <f t="shared" si="62"/>
        <v>9.2196656219217965E-2</v>
      </c>
      <c r="DS71" s="54" t="e">
        <f t="shared" si="63"/>
        <v>#N/A</v>
      </c>
      <c r="DT71" s="54">
        <f t="shared" si="64"/>
        <v>9.2196656219217965E-2</v>
      </c>
      <c r="DU71" s="72" t="str">
        <f t="shared" si="65"/>
        <v/>
      </c>
      <c r="DZ71" s="54">
        <f t="shared" si="66"/>
        <v>61</v>
      </c>
      <c r="EA71" s="54">
        <f t="shared" si="67"/>
        <v>62</v>
      </c>
      <c r="EB71" s="54">
        <f t="shared" si="68"/>
        <v>-1.6289596652667542</v>
      </c>
      <c r="EC71" s="54">
        <f t="shared" si="69"/>
        <v>0.10585412321974697</v>
      </c>
      <c r="ED71" s="54" t="e">
        <f t="shared" si="70"/>
        <v>#N/A</v>
      </c>
      <c r="EE71" s="54" t="e">
        <f t="shared" si="71"/>
        <v>#N/A</v>
      </c>
      <c r="EF71" s="54" t="e">
        <f t="shared" si="72"/>
        <v>#N/A</v>
      </c>
      <c r="EG71" s="54" t="b">
        <f t="shared" si="73"/>
        <v>0</v>
      </c>
      <c r="EH71" s="54" t="b">
        <f t="shared" si="74"/>
        <v>1</v>
      </c>
      <c r="EI71" s="54" t="b">
        <f t="shared" si="75"/>
        <v>0</v>
      </c>
      <c r="EJ71" s="54" t="b">
        <f t="shared" si="76"/>
        <v>1</v>
      </c>
      <c r="EK71" s="54">
        <f t="shared" si="77"/>
        <v>0.10585412321974697</v>
      </c>
      <c r="EL71" s="54" t="e">
        <f t="shared" si="78"/>
        <v>#N/A</v>
      </c>
      <c r="EM71" s="54">
        <f t="shared" si="79"/>
        <v>0.10585412321974697</v>
      </c>
      <c r="EN71" s="72" t="str">
        <f t="shared" si="80"/>
        <v/>
      </c>
      <c r="EO7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7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7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71" s="54" t="e" cm="1">
        <f t="array" ref="ER71">IF($CK$3,INDEX(Eu_tabel_a[[#This Row],[Styrke venstre]:[Styrke tosidet]],ER$7),NA())</f>
        <v>#N/A</v>
      </c>
      <c r="ES71" s="54" t="e">
        <f>IF(ER$3,IF(CHOOSE(ER$7,Eu_tabel_a[[#This Row],[x base]]&gt;0,Eu_tabel_a[[#This Row],[x base]]&lt;0,Eu_tabel_a[[#This Row],[x base]]=0),1,NA()),NA())</f>
        <v>#N/A</v>
      </c>
      <c r="ET71" s="54" t="e">
        <f>IF(CHOOSE(ER$7,Eu_tabel_a[[#This Row],[x base]]&gt;0,Eu_tabel_a[[#This Row],[x base]]&lt;0,Eu_tabel_a[[#This Row],[x base]]=0),Eu_tabel_a[[#This Row],[Styrke, aktiv]],NA())</f>
        <v>#N/A</v>
      </c>
      <c r="EU71" s="54" t="e">
        <f>IFERROR(IF($ER$3,Eu_tabel_a[[#This Row],[Styrke, aktiv]],NA()),NA())</f>
        <v>#N/A</v>
      </c>
      <c r="EV71" s="54" t="e">
        <f>IF(ISNA(Eu_tabel_a[[#This Row],[Sand negativ
Nulhypotese afvises
Korrekt]]),NA(),IF(ER$3,1,NA()))</f>
        <v>#N/A</v>
      </c>
      <c r="EW71" s="55" t="str" cm="1">
        <f t="array" ref="EW71">IFERROR(_xlfn.SWITCH(Eu_tabel_a[[#This Row],[Indeks]],_xlfn.IFNA(EU$2,-99),EU$5,_xlfn.IFNA(EU$3,-99),EU$6,_xlfn.IFNA(EU$4,-99),EU$7,""),"")</f>
        <v/>
      </c>
      <c r="EX71" s="54">
        <f>Eu_tabel_a[[#This Row],[x base]]*SQRT(Eu_a_h0_x*(1-Eu_a_h0_x)/Eu_a_n_x)+Eu_a_h0_x</f>
        <v>0</v>
      </c>
      <c r="FC71" s="161" t="e">
        <f t="shared" ref="FC71:FC134" si="146">IF(ISERROR(FD71),NA(),ROW(FC71)-ROW(FC$5))</f>
        <v>#N/A</v>
      </c>
      <c r="FD71" s="169" t="e">
        <f t="shared" si="121"/>
        <v>#DIV/0!</v>
      </c>
      <c r="FE71" s="7" t="e">
        <f t="shared" si="140"/>
        <v>#DIV/0!</v>
      </c>
      <c r="FF71" t="e">
        <f t="shared" si="122"/>
        <v>#DIV/0!</v>
      </c>
      <c r="FG71" s="8" t="e">
        <f t="shared" si="123"/>
        <v>#DIV/0!</v>
      </c>
      <c r="FH71" s="8" t="e">
        <f t="shared" si="124"/>
        <v>#DIV/0!</v>
      </c>
      <c r="FI71" s="168" t="e">
        <f t="shared" si="125"/>
        <v>#DIV/0!</v>
      </c>
      <c r="FJ71" s="161" t="e">
        <f t="shared" ca="1" si="141"/>
        <v>#N/A</v>
      </c>
      <c r="FK71" s="169" t="e" vm="3">
        <f t="shared" ref="FK71:FK134" ca="1" si="147">FK69+FP70</f>
        <v>#VALUE!</v>
      </c>
      <c r="FL71" s="7" t="e" vm="3">
        <f t="shared" ca="1" si="142"/>
        <v>#VALUE!</v>
      </c>
      <c r="FM71" t="e" vm="3">
        <f t="shared" ca="1" si="136"/>
        <v>#VALUE!</v>
      </c>
      <c r="FN71" s="8" t="e" vm="3">
        <f t="shared" ca="1" si="137"/>
        <v>#VALUE!</v>
      </c>
      <c r="FO71" s="8" t="e" vm="3">
        <f t="shared" ca="1" si="138"/>
        <v>#VALUE!</v>
      </c>
      <c r="FP71" s="168" t="e" vm="3">
        <f t="shared" ca="1" si="139"/>
        <v>#VALUE!</v>
      </c>
      <c r="FQ71" s="161" t="e">
        <f t="shared" si="143"/>
        <v>#N/A</v>
      </c>
      <c r="FR71" s="169" t="e">
        <f t="shared" ref="FR71:FR134" si="148">FR69+FW70</f>
        <v>#N/A</v>
      </c>
      <c r="FS71" s="7" t="e">
        <f t="shared" si="144"/>
        <v>#N/A</v>
      </c>
      <c r="FT71" t="e">
        <f t="shared" ref="FT71:FT134" si="149">FR71-FR70</f>
        <v>#N/A</v>
      </c>
      <c r="FU71" s="8" t="e">
        <f t="shared" ref="FU71:FU134" si="150">FS71-FS70</f>
        <v>#N/A</v>
      </c>
      <c r="FV71" s="8" t="e">
        <f t="shared" ref="FV71:FV134" si="151">$P$67-FS70</f>
        <v>#N/A</v>
      </c>
      <c r="FW71" s="168" t="e">
        <f t="shared" ref="FW71:FW134" si="152">FT71/(FU71/FV71)</f>
        <v>#N/A</v>
      </c>
      <c r="FX71" s="161" t="e">
        <f t="shared" ref="FX71:FX134" si="153">IF(ISERROR(FY71),NA(),ROW(FX71)-ROW(FX$5))</f>
        <v>#N/A</v>
      </c>
      <c r="FY71" s="169" t="e">
        <f t="shared" ref="FY71:FY134" si="154">FY69+GD70</f>
        <v>#N/A</v>
      </c>
      <c r="FZ71" s="7" t="e">
        <f t="shared" si="145"/>
        <v>#N/A</v>
      </c>
      <c r="GA71" t="e">
        <f t="shared" ref="GA71:GA134" si="155">FY71-FY70</f>
        <v>#N/A</v>
      </c>
      <c r="GB71" s="8" t="e">
        <f t="shared" ref="GB71:GB134" si="156">FZ71-FZ70</f>
        <v>#N/A</v>
      </c>
      <c r="GC71" s="8" t="e">
        <f t="shared" ref="GC71:GC134" si="157">$P$67-FZ70</f>
        <v>#N/A</v>
      </c>
      <c r="GD71" s="168" t="e">
        <f t="shared" ref="GD71:GD134" si="158">GA71/(GB71/GC71)</f>
        <v>#N/A</v>
      </c>
      <c r="GE71" s="168"/>
      <c r="GF71" s="168"/>
      <c r="GI71" s="54">
        <f t="shared" si="81"/>
        <v>61</v>
      </c>
      <c r="GJ71" s="54">
        <f t="shared" si="82"/>
        <v>62</v>
      </c>
      <c r="GK71" s="54">
        <f t="shared" si="83"/>
        <v>-1.6289596652667542</v>
      </c>
      <c r="GL71" s="54">
        <f t="shared" si="84"/>
        <v>0.10585412321974697</v>
      </c>
      <c r="GM71" s="54" t="e">
        <f t="shared" si="85"/>
        <v>#N/A</v>
      </c>
      <c r="GN71" s="54" t="e">
        <f t="shared" si="86"/>
        <v>#N/A</v>
      </c>
      <c r="GO71" s="54" t="e">
        <f t="shared" si="87"/>
        <v>#N/A</v>
      </c>
      <c r="GP71" s="54" t="b">
        <f t="shared" si="88"/>
        <v>0</v>
      </c>
      <c r="GQ71" s="54" t="b">
        <f t="shared" si="89"/>
        <v>1</v>
      </c>
      <c r="GR71" s="54" t="b">
        <f t="shared" si="90"/>
        <v>0</v>
      </c>
      <c r="GS71" s="54" t="b">
        <f t="shared" si="91"/>
        <v>1</v>
      </c>
      <c r="GT71" s="54">
        <f t="shared" si="92"/>
        <v>0.10585412321974697</v>
      </c>
      <c r="GU71" s="54" t="e">
        <f t="shared" si="93"/>
        <v>#N/A</v>
      </c>
      <c r="GV71" s="54">
        <f t="shared" si="94"/>
        <v>0.10585412321974697</v>
      </c>
      <c r="GW71" s="72" t="str">
        <f t="shared" si="95"/>
        <v/>
      </c>
      <c r="HC71" s="54">
        <f t="shared" si="96"/>
        <v>61</v>
      </c>
      <c r="HD71" s="54">
        <f t="shared" si="97"/>
        <v>62</v>
      </c>
      <c r="HE71" s="54">
        <f t="shared" si="98"/>
        <v>-2.5224782538558652</v>
      </c>
      <c r="HF71" s="54" t="e">
        <f t="shared" si="99"/>
        <v>#N/A</v>
      </c>
      <c r="HG71" s="54">
        <f t="shared" si="100"/>
        <v>2.8989506460017089E-2</v>
      </c>
      <c r="HH71" s="54" t="e">
        <f t="shared" si="101"/>
        <v>#N/A</v>
      </c>
      <c r="HI71" s="54" t="e">
        <f t="shared" si="102"/>
        <v>#N/A</v>
      </c>
      <c r="HJ71" s="54" t="b">
        <f t="shared" si="103"/>
        <v>1</v>
      </c>
      <c r="HK71" s="54" t="b">
        <f t="shared" si="104"/>
        <v>0</v>
      </c>
      <c r="HL71" s="54" t="b">
        <f t="shared" si="105"/>
        <v>1</v>
      </c>
      <c r="HM71" s="54" t="b">
        <f t="shared" si="106"/>
        <v>0</v>
      </c>
      <c r="HN71" s="54">
        <f t="shared" si="107"/>
        <v>2.8989506460017089E-2</v>
      </c>
      <c r="HO71" s="54">
        <f t="shared" si="108"/>
        <v>2.8989506460017089E-2</v>
      </c>
      <c r="HP71" s="54" t="e">
        <f t="shared" si="109"/>
        <v>#N/A</v>
      </c>
      <c r="HQ71" s="72" t="str">
        <f t="shared" si="110"/>
        <v/>
      </c>
    </row>
    <row r="72" spans="1:225" x14ac:dyDescent="0.2">
      <c r="BS72" s="54">
        <f t="shared" si="36"/>
        <v>62</v>
      </c>
      <c r="BT72" s="54">
        <f>Eu_tabel_g[[#This Row],[Indeks]]+1</f>
        <v>63</v>
      </c>
      <c r="BU72" s="54">
        <f t="shared" si="37"/>
        <v>-1.605004376071655</v>
      </c>
      <c r="BV72" s="54">
        <f t="shared" si="38"/>
        <v>0.11003485972432274</v>
      </c>
      <c r="BW72" s="54" t="e">
        <f t="shared" si="39"/>
        <v>#N/A</v>
      </c>
      <c r="BX72" s="54" t="e">
        <f t="shared" si="40"/>
        <v>#N/A</v>
      </c>
      <c r="BY72" s="54" t="e">
        <f t="shared" si="41"/>
        <v>#N/A</v>
      </c>
      <c r="BZ72" s="54" t="b">
        <f t="shared" si="42"/>
        <v>0</v>
      </c>
      <c r="CA72" s="54" t="b">
        <f t="shared" si="43"/>
        <v>1</v>
      </c>
      <c r="CB72" s="54" t="b">
        <f t="shared" si="44"/>
        <v>0</v>
      </c>
      <c r="CC72" s="54" t="b">
        <f t="shared" si="45"/>
        <v>1</v>
      </c>
      <c r="CD72" s="54">
        <f t="shared" si="135"/>
        <v>0.11003485972432274</v>
      </c>
      <c r="CE72" s="54" t="e">
        <f t="shared" si="47"/>
        <v>#N/A</v>
      </c>
      <c r="CF72" s="54">
        <f t="shared" si="48"/>
        <v>0.11003485972432274</v>
      </c>
      <c r="CG72" s="72" t="str">
        <f t="shared" si="49"/>
        <v/>
      </c>
      <c r="CH72" s="54">
        <f>_xlfn.NORM.DIST(_xlfn.NORM.INV(1-Eu_g_konfidensniveau,0,1)-Eu_tabel_g[[#This Row],[x base]],0,1,TRUE)</f>
        <v>0.48410665543297465</v>
      </c>
      <c r="CI72" s="54">
        <f>1-_xlfn.NORM.DIST(_xlfn.NORM.INV(Eu_g_konfidensniveau,0,1)-Eu_tabel_g[[#This Row],[x base]],0,1,TRUE)</f>
        <v>5.7731322757204051E-4</v>
      </c>
      <c r="CJ72" s="54">
        <f>_xlfn.NORM.DIST(_xlfn.NORM.INV((1-Eu_g_konfidensniveau)/2,0,1)-Eu_tabel_g[[#This Row],[x base]],0,1,TRUE)+1-_xlfn.NORM.DIST(_xlfn.NORM.INV(1-(1-Eu_g_konfidensniveau)/2,0,1)-Eu_tabel_g[[#This Row],[x base]],0,1,TRUE)</f>
        <v>0.36149187560923901</v>
      </c>
      <c r="CK72" s="54" t="e" cm="1">
        <f t="array" ref="CK72">IF($CK$3,INDEX(Eu_tabel_g[[#This Row],[Styrke venstre]:[Styrke tosidet]],CK$7),NA())</f>
        <v>#N/A</v>
      </c>
      <c r="CL72" s="99" t="e">
        <f>Eu_tabel_g[[#This Row],[Falsk positiv
Nulhypotese accepteres
Fejltype 1]]</f>
        <v>#N/A</v>
      </c>
      <c r="CM72" s="99" t="e">
        <f>IF(CHOOSE(CK$7,Eu_tabel_g[[#This Row],[x base]]&gt;0,Eu_tabel_g[[#This Row],[x base]]&lt;0,Eu_tabel_g[[#This Row],[x base]]=0),Eu_tabel_g[[#This Row],[Styrke, aktiv]],NA())</f>
        <v>#N/A</v>
      </c>
      <c r="CN72" s="99" t="e">
        <f>IFERROR(IF($CK$3,Eu_tabel_g[[#This Row],[Styrke, aktiv]],NA()),NA())</f>
        <v>#N/A</v>
      </c>
      <c r="CO72" s="99" t="e">
        <f>IF(ISNA(Eu_tabel_g[[#This Row],[Sand negativ
Nulhypotese afvises
Korrekt]]),NA(),IF($CK$3,1,NA()))</f>
        <v>#N/A</v>
      </c>
      <c r="CP72" s="56" t="str" cm="1">
        <f t="array" ref="CP72">_xlfn.SWITCH(BS72,_xlfn.IFNA(CN$2,-99),CN$5,_xlfn.IFNA(CN$3,-99),CN$6,_xlfn.IFNA(CN$4,-99),CN$7,"")</f>
        <v/>
      </c>
      <c r="CT72" s="7">
        <f t="shared" si="50"/>
        <v>0.8</v>
      </c>
      <c r="CU72">
        <f>IF(ROW(Styrkeberegning_G[[#This Row],[X base venstre]])=ROW(Styrkeberegning_G[[#Headers],[X base venstre]])+1,CU$7/(CT$7/$B$67),CU71/(CT71/$B$67))</f>
        <v>-2.8015817870135784</v>
      </c>
      <c r="CV72">
        <f>Styrkeberegning_G[[#This Row],[X base venstre]]*-1</f>
        <v>2.8015817870135784</v>
      </c>
      <c r="DG72" s="54">
        <f t="shared" si="51"/>
        <v>62</v>
      </c>
      <c r="DH72" s="54">
        <f t="shared" si="52"/>
        <v>63</v>
      </c>
      <c r="DI72" s="54">
        <f t="shared" si="53"/>
        <v>8.9062457625077514</v>
      </c>
      <c r="DJ72" s="54" t="e">
        <f t="shared" si="54"/>
        <v>#N/A</v>
      </c>
      <c r="DK72" s="54" t="e">
        <f t="shared" si="55"/>
        <v>#N/A</v>
      </c>
      <c r="DL72" s="54">
        <f t="shared" si="56"/>
        <v>9.228637780978749E-2</v>
      </c>
      <c r="DM72" s="54" t="e">
        <f t="shared" si="57"/>
        <v>#N/A</v>
      </c>
      <c r="DN72" s="54" t="b">
        <f t="shared" si="58"/>
        <v>0</v>
      </c>
      <c r="DO72" s="54" t="b">
        <f t="shared" si="59"/>
        <v>1</v>
      </c>
      <c r="DP72" s="54" t="b">
        <f t="shared" si="60"/>
        <v>0</v>
      </c>
      <c r="DQ72" s="54" t="b">
        <f t="shared" si="61"/>
        <v>1</v>
      </c>
      <c r="DR72" s="54">
        <f t="shared" si="62"/>
        <v>9.228637780978749E-2</v>
      </c>
      <c r="DS72" s="54" t="e">
        <f t="shared" si="63"/>
        <v>#N/A</v>
      </c>
      <c r="DT72" s="54">
        <f t="shared" si="64"/>
        <v>9.228637780978749E-2</v>
      </c>
      <c r="DU72" s="72" t="str">
        <f t="shared" si="65"/>
        <v/>
      </c>
      <c r="DZ72" s="54">
        <f t="shared" si="66"/>
        <v>62</v>
      </c>
      <c r="EA72" s="54">
        <f t="shared" si="67"/>
        <v>63</v>
      </c>
      <c r="EB72" s="54">
        <f t="shared" si="68"/>
        <v>-1.605004376071655</v>
      </c>
      <c r="EC72" s="54">
        <f t="shared" si="69"/>
        <v>0.11003485972432274</v>
      </c>
      <c r="ED72" s="54" t="e">
        <f t="shared" si="70"/>
        <v>#N/A</v>
      </c>
      <c r="EE72" s="54" t="e">
        <f t="shared" si="71"/>
        <v>#N/A</v>
      </c>
      <c r="EF72" s="54" t="e">
        <f t="shared" si="72"/>
        <v>#N/A</v>
      </c>
      <c r="EG72" s="54" t="b">
        <f t="shared" si="73"/>
        <v>0</v>
      </c>
      <c r="EH72" s="54" t="b">
        <f t="shared" si="74"/>
        <v>1</v>
      </c>
      <c r="EI72" s="54" t="b">
        <f t="shared" si="75"/>
        <v>0</v>
      </c>
      <c r="EJ72" s="54" t="b">
        <f t="shared" si="76"/>
        <v>1</v>
      </c>
      <c r="EK72" s="54">
        <f t="shared" si="77"/>
        <v>0.11003485972432274</v>
      </c>
      <c r="EL72" s="54" t="e">
        <f t="shared" si="78"/>
        <v>#N/A</v>
      </c>
      <c r="EM72" s="54">
        <f t="shared" si="79"/>
        <v>0.11003485972432274</v>
      </c>
      <c r="EN72" s="72" t="str">
        <f t="shared" si="80"/>
        <v/>
      </c>
      <c r="EO7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7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7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72" s="54" t="e" cm="1">
        <f t="array" ref="ER72">IF($CK$3,INDEX(Eu_tabel_a[[#This Row],[Styrke venstre]:[Styrke tosidet]],ER$7),NA())</f>
        <v>#N/A</v>
      </c>
      <c r="ES72" s="54" t="e">
        <f>IF(ER$3,IF(CHOOSE(ER$7,Eu_tabel_a[[#This Row],[x base]]&gt;0,Eu_tabel_a[[#This Row],[x base]]&lt;0,Eu_tabel_a[[#This Row],[x base]]=0),1,NA()),NA())</f>
        <v>#N/A</v>
      </c>
      <c r="ET72" s="54" t="e">
        <f>IF(CHOOSE(ER$7,Eu_tabel_a[[#This Row],[x base]]&gt;0,Eu_tabel_a[[#This Row],[x base]]&lt;0,Eu_tabel_a[[#This Row],[x base]]=0),Eu_tabel_a[[#This Row],[Styrke, aktiv]],NA())</f>
        <v>#N/A</v>
      </c>
      <c r="EU72" s="54" t="e">
        <f>IFERROR(IF($ER$3,Eu_tabel_a[[#This Row],[Styrke, aktiv]],NA()),NA())</f>
        <v>#N/A</v>
      </c>
      <c r="EV72" s="54" t="e">
        <f>IF(ISNA(Eu_tabel_a[[#This Row],[Sand negativ
Nulhypotese afvises
Korrekt]]),NA(),IF(ER$3,1,NA()))</f>
        <v>#N/A</v>
      </c>
      <c r="EW72" s="55" t="str" cm="1">
        <f t="array" ref="EW72">IFERROR(_xlfn.SWITCH(Eu_tabel_a[[#This Row],[Indeks]],_xlfn.IFNA(EU$2,-99),EU$5,_xlfn.IFNA(EU$3,-99),EU$6,_xlfn.IFNA(EU$4,-99),EU$7,""),"")</f>
        <v/>
      </c>
      <c r="EX72" s="54">
        <f>Eu_tabel_a[[#This Row],[x base]]*SQRT(Eu_a_h0_x*(1-Eu_a_h0_x)/Eu_a_n_x)+Eu_a_h0_x</f>
        <v>0</v>
      </c>
      <c r="FC72" s="161" t="e">
        <f t="shared" si="146"/>
        <v>#N/A</v>
      </c>
      <c r="FD72" s="169" t="e">
        <f t="shared" si="121"/>
        <v>#DIV/0!</v>
      </c>
      <c r="FE72" s="7" t="e">
        <f t="shared" si="140"/>
        <v>#DIV/0!</v>
      </c>
      <c r="FF72" t="e">
        <f t="shared" si="122"/>
        <v>#DIV/0!</v>
      </c>
      <c r="FG72" s="8" t="e">
        <f t="shared" si="123"/>
        <v>#DIV/0!</v>
      </c>
      <c r="FH72" s="8" t="e">
        <f t="shared" si="124"/>
        <v>#DIV/0!</v>
      </c>
      <c r="FI72" s="168" t="e">
        <f t="shared" si="125"/>
        <v>#DIV/0!</v>
      </c>
      <c r="FJ72" s="161" t="e">
        <f t="shared" ca="1" si="141"/>
        <v>#N/A</v>
      </c>
      <c r="FK72" s="169" t="e" vm="3">
        <f t="shared" ca="1" si="147"/>
        <v>#VALUE!</v>
      </c>
      <c r="FL72" s="7" t="e" vm="3">
        <f t="shared" ca="1" si="142"/>
        <v>#VALUE!</v>
      </c>
      <c r="FM72" t="e" vm="3">
        <f t="shared" ca="1" si="136"/>
        <v>#VALUE!</v>
      </c>
      <c r="FN72" s="8" t="e" vm="3">
        <f t="shared" ca="1" si="137"/>
        <v>#VALUE!</v>
      </c>
      <c r="FO72" s="8" t="e" vm="3">
        <f t="shared" ca="1" si="138"/>
        <v>#VALUE!</v>
      </c>
      <c r="FP72" s="168" t="e" vm="3">
        <f t="shared" ca="1" si="139"/>
        <v>#VALUE!</v>
      </c>
      <c r="FQ72" s="161" t="e">
        <f t="shared" si="143"/>
        <v>#N/A</v>
      </c>
      <c r="FR72" s="169" t="e">
        <f t="shared" si="148"/>
        <v>#N/A</v>
      </c>
      <c r="FS72" s="7" t="e">
        <f t="shared" si="144"/>
        <v>#N/A</v>
      </c>
      <c r="FT72" t="e">
        <f t="shared" si="149"/>
        <v>#N/A</v>
      </c>
      <c r="FU72" s="8" t="e">
        <f t="shared" si="150"/>
        <v>#N/A</v>
      </c>
      <c r="FV72" s="8" t="e">
        <f t="shared" si="151"/>
        <v>#N/A</v>
      </c>
      <c r="FW72" s="168" t="e">
        <f t="shared" si="152"/>
        <v>#N/A</v>
      </c>
      <c r="FX72" s="161" t="e">
        <f t="shared" si="153"/>
        <v>#N/A</v>
      </c>
      <c r="FY72" s="169" t="e">
        <f t="shared" si="154"/>
        <v>#N/A</v>
      </c>
      <c r="FZ72" s="7" t="e">
        <f t="shared" si="145"/>
        <v>#N/A</v>
      </c>
      <c r="GA72" t="e">
        <f t="shared" si="155"/>
        <v>#N/A</v>
      </c>
      <c r="GB72" s="8" t="e">
        <f t="shared" si="156"/>
        <v>#N/A</v>
      </c>
      <c r="GC72" s="8" t="e">
        <f t="shared" si="157"/>
        <v>#N/A</v>
      </c>
      <c r="GD72" s="168" t="e">
        <f t="shared" si="158"/>
        <v>#N/A</v>
      </c>
      <c r="GE72" s="168"/>
      <c r="GF72" s="168"/>
      <c r="GI72" s="54">
        <f t="shared" si="81"/>
        <v>62</v>
      </c>
      <c r="GJ72" s="54">
        <f t="shared" si="82"/>
        <v>63</v>
      </c>
      <c r="GK72" s="54">
        <f t="shared" si="83"/>
        <v>-1.605004376071655</v>
      </c>
      <c r="GL72" s="54">
        <f t="shared" si="84"/>
        <v>0.11003485972432274</v>
      </c>
      <c r="GM72" s="54" t="e">
        <f t="shared" si="85"/>
        <v>#N/A</v>
      </c>
      <c r="GN72" s="54" t="e">
        <f t="shared" si="86"/>
        <v>#N/A</v>
      </c>
      <c r="GO72" s="54" t="e">
        <f t="shared" si="87"/>
        <v>#N/A</v>
      </c>
      <c r="GP72" s="54" t="b">
        <f t="shared" si="88"/>
        <v>0</v>
      </c>
      <c r="GQ72" s="54" t="b">
        <f t="shared" si="89"/>
        <v>1</v>
      </c>
      <c r="GR72" s="54" t="b">
        <f t="shared" si="90"/>
        <v>0</v>
      </c>
      <c r="GS72" s="54" t="b">
        <f t="shared" si="91"/>
        <v>1</v>
      </c>
      <c r="GT72" s="54">
        <f t="shared" si="92"/>
        <v>0.11003485972432274</v>
      </c>
      <c r="GU72" s="54" t="e">
        <f t="shared" si="93"/>
        <v>#N/A</v>
      </c>
      <c r="GV72" s="54">
        <f t="shared" si="94"/>
        <v>0.11003485972432274</v>
      </c>
      <c r="GW72" s="72" t="str">
        <f t="shared" si="95"/>
        <v/>
      </c>
      <c r="HC72" s="54">
        <f t="shared" si="96"/>
        <v>62</v>
      </c>
      <c r="HD72" s="54">
        <f t="shared" si="97"/>
        <v>63</v>
      </c>
      <c r="HE72" s="54">
        <f t="shared" si="98"/>
        <v>-2.4853829854168086</v>
      </c>
      <c r="HF72" s="54" t="e">
        <f t="shared" si="99"/>
        <v>#N/A</v>
      </c>
      <c r="HG72" s="54">
        <f t="shared" si="100"/>
        <v>3.0659150000244034E-2</v>
      </c>
      <c r="HH72" s="54" t="e">
        <f t="shared" si="101"/>
        <v>#N/A</v>
      </c>
      <c r="HI72" s="54" t="e">
        <f t="shared" si="102"/>
        <v>#N/A</v>
      </c>
      <c r="HJ72" s="54" t="b">
        <f t="shared" si="103"/>
        <v>1</v>
      </c>
      <c r="HK72" s="54" t="b">
        <f t="shared" si="104"/>
        <v>0</v>
      </c>
      <c r="HL72" s="54" t="b">
        <f t="shared" si="105"/>
        <v>1</v>
      </c>
      <c r="HM72" s="54" t="b">
        <f t="shared" si="106"/>
        <v>0</v>
      </c>
      <c r="HN72" s="54">
        <f t="shared" si="107"/>
        <v>3.0659150000244034E-2</v>
      </c>
      <c r="HO72" s="54">
        <f t="shared" si="108"/>
        <v>3.0659150000244034E-2</v>
      </c>
      <c r="HP72" s="54" t="e">
        <f t="shared" si="109"/>
        <v>#N/A</v>
      </c>
      <c r="HQ72" s="72" t="str">
        <f t="shared" si="110"/>
        <v/>
      </c>
    </row>
    <row r="73" spans="1:225" x14ac:dyDescent="0.2">
      <c r="BS73" s="54">
        <f t="shared" si="36"/>
        <v>63</v>
      </c>
      <c r="BT73" s="54">
        <f>Eu_tabel_g[[#This Row],[Indeks]]+1</f>
        <v>64</v>
      </c>
      <c r="BU73" s="54">
        <f t="shared" si="37"/>
        <v>-1.5810490868765557</v>
      </c>
      <c r="BV73" s="54">
        <f t="shared" si="38"/>
        <v>0.11431509630296084</v>
      </c>
      <c r="BW73" s="54" t="e">
        <f t="shared" si="39"/>
        <v>#N/A</v>
      </c>
      <c r="BX73" s="54" t="e">
        <f t="shared" si="40"/>
        <v>#N/A</v>
      </c>
      <c r="BY73" s="54" t="e">
        <f t="shared" si="41"/>
        <v>#N/A</v>
      </c>
      <c r="BZ73" s="54" t="b">
        <f t="shared" si="42"/>
        <v>0</v>
      </c>
      <c r="CA73" s="54" t="b">
        <f t="shared" si="43"/>
        <v>1</v>
      </c>
      <c r="CB73" s="54" t="b">
        <f t="shared" si="44"/>
        <v>0</v>
      </c>
      <c r="CC73" s="54" t="b">
        <f t="shared" si="45"/>
        <v>1</v>
      </c>
      <c r="CD73" s="54">
        <f t="shared" si="135"/>
        <v>0.11431509630296084</v>
      </c>
      <c r="CE73" s="54" t="e">
        <f t="shared" si="47"/>
        <v>#N/A</v>
      </c>
      <c r="CF73" s="54">
        <f t="shared" si="48"/>
        <v>0.11431509630296084</v>
      </c>
      <c r="CG73" s="72" t="str">
        <f t="shared" si="49"/>
        <v/>
      </c>
      <c r="CH73" s="54">
        <f>_xlfn.NORM.DIST(_xlfn.NORM.INV(1-Eu_g_konfidensniveau,0,1)-Eu_tabel_g[[#This Row],[x base]],0,1,TRUE)</f>
        <v>0.47456293158522456</v>
      </c>
      <c r="CI73" s="54">
        <f>1-_xlfn.NORM.DIST(_xlfn.NORM.INV(Eu_g_konfidensniveau,0,1)-Eu_tabel_g[[#This Row],[x base]],0,1,TRUE)</f>
        <v>6.2788016889248066E-4</v>
      </c>
      <c r="CJ73" s="54">
        <f>_xlfn.NORM.DIST(_xlfn.NORM.INV((1-Eu_g_konfidensniveau)/2,0,1)-Eu_tabel_g[[#This Row],[x base]],0,1,TRUE)+1-_xlfn.NORM.DIST(_xlfn.NORM.INV(1-(1-Eu_g_konfidensniveau)/2,0,1)-Eu_tabel_g[[#This Row],[x base]],0,1,TRUE)</f>
        <v>0.35257482739793311</v>
      </c>
      <c r="CK73" s="54" t="e" cm="1">
        <f t="array" ref="CK73">IF($CK$3,INDEX(Eu_tabel_g[[#This Row],[Styrke venstre]:[Styrke tosidet]],CK$7),NA())</f>
        <v>#N/A</v>
      </c>
      <c r="CL73" s="99" t="e">
        <f>Eu_tabel_g[[#This Row],[Falsk positiv
Nulhypotese accepteres
Fejltype 1]]</f>
        <v>#N/A</v>
      </c>
      <c r="CM73" s="99" t="e">
        <f>IF(CHOOSE(CK$7,Eu_tabel_g[[#This Row],[x base]]&gt;0,Eu_tabel_g[[#This Row],[x base]]&lt;0,Eu_tabel_g[[#This Row],[x base]]=0),Eu_tabel_g[[#This Row],[Styrke, aktiv]],NA())</f>
        <v>#N/A</v>
      </c>
      <c r="CN73" s="99" t="e">
        <f>IFERROR(IF($CK$3,Eu_tabel_g[[#This Row],[Styrke, aktiv]],NA()),NA())</f>
        <v>#N/A</v>
      </c>
      <c r="CO73" s="99" t="e">
        <f>IF(ISNA(Eu_tabel_g[[#This Row],[Sand negativ
Nulhypotese afvises
Korrekt]]),NA(),IF($CK$3,1,NA()))</f>
        <v>#N/A</v>
      </c>
      <c r="CP73" s="56" t="str" cm="1">
        <f t="array" ref="CP73">_xlfn.SWITCH(BS73,_xlfn.IFNA(CN$2,-99),CN$5,_xlfn.IFNA(CN$3,-99),CN$6,_xlfn.IFNA(CN$4,-99),CN$7,"")</f>
        <v/>
      </c>
      <c r="CT73" s="7">
        <f t="shared" si="50"/>
        <v>0.8</v>
      </c>
      <c r="CU73">
        <f>IF(ROW(Styrkeberegning_G[[#This Row],[X base venstre]])=ROW(Styrkeberegning_G[[#Headers],[X base venstre]])+1,CU$7/(CT$7/$B$67),CU72/(CT72/$B$67))</f>
        <v>-2.8015817870135784</v>
      </c>
      <c r="CV73">
        <f>Styrkeberegning_G[[#This Row],[X base venstre]]*-1</f>
        <v>2.8015817870135784</v>
      </c>
      <c r="DG73" s="54">
        <f t="shared" si="51"/>
        <v>63</v>
      </c>
      <c r="DH73" s="54">
        <f t="shared" si="52"/>
        <v>64</v>
      </c>
      <c r="DI73" s="54">
        <f t="shared" si="53"/>
        <v>9.0203166189247526</v>
      </c>
      <c r="DJ73" s="54" t="e">
        <f t="shared" si="54"/>
        <v>#N/A</v>
      </c>
      <c r="DK73" s="54" t="e">
        <f t="shared" si="55"/>
        <v>#N/A</v>
      </c>
      <c r="DL73" s="54">
        <f t="shared" si="56"/>
        <v>9.2308014417196882E-2</v>
      </c>
      <c r="DM73" s="54" t="e">
        <f t="shared" si="57"/>
        <v>#N/A</v>
      </c>
      <c r="DN73" s="54" t="b">
        <f t="shared" si="58"/>
        <v>0</v>
      </c>
      <c r="DO73" s="54" t="b">
        <f t="shared" si="59"/>
        <v>1</v>
      </c>
      <c r="DP73" s="54" t="b">
        <f t="shared" si="60"/>
        <v>0</v>
      </c>
      <c r="DQ73" s="54" t="b">
        <f t="shared" si="61"/>
        <v>1</v>
      </c>
      <c r="DR73" s="54">
        <f t="shared" si="62"/>
        <v>9.2308014417196882E-2</v>
      </c>
      <c r="DS73" s="54" t="e">
        <f t="shared" si="63"/>
        <v>#N/A</v>
      </c>
      <c r="DT73" s="54">
        <f t="shared" si="64"/>
        <v>9.2308014417196882E-2</v>
      </c>
      <c r="DU73" s="72" t="str">
        <f t="shared" si="65"/>
        <v/>
      </c>
      <c r="DZ73" s="54">
        <f t="shared" si="66"/>
        <v>63</v>
      </c>
      <c r="EA73" s="54">
        <f t="shared" si="67"/>
        <v>64</v>
      </c>
      <c r="EB73" s="54">
        <f t="shared" si="68"/>
        <v>-1.5810490868765557</v>
      </c>
      <c r="EC73" s="54">
        <f t="shared" si="69"/>
        <v>0.11431509630296084</v>
      </c>
      <c r="ED73" s="54" t="e">
        <f t="shared" si="70"/>
        <v>#N/A</v>
      </c>
      <c r="EE73" s="54" t="e">
        <f t="shared" si="71"/>
        <v>#N/A</v>
      </c>
      <c r="EF73" s="54" t="e">
        <f t="shared" si="72"/>
        <v>#N/A</v>
      </c>
      <c r="EG73" s="54" t="b">
        <f t="shared" si="73"/>
        <v>0</v>
      </c>
      <c r="EH73" s="54" t="b">
        <f t="shared" si="74"/>
        <v>1</v>
      </c>
      <c r="EI73" s="54" t="b">
        <f t="shared" si="75"/>
        <v>0</v>
      </c>
      <c r="EJ73" s="54" t="b">
        <f t="shared" si="76"/>
        <v>1</v>
      </c>
      <c r="EK73" s="54">
        <f t="shared" si="77"/>
        <v>0.11431509630296084</v>
      </c>
      <c r="EL73" s="54" t="e">
        <f t="shared" si="78"/>
        <v>#N/A</v>
      </c>
      <c r="EM73" s="54">
        <f t="shared" si="79"/>
        <v>0.11431509630296084</v>
      </c>
      <c r="EN73" s="72" t="str">
        <f t="shared" si="80"/>
        <v/>
      </c>
      <c r="EO7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7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7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73" s="54" t="e" cm="1">
        <f t="array" ref="ER73">IF($CK$3,INDEX(Eu_tabel_a[[#This Row],[Styrke venstre]:[Styrke tosidet]],ER$7),NA())</f>
        <v>#N/A</v>
      </c>
      <c r="ES73" s="54" t="e">
        <f>IF(ER$3,IF(CHOOSE(ER$7,Eu_tabel_a[[#This Row],[x base]]&gt;0,Eu_tabel_a[[#This Row],[x base]]&lt;0,Eu_tabel_a[[#This Row],[x base]]=0),1,NA()),NA())</f>
        <v>#N/A</v>
      </c>
      <c r="ET73" s="54" t="e">
        <f>IF(CHOOSE(ER$7,Eu_tabel_a[[#This Row],[x base]]&gt;0,Eu_tabel_a[[#This Row],[x base]]&lt;0,Eu_tabel_a[[#This Row],[x base]]=0),Eu_tabel_a[[#This Row],[Styrke, aktiv]],NA())</f>
        <v>#N/A</v>
      </c>
      <c r="EU73" s="54" t="e">
        <f>IFERROR(IF($ER$3,Eu_tabel_a[[#This Row],[Styrke, aktiv]],NA()),NA())</f>
        <v>#N/A</v>
      </c>
      <c r="EV73" s="54" t="e">
        <f>IF(ISNA(Eu_tabel_a[[#This Row],[Sand negativ
Nulhypotese afvises
Korrekt]]),NA(),IF(ER$3,1,NA()))</f>
        <v>#N/A</v>
      </c>
      <c r="EW73" s="55" t="str" cm="1">
        <f t="array" ref="EW73">IFERROR(_xlfn.SWITCH(Eu_tabel_a[[#This Row],[Indeks]],_xlfn.IFNA(EU$2,-99),EU$5,_xlfn.IFNA(EU$3,-99),EU$6,_xlfn.IFNA(EU$4,-99),EU$7,""),"")</f>
        <v/>
      </c>
      <c r="EX73" s="54">
        <f>Eu_tabel_a[[#This Row],[x base]]*SQRT(Eu_a_h0_x*(1-Eu_a_h0_x)/Eu_a_n_x)+Eu_a_h0_x</f>
        <v>0</v>
      </c>
      <c r="FC73" s="161" t="e">
        <f t="shared" si="146"/>
        <v>#N/A</v>
      </c>
      <c r="FD73" s="169" t="e">
        <f t="shared" si="121"/>
        <v>#DIV/0!</v>
      </c>
      <c r="FE73" s="7" t="e">
        <f t="shared" si="140"/>
        <v>#DIV/0!</v>
      </c>
      <c r="FF73" t="e">
        <f t="shared" si="122"/>
        <v>#DIV/0!</v>
      </c>
      <c r="FG73" s="8" t="e">
        <f t="shared" si="123"/>
        <v>#DIV/0!</v>
      </c>
      <c r="FH73" s="8" t="e">
        <f t="shared" si="124"/>
        <v>#DIV/0!</v>
      </c>
      <c r="FI73" s="168" t="e">
        <f t="shared" si="125"/>
        <v>#DIV/0!</v>
      </c>
      <c r="FJ73" s="161" t="e">
        <f t="shared" ca="1" si="141"/>
        <v>#N/A</v>
      </c>
      <c r="FK73" s="169" t="e" vm="3">
        <f t="shared" ca="1" si="147"/>
        <v>#VALUE!</v>
      </c>
      <c r="FL73" s="7" t="e" vm="3">
        <f t="shared" ca="1" si="142"/>
        <v>#VALUE!</v>
      </c>
      <c r="FM73" t="e" vm="3">
        <f t="shared" ca="1" si="136"/>
        <v>#VALUE!</v>
      </c>
      <c r="FN73" s="8" t="e" vm="3">
        <f t="shared" ca="1" si="137"/>
        <v>#VALUE!</v>
      </c>
      <c r="FO73" s="8" t="e" vm="3">
        <f t="shared" ca="1" si="138"/>
        <v>#VALUE!</v>
      </c>
      <c r="FP73" s="168" t="e" vm="3">
        <f t="shared" ca="1" si="139"/>
        <v>#VALUE!</v>
      </c>
      <c r="FQ73" s="161" t="e">
        <f t="shared" si="143"/>
        <v>#N/A</v>
      </c>
      <c r="FR73" s="169" t="e">
        <f t="shared" si="148"/>
        <v>#N/A</v>
      </c>
      <c r="FS73" s="7" t="e">
        <f t="shared" si="144"/>
        <v>#N/A</v>
      </c>
      <c r="FT73" t="e">
        <f t="shared" si="149"/>
        <v>#N/A</v>
      </c>
      <c r="FU73" s="8" t="e">
        <f t="shared" si="150"/>
        <v>#N/A</v>
      </c>
      <c r="FV73" s="8" t="e">
        <f t="shared" si="151"/>
        <v>#N/A</v>
      </c>
      <c r="FW73" s="168" t="e">
        <f t="shared" si="152"/>
        <v>#N/A</v>
      </c>
      <c r="FX73" s="161" t="e">
        <f t="shared" si="153"/>
        <v>#N/A</v>
      </c>
      <c r="FY73" s="169" t="e">
        <f t="shared" si="154"/>
        <v>#N/A</v>
      </c>
      <c r="FZ73" s="7" t="e">
        <f t="shared" si="145"/>
        <v>#N/A</v>
      </c>
      <c r="GA73" t="e">
        <f t="shared" si="155"/>
        <v>#N/A</v>
      </c>
      <c r="GB73" s="8" t="e">
        <f t="shared" si="156"/>
        <v>#N/A</v>
      </c>
      <c r="GC73" s="8" t="e">
        <f t="shared" si="157"/>
        <v>#N/A</v>
      </c>
      <c r="GD73" s="168" t="e">
        <f t="shared" si="158"/>
        <v>#N/A</v>
      </c>
      <c r="GE73" s="168"/>
      <c r="GF73" s="168"/>
      <c r="GI73" s="54">
        <f t="shared" si="81"/>
        <v>63</v>
      </c>
      <c r="GJ73" s="54">
        <f t="shared" si="82"/>
        <v>64</v>
      </c>
      <c r="GK73" s="54">
        <f t="shared" si="83"/>
        <v>-1.5810490868765557</v>
      </c>
      <c r="GL73" s="54">
        <f t="shared" si="84"/>
        <v>0.11431509630296084</v>
      </c>
      <c r="GM73" s="54" t="e">
        <f t="shared" si="85"/>
        <v>#N/A</v>
      </c>
      <c r="GN73" s="54" t="e">
        <f t="shared" si="86"/>
        <v>#N/A</v>
      </c>
      <c r="GO73" s="54" t="e">
        <f t="shared" si="87"/>
        <v>#N/A</v>
      </c>
      <c r="GP73" s="54" t="b">
        <f t="shared" si="88"/>
        <v>0</v>
      </c>
      <c r="GQ73" s="54" t="b">
        <f t="shared" si="89"/>
        <v>1</v>
      </c>
      <c r="GR73" s="54" t="b">
        <f t="shared" si="90"/>
        <v>0</v>
      </c>
      <c r="GS73" s="54" t="b">
        <f t="shared" si="91"/>
        <v>1</v>
      </c>
      <c r="GT73" s="54">
        <f t="shared" si="92"/>
        <v>0.11431509630296084</v>
      </c>
      <c r="GU73" s="54" t="e">
        <f t="shared" si="93"/>
        <v>#N/A</v>
      </c>
      <c r="GV73" s="54">
        <f t="shared" si="94"/>
        <v>0.11431509630296084</v>
      </c>
      <c r="GW73" s="72" t="str">
        <f t="shared" si="95"/>
        <v/>
      </c>
      <c r="HC73" s="54">
        <f t="shared" si="96"/>
        <v>63</v>
      </c>
      <c r="HD73" s="54">
        <f t="shared" si="97"/>
        <v>64</v>
      </c>
      <c r="HE73" s="54">
        <f t="shared" si="98"/>
        <v>-2.4482877169777515</v>
      </c>
      <c r="HF73" s="54" t="e">
        <f t="shared" si="99"/>
        <v>#N/A</v>
      </c>
      <c r="HG73" s="54">
        <f t="shared" si="100"/>
        <v>3.2423263296291388E-2</v>
      </c>
      <c r="HH73" s="54" t="e">
        <f t="shared" si="101"/>
        <v>#N/A</v>
      </c>
      <c r="HI73" s="54" t="e">
        <f t="shared" si="102"/>
        <v>#N/A</v>
      </c>
      <c r="HJ73" s="54" t="b">
        <f t="shared" si="103"/>
        <v>1</v>
      </c>
      <c r="HK73" s="54" t="b">
        <f t="shared" si="104"/>
        <v>0</v>
      </c>
      <c r="HL73" s="54" t="b">
        <f t="shared" si="105"/>
        <v>1</v>
      </c>
      <c r="HM73" s="54" t="b">
        <f t="shared" si="106"/>
        <v>0</v>
      </c>
      <c r="HN73" s="54">
        <f t="shared" si="107"/>
        <v>3.2423263296291388E-2</v>
      </c>
      <c r="HO73" s="54">
        <f t="shared" si="108"/>
        <v>3.2423263296291388E-2</v>
      </c>
      <c r="HP73" s="54" t="e">
        <f t="shared" si="109"/>
        <v>#N/A</v>
      </c>
      <c r="HQ73" s="72" t="str">
        <f t="shared" si="110"/>
        <v/>
      </c>
    </row>
    <row r="74" spans="1:225" x14ac:dyDescent="0.2">
      <c r="BS74" s="54">
        <f t="shared" ref="BS74:BS137" si="159">ROW(BS74)-ROW(BS$10)</f>
        <v>64</v>
      </c>
      <c r="BT74" s="54">
        <f>Eu_tabel_g[[#This Row],[Indeks]]+1</f>
        <v>65</v>
      </c>
      <c r="BU74" s="54">
        <f t="shared" ref="BU74:BU137" si="160">BU$5+(BU$7-BU$5)/BU$3*BS74</f>
        <v>-1.5570937976814563</v>
      </c>
      <c r="BV74" s="54">
        <f t="shared" ref="BV74:BV137" si="161">IF(BV$3,_xlfn.NORM.DIST(BU74,BV$5,BV$7,FALSE),NA())</f>
        <v>0.11869369681429402</v>
      </c>
      <c r="BW74" s="54" t="e">
        <f t="shared" ref="BW74:BW137" si="162">IF(BW$3,_xlfn.T.DIST(BU74,BW$5,FALSE),NA())</f>
        <v>#N/A</v>
      </c>
      <c r="BX74" s="54" t="e">
        <f t="shared" ref="BX74:BX137" si="163">IF(BX$3,_xlfn.CHISQ.DIST(BU74,BX$5,FALSE),NA())</f>
        <v>#N/A</v>
      </c>
      <c r="BY74" s="54" t="e">
        <f t="shared" ref="BY74:BY137" si="164">IF(BY$3,_xlfn.F.DIST(BU74,BY$5,BY$7,FALSE),NA())</f>
        <v>#N/A</v>
      </c>
      <c r="BZ74" s="54" t="b">
        <f t="shared" ref="BZ74:BZ137" si="165">BU74&lt;BZ$3</f>
        <v>0</v>
      </c>
      <c r="CA74" s="54" t="b">
        <f t="shared" ref="CA74:CA137" si="166">BU74&gt;BZ$3</f>
        <v>1</v>
      </c>
      <c r="CB74" s="54" t="b">
        <f t="shared" ref="CB74:CB137" si="167">OR(BU74&lt;CB$3,BU74&gt;CB$5)</f>
        <v>0</v>
      </c>
      <c r="CC74" s="54" t="b">
        <f t="shared" ref="CC74:CC137" si="168">AND(BU74&gt;CB$3,BU74&lt;CB$5)</f>
        <v>1</v>
      </c>
      <c r="CD74" s="54">
        <f t="shared" si="135"/>
        <v>0.11869369681429402</v>
      </c>
      <c r="CE74" s="54" t="e">
        <f t="shared" ref="CE74:CE137" si="169">IF(INDEX(BZ74:CC74,CD$7),CD74,NA())</f>
        <v>#N/A</v>
      </c>
      <c r="CF74" s="54">
        <f t="shared" ref="CF74:CF137" si="170">IF(INDEX(BZ74:CC74,CE$7),CD74,NA())</f>
        <v>0.11869369681429402</v>
      </c>
      <c r="CG74" s="72" t="str">
        <f t="shared" ref="CG74:CG137" si="171">_xlfn.SWITCH(BS74,CG$2,CG$5,CG$3,CG$6,CG$4,CG$7,"")</f>
        <v/>
      </c>
      <c r="CH74" s="54">
        <f>_xlfn.NORM.DIST(_xlfn.NORM.INV(1-Eu_g_konfidensniveau,0,1)-Eu_tabel_g[[#This Row],[x base]],0,1,TRUE)</f>
        <v>0.46503378306270904</v>
      </c>
      <c r="CI74" s="54">
        <f>1-_xlfn.NORM.DIST(_xlfn.NORM.INV(Eu_g_konfidensniveau,0,1)-Eu_tabel_g[[#This Row],[x base]],0,1,TRUE)</f>
        <v>6.8250954524728957E-4</v>
      </c>
      <c r="CJ74" s="54">
        <f>_xlfn.NORM.DIST(_xlfn.NORM.INV((1-Eu_g_konfidensniveau)/2,0,1)-Eu_tabel_g[[#This Row],[x base]],0,1,TRUE)+1-_xlfn.NORM.DIST(_xlfn.NORM.INV(1-(1-Eu_g_konfidensniveau)/2,0,1)-Eu_tabel_g[[#This Row],[x base]],0,1,TRUE)</f>
        <v>0.34374004164020988</v>
      </c>
      <c r="CK74" s="54" t="e" cm="1">
        <f t="array" ref="CK74">IF($CK$3,INDEX(Eu_tabel_g[[#This Row],[Styrke venstre]:[Styrke tosidet]],CK$7),NA())</f>
        <v>#N/A</v>
      </c>
      <c r="CL74" s="99" t="e">
        <f>Eu_tabel_g[[#This Row],[Falsk positiv
Nulhypotese accepteres
Fejltype 1]]</f>
        <v>#N/A</v>
      </c>
      <c r="CM74" s="99" t="e">
        <f>IF(CHOOSE(CK$7,Eu_tabel_g[[#This Row],[x base]]&gt;0,Eu_tabel_g[[#This Row],[x base]]&lt;0,Eu_tabel_g[[#This Row],[x base]]=0),Eu_tabel_g[[#This Row],[Styrke, aktiv]],NA())</f>
        <v>#N/A</v>
      </c>
      <c r="CN74" s="99" t="e">
        <f>IFERROR(IF($CK$3,Eu_tabel_g[[#This Row],[Styrke, aktiv]],NA()),NA())</f>
        <v>#N/A</v>
      </c>
      <c r="CO74" s="99" t="e">
        <f>IF(ISNA(Eu_tabel_g[[#This Row],[Sand negativ
Nulhypotese afvises
Korrekt]]),NA(),IF($CK$3,1,NA()))</f>
        <v>#N/A</v>
      </c>
      <c r="CP74" s="56" t="str" cm="1">
        <f t="array" ref="CP74">_xlfn.SWITCH(BS74,_xlfn.IFNA(CN$2,-99),CN$5,_xlfn.IFNA(CN$3,-99),CN$6,_xlfn.IFNA(CN$4,-99),CN$7,"")</f>
        <v/>
      </c>
      <c r="CT74" s="7">
        <f t="shared" ref="CT74:CT137" si="172">_xlfn.NORM.DIST(_xlfn.NORM.INV((1-Eu_g_konfidensniveau)/2,0,1)-CU74,0,1,TRUE)+1-_xlfn.NORM.DIST(_xlfn.NORM.INV(1-(1-Eu_g_konfidensniveau)/2,0,1)-CU74,0,1,TRUE)</f>
        <v>0.8</v>
      </c>
      <c r="CU74">
        <f>IF(ROW(Styrkeberegning_G[[#This Row],[X base venstre]])=ROW(Styrkeberegning_G[[#Headers],[X base venstre]])+1,CU$7/(CT$7/$B$67),CU73/(CT73/$B$67))</f>
        <v>-2.8015817870135784</v>
      </c>
      <c r="CV74">
        <f>Styrkeberegning_G[[#This Row],[X base venstre]]*-1</f>
        <v>2.8015817870135784</v>
      </c>
      <c r="DG74" s="54">
        <f t="shared" ref="DG74:DG137" si="173">ROW(DG74)-ROW(DG$10)</f>
        <v>64</v>
      </c>
      <c r="DH74" s="54">
        <f t="shared" ref="DH74:DH137" si="174">DG74+1</f>
        <v>65</v>
      </c>
      <c r="DI74" s="54">
        <f t="shared" ref="DI74:DI137" si="175">DI$5+(DI$7-DI$5)/DI$3*DG74</f>
        <v>9.1343874753417538</v>
      </c>
      <c r="DJ74" s="54" t="e">
        <f t="shared" ref="DJ74:DJ137" si="176">IF(DJ$3,_xlfn.NORM.DIST(DI74,DJ$5,DJ$7,FALSE),NA())</f>
        <v>#N/A</v>
      </c>
      <c r="DK74" s="54" t="e">
        <f t="shared" ref="DK74:DK137" si="177">IF(DK$3,_xlfn.T.DIST(DI74,DK$5,FALSE),NA())</f>
        <v>#N/A</v>
      </c>
      <c r="DL74" s="54">
        <f t="shared" ref="DL74:DL137" si="178">IF(DL$3,_xlfn.CHISQ.DIST(DI74,DL$5,FALSE),NA())</f>
        <v>9.226323010835695E-2</v>
      </c>
      <c r="DM74" s="54" t="e">
        <f t="shared" ref="DM74:DM137" si="179">IF(DM$3,_xlfn.F.DIST(DI74,DM$5,DM$7,FALSE),NA())</f>
        <v>#N/A</v>
      </c>
      <c r="DN74" s="54" t="b">
        <f t="shared" ref="DN74:DN137" si="180">DI74&lt;DN$3</f>
        <v>0</v>
      </c>
      <c r="DO74" s="54" t="b">
        <f t="shared" ref="DO74:DO137" si="181">DI74&gt;DN$3</f>
        <v>1</v>
      </c>
      <c r="DP74" s="54" t="b">
        <f t="shared" ref="DP74:DP137" si="182">OR(DI74&lt;DP$3,DI74&gt;DP$5)</f>
        <v>0</v>
      </c>
      <c r="DQ74" s="54" t="b">
        <f t="shared" ref="DQ74:DQ137" si="183">AND(DI74&gt;DP$3,DI74&lt;DP$5)</f>
        <v>1</v>
      </c>
      <c r="DR74" s="54">
        <f t="shared" ref="DR74:DR137" si="184">_xlfn.AGGREGATE(9,6,DJ74:DM74)</f>
        <v>9.226323010835695E-2</v>
      </c>
      <c r="DS74" s="54" t="e">
        <f t="shared" ref="DS74:DS137" si="185">IF(INDEX(DN74:DQ74,DR$7),DR74,NA())</f>
        <v>#N/A</v>
      </c>
      <c r="DT74" s="54">
        <f t="shared" ref="DT74:DT137" si="186">IF(INDEX(DN74:DQ74,DS$7),DR74,NA())</f>
        <v>9.226323010835695E-2</v>
      </c>
      <c r="DU74" s="72" t="str">
        <f t="shared" ref="DU74:DU137" si="187">_xlfn.SWITCH(DG74,DU$2,DU$5,DU$3,DU$6,DU$4,DU$7,"")</f>
        <v/>
      </c>
      <c r="DZ74" s="54">
        <f t="shared" ref="DZ74:DZ137" si="188">ROW(DZ74)-ROW(DZ$10)</f>
        <v>64</v>
      </c>
      <c r="EA74" s="54">
        <f t="shared" ref="EA74:EA137" si="189">DZ74+1</f>
        <v>65</v>
      </c>
      <c r="EB74" s="54">
        <f t="shared" ref="EB74:EB137" si="190">EB$5+(EB$7-EB$5)/EB$3*DZ74</f>
        <v>-1.5570937976814563</v>
      </c>
      <c r="EC74" s="54">
        <f t="shared" ref="EC74:EC137" si="191">IF(EC$3,_xlfn.NORM.DIST(EB74,EC$5,EC$7,FALSE),NA())</f>
        <v>0.11869369681429402</v>
      </c>
      <c r="ED74" s="54" t="e">
        <f t="shared" ref="ED74:ED137" si="192">IF(ED$3,_xlfn.T.DIST(EB74,ED$5,FALSE),NA())</f>
        <v>#N/A</v>
      </c>
      <c r="EE74" s="54" t="e">
        <f t="shared" ref="EE74:EE137" si="193">IF(EE$3,_xlfn.CHISQ.DIST(EB74,EE$5,FALSE),NA())</f>
        <v>#N/A</v>
      </c>
      <c r="EF74" s="54" t="e">
        <f t="shared" ref="EF74:EF137" si="194">IF(EF$3,_xlfn.F.DIST(EB74,EF$5,EF$7,FALSE),NA())</f>
        <v>#N/A</v>
      </c>
      <c r="EG74" s="54" t="b">
        <f t="shared" ref="EG74:EG137" si="195">EB74&lt;EG$3</f>
        <v>0</v>
      </c>
      <c r="EH74" s="54" t="b">
        <f t="shared" ref="EH74:EH137" si="196">EB74&gt;EG$3</f>
        <v>1</v>
      </c>
      <c r="EI74" s="54" t="b">
        <f t="shared" ref="EI74:EI137" si="197">OR(EB74&lt;EI$3,EB74&gt;EI$5)</f>
        <v>0</v>
      </c>
      <c r="EJ74" s="54" t="b">
        <f t="shared" ref="EJ74:EJ137" si="198">AND(EB74&gt;EI$3,EB74&lt;EI$5)</f>
        <v>1</v>
      </c>
      <c r="EK74" s="54">
        <f t="shared" ref="EK74:EK137" si="199">_xlfn.AGGREGATE(9,6,EC74:EF74)</f>
        <v>0.11869369681429402</v>
      </c>
      <c r="EL74" s="54" t="e">
        <f t="shared" ref="EL74:EL137" si="200">IF(INDEX(EG74:EJ74,EK$7),EK74,NA())</f>
        <v>#N/A</v>
      </c>
      <c r="EM74" s="54">
        <f t="shared" ref="EM74:EM137" si="201">IF(INDEX(EG74:EJ74,EL$7),EK74,NA())</f>
        <v>0.11869369681429402</v>
      </c>
      <c r="EN74" s="72" t="str">
        <f t="shared" ref="EN74:EN137" si="202">_xlfn.SWITCH(DZ74,EN$2,EN$5,EN$3,EN$6,EN$4,EN$7,"")</f>
        <v/>
      </c>
      <c r="EO7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7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7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74" s="54" t="e" cm="1">
        <f t="array" ref="ER74">IF($CK$3,INDEX(Eu_tabel_a[[#This Row],[Styrke venstre]:[Styrke tosidet]],ER$7),NA())</f>
        <v>#N/A</v>
      </c>
      <c r="ES74" s="54" t="e">
        <f>IF(ER$3,IF(CHOOSE(ER$7,Eu_tabel_a[[#This Row],[x base]]&gt;0,Eu_tabel_a[[#This Row],[x base]]&lt;0,Eu_tabel_a[[#This Row],[x base]]=0),1,NA()),NA())</f>
        <v>#N/A</v>
      </c>
      <c r="ET74" s="54" t="e">
        <f>IF(CHOOSE(ER$7,Eu_tabel_a[[#This Row],[x base]]&gt;0,Eu_tabel_a[[#This Row],[x base]]&lt;0,Eu_tabel_a[[#This Row],[x base]]=0),Eu_tabel_a[[#This Row],[Styrke, aktiv]],NA())</f>
        <v>#N/A</v>
      </c>
      <c r="EU74" s="54" t="e">
        <f>IFERROR(IF($ER$3,Eu_tabel_a[[#This Row],[Styrke, aktiv]],NA()),NA())</f>
        <v>#N/A</v>
      </c>
      <c r="EV74" s="54" t="e">
        <f>IF(ISNA(Eu_tabel_a[[#This Row],[Sand negativ
Nulhypotese afvises
Korrekt]]),NA(),IF(ER$3,1,NA()))</f>
        <v>#N/A</v>
      </c>
      <c r="EW74" s="55" t="str" cm="1">
        <f t="array" ref="EW74">IFERROR(_xlfn.SWITCH(Eu_tabel_a[[#This Row],[Indeks]],_xlfn.IFNA(EU$2,-99),EU$5,_xlfn.IFNA(EU$3,-99),EU$6,_xlfn.IFNA(EU$4,-99),EU$7,""),"")</f>
        <v/>
      </c>
      <c r="EX74" s="54">
        <f>Eu_tabel_a[[#This Row],[x base]]*SQRT(Eu_a_h0_x*(1-Eu_a_h0_x)/Eu_a_n_x)+Eu_a_h0_x</f>
        <v>0</v>
      </c>
      <c r="FC74" s="161" t="e">
        <f t="shared" si="146"/>
        <v>#N/A</v>
      </c>
      <c r="FD74" s="169" t="e">
        <f t="shared" si="121"/>
        <v>#DIV/0!</v>
      </c>
      <c r="FE74" s="7" t="e">
        <f t="shared" si="140"/>
        <v>#DIV/0!</v>
      </c>
      <c r="FF74" t="e">
        <f t="shared" si="122"/>
        <v>#DIV/0!</v>
      </c>
      <c r="FG74" s="8" t="e">
        <f t="shared" si="123"/>
        <v>#DIV/0!</v>
      </c>
      <c r="FH74" s="8" t="e">
        <f t="shared" si="124"/>
        <v>#DIV/0!</v>
      </c>
      <c r="FI74" s="168" t="e">
        <f t="shared" si="125"/>
        <v>#DIV/0!</v>
      </c>
      <c r="FJ74" s="161" t="e">
        <f t="shared" ca="1" si="141"/>
        <v>#N/A</v>
      </c>
      <c r="FK74" s="169" t="e" vm="3">
        <f t="shared" ca="1" si="147"/>
        <v>#VALUE!</v>
      </c>
      <c r="FL74" s="7" t="e" vm="3">
        <f t="shared" ca="1" si="142"/>
        <v>#VALUE!</v>
      </c>
      <c r="FM74" t="e" vm="3">
        <f t="shared" ca="1" si="136"/>
        <v>#VALUE!</v>
      </c>
      <c r="FN74" s="8" t="e" vm="3">
        <f t="shared" ca="1" si="137"/>
        <v>#VALUE!</v>
      </c>
      <c r="FO74" s="8" t="e" vm="3">
        <f t="shared" ca="1" si="138"/>
        <v>#VALUE!</v>
      </c>
      <c r="FP74" s="168" t="e" vm="3">
        <f t="shared" ca="1" si="139"/>
        <v>#VALUE!</v>
      </c>
      <c r="FQ74" s="161" t="e">
        <f t="shared" si="143"/>
        <v>#N/A</v>
      </c>
      <c r="FR74" s="169" t="e">
        <f t="shared" si="148"/>
        <v>#N/A</v>
      </c>
      <c r="FS74" s="7" t="e">
        <f t="shared" si="144"/>
        <v>#N/A</v>
      </c>
      <c r="FT74" t="e">
        <f t="shared" si="149"/>
        <v>#N/A</v>
      </c>
      <c r="FU74" s="8" t="e">
        <f t="shared" si="150"/>
        <v>#N/A</v>
      </c>
      <c r="FV74" s="8" t="e">
        <f t="shared" si="151"/>
        <v>#N/A</v>
      </c>
      <c r="FW74" s="168" t="e">
        <f t="shared" si="152"/>
        <v>#N/A</v>
      </c>
      <c r="FX74" s="161" t="e">
        <f t="shared" si="153"/>
        <v>#N/A</v>
      </c>
      <c r="FY74" s="169" t="e">
        <f t="shared" si="154"/>
        <v>#N/A</v>
      </c>
      <c r="FZ74" s="7" t="e">
        <f t="shared" si="145"/>
        <v>#N/A</v>
      </c>
      <c r="GA74" t="e">
        <f t="shared" si="155"/>
        <v>#N/A</v>
      </c>
      <c r="GB74" s="8" t="e">
        <f t="shared" si="156"/>
        <v>#N/A</v>
      </c>
      <c r="GC74" s="8" t="e">
        <f t="shared" si="157"/>
        <v>#N/A</v>
      </c>
      <c r="GD74" s="168" t="e">
        <f t="shared" si="158"/>
        <v>#N/A</v>
      </c>
      <c r="GE74" s="168"/>
      <c r="GF74" s="168"/>
      <c r="GI74" s="54">
        <f t="shared" ref="GI74:GI137" si="203">ROW(GI74)-ROW(GI$10)</f>
        <v>64</v>
      </c>
      <c r="GJ74" s="54">
        <f t="shared" ref="GJ74:GJ137" si="204">GI74+1</f>
        <v>65</v>
      </c>
      <c r="GK74" s="54">
        <f t="shared" ref="GK74:GK137" si="205">GK$5+(GK$7-GK$5)/GK$3*GI74</f>
        <v>-1.5570937976814563</v>
      </c>
      <c r="GL74" s="54">
        <f t="shared" ref="GL74:GL137" si="206">IF(GL$3,_xlfn.NORM.DIST(GK74,GL$5,GL$7,FALSE),NA())</f>
        <v>0.11869369681429402</v>
      </c>
      <c r="GM74" s="54" t="e">
        <f t="shared" ref="GM74:GM137" si="207">IF(GM$3,_xlfn.T.DIST(GK74,GM$5,FALSE),NA())</f>
        <v>#N/A</v>
      </c>
      <c r="GN74" s="54" t="e">
        <f t="shared" ref="GN74:GN137" si="208">IF(GN$3,_xlfn.CHISQ.DIST(GK74,GN$5,FALSE),NA())</f>
        <v>#N/A</v>
      </c>
      <c r="GO74" s="54" t="e">
        <f t="shared" ref="GO74:GO137" si="209">IF(GO$3,_xlfn.F.DIST(GK74,GO$5,GO$7,FALSE),NA())</f>
        <v>#N/A</v>
      </c>
      <c r="GP74" s="54" t="b">
        <f t="shared" ref="GP74:GP137" si="210">GK74&lt;GP$3</f>
        <v>0</v>
      </c>
      <c r="GQ74" s="54" t="b">
        <f t="shared" ref="GQ74:GQ137" si="211">GK74&gt;GP$3</f>
        <v>1</v>
      </c>
      <c r="GR74" s="54" t="b">
        <f t="shared" ref="GR74:GR137" si="212">OR(GK74&lt;GR$3,GK74&gt;GR$5)</f>
        <v>0</v>
      </c>
      <c r="GS74" s="54" t="b">
        <f t="shared" ref="GS74:GS137" si="213">AND(GK74&gt;GR$3,GK74&lt;GR$5)</f>
        <v>1</v>
      </c>
      <c r="GT74" s="54">
        <f t="shared" ref="GT74:GT137" si="214">_xlfn.AGGREGATE(9,6,GL74:GO74)</f>
        <v>0.11869369681429402</v>
      </c>
      <c r="GU74" s="54" t="e">
        <f t="shared" ref="GU74:GU137" si="215">IF(INDEX(GP74:GS74,GT$7),GT74,NA())</f>
        <v>#N/A</v>
      </c>
      <c r="GV74" s="54">
        <f t="shared" ref="GV74:GV137" si="216">IF(INDEX(GP74:GS74,GU$7),GT74,NA())</f>
        <v>0.11869369681429402</v>
      </c>
      <c r="GW74" s="72" t="str">
        <f t="shared" ref="GW74:GW137" si="217">_xlfn.SWITCH(GI74,GW$2,GW$5,GW$3,GW$6,GW$4,GW$7,"")</f>
        <v/>
      </c>
      <c r="HC74" s="54">
        <f t="shared" ref="HC74:HC137" si="218">ROW(HC74)-ROW(HC$10)</f>
        <v>64</v>
      </c>
      <c r="HD74" s="54">
        <f t="shared" ref="HD74:HD137" si="219">HC74+1</f>
        <v>65</v>
      </c>
      <c r="HE74" s="54">
        <f t="shared" ref="HE74:HE137" si="220">HE$5+(HE$7-HE$5)/HE$3*HC74</f>
        <v>-2.4111924485386949</v>
      </c>
      <c r="HF74" s="54" t="e">
        <f t="shared" ref="HF74:HF137" si="221">IF(HF$3,_xlfn.NORM.DIST(HE74,HF$5,HF$7,FALSE),NA())</f>
        <v>#N/A</v>
      </c>
      <c r="HG74" s="54">
        <f t="shared" ref="HG74:HG137" si="222">IF(HG$3,_xlfn.T.DIST(HE74,HG$5,FALSE),NA())</f>
        <v>3.428663268349693E-2</v>
      </c>
      <c r="HH74" s="54" t="e">
        <f t="shared" ref="HH74:HH137" si="223">IF(HH$3,_xlfn.CHISQ.DIST(HE74,HH$5,FALSE),NA())</f>
        <v>#N/A</v>
      </c>
      <c r="HI74" s="54" t="e">
        <f t="shared" ref="HI74:HI137" si="224">IF(HI$3,_xlfn.F.DIST(HE74,HI$5,HI$7,FALSE),NA())</f>
        <v>#N/A</v>
      </c>
      <c r="HJ74" s="54" t="b">
        <f t="shared" ref="HJ74:HJ137" si="225">HE74&lt;HJ$3</f>
        <v>1</v>
      </c>
      <c r="HK74" s="54" t="b">
        <f t="shared" ref="HK74:HK137" si="226">HE74&gt;HJ$3</f>
        <v>0</v>
      </c>
      <c r="HL74" s="54" t="b">
        <f t="shared" ref="HL74:HL137" si="227">OR(HE74&lt;HL$3,HE74&gt;HL$5)</f>
        <v>1</v>
      </c>
      <c r="HM74" s="54" t="b">
        <f t="shared" ref="HM74:HM137" si="228">AND(HE74&gt;HL$3,HE74&lt;HL$5)</f>
        <v>0</v>
      </c>
      <c r="HN74" s="54">
        <f t="shared" ref="HN74:HN137" si="229">_xlfn.AGGREGATE(9,6,HF74:HI74)</f>
        <v>3.428663268349693E-2</v>
      </c>
      <c r="HO74" s="54">
        <f t="shared" ref="HO74:HO137" si="230">IF(INDEX(HJ74:HM74,HN$7),HN74,NA())</f>
        <v>3.428663268349693E-2</v>
      </c>
      <c r="HP74" s="54" t="e">
        <f t="shared" ref="HP74:HP137" si="231">IF(INDEX(HJ74:HM74,HO$7),HN74,NA())</f>
        <v>#N/A</v>
      </c>
      <c r="HQ74" s="72" t="str">
        <f t="shared" ref="HQ74:HQ137" si="232">_xlfn.SWITCH(HC74,HQ$2,HQ$5,HQ$3,HQ$6,HQ$4,HQ$7,"")</f>
        <v/>
      </c>
    </row>
    <row r="75" spans="1:225" x14ac:dyDescent="0.2">
      <c r="BS75" s="54">
        <f t="shared" si="159"/>
        <v>65</v>
      </c>
      <c r="BT75" s="54">
        <f>Eu_tabel_g[[#This Row],[Indeks]]+1</f>
        <v>66</v>
      </c>
      <c r="BU75" s="54">
        <f t="shared" si="160"/>
        <v>-1.5331385084863569</v>
      </c>
      <c r="BV75" s="54">
        <f t="shared" si="161"/>
        <v>0.12316930873768142</v>
      </c>
      <c r="BW75" s="54" t="e">
        <f t="shared" si="162"/>
        <v>#N/A</v>
      </c>
      <c r="BX75" s="54" t="e">
        <f t="shared" si="163"/>
        <v>#N/A</v>
      </c>
      <c r="BY75" s="54" t="e">
        <f t="shared" si="164"/>
        <v>#N/A</v>
      </c>
      <c r="BZ75" s="54" t="b">
        <f t="shared" si="165"/>
        <v>0</v>
      </c>
      <c r="CA75" s="54" t="b">
        <f t="shared" si="166"/>
        <v>1</v>
      </c>
      <c r="CB75" s="54" t="b">
        <f t="shared" si="167"/>
        <v>0</v>
      </c>
      <c r="CC75" s="54" t="b">
        <f t="shared" si="168"/>
        <v>1</v>
      </c>
      <c r="CD75" s="54">
        <f t="shared" si="135"/>
        <v>0.12316930873768142</v>
      </c>
      <c r="CE75" s="54" t="e">
        <f t="shared" si="169"/>
        <v>#N/A</v>
      </c>
      <c r="CF75" s="54">
        <f t="shared" si="170"/>
        <v>0.12316930873768142</v>
      </c>
      <c r="CG75" s="72" t="str">
        <f t="shared" si="171"/>
        <v/>
      </c>
      <c r="CH75" s="54">
        <f>_xlfn.NORM.DIST(_xlfn.NORM.INV(1-Eu_g_konfidensniveau,0,1)-Eu_tabel_g[[#This Row],[x base]],0,1,TRUE)</f>
        <v>0.45552464578503599</v>
      </c>
      <c r="CI75" s="54">
        <f>1-_xlfn.NORM.DIST(_xlfn.NORM.INV(Eu_g_konfidensniveau,0,1)-Eu_tabel_g[[#This Row],[x base]],0,1,TRUE)</f>
        <v>7.4149386699196018E-4</v>
      </c>
      <c r="CJ75" s="54">
        <f>_xlfn.NORM.DIST(_xlfn.NORM.INV((1-Eu_g_konfidensniveau)/2,0,1)-Eu_tabel_g[[#This Row],[x base]],0,1,TRUE)+1-_xlfn.NORM.DIST(_xlfn.NORM.INV(1-(1-Eu_g_konfidensniveau)/2,0,1)-Eu_tabel_g[[#This Row],[x base]],0,1,TRUE)</f>
        <v>0.33499194621031891</v>
      </c>
      <c r="CK75" s="54" t="e" cm="1">
        <f t="array" ref="CK75">IF($CK$3,INDEX(Eu_tabel_g[[#This Row],[Styrke venstre]:[Styrke tosidet]],CK$7),NA())</f>
        <v>#N/A</v>
      </c>
      <c r="CL75" s="99" t="e">
        <f>Eu_tabel_g[[#This Row],[Falsk positiv
Nulhypotese accepteres
Fejltype 1]]</f>
        <v>#N/A</v>
      </c>
      <c r="CM75" s="99" t="e">
        <f>IF(CHOOSE(CK$7,Eu_tabel_g[[#This Row],[x base]]&gt;0,Eu_tabel_g[[#This Row],[x base]]&lt;0,Eu_tabel_g[[#This Row],[x base]]=0),Eu_tabel_g[[#This Row],[Styrke, aktiv]],NA())</f>
        <v>#N/A</v>
      </c>
      <c r="CN75" s="99" t="e">
        <f>IFERROR(IF($CK$3,Eu_tabel_g[[#This Row],[Styrke, aktiv]],NA()),NA())</f>
        <v>#N/A</v>
      </c>
      <c r="CO75" s="99" t="e">
        <f>IF(ISNA(Eu_tabel_g[[#This Row],[Sand negativ
Nulhypotese afvises
Korrekt]]),NA(),IF($CK$3,1,NA()))</f>
        <v>#N/A</v>
      </c>
      <c r="CP75" s="56" t="str" cm="1">
        <f t="array" ref="CP75">_xlfn.SWITCH(BS75,_xlfn.IFNA(CN$2,-99),CN$5,_xlfn.IFNA(CN$3,-99),CN$6,_xlfn.IFNA(CN$4,-99),CN$7,"")</f>
        <v/>
      </c>
      <c r="CT75" s="7">
        <f t="shared" si="172"/>
        <v>0.8</v>
      </c>
      <c r="CU75">
        <f>IF(ROW(Styrkeberegning_G[[#This Row],[X base venstre]])=ROW(Styrkeberegning_G[[#Headers],[X base venstre]])+1,CU$7/(CT$7/$B$67),CU74/(CT74/$B$67))</f>
        <v>-2.8015817870135784</v>
      </c>
      <c r="CV75">
        <f>Styrkeberegning_G[[#This Row],[X base venstre]]*-1</f>
        <v>2.8015817870135784</v>
      </c>
      <c r="DG75" s="54">
        <f t="shared" si="173"/>
        <v>65</v>
      </c>
      <c r="DH75" s="54">
        <f t="shared" si="174"/>
        <v>66</v>
      </c>
      <c r="DI75" s="54">
        <f t="shared" si="175"/>
        <v>9.248458331758755</v>
      </c>
      <c r="DJ75" s="54" t="e">
        <f t="shared" si="176"/>
        <v>#N/A</v>
      </c>
      <c r="DK75" s="54" t="e">
        <f t="shared" si="177"/>
        <v>#N/A</v>
      </c>
      <c r="DL75" s="54">
        <f t="shared" si="178"/>
        <v>9.2153767802551093E-2</v>
      </c>
      <c r="DM75" s="54" t="e">
        <f t="shared" si="179"/>
        <v>#N/A</v>
      </c>
      <c r="DN75" s="54" t="b">
        <f t="shared" si="180"/>
        <v>0</v>
      </c>
      <c r="DO75" s="54" t="b">
        <f t="shared" si="181"/>
        <v>1</v>
      </c>
      <c r="DP75" s="54" t="b">
        <f t="shared" si="182"/>
        <v>0</v>
      </c>
      <c r="DQ75" s="54" t="b">
        <f t="shared" si="183"/>
        <v>1</v>
      </c>
      <c r="DR75" s="54">
        <f t="shared" si="184"/>
        <v>9.2153767802551093E-2</v>
      </c>
      <c r="DS75" s="54" t="e">
        <f t="shared" si="185"/>
        <v>#N/A</v>
      </c>
      <c r="DT75" s="54">
        <f t="shared" si="186"/>
        <v>9.2153767802551093E-2</v>
      </c>
      <c r="DU75" s="72" t="str">
        <f t="shared" si="187"/>
        <v/>
      </c>
      <c r="DZ75" s="54">
        <f t="shared" si="188"/>
        <v>65</v>
      </c>
      <c r="EA75" s="54">
        <f t="shared" si="189"/>
        <v>66</v>
      </c>
      <c r="EB75" s="54">
        <f t="shared" si="190"/>
        <v>-1.5331385084863569</v>
      </c>
      <c r="EC75" s="54">
        <f t="shared" si="191"/>
        <v>0.12316930873768142</v>
      </c>
      <c r="ED75" s="54" t="e">
        <f t="shared" si="192"/>
        <v>#N/A</v>
      </c>
      <c r="EE75" s="54" t="e">
        <f t="shared" si="193"/>
        <v>#N/A</v>
      </c>
      <c r="EF75" s="54" t="e">
        <f t="shared" si="194"/>
        <v>#N/A</v>
      </c>
      <c r="EG75" s="54" t="b">
        <f t="shared" si="195"/>
        <v>0</v>
      </c>
      <c r="EH75" s="54" t="b">
        <f t="shared" si="196"/>
        <v>1</v>
      </c>
      <c r="EI75" s="54" t="b">
        <f t="shared" si="197"/>
        <v>0</v>
      </c>
      <c r="EJ75" s="54" t="b">
        <f t="shared" si="198"/>
        <v>1</v>
      </c>
      <c r="EK75" s="54">
        <f t="shared" si="199"/>
        <v>0.12316930873768142</v>
      </c>
      <c r="EL75" s="54" t="e">
        <f t="shared" si="200"/>
        <v>#N/A</v>
      </c>
      <c r="EM75" s="54">
        <f t="shared" si="201"/>
        <v>0.12316930873768142</v>
      </c>
      <c r="EN75" s="72" t="str">
        <f t="shared" si="202"/>
        <v/>
      </c>
      <c r="EO7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7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7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75" s="54" t="e" cm="1">
        <f t="array" ref="ER75">IF($CK$3,INDEX(Eu_tabel_a[[#This Row],[Styrke venstre]:[Styrke tosidet]],ER$7),NA())</f>
        <v>#N/A</v>
      </c>
      <c r="ES75" s="54" t="e">
        <f>IF(ER$3,IF(CHOOSE(ER$7,Eu_tabel_a[[#This Row],[x base]]&gt;0,Eu_tabel_a[[#This Row],[x base]]&lt;0,Eu_tabel_a[[#This Row],[x base]]=0),1,NA()),NA())</f>
        <v>#N/A</v>
      </c>
      <c r="ET75" s="54" t="e">
        <f>IF(CHOOSE(ER$7,Eu_tabel_a[[#This Row],[x base]]&gt;0,Eu_tabel_a[[#This Row],[x base]]&lt;0,Eu_tabel_a[[#This Row],[x base]]=0),Eu_tabel_a[[#This Row],[Styrke, aktiv]],NA())</f>
        <v>#N/A</v>
      </c>
      <c r="EU75" s="54" t="e">
        <f>IFERROR(IF($ER$3,Eu_tabel_a[[#This Row],[Styrke, aktiv]],NA()),NA())</f>
        <v>#N/A</v>
      </c>
      <c r="EV75" s="54" t="e">
        <f>IF(ISNA(Eu_tabel_a[[#This Row],[Sand negativ
Nulhypotese afvises
Korrekt]]),NA(),IF(ER$3,1,NA()))</f>
        <v>#N/A</v>
      </c>
      <c r="EW75" s="55" t="str" cm="1">
        <f t="array" ref="EW75">IFERROR(_xlfn.SWITCH(Eu_tabel_a[[#This Row],[Indeks]],_xlfn.IFNA(EU$2,-99),EU$5,_xlfn.IFNA(EU$3,-99),EU$6,_xlfn.IFNA(EU$4,-99),EU$7,""),"")</f>
        <v/>
      </c>
      <c r="EX75" s="54">
        <f>Eu_tabel_a[[#This Row],[x base]]*SQRT(Eu_a_h0_x*(1-Eu_a_h0_x)/Eu_a_n_x)+Eu_a_h0_x</f>
        <v>0</v>
      </c>
      <c r="FC75" s="161" t="e">
        <f t="shared" si="146"/>
        <v>#N/A</v>
      </c>
      <c r="FD75" s="169" t="e">
        <f t="shared" si="121"/>
        <v>#DIV/0!</v>
      </c>
      <c r="FE75" s="7" t="e">
        <f t="shared" si="140"/>
        <v>#DIV/0!</v>
      </c>
      <c r="FF75" t="e">
        <f t="shared" si="122"/>
        <v>#DIV/0!</v>
      </c>
      <c r="FG75" s="8" t="e">
        <f t="shared" si="123"/>
        <v>#DIV/0!</v>
      </c>
      <c r="FH75" s="8" t="e">
        <f t="shared" si="124"/>
        <v>#DIV/0!</v>
      </c>
      <c r="FI75" s="168" t="e">
        <f t="shared" si="125"/>
        <v>#DIV/0!</v>
      </c>
      <c r="FJ75" s="161" t="e">
        <f t="shared" ca="1" si="141"/>
        <v>#N/A</v>
      </c>
      <c r="FK75" s="169" t="e" vm="3">
        <f t="shared" ca="1" si="147"/>
        <v>#VALUE!</v>
      </c>
      <c r="FL75" s="7" t="e" vm="3">
        <f t="shared" ca="1" si="142"/>
        <v>#VALUE!</v>
      </c>
      <c r="FM75" t="e" vm="3">
        <f t="shared" ca="1" si="136"/>
        <v>#VALUE!</v>
      </c>
      <c r="FN75" s="8" t="e" vm="3">
        <f t="shared" ca="1" si="137"/>
        <v>#VALUE!</v>
      </c>
      <c r="FO75" s="8" t="e" vm="3">
        <f t="shared" ca="1" si="138"/>
        <v>#VALUE!</v>
      </c>
      <c r="FP75" s="168" t="e" vm="3">
        <f t="shared" ca="1" si="139"/>
        <v>#VALUE!</v>
      </c>
      <c r="FQ75" s="161" t="e">
        <f t="shared" si="143"/>
        <v>#N/A</v>
      </c>
      <c r="FR75" s="169" t="e">
        <f t="shared" si="148"/>
        <v>#N/A</v>
      </c>
      <c r="FS75" s="7" t="e">
        <f t="shared" si="144"/>
        <v>#N/A</v>
      </c>
      <c r="FT75" t="e">
        <f t="shared" si="149"/>
        <v>#N/A</v>
      </c>
      <c r="FU75" s="8" t="e">
        <f t="shared" si="150"/>
        <v>#N/A</v>
      </c>
      <c r="FV75" s="8" t="e">
        <f t="shared" si="151"/>
        <v>#N/A</v>
      </c>
      <c r="FW75" s="168" t="e">
        <f t="shared" si="152"/>
        <v>#N/A</v>
      </c>
      <c r="FX75" s="161" t="e">
        <f t="shared" si="153"/>
        <v>#N/A</v>
      </c>
      <c r="FY75" s="169" t="e">
        <f t="shared" si="154"/>
        <v>#N/A</v>
      </c>
      <c r="FZ75" s="7" t="e">
        <f t="shared" si="145"/>
        <v>#N/A</v>
      </c>
      <c r="GA75" t="e">
        <f t="shared" si="155"/>
        <v>#N/A</v>
      </c>
      <c r="GB75" s="8" t="e">
        <f t="shared" si="156"/>
        <v>#N/A</v>
      </c>
      <c r="GC75" s="8" t="e">
        <f t="shared" si="157"/>
        <v>#N/A</v>
      </c>
      <c r="GD75" s="168" t="e">
        <f t="shared" si="158"/>
        <v>#N/A</v>
      </c>
      <c r="GE75" s="168"/>
      <c r="GF75" s="168"/>
      <c r="GI75" s="54">
        <f t="shared" si="203"/>
        <v>65</v>
      </c>
      <c r="GJ75" s="54">
        <f t="shared" si="204"/>
        <v>66</v>
      </c>
      <c r="GK75" s="54">
        <f t="shared" si="205"/>
        <v>-1.5331385084863569</v>
      </c>
      <c r="GL75" s="54">
        <f t="shared" si="206"/>
        <v>0.12316930873768142</v>
      </c>
      <c r="GM75" s="54" t="e">
        <f t="shared" si="207"/>
        <v>#N/A</v>
      </c>
      <c r="GN75" s="54" t="e">
        <f t="shared" si="208"/>
        <v>#N/A</v>
      </c>
      <c r="GO75" s="54" t="e">
        <f t="shared" si="209"/>
        <v>#N/A</v>
      </c>
      <c r="GP75" s="54" t="b">
        <f t="shared" si="210"/>
        <v>0</v>
      </c>
      <c r="GQ75" s="54" t="b">
        <f t="shared" si="211"/>
        <v>1</v>
      </c>
      <c r="GR75" s="54" t="b">
        <f t="shared" si="212"/>
        <v>0</v>
      </c>
      <c r="GS75" s="54" t="b">
        <f t="shared" si="213"/>
        <v>1</v>
      </c>
      <c r="GT75" s="54">
        <f t="shared" si="214"/>
        <v>0.12316930873768142</v>
      </c>
      <c r="GU75" s="54" t="e">
        <f t="shared" si="215"/>
        <v>#N/A</v>
      </c>
      <c r="GV75" s="54">
        <f t="shared" si="216"/>
        <v>0.12316930873768142</v>
      </c>
      <c r="GW75" s="72" t="str">
        <f t="shared" si="217"/>
        <v/>
      </c>
      <c r="HC75" s="54">
        <f t="shared" si="218"/>
        <v>65</v>
      </c>
      <c r="HD75" s="54">
        <f t="shared" si="219"/>
        <v>66</v>
      </c>
      <c r="HE75" s="54">
        <f t="shared" si="220"/>
        <v>-2.3740971800996382</v>
      </c>
      <c r="HF75" s="54" t="e">
        <f t="shared" si="221"/>
        <v>#N/A</v>
      </c>
      <c r="HG75" s="54">
        <f t="shared" si="222"/>
        <v>3.6254205263453354E-2</v>
      </c>
      <c r="HH75" s="54" t="e">
        <f t="shared" si="223"/>
        <v>#N/A</v>
      </c>
      <c r="HI75" s="54" t="e">
        <f t="shared" si="224"/>
        <v>#N/A</v>
      </c>
      <c r="HJ75" s="54" t="b">
        <f t="shared" si="225"/>
        <v>1</v>
      </c>
      <c r="HK75" s="54" t="b">
        <f t="shared" si="226"/>
        <v>0</v>
      </c>
      <c r="HL75" s="54" t="b">
        <f t="shared" si="227"/>
        <v>1</v>
      </c>
      <c r="HM75" s="54" t="b">
        <f t="shared" si="228"/>
        <v>0</v>
      </c>
      <c r="HN75" s="54">
        <f t="shared" si="229"/>
        <v>3.6254205263453354E-2</v>
      </c>
      <c r="HO75" s="54">
        <f t="shared" si="230"/>
        <v>3.6254205263453354E-2</v>
      </c>
      <c r="HP75" s="54" t="e">
        <f t="shared" si="231"/>
        <v>#N/A</v>
      </c>
      <c r="HQ75" s="72" t="str">
        <f t="shared" si="232"/>
        <v/>
      </c>
    </row>
    <row r="76" spans="1:225" x14ac:dyDescent="0.2">
      <c r="BS76" s="54">
        <f t="shared" si="159"/>
        <v>66</v>
      </c>
      <c r="BT76" s="54">
        <f>Eu_tabel_g[[#This Row],[Indeks]]+1</f>
        <v>67</v>
      </c>
      <c r="BU76" s="54">
        <f t="shared" si="160"/>
        <v>-1.5091832192912575</v>
      </c>
      <c r="BV76" s="54">
        <f t="shared" si="161"/>
        <v>0.12774035804918907</v>
      </c>
      <c r="BW76" s="54" t="e">
        <f t="shared" si="162"/>
        <v>#N/A</v>
      </c>
      <c r="BX76" s="54" t="e">
        <f t="shared" si="163"/>
        <v>#N/A</v>
      </c>
      <c r="BY76" s="54" t="e">
        <f t="shared" si="164"/>
        <v>#N/A</v>
      </c>
      <c r="BZ76" s="54" t="b">
        <f t="shared" si="165"/>
        <v>0</v>
      </c>
      <c r="CA76" s="54" t="b">
        <f t="shared" si="166"/>
        <v>1</v>
      </c>
      <c r="CB76" s="54" t="b">
        <f t="shared" si="167"/>
        <v>0</v>
      </c>
      <c r="CC76" s="54" t="b">
        <f t="shared" si="168"/>
        <v>1</v>
      </c>
      <c r="CD76" s="54">
        <f t="shared" si="135"/>
        <v>0.12774035804918907</v>
      </c>
      <c r="CE76" s="54" t="e">
        <f t="shared" si="169"/>
        <v>#N/A</v>
      </c>
      <c r="CF76" s="54">
        <f t="shared" si="170"/>
        <v>0.12774035804918907</v>
      </c>
      <c r="CG76" s="72" t="str">
        <f t="shared" si="171"/>
        <v/>
      </c>
      <c r="CH76" s="54">
        <f>_xlfn.NORM.DIST(_xlfn.NORM.INV(1-Eu_g_konfidensniveau,0,1)-Eu_tabel_g[[#This Row],[x base]],0,1,TRUE)</f>
        <v>0.4460409213210163</v>
      </c>
      <c r="CI76" s="54">
        <f>1-_xlfn.NORM.DIST(_xlfn.NORM.INV(Eu_g_konfidensniveau,0,1)-Eu_tabel_g[[#This Row],[x base]],0,1,TRUE)</f>
        <v>8.0514376711926516E-4</v>
      </c>
      <c r="CJ76" s="54">
        <f>_xlfn.NORM.DIST(_xlfn.NORM.INV((1-Eu_g_konfidensniveau)/2,0,1)-Eu_tabel_g[[#This Row],[x base]],0,1,TRUE)+1-_xlfn.NORM.DIST(_xlfn.NORM.INV(1-(1-Eu_g_konfidensniveau)/2,0,1)-Eu_tabel_g[[#This Row],[x base]],0,1,TRUE)</f>
        <v>0.32633483948430808</v>
      </c>
      <c r="CK76" s="54" t="e" cm="1">
        <f t="array" ref="CK76">IF($CK$3,INDEX(Eu_tabel_g[[#This Row],[Styrke venstre]:[Styrke tosidet]],CK$7),NA())</f>
        <v>#N/A</v>
      </c>
      <c r="CL76" s="99" t="e">
        <f>Eu_tabel_g[[#This Row],[Falsk positiv
Nulhypotese accepteres
Fejltype 1]]</f>
        <v>#N/A</v>
      </c>
      <c r="CM76" s="99" t="e">
        <f>IF(CHOOSE(CK$7,Eu_tabel_g[[#This Row],[x base]]&gt;0,Eu_tabel_g[[#This Row],[x base]]&lt;0,Eu_tabel_g[[#This Row],[x base]]=0),Eu_tabel_g[[#This Row],[Styrke, aktiv]],NA())</f>
        <v>#N/A</v>
      </c>
      <c r="CN76" s="99" t="e">
        <f>IFERROR(IF($CK$3,Eu_tabel_g[[#This Row],[Styrke, aktiv]],NA()),NA())</f>
        <v>#N/A</v>
      </c>
      <c r="CO76" s="99" t="e">
        <f>IF(ISNA(Eu_tabel_g[[#This Row],[Sand negativ
Nulhypotese afvises
Korrekt]]),NA(),IF($CK$3,1,NA()))</f>
        <v>#N/A</v>
      </c>
      <c r="CP76" s="56" t="str" cm="1">
        <f t="array" ref="CP76">_xlfn.SWITCH(BS76,_xlfn.IFNA(CN$2,-99),CN$5,_xlfn.IFNA(CN$3,-99),CN$6,_xlfn.IFNA(CN$4,-99),CN$7,"")</f>
        <v/>
      </c>
      <c r="CT76" s="7">
        <f t="shared" si="172"/>
        <v>0.8</v>
      </c>
      <c r="CU76">
        <f>IF(ROW(Styrkeberegning_G[[#This Row],[X base venstre]])=ROW(Styrkeberegning_G[[#Headers],[X base venstre]])+1,CU$7/(CT$7/$B$67),CU75/(CT75/$B$67))</f>
        <v>-2.8015817870135784</v>
      </c>
      <c r="CV76">
        <f>Styrkeberegning_G[[#This Row],[X base venstre]]*-1</f>
        <v>2.8015817870135784</v>
      </c>
      <c r="DG76" s="54">
        <f t="shared" si="173"/>
        <v>66</v>
      </c>
      <c r="DH76" s="54">
        <f t="shared" si="174"/>
        <v>67</v>
      </c>
      <c r="DI76" s="54">
        <f t="shared" si="175"/>
        <v>9.3625291881757562</v>
      </c>
      <c r="DJ76" s="54" t="e">
        <f t="shared" si="176"/>
        <v>#N/A</v>
      </c>
      <c r="DK76" s="54" t="e">
        <f t="shared" si="177"/>
        <v>#N/A</v>
      </c>
      <c r="DL76" s="54">
        <f t="shared" si="178"/>
        <v>9.198144049966174E-2</v>
      </c>
      <c r="DM76" s="54" t="e">
        <f t="shared" si="179"/>
        <v>#N/A</v>
      </c>
      <c r="DN76" s="54" t="b">
        <f t="shared" si="180"/>
        <v>0</v>
      </c>
      <c r="DO76" s="54" t="b">
        <f t="shared" si="181"/>
        <v>1</v>
      </c>
      <c r="DP76" s="54" t="b">
        <f t="shared" si="182"/>
        <v>0</v>
      </c>
      <c r="DQ76" s="54" t="b">
        <f t="shared" si="183"/>
        <v>1</v>
      </c>
      <c r="DR76" s="54">
        <f t="shared" si="184"/>
        <v>9.198144049966174E-2</v>
      </c>
      <c r="DS76" s="54" t="e">
        <f t="shared" si="185"/>
        <v>#N/A</v>
      </c>
      <c r="DT76" s="54">
        <f t="shared" si="186"/>
        <v>9.198144049966174E-2</v>
      </c>
      <c r="DU76" s="72" t="str">
        <f t="shared" si="187"/>
        <v/>
      </c>
      <c r="DZ76" s="54">
        <f t="shared" si="188"/>
        <v>66</v>
      </c>
      <c r="EA76" s="54">
        <f t="shared" si="189"/>
        <v>67</v>
      </c>
      <c r="EB76" s="54">
        <f t="shared" si="190"/>
        <v>-1.5091832192912575</v>
      </c>
      <c r="EC76" s="54">
        <f t="shared" si="191"/>
        <v>0.12774035804918907</v>
      </c>
      <c r="ED76" s="54" t="e">
        <f t="shared" si="192"/>
        <v>#N/A</v>
      </c>
      <c r="EE76" s="54" t="e">
        <f t="shared" si="193"/>
        <v>#N/A</v>
      </c>
      <c r="EF76" s="54" t="e">
        <f t="shared" si="194"/>
        <v>#N/A</v>
      </c>
      <c r="EG76" s="54" t="b">
        <f t="shared" si="195"/>
        <v>0</v>
      </c>
      <c r="EH76" s="54" t="b">
        <f t="shared" si="196"/>
        <v>1</v>
      </c>
      <c r="EI76" s="54" t="b">
        <f t="shared" si="197"/>
        <v>0</v>
      </c>
      <c r="EJ76" s="54" t="b">
        <f t="shared" si="198"/>
        <v>1</v>
      </c>
      <c r="EK76" s="54">
        <f t="shared" si="199"/>
        <v>0.12774035804918907</v>
      </c>
      <c r="EL76" s="54" t="e">
        <f t="shared" si="200"/>
        <v>#N/A</v>
      </c>
      <c r="EM76" s="54">
        <f t="shared" si="201"/>
        <v>0.12774035804918907</v>
      </c>
      <c r="EN76" s="72" t="str">
        <f t="shared" si="202"/>
        <v/>
      </c>
      <c r="EO7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7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7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76" s="54" t="e" cm="1">
        <f t="array" ref="ER76">IF($CK$3,INDEX(Eu_tabel_a[[#This Row],[Styrke venstre]:[Styrke tosidet]],ER$7),NA())</f>
        <v>#N/A</v>
      </c>
      <c r="ES76" s="54" t="e">
        <f>IF(ER$3,IF(CHOOSE(ER$7,Eu_tabel_a[[#This Row],[x base]]&gt;0,Eu_tabel_a[[#This Row],[x base]]&lt;0,Eu_tabel_a[[#This Row],[x base]]=0),1,NA()),NA())</f>
        <v>#N/A</v>
      </c>
      <c r="ET76" s="54" t="e">
        <f>IF(CHOOSE(ER$7,Eu_tabel_a[[#This Row],[x base]]&gt;0,Eu_tabel_a[[#This Row],[x base]]&lt;0,Eu_tabel_a[[#This Row],[x base]]=0),Eu_tabel_a[[#This Row],[Styrke, aktiv]],NA())</f>
        <v>#N/A</v>
      </c>
      <c r="EU76" s="54" t="e">
        <f>IFERROR(IF($ER$3,Eu_tabel_a[[#This Row],[Styrke, aktiv]],NA()),NA())</f>
        <v>#N/A</v>
      </c>
      <c r="EV76" s="54" t="e">
        <f>IF(ISNA(Eu_tabel_a[[#This Row],[Sand negativ
Nulhypotese afvises
Korrekt]]),NA(),IF(ER$3,1,NA()))</f>
        <v>#N/A</v>
      </c>
      <c r="EW76" s="55" t="str" cm="1">
        <f t="array" ref="EW76">IFERROR(_xlfn.SWITCH(Eu_tabel_a[[#This Row],[Indeks]],_xlfn.IFNA(EU$2,-99),EU$5,_xlfn.IFNA(EU$3,-99),EU$6,_xlfn.IFNA(EU$4,-99),EU$7,""),"")</f>
        <v/>
      </c>
      <c r="EX76" s="54">
        <f>Eu_tabel_a[[#This Row],[x base]]*SQRT(Eu_a_h0_x*(1-Eu_a_h0_x)/Eu_a_n_x)+Eu_a_h0_x</f>
        <v>0</v>
      </c>
      <c r="FC76" s="161" t="e">
        <f t="shared" si="146"/>
        <v>#N/A</v>
      </c>
      <c r="FD76" s="169" t="e">
        <f t="shared" si="121"/>
        <v>#DIV/0!</v>
      </c>
      <c r="FE76" s="7" t="e">
        <f t="shared" si="140"/>
        <v>#DIV/0!</v>
      </c>
      <c r="FF76" t="e">
        <f t="shared" si="122"/>
        <v>#DIV/0!</v>
      </c>
      <c r="FG76" s="8" t="e">
        <f t="shared" si="123"/>
        <v>#DIV/0!</v>
      </c>
      <c r="FH76" s="8" t="e">
        <f t="shared" si="124"/>
        <v>#DIV/0!</v>
      </c>
      <c r="FI76" s="168" t="e">
        <f t="shared" si="125"/>
        <v>#DIV/0!</v>
      </c>
      <c r="FJ76" s="161" t="e">
        <f t="shared" ca="1" si="141"/>
        <v>#N/A</v>
      </c>
      <c r="FK76" s="169" t="e" vm="3">
        <f t="shared" ca="1" si="147"/>
        <v>#VALUE!</v>
      </c>
      <c r="FL76" s="7" t="e" vm="3">
        <f t="shared" ca="1" si="142"/>
        <v>#VALUE!</v>
      </c>
      <c r="FM76" t="e" vm="3">
        <f t="shared" ca="1" si="136"/>
        <v>#VALUE!</v>
      </c>
      <c r="FN76" s="8" t="e" vm="3">
        <f t="shared" ca="1" si="137"/>
        <v>#VALUE!</v>
      </c>
      <c r="FO76" s="8" t="e" vm="3">
        <f t="shared" ca="1" si="138"/>
        <v>#VALUE!</v>
      </c>
      <c r="FP76" s="168" t="e" vm="3">
        <f t="shared" ca="1" si="139"/>
        <v>#VALUE!</v>
      </c>
      <c r="FQ76" s="161" t="e">
        <f t="shared" si="143"/>
        <v>#N/A</v>
      </c>
      <c r="FR76" s="169" t="e">
        <f t="shared" si="148"/>
        <v>#N/A</v>
      </c>
      <c r="FS76" s="7" t="e">
        <f t="shared" si="144"/>
        <v>#N/A</v>
      </c>
      <c r="FT76" t="e">
        <f t="shared" si="149"/>
        <v>#N/A</v>
      </c>
      <c r="FU76" s="8" t="e">
        <f t="shared" si="150"/>
        <v>#N/A</v>
      </c>
      <c r="FV76" s="8" t="e">
        <f t="shared" si="151"/>
        <v>#N/A</v>
      </c>
      <c r="FW76" s="168" t="e">
        <f t="shared" si="152"/>
        <v>#N/A</v>
      </c>
      <c r="FX76" s="161" t="e">
        <f t="shared" si="153"/>
        <v>#N/A</v>
      </c>
      <c r="FY76" s="169" t="e">
        <f t="shared" si="154"/>
        <v>#N/A</v>
      </c>
      <c r="FZ76" s="7" t="e">
        <f t="shared" si="145"/>
        <v>#N/A</v>
      </c>
      <c r="GA76" t="e">
        <f t="shared" si="155"/>
        <v>#N/A</v>
      </c>
      <c r="GB76" s="8" t="e">
        <f t="shared" si="156"/>
        <v>#N/A</v>
      </c>
      <c r="GC76" s="8" t="e">
        <f t="shared" si="157"/>
        <v>#N/A</v>
      </c>
      <c r="GD76" s="168" t="e">
        <f t="shared" si="158"/>
        <v>#N/A</v>
      </c>
      <c r="GE76" s="168"/>
      <c r="GF76" s="168"/>
      <c r="GI76" s="54">
        <f t="shared" si="203"/>
        <v>66</v>
      </c>
      <c r="GJ76" s="54">
        <f t="shared" si="204"/>
        <v>67</v>
      </c>
      <c r="GK76" s="54">
        <f t="shared" si="205"/>
        <v>-1.5091832192912575</v>
      </c>
      <c r="GL76" s="54">
        <f t="shared" si="206"/>
        <v>0.12774035804918907</v>
      </c>
      <c r="GM76" s="54" t="e">
        <f t="shared" si="207"/>
        <v>#N/A</v>
      </c>
      <c r="GN76" s="54" t="e">
        <f t="shared" si="208"/>
        <v>#N/A</v>
      </c>
      <c r="GO76" s="54" t="e">
        <f t="shared" si="209"/>
        <v>#N/A</v>
      </c>
      <c r="GP76" s="54" t="b">
        <f t="shared" si="210"/>
        <v>0</v>
      </c>
      <c r="GQ76" s="54" t="b">
        <f t="shared" si="211"/>
        <v>1</v>
      </c>
      <c r="GR76" s="54" t="b">
        <f t="shared" si="212"/>
        <v>0</v>
      </c>
      <c r="GS76" s="54" t="b">
        <f t="shared" si="213"/>
        <v>1</v>
      </c>
      <c r="GT76" s="54">
        <f t="shared" si="214"/>
        <v>0.12774035804918907</v>
      </c>
      <c r="GU76" s="54" t="e">
        <f t="shared" si="215"/>
        <v>#N/A</v>
      </c>
      <c r="GV76" s="54">
        <f t="shared" si="216"/>
        <v>0.12774035804918907</v>
      </c>
      <c r="GW76" s="72" t="str">
        <f t="shared" si="217"/>
        <v/>
      </c>
      <c r="HC76" s="54">
        <f t="shared" si="218"/>
        <v>66</v>
      </c>
      <c r="HD76" s="54">
        <f t="shared" si="219"/>
        <v>67</v>
      </c>
      <c r="HE76" s="54">
        <f t="shared" si="220"/>
        <v>-2.3370019116605811</v>
      </c>
      <c r="HF76" s="54" t="e">
        <f t="shared" si="221"/>
        <v>#N/A</v>
      </c>
      <c r="HG76" s="54">
        <f t="shared" si="222"/>
        <v>3.8331083360961797E-2</v>
      </c>
      <c r="HH76" s="54" t="e">
        <f t="shared" si="223"/>
        <v>#N/A</v>
      </c>
      <c r="HI76" s="54" t="e">
        <f t="shared" si="224"/>
        <v>#N/A</v>
      </c>
      <c r="HJ76" s="54" t="b">
        <f t="shared" si="225"/>
        <v>1</v>
      </c>
      <c r="HK76" s="54" t="b">
        <f t="shared" si="226"/>
        <v>0</v>
      </c>
      <c r="HL76" s="54" t="b">
        <f t="shared" si="227"/>
        <v>1</v>
      </c>
      <c r="HM76" s="54" t="b">
        <f t="shared" si="228"/>
        <v>0</v>
      </c>
      <c r="HN76" s="54">
        <f t="shared" si="229"/>
        <v>3.8331083360961797E-2</v>
      </c>
      <c r="HO76" s="54">
        <f t="shared" si="230"/>
        <v>3.8331083360961797E-2</v>
      </c>
      <c r="HP76" s="54" t="e">
        <f t="shared" si="231"/>
        <v>#N/A</v>
      </c>
      <c r="HQ76" s="72" t="str">
        <f t="shared" si="232"/>
        <v/>
      </c>
    </row>
    <row r="77" spans="1:225" x14ac:dyDescent="0.2">
      <c r="BS77" s="54">
        <f t="shared" si="159"/>
        <v>67</v>
      </c>
      <c r="BT77" s="54">
        <f>Eu_tabel_g[[#This Row],[Indeks]]+1</f>
        <v>68</v>
      </c>
      <c r="BU77" s="54">
        <f t="shared" si="160"/>
        <v>-1.4852279300961584</v>
      </c>
      <c r="BV77" s="54">
        <f t="shared" si="161"/>
        <v>0.13240504455009261</v>
      </c>
      <c r="BW77" s="54" t="e">
        <f t="shared" si="162"/>
        <v>#N/A</v>
      </c>
      <c r="BX77" s="54" t="e">
        <f t="shared" si="163"/>
        <v>#N/A</v>
      </c>
      <c r="BY77" s="54" t="e">
        <f t="shared" si="164"/>
        <v>#N/A</v>
      </c>
      <c r="BZ77" s="54" t="b">
        <f t="shared" si="165"/>
        <v>0</v>
      </c>
      <c r="CA77" s="54" t="b">
        <f t="shared" si="166"/>
        <v>1</v>
      </c>
      <c r="CB77" s="54" t="b">
        <f t="shared" si="167"/>
        <v>0</v>
      </c>
      <c r="CC77" s="54" t="b">
        <f t="shared" si="168"/>
        <v>1</v>
      </c>
      <c r="CD77" s="54">
        <f t="shared" si="135"/>
        <v>0.13240504455009261</v>
      </c>
      <c r="CE77" s="54" t="e">
        <f t="shared" si="169"/>
        <v>#N/A</v>
      </c>
      <c r="CF77" s="54">
        <f t="shared" si="170"/>
        <v>0.13240504455009261</v>
      </c>
      <c r="CG77" s="72" t="str">
        <f t="shared" si="171"/>
        <v/>
      </c>
      <c r="CH77" s="54">
        <f>_xlfn.NORM.DIST(_xlfn.NORM.INV(1-Eu_g_konfidensniveau,0,1)-Eu_tabel_g[[#This Row],[x base]],0,1,TRUE)</f>
        <v>0.43658796768610664</v>
      </c>
      <c r="CI77" s="54">
        <f>1-_xlfn.NORM.DIST(_xlfn.NORM.INV(Eu_g_konfidensniveau,0,1)-Eu_tabel_g[[#This Row],[x base]],0,1,TRUE)</f>
        <v>8.7378888461064896E-4</v>
      </c>
      <c r="CJ77" s="54">
        <f>_xlfn.NORM.DIST(_xlfn.NORM.INV((1-Eu_g_konfidensniveau)/2,0,1)-Eu_tabel_g[[#This Row],[x base]],0,1,TRUE)+1-_xlfn.NORM.DIST(_xlfn.NORM.INV(1-(1-Eu_g_konfidensniveau)/2,0,1)-Eu_tabel_g[[#This Row],[x base]],0,1,TRUE)</f>
        <v>0.31777288511858404</v>
      </c>
      <c r="CK77" s="54" t="e" cm="1">
        <f t="array" ref="CK77">IF($CK$3,INDEX(Eu_tabel_g[[#This Row],[Styrke venstre]:[Styrke tosidet]],CK$7),NA())</f>
        <v>#N/A</v>
      </c>
      <c r="CL77" s="99" t="e">
        <f>Eu_tabel_g[[#This Row],[Falsk positiv
Nulhypotese accepteres
Fejltype 1]]</f>
        <v>#N/A</v>
      </c>
      <c r="CM77" s="99" t="e">
        <f>IF(CHOOSE(CK$7,Eu_tabel_g[[#This Row],[x base]]&gt;0,Eu_tabel_g[[#This Row],[x base]]&lt;0,Eu_tabel_g[[#This Row],[x base]]=0),Eu_tabel_g[[#This Row],[Styrke, aktiv]],NA())</f>
        <v>#N/A</v>
      </c>
      <c r="CN77" s="99" t="e">
        <f>IFERROR(IF($CK$3,Eu_tabel_g[[#This Row],[Styrke, aktiv]],NA()),NA())</f>
        <v>#N/A</v>
      </c>
      <c r="CO77" s="99" t="e">
        <f>IF(ISNA(Eu_tabel_g[[#This Row],[Sand negativ
Nulhypotese afvises
Korrekt]]),NA(),IF($CK$3,1,NA()))</f>
        <v>#N/A</v>
      </c>
      <c r="CP77" s="56" t="str" cm="1">
        <f t="array" ref="CP77">_xlfn.SWITCH(BS77,_xlfn.IFNA(CN$2,-99),CN$5,_xlfn.IFNA(CN$3,-99),CN$6,_xlfn.IFNA(CN$4,-99),CN$7,"")</f>
        <v/>
      </c>
      <c r="CT77" s="7">
        <f t="shared" si="172"/>
        <v>0.8</v>
      </c>
      <c r="CU77">
        <f>IF(ROW(Styrkeberegning_G[[#This Row],[X base venstre]])=ROW(Styrkeberegning_G[[#Headers],[X base venstre]])+1,CU$7/(CT$7/$B$67),CU76/(CT76/$B$67))</f>
        <v>-2.8015817870135784</v>
      </c>
      <c r="CV77">
        <f>Styrkeberegning_G[[#This Row],[X base venstre]]*-1</f>
        <v>2.8015817870135784</v>
      </c>
      <c r="DG77" s="54">
        <f t="shared" si="173"/>
        <v>67</v>
      </c>
      <c r="DH77" s="54">
        <f t="shared" si="174"/>
        <v>68</v>
      </c>
      <c r="DI77" s="54">
        <f t="shared" si="175"/>
        <v>9.4766000445927574</v>
      </c>
      <c r="DJ77" s="54" t="e">
        <f t="shared" si="176"/>
        <v>#N/A</v>
      </c>
      <c r="DK77" s="54" t="e">
        <f t="shared" si="177"/>
        <v>#N/A</v>
      </c>
      <c r="DL77" s="54">
        <f t="shared" si="178"/>
        <v>9.1748122804320709E-2</v>
      </c>
      <c r="DM77" s="54" t="e">
        <f t="shared" si="179"/>
        <v>#N/A</v>
      </c>
      <c r="DN77" s="54" t="b">
        <f t="shared" si="180"/>
        <v>0</v>
      </c>
      <c r="DO77" s="54" t="b">
        <f t="shared" si="181"/>
        <v>1</v>
      </c>
      <c r="DP77" s="54" t="b">
        <f t="shared" si="182"/>
        <v>0</v>
      </c>
      <c r="DQ77" s="54" t="b">
        <f t="shared" si="183"/>
        <v>1</v>
      </c>
      <c r="DR77" s="54">
        <f t="shared" si="184"/>
        <v>9.1748122804320709E-2</v>
      </c>
      <c r="DS77" s="54" t="e">
        <f t="shared" si="185"/>
        <v>#N/A</v>
      </c>
      <c r="DT77" s="54">
        <f t="shared" si="186"/>
        <v>9.1748122804320709E-2</v>
      </c>
      <c r="DU77" s="72" t="str">
        <f t="shared" si="187"/>
        <v/>
      </c>
      <c r="DZ77" s="54">
        <f t="shared" si="188"/>
        <v>67</v>
      </c>
      <c r="EA77" s="54">
        <f t="shared" si="189"/>
        <v>68</v>
      </c>
      <c r="EB77" s="54">
        <f t="shared" si="190"/>
        <v>-1.4852279300961584</v>
      </c>
      <c r="EC77" s="54">
        <f t="shared" si="191"/>
        <v>0.13240504455009261</v>
      </c>
      <c r="ED77" s="54" t="e">
        <f t="shared" si="192"/>
        <v>#N/A</v>
      </c>
      <c r="EE77" s="54" t="e">
        <f t="shared" si="193"/>
        <v>#N/A</v>
      </c>
      <c r="EF77" s="54" t="e">
        <f t="shared" si="194"/>
        <v>#N/A</v>
      </c>
      <c r="EG77" s="54" t="b">
        <f t="shared" si="195"/>
        <v>0</v>
      </c>
      <c r="EH77" s="54" t="b">
        <f t="shared" si="196"/>
        <v>1</v>
      </c>
      <c r="EI77" s="54" t="b">
        <f t="shared" si="197"/>
        <v>0</v>
      </c>
      <c r="EJ77" s="54" t="b">
        <f t="shared" si="198"/>
        <v>1</v>
      </c>
      <c r="EK77" s="54">
        <f t="shared" si="199"/>
        <v>0.13240504455009261</v>
      </c>
      <c r="EL77" s="54" t="e">
        <f t="shared" si="200"/>
        <v>#N/A</v>
      </c>
      <c r="EM77" s="54">
        <f t="shared" si="201"/>
        <v>0.13240504455009261</v>
      </c>
      <c r="EN77" s="72" t="str">
        <f t="shared" si="202"/>
        <v/>
      </c>
      <c r="EO7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7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7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77" s="54" t="e" cm="1">
        <f t="array" ref="ER77">IF($CK$3,INDEX(Eu_tabel_a[[#This Row],[Styrke venstre]:[Styrke tosidet]],ER$7),NA())</f>
        <v>#N/A</v>
      </c>
      <c r="ES77" s="54" t="e">
        <f>IF(ER$3,IF(CHOOSE(ER$7,Eu_tabel_a[[#This Row],[x base]]&gt;0,Eu_tabel_a[[#This Row],[x base]]&lt;0,Eu_tabel_a[[#This Row],[x base]]=0),1,NA()),NA())</f>
        <v>#N/A</v>
      </c>
      <c r="ET77" s="54" t="e">
        <f>IF(CHOOSE(ER$7,Eu_tabel_a[[#This Row],[x base]]&gt;0,Eu_tabel_a[[#This Row],[x base]]&lt;0,Eu_tabel_a[[#This Row],[x base]]=0),Eu_tabel_a[[#This Row],[Styrke, aktiv]],NA())</f>
        <v>#N/A</v>
      </c>
      <c r="EU77" s="54" t="e">
        <f>IFERROR(IF($ER$3,Eu_tabel_a[[#This Row],[Styrke, aktiv]],NA()),NA())</f>
        <v>#N/A</v>
      </c>
      <c r="EV77" s="54" t="e">
        <f>IF(ISNA(Eu_tabel_a[[#This Row],[Sand negativ
Nulhypotese afvises
Korrekt]]),NA(),IF(ER$3,1,NA()))</f>
        <v>#N/A</v>
      </c>
      <c r="EW77" s="55" t="str" cm="1">
        <f t="array" ref="EW77">IFERROR(_xlfn.SWITCH(Eu_tabel_a[[#This Row],[Indeks]],_xlfn.IFNA(EU$2,-99),EU$5,_xlfn.IFNA(EU$3,-99),EU$6,_xlfn.IFNA(EU$4,-99),EU$7,""),"")</f>
        <v/>
      </c>
      <c r="EX77" s="54">
        <f>Eu_tabel_a[[#This Row],[x base]]*SQRT(Eu_a_h0_x*(1-Eu_a_h0_x)/Eu_a_n_x)+Eu_a_h0_x</f>
        <v>0</v>
      </c>
      <c r="FC77" s="161" t="e">
        <f t="shared" si="146"/>
        <v>#N/A</v>
      </c>
      <c r="FD77" s="169" t="e">
        <f t="shared" si="121"/>
        <v>#DIV/0!</v>
      </c>
      <c r="FE77" s="7" t="e">
        <f t="shared" si="140"/>
        <v>#DIV/0!</v>
      </c>
      <c r="FF77" t="e">
        <f t="shared" si="122"/>
        <v>#DIV/0!</v>
      </c>
      <c r="FG77" s="8" t="e">
        <f t="shared" si="123"/>
        <v>#DIV/0!</v>
      </c>
      <c r="FH77" s="8" t="e">
        <f t="shared" si="124"/>
        <v>#DIV/0!</v>
      </c>
      <c r="FI77" s="168" t="e">
        <f t="shared" si="125"/>
        <v>#DIV/0!</v>
      </c>
      <c r="FJ77" s="161" t="e">
        <f t="shared" ca="1" si="141"/>
        <v>#N/A</v>
      </c>
      <c r="FK77" s="169" t="e" vm="3">
        <f t="shared" ca="1" si="147"/>
        <v>#VALUE!</v>
      </c>
      <c r="FL77" s="7" t="e" vm="3">
        <f t="shared" ca="1" si="142"/>
        <v>#VALUE!</v>
      </c>
      <c r="FM77" t="e" vm="3">
        <f t="shared" ca="1" si="136"/>
        <v>#VALUE!</v>
      </c>
      <c r="FN77" s="8" t="e" vm="3">
        <f t="shared" ca="1" si="137"/>
        <v>#VALUE!</v>
      </c>
      <c r="FO77" s="8" t="e" vm="3">
        <f t="shared" ca="1" si="138"/>
        <v>#VALUE!</v>
      </c>
      <c r="FP77" s="168" t="e" vm="3">
        <f t="shared" ca="1" si="139"/>
        <v>#VALUE!</v>
      </c>
      <c r="FQ77" s="161" t="e">
        <f t="shared" si="143"/>
        <v>#N/A</v>
      </c>
      <c r="FR77" s="169" t="e">
        <f t="shared" si="148"/>
        <v>#N/A</v>
      </c>
      <c r="FS77" s="7" t="e">
        <f t="shared" si="144"/>
        <v>#N/A</v>
      </c>
      <c r="FT77" t="e">
        <f t="shared" si="149"/>
        <v>#N/A</v>
      </c>
      <c r="FU77" s="8" t="e">
        <f t="shared" si="150"/>
        <v>#N/A</v>
      </c>
      <c r="FV77" s="8" t="e">
        <f t="shared" si="151"/>
        <v>#N/A</v>
      </c>
      <c r="FW77" s="168" t="e">
        <f t="shared" si="152"/>
        <v>#N/A</v>
      </c>
      <c r="FX77" s="161" t="e">
        <f t="shared" si="153"/>
        <v>#N/A</v>
      </c>
      <c r="FY77" s="169" t="e">
        <f t="shared" si="154"/>
        <v>#N/A</v>
      </c>
      <c r="FZ77" s="7" t="e">
        <f t="shared" si="145"/>
        <v>#N/A</v>
      </c>
      <c r="GA77" t="e">
        <f t="shared" si="155"/>
        <v>#N/A</v>
      </c>
      <c r="GB77" s="8" t="e">
        <f t="shared" si="156"/>
        <v>#N/A</v>
      </c>
      <c r="GC77" s="8" t="e">
        <f t="shared" si="157"/>
        <v>#N/A</v>
      </c>
      <c r="GD77" s="168" t="e">
        <f t="shared" si="158"/>
        <v>#N/A</v>
      </c>
      <c r="GE77" s="168"/>
      <c r="GF77" s="168"/>
      <c r="GI77" s="54">
        <f t="shared" si="203"/>
        <v>67</v>
      </c>
      <c r="GJ77" s="54">
        <f t="shared" si="204"/>
        <v>68</v>
      </c>
      <c r="GK77" s="54">
        <f t="shared" si="205"/>
        <v>-1.4852279300961584</v>
      </c>
      <c r="GL77" s="54">
        <f t="shared" si="206"/>
        <v>0.13240504455009261</v>
      </c>
      <c r="GM77" s="54" t="e">
        <f t="shared" si="207"/>
        <v>#N/A</v>
      </c>
      <c r="GN77" s="54" t="e">
        <f t="shared" si="208"/>
        <v>#N/A</v>
      </c>
      <c r="GO77" s="54" t="e">
        <f t="shared" si="209"/>
        <v>#N/A</v>
      </c>
      <c r="GP77" s="54" t="b">
        <f t="shared" si="210"/>
        <v>0</v>
      </c>
      <c r="GQ77" s="54" t="b">
        <f t="shared" si="211"/>
        <v>1</v>
      </c>
      <c r="GR77" s="54" t="b">
        <f t="shared" si="212"/>
        <v>0</v>
      </c>
      <c r="GS77" s="54" t="b">
        <f t="shared" si="213"/>
        <v>1</v>
      </c>
      <c r="GT77" s="54">
        <f t="shared" si="214"/>
        <v>0.13240504455009261</v>
      </c>
      <c r="GU77" s="54" t="e">
        <f t="shared" si="215"/>
        <v>#N/A</v>
      </c>
      <c r="GV77" s="54">
        <f t="shared" si="216"/>
        <v>0.13240504455009261</v>
      </c>
      <c r="GW77" s="72" t="str">
        <f t="shared" si="217"/>
        <v/>
      </c>
      <c r="HC77" s="54">
        <f t="shared" si="218"/>
        <v>67</v>
      </c>
      <c r="HD77" s="54">
        <f t="shared" si="219"/>
        <v>68</v>
      </c>
      <c r="HE77" s="54">
        <f t="shared" si="220"/>
        <v>-2.2999066432215245</v>
      </c>
      <c r="HF77" s="54" t="e">
        <f t="shared" si="221"/>
        <v>#N/A</v>
      </c>
      <c r="HG77" s="54">
        <f t="shared" si="222"/>
        <v>4.0522517174392161E-2</v>
      </c>
      <c r="HH77" s="54" t="e">
        <f t="shared" si="223"/>
        <v>#N/A</v>
      </c>
      <c r="HI77" s="54" t="e">
        <f t="shared" si="224"/>
        <v>#N/A</v>
      </c>
      <c r="HJ77" s="54" t="b">
        <f t="shared" si="225"/>
        <v>1</v>
      </c>
      <c r="HK77" s="54" t="b">
        <f t="shared" si="226"/>
        <v>0</v>
      </c>
      <c r="HL77" s="54" t="b">
        <f t="shared" si="227"/>
        <v>1</v>
      </c>
      <c r="HM77" s="54" t="b">
        <f t="shared" si="228"/>
        <v>0</v>
      </c>
      <c r="HN77" s="54">
        <f t="shared" si="229"/>
        <v>4.0522517174392161E-2</v>
      </c>
      <c r="HO77" s="54">
        <f t="shared" si="230"/>
        <v>4.0522517174392161E-2</v>
      </c>
      <c r="HP77" s="54" t="e">
        <f t="shared" si="231"/>
        <v>#N/A</v>
      </c>
      <c r="HQ77" s="72" t="str">
        <f t="shared" si="232"/>
        <v/>
      </c>
    </row>
    <row r="78" spans="1:225" x14ac:dyDescent="0.2">
      <c r="BS78" s="54">
        <f t="shared" si="159"/>
        <v>68</v>
      </c>
      <c r="BT78" s="54">
        <f>Eu_tabel_g[[#This Row],[Indeks]]+1</f>
        <v>69</v>
      </c>
      <c r="BU78" s="54">
        <f t="shared" si="160"/>
        <v>-1.461272640901059</v>
      </c>
      <c r="BV78" s="54">
        <f t="shared" si="161"/>
        <v>0.13716133768133662</v>
      </c>
      <c r="BW78" s="54" t="e">
        <f t="shared" si="162"/>
        <v>#N/A</v>
      </c>
      <c r="BX78" s="54" t="e">
        <f t="shared" si="163"/>
        <v>#N/A</v>
      </c>
      <c r="BY78" s="54" t="e">
        <f t="shared" si="164"/>
        <v>#N/A</v>
      </c>
      <c r="BZ78" s="54" t="b">
        <f t="shared" si="165"/>
        <v>0</v>
      </c>
      <c r="CA78" s="54" t="b">
        <f t="shared" si="166"/>
        <v>1</v>
      </c>
      <c r="CB78" s="54" t="b">
        <f t="shared" si="167"/>
        <v>0</v>
      </c>
      <c r="CC78" s="54" t="b">
        <f t="shared" si="168"/>
        <v>1</v>
      </c>
      <c r="CD78" s="54">
        <f t="shared" si="135"/>
        <v>0.13716133768133662</v>
      </c>
      <c r="CE78" s="54" t="e">
        <f t="shared" si="169"/>
        <v>#N/A</v>
      </c>
      <c r="CF78" s="54">
        <f t="shared" si="170"/>
        <v>0.13716133768133662</v>
      </c>
      <c r="CG78" s="72" t="str">
        <f t="shared" si="171"/>
        <v/>
      </c>
      <c r="CH78" s="54">
        <f>_xlfn.NORM.DIST(_xlfn.NORM.INV(1-Eu_g_konfidensniveau,0,1)-Eu_tabel_g[[#This Row],[x base]],0,1,TRUE)</f>
        <v>0.42717109026423261</v>
      </c>
      <c r="CI78" s="54">
        <f>1-_xlfn.NORM.DIST(_xlfn.NORM.INV(Eu_g_konfidensniveau,0,1)-Eu_tabel_g[[#This Row],[x base]],0,1,TRUE)</f>
        <v>9.4777877233520602E-4</v>
      </c>
      <c r="CJ78" s="54">
        <f>_xlfn.NORM.DIST(_xlfn.NORM.INV((1-Eu_g_konfidensniveau)/2,0,1)-Eu_tabel_g[[#This Row],[x base]],0,1,TRUE)+1-_xlfn.NORM.DIST(_xlfn.NORM.INV(1-(1-Eu_g_konfidensniveau)/2,0,1)-Eu_tabel_g[[#This Row],[x base]],0,1,TRUE)</f>
        <v>0.30931010724091768</v>
      </c>
      <c r="CK78" s="54" t="e" cm="1">
        <f t="array" ref="CK78">IF($CK$3,INDEX(Eu_tabel_g[[#This Row],[Styrke venstre]:[Styrke tosidet]],CK$7),NA())</f>
        <v>#N/A</v>
      </c>
      <c r="CL78" s="99" t="e">
        <f>Eu_tabel_g[[#This Row],[Falsk positiv
Nulhypotese accepteres
Fejltype 1]]</f>
        <v>#N/A</v>
      </c>
      <c r="CM78" s="99" t="e">
        <f>IF(CHOOSE(CK$7,Eu_tabel_g[[#This Row],[x base]]&gt;0,Eu_tabel_g[[#This Row],[x base]]&lt;0,Eu_tabel_g[[#This Row],[x base]]=0),Eu_tabel_g[[#This Row],[Styrke, aktiv]],NA())</f>
        <v>#N/A</v>
      </c>
      <c r="CN78" s="99" t="e">
        <f>IFERROR(IF($CK$3,Eu_tabel_g[[#This Row],[Styrke, aktiv]],NA()),NA())</f>
        <v>#N/A</v>
      </c>
      <c r="CO78" s="99" t="e">
        <f>IF(ISNA(Eu_tabel_g[[#This Row],[Sand negativ
Nulhypotese afvises
Korrekt]]),NA(),IF($CK$3,1,NA()))</f>
        <v>#N/A</v>
      </c>
      <c r="CP78" s="56" t="str" cm="1">
        <f t="array" ref="CP78">_xlfn.SWITCH(BS78,_xlfn.IFNA(CN$2,-99),CN$5,_xlfn.IFNA(CN$3,-99),CN$6,_xlfn.IFNA(CN$4,-99),CN$7,"")</f>
        <v/>
      </c>
      <c r="CT78" s="7">
        <f t="shared" si="172"/>
        <v>0.8</v>
      </c>
      <c r="CU78">
        <f>IF(ROW(Styrkeberegning_G[[#This Row],[X base venstre]])=ROW(Styrkeberegning_G[[#Headers],[X base venstre]])+1,CU$7/(CT$7/$B$67),CU77/(CT77/$B$67))</f>
        <v>-2.8015817870135784</v>
      </c>
      <c r="CV78">
        <f>Styrkeberegning_G[[#This Row],[X base venstre]]*-1</f>
        <v>2.8015817870135784</v>
      </c>
      <c r="DG78" s="54">
        <f t="shared" si="173"/>
        <v>68</v>
      </c>
      <c r="DH78" s="54">
        <f t="shared" si="174"/>
        <v>69</v>
      </c>
      <c r="DI78" s="54">
        <f t="shared" si="175"/>
        <v>9.5906709010097586</v>
      </c>
      <c r="DJ78" s="54" t="e">
        <f t="shared" si="176"/>
        <v>#N/A</v>
      </c>
      <c r="DK78" s="54" t="e">
        <f t="shared" si="177"/>
        <v>#N/A</v>
      </c>
      <c r="DL78" s="54">
        <f t="shared" si="178"/>
        <v>9.1455742759090727E-2</v>
      </c>
      <c r="DM78" s="54" t="e">
        <f t="shared" si="179"/>
        <v>#N/A</v>
      </c>
      <c r="DN78" s="54" t="b">
        <f t="shared" si="180"/>
        <v>0</v>
      </c>
      <c r="DO78" s="54" t="b">
        <f t="shared" si="181"/>
        <v>1</v>
      </c>
      <c r="DP78" s="54" t="b">
        <f t="shared" si="182"/>
        <v>0</v>
      </c>
      <c r="DQ78" s="54" t="b">
        <f t="shared" si="183"/>
        <v>1</v>
      </c>
      <c r="DR78" s="54">
        <f t="shared" si="184"/>
        <v>9.1455742759090727E-2</v>
      </c>
      <c r="DS78" s="54" t="e">
        <f t="shared" si="185"/>
        <v>#N/A</v>
      </c>
      <c r="DT78" s="54">
        <f t="shared" si="186"/>
        <v>9.1455742759090727E-2</v>
      </c>
      <c r="DU78" s="72" t="str">
        <f t="shared" si="187"/>
        <v/>
      </c>
      <c r="DZ78" s="54">
        <f t="shared" si="188"/>
        <v>68</v>
      </c>
      <c r="EA78" s="54">
        <f t="shared" si="189"/>
        <v>69</v>
      </c>
      <c r="EB78" s="54">
        <f t="shared" si="190"/>
        <v>-1.461272640901059</v>
      </c>
      <c r="EC78" s="54">
        <f t="shared" si="191"/>
        <v>0.13716133768133662</v>
      </c>
      <c r="ED78" s="54" t="e">
        <f t="shared" si="192"/>
        <v>#N/A</v>
      </c>
      <c r="EE78" s="54" t="e">
        <f t="shared" si="193"/>
        <v>#N/A</v>
      </c>
      <c r="EF78" s="54" t="e">
        <f t="shared" si="194"/>
        <v>#N/A</v>
      </c>
      <c r="EG78" s="54" t="b">
        <f t="shared" si="195"/>
        <v>0</v>
      </c>
      <c r="EH78" s="54" t="b">
        <f t="shared" si="196"/>
        <v>1</v>
      </c>
      <c r="EI78" s="54" t="b">
        <f t="shared" si="197"/>
        <v>0</v>
      </c>
      <c r="EJ78" s="54" t="b">
        <f t="shared" si="198"/>
        <v>1</v>
      </c>
      <c r="EK78" s="54">
        <f t="shared" si="199"/>
        <v>0.13716133768133662</v>
      </c>
      <c r="EL78" s="54" t="e">
        <f t="shared" si="200"/>
        <v>#N/A</v>
      </c>
      <c r="EM78" s="54">
        <f t="shared" si="201"/>
        <v>0.13716133768133662</v>
      </c>
      <c r="EN78" s="72" t="str">
        <f t="shared" si="202"/>
        <v/>
      </c>
      <c r="EO7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7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7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78" s="54" t="e" cm="1">
        <f t="array" ref="ER78">IF($CK$3,INDEX(Eu_tabel_a[[#This Row],[Styrke venstre]:[Styrke tosidet]],ER$7),NA())</f>
        <v>#N/A</v>
      </c>
      <c r="ES78" s="54" t="e">
        <f>IF(ER$3,IF(CHOOSE(ER$7,Eu_tabel_a[[#This Row],[x base]]&gt;0,Eu_tabel_a[[#This Row],[x base]]&lt;0,Eu_tabel_a[[#This Row],[x base]]=0),1,NA()),NA())</f>
        <v>#N/A</v>
      </c>
      <c r="ET78" s="54" t="e">
        <f>IF(CHOOSE(ER$7,Eu_tabel_a[[#This Row],[x base]]&gt;0,Eu_tabel_a[[#This Row],[x base]]&lt;0,Eu_tabel_a[[#This Row],[x base]]=0),Eu_tabel_a[[#This Row],[Styrke, aktiv]],NA())</f>
        <v>#N/A</v>
      </c>
      <c r="EU78" s="54" t="e">
        <f>IFERROR(IF($ER$3,Eu_tabel_a[[#This Row],[Styrke, aktiv]],NA()),NA())</f>
        <v>#N/A</v>
      </c>
      <c r="EV78" s="54" t="e">
        <f>IF(ISNA(Eu_tabel_a[[#This Row],[Sand negativ
Nulhypotese afvises
Korrekt]]),NA(),IF(ER$3,1,NA()))</f>
        <v>#N/A</v>
      </c>
      <c r="EW78" s="55" t="str" cm="1">
        <f t="array" ref="EW78">IFERROR(_xlfn.SWITCH(Eu_tabel_a[[#This Row],[Indeks]],_xlfn.IFNA(EU$2,-99),EU$5,_xlfn.IFNA(EU$3,-99),EU$6,_xlfn.IFNA(EU$4,-99),EU$7,""),"")</f>
        <v/>
      </c>
      <c r="EX78" s="54">
        <f>Eu_tabel_a[[#This Row],[x base]]*SQRT(Eu_a_h0_x*(1-Eu_a_h0_x)/Eu_a_n_x)+Eu_a_h0_x</f>
        <v>0</v>
      </c>
      <c r="FC78" s="161" t="e">
        <f t="shared" si="146"/>
        <v>#N/A</v>
      </c>
      <c r="FD78" s="169" t="e">
        <f t="shared" si="121"/>
        <v>#DIV/0!</v>
      </c>
      <c r="FE78" s="7" t="e">
        <f t="shared" si="140"/>
        <v>#DIV/0!</v>
      </c>
      <c r="FF78" t="e">
        <f t="shared" si="122"/>
        <v>#DIV/0!</v>
      </c>
      <c r="FG78" s="8" t="e">
        <f t="shared" si="123"/>
        <v>#DIV/0!</v>
      </c>
      <c r="FH78" s="8" t="e">
        <f t="shared" si="124"/>
        <v>#DIV/0!</v>
      </c>
      <c r="FI78" s="168" t="e">
        <f t="shared" si="125"/>
        <v>#DIV/0!</v>
      </c>
      <c r="FJ78" s="161" t="e">
        <f t="shared" ca="1" si="141"/>
        <v>#N/A</v>
      </c>
      <c r="FK78" s="169" t="e" vm="3">
        <f t="shared" ca="1" si="147"/>
        <v>#VALUE!</v>
      </c>
      <c r="FL78" s="7" t="e" vm="3">
        <f t="shared" ca="1" si="142"/>
        <v>#VALUE!</v>
      </c>
      <c r="FM78" t="e" vm="3">
        <f t="shared" ca="1" si="136"/>
        <v>#VALUE!</v>
      </c>
      <c r="FN78" s="8" t="e" vm="3">
        <f t="shared" ca="1" si="137"/>
        <v>#VALUE!</v>
      </c>
      <c r="FO78" s="8" t="e" vm="3">
        <f t="shared" ca="1" si="138"/>
        <v>#VALUE!</v>
      </c>
      <c r="FP78" s="168" t="e" vm="3">
        <f t="shared" ca="1" si="139"/>
        <v>#VALUE!</v>
      </c>
      <c r="FQ78" s="161" t="e">
        <f t="shared" si="143"/>
        <v>#N/A</v>
      </c>
      <c r="FR78" s="169" t="e">
        <f t="shared" si="148"/>
        <v>#N/A</v>
      </c>
      <c r="FS78" s="7" t="e">
        <f t="shared" si="144"/>
        <v>#N/A</v>
      </c>
      <c r="FT78" t="e">
        <f t="shared" si="149"/>
        <v>#N/A</v>
      </c>
      <c r="FU78" s="8" t="e">
        <f t="shared" si="150"/>
        <v>#N/A</v>
      </c>
      <c r="FV78" s="8" t="e">
        <f t="shared" si="151"/>
        <v>#N/A</v>
      </c>
      <c r="FW78" s="168" t="e">
        <f t="shared" si="152"/>
        <v>#N/A</v>
      </c>
      <c r="FX78" s="161" t="e">
        <f t="shared" si="153"/>
        <v>#N/A</v>
      </c>
      <c r="FY78" s="169" t="e">
        <f t="shared" si="154"/>
        <v>#N/A</v>
      </c>
      <c r="FZ78" s="7" t="e">
        <f t="shared" si="145"/>
        <v>#N/A</v>
      </c>
      <c r="GA78" t="e">
        <f t="shared" si="155"/>
        <v>#N/A</v>
      </c>
      <c r="GB78" s="8" t="e">
        <f t="shared" si="156"/>
        <v>#N/A</v>
      </c>
      <c r="GC78" s="8" t="e">
        <f t="shared" si="157"/>
        <v>#N/A</v>
      </c>
      <c r="GD78" s="168" t="e">
        <f t="shared" si="158"/>
        <v>#N/A</v>
      </c>
      <c r="GE78" s="168"/>
      <c r="GF78" s="168"/>
      <c r="GI78" s="54">
        <f t="shared" si="203"/>
        <v>68</v>
      </c>
      <c r="GJ78" s="54">
        <f t="shared" si="204"/>
        <v>69</v>
      </c>
      <c r="GK78" s="54">
        <f t="shared" si="205"/>
        <v>-1.461272640901059</v>
      </c>
      <c r="GL78" s="54">
        <f t="shared" si="206"/>
        <v>0.13716133768133662</v>
      </c>
      <c r="GM78" s="54" t="e">
        <f t="shared" si="207"/>
        <v>#N/A</v>
      </c>
      <c r="GN78" s="54" t="e">
        <f t="shared" si="208"/>
        <v>#N/A</v>
      </c>
      <c r="GO78" s="54" t="e">
        <f t="shared" si="209"/>
        <v>#N/A</v>
      </c>
      <c r="GP78" s="54" t="b">
        <f t="shared" si="210"/>
        <v>0</v>
      </c>
      <c r="GQ78" s="54" t="b">
        <f t="shared" si="211"/>
        <v>1</v>
      </c>
      <c r="GR78" s="54" t="b">
        <f t="shared" si="212"/>
        <v>0</v>
      </c>
      <c r="GS78" s="54" t="b">
        <f t="shared" si="213"/>
        <v>1</v>
      </c>
      <c r="GT78" s="54">
        <f t="shared" si="214"/>
        <v>0.13716133768133662</v>
      </c>
      <c r="GU78" s="54" t="e">
        <f t="shared" si="215"/>
        <v>#N/A</v>
      </c>
      <c r="GV78" s="54">
        <f t="shared" si="216"/>
        <v>0.13716133768133662</v>
      </c>
      <c r="GW78" s="72" t="str">
        <f t="shared" si="217"/>
        <v/>
      </c>
      <c r="HC78" s="54">
        <f t="shared" si="218"/>
        <v>68</v>
      </c>
      <c r="HD78" s="54">
        <f t="shared" si="219"/>
        <v>69</v>
      </c>
      <c r="HE78" s="54">
        <f t="shared" si="220"/>
        <v>-2.2628113747824674</v>
      </c>
      <c r="HF78" s="54" t="e">
        <f t="shared" si="221"/>
        <v>#N/A</v>
      </c>
      <c r="HG78" s="54">
        <f t="shared" si="222"/>
        <v>4.2833895415660274E-2</v>
      </c>
      <c r="HH78" s="54" t="e">
        <f t="shared" si="223"/>
        <v>#N/A</v>
      </c>
      <c r="HI78" s="54" t="e">
        <f t="shared" si="224"/>
        <v>#N/A</v>
      </c>
      <c r="HJ78" s="54" t="b">
        <f t="shared" si="225"/>
        <v>1</v>
      </c>
      <c r="HK78" s="54" t="b">
        <f t="shared" si="226"/>
        <v>0</v>
      </c>
      <c r="HL78" s="54" t="b">
        <f t="shared" si="227"/>
        <v>1</v>
      </c>
      <c r="HM78" s="54" t="b">
        <f t="shared" si="228"/>
        <v>0</v>
      </c>
      <c r="HN78" s="54">
        <f t="shared" si="229"/>
        <v>4.2833895415660274E-2</v>
      </c>
      <c r="HO78" s="54">
        <f t="shared" si="230"/>
        <v>4.2833895415660274E-2</v>
      </c>
      <c r="HP78" s="54" t="e">
        <f t="shared" si="231"/>
        <v>#N/A</v>
      </c>
      <c r="HQ78" s="72" t="str">
        <f t="shared" si="232"/>
        <v/>
      </c>
    </row>
    <row r="79" spans="1:225" x14ac:dyDescent="0.2">
      <c r="BS79" s="54">
        <f t="shared" si="159"/>
        <v>69</v>
      </c>
      <c r="BT79" s="54">
        <f>Eu_tabel_g[[#This Row],[Indeks]]+1</f>
        <v>70</v>
      </c>
      <c r="BU79" s="54">
        <f t="shared" si="160"/>
        <v>-1.4373173517059596</v>
      </c>
      <c r="BV79" s="54">
        <f t="shared" si="161"/>
        <v>0.14200697285664771</v>
      </c>
      <c r="BW79" s="54" t="e">
        <f t="shared" si="162"/>
        <v>#N/A</v>
      </c>
      <c r="BX79" s="54" t="e">
        <f t="shared" si="163"/>
        <v>#N/A</v>
      </c>
      <c r="BY79" s="54" t="e">
        <f t="shared" si="164"/>
        <v>#N/A</v>
      </c>
      <c r="BZ79" s="54" t="b">
        <f t="shared" si="165"/>
        <v>0</v>
      </c>
      <c r="CA79" s="54" t="b">
        <f t="shared" si="166"/>
        <v>1</v>
      </c>
      <c r="CB79" s="54" t="b">
        <f t="shared" si="167"/>
        <v>0</v>
      </c>
      <c r="CC79" s="54" t="b">
        <f t="shared" si="168"/>
        <v>1</v>
      </c>
      <c r="CD79" s="54">
        <f t="shared" si="135"/>
        <v>0.14200697285664771</v>
      </c>
      <c r="CE79" s="54" t="e">
        <f t="shared" si="169"/>
        <v>#N/A</v>
      </c>
      <c r="CF79" s="54">
        <f t="shared" si="170"/>
        <v>0.14200697285664771</v>
      </c>
      <c r="CG79" s="72" t="str">
        <f t="shared" si="171"/>
        <v/>
      </c>
      <c r="CH79" s="54">
        <f>_xlfn.NORM.DIST(_xlfn.NORM.INV(1-Eu_g_konfidensniveau,0,1)-Eu_tabel_g[[#This Row],[x base]],0,1,TRUE)</f>
        <v>0.41779553287962068</v>
      </c>
      <c r="CI79" s="54">
        <f>1-_xlfn.NORM.DIST(_xlfn.NORM.INV(Eu_g_konfidensniveau,0,1)-Eu_tabel_g[[#This Row],[x base]],0,1,TRUE)</f>
        <v>1.0274838287291921E-3</v>
      </c>
      <c r="CJ79" s="54">
        <f>_xlfn.NORM.DIST(_xlfn.NORM.INV((1-Eu_g_konfidensniveau)/2,0,1)-Eu_tabel_g[[#This Row],[x base]],0,1,TRUE)+1-_xlfn.NORM.DIST(_xlfn.NORM.INV(1-(1-Eu_g_konfidensniveau)/2,0,1)-Eu_tabel_g[[#This Row],[x base]],0,1,TRUE)</f>
        <v>0.30095038606562374</v>
      </c>
      <c r="CK79" s="54" t="e" cm="1">
        <f t="array" ref="CK79">IF($CK$3,INDEX(Eu_tabel_g[[#This Row],[Styrke venstre]:[Styrke tosidet]],CK$7),NA())</f>
        <v>#N/A</v>
      </c>
      <c r="CL79" s="99" t="e">
        <f>Eu_tabel_g[[#This Row],[Falsk positiv
Nulhypotese accepteres
Fejltype 1]]</f>
        <v>#N/A</v>
      </c>
      <c r="CM79" s="99" t="e">
        <f>IF(CHOOSE(CK$7,Eu_tabel_g[[#This Row],[x base]]&gt;0,Eu_tabel_g[[#This Row],[x base]]&lt;0,Eu_tabel_g[[#This Row],[x base]]=0),Eu_tabel_g[[#This Row],[Styrke, aktiv]],NA())</f>
        <v>#N/A</v>
      </c>
      <c r="CN79" s="99" t="e">
        <f>IFERROR(IF($CK$3,Eu_tabel_g[[#This Row],[Styrke, aktiv]],NA()),NA())</f>
        <v>#N/A</v>
      </c>
      <c r="CO79" s="99" t="e">
        <f>IF(ISNA(Eu_tabel_g[[#This Row],[Sand negativ
Nulhypotese afvises
Korrekt]]),NA(),IF($CK$3,1,NA()))</f>
        <v>#N/A</v>
      </c>
      <c r="CP79" s="56" t="str" cm="1">
        <f t="array" ref="CP79">_xlfn.SWITCH(BS79,_xlfn.IFNA(CN$2,-99),CN$5,_xlfn.IFNA(CN$3,-99),CN$6,_xlfn.IFNA(CN$4,-99),CN$7,"")</f>
        <v/>
      </c>
      <c r="CT79" s="7">
        <f t="shared" si="172"/>
        <v>0.8</v>
      </c>
      <c r="CU79">
        <f>IF(ROW(Styrkeberegning_G[[#This Row],[X base venstre]])=ROW(Styrkeberegning_G[[#Headers],[X base venstre]])+1,CU$7/(CT$7/$B$67),CU78/(CT78/$B$67))</f>
        <v>-2.8015817870135784</v>
      </c>
      <c r="CV79">
        <f>Styrkeberegning_G[[#This Row],[X base venstre]]*-1</f>
        <v>2.8015817870135784</v>
      </c>
      <c r="DG79" s="54">
        <f t="shared" si="173"/>
        <v>69</v>
      </c>
      <c r="DH79" s="54">
        <f t="shared" si="174"/>
        <v>70</v>
      </c>
      <c r="DI79" s="54">
        <f t="shared" si="175"/>
        <v>9.7047417574267598</v>
      </c>
      <c r="DJ79" s="54" t="e">
        <f t="shared" si="176"/>
        <v>#N/A</v>
      </c>
      <c r="DK79" s="54" t="e">
        <f t="shared" si="177"/>
        <v>#N/A</v>
      </c>
      <c r="DL79" s="54">
        <f t="shared" si="178"/>
        <v>9.1106273997226025E-2</v>
      </c>
      <c r="DM79" s="54" t="e">
        <f t="shared" si="179"/>
        <v>#N/A</v>
      </c>
      <c r="DN79" s="54" t="b">
        <f t="shared" si="180"/>
        <v>0</v>
      </c>
      <c r="DO79" s="54" t="b">
        <f t="shared" si="181"/>
        <v>1</v>
      </c>
      <c r="DP79" s="54" t="b">
        <f t="shared" si="182"/>
        <v>0</v>
      </c>
      <c r="DQ79" s="54" t="b">
        <f t="shared" si="183"/>
        <v>1</v>
      </c>
      <c r="DR79" s="54">
        <f t="shared" si="184"/>
        <v>9.1106273997226025E-2</v>
      </c>
      <c r="DS79" s="54" t="e">
        <f t="shared" si="185"/>
        <v>#N/A</v>
      </c>
      <c r="DT79" s="54">
        <f t="shared" si="186"/>
        <v>9.1106273997226025E-2</v>
      </c>
      <c r="DU79" s="72" t="str">
        <f t="shared" si="187"/>
        <v/>
      </c>
      <c r="DZ79" s="54">
        <f t="shared" si="188"/>
        <v>69</v>
      </c>
      <c r="EA79" s="54">
        <f t="shared" si="189"/>
        <v>70</v>
      </c>
      <c r="EB79" s="54">
        <f t="shared" si="190"/>
        <v>-1.4373173517059596</v>
      </c>
      <c r="EC79" s="54">
        <f t="shared" si="191"/>
        <v>0.14200697285664771</v>
      </c>
      <c r="ED79" s="54" t="e">
        <f t="shared" si="192"/>
        <v>#N/A</v>
      </c>
      <c r="EE79" s="54" t="e">
        <f t="shared" si="193"/>
        <v>#N/A</v>
      </c>
      <c r="EF79" s="54" t="e">
        <f t="shared" si="194"/>
        <v>#N/A</v>
      </c>
      <c r="EG79" s="54" t="b">
        <f t="shared" si="195"/>
        <v>0</v>
      </c>
      <c r="EH79" s="54" t="b">
        <f t="shared" si="196"/>
        <v>1</v>
      </c>
      <c r="EI79" s="54" t="b">
        <f t="shared" si="197"/>
        <v>0</v>
      </c>
      <c r="EJ79" s="54" t="b">
        <f t="shared" si="198"/>
        <v>1</v>
      </c>
      <c r="EK79" s="54">
        <f t="shared" si="199"/>
        <v>0.14200697285664771</v>
      </c>
      <c r="EL79" s="54" t="e">
        <f t="shared" si="200"/>
        <v>#N/A</v>
      </c>
      <c r="EM79" s="54">
        <f t="shared" si="201"/>
        <v>0.14200697285664771</v>
      </c>
      <c r="EN79" s="72" t="str">
        <f t="shared" si="202"/>
        <v/>
      </c>
      <c r="EO7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7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7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79" s="54" t="e" cm="1">
        <f t="array" ref="ER79">IF($CK$3,INDEX(Eu_tabel_a[[#This Row],[Styrke venstre]:[Styrke tosidet]],ER$7),NA())</f>
        <v>#N/A</v>
      </c>
      <c r="ES79" s="54" t="e">
        <f>IF(ER$3,IF(CHOOSE(ER$7,Eu_tabel_a[[#This Row],[x base]]&gt;0,Eu_tabel_a[[#This Row],[x base]]&lt;0,Eu_tabel_a[[#This Row],[x base]]=0),1,NA()),NA())</f>
        <v>#N/A</v>
      </c>
      <c r="ET79" s="54" t="e">
        <f>IF(CHOOSE(ER$7,Eu_tabel_a[[#This Row],[x base]]&gt;0,Eu_tabel_a[[#This Row],[x base]]&lt;0,Eu_tabel_a[[#This Row],[x base]]=0),Eu_tabel_a[[#This Row],[Styrke, aktiv]],NA())</f>
        <v>#N/A</v>
      </c>
      <c r="EU79" s="54" t="e">
        <f>IFERROR(IF($ER$3,Eu_tabel_a[[#This Row],[Styrke, aktiv]],NA()),NA())</f>
        <v>#N/A</v>
      </c>
      <c r="EV79" s="54" t="e">
        <f>IF(ISNA(Eu_tabel_a[[#This Row],[Sand negativ
Nulhypotese afvises
Korrekt]]),NA(),IF(ER$3,1,NA()))</f>
        <v>#N/A</v>
      </c>
      <c r="EW79" s="55" t="str" cm="1">
        <f t="array" ref="EW79">IFERROR(_xlfn.SWITCH(Eu_tabel_a[[#This Row],[Indeks]],_xlfn.IFNA(EU$2,-99),EU$5,_xlfn.IFNA(EU$3,-99),EU$6,_xlfn.IFNA(EU$4,-99),EU$7,""),"")</f>
        <v/>
      </c>
      <c r="EX79" s="54">
        <f>Eu_tabel_a[[#This Row],[x base]]*SQRT(Eu_a_h0_x*(1-Eu_a_h0_x)/Eu_a_n_x)+Eu_a_h0_x</f>
        <v>0</v>
      </c>
      <c r="FC79" s="161" t="e">
        <f t="shared" si="146"/>
        <v>#N/A</v>
      </c>
      <c r="FD79" s="169" t="e">
        <f t="shared" si="121"/>
        <v>#DIV/0!</v>
      </c>
      <c r="FE79" s="7" t="e">
        <f t="shared" si="140"/>
        <v>#DIV/0!</v>
      </c>
      <c r="FF79" t="e">
        <f t="shared" si="122"/>
        <v>#DIV/0!</v>
      </c>
      <c r="FG79" s="8" t="e">
        <f t="shared" si="123"/>
        <v>#DIV/0!</v>
      </c>
      <c r="FH79" s="8" t="e">
        <f t="shared" si="124"/>
        <v>#DIV/0!</v>
      </c>
      <c r="FI79" s="168" t="e">
        <f t="shared" si="125"/>
        <v>#DIV/0!</v>
      </c>
      <c r="FJ79" s="161" t="e">
        <f t="shared" ca="1" si="141"/>
        <v>#N/A</v>
      </c>
      <c r="FK79" s="169" t="e" vm="3">
        <f t="shared" ca="1" si="147"/>
        <v>#VALUE!</v>
      </c>
      <c r="FL79" s="7" t="e" vm="3">
        <f t="shared" ca="1" si="142"/>
        <v>#VALUE!</v>
      </c>
      <c r="FM79" t="e" vm="3">
        <f t="shared" ca="1" si="136"/>
        <v>#VALUE!</v>
      </c>
      <c r="FN79" s="8" t="e" vm="3">
        <f t="shared" ca="1" si="137"/>
        <v>#VALUE!</v>
      </c>
      <c r="FO79" s="8" t="e" vm="3">
        <f t="shared" ca="1" si="138"/>
        <v>#VALUE!</v>
      </c>
      <c r="FP79" s="168" t="e" vm="3">
        <f t="shared" ca="1" si="139"/>
        <v>#VALUE!</v>
      </c>
      <c r="FQ79" s="161" t="e">
        <f t="shared" si="143"/>
        <v>#N/A</v>
      </c>
      <c r="FR79" s="169" t="e">
        <f t="shared" si="148"/>
        <v>#N/A</v>
      </c>
      <c r="FS79" s="7" t="e">
        <f t="shared" si="144"/>
        <v>#N/A</v>
      </c>
      <c r="FT79" t="e">
        <f t="shared" si="149"/>
        <v>#N/A</v>
      </c>
      <c r="FU79" s="8" t="e">
        <f t="shared" si="150"/>
        <v>#N/A</v>
      </c>
      <c r="FV79" s="8" t="e">
        <f t="shared" si="151"/>
        <v>#N/A</v>
      </c>
      <c r="FW79" s="168" t="e">
        <f t="shared" si="152"/>
        <v>#N/A</v>
      </c>
      <c r="FX79" s="161" t="e">
        <f t="shared" si="153"/>
        <v>#N/A</v>
      </c>
      <c r="FY79" s="169" t="e">
        <f t="shared" si="154"/>
        <v>#N/A</v>
      </c>
      <c r="FZ79" s="7" t="e">
        <f t="shared" si="145"/>
        <v>#N/A</v>
      </c>
      <c r="GA79" t="e">
        <f t="shared" si="155"/>
        <v>#N/A</v>
      </c>
      <c r="GB79" s="8" t="e">
        <f t="shared" si="156"/>
        <v>#N/A</v>
      </c>
      <c r="GC79" s="8" t="e">
        <f t="shared" si="157"/>
        <v>#N/A</v>
      </c>
      <c r="GD79" s="168" t="e">
        <f t="shared" si="158"/>
        <v>#N/A</v>
      </c>
      <c r="GE79" s="168"/>
      <c r="GF79" s="168"/>
      <c r="GI79" s="54">
        <f t="shared" si="203"/>
        <v>69</v>
      </c>
      <c r="GJ79" s="54">
        <f t="shared" si="204"/>
        <v>70</v>
      </c>
      <c r="GK79" s="54">
        <f t="shared" si="205"/>
        <v>-1.4373173517059596</v>
      </c>
      <c r="GL79" s="54">
        <f t="shared" si="206"/>
        <v>0.14200697285664771</v>
      </c>
      <c r="GM79" s="54" t="e">
        <f t="shared" si="207"/>
        <v>#N/A</v>
      </c>
      <c r="GN79" s="54" t="e">
        <f t="shared" si="208"/>
        <v>#N/A</v>
      </c>
      <c r="GO79" s="54" t="e">
        <f t="shared" si="209"/>
        <v>#N/A</v>
      </c>
      <c r="GP79" s="54" t="b">
        <f t="shared" si="210"/>
        <v>0</v>
      </c>
      <c r="GQ79" s="54" t="b">
        <f t="shared" si="211"/>
        <v>1</v>
      </c>
      <c r="GR79" s="54" t="b">
        <f t="shared" si="212"/>
        <v>0</v>
      </c>
      <c r="GS79" s="54" t="b">
        <f t="shared" si="213"/>
        <v>1</v>
      </c>
      <c r="GT79" s="54">
        <f t="shared" si="214"/>
        <v>0.14200697285664771</v>
      </c>
      <c r="GU79" s="54" t="e">
        <f t="shared" si="215"/>
        <v>#N/A</v>
      </c>
      <c r="GV79" s="54">
        <f t="shared" si="216"/>
        <v>0.14200697285664771</v>
      </c>
      <c r="GW79" s="72" t="str">
        <f t="shared" si="217"/>
        <v/>
      </c>
      <c r="HC79" s="54">
        <f t="shared" si="218"/>
        <v>69</v>
      </c>
      <c r="HD79" s="54">
        <f t="shared" si="219"/>
        <v>70</v>
      </c>
      <c r="HE79" s="54">
        <f t="shared" si="220"/>
        <v>-2.2257161063434108</v>
      </c>
      <c r="HF79" s="54" t="e">
        <f t="shared" si="221"/>
        <v>#N/A</v>
      </c>
      <c r="HG79" s="54">
        <f t="shared" si="222"/>
        <v>4.5270733725450971E-2</v>
      </c>
      <c r="HH79" s="54" t="e">
        <f t="shared" si="223"/>
        <v>#N/A</v>
      </c>
      <c r="HI79" s="54" t="e">
        <f t="shared" si="224"/>
        <v>#N/A</v>
      </c>
      <c r="HJ79" s="54" t="b">
        <f t="shared" si="225"/>
        <v>1</v>
      </c>
      <c r="HK79" s="54" t="b">
        <f t="shared" si="226"/>
        <v>0</v>
      </c>
      <c r="HL79" s="54" t="b">
        <f t="shared" si="227"/>
        <v>1</v>
      </c>
      <c r="HM79" s="54" t="b">
        <f t="shared" si="228"/>
        <v>0</v>
      </c>
      <c r="HN79" s="54">
        <f t="shared" si="229"/>
        <v>4.5270733725450971E-2</v>
      </c>
      <c r="HO79" s="54">
        <f t="shared" si="230"/>
        <v>4.5270733725450971E-2</v>
      </c>
      <c r="HP79" s="54" t="e">
        <f t="shared" si="231"/>
        <v>#N/A</v>
      </c>
      <c r="HQ79" s="72" t="str">
        <f t="shared" si="232"/>
        <v/>
      </c>
    </row>
    <row r="80" spans="1:225" x14ac:dyDescent="0.2">
      <c r="BS80" s="54">
        <f t="shared" si="159"/>
        <v>70</v>
      </c>
      <c r="BT80" s="54">
        <f>Eu_tabel_g[[#This Row],[Indeks]]+1</f>
        <v>71</v>
      </c>
      <c r="BU80" s="54">
        <f t="shared" si="160"/>
        <v>-1.4133620625108603</v>
      </c>
      <c r="BV80" s="54">
        <f t="shared" si="161"/>
        <v>0.14693944834608266</v>
      </c>
      <c r="BW80" s="54" t="e">
        <f t="shared" si="162"/>
        <v>#N/A</v>
      </c>
      <c r="BX80" s="54" t="e">
        <f t="shared" si="163"/>
        <v>#N/A</v>
      </c>
      <c r="BY80" s="54" t="e">
        <f t="shared" si="164"/>
        <v>#N/A</v>
      </c>
      <c r="BZ80" s="54" t="b">
        <f t="shared" si="165"/>
        <v>0</v>
      </c>
      <c r="CA80" s="54" t="b">
        <f t="shared" si="166"/>
        <v>1</v>
      </c>
      <c r="CB80" s="54" t="b">
        <f t="shared" si="167"/>
        <v>0</v>
      </c>
      <c r="CC80" s="54" t="b">
        <f t="shared" si="168"/>
        <v>1</v>
      </c>
      <c r="CD80" s="54">
        <f t="shared" si="135"/>
        <v>0.14693944834608266</v>
      </c>
      <c r="CE80" s="54" t="e">
        <f t="shared" si="169"/>
        <v>#N/A</v>
      </c>
      <c r="CF80" s="54">
        <f t="shared" si="170"/>
        <v>0.14693944834608266</v>
      </c>
      <c r="CG80" s="72" t="str">
        <f t="shared" si="171"/>
        <v/>
      </c>
      <c r="CH80" s="54">
        <f>_xlfn.NORM.DIST(_xlfn.NORM.INV(1-Eu_g_konfidensniveau,0,1)-Eu_tabel_g[[#This Row],[x base]],0,1,TRUE)</f>
        <v>0.4084664690436639</v>
      </c>
      <c r="CI80" s="54">
        <f>1-_xlfn.NORM.DIST(_xlfn.NORM.INV(Eu_g_konfidensniveau,0,1)-Eu_tabel_g[[#This Row],[x base]],0,1,TRUE)</f>
        <v>1.1132962523361378E-3</v>
      </c>
      <c r="CJ80" s="54">
        <f>_xlfn.NORM.DIST(_xlfn.NORM.INV((1-Eu_g_konfidensniveau)/2,0,1)-Eu_tabel_g[[#This Row],[x base]],0,1,TRUE)+1-_xlfn.NORM.DIST(_xlfn.NORM.INV(1-(1-Eu_g_konfidensniveau)/2,0,1)-Eu_tabel_g[[#This Row],[x base]],0,1,TRUE)</f>
        <v>0.29269745394311342</v>
      </c>
      <c r="CK80" s="54" t="e" cm="1">
        <f t="array" ref="CK80">IF($CK$3,INDEX(Eu_tabel_g[[#This Row],[Styrke venstre]:[Styrke tosidet]],CK$7),NA())</f>
        <v>#N/A</v>
      </c>
      <c r="CL80" s="99" t="e">
        <f>Eu_tabel_g[[#This Row],[Falsk positiv
Nulhypotese accepteres
Fejltype 1]]</f>
        <v>#N/A</v>
      </c>
      <c r="CM80" s="99" t="e">
        <f>IF(CHOOSE(CK$7,Eu_tabel_g[[#This Row],[x base]]&gt;0,Eu_tabel_g[[#This Row],[x base]]&lt;0,Eu_tabel_g[[#This Row],[x base]]=0),Eu_tabel_g[[#This Row],[Styrke, aktiv]],NA())</f>
        <v>#N/A</v>
      </c>
      <c r="CN80" s="99" t="e">
        <f>IFERROR(IF($CK$3,Eu_tabel_g[[#This Row],[Styrke, aktiv]],NA()),NA())</f>
        <v>#N/A</v>
      </c>
      <c r="CO80" s="99" t="e">
        <f>IF(ISNA(Eu_tabel_g[[#This Row],[Sand negativ
Nulhypotese afvises
Korrekt]]),NA(),IF($CK$3,1,NA()))</f>
        <v>#N/A</v>
      </c>
      <c r="CP80" s="56" t="str" cm="1">
        <f t="array" ref="CP80">_xlfn.SWITCH(BS80,_xlfn.IFNA(CN$2,-99),CN$5,_xlfn.IFNA(CN$3,-99),CN$6,_xlfn.IFNA(CN$4,-99),CN$7,"")</f>
        <v/>
      </c>
      <c r="CT80" s="7">
        <f t="shared" si="172"/>
        <v>0.8</v>
      </c>
      <c r="CU80">
        <f>IF(ROW(Styrkeberegning_G[[#This Row],[X base venstre]])=ROW(Styrkeberegning_G[[#Headers],[X base venstre]])+1,CU$7/(CT$7/$B$67),CU79/(CT79/$B$67))</f>
        <v>-2.8015817870135784</v>
      </c>
      <c r="CV80">
        <f>Styrkeberegning_G[[#This Row],[X base venstre]]*-1</f>
        <v>2.8015817870135784</v>
      </c>
      <c r="DG80" s="54">
        <f t="shared" si="173"/>
        <v>70</v>
      </c>
      <c r="DH80" s="54">
        <f t="shared" si="174"/>
        <v>71</v>
      </c>
      <c r="DI80" s="54">
        <f t="shared" si="175"/>
        <v>9.818812613843761</v>
      </c>
      <c r="DJ80" s="54" t="e">
        <f t="shared" si="176"/>
        <v>#N/A</v>
      </c>
      <c r="DK80" s="54" t="e">
        <f t="shared" si="177"/>
        <v>#N/A</v>
      </c>
      <c r="DL80" s="54">
        <f t="shared" si="178"/>
        <v>9.0701728223188074E-2</v>
      </c>
      <c r="DM80" s="54" t="e">
        <f t="shared" si="179"/>
        <v>#N/A</v>
      </c>
      <c r="DN80" s="54" t="b">
        <f t="shared" si="180"/>
        <v>0</v>
      </c>
      <c r="DO80" s="54" t="b">
        <f t="shared" si="181"/>
        <v>1</v>
      </c>
      <c r="DP80" s="54" t="b">
        <f t="shared" si="182"/>
        <v>0</v>
      </c>
      <c r="DQ80" s="54" t="b">
        <f t="shared" si="183"/>
        <v>1</v>
      </c>
      <c r="DR80" s="54">
        <f t="shared" si="184"/>
        <v>9.0701728223188074E-2</v>
      </c>
      <c r="DS80" s="54" t="e">
        <f t="shared" si="185"/>
        <v>#N/A</v>
      </c>
      <c r="DT80" s="54">
        <f t="shared" si="186"/>
        <v>9.0701728223188074E-2</v>
      </c>
      <c r="DU80" s="72" t="str">
        <f t="shared" si="187"/>
        <v/>
      </c>
      <c r="DZ80" s="54">
        <f t="shared" si="188"/>
        <v>70</v>
      </c>
      <c r="EA80" s="54">
        <f t="shared" si="189"/>
        <v>71</v>
      </c>
      <c r="EB80" s="54">
        <f t="shared" si="190"/>
        <v>-1.4133620625108603</v>
      </c>
      <c r="EC80" s="54">
        <f t="shared" si="191"/>
        <v>0.14693944834608266</v>
      </c>
      <c r="ED80" s="54" t="e">
        <f t="shared" si="192"/>
        <v>#N/A</v>
      </c>
      <c r="EE80" s="54" t="e">
        <f t="shared" si="193"/>
        <v>#N/A</v>
      </c>
      <c r="EF80" s="54" t="e">
        <f t="shared" si="194"/>
        <v>#N/A</v>
      </c>
      <c r="EG80" s="54" t="b">
        <f t="shared" si="195"/>
        <v>0</v>
      </c>
      <c r="EH80" s="54" t="b">
        <f t="shared" si="196"/>
        <v>1</v>
      </c>
      <c r="EI80" s="54" t="b">
        <f t="shared" si="197"/>
        <v>0</v>
      </c>
      <c r="EJ80" s="54" t="b">
        <f t="shared" si="198"/>
        <v>1</v>
      </c>
      <c r="EK80" s="54">
        <f t="shared" si="199"/>
        <v>0.14693944834608266</v>
      </c>
      <c r="EL80" s="54" t="e">
        <f t="shared" si="200"/>
        <v>#N/A</v>
      </c>
      <c r="EM80" s="54">
        <f t="shared" si="201"/>
        <v>0.14693944834608266</v>
      </c>
      <c r="EN80" s="72" t="str">
        <f t="shared" si="202"/>
        <v/>
      </c>
      <c r="EO8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8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8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80" s="54" t="e" cm="1">
        <f t="array" ref="ER80">IF($CK$3,INDEX(Eu_tabel_a[[#This Row],[Styrke venstre]:[Styrke tosidet]],ER$7),NA())</f>
        <v>#N/A</v>
      </c>
      <c r="ES80" s="54" t="e">
        <f>IF(ER$3,IF(CHOOSE(ER$7,Eu_tabel_a[[#This Row],[x base]]&gt;0,Eu_tabel_a[[#This Row],[x base]]&lt;0,Eu_tabel_a[[#This Row],[x base]]=0),1,NA()),NA())</f>
        <v>#N/A</v>
      </c>
      <c r="ET80" s="54" t="e">
        <f>IF(CHOOSE(ER$7,Eu_tabel_a[[#This Row],[x base]]&gt;0,Eu_tabel_a[[#This Row],[x base]]&lt;0,Eu_tabel_a[[#This Row],[x base]]=0),Eu_tabel_a[[#This Row],[Styrke, aktiv]],NA())</f>
        <v>#N/A</v>
      </c>
      <c r="EU80" s="54" t="e">
        <f>IFERROR(IF($ER$3,Eu_tabel_a[[#This Row],[Styrke, aktiv]],NA()),NA())</f>
        <v>#N/A</v>
      </c>
      <c r="EV80" s="54" t="e">
        <f>IF(ISNA(Eu_tabel_a[[#This Row],[Sand negativ
Nulhypotese afvises
Korrekt]]),NA(),IF(ER$3,1,NA()))</f>
        <v>#N/A</v>
      </c>
      <c r="EW80" s="55" t="str" cm="1">
        <f t="array" ref="EW80">IFERROR(_xlfn.SWITCH(Eu_tabel_a[[#This Row],[Indeks]],_xlfn.IFNA(EU$2,-99),EU$5,_xlfn.IFNA(EU$3,-99),EU$6,_xlfn.IFNA(EU$4,-99),EU$7,""),"")</f>
        <v/>
      </c>
      <c r="EX80" s="54">
        <f>Eu_tabel_a[[#This Row],[x base]]*SQRT(Eu_a_h0_x*(1-Eu_a_h0_x)/Eu_a_n_x)+Eu_a_h0_x</f>
        <v>0</v>
      </c>
      <c r="FC80" s="161" t="e">
        <f t="shared" si="146"/>
        <v>#N/A</v>
      </c>
      <c r="FD80" s="169" t="e">
        <f t="shared" si="121"/>
        <v>#DIV/0!</v>
      </c>
      <c r="FE80" s="7" t="e">
        <f t="shared" si="140"/>
        <v>#DIV/0!</v>
      </c>
      <c r="FF80" t="e">
        <f t="shared" si="122"/>
        <v>#DIV/0!</v>
      </c>
      <c r="FG80" s="8" t="e">
        <f t="shared" si="123"/>
        <v>#DIV/0!</v>
      </c>
      <c r="FH80" s="8" t="e">
        <f t="shared" si="124"/>
        <v>#DIV/0!</v>
      </c>
      <c r="FI80" s="168" t="e">
        <f t="shared" si="125"/>
        <v>#DIV/0!</v>
      </c>
      <c r="FJ80" s="161" t="e">
        <f t="shared" ca="1" si="141"/>
        <v>#N/A</v>
      </c>
      <c r="FK80" s="169" t="e" vm="3">
        <f t="shared" ca="1" si="147"/>
        <v>#VALUE!</v>
      </c>
      <c r="FL80" s="7" t="e" vm="3">
        <f t="shared" ca="1" si="142"/>
        <v>#VALUE!</v>
      </c>
      <c r="FM80" t="e" vm="3">
        <f t="shared" ca="1" si="136"/>
        <v>#VALUE!</v>
      </c>
      <c r="FN80" s="8" t="e" vm="3">
        <f t="shared" ca="1" si="137"/>
        <v>#VALUE!</v>
      </c>
      <c r="FO80" s="8" t="e" vm="3">
        <f t="shared" ca="1" si="138"/>
        <v>#VALUE!</v>
      </c>
      <c r="FP80" s="168" t="e" vm="3">
        <f t="shared" ca="1" si="139"/>
        <v>#VALUE!</v>
      </c>
      <c r="FQ80" s="161" t="e">
        <f t="shared" si="143"/>
        <v>#N/A</v>
      </c>
      <c r="FR80" s="169" t="e">
        <f t="shared" si="148"/>
        <v>#N/A</v>
      </c>
      <c r="FS80" s="7" t="e">
        <f t="shared" si="144"/>
        <v>#N/A</v>
      </c>
      <c r="FT80" t="e">
        <f t="shared" si="149"/>
        <v>#N/A</v>
      </c>
      <c r="FU80" s="8" t="e">
        <f t="shared" si="150"/>
        <v>#N/A</v>
      </c>
      <c r="FV80" s="8" t="e">
        <f t="shared" si="151"/>
        <v>#N/A</v>
      </c>
      <c r="FW80" s="168" t="e">
        <f t="shared" si="152"/>
        <v>#N/A</v>
      </c>
      <c r="FX80" s="161" t="e">
        <f t="shared" si="153"/>
        <v>#N/A</v>
      </c>
      <c r="FY80" s="169" t="e">
        <f t="shared" si="154"/>
        <v>#N/A</v>
      </c>
      <c r="FZ80" s="7" t="e">
        <f t="shared" si="145"/>
        <v>#N/A</v>
      </c>
      <c r="GA80" t="e">
        <f t="shared" si="155"/>
        <v>#N/A</v>
      </c>
      <c r="GB80" s="8" t="e">
        <f t="shared" si="156"/>
        <v>#N/A</v>
      </c>
      <c r="GC80" s="8" t="e">
        <f t="shared" si="157"/>
        <v>#N/A</v>
      </c>
      <c r="GD80" s="168" t="e">
        <f t="shared" si="158"/>
        <v>#N/A</v>
      </c>
      <c r="GE80" s="168"/>
      <c r="GF80" s="168"/>
      <c r="GI80" s="54">
        <f t="shared" si="203"/>
        <v>70</v>
      </c>
      <c r="GJ80" s="54">
        <f t="shared" si="204"/>
        <v>71</v>
      </c>
      <c r="GK80" s="54">
        <f t="shared" si="205"/>
        <v>-1.4133620625108603</v>
      </c>
      <c r="GL80" s="54">
        <f t="shared" si="206"/>
        <v>0.14693944834608266</v>
      </c>
      <c r="GM80" s="54" t="e">
        <f t="shared" si="207"/>
        <v>#N/A</v>
      </c>
      <c r="GN80" s="54" t="e">
        <f t="shared" si="208"/>
        <v>#N/A</v>
      </c>
      <c r="GO80" s="54" t="e">
        <f t="shared" si="209"/>
        <v>#N/A</v>
      </c>
      <c r="GP80" s="54" t="b">
        <f t="shared" si="210"/>
        <v>0</v>
      </c>
      <c r="GQ80" s="54" t="b">
        <f t="shared" si="211"/>
        <v>1</v>
      </c>
      <c r="GR80" s="54" t="b">
        <f t="shared" si="212"/>
        <v>0</v>
      </c>
      <c r="GS80" s="54" t="b">
        <f t="shared" si="213"/>
        <v>1</v>
      </c>
      <c r="GT80" s="54">
        <f t="shared" si="214"/>
        <v>0.14693944834608266</v>
      </c>
      <c r="GU80" s="54" t="e">
        <f t="shared" si="215"/>
        <v>#N/A</v>
      </c>
      <c r="GV80" s="54">
        <f t="shared" si="216"/>
        <v>0.14693944834608266</v>
      </c>
      <c r="GW80" s="72" t="str">
        <f t="shared" si="217"/>
        <v/>
      </c>
      <c r="HC80" s="54">
        <f t="shared" si="218"/>
        <v>70</v>
      </c>
      <c r="HD80" s="54">
        <f t="shared" si="219"/>
        <v>71</v>
      </c>
      <c r="HE80" s="54">
        <f t="shared" si="220"/>
        <v>-2.1886208379043537</v>
      </c>
      <c r="HF80" s="54" t="e">
        <f t="shared" si="221"/>
        <v>#N/A</v>
      </c>
      <c r="HG80" s="54">
        <f t="shared" si="222"/>
        <v>4.7838660639883103E-2</v>
      </c>
      <c r="HH80" s="54" t="e">
        <f t="shared" si="223"/>
        <v>#N/A</v>
      </c>
      <c r="HI80" s="54" t="e">
        <f t="shared" si="224"/>
        <v>#N/A</v>
      </c>
      <c r="HJ80" s="54" t="b">
        <f t="shared" si="225"/>
        <v>1</v>
      </c>
      <c r="HK80" s="54" t="b">
        <f t="shared" si="226"/>
        <v>0</v>
      </c>
      <c r="HL80" s="54" t="b">
        <f t="shared" si="227"/>
        <v>1</v>
      </c>
      <c r="HM80" s="54" t="b">
        <f t="shared" si="228"/>
        <v>0</v>
      </c>
      <c r="HN80" s="54">
        <f t="shared" si="229"/>
        <v>4.7838660639883103E-2</v>
      </c>
      <c r="HO80" s="54">
        <f t="shared" si="230"/>
        <v>4.7838660639883103E-2</v>
      </c>
      <c r="HP80" s="54" t="e">
        <f t="shared" si="231"/>
        <v>#N/A</v>
      </c>
      <c r="HQ80" s="72" t="str">
        <f t="shared" si="232"/>
        <v/>
      </c>
    </row>
    <row r="81" spans="71:225" x14ac:dyDescent="0.2">
      <c r="BS81" s="54">
        <f t="shared" si="159"/>
        <v>71</v>
      </c>
      <c r="BT81" s="54">
        <f>Eu_tabel_g[[#This Row],[Indeks]]+1</f>
        <v>72</v>
      </c>
      <c r="BU81" s="54">
        <f t="shared" si="160"/>
        <v>-1.3894067733157609</v>
      </c>
      <c r="BV81" s="54">
        <f t="shared" si="161"/>
        <v>0.15195602274069356</v>
      </c>
      <c r="BW81" s="54" t="e">
        <f t="shared" si="162"/>
        <v>#N/A</v>
      </c>
      <c r="BX81" s="54" t="e">
        <f t="shared" si="163"/>
        <v>#N/A</v>
      </c>
      <c r="BY81" s="54" t="e">
        <f t="shared" si="164"/>
        <v>#N/A</v>
      </c>
      <c r="BZ81" s="54" t="b">
        <f t="shared" si="165"/>
        <v>0</v>
      </c>
      <c r="CA81" s="54" t="b">
        <f t="shared" si="166"/>
        <v>1</v>
      </c>
      <c r="CB81" s="54" t="b">
        <f t="shared" si="167"/>
        <v>0</v>
      </c>
      <c r="CC81" s="54" t="b">
        <f t="shared" si="168"/>
        <v>1</v>
      </c>
      <c r="CD81" s="54">
        <f t="shared" si="135"/>
        <v>0.15195602274069356</v>
      </c>
      <c r="CE81" s="54" t="e">
        <f t="shared" si="169"/>
        <v>#N/A</v>
      </c>
      <c r="CF81" s="54">
        <f t="shared" si="170"/>
        <v>0.15195602274069356</v>
      </c>
      <c r="CG81" s="72" t="str">
        <f t="shared" si="171"/>
        <v/>
      </c>
      <c r="CH81" s="54">
        <f>_xlfn.NORM.DIST(_xlfn.NORM.INV(1-Eu_g_konfidensniveau,0,1)-Eu_tabel_g[[#This Row],[x base]],0,1,TRUE)</f>
        <v>0.39918899340115521</v>
      </c>
      <c r="CI81" s="54">
        <f>1-_xlfn.NORM.DIST(_xlfn.NORM.INV(Eu_g_konfidensniveau,0,1)-Eu_tabel_g[[#This Row],[x base]],0,1,TRUE)</f>
        <v>1.2056310181406404E-3</v>
      </c>
      <c r="CJ81" s="54">
        <f>_xlfn.NORM.DIST(_xlfn.NORM.INV((1-Eu_g_konfidensniveau)/2,0,1)-Eu_tabel_g[[#This Row],[x base]],0,1,TRUE)+1-_xlfn.NORM.DIST(_xlfn.NORM.INV(1-(1-Eu_g_konfidensniveau)/2,0,1)-Eu_tabel_g[[#This Row],[x base]],0,1,TRUE)</f>
        <v>0.2845548918524472</v>
      </c>
      <c r="CK81" s="54" t="e" cm="1">
        <f t="array" ref="CK81">IF($CK$3,INDEX(Eu_tabel_g[[#This Row],[Styrke venstre]:[Styrke tosidet]],CK$7),NA())</f>
        <v>#N/A</v>
      </c>
      <c r="CL81" s="99" t="e">
        <f>Eu_tabel_g[[#This Row],[Falsk positiv
Nulhypotese accepteres
Fejltype 1]]</f>
        <v>#N/A</v>
      </c>
      <c r="CM81" s="99" t="e">
        <f>IF(CHOOSE(CK$7,Eu_tabel_g[[#This Row],[x base]]&gt;0,Eu_tabel_g[[#This Row],[x base]]&lt;0,Eu_tabel_g[[#This Row],[x base]]=0),Eu_tabel_g[[#This Row],[Styrke, aktiv]],NA())</f>
        <v>#N/A</v>
      </c>
      <c r="CN81" s="99" t="e">
        <f>IFERROR(IF($CK$3,Eu_tabel_g[[#This Row],[Styrke, aktiv]],NA()),NA())</f>
        <v>#N/A</v>
      </c>
      <c r="CO81" s="99" t="e">
        <f>IF(ISNA(Eu_tabel_g[[#This Row],[Sand negativ
Nulhypotese afvises
Korrekt]]),NA(),IF($CK$3,1,NA()))</f>
        <v>#N/A</v>
      </c>
      <c r="CP81" s="56" t="str" cm="1">
        <f t="array" ref="CP81">_xlfn.SWITCH(BS81,_xlfn.IFNA(CN$2,-99),CN$5,_xlfn.IFNA(CN$3,-99),CN$6,_xlfn.IFNA(CN$4,-99),CN$7,"")</f>
        <v/>
      </c>
      <c r="CT81" s="7">
        <f t="shared" si="172"/>
        <v>0.8</v>
      </c>
      <c r="CU81">
        <f>IF(ROW(Styrkeberegning_G[[#This Row],[X base venstre]])=ROW(Styrkeberegning_G[[#Headers],[X base venstre]])+1,CU$7/(CT$7/$B$67),CU80/(CT80/$B$67))</f>
        <v>-2.8015817870135784</v>
      </c>
      <c r="CV81">
        <f>Styrkeberegning_G[[#This Row],[X base venstre]]*-1</f>
        <v>2.8015817870135784</v>
      </c>
      <c r="DG81" s="54">
        <f t="shared" si="173"/>
        <v>71</v>
      </c>
      <c r="DH81" s="54">
        <f t="shared" si="174"/>
        <v>72</v>
      </c>
      <c r="DI81" s="54">
        <f t="shared" si="175"/>
        <v>9.9328834702607622</v>
      </c>
      <c r="DJ81" s="54" t="e">
        <f t="shared" si="176"/>
        <v>#N/A</v>
      </c>
      <c r="DK81" s="54" t="e">
        <f t="shared" si="177"/>
        <v>#N/A</v>
      </c>
      <c r="DL81" s="54">
        <f t="shared" si="178"/>
        <v>9.024414802690281E-2</v>
      </c>
      <c r="DM81" s="54" t="e">
        <f t="shared" si="179"/>
        <v>#N/A</v>
      </c>
      <c r="DN81" s="54" t="b">
        <f t="shared" si="180"/>
        <v>0</v>
      </c>
      <c r="DO81" s="54" t="b">
        <f t="shared" si="181"/>
        <v>1</v>
      </c>
      <c r="DP81" s="54" t="b">
        <f t="shared" si="182"/>
        <v>0</v>
      </c>
      <c r="DQ81" s="54" t="b">
        <f t="shared" si="183"/>
        <v>1</v>
      </c>
      <c r="DR81" s="54">
        <f t="shared" si="184"/>
        <v>9.024414802690281E-2</v>
      </c>
      <c r="DS81" s="54" t="e">
        <f t="shared" si="185"/>
        <v>#N/A</v>
      </c>
      <c r="DT81" s="54">
        <f t="shared" si="186"/>
        <v>9.024414802690281E-2</v>
      </c>
      <c r="DU81" s="72" t="str">
        <f t="shared" si="187"/>
        <v/>
      </c>
      <c r="DZ81" s="54">
        <f t="shared" si="188"/>
        <v>71</v>
      </c>
      <c r="EA81" s="54">
        <f t="shared" si="189"/>
        <v>72</v>
      </c>
      <c r="EB81" s="54">
        <f t="shared" si="190"/>
        <v>-1.3894067733157609</v>
      </c>
      <c r="EC81" s="54">
        <f t="shared" si="191"/>
        <v>0.15195602274069356</v>
      </c>
      <c r="ED81" s="54" t="e">
        <f t="shared" si="192"/>
        <v>#N/A</v>
      </c>
      <c r="EE81" s="54" t="e">
        <f t="shared" si="193"/>
        <v>#N/A</v>
      </c>
      <c r="EF81" s="54" t="e">
        <f t="shared" si="194"/>
        <v>#N/A</v>
      </c>
      <c r="EG81" s="54" t="b">
        <f t="shared" si="195"/>
        <v>0</v>
      </c>
      <c r="EH81" s="54" t="b">
        <f t="shared" si="196"/>
        <v>1</v>
      </c>
      <c r="EI81" s="54" t="b">
        <f t="shared" si="197"/>
        <v>0</v>
      </c>
      <c r="EJ81" s="54" t="b">
        <f t="shared" si="198"/>
        <v>1</v>
      </c>
      <c r="EK81" s="54">
        <f t="shared" si="199"/>
        <v>0.15195602274069356</v>
      </c>
      <c r="EL81" s="54" t="e">
        <f t="shared" si="200"/>
        <v>#N/A</v>
      </c>
      <c r="EM81" s="54">
        <f t="shared" si="201"/>
        <v>0.15195602274069356</v>
      </c>
      <c r="EN81" s="72" t="str">
        <f t="shared" si="202"/>
        <v/>
      </c>
      <c r="EO8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8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8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81" s="54" t="e" cm="1">
        <f t="array" ref="ER81">IF($CK$3,INDEX(Eu_tabel_a[[#This Row],[Styrke venstre]:[Styrke tosidet]],ER$7),NA())</f>
        <v>#N/A</v>
      </c>
      <c r="ES81" s="54" t="e">
        <f>IF(ER$3,IF(CHOOSE(ER$7,Eu_tabel_a[[#This Row],[x base]]&gt;0,Eu_tabel_a[[#This Row],[x base]]&lt;0,Eu_tabel_a[[#This Row],[x base]]=0),1,NA()),NA())</f>
        <v>#N/A</v>
      </c>
      <c r="ET81" s="54" t="e">
        <f>IF(CHOOSE(ER$7,Eu_tabel_a[[#This Row],[x base]]&gt;0,Eu_tabel_a[[#This Row],[x base]]&lt;0,Eu_tabel_a[[#This Row],[x base]]=0),Eu_tabel_a[[#This Row],[Styrke, aktiv]],NA())</f>
        <v>#N/A</v>
      </c>
      <c r="EU81" s="54" t="e">
        <f>IFERROR(IF($ER$3,Eu_tabel_a[[#This Row],[Styrke, aktiv]],NA()),NA())</f>
        <v>#N/A</v>
      </c>
      <c r="EV81" s="54" t="e">
        <f>IF(ISNA(Eu_tabel_a[[#This Row],[Sand negativ
Nulhypotese afvises
Korrekt]]),NA(),IF(ER$3,1,NA()))</f>
        <v>#N/A</v>
      </c>
      <c r="EW81" s="55" t="str" cm="1">
        <f t="array" ref="EW81">IFERROR(_xlfn.SWITCH(Eu_tabel_a[[#This Row],[Indeks]],_xlfn.IFNA(EU$2,-99),EU$5,_xlfn.IFNA(EU$3,-99),EU$6,_xlfn.IFNA(EU$4,-99),EU$7,""),"")</f>
        <v/>
      </c>
      <c r="EX81" s="54">
        <f>Eu_tabel_a[[#This Row],[x base]]*SQRT(Eu_a_h0_x*(1-Eu_a_h0_x)/Eu_a_n_x)+Eu_a_h0_x</f>
        <v>0</v>
      </c>
      <c r="FC81" s="161" t="e">
        <f t="shared" si="146"/>
        <v>#N/A</v>
      </c>
      <c r="FD81" s="169" t="e">
        <f t="shared" si="121"/>
        <v>#DIV/0!</v>
      </c>
      <c r="FE81" s="7" t="e">
        <f t="shared" si="140"/>
        <v>#DIV/0!</v>
      </c>
      <c r="FF81" t="e">
        <f t="shared" si="122"/>
        <v>#DIV/0!</v>
      </c>
      <c r="FG81" s="8" t="e">
        <f t="shared" si="123"/>
        <v>#DIV/0!</v>
      </c>
      <c r="FH81" s="8" t="e">
        <f t="shared" si="124"/>
        <v>#DIV/0!</v>
      </c>
      <c r="FI81" s="168" t="e">
        <f t="shared" si="125"/>
        <v>#DIV/0!</v>
      </c>
      <c r="FJ81" s="161" t="e">
        <f t="shared" ca="1" si="141"/>
        <v>#N/A</v>
      </c>
      <c r="FK81" s="169" t="e" vm="3">
        <f t="shared" ca="1" si="147"/>
        <v>#VALUE!</v>
      </c>
      <c r="FL81" s="7" t="e" vm="3">
        <f t="shared" ca="1" si="142"/>
        <v>#VALUE!</v>
      </c>
      <c r="FM81" t="e" vm="3">
        <f t="shared" ca="1" si="136"/>
        <v>#VALUE!</v>
      </c>
      <c r="FN81" s="8" t="e" vm="3">
        <f t="shared" ca="1" si="137"/>
        <v>#VALUE!</v>
      </c>
      <c r="FO81" s="8" t="e" vm="3">
        <f t="shared" ca="1" si="138"/>
        <v>#VALUE!</v>
      </c>
      <c r="FP81" s="168" t="e" vm="3">
        <f t="shared" ca="1" si="139"/>
        <v>#VALUE!</v>
      </c>
      <c r="FQ81" s="161" t="e">
        <f t="shared" si="143"/>
        <v>#N/A</v>
      </c>
      <c r="FR81" s="169" t="e">
        <f t="shared" si="148"/>
        <v>#N/A</v>
      </c>
      <c r="FS81" s="7" t="e">
        <f t="shared" si="144"/>
        <v>#N/A</v>
      </c>
      <c r="FT81" t="e">
        <f t="shared" si="149"/>
        <v>#N/A</v>
      </c>
      <c r="FU81" s="8" t="e">
        <f t="shared" si="150"/>
        <v>#N/A</v>
      </c>
      <c r="FV81" s="8" t="e">
        <f t="shared" si="151"/>
        <v>#N/A</v>
      </c>
      <c r="FW81" s="168" t="e">
        <f t="shared" si="152"/>
        <v>#N/A</v>
      </c>
      <c r="FX81" s="161" t="e">
        <f t="shared" si="153"/>
        <v>#N/A</v>
      </c>
      <c r="FY81" s="169" t="e">
        <f t="shared" si="154"/>
        <v>#N/A</v>
      </c>
      <c r="FZ81" s="7" t="e">
        <f t="shared" si="145"/>
        <v>#N/A</v>
      </c>
      <c r="GA81" t="e">
        <f t="shared" si="155"/>
        <v>#N/A</v>
      </c>
      <c r="GB81" s="8" t="e">
        <f t="shared" si="156"/>
        <v>#N/A</v>
      </c>
      <c r="GC81" s="8" t="e">
        <f t="shared" si="157"/>
        <v>#N/A</v>
      </c>
      <c r="GD81" s="168" t="e">
        <f t="shared" si="158"/>
        <v>#N/A</v>
      </c>
      <c r="GE81" s="168"/>
      <c r="GF81" s="168"/>
      <c r="GI81" s="54">
        <f t="shared" si="203"/>
        <v>71</v>
      </c>
      <c r="GJ81" s="54">
        <f t="shared" si="204"/>
        <v>72</v>
      </c>
      <c r="GK81" s="54">
        <f t="shared" si="205"/>
        <v>-1.3894067733157609</v>
      </c>
      <c r="GL81" s="54">
        <f t="shared" si="206"/>
        <v>0.15195602274069356</v>
      </c>
      <c r="GM81" s="54" t="e">
        <f t="shared" si="207"/>
        <v>#N/A</v>
      </c>
      <c r="GN81" s="54" t="e">
        <f t="shared" si="208"/>
        <v>#N/A</v>
      </c>
      <c r="GO81" s="54" t="e">
        <f t="shared" si="209"/>
        <v>#N/A</v>
      </c>
      <c r="GP81" s="54" t="b">
        <f t="shared" si="210"/>
        <v>0</v>
      </c>
      <c r="GQ81" s="54" t="b">
        <f t="shared" si="211"/>
        <v>1</v>
      </c>
      <c r="GR81" s="54" t="b">
        <f t="shared" si="212"/>
        <v>0</v>
      </c>
      <c r="GS81" s="54" t="b">
        <f t="shared" si="213"/>
        <v>1</v>
      </c>
      <c r="GT81" s="54">
        <f t="shared" si="214"/>
        <v>0.15195602274069356</v>
      </c>
      <c r="GU81" s="54" t="e">
        <f t="shared" si="215"/>
        <v>#N/A</v>
      </c>
      <c r="GV81" s="54">
        <f t="shared" si="216"/>
        <v>0.15195602274069356</v>
      </c>
      <c r="GW81" s="72" t="str">
        <f t="shared" si="217"/>
        <v/>
      </c>
      <c r="HC81" s="54">
        <f t="shared" si="218"/>
        <v>71</v>
      </c>
      <c r="HD81" s="54">
        <f t="shared" si="219"/>
        <v>72</v>
      </c>
      <c r="HE81" s="54">
        <f t="shared" si="220"/>
        <v>-2.151525569465297</v>
      </c>
      <c r="HF81" s="54" t="e">
        <f t="shared" si="221"/>
        <v>#N/A</v>
      </c>
      <c r="HG81" s="54">
        <f t="shared" si="222"/>
        <v>5.0543400876907167E-2</v>
      </c>
      <c r="HH81" s="54" t="e">
        <f t="shared" si="223"/>
        <v>#N/A</v>
      </c>
      <c r="HI81" s="54" t="e">
        <f t="shared" si="224"/>
        <v>#N/A</v>
      </c>
      <c r="HJ81" s="54" t="b">
        <f t="shared" si="225"/>
        <v>1</v>
      </c>
      <c r="HK81" s="54" t="b">
        <f t="shared" si="226"/>
        <v>0</v>
      </c>
      <c r="HL81" s="54" t="b">
        <f t="shared" si="227"/>
        <v>1</v>
      </c>
      <c r="HM81" s="54" t="b">
        <f t="shared" si="228"/>
        <v>0</v>
      </c>
      <c r="HN81" s="54">
        <f t="shared" si="229"/>
        <v>5.0543400876907167E-2</v>
      </c>
      <c r="HO81" s="54">
        <f t="shared" si="230"/>
        <v>5.0543400876907167E-2</v>
      </c>
      <c r="HP81" s="54" t="e">
        <f t="shared" si="231"/>
        <v>#N/A</v>
      </c>
      <c r="HQ81" s="72" t="str">
        <f t="shared" si="232"/>
        <v/>
      </c>
    </row>
    <row r="82" spans="71:225" x14ac:dyDescent="0.2">
      <c r="BS82" s="54">
        <f t="shared" si="159"/>
        <v>72</v>
      </c>
      <c r="BT82" s="54">
        <f>Eu_tabel_g[[#This Row],[Indeks]]+1</f>
        <v>73</v>
      </c>
      <c r="BU82" s="54">
        <f t="shared" si="160"/>
        <v>-1.3654514841206618</v>
      </c>
      <c r="BV82" s="54">
        <f t="shared" si="161"/>
        <v>0.1570537130277106</v>
      </c>
      <c r="BW82" s="54" t="e">
        <f t="shared" si="162"/>
        <v>#N/A</v>
      </c>
      <c r="BX82" s="54" t="e">
        <f t="shared" si="163"/>
        <v>#N/A</v>
      </c>
      <c r="BY82" s="54" t="e">
        <f t="shared" si="164"/>
        <v>#N/A</v>
      </c>
      <c r="BZ82" s="54" t="b">
        <f t="shared" si="165"/>
        <v>0</v>
      </c>
      <c r="CA82" s="54" t="b">
        <f t="shared" si="166"/>
        <v>1</v>
      </c>
      <c r="CB82" s="54" t="b">
        <f t="shared" si="167"/>
        <v>0</v>
      </c>
      <c r="CC82" s="54" t="b">
        <f t="shared" si="168"/>
        <v>1</v>
      </c>
      <c r="CD82" s="54">
        <f t="shared" si="135"/>
        <v>0.1570537130277106</v>
      </c>
      <c r="CE82" s="54" t="e">
        <f t="shared" si="169"/>
        <v>#N/A</v>
      </c>
      <c r="CF82" s="54">
        <f t="shared" si="170"/>
        <v>0.1570537130277106</v>
      </c>
      <c r="CG82" s="72" t="str">
        <f t="shared" si="171"/>
        <v/>
      </c>
      <c r="CH82" s="54">
        <f>_xlfn.NORM.DIST(_xlfn.NORM.INV(1-Eu_g_konfidensniveau,0,1)-Eu_tabel_g[[#This Row],[x base]],0,1,TRUE)</f>
        <v>0.38996811339942744</v>
      </c>
      <c r="CI82" s="54">
        <f>1-_xlfn.NORM.DIST(_xlfn.NORM.INV(Eu_g_konfidensniveau,0,1)-Eu_tabel_g[[#This Row],[x base]],0,1,TRUE)</f>
        <v>1.3049268744640408E-3</v>
      </c>
      <c r="CJ82" s="54">
        <f>_xlfn.NORM.DIST(_xlfn.NORM.INV((1-Eu_g_konfidensniveau)/2,0,1)-Eu_tabel_g[[#This Row],[x base]],0,1,TRUE)+1-_xlfn.NORM.DIST(_xlfn.NORM.INV(1-(1-Eu_g_konfidensniveau)/2,0,1)-Eu_tabel_g[[#This Row],[x base]],0,1,TRUE)</f>
        <v>0.27652612634393015</v>
      </c>
      <c r="CK82" s="54" t="e" cm="1">
        <f t="array" ref="CK82">IF($CK$3,INDEX(Eu_tabel_g[[#This Row],[Styrke venstre]:[Styrke tosidet]],CK$7),NA())</f>
        <v>#N/A</v>
      </c>
      <c r="CL82" s="99" t="e">
        <f>Eu_tabel_g[[#This Row],[Falsk positiv
Nulhypotese accepteres
Fejltype 1]]</f>
        <v>#N/A</v>
      </c>
      <c r="CM82" s="99" t="e">
        <f>IF(CHOOSE(CK$7,Eu_tabel_g[[#This Row],[x base]]&gt;0,Eu_tabel_g[[#This Row],[x base]]&lt;0,Eu_tabel_g[[#This Row],[x base]]=0),Eu_tabel_g[[#This Row],[Styrke, aktiv]],NA())</f>
        <v>#N/A</v>
      </c>
      <c r="CN82" s="99" t="e">
        <f>IFERROR(IF($CK$3,Eu_tabel_g[[#This Row],[Styrke, aktiv]],NA()),NA())</f>
        <v>#N/A</v>
      </c>
      <c r="CO82" s="99" t="e">
        <f>IF(ISNA(Eu_tabel_g[[#This Row],[Sand negativ
Nulhypotese afvises
Korrekt]]),NA(),IF($CK$3,1,NA()))</f>
        <v>#N/A</v>
      </c>
      <c r="CP82" s="56" t="str" cm="1">
        <f t="array" ref="CP82">_xlfn.SWITCH(BS82,_xlfn.IFNA(CN$2,-99),CN$5,_xlfn.IFNA(CN$3,-99),CN$6,_xlfn.IFNA(CN$4,-99),CN$7,"")</f>
        <v/>
      </c>
      <c r="CT82" s="7">
        <f t="shared" si="172"/>
        <v>0.8</v>
      </c>
      <c r="CU82">
        <f>IF(ROW(Styrkeberegning_G[[#This Row],[X base venstre]])=ROW(Styrkeberegning_G[[#Headers],[X base venstre]])+1,CU$7/(CT$7/$B$67),CU81/(CT81/$B$67))</f>
        <v>-2.8015817870135784</v>
      </c>
      <c r="CV82">
        <f>Styrkeberegning_G[[#This Row],[X base venstre]]*-1</f>
        <v>2.8015817870135784</v>
      </c>
      <c r="DG82" s="54">
        <f t="shared" si="173"/>
        <v>72</v>
      </c>
      <c r="DH82" s="54">
        <f t="shared" si="174"/>
        <v>73</v>
      </c>
      <c r="DI82" s="54">
        <f t="shared" si="175"/>
        <v>10.046954326677763</v>
      </c>
      <c r="DJ82" s="54" t="e">
        <f t="shared" si="176"/>
        <v>#N/A</v>
      </c>
      <c r="DK82" s="54" t="e">
        <f t="shared" si="177"/>
        <v>#N/A</v>
      </c>
      <c r="DL82" s="54">
        <f t="shared" si="178"/>
        <v>8.9735600035729654E-2</v>
      </c>
      <c r="DM82" s="54" t="e">
        <f t="shared" si="179"/>
        <v>#N/A</v>
      </c>
      <c r="DN82" s="54" t="b">
        <f t="shared" si="180"/>
        <v>0</v>
      </c>
      <c r="DO82" s="54" t="b">
        <f t="shared" si="181"/>
        <v>1</v>
      </c>
      <c r="DP82" s="54" t="b">
        <f t="shared" si="182"/>
        <v>0</v>
      </c>
      <c r="DQ82" s="54" t="b">
        <f t="shared" si="183"/>
        <v>1</v>
      </c>
      <c r="DR82" s="54">
        <f t="shared" si="184"/>
        <v>8.9735600035729654E-2</v>
      </c>
      <c r="DS82" s="54" t="e">
        <f t="shared" si="185"/>
        <v>#N/A</v>
      </c>
      <c r="DT82" s="54">
        <f t="shared" si="186"/>
        <v>8.9735600035729654E-2</v>
      </c>
      <c r="DU82" s="72" t="str">
        <f t="shared" si="187"/>
        <v/>
      </c>
      <c r="DZ82" s="54">
        <f t="shared" si="188"/>
        <v>72</v>
      </c>
      <c r="EA82" s="54">
        <f t="shared" si="189"/>
        <v>73</v>
      </c>
      <c r="EB82" s="54">
        <f t="shared" si="190"/>
        <v>-1.3654514841206618</v>
      </c>
      <c r="EC82" s="54">
        <f t="shared" si="191"/>
        <v>0.1570537130277106</v>
      </c>
      <c r="ED82" s="54" t="e">
        <f t="shared" si="192"/>
        <v>#N/A</v>
      </c>
      <c r="EE82" s="54" t="e">
        <f t="shared" si="193"/>
        <v>#N/A</v>
      </c>
      <c r="EF82" s="54" t="e">
        <f t="shared" si="194"/>
        <v>#N/A</v>
      </c>
      <c r="EG82" s="54" t="b">
        <f t="shared" si="195"/>
        <v>0</v>
      </c>
      <c r="EH82" s="54" t="b">
        <f t="shared" si="196"/>
        <v>1</v>
      </c>
      <c r="EI82" s="54" t="b">
        <f t="shared" si="197"/>
        <v>0</v>
      </c>
      <c r="EJ82" s="54" t="b">
        <f t="shared" si="198"/>
        <v>1</v>
      </c>
      <c r="EK82" s="54">
        <f t="shared" si="199"/>
        <v>0.1570537130277106</v>
      </c>
      <c r="EL82" s="54" t="e">
        <f t="shared" si="200"/>
        <v>#N/A</v>
      </c>
      <c r="EM82" s="54">
        <f t="shared" si="201"/>
        <v>0.1570537130277106</v>
      </c>
      <c r="EN82" s="72" t="str">
        <f t="shared" si="202"/>
        <v/>
      </c>
      <c r="EO8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8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8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82" s="54" t="e" cm="1">
        <f t="array" ref="ER82">IF($CK$3,INDEX(Eu_tabel_a[[#This Row],[Styrke venstre]:[Styrke tosidet]],ER$7),NA())</f>
        <v>#N/A</v>
      </c>
      <c r="ES82" s="54" t="e">
        <f>IF(ER$3,IF(CHOOSE(ER$7,Eu_tabel_a[[#This Row],[x base]]&gt;0,Eu_tabel_a[[#This Row],[x base]]&lt;0,Eu_tabel_a[[#This Row],[x base]]=0),1,NA()),NA())</f>
        <v>#N/A</v>
      </c>
      <c r="ET82" s="54" t="e">
        <f>IF(CHOOSE(ER$7,Eu_tabel_a[[#This Row],[x base]]&gt;0,Eu_tabel_a[[#This Row],[x base]]&lt;0,Eu_tabel_a[[#This Row],[x base]]=0),Eu_tabel_a[[#This Row],[Styrke, aktiv]],NA())</f>
        <v>#N/A</v>
      </c>
      <c r="EU82" s="54" t="e">
        <f>IFERROR(IF($ER$3,Eu_tabel_a[[#This Row],[Styrke, aktiv]],NA()),NA())</f>
        <v>#N/A</v>
      </c>
      <c r="EV82" s="54" t="e">
        <f>IF(ISNA(Eu_tabel_a[[#This Row],[Sand negativ
Nulhypotese afvises
Korrekt]]),NA(),IF(ER$3,1,NA()))</f>
        <v>#N/A</v>
      </c>
      <c r="EW82" s="55" t="str" cm="1">
        <f t="array" ref="EW82">IFERROR(_xlfn.SWITCH(Eu_tabel_a[[#This Row],[Indeks]],_xlfn.IFNA(EU$2,-99),EU$5,_xlfn.IFNA(EU$3,-99),EU$6,_xlfn.IFNA(EU$4,-99),EU$7,""),"")</f>
        <v/>
      </c>
      <c r="EX82" s="54">
        <f>Eu_tabel_a[[#This Row],[x base]]*SQRT(Eu_a_h0_x*(1-Eu_a_h0_x)/Eu_a_n_x)+Eu_a_h0_x</f>
        <v>0</v>
      </c>
      <c r="FC82" s="161" t="e">
        <f t="shared" si="146"/>
        <v>#N/A</v>
      </c>
      <c r="FD82" s="169" t="e">
        <f t="shared" si="121"/>
        <v>#DIV/0!</v>
      </c>
      <c r="FE82" s="7" t="e">
        <f t="shared" si="140"/>
        <v>#DIV/0!</v>
      </c>
      <c r="FF82" t="e">
        <f t="shared" si="122"/>
        <v>#DIV/0!</v>
      </c>
      <c r="FG82" s="8" t="e">
        <f t="shared" si="123"/>
        <v>#DIV/0!</v>
      </c>
      <c r="FH82" s="8" t="e">
        <f t="shared" si="124"/>
        <v>#DIV/0!</v>
      </c>
      <c r="FI82" s="168" t="e">
        <f t="shared" si="125"/>
        <v>#DIV/0!</v>
      </c>
      <c r="FJ82" s="161" t="e">
        <f t="shared" ca="1" si="141"/>
        <v>#N/A</v>
      </c>
      <c r="FK82" s="169" t="e" vm="3">
        <f t="shared" ca="1" si="147"/>
        <v>#VALUE!</v>
      </c>
      <c r="FL82" s="7" t="e" vm="3">
        <f t="shared" ca="1" si="142"/>
        <v>#VALUE!</v>
      </c>
      <c r="FM82" t="e" vm="3">
        <f t="shared" ca="1" si="136"/>
        <v>#VALUE!</v>
      </c>
      <c r="FN82" s="8" t="e" vm="3">
        <f t="shared" ca="1" si="137"/>
        <v>#VALUE!</v>
      </c>
      <c r="FO82" s="8" t="e" vm="3">
        <f t="shared" ca="1" si="138"/>
        <v>#VALUE!</v>
      </c>
      <c r="FP82" s="168" t="e" vm="3">
        <f t="shared" ca="1" si="139"/>
        <v>#VALUE!</v>
      </c>
      <c r="FQ82" s="161" t="e">
        <f t="shared" si="143"/>
        <v>#N/A</v>
      </c>
      <c r="FR82" s="169" t="e">
        <f t="shared" si="148"/>
        <v>#N/A</v>
      </c>
      <c r="FS82" s="7" t="e">
        <f t="shared" si="144"/>
        <v>#N/A</v>
      </c>
      <c r="FT82" t="e">
        <f t="shared" si="149"/>
        <v>#N/A</v>
      </c>
      <c r="FU82" s="8" t="e">
        <f t="shared" si="150"/>
        <v>#N/A</v>
      </c>
      <c r="FV82" s="8" t="e">
        <f t="shared" si="151"/>
        <v>#N/A</v>
      </c>
      <c r="FW82" s="168" t="e">
        <f t="shared" si="152"/>
        <v>#N/A</v>
      </c>
      <c r="FX82" s="161" t="e">
        <f t="shared" si="153"/>
        <v>#N/A</v>
      </c>
      <c r="FY82" s="169" t="e">
        <f t="shared" si="154"/>
        <v>#N/A</v>
      </c>
      <c r="FZ82" s="7" t="e">
        <f t="shared" si="145"/>
        <v>#N/A</v>
      </c>
      <c r="GA82" t="e">
        <f t="shared" si="155"/>
        <v>#N/A</v>
      </c>
      <c r="GB82" s="8" t="e">
        <f t="shared" si="156"/>
        <v>#N/A</v>
      </c>
      <c r="GC82" s="8" t="e">
        <f t="shared" si="157"/>
        <v>#N/A</v>
      </c>
      <c r="GD82" s="168" t="e">
        <f t="shared" si="158"/>
        <v>#N/A</v>
      </c>
      <c r="GE82" s="168"/>
      <c r="GF82" s="168"/>
      <c r="GI82" s="54">
        <f t="shared" si="203"/>
        <v>72</v>
      </c>
      <c r="GJ82" s="54">
        <f t="shared" si="204"/>
        <v>73</v>
      </c>
      <c r="GK82" s="54">
        <f t="shared" si="205"/>
        <v>-1.3654514841206618</v>
      </c>
      <c r="GL82" s="54">
        <f t="shared" si="206"/>
        <v>0.1570537130277106</v>
      </c>
      <c r="GM82" s="54" t="e">
        <f t="shared" si="207"/>
        <v>#N/A</v>
      </c>
      <c r="GN82" s="54" t="e">
        <f t="shared" si="208"/>
        <v>#N/A</v>
      </c>
      <c r="GO82" s="54" t="e">
        <f t="shared" si="209"/>
        <v>#N/A</v>
      </c>
      <c r="GP82" s="54" t="b">
        <f t="shared" si="210"/>
        <v>0</v>
      </c>
      <c r="GQ82" s="54" t="b">
        <f t="shared" si="211"/>
        <v>1</v>
      </c>
      <c r="GR82" s="54" t="b">
        <f t="shared" si="212"/>
        <v>0</v>
      </c>
      <c r="GS82" s="54" t="b">
        <f t="shared" si="213"/>
        <v>1</v>
      </c>
      <c r="GT82" s="54">
        <f t="shared" si="214"/>
        <v>0.1570537130277106</v>
      </c>
      <c r="GU82" s="54" t="e">
        <f t="shared" si="215"/>
        <v>#N/A</v>
      </c>
      <c r="GV82" s="54">
        <f t="shared" si="216"/>
        <v>0.1570537130277106</v>
      </c>
      <c r="GW82" s="72" t="str">
        <f t="shared" si="217"/>
        <v/>
      </c>
      <c r="HC82" s="54">
        <f t="shared" si="218"/>
        <v>72</v>
      </c>
      <c r="HD82" s="54">
        <f t="shared" si="219"/>
        <v>73</v>
      </c>
      <c r="HE82" s="54">
        <f t="shared" si="220"/>
        <v>-2.11443030102624</v>
      </c>
      <c r="HF82" s="54" t="e">
        <f t="shared" si="221"/>
        <v>#N/A</v>
      </c>
      <c r="HG82" s="54">
        <f t="shared" si="222"/>
        <v>5.3390755704805393E-2</v>
      </c>
      <c r="HH82" s="54" t="e">
        <f t="shared" si="223"/>
        <v>#N/A</v>
      </c>
      <c r="HI82" s="54" t="e">
        <f t="shared" si="224"/>
        <v>#N/A</v>
      </c>
      <c r="HJ82" s="54" t="b">
        <f t="shared" si="225"/>
        <v>1</v>
      </c>
      <c r="HK82" s="54" t="b">
        <f t="shared" si="226"/>
        <v>0</v>
      </c>
      <c r="HL82" s="54" t="b">
        <f t="shared" si="227"/>
        <v>1</v>
      </c>
      <c r="HM82" s="54" t="b">
        <f t="shared" si="228"/>
        <v>0</v>
      </c>
      <c r="HN82" s="54">
        <f t="shared" si="229"/>
        <v>5.3390755704805393E-2</v>
      </c>
      <c r="HO82" s="54">
        <f t="shared" si="230"/>
        <v>5.3390755704805393E-2</v>
      </c>
      <c r="HP82" s="54" t="e">
        <f t="shared" si="231"/>
        <v>#N/A</v>
      </c>
      <c r="HQ82" s="72" t="str">
        <f t="shared" si="232"/>
        <v/>
      </c>
    </row>
    <row r="83" spans="71:225" x14ac:dyDescent="0.2">
      <c r="BS83" s="54">
        <f t="shared" si="159"/>
        <v>73</v>
      </c>
      <c r="BT83" s="54">
        <f>Eu_tabel_g[[#This Row],[Indeks]]+1</f>
        <v>74</v>
      </c>
      <c r="BU83" s="54">
        <f t="shared" si="160"/>
        <v>-1.3414961949255624</v>
      </c>
      <c r="BV83" s="54">
        <f t="shared" si="161"/>
        <v>0.16222929330418059</v>
      </c>
      <c r="BW83" s="54" t="e">
        <f t="shared" si="162"/>
        <v>#N/A</v>
      </c>
      <c r="BX83" s="54" t="e">
        <f t="shared" si="163"/>
        <v>#N/A</v>
      </c>
      <c r="BY83" s="54" t="e">
        <f t="shared" si="164"/>
        <v>#N/A</v>
      </c>
      <c r="BZ83" s="54" t="b">
        <f t="shared" si="165"/>
        <v>0</v>
      </c>
      <c r="CA83" s="54" t="b">
        <f t="shared" si="166"/>
        <v>1</v>
      </c>
      <c r="CB83" s="54" t="b">
        <f t="shared" si="167"/>
        <v>0</v>
      </c>
      <c r="CC83" s="54" t="b">
        <f t="shared" si="168"/>
        <v>1</v>
      </c>
      <c r="CD83" s="54">
        <f t="shared" si="135"/>
        <v>0.16222929330418059</v>
      </c>
      <c r="CE83" s="54" t="e">
        <f t="shared" si="169"/>
        <v>#N/A</v>
      </c>
      <c r="CF83" s="54">
        <f t="shared" si="170"/>
        <v>0.16222929330418059</v>
      </c>
      <c r="CG83" s="72" t="str">
        <f t="shared" si="171"/>
        <v/>
      </c>
      <c r="CH83" s="54">
        <f>_xlfn.NORM.DIST(_xlfn.NORM.INV(1-Eu_g_konfidensniveau,0,1)-Eu_tabel_g[[#This Row],[x base]],0,1,TRUE)</f>
        <v>0.38080874120305858</v>
      </c>
      <c r="CI83" s="54">
        <f>1-_xlfn.NORM.DIST(_xlfn.NORM.INV(Eu_g_konfidensniveau,0,1)-Eu_tabel_g[[#This Row],[x base]],0,1,TRUE)</f>
        <v>1.4116473590257694E-3</v>
      </c>
      <c r="CJ83" s="54">
        <f>_xlfn.NORM.DIST(_xlfn.NORM.INV((1-Eu_g_konfidensniveau)/2,0,1)-Eu_tabel_g[[#This Row],[x base]],0,1,TRUE)+1-_xlfn.NORM.DIST(_xlfn.NORM.INV(1-(1-Eu_g_konfidensniveau)/2,0,1)-Eu_tabel_g[[#This Row],[x base]],0,1,TRUE)</f>
        <v>0.26861442693718107</v>
      </c>
      <c r="CK83" s="54" t="e" cm="1">
        <f t="array" ref="CK83">IF($CK$3,INDEX(Eu_tabel_g[[#This Row],[Styrke venstre]:[Styrke tosidet]],CK$7),NA())</f>
        <v>#N/A</v>
      </c>
      <c r="CL83" s="99" t="e">
        <f>Eu_tabel_g[[#This Row],[Falsk positiv
Nulhypotese accepteres
Fejltype 1]]</f>
        <v>#N/A</v>
      </c>
      <c r="CM83" s="99" t="e">
        <f>IF(CHOOSE(CK$7,Eu_tabel_g[[#This Row],[x base]]&gt;0,Eu_tabel_g[[#This Row],[x base]]&lt;0,Eu_tabel_g[[#This Row],[x base]]=0),Eu_tabel_g[[#This Row],[Styrke, aktiv]],NA())</f>
        <v>#N/A</v>
      </c>
      <c r="CN83" s="99" t="e">
        <f>IFERROR(IF($CK$3,Eu_tabel_g[[#This Row],[Styrke, aktiv]],NA()),NA())</f>
        <v>#N/A</v>
      </c>
      <c r="CO83" s="99" t="e">
        <f>IF(ISNA(Eu_tabel_g[[#This Row],[Sand negativ
Nulhypotese afvises
Korrekt]]),NA(),IF($CK$3,1,NA()))</f>
        <v>#N/A</v>
      </c>
      <c r="CP83" s="56" t="str" cm="1">
        <f t="array" ref="CP83">_xlfn.SWITCH(BS83,_xlfn.IFNA(CN$2,-99),CN$5,_xlfn.IFNA(CN$3,-99),CN$6,_xlfn.IFNA(CN$4,-99),CN$7,"")</f>
        <v/>
      </c>
      <c r="CT83" s="7">
        <f t="shared" si="172"/>
        <v>0.8</v>
      </c>
      <c r="CU83">
        <f>IF(ROW(Styrkeberegning_G[[#This Row],[X base venstre]])=ROW(Styrkeberegning_G[[#Headers],[X base venstre]])+1,CU$7/(CT$7/$B$67),CU82/(CT82/$B$67))</f>
        <v>-2.8015817870135784</v>
      </c>
      <c r="CV83">
        <f>Styrkeberegning_G[[#This Row],[X base venstre]]*-1</f>
        <v>2.8015817870135784</v>
      </c>
      <c r="DG83" s="54">
        <f t="shared" si="173"/>
        <v>73</v>
      </c>
      <c r="DH83" s="54">
        <f t="shared" si="174"/>
        <v>74</v>
      </c>
      <c r="DI83" s="54">
        <f t="shared" si="175"/>
        <v>10.161025183094763</v>
      </c>
      <c r="DJ83" s="54" t="e">
        <f t="shared" si="176"/>
        <v>#N/A</v>
      </c>
      <c r="DK83" s="54" t="e">
        <f t="shared" si="177"/>
        <v>#N/A</v>
      </c>
      <c r="DL83" s="54">
        <f t="shared" si="178"/>
        <v>8.9178168406266661E-2</v>
      </c>
      <c r="DM83" s="54" t="e">
        <f t="shared" si="179"/>
        <v>#N/A</v>
      </c>
      <c r="DN83" s="54" t="b">
        <f t="shared" si="180"/>
        <v>0</v>
      </c>
      <c r="DO83" s="54" t="b">
        <f t="shared" si="181"/>
        <v>1</v>
      </c>
      <c r="DP83" s="54" t="b">
        <f t="shared" si="182"/>
        <v>0</v>
      </c>
      <c r="DQ83" s="54" t="b">
        <f t="shared" si="183"/>
        <v>1</v>
      </c>
      <c r="DR83" s="54">
        <f t="shared" si="184"/>
        <v>8.9178168406266661E-2</v>
      </c>
      <c r="DS83" s="54" t="e">
        <f t="shared" si="185"/>
        <v>#N/A</v>
      </c>
      <c r="DT83" s="54">
        <f t="shared" si="186"/>
        <v>8.9178168406266661E-2</v>
      </c>
      <c r="DU83" s="72" t="str">
        <f t="shared" si="187"/>
        <v/>
      </c>
      <c r="DZ83" s="54">
        <f t="shared" si="188"/>
        <v>73</v>
      </c>
      <c r="EA83" s="54">
        <f t="shared" si="189"/>
        <v>74</v>
      </c>
      <c r="EB83" s="54">
        <f t="shared" si="190"/>
        <v>-1.3414961949255624</v>
      </c>
      <c r="EC83" s="54">
        <f t="shared" si="191"/>
        <v>0.16222929330418059</v>
      </c>
      <c r="ED83" s="54" t="e">
        <f t="shared" si="192"/>
        <v>#N/A</v>
      </c>
      <c r="EE83" s="54" t="e">
        <f t="shared" si="193"/>
        <v>#N/A</v>
      </c>
      <c r="EF83" s="54" t="e">
        <f t="shared" si="194"/>
        <v>#N/A</v>
      </c>
      <c r="EG83" s="54" t="b">
        <f t="shared" si="195"/>
        <v>0</v>
      </c>
      <c r="EH83" s="54" t="b">
        <f t="shared" si="196"/>
        <v>1</v>
      </c>
      <c r="EI83" s="54" t="b">
        <f t="shared" si="197"/>
        <v>0</v>
      </c>
      <c r="EJ83" s="54" t="b">
        <f t="shared" si="198"/>
        <v>1</v>
      </c>
      <c r="EK83" s="54">
        <f t="shared" si="199"/>
        <v>0.16222929330418059</v>
      </c>
      <c r="EL83" s="54" t="e">
        <f t="shared" si="200"/>
        <v>#N/A</v>
      </c>
      <c r="EM83" s="54">
        <f t="shared" si="201"/>
        <v>0.16222929330418059</v>
      </c>
      <c r="EN83" s="72" t="str">
        <f t="shared" si="202"/>
        <v/>
      </c>
      <c r="EO8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8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8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83" s="54" t="e" cm="1">
        <f t="array" ref="ER83">IF($CK$3,INDEX(Eu_tabel_a[[#This Row],[Styrke venstre]:[Styrke tosidet]],ER$7),NA())</f>
        <v>#N/A</v>
      </c>
      <c r="ES83" s="54" t="e">
        <f>IF(ER$3,IF(CHOOSE(ER$7,Eu_tabel_a[[#This Row],[x base]]&gt;0,Eu_tabel_a[[#This Row],[x base]]&lt;0,Eu_tabel_a[[#This Row],[x base]]=0),1,NA()),NA())</f>
        <v>#N/A</v>
      </c>
      <c r="ET83" s="54" t="e">
        <f>IF(CHOOSE(ER$7,Eu_tabel_a[[#This Row],[x base]]&gt;0,Eu_tabel_a[[#This Row],[x base]]&lt;0,Eu_tabel_a[[#This Row],[x base]]=0),Eu_tabel_a[[#This Row],[Styrke, aktiv]],NA())</f>
        <v>#N/A</v>
      </c>
      <c r="EU83" s="54" t="e">
        <f>IFERROR(IF($ER$3,Eu_tabel_a[[#This Row],[Styrke, aktiv]],NA()),NA())</f>
        <v>#N/A</v>
      </c>
      <c r="EV83" s="54" t="e">
        <f>IF(ISNA(Eu_tabel_a[[#This Row],[Sand negativ
Nulhypotese afvises
Korrekt]]),NA(),IF(ER$3,1,NA()))</f>
        <v>#N/A</v>
      </c>
      <c r="EW83" s="55" t="str" cm="1">
        <f t="array" ref="EW83">IFERROR(_xlfn.SWITCH(Eu_tabel_a[[#This Row],[Indeks]],_xlfn.IFNA(EU$2,-99),EU$5,_xlfn.IFNA(EU$3,-99),EU$6,_xlfn.IFNA(EU$4,-99),EU$7,""),"")</f>
        <v/>
      </c>
      <c r="EX83" s="54">
        <f>Eu_tabel_a[[#This Row],[x base]]*SQRT(Eu_a_h0_x*(1-Eu_a_h0_x)/Eu_a_n_x)+Eu_a_h0_x</f>
        <v>0</v>
      </c>
      <c r="FC83" s="161" t="e">
        <f t="shared" si="146"/>
        <v>#N/A</v>
      </c>
      <c r="FD83" s="169" t="e">
        <f t="shared" si="121"/>
        <v>#DIV/0!</v>
      </c>
      <c r="FE83" s="7" t="e">
        <f t="shared" si="140"/>
        <v>#DIV/0!</v>
      </c>
      <c r="FF83" t="e">
        <f t="shared" si="122"/>
        <v>#DIV/0!</v>
      </c>
      <c r="FG83" s="8" t="e">
        <f t="shared" si="123"/>
        <v>#DIV/0!</v>
      </c>
      <c r="FH83" s="8" t="e">
        <f t="shared" si="124"/>
        <v>#DIV/0!</v>
      </c>
      <c r="FI83" s="168" t="e">
        <f t="shared" si="125"/>
        <v>#DIV/0!</v>
      </c>
      <c r="FJ83" s="161" t="e">
        <f t="shared" ca="1" si="141"/>
        <v>#N/A</v>
      </c>
      <c r="FK83" s="169" t="e" vm="3">
        <f t="shared" ca="1" si="147"/>
        <v>#VALUE!</v>
      </c>
      <c r="FL83" s="7" t="e" vm="3">
        <f t="shared" ca="1" si="142"/>
        <v>#VALUE!</v>
      </c>
      <c r="FM83" t="e" vm="3">
        <f t="shared" ca="1" si="136"/>
        <v>#VALUE!</v>
      </c>
      <c r="FN83" s="8" t="e" vm="3">
        <f t="shared" ca="1" si="137"/>
        <v>#VALUE!</v>
      </c>
      <c r="FO83" s="8" t="e" vm="3">
        <f t="shared" ca="1" si="138"/>
        <v>#VALUE!</v>
      </c>
      <c r="FP83" s="168" t="e" vm="3">
        <f t="shared" ca="1" si="139"/>
        <v>#VALUE!</v>
      </c>
      <c r="FQ83" s="161" t="e">
        <f t="shared" si="143"/>
        <v>#N/A</v>
      </c>
      <c r="FR83" s="169" t="e">
        <f t="shared" si="148"/>
        <v>#N/A</v>
      </c>
      <c r="FS83" s="7" t="e">
        <f t="shared" si="144"/>
        <v>#N/A</v>
      </c>
      <c r="FT83" t="e">
        <f t="shared" si="149"/>
        <v>#N/A</v>
      </c>
      <c r="FU83" s="8" t="e">
        <f t="shared" si="150"/>
        <v>#N/A</v>
      </c>
      <c r="FV83" s="8" t="e">
        <f t="shared" si="151"/>
        <v>#N/A</v>
      </c>
      <c r="FW83" s="168" t="e">
        <f t="shared" si="152"/>
        <v>#N/A</v>
      </c>
      <c r="FX83" s="161" t="e">
        <f t="shared" si="153"/>
        <v>#N/A</v>
      </c>
      <c r="FY83" s="169" t="e">
        <f t="shared" si="154"/>
        <v>#N/A</v>
      </c>
      <c r="FZ83" s="7" t="e">
        <f t="shared" si="145"/>
        <v>#N/A</v>
      </c>
      <c r="GA83" t="e">
        <f t="shared" si="155"/>
        <v>#N/A</v>
      </c>
      <c r="GB83" s="8" t="e">
        <f t="shared" si="156"/>
        <v>#N/A</v>
      </c>
      <c r="GC83" s="8" t="e">
        <f t="shared" si="157"/>
        <v>#N/A</v>
      </c>
      <c r="GD83" s="168" t="e">
        <f t="shared" si="158"/>
        <v>#N/A</v>
      </c>
      <c r="GE83" s="168"/>
      <c r="GF83" s="168"/>
      <c r="GI83" s="54">
        <f t="shared" si="203"/>
        <v>73</v>
      </c>
      <c r="GJ83" s="54">
        <f t="shared" si="204"/>
        <v>74</v>
      </c>
      <c r="GK83" s="54">
        <f t="shared" si="205"/>
        <v>-1.3414961949255624</v>
      </c>
      <c r="GL83" s="54">
        <f t="shared" si="206"/>
        <v>0.16222929330418059</v>
      </c>
      <c r="GM83" s="54" t="e">
        <f t="shared" si="207"/>
        <v>#N/A</v>
      </c>
      <c r="GN83" s="54" t="e">
        <f t="shared" si="208"/>
        <v>#N/A</v>
      </c>
      <c r="GO83" s="54" t="e">
        <f t="shared" si="209"/>
        <v>#N/A</v>
      </c>
      <c r="GP83" s="54" t="b">
        <f t="shared" si="210"/>
        <v>0</v>
      </c>
      <c r="GQ83" s="54" t="b">
        <f t="shared" si="211"/>
        <v>1</v>
      </c>
      <c r="GR83" s="54" t="b">
        <f t="shared" si="212"/>
        <v>0</v>
      </c>
      <c r="GS83" s="54" t="b">
        <f t="shared" si="213"/>
        <v>1</v>
      </c>
      <c r="GT83" s="54">
        <f t="shared" si="214"/>
        <v>0.16222929330418059</v>
      </c>
      <c r="GU83" s="54" t="e">
        <f t="shared" si="215"/>
        <v>#N/A</v>
      </c>
      <c r="GV83" s="54">
        <f t="shared" si="216"/>
        <v>0.16222929330418059</v>
      </c>
      <c r="GW83" s="72" t="str">
        <f t="shared" si="217"/>
        <v/>
      </c>
      <c r="HC83" s="54">
        <f t="shared" si="218"/>
        <v>73</v>
      </c>
      <c r="HD83" s="54">
        <f t="shared" si="219"/>
        <v>74</v>
      </c>
      <c r="HE83" s="54">
        <f t="shared" si="220"/>
        <v>-2.0773350325871833</v>
      </c>
      <c r="HF83" s="54" t="e">
        <f t="shared" si="221"/>
        <v>#N/A</v>
      </c>
      <c r="HG83" s="54">
        <f t="shared" si="222"/>
        <v>5.6386580151706368E-2</v>
      </c>
      <c r="HH83" s="54" t="e">
        <f t="shared" si="223"/>
        <v>#N/A</v>
      </c>
      <c r="HI83" s="54" t="e">
        <f t="shared" si="224"/>
        <v>#N/A</v>
      </c>
      <c r="HJ83" s="54" t="b">
        <f t="shared" si="225"/>
        <v>1</v>
      </c>
      <c r="HK83" s="54" t="b">
        <f t="shared" si="226"/>
        <v>0</v>
      </c>
      <c r="HL83" s="54" t="b">
        <f t="shared" si="227"/>
        <v>1</v>
      </c>
      <c r="HM83" s="54" t="b">
        <f t="shared" si="228"/>
        <v>0</v>
      </c>
      <c r="HN83" s="54">
        <f t="shared" si="229"/>
        <v>5.6386580151706368E-2</v>
      </c>
      <c r="HO83" s="54">
        <f t="shared" si="230"/>
        <v>5.6386580151706368E-2</v>
      </c>
      <c r="HP83" s="54" t="e">
        <f t="shared" si="231"/>
        <v>#N/A</v>
      </c>
      <c r="HQ83" s="72" t="str">
        <f t="shared" si="232"/>
        <v/>
      </c>
    </row>
    <row r="84" spans="71:225" x14ac:dyDescent="0.2">
      <c r="BS84" s="54">
        <f t="shared" si="159"/>
        <v>74</v>
      </c>
      <c r="BT84" s="54">
        <f>Eu_tabel_g[[#This Row],[Indeks]]+1</f>
        <v>75</v>
      </c>
      <c r="BU84" s="54">
        <f t="shared" si="160"/>
        <v>-1.317540905730463</v>
      </c>
      <c r="BV84" s="54">
        <f t="shared" si="161"/>
        <v>0.16747929415535215</v>
      </c>
      <c r="BW84" s="54" t="e">
        <f t="shared" si="162"/>
        <v>#N/A</v>
      </c>
      <c r="BX84" s="54" t="e">
        <f t="shared" si="163"/>
        <v>#N/A</v>
      </c>
      <c r="BY84" s="54" t="e">
        <f t="shared" si="164"/>
        <v>#N/A</v>
      </c>
      <c r="BZ84" s="54" t="b">
        <f t="shared" si="165"/>
        <v>0</v>
      </c>
      <c r="CA84" s="54" t="b">
        <f t="shared" si="166"/>
        <v>1</v>
      </c>
      <c r="CB84" s="54" t="b">
        <f t="shared" si="167"/>
        <v>0</v>
      </c>
      <c r="CC84" s="54" t="b">
        <f t="shared" si="168"/>
        <v>1</v>
      </c>
      <c r="CD84" s="54">
        <f t="shared" si="135"/>
        <v>0.16747929415535215</v>
      </c>
      <c r="CE84" s="54" t="e">
        <f t="shared" si="169"/>
        <v>#N/A</v>
      </c>
      <c r="CF84" s="54">
        <f t="shared" si="170"/>
        <v>0.16747929415535215</v>
      </c>
      <c r="CG84" s="72" t="str">
        <f t="shared" si="171"/>
        <v/>
      </c>
      <c r="CH84" s="54">
        <f>_xlfn.NORM.DIST(_xlfn.NORM.INV(1-Eu_g_konfidensniveau,0,1)-Eu_tabel_g[[#This Row],[x base]],0,1,TRUE)</f>
        <v>0.37171568587583337</v>
      </c>
      <c r="CI84" s="54">
        <f>1-_xlfn.NORM.DIST(_xlfn.NORM.INV(Eu_g_konfidensniveau,0,1)-Eu_tabel_g[[#This Row],[x base]],0,1,TRUE)</f>
        <v>1.526281832596954E-3</v>
      </c>
      <c r="CJ84" s="54">
        <f>_xlfn.NORM.DIST(_xlfn.NORM.INV((1-Eu_g_konfidensniveau)/2,0,1)-Eu_tabel_g[[#This Row],[x base]],0,1,TRUE)+1-_xlfn.NORM.DIST(_xlfn.NORM.INV(1-(1-Eu_g_konfidensniveau)/2,0,1)-Eu_tabel_g[[#This Row],[x base]],0,1,TRUE)</f>
        <v>0.26082290397850771</v>
      </c>
      <c r="CK84" s="54" t="e" cm="1">
        <f t="array" ref="CK84">IF($CK$3,INDEX(Eu_tabel_g[[#This Row],[Styrke venstre]:[Styrke tosidet]],CK$7),NA())</f>
        <v>#N/A</v>
      </c>
      <c r="CL84" s="99" t="e">
        <f>Eu_tabel_g[[#This Row],[Falsk positiv
Nulhypotese accepteres
Fejltype 1]]</f>
        <v>#N/A</v>
      </c>
      <c r="CM84" s="99" t="e">
        <f>IF(CHOOSE(CK$7,Eu_tabel_g[[#This Row],[x base]]&gt;0,Eu_tabel_g[[#This Row],[x base]]&lt;0,Eu_tabel_g[[#This Row],[x base]]=0),Eu_tabel_g[[#This Row],[Styrke, aktiv]],NA())</f>
        <v>#N/A</v>
      </c>
      <c r="CN84" s="99" t="e">
        <f>IFERROR(IF($CK$3,Eu_tabel_g[[#This Row],[Styrke, aktiv]],NA()),NA())</f>
        <v>#N/A</v>
      </c>
      <c r="CO84" s="99" t="e">
        <f>IF(ISNA(Eu_tabel_g[[#This Row],[Sand negativ
Nulhypotese afvises
Korrekt]]),NA(),IF($CK$3,1,NA()))</f>
        <v>#N/A</v>
      </c>
      <c r="CP84" s="56" t="str" cm="1">
        <f t="array" ref="CP84">_xlfn.SWITCH(BS84,_xlfn.IFNA(CN$2,-99),CN$5,_xlfn.IFNA(CN$3,-99),CN$6,_xlfn.IFNA(CN$4,-99),CN$7,"")</f>
        <v/>
      </c>
      <c r="CT84" s="7">
        <f t="shared" si="172"/>
        <v>0.8</v>
      </c>
      <c r="CU84">
        <f>IF(ROW(Styrkeberegning_G[[#This Row],[X base venstre]])=ROW(Styrkeberegning_G[[#Headers],[X base venstre]])+1,CU$7/(CT$7/$B$67),CU83/(CT83/$B$67))</f>
        <v>-2.8015817870135784</v>
      </c>
      <c r="CV84">
        <f>Styrkeberegning_G[[#This Row],[X base venstre]]*-1</f>
        <v>2.8015817870135784</v>
      </c>
      <c r="DG84" s="54">
        <f t="shared" si="173"/>
        <v>74</v>
      </c>
      <c r="DH84" s="54">
        <f t="shared" si="174"/>
        <v>75</v>
      </c>
      <c r="DI84" s="54">
        <f t="shared" si="175"/>
        <v>10.275096039511764</v>
      </c>
      <c r="DJ84" s="54" t="e">
        <f t="shared" si="176"/>
        <v>#N/A</v>
      </c>
      <c r="DK84" s="54" t="e">
        <f t="shared" si="177"/>
        <v>#N/A</v>
      </c>
      <c r="DL84" s="54">
        <f t="shared" si="178"/>
        <v>8.857394865643009E-2</v>
      </c>
      <c r="DM84" s="54" t="e">
        <f t="shared" si="179"/>
        <v>#N/A</v>
      </c>
      <c r="DN84" s="54" t="b">
        <f t="shared" si="180"/>
        <v>0</v>
      </c>
      <c r="DO84" s="54" t="b">
        <f t="shared" si="181"/>
        <v>1</v>
      </c>
      <c r="DP84" s="54" t="b">
        <f t="shared" si="182"/>
        <v>0</v>
      </c>
      <c r="DQ84" s="54" t="b">
        <f t="shared" si="183"/>
        <v>1</v>
      </c>
      <c r="DR84" s="54">
        <f t="shared" si="184"/>
        <v>8.857394865643009E-2</v>
      </c>
      <c r="DS84" s="54" t="e">
        <f t="shared" si="185"/>
        <v>#N/A</v>
      </c>
      <c r="DT84" s="54">
        <f t="shared" si="186"/>
        <v>8.857394865643009E-2</v>
      </c>
      <c r="DU84" s="72" t="str">
        <f t="shared" si="187"/>
        <v/>
      </c>
      <c r="DZ84" s="54">
        <f t="shared" si="188"/>
        <v>74</v>
      </c>
      <c r="EA84" s="54">
        <f t="shared" si="189"/>
        <v>75</v>
      </c>
      <c r="EB84" s="54">
        <f t="shared" si="190"/>
        <v>-1.317540905730463</v>
      </c>
      <c r="EC84" s="54">
        <f t="shared" si="191"/>
        <v>0.16747929415535215</v>
      </c>
      <c r="ED84" s="54" t="e">
        <f t="shared" si="192"/>
        <v>#N/A</v>
      </c>
      <c r="EE84" s="54" t="e">
        <f t="shared" si="193"/>
        <v>#N/A</v>
      </c>
      <c r="EF84" s="54" t="e">
        <f t="shared" si="194"/>
        <v>#N/A</v>
      </c>
      <c r="EG84" s="54" t="b">
        <f t="shared" si="195"/>
        <v>0</v>
      </c>
      <c r="EH84" s="54" t="b">
        <f t="shared" si="196"/>
        <v>1</v>
      </c>
      <c r="EI84" s="54" t="b">
        <f t="shared" si="197"/>
        <v>0</v>
      </c>
      <c r="EJ84" s="54" t="b">
        <f t="shared" si="198"/>
        <v>1</v>
      </c>
      <c r="EK84" s="54">
        <f t="shared" si="199"/>
        <v>0.16747929415535215</v>
      </c>
      <c r="EL84" s="54" t="e">
        <f t="shared" si="200"/>
        <v>#N/A</v>
      </c>
      <c r="EM84" s="54">
        <f t="shared" si="201"/>
        <v>0.16747929415535215</v>
      </c>
      <c r="EN84" s="72" t="str">
        <f t="shared" si="202"/>
        <v/>
      </c>
      <c r="EO8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8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8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84" s="54" t="e" cm="1">
        <f t="array" ref="ER84">IF($CK$3,INDEX(Eu_tabel_a[[#This Row],[Styrke venstre]:[Styrke tosidet]],ER$7),NA())</f>
        <v>#N/A</v>
      </c>
      <c r="ES84" s="54" t="e">
        <f>IF(ER$3,IF(CHOOSE(ER$7,Eu_tabel_a[[#This Row],[x base]]&gt;0,Eu_tabel_a[[#This Row],[x base]]&lt;0,Eu_tabel_a[[#This Row],[x base]]=0),1,NA()),NA())</f>
        <v>#N/A</v>
      </c>
      <c r="ET84" s="54" t="e">
        <f>IF(CHOOSE(ER$7,Eu_tabel_a[[#This Row],[x base]]&gt;0,Eu_tabel_a[[#This Row],[x base]]&lt;0,Eu_tabel_a[[#This Row],[x base]]=0),Eu_tabel_a[[#This Row],[Styrke, aktiv]],NA())</f>
        <v>#N/A</v>
      </c>
      <c r="EU84" s="54" t="e">
        <f>IFERROR(IF($ER$3,Eu_tabel_a[[#This Row],[Styrke, aktiv]],NA()),NA())</f>
        <v>#N/A</v>
      </c>
      <c r="EV84" s="54" t="e">
        <f>IF(ISNA(Eu_tabel_a[[#This Row],[Sand negativ
Nulhypotese afvises
Korrekt]]),NA(),IF(ER$3,1,NA()))</f>
        <v>#N/A</v>
      </c>
      <c r="EW84" s="55" t="str" cm="1">
        <f t="array" ref="EW84">IFERROR(_xlfn.SWITCH(Eu_tabel_a[[#This Row],[Indeks]],_xlfn.IFNA(EU$2,-99),EU$5,_xlfn.IFNA(EU$3,-99),EU$6,_xlfn.IFNA(EU$4,-99),EU$7,""),"")</f>
        <v/>
      </c>
      <c r="EX84" s="54">
        <f>Eu_tabel_a[[#This Row],[x base]]*SQRT(Eu_a_h0_x*(1-Eu_a_h0_x)/Eu_a_n_x)+Eu_a_h0_x</f>
        <v>0</v>
      </c>
      <c r="FC84" s="161" t="e">
        <f t="shared" si="146"/>
        <v>#N/A</v>
      </c>
      <c r="FD84" s="169" t="e">
        <f t="shared" si="121"/>
        <v>#DIV/0!</v>
      </c>
      <c r="FE84" s="7" t="e">
        <f t="shared" si="140"/>
        <v>#DIV/0!</v>
      </c>
      <c r="FF84" t="e">
        <f t="shared" si="122"/>
        <v>#DIV/0!</v>
      </c>
      <c r="FG84" s="8" t="e">
        <f t="shared" si="123"/>
        <v>#DIV/0!</v>
      </c>
      <c r="FH84" s="8" t="e">
        <f t="shared" si="124"/>
        <v>#DIV/0!</v>
      </c>
      <c r="FI84" s="168" t="e">
        <f t="shared" si="125"/>
        <v>#DIV/0!</v>
      </c>
      <c r="FJ84" s="161" t="e">
        <f t="shared" ca="1" si="141"/>
        <v>#N/A</v>
      </c>
      <c r="FK84" s="169" t="e" vm="3">
        <f t="shared" ca="1" si="147"/>
        <v>#VALUE!</v>
      </c>
      <c r="FL84" s="7" t="e" vm="3">
        <f t="shared" ca="1" si="142"/>
        <v>#VALUE!</v>
      </c>
      <c r="FM84" t="e" vm="3">
        <f t="shared" ca="1" si="136"/>
        <v>#VALUE!</v>
      </c>
      <c r="FN84" s="8" t="e" vm="3">
        <f t="shared" ca="1" si="137"/>
        <v>#VALUE!</v>
      </c>
      <c r="FO84" s="8" t="e" vm="3">
        <f t="shared" ca="1" si="138"/>
        <v>#VALUE!</v>
      </c>
      <c r="FP84" s="168" t="e" vm="3">
        <f t="shared" ca="1" si="139"/>
        <v>#VALUE!</v>
      </c>
      <c r="FQ84" s="161" t="e">
        <f t="shared" si="143"/>
        <v>#N/A</v>
      </c>
      <c r="FR84" s="169" t="e">
        <f t="shared" si="148"/>
        <v>#N/A</v>
      </c>
      <c r="FS84" s="7" t="e">
        <f t="shared" si="144"/>
        <v>#N/A</v>
      </c>
      <c r="FT84" t="e">
        <f t="shared" si="149"/>
        <v>#N/A</v>
      </c>
      <c r="FU84" s="8" t="e">
        <f t="shared" si="150"/>
        <v>#N/A</v>
      </c>
      <c r="FV84" s="8" t="e">
        <f t="shared" si="151"/>
        <v>#N/A</v>
      </c>
      <c r="FW84" s="168" t="e">
        <f t="shared" si="152"/>
        <v>#N/A</v>
      </c>
      <c r="FX84" s="161" t="e">
        <f t="shared" si="153"/>
        <v>#N/A</v>
      </c>
      <c r="FY84" s="169" t="e">
        <f t="shared" si="154"/>
        <v>#N/A</v>
      </c>
      <c r="FZ84" s="7" t="e">
        <f t="shared" si="145"/>
        <v>#N/A</v>
      </c>
      <c r="GA84" t="e">
        <f t="shared" si="155"/>
        <v>#N/A</v>
      </c>
      <c r="GB84" s="8" t="e">
        <f t="shared" si="156"/>
        <v>#N/A</v>
      </c>
      <c r="GC84" s="8" t="e">
        <f t="shared" si="157"/>
        <v>#N/A</v>
      </c>
      <c r="GD84" s="168" t="e">
        <f t="shared" si="158"/>
        <v>#N/A</v>
      </c>
      <c r="GE84" s="168"/>
      <c r="GF84" s="168"/>
      <c r="GI84" s="54">
        <f t="shared" si="203"/>
        <v>74</v>
      </c>
      <c r="GJ84" s="54">
        <f t="shared" si="204"/>
        <v>75</v>
      </c>
      <c r="GK84" s="54">
        <f t="shared" si="205"/>
        <v>-1.317540905730463</v>
      </c>
      <c r="GL84" s="54">
        <f t="shared" si="206"/>
        <v>0.16747929415535215</v>
      </c>
      <c r="GM84" s="54" t="e">
        <f t="shared" si="207"/>
        <v>#N/A</v>
      </c>
      <c r="GN84" s="54" t="e">
        <f t="shared" si="208"/>
        <v>#N/A</v>
      </c>
      <c r="GO84" s="54" t="e">
        <f t="shared" si="209"/>
        <v>#N/A</v>
      </c>
      <c r="GP84" s="54" t="b">
        <f t="shared" si="210"/>
        <v>0</v>
      </c>
      <c r="GQ84" s="54" t="b">
        <f t="shared" si="211"/>
        <v>1</v>
      </c>
      <c r="GR84" s="54" t="b">
        <f t="shared" si="212"/>
        <v>0</v>
      </c>
      <c r="GS84" s="54" t="b">
        <f t="shared" si="213"/>
        <v>1</v>
      </c>
      <c r="GT84" s="54">
        <f t="shared" si="214"/>
        <v>0.16747929415535215</v>
      </c>
      <c r="GU84" s="54" t="e">
        <f t="shared" si="215"/>
        <v>#N/A</v>
      </c>
      <c r="GV84" s="54">
        <f t="shared" si="216"/>
        <v>0.16747929415535215</v>
      </c>
      <c r="GW84" s="72" t="str">
        <f t="shared" si="217"/>
        <v/>
      </c>
      <c r="HC84" s="54">
        <f t="shared" si="218"/>
        <v>74</v>
      </c>
      <c r="HD84" s="54">
        <f t="shared" si="219"/>
        <v>75</v>
      </c>
      <c r="HE84" s="54">
        <f t="shared" si="220"/>
        <v>-2.0402397641481262</v>
      </c>
      <c r="HF84" s="54" t="e">
        <f t="shared" si="221"/>
        <v>#N/A</v>
      </c>
      <c r="HG84" s="54">
        <f t="shared" si="222"/>
        <v>5.9536756814595811E-2</v>
      </c>
      <c r="HH84" s="54" t="e">
        <f t="shared" si="223"/>
        <v>#N/A</v>
      </c>
      <c r="HI84" s="54" t="e">
        <f t="shared" si="224"/>
        <v>#N/A</v>
      </c>
      <c r="HJ84" s="54" t="b">
        <f t="shared" si="225"/>
        <v>1</v>
      </c>
      <c r="HK84" s="54" t="b">
        <f t="shared" si="226"/>
        <v>0</v>
      </c>
      <c r="HL84" s="54" t="b">
        <f t="shared" si="227"/>
        <v>1</v>
      </c>
      <c r="HM84" s="54" t="b">
        <f t="shared" si="228"/>
        <v>0</v>
      </c>
      <c r="HN84" s="54">
        <f t="shared" si="229"/>
        <v>5.9536756814595811E-2</v>
      </c>
      <c r="HO84" s="54">
        <f t="shared" si="230"/>
        <v>5.9536756814595811E-2</v>
      </c>
      <c r="HP84" s="54" t="e">
        <f t="shared" si="231"/>
        <v>#N/A</v>
      </c>
      <c r="HQ84" s="72" t="str">
        <f t="shared" si="232"/>
        <v/>
      </c>
    </row>
    <row r="85" spans="71:225" x14ac:dyDescent="0.2">
      <c r="BS85" s="54">
        <f t="shared" si="159"/>
        <v>75</v>
      </c>
      <c r="BT85" s="54">
        <f>Eu_tabel_g[[#This Row],[Indeks]]+1</f>
        <v>76</v>
      </c>
      <c r="BU85" s="54">
        <f t="shared" si="160"/>
        <v>-1.2935856165353636</v>
      </c>
      <c r="BV85" s="54">
        <f t="shared" si="161"/>
        <v>0.17280000272227752</v>
      </c>
      <c r="BW85" s="54" t="e">
        <f t="shared" si="162"/>
        <v>#N/A</v>
      </c>
      <c r="BX85" s="54" t="e">
        <f t="shared" si="163"/>
        <v>#N/A</v>
      </c>
      <c r="BY85" s="54" t="e">
        <f t="shared" si="164"/>
        <v>#N/A</v>
      </c>
      <c r="BZ85" s="54" t="b">
        <f t="shared" si="165"/>
        <v>0</v>
      </c>
      <c r="CA85" s="54" t="b">
        <f t="shared" si="166"/>
        <v>1</v>
      </c>
      <c r="CB85" s="54" t="b">
        <f t="shared" si="167"/>
        <v>0</v>
      </c>
      <c r="CC85" s="54" t="b">
        <f t="shared" si="168"/>
        <v>1</v>
      </c>
      <c r="CD85" s="54">
        <f t="shared" si="135"/>
        <v>0.17280000272227752</v>
      </c>
      <c r="CE85" s="54" t="e">
        <f t="shared" si="169"/>
        <v>#N/A</v>
      </c>
      <c r="CF85" s="54">
        <f t="shared" si="170"/>
        <v>0.17280000272227752</v>
      </c>
      <c r="CG85" s="72" t="str">
        <f t="shared" si="171"/>
        <v/>
      </c>
      <c r="CH85" s="54">
        <f>_xlfn.NORM.DIST(_xlfn.NORM.INV(1-Eu_g_konfidensniveau,0,1)-Eu_tabel_g[[#This Row],[x base]],0,1,TRUE)</f>
        <v>0.36269364585060193</v>
      </c>
      <c r="CI85" s="54">
        <f>1-_xlfn.NORM.DIST(_xlfn.NORM.INV(Eu_g_konfidensniveau,0,1)-Eu_tabel_g[[#This Row],[x base]],0,1,TRUE)</f>
        <v>1.6493465284941333E-3</v>
      </c>
      <c r="CJ85" s="54">
        <f>_xlfn.NORM.DIST(_xlfn.NORM.INV((1-Eu_g_konfidensniveau)/2,0,1)-Eu_tabel_g[[#This Row],[x base]],0,1,TRUE)+1-_xlfn.NORM.DIST(_xlfn.NORM.INV(1-(1-Eu_g_konfidensniveau)/2,0,1)-Eu_tabel_g[[#This Row],[x base]],0,1,TRUE)</f>
        <v>0.25315450695979325</v>
      </c>
      <c r="CK85" s="54" t="e" cm="1">
        <f t="array" ref="CK85">IF($CK$3,INDEX(Eu_tabel_g[[#This Row],[Styrke venstre]:[Styrke tosidet]],CK$7),NA())</f>
        <v>#N/A</v>
      </c>
      <c r="CL85" s="99" t="e">
        <f>Eu_tabel_g[[#This Row],[Falsk positiv
Nulhypotese accepteres
Fejltype 1]]</f>
        <v>#N/A</v>
      </c>
      <c r="CM85" s="99" t="e">
        <f>IF(CHOOSE(CK$7,Eu_tabel_g[[#This Row],[x base]]&gt;0,Eu_tabel_g[[#This Row],[x base]]&lt;0,Eu_tabel_g[[#This Row],[x base]]=0),Eu_tabel_g[[#This Row],[Styrke, aktiv]],NA())</f>
        <v>#N/A</v>
      </c>
      <c r="CN85" s="99" t="e">
        <f>IFERROR(IF($CK$3,Eu_tabel_g[[#This Row],[Styrke, aktiv]],NA()),NA())</f>
        <v>#N/A</v>
      </c>
      <c r="CO85" s="99" t="e">
        <f>IF(ISNA(Eu_tabel_g[[#This Row],[Sand negativ
Nulhypotese afvises
Korrekt]]),NA(),IF($CK$3,1,NA()))</f>
        <v>#N/A</v>
      </c>
      <c r="CP85" s="56" t="str" cm="1">
        <f t="array" ref="CP85">_xlfn.SWITCH(BS85,_xlfn.IFNA(CN$2,-99),CN$5,_xlfn.IFNA(CN$3,-99),CN$6,_xlfn.IFNA(CN$4,-99),CN$7,"")</f>
        <v/>
      </c>
      <c r="CT85" s="7">
        <f t="shared" si="172"/>
        <v>0.8</v>
      </c>
      <c r="CU85">
        <f>IF(ROW(Styrkeberegning_G[[#This Row],[X base venstre]])=ROW(Styrkeberegning_G[[#Headers],[X base venstre]])+1,CU$7/(CT$7/$B$67),CU84/(CT84/$B$67))</f>
        <v>-2.8015817870135784</v>
      </c>
      <c r="CV85">
        <f>Styrkeberegning_G[[#This Row],[X base venstre]]*-1</f>
        <v>2.8015817870135784</v>
      </c>
      <c r="DG85" s="54">
        <f t="shared" si="173"/>
        <v>75</v>
      </c>
      <c r="DH85" s="54">
        <f t="shared" si="174"/>
        <v>76</v>
      </c>
      <c r="DI85" s="54">
        <f t="shared" si="175"/>
        <v>10.389166895928765</v>
      </c>
      <c r="DJ85" s="54" t="e">
        <f t="shared" si="176"/>
        <v>#N/A</v>
      </c>
      <c r="DK85" s="54" t="e">
        <f t="shared" si="177"/>
        <v>#N/A</v>
      </c>
      <c r="DL85" s="54">
        <f t="shared" si="178"/>
        <v>8.7925041836716789E-2</v>
      </c>
      <c r="DM85" s="54" t="e">
        <f t="shared" si="179"/>
        <v>#N/A</v>
      </c>
      <c r="DN85" s="54" t="b">
        <f t="shared" si="180"/>
        <v>0</v>
      </c>
      <c r="DO85" s="54" t="b">
        <f t="shared" si="181"/>
        <v>1</v>
      </c>
      <c r="DP85" s="54" t="b">
        <f t="shared" si="182"/>
        <v>0</v>
      </c>
      <c r="DQ85" s="54" t="b">
        <f t="shared" si="183"/>
        <v>1</v>
      </c>
      <c r="DR85" s="54">
        <f t="shared" si="184"/>
        <v>8.7925041836716789E-2</v>
      </c>
      <c r="DS85" s="54" t="e">
        <f t="shared" si="185"/>
        <v>#N/A</v>
      </c>
      <c r="DT85" s="54">
        <f t="shared" si="186"/>
        <v>8.7925041836716789E-2</v>
      </c>
      <c r="DU85" s="72">
        <f t="shared" si="187"/>
        <v>4.3070000000000004</v>
      </c>
      <c r="DZ85" s="54">
        <f t="shared" si="188"/>
        <v>75</v>
      </c>
      <c r="EA85" s="54">
        <f t="shared" si="189"/>
        <v>76</v>
      </c>
      <c r="EB85" s="54">
        <f t="shared" si="190"/>
        <v>-1.2935856165353636</v>
      </c>
      <c r="EC85" s="54">
        <f t="shared" si="191"/>
        <v>0.17280000272227752</v>
      </c>
      <c r="ED85" s="54" t="e">
        <f t="shared" si="192"/>
        <v>#N/A</v>
      </c>
      <c r="EE85" s="54" t="e">
        <f t="shared" si="193"/>
        <v>#N/A</v>
      </c>
      <c r="EF85" s="54" t="e">
        <f t="shared" si="194"/>
        <v>#N/A</v>
      </c>
      <c r="EG85" s="54" t="b">
        <f t="shared" si="195"/>
        <v>0</v>
      </c>
      <c r="EH85" s="54" t="b">
        <f t="shared" si="196"/>
        <v>1</v>
      </c>
      <c r="EI85" s="54" t="b">
        <f t="shared" si="197"/>
        <v>0</v>
      </c>
      <c r="EJ85" s="54" t="b">
        <f t="shared" si="198"/>
        <v>1</v>
      </c>
      <c r="EK85" s="54">
        <f t="shared" si="199"/>
        <v>0.17280000272227752</v>
      </c>
      <c r="EL85" s="54" t="e">
        <f t="shared" si="200"/>
        <v>#N/A</v>
      </c>
      <c r="EM85" s="54">
        <f t="shared" si="201"/>
        <v>0.17280000272227752</v>
      </c>
      <c r="EN85" s="72" t="str">
        <f t="shared" si="202"/>
        <v/>
      </c>
      <c r="EO8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8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8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85" s="54" t="e" cm="1">
        <f t="array" ref="ER85">IF($CK$3,INDEX(Eu_tabel_a[[#This Row],[Styrke venstre]:[Styrke tosidet]],ER$7),NA())</f>
        <v>#N/A</v>
      </c>
      <c r="ES85" s="54" t="e">
        <f>IF(ER$3,IF(CHOOSE(ER$7,Eu_tabel_a[[#This Row],[x base]]&gt;0,Eu_tabel_a[[#This Row],[x base]]&lt;0,Eu_tabel_a[[#This Row],[x base]]=0),1,NA()),NA())</f>
        <v>#N/A</v>
      </c>
      <c r="ET85" s="54" t="e">
        <f>IF(CHOOSE(ER$7,Eu_tabel_a[[#This Row],[x base]]&gt;0,Eu_tabel_a[[#This Row],[x base]]&lt;0,Eu_tabel_a[[#This Row],[x base]]=0),Eu_tabel_a[[#This Row],[Styrke, aktiv]],NA())</f>
        <v>#N/A</v>
      </c>
      <c r="EU85" s="54" t="e">
        <f>IFERROR(IF($ER$3,Eu_tabel_a[[#This Row],[Styrke, aktiv]],NA()),NA())</f>
        <v>#N/A</v>
      </c>
      <c r="EV85" s="54" t="e">
        <f>IF(ISNA(Eu_tabel_a[[#This Row],[Sand negativ
Nulhypotese afvises
Korrekt]]),NA(),IF(ER$3,1,NA()))</f>
        <v>#N/A</v>
      </c>
      <c r="EW85" s="55" t="str" cm="1">
        <f t="array" ref="EW85">IFERROR(_xlfn.SWITCH(Eu_tabel_a[[#This Row],[Indeks]],_xlfn.IFNA(EU$2,-99),EU$5,_xlfn.IFNA(EU$3,-99),EU$6,_xlfn.IFNA(EU$4,-99),EU$7,""),"")</f>
        <v/>
      </c>
      <c r="EX85" s="54">
        <f>Eu_tabel_a[[#This Row],[x base]]*SQRT(Eu_a_h0_x*(1-Eu_a_h0_x)/Eu_a_n_x)+Eu_a_h0_x</f>
        <v>0</v>
      </c>
      <c r="FC85" s="161" t="e">
        <f t="shared" si="146"/>
        <v>#N/A</v>
      </c>
      <c r="FD85" s="169" t="e">
        <f t="shared" si="121"/>
        <v>#DIV/0!</v>
      </c>
      <c r="FE85" s="7" t="e">
        <f t="shared" si="140"/>
        <v>#DIV/0!</v>
      </c>
      <c r="FF85" t="e">
        <f t="shared" si="122"/>
        <v>#DIV/0!</v>
      </c>
      <c r="FG85" s="8" t="e">
        <f t="shared" si="123"/>
        <v>#DIV/0!</v>
      </c>
      <c r="FH85" s="8" t="e">
        <f t="shared" si="124"/>
        <v>#DIV/0!</v>
      </c>
      <c r="FI85" s="168" t="e">
        <f t="shared" si="125"/>
        <v>#DIV/0!</v>
      </c>
      <c r="FJ85" s="161" t="e">
        <f t="shared" ca="1" si="141"/>
        <v>#N/A</v>
      </c>
      <c r="FK85" s="169" t="e" vm="3">
        <f t="shared" ca="1" si="147"/>
        <v>#VALUE!</v>
      </c>
      <c r="FL85" s="7" t="e" vm="3">
        <f t="shared" ca="1" si="142"/>
        <v>#VALUE!</v>
      </c>
      <c r="FM85" t="e" vm="3">
        <f t="shared" ca="1" si="136"/>
        <v>#VALUE!</v>
      </c>
      <c r="FN85" s="8" t="e" vm="3">
        <f t="shared" ca="1" si="137"/>
        <v>#VALUE!</v>
      </c>
      <c r="FO85" s="8" t="e" vm="3">
        <f t="shared" ca="1" si="138"/>
        <v>#VALUE!</v>
      </c>
      <c r="FP85" s="168" t="e" vm="3">
        <f t="shared" ca="1" si="139"/>
        <v>#VALUE!</v>
      </c>
      <c r="FQ85" s="161" t="e">
        <f t="shared" si="143"/>
        <v>#N/A</v>
      </c>
      <c r="FR85" s="169" t="e">
        <f t="shared" si="148"/>
        <v>#N/A</v>
      </c>
      <c r="FS85" s="7" t="e">
        <f t="shared" si="144"/>
        <v>#N/A</v>
      </c>
      <c r="FT85" t="e">
        <f t="shared" si="149"/>
        <v>#N/A</v>
      </c>
      <c r="FU85" s="8" t="e">
        <f t="shared" si="150"/>
        <v>#N/A</v>
      </c>
      <c r="FV85" s="8" t="e">
        <f t="shared" si="151"/>
        <v>#N/A</v>
      </c>
      <c r="FW85" s="168" t="e">
        <f t="shared" si="152"/>
        <v>#N/A</v>
      </c>
      <c r="FX85" s="161" t="e">
        <f t="shared" si="153"/>
        <v>#N/A</v>
      </c>
      <c r="FY85" s="169" t="e">
        <f t="shared" si="154"/>
        <v>#N/A</v>
      </c>
      <c r="FZ85" s="7" t="e">
        <f t="shared" si="145"/>
        <v>#N/A</v>
      </c>
      <c r="GA85" t="e">
        <f t="shared" si="155"/>
        <v>#N/A</v>
      </c>
      <c r="GB85" s="8" t="e">
        <f t="shared" si="156"/>
        <v>#N/A</v>
      </c>
      <c r="GC85" s="8" t="e">
        <f t="shared" si="157"/>
        <v>#N/A</v>
      </c>
      <c r="GD85" s="168" t="e">
        <f t="shared" si="158"/>
        <v>#N/A</v>
      </c>
      <c r="GE85" s="168"/>
      <c r="GF85" s="168"/>
      <c r="GI85" s="54">
        <f t="shared" si="203"/>
        <v>75</v>
      </c>
      <c r="GJ85" s="54">
        <f t="shared" si="204"/>
        <v>76</v>
      </c>
      <c r="GK85" s="54">
        <f t="shared" si="205"/>
        <v>-1.2935856165353636</v>
      </c>
      <c r="GL85" s="54">
        <f t="shared" si="206"/>
        <v>0.17280000272227752</v>
      </c>
      <c r="GM85" s="54" t="e">
        <f t="shared" si="207"/>
        <v>#N/A</v>
      </c>
      <c r="GN85" s="54" t="e">
        <f t="shared" si="208"/>
        <v>#N/A</v>
      </c>
      <c r="GO85" s="54" t="e">
        <f t="shared" si="209"/>
        <v>#N/A</v>
      </c>
      <c r="GP85" s="54" t="b">
        <f t="shared" si="210"/>
        <v>0</v>
      </c>
      <c r="GQ85" s="54" t="b">
        <f t="shared" si="211"/>
        <v>1</v>
      </c>
      <c r="GR85" s="54" t="b">
        <f t="shared" si="212"/>
        <v>0</v>
      </c>
      <c r="GS85" s="54" t="b">
        <f t="shared" si="213"/>
        <v>1</v>
      </c>
      <c r="GT85" s="54">
        <f t="shared" si="214"/>
        <v>0.17280000272227752</v>
      </c>
      <c r="GU85" s="54" t="e">
        <f t="shared" si="215"/>
        <v>#N/A</v>
      </c>
      <c r="GV85" s="54">
        <f t="shared" si="216"/>
        <v>0.17280000272227752</v>
      </c>
      <c r="GW85" s="72" t="str">
        <f t="shared" si="217"/>
        <v/>
      </c>
      <c r="HC85" s="54">
        <f t="shared" si="218"/>
        <v>75</v>
      </c>
      <c r="HD85" s="54">
        <f t="shared" si="219"/>
        <v>76</v>
      </c>
      <c r="HE85" s="54">
        <f t="shared" si="220"/>
        <v>-2.0031444957090696</v>
      </c>
      <c r="HF85" s="54" t="e">
        <f t="shared" si="221"/>
        <v>#N/A</v>
      </c>
      <c r="HG85" s="54">
        <f t="shared" si="222"/>
        <v>6.2847166029487478E-2</v>
      </c>
      <c r="HH85" s="54" t="e">
        <f t="shared" si="223"/>
        <v>#N/A</v>
      </c>
      <c r="HI85" s="54" t="e">
        <f t="shared" si="224"/>
        <v>#N/A</v>
      </c>
      <c r="HJ85" s="54" t="b">
        <f t="shared" si="225"/>
        <v>1</v>
      </c>
      <c r="HK85" s="54" t="b">
        <f t="shared" si="226"/>
        <v>0</v>
      </c>
      <c r="HL85" s="54" t="b">
        <f t="shared" si="227"/>
        <v>1</v>
      </c>
      <c r="HM85" s="54" t="b">
        <f t="shared" si="228"/>
        <v>0</v>
      </c>
      <c r="HN85" s="54">
        <f t="shared" si="229"/>
        <v>6.2847166029487478E-2</v>
      </c>
      <c r="HO85" s="54">
        <f t="shared" si="230"/>
        <v>6.2847166029487478E-2</v>
      </c>
      <c r="HP85" s="54" t="e">
        <f t="shared" si="231"/>
        <v>#N/A</v>
      </c>
      <c r="HQ85" s="72" t="str">
        <f t="shared" si="232"/>
        <v/>
      </c>
    </row>
    <row r="86" spans="71:225" x14ac:dyDescent="0.2">
      <c r="BS86" s="54">
        <f t="shared" si="159"/>
        <v>76</v>
      </c>
      <c r="BT86" s="54">
        <f>Eu_tabel_g[[#This Row],[Indeks]]+1</f>
        <v>77</v>
      </c>
      <c r="BU86" s="54">
        <f t="shared" si="160"/>
        <v>-1.2696303273402643</v>
      </c>
      <c r="BV86" s="54">
        <f t="shared" si="161"/>
        <v>0.17818746348109932</v>
      </c>
      <c r="BW86" s="54" t="e">
        <f t="shared" si="162"/>
        <v>#N/A</v>
      </c>
      <c r="BX86" s="54" t="e">
        <f t="shared" si="163"/>
        <v>#N/A</v>
      </c>
      <c r="BY86" s="54" t="e">
        <f t="shared" si="164"/>
        <v>#N/A</v>
      </c>
      <c r="BZ86" s="54" t="b">
        <f t="shared" si="165"/>
        <v>0</v>
      </c>
      <c r="CA86" s="54" t="b">
        <f t="shared" si="166"/>
        <v>1</v>
      </c>
      <c r="CB86" s="54" t="b">
        <f t="shared" si="167"/>
        <v>0</v>
      </c>
      <c r="CC86" s="54" t="b">
        <f t="shared" si="168"/>
        <v>1</v>
      </c>
      <c r="CD86" s="54">
        <f t="shared" si="135"/>
        <v>0.17818746348109932</v>
      </c>
      <c r="CE86" s="54" t="e">
        <f t="shared" si="169"/>
        <v>#N/A</v>
      </c>
      <c r="CF86" s="54">
        <f t="shared" si="170"/>
        <v>0.17818746348109932</v>
      </c>
      <c r="CG86" s="72" t="str">
        <f t="shared" si="171"/>
        <v/>
      </c>
      <c r="CH86" s="54">
        <f>_xlfn.NORM.DIST(_xlfn.NORM.INV(1-Eu_g_konfidensniveau,0,1)-Eu_tabel_g[[#This Row],[x base]],0,1,TRUE)</f>
        <v>0.35374720170655227</v>
      </c>
      <c r="CI86" s="54">
        <f>1-_xlfn.NORM.DIST(_xlfn.NORM.INV(Eu_g_konfidensniveau,0,1)-Eu_tabel_g[[#This Row],[x base]],0,1,TRUE)</f>
        <v>1.7813856159707431E-3</v>
      </c>
      <c r="CJ86" s="54">
        <f>_xlfn.NORM.DIST(_xlfn.NORM.INV((1-Eu_g_konfidensniveau)/2,0,1)-Eu_tabel_g[[#This Row],[x base]],0,1,TRUE)+1-_xlfn.NORM.DIST(_xlfn.NORM.INV(1-(1-Eu_g_konfidensniveau)/2,0,1)-Eu_tabel_g[[#This Row],[x base]],0,1,TRUE)</f>
        <v>0.24561202329949883</v>
      </c>
      <c r="CK86" s="54" t="e" cm="1">
        <f t="array" ref="CK86">IF($CK$3,INDEX(Eu_tabel_g[[#This Row],[Styrke venstre]:[Styrke tosidet]],CK$7),NA())</f>
        <v>#N/A</v>
      </c>
      <c r="CL86" s="99" t="e">
        <f>Eu_tabel_g[[#This Row],[Falsk positiv
Nulhypotese accepteres
Fejltype 1]]</f>
        <v>#N/A</v>
      </c>
      <c r="CM86" s="99" t="e">
        <f>IF(CHOOSE(CK$7,Eu_tabel_g[[#This Row],[x base]]&gt;0,Eu_tabel_g[[#This Row],[x base]]&lt;0,Eu_tabel_g[[#This Row],[x base]]=0),Eu_tabel_g[[#This Row],[Styrke, aktiv]],NA())</f>
        <v>#N/A</v>
      </c>
      <c r="CN86" s="99" t="e">
        <f>IFERROR(IF($CK$3,Eu_tabel_g[[#This Row],[Styrke, aktiv]],NA()),NA())</f>
        <v>#N/A</v>
      </c>
      <c r="CO86" s="99" t="e">
        <f>IF(ISNA(Eu_tabel_g[[#This Row],[Sand negativ
Nulhypotese afvises
Korrekt]]),NA(),IF($CK$3,1,NA()))</f>
        <v>#N/A</v>
      </c>
      <c r="CP86" s="56" t="str" cm="1">
        <f t="array" ref="CP86">_xlfn.SWITCH(BS86,_xlfn.IFNA(CN$2,-99),CN$5,_xlfn.IFNA(CN$3,-99),CN$6,_xlfn.IFNA(CN$4,-99),CN$7,"")</f>
        <v/>
      </c>
      <c r="CT86" s="7">
        <f t="shared" si="172"/>
        <v>0.8</v>
      </c>
      <c r="CU86">
        <f>IF(ROW(Styrkeberegning_G[[#This Row],[X base venstre]])=ROW(Styrkeberegning_G[[#Headers],[X base venstre]])+1,CU$7/(CT$7/$B$67),CU85/(CT85/$B$67))</f>
        <v>-2.8015817870135784</v>
      </c>
      <c r="CV86">
        <f>Styrkeberegning_G[[#This Row],[X base venstre]]*-1</f>
        <v>2.8015817870135784</v>
      </c>
      <c r="DG86" s="54">
        <f t="shared" si="173"/>
        <v>76</v>
      </c>
      <c r="DH86" s="54">
        <f t="shared" si="174"/>
        <v>77</v>
      </c>
      <c r="DI86" s="54">
        <f t="shared" si="175"/>
        <v>10.503237752345767</v>
      </c>
      <c r="DJ86" s="54" t="e">
        <f t="shared" si="176"/>
        <v>#N/A</v>
      </c>
      <c r="DK86" s="54" t="e">
        <f t="shared" si="177"/>
        <v>#N/A</v>
      </c>
      <c r="DL86" s="54">
        <f t="shared" si="178"/>
        <v>8.7233549038172459E-2</v>
      </c>
      <c r="DM86" s="54" t="e">
        <f t="shared" si="179"/>
        <v>#N/A</v>
      </c>
      <c r="DN86" s="54" t="b">
        <f t="shared" si="180"/>
        <v>0</v>
      </c>
      <c r="DO86" s="54" t="b">
        <f t="shared" si="181"/>
        <v>1</v>
      </c>
      <c r="DP86" s="54" t="b">
        <f t="shared" si="182"/>
        <v>0</v>
      </c>
      <c r="DQ86" s="54" t="b">
        <f t="shared" si="183"/>
        <v>1</v>
      </c>
      <c r="DR86" s="54">
        <f t="shared" si="184"/>
        <v>8.7233549038172459E-2</v>
      </c>
      <c r="DS86" s="54" t="e">
        <f t="shared" si="185"/>
        <v>#N/A</v>
      </c>
      <c r="DT86" s="54">
        <f t="shared" si="186"/>
        <v>8.7233549038172459E-2</v>
      </c>
      <c r="DU86" s="72" t="str">
        <f t="shared" si="187"/>
        <v/>
      </c>
      <c r="DZ86" s="54">
        <f t="shared" si="188"/>
        <v>76</v>
      </c>
      <c r="EA86" s="54">
        <f t="shared" si="189"/>
        <v>77</v>
      </c>
      <c r="EB86" s="54">
        <f t="shared" si="190"/>
        <v>-1.2696303273402643</v>
      </c>
      <c r="EC86" s="54">
        <f t="shared" si="191"/>
        <v>0.17818746348109932</v>
      </c>
      <c r="ED86" s="54" t="e">
        <f t="shared" si="192"/>
        <v>#N/A</v>
      </c>
      <c r="EE86" s="54" t="e">
        <f t="shared" si="193"/>
        <v>#N/A</v>
      </c>
      <c r="EF86" s="54" t="e">
        <f t="shared" si="194"/>
        <v>#N/A</v>
      </c>
      <c r="EG86" s="54" t="b">
        <f t="shared" si="195"/>
        <v>0</v>
      </c>
      <c r="EH86" s="54" t="b">
        <f t="shared" si="196"/>
        <v>1</v>
      </c>
      <c r="EI86" s="54" t="b">
        <f t="shared" si="197"/>
        <v>0</v>
      </c>
      <c r="EJ86" s="54" t="b">
        <f t="shared" si="198"/>
        <v>1</v>
      </c>
      <c r="EK86" s="54">
        <f t="shared" si="199"/>
        <v>0.17818746348109932</v>
      </c>
      <c r="EL86" s="54" t="e">
        <f t="shared" si="200"/>
        <v>#N/A</v>
      </c>
      <c r="EM86" s="54">
        <f t="shared" si="201"/>
        <v>0.17818746348109932</v>
      </c>
      <c r="EN86" s="72" t="str">
        <f t="shared" si="202"/>
        <v/>
      </c>
      <c r="EO8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8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8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86" s="54" t="e" cm="1">
        <f t="array" ref="ER86">IF($CK$3,INDEX(Eu_tabel_a[[#This Row],[Styrke venstre]:[Styrke tosidet]],ER$7),NA())</f>
        <v>#N/A</v>
      </c>
      <c r="ES86" s="54" t="e">
        <f>IF(ER$3,IF(CHOOSE(ER$7,Eu_tabel_a[[#This Row],[x base]]&gt;0,Eu_tabel_a[[#This Row],[x base]]&lt;0,Eu_tabel_a[[#This Row],[x base]]=0),1,NA()),NA())</f>
        <v>#N/A</v>
      </c>
      <c r="ET86" s="54" t="e">
        <f>IF(CHOOSE(ER$7,Eu_tabel_a[[#This Row],[x base]]&gt;0,Eu_tabel_a[[#This Row],[x base]]&lt;0,Eu_tabel_a[[#This Row],[x base]]=0),Eu_tabel_a[[#This Row],[Styrke, aktiv]],NA())</f>
        <v>#N/A</v>
      </c>
      <c r="EU86" s="54" t="e">
        <f>IFERROR(IF($ER$3,Eu_tabel_a[[#This Row],[Styrke, aktiv]],NA()),NA())</f>
        <v>#N/A</v>
      </c>
      <c r="EV86" s="54" t="e">
        <f>IF(ISNA(Eu_tabel_a[[#This Row],[Sand negativ
Nulhypotese afvises
Korrekt]]),NA(),IF(ER$3,1,NA()))</f>
        <v>#N/A</v>
      </c>
      <c r="EW86" s="55" t="str" cm="1">
        <f t="array" ref="EW86">IFERROR(_xlfn.SWITCH(Eu_tabel_a[[#This Row],[Indeks]],_xlfn.IFNA(EU$2,-99),EU$5,_xlfn.IFNA(EU$3,-99),EU$6,_xlfn.IFNA(EU$4,-99),EU$7,""),"")</f>
        <v/>
      </c>
      <c r="EX86" s="54">
        <f>Eu_tabel_a[[#This Row],[x base]]*SQRT(Eu_a_h0_x*(1-Eu_a_h0_x)/Eu_a_n_x)+Eu_a_h0_x</f>
        <v>0</v>
      </c>
      <c r="FC86" s="161" t="e">
        <f t="shared" si="146"/>
        <v>#N/A</v>
      </c>
      <c r="FD86" s="169" t="e">
        <f t="shared" si="121"/>
        <v>#DIV/0!</v>
      </c>
      <c r="FE86" s="7" t="e">
        <f t="shared" si="140"/>
        <v>#DIV/0!</v>
      </c>
      <c r="FF86" t="e">
        <f t="shared" si="122"/>
        <v>#DIV/0!</v>
      </c>
      <c r="FG86" s="8" t="e">
        <f t="shared" si="123"/>
        <v>#DIV/0!</v>
      </c>
      <c r="FH86" s="8" t="e">
        <f t="shared" si="124"/>
        <v>#DIV/0!</v>
      </c>
      <c r="FI86" s="168" t="e">
        <f t="shared" si="125"/>
        <v>#DIV/0!</v>
      </c>
      <c r="FJ86" s="161" t="e">
        <f t="shared" ca="1" si="141"/>
        <v>#N/A</v>
      </c>
      <c r="FK86" s="169" t="e" vm="3">
        <f t="shared" ca="1" si="147"/>
        <v>#VALUE!</v>
      </c>
      <c r="FL86" s="7" t="e" vm="3">
        <f t="shared" ca="1" si="142"/>
        <v>#VALUE!</v>
      </c>
      <c r="FM86" t="e" vm="3">
        <f t="shared" ca="1" si="136"/>
        <v>#VALUE!</v>
      </c>
      <c r="FN86" s="8" t="e" vm="3">
        <f t="shared" ca="1" si="137"/>
        <v>#VALUE!</v>
      </c>
      <c r="FO86" s="8" t="e" vm="3">
        <f t="shared" ca="1" si="138"/>
        <v>#VALUE!</v>
      </c>
      <c r="FP86" s="168" t="e" vm="3">
        <f t="shared" ca="1" si="139"/>
        <v>#VALUE!</v>
      </c>
      <c r="FQ86" s="161" t="e">
        <f t="shared" si="143"/>
        <v>#N/A</v>
      </c>
      <c r="FR86" s="169" t="e">
        <f t="shared" si="148"/>
        <v>#N/A</v>
      </c>
      <c r="FS86" s="7" t="e">
        <f t="shared" si="144"/>
        <v>#N/A</v>
      </c>
      <c r="FT86" t="e">
        <f t="shared" si="149"/>
        <v>#N/A</v>
      </c>
      <c r="FU86" s="8" t="e">
        <f t="shared" si="150"/>
        <v>#N/A</v>
      </c>
      <c r="FV86" s="8" t="e">
        <f t="shared" si="151"/>
        <v>#N/A</v>
      </c>
      <c r="FW86" s="168" t="e">
        <f t="shared" si="152"/>
        <v>#N/A</v>
      </c>
      <c r="FX86" s="161" t="e">
        <f t="shared" si="153"/>
        <v>#N/A</v>
      </c>
      <c r="FY86" s="169" t="e">
        <f t="shared" si="154"/>
        <v>#N/A</v>
      </c>
      <c r="FZ86" s="7" t="e">
        <f t="shared" si="145"/>
        <v>#N/A</v>
      </c>
      <c r="GA86" t="e">
        <f t="shared" si="155"/>
        <v>#N/A</v>
      </c>
      <c r="GB86" s="8" t="e">
        <f t="shared" si="156"/>
        <v>#N/A</v>
      </c>
      <c r="GC86" s="8" t="e">
        <f t="shared" si="157"/>
        <v>#N/A</v>
      </c>
      <c r="GD86" s="168" t="e">
        <f t="shared" si="158"/>
        <v>#N/A</v>
      </c>
      <c r="GE86" s="168"/>
      <c r="GF86" s="168"/>
      <c r="GI86" s="54">
        <f t="shared" si="203"/>
        <v>76</v>
      </c>
      <c r="GJ86" s="54">
        <f t="shared" si="204"/>
        <v>77</v>
      </c>
      <c r="GK86" s="54">
        <f t="shared" si="205"/>
        <v>-1.2696303273402643</v>
      </c>
      <c r="GL86" s="54">
        <f t="shared" si="206"/>
        <v>0.17818746348109932</v>
      </c>
      <c r="GM86" s="54" t="e">
        <f t="shared" si="207"/>
        <v>#N/A</v>
      </c>
      <c r="GN86" s="54" t="e">
        <f t="shared" si="208"/>
        <v>#N/A</v>
      </c>
      <c r="GO86" s="54" t="e">
        <f t="shared" si="209"/>
        <v>#N/A</v>
      </c>
      <c r="GP86" s="54" t="b">
        <f t="shared" si="210"/>
        <v>0</v>
      </c>
      <c r="GQ86" s="54" t="b">
        <f t="shared" si="211"/>
        <v>1</v>
      </c>
      <c r="GR86" s="54" t="b">
        <f t="shared" si="212"/>
        <v>0</v>
      </c>
      <c r="GS86" s="54" t="b">
        <f t="shared" si="213"/>
        <v>1</v>
      </c>
      <c r="GT86" s="54">
        <f t="shared" si="214"/>
        <v>0.17818746348109932</v>
      </c>
      <c r="GU86" s="54" t="e">
        <f t="shared" si="215"/>
        <v>#N/A</v>
      </c>
      <c r="GV86" s="54">
        <f t="shared" si="216"/>
        <v>0.17818746348109932</v>
      </c>
      <c r="GW86" s="72" t="str">
        <f t="shared" si="217"/>
        <v/>
      </c>
      <c r="HC86" s="54">
        <f t="shared" si="218"/>
        <v>76</v>
      </c>
      <c r="HD86" s="54">
        <f t="shared" si="219"/>
        <v>77</v>
      </c>
      <c r="HE86" s="54">
        <f t="shared" si="220"/>
        <v>-1.9660492272700125</v>
      </c>
      <c r="HF86" s="54" t="e">
        <f t="shared" si="221"/>
        <v>#N/A</v>
      </c>
      <c r="HG86" s="54">
        <f t="shared" si="222"/>
        <v>6.6323652171868364E-2</v>
      </c>
      <c r="HH86" s="54" t="e">
        <f t="shared" si="223"/>
        <v>#N/A</v>
      </c>
      <c r="HI86" s="54" t="e">
        <f t="shared" si="224"/>
        <v>#N/A</v>
      </c>
      <c r="HJ86" s="54" t="b">
        <f t="shared" si="225"/>
        <v>1</v>
      </c>
      <c r="HK86" s="54" t="b">
        <f t="shared" si="226"/>
        <v>0</v>
      </c>
      <c r="HL86" s="54" t="b">
        <f t="shared" si="227"/>
        <v>1</v>
      </c>
      <c r="HM86" s="54" t="b">
        <f t="shared" si="228"/>
        <v>0</v>
      </c>
      <c r="HN86" s="54">
        <f t="shared" si="229"/>
        <v>6.6323652171868364E-2</v>
      </c>
      <c r="HO86" s="54">
        <f t="shared" si="230"/>
        <v>6.6323652171868364E-2</v>
      </c>
      <c r="HP86" s="54" t="e">
        <f t="shared" si="231"/>
        <v>#N/A</v>
      </c>
      <c r="HQ86" s="72" t="str">
        <f t="shared" si="232"/>
        <v/>
      </c>
    </row>
    <row r="87" spans="71:225" x14ac:dyDescent="0.2">
      <c r="BS87" s="54">
        <f t="shared" si="159"/>
        <v>77</v>
      </c>
      <c r="BT87" s="54">
        <f>Eu_tabel_g[[#This Row],[Indeks]]+1</f>
        <v>78</v>
      </c>
      <c r="BU87" s="54">
        <f t="shared" si="160"/>
        <v>-1.2456750381451651</v>
      </c>
      <c r="BV87" s="54">
        <f t="shared" si="161"/>
        <v>0.18363747975432293</v>
      </c>
      <c r="BW87" s="54" t="e">
        <f t="shared" si="162"/>
        <v>#N/A</v>
      </c>
      <c r="BX87" s="54" t="e">
        <f t="shared" si="163"/>
        <v>#N/A</v>
      </c>
      <c r="BY87" s="54" t="e">
        <f t="shared" si="164"/>
        <v>#N/A</v>
      </c>
      <c r="BZ87" s="54" t="b">
        <f t="shared" si="165"/>
        <v>0</v>
      </c>
      <c r="CA87" s="54" t="b">
        <f t="shared" si="166"/>
        <v>1</v>
      </c>
      <c r="CB87" s="54" t="b">
        <f t="shared" si="167"/>
        <v>0</v>
      </c>
      <c r="CC87" s="54" t="b">
        <f t="shared" si="168"/>
        <v>1</v>
      </c>
      <c r="CD87" s="54">
        <f t="shared" si="135"/>
        <v>0.18363747975432293</v>
      </c>
      <c r="CE87" s="54" t="e">
        <f t="shared" si="169"/>
        <v>#N/A</v>
      </c>
      <c r="CF87" s="54">
        <f t="shared" si="170"/>
        <v>0.18363747975432293</v>
      </c>
      <c r="CG87" s="72" t="str">
        <f t="shared" si="171"/>
        <v/>
      </c>
      <c r="CH87" s="54">
        <f>_xlfn.NORM.DIST(_xlfn.NORM.INV(1-Eu_g_konfidensniveau,0,1)-Eu_tabel_g[[#This Row],[x base]],0,1,TRUE)</f>
        <v>0.34488080927221865</v>
      </c>
      <c r="CI87" s="54">
        <f>1-_xlfn.NORM.DIST(_xlfn.NORM.INV(Eu_g_konfidensniveau,0,1)-Eu_tabel_g[[#This Row],[x base]],0,1,TRUE)</f>
        <v>1.9229722753726364E-3</v>
      </c>
      <c r="CJ87" s="54">
        <f>_xlfn.NORM.DIST(_xlfn.NORM.INV((1-Eu_g_konfidensniveau)/2,0,1)-Eu_tabel_g[[#This Row],[x base]],0,1,TRUE)+1-_xlfn.NORM.DIST(_xlfn.NORM.INV(1-(1-Eu_g_konfidensniveau)/2,0,1)-Eu_tabel_g[[#This Row],[x base]],0,1,TRUE)</f>
        <v>0.23819807758479328</v>
      </c>
      <c r="CK87" s="54" t="e" cm="1">
        <f t="array" ref="CK87">IF($CK$3,INDEX(Eu_tabel_g[[#This Row],[Styrke venstre]:[Styrke tosidet]],CK$7),NA())</f>
        <v>#N/A</v>
      </c>
      <c r="CL87" s="99" t="e">
        <f>Eu_tabel_g[[#This Row],[Falsk positiv
Nulhypotese accepteres
Fejltype 1]]</f>
        <v>#N/A</v>
      </c>
      <c r="CM87" s="99" t="e">
        <f>IF(CHOOSE(CK$7,Eu_tabel_g[[#This Row],[x base]]&gt;0,Eu_tabel_g[[#This Row],[x base]]&lt;0,Eu_tabel_g[[#This Row],[x base]]=0),Eu_tabel_g[[#This Row],[Styrke, aktiv]],NA())</f>
        <v>#N/A</v>
      </c>
      <c r="CN87" s="99" t="e">
        <f>IFERROR(IF($CK$3,Eu_tabel_g[[#This Row],[Styrke, aktiv]],NA()),NA())</f>
        <v>#N/A</v>
      </c>
      <c r="CO87" s="99" t="e">
        <f>IF(ISNA(Eu_tabel_g[[#This Row],[Sand negativ
Nulhypotese afvises
Korrekt]]),NA(),IF($CK$3,1,NA()))</f>
        <v>#N/A</v>
      </c>
      <c r="CP87" s="56" t="str" cm="1">
        <f t="array" ref="CP87">_xlfn.SWITCH(BS87,_xlfn.IFNA(CN$2,-99),CN$5,_xlfn.IFNA(CN$3,-99),CN$6,_xlfn.IFNA(CN$4,-99),CN$7,"")</f>
        <v/>
      </c>
      <c r="CT87" s="7">
        <f t="shared" si="172"/>
        <v>0.8</v>
      </c>
      <c r="CU87">
        <f>IF(ROW(Styrkeberegning_G[[#This Row],[X base venstre]])=ROW(Styrkeberegning_G[[#Headers],[X base venstre]])+1,CU$7/(CT$7/$B$67),CU86/(CT86/$B$67))</f>
        <v>-2.8015817870135784</v>
      </c>
      <c r="CV87">
        <f>Styrkeberegning_G[[#This Row],[X base venstre]]*-1</f>
        <v>2.8015817870135784</v>
      </c>
      <c r="DG87" s="54">
        <f t="shared" si="173"/>
        <v>77</v>
      </c>
      <c r="DH87" s="54">
        <f t="shared" si="174"/>
        <v>78</v>
      </c>
      <c r="DI87" s="54">
        <f t="shared" si="175"/>
        <v>10.617308608762768</v>
      </c>
      <c r="DJ87" s="54" t="e">
        <f t="shared" si="176"/>
        <v>#N/A</v>
      </c>
      <c r="DK87" s="54" t="e">
        <f t="shared" si="177"/>
        <v>#N/A</v>
      </c>
      <c r="DL87" s="54">
        <f t="shared" si="178"/>
        <v>8.6501566233345414E-2</v>
      </c>
      <c r="DM87" s="54" t="e">
        <f t="shared" si="179"/>
        <v>#N/A</v>
      </c>
      <c r="DN87" s="54" t="b">
        <f t="shared" si="180"/>
        <v>0</v>
      </c>
      <c r="DO87" s="54" t="b">
        <f t="shared" si="181"/>
        <v>1</v>
      </c>
      <c r="DP87" s="54" t="b">
        <f t="shared" si="182"/>
        <v>0</v>
      </c>
      <c r="DQ87" s="54" t="b">
        <f t="shared" si="183"/>
        <v>1</v>
      </c>
      <c r="DR87" s="54">
        <f t="shared" si="184"/>
        <v>8.6501566233345414E-2</v>
      </c>
      <c r="DS87" s="54" t="e">
        <f t="shared" si="185"/>
        <v>#N/A</v>
      </c>
      <c r="DT87" s="54">
        <f t="shared" si="186"/>
        <v>8.6501566233345414E-2</v>
      </c>
      <c r="DU87" s="72" t="str">
        <f t="shared" si="187"/>
        <v/>
      </c>
      <c r="DZ87" s="54">
        <f t="shared" si="188"/>
        <v>77</v>
      </c>
      <c r="EA87" s="54">
        <f t="shared" si="189"/>
        <v>78</v>
      </c>
      <c r="EB87" s="54">
        <f t="shared" si="190"/>
        <v>-1.2456750381451651</v>
      </c>
      <c r="EC87" s="54">
        <f t="shared" si="191"/>
        <v>0.18363747975432293</v>
      </c>
      <c r="ED87" s="54" t="e">
        <f t="shared" si="192"/>
        <v>#N/A</v>
      </c>
      <c r="EE87" s="54" t="e">
        <f t="shared" si="193"/>
        <v>#N/A</v>
      </c>
      <c r="EF87" s="54" t="e">
        <f t="shared" si="194"/>
        <v>#N/A</v>
      </c>
      <c r="EG87" s="54" t="b">
        <f t="shared" si="195"/>
        <v>0</v>
      </c>
      <c r="EH87" s="54" t="b">
        <f t="shared" si="196"/>
        <v>1</v>
      </c>
      <c r="EI87" s="54" t="b">
        <f t="shared" si="197"/>
        <v>0</v>
      </c>
      <c r="EJ87" s="54" t="b">
        <f t="shared" si="198"/>
        <v>1</v>
      </c>
      <c r="EK87" s="54">
        <f t="shared" si="199"/>
        <v>0.18363747975432293</v>
      </c>
      <c r="EL87" s="54" t="e">
        <f t="shared" si="200"/>
        <v>#N/A</v>
      </c>
      <c r="EM87" s="54">
        <f t="shared" si="201"/>
        <v>0.18363747975432293</v>
      </c>
      <c r="EN87" s="72" t="str">
        <f t="shared" si="202"/>
        <v/>
      </c>
      <c r="EO8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8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8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87" s="54" t="e" cm="1">
        <f t="array" ref="ER87">IF($CK$3,INDEX(Eu_tabel_a[[#This Row],[Styrke venstre]:[Styrke tosidet]],ER$7),NA())</f>
        <v>#N/A</v>
      </c>
      <c r="ES87" s="54" t="e">
        <f>IF(ER$3,IF(CHOOSE(ER$7,Eu_tabel_a[[#This Row],[x base]]&gt;0,Eu_tabel_a[[#This Row],[x base]]&lt;0,Eu_tabel_a[[#This Row],[x base]]=0),1,NA()),NA())</f>
        <v>#N/A</v>
      </c>
      <c r="ET87" s="54" t="e">
        <f>IF(CHOOSE(ER$7,Eu_tabel_a[[#This Row],[x base]]&gt;0,Eu_tabel_a[[#This Row],[x base]]&lt;0,Eu_tabel_a[[#This Row],[x base]]=0),Eu_tabel_a[[#This Row],[Styrke, aktiv]],NA())</f>
        <v>#N/A</v>
      </c>
      <c r="EU87" s="54" t="e">
        <f>IFERROR(IF($ER$3,Eu_tabel_a[[#This Row],[Styrke, aktiv]],NA()),NA())</f>
        <v>#N/A</v>
      </c>
      <c r="EV87" s="54" t="e">
        <f>IF(ISNA(Eu_tabel_a[[#This Row],[Sand negativ
Nulhypotese afvises
Korrekt]]),NA(),IF(ER$3,1,NA()))</f>
        <v>#N/A</v>
      </c>
      <c r="EW87" s="55" t="str" cm="1">
        <f t="array" ref="EW87">IFERROR(_xlfn.SWITCH(Eu_tabel_a[[#This Row],[Indeks]],_xlfn.IFNA(EU$2,-99),EU$5,_xlfn.IFNA(EU$3,-99),EU$6,_xlfn.IFNA(EU$4,-99),EU$7,""),"")</f>
        <v/>
      </c>
      <c r="EX87" s="54">
        <f>Eu_tabel_a[[#This Row],[x base]]*SQRT(Eu_a_h0_x*(1-Eu_a_h0_x)/Eu_a_n_x)+Eu_a_h0_x</f>
        <v>0</v>
      </c>
      <c r="FC87" s="161" t="e">
        <f t="shared" si="146"/>
        <v>#N/A</v>
      </c>
      <c r="FD87" s="169" t="e">
        <f t="shared" si="121"/>
        <v>#DIV/0!</v>
      </c>
      <c r="FE87" s="7" t="e">
        <f t="shared" si="140"/>
        <v>#DIV/0!</v>
      </c>
      <c r="FF87" t="e">
        <f t="shared" si="122"/>
        <v>#DIV/0!</v>
      </c>
      <c r="FG87" s="8" t="e">
        <f t="shared" si="123"/>
        <v>#DIV/0!</v>
      </c>
      <c r="FH87" s="8" t="e">
        <f t="shared" si="124"/>
        <v>#DIV/0!</v>
      </c>
      <c r="FI87" s="168" t="e">
        <f t="shared" si="125"/>
        <v>#DIV/0!</v>
      </c>
      <c r="FJ87" s="161" t="e">
        <f t="shared" ca="1" si="141"/>
        <v>#N/A</v>
      </c>
      <c r="FK87" s="169" t="e" vm="3">
        <f t="shared" ca="1" si="147"/>
        <v>#VALUE!</v>
      </c>
      <c r="FL87" s="7" t="e" vm="3">
        <f t="shared" ca="1" si="142"/>
        <v>#VALUE!</v>
      </c>
      <c r="FM87" t="e" vm="3">
        <f t="shared" ca="1" si="136"/>
        <v>#VALUE!</v>
      </c>
      <c r="FN87" s="8" t="e" vm="3">
        <f t="shared" ca="1" si="137"/>
        <v>#VALUE!</v>
      </c>
      <c r="FO87" s="8" t="e" vm="3">
        <f t="shared" ca="1" si="138"/>
        <v>#VALUE!</v>
      </c>
      <c r="FP87" s="168" t="e" vm="3">
        <f t="shared" ca="1" si="139"/>
        <v>#VALUE!</v>
      </c>
      <c r="FQ87" s="161" t="e">
        <f t="shared" si="143"/>
        <v>#N/A</v>
      </c>
      <c r="FR87" s="169" t="e">
        <f t="shared" si="148"/>
        <v>#N/A</v>
      </c>
      <c r="FS87" s="7" t="e">
        <f t="shared" si="144"/>
        <v>#N/A</v>
      </c>
      <c r="FT87" t="e">
        <f t="shared" si="149"/>
        <v>#N/A</v>
      </c>
      <c r="FU87" s="8" t="e">
        <f t="shared" si="150"/>
        <v>#N/A</v>
      </c>
      <c r="FV87" s="8" t="e">
        <f t="shared" si="151"/>
        <v>#N/A</v>
      </c>
      <c r="FW87" s="168" t="e">
        <f t="shared" si="152"/>
        <v>#N/A</v>
      </c>
      <c r="FX87" s="161" t="e">
        <f t="shared" si="153"/>
        <v>#N/A</v>
      </c>
      <c r="FY87" s="169" t="e">
        <f t="shared" si="154"/>
        <v>#N/A</v>
      </c>
      <c r="FZ87" s="7" t="e">
        <f t="shared" si="145"/>
        <v>#N/A</v>
      </c>
      <c r="GA87" t="e">
        <f t="shared" si="155"/>
        <v>#N/A</v>
      </c>
      <c r="GB87" s="8" t="e">
        <f t="shared" si="156"/>
        <v>#N/A</v>
      </c>
      <c r="GC87" s="8" t="e">
        <f t="shared" si="157"/>
        <v>#N/A</v>
      </c>
      <c r="GD87" s="168" t="e">
        <f t="shared" si="158"/>
        <v>#N/A</v>
      </c>
      <c r="GE87" s="168"/>
      <c r="GF87" s="168"/>
      <c r="GI87" s="54">
        <f t="shared" si="203"/>
        <v>77</v>
      </c>
      <c r="GJ87" s="54">
        <f t="shared" si="204"/>
        <v>78</v>
      </c>
      <c r="GK87" s="54">
        <f t="shared" si="205"/>
        <v>-1.2456750381451651</v>
      </c>
      <c r="GL87" s="54">
        <f t="shared" si="206"/>
        <v>0.18363747975432293</v>
      </c>
      <c r="GM87" s="54" t="e">
        <f t="shared" si="207"/>
        <v>#N/A</v>
      </c>
      <c r="GN87" s="54" t="e">
        <f t="shared" si="208"/>
        <v>#N/A</v>
      </c>
      <c r="GO87" s="54" t="e">
        <f t="shared" si="209"/>
        <v>#N/A</v>
      </c>
      <c r="GP87" s="54" t="b">
        <f t="shared" si="210"/>
        <v>0</v>
      </c>
      <c r="GQ87" s="54" t="b">
        <f t="shared" si="211"/>
        <v>1</v>
      </c>
      <c r="GR87" s="54" t="b">
        <f t="shared" si="212"/>
        <v>0</v>
      </c>
      <c r="GS87" s="54" t="b">
        <f t="shared" si="213"/>
        <v>1</v>
      </c>
      <c r="GT87" s="54">
        <f t="shared" si="214"/>
        <v>0.18363747975432293</v>
      </c>
      <c r="GU87" s="54" t="e">
        <f t="shared" si="215"/>
        <v>#N/A</v>
      </c>
      <c r="GV87" s="54">
        <f t="shared" si="216"/>
        <v>0.18363747975432293</v>
      </c>
      <c r="GW87" s="72" t="str">
        <f t="shared" si="217"/>
        <v/>
      </c>
      <c r="HC87" s="54">
        <f t="shared" si="218"/>
        <v>77</v>
      </c>
      <c r="HD87" s="54">
        <f t="shared" si="219"/>
        <v>78</v>
      </c>
      <c r="HE87" s="54">
        <f t="shared" si="220"/>
        <v>-1.9289539588309559</v>
      </c>
      <c r="HF87" s="54" t="e">
        <f t="shared" si="221"/>
        <v>#N/A</v>
      </c>
      <c r="HG87" s="54">
        <f t="shared" si="222"/>
        <v>6.9971985868934911E-2</v>
      </c>
      <c r="HH87" s="54" t="e">
        <f t="shared" si="223"/>
        <v>#N/A</v>
      </c>
      <c r="HI87" s="54" t="e">
        <f t="shared" si="224"/>
        <v>#N/A</v>
      </c>
      <c r="HJ87" s="54" t="b">
        <f t="shared" si="225"/>
        <v>1</v>
      </c>
      <c r="HK87" s="54" t="b">
        <f t="shared" si="226"/>
        <v>0</v>
      </c>
      <c r="HL87" s="54" t="b">
        <f t="shared" si="227"/>
        <v>1</v>
      </c>
      <c r="HM87" s="54" t="b">
        <f t="shared" si="228"/>
        <v>0</v>
      </c>
      <c r="HN87" s="54">
        <f t="shared" si="229"/>
        <v>6.9971985868934911E-2</v>
      </c>
      <c r="HO87" s="54">
        <f t="shared" si="230"/>
        <v>6.9971985868934911E-2</v>
      </c>
      <c r="HP87" s="54" t="e">
        <f t="shared" si="231"/>
        <v>#N/A</v>
      </c>
      <c r="HQ87" s="72" t="str">
        <f t="shared" si="232"/>
        <v/>
      </c>
    </row>
    <row r="88" spans="71:225" x14ac:dyDescent="0.2">
      <c r="BS88" s="54">
        <f t="shared" si="159"/>
        <v>78</v>
      </c>
      <c r="BT88" s="54">
        <f>Eu_tabel_g[[#This Row],[Indeks]]+1</f>
        <v>79</v>
      </c>
      <c r="BU88" s="54">
        <f t="shared" si="160"/>
        <v>-1.2217197489500657</v>
      </c>
      <c r="BV88" s="54">
        <f t="shared" si="161"/>
        <v>0.18914561597203963</v>
      </c>
      <c r="BW88" s="54" t="e">
        <f t="shared" si="162"/>
        <v>#N/A</v>
      </c>
      <c r="BX88" s="54" t="e">
        <f t="shared" si="163"/>
        <v>#N/A</v>
      </c>
      <c r="BY88" s="54" t="e">
        <f t="shared" si="164"/>
        <v>#N/A</v>
      </c>
      <c r="BZ88" s="54" t="b">
        <f t="shared" si="165"/>
        <v>0</v>
      </c>
      <c r="CA88" s="54" t="b">
        <f t="shared" si="166"/>
        <v>1</v>
      </c>
      <c r="CB88" s="54" t="b">
        <f t="shared" si="167"/>
        <v>0</v>
      </c>
      <c r="CC88" s="54" t="b">
        <f t="shared" si="168"/>
        <v>1</v>
      </c>
      <c r="CD88" s="54">
        <f t="shared" si="135"/>
        <v>0.18914561597203963</v>
      </c>
      <c r="CE88" s="54" t="e">
        <f t="shared" si="169"/>
        <v>#N/A</v>
      </c>
      <c r="CF88" s="54">
        <f t="shared" si="170"/>
        <v>0.18914561597203963</v>
      </c>
      <c r="CG88" s="72" t="str">
        <f t="shared" si="171"/>
        <v/>
      </c>
      <c r="CH88" s="54">
        <f>_xlfn.NORM.DIST(_xlfn.NORM.INV(1-Eu_g_konfidensniveau,0,1)-Eu_tabel_g[[#This Row],[x base]],0,1,TRUE)</f>
        <v>0.33609879307128609</v>
      </c>
      <c r="CI88" s="54">
        <f>1-_xlfn.NORM.DIST(_xlfn.NORM.INV(Eu_g_konfidensniveau,0,1)-Eu_tabel_g[[#This Row],[x base]],0,1,TRUE)</f>
        <v>2.0747097827240601E-3</v>
      </c>
      <c r="CJ88" s="54">
        <f>_xlfn.NORM.DIST(_xlfn.NORM.INV((1-Eu_g_konfidensniveau)/2,0,1)-Eu_tabel_g[[#This Row],[x base]],0,1,TRUE)+1-_xlfn.NORM.DIST(_xlfn.NORM.INV(1-(1-Eu_g_konfidensniveau)/2,0,1)-Eu_tabel_g[[#This Row],[x base]],0,1,TRUE)</f>
        <v>0.23091513127223462</v>
      </c>
      <c r="CK88" s="54" t="e" cm="1">
        <f t="array" ref="CK88">IF($CK$3,INDEX(Eu_tabel_g[[#This Row],[Styrke venstre]:[Styrke tosidet]],CK$7),NA())</f>
        <v>#N/A</v>
      </c>
      <c r="CL88" s="99" t="e">
        <f>Eu_tabel_g[[#This Row],[Falsk positiv
Nulhypotese accepteres
Fejltype 1]]</f>
        <v>#N/A</v>
      </c>
      <c r="CM88" s="99" t="e">
        <f>IF(CHOOSE(CK$7,Eu_tabel_g[[#This Row],[x base]]&gt;0,Eu_tabel_g[[#This Row],[x base]]&lt;0,Eu_tabel_g[[#This Row],[x base]]=0),Eu_tabel_g[[#This Row],[Styrke, aktiv]],NA())</f>
        <v>#N/A</v>
      </c>
      <c r="CN88" s="99" t="e">
        <f>IFERROR(IF($CK$3,Eu_tabel_g[[#This Row],[Styrke, aktiv]],NA()),NA())</f>
        <v>#N/A</v>
      </c>
      <c r="CO88" s="99" t="e">
        <f>IF(ISNA(Eu_tabel_g[[#This Row],[Sand negativ
Nulhypotese afvises
Korrekt]]),NA(),IF($CK$3,1,NA()))</f>
        <v>#N/A</v>
      </c>
      <c r="CP88" s="56" t="str" cm="1">
        <f t="array" ref="CP88">_xlfn.SWITCH(BS88,_xlfn.IFNA(CN$2,-99),CN$5,_xlfn.IFNA(CN$3,-99),CN$6,_xlfn.IFNA(CN$4,-99),CN$7,"")</f>
        <v/>
      </c>
      <c r="CT88" s="7">
        <f t="shared" si="172"/>
        <v>0.8</v>
      </c>
      <c r="CU88">
        <f>IF(ROW(Styrkeberegning_G[[#This Row],[X base venstre]])=ROW(Styrkeberegning_G[[#Headers],[X base venstre]])+1,CU$7/(CT$7/$B$67),CU87/(CT87/$B$67))</f>
        <v>-2.8015817870135784</v>
      </c>
      <c r="CV88">
        <f>Styrkeberegning_G[[#This Row],[X base venstre]]*-1</f>
        <v>2.8015817870135784</v>
      </c>
      <c r="DG88" s="54">
        <f t="shared" si="173"/>
        <v>78</v>
      </c>
      <c r="DH88" s="54">
        <f t="shared" si="174"/>
        <v>79</v>
      </c>
      <c r="DI88" s="54">
        <f t="shared" si="175"/>
        <v>10.731379465179769</v>
      </c>
      <c r="DJ88" s="54" t="e">
        <f t="shared" si="176"/>
        <v>#N/A</v>
      </c>
      <c r="DK88" s="54" t="e">
        <f t="shared" si="177"/>
        <v>#N/A</v>
      </c>
      <c r="DL88" s="54">
        <f t="shared" si="178"/>
        <v>8.5731179445392575E-2</v>
      </c>
      <c r="DM88" s="54" t="e">
        <f t="shared" si="179"/>
        <v>#N/A</v>
      </c>
      <c r="DN88" s="54" t="b">
        <f t="shared" si="180"/>
        <v>0</v>
      </c>
      <c r="DO88" s="54" t="b">
        <f t="shared" si="181"/>
        <v>1</v>
      </c>
      <c r="DP88" s="54" t="b">
        <f t="shared" si="182"/>
        <v>0</v>
      </c>
      <c r="DQ88" s="54" t="b">
        <f t="shared" si="183"/>
        <v>1</v>
      </c>
      <c r="DR88" s="54">
        <f t="shared" si="184"/>
        <v>8.5731179445392575E-2</v>
      </c>
      <c r="DS88" s="54" t="e">
        <f t="shared" si="185"/>
        <v>#N/A</v>
      </c>
      <c r="DT88" s="54">
        <f t="shared" si="186"/>
        <v>8.5731179445392575E-2</v>
      </c>
      <c r="DU88" s="72" t="str">
        <f t="shared" si="187"/>
        <v/>
      </c>
      <c r="DZ88" s="54">
        <f t="shared" si="188"/>
        <v>78</v>
      </c>
      <c r="EA88" s="54">
        <f t="shared" si="189"/>
        <v>79</v>
      </c>
      <c r="EB88" s="54">
        <f t="shared" si="190"/>
        <v>-1.2217197489500657</v>
      </c>
      <c r="EC88" s="54">
        <f t="shared" si="191"/>
        <v>0.18914561597203963</v>
      </c>
      <c r="ED88" s="54" t="e">
        <f t="shared" si="192"/>
        <v>#N/A</v>
      </c>
      <c r="EE88" s="54" t="e">
        <f t="shared" si="193"/>
        <v>#N/A</v>
      </c>
      <c r="EF88" s="54" t="e">
        <f t="shared" si="194"/>
        <v>#N/A</v>
      </c>
      <c r="EG88" s="54" t="b">
        <f t="shared" si="195"/>
        <v>0</v>
      </c>
      <c r="EH88" s="54" t="b">
        <f t="shared" si="196"/>
        <v>1</v>
      </c>
      <c r="EI88" s="54" t="b">
        <f t="shared" si="197"/>
        <v>0</v>
      </c>
      <c r="EJ88" s="54" t="b">
        <f t="shared" si="198"/>
        <v>1</v>
      </c>
      <c r="EK88" s="54">
        <f t="shared" si="199"/>
        <v>0.18914561597203963</v>
      </c>
      <c r="EL88" s="54" t="e">
        <f t="shared" si="200"/>
        <v>#N/A</v>
      </c>
      <c r="EM88" s="54">
        <f t="shared" si="201"/>
        <v>0.18914561597203963</v>
      </c>
      <c r="EN88" s="72" t="str">
        <f t="shared" si="202"/>
        <v/>
      </c>
      <c r="EO8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8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8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88" s="54" t="e" cm="1">
        <f t="array" ref="ER88">IF($CK$3,INDEX(Eu_tabel_a[[#This Row],[Styrke venstre]:[Styrke tosidet]],ER$7),NA())</f>
        <v>#N/A</v>
      </c>
      <c r="ES88" s="54" t="e">
        <f>IF(ER$3,IF(CHOOSE(ER$7,Eu_tabel_a[[#This Row],[x base]]&gt;0,Eu_tabel_a[[#This Row],[x base]]&lt;0,Eu_tabel_a[[#This Row],[x base]]=0),1,NA()),NA())</f>
        <v>#N/A</v>
      </c>
      <c r="ET88" s="54" t="e">
        <f>IF(CHOOSE(ER$7,Eu_tabel_a[[#This Row],[x base]]&gt;0,Eu_tabel_a[[#This Row],[x base]]&lt;0,Eu_tabel_a[[#This Row],[x base]]=0),Eu_tabel_a[[#This Row],[Styrke, aktiv]],NA())</f>
        <v>#N/A</v>
      </c>
      <c r="EU88" s="54" t="e">
        <f>IFERROR(IF($ER$3,Eu_tabel_a[[#This Row],[Styrke, aktiv]],NA()),NA())</f>
        <v>#N/A</v>
      </c>
      <c r="EV88" s="54" t="e">
        <f>IF(ISNA(Eu_tabel_a[[#This Row],[Sand negativ
Nulhypotese afvises
Korrekt]]),NA(),IF(ER$3,1,NA()))</f>
        <v>#N/A</v>
      </c>
      <c r="EW88" s="55" t="str" cm="1">
        <f t="array" ref="EW88">IFERROR(_xlfn.SWITCH(Eu_tabel_a[[#This Row],[Indeks]],_xlfn.IFNA(EU$2,-99),EU$5,_xlfn.IFNA(EU$3,-99),EU$6,_xlfn.IFNA(EU$4,-99),EU$7,""),"")</f>
        <v/>
      </c>
      <c r="EX88" s="54">
        <f>Eu_tabel_a[[#This Row],[x base]]*SQRT(Eu_a_h0_x*(1-Eu_a_h0_x)/Eu_a_n_x)+Eu_a_h0_x</f>
        <v>0</v>
      </c>
      <c r="FC88" s="161" t="e">
        <f t="shared" si="146"/>
        <v>#N/A</v>
      </c>
      <c r="FD88" s="169" t="e">
        <f t="shared" si="121"/>
        <v>#DIV/0!</v>
      </c>
      <c r="FE88" s="7" t="e">
        <f t="shared" si="140"/>
        <v>#DIV/0!</v>
      </c>
      <c r="FF88" t="e">
        <f t="shared" si="122"/>
        <v>#DIV/0!</v>
      </c>
      <c r="FG88" s="8" t="e">
        <f t="shared" si="123"/>
        <v>#DIV/0!</v>
      </c>
      <c r="FH88" s="8" t="e">
        <f t="shared" si="124"/>
        <v>#DIV/0!</v>
      </c>
      <c r="FI88" s="168" t="e">
        <f t="shared" si="125"/>
        <v>#DIV/0!</v>
      </c>
      <c r="FJ88" s="161" t="e">
        <f t="shared" ca="1" si="141"/>
        <v>#N/A</v>
      </c>
      <c r="FK88" s="169" t="e" vm="3">
        <f t="shared" ca="1" si="147"/>
        <v>#VALUE!</v>
      </c>
      <c r="FL88" s="7" t="e" vm="3">
        <f t="shared" ca="1" si="142"/>
        <v>#VALUE!</v>
      </c>
      <c r="FM88" t="e" vm="3">
        <f t="shared" ca="1" si="136"/>
        <v>#VALUE!</v>
      </c>
      <c r="FN88" s="8" t="e" vm="3">
        <f t="shared" ca="1" si="137"/>
        <v>#VALUE!</v>
      </c>
      <c r="FO88" s="8" t="e" vm="3">
        <f t="shared" ca="1" si="138"/>
        <v>#VALUE!</v>
      </c>
      <c r="FP88" s="168" t="e" vm="3">
        <f t="shared" ca="1" si="139"/>
        <v>#VALUE!</v>
      </c>
      <c r="FQ88" s="161" t="e">
        <f t="shared" si="143"/>
        <v>#N/A</v>
      </c>
      <c r="FR88" s="169" t="e">
        <f t="shared" si="148"/>
        <v>#N/A</v>
      </c>
      <c r="FS88" s="7" t="e">
        <f t="shared" si="144"/>
        <v>#N/A</v>
      </c>
      <c r="FT88" t="e">
        <f t="shared" si="149"/>
        <v>#N/A</v>
      </c>
      <c r="FU88" s="8" t="e">
        <f t="shared" si="150"/>
        <v>#N/A</v>
      </c>
      <c r="FV88" s="8" t="e">
        <f t="shared" si="151"/>
        <v>#N/A</v>
      </c>
      <c r="FW88" s="168" t="e">
        <f t="shared" si="152"/>
        <v>#N/A</v>
      </c>
      <c r="FX88" s="161" t="e">
        <f t="shared" si="153"/>
        <v>#N/A</v>
      </c>
      <c r="FY88" s="169" t="e">
        <f t="shared" si="154"/>
        <v>#N/A</v>
      </c>
      <c r="FZ88" s="7" t="e">
        <f t="shared" si="145"/>
        <v>#N/A</v>
      </c>
      <c r="GA88" t="e">
        <f t="shared" si="155"/>
        <v>#N/A</v>
      </c>
      <c r="GB88" s="8" t="e">
        <f t="shared" si="156"/>
        <v>#N/A</v>
      </c>
      <c r="GC88" s="8" t="e">
        <f t="shared" si="157"/>
        <v>#N/A</v>
      </c>
      <c r="GD88" s="168" t="e">
        <f t="shared" si="158"/>
        <v>#N/A</v>
      </c>
      <c r="GE88" s="168"/>
      <c r="GF88" s="168"/>
      <c r="GI88" s="54">
        <f t="shared" si="203"/>
        <v>78</v>
      </c>
      <c r="GJ88" s="54">
        <f t="shared" si="204"/>
        <v>79</v>
      </c>
      <c r="GK88" s="54">
        <f t="shared" si="205"/>
        <v>-1.2217197489500657</v>
      </c>
      <c r="GL88" s="54">
        <f t="shared" si="206"/>
        <v>0.18914561597203963</v>
      </c>
      <c r="GM88" s="54" t="e">
        <f t="shared" si="207"/>
        <v>#N/A</v>
      </c>
      <c r="GN88" s="54" t="e">
        <f t="shared" si="208"/>
        <v>#N/A</v>
      </c>
      <c r="GO88" s="54" t="e">
        <f t="shared" si="209"/>
        <v>#N/A</v>
      </c>
      <c r="GP88" s="54" t="b">
        <f t="shared" si="210"/>
        <v>0</v>
      </c>
      <c r="GQ88" s="54" t="b">
        <f t="shared" si="211"/>
        <v>1</v>
      </c>
      <c r="GR88" s="54" t="b">
        <f t="shared" si="212"/>
        <v>0</v>
      </c>
      <c r="GS88" s="54" t="b">
        <f t="shared" si="213"/>
        <v>1</v>
      </c>
      <c r="GT88" s="54">
        <f t="shared" si="214"/>
        <v>0.18914561597203963</v>
      </c>
      <c r="GU88" s="54" t="e">
        <f t="shared" si="215"/>
        <v>#N/A</v>
      </c>
      <c r="GV88" s="54">
        <f t="shared" si="216"/>
        <v>0.18914561597203963</v>
      </c>
      <c r="GW88" s="72" t="str">
        <f t="shared" si="217"/>
        <v/>
      </c>
      <c r="HC88" s="54">
        <f t="shared" si="218"/>
        <v>78</v>
      </c>
      <c r="HD88" s="54">
        <f t="shared" si="219"/>
        <v>79</v>
      </c>
      <c r="HE88" s="54">
        <f t="shared" si="220"/>
        <v>-1.8918586903918988</v>
      </c>
      <c r="HF88" s="54" t="e">
        <f t="shared" si="221"/>
        <v>#N/A</v>
      </c>
      <c r="HG88" s="54">
        <f t="shared" si="222"/>
        <v>7.3797821923210979E-2</v>
      </c>
      <c r="HH88" s="54" t="e">
        <f t="shared" si="223"/>
        <v>#N/A</v>
      </c>
      <c r="HI88" s="54" t="e">
        <f t="shared" si="224"/>
        <v>#N/A</v>
      </c>
      <c r="HJ88" s="54" t="b">
        <f t="shared" si="225"/>
        <v>1</v>
      </c>
      <c r="HK88" s="54" t="b">
        <f t="shared" si="226"/>
        <v>0</v>
      </c>
      <c r="HL88" s="54" t="b">
        <f t="shared" si="227"/>
        <v>1</v>
      </c>
      <c r="HM88" s="54" t="b">
        <f t="shared" si="228"/>
        <v>0</v>
      </c>
      <c r="HN88" s="54">
        <f t="shared" si="229"/>
        <v>7.3797821923210979E-2</v>
      </c>
      <c r="HO88" s="54">
        <f t="shared" si="230"/>
        <v>7.3797821923210979E-2</v>
      </c>
      <c r="HP88" s="54" t="e">
        <f t="shared" si="231"/>
        <v>#N/A</v>
      </c>
      <c r="HQ88" s="72" t="str">
        <f t="shared" si="232"/>
        <v/>
      </c>
    </row>
    <row r="89" spans="71:225" x14ac:dyDescent="0.2">
      <c r="BS89" s="54">
        <f t="shared" si="159"/>
        <v>79</v>
      </c>
      <c r="BT89" s="54">
        <f>Eu_tabel_g[[#This Row],[Indeks]]+1</f>
        <v>80</v>
      </c>
      <c r="BU89" s="54">
        <f t="shared" si="160"/>
        <v>-1.1977644597549664</v>
      </c>
      <c r="BV89" s="54">
        <f t="shared" si="161"/>
        <v>0.19470720069857361</v>
      </c>
      <c r="BW89" s="54" t="e">
        <f t="shared" si="162"/>
        <v>#N/A</v>
      </c>
      <c r="BX89" s="54" t="e">
        <f t="shared" si="163"/>
        <v>#N/A</v>
      </c>
      <c r="BY89" s="54" t="e">
        <f t="shared" si="164"/>
        <v>#N/A</v>
      </c>
      <c r="BZ89" s="54" t="b">
        <f t="shared" si="165"/>
        <v>0</v>
      </c>
      <c r="CA89" s="54" t="b">
        <f t="shared" si="166"/>
        <v>1</v>
      </c>
      <c r="CB89" s="54" t="b">
        <f t="shared" si="167"/>
        <v>0</v>
      </c>
      <c r="CC89" s="54" t="b">
        <f t="shared" si="168"/>
        <v>1</v>
      </c>
      <c r="CD89" s="54">
        <f t="shared" si="135"/>
        <v>0.19470720069857361</v>
      </c>
      <c r="CE89" s="54" t="e">
        <f t="shared" si="169"/>
        <v>#N/A</v>
      </c>
      <c r="CF89" s="54">
        <f t="shared" si="170"/>
        <v>0.19470720069857361</v>
      </c>
      <c r="CG89" s="72" t="str">
        <f t="shared" si="171"/>
        <v/>
      </c>
      <c r="CH89" s="54">
        <f>_xlfn.NORM.DIST(_xlfn.NORM.INV(1-Eu_g_konfidensniveau,0,1)-Eu_tabel_g[[#This Row],[x base]],0,1,TRUE)</f>
        <v>0.32740534012693789</v>
      </c>
      <c r="CI89" s="54">
        <f>1-_xlfn.NORM.DIST(_xlfn.NORM.INV(Eu_g_konfidensniveau,0,1)-Eu_tabel_g[[#This Row],[x base]],0,1,TRUE)</f>
        <v>2.2372326012062294E-3</v>
      </c>
      <c r="CJ89" s="54">
        <f>_xlfn.NORM.DIST(_xlfn.NORM.INV((1-Eu_g_konfidensniveau)/2,0,1)-Eu_tabel_g[[#This Row],[x base]],0,1,TRUE)+1-_xlfn.NORM.DIST(_xlfn.NORM.INV(1-(1-Eu_g_konfidensniveau)/2,0,1)-Eu_tabel_g[[#This Row],[x base]],0,1,TRUE)</f>
        <v>0.22376548284288711</v>
      </c>
      <c r="CK89" s="54" t="e" cm="1">
        <f t="array" ref="CK89">IF($CK$3,INDEX(Eu_tabel_g[[#This Row],[Styrke venstre]:[Styrke tosidet]],CK$7),NA())</f>
        <v>#N/A</v>
      </c>
      <c r="CL89" s="99" t="e">
        <f>Eu_tabel_g[[#This Row],[Falsk positiv
Nulhypotese accepteres
Fejltype 1]]</f>
        <v>#N/A</v>
      </c>
      <c r="CM89" s="99" t="e">
        <f>IF(CHOOSE(CK$7,Eu_tabel_g[[#This Row],[x base]]&gt;0,Eu_tabel_g[[#This Row],[x base]]&lt;0,Eu_tabel_g[[#This Row],[x base]]=0),Eu_tabel_g[[#This Row],[Styrke, aktiv]],NA())</f>
        <v>#N/A</v>
      </c>
      <c r="CN89" s="99" t="e">
        <f>IFERROR(IF($CK$3,Eu_tabel_g[[#This Row],[Styrke, aktiv]],NA()),NA())</f>
        <v>#N/A</v>
      </c>
      <c r="CO89" s="99" t="e">
        <f>IF(ISNA(Eu_tabel_g[[#This Row],[Sand negativ
Nulhypotese afvises
Korrekt]]),NA(),IF($CK$3,1,NA()))</f>
        <v>#N/A</v>
      </c>
      <c r="CP89" s="56" t="str" cm="1">
        <f t="array" ref="CP89">_xlfn.SWITCH(BS89,_xlfn.IFNA(CN$2,-99),CN$5,_xlfn.IFNA(CN$3,-99),CN$6,_xlfn.IFNA(CN$4,-99),CN$7,"")</f>
        <v/>
      </c>
      <c r="CT89" s="7">
        <f t="shared" si="172"/>
        <v>0.8</v>
      </c>
      <c r="CU89">
        <f>IF(ROW(Styrkeberegning_G[[#This Row],[X base venstre]])=ROW(Styrkeberegning_G[[#Headers],[X base venstre]])+1,CU$7/(CT$7/$B$67),CU88/(CT88/$B$67))</f>
        <v>-2.8015817870135784</v>
      </c>
      <c r="CV89">
        <f>Styrkeberegning_G[[#This Row],[X base venstre]]*-1</f>
        <v>2.8015817870135784</v>
      </c>
      <c r="DG89" s="54">
        <f t="shared" si="173"/>
        <v>79</v>
      </c>
      <c r="DH89" s="54">
        <f t="shared" si="174"/>
        <v>80</v>
      </c>
      <c r="DI89" s="54">
        <f t="shared" si="175"/>
        <v>10.84545032159677</v>
      </c>
      <c r="DJ89" s="54" t="e">
        <f t="shared" si="176"/>
        <v>#N/A</v>
      </c>
      <c r="DK89" s="54" t="e">
        <f t="shared" si="177"/>
        <v>#N/A</v>
      </c>
      <c r="DL89" s="54">
        <f t="shared" si="178"/>
        <v>8.4924460239516705E-2</v>
      </c>
      <c r="DM89" s="54" t="e">
        <f t="shared" si="179"/>
        <v>#N/A</v>
      </c>
      <c r="DN89" s="54" t="b">
        <f t="shared" si="180"/>
        <v>0</v>
      </c>
      <c r="DO89" s="54" t="b">
        <f t="shared" si="181"/>
        <v>1</v>
      </c>
      <c r="DP89" s="54" t="b">
        <f t="shared" si="182"/>
        <v>0</v>
      </c>
      <c r="DQ89" s="54" t="b">
        <f t="shared" si="183"/>
        <v>1</v>
      </c>
      <c r="DR89" s="54">
        <f t="shared" si="184"/>
        <v>8.4924460239516705E-2</v>
      </c>
      <c r="DS89" s="54" t="e">
        <f t="shared" si="185"/>
        <v>#N/A</v>
      </c>
      <c r="DT89" s="54">
        <f t="shared" si="186"/>
        <v>8.4924460239516705E-2</v>
      </c>
      <c r="DU89" s="72" t="str">
        <f t="shared" si="187"/>
        <v/>
      </c>
      <c r="DZ89" s="54">
        <f t="shared" si="188"/>
        <v>79</v>
      </c>
      <c r="EA89" s="54">
        <f t="shared" si="189"/>
        <v>80</v>
      </c>
      <c r="EB89" s="54">
        <f t="shared" si="190"/>
        <v>-1.1977644597549664</v>
      </c>
      <c r="EC89" s="54">
        <f t="shared" si="191"/>
        <v>0.19470720069857361</v>
      </c>
      <c r="ED89" s="54" t="e">
        <f t="shared" si="192"/>
        <v>#N/A</v>
      </c>
      <c r="EE89" s="54" t="e">
        <f t="shared" si="193"/>
        <v>#N/A</v>
      </c>
      <c r="EF89" s="54" t="e">
        <f t="shared" si="194"/>
        <v>#N/A</v>
      </c>
      <c r="EG89" s="54" t="b">
        <f t="shared" si="195"/>
        <v>0</v>
      </c>
      <c r="EH89" s="54" t="b">
        <f t="shared" si="196"/>
        <v>1</v>
      </c>
      <c r="EI89" s="54" t="b">
        <f t="shared" si="197"/>
        <v>0</v>
      </c>
      <c r="EJ89" s="54" t="b">
        <f t="shared" si="198"/>
        <v>1</v>
      </c>
      <c r="EK89" s="54">
        <f t="shared" si="199"/>
        <v>0.19470720069857361</v>
      </c>
      <c r="EL89" s="54" t="e">
        <f t="shared" si="200"/>
        <v>#N/A</v>
      </c>
      <c r="EM89" s="54">
        <f t="shared" si="201"/>
        <v>0.19470720069857361</v>
      </c>
      <c r="EN89" s="72" t="str">
        <f t="shared" si="202"/>
        <v/>
      </c>
      <c r="EO8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8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8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89" s="54" t="e" cm="1">
        <f t="array" ref="ER89">IF($CK$3,INDEX(Eu_tabel_a[[#This Row],[Styrke venstre]:[Styrke tosidet]],ER$7),NA())</f>
        <v>#N/A</v>
      </c>
      <c r="ES89" s="54" t="e">
        <f>IF(ER$3,IF(CHOOSE(ER$7,Eu_tabel_a[[#This Row],[x base]]&gt;0,Eu_tabel_a[[#This Row],[x base]]&lt;0,Eu_tabel_a[[#This Row],[x base]]=0),1,NA()),NA())</f>
        <v>#N/A</v>
      </c>
      <c r="ET89" s="54" t="e">
        <f>IF(CHOOSE(ER$7,Eu_tabel_a[[#This Row],[x base]]&gt;0,Eu_tabel_a[[#This Row],[x base]]&lt;0,Eu_tabel_a[[#This Row],[x base]]=0),Eu_tabel_a[[#This Row],[Styrke, aktiv]],NA())</f>
        <v>#N/A</v>
      </c>
      <c r="EU89" s="54" t="e">
        <f>IFERROR(IF($ER$3,Eu_tabel_a[[#This Row],[Styrke, aktiv]],NA()),NA())</f>
        <v>#N/A</v>
      </c>
      <c r="EV89" s="54" t="e">
        <f>IF(ISNA(Eu_tabel_a[[#This Row],[Sand negativ
Nulhypotese afvises
Korrekt]]),NA(),IF(ER$3,1,NA()))</f>
        <v>#N/A</v>
      </c>
      <c r="EW89" s="55" t="str" cm="1">
        <f t="array" ref="EW89">IFERROR(_xlfn.SWITCH(Eu_tabel_a[[#This Row],[Indeks]],_xlfn.IFNA(EU$2,-99),EU$5,_xlfn.IFNA(EU$3,-99),EU$6,_xlfn.IFNA(EU$4,-99),EU$7,""),"")</f>
        <v/>
      </c>
      <c r="EX89" s="54">
        <f>Eu_tabel_a[[#This Row],[x base]]*SQRT(Eu_a_h0_x*(1-Eu_a_h0_x)/Eu_a_n_x)+Eu_a_h0_x</f>
        <v>0</v>
      </c>
      <c r="FC89" s="161" t="e">
        <f t="shared" si="146"/>
        <v>#N/A</v>
      </c>
      <c r="FD89" s="169" t="e">
        <f t="shared" si="121"/>
        <v>#DIV/0!</v>
      </c>
      <c r="FE89" s="7" t="e">
        <f t="shared" si="140"/>
        <v>#DIV/0!</v>
      </c>
      <c r="FF89" t="e">
        <f t="shared" si="122"/>
        <v>#DIV/0!</v>
      </c>
      <c r="FG89" s="8" t="e">
        <f t="shared" si="123"/>
        <v>#DIV/0!</v>
      </c>
      <c r="FH89" s="8" t="e">
        <f t="shared" si="124"/>
        <v>#DIV/0!</v>
      </c>
      <c r="FI89" s="168" t="e">
        <f t="shared" si="125"/>
        <v>#DIV/0!</v>
      </c>
      <c r="FJ89" s="161" t="e">
        <f t="shared" ca="1" si="141"/>
        <v>#N/A</v>
      </c>
      <c r="FK89" s="169" t="e" vm="3">
        <f t="shared" ca="1" si="147"/>
        <v>#VALUE!</v>
      </c>
      <c r="FL89" s="7" t="e" vm="3">
        <f t="shared" ca="1" si="142"/>
        <v>#VALUE!</v>
      </c>
      <c r="FM89" t="e" vm="3">
        <f t="shared" ca="1" si="136"/>
        <v>#VALUE!</v>
      </c>
      <c r="FN89" s="8" t="e" vm="3">
        <f t="shared" ca="1" si="137"/>
        <v>#VALUE!</v>
      </c>
      <c r="FO89" s="8" t="e" vm="3">
        <f t="shared" ca="1" si="138"/>
        <v>#VALUE!</v>
      </c>
      <c r="FP89" s="168" t="e" vm="3">
        <f t="shared" ca="1" si="139"/>
        <v>#VALUE!</v>
      </c>
      <c r="FQ89" s="161" t="e">
        <f t="shared" si="143"/>
        <v>#N/A</v>
      </c>
      <c r="FR89" s="169" t="e">
        <f t="shared" si="148"/>
        <v>#N/A</v>
      </c>
      <c r="FS89" s="7" t="e">
        <f t="shared" si="144"/>
        <v>#N/A</v>
      </c>
      <c r="FT89" t="e">
        <f t="shared" si="149"/>
        <v>#N/A</v>
      </c>
      <c r="FU89" s="8" t="e">
        <f t="shared" si="150"/>
        <v>#N/A</v>
      </c>
      <c r="FV89" s="8" t="e">
        <f t="shared" si="151"/>
        <v>#N/A</v>
      </c>
      <c r="FW89" s="168" t="e">
        <f t="shared" si="152"/>
        <v>#N/A</v>
      </c>
      <c r="FX89" s="161" t="e">
        <f t="shared" si="153"/>
        <v>#N/A</v>
      </c>
      <c r="FY89" s="169" t="e">
        <f t="shared" si="154"/>
        <v>#N/A</v>
      </c>
      <c r="FZ89" s="7" t="e">
        <f t="shared" si="145"/>
        <v>#N/A</v>
      </c>
      <c r="GA89" t="e">
        <f t="shared" si="155"/>
        <v>#N/A</v>
      </c>
      <c r="GB89" s="8" t="e">
        <f t="shared" si="156"/>
        <v>#N/A</v>
      </c>
      <c r="GC89" s="8" t="e">
        <f t="shared" si="157"/>
        <v>#N/A</v>
      </c>
      <c r="GD89" s="168" t="e">
        <f t="shared" si="158"/>
        <v>#N/A</v>
      </c>
      <c r="GE89" s="168"/>
      <c r="GF89" s="168"/>
      <c r="GI89" s="54">
        <f t="shared" si="203"/>
        <v>79</v>
      </c>
      <c r="GJ89" s="54">
        <f t="shared" si="204"/>
        <v>80</v>
      </c>
      <c r="GK89" s="54">
        <f t="shared" si="205"/>
        <v>-1.1977644597549664</v>
      </c>
      <c r="GL89" s="54">
        <f t="shared" si="206"/>
        <v>0.19470720069857361</v>
      </c>
      <c r="GM89" s="54" t="e">
        <f t="shared" si="207"/>
        <v>#N/A</v>
      </c>
      <c r="GN89" s="54" t="e">
        <f t="shared" si="208"/>
        <v>#N/A</v>
      </c>
      <c r="GO89" s="54" t="e">
        <f t="shared" si="209"/>
        <v>#N/A</v>
      </c>
      <c r="GP89" s="54" t="b">
        <f t="shared" si="210"/>
        <v>0</v>
      </c>
      <c r="GQ89" s="54" t="b">
        <f t="shared" si="211"/>
        <v>1</v>
      </c>
      <c r="GR89" s="54" t="b">
        <f t="shared" si="212"/>
        <v>0</v>
      </c>
      <c r="GS89" s="54" t="b">
        <f t="shared" si="213"/>
        <v>1</v>
      </c>
      <c r="GT89" s="54">
        <f t="shared" si="214"/>
        <v>0.19470720069857361</v>
      </c>
      <c r="GU89" s="54" t="e">
        <f t="shared" si="215"/>
        <v>#N/A</v>
      </c>
      <c r="GV89" s="54">
        <f t="shared" si="216"/>
        <v>0.19470720069857361</v>
      </c>
      <c r="GW89" s="72" t="str">
        <f t="shared" si="217"/>
        <v/>
      </c>
      <c r="HC89" s="54">
        <f t="shared" si="218"/>
        <v>79</v>
      </c>
      <c r="HD89" s="54">
        <f t="shared" si="219"/>
        <v>80</v>
      </c>
      <c r="HE89" s="54">
        <f t="shared" si="220"/>
        <v>-1.8547634219528422</v>
      </c>
      <c r="HF89" s="54" t="e">
        <f t="shared" si="221"/>
        <v>#N/A</v>
      </c>
      <c r="HG89" s="54">
        <f t="shared" si="222"/>
        <v>7.7806652771627821E-2</v>
      </c>
      <c r="HH89" s="54" t="e">
        <f t="shared" si="223"/>
        <v>#N/A</v>
      </c>
      <c r="HI89" s="54" t="e">
        <f t="shared" si="224"/>
        <v>#N/A</v>
      </c>
      <c r="HJ89" s="54" t="b">
        <f t="shared" si="225"/>
        <v>1</v>
      </c>
      <c r="HK89" s="54" t="b">
        <f t="shared" si="226"/>
        <v>0</v>
      </c>
      <c r="HL89" s="54" t="b">
        <f t="shared" si="227"/>
        <v>1</v>
      </c>
      <c r="HM89" s="54" t="b">
        <f t="shared" si="228"/>
        <v>0</v>
      </c>
      <c r="HN89" s="54">
        <f t="shared" si="229"/>
        <v>7.7806652771627821E-2</v>
      </c>
      <c r="HO89" s="54">
        <f t="shared" si="230"/>
        <v>7.7806652771627821E-2</v>
      </c>
      <c r="HP89" s="54" t="e">
        <f t="shared" si="231"/>
        <v>#N/A</v>
      </c>
      <c r="HQ89" s="72" t="str">
        <f t="shared" si="232"/>
        <v/>
      </c>
    </row>
    <row r="90" spans="71:225" x14ac:dyDescent="0.2">
      <c r="BS90" s="54">
        <f t="shared" si="159"/>
        <v>80</v>
      </c>
      <c r="BT90" s="54">
        <f>Eu_tabel_g[[#This Row],[Indeks]]+1</f>
        <v>81</v>
      </c>
      <c r="BU90" s="54">
        <f t="shared" si="160"/>
        <v>-1.173809170559867</v>
      </c>
      <c r="BV90" s="54">
        <f t="shared" si="161"/>
        <v>0.20031733043738451</v>
      </c>
      <c r="BW90" s="54" t="e">
        <f t="shared" si="162"/>
        <v>#N/A</v>
      </c>
      <c r="BX90" s="54" t="e">
        <f t="shared" si="163"/>
        <v>#N/A</v>
      </c>
      <c r="BY90" s="54" t="e">
        <f t="shared" si="164"/>
        <v>#N/A</v>
      </c>
      <c r="BZ90" s="54" t="b">
        <f t="shared" si="165"/>
        <v>0</v>
      </c>
      <c r="CA90" s="54" t="b">
        <f t="shared" si="166"/>
        <v>1</v>
      </c>
      <c r="CB90" s="54" t="b">
        <f t="shared" si="167"/>
        <v>0</v>
      </c>
      <c r="CC90" s="54" t="b">
        <f t="shared" si="168"/>
        <v>1</v>
      </c>
      <c r="CD90" s="54">
        <f t="shared" si="135"/>
        <v>0.20031733043738451</v>
      </c>
      <c r="CE90" s="54" t="e">
        <f t="shared" si="169"/>
        <v>#N/A</v>
      </c>
      <c r="CF90" s="54">
        <f t="shared" si="170"/>
        <v>0.20031733043738451</v>
      </c>
      <c r="CG90" s="72" t="str">
        <f t="shared" si="171"/>
        <v/>
      </c>
      <c r="CH90" s="54">
        <f>_xlfn.NORM.DIST(_xlfn.NORM.INV(1-Eu_g_konfidensniveau,0,1)-Eu_tabel_g[[#This Row],[x base]],0,1,TRUE)</f>
        <v>0.31880449413911849</v>
      </c>
      <c r="CI90" s="54">
        <f>1-_xlfn.NORM.DIST(_xlfn.NORM.INV(Eu_g_konfidensniveau,0,1)-Eu_tabel_g[[#This Row],[x base]],0,1,TRUE)</f>
        <v>2.4112074767851377E-3</v>
      </c>
      <c r="CJ90" s="54">
        <f>_xlfn.NORM.DIST(_xlfn.NORM.INV((1-Eu_g_konfidensniveau)/2,0,1)-Eu_tabel_g[[#This Row],[x base]],0,1,TRUE)+1-_xlfn.NORM.DIST(_xlfn.NORM.INV(1-(1-Eu_g_konfidensniveau)/2,0,1)-Eu_tabel_g[[#This Row],[x base]],0,1,TRUE)</f>
        <v>0.21675126840622105</v>
      </c>
      <c r="CK90" s="54" t="e" cm="1">
        <f t="array" ref="CK90">IF($CK$3,INDEX(Eu_tabel_g[[#This Row],[Styrke venstre]:[Styrke tosidet]],CK$7),NA())</f>
        <v>#N/A</v>
      </c>
      <c r="CL90" s="99" t="e">
        <f>Eu_tabel_g[[#This Row],[Falsk positiv
Nulhypotese accepteres
Fejltype 1]]</f>
        <v>#N/A</v>
      </c>
      <c r="CM90" s="99" t="e">
        <f>IF(CHOOSE(CK$7,Eu_tabel_g[[#This Row],[x base]]&gt;0,Eu_tabel_g[[#This Row],[x base]]&lt;0,Eu_tabel_g[[#This Row],[x base]]=0),Eu_tabel_g[[#This Row],[Styrke, aktiv]],NA())</f>
        <v>#N/A</v>
      </c>
      <c r="CN90" s="99" t="e">
        <f>IFERROR(IF($CK$3,Eu_tabel_g[[#This Row],[Styrke, aktiv]],NA()),NA())</f>
        <v>#N/A</v>
      </c>
      <c r="CO90" s="99" t="e">
        <f>IF(ISNA(Eu_tabel_g[[#This Row],[Sand negativ
Nulhypotese afvises
Korrekt]]),NA(),IF($CK$3,1,NA()))</f>
        <v>#N/A</v>
      </c>
      <c r="CP90" s="56" t="str" cm="1">
        <f t="array" ref="CP90">_xlfn.SWITCH(BS90,_xlfn.IFNA(CN$2,-99),CN$5,_xlfn.IFNA(CN$3,-99),CN$6,_xlfn.IFNA(CN$4,-99),CN$7,"")</f>
        <v/>
      </c>
      <c r="CT90" s="7">
        <f t="shared" si="172"/>
        <v>0.8</v>
      </c>
      <c r="CU90">
        <f>IF(ROW(Styrkeberegning_G[[#This Row],[X base venstre]])=ROW(Styrkeberegning_G[[#Headers],[X base venstre]])+1,CU$7/(CT$7/$B$67),CU89/(CT89/$B$67))</f>
        <v>-2.8015817870135784</v>
      </c>
      <c r="CV90">
        <f>Styrkeberegning_G[[#This Row],[X base venstre]]*-1</f>
        <v>2.8015817870135784</v>
      </c>
      <c r="DG90" s="54">
        <f t="shared" si="173"/>
        <v>80</v>
      </c>
      <c r="DH90" s="54">
        <f t="shared" si="174"/>
        <v>81</v>
      </c>
      <c r="DI90" s="54">
        <f t="shared" si="175"/>
        <v>10.959521178013771</v>
      </c>
      <c r="DJ90" s="54" t="e">
        <f t="shared" si="176"/>
        <v>#N/A</v>
      </c>
      <c r="DK90" s="54" t="e">
        <f t="shared" si="177"/>
        <v>#N/A</v>
      </c>
      <c r="DL90" s="54">
        <f t="shared" si="178"/>
        <v>8.4083461530043563E-2</v>
      </c>
      <c r="DM90" s="54" t="e">
        <f t="shared" si="179"/>
        <v>#N/A</v>
      </c>
      <c r="DN90" s="54" t="b">
        <f t="shared" si="180"/>
        <v>0</v>
      </c>
      <c r="DO90" s="54" t="b">
        <f t="shared" si="181"/>
        <v>1</v>
      </c>
      <c r="DP90" s="54" t="b">
        <f t="shared" si="182"/>
        <v>0</v>
      </c>
      <c r="DQ90" s="54" t="b">
        <f t="shared" si="183"/>
        <v>1</v>
      </c>
      <c r="DR90" s="54">
        <f t="shared" si="184"/>
        <v>8.4083461530043563E-2</v>
      </c>
      <c r="DS90" s="54" t="e">
        <f t="shared" si="185"/>
        <v>#N/A</v>
      </c>
      <c r="DT90" s="54">
        <f t="shared" si="186"/>
        <v>8.4083461530043563E-2</v>
      </c>
      <c r="DU90" s="72" t="str">
        <f t="shared" si="187"/>
        <v/>
      </c>
      <c r="DZ90" s="54">
        <f t="shared" si="188"/>
        <v>80</v>
      </c>
      <c r="EA90" s="54">
        <f t="shared" si="189"/>
        <v>81</v>
      </c>
      <c r="EB90" s="54">
        <f t="shared" si="190"/>
        <v>-1.173809170559867</v>
      </c>
      <c r="EC90" s="54">
        <f t="shared" si="191"/>
        <v>0.20031733043738451</v>
      </c>
      <c r="ED90" s="54" t="e">
        <f t="shared" si="192"/>
        <v>#N/A</v>
      </c>
      <c r="EE90" s="54" t="e">
        <f t="shared" si="193"/>
        <v>#N/A</v>
      </c>
      <c r="EF90" s="54" t="e">
        <f t="shared" si="194"/>
        <v>#N/A</v>
      </c>
      <c r="EG90" s="54" t="b">
        <f t="shared" si="195"/>
        <v>0</v>
      </c>
      <c r="EH90" s="54" t="b">
        <f t="shared" si="196"/>
        <v>1</v>
      </c>
      <c r="EI90" s="54" t="b">
        <f t="shared" si="197"/>
        <v>0</v>
      </c>
      <c r="EJ90" s="54" t="b">
        <f t="shared" si="198"/>
        <v>1</v>
      </c>
      <c r="EK90" s="54">
        <f t="shared" si="199"/>
        <v>0.20031733043738451</v>
      </c>
      <c r="EL90" s="54" t="e">
        <f t="shared" si="200"/>
        <v>#N/A</v>
      </c>
      <c r="EM90" s="54">
        <f t="shared" si="201"/>
        <v>0.20031733043738451</v>
      </c>
      <c r="EN90" s="72" t="str">
        <f t="shared" si="202"/>
        <v/>
      </c>
      <c r="EO9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9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9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90" s="54" t="e" cm="1">
        <f t="array" ref="ER90">IF($CK$3,INDEX(Eu_tabel_a[[#This Row],[Styrke venstre]:[Styrke tosidet]],ER$7),NA())</f>
        <v>#N/A</v>
      </c>
      <c r="ES90" s="54" t="e">
        <f>IF(ER$3,IF(CHOOSE(ER$7,Eu_tabel_a[[#This Row],[x base]]&gt;0,Eu_tabel_a[[#This Row],[x base]]&lt;0,Eu_tabel_a[[#This Row],[x base]]=0),1,NA()),NA())</f>
        <v>#N/A</v>
      </c>
      <c r="ET90" s="54" t="e">
        <f>IF(CHOOSE(ER$7,Eu_tabel_a[[#This Row],[x base]]&gt;0,Eu_tabel_a[[#This Row],[x base]]&lt;0,Eu_tabel_a[[#This Row],[x base]]=0),Eu_tabel_a[[#This Row],[Styrke, aktiv]],NA())</f>
        <v>#N/A</v>
      </c>
      <c r="EU90" s="54" t="e">
        <f>IFERROR(IF($ER$3,Eu_tabel_a[[#This Row],[Styrke, aktiv]],NA()),NA())</f>
        <v>#N/A</v>
      </c>
      <c r="EV90" s="54" t="e">
        <f>IF(ISNA(Eu_tabel_a[[#This Row],[Sand negativ
Nulhypotese afvises
Korrekt]]),NA(),IF(ER$3,1,NA()))</f>
        <v>#N/A</v>
      </c>
      <c r="EW90" s="55" t="str" cm="1">
        <f t="array" ref="EW90">IFERROR(_xlfn.SWITCH(Eu_tabel_a[[#This Row],[Indeks]],_xlfn.IFNA(EU$2,-99),EU$5,_xlfn.IFNA(EU$3,-99),EU$6,_xlfn.IFNA(EU$4,-99),EU$7,""),"")</f>
        <v/>
      </c>
      <c r="EX90" s="54">
        <f>Eu_tabel_a[[#This Row],[x base]]*SQRT(Eu_a_h0_x*(1-Eu_a_h0_x)/Eu_a_n_x)+Eu_a_h0_x</f>
        <v>0</v>
      </c>
      <c r="FC90" s="161" t="e">
        <f t="shared" si="146"/>
        <v>#N/A</v>
      </c>
      <c r="FD90" s="169" t="e">
        <f t="shared" si="121"/>
        <v>#DIV/0!</v>
      </c>
      <c r="FE90" s="7" t="e">
        <f t="shared" si="140"/>
        <v>#DIV/0!</v>
      </c>
      <c r="FF90" t="e">
        <f t="shared" si="122"/>
        <v>#DIV/0!</v>
      </c>
      <c r="FG90" s="8" t="e">
        <f t="shared" si="123"/>
        <v>#DIV/0!</v>
      </c>
      <c r="FH90" s="8" t="e">
        <f t="shared" si="124"/>
        <v>#DIV/0!</v>
      </c>
      <c r="FI90" s="168" t="e">
        <f t="shared" si="125"/>
        <v>#DIV/0!</v>
      </c>
      <c r="FJ90" s="161" t="e">
        <f t="shared" ca="1" si="141"/>
        <v>#N/A</v>
      </c>
      <c r="FK90" s="169" t="e" vm="3">
        <f t="shared" ca="1" si="147"/>
        <v>#VALUE!</v>
      </c>
      <c r="FL90" s="7" t="e" vm="3">
        <f t="shared" ca="1" si="142"/>
        <v>#VALUE!</v>
      </c>
      <c r="FM90" t="e" vm="3">
        <f t="shared" ca="1" si="136"/>
        <v>#VALUE!</v>
      </c>
      <c r="FN90" s="8" t="e" vm="3">
        <f t="shared" ca="1" si="137"/>
        <v>#VALUE!</v>
      </c>
      <c r="FO90" s="8" t="e" vm="3">
        <f t="shared" ca="1" si="138"/>
        <v>#VALUE!</v>
      </c>
      <c r="FP90" s="168" t="e" vm="3">
        <f t="shared" ca="1" si="139"/>
        <v>#VALUE!</v>
      </c>
      <c r="FQ90" s="161" t="e">
        <f t="shared" si="143"/>
        <v>#N/A</v>
      </c>
      <c r="FR90" s="169" t="e">
        <f t="shared" si="148"/>
        <v>#N/A</v>
      </c>
      <c r="FS90" s="7" t="e">
        <f t="shared" si="144"/>
        <v>#N/A</v>
      </c>
      <c r="FT90" t="e">
        <f t="shared" si="149"/>
        <v>#N/A</v>
      </c>
      <c r="FU90" s="8" t="e">
        <f t="shared" si="150"/>
        <v>#N/A</v>
      </c>
      <c r="FV90" s="8" t="e">
        <f t="shared" si="151"/>
        <v>#N/A</v>
      </c>
      <c r="FW90" s="168" t="e">
        <f t="shared" si="152"/>
        <v>#N/A</v>
      </c>
      <c r="FX90" s="161" t="e">
        <f t="shared" si="153"/>
        <v>#N/A</v>
      </c>
      <c r="FY90" s="169" t="e">
        <f t="shared" si="154"/>
        <v>#N/A</v>
      </c>
      <c r="FZ90" s="7" t="e">
        <f t="shared" si="145"/>
        <v>#N/A</v>
      </c>
      <c r="GA90" t="e">
        <f t="shared" si="155"/>
        <v>#N/A</v>
      </c>
      <c r="GB90" s="8" t="e">
        <f t="shared" si="156"/>
        <v>#N/A</v>
      </c>
      <c r="GC90" s="8" t="e">
        <f t="shared" si="157"/>
        <v>#N/A</v>
      </c>
      <c r="GD90" s="168" t="e">
        <f t="shared" si="158"/>
        <v>#N/A</v>
      </c>
      <c r="GE90" s="168"/>
      <c r="GF90" s="168"/>
      <c r="GI90" s="54">
        <f t="shared" si="203"/>
        <v>80</v>
      </c>
      <c r="GJ90" s="54">
        <f t="shared" si="204"/>
        <v>81</v>
      </c>
      <c r="GK90" s="54">
        <f t="shared" si="205"/>
        <v>-1.173809170559867</v>
      </c>
      <c r="GL90" s="54">
        <f t="shared" si="206"/>
        <v>0.20031733043738451</v>
      </c>
      <c r="GM90" s="54" t="e">
        <f t="shared" si="207"/>
        <v>#N/A</v>
      </c>
      <c r="GN90" s="54" t="e">
        <f t="shared" si="208"/>
        <v>#N/A</v>
      </c>
      <c r="GO90" s="54" t="e">
        <f t="shared" si="209"/>
        <v>#N/A</v>
      </c>
      <c r="GP90" s="54" t="b">
        <f t="shared" si="210"/>
        <v>0</v>
      </c>
      <c r="GQ90" s="54" t="b">
        <f t="shared" si="211"/>
        <v>1</v>
      </c>
      <c r="GR90" s="54" t="b">
        <f t="shared" si="212"/>
        <v>0</v>
      </c>
      <c r="GS90" s="54" t="b">
        <f t="shared" si="213"/>
        <v>1</v>
      </c>
      <c r="GT90" s="54">
        <f t="shared" si="214"/>
        <v>0.20031733043738451</v>
      </c>
      <c r="GU90" s="54" t="e">
        <f t="shared" si="215"/>
        <v>#N/A</v>
      </c>
      <c r="GV90" s="54">
        <f t="shared" si="216"/>
        <v>0.20031733043738451</v>
      </c>
      <c r="GW90" s="72" t="str">
        <f t="shared" si="217"/>
        <v/>
      </c>
      <c r="HC90" s="54">
        <f t="shared" si="218"/>
        <v>80</v>
      </c>
      <c r="HD90" s="54">
        <f t="shared" si="219"/>
        <v>81</v>
      </c>
      <c r="HE90" s="54">
        <f t="shared" si="220"/>
        <v>-1.8176681535137851</v>
      </c>
      <c r="HF90" s="54" t="e">
        <f t="shared" si="221"/>
        <v>#N/A</v>
      </c>
      <c r="HG90" s="54">
        <f t="shared" si="222"/>
        <v>8.2003757335797206E-2</v>
      </c>
      <c r="HH90" s="54" t="e">
        <f t="shared" si="223"/>
        <v>#N/A</v>
      </c>
      <c r="HI90" s="54" t="e">
        <f t="shared" si="224"/>
        <v>#N/A</v>
      </c>
      <c r="HJ90" s="54" t="b">
        <f t="shared" si="225"/>
        <v>1</v>
      </c>
      <c r="HK90" s="54" t="b">
        <f t="shared" si="226"/>
        <v>0</v>
      </c>
      <c r="HL90" s="54" t="b">
        <f t="shared" si="227"/>
        <v>1</v>
      </c>
      <c r="HM90" s="54" t="b">
        <f t="shared" si="228"/>
        <v>0</v>
      </c>
      <c r="HN90" s="54">
        <f t="shared" si="229"/>
        <v>8.2003757335797206E-2</v>
      </c>
      <c r="HO90" s="54">
        <f t="shared" si="230"/>
        <v>8.2003757335797206E-2</v>
      </c>
      <c r="HP90" s="54" t="e">
        <f t="shared" si="231"/>
        <v>#N/A</v>
      </c>
      <c r="HQ90" s="72" t="str">
        <f t="shared" si="232"/>
        <v/>
      </c>
    </row>
    <row r="91" spans="71:225" x14ac:dyDescent="0.2">
      <c r="BS91" s="54">
        <f t="shared" si="159"/>
        <v>81</v>
      </c>
      <c r="BT91" s="54">
        <f>Eu_tabel_g[[#This Row],[Indeks]]+1</f>
        <v>82</v>
      </c>
      <c r="BU91" s="54">
        <f t="shared" si="160"/>
        <v>-1.1498538813647676</v>
      </c>
      <c r="BV91" s="54">
        <f t="shared" si="161"/>
        <v>0.2059708742242739</v>
      </c>
      <c r="BW91" s="54" t="e">
        <f t="shared" si="162"/>
        <v>#N/A</v>
      </c>
      <c r="BX91" s="54" t="e">
        <f t="shared" si="163"/>
        <v>#N/A</v>
      </c>
      <c r="BY91" s="54" t="e">
        <f t="shared" si="164"/>
        <v>#N/A</v>
      </c>
      <c r="BZ91" s="54" t="b">
        <f t="shared" si="165"/>
        <v>0</v>
      </c>
      <c r="CA91" s="54" t="b">
        <f t="shared" si="166"/>
        <v>1</v>
      </c>
      <c r="CB91" s="54" t="b">
        <f t="shared" si="167"/>
        <v>0</v>
      </c>
      <c r="CC91" s="54" t="b">
        <f t="shared" si="168"/>
        <v>1</v>
      </c>
      <c r="CD91" s="54">
        <f t="shared" si="135"/>
        <v>0.2059708742242739</v>
      </c>
      <c r="CE91" s="54" t="e">
        <f t="shared" si="169"/>
        <v>#N/A</v>
      </c>
      <c r="CF91" s="54">
        <f t="shared" si="170"/>
        <v>0.2059708742242739</v>
      </c>
      <c r="CG91" s="72" t="str">
        <f t="shared" si="171"/>
        <v/>
      </c>
      <c r="CH91" s="54">
        <f>_xlfn.NORM.DIST(_xlfn.NORM.INV(1-Eu_g_konfidensniveau,0,1)-Eu_tabel_g[[#This Row],[x base]],0,1,TRUE)</f>
        <v>0.31030015004767664</v>
      </c>
      <c r="CI91" s="54">
        <f>1-_xlfn.NORM.DIST(_xlfn.NORM.INV(Eu_g_konfidensniveau,0,1)-Eu_tabel_g[[#This Row],[x base]],0,1,TRUE)</f>
        <v>2.5973345350299715E-3</v>
      </c>
      <c r="CJ91" s="54">
        <f>_xlfn.NORM.DIST(_xlfn.NORM.INV((1-Eu_g_konfidensniveau)/2,0,1)-Eu_tabel_g[[#This Row],[x base]],0,1,TRUE)+1-_xlfn.NORM.DIST(_xlfn.NORM.INV(1-(1-Eu_g_konfidensniveau)/2,0,1)-Eu_tabel_g[[#This Row],[x base]],0,1,TRUE)</f>
        <v>0.20987446274566912</v>
      </c>
      <c r="CK91" s="54" t="e" cm="1">
        <f t="array" ref="CK91">IF($CK$3,INDEX(Eu_tabel_g[[#This Row],[Styrke venstre]:[Styrke tosidet]],CK$7),NA())</f>
        <v>#N/A</v>
      </c>
      <c r="CL91" s="99" t="e">
        <f>Eu_tabel_g[[#This Row],[Falsk positiv
Nulhypotese accepteres
Fejltype 1]]</f>
        <v>#N/A</v>
      </c>
      <c r="CM91" s="99" t="e">
        <f>IF(CHOOSE(CK$7,Eu_tabel_g[[#This Row],[x base]]&gt;0,Eu_tabel_g[[#This Row],[x base]]&lt;0,Eu_tabel_g[[#This Row],[x base]]=0),Eu_tabel_g[[#This Row],[Styrke, aktiv]],NA())</f>
        <v>#N/A</v>
      </c>
      <c r="CN91" s="99" t="e">
        <f>IFERROR(IF($CK$3,Eu_tabel_g[[#This Row],[Styrke, aktiv]],NA()),NA())</f>
        <v>#N/A</v>
      </c>
      <c r="CO91" s="99" t="e">
        <f>IF(ISNA(Eu_tabel_g[[#This Row],[Sand negativ
Nulhypotese afvises
Korrekt]]),NA(),IF($CK$3,1,NA()))</f>
        <v>#N/A</v>
      </c>
      <c r="CP91" s="56" t="str" cm="1">
        <f t="array" ref="CP91">_xlfn.SWITCH(BS91,_xlfn.IFNA(CN$2,-99),CN$5,_xlfn.IFNA(CN$3,-99),CN$6,_xlfn.IFNA(CN$4,-99),CN$7,"")</f>
        <v/>
      </c>
      <c r="CT91" s="7">
        <f t="shared" si="172"/>
        <v>0.8</v>
      </c>
      <c r="CU91">
        <f>IF(ROW(Styrkeberegning_G[[#This Row],[X base venstre]])=ROW(Styrkeberegning_G[[#Headers],[X base venstre]])+1,CU$7/(CT$7/$B$67),CU90/(CT90/$B$67))</f>
        <v>-2.8015817870135784</v>
      </c>
      <c r="CV91">
        <f>Styrkeberegning_G[[#This Row],[X base venstre]]*-1</f>
        <v>2.8015817870135784</v>
      </c>
      <c r="DG91" s="54">
        <f t="shared" si="173"/>
        <v>81</v>
      </c>
      <c r="DH91" s="54">
        <f t="shared" si="174"/>
        <v>82</v>
      </c>
      <c r="DI91" s="54">
        <f t="shared" si="175"/>
        <v>11.073592034430773</v>
      </c>
      <c r="DJ91" s="54" t="e">
        <f t="shared" si="176"/>
        <v>#N/A</v>
      </c>
      <c r="DK91" s="54" t="e">
        <f t="shared" si="177"/>
        <v>#N/A</v>
      </c>
      <c r="DL91" s="54">
        <f t="shared" si="178"/>
        <v>8.3210213695687846E-2</v>
      </c>
      <c r="DM91" s="54" t="e">
        <f t="shared" si="179"/>
        <v>#N/A</v>
      </c>
      <c r="DN91" s="54" t="b">
        <f t="shared" si="180"/>
        <v>0</v>
      </c>
      <c r="DO91" s="54" t="b">
        <f t="shared" si="181"/>
        <v>1</v>
      </c>
      <c r="DP91" s="54" t="b">
        <f t="shared" si="182"/>
        <v>0</v>
      </c>
      <c r="DQ91" s="54" t="b">
        <f t="shared" si="183"/>
        <v>1</v>
      </c>
      <c r="DR91" s="54">
        <f t="shared" si="184"/>
        <v>8.3210213695687846E-2</v>
      </c>
      <c r="DS91" s="54" t="e">
        <f t="shared" si="185"/>
        <v>#N/A</v>
      </c>
      <c r="DT91" s="54">
        <f t="shared" si="186"/>
        <v>8.3210213695687846E-2</v>
      </c>
      <c r="DU91" s="72" t="str">
        <f t="shared" si="187"/>
        <v/>
      </c>
      <c r="DZ91" s="54">
        <f t="shared" si="188"/>
        <v>81</v>
      </c>
      <c r="EA91" s="54">
        <f t="shared" si="189"/>
        <v>82</v>
      </c>
      <c r="EB91" s="54">
        <f t="shared" si="190"/>
        <v>-1.1498538813647676</v>
      </c>
      <c r="EC91" s="54">
        <f t="shared" si="191"/>
        <v>0.2059708742242739</v>
      </c>
      <c r="ED91" s="54" t="e">
        <f t="shared" si="192"/>
        <v>#N/A</v>
      </c>
      <c r="EE91" s="54" t="e">
        <f t="shared" si="193"/>
        <v>#N/A</v>
      </c>
      <c r="EF91" s="54" t="e">
        <f t="shared" si="194"/>
        <v>#N/A</v>
      </c>
      <c r="EG91" s="54" t="b">
        <f t="shared" si="195"/>
        <v>0</v>
      </c>
      <c r="EH91" s="54" t="b">
        <f t="shared" si="196"/>
        <v>1</v>
      </c>
      <c r="EI91" s="54" t="b">
        <f t="shared" si="197"/>
        <v>0</v>
      </c>
      <c r="EJ91" s="54" t="b">
        <f t="shared" si="198"/>
        <v>1</v>
      </c>
      <c r="EK91" s="54">
        <f t="shared" si="199"/>
        <v>0.2059708742242739</v>
      </c>
      <c r="EL91" s="54" t="e">
        <f t="shared" si="200"/>
        <v>#N/A</v>
      </c>
      <c r="EM91" s="54">
        <f t="shared" si="201"/>
        <v>0.2059708742242739</v>
      </c>
      <c r="EN91" s="72" t="str">
        <f t="shared" si="202"/>
        <v/>
      </c>
      <c r="EO9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9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9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91" s="54" t="e" cm="1">
        <f t="array" ref="ER91">IF($CK$3,INDEX(Eu_tabel_a[[#This Row],[Styrke venstre]:[Styrke tosidet]],ER$7),NA())</f>
        <v>#N/A</v>
      </c>
      <c r="ES91" s="54" t="e">
        <f>IF(ER$3,IF(CHOOSE(ER$7,Eu_tabel_a[[#This Row],[x base]]&gt;0,Eu_tabel_a[[#This Row],[x base]]&lt;0,Eu_tabel_a[[#This Row],[x base]]=0),1,NA()),NA())</f>
        <v>#N/A</v>
      </c>
      <c r="ET91" s="54" t="e">
        <f>IF(CHOOSE(ER$7,Eu_tabel_a[[#This Row],[x base]]&gt;0,Eu_tabel_a[[#This Row],[x base]]&lt;0,Eu_tabel_a[[#This Row],[x base]]=0),Eu_tabel_a[[#This Row],[Styrke, aktiv]],NA())</f>
        <v>#N/A</v>
      </c>
      <c r="EU91" s="54" t="e">
        <f>IFERROR(IF($ER$3,Eu_tabel_a[[#This Row],[Styrke, aktiv]],NA()),NA())</f>
        <v>#N/A</v>
      </c>
      <c r="EV91" s="54" t="e">
        <f>IF(ISNA(Eu_tabel_a[[#This Row],[Sand negativ
Nulhypotese afvises
Korrekt]]),NA(),IF(ER$3,1,NA()))</f>
        <v>#N/A</v>
      </c>
      <c r="EW91" s="55" t="str" cm="1">
        <f t="array" ref="EW91">IFERROR(_xlfn.SWITCH(Eu_tabel_a[[#This Row],[Indeks]],_xlfn.IFNA(EU$2,-99),EU$5,_xlfn.IFNA(EU$3,-99),EU$6,_xlfn.IFNA(EU$4,-99),EU$7,""),"")</f>
        <v/>
      </c>
      <c r="EX91" s="54">
        <f>Eu_tabel_a[[#This Row],[x base]]*SQRT(Eu_a_h0_x*(1-Eu_a_h0_x)/Eu_a_n_x)+Eu_a_h0_x</f>
        <v>0</v>
      </c>
      <c r="FC91" s="161" t="e">
        <f t="shared" si="146"/>
        <v>#N/A</v>
      </c>
      <c r="FD91" s="169" t="e">
        <f t="shared" si="121"/>
        <v>#DIV/0!</v>
      </c>
      <c r="FE91" s="7" t="e">
        <f t="shared" si="140"/>
        <v>#DIV/0!</v>
      </c>
      <c r="FF91" t="e">
        <f t="shared" si="122"/>
        <v>#DIV/0!</v>
      </c>
      <c r="FG91" s="8" t="e">
        <f t="shared" si="123"/>
        <v>#DIV/0!</v>
      </c>
      <c r="FH91" s="8" t="e">
        <f t="shared" si="124"/>
        <v>#DIV/0!</v>
      </c>
      <c r="FI91" s="168" t="e">
        <f t="shared" si="125"/>
        <v>#DIV/0!</v>
      </c>
      <c r="FJ91" s="161" t="e">
        <f t="shared" ca="1" si="141"/>
        <v>#N/A</v>
      </c>
      <c r="FK91" s="169" t="e" vm="3">
        <f t="shared" ca="1" si="147"/>
        <v>#VALUE!</v>
      </c>
      <c r="FL91" s="7" t="e" vm="3">
        <f t="shared" ca="1" si="142"/>
        <v>#VALUE!</v>
      </c>
      <c r="FM91" t="e" vm="3">
        <f t="shared" ca="1" si="136"/>
        <v>#VALUE!</v>
      </c>
      <c r="FN91" s="8" t="e" vm="3">
        <f t="shared" ca="1" si="137"/>
        <v>#VALUE!</v>
      </c>
      <c r="FO91" s="8" t="e" vm="3">
        <f t="shared" ca="1" si="138"/>
        <v>#VALUE!</v>
      </c>
      <c r="FP91" s="168" t="e" vm="3">
        <f t="shared" ca="1" si="139"/>
        <v>#VALUE!</v>
      </c>
      <c r="FQ91" s="161" t="e">
        <f t="shared" si="143"/>
        <v>#N/A</v>
      </c>
      <c r="FR91" s="169" t="e">
        <f t="shared" si="148"/>
        <v>#N/A</v>
      </c>
      <c r="FS91" s="7" t="e">
        <f t="shared" si="144"/>
        <v>#N/A</v>
      </c>
      <c r="FT91" t="e">
        <f t="shared" si="149"/>
        <v>#N/A</v>
      </c>
      <c r="FU91" s="8" t="e">
        <f t="shared" si="150"/>
        <v>#N/A</v>
      </c>
      <c r="FV91" s="8" t="e">
        <f t="shared" si="151"/>
        <v>#N/A</v>
      </c>
      <c r="FW91" s="168" t="e">
        <f t="shared" si="152"/>
        <v>#N/A</v>
      </c>
      <c r="FX91" s="161" t="e">
        <f t="shared" si="153"/>
        <v>#N/A</v>
      </c>
      <c r="FY91" s="169" t="e">
        <f t="shared" si="154"/>
        <v>#N/A</v>
      </c>
      <c r="FZ91" s="7" t="e">
        <f t="shared" si="145"/>
        <v>#N/A</v>
      </c>
      <c r="GA91" t="e">
        <f t="shared" si="155"/>
        <v>#N/A</v>
      </c>
      <c r="GB91" s="8" t="e">
        <f t="shared" si="156"/>
        <v>#N/A</v>
      </c>
      <c r="GC91" s="8" t="e">
        <f t="shared" si="157"/>
        <v>#N/A</v>
      </c>
      <c r="GD91" s="168" t="e">
        <f t="shared" si="158"/>
        <v>#N/A</v>
      </c>
      <c r="GE91" s="168"/>
      <c r="GF91" s="168"/>
      <c r="GI91" s="54">
        <f t="shared" si="203"/>
        <v>81</v>
      </c>
      <c r="GJ91" s="54">
        <f t="shared" si="204"/>
        <v>82</v>
      </c>
      <c r="GK91" s="54">
        <f t="shared" si="205"/>
        <v>-1.1498538813647676</v>
      </c>
      <c r="GL91" s="54">
        <f t="shared" si="206"/>
        <v>0.2059708742242739</v>
      </c>
      <c r="GM91" s="54" t="e">
        <f t="shared" si="207"/>
        <v>#N/A</v>
      </c>
      <c r="GN91" s="54" t="e">
        <f t="shared" si="208"/>
        <v>#N/A</v>
      </c>
      <c r="GO91" s="54" t="e">
        <f t="shared" si="209"/>
        <v>#N/A</v>
      </c>
      <c r="GP91" s="54" t="b">
        <f t="shared" si="210"/>
        <v>0</v>
      </c>
      <c r="GQ91" s="54" t="b">
        <f t="shared" si="211"/>
        <v>1</v>
      </c>
      <c r="GR91" s="54" t="b">
        <f t="shared" si="212"/>
        <v>0</v>
      </c>
      <c r="GS91" s="54" t="b">
        <f t="shared" si="213"/>
        <v>1</v>
      </c>
      <c r="GT91" s="54">
        <f t="shared" si="214"/>
        <v>0.2059708742242739</v>
      </c>
      <c r="GU91" s="54" t="e">
        <f t="shared" si="215"/>
        <v>#N/A</v>
      </c>
      <c r="GV91" s="54">
        <f t="shared" si="216"/>
        <v>0.2059708742242739</v>
      </c>
      <c r="GW91" s="72" t="str">
        <f t="shared" si="217"/>
        <v/>
      </c>
      <c r="HC91" s="54">
        <f t="shared" si="218"/>
        <v>81</v>
      </c>
      <c r="HD91" s="54">
        <f t="shared" si="219"/>
        <v>82</v>
      </c>
      <c r="HE91" s="54">
        <f t="shared" si="220"/>
        <v>-1.7805728850747284</v>
      </c>
      <c r="HF91" s="54" t="e">
        <f t="shared" si="221"/>
        <v>#N/A</v>
      </c>
      <c r="HG91" s="54">
        <f t="shared" si="222"/>
        <v>8.6394145158752933E-2</v>
      </c>
      <c r="HH91" s="54" t="e">
        <f t="shared" si="223"/>
        <v>#N/A</v>
      </c>
      <c r="HI91" s="54" t="e">
        <f t="shared" si="224"/>
        <v>#N/A</v>
      </c>
      <c r="HJ91" s="54" t="b">
        <f t="shared" si="225"/>
        <v>1</v>
      </c>
      <c r="HK91" s="54" t="b">
        <f t="shared" si="226"/>
        <v>0</v>
      </c>
      <c r="HL91" s="54" t="b">
        <f t="shared" si="227"/>
        <v>1</v>
      </c>
      <c r="HM91" s="54" t="b">
        <f t="shared" si="228"/>
        <v>0</v>
      </c>
      <c r="HN91" s="54">
        <f t="shared" si="229"/>
        <v>8.6394145158752933E-2</v>
      </c>
      <c r="HO91" s="54">
        <f t="shared" si="230"/>
        <v>8.6394145158752933E-2</v>
      </c>
      <c r="HP91" s="54" t="e">
        <f t="shared" si="231"/>
        <v>#N/A</v>
      </c>
      <c r="HQ91" s="72" t="str">
        <f t="shared" si="232"/>
        <v/>
      </c>
    </row>
    <row r="92" spans="71:225" x14ac:dyDescent="0.2">
      <c r="BS92" s="54">
        <f t="shared" si="159"/>
        <v>82</v>
      </c>
      <c r="BT92" s="54">
        <f>Eu_tabel_g[[#This Row],[Indeks]]+1</f>
        <v>83</v>
      </c>
      <c r="BU92" s="54">
        <f t="shared" si="160"/>
        <v>-1.1258985921696685</v>
      </c>
      <c r="BV92" s="54">
        <f t="shared" si="161"/>
        <v>0.21166247901603158</v>
      </c>
      <c r="BW92" s="54" t="e">
        <f t="shared" si="162"/>
        <v>#N/A</v>
      </c>
      <c r="BX92" s="54" t="e">
        <f t="shared" si="163"/>
        <v>#N/A</v>
      </c>
      <c r="BY92" s="54" t="e">
        <f t="shared" si="164"/>
        <v>#N/A</v>
      </c>
      <c r="BZ92" s="54" t="b">
        <f t="shared" si="165"/>
        <v>0</v>
      </c>
      <c r="CA92" s="54" t="b">
        <f t="shared" si="166"/>
        <v>1</v>
      </c>
      <c r="CB92" s="54" t="b">
        <f t="shared" si="167"/>
        <v>0</v>
      </c>
      <c r="CC92" s="54" t="b">
        <f t="shared" si="168"/>
        <v>1</v>
      </c>
      <c r="CD92" s="54">
        <f t="shared" si="135"/>
        <v>0.21166247901603158</v>
      </c>
      <c r="CE92" s="54" t="e">
        <f t="shared" si="169"/>
        <v>#N/A</v>
      </c>
      <c r="CF92" s="54">
        <f t="shared" si="170"/>
        <v>0.21166247901603158</v>
      </c>
      <c r="CG92" s="72" t="str">
        <f t="shared" si="171"/>
        <v/>
      </c>
      <c r="CH92" s="54">
        <f>_xlfn.NORM.DIST(_xlfn.NORM.INV(1-Eu_g_konfidensniveau,0,1)-Eu_tabel_g[[#This Row],[x base]],0,1,TRUE)</f>
        <v>0.30189604899289568</v>
      </c>
      <c r="CI92" s="54">
        <f>1-_xlfn.NORM.DIST(_xlfn.NORM.INV(Eu_g_konfidensniveau,0,1)-Eu_tabel_g[[#This Row],[x base]],0,1,TRUE)</f>
        <v>2.7963483759521068E-3</v>
      </c>
      <c r="CJ92" s="54">
        <f>_xlfn.NORM.DIST(_xlfn.NORM.INV((1-Eu_g_konfidensniveau)/2,0,1)-Eu_tabel_g[[#This Row],[x base]],0,1,TRUE)+1-_xlfn.NORM.DIST(_xlfn.NORM.INV(1-(1-Eu_g_konfidensniveau)/2,0,1)-Eu_tabel_g[[#This Row],[x base]],0,1,TRUE)</f>
        <v>0.20313688079726311</v>
      </c>
      <c r="CK92" s="54" t="e" cm="1">
        <f t="array" ref="CK92">IF($CK$3,INDEX(Eu_tabel_g[[#This Row],[Styrke venstre]:[Styrke tosidet]],CK$7),NA())</f>
        <v>#N/A</v>
      </c>
      <c r="CL92" s="99" t="e">
        <f>Eu_tabel_g[[#This Row],[Falsk positiv
Nulhypotese accepteres
Fejltype 1]]</f>
        <v>#N/A</v>
      </c>
      <c r="CM92" s="99" t="e">
        <f>IF(CHOOSE(CK$7,Eu_tabel_g[[#This Row],[x base]]&gt;0,Eu_tabel_g[[#This Row],[x base]]&lt;0,Eu_tabel_g[[#This Row],[x base]]=0),Eu_tabel_g[[#This Row],[Styrke, aktiv]],NA())</f>
        <v>#N/A</v>
      </c>
      <c r="CN92" s="99" t="e">
        <f>IFERROR(IF($CK$3,Eu_tabel_g[[#This Row],[Styrke, aktiv]],NA()),NA())</f>
        <v>#N/A</v>
      </c>
      <c r="CO92" s="99" t="e">
        <f>IF(ISNA(Eu_tabel_g[[#This Row],[Sand negativ
Nulhypotese afvises
Korrekt]]),NA(),IF($CK$3,1,NA()))</f>
        <v>#N/A</v>
      </c>
      <c r="CP92" s="56" t="str" cm="1">
        <f t="array" ref="CP92">_xlfn.SWITCH(BS92,_xlfn.IFNA(CN$2,-99),CN$5,_xlfn.IFNA(CN$3,-99),CN$6,_xlfn.IFNA(CN$4,-99),CN$7,"")</f>
        <v/>
      </c>
      <c r="CT92" s="7">
        <f t="shared" si="172"/>
        <v>0.8</v>
      </c>
      <c r="CU92">
        <f>IF(ROW(Styrkeberegning_G[[#This Row],[X base venstre]])=ROW(Styrkeberegning_G[[#Headers],[X base venstre]])+1,CU$7/(CT$7/$B$67),CU91/(CT91/$B$67))</f>
        <v>-2.8015817870135784</v>
      </c>
      <c r="CV92">
        <f>Styrkeberegning_G[[#This Row],[X base venstre]]*-1</f>
        <v>2.8015817870135784</v>
      </c>
      <c r="DG92" s="54">
        <f t="shared" si="173"/>
        <v>82</v>
      </c>
      <c r="DH92" s="54">
        <f t="shared" si="174"/>
        <v>83</v>
      </c>
      <c r="DI92" s="54">
        <f t="shared" si="175"/>
        <v>11.187662890847772</v>
      </c>
      <c r="DJ92" s="54" t="e">
        <f t="shared" si="176"/>
        <v>#N/A</v>
      </c>
      <c r="DK92" s="54" t="e">
        <f t="shared" si="177"/>
        <v>#N/A</v>
      </c>
      <c r="DL92" s="54">
        <f t="shared" si="178"/>
        <v>8.230672099489951E-2</v>
      </c>
      <c r="DM92" s="54" t="e">
        <f t="shared" si="179"/>
        <v>#N/A</v>
      </c>
      <c r="DN92" s="54" t="b">
        <f t="shared" si="180"/>
        <v>0</v>
      </c>
      <c r="DO92" s="54" t="b">
        <f t="shared" si="181"/>
        <v>1</v>
      </c>
      <c r="DP92" s="54" t="b">
        <f t="shared" si="182"/>
        <v>0</v>
      </c>
      <c r="DQ92" s="54" t="b">
        <f t="shared" si="183"/>
        <v>1</v>
      </c>
      <c r="DR92" s="54">
        <f t="shared" si="184"/>
        <v>8.230672099489951E-2</v>
      </c>
      <c r="DS92" s="54" t="e">
        <f t="shared" si="185"/>
        <v>#N/A</v>
      </c>
      <c r="DT92" s="54">
        <f t="shared" si="186"/>
        <v>8.230672099489951E-2</v>
      </c>
      <c r="DU92" s="72" t="str">
        <f t="shared" si="187"/>
        <v/>
      </c>
      <c r="DZ92" s="54">
        <f t="shared" si="188"/>
        <v>82</v>
      </c>
      <c r="EA92" s="54">
        <f t="shared" si="189"/>
        <v>83</v>
      </c>
      <c r="EB92" s="54">
        <f t="shared" si="190"/>
        <v>-1.1258985921696685</v>
      </c>
      <c r="EC92" s="54">
        <f t="shared" si="191"/>
        <v>0.21166247901603158</v>
      </c>
      <c r="ED92" s="54" t="e">
        <f t="shared" si="192"/>
        <v>#N/A</v>
      </c>
      <c r="EE92" s="54" t="e">
        <f t="shared" si="193"/>
        <v>#N/A</v>
      </c>
      <c r="EF92" s="54" t="e">
        <f t="shared" si="194"/>
        <v>#N/A</v>
      </c>
      <c r="EG92" s="54" t="b">
        <f t="shared" si="195"/>
        <v>0</v>
      </c>
      <c r="EH92" s="54" t="b">
        <f t="shared" si="196"/>
        <v>1</v>
      </c>
      <c r="EI92" s="54" t="b">
        <f t="shared" si="197"/>
        <v>0</v>
      </c>
      <c r="EJ92" s="54" t="b">
        <f t="shared" si="198"/>
        <v>1</v>
      </c>
      <c r="EK92" s="54">
        <f t="shared" si="199"/>
        <v>0.21166247901603158</v>
      </c>
      <c r="EL92" s="54" t="e">
        <f t="shared" si="200"/>
        <v>#N/A</v>
      </c>
      <c r="EM92" s="54">
        <f t="shared" si="201"/>
        <v>0.21166247901603158</v>
      </c>
      <c r="EN92" s="72" t="str">
        <f t="shared" si="202"/>
        <v/>
      </c>
      <c r="EO9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9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9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92" s="54" t="e" cm="1">
        <f t="array" ref="ER92">IF($CK$3,INDEX(Eu_tabel_a[[#This Row],[Styrke venstre]:[Styrke tosidet]],ER$7),NA())</f>
        <v>#N/A</v>
      </c>
      <c r="ES92" s="54" t="e">
        <f>IF(ER$3,IF(CHOOSE(ER$7,Eu_tabel_a[[#This Row],[x base]]&gt;0,Eu_tabel_a[[#This Row],[x base]]&lt;0,Eu_tabel_a[[#This Row],[x base]]=0),1,NA()),NA())</f>
        <v>#N/A</v>
      </c>
      <c r="ET92" s="54" t="e">
        <f>IF(CHOOSE(ER$7,Eu_tabel_a[[#This Row],[x base]]&gt;0,Eu_tabel_a[[#This Row],[x base]]&lt;0,Eu_tabel_a[[#This Row],[x base]]=0),Eu_tabel_a[[#This Row],[Styrke, aktiv]],NA())</f>
        <v>#N/A</v>
      </c>
      <c r="EU92" s="54" t="e">
        <f>IFERROR(IF($ER$3,Eu_tabel_a[[#This Row],[Styrke, aktiv]],NA()),NA())</f>
        <v>#N/A</v>
      </c>
      <c r="EV92" s="54" t="e">
        <f>IF(ISNA(Eu_tabel_a[[#This Row],[Sand negativ
Nulhypotese afvises
Korrekt]]),NA(),IF(ER$3,1,NA()))</f>
        <v>#N/A</v>
      </c>
      <c r="EW92" s="55" t="str" cm="1">
        <f t="array" ref="EW92">IFERROR(_xlfn.SWITCH(Eu_tabel_a[[#This Row],[Indeks]],_xlfn.IFNA(EU$2,-99),EU$5,_xlfn.IFNA(EU$3,-99),EU$6,_xlfn.IFNA(EU$4,-99),EU$7,""),"")</f>
        <v/>
      </c>
      <c r="EX92" s="54">
        <f>Eu_tabel_a[[#This Row],[x base]]*SQRT(Eu_a_h0_x*(1-Eu_a_h0_x)/Eu_a_n_x)+Eu_a_h0_x</f>
        <v>0</v>
      </c>
      <c r="FC92" s="161" t="e">
        <f t="shared" si="146"/>
        <v>#N/A</v>
      </c>
      <c r="FD92" s="169" t="e">
        <f t="shared" si="121"/>
        <v>#DIV/0!</v>
      </c>
      <c r="FE92" s="7" t="e">
        <f t="shared" si="140"/>
        <v>#DIV/0!</v>
      </c>
      <c r="FF92" t="e">
        <f t="shared" si="122"/>
        <v>#DIV/0!</v>
      </c>
      <c r="FG92" s="8" t="e">
        <f t="shared" si="123"/>
        <v>#DIV/0!</v>
      </c>
      <c r="FH92" s="8" t="e">
        <f t="shared" si="124"/>
        <v>#DIV/0!</v>
      </c>
      <c r="FI92" s="168" t="e">
        <f t="shared" si="125"/>
        <v>#DIV/0!</v>
      </c>
      <c r="FJ92" s="161" t="e">
        <f t="shared" ca="1" si="141"/>
        <v>#N/A</v>
      </c>
      <c r="FK92" s="169" t="e" vm="3">
        <f t="shared" ca="1" si="147"/>
        <v>#VALUE!</v>
      </c>
      <c r="FL92" s="7" t="e" vm="3">
        <f t="shared" ca="1" si="142"/>
        <v>#VALUE!</v>
      </c>
      <c r="FM92" t="e" vm="3">
        <f t="shared" ca="1" si="136"/>
        <v>#VALUE!</v>
      </c>
      <c r="FN92" s="8" t="e" vm="3">
        <f t="shared" ca="1" si="137"/>
        <v>#VALUE!</v>
      </c>
      <c r="FO92" s="8" t="e" vm="3">
        <f t="shared" ca="1" si="138"/>
        <v>#VALUE!</v>
      </c>
      <c r="FP92" s="168" t="e" vm="3">
        <f t="shared" ca="1" si="139"/>
        <v>#VALUE!</v>
      </c>
      <c r="FQ92" s="161" t="e">
        <f t="shared" si="143"/>
        <v>#N/A</v>
      </c>
      <c r="FR92" s="169" t="e">
        <f t="shared" si="148"/>
        <v>#N/A</v>
      </c>
      <c r="FS92" s="7" t="e">
        <f t="shared" si="144"/>
        <v>#N/A</v>
      </c>
      <c r="FT92" t="e">
        <f t="shared" si="149"/>
        <v>#N/A</v>
      </c>
      <c r="FU92" s="8" t="e">
        <f t="shared" si="150"/>
        <v>#N/A</v>
      </c>
      <c r="FV92" s="8" t="e">
        <f t="shared" si="151"/>
        <v>#N/A</v>
      </c>
      <c r="FW92" s="168" t="e">
        <f t="shared" si="152"/>
        <v>#N/A</v>
      </c>
      <c r="FX92" s="161" t="e">
        <f t="shared" si="153"/>
        <v>#N/A</v>
      </c>
      <c r="FY92" s="169" t="e">
        <f t="shared" si="154"/>
        <v>#N/A</v>
      </c>
      <c r="FZ92" s="7" t="e">
        <f t="shared" si="145"/>
        <v>#N/A</v>
      </c>
      <c r="GA92" t="e">
        <f t="shared" si="155"/>
        <v>#N/A</v>
      </c>
      <c r="GB92" s="8" t="e">
        <f t="shared" si="156"/>
        <v>#N/A</v>
      </c>
      <c r="GC92" s="8" t="e">
        <f t="shared" si="157"/>
        <v>#N/A</v>
      </c>
      <c r="GD92" s="168" t="e">
        <f t="shared" si="158"/>
        <v>#N/A</v>
      </c>
      <c r="GE92" s="168"/>
      <c r="GF92" s="168"/>
      <c r="GI92" s="54">
        <f t="shared" si="203"/>
        <v>82</v>
      </c>
      <c r="GJ92" s="54">
        <f t="shared" si="204"/>
        <v>83</v>
      </c>
      <c r="GK92" s="54">
        <f t="shared" si="205"/>
        <v>-1.1258985921696685</v>
      </c>
      <c r="GL92" s="54">
        <f t="shared" si="206"/>
        <v>0.21166247901603158</v>
      </c>
      <c r="GM92" s="54" t="e">
        <f t="shared" si="207"/>
        <v>#N/A</v>
      </c>
      <c r="GN92" s="54" t="e">
        <f t="shared" si="208"/>
        <v>#N/A</v>
      </c>
      <c r="GO92" s="54" t="e">
        <f t="shared" si="209"/>
        <v>#N/A</v>
      </c>
      <c r="GP92" s="54" t="b">
        <f t="shared" si="210"/>
        <v>0</v>
      </c>
      <c r="GQ92" s="54" t="b">
        <f t="shared" si="211"/>
        <v>1</v>
      </c>
      <c r="GR92" s="54" t="b">
        <f t="shared" si="212"/>
        <v>0</v>
      </c>
      <c r="GS92" s="54" t="b">
        <f t="shared" si="213"/>
        <v>1</v>
      </c>
      <c r="GT92" s="54">
        <f t="shared" si="214"/>
        <v>0.21166247901603158</v>
      </c>
      <c r="GU92" s="54" t="e">
        <f t="shared" si="215"/>
        <v>#N/A</v>
      </c>
      <c r="GV92" s="54">
        <f t="shared" si="216"/>
        <v>0.21166247901603158</v>
      </c>
      <c r="GW92" s="72" t="str">
        <f t="shared" si="217"/>
        <v/>
      </c>
      <c r="HC92" s="54">
        <f t="shared" si="218"/>
        <v>82</v>
      </c>
      <c r="HD92" s="54">
        <f t="shared" si="219"/>
        <v>83</v>
      </c>
      <c r="HE92" s="54">
        <f t="shared" si="220"/>
        <v>-1.7434776166356718</v>
      </c>
      <c r="HF92" s="54" t="e">
        <f t="shared" si="221"/>
        <v>#N/A</v>
      </c>
      <c r="HG92" s="54">
        <f t="shared" si="222"/>
        <v>9.0982495771573788E-2</v>
      </c>
      <c r="HH92" s="54" t="e">
        <f t="shared" si="223"/>
        <v>#N/A</v>
      </c>
      <c r="HI92" s="54" t="e">
        <f t="shared" si="224"/>
        <v>#N/A</v>
      </c>
      <c r="HJ92" s="54" t="b">
        <f t="shared" si="225"/>
        <v>1</v>
      </c>
      <c r="HK92" s="54" t="b">
        <f t="shared" si="226"/>
        <v>0</v>
      </c>
      <c r="HL92" s="54" t="b">
        <f t="shared" si="227"/>
        <v>1</v>
      </c>
      <c r="HM92" s="54" t="b">
        <f t="shared" si="228"/>
        <v>0</v>
      </c>
      <c r="HN92" s="54">
        <f t="shared" si="229"/>
        <v>9.0982495771573788E-2</v>
      </c>
      <c r="HO92" s="54">
        <f t="shared" si="230"/>
        <v>9.0982495771573788E-2</v>
      </c>
      <c r="HP92" s="54" t="e">
        <f t="shared" si="231"/>
        <v>#N/A</v>
      </c>
      <c r="HQ92" s="72" t="str">
        <f t="shared" si="232"/>
        <v/>
      </c>
    </row>
    <row r="93" spans="71:225" x14ac:dyDescent="0.2">
      <c r="BS93" s="54">
        <f t="shared" si="159"/>
        <v>83</v>
      </c>
      <c r="BT93" s="54">
        <f>Eu_tabel_g[[#This Row],[Indeks]]+1</f>
        <v>84</v>
      </c>
      <c r="BU93" s="54">
        <f t="shared" si="160"/>
        <v>-1.1019433029745691</v>
      </c>
      <c r="BV93" s="54">
        <f t="shared" si="161"/>
        <v>0.21738657587862623</v>
      </c>
      <c r="BW93" s="54" t="e">
        <f t="shared" si="162"/>
        <v>#N/A</v>
      </c>
      <c r="BX93" s="54" t="e">
        <f t="shared" si="163"/>
        <v>#N/A</v>
      </c>
      <c r="BY93" s="54" t="e">
        <f t="shared" si="164"/>
        <v>#N/A</v>
      </c>
      <c r="BZ93" s="54" t="b">
        <f t="shared" si="165"/>
        <v>0</v>
      </c>
      <c r="CA93" s="54" t="b">
        <f t="shared" si="166"/>
        <v>1</v>
      </c>
      <c r="CB93" s="54" t="b">
        <f t="shared" si="167"/>
        <v>0</v>
      </c>
      <c r="CC93" s="54" t="b">
        <f t="shared" si="168"/>
        <v>1</v>
      </c>
      <c r="CD93" s="54">
        <f t="shared" si="135"/>
        <v>0.21738657587862623</v>
      </c>
      <c r="CE93" s="54" t="e">
        <f t="shared" si="169"/>
        <v>#N/A</v>
      </c>
      <c r="CF93" s="54">
        <f t="shared" si="170"/>
        <v>0.21738657587862623</v>
      </c>
      <c r="CG93" s="72" t="str">
        <f t="shared" si="171"/>
        <v/>
      </c>
      <c r="CH93" s="54">
        <f>_xlfn.NORM.DIST(_xlfn.NORM.INV(1-Eu_g_konfidensniveau,0,1)-Eu_tabel_g[[#This Row],[x base]],0,1,TRUE)</f>
        <v>0.29359577368343998</v>
      </c>
      <c r="CI93" s="54">
        <f>1-_xlfn.NORM.DIST(_xlfn.NORM.INV(Eu_g_konfidensniveau,0,1)-Eu_tabel_g[[#This Row],[x base]],0,1,TRUE)</f>
        <v>3.009019163477511E-3</v>
      </c>
      <c r="CJ93" s="54">
        <f>_xlfn.NORM.DIST(_xlfn.NORM.INV((1-Eu_g_konfidensniveau)/2,0,1)-Eu_tabel_g[[#This Row],[x base]],0,1,TRUE)+1-_xlfn.NORM.DIST(_xlfn.NORM.INV(1-(1-Eu_g_konfidensniveau)/2,0,1)-Eu_tabel_g[[#This Row],[x base]],0,1,TRUE)</f>
        <v>0.19654017955137137</v>
      </c>
      <c r="CK93" s="54" t="e" cm="1">
        <f t="array" ref="CK93">IF($CK$3,INDEX(Eu_tabel_g[[#This Row],[Styrke venstre]:[Styrke tosidet]],CK$7),NA())</f>
        <v>#N/A</v>
      </c>
      <c r="CL93" s="99" t="e">
        <f>Eu_tabel_g[[#This Row],[Falsk positiv
Nulhypotese accepteres
Fejltype 1]]</f>
        <v>#N/A</v>
      </c>
      <c r="CM93" s="99" t="e">
        <f>IF(CHOOSE(CK$7,Eu_tabel_g[[#This Row],[x base]]&gt;0,Eu_tabel_g[[#This Row],[x base]]&lt;0,Eu_tabel_g[[#This Row],[x base]]=0),Eu_tabel_g[[#This Row],[Styrke, aktiv]],NA())</f>
        <v>#N/A</v>
      </c>
      <c r="CN93" s="99" t="e">
        <f>IFERROR(IF($CK$3,Eu_tabel_g[[#This Row],[Styrke, aktiv]],NA()),NA())</f>
        <v>#N/A</v>
      </c>
      <c r="CO93" s="99" t="e">
        <f>IF(ISNA(Eu_tabel_g[[#This Row],[Sand negativ
Nulhypotese afvises
Korrekt]]),NA(),IF($CK$3,1,NA()))</f>
        <v>#N/A</v>
      </c>
      <c r="CP93" s="56" t="str" cm="1">
        <f t="array" ref="CP93">_xlfn.SWITCH(BS93,_xlfn.IFNA(CN$2,-99),CN$5,_xlfn.IFNA(CN$3,-99),CN$6,_xlfn.IFNA(CN$4,-99),CN$7,"")</f>
        <v/>
      </c>
      <c r="CT93" s="7">
        <f t="shared" si="172"/>
        <v>0.8</v>
      </c>
      <c r="CU93">
        <f>IF(ROW(Styrkeberegning_G[[#This Row],[X base venstre]])=ROW(Styrkeberegning_G[[#Headers],[X base venstre]])+1,CU$7/(CT$7/$B$67),CU92/(CT92/$B$67))</f>
        <v>-2.8015817870135784</v>
      </c>
      <c r="CV93">
        <f>Styrkeberegning_G[[#This Row],[X base venstre]]*-1</f>
        <v>2.8015817870135784</v>
      </c>
      <c r="DG93" s="54">
        <f t="shared" si="173"/>
        <v>83</v>
      </c>
      <c r="DH93" s="54">
        <f t="shared" si="174"/>
        <v>84</v>
      </c>
      <c r="DI93" s="54">
        <f t="shared" si="175"/>
        <v>11.301733747264773</v>
      </c>
      <c r="DJ93" s="54" t="e">
        <f t="shared" si="176"/>
        <v>#N/A</v>
      </c>
      <c r="DK93" s="54" t="e">
        <f t="shared" si="177"/>
        <v>#N/A</v>
      </c>
      <c r="DL93" s="54">
        <f t="shared" si="178"/>
        <v>8.1374958272621298E-2</v>
      </c>
      <c r="DM93" s="54" t="e">
        <f t="shared" si="179"/>
        <v>#N/A</v>
      </c>
      <c r="DN93" s="54" t="b">
        <f t="shared" si="180"/>
        <v>0</v>
      </c>
      <c r="DO93" s="54" t="b">
        <f t="shared" si="181"/>
        <v>1</v>
      </c>
      <c r="DP93" s="54" t="b">
        <f t="shared" si="182"/>
        <v>0</v>
      </c>
      <c r="DQ93" s="54" t="b">
        <f t="shared" si="183"/>
        <v>1</v>
      </c>
      <c r="DR93" s="54">
        <f t="shared" si="184"/>
        <v>8.1374958272621298E-2</v>
      </c>
      <c r="DS93" s="54" t="e">
        <f t="shared" si="185"/>
        <v>#N/A</v>
      </c>
      <c r="DT93" s="54">
        <f t="shared" si="186"/>
        <v>8.1374958272621298E-2</v>
      </c>
      <c r="DU93" s="72" t="str">
        <f t="shared" si="187"/>
        <v/>
      </c>
      <c r="DZ93" s="54">
        <f t="shared" si="188"/>
        <v>83</v>
      </c>
      <c r="EA93" s="54">
        <f t="shared" si="189"/>
        <v>84</v>
      </c>
      <c r="EB93" s="54">
        <f t="shared" si="190"/>
        <v>-1.1019433029745691</v>
      </c>
      <c r="EC93" s="54">
        <f t="shared" si="191"/>
        <v>0.21738657587862623</v>
      </c>
      <c r="ED93" s="54" t="e">
        <f t="shared" si="192"/>
        <v>#N/A</v>
      </c>
      <c r="EE93" s="54" t="e">
        <f t="shared" si="193"/>
        <v>#N/A</v>
      </c>
      <c r="EF93" s="54" t="e">
        <f t="shared" si="194"/>
        <v>#N/A</v>
      </c>
      <c r="EG93" s="54" t="b">
        <f t="shared" si="195"/>
        <v>0</v>
      </c>
      <c r="EH93" s="54" t="b">
        <f t="shared" si="196"/>
        <v>1</v>
      </c>
      <c r="EI93" s="54" t="b">
        <f t="shared" si="197"/>
        <v>0</v>
      </c>
      <c r="EJ93" s="54" t="b">
        <f t="shared" si="198"/>
        <v>1</v>
      </c>
      <c r="EK93" s="54">
        <f t="shared" si="199"/>
        <v>0.21738657587862623</v>
      </c>
      <c r="EL93" s="54" t="e">
        <f t="shared" si="200"/>
        <v>#N/A</v>
      </c>
      <c r="EM93" s="54">
        <f t="shared" si="201"/>
        <v>0.21738657587862623</v>
      </c>
      <c r="EN93" s="72" t="str">
        <f t="shared" si="202"/>
        <v/>
      </c>
      <c r="EO9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9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9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93" s="54" t="e" cm="1">
        <f t="array" ref="ER93">IF($CK$3,INDEX(Eu_tabel_a[[#This Row],[Styrke venstre]:[Styrke tosidet]],ER$7),NA())</f>
        <v>#N/A</v>
      </c>
      <c r="ES93" s="54" t="e">
        <f>IF(ER$3,IF(CHOOSE(ER$7,Eu_tabel_a[[#This Row],[x base]]&gt;0,Eu_tabel_a[[#This Row],[x base]]&lt;0,Eu_tabel_a[[#This Row],[x base]]=0),1,NA()),NA())</f>
        <v>#N/A</v>
      </c>
      <c r="ET93" s="54" t="e">
        <f>IF(CHOOSE(ER$7,Eu_tabel_a[[#This Row],[x base]]&gt;0,Eu_tabel_a[[#This Row],[x base]]&lt;0,Eu_tabel_a[[#This Row],[x base]]=0),Eu_tabel_a[[#This Row],[Styrke, aktiv]],NA())</f>
        <v>#N/A</v>
      </c>
      <c r="EU93" s="54" t="e">
        <f>IFERROR(IF($ER$3,Eu_tabel_a[[#This Row],[Styrke, aktiv]],NA()),NA())</f>
        <v>#N/A</v>
      </c>
      <c r="EV93" s="54" t="e">
        <f>IF(ISNA(Eu_tabel_a[[#This Row],[Sand negativ
Nulhypotese afvises
Korrekt]]),NA(),IF(ER$3,1,NA()))</f>
        <v>#N/A</v>
      </c>
      <c r="EW93" s="55" t="str" cm="1">
        <f t="array" ref="EW93">IFERROR(_xlfn.SWITCH(Eu_tabel_a[[#This Row],[Indeks]],_xlfn.IFNA(EU$2,-99),EU$5,_xlfn.IFNA(EU$3,-99),EU$6,_xlfn.IFNA(EU$4,-99),EU$7,""),"")</f>
        <v/>
      </c>
      <c r="EX93" s="54">
        <f>Eu_tabel_a[[#This Row],[x base]]*SQRT(Eu_a_h0_x*(1-Eu_a_h0_x)/Eu_a_n_x)+Eu_a_h0_x</f>
        <v>0</v>
      </c>
      <c r="FC93" s="161" t="e">
        <f t="shared" si="146"/>
        <v>#N/A</v>
      </c>
      <c r="FD93" s="169" t="e">
        <f t="shared" si="121"/>
        <v>#DIV/0!</v>
      </c>
      <c r="FE93" s="7" t="e">
        <f t="shared" si="140"/>
        <v>#DIV/0!</v>
      </c>
      <c r="FF93" t="e">
        <f t="shared" si="122"/>
        <v>#DIV/0!</v>
      </c>
      <c r="FG93" s="8" t="e">
        <f t="shared" si="123"/>
        <v>#DIV/0!</v>
      </c>
      <c r="FH93" s="8" t="e">
        <f t="shared" si="124"/>
        <v>#DIV/0!</v>
      </c>
      <c r="FI93" s="168" t="e">
        <f t="shared" si="125"/>
        <v>#DIV/0!</v>
      </c>
      <c r="FJ93" s="161" t="e">
        <f t="shared" ca="1" si="141"/>
        <v>#N/A</v>
      </c>
      <c r="FK93" s="169" t="e" vm="3">
        <f t="shared" ca="1" si="147"/>
        <v>#VALUE!</v>
      </c>
      <c r="FL93" s="7" t="e" vm="3">
        <f t="shared" ca="1" si="142"/>
        <v>#VALUE!</v>
      </c>
      <c r="FM93" t="e" vm="3">
        <f t="shared" ca="1" si="136"/>
        <v>#VALUE!</v>
      </c>
      <c r="FN93" s="8" t="e" vm="3">
        <f t="shared" ca="1" si="137"/>
        <v>#VALUE!</v>
      </c>
      <c r="FO93" s="8" t="e" vm="3">
        <f t="shared" ca="1" si="138"/>
        <v>#VALUE!</v>
      </c>
      <c r="FP93" s="168" t="e" vm="3">
        <f t="shared" ca="1" si="139"/>
        <v>#VALUE!</v>
      </c>
      <c r="FQ93" s="161" t="e">
        <f t="shared" si="143"/>
        <v>#N/A</v>
      </c>
      <c r="FR93" s="169" t="e">
        <f t="shared" si="148"/>
        <v>#N/A</v>
      </c>
      <c r="FS93" s="7" t="e">
        <f t="shared" si="144"/>
        <v>#N/A</v>
      </c>
      <c r="FT93" t="e">
        <f t="shared" si="149"/>
        <v>#N/A</v>
      </c>
      <c r="FU93" s="8" t="e">
        <f t="shared" si="150"/>
        <v>#N/A</v>
      </c>
      <c r="FV93" s="8" t="e">
        <f t="shared" si="151"/>
        <v>#N/A</v>
      </c>
      <c r="FW93" s="168" t="e">
        <f t="shared" si="152"/>
        <v>#N/A</v>
      </c>
      <c r="FX93" s="161" t="e">
        <f t="shared" si="153"/>
        <v>#N/A</v>
      </c>
      <c r="FY93" s="169" t="e">
        <f t="shared" si="154"/>
        <v>#N/A</v>
      </c>
      <c r="FZ93" s="7" t="e">
        <f t="shared" si="145"/>
        <v>#N/A</v>
      </c>
      <c r="GA93" t="e">
        <f t="shared" si="155"/>
        <v>#N/A</v>
      </c>
      <c r="GB93" s="8" t="e">
        <f t="shared" si="156"/>
        <v>#N/A</v>
      </c>
      <c r="GC93" s="8" t="e">
        <f t="shared" si="157"/>
        <v>#N/A</v>
      </c>
      <c r="GD93" s="168" t="e">
        <f t="shared" si="158"/>
        <v>#N/A</v>
      </c>
      <c r="GE93" s="168"/>
      <c r="GF93" s="168"/>
      <c r="GI93" s="54">
        <f t="shared" si="203"/>
        <v>83</v>
      </c>
      <c r="GJ93" s="54">
        <f t="shared" si="204"/>
        <v>84</v>
      </c>
      <c r="GK93" s="54">
        <f t="shared" si="205"/>
        <v>-1.1019433029745691</v>
      </c>
      <c r="GL93" s="54">
        <f t="shared" si="206"/>
        <v>0.21738657587862623</v>
      </c>
      <c r="GM93" s="54" t="e">
        <f t="shared" si="207"/>
        <v>#N/A</v>
      </c>
      <c r="GN93" s="54" t="e">
        <f t="shared" si="208"/>
        <v>#N/A</v>
      </c>
      <c r="GO93" s="54" t="e">
        <f t="shared" si="209"/>
        <v>#N/A</v>
      </c>
      <c r="GP93" s="54" t="b">
        <f t="shared" si="210"/>
        <v>0</v>
      </c>
      <c r="GQ93" s="54" t="b">
        <f t="shared" si="211"/>
        <v>1</v>
      </c>
      <c r="GR93" s="54" t="b">
        <f t="shared" si="212"/>
        <v>0</v>
      </c>
      <c r="GS93" s="54" t="b">
        <f t="shared" si="213"/>
        <v>1</v>
      </c>
      <c r="GT93" s="54">
        <f t="shared" si="214"/>
        <v>0.21738657587862623</v>
      </c>
      <c r="GU93" s="54" t="e">
        <f t="shared" si="215"/>
        <v>#N/A</v>
      </c>
      <c r="GV93" s="54">
        <f t="shared" si="216"/>
        <v>0.21738657587862623</v>
      </c>
      <c r="GW93" s="72" t="str">
        <f t="shared" si="217"/>
        <v/>
      </c>
      <c r="HC93" s="54">
        <f t="shared" si="218"/>
        <v>83</v>
      </c>
      <c r="HD93" s="54">
        <f t="shared" si="219"/>
        <v>84</v>
      </c>
      <c r="HE93" s="54">
        <f t="shared" si="220"/>
        <v>-1.7063823481966147</v>
      </c>
      <c r="HF93" s="54" t="e">
        <f t="shared" si="221"/>
        <v>#N/A</v>
      </c>
      <c r="HG93" s="54">
        <f t="shared" si="222"/>
        <v>9.5773093290658348E-2</v>
      </c>
      <c r="HH93" s="54" t="e">
        <f t="shared" si="223"/>
        <v>#N/A</v>
      </c>
      <c r="HI93" s="54" t="e">
        <f t="shared" si="224"/>
        <v>#N/A</v>
      </c>
      <c r="HJ93" s="54" t="b">
        <f t="shared" si="225"/>
        <v>1</v>
      </c>
      <c r="HK93" s="54" t="b">
        <f t="shared" si="226"/>
        <v>0</v>
      </c>
      <c r="HL93" s="54" t="b">
        <f t="shared" si="227"/>
        <v>1</v>
      </c>
      <c r="HM93" s="54" t="b">
        <f t="shared" si="228"/>
        <v>0</v>
      </c>
      <c r="HN93" s="54">
        <f t="shared" si="229"/>
        <v>9.5773093290658348E-2</v>
      </c>
      <c r="HO93" s="54">
        <f t="shared" si="230"/>
        <v>9.5773093290658348E-2</v>
      </c>
      <c r="HP93" s="54" t="e">
        <f t="shared" si="231"/>
        <v>#N/A</v>
      </c>
      <c r="HQ93" s="72" t="str">
        <f t="shared" si="232"/>
        <v/>
      </c>
    </row>
    <row r="94" spans="71:225" x14ac:dyDescent="0.2">
      <c r="BS94" s="54">
        <f t="shared" si="159"/>
        <v>84</v>
      </c>
      <c r="BT94" s="54">
        <f>Eu_tabel_g[[#This Row],[Indeks]]+1</f>
        <v>85</v>
      </c>
      <c r="BU94" s="54">
        <f t="shared" si="160"/>
        <v>-1.07798801377947</v>
      </c>
      <c r="BV94" s="54">
        <f t="shared" si="161"/>
        <v>0.22313738697590677</v>
      </c>
      <c r="BW94" s="54" t="e">
        <f t="shared" si="162"/>
        <v>#N/A</v>
      </c>
      <c r="BX94" s="54" t="e">
        <f t="shared" si="163"/>
        <v>#N/A</v>
      </c>
      <c r="BY94" s="54" t="e">
        <f t="shared" si="164"/>
        <v>#N/A</v>
      </c>
      <c r="BZ94" s="54" t="b">
        <f t="shared" si="165"/>
        <v>0</v>
      </c>
      <c r="CA94" s="54" t="b">
        <f t="shared" si="166"/>
        <v>1</v>
      </c>
      <c r="CB94" s="54" t="b">
        <f t="shared" si="167"/>
        <v>0</v>
      </c>
      <c r="CC94" s="54" t="b">
        <f t="shared" si="168"/>
        <v>1</v>
      </c>
      <c r="CD94" s="54">
        <f t="shared" ref="CD94:CD125" si="233">_xlfn.AGGREGATE(9,6,BV94:BY94)</f>
        <v>0.22313738697590677</v>
      </c>
      <c r="CE94" s="54" t="e">
        <f t="shared" si="169"/>
        <v>#N/A</v>
      </c>
      <c r="CF94" s="54">
        <f t="shared" si="170"/>
        <v>0.22313738697590677</v>
      </c>
      <c r="CG94" s="72" t="str">
        <f t="shared" si="171"/>
        <v/>
      </c>
      <c r="CH94" s="54">
        <f>_xlfn.NORM.DIST(_xlfn.NORM.INV(1-Eu_g_konfidensniveau,0,1)-Eu_tabel_g[[#This Row],[x base]],0,1,TRUE)</f>
        <v>0.28540274418023875</v>
      </c>
      <c r="CI94" s="54">
        <f>1-_xlfn.NORM.DIST(_xlfn.NORM.INV(Eu_g_konfidensniveau,0,1)-Eu_tabel_g[[#This Row],[x base]],0,1,TRUE)</f>
        <v>3.2361537059482082E-3</v>
      </c>
      <c r="CJ94" s="54">
        <f>_xlfn.NORM.DIST(_xlfn.NORM.INV((1-Eu_g_konfidensniveau)/2,0,1)-Eu_tabel_g[[#This Row],[x base]],0,1,TRUE)+1-_xlfn.NORM.DIST(_xlfn.NORM.INV(1-(1-Eu_g_konfidensniveau)/2,0,1)-Eu_tabel_g[[#This Row],[x base]],0,1,TRUE)</f>
        <v>0.19008586036622488</v>
      </c>
      <c r="CK94" s="54" t="e" cm="1">
        <f t="array" ref="CK94">IF($CK$3,INDEX(Eu_tabel_g[[#This Row],[Styrke venstre]:[Styrke tosidet]],CK$7),NA())</f>
        <v>#N/A</v>
      </c>
      <c r="CL94" s="99" t="e">
        <f>Eu_tabel_g[[#This Row],[Falsk positiv
Nulhypotese accepteres
Fejltype 1]]</f>
        <v>#N/A</v>
      </c>
      <c r="CM94" s="99" t="e">
        <f>IF(CHOOSE(CK$7,Eu_tabel_g[[#This Row],[x base]]&gt;0,Eu_tabel_g[[#This Row],[x base]]&lt;0,Eu_tabel_g[[#This Row],[x base]]=0),Eu_tabel_g[[#This Row],[Styrke, aktiv]],NA())</f>
        <v>#N/A</v>
      </c>
      <c r="CN94" s="99" t="e">
        <f>IFERROR(IF($CK$3,Eu_tabel_g[[#This Row],[Styrke, aktiv]],NA()),NA())</f>
        <v>#N/A</v>
      </c>
      <c r="CO94" s="99" t="e">
        <f>IF(ISNA(Eu_tabel_g[[#This Row],[Sand negativ
Nulhypotese afvises
Korrekt]]),NA(),IF($CK$3,1,NA()))</f>
        <v>#N/A</v>
      </c>
      <c r="CP94" s="56" t="str" cm="1">
        <f t="array" ref="CP94">_xlfn.SWITCH(BS94,_xlfn.IFNA(CN$2,-99),CN$5,_xlfn.IFNA(CN$3,-99),CN$6,_xlfn.IFNA(CN$4,-99),CN$7,"")</f>
        <v/>
      </c>
      <c r="CT94" s="7">
        <f t="shared" si="172"/>
        <v>0.8</v>
      </c>
      <c r="CU94">
        <f>IF(ROW(Styrkeberegning_G[[#This Row],[X base venstre]])=ROW(Styrkeberegning_G[[#Headers],[X base venstre]])+1,CU$7/(CT$7/$B$67),CU93/(CT93/$B$67))</f>
        <v>-2.8015817870135784</v>
      </c>
      <c r="CV94">
        <f>Styrkeberegning_G[[#This Row],[X base venstre]]*-1</f>
        <v>2.8015817870135784</v>
      </c>
      <c r="DG94" s="54">
        <f t="shared" si="173"/>
        <v>84</v>
      </c>
      <c r="DH94" s="54">
        <f t="shared" si="174"/>
        <v>85</v>
      </c>
      <c r="DI94" s="54">
        <f t="shared" si="175"/>
        <v>11.415804603681774</v>
      </c>
      <c r="DJ94" s="54" t="e">
        <f t="shared" si="176"/>
        <v>#N/A</v>
      </c>
      <c r="DK94" s="54" t="e">
        <f t="shared" si="177"/>
        <v>#N/A</v>
      </c>
      <c r="DL94" s="54">
        <f t="shared" si="178"/>
        <v>8.0416867949317919E-2</v>
      </c>
      <c r="DM94" s="54" t="e">
        <f t="shared" si="179"/>
        <v>#N/A</v>
      </c>
      <c r="DN94" s="54" t="b">
        <f t="shared" si="180"/>
        <v>0</v>
      </c>
      <c r="DO94" s="54" t="b">
        <f t="shared" si="181"/>
        <v>1</v>
      </c>
      <c r="DP94" s="54" t="b">
        <f t="shared" si="182"/>
        <v>0</v>
      </c>
      <c r="DQ94" s="54" t="b">
        <f t="shared" si="183"/>
        <v>1</v>
      </c>
      <c r="DR94" s="54">
        <f t="shared" si="184"/>
        <v>8.0416867949317919E-2</v>
      </c>
      <c r="DS94" s="54" t="e">
        <f t="shared" si="185"/>
        <v>#N/A</v>
      </c>
      <c r="DT94" s="54">
        <f t="shared" si="186"/>
        <v>8.0416867949317919E-2</v>
      </c>
      <c r="DU94" s="72" t="str">
        <f t="shared" si="187"/>
        <v/>
      </c>
      <c r="DZ94" s="54">
        <f t="shared" si="188"/>
        <v>84</v>
      </c>
      <c r="EA94" s="54">
        <f t="shared" si="189"/>
        <v>85</v>
      </c>
      <c r="EB94" s="54">
        <f t="shared" si="190"/>
        <v>-1.07798801377947</v>
      </c>
      <c r="EC94" s="54">
        <f t="shared" si="191"/>
        <v>0.22313738697590677</v>
      </c>
      <c r="ED94" s="54" t="e">
        <f t="shared" si="192"/>
        <v>#N/A</v>
      </c>
      <c r="EE94" s="54" t="e">
        <f t="shared" si="193"/>
        <v>#N/A</v>
      </c>
      <c r="EF94" s="54" t="e">
        <f t="shared" si="194"/>
        <v>#N/A</v>
      </c>
      <c r="EG94" s="54" t="b">
        <f t="shared" si="195"/>
        <v>0</v>
      </c>
      <c r="EH94" s="54" t="b">
        <f t="shared" si="196"/>
        <v>1</v>
      </c>
      <c r="EI94" s="54" t="b">
        <f t="shared" si="197"/>
        <v>0</v>
      </c>
      <c r="EJ94" s="54" t="b">
        <f t="shared" si="198"/>
        <v>1</v>
      </c>
      <c r="EK94" s="54">
        <f t="shared" si="199"/>
        <v>0.22313738697590677</v>
      </c>
      <c r="EL94" s="54" t="e">
        <f t="shared" si="200"/>
        <v>#N/A</v>
      </c>
      <c r="EM94" s="54">
        <f t="shared" si="201"/>
        <v>0.22313738697590677</v>
      </c>
      <c r="EN94" s="72" t="str">
        <f t="shared" si="202"/>
        <v/>
      </c>
      <c r="EO9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9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9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94" s="54" t="e" cm="1">
        <f t="array" ref="ER94">IF($CK$3,INDEX(Eu_tabel_a[[#This Row],[Styrke venstre]:[Styrke tosidet]],ER$7),NA())</f>
        <v>#N/A</v>
      </c>
      <c r="ES94" s="54" t="e">
        <f>IF(ER$3,IF(CHOOSE(ER$7,Eu_tabel_a[[#This Row],[x base]]&gt;0,Eu_tabel_a[[#This Row],[x base]]&lt;0,Eu_tabel_a[[#This Row],[x base]]=0),1,NA()),NA())</f>
        <v>#N/A</v>
      </c>
      <c r="ET94" s="54" t="e">
        <f>IF(CHOOSE(ER$7,Eu_tabel_a[[#This Row],[x base]]&gt;0,Eu_tabel_a[[#This Row],[x base]]&lt;0,Eu_tabel_a[[#This Row],[x base]]=0),Eu_tabel_a[[#This Row],[Styrke, aktiv]],NA())</f>
        <v>#N/A</v>
      </c>
      <c r="EU94" s="54" t="e">
        <f>IFERROR(IF($ER$3,Eu_tabel_a[[#This Row],[Styrke, aktiv]],NA()),NA())</f>
        <v>#N/A</v>
      </c>
      <c r="EV94" s="54" t="e">
        <f>IF(ISNA(Eu_tabel_a[[#This Row],[Sand negativ
Nulhypotese afvises
Korrekt]]),NA(),IF(ER$3,1,NA()))</f>
        <v>#N/A</v>
      </c>
      <c r="EW94" s="55" t="str" cm="1">
        <f t="array" ref="EW94">IFERROR(_xlfn.SWITCH(Eu_tabel_a[[#This Row],[Indeks]],_xlfn.IFNA(EU$2,-99),EU$5,_xlfn.IFNA(EU$3,-99),EU$6,_xlfn.IFNA(EU$4,-99),EU$7,""),"")</f>
        <v/>
      </c>
      <c r="EX94" s="54">
        <f>Eu_tabel_a[[#This Row],[x base]]*SQRT(Eu_a_h0_x*(1-Eu_a_h0_x)/Eu_a_n_x)+Eu_a_h0_x</f>
        <v>0</v>
      </c>
      <c r="FC94" s="161" t="e">
        <f t="shared" si="146"/>
        <v>#N/A</v>
      </c>
      <c r="FD94" s="169" t="e">
        <f t="shared" si="121"/>
        <v>#DIV/0!</v>
      </c>
      <c r="FE94" s="7" t="e">
        <f t="shared" si="140"/>
        <v>#DIV/0!</v>
      </c>
      <c r="FF94" t="e">
        <f t="shared" si="122"/>
        <v>#DIV/0!</v>
      </c>
      <c r="FG94" s="8" t="e">
        <f t="shared" si="123"/>
        <v>#DIV/0!</v>
      </c>
      <c r="FH94" s="8" t="e">
        <f t="shared" si="124"/>
        <v>#DIV/0!</v>
      </c>
      <c r="FI94" s="168" t="e">
        <f t="shared" si="125"/>
        <v>#DIV/0!</v>
      </c>
      <c r="FJ94" s="161" t="e">
        <f t="shared" ca="1" si="141"/>
        <v>#N/A</v>
      </c>
      <c r="FK94" s="169" t="e" vm="3">
        <f t="shared" ca="1" si="147"/>
        <v>#VALUE!</v>
      </c>
      <c r="FL94" s="7" t="e" vm="3">
        <f t="shared" ca="1" si="142"/>
        <v>#VALUE!</v>
      </c>
      <c r="FM94" t="e" vm="3">
        <f t="shared" ca="1" si="136"/>
        <v>#VALUE!</v>
      </c>
      <c r="FN94" s="8" t="e" vm="3">
        <f t="shared" ca="1" si="137"/>
        <v>#VALUE!</v>
      </c>
      <c r="FO94" s="8" t="e" vm="3">
        <f t="shared" ca="1" si="138"/>
        <v>#VALUE!</v>
      </c>
      <c r="FP94" s="168" t="e" vm="3">
        <f t="shared" ca="1" si="139"/>
        <v>#VALUE!</v>
      </c>
      <c r="FQ94" s="161" t="e">
        <f t="shared" si="143"/>
        <v>#N/A</v>
      </c>
      <c r="FR94" s="169" t="e">
        <f t="shared" si="148"/>
        <v>#N/A</v>
      </c>
      <c r="FS94" s="7" t="e">
        <f t="shared" si="144"/>
        <v>#N/A</v>
      </c>
      <c r="FT94" t="e">
        <f t="shared" si="149"/>
        <v>#N/A</v>
      </c>
      <c r="FU94" s="8" t="e">
        <f t="shared" si="150"/>
        <v>#N/A</v>
      </c>
      <c r="FV94" s="8" t="e">
        <f t="shared" si="151"/>
        <v>#N/A</v>
      </c>
      <c r="FW94" s="168" t="e">
        <f t="shared" si="152"/>
        <v>#N/A</v>
      </c>
      <c r="FX94" s="161" t="e">
        <f t="shared" si="153"/>
        <v>#N/A</v>
      </c>
      <c r="FY94" s="169" t="e">
        <f t="shared" si="154"/>
        <v>#N/A</v>
      </c>
      <c r="FZ94" s="7" t="e">
        <f t="shared" si="145"/>
        <v>#N/A</v>
      </c>
      <c r="GA94" t="e">
        <f t="shared" si="155"/>
        <v>#N/A</v>
      </c>
      <c r="GB94" s="8" t="e">
        <f t="shared" si="156"/>
        <v>#N/A</v>
      </c>
      <c r="GC94" s="8" t="e">
        <f t="shared" si="157"/>
        <v>#N/A</v>
      </c>
      <c r="GD94" s="168" t="e">
        <f t="shared" si="158"/>
        <v>#N/A</v>
      </c>
      <c r="GE94" s="168"/>
      <c r="GF94" s="168"/>
      <c r="GI94" s="54">
        <f t="shared" si="203"/>
        <v>84</v>
      </c>
      <c r="GJ94" s="54">
        <f t="shared" si="204"/>
        <v>85</v>
      </c>
      <c r="GK94" s="54">
        <f t="shared" si="205"/>
        <v>-1.07798801377947</v>
      </c>
      <c r="GL94" s="54">
        <f t="shared" si="206"/>
        <v>0.22313738697590677</v>
      </c>
      <c r="GM94" s="54" t="e">
        <f t="shared" si="207"/>
        <v>#N/A</v>
      </c>
      <c r="GN94" s="54" t="e">
        <f t="shared" si="208"/>
        <v>#N/A</v>
      </c>
      <c r="GO94" s="54" t="e">
        <f t="shared" si="209"/>
        <v>#N/A</v>
      </c>
      <c r="GP94" s="54" t="b">
        <f t="shared" si="210"/>
        <v>0</v>
      </c>
      <c r="GQ94" s="54" t="b">
        <f t="shared" si="211"/>
        <v>1</v>
      </c>
      <c r="GR94" s="54" t="b">
        <f t="shared" si="212"/>
        <v>0</v>
      </c>
      <c r="GS94" s="54" t="b">
        <f t="shared" si="213"/>
        <v>1</v>
      </c>
      <c r="GT94" s="54">
        <f t="shared" si="214"/>
        <v>0.22313738697590677</v>
      </c>
      <c r="GU94" s="54" t="e">
        <f t="shared" si="215"/>
        <v>#N/A</v>
      </c>
      <c r="GV94" s="54">
        <f t="shared" si="216"/>
        <v>0.22313738697590677</v>
      </c>
      <c r="GW94" s="72" t="str">
        <f t="shared" si="217"/>
        <v/>
      </c>
      <c r="HC94" s="54">
        <f t="shared" si="218"/>
        <v>84</v>
      </c>
      <c r="HD94" s="54">
        <f t="shared" si="219"/>
        <v>85</v>
      </c>
      <c r="HE94" s="54">
        <f t="shared" si="220"/>
        <v>-1.6692870797575581</v>
      </c>
      <c r="HF94" s="54" t="e">
        <f t="shared" si="221"/>
        <v>#N/A</v>
      </c>
      <c r="HG94" s="54">
        <f t="shared" si="222"/>
        <v>0.10076975631354264</v>
      </c>
      <c r="HH94" s="54" t="e">
        <f t="shared" si="223"/>
        <v>#N/A</v>
      </c>
      <c r="HI94" s="54" t="e">
        <f t="shared" si="224"/>
        <v>#N/A</v>
      </c>
      <c r="HJ94" s="54" t="b">
        <f t="shared" si="225"/>
        <v>1</v>
      </c>
      <c r="HK94" s="54" t="b">
        <f t="shared" si="226"/>
        <v>0</v>
      </c>
      <c r="HL94" s="54" t="b">
        <f t="shared" si="227"/>
        <v>0</v>
      </c>
      <c r="HM94" s="54" t="b">
        <f t="shared" si="228"/>
        <v>1</v>
      </c>
      <c r="HN94" s="54">
        <f t="shared" si="229"/>
        <v>0.10076975631354264</v>
      </c>
      <c r="HO94" s="54">
        <f t="shared" si="230"/>
        <v>0.10076975631354264</v>
      </c>
      <c r="HP94" s="54" t="e">
        <f t="shared" si="231"/>
        <v>#N/A</v>
      </c>
      <c r="HQ94" s="72" t="str">
        <f t="shared" si="232"/>
        <v/>
      </c>
    </row>
    <row r="95" spans="71:225" x14ac:dyDescent="0.2">
      <c r="BS95" s="54">
        <f t="shared" si="159"/>
        <v>85</v>
      </c>
      <c r="BT95" s="54">
        <f>Eu_tabel_g[[#This Row],[Indeks]]+1</f>
        <v>86</v>
      </c>
      <c r="BU95" s="54">
        <f t="shared" si="160"/>
        <v>-1.0540327245843706</v>
      </c>
      <c r="BV95" s="54">
        <f t="shared" si="161"/>
        <v>0.22890893335654983</v>
      </c>
      <c r="BW95" s="54" t="e">
        <f t="shared" si="162"/>
        <v>#N/A</v>
      </c>
      <c r="BX95" s="54" t="e">
        <f t="shared" si="163"/>
        <v>#N/A</v>
      </c>
      <c r="BY95" s="54" t="e">
        <f t="shared" si="164"/>
        <v>#N/A</v>
      </c>
      <c r="BZ95" s="54" t="b">
        <f t="shared" si="165"/>
        <v>0</v>
      </c>
      <c r="CA95" s="54" t="b">
        <f t="shared" si="166"/>
        <v>1</v>
      </c>
      <c r="CB95" s="54" t="b">
        <f t="shared" si="167"/>
        <v>0</v>
      </c>
      <c r="CC95" s="54" t="b">
        <f t="shared" si="168"/>
        <v>1</v>
      </c>
      <c r="CD95" s="54">
        <f t="shared" si="233"/>
        <v>0.22890893335654983</v>
      </c>
      <c r="CE95" s="54" t="e">
        <f t="shared" si="169"/>
        <v>#N/A</v>
      </c>
      <c r="CF95" s="54">
        <f t="shared" si="170"/>
        <v>0.22890893335654983</v>
      </c>
      <c r="CG95" s="72" t="str">
        <f t="shared" si="171"/>
        <v/>
      </c>
      <c r="CH95" s="54">
        <f>_xlfn.NORM.DIST(_xlfn.NORM.INV(1-Eu_g_konfidensniveau,0,1)-Eu_tabel_g[[#This Row],[x base]],0,1,TRUE)</f>
        <v>0.27732021410330299</v>
      </c>
      <c r="CI95" s="54">
        <f>1-_xlfn.NORM.DIST(_xlfn.NORM.INV(Eu_g_konfidensniveau,0,1)-Eu_tabel_g[[#This Row],[x base]],0,1,TRUE)</f>
        <v>3.4785965238283145E-3</v>
      </c>
      <c r="CJ95" s="54">
        <f>_xlfn.NORM.DIST(_xlfn.NORM.INV((1-Eu_g_konfidensniveau)/2,0,1)-Eu_tabel_g[[#This Row],[x base]],0,1,TRUE)+1-_xlfn.NORM.DIST(_xlfn.NORM.INV(1-(1-Eu_g_konfidensniveau)/2,0,1)-Eu_tabel_g[[#This Row],[x base]],0,1,TRUE)</f>
        <v>0.1837752716806117</v>
      </c>
      <c r="CK95" s="54" t="e" cm="1">
        <f t="array" ref="CK95">IF($CK$3,INDEX(Eu_tabel_g[[#This Row],[Styrke venstre]:[Styrke tosidet]],CK$7),NA())</f>
        <v>#N/A</v>
      </c>
      <c r="CL95" s="99" t="e">
        <f>Eu_tabel_g[[#This Row],[Falsk positiv
Nulhypotese accepteres
Fejltype 1]]</f>
        <v>#N/A</v>
      </c>
      <c r="CM95" s="99" t="e">
        <f>IF(CHOOSE(CK$7,Eu_tabel_g[[#This Row],[x base]]&gt;0,Eu_tabel_g[[#This Row],[x base]]&lt;0,Eu_tabel_g[[#This Row],[x base]]=0),Eu_tabel_g[[#This Row],[Styrke, aktiv]],NA())</f>
        <v>#N/A</v>
      </c>
      <c r="CN95" s="99" t="e">
        <f>IFERROR(IF($CK$3,Eu_tabel_g[[#This Row],[Styrke, aktiv]],NA()),NA())</f>
        <v>#N/A</v>
      </c>
      <c r="CO95" s="99" t="e">
        <f>IF(ISNA(Eu_tabel_g[[#This Row],[Sand negativ
Nulhypotese afvises
Korrekt]]),NA(),IF($CK$3,1,NA()))</f>
        <v>#N/A</v>
      </c>
      <c r="CP95" s="56" t="str" cm="1">
        <f t="array" ref="CP95">_xlfn.SWITCH(BS95,_xlfn.IFNA(CN$2,-99),CN$5,_xlfn.IFNA(CN$3,-99),CN$6,_xlfn.IFNA(CN$4,-99),CN$7,"")</f>
        <v/>
      </c>
      <c r="CT95" s="7">
        <f t="shared" si="172"/>
        <v>0.8</v>
      </c>
      <c r="CU95">
        <f>IF(ROW(Styrkeberegning_G[[#This Row],[X base venstre]])=ROW(Styrkeberegning_G[[#Headers],[X base venstre]])+1,CU$7/(CT$7/$B$67),CU94/(CT94/$B$67))</f>
        <v>-2.8015817870135784</v>
      </c>
      <c r="CV95">
        <f>Styrkeberegning_G[[#This Row],[X base venstre]]*-1</f>
        <v>2.8015817870135784</v>
      </c>
      <c r="DG95" s="54">
        <f t="shared" si="173"/>
        <v>85</v>
      </c>
      <c r="DH95" s="54">
        <f t="shared" si="174"/>
        <v>86</v>
      </c>
      <c r="DI95" s="54">
        <f t="shared" si="175"/>
        <v>11.529875460098776</v>
      </c>
      <c r="DJ95" s="54" t="e">
        <f t="shared" si="176"/>
        <v>#N/A</v>
      </c>
      <c r="DK95" s="54" t="e">
        <f t="shared" si="177"/>
        <v>#N/A</v>
      </c>
      <c r="DL95" s="54">
        <f t="shared" si="178"/>
        <v>7.9434357282748405E-2</v>
      </c>
      <c r="DM95" s="54" t="e">
        <f t="shared" si="179"/>
        <v>#N/A</v>
      </c>
      <c r="DN95" s="54" t="b">
        <f t="shared" si="180"/>
        <v>0</v>
      </c>
      <c r="DO95" s="54" t="b">
        <f t="shared" si="181"/>
        <v>1</v>
      </c>
      <c r="DP95" s="54" t="b">
        <f t="shared" si="182"/>
        <v>0</v>
      </c>
      <c r="DQ95" s="54" t="b">
        <f t="shared" si="183"/>
        <v>1</v>
      </c>
      <c r="DR95" s="54">
        <f t="shared" si="184"/>
        <v>7.9434357282748405E-2</v>
      </c>
      <c r="DS95" s="54" t="e">
        <f t="shared" si="185"/>
        <v>#N/A</v>
      </c>
      <c r="DT95" s="54">
        <f t="shared" si="186"/>
        <v>7.9434357282748405E-2</v>
      </c>
      <c r="DU95" s="72" t="str">
        <f t="shared" si="187"/>
        <v/>
      </c>
      <c r="DZ95" s="54">
        <f t="shared" si="188"/>
        <v>85</v>
      </c>
      <c r="EA95" s="54">
        <f t="shared" si="189"/>
        <v>86</v>
      </c>
      <c r="EB95" s="54">
        <f t="shared" si="190"/>
        <v>-1.0540327245843706</v>
      </c>
      <c r="EC95" s="54">
        <f t="shared" si="191"/>
        <v>0.22890893335654983</v>
      </c>
      <c r="ED95" s="54" t="e">
        <f t="shared" si="192"/>
        <v>#N/A</v>
      </c>
      <c r="EE95" s="54" t="e">
        <f t="shared" si="193"/>
        <v>#N/A</v>
      </c>
      <c r="EF95" s="54" t="e">
        <f t="shared" si="194"/>
        <v>#N/A</v>
      </c>
      <c r="EG95" s="54" t="b">
        <f t="shared" si="195"/>
        <v>0</v>
      </c>
      <c r="EH95" s="54" t="b">
        <f t="shared" si="196"/>
        <v>1</v>
      </c>
      <c r="EI95" s="54" t="b">
        <f t="shared" si="197"/>
        <v>0</v>
      </c>
      <c r="EJ95" s="54" t="b">
        <f t="shared" si="198"/>
        <v>1</v>
      </c>
      <c r="EK95" s="54">
        <f t="shared" si="199"/>
        <v>0.22890893335654983</v>
      </c>
      <c r="EL95" s="54" t="e">
        <f t="shared" si="200"/>
        <v>#N/A</v>
      </c>
      <c r="EM95" s="54">
        <f t="shared" si="201"/>
        <v>0.22890893335654983</v>
      </c>
      <c r="EN95" s="72" t="str">
        <f t="shared" si="202"/>
        <v/>
      </c>
      <c r="EO9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9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9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95" s="54" t="e" cm="1">
        <f t="array" ref="ER95">IF($CK$3,INDEX(Eu_tabel_a[[#This Row],[Styrke venstre]:[Styrke tosidet]],ER$7),NA())</f>
        <v>#N/A</v>
      </c>
      <c r="ES95" s="54" t="e">
        <f>IF(ER$3,IF(CHOOSE(ER$7,Eu_tabel_a[[#This Row],[x base]]&gt;0,Eu_tabel_a[[#This Row],[x base]]&lt;0,Eu_tabel_a[[#This Row],[x base]]=0),1,NA()),NA())</f>
        <v>#N/A</v>
      </c>
      <c r="ET95" s="54" t="e">
        <f>IF(CHOOSE(ER$7,Eu_tabel_a[[#This Row],[x base]]&gt;0,Eu_tabel_a[[#This Row],[x base]]&lt;0,Eu_tabel_a[[#This Row],[x base]]=0),Eu_tabel_a[[#This Row],[Styrke, aktiv]],NA())</f>
        <v>#N/A</v>
      </c>
      <c r="EU95" s="54" t="e">
        <f>IFERROR(IF($ER$3,Eu_tabel_a[[#This Row],[Styrke, aktiv]],NA()),NA())</f>
        <v>#N/A</v>
      </c>
      <c r="EV95" s="54" t="e">
        <f>IF(ISNA(Eu_tabel_a[[#This Row],[Sand negativ
Nulhypotese afvises
Korrekt]]),NA(),IF(ER$3,1,NA()))</f>
        <v>#N/A</v>
      </c>
      <c r="EW95" s="55" t="str" cm="1">
        <f t="array" ref="EW95">IFERROR(_xlfn.SWITCH(Eu_tabel_a[[#This Row],[Indeks]],_xlfn.IFNA(EU$2,-99),EU$5,_xlfn.IFNA(EU$3,-99),EU$6,_xlfn.IFNA(EU$4,-99),EU$7,""),"")</f>
        <v/>
      </c>
      <c r="EX95" s="54">
        <f>Eu_tabel_a[[#This Row],[x base]]*SQRT(Eu_a_h0_x*(1-Eu_a_h0_x)/Eu_a_n_x)+Eu_a_h0_x</f>
        <v>0</v>
      </c>
      <c r="FC95" s="161" t="e">
        <f t="shared" si="146"/>
        <v>#N/A</v>
      </c>
      <c r="FD95" s="169" t="e">
        <f t="shared" ref="FD95:FD158" si="234">FD93+FI94</f>
        <v>#DIV/0!</v>
      </c>
      <c r="FE95" s="7" t="e">
        <f t="shared" si="140"/>
        <v>#DIV/0!</v>
      </c>
      <c r="FF95" t="e">
        <f t="shared" ref="FF95:FF158" si="235">FD95-FD94</f>
        <v>#DIV/0!</v>
      </c>
      <c r="FG95" s="8" t="e">
        <f t="shared" ref="FG95:FG158" si="236">FE95-FE94</f>
        <v>#DIV/0!</v>
      </c>
      <c r="FH95" s="8" t="e">
        <f t="shared" ref="FH95:FH158" si="237">$P$67-FE94</f>
        <v>#DIV/0!</v>
      </c>
      <c r="FI95" s="168" t="e">
        <f t="shared" ref="FI95:FI158" si="238">FF95/(FG95/FH95)</f>
        <v>#DIV/0!</v>
      </c>
      <c r="FJ95" s="161" t="e">
        <f t="shared" ca="1" si="141"/>
        <v>#N/A</v>
      </c>
      <c r="FK95" s="169" t="e" vm="3">
        <f t="shared" ca="1" si="147"/>
        <v>#VALUE!</v>
      </c>
      <c r="FL95" s="7" t="e" vm="3">
        <f t="shared" ca="1" si="142"/>
        <v>#VALUE!</v>
      </c>
      <c r="FM95" t="e" vm="3">
        <f t="shared" ca="1" si="136"/>
        <v>#VALUE!</v>
      </c>
      <c r="FN95" s="8" t="e" vm="3">
        <f t="shared" ca="1" si="137"/>
        <v>#VALUE!</v>
      </c>
      <c r="FO95" s="8" t="e" vm="3">
        <f t="shared" ca="1" si="138"/>
        <v>#VALUE!</v>
      </c>
      <c r="FP95" s="168" t="e" vm="3">
        <f t="shared" ca="1" si="139"/>
        <v>#VALUE!</v>
      </c>
      <c r="FQ95" s="161" t="e">
        <f t="shared" si="143"/>
        <v>#N/A</v>
      </c>
      <c r="FR95" s="169" t="e">
        <f t="shared" si="148"/>
        <v>#N/A</v>
      </c>
      <c r="FS95" s="7" t="e">
        <f t="shared" si="144"/>
        <v>#N/A</v>
      </c>
      <c r="FT95" t="e">
        <f t="shared" si="149"/>
        <v>#N/A</v>
      </c>
      <c r="FU95" s="8" t="e">
        <f t="shared" si="150"/>
        <v>#N/A</v>
      </c>
      <c r="FV95" s="8" t="e">
        <f t="shared" si="151"/>
        <v>#N/A</v>
      </c>
      <c r="FW95" s="168" t="e">
        <f t="shared" si="152"/>
        <v>#N/A</v>
      </c>
      <c r="FX95" s="161" t="e">
        <f t="shared" si="153"/>
        <v>#N/A</v>
      </c>
      <c r="FY95" s="169" t="e">
        <f t="shared" si="154"/>
        <v>#N/A</v>
      </c>
      <c r="FZ95" s="7" t="e">
        <f t="shared" si="145"/>
        <v>#N/A</v>
      </c>
      <c r="GA95" t="e">
        <f t="shared" si="155"/>
        <v>#N/A</v>
      </c>
      <c r="GB95" s="8" t="e">
        <f t="shared" si="156"/>
        <v>#N/A</v>
      </c>
      <c r="GC95" s="8" t="e">
        <f t="shared" si="157"/>
        <v>#N/A</v>
      </c>
      <c r="GD95" s="168" t="e">
        <f t="shared" si="158"/>
        <v>#N/A</v>
      </c>
      <c r="GE95" s="168"/>
      <c r="GF95" s="168"/>
      <c r="GI95" s="54">
        <f t="shared" si="203"/>
        <v>85</v>
      </c>
      <c r="GJ95" s="54">
        <f t="shared" si="204"/>
        <v>86</v>
      </c>
      <c r="GK95" s="54">
        <f t="shared" si="205"/>
        <v>-1.0540327245843706</v>
      </c>
      <c r="GL95" s="54">
        <f t="shared" si="206"/>
        <v>0.22890893335654983</v>
      </c>
      <c r="GM95" s="54" t="e">
        <f t="shared" si="207"/>
        <v>#N/A</v>
      </c>
      <c r="GN95" s="54" t="e">
        <f t="shared" si="208"/>
        <v>#N/A</v>
      </c>
      <c r="GO95" s="54" t="e">
        <f t="shared" si="209"/>
        <v>#N/A</v>
      </c>
      <c r="GP95" s="54" t="b">
        <f t="shared" si="210"/>
        <v>0</v>
      </c>
      <c r="GQ95" s="54" t="b">
        <f t="shared" si="211"/>
        <v>1</v>
      </c>
      <c r="GR95" s="54" t="b">
        <f t="shared" si="212"/>
        <v>0</v>
      </c>
      <c r="GS95" s="54" t="b">
        <f t="shared" si="213"/>
        <v>1</v>
      </c>
      <c r="GT95" s="54">
        <f t="shared" si="214"/>
        <v>0.22890893335654983</v>
      </c>
      <c r="GU95" s="54" t="e">
        <f t="shared" si="215"/>
        <v>#N/A</v>
      </c>
      <c r="GV95" s="54">
        <f t="shared" si="216"/>
        <v>0.22890893335654983</v>
      </c>
      <c r="GW95" s="72" t="str">
        <f t="shared" si="217"/>
        <v/>
      </c>
      <c r="HC95" s="54">
        <f t="shared" si="218"/>
        <v>85</v>
      </c>
      <c r="HD95" s="54">
        <f t="shared" si="219"/>
        <v>86</v>
      </c>
      <c r="HE95" s="54">
        <f t="shared" si="220"/>
        <v>-1.632191811318501</v>
      </c>
      <c r="HF95" s="54" t="e">
        <f t="shared" si="221"/>
        <v>#N/A</v>
      </c>
      <c r="HG95" s="54">
        <f t="shared" si="222"/>
        <v>0.10597576325843158</v>
      </c>
      <c r="HH95" s="54" t="e">
        <f t="shared" si="223"/>
        <v>#N/A</v>
      </c>
      <c r="HI95" s="54" t="e">
        <f t="shared" si="224"/>
        <v>#N/A</v>
      </c>
      <c r="HJ95" s="54" t="b">
        <f t="shared" si="225"/>
        <v>1</v>
      </c>
      <c r="HK95" s="54" t="b">
        <f t="shared" si="226"/>
        <v>0</v>
      </c>
      <c r="HL95" s="54" t="b">
        <f t="shared" si="227"/>
        <v>0</v>
      </c>
      <c r="HM95" s="54" t="b">
        <f t="shared" si="228"/>
        <v>1</v>
      </c>
      <c r="HN95" s="54">
        <f t="shared" si="229"/>
        <v>0.10597576325843158</v>
      </c>
      <c r="HO95" s="54">
        <f t="shared" si="230"/>
        <v>0.10597576325843158</v>
      </c>
      <c r="HP95" s="54" t="e">
        <f t="shared" si="231"/>
        <v>#N/A</v>
      </c>
      <c r="HQ95" s="72" t="str">
        <f t="shared" si="232"/>
        <v/>
      </c>
    </row>
    <row r="96" spans="71:225" x14ac:dyDescent="0.2">
      <c r="BS96" s="54">
        <f t="shared" si="159"/>
        <v>86</v>
      </c>
      <c r="BT96" s="54">
        <f>Eu_tabel_g[[#This Row],[Indeks]]+1</f>
        <v>87</v>
      </c>
      <c r="BU96" s="54">
        <f t="shared" si="160"/>
        <v>-1.0300774353892712</v>
      </c>
      <c r="BV96" s="54">
        <f t="shared" si="161"/>
        <v>0.23469504353367848</v>
      </c>
      <c r="BW96" s="54" t="e">
        <f t="shared" si="162"/>
        <v>#N/A</v>
      </c>
      <c r="BX96" s="54" t="e">
        <f t="shared" si="163"/>
        <v>#N/A</v>
      </c>
      <c r="BY96" s="54" t="e">
        <f t="shared" si="164"/>
        <v>#N/A</v>
      </c>
      <c r="BZ96" s="54" t="b">
        <f t="shared" si="165"/>
        <v>0</v>
      </c>
      <c r="CA96" s="54" t="b">
        <f t="shared" si="166"/>
        <v>1</v>
      </c>
      <c r="CB96" s="54" t="b">
        <f t="shared" si="167"/>
        <v>0</v>
      </c>
      <c r="CC96" s="54" t="b">
        <f t="shared" si="168"/>
        <v>1</v>
      </c>
      <c r="CD96" s="54">
        <f t="shared" si="233"/>
        <v>0.23469504353367848</v>
      </c>
      <c r="CE96" s="54" t="e">
        <f t="shared" si="169"/>
        <v>#N/A</v>
      </c>
      <c r="CF96" s="54">
        <f t="shared" si="170"/>
        <v>0.23469504353367848</v>
      </c>
      <c r="CG96" s="72" t="str">
        <f t="shared" si="171"/>
        <v/>
      </c>
      <c r="CH96" s="54">
        <f>_xlfn.NORM.DIST(_xlfn.NORM.INV(1-Eu_g_konfidensniveau,0,1)-Eu_tabel_g[[#This Row],[x base]],0,1,TRUE)</f>
        <v>0.26935126726694236</v>
      </c>
      <c r="CI96" s="54">
        <f>1-_xlfn.NORM.DIST(_xlfn.NORM.INV(Eu_g_konfidensniveau,0,1)-Eu_tabel_g[[#This Row],[x base]],0,1,TRUE)</f>
        <v>3.7372309005786475E-3</v>
      </c>
      <c r="CJ96" s="54">
        <f>_xlfn.NORM.DIST(_xlfn.NORM.INV((1-Eu_g_konfidensniveau)/2,0,1)-Eu_tabel_g[[#This Row],[x base]],0,1,TRUE)+1-_xlfn.NORM.DIST(_xlfn.NORM.INV(1-(1-Eu_g_konfidensniveau)/2,0,1)-Eu_tabel_g[[#This Row],[x base]],0,1,TRUE)</f>
        <v>0.17760961211190851</v>
      </c>
      <c r="CK96" s="54" t="e" cm="1">
        <f t="array" ref="CK96">IF($CK$3,INDEX(Eu_tabel_g[[#This Row],[Styrke venstre]:[Styrke tosidet]],CK$7),NA())</f>
        <v>#N/A</v>
      </c>
      <c r="CL96" s="99" t="e">
        <f>Eu_tabel_g[[#This Row],[Falsk positiv
Nulhypotese accepteres
Fejltype 1]]</f>
        <v>#N/A</v>
      </c>
      <c r="CM96" s="99" t="e">
        <f>IF(CHOOSE(CK$7,Eu_tabel_g[[#This Row],[x base]]&gt;0,Eu_tabel_g[[#This Row],[x base]]&lt;0,Eu_tabel_g[[#This Row],[x base]]=0),Eu_tabel_g[[#This Row],[Styrke, aktiv]],NA())</f>
        <v>#N/A</v>
      </c>
      <c r="CN96" s="99" t="e">
        <f>IFERROR(IF($CK$3,Eu_tabel_g[[#This Row],[Styrke, aktiv]],NA()),NA())</f>
        <v>#N/A</v>
      </c>
      <c r="CO96" s="99" t="e">
        <f>IF(ISNA(Eu_tabel_g[[#This Row],[Sand negativ
Nulhypotese afvises
Korrekt]]),NA(),IF($CK$3,1,NA()))</f>
        <v>#N/A</v>
      </c>
      <c r="CP96" s="56" t="str" cm="1">
        <f t="array" ref="CP96">_xlfn.SWITCH(BS96,_xlfn.IFNA(CN$2,-99),CN$5,_xlfn.IFNA(CN$3,-99),CN$6,_xlfn.IFNA(CN$4,-99),CN$7,"")</f>
        <v/>
      </c>
      <c r="CT96" s="7">
        <f t="shared" si="172"/>
        <v>0.8</v>
      </c>
      <c r="CU96">
        <f>IF(ROW(Styrkeberegning_G[[#This Row],[X base venstre]])=ROW(Styrkeberegning_G[[#Headers],[X base venstre]])+1,CU$7/(CT$7/$B$67),CU95/(CT95/$B$67))</f>
        <v>-2.8015817870135784</v>
      </c>
      <c r="CV96">
        <f>Styrkeberegning_G[[#This Row],[X base venstre]]*-1</f>
        <v>2.8015817870135784</v>
      </c>
      <c r="DG96" s="54">
        <f t="shared" si="173"/>
        <v>86</v>
      </c>
      <c r="DH96" s="54">
        <f t="shared" si="174"/>
        <v>87</v>
      </c>
      <c r="DI96" s="54">
        <f t="shared" si="175"/>
        <v>11.643946316515777</v>
      </c>
      <c r="DJ96" s="54" t="e">
        <f t="shared" si="176"/>
        <v>#N/A</v>
      </c>
      <c r="DK96" s="54" t="e">
        <f t="shared" si="177"/>
        <v>#N/A</v>
      </c>
      <c r="DL96" s="54">
        <f t="shared" si="178"/>
        <v>7.842929589264333E-2</v>
      </c>
      <c r="DM96" s="54" t="e">
        <f t="shared" si="179"/>
        <v>#N/A</v>
      </c>
      <c r="DN96" s="54" t="b">
        <f t="shared" si="180"/>
        <v>0</v>
      </c>
      <c r="DO96" s="54" t="b">
        <f t="shared" si="181"/>
        <v>1</v>
      </c>
      <c r="DP96" s="54" t="b">
        <f t="shared" si="182"/>
        <v>0</v>
      </c>
      <c r="DQ96" s="54" t="b">
        <f t="shared" si="183"/>
        <v>1</v>
      </c>
      <c r="DR96" s="54">
        <f t="shared" si="184"/>
        <v>7.842929589264333E-2</v>
      </c>
      <c r="DS96" s="54" t="e">
        <f t="shared" si="185"/>
        <v>#N/A</v>
      </c>
      <c r="DT96" s="54">
        <f t="shared" si="186"/>
        <v>7.842929589264333E-2</v>
      </c>
      <c r="DU96" s="72" t="str">
        <f t="shared" si="187"/>
        <v/>
      </c>
      <c r="DZ96" s="54">
        <f t="shared" si="188"/>
        <v>86</v>
      </c>
      <c r="EA96" s="54">
        <f t="shared" si="189"/>
        <v>87</v>
      </c>
      <c r="EB96" s="54">
        <f t="shared" si="190"/>
        <v>-1.0300774353892712</v>
      </c>
      <c r="EC96" s="54">
        <f t="shared" si="191"/>
        <v>0.23469504353367848</v>
      </c>
      <c r="ED96" s="54" t="e">
        <f t="shared" si="192"/>
        <v>#N/A</v>
      </c>
      <c r="EE96" s="54" t="e">
        <f t="shared" si="193"/>
        <v>#N/A</v>
      </c>
      <c r="EF96" s="54" t="e">
        <f t="shared" si="194"/>
        <v>#N/A</v>
      </c>
      <c r="EG96" s="54" t="b">
        <f t="shared" si="195"/>
        <v>0</v>
      </c>
      <c r="EH96" s="54" t="b">
        <f t="shared" si="196"/>
        <v>1</v>
      </c>
      <c r="EI96" s="54" t="b">
        <f t="shared" si="197"/>
        <v>0</v>
      </c>
      <c r="EJ96" s="54" t="b">
        <f t="shared" si="198"/>
        <v>1</v>
      </c>
      <c r="EK96" s="54">
        <f t="shared" si="199"/>
        <v>0.23469504353367848</v>
      </c>
      <c r="EL96" s="54" t="e">
        <f t="shared" si="200"/>
        <v>#N/A</v>
      </c>
      <c r="EM96" s="54">
        <f t="shared" si="201"/>
        <v>0.23469504353367848</v>
      </c>
      <c r="EN96" s="72" t="str">
        <f t="shared" si="202"/>
        <v/>
      </c>
      <c r="EO9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9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9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96" s="54" t="e" cm="1">
        <f t="array" ref="ER96">IF($CK$3,INDEX(Eu_tabel_a[[#This Row],[Styrke venstre]:[Styrke tosidet]],ER$7),NA())</f>
        <v>#N/A</v>
      </c>
      <c r="ES96" s="54" t="e">
        <f>IF(ER$3,IF(CHOOSE(ER$7,Eu_tabel_a[[#This Row],[x base]]&gt;0,Eu_tabel_a[[#This Row],[x base]]&lt;0,Eu_tabel_a[[#This Row],[x base]]=0),1,NA()),NA())</f>
        <v>#N/A</v>
      </c>
      <c r="ET96" s="54" t="e">
        <f>IF(CHOOSE(ER$7,Eu_tabel_a[[#This Row],[x base]]&gt;0,Eu_tabel_a[[#This Row],[x base]]&lt;0,Eu_tabel_a[[#This Row],[x base]]=0),Eu_tabel_a[[#This Row],[Styrke, aktiv]],NA())</f>
        <v>#N/A</v>
      </c>
      <c r="EU96" s="54" t="e">
        <f>IFERROR(IF($ER$3,Eu_tabel_a[[#This Row],[Styrke, aktiv]],NA()),NA())</f>
        <v>#N/A</v>
      </c>
      <c r="EV96" s="54" t="e">
        <f>IF(ISNA(Eu_tabel_a[[#This Row],[Sand negativ
Nulhypotese afvises
Korrekt]]),NA(),IF(ER$3,1,NA()))</f>
        <v>#N/A</v>
      </c>
      <c r="EW96" s="55" t="str" cm="1">
        <f t="array" ref="EW96">IFERROR(_xlfn.SWITCH(Eu_tabel_a[[#This Row],[Indeks]],_xlfn.IFNA(EU$2,-99),EU$5,_xlfn.IFNA(EU$3,-99),EU$6,_xlfn.IFNA(EU$4,-99),EU$7,""),"")</f>
        <v/>
      </c>
      <c r="EX96" s="54">
        <f>Eu_tabel_a[[#This Row],[x base]]*SQRT(Eu_a_h0_x*(1-Eu_a_h0_x)/Eu_a_n_x)+Eu_a_h0_x</f>
        <v>0</v>
      </c>
      <c r="FC96" s="161" t="e">
        <f t="shared" si="146"/>
        <v>#N/A</v>
      </c>
      <c r="FD96" s="169" t="e">
        <f t="shared" si="234"/>
        <v>#DIV/0!</v>
      </c>
      <c r="FE96" s="7" t="e">
        <f t="shared" si="140"/>
        <v>#DIV/0!</v>
      </c>
      <c r="FF96" t="e">
        <f t="shared" si="235"/>
        <v>#DIV/0!</v>
      </c>
      <c r="FG96" s="8" t="e">
        <f t="shared" si="236"/>
        <v>#DIV/0!</v>
      </c>
      <c r="FH96" s="8" t="e">
        <f t="shared" si="237"/>
        <v>#DIV/0!</v>
      </c>
      <c r="FI96" s="168" t="e">
        <f t="shared" si="238"/>
        <v>#DIV/0!</v>
      </c>
      <c r="FJ96" s="161" t="e">
        <f t="shared" ca="1" si="141"/>
        <v>#N/A</v>
      </c>
      <c r="FK96" s="169" t="e" vm="3">
        <f t="shared" ca="1" si="147"/>
        <v>#VALUE!</v>
      </c>
      <c r="FL96" s="7" t="e" vm="3">
        <f t="shared" ca="1" si="142"/>
        <v>#VALUE!</v>
      </c>
      <c r="FM96" t="e" vm="3">
        <f t="shared" ca="1" si="136"/>
        <v>#VALUE!</v>
      </c>
      <c r="FN96" s="8" t="e" vm="3">
        <f t="shared" ca="1" si="137"/>
        <v>#VALUE!</v>
      </c>
      <c r="FO96" s="8" t="e" vm="3">
        <f t="shared" ca="1" si="138"/>
        <v>#VALUE!</v>
      </c>
      <c r="FP96" s="168" t="e" vm="3">
        <f t="shared" ca="1" si="139"/>
        <v>#VALUE!</v>
      </c>
      <c r="FQ96" s="161" t="e">
        <f t="shared" si="143"/>
        <v>#N/A</v>
      </c>
      <c r="FR96" s="169" t="e">
        <f t="shared" si="148"/>
        <v>#N/A</v>
      </c>
      <c r="FS96" s="7" t="e">
        <f t="shared" si="144"/>
        <v>#N/A</v>
      </c>
      <c r="FT96" t="e">
        <f t="shared" si="149"/>
        <v>#N/A</v>
      </c>
      <c r="FU96" s="8" t="e">
        <f t="shared" si="150"/>
        <v>#N/A</v>
      </c>
      <c r="FV96" s="8" t="e">
        <f t="shared" si="151"/>
        <v>#N/A</v>
      </c>
      <c r="FW96" s="168" t="e">
        <f t="shared" si="152"/>
        <v>#N/A</v>
      </c>
      <c r="FX96" s="161" t="e">
        <f t="shared" si="153"/>
        <v>#N/A</v>
      </c>
      <c r="FY96" s="169" t="e">
        <f t="shared" si="154"/>
        <v>#N/A</v>
      </c>
      <c r="FZ96" s="7" t="e">
        <f t="shared" si="145"/>
        <v>#N/A</v>
      </c>
      <c r="GA96" t="e">
        <f t="shared" si="155"/>
        <v>#N/A</v>
      </c>
      <c r="GB96" s="8" t="e">
        <f t="shared" si="156"/>
        <v>#N/A</v>
      </c>
      <c r="GC96" s="8" t="e">
        <f t="shared" si="157"/>
        <v>#N/A</v>
      </c>
      <c r="GD96" s="168" t="e">
        <f t="shared" si="158"/>
        <v>#N/A</v>
      </c>
      <c r="GE96" s="168"/>
      <c r="GF96" s="168"/>
      <c r="GI96" s="54">
        <f t="shared" si="203"/>
        <v>86</v>
      </c>
      <c r="GJ96" s="54">
        <f t="shared" si="204"/>
        <v>87</v>
      </c>
      <c r="GK96" s="54">
        <f t="shared" si="205"/>
        <v>-1.0300774353892712</v>
      </c>
      <c r="GL96" s="54">
        <f t="shared" si="206"/>
        <v>0.23469504353367848</v>
      </c>
      <c r="GM96" s="54" t="e">
        <f t="shared" si="207"/>
        <v>#N/A</v>
      </c>
      <c r="GN96" s="54" t="e">
        <f t="shared" si="208"/>
        <v>#N/A</v>
      </c>
      <c r="GO96" s="54" t="e">
        <f t="shared" si="209"/>
        <v>#N/A</v>
      </c>
      <c r="GP96" s="54" t="b">
        <f t="shared" si="210"/>
        <v>0</v>
      </c>
      <c r="GQ96" s="54" t="b">
        <f t="shared" si="211"/>
        <v>1</v>
      </c>
      <c r="GR96" s="54" t="b">
        <f t="shared" si="212"/>
        <v>0</v>
      </c>
      <c r="GS96" s="54" t="b">
        <f t="shared" si="213"/>
        <v>1</v>
      </c>
      <c r="GT96" s="54">
        <f t="shared" si="214"/>
        <v>0.23469504353367848</v>
      </c>
      <c r="GU96" s="54" t="e">
        <f t="shared" si="215"/>
        <v>#N/A</v>
      </c>
      <c r="GV96" s="54">
        <f t="shared" si="216"/>
        <v>0.23469504353367848</v>
      </c>
      <c r="GW96" s="72" t="str">
        <f t="shared" si="217"/>
        <v/>
      </c>
      <c r="HC96" s="54">
        <f t="shared" si="218"/>
        <v>86</v>
      </c>
      <c r="HD96" s="54">
        <f t="shared" si="219"/>
        <v>87</v>
      </c>
      <c r="HE96" s="54">
        <f t="shared" si="220"/>
        <v>-1.5950965428794444</v>
      </c>
      <c r="HF96" s="54" t="e">
        <f t="shared" si="221"/>
        <v>#N/A</v>
      </c>
      <c r="HG96" s="54">
        <f t="shared" si="222"/>
        <v>0.11139377338028286</v>
      </c>
      <c r="HH96" s="54" t="e">
        <f t="shared" si="223"/>
        <v>#N/A</v>
      </c>
      <c r="HI96" s="54" t="e">
        <f t="shared" si="224"/>
        <v>#N/A</v>
      </c>
      <c r="HJ96" s="54" t="b">
        <f t="shared" si="225"/>
        <v>1</v>
      </c>
      <c r="HK96" s="54" t="b">
        <f t="shared" si="226"/>
        <v>0</v>
      </c>
      <c r="HL96" s="54" t="b">
        <f t="shared" si="227"/>
        <v>0</v>
      </c>
      <c r="HM96" s="54" t="b">
        <f t="shared" si="228"/>
        <v>1</v>
      </c>
      <c r="HN96" s="54">
        <f t="shared" si="229"/>
        <v>0.11139377338028286</v>
      </c>
      <c r="HO96" s="54">
        <f t="shared" si="230"/>
        <v>0.11139377338028286</v>
      </c>
      <c r="HP96" s="54" t="e">
        <f t="shared" si="231"/>
        <v>#N/A</v>
      </c>
      <c r="HQ96" s="72" t="str">
        <f t="shared" si="232"/>
        <v/>
      </c>
    </row>
    <row r="97" spans="71:225" x14ac:dyDescent="0.2">
      <c r="BS97" s="54">
        <f t="shared" si="159"/>
        <v>87</v>
      </c>
      <c r="BT97" s="54">
        <f>Eu_tabel_g[[#This Row],[Indeks]]+1</f>
        <v>88</v>
      </c>
      <c r="BU97" s="54">
        <f t="shared" si="160"/>
        <v>-1.0061221461941718</v>
      </c>
      <c r="BV97" s="54">
        <f t="shared" si="161"/>
        <v>0.24048936284820582</v>
      </c>
      <c r="BW97" s="54" t="e">
        <f t="shared" si="162"/>
        <v>#N/A</v>
      </c>
      <c r="BX97" s="54" t="e">
        <f t="shared" si="163"/>
        <v>#N/A</v>
      </c>
      <c r="BY97" s="54" t="e">
        <f t="shared" si="164"/>
        <v>#N/A</v>
      </c>
      <c r="BZ97" s="54" t="b">
        <f t="shared" si="165"/>
        <v>0</v>
      </c>
      <c r="CA97" s="54" t="b">
        <f t="shared" si="166"/>
        <v>1</v>
      </c>
      <c r="CB97" s="54" t="b">
        <f t="shared" si="167"/>
        <v>0</v>
      </c>
      <c r="CC97" s="54" t="b">
        <f t="shared" si="168"/>
        <v>1</v>
      </c>
      <c r="CD97" s="54">
        <f t="shared" si="233"/>
        <v>0.24048936284820582</v>
      </c>
      <c r="CE97" s="54" t="e">
        <f t="shared" si="169"/>
        <v>#N/A</v>
      </c>
      <c r="CF97" s="54">
        <f t="shared" si="170"/>
        <v>0.24048936284820582</v>
      </c>
      <c r="CG97" s="72" t="str">
        <f t="shared" si="171"/>
        <v/>
      </c>
      <c r="CH97" s="54">
        <f>_xlfn.NORM.DIST(_xlfn.NORM.INV(1-Eu_g_konfidensniveau,0,1)-Eu_tabel_g[[#This Row],[x base]],0,1,TRUE)</f>
        <v>0.2614988147473114</v>
      </c>
      <c r="CI97" s="54">
        <f>1-_xlfn.NORM.DIST(_xlfn.NORM.INV(Eu_g_konfidensniveau,0,1)-Eu_tabel_g[[#This Row],[x base]],0,1,TRUE)</f>
        <v>4.0129799124446475E-3</v>
      </c>
      <c r="CJ97" s="54">
        <f>_xlfn.NORM.DIST(_xlfn.NORM.INV((1-Eu_g_konfidensniveau)/2,0,1)-Eu_tabel_g[[#This Row],[x base]],0,1,TRUE)+1-_xlfn.NORM.DIST(_xlfn.NORM.INV(1-(1-Eu_g_konfidensniveau)/2,0,1)-Eu_tabel_g[[#This Row],[x base]],0,1,TRUE)</f>
        <v>0.17158993392443589</v>
      </c>
      <c r="CK97" s="54" t="e" cm="1">
        <f t="array" ref="CK97">IF($CK$3,INDEX(Eu_tabel_g[[#This Row],[Styrke venstre]:[Styrke tosidet]],CK$7),NA())</f>
        <v>#N/A</v>
      </c>
      <c r="CL97" s="99" t="e">
        <f>Eu_tabel_g[[#This Row],[Falsk positiv
Nulhypotese accepteres
Fejltype 1]]</f>
        <v>#N/A</v>
      </c>
      <c r="CM97" s="99" t="e">
        <f>IF(CHOOSE(CK$7,Eu_tabel_g[[#This Row],[x base]]&gt;0,Eu_tabel_g[[#This Row],[x base]]&lt;0,Eu_tabel_g[[#This Row],[x base]]=0),Eu_tabel_g[[#This Row],[Styrke, aktiv]],NA())</f>
        <v>#N/A</v>
      </c>
      <c r="CN97" s="99" t="e">
        <f>IFERROR(IF($CK$3,Eu_tabel_g[[#This Row],[Styrke, aktiv]],NA()),NA())</f>
        <v>#N/A</v>
      </c>
      <c r="CO97" s="99" t="e">
        <f>IF(ISNA(Eu_tabel_g[[#This Row],[Sand negativ
Nulhypotese afvises
Korrekt]]),NA(),IF($CK$3,1,NA()))</f>
        <v>#N/A</v>
      </c>
      <c r="CP97" s="56" t="str" cm="1">
        <f t="array" ref="CP97">_xlfn.SWITCH(BS97,_xlfn.IFNA(CN$2,-99),CN$5,_xlfn.IFNA(CN$3,-99),CN$6,_xlfn.IFNA(CN$4,-99),CN$7,"")</f>
        <v/>
      </c>
      <c r="CT97" s="7">
        <f t="shared" si="172"/>
        <v>0.8</v>
      </c>
      <c r="CU97">
        <f>IF(ROW(Styrkeberegning_G[[#This Row],[X base venstre]])=ROW(Styrkeberegning_G[[#Headers],[X base venstre]])+1,CU$7/(CT$7/$B$67),CU96/(CT96/$B$67))</f>
        <v>-2.8015817870135784</v>
      </c>
      <c r="CV97">
        <f>Styrkeberegning_G[[#This Row],[X base venstre]]*-1</f>
        <v>2.8015817870135784</v>
      </c>
      <c r="DG97" s="54">
        <f t="shared" si="173"/>
        <v>87</v>
      </c>
      <c r="DH97" s="54">
        <f t="shared" si="174"/>
        <v>88</v>
      </c>
      <c r="DI97" s="54">
        <f t="shared" si="175"/>
        <v>11.758017172932778</v>
      </c>
      <c r="DJ97" s="54" t="e">
        <f t="shared" si="176"/>
        <v>#N/A</v>
      </c>
      <c r="DK97" s="54" t="e">
        <f t="shared" si="177"/>
        <v>#N/A</v>
      </c>
      <c r="DL97" s="54">
        <f t="shared" si="178"/>
        <v>7.7403513538207847E-2</v>
      </c>
      <c r="DM97" s="54" t="e">
        <f t="shared" si="179"/>
        <v>#N/A</v>
      </c>
      <c r="DN97" s="54" t="b">
        <f t="shared" si="180"/>
        <v>0</v>
      </c>
      <c r="DO97" s="54" t="b">
        <f t="shared" si="181"/>
        <v>1</v>
      </c>
      <c r="DP97" s="54" t="b">
        <f t="shared" si="182"/>
        <v>0</v>
      </c>
      <c r="DQ97" s="54" t="b">
        <f t="shared" si="183"/>
        <v>1</v>
      </c>
      <c r="DR97" s="54">
        <f t="shared" si="184"/>
        <v>7.7403513538207847E-2</v>
      </c>
      <c r="DS97" s="54" t="e">
        <f t="shared" si="185"/>
        <v>#N/A</v>
      </c>
      <c r="DT97" s="54">
        <f t="shared" si="186"/>
        <v>7.7403513538207847E-2</v>
      </c>
      <c r="DU97" s="72" t="str">
        <f t="shared" si="187"/>
        <v/>
      </c>
      <c r="DZ97" s="54">
        <f t="shared" si="188"/>
        <v>87</v>
      </c>
      <c r="EA97" s="54">
        <f t="shared" si="189"/>
        <v>88</v>
      </c>
      <c r="EB97" s="54">
        <f t="shared" si="190"/>
        <v>-1.0061221461941718</v>
      </c>
      <c r="EC97" s="54">
        <f t="shared" si="191"/>
        <v>0.24048936284820582</v>
      </c>
      <c r="ED97" s="54" t="e">
        <f t="shared" si="192"/>
        <v>#N/A</v>
      </c>
      <c r="EE97" s="54" t="e">
        <f t="shared" si="193"/>
        <v>#N/A</v>
      </c>
      <c r="EF97" s="54" t="e">
        <f t="shared" si="194"/>
        <v>#N/A</v>
      </c>
      <c r="EG97" s="54" t="b">
        <f t="shared" si="195"/>
        <v>0</v>
      </c>
      <c r="EH97" s="54" t="b">
        <f t="shared" si="196"/>
        <v>1</v>
      </c>
      <c r="EI97" s="54" t="b">
        <f t="shared" si="197"/>
        <v>0</v>
      </c>
      <c r="EJ97" s="54" t="b">
        <f t="shared" si="198"/>
        <v>1</v>
      </c>
      <c r="EK97" s="54">
        <f t="shared" si="199"/>
        <v>0.24048936284820582</v>
      </c>
      <c r="EL97" s="54" t="e">
        <f t="shared" si="200"/>
        <v>#N/A</v>
      </c>
      <c r="EM97" s="54">
        <f t="shared" si="201"/>
        <v>0.24048936284820582</v>
      </c>
      <c r="EN97" s="72" t="str">
        <f t="shared" si="202"/>
        <v/>
      </c>
      <c r="EO9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9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9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97" s="54" t="e" cm="1">
        <f t="array" ref="ER97">IF($CK$3,INDEX(Eu_tabel_a[[#This Row],[Styrke venstre]:[Styrke tosidet]],ER$7),NA())</f>
        <v>#N/A</v>
      </c>
      <c r="ES97" s="54" t="e">
        <f>IF(ER$3,IF(CHOOSE(ER$7,Eu_tabel_a[[#This Row],[x base]]&gt;0,Eu_tabel_a[[#This Row],[x base]]&lt;0,Eu_tabel_a[[#This Row],[x base]]=0),1,NA()),NA())</f>
        <v>#N/A</v>
      </c>
      <c r="ET97" s="54" t="e">
        <f>IF(CHOOSE(ER$7,Eu_tabel_a[[#This Row],[x base]]&gt;0,Eu_tabel_a[[#This Row],[x base]]&lt;0,Eu_tabel_a[[#This Row],[x base]]=0),Eu_tabel_a[[#This Row],[Styrke, aktiv]],NA())</f>
        <v>#N/A</v>
      </c>
      <c r="EU97" s="54" t="e">
        <f>IFERROR(IF($ER$3,Eu_tabel_a[[#This Row],[Styrke, aktiv]],NA()),NA())</f>
        <v>#N/A</v>
      </c>
      <c r="EV97" s="54" t="e">
        <f>IF(ISNA(Eu_tabel_a[[#This Row],[Sand negativ
Nulhypotese afvises
Korrekt]]),NA(),IF(ER$3,1,NA()))</f>
        <v>#N/A</v>
      </c>
      <c r="EW97" s="55" t="str" cm="1">
        <f t="array" ref="EW97">IFERROR(_xlfn.SWITCH(Eu_tabel_a[[#This Row],[Indeks]],_xlfn.IFNA(EU$2,-99),EU$5,_xlfn.IFNA(EU$3,-99),EU$6,_xlfn.IFNA(EU$4,-99),EU$7,""),"")</f>
        <v/>
      </c>
      <c r="EX97" s="54">
        <f>Eu_tabel_a[[#This Row],[x base]]*SQRT(Eu_a_h0_x*(1-Eu_a_h0_x)/Eu_a_n_x)+Eu_a_h0_x</f>
        <v>0</v>
      </c>
      <c r="FC97" s="161" t="e">
        <f t="shared" si="146"/>
        <v>#N/A</v>
      </c>
      <c r="FD97" s="169" t="e">
        <f t="shared" si="234"/>
        <v>#DIV/0!</v>
      </c>
      <c r="FE97" s="7" t="e">
        <f t="shared" si="140"/>
        <v>#DIV/0!</v>
      </c>
      <c r="FF97" t="e">
        <f t="shared" si="235"/>
        <v>#DIV/0!</v>
      </c>
      <c r="FG97" s="8" t="e">
        <f t="shared" si="236"/>
        <v>#DIV/0!</v>
      </c>
      <c r="FH97" s="8" t="e">
        <f t="shared" si="237"/>
        <v>#DIV/0!</v>
      </c>
      <c r="FI97" s="168" t="e">
        <f t="shared" si="238"/>
        <v>#DIV/0!</v>
      </c>
      <c r="FJ97" s="161" t="e">
        <f t="shared" ca="1" si="141"/>
        <v>#N/A</v>
      </c>
      <c r="FK97" s="169" t="e" vm="3">
        <f t="shared" ca="1" si="147"/>
        <v>#VALUE!</v>
      </c>
      <c r="FL97" s="7" t="e" vm="3">
        <f t="shared" ca="1" si="142"/>
        <v>#VALUE!</v>
      </c>
      <c r="FM97" t="e" vm="3">
        <f t="shared" ca="1" si="136"/>
        <v>#VALUE!</v>
      </c>
      <c r="FN97" s="8" t="e" vm="3">
        <f t="shared" ca="1" si="137"/>
        <v>#VALUE!</v>
      </c>
      <c r="FO97" s="8" t="e" vm="3">
        <f t="shared" ca="1" si="138"/>
        <v>#VALUE!</v>
      </c>
      <c r="FP97" s="168" t="e" vm="3">
        <f t="shared" ca="1" si="139"/>
        <v>#VALUE!</v>
      </c>
      <c r="FQ97" s="161" t="e">
        <f t="shared" si="143"/>
        <v>#N/A</v>
      </c>
      <c r="FR97" s="169" t="e">
        <f t="shared" si="148"/>
        <v>#N/A</v>
      </c>
      <c r="FS97" s="7" t="e">
        <f t="shared" si="144"/>
        <v>#N/A</v>
      </c>
      <c r="FT97" t="e">
        <f t="shared" si="149"/>
        <v>#N/A</v>
      </c>
      <c r="FU97" s="8" t="e">
        <f t="shared" si="150"/>
        <v>#N/A</v>
      </c>
      <c r="FV97" s="8" t="e">
        <f t="shared" si="151"/>
        <v>#N/A</v>
      </c>
      <c r="FW97" s="168" t="e">
        <f t="shared" si="152"/>
        <v>#N/A</v>
      </c>
      <c r="FX97" s="161" t="e">
        <f t="shared" si="153"/>
        <v>#N/A</v>
      </c>
      <c r="FY97" s="169" t="e">
        <f t="shared" si="154"/>
        <v>#N/A</v>
      </c>
      <c r="FZ97" s="7" t="e">
        <f t="shared" si="145"/>
        <v>#N/A</v>
      </c>
      <c r="GA97" t="e">
        <f t="shared" si="155"/>
        <v>#N/A</v>
      </c>
      <c r="GB97" s="8" t="e">
        <f t="shared" si="156"/>
        <v>#N/A</v>
      </c>
      <c r="GC97" s="8" t="e">
        <f t="shared" si="157"/>
        <v>#N/A</v>
      </c>
      <c r="GD97" s="168" t="e">
        <f t="shared" si="158"/>
        <v>#N/A</v>
      </c>
      <c r="GE97" s="168"/>
      <c r="GF97" s="168"/>
      <c r="GI97" s="54">
        <f t="shared" si="203"/>
        <v>87</v>
      </c>
      <c r="GJ97" s="54">
        <f t="shared" si="204"/>
        <v>88</v>
      </c>
      <c r="GK97" s="54">
        <f t="shared" si="205"/>
        <v>-1.0061221461941718</v>
      </c>
      <c r="GL97" s="54">
        <f t="shared" si="206"/>
        <v>0.24048936284820582</v>
      </c>
      <c r="GM97" s="54" t="e">
        <f t="shared" si="207"/>
        <v>#N/A</v>
      </c>
      <c r="GN97" s="54" t="e">
        <f t="shared" si="208"/>
        <v>#N/A</v>
      </c>
      <c r="GO97" s="54" t="e">
        <f t="shared" si="209"/>
        <v>#N/A</v>
      </c>
      <c r="GP97" s="54" t="b">
        <f t="shared" si="210"/>
        <v>0</v>
      </c>
      <c r="GQ97" s="54" t="b">
        <f t="shared" si="211"/>
        <v>1</v>
      </c>
      <c r="GR97" s="54" t="b">
        <f t="shared" si="212"/>
        <v>0</v>
      </c>
      <c r="GS97" s="54" t="b">
        <f t="shared" si="213"/>
        <v>1</v>
      </c>
      <c r="GT97" s="54">
        <f t="shared" si="214"/>
        <v>0.24048936284820582</v>
      </c>
      <c r="GU97" s="54" t="e">
        <f t="shared" si="215"/>
        <v>#N/A</v>
      </c>
      <c r="GV97" s="54">
        <f t="shared" si="216"/>
        <v>0.24048936284820582</v>
      </c>
      <c r="GW97" s="72" t="str">
        <f t="shared" si="217"/>
        <v/>
      </c>
      <c r="HC97" s="54">
        <f t="shared" si="218"/>
        <v>87</v>
      </c>
      <c r="HD97" s="54">
        <f t="shared" si="219"/>
        <v>88</v>
      </c>
      <c r="HE97" s="54">
        <f t="shared" si="220"/>
        <v>-1.5580012744403873</v>
      </c>
      <c r="HF97" s="54" t="e">
        <f t="shared" si="221"/>
        <v>#N/A</v>
      </c>
      <c r="HG97" s="54">
        <f t="shared" si="222"/>
        <v>0.11702574379435818</v>
      </c>
      <c r="HH97" s="54" t="e">
        <f t="shared" si="223"/>
        <v>#N/A</v>
      </c>
      <c r="HI97" s="54" t="e">
        <f t="shared" si="224"/>
        <v>#N/A</v>
      </c>
      <c r="HJ97" s="54" t="b">
        <f t="shared" si="225"/>
        <v>1</v>
      </c>
      <c r="HK97" s="54" t="b">
        <f t="shared" si="226"/>
        <v>0</v>
      </c>
      <c r="HL97" s="54" t="b">
        <f t="shared" si="227"/>
        <v>0</v>
      </c>
      <c r="HM97" s="54" t="b">
        <f t="shared" si="228"/>
        <v>1</v>
      </c>
      <c r="HN97" s="54">
        <f t="shared" si="229"/>
        <v>0.11702574379435818</v>
      </c>
      <c r="HO97" s="54">
        <f t="shared" si="230"/>
        <v>0.11702574379435818</v>
      </c>
      <c r="HP97" s="54" t="e">
        <f t="shared" si="231"/>
        <v>#N/A</v>
      </c>
      <c r="HQ97" s="72" t="str">
        <f t="shared" si="232"/>
        <v/>
      </c>
    </row>
    <row r="98" spans="71:225" x14ac:dyDescent="0.2">
      <c r="BS98" s="54">
        <f t="shared" si="159"/>
        <v>88</v>
      </c>
      <c r="BT98" s="54">
        <f>Eu_tabel_g[[#This Row],[Indeks]]+1</f>
        <v>89</v>
      </c>
      <c r="BU98" s="54">
        <f t="shared" si="160"/>
        <v>-0.98216685699907247</v>
      </c>
      <c r="BV98" s="54">
        <f t="shared" si="161"/>
        <v>0.24628536360353334</v>
      </c>
      <c r="BW98" s="54" t="e">
        <f t="shared" si="162"/>
        <v>#N/A</v>
      </c>
      <c r="BX98" s="54" t="e">
        <f t="shared" si="163"/>
        <v>#N/A</v>
      </c>
      <c r="BY98" s="54" t="e">
        <f t="shared" si="164"/>
        <v>#N/A</v>
      </c>
      <c r="BZ98" s="54" t="b">
        <f t="shared" si="165"/>
        <v>0</v>
      </c>
      <c r="CA98" s="54" t="b">
        <f t="shared" si="166"/>
        <v>1</v>
      </c>
      <c r="CB98" s="54" t="b">
        <f t="shared" si="167"/>
        <v>0</v>
      </c>
      <c r="CC98" s="54" t="b">
        <f t="shared" si="168"/>
        <v>1</v>
      </c>
      <c r="CD98" s="54">
        <f t="shared" si="233"/>
        <v>0.24628536360353334</v>
      </c>
      <c r="CE98" s="54" t="e">
        <f t="shared" si="169"/>
        <v>#N/A</v>
      </c>
      <c r="CF98" s="54">
        <f t="shared" si="170"/>
        <v>0.24628536360353334</v>
      </c>
      <c r="CG98" s="72" t="str">
        <f t="shared" si="171"/>
        <v/>
      </c>
      <c r="CH98" s="54">
        <f>_xlfn.NORM.DIST(_xlfn.NORM.INV(1-Eu_g_konfidensniveau,0,1)-Eu_tabel_g[[#This Row],[x base]],0,1,TRUE)</f>
        <v>0.25376559238468432</v>
      </c>
      <c r="CI98" s="54">
        <f>1-_xlfn.NORM.DIST(_xlfn.NORM.INV(Eu_g_konfidensniveau,0,1)-Eu_tabel_g[[#This Row],[x base]],0,1,TRUE)</f>
        <v>4.3068074326911843E-3</v>
      </c>
      <c r="CJ98" s="54">
        <f>_xlfn.NORM.DIST(_xlfn.NORM.INV((1-Eu_g_konfidensniveau)/2,0,1)-Eu_tabel_g[[#This Row],[x base]],0,1,TRUE)+1-_xlfn.NORM.DIST(_xlfn.NORM.INV(1-(1-Eu_g_konfidensniveau)/2,0,1)-Eu_tabel_g[[#This Row],[x base]],0,1,TRUE)</f>
        <v>0.16571714685203198</v>
      </c>
      <c r="CK98" s="54" t="e" cm="1">
        <f t="array" ref="CK98">IF($CK$3,INDEX(Eu_tabel_g[[#This Row],[Styrke venstre]:[Styrke tosidet]],CK$7),NA())</f>
        <v>#N/A</v>
      </c>
      <c r="CL98" s="99" t="e">
        <f>Eu_tabel_g[[#This Row],[Falsk positiv
Nulhypotese accepteres
Fejltype 1]]</f>
        <v>#N/A</v>
      </c>
      <c r="CM98" s="99" t="e">
        <f>IF(CHOOSE(CK$7,Eu_tabel_g[[#This Row],[x base]]&gt;0,Eu_tabel_g[[#This Row],[x base]]&lt;0,Eu_tabel_g[[#This Row],[x base]]=0),Eu_tabel_g[[#This Row],[Styrke, aktiv]],NA())</f>
        <v>#N/A</v>
      </c>
      <c r="CN98" s="99" t="e">
        <f>IFERROR(IF($CK$3,Eu_tabel_g[[#This Row],[Styrke, aktiv]],NA()),NA())</f>
        <v>#N/A</v>
      </c>
      <c r="CO98" s="99" t="e">
        <f>IF(ISNA(Eu_tabel_g[[#This Row],[Sand negativ
Nulhypotese afvises
Korrekt]]),NA(),IF($CK$3,1,NA()))</f>
        <v>#N/A</v>
      </c>
      <c r="CP98" s="56" t="str" cm="1">
        <f t="array" ref="CP98">_xlfn.SWITCH(BS98,_xlfn.IFNA(CN$2,-99),CN$5,_xlfn.IFNA(CN$3,-99),CN$6,_xlfn.IFNA(CN$4,-99),CN$7,"")</f>
        <v/>
      </c>
      <c r="CT98" s="7">
        <f t="shared" si="172"/>
        <v>0.8</v>
      </c>
      <c r="CU98">
        <f>IF(ROW(Styrkeberegning_G[[#This Row],[X base venstre]])=ROW(Styrkeberegning_G[[#Headers],[X base venstre]])+1,CU$7/(CT$7/$B$67),CU97/(CT97/$B$67))</f>
        <v>-2.8015817870135784</v>
      </c>
      <c r="CV98">
        <f>Styrkeberegning_G[[#This Row],[X base venstre]]*-1</f>
        <v>2.8015817870135784</v>
      </c>
      <c r="DG98" s="54">
        <f t="shared" si="173"/>
        <v>88</v>
      </c>
      <c r="DH98" s="54">
        <f t="shared" si="174"/>
        <v>89</v>
      </c>
      <c r="DI98" s="54">
        <f t="shared" si="175"/>
        <v>11.872088029349779</v>
      </c>
      <c r="DJ98" s="54" t="e">
        <f t="shared" si="176"/>
        <v>#N/A</v>
      </c>
      <c r="DK98" s="54" t="e">
        <f t="shared" si="177"/>
        <v>#N/A</v>
      </c>
      <c r="DL98" s="54">
        <f t="shared" si="178"/>
        <v>7.635879813819707E-2</v>
      </c>
      <c r="DM98" s="54" t="e">
        <f t="shared" si="179"/>
        <v>#N/A</v>
      </c>
      <c r="DN98" s="54" t="b">
        <f t="shared" si="180"/>
        <v>0</v>
      </c>
      <c r="DO98" s="54" t="b">
        <f t="shared" si="181"/>
        <v>1</v>
      </c>
      <c r="DP98" s="54" t="b">
        <f t="shared" si="182"/>
        <v>0</v>
      </c>
      <c r="DQ98" s="54" t="b">
        <f t="shared" si="183"/>
        <v>1</v>
      </c>
      <c r="DR98" s="54">
        <f t="shared" si="184"/>
        <v>7.635879813819707E-2</v>
      </c>
      <c r="DS98" s="54" t="e">
        <f t="shared" si="185"/>
        <v>#N/A</v>
      </c>
      <c r="DT98" s="54">
        <f t="shared" si="186"/>
        <v>7.635879813819707E-2</v>
      </c>
      <c r="DU98" s="72" t="str">
        <f t="shared" si="187"/>
        <v/>
      </c>
      <c r="DZ98" s="54">
        <f t="shared" si="188"/>
        <v>88</v>
      </c>
      <c r="EA98" s="54">
        <f t="shared" si="189"/>
        <v>89</v>
      </c>
      <c r="EB98" s="54">
        <f t="shared" si="190"/>
        <v>-0.98216685699907247</v>
      </c>
      <c r="EC98" s="54">
        <f t="shared" si="191"/>
        <v>0.24628536360353334</v>
      </c>
      <c r="ED98" s="54" t="e">
        <f t="shared" si="192"/>
        <v>#N/A</v>
      </c>
      <c r="EE98" s="54" t="e">
        <f t="shared" si="193"/>
        <v>#N/A</v>
      </c>
      <c r="EF98" s="54" t="e">
        <f t="shared" si="194"/>
        <v>#N/A</v>
      </c>
      <c r="EG98" s="54" t="b">
        <f t="shared" si="195"/>
        <v>0</v>
      </c>
      <c r="EH98" s="54" t="b">
        <f t="shared" si="196"/>
        <v>1</v>
      </c>
      <c r="EI98" s="54" t="b">
        <f t="shared" si="197"/>
        <v>0</v>
      </c>
      <c r="EJ98" s="54" t="b">
        <f t="shared" si="198"/>
        <v>1</v>
      </c>
      <c r="EK98" s="54">
        <f t="shared" si="199"/>
        <v>0.24628536360353334</v>
      </c>
      <c r="EL98" s="54" t="e">
        <f t="shared" si="200"/>
        <v>#N/A</v>
      </c>
      <c r="EM98" s="54">
        <f t="shared" si="201"/>
        <v>0.24628536360353334</v>
      </c>
      <c r="EN98" s="72" t="str">
        <f t="shared" si="202"/>
        <v/>
      </c>
      <c r="EO9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9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9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98" s="54" t="e" cm="1">
        <f t="array" ref="ER98">IF($CK$3,INDEX(Eu_tabel_a[[#This Row],[Styrke venstre]:[Styrke tosidet]],ER$7),NA())</f>
        <v>#N/A</v>
      </c>
      <c r="ES98" s="54" t="e">
        <f>IF(ER$3,IF(CHOOSE(ER$7,Eu_tabel_a[[#This Row],[x base]]&gt;0,Eu_tabel_a[[#This Row],[x base]]&lt;0,Eu_tabel_a[[#This Row],[x base]]=0),1,NA()),NA())</f>
        <v>#N/A</v>
      </c>
      <c r="ET98" s="54" t="e">
        <f>IF(CHOOSE(ER$7,Eu_tabel_a[[#This Row],[x base]]&gt;0,Eu_tabel_a[[#This Row],[x base]]&lt;0,Eu_tabel_a[[#This Row],[x base]]=0),Eu_tabel_a[[#This Row],[Styrke, aktiv]],NA())</f>
        <v>#N/A</v>
      </c>
      <c r="EU98" s="54" t="e">
        <f>IFERROR(IF($ER$3,Eu_tabel_a[[#This Row],[Styrke, aktiv]],NA()),NA())</f>
        <v>#N/A</v>
      </c>
      <c r="EV98" s="54" t="e">
        <f>IF(ISNA(Eu_tabel_a[[#This Row],[Sand negativ
Nulhypotese afvises
Korrekt]]),NA(),IF(ER$3,1,NA()))</f>
        <v>#N/A</v>
      </c>
      <c r="EW98" s="55" t="str" cm="1">
        <f t="array" ref="EW98">IFERROR(_xlfn.SWITCH(Eu_tabel_a[[#This Row],[Indeks]],_xlfn.IFNA(EU$2,-99),EU$5,_xlfn.IFNA(EU$3,-99),EU$6,_xlfn.IFNA(EU$4,-99),EU$7,""),"")</f>
        <v/>
      </c>
      <c r="EX98" s="54">
        <f>Eu_tabel_a[[#This Row],[x base]]*SQRT(Eu_a_h0_x*(1-Eu_a_h0_x)/Eu_a_n_x)+Eu_a_h0_x</f>
        <v>0</v>
      </c>
      <c r="FC98" s="161" t="e">
        <f t="shared" si="146"/>
        <v>#N/A</v>
      </c>
      <c r="FD98" s="169" t="e">
        <f t="shared" si="234"/>
        <v>#DIV/0!</v>
      </c>
      <c r="FE98" s="7" t="e">
        <f t="shared" si="140"/>
        <v>#DIV/0!</v>
      </c>
      <c r="FF98" t="e">
        <f t="shared" si="235"/>
        <v>#DIV/0!</v>
      </c>
      <c r="FG98" s="8" t="e">
        <f t="shared" si="236"/>
        <v>#DIV/0!</v>
      </c>
      <c r="FH98" s="8" t="e">
        <f t="shared" si="237"/>
        <v>#DIV/0!</v>
      </c>
      <c r="FI98" s="168" t="e">
        <f t="shared" si="238"/>
        <v>#DIV/0!</v>
      </c>
      <c r="FJ98" s="161" t="e">
        <f t="shared" ca="1" si="141"/>
        <v>#N/A</v>
      </c>
      <c r="FK98" s="169" t="e" vm="3">
        <f t="shared" ca="1" si="147"/>
        <v>#VALUE!</v>
      </c>
      <c r="FL98" s="7" t="e" vm="3">
        <f t="shared" ca="1" si="142"/>
        <v>#VALUE!</v>
      </c>
      <c r="FM98" t="e" vm="3">
        <f t="shared" ca="1" si="136"/>
        <v>#VALUE!</v>
      </c>
      <c r="FN98" s="8" t="e" vm="3">
        <f t="shared" ca="1" si="137"/>
        <v>#VALUE!</v>
      </c>
      <c r="FO98" s="8" t="e" vm="3">
        <f t="shared" ca="1" si="138"/>
        <v>#VALUE!</v>
      </c>
      <c r="FP98" s="168" t="e" vm="3">
        <f t="shared" ca="1" si="139"/>
        <v>#VALUE!</v>
      </c>
      <c r="FQ98" s="161" t="e">
        <f t="shared" si="143"/>
        <v>#N/A</v>
      </c>
      <c r="FR98" s="169" t="e">
        <f t="shared" si="148"/>
        <v>#N/A</v>
      </c>
      <c r="FS98" s="7" t="e">
        <f t="shared" si="144"/>
        <v>#N/A</v>
      </c>
      <c r="FT98" t="e">
        <f t="shared" si="149"/>
        <v>#N/A</v>
      </c>
      <c r="FU98" s="8" t="e">
        <f t="shared" si="150"/>
        <v>#N/A</v>
      </c>
      <c r="FV98" s="8" t="e">
        <f t="shared" si="151"/>
        <v>#N/A</v>
      </c>
      <c r="FW98" s="168" t="e">
        <f t="shared" si="152"/>
        <v>#N/A</v>
      </c>
      <c r="FX98" s="161" t="e">
        <f t="shared" si="153"/>
        <v>#N/A</v>
      </c>
      <c r="FY98" s="169" t="e">
        <f t="shared" si="154"/>
        <v>#N/A</v>
      </c>
      <c r="FZ98" s="7" t="e">
        <f t="shared" si="145"/>
        <v>#N/A</v>
      </c>
      <c r="GA98" t="e">
        <f t="shared" si="155"/>
        <v>#N/A</v>
      </c>
      <c r="GB98" s="8" t="e">
        <f t="shared" si="156"/>
        <v>#N/A</v>
      </c>
      <c r="GC98" s="8" t="e">
        <f t="shared" si="157"/>
        <v>#N/A</v>
      </c>
      <c r="GD98" s="168" t="e">
        <f t="shared" si="158"/>
        <v>#N/A</v>
      </c>
      <c r="GE98" s="168"/>
      <c r="GF98" s="168"/>
      <c r="GI98" s="54">
        <f t="shared" si="203"/>
        <v>88</v>
      </c>
      <c r="GJ98" s="54">
        <f t="shared" si="204"/>
        <v>89</v>
      </c>
      <c r="GK98" s="54">
        <f t="shared" si="205"/>
        <v>-0.98216685699907247</v>
      </c>
      <c r="GL98" s="54">
        <f t="shared" si="206"/>
        <v>0.24628536360353334</v>
      </c>
      <c r="GM98" s="54" t="e">
        <f t="shared" si="207"/>
        <v>#N/A</v>
      </c>
      <c r="GN98" s="54" t="e">
        <f t="shared" si="208"/>
        <v>#N/A</v>
      </c>
      <c r="GO98" s="54" t="e">
        <f t="shared" si="209"/>
        <v>#N/A</v>
      </c>
      <c r="GP98" s="54" t="b">
        <f t="shared" si="210"/>
        <v>0</v>
      </c>
      <c r="GQ98" s="54" t="b">
        <f t="shared" si="211"/>
        <v>1</v>
      </c>
      <c r="GR98" s="54" t="b">
        <f t="shared" si="212"/>
        <v>0</v>
      </c>
      <c r="GS98" s="54" t="b">
        <f t="shared" si="213"/>
        <v>1</v>
      </c>
      <c r="GT98" s="54">
        <f t="shared" si="214"/>
        <v>0.24628536360353334</v>
      </c>
      <c r="GU98" s="54" t="e">
        <f t="shared" si="215"/>
        <v>#N/A</v>
      </c>
      <c r="GV98" s="54">
        <f t="shared" si="216"/>
        <v>0.24628536360353334</v>
      </c>
      <c r="GW98" s="72" t="str">
        <f t="shared" si="217"/>
        <v/>
      </c>
      <c r="HC98" s="54">
        <f t="shared" si="218"/>
        <v>88</v>
      </c>
      <c r="HD98" s="54">
        <f t="shared" si="219"/>
        <v>89</v>
      </c>
      <c r="HE98" s="54">
        <f t="shared" si="220"/>
        <v>-1.5209060060013306</v>
      </c>
      <c r="HF98" s="54" t="e">
        <f t="shared" si="221"/>
        <v>#N/A</v>
      </c>
      <c r="HG98" s="54">
        <f t="shared" si="222"/>
        <v>0.12287284294637515</v>
      </c>
      <c r="HH98" s="54" t="e">
        <f t="shared" si="223"/>
        <v>#N/A</v>
      </c>
      <c r="HI98" s="54" t="e">
        <f t="shared" si="224"/>
        <v>#N/A</v>
      </c>
      <c r="HJ98" s="54" t="b">
        <f t="shared" si="225"/>
        <v>1</v>
      </c>
      <c r="HK98" s="54" t="b">
        <f t="shared" si="226"/>
        <v>0</v>
      </c>
      <c r="HL98" s="54" t="b">
        <f t="shared" si="227"/>
        <v>0</v>
      </c>
      <c r="HM98" s="54" t="b">
        <f t="shared" si="228"/>
        <v>1</v>
      </c>
      <c r="HN98" s="54">
        <f t="shared" si="229"/>
        <v>0.12287284294637515</v>
      </c>
      <c r="HO98" s="54">
        <f t="shared" si="230"/>
        <v>0.12287284294637515</v>
      </c>
      <c r="HP98" s="54" t="e">
        <f t="shared" si="231"/>
        <v>#N/A</v>
      </c>
      <c r="HQ98" s="72" t="str">
        <f t="shared" si="232"/>
        <v/>
      </c>
    </row>
    <row r="99" spans="71:225" x14ac:dyDescent="0.2">
      <c r="BS99" s="54">
        <f t="shared" si="159"/>
        <v>89</v>
      </c>
      <c r="BT99" s="54">
        <f>Eu_tabel_g[[#This Row],[Indeks]]+1</f>
        <v>90</v>
      </c>
      <c r="BU99" s="54">
        <f t="shared" si="160"/>
        <v>-0.9582115678039731</v>
      </c>
      <c r="BV99" s="54">
        <f t="shared" si="161"/>
        <v>0.25207635595578487</v>
      </c>
      <c r="BW99" s="54" t="e">
        <f t="shared" si="162"/>
        <v>#N/A</v>
      </c>
      <c r="BX99" s="54" t="e">
        <f t="shared" si="163"/>
        <v>#N/A</v>
      </c>
      <c r="BY99" s="54" t="e">
        <f t="shared" si="164"/>
        <v>#N/A</v>
      </c>
      <c r="BZ99" s="54" t="b">
        <f t="shared" si="165"/>
        <v>0</v>
      </c>
      <c r="CA99" s="54" t="b">
        <f t="shared" si="166"/>
        <v>1</v>
      </c>
      <c r="CB99" s="54" t="b">
        <f t="shared" si="167"/>
        <v>0</v>
      </c>
      <c r="CC99" s="54" t="b">
        <f t="shared" si="168"/>
        <v>1</v>
      </c>
      <c r="CD99" s="54">
        <f t="shared" si="233"/>
        <v>0.25207635595578487</v>
      </c>
      <c r="CE99" s="54" t="e">
        <f t="shared" si="169"/>
        <v>#N/A</v>
      </c>
      <c r="CF99" s="54">
        <f t="shared" si="170"/>
        <v>0.25207635595578487</v>
      </c>
      <c r="CG99" s="72" t="str">
        <f t="shared" si="171"/>
        <v/>
      </c>
      <c r="CH99" s="54">
        <f>_xlfn.NORM.DIST(_xlfn.NORM.INV(1-Eu_g_konfidensniveau,0,1)-Eu_tabel_g[[#This Row],[x base]],0,1,TRUE)</f>
        <v>0.24615415872133867</v>
      </c>
      <c r="CI99" s="54">
        <f>1-_xlfn.NORM.DIST(_xlfn.NORM.INV(Eu_g_konfidensniveau,0,1)-Eu_tabel_g[[#This Row],[x base]],0,1,TRUE)</f>
        <v>4.6197191056137621E-3</v>
      </c>
      <c r="CJ99" s="54">
        <f>_xlfn.NORM.DIST(_xlfn.NORM.INV((1-Eu_g_konfidensniveau)/2,0,1)-Eu_tabel_g[[#This Row],[x base]],0,1,TRUE)+1-_xlfn.NORM.DIST(_xlfn.NORM.INV(1-(1-Eu_g_konfidensniveau)/2,0,1)-Eu_tabel_g[[#This Row],[x base]],0,1,TRUE)</f>
        <v>0.15999202225771347</v>
      </c>
      <c r="CK99" s="54" t="e" cm="1">
        <f t="array" ref="CK99">IF($CK$3,INDEX(Eu_tabel_g[[#This Row],[Styrke venstre]:[Styrke tosidet]],CK$7),NA())</f>
        <v>#N/A</v>
      </c>
      <c r="CL99" s="99" t="e">
        <f>Eu_tabel_g[[#This Row],[Falsk positiv
Nulhypotese accepteres
Fejltype 1]]</f>
        <v>#N/A</v>
      </c>
      <c r="CM99" s="99" t="e">
        <f>IF(CHOOSE(CK$7,Eu_tabel_g[[#This Row],[x base]]&gt;0,Eu_tabel_g[[#This Row],[x base]]&lt;0,Eu_tabel_g[[#This Row],[x base]]=0),Eu_tabel_g[[#This Row],[Styrke, aktiv]],NA())</f>
        <v>#N/A</v>
      </c>
      <c r="CN99" s="99" t="e">
        <f>IFERROR(IF($CK$3,Eu_tabel_g[[#This Row],[Styrke, aktiv]],NA()),NA())</f>
        <v>#N/A</v>
      </c>
      <c r="CO99" s="99" t="e">
        <f>IF(ISNA(Eu_tabel_g[[#This Row],[Sand negativ
Nulhypotese afvises
Korrekt]]),NA(),IF($CK$3,1,NA()))</f>
        <v>#N/A</v>
      </c>
      <c r="CP99" s="56" t="str" cm="1">
        <f t="array" ref="CP99">_xlfn.SWITCH(BS99,_xlfn.IFNA(CN$2,-99),CN$5,_xlfn.IFNA(CN$3,-99),CN$6,_xlfn.IFNA(CN$4,-99),CN$7,"")</f>
        <v/>
      </c>
      <c r="CT99" s="7">
        <f t="shared" si="172"/>
        <v>0.8</v>
      </c>
      <c r="CU99">
        <f>IF(ROW(Styrkeberegning_G[[#This Row],[X base venstre]])=ROW(Styrkeberegning_G[[#Headers],[X base venstre]])+1,CU$7/(CT$7/$B$67),CU98/(CT98/$B$67))</f>
        <v>-2.8015817870135784</v>
      </c>
      <c r="CV99">
        <f>Styrkeberegning_G[[#This Row],[X base venstre]]*-1</f>
        <v>2.8015817870135784</v>
      </c>
      <c r="DG99" s="54">
        <f t="shared" si="173"/>
        <v>89</v>
      </c>
      <c r="DH99" s="54">
        <f t="shared" si="174"/>
        <v>90</v>
      </c>
      <c r="DI99" s="54">
        <f t="shared" si="175"/>
        <v>11.98615888576678</v>
      </c>
      <c r="DJ99" s="54" t="e">
        <f t="shared" si="176"/>
        <v>#N/A</v>
      </c>
      <c r="DK99" s="54" t="e">
        <f t="shared" si="177"/>
        <v>#N/A</v>
      </c>
      <c r="DL99" s="54">
        <f t="shared" si="178"/>
        <v>7.5296894023195615E-2</v>
      </c>
      <c r="DM99" s="54" t="e">
        <f t="shared" si="179"/>
        <v>#N/A</v>
      </c>
      <c r="DN99" s="54" t="b">
        <f t="shared" si="180"/>
        <v>0</v>
      </c>
      <c r="DO99" s="54" t="b">
        <f t="shared" si="181"/>
        <v>1</v>
      </c>
      <c r="DP99" s="54" t="b">
        <f t="shared" si="182"/>
        <v>0</v>
      </c>
      <c r="DQ99" s="54" t="b">
        <f t="shared" si="183"/>
        <v>1</v>
      </c>
      <c r="DR99" s="54">
        <f t="shared" si="184"/>
        <v>7.5296894023195615E-2</v>
      </c>
      <c r="DS99" s="54" t="e">
        <f t="shared" si="185"/>
        <v>#N/A</v>
      </c>
      <c r="DT99" s="54">
        <f t="shared" si="186"/>
        <v>7.5296894023195615E-2</v>
      </c>
      <c r="DU99" s="72" t="str">
        <f t="shared" si="187"/>
        <v/>
      </c>
      <c r="DZ99" s="54">
        <f t="shared" si="188"/>
        <v>89</v>
      </c>
      <c r="EA99" s="54">
        <f t="shared" si="189"/>
        <v>90</v>
      </c>
      <c r="EB99" s="54">
        <f t="shared" si="190"/>
        <v>-0.9582115678039731</v>
      </c>
      <c r="EC99" s="54">
        <f t="shared" si="191"/>
        <v>0.25207635595578487</v>
      </c>
      <c r="ED99" s="54" t="e">
        <f t="shared" si="192"/>
        <v>#N/A</v>
      </c>
      <c r="EE99" s="54" t="e">
        <f t="shared" si="193"/>
        <v>#N/A</v>
      </c>
      <c r="EF99" s="54" t="e">
        <f t="shared" si="194"/>
        <v>#N/A</v>
      </c>
      <c r="EG99" s="54" t="b">
        <f t="shared" si="195"/>
        <v>0</v>
      </c>
      <c r="EH99" s="54" t="b">
        <f t="shared" si="196"/>
        <v>1</v>
      </c>
      <c r="EI99" s="54" t="b">
        <f t="shared" si="197"/>
        <v>0</v>
      </c>
      <c r="EJ99" s="54" t="b">
        <f t="shared" si="198"/>
        <v>1</v>
      </c>
      <c r="EK99" s="54">
        <f t="shared" si="199"/>
        <v>0.25207635595578487</v>
      </c>
      <c r="EL99" s="54" t="e">
        <f t="shared" si="200"/>
        <v>#N/A</v>
      </c>
      <c r="EM99" s="54">
        <f t="shared" si="201"/>
        <v>0.25207635595578487</v>
      </c>
      <c r="EN99" s="72" t="str">
        <f t="shared" si="202"/>
        <v/>
      </c>
      <c r="EO9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9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9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99" s="54" t="e" cm="1">
        <f t="array" ref="ER99">IF($CK$3,INDEX(Eu_tabel_a[[#This Row],[Styrke venstre]:[Styrke tosidet]],ER$7),NA())</f>
        <v>#N/A</v>
      </c>
      <c r="ES99" s="54" t="e">
        <f>IF(ER$3,IF(CHOOSE(ER$7,Eu_tabel_a[[#This Row],[x base]]&gt;0,Eu_tabel_a[[#This Row],[x base]]&lt;0,Eu_tabel_a[[#This Row],[x base]]=0),1,NA()),NA())</f>
        <v>#N/A</v>
      </c>
      <c r="ET99" s="54" t="e">
        <f>IF(CHOOSE(ER$7,Eu_tabel_a[[#This Row],[x base]]&gt;0,Eu_tabel_a[[#This Row],[x base]]&lt;0,Eu_tabel_a[[#This Row],[x base]]=0),Eu_tabel_a[[#This Row],[Styrke, aktiv]],NA())</f>
        <v>#N/A</v>
      </c>
      <c r="EU99" s="54" t="e">
        <f>IFERROR(IF($ER$3,Eu_tabel_a[[#This Row],[Styrke, aktiv]],NA()),NA())</f>
        <v>#N/A</v>
      </c>
      <c r="EV99" s="54" t="e">
        <f>IF(ISNA(Eu_tabel_a[[#This Row],[Sand negativ
Nulhypotese afvises
Korrekt]]),NA(),IF(ER$3,1,NA()))</f>
        <v>#N/A</v>
      </c>
      <c r="EW99" s="55" t="str" cm="1">
        <f t="array" ref="EW99">IFERROR(_xlfn.SWITCH(Eu_tabel_a[[#This Row],[Indeks]],_xlfn.IFNA(EU$2,-99),EU$5,_xlfn.IFNA(EU$3,-99),EU$6,_xlfn.IFNA(EU$4,-99),EU$7,""),"")</f>
        <v/>
      </c>
      <c r="EX99" s="54">
        <f>Eu_tabel_a[[#This Row],[x base]]*SQRT(Eu_a_h0_x*(1-Eu_a_h0_x)/Eu_a_n_x)+Eu_a_h0_x</f>
        <v>0</v>
      </c>
      <c r="FC99" s="161" t="e">
        <f t="shared" si="146"/>
        <v>#N/A</v>
      </c>
      <c r="FD99" s="169" t="e">
        <f t="shared" si="234"/>
        <v>#DIV/0!</v>
      </c>
      <c r="FE99" s="7" t="e">
        <f t="shared" si="140"/>
        <v>#DIV/0!</v>
      </c>
      <c r="FF99" t="e">
        <f t="shared" si="235"/>
        <v>#DIV/0!</v>
      </c>
      <c r="FG99" s="8" t="e">
        <f t="shared" si="236"/>
        <v>#DIV/0!</v>
      </c>
      <c r="FH99" s="8" t="e">
        <f t="shared" si="237"/>
        <v>#DIV/0!</v>
      </c>
      <c r="FI99" s="168" t="e">
        <f t="shared" si="238"/>
        <v>#DIV/0!</v>
      </c>
      <c r="FJ99" s="161" t="e">
        <f t="shared" ca="1" si="141"/>
        <v>#N/A</v>
      </c>
      <c r="FK99" s="169" t="e" vm="3">
        <f t="shared" ca="1" si="147"/>
        <v>#VALUE!</v>
      </c>
      <c r="FL99" s="7" t="e" vm="3">
        <f t="shared" ca="1" si="142"/>
        <v>#VALUE!</v>
      </c>
      <c r="FM99" t="e" vm="3">
        <f t="shared" ca="1" si="136"/>
        <v>#VALUE!</v>
      </c>
      <c r="FN99" s="8" t="e" vm="3">
        <f t="shared" ca="1" si="137"/>
        <v>#VALUE!</v>
      </c>
      <c r="FO99" s="8" t="e" vm="3">
        <f t="shared" ca="1" si="138"/>
        <v>#VALUE!</v>
      </c>
      <c r="FP99" s="168" t="e" vm="3">
        <f t="shared" ca="1" si="139"/>
        <v>#VALUE!</v>
      </c>
      <c r="FQ99" s="161" t="e">
        <f t="shared" si="143"/>
        <v>#N/A</v>
      </c>
      <c r="FR99" s="169" t="e">
        <f t="shared" si="148"/>
        <v>#N/A</v>
      </c>
      <c r="FS99" s="7" t="e">
        <f t="shared" si="144"/>
        <v>#N/A</v>
      </c>
      <c r="FT99" t="e">
        <f t="shared" si="149"/>
        <v>#N/A</v>
      </c>
      <c r="FU99" s="8" t="e">
        <f t="shared" si="150"/>
        <v>#N/A</v>
      </c>
      <c r="FV99" s="8" t="e">
        <f t="shared" si="151"/>
        <v>#N/A</v>
      </c>
      <c r="FW99" s="168" t="e">
        <f t="shared" si="152"/>
        <v>#N/A</v>
      </c>
      <c r="FX99" s="161" t="e">
        <f t="shared" si="153"/>
        <v>#N/A</v>
      </c>
      <c r="FY99" s="169" t="e">
        <f t="shared" si="154"/>
        <v>#N/A</v>
      </c>
      <c r="FZ99" s="7" t="e">
        <f t="shared" si="145"/>
        <v>#N/A</v>
      </c>
      <c r="GA99" t="e">
        <f t="shared" si="155"/>
        <v>#N/A</v>
      </c>
      <c r="GB99" s="8" t="e">
        <f t="shared" si="156"/>
        <v>#N/A</v>
      </c>
      <c r="GC99" s="8" t="e">
        <f t="shared" si="157"/>
        <v>#N/A</v>
      </c>
      <c r="GD99" s="168" t="e">
        <f t="shared" si="158"/>
        <v>#N/A</v>
      </c>
      <c r="GE99" s="168"/>
      <c r="GF99" s="168"/>
      <c r="GI99" s="54">
        <f t="shared" si="203"/>
        <v>89</v>
      </c>
      <c r="GJ99" s="54">
        <f t="shared" si="204"/>
        <v>90</v>
      </c>
      <c r="GK99" s="54">
        <f t="shared" si="205"/>
        <v>-0.9582115678039731</v>
      </c>
      <c r="GL99" s="54">
        <f t="shared" si="206"/>
        <v>0.25207635595578487</v>
      </c>
      <c r="GM99" s="54" t="e">
        <f t="shared" si="207"/>
        <v>#N/A</v>
      </c>
      <c r="GN99" s="54" t="e">
        <f t="shared" si="208"/>
        <v>#N/A</v>
      </c>
      <c r="GO99" s="54" t="e">
        <f t="shared" si="209"/>
        <v>#N/A</v>
      </c>
      <c r="GP99" s="54" t="b">
        <f t="shared" si="210"/>
        <v>0</v>
      </c>
      <c r="GQ99" s="54" t="b">
        <f t="shared" si="211"/>
        <v>1</v>
      </c>
      <c r="GR99" s="54" t="b">
        <f t="shared" si="212"/>
        <v>0</v>
      </c>
      <c r="GS99" s="54" t="b">
        <f t="shared" si="213"/>
        <v>1</v>
      </c>
      <c r="GT99" s="54">
        <f t="shared" si="214"/>
        <v>0.25207635595578487</v>
      </c>
      <c r="GU99" s="54" t="e">
        <f t="shared" si="215"/>
        <v>#N/A</v>
      </c>
      <c r="GV99" s="54">
        <f t="shared" si="216"/>
        <v>0.25207635595578487</v>
      </c>
      <c r="GW99" s="72" t="str">
        <f t="shared" si="217"/>
        <v/>
      </c>
      <c r="HC99" s="54">
        <f t="shared" si="218"/>
        <v>89</v>
      </c>
      <c r="HD99" s="54">
        <f t="shared" si="219"/>
        <v>90</v>
      </c>
      <c r="HE99" s="54">
        <f t="shared" si="220"/>
        <v>-1.4838107375622736</v>
      </c>
      <c r="HF99" s="54" t="e">
        <f t="shared" si="221"/>
        <v>#N/A</v>
      </c>
      <c r="HG99" s="54">
        <f t="shared" si="222"/>
        <v>0.12893536108620499</v>
      </c>
      <c r="HH99" s="54" t="e">
        <f t="shared" si="223"/>
        <v>#N/A</v>
      </c>
      <c r="HI99" s="54" t="e">
        <f t="shared" si="224"/>
        <v>#N/A</v>
      </c>
      <c r="HJ99" s="54" t="b">
        <f t="shared" si="225"/>
        <v>1</v>
      </c>
      <c r="HK99" s="54" t="b">
        <f t="shared" si="226"/>
        <v>0</v>
      </c>
      <c r="HL99" s="54" t="b">
        <f t="shared" si="227"/>
        <v>0</v>
      </c>
      <c r="HM99" s="54" t="b">
        <f t="shared" si="228"/>
        <v>1</v>
      </c>
      <c r="HN99" s="54">
        <f t="shared" si="229"/>
        <v>0.12893536108620499</v>
      </c>
      <c r="HO99" s="54">
        <f t="shared" si="230"/>
        <v>0.12893536108620499</v>
      </c>
      <c r="HP99" s="54" t="e">
        <f t="shared" si="231"/>
        <v>#N/A</v>
      </c>
      <c r="HQ99" s="72" t="str">
        <f t="shared" si="232"/>
        <v/>
      </c>
    </row>
    <row r="100" spans="71:225" x14ac:dyDescent="0.2">
      <c r="BS100" s="54">
        <f t="shared" si="159"/>
        <v>90</v>
      </c>
      <c r="BT100" s="54">
        <f>Eu_tabel_g[[#This Row],[Indeks]]+1</f>
        <v>91</v>
      </c>
      <c r="BU100" s="54">
        <f t="shared" si="160"/>
        <v>-0.93425627860887372</v>
      </c>
      <c r="BV100" s="54">
        <f t="shared" si="161"/>
        <v>0.25785549954028941</v>
      </c>
      <c r="BW100" s="54" t="e">
        <f t="shared" si="162"/>
        <v>#N/A</v>
      </c>
      <c r="BX100" s="54" t="e">
        <f t="shared" si="163"/>
        <v>#N/A</v>
      </c>
      <c r="BY100" s="54" t="e">
        <f t="shared" si="164"/>
        <v>#N/A</v>
      </c>
      <c r="BZ100" s="54" t="b">
        <f t="shared" si="165"/>
        <v>0</v>
      </c>
      <c r="CA100" s="54" t="b">
        <f t="shared" si="166"/>
        <v>1</v>
      </c>
      <c r="CB100" s="54" t="b">
        <f t="shared" si="167"/>
        <v>0</v>
      </c>
      <c r="CC100" s="54" t="b">
        <f t="shared" si="168"/>
        <v>1</v>
      </c>
      <c r="CD100" s="54">
        <f t="shared" si="233"/>
        <v>0.25785549954028941</v>
      </c>
      <c r="CE100" s="54" t="e">
        <f t="shared" si="169"/>
        <v>#N/A</v>
      </c>
      <c r="CF100" s="54">
        <f t="shared" si="170"/>
        <v>0.25785549954028941</v>
      </c>
      <c r="CG100" s="72" t="str">
        <f t="shared" si="171"/>
        <v/>
      </c>
      <c r="CH100" s="54">
        <f>_xlfn.NORM.DIST(_xlfn.NORM.INV(1-Eu_g_konfidensniveau,0,1)-Eu_tabel_g[[#This Row],[x base]],0,1,TRUE)</f>
        <v>0.23866689337442779</v>
      </c>
      <c r="CI100" s="54">
        <f>1-_xlfn.NORM.DIST(_xlfn.NORM.INV(Eu_g_konfidensniveau,0,1)-Eu_tabel_g[[#This Row],[x base]],0,1,TRUE)</f>
        <v>4.9527632854500236E-3</v>
      </c>
      <c r="CJ100" s="54">
        <f>_xlfn.NORM.DIST(_xlfn.NORM.INV((1-Eu_g_konfidensniveau)/2,0,1)-Eu_tabel_g[[#This Row],[x base]],0,1,TRUE)+1-_xlfn.NORM.DIST(_xlfn.NORM.INV(1-(1-Eu_g_konfidensniveau)/2,0,1)-Eu_tabel_g[[#This Row],[x base]],0,1,TRUE)</f>
        <v>0.15441519761232758</v>
      </c>
      <c r="CK100" s="54" t="e" cm="1">
        <f t="array" ref="CK100">IF($CK$3,INDEX(Eu_tabel_g[[#This Row],[Styrke venstre]:[Styrke tosidet]],CK$7),NA())</f>
        <v>#N/A</v>
      </c>
      <c r="CL100" s="99" t="e">
        <f>Eu_tabel_g[[#This Row],[Falsk positiv
Nulhypotese accepteres
Fejltype 1]]</f>
        <v>#N/A</v>
      </c>
      <c r="CM100" s="99" t="e">
        <f>IF(CHOOSE(CK$7,Eu_tabel_g[[#This Row],[x base]]&gt;0,Eu_tabel_g[[#This Row],[x base]]&lt;0,Eu_tabel_g[[#This Row],[x base]]=0),Eu_tabel_g[[#This Row],[Styrke, aktiv]],NA())</f>
        <v>#N/A</v>
      </c>
      <c r="CN100" s="99" t="e">
        <f>IFERROR(IF($CK$3,Eu_tabel_g[[#This Row],[Styrke, aktiv]],NA()),NA())</f>
        <v>#N/A</v>
      </c>
      <c r="CO100" s="99" t="e">
        <f>IF(ISNA(Eu_tabel_g[[#This Row],[Sand negativ
Nulhypotese afvises
Korrekt]]),NA(),IF($CK$3,1,NA()))</f>
        <v>#N/A</v>
      </c>
      <c r="CP100" s="56" t="str" cm="1">
        <f t="array" ref="CP100">_xlfn.SWITCH(BS100,_xlfn.IFNA(CN$2,-99),CN$5,_xlfn.IFNA(CN$3,-99),CN$6,_xlfn.IFNA(CN$4,-99),CN$7,"")</f>
        <v/>
      </c>
      <c r="CT100" s="7">
        <f t="shared" si="172"/>
        <v>0.8</v>
      </c>
      <c r="CU100">
        <f>IF(ROW(Styrkeberegning_G[[#This Row],[X base venstre]])=ROW(Styrkeberegning_G[[#Headers],[X base venstre]])+1,CU$7/(CT$7/$B$67),CU99/(CT99/$B$67))</f>
        <v>-2.8015817870135784</v>
      </c>
      <c r="CV100">
        <f>Styrkeberegning_G[[#This Row],[X base venstre]]*-1</f>
        <v>2.8015817870135784</v>
      </c>
      <c r="DG100" s="54">
        <f t="shared" si="173"/>
        <v>90</v>
      </c>
      <c r="DH100" s="54">
        <f t="shared" si="174"/>
        <v>91</v>
      </c>
      <c r="DI100" s="54">
        <f t="shared" si="175"/>
        <v>12.10022974218378</v>
      </c>
      <c r="DJ100" s="54" t="e">
        <f t="shared" si="176"/>
        <v>#N/A</v>
      </c>
      <c r="DK100" s="54" t="e">
        <f t="shared" si="177"/>
        <v>#N/A</v>
      </c>
      <c r="DL100" s="54">
        <f t="shared" si="178"/>
        <v>7.4219500409672207E-2</v>
      </c>
      <c r="DM100" s="54" t="e">
        <f t="shared" si="179"/>
        <v>#N/A</v>
      </c>
      <c r="DN100" s="54" t="b">
        <f t="shared" si="180"/>
        <v>0</v>
      </c>
      <c r="DO100" s="54" t="b">
        <f t="shared" si="181"/>
        <v>1</v>
      </c>
      <c r="DP100" s="54" t="b">
        <f t="shared" si="182"/>
        <v>0</v>
      </c>
      <c r="DQ100" s="54" t="b">
        <f t="shared" si="183"/>
        <v>1</v>
      </c>
      <c r="DR100" s="54">
        <f t="shared" si="184"/>
        <v>7.4219500409672207E-2</v>
      </c>
      <c r="DS100" s="54" t="e">
        <f t="shared" si="185"/>
        <v>#N/A</v>
      </c>
      <c r="DT100" s="54">
        <f t="shared" si="186"/>
        <v>7.4219500409672207E-2</v>
      </c>
      <c r="DU100" s="72" t="str">
        <f t="shared" si="187"/>
        <v/>
      </c>
      <c r="DZ100" s="54">
        <f t="shared" si="188"/>
        <v>90</v>
      </c>
      <c r="EA100" s="54">
        <f t="shared" si="189"/>
        <v>91</v>
      </c>
      <c r="EB100" s="54">
        <f t="shared" si="190"/>
        <v>-0.93425627860887372</v>
      </c>
      <c r="EC100" s="54">
        <f t="shared" si="191"/>
        <v>0.25785549954028941</v>
      </c>
      <c r="ED100" s="54" t="e">
        <f t="shared" si="192"/>
        <v>#N/A</v>
      </c>
      <c r="EE100" s="54" t="e">
        <f t="shared" si="193"/>
        <v>#N/A</v>
      </c>
      <c r="EF100" s="54" t="e">
        <f t="shared" si="194"/>
        <v>#N/A</v>
      </c>
      <c r="EG100" s="54" t="b">
        <f t="shared" si="195"/>
        <v>0</v>
      </c>
      <c r="EH100" s="54" t="b">
        <f t="shared" si="196"/>
        <v>1</v>
      </c>
      <c r="EI100" s="54" t="b">
        <f t="shared" si="197"/>
        <v>0</v>
      </c>
      <c r="EJ100" s="54" t="b">
        <f t="shared" si="198"/>
        <v>1</v>
      </c>
      <c r="EK100" s="54">
        <f t="shared" si="199"/>
        <v>0.25785549954028941</v>
      </c>
      <c r="EL100" s="54" t="e">
        <f t="shared" si="200"/>
        <v>#N/A</v>
      </c>
      <c r="EM100" s="54">
        <f t="shared" si="201"/>
        <v>0.25785549954028941</v>
      </c>
      <c r="EN100" s="72" t="str">
        <f t="shared" si="202"/>
        <v/>
      </c>
      <c r="EO10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0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0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00" s="54" t="e" cm="1">
        <f t="array" ref="ER100">IF($CK$3,INDEX(Eu_tabel_a[[#This Row],[Styrke venstre]:[Styrke tosidet]],ER$7),NA())</f>
        <v>#N/A</v>
      </c>
      <c r="ES100" s="54" t="e">
        <f>IF(ER$3,IF(CHOOSE(ER$7,Eu_tabel_a[[#This Row],[x base]]&gt;0,Eu_tabel_a[[#This Row],[x base]]&lt;0,Eu_tabel_a[[#This Row],[x base]]=0),1,NA()),NA())</f>
        <v>#N/A</v>
      </c>
      <c r="ET100" s="54" t="e">
        <f>IF(CHOOSE(ER$7,Eu_tabel_a[[#This Row],[x base]]&gt;0,Eu_tabel_a[[#This Row],[x base]]&lt;0,Eu_tabel_a[[#This Row],[x base]]=0),Eu_tabel_a[[#This Row],[Styrke, aktiv]],NA())</f>
        <v>#N/A</v>
      </c>
      <c r="EU100" s="54" t="e">
        <f>IFERROR(IF($ER$3,Eu_tabel_a[[#This Row],[Styrke, aktiv]],NA()),NA())</f>
        <v>#N/A</v>
      </c>
      <c r="EV100" s="54" t="e">
        <f>IF(ISNA(Eu_tabel_a[[#This Row],[Sand negativ
Nulhypotese afvises
Korrekt]]),NA(),IF(ER$3,1,NA()))</f>
        <v>#N/A</v>
      </c>
      <c r="EW100" s="55" t="str" cm="1">
        <f t="array" ref="EW100">IFERROR(_xlfn.SWITCH(Eu_tabel_a[[#This Row],[Indeks]],_xlfn.IFNA(EU$2,-99),EU$5,_xlfn.IFNA(EU$3,-99),EU$6,_xlfn.IFNA(EU$4,-99),EU$7,""),"")</f>
        <v/>
      </c>
      <c r="EX100" s="54">
        <f>Eu_tabel_a[[#This Row],[x base]]*SQRT(Eu_a_h0_x*(1-Eu_a_h0_x)/Eu_a_n_x)+Eu_a_h0_x</f>
        <v>0</v>
      </c>
      <c r="FC100" s="161" t="e">
        <f t="shared" si="146"/>
        <v>#N/A</v>
      </c>
      <c r="FD100" s="169" t="e">
        <f t="shared" si="234"/>
        <v>#DIV/0!</v>
      </c>
      <c r="FE100" s="7" t="e">
        <f t="shared" si="140"/>
        <v>#DIV/0!</v>
      </c>
      <c r="FF100" t="e">
        <f t="shared" si="235"/>
        <v>#DIV/0!</v>
      </c>
      <c r="FG100" s="8" t="e">
        <f t="shared" si="236"/>
        <v>#DIV/0!</v>
      </c>
      <c r="FH100" s="8" t="e">
        <f t="shared" si="237"/>
        <v>#DIV/0!</v>
      </c>
      <c r="FI100" s="168" t="e">
        <f t="shared" si="238"/>
        <v>#DIV/0!</v>
      </c>
      <c r="FJ100" s="161" t="e">
        <f t="shared" ca="1" si="141"/>
        <v>#N/A</v>
      </c>
      <c r="FK100" s="169" t="e" vm="3">
        <f t="shared" ca="1" si="147"/>
        <v>#VALUE!</v>
      </c>
      <c r="FL100" s="7" t="e" vm="3">
        <f t="shared" ca="1" si="142"/>
        <v>#VALUE!</v>
      </c>
      <c r="FM100" t="e" vm="3">
        <f t="shared" ca="1" si="136"/>
        <v>#VALUE!</v>
      </c>
      <c r="FN100" s="8" t="e" vm="3">
        <f t="shared" ca="1" si="137"/>
        <v>#VALUE!</v>
      </c>
      <c r="FO100" s="8" t="e" vm="3">
        <f t="shared" ca="1" si="138"/>
        <v>#VALUE!</v>
      </c>
      <c r="FP100" s="168" t="e" vm="3">
        <f t="shared" ca="1" si="139"/>
        <v>#VALUE!</v>
      </c>
      <c r="FQ100" s="161" t="e">
        <f t="shared" si="143"/>
        <v>#N/A</v>
      </c>
      <c r="FR100" s="169" t="e">
        <f t="shared" si="148"/>
        <v>#N/A</v>
      </c>
      <c r="FS100" s="7" t="e">
        <f t="shared" si="144"/>
        <v>#N/A</v>
      </c>
      <c r="FT100" t="e">
        <f t="shared" si="149"/>
        <v>#N/A</v>
      </c>
      <c r="FU100" s="8" t="e">
        <f t="shared" si="150"/>
        <v>#N/A</v>
      </c>
      <c r="FV100" s="8" t="e">
        <f t="shared" si="151"/>
        <v>#N/A</v>
      </c>
      <c r="FW100" s="168" t="e">
        <f t="shared" si="152"/>
        <v>#N/A</v>
      </c>
      <c r="FX100" s="161" t="e">
        <f t="shared" si="153"/>
        <v>#N/A</v>
      </c>
      <c r="FY100" s="169" t="e">
        <f t="shared" si="154"/>
        <v>#N/A</v>
      </c>
      <c r="FZ100" s="7" t="e">
        <f t="shared" si="145"/>
        <v>#N/A</v>
      </c>
      <c r="GA100" t="e">
        <f t="shared" si="155"/>
        <v>#N/A</v>
      </c>
      <c r="GB100" s="8" t="e">
        <f t="shared" si="156"/>
        <v>#N/A</v>
      </c>
      <c r="GC100" s="8" t="e">
        <f t="shared" si="157"/>
        <v>#N/A</v>
      </c>
      <c r="GD100" s="168" t="e">
        <f t="shared" si="158"/>
        <v>#N/A</v>
      </c>
      <c r="GE100" s="168"/>
      <c r="GF100" s="168"/>
      <c r="GI100" s="54">
        <f t="shared" si="203"/>
        <v>90</v>
      </c>
      <c r="GJ100" s="54">
        <f t="shared" si="204"/>
        <v>91</v>
      </c>
      <c r="GK100" s="54">
        <f t="shared" si="205"/>
        <v>-0.93425627860887372</v>
      </c>
      <c r="GL100" s="54">
        <f t="shared" si="206"/>
        <v>0.25785549954028941</v>
      </c>
      <c r="GM100" s="54" t="e">
        <f t="shared" si="207"/>
        <v>#N/A</v>
      </c>
      <c r="GN100" s="54" t="e">
        <f t="shared" si="208"/>
        <v>#N/A</v>
      </c>
      <c r="GO100" s="54" t="e">
        <f t="shared" si="209"/>
        <v>#N/A</v>
      </c>
      <c r="GP100" s="54" t="b">
        <f t="shared" si="210"/>
        <v>0</v>
      </c>
      <c r="GQ100" s="54" t="b">
        <f t="shared" si="211"/>
        <v>1</v>
      </c>
      <c r="GR100" s="54" t="b">
        <f t="shared" si="212"/>
        <v>0</v>
      </c>
      <c r="GS100" s="54" t="b">
        <f t="shared" si="213"/>
        <v>1</v>
      </c>
      <c r="GT100" s="54">
        <f t="shared" si="214"/>
        <v>0.25785549954028941</v>
      </c>
      <c r="GU100" s="54" t="e">
        <f t="shared" si="215"/>
        <v>#N/A</v>
      </c>
      <c r="GV100" s="54">
        <f t="shared" si="216"/>
        <v>0.25785549954028941</v>
      </c>
      <c r="GW100" s="72" t="str">
        <f t="shared" si="217"/>
        <v/>
      </c>
      <c r="HC100" s="54">
        <f t="shared" si="218"/>
        <v>90</v>
      </c>
      <c r="HD100" s="54">
        <f t="shared" si="219"/>
        <v>91</v>
      </c>
      <c r="HE100" s="54">
        <f t="shared" si="220"/>
        <v>-1.4467154691232169</v>
      </c>
      <c r="HF100" s="54" t="e">
        <f t="shared" si="221"/>
        <v>#N/A</v>
      </c>
      <c r="HG100" s="54">
        <f t="shared" si="222"/>
        <v>0.13521261842852653</v>
      </c>
      <c r="HH100" s="54" t="e">
        <f t="shared" si="223"/>
        <v>#N/A</v>
      </c>
      <c r="HI100" s="54" t="e">
        <f t="shared" si="224"/>
        <v>#N/A</v>
      </c>
      <c r="HJ100" s="54" t="b">
        <f t="shared" si="225"/>
        <v>1</v>
      </c>
      <c r="HK100" s="54" t="b">
        <f t="shared" si="226"/>
        <v>0</v>
      </c>
      <c r="HL100" s="54" t="b">
        <f t="shared" si="227"/>
        <v>0</v>
      </c>
      <c r="HM100" s="54" t="b">
        <f t="shared" si="228"/>
        <v>1</v>
      </c>
      <c r="HN100" s="54">
        <f t="shared" si="229"/>
        <v>0.13521261842852653</v>
      </c>
      <c r="HO100" s="54">
        <f t="shared" si="230"/>
        <v>0.13521261842852653</v>
      </c>
      <c r="HP100" s="54" t="e">
        <f t="shared" si="231"/>
        <v>#N/A</v>
      </c>
      <c r="HQ100" s="72" t="str">
        <f t="shared" si="232"/>
        <v/>
      </c>
    </row>
    <row r="101" spans="71:225" x14ac:dyDescent="0.2">
      <c r="BS101" s="54">
        <f t="shared" si="159"/>
        <v>91</v>
      </c>
      <c r="BT101" s="54">
        <f>Eu_tabel_g[[#This Row],[Indeks]]+1</f>
        <v>92</v>
      </c>
      <c r="BU101" s="54">
        <f t="shared" si="160"/>
        <v>-0.91030098941377435</v>
      </c>
      <c r="BV101" s="54">
        <f t="shared" si="161"/>
        <v>0.26361581581156529</v>
      </c>
      <c r="BW101" s="54" t="e">
        <f t="shared" si="162"/>
        <v>#N/A</v>
      </c>
      <c r="BX101" s="54" t="e">
        <f t="shared" si="163"/>
        <v>#N/A</v>
      </c>
      <c r="BY101" s="54" t="e">
        <f t="shared" si="164"/>
        <v>#N/A</v>
      </c>
      <c r="BZ101" s="54" t="b">
        <f t="shared" si="165"/>
        <v>0</v>
      </c>
      <c r="CA101" s="54" t="b">
        <f t="shared" si="166"/>
        <v>1</v>
      </c>
      <c r="CB101" s="54" t="b">
        <f t="shared" si="167"/>
        <v>0</v>
      </c>
      <c r="CC101" s="54" t="b">
        <f t="shared" si="168"/>
        <v>1</v>
      </c>
      <c r="CD101" s="54">
        <f t="shared" si="233"/>
        <v>0.26361581581156529</v>
      </c>
      <c r="CE101" s="54" t="e">
        <f t="shared" si="169"/>
        <v>#N/A</v>
      </c>
      <c r="CF101" s="54">
        <f t="shared" si="170"/>
        <v>0.26361581581156529</v>
      </c>
      <c r="CG101" s="72" t="str">
        <f t="shared" si="171"/>
        <v/>
      </c>
      <c r="CH101" s="54">
        <f>_xlfn.NORM.DIST(_xlfn.NORM.INV(1-Eu_g_konfidensniveau,0,1)-Eu_tabel_g[[#This Row],[x base]],0,1,TRUE)</f>
        <v>0.23130599584174627</v>
      </c>
      <c r="CI101" s="54">
        <f>1-_xlfn.NORM.DIST(_xlfn.NORM.INV(Eu_g_konfidensniveau,0,1)-Eu_tabel_g[[#This Row],[x base]],0,1,TRUE)</f>
        <v>5.3070319351234962E-3</v>
      </c>
      <c r="CJ101" s="54">
        <f>_xlfn.NORM.DIST(_xlfn.NORM.INV((1-Eu_g_konfidensniveau)/2,0,1)-Eu_tabel_g[[#This Row],[x base]],0,1,TRUE)+1-_xlfn.NORM.DIST(_xlfn.NORM.INV(1-(1-Eu_g_konfidensniveau)/2,0,1)-Eu_tabel_g[[#This Row],[x base]],0,1,TRUE)</f>
        <v>0.1489871812732273</v>
      </c>
      <c r="CK101" s="54" t="e" cm="1">
        <f t="array" ref="CK101">IF($CK$3,INDEX(Eu_tabel_g[[#This Row],[Styrke venstre]:[Styrke tosidet]],CK$7),NA())</f>
        <v>#N/A</v>
      </c>
      <c r="CL101" s="99" t="e">
        <f>Eu_tabel_g[[#This Row],[Falsk positiv
Nulhypotese accepteres
Fejltype 1]]</f>
        <v>#N/A</v>
      </c>
      <c r="CM101" s="99" t="e">
        <f>IF(CHOOSE(CK$7,Eu_tabel_g[[#This Row],[x base]]&gt;0,Eu_tabel_g[[#This Row],[x base]]&lt;0,Eu_tabel_g[[#This Row],[x base]]=0),Eu_tabel_g[[#This Row],[Styrke, aktiv]],NA())</f>
        <v>#N/A</v>
      </c>
      <c r="CN101" s="99" t="e">
        <f>IFERROR(IF($CK$3,Eu_tabel_g[[#This Row],[Styrke, aktiv]],NA()),NA())</f>
        <v>#N/A</v>
      </c>
      <c r="CO101" s="99" t="e">
        <f>IF(ISNA(Eu_tabel_g[[#This Row],[Sand negativ
Nulhypotese afvises
Korrekt]]),NA(),IF($CK$3,1,NA()))</f>
        <v>#N/A</v>
      </c>
      <c r="CP101" s="56" t="str" cm="1">
        <f t="array" ref="CP101">_xlfn.SWITCH(BS101,_xlfn.IFNA(CN$2,-99),CN$5,_xlfn.IFNA(CN$3,-99),CN$6,_xlfn.IFNA(CN$4,-99),CN$7,"")</f>
        <v/>
      </c>
      <c r="CT101" s="7">
        <f t="shared" si="172"/>
        <v>0.8</v>
      </c>
      <c r="CU101">
        <f>IF(ROW(Styrkeberegning_G[[#This Row],[X base venstre]])=ROW(Styrkeberegning_G[[#Headers],[X base venstre]])+1,CU$7/(CT$7/$B$67),CU100/(CT100/$B$67))</f>
        <v>-2.8015817870135784</v>
      </c>
      <c r="CV101">
        <f>Styrkeberegning_G[[#This Row],[X base venstre]]*-1</f>
        <v>2.8015817870135784</v>
      </c>
      <c r="DG101" s="54">
        <f t="shared" si="173"/>
        <v>91</v>
      </c>
      <c r="DH101" s="54">
        <f t="shared" si="174"/>
        <v>92</v>
      </c>
      <c r="DI101" s="54">
        <f t="shared" si="175"/>
        <v>12.214300598600781</v>
      </c>
      <c r="DJ101" s="54" t="e">
        <f t="shared" si="176"/>
        <v>#N/A</v>
      </c>
      <c r="DK101" s="54" t="e">
        <f t="shared" si="177"/>
        <v>#N/A</v>
      </c>
      <c r="DL101" s="54">
        <f t="shared" si="178"/>
        <v>7.3128270085369887E-2</v>
      </c>
      <c r="DM101" s="54" t="e">
        <f t="shared" si="179"/>
        <v>#N/A</v>
      </c>
      <c r="DN101" s="54" t="b">
        <f t="shared" si="180"/>
        <v>0</v>
      </c>
      <c r="DO101" s="54" t="b">
        <f t="shared" si="181"/>
        <v>1</v>
      </c>
      <c r="DP101" s="54" t="b">
        <f t="shared" si="182"/>
        <v>0</v>
      </c>
      <c r="DQ101" s="54" t="b">
        <f t="shared" si="183"/>
        <v>1</v>
      </c>
      <c r="DR101" s="54">
        <f t="shared" si="184"/>
        <v>7.3128270085369887E-2</v>
      </c>
      <c r="DS101" s="54" t="e">
        <f t="shared" si="185"/>
        <v>#N/A</v>
      </c>
      <c r="DT101" s="54">
        <f t="shared" si="186"/>
        <v>7.3128270085369887E-2</v>
      </c>
      <c r="DU101" s="72" t="str">
        <f t="shared" si="187"/>
        <v/>
      </c>
      <c r="DZ101" s="54">
        <f t="shared" si="188"/>
        <v>91</v>
      </c>
      <c r="EA101" s="54">
        <f t="shared" si="189"/>
        <v>92</v>
      </c>
      <c r="EB101" s="54">
        <f t="shared" si="190"/>
        <v>-0.91030098941377435</v>
      </c>
      <c r="EC101" s="54">
        <f t="shared" si="191"/>
        <v>0.26361581581156529</v>
      </c>
      <c r="ED101" s="54" t="e">
        <f t="shared" si="192"/>
        <v>#N/A</v>
      </c>
      <c r="EE101" s="54" t="e">
        <f t="shared" si="193"/>
        <v>#N/A</v>
      </c>
      <c r="EF101" s="54" t="e">
        <f t="shared" si="194"/>
        <v>#N/A</v>
      </c>
      <c r="EG101" s="54" t="b">
        <f t="shared" si="195"/>
        <v>0</v>
      </c>
      <c r="EH101" s="54" t="b">
        <f t="shared" si="196"/>
        <v>1</v>
      </c>
      <c r="EI101" s="54" t="b">
        <f t="shared" si="197"/>
        <v>0</v>
      </c>
      <c r="EJ101" s="54" t="b">
        <f t="shared" si="198"/>
        <v>1</v>
      </c>
      <c r="EK101" s="54">
        <f t="shared" si="199"/>
        <v>0.26361581581156529</v>
      </c>
      <c r="EL101" s="54" t="e">
        <f t="shared" si="200"/>
        <v>#N/A</v>
      </c>
      <c r="EM101" s="54">
        <f t="shared" si="201"/>
        <v>0.26361581581156529</v>
      </c>
      <c r="EN101" s="72" t="str">
        <f t="shared" si="202"/>
        <v/>
      </c>
      <c r="EO10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0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0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01" s="54" t="e" cm="1">
        <f t="array" ref="ER101">IF($CK$3,INDEX(Eu_tabel_a[[#This Row],[Styrke venstre]:[Styrke tosidet]],ER$7),NA())</f>
        <v>#N/A</v>
      </c>
      <c r="ES101" s="54" t="e">
        <f>IF(ER$3,IF(CHOOSE(ER$7,Eu_tabel_a[[#This Row],[x base]]&gt;0,Eu_tabel_a[[#This Row],[x base]]&lt;0,Eu_tabel_a[[#This Row],[x base]]=0),1,NA()),NA())</f>
        <v>#N/A</v>
      </c>
      <c r="ET101" s="54" t="e">
        <f>IF(CHOOSE(ER$7,Eu_tabel_a[[#This Row],[x base]]&gt;0,Eu_tabel_a[[#This Row],[x base]]&lt;0,Eu_tabel_a[[#This Row],[x base]]=0),Eu_tabel_a[[#This Row],[Styrke, aktiv]],NA())</f>
        <v>#N/A</v>
      </c>
      <c r="EU101" s="54" t="e">
        <f>IFERROR(IF($ER$3,Eu_tabel_a[[#This Row],[Styrke, aktiv]],NA()),NA())</f>
        <v>#N/A</v>
      </c>
      <c r="EV101" s="54" t="e">
        <f>IF(ISNA(Eu_tabel_a[[#This Row],[Sand negativ
Nulhypotese afvises
Korrekt]]),NA(),IF(ER$3,1,NA()))</f>
        <v>#N/A</v>
      </c>
      <c r="EW101" s="55" t="str" cm="1">
        <f t="array" ref="EW101">IFERROR(_xlfn.SWITCH(Eu_tabel_a[[#This Row],[Indeks]],_xlfn.IFNA(EU$2,-99),EU$5,_xlfn.IFNA(EU$3,-99),EU$6,_xlfn.IFNA(EU$4,-99),EU$7,""),"")</f>
        <v/>
      </c>
      <c r="EX101" s="54">
        <f>Eu_tabel_a[[#This Row],[x base]]*SQRT(Eu_a_h0_x*(1-Eu_a_h0_x)/Eu_a_n_x)+Eu_a_h0_x</f>
        <v>0</v>
      </c>
      <c r="FC101" s="161" t="e">
        <f t="shared" si="146"/>
        <v>#N/A</v>
      </c>
      <c r="FD101" s="169" t="e">
        <f t="shared" si="234"/>
        <v>#DIV/0!</v>
      </c>
      <c r="FE101" s="7" t="e">
        <f t="shared" si="140"/>
        <v>#DIV/0!</v>
      </c>
      <c r="FF101" t="e">
        <f t="shared" si="235"/>
        <v>#DIV/0!</v>
      </c>
      <c r="FG101" s="8" t="e">
        <f t="shared" si="236"/>
        <v>#DIV/0!</v>
      </c>
      <c r="FH101" s="8" t="e">
        <f t="shared" si="237"/>
        <v>#DIV/0!</v>
      </c>
      <c r="FI101" s="168" t="e">
        <f t="shared" si="238"/>
        <v>#DIV/0!</v>
      </c>
      <c r="FJ101" s="161" t="e">
        <f t="shared" ca="1" si="141"/>
        <v>#N/A</v>
      </c>
      <c r="FK101" s="169" t="e" vm="3">
        <f t="shared" ca="1" si="147"/>
        <v>#VALUE!</v>
      </c>
      <c r="FL101" s="7" t="e" vm="3">
        <f t="shared" ca="1" si="142"/>
        <v>#VALUE!</v>
      </c>
      <c r="FM101" t="e" vm="3">
        <f t="shared" ca="1" si="136"/>
        <v>#VALUE!</v>
      </c>
      <c r="FN101" s="8" t="e" vm="3">
        <f t="shared" ca="1" si="137"/>
        <v>#VALUE!</v>
      </c>
      <c r="FO101" s="8" t="e" vm="3">
        <f t="shared" ca="1" si="138"/>
        <v>#VALUE!</v>
      </c>
      <c r="FP101" s="168" t="e" vm="3">
        <f t="shared" ca="1" si="139"/>
        <v>#VALUE!</v>
      </c>
      <c r="FQ101" s="161" t="e">
        <f t="shared" si="143"/>
        <v>#N/A</v>
      </c>
      <c r="FR101" s="169" t="e">
        <f t="shared" si="148"/>
        <v>#N/A</v>
      </c>
      <c r="FS101" s="7" t="e">
        <f t="shared" si="144"/>
        <v>#N/A</v>
      </c>
      <c r="FT101" t="e">
        <f t="shared" si="149"/>
        <v>#N/A</v>
      </c>
      <c r="FU101" s="8" t="e">
        <f t="shared" si="150"/>
        <v>#N/A</v>
      </c>
      <c r="FV101" s="8" t="e">
        <f t="shared" si="151"/>
        <v>#N/A</v>
      </c>
      <c r="FW101" s="168" t="e">
        <f t="shared" si="152"/>
        <v>#N/A</v>
      </c>
      <c r="FX101" s="161" t="e">
        <f t="shared" si="153"/>
        <v>#N/A</v>
      </c>
      <c r="FY101" s="169" t="e">
        <f t="shared" si="154"/>
        <v>#N/A</v>
      </c>
      <c r="FZ101" s="7" t="e">
        <f t="shared" si="145"/>
        <v>#N/A</v>
      </c>
      <c r="GA101" t="e">
        <f t="shared" si="155"/>
        <v>#N/A</v>
      </c>
      <c r="GB101" s="8" t="e">
        <f t="shared" si="156"/>
        <v>#N/A</v>
      </c>
      <c r="GC101" s="8" t="e">
        <f t="shared" si="157"/>
        <v>#N/A</v>
      </c>
      <c r="GD101" s="168" t="e">
        <f t="shared" si="158"/>
        <v>#N/A</v>
      </c>
      <c r="GE101" s="168"/>
      <c r="GF101" s="168"/>
      <c r="GI101" s="54">
        <f t="shared" si="203"/>
        <v>91</v>
      </c>
      <c r="GJ101" s="54">
        <f t="shared" si="204"/>
        <v>92</v>
      </c>
      <c r="GK101" s="54">
        <f t="shared" si="205"/>
        <v>-0.91030098941377435</v>
      </c>
      <c r="GL101" s="54">
        <f t="shared" si="206"/>
        <v>0.26361581581156529</v>
      </c>
      <c r="GM101" s="54" t="e">
        <f t="shared" si="207"/>
        <v>#N/A</v>
      </c>
      <c r="GN101" s="54" t="e">
        <f t="shared" si="208"/>
        <v>#N/A</v>
      </c>
      <c r="GO101" s="54" t="e">
        <f t="shared" si="209"/>
        <v>#N/A</v>
      </c>
      <c r="GP101" s="54" t="b">
        <f t="shared" si="210"/>
        <v>0</v>
      </c>
      <c r="GQ101" s="54" t="b">
        <f t="shared" si="211"/>
        <v>1</v>
      </c>
      <c r="GR101" s="54" t="b">
        <f t="shared" si="212"/>
        <v>0</v>
      </c>
      <c r="GS101" s="54" t="b">
        <f t="shared" si="213"/>
        <v>1</v>
      </c>
      <c r="GT101" s="54">
        <f t="shared" si="214"/>
        <v>0.26361581581156529</v>
      </c>
      <c r="GU101" s="54" t="e">
        <f t="shared" si="215"/>
        <v>#N/A</v>
      </c>
      <c r="GV101" s="54">
        <f t="shared" si="216"/>
        <v>0.26361581581156529</v>
      </c>
      <c r="GW101" s="72" t="str">
        <f t="shared" si="217"/>
        <v/>
      </c>
      <c r="HC101" s="54">
        <f t="shared" si="218"/>
        <v>91</v>
      </c>
      <c r="HD101" s="54">
        <f t="shared" si="219"/>
        <v>92</v>
      </c>
      <c r="HE101" s="54">
        <f t="shared" si="220"/>
        <v>-1.4096202006841598</v>
      </c>
      <c r="HF101" s="54" t="e">
        <f t="shared" si="221"/>
        <v>#N/A</v>
      </c>
      <c r="HG101" s="54">
        <f t="shared" si="222"/>
        <v>0.14170287181765592</v>
      </c>
      <c r="HH101" s="54" t="e">
        <f t="shared" si="223"/>
        <v>#N/A</v>
      </c>
      <c r="HI101" s="54" t="e">
        <f t="shared" si="224"/>
        <v>#N/A</v>
      </c>
      <c r="HJ101" s="54" t="b">
        <f t="shared" si="225"/>
        <v>1</v>
      </c>
      <c r="HK101" s="54" t="b">
        <f t="shared" si="226"/>
        <v>0</v>
      </c>
      <c r="HL101" s="54" t="b">
        <f t="shared" si="227"/>
        <v>0</v>
      </c>
      <c r="HM101" s="54" t="b">
        <f t="shared" si="228"/>
        <v>1</v>
      </c>
      <c r="HN101" s="54">
        <f t="shared" si="229"/>
        <v>0.14170287181765592</v>
      </c>
      <c r="HO101" s="54">
        <f t="shared" si="230"/>
        <v>0.14170287181765592</v>
      </c>
      <c r="HP101" s="54" t="e">
        <f t="shared" si="231"/>
        <v>#N/A</v>
      </c>
      <c r="HQ101" s="72" t="str">
        <f t="shared" si="232"/>
        <v/>
      </c>
    </row>
    <row r="102" spans="71:225" x14ac:dyDescent="0.2">
      <c r="BS102" s="54">
        <f t="shared" si="159"/>
        <v>92</v>
      </c>
      <c r="BT102" s="54">
        <f>Eu_tabel_g[[#This Row],[Indeks]]+1</f>
        <v>93</v>
      </c>
      <c r="BU102" s="54">
        <f t="shared" si="160"/>
        <v>-0.88634570021867498</v>
      </c>
      <c r="BV102" s="54">
        <f t="shared" si="161"/>
        <v>0.26935020107061902</v>
      </c>
      <c r="BW102" s="54" t="e">
        <f t="shared" si="162"/>
        <v>#N/A</v>
      </c>
      <c r="BX102" s="54" t="e">
        <f t="shared" si="163"/>
        <v>#N/A</v>
      </c>
      <c r="BY102" s="54" t="e">
        <f t="shared" si="164"/>
        <v>#N/A</v>
      </c>
      <c r="BZ102" s="54" t="b">
        <f t="shared" si="165"/>
        <v>0</v>
      </c>
      <c r="CA102" s="54" t="b">
        <f t="shared" si="166"/>
        <v>1</v>
      </c>
      <c r="CB102" s="54" t="b">
        <f t="shared" si="167"/>
        <v>0</v>
      </c>
      <c r="CC102" s="54" t="b">
        <f t="shared" si="168"/>
        <v>1</v>
      </c>
      <c r="CD102" s="54">
        <f t="shared" si="233"/>
        <v>0.26935020107061902</v>
      </c>
      <c r="CE102" s="54" t="e">
        <f t="shared" si="169"/>
        <v>#N/A</v>
      </c>
      <c r="CF102" s="54">
        <f t="shared" si="170"/>
        <v>0.26935020107061902</v>
      </c>
      <c r="CG102" s="72" t="str">
        <f t="shared" si="171"/>
        <v/>
      </c>
      <c r="CH102" s="54">
        <f>_xlfn.NORM.DIST(_xlfn.NORM.INV(1-Eu_g_konfidensniveau,0,1)-Eu_tabel_g[[#This Row],[x base]],0,1,TRUE)</f>
        <v>0.22407348473684655</v>
      </c>
      <c r="CI102" s="54">
        <f>1-_xlfn.NORM.DIST(_xlfn.NORM.INV(Eu_g_konfidensniveau,0,1)-Eu_tabel_g[[#This Row],[x base]],0,1,TRUE)</f>
        <v>5.6836614795620077E-3</v>
      </c>
      <c r="CJ102" s="54">
        <f>_xlfn.NORM.DIST(_xlfn.NORM.INV((1-Eu_g_konfidensniveau)/2,0,1)-Eu_tabel_g[[#This Row],[x base]],0,1,TRUE)+1-_xlfn.NORM.DIST(_xlfn.NORM.INV(1-(1-Eu_g_konfidensniveau)/2,0,1)-Eu_tabel_g[[#This Row],[x base]],0,1,TRUE)</f>
        <v>0.14370835754319311</v>
      </c>
      <c r="CK102" s="54" t="e" cm="1">
        <f t="array" ref="CK102">IF($CK$3,INDEX(Eu_tabel_g[[#This Row],[Styrke venstre]:[Styrke tosidet]],CK$7),NA())</f>
        <v>#N/A</v>
      </c>
      <c r="CL102" s="99" t="e">
        <f>Eu_tabel_g[[#This Row],[Falsk positiv
Nulhypotese accepteres
Fejltype 1]]</f>
        <v>#N/A</v>
      </c>
      <c r="CM102" s="99" t="e">
        <f>IF(CHOOSE(CK$7,Eu_tabel_g[[#This Row],[x base]]&gt;0,Eu_tabel_g[[#This Row],[x base]]&lt;0,Eu_tabel_g[[#This Row],[x base]]=0),Eu_tabel_g[[#This Row],[Styrke, aktiv]],NA())</f>
        <v>#N/A</v>
      </c>
      <c r="CN102" s="99" t="e">
        <f>IFERROR(IF($CK$3,Eu_tabel_g[[#This Row],[Styrke, aktiv]],NA()),NA())</f>
        <v>#N/A</v>
      </c>
      <c r="CO102" s="99" t="e">
        <f>IF(ISNA(Eu_tabel_g[[#This Row],[Sand negativ
Nulhypotese afvises
Korrekt]]),NA(),IF($CK$3,1,NA()))</f>
        <v>#N/A</v>
      </c>
      <c r="CP102" s="56" t="str" cm="1">
        <f t="array" ref="CP102">_xlfn.SWITCH(BS102,_xlfn.IFNA(CN$2,-99),CN$5,_xlfn.IFNA(CN$3,-99),CN$6,_xlfn.IFNA(CN$4,-99),CN$7,"")</f>
        <v/>
      </c>
      <c r="CT102" s="7">
        <f t="shared" si="172"/>
        <v>0.8</v>
      </c>
      <c r="CU102">
        <f>IF(ROW(Styrkeberegning_G[[#This Row],[X base venstre]])=ROW(Styrkeberegning_G[[#Headers],[X base venstre]])+1,CU$7/(CT$7/$B$67),CU101/(CT101/$B$67))</f>
        <v>-2.8015817870135784</v>
      </c>
      <c r="CV102">
        <f>Styrkeberegning_G[[#This Row],[X base venstre]]*-1</f>
        <v>2.8015817870135784</v>
      </c>
      <c r="DG102" s="54">
        <f t="shared" si="173"/>
        <v>92</v>
      </c>
      <c r="DH102" s="54">
        <f t="shared" si="174"/>
        <v>93</v>
      </c>
      <c r="DI102" s="54">
        <f t="shared" si="175"/>
        <v>12.328371455017782</v>
      </c>
      <c r="DJ102" s="54" t="e">
        <f t="shared" si="176"/>
        <v>#N/A</v>
      </c>
      <c r="DK102" s="54" t="e">
        <f t="shared" si="177"/>
        <v>#N/A</v>
      </c>
      <c r="DL102" s="54">
        <f t="shared" si="178"/>
        <v>7.2024808295626394E-2</v>
      </c>
      <c r="DM102" s="54" t="e">
        <f t="shared" si="179"/>
        <v>#N/A</v>
      </c>
      <c r="DN102" s="54" t="b">
        <f t="shared" si="180"/>
        <v>0</v>
      </c>
      <c r="DO102" s="54" t="b">
        <f t="shared" si="181"/>
        <v>1</v>
      </c>
      <c r="DP102" s="54" t="b">
        <f t="shared" si="182"/>
        <v>0</v>
      </c>
      <c r="DQ102" s="54" t="b">
        <f t="shared" si="183"/>
        <v>1</v>
      </c>
      <c r="DR102" s="54">
        <f t="shared" si="184"/>
        <v>7.2024808295626394E-2</v>
      </c>
      <c r="DS102" s="54" t="e">
        <f t="shared" si="185"/>
        <v>#N/A</v>
      </c>
      <c r="DT102" s="54">
        <f t="shared" si="186"/>
        <v>7.2024808295626394E-2</v>
      </c>
      <c r="DU102" s="72" t="str">
        <f t="shared" si="187"/>
        <v/>
      </c>
      <c r="DZ102" s="54">
        <f t="shared" si="188"/>
        <v>92</v>
      </c>
      <c r="EA102" s="54">
        <f t="shared" si="189"/>
        <v>93</v>
      </c>
      <c r="EB102" s="54">
        <f t="shared" si="190"/>
        <v>-0.88634570021867498</v>
      </c>
      <c r="EC102" s="54">
        <f t="shared" si="191"/>
        <v>0.26935020107061902</v>
      </c>
      <c r="ED102" s="54" t="e">
        <f t="shared" si="192"/>
        <v>#N/A</v>
      </c>
      <c r="EE102" s="54" t="e">
        <f t="shared" si="193"/>
        <v>#N/A</v>
      </c>
      <c r="EF102" s="54" t="e">
        <f t="shared" si="194"/>
        <v>#N/A</v>
      </c>
      <c r="EG102" s="54" t="b">
        <f t="shared" si="195"/>
        <v>0</v>
      </c>
      <c r="EH102" s="54" t="b">
        <f t="shared" si="196"/>
        <v>1</v>
      </c>
      <c r="EI102" s="54" t="b">
        <f t="shared" si="197"/>
        <v>0</v>
      </c>
      <c r="EJ102" s="54" t="b">
        <f t="shared" si="198"/>
        <v>1</v>
      </c>
      <c r="EK102" s="54">
        <f t="shared" si="199"/>
        <v>0.26935020107061902</v>
      </c>
      <c r="EL102" s="54" t="e">
        <f t="shared" si="200"/>
        <v>#N/A</v>
      </c>
      <c r="EM102" s="54">
        <f t="shared" si="201"/>
        <v>0.26935020107061902</v>
      </c>
      <c r="EN102" s="72" t="str">
        <f t="shared" si="202"/>
        <v/>
      </c>
      <c r="EO10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0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0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02" s="54" t="e" cm="1">
        <f t="array" ref="ER102">IF($CK$3,INDEX(Eu_tabel_a[[#This Row],[Styrke venstre]:[Styrke tosidet]],ER$7),NA())</f>
        <v>#N/A</v>
      </c>
      <c r="ES102" s="54" t="e">
        <f>IF(ER$3,IF(CHOOSE(ER$7,Eu_tabel_a[[#This Row],[x base]]&gt;0,Eu_tabel_a[[#This Row],[x base]]&lt;0,Eu_tabel_a[[#This Row],[x base]]=0),1,NA()),NA())</f>
        <v>#N/A</v>
      </c>
      <c r="ET102" s="54" t="e">
        <f>IF(CHOOSE(ER$7,Eu_tabel_a[[#This Row],[x base]]&gt;0,Eu_tabel_a[[#This Row],[x base]]&lt;0,Eu_tabel_a[[#This Row],[x base]]=0),Eu_tabel_a[[#This Row],[Styrke, aktiv]],NA())</f>
        <v>#N/A</v>
      </c>
      <c r="EU102" s="54" t="e">
        <f>IFERROR(IF($ER$3,Eu_tabel_a[[#This Row],[Styrke, aktiv]],NA()),NA())</f>
        <v>#N/A</v>
      </c>
      <c r="EV102" s="54" t="e">
        <f>IF(ISNA(Eu_tabel_a[[#This Row],[Sand negativ
Nulhypotese afvises
Korrekt]]),NA(),IF(ER$3,1,NA()))</f>
        <v>#N/A</v>
      </c>
      <c r="EW102" s="55" t="str" cm="1">
        <f t="array" ref="EW102">IFERROR(_xlfn.SWITCH(Eu_tabel_a[[#This Row],[Indeks]],_xlfn.IFNA(EU$2,-99),EU$5,_xlfn.IFNA(EU$3,-99),EU$6,_xlfn.IFNA(EU$4,-99),EU$7,""),"")</f>
        <v/>
      </c>
      <c r="EX102" s="54">
        <f>Eu_tabel_a[[#This Row],[x base]]*SQRT(Eu_a_h0_x*(1-Eu_a_h0_x)/Eu_a_n_x)+Eu_a_h0_x</f>
        <v>0</v>
      </c>
      <c r="FC102" s="161" t="e">
        <f t="shared" si="146"/>
        <v>#N/A</v>
      </c>
      <c r="FD102" s="169" t="e">
        <f t="shared" si="234"/>
        <v>#DIV/0!</v>
      </c>
      <c r="FE102" s="7" t="e">
        <f t="shared" si="140"/>
        <v>#DIV/0!</v>
      </c>
      <c r="FF102" t="e">
        <f t="shared" si="235"/>
        <v>#DIV/0!</v>
      </c>
      <c r="FG102" s="8" t="e">
        <f t="shared" si="236"/>
        <v>#DIV/0!</v>
      </c>
      <c r="FH102" s="8" t="e">
        <f t="shared" si="237"/>
        <v>#DIV/0!</v>
      </c>
      <c r="FI102" s="168" t="e">
        <f t="shared" si="238"/>
        <v>#DIV/0!</v>
      </c>
      <c r="FJ102" s="161" t="e">
        <f t="shared" ca="1" si="141"/>
        <v>#N/A</v>
      </c>
      <c r="FK102" s="169" t="e" vm="3">
        <f t="shared" ca="1" si="147"/>
        <v>#VALUE!</v>
      </c>
      <c r="FL102" s="7" t="e" vm="3">
        <f t="shared" ca="1" si="142"/>
        <v>#VALUE!</v>
      </c>
      <c r="FM102" t="e" vm="3">
        <f t="shared" ca="1" si="136"/>
        <v>#VALUE!</v>
      </c>
      <c r="FN102" s="8" t="e" vm="3">
        <f t="shared" ca="1" si="137"/>
        <v>#VALUE!</v>
      </c>
      <c r="FO102" s="8" t="e" vm="3">
        <f t="shared" ca="1" si="138"/>
        <v>#VALUE!</v>
      </c>
      <c r="FP102" s="168" t="e" vm="3">
        <f t="shared" ca="1" si="139"/>
        <v>#VALUE!</v>
      </c>
      <c r="FQ102" s="161" t="e">
        <f t="shared" si="143"/>
        <v>#N/A</v>
      </c>
      <c r="FR102" s="169" t="e">
        <f t="shared" si="148"/>
        <v>#N/A</v>
      </c>
      <c r="FS102" s="7" t="e">
        <f t="shared" si="144"/>
        <v>#N/A</v>
      </c>
      <c r="FT102" t="e">
        <f t="shared" si="149"/>
        <v>#N/A</v>
      </c>
      <c r="FU102" s="8" t="e">
        <f t="shared" si="150"/>
        <v>#N/A</v>
      </c>
      <c r="FV102" s="8" t="e">
        <f t="shared" si="151"/>
        <v>#N/A</v>
      </c>
      <c r="FW102" s="168" t="e">
        <f t="shared" si="152"/>
        <v>#N/A</v>
      </c>
      <c r="FX102" s="161" t="e">
        <f t="shared" si="153"/>
        <v>#N/A</v>
      </c>
      <c r="FY102" s="169" t="e">
        <f t="shared" si="154"/>
        <v>#N/A</v>
      </c>
      <c r="FZ102" s="7" t="e">
        <f t="shared" si="145"/>
        <v>#N/A</v>
      </c>
      <c r="GA102" t="e">
        <f t="shared" si="155"/>
        <v>#N/A</v>
      </c>
      <c r="GB102" s="8" t="e">
        <f t="shared" si="156"/>
        <v>#N/A</v>
      </c>
      <c r="GC102" s="8" t="e">
        <f t="shared" si="157"/>
        <v>#N/A</v>
      </c>
      <c r="GD102" s="168" t="e">
        <f t="shared" si="158"/>
        <v>#N/A</v>
      </c>
      <c r="GE102" s="168"/>
      <c r="GF102" s="168"/>
      <c r="GI102" s="54">
        <f t="shared" si="203"/>
        <v>92</v>
      </c>
      <c r="GJ102" s="54">
        <f t="shared" si="204"/>
        <v>93</v>
      </c>
      <c r="GK102" s="54">
        <f t="shared" si="205"/>
        <v>-0.88634570021867498</v>
      </c>
      <c r="GL102" s="54">
        <f t="shared" si="206"/>
        <v>0.26935020107061902</v>
      </c>
      <c r="GM102" s="54" t="e">
        <f t="shared" si="207"/>
        <v>#N/A</v>
      </c>
      <c r="GN102" s="54" t="e">
        <f t="shared" si="208"/>
        <v>#N/A</v>
      </c>
      <c r="GO102" s="54" t="e">
        <f t="shared" si="209"/>
        <v>#N/A</v>
      </c>
      <c r="GP102" s="54" t="b">
        <f t="shared" si="210"/>
        <v>0</v>
      </c>
      <c r="GQ102" s="54" t="b">
        <f t="shared" si="211"/>
        <v>1</v>
      </c>
      <c r="GR102" s="54" t="b">
        <f t="shared" si="212"/>
        <v>0</v>
      </c>
      <c r="GS102" s="54" t="b">
        <f t="shared" si="213"/>
        <v>1</v>
      </c>
      <c r="GT102" s="54">
        <f t="shared" si="214"/>
        <v>0.26935020107061902</v>
      </c>
      <c r="GU102" s="54" t="e">
        <f t="shared" si="215"/>
        <v>#N/A</v>
      </c>
      <c r="GV102" s="54">
        <f t="shared" si="216"/>
        <v>0.26935020107061902</v>
      </c>
      <c r="GW102" s="72" t="str">
        <f t="shared" si="217"/>
        <v/>
      </c>
      <c r="HC102" s="54">
        <f t="shared" si="218"/>
        <v>92</v>
      </c>
      <c r="HD102" s="54">
        <f t="shared" si="219"/>
        <v>93</v>
      </c>
      <c r="HE102" s="54">
        <f t="shared" si="220"/>
        <v>-1.3725249322451032</v>
      </c>
      <c r="HF102" s="54" t="e">
        <f t="shared" si="221"/>
        <v>#N/A</v>
      </c>
      <c r="HG102" s="54">
        <f t="shared" si="222"/>
        <v>0.1484032208531284</v>
      </c>
      <c r="HH102" s="54" t="e">
        <f t="shared" si="223"/>
        <v>#N/A</v>
      </c>
      <c r="HI102" s="54" t="e">
        <f t="shared" si="224"/>
        <v>#N/A</v>
      </c>
      <c r="HJ102" s="54" t="b">
        <f t="shared" si="225"/>
        <v>1</v>
      </c>
      <c r="HK102" s="54" t="b">
        <f t="shared" si="226"/>
        <v>0</v>
      </c>
      <c r="HL102" s="54" t="b">
        <f t="shared" si="227"/>
        <v>0</v>
      </c>
      <c r="HM102" s="54" t="b">
        <f t="shared" si="228"/>
        <v>1</v>
      </c>
      <c r="HN102" s="54">
        <f t="shared" si="229"/>
        <v>0.1484032208531284</v>
      </c>
      <c r="HO102" s="54">
        <f t="shared" si="230"/>
        <v>0.1484032208531284</v>
      </c>
      <c r="HP102" s="54" t="e">
        <f t="shared" si="231"/>
        <v>#N/A</v>
      </c>
      <c r="HQ102" s="72" t="str">
        <f t="shared" si="232"/>
        <v/>
      </c>
    </row>
    <row r="103" spans="71:225" x14ac:dyDescent="0.2">
      <c r="BS103" s="54">
        <f t="shared" si="159"/>
        <v>93</v>
      </c>
      <c r="BT103" s="54">
        <f>Eu_tabel_g[[#This Row],[Indeks]]+1</f>
        <v>94</v>
      </c>
      <c r="BU103" s="54">
        <f t="shared" si="160"/>
        <v>-0.86239041102357561</v>
      </c>
      <c r="BV103" s="54">
        <f t="shared" si="161"/>
        <v>0.27505144014997257</v>
      </c>
      <c r="BW103" s="54" t="e">
        <f t="shared" si="162"/>
        <v>#N/A</v>
      </c>
      <c r="BX103" s="54" t="e">
        <f t="shared" si="163"/>
        <v>#N/A</v>
      </c>
      <c r="BY103" s="54" t="e">
        <f t="shared" si="164"/>
        <v>#N/A</v>
      </c>
      <c r="BZ103" s="54" t="b">
        <f t="shared" si="165"/>
        <v>0</v>
      </c>
      <c r="CA103" s="54" t="b">
        <f t="shared" si="166"/>
        <v>1</v>
      </c>
      <c r="CB103" s="54" t="b">
        <f t="shared" si="167"/>
        <v>0</v>
      </c>
      <c r="CC103" s="54" t="b">
        <f t="shared" si="168"/>
        <v>1</v>
      </c>
      <c r="CD103" s="54">
        <f t="shared" si="233"/>
        <v>0.27505144014997257</v>
      </c>
      <c r="CE103" s="54" t="e">
        <f t="shared" si="169"/>
        <v>#N/A</v>
      </c>
      <c r="CF103" s="54">
        <f t="shared" si="170"/>
        <v>0.27505144014997257</v>
      </c>
      <c r="CG103" s="72" t="str">
        <f t="shared" si="171"/>
        <v/>
      </c>
      <c r="CH103" s="54">
        <f>_xlfn.NORM.DIST(_xlfn.NORM.INV(1-Eu_g_konfidensniveau,0,1)-Eu_tabel_g[[#This Row],[x base]],0,1,TRUE)</f>
        <v>0.2169711974485582</v>
      </c>
      <c r="CI103" s="54">
        <f>1-_xlfn.NORM.DIST(_xlfn.NORM.INV(Eu_g_konfidensniveau,0,1)-Eu_tabel_g[[#This Row],[x base]],0,1,TRUE)</f>
        <v>6.0838336081612265E-3</v>
      </c>
      <c r="CJ103" s="54">
        <f>_xlfn.NORM.DIST(_xlfn.NORM.INV((1-Eu_g_konfidensniveau)/2,0,1)-Eu_tabel_g[[#This Row],[x base]],0,1,TRUE)+1-_xlfn.NORM.DIST(_xlfn.NORM.INV(1-(1-Eu_g_konfidensniveau)/2,0,1)-Eu_tabel_g[[#This Row],[x base]],0,1,TRUE)</f>
        <v>0.13857899198909518</v>
      </c>
      <c r="CK103" s="54" t="e" cm="1">
        <f t="array" ref="CK103">IF($CK$3,INDEX(Eu_tabel_g[[#This Row],[Styrke venstre]:[Styrke tosidet]],CK$7),NA())</f>
        <v>#N/A</v>
      </c>
      <c r="CL103" s="99" t="e">
        <f>Eu_tabel_g[[#This Row],[Falsk positiv
Nulhypotese accepteres
Fejltype 1]]</f>
        <v>#N/A</v>
      </c>
      <c r="CM103" s="99" t="e">
        <f>IF(CHOOSE(CK$7,Eu_tabel_g[[#This Row],[x base]]&gt;0,Eu_tabel_g[[#This Row],[x base]]&lt;0,Eu_tabel_g[[#This Row],[x base]]=0),Eu_tabel_g[[#This Row],[Styrke, aktiv]],NA())</f>
        <v>#N/A</v>
      </c>
      <c r="CN103" s="99" t="e">
        <f>IFERROR(IF($CK$3,Eu_tabel_g[[#This Row],[Styrke, aktiv]],NA()),NA())</f>
        <v>#N/A</v>
      </c>
      <c r="CO103" s="99" t="e">
        <f>IF(ISNA(Eu_tabel_g[[#This Row],[Sand negativ
Nulhypotese afvises
Korrekt]]),NA(),IF($CK$3,1,NA()))</f>
        <v>#N/A</v>
      </c>
      <c r="CP103" s="56" t="str" cm="1">
        <f t="array" ref="CP103">_xlfn.SWITCH(BS103,_xlfn.IFNA(CN$2,-99),CN$5,_xlfn.IFNA(CN$3,-99),CN$6,_xlfn.IFNA(CN$4,-99),CN$7,"")</f>
        <v/>
      </c>
      <c r="CT103" s="7">
        <f t="shared" si="172"/>
        <v>0.8</v>
      </c>
      <c r="CU103">
        <f>IF(ROW(Styrkeberegning_G[[#This Row],[X base venstre]])=ROW(Styrkeberegning_G[[#Headers],[X base venstre]])+1,CU$7/(CT$7/$B$67),CU102/(CT102/$B$67))</f>
        <v>-2.8015817870135784</v>
      </c>
      <c r="CV103">
        <f>Styrkeberegning_G[[#This Row],[X base venstre]]*-1</f>
        <v>2.8015817870135784</v>
      </c>
      <c r="DG103" s="54">
        <f t="shared" si="173"/>
        <v>93</v>
      </c>
      <c r="DH103" s="54">
        <f t="shared" si="174"/>
        <v>94</v>
      </c>
      <c r="DI103" s="54">
        <f t="shared" si="175"/>
        <v>12.442442311434784</v>
      </c>
      <c r="DJ103" s="54" t="e">
        <f t="shared" si="176"/>
        <v>#N/A</v>
      </c>
      <c r="DK103" s="54" t="e">
        <f t="shared" si="177"/>
        <v>#N/A</v>
      </c>
      <c r="DL103" s="54">
        <f t="shared" si="178"/>
        <v>7.0910671820293661E-2</v>
      </c>
      <c r="DM103" s="54" t="e">
        <f t="shared" si="179"/>
        <v>#N/A</v>
      </c>
      <c r="DN103" s="54" t="b">
        <f t="shared" si="180"/>
        <v>0</v>
      </c>
      <c r="DO103" s="54" t="b">
        <f t="shared" si="181"/>
        <v>1</v>
      </c>
      <c r="DP103" s="54" t="b">
        <f t="shared" si="182"/>
        <v>0</v>
      </c>
      <c r="DQ103" s="54" t="b">
        <f t="shared" si="183"/>
        <v>1</v>
      </c>
      <c r="DR103" s="54">
        <f t="shared" si="184"/>
        <v>7.0910671820293661E-2</v>
      </c>
      <c r="DS103" s="54" t="e">
        <f t="shared" si="185"/>
        <v>#N/A</v>
      </c>
      <c r="DT103" s="54">
        <f t="shared" si="186"/>
        <v>7.0910671820293661E-2</v>
      </c>
      <c r="DU103" s="72" t="str">
        <f t="shared" si="187"/>
        <v/>
      </c>
      <c r="DZ103" s="54">
        <f t="shared" si="188"/>
        <v>93</v>
      </c>
      <c r="EA103" s="54">
        <f t="shared" si="189"/>
        <v>94</v>
      </c>
      <c r="EB103" s="54">
        <f t="shared" si="190"/>
        <v>-0.86239041102357561</v>
      </c>
      <c r="EC103" s="54">
        <f t="shared" si="191"/>
        <v>0.27505144014997257</v>
      </c>
      <c r="ED103" s="54" t="e">
        <f t="shared" si="192"/>
        <v>#N/A</v>
      </c>
      <c r="EE103" s="54" t="e">
        <f t="shared" si="193"/>
        <v>#N/A</v>
      </c>
      <c r="EF103" s="54" t="e">
        <f t="shared" si="194"/>
        <v>#N/A</v>
      </c>
      <c r="EG103" s="54" t="b">
        <f t="shared" si="195"/>
        <v>0</v>
      </c>
      <c r="EH103" s="54" t="b">
        <f t="shared" si="196"/>
        <v>1</v>
      </c>
      <c r="EI103" s="54" t="b">
        <f t="shared" si="197"/>
        <v>0</v>
      </c>
      <c r="EJ103" s="54" t="b">
        <f t="shared" si="198"/>
        <v>1</v>
      </c>
      <c r="EK103" s="54">
        <f t="shared" si="199"/>
        <v>0.27505144014997257</v>
      </c>
      <c r="EL103" s="54" t="e">
        <f t="shared" si="200"/>
        <v>#N/A</v>
      </c>
      <c r="EM103" s="54">
        <f t="shared" si="201"/>
        <v>0.27505144014997257</v>
      </c>
      <c r="EN103" s="72" t="str">
        <f t="shared" si="202"/>
        <v/>
      </c>
      <c r="EO10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0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0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03" s="54" t="e" cm="1">
        <f t="array" ref="ER103">IF($CK$3,INDEX(Eu_tabel_a[[#This Row],[Styrke venstre]:[Styrke tosidet]],ER$7),NA())</f>
        <v>#N/A</v>
      </c>
      <c r="ES103" s="54" t="e">
        <f>IF(ER$3,IF(CHOOSE(ER$7,Eu_tabel_a[[#This Row],[x base]]&gt;0,Eu_tabel_a[[#This Row],[x base]]&lt;0,Eu_tabel_a[[#This Row],[x base]]=0),1,NA()),NA())</f>
        <v>#N/A</v>
      </c>
      <c r="ET103" s="54" t="e">
        <f>IF(CHOOSE(ER$7,Eu_tabel_a[[#This Row],[x base]]&gt;0,Eu_tabel_a[[#This Row],[x base]]&lt;0,Eu_tabel_a[[#This Row],[x base]]=0),Eu_tabel_a[[#This Row],[Styrke, aktiv]],NA())</f>
        <v>#N/A</v>
      </c>
      <c r="EU103" s="54" t="e">
        <f>IFERROR(IF($ER$3,Eu_tabel_a[[#This Row],[Styrke, aktiv]],NA()),NA())</f>
        <v>#N/A</v>
      </c>
      <c r="EV103" s="54" t="e">
        <f>IF(ISNA(Eu_tabel_a[[#This Row],[Sand negativ
Nulhypotese afvises
Korrekt]]),NA(),IF(ER$3,1,NA()))</f>
        <v>#N/A</v>
      </c>
      <c r="EW103" s="55" t="str" cm="1">
        <f t="array" ref="EW103">IFERROR(_xlfn.SWITCH(Eu_tabel_a[[#This Row],[Indeks]],_xlfn.IFNA(EU$2,-99),EU$5,_xlfn.IFNA(EU$3,-99),EU$6,_xlfn.IFNA(EU$4,-99),EU$7,""),"")</f>
        <v/>
      </c>
      <c r="EX103" s="54">
        <f>Eu_tabel_a[[#This Row],[x base]]*SQRT(Eu_a_h0_x*(1-Eu_a_h0_x)/Eu_a_n_x)+Eu_a_h0_x</f>
        <v>0</v>
      </c>
      <c r="FC103" s="161" t="e">
        <f t="shared" si="146"/>
        <v>#N/A</v>
      </c>
      <c r="FD103" s="169" t="e">
        <f t="shared" si="234"/>
        <v>#DIV/0!</v>
      </c>
      <c r="FE103" s="7" t="e">
        <f t="shared" si="140"/>
        <v>#DIV/0!</v>
      </c>
      <c r="FF103" t="e">
        <f t="shared" si="235"/>
        <v>#DIV/0!</v>
      </c>
      <c r="FG103" s="8" t="e">
        <f t="shared" si="236"/>
        <v>#DIV/0!</v>
      </c>
      <c r="FH103" s="8" t="e">
        <f t="shared" si="237"/>
        <v>#DIV/0!</v>
      </c>
      <c r="FI103" s="168" t="e">
        <f t="shared" si="238"/>
        <v>#DIV/0!</v>
      </c>
      <c r="FJ103" s="161" t="e">
        <f t="shared" ca="1" si="141"/>
        <v>#N/A</v>
      </c>
      <c r="FK103" s="169" t="e" vm="3">
        <f t="shared" ca="1" si="147"/>
        <v>#VALUE!</v>
      </c>
      <c r="FL103" s="7" t="e" vm="3">
        <f t="shared" ca="1" si="142"/>
        <v>#VALUE!</v>
      </c>
      <c r="FM103" t="e" vm="3">
        <f t="shared" ca="1" si="136"/>
        <v>#VALUE!</v>
      </c>
      <c r="FN103" s="8" t="e" vm="3">
        <f t="shared" ca="1" si="137"/>
        <v>#VALUE!</v>
      </c>
      <c r="FO103" s="8" t="e" vm="3">
        <f t="shared" ca="1" si="138"/>
        <v>#VALUE!</v>
      </c>
      <c r="FP103" s="168" t="e" vm="3">
        <f t="shared" ca="1" si="139"/>
        <v>#VALUE!</v>
      </c>
      <c r="FQ103" s="161" t="e">
        <f t="shared" si="143"/>
        <v>#N/A</v>
      </c>
      <c r="FR103" s="169" t="e">
        <f t="shared" si="148"/>
        <v>#N/A</v>
      </c>
      <c r="FS103" s="7" t="e">
        <f t="shared" si="144"/>
        <v>#N/A</v>
      </c>
      <c r="FT103" t="e">
        <f t="shared" si="149"/>
        <v>#N/A</v>
      </c>
      <c r="FU103" s="8" t="e">
        <f t="shared" si="150"/>
        <v>#N/A</v>
      </c>
      <c r="FV103" s="8" t="e">
        <f t="shared" si="151"/>
        <v>#N/A</v>
      </c>
      <c r="FW103" s="168" t="e">
        <f t="shared" si="152"/>
        <v>#N/A</v>
      </c>
      <c r="FX103" s="161" t="e">
        <f t="shared" si="153"/>
        <v>#N/A</v>
      </c>
      <c r="FY103" s="169" t="e">
        <f t="shared" si="154"/>
        <v>#N/A</v>
      </c>
      <c r="FZ103" s="7" t="e">
        <f t="shared" si="145"/>
        <v>#N/A</v>
      </c>
      <c r="GA103" t="e">
        <f t="shared" si="155"/>
        <v>#N/A</v>
      </c>
      <c r="GB103" s="8" t="e">
        <f t="shared" si="156"/>
        <v>#N/A</v>
      </c>
      <c r="GC103" s="8" t="e">
        <f t="shared" si="157"/>
        <v>#N/A</v>
      </c>
      <c r="GD103" s="168" t="e">
        <f t="shared" si="158"/>
        <v>#N/A</v>
      </c>
      <c r="GE103" s="168"/>
      <c r="GF103" s="168"/>
      <c r="GI103" s="54">
        <f t="shared" si="203"/>
        <v>93</v>
      </c>
      <c r="GJ103" s="54">
        <f t="shared" si="204"/>
        <v>94</v>
      </c>
      <c r="GK103" s="54">
        <f t="shared" si="205"/>
        <v>-0.86239041102357561</v>
      </c>
      <c r="GL103" s="54">
        <f t="shared" si="206"/>
        <v>0.27505144014997257</v>
      </c>
      <c r="GM103" s="54" t="e">
        <f t="shared" si="207"/>
        <v>#N/A</v>
      </c>
      <c r="GN103" s="54" t="e">
        <f t="shared" si="208"/>
        <v>#N/A</v>
      </c>
      <c r="GO103" s="54" t="e">
        <f t="shared" si="209"/>
        <v>#N/A</v>
      </c>
      <c r="GP103" s="54" t="b">
        <f t="shared" si="210"/>
        <v>0</v>
      </c>
      <c r="GQ103" s="54" t="b">
        <f t="shared" si="211"/>
        <v>1</v>
      </c>
      <c r="GR103" s="54" t="b">
        <f t="shared" si="212"/>
        <v>0</v>
      </c>
      <c r="GS103" s="54" t="b">
        <f t="shared" si="213"/>
        <v>1</v>
      </c>
      <c r="GT103" s="54">
        <f t="shared" si="214"/>
        <v>0.27505144014997257</v>
      </c>
      <c r="GU103" s="54" t="e">
        <f t="shared" si="215"/>
        <v>#N/A</v>
      </c>
      <c r="GV103" s="54">
        <f t="shared" si="216"/>
        <v>0.27505144014997257</v>
      </c>
      <c r="GW103" s="72" t="str">
        <f t="shared" si="217"/>
        <v/>
      </c>
      <c r="HC103" s="54">
        <f t="shared" si="218"/>
        <v>93</v>
      </c>
      <c r="HD103" s="54">
        <f t="shared" si="219"/>
        <v>94</v>
      </c>
      <c r="HE103" s="54">
        <f t="shared" si="220"/>
        <v>-1.3354296638060461</v>
      </c>
      <c r="HF103" s="54" t="e">
        <f t="shared" si="221"/>
        <v>#N/A</v>
      </c>
      <c r="HG103" s="54">
        <f t="shared" si="222"/>
        <v>0.15530951457528158</v>
      </c>
      <c r="HH103" s="54" t="e">
        <f t="shared" si="223"/>
        <v>#N/A</v>
      </c>
      <c r="HI103" s="54" t="e">
        <f t="shared" si="224"/>
        <v>#N/A</v>
      </c>
      <c r="HJ103" s="54" t="b">
        <f t="shared" si="225"/>
        <v>1</v>
      </c>
      <c r="HK103" s="54" t="b">
        <f t="shared" si="226"/>
        <v>0</v>
      </c>
      <c r="HL103" s="54" t="b">
        <f t="shared" si="227"/>
        <v>0</v>
      </c>
      <c r="HM103" s="54" t="b">
        <f t="shared" si="228"/>
        <v>1</v>
      </c>
      <c r="HN103" s="54">
        <f t="shared" si="229"/>
        <v>0.15530951457528158</v>
      </c>
      <c r="HO103" s="54">
        <f t="shared" si="230"/>
        <v>0.15530951457528158</v>
      </c>
      <c r="HP103" s="54" t="e">
        <f t="shared" si="231"/>
        <v>#N/A</v>
      </c>
      <c r="HQ103" s="72" t="str">
        <f t="shared" si="232"/>
        <v/>
      </c>
    </row>
    <row r="104" spans="71:225" x14ac:dyDescent="0.2">
      <c r="BS104" s="54">
        <f t="shared" si="159"/>
        <v>94</v>
      </c>
      <c r="BT104" s="54">
        <f>Eu_tabel_g[[#This Row],[Indeks]]+1</f>
        <v>95</v>
      </c>
      <c r="BU104" s="54">
        <f t="shared" si="160"/>
        <v>-0.83843512182847668</v>
      </c>
      <c r="BV104" s="54">
        <f t="shared" si="161"/>
        <v>0.28071222072349411</v>
      </c>
      <c r="BW104" s="54" t="e">
        <f t="shared" si="162"/>
        <v>#N/A</v>
      </c>
      <c r="BX104" s="54" t="e">
        <f t="shared" si="163"/>
        <v>#N/A</v>
      </c>
      <c r="BY104" s="54" t="e">
        <f t="shared" si="164"/>
        <v>#N/A</v>
      </c>
      <c r="BZ104" s="54" t="b">
        <f t="shared" si="165"/>
        <v>0</v>
      </c>
      <c r="CA104" s="54" t="b">
        <f t="shared" si="166"/>
        <v>1</v>
      </c>
      <c r="CB104" s="54" t="b">
        <f t="shared" si="167"/>
        <v>0</v>
      </c>
      <c r="CC104" s="54" t="b">
        <f t="shared" si="168"/>
        <v>1</v>
      </c>
      <c r="CD104" s="54">
        <f t="shared" si="233"/>
        <v>0.28071222072349411</v>
      </c>
      <c r="CE104" s="54" t="e">
        <f t="shared" si="169"/>
        <v>#N/A</v>
      </c>
      <c r="CF104" s="54">
        <f t="shared" si="170"/>
        <v>0.28071222072349411</v>
      </c>
      <c r="CG104" s="72" t="str">
        <f t="shared" si="171"/>
        <v/>
      </c>
      <c r="CH104" s="54">
        <f>_xlfn.NORM.DIST(_xlfn.NORM.INV(1-Eu_g_konfidensniveau,0,1)-Eu_tabel_g[[#This Row],[x base]],0,1,TRUE)</f>
        <v>0.21000079021859852</v>
      </c>
      <c r="CI104" s="54">
        <f>1-_xlfn.NORM.DIST(_xlfn.NORM.INV(Eu_g_konfidensniveau,0,1)-Eu_tabel_g[[#This Row],[x base]],0,1,TRUE)</f>
        <v>6.5087760207921397E-3</v>
      </c>
      <c r="CJ104" s="54">
        <f>_xlfn.NORM.DIST(_xlfn.NORM.INV((1-Eu_g_konfidensniveau)/2,0,1)-Eu_tabel_g[[#This Row],[x base]],0,1,TRUE)+1-_xlfn.NORM.DIST(_xlfn.NORM.INV(1-(1-Eu_g_konfidensniveau)/2,0,1)-Eu_tabel_g[[#This Row],[x base]],0,1,TRUE)</f>
        <v>0.13359923699915444</v>
      </c>
      <c r="CK104" s="54" t="e" cm="1">
        <f t="array" ref="CK104">IF($CK$3,INDEX(Eu_tabel_g[[#This Row],[Styrke venstre]:[Styrke tosidet]],CK$7),NA())</f>
        <v>#N/A</v>
      </c>
      <c r="CL104" s="99" t="e">
        <f>Eu_tabel_g[[#This Row],[Falsk positiv
Nulhypotese accepteres
Fejltype 1]]</f>
        <v>#N/A</v>
      </c>
      <c r="CM104" s="99" t="e">
        <f>IF(CHOOSE(CK$7,Eu_tabel_g[[#This Row],[x base]]&gt;0,Eu_tabel_g[[#This Row],[x base]]&lt;0,Eu_tabel_g[[#This Row],[x base]]=0),Eu_tabel_g[[#This Row],[Styrke, aktiv]],NA())</f>
        <v>#N/A</v>
      </c>
      <c r="CN104" s="99" t="e">
        <f>IFERROR(IF($CK$3,Eu_tabel_g[[#This Row],[Styrke, aktiv]],NA()),NA())</f>
        <v>#N/A</v>
      </c>
      <c r="CO104" s="99" t="e">
        <f>IF(ISNA(Eu_tabel_g[[#This Row],[Sand negativ
Nulhypotese afvises
Korrekt]]),NA(),IF($CK$3,1,NA()))</f>
        <v>#N/A</v>
      </c>
      <c r="CP104" s="56" t="str" cm="1">
        <f t="array" ref="CP104">_xlfn.SWITCH(BS104,_xlfn.IFNA(CN$2,-99),CN$5,_xlfn.IFNA(CN$3,-99),CN$6,_xlfn.IFNA(CN$4,-99),CN$7,"")</f>
        <v/>
      </c>
      <c r="CT104" s="7">
        <f t="shared" si="172"/>
        <v>0.8</v>
      </c>
      <c r="CU104">
        <f>IF(ROW(Styrkeberegning_G[[#This Row],[X base venstre]])=ROW(Styrkeberegning_G[[#Headers],[X base venstre]])+1,CU$7/(CT$7/$B$67),CU103/(CT103/$B$67))</f>
        <v>-2.8015817870135784</v>
      </c>
      <c r="CV104">
        <f>Styrkeberegning_G[[#This Row],[X base venstre]]*-1</f>
        <v>2.8015817870135784</v>
      </c>
      <c r="DG104" s="54">
        <f t="shared" si="173"/>
        <v>94</v>
      </c>
      <c r="DH104" s="54">
        <f t="shared" si="174"/>
        <v>95</v>
      </c>
      <c r="DI104" s="54">
        <f t="shared" si="175"/>
        <v>12.556513167851785</v>
      </c>
      <c r="DJ104" s="54" t="e">
        <f t="shared" si="176"/>
        <v>#N/A</v>
      </c>
      <c r="DK104" s="54" t="e">
        <f t="shared" si="177"/>
        <v>#N/A</v>
      </c>
      <c r="DL104" s="54">
        <f t="shared" si="178"/>
        <v>6.9787368231036304E-2</v>
      </c>
      <c r="DM104" s="54" t="e">
        <f t="shared" si="179"/>
        <v>#N/A</v>
      </c>
      <c r="DN104" s="54" t="b">
        <f t="shared" si="180"/>
        <v>0</v>
      </c>
      <c r="DO104" s="54" t="b">
        <f t="shared" si="181"/>
        <v>1</v>
      </c>
      <c r="DP104" s="54" t="b">
        <f t="shared" si="182"/>
        <v>0</v>
      </c>
      <c r="DQ104" s="54" t="b">
        <f t="shared" si="183"/>
        <v>1</v>
      </c>
      <c r="DR104" s="54">
        <f t="shared" si="184"/>
        <v>6.9787368231036304E-2</v>
      </c>
      <c r="DS104" s="54" t="e">
        <f t="shared" si="185"/>
        <v>#N/A</v>
      </c>
      <c r="DT104" s="54">
        <f t="shared" si="186"/>
        <v>6.9787368231036304E-2</v>
      </c>
      <c r="DU104" s="72" t="str">
        <f t="shared" si="187"/>
        <v/>
      </c>
      <c r="DZ104" s="54">
        <f t="shared" si="188"/>
        <v>94</v>
      </c>
      <c r="EA104" s="54">
        <f t="shared" si="189"/>
        <v>95</v>
      </c>
      <c r="EB104" s="54">
        <f t="shared" si="190"/>
        <v>-0.83843512182847668</v>
      </c>
      <c r="EC104" s="54">
        <f t="shared" si="191"/>
        <v>0.28071222072349411</v>
      </c>
      <c r="ED104" s="54" t="e">
        <f t="shared" si="192"/>
        <v>#N/A</v>
      </c>
      <c r="EE104" s="54" t="e">
        <f t="shared" si="193"/>
        <v>#N/A</v>
      </c>
      <c r="EF104" s="54" t="e">
        <f t="shared" si="194"/>
        <v>#N/A</v>
      </c>
      <c r="EG104" s="54" t="b">
        <f t="shared" si="195"/>
        <v>0</v>
      </c>
      <c r="EH104" s="54" t="b">
        <f t="shared" si="196"/>
        <v>1</v>
      </c>
      <c r="EI104" s="54" t="b">
        <f t="shared" si="197"/>
        <v>0</v>
      </c>
      <c r="EJ104" s="54" t="b">
        <f t="shared" si="198"/>
        <v>1</v>
      </c>
      <c r="EK104" s="54">
        <f t="shared" si="199"/>
        <v>0.28071222072349411</v>
      </c>
      <c r="EL104" s="54" t="e">
        <f t="shared" si="200"/>
        <v>#N/A</v>
      </c>
      <c r="EM104" s="54">
        <f t="shared" si="201"/>
        <v>0.28071222072349411</v>
      </c>
      <c r="EN104" s="72" t="str">
        <f t="shared" si="202"/>
        <v/>
      </c>
      <c r="EO10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0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0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04" s="54" t="e" cm="1">
        <f t="array" ref="ER104">IF($CK$3,INDEX(Eu_tabel_a[[#This Row],[Styrke venstre]:[Styrke tosidet]],ER$7),NA())</f>
        <v>#N/A</v>
      </c>
      <c r="ES104" s="54" t="e">
        <f>IF(ER$3,IF(CHOOSE(ER$7,Eu_tabel_a[[#This Row],[x base]]&gt;0,Eu_tabel_a[[#This Row],[x base]]&lt;0,Eu_tabel_a[[#This Row],[x base]]=0),1,NA()),NA())</f>
        <v>#N/A</v>
      </c>
      <c r="ET104" s="54" t="e">
        <f>IF(CHOOSE(ER$7,Eu_tabel_a[[#This Row],[x base]]&gt;0,Eu_tabel_a[[#This Row],[x base]]&lt;0,Eu_tabel_a[[#This Row],[x base]]=0),Eu_tabel_a[[#This Row],[Styrke, aktiv]],NA())</f>
        <v>#N/A</v>
      </c>
      <c r="EU104" s="54" t="e">
        <f>IFERROR(IF($ER$3,Eu_tabel_a[[#This Row],[Styrke, aktiv]],NA()),NA())</f>
        <v>#N/A</v>
      </c>
      <c r="EV104" s="54" t="e">
        <f>IF(ISNA(Eu_tabel_a[[#This Row],[Sand negativ
Nulhypotese afvises
Korrekt]]),NA(),IF(ER$3,1,NA()))</f>
        <v>#N/A</v>
      </c>
      <c r="EW104" s="55" t="str" cm="1">
        <f t="array" ref="EW104">IFERROR(_xlfn.SWITCH(Eu_tabel_a[[#This Row],[Indeks]],_xlfn.IFNA(EU$2,-99),EU$5,_xlfn.IFNA(EU$3,-99),EU$6,_xlfn.IFNA(EU$4,-99),EU$7,""),"")</f>
        <v/>
      </c>
      <c r="EX104" s="54">
        <f>Eu_tabel_a[[#This Row],[x base]]*SQRT(Eu_a_h0_x*(1-Eu_a_h0_x)/Eu_a_n_x)+Eu_a_h0_x</f>
        <v>0</v>
      </c>
      <c r="FC104" s="161" t="e">
        <f t="shared" si="146"/>
        <v>#N/A</v>
      </c>
      <c r="FD104" s="169" t="e">
        <f t="shared" si="234"/>
        <v>#DIV/0!</v>
      </c>
      <c r="FE104" s="7" t="e">
        <f t="shared" si="140"/>
        <v>#DIV/0!</v>
      </c>
      <c r="FF104" t="e">
        <f t="shared" si="235"/>
        <v>#DIV/0!</v>
      </c>
      <c r="FG104" s="8" t="e">
        <f t="shared" si="236"/>
        <v>#DIV/0!</v>
      </c>
      <c r="FH104" s="8" t="e">
        <f t="shared" si="237"/>
        <v>#DIV/0!</v>
      </c>
      <c r="FI104" s="168" t="e">
        <f t="shared" si="238"/>
        <v>#DIV/0!</v>
      </c>
      <c r="FJ104" s="161" t="e">
        <f t="shared" ca="1" si="141"/>
        <v>#N/A</v>
      </c>
      <c r="FK104" s="169" t="e" vm="3">
        <f t="shared" ca="1" si="147"/>
        <v>#VALUE!</v>
      </c>
      <c r="FL104" s="7" t="e" vm="3">
        <f t="shared" ca="1" si="142"/>
        <v>#VALUE!</v>
      </c>
      <c r="FM104" t="e" vm="3">
        <f t="shared" ca="1" si="136"/>
        <v>#VALUE!</v>
      </c>
      <c r="FN104" s="8" t="e" vm="3">
        <f t="shared" ca="1" si="137"/>
        <v>#VALUE!</v>
      </c>
      <c r="FO104" s="8" t="e" vm="3">
        <f t="shared" ca="1" si="138"/>
        <v>#VALUE!</v>
      </c>
      <c r="FP104" s="168" t="e" vm="3">
        <f t="shared" ca="1" si="139"/>
        <v>#VALUE!</v>
      </c>
      <c r="FQ104" s="161" t="e">
        <f t="shared" si="143"/>
        <v>#N/A</v>
      </c>
      <c r="FR104" s="169" t="e">
        <f t="shared" si="148"/>
        <v>#N/A</v>
      </c>
      <c r="FS104" s="7" t="e">
        <f t="shared" si="144"/>
        <v>#N/A</v>
      </c>
      <c r="FT104" t="e">
        <f t="shared" si="149"/>
        <v>#N/A</v>
      </c>
      <c r="FU104" s="8" t="e">
        <f t="shared" si="150"/>
        <v>#N/A</v>
      </c>
      <c r="FV104" s="8" t="e">
        <f t="shared" si="151"/>
        <v>#N/A</v>
      </c>
      <c r="FW104" s="168" t="e">
        <f t="shared" si="152"/>
        <v>#N/A</v>
      </c>
      <c r="FX104" s="161" t="e">
        <f t="shared" si="153"/>
        <v>#N/A</v>
      </c>
      <c r="FY104" s="169" t="e">
        <f t="shared" si="154"/>
        <v>#N/A</v>
      </c>
      <c r="FZ104" s="7" t="e">
        <f t="shared" si="145"/>
        <v>#N/A</v>
      </c>
      <c r="GA104" t="e">
        <f t="shared" si="155"/>
        <v>#N/A</v>
      </c>
      <c r="GB104" s="8" t="e">
        <f t="shared" si="156"/>
        <v>#N/A</v>
      </c>
      <c r="GC104" s="8" t="e">
        <f t="shared" si="157"/>
        <v>#N/A</v>
      </c>
      <c r="GD104" s="168" t="e">
        <f t="shared" si="158"/>
        <v>#N/A</v>
      </c>
      <c r="GE104" s="168"/>
      <c r="GF104" s="168"/>
      <c r="GI104" s="54">
        <f t="shared" si="203"/>
        <v>94</v>
      </c>
      <c r="GJ104" s="54">
        <f t="shared" si="204"/>
        <v>95</v>
      </c>
      <c r="GK104" s="54">
        <f t="shared" si="205"/>
        <v>-0.83843512182847668</v>
      </c>
      <c r="GL104" s="54">
        <f t="shared" si="206"/>
        <v>0.28071222072349411</v>
      </c>
      <c r="GM104" s="54" t="e">
        <f t="shared" si="207"/>
        <v>#N/A</v>
      </c>
      <c r="GN104" s="54" t="e">
        <f t="shared" si="208"/>
        <v>#N/A</v>
      </c>
      <c r="GO104" s="54" t="e">
        <f t="shared" si="209"/>
        <v>#N/A</v>
      </c>
      <c r="GP104" s="54" t="b">
        <f t="shared" si="210"/>
        <v>0</v>
      </c>
      <c r="GQ104" s="54" t="b">
        <f t="shared" si="211"/>
        <v>1</v>
      </c>
      <c r="GR104" s="54" t="b">
        <f t="shared" si="212"/>
        <v>0</v>
      </c>
      <c r="GS104" s="54" t="b">
        <f t="shared" si="213"/>
        <v>1</v>
      </c>
      <c r="GT104" s="54">
        <f t="shared" si="214"/>
        <v>0.28071222072349411</v>
      </c>
      <c r="GU104" s="54" t="e">
        <f t="shared" si="215"/>
        <v>#N/A</v>
      </c>
      <c r="GV104" s="54">
        <f t="shared" si="216"/>
        <v>0.28071222072349411</v>
      </c>
      <c r="GW104" s="72" t="str">
        <f t="shared" si="217"/>
        <v/>
      </c>
      <c r="HC104" s="54">
        <f t="shared" si="218"/>
        <v>94</v>
      </c>
      <c r="HD104" s="54">
        <f t="shared" si="219"/>
        <v>95</v>
      </c>
      <c r="HE104" s="54">
        <f t="shared" si="220"/>
        <v>-1.2983343953669895</v>
      </c>
      <c r="HF104" s="54" t="e">
        <f t="shared" si="221"/>
        <v>#N/A</v>
      </c>
      <c r="HG104" s="54">
        <f t="shared" si="222"/>
        <v>0.16241625995329936</v>
      </c>
      <c r="HH104" s="54" t="e">
        <f t="shared" si="223"/>
        <v>#N/A</v>
      </c>
      <c r="HI104" s="54" t="e">
        <f t="shared" si="224"/>
        <v>#N/A</v>
      </c>
      <c r="HJ104" s="54" t="b">
        <f t="shared" si="225"/>
        <v>1</v>
      </c>
      <c r="HK104" s="54" t="b">
        <f t="shared" si="226"/>
        <v>0</v>
      </c>
      <c r="HL104" s="54" t="b">
        <f t="shared" si="227"/>
        <v>0</v>
      </c>
      <c r="HM104" s="54" t="b">
        <f t="shared" si="228"/>
        <v>1</v>
      </c>
      <c r="HN104" s="54">
        <f t="shared" si="229"/>
        <v>0.16241625995329936</v>
      </c>
      <c r="HO104" s="54">
        <f t="shared" si="230"/>
        <v>0.16241625995329936</v>
      </c>
      <c r="HP104" s="54" t="e">
        <f t="shared" si="231"/>
        <v>#N/A</v>
      </c>
      <c r="HQ104" s="72" t="str">
        <f t="shared" si="232"/>
        <v/>
      </c>
    </row>
    <row r="105" spans="71:225" x14ac:dyDescent="0.2">
      <c r="BS105" s="54">
        <f t="shared" si="159"/>
        <v>95</v>
      </c>
      <c r="BT105" s="54">
        <f>Eu_tabel_g[[#This Row],[Indeks]]+1</f>
        <v>96</v>
      </c>
      <c r="BU105" s="54">
        <f t="shared" si="160"/>
        <v>-0.81447983263337731</v>
      </c>
      <c r="BV105" s="54">
        <f t="shared" si="161"/>
        <v>0.28632514820484678</v>
      </c>
      <c r="BW105" s="54" t="e">
        <f t="shared" si="162"/>
        <v>#N/A</v>
      </c>
      <c r="BX105" s="54" t="e">
        <f t="shared" si="163"/>
        <v>#N/A</v>
      </c>
      <c r="BY105" s="54" t="e">
        <f t="shared" si="164"/>
        <v>#N/A</v>
      </c>
      <c r="BZ105" s="54" t="b">
        <f t="shared" si="165"/>
        <v>0</v>
      </c>
      <c r="CA105" s="54" t="b">
        <f t="shared" si="166"/>
        <v>1</v>
      </c>
      <c r="CB105" s="54" t="b">
        <f t="shared" si="167"/>
        <v>0</v>
      </c>
      <c r="CC105" s="54" t="b">
        <f t="shared" si="168"/>
        <v>1</v>
      </c>
      <c r="CD105" s="54">
        <f t="shared" si="233"/>
        <v>0.28632514820484678</v>
      </c>
      <c r="CE105" s="54" t="e">
        <f t="shared" si="169"/>
        <v>#N/A</v>
      </c>
      <c r="CF105" s="54">
        <f t="shared" si="170"/>
        <v>0.28632514820484678</v>
      </c>
      <c r="CG105" s="72" t="str">
        <f t="shared" si="171"/>
        <v/>
      </c>
      <c r="CH105" s="54">
        <f>_xlfn.NORM.DIST(_xlfn.NORM.INV(1-Eu_g_konfidensniveau,0,1)-Eu_tabel_g[[#This Row],[x base]],0,1,TRUE)</f>
        <v>0.2031637386296424</v>
      </c>
      <c r="CI105" s="54">
        <f>1-_xlfn.NORM.DIST(_xlfn.NORM.INV(Eu_g_konfidensniveau,0,1)-Eu_tabel_g[[#This Row],[x base]],0,1,TRUE)</f>
        <v>6.959763111603845E-3</v>
      </c>
      <c r="CJ105" s="54">
        <f>_xlfn.NORM.DIST(_xlfn.NORM.INV((1-Eu_g_konfidensniveau)/2,0,1)-Eu_tabel_g[[#This Row],[x base]],0,1,TRUE)+1-_xlfn.NORM.DIST(_xlfn.NORM.INV(1-(1-Eu_g_konfidensniveau)/2,0,1)-Eu_tabel_g[[#This Row],[x base]],0,1,TRUE)</f>
        <v>0.12876913755707786</v>
      </c>
      <c r="CK105" s="54" t="e" cm="1">
        <f t="array" ref="CK105">IF($CK$3,INDEX(Eu_tabel_g[[#This Row],[Styrke venstre]:[Styrke tosidet]],CK$7),NA())</f>
        <v>#N/A</v>
      </c>
      <c r="CL105" s="99" t="e">
        <f>Eu_tabel_g[[#This Row],[Falsk positiv
Nulhypotese accepteres
Fejltype 1]]</f>
        <v>#N/A</v>
      </c>
      <c r="CM105" s="99" t="e">
        <f>IF(CHOOSE(CK$7,Eu_tabel_g[[#This Row],[x base]]&gt;0,Eu_tabel_g[[#This Row],[x base]]&lt;0,Eu_tabel_g[[#This Row],[x base]]=0),Eu_tabel_g[[#This Row],[Styrke, aktiv]],NA())</f>
        <v>#N/A</v>
      </c>
      <c r="CN105" s="99" t="e">
        <f>IFERROR(IF($CK$3,Eu_tabel_g[[#This Row],[Styrke, aktiv]],NA()),NA())</f>
        <v>#N/A</v>
      </c>
      <c r="CO105" s="99" t="e">
        <f>IF(ISNA(Eu_tabel_g[[#This Row],[Sand negativ
Nulhypotese afvises
Korrekt]]),NA(),IF($CK$3,1,NA()))</f>
        <v>#N/A</v>
      </c>
      <c r="CP105" s="56" t="str" cm="1">
        <f t="array" ref="CP105">_xlfn.SWITCH(BS105,_xlfn.IFNA(CN$2,-99),CN$5,_xlfn.IFNA(CN$3,-99),CN$6,_xlfn.IFNA(CN$4,-99),CN$7,"")</f>
        <v/>
      </c>
      <c r="CT105" s="7">
        <f t="shared" si="172"/>
        <v>0.8</v>
      </c>
      <c r="CU105">
        <f>IF(ROW(Styrkeberegning_G[[#This Row],[X base venstre]])=ROW(Styrkeberegning_G[[#Headers],[X base venstre]])+1,CU$7/(CT$7/$B$67),CU104/(CT104/$B$67))</f>
        <v>-2.8015817870135784</v>
      </c>
      <c r="CV105">
        <f>Styrkeberegning_G[[#This Row],[X base venstre]]*-1</f>
        <v>2.8015817870135784</v>
      </c>
      <c r="DG105" s="54">
        <f t="shared" si="173"/>
        <v>95</v>
      </c>
      <c r="DH105" s="54">
        <f t="shared" si="174"/>
        <v>96</v>
      </c>
      <c r="DI105" s="54">
        <f t="shared" si="175"/>
        <v>12.670584024268786</v>
      </c>
      <c r="DJ105" s="54" t="e">
        <f t="shared" si="176"/>
        <v>#N/A</v>
      </c>
      <c r="DK105" s="54" t="e">
        <f t="shared" si="177"/>
        <v>#N/A</v>
      </c>
      <c r="DL105" s="54">
        <f t="shared" si="178"/>
        <v>6.8656355318932036E-2</v>
      </c>
      <c r="DM105" s="54" t="e">
        <f t="shared" si="179"/>
        <v>#N/A</v>
      </c>
      <c r="DN105" s="54" t="b">
        <f t="shared" si="180"/>
        <v>0</v>
      </c>
      <c r="DO105" s="54" t="b">
        <f t="shared" si="181"/>
        <v>1</v>
      </c>
      <c r="DP105" s="54" t="b">
        <f t="shared" si="182"/>
        <v>0</v>
      </c>
      <c r="DQ105" s="54" t="b">
        <f t="shared" si="183"/>
        <v>1</v>
      </c>
      <c r="DR105" s="54">
        <f t="shared" si="184"/>
        <v>6.8656355318932036E-2</v>
      </c>
      <c r="DS105" s="54" t="e">
        <f t="shared" si="185"/>
        <v>#N/A</v>
      </c>
      <c r="DT105" s="54">
        <f t="shared" si="186"/>
        <v>6.8656355318932036E-2</v>
      </c>
      <c r="DU105" s="72" t="str">
        <f t="shared" si="187"/>
        <v/>
      </c>
      <c r="DZ105" s="54">
        <f t="shared" si="188"/>
        <v>95</v>
      </c>
      <c r="EA105" s="54">
        <f t="shared" si="189"/>
        <v>96</v>
      </c>
      <c r="EB105" s="54">
        <f t="shared" si="190"/>
        <v>-0.81447983263337731</v>
      </c>
      <c r="EC105" s="54">
        <f t="shared" si="191"/>
        <v>0.28632514820484678</v>
      </c>
      <c r="ED105" s="54" t="e">
        <f t="shared" si="192"/>
        <v>#N/A</v>
      </c>
      <c r="EE105" s="54" t="e">
        <f t="shared" si="193"/>
        <v>#N/A</v>
      </c>
      <c r="EF105" s="54" t="e">
        <f t="shared" si="194"/>
        <v>#N/A</v>
      </c>
      <c r="EG105" s="54" t="b">
        <f t="shared" si="195"/>
        <v>0</v>
      </c>
      <c r="EH105" s="54" t="b">
        <f t="shared" si="196"/>
        <v>1</v>
      </c>
      <c r="EI105" s="54" t="b">
        <f t="shared" si="197"/>
        <v>0</v>
      </c>
      <c r="EJ105" s="54" t="b">
        <f t="shared" si="198"/>
        <v>1</v>
      </c>
      <c r="EK105" s="54">
        <f t="shared" si="199"/>
        <v>0.28632514820484678</v>
      </c>
      <c r="EL105" s="54" t="e">
        <f t="shared" si="200"/>
        <v>#N/A</v>
      </c>
      <c r="EM105" s="54">
        <f t="shared" si="201"/>
        <v>0.28632514820484678</v>
      </c>
      <c r="EN105" s="72" t="str">
        <f t="shared" si="202"/>
        <v/>
      </c>
      <c r="EO10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0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0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05" s="54" t="e" cm="1">
        <f t="array" ref="ER105">IF($CK$3,INDEX(Eu_tabel_a[[#This Row],[Styrke venstre]:[Styrke tosidet]],ER$7),NA())</f>
        <v>#N/A</v>
      </c>
      <c r="ES105" s="54" t="e">
        <f>IF(ER$3,IF(CHOOSE(ER$7,Eu_tabel_a[[#This Row],[x base]]&gt;0,Eu_tabel_a[[#This Row],[x base]]&lt;0,Eu_tabel_a[[#This Row],[x base]]=0),1,NA()),NA())</f>
        <v>#N/A</v>
      </c>
      <c r="ET105" s="54" t="e">
        <f>IF(CHOOSE(ER$7,Eu_tabel_a[[#This Row],[x base]]&gt;0,Eu_tabel_a[[#This Row],[x base]]&lt;0,Eu_tabel_a[[#This Row],[x base]]=0),Eu_tabel_a[[#This Row],[Styrke, aktiv]],NA())</f>
        <v>#N/A</v>
      </c>
      <c r="EU105" s="54" t="e">
        <f>IFERROR(IF($ER$3,Eu_tabel_a[[#This Row],[Styrke, aktiv]],NA()),NA())</f>
        <v>#N/A</v>
      </c>
      <c r="EV105" s="54" t="e">
        <f>IF(ISNA(Eu_tabel_a[[#This Row],[Sand negativ
Nulhypotese afvises
Korrekt]]),NA(),IF(ER$3,1,NA()))</f>
        <v>#N/A</v>
      </c>
      <c r="EW105" s="55" t="str" cm="1">
        <f t="array" ref="EW105">IFERROR(_xlfn.SWITCH(Eu_tabel_a[[#This Row],[Indeks]],_xlfn.IFNA(EU$2,-99),EU$5,_xlfn.IFNA(EU$3,-99),EU$6,_xlfn.IFNA(EU$4,-99),EU$7,""),"")</f>
        <v/>
      </c>
      <c r="EX105" s="54">
        <f>Eu_tabel_a[[#This Row],[x base]]*SQRT(Eu_a_h0_x*(1-Eu_a_h0_x)/Eu_a_n_x)+Eu_a_h0_x</f>
        <v>0</v>
      </c>
      <c r="FC105" s="161" t="e">
        <f t="shared" si="146"/>
        <v>#N/A</v>
      </c>
      <c r="FD105" s="169" t="e">
        <f t="shared" si="234"/>
        <v>#DIV/0!</v>
      </c>
      <c r="FE105" s="7" t="e">
        <f t="shared" si="140"/>
        <v>#DIV/0!</v>
      </c>
      <c r="FF105" t="e">
        <f t="shared" si="235"/>
        <v>#DIV/0!</v>
      </c>
      <c r="FG105" s="8" t="e">
        <f t="shared" si="236"/>
        <v>#DIV/0!</v>
      </c>
      <c r="FH105" s="8" t="e">
        <f t="shared" si="237"/>
        <v>#DIV/0!</v>
      </c>
      <c r="FI105" s="168" t="e">
        <f t="shared" si="238"/>
        <v>#DIV/0!</v>
      </c>
      <c r="FJ105" s="161" t="e">
        <f t="shared" ca="1" si="141"/>
        <v>#N/A</v>
      </c>
      <c r="FK105" s="169" t="e" vm="3">
        <f t="shared" ca="1" si="147"/>
        <v>#VALUE!</v>
      </c>
      <c r="FL105" s="7" t="e" vm="3">
        <f t="shared" ca="1" si="142"/>
        <v>#VALUE!</v>
      </c>
      <c r="FM105" t="e" vm="3">
        <f t="shared" ca="1" si="136"/>
        <v>#VALUE!</v>
      </c>
      <c r="FN105" s="8" t="e" vm="3">
        <f t="shared" ca="1" si="137"/>
        <v>#VALUE!</v>
      </c>
      <c r="FO105" s="8" t="e" vm="3">
        <f t="shared" ca="1" si="138"/>
        <v>#VALUE!</v>
      </c>
      <c r="FP105" s="168" t="e" vm="3">
        <f t="shared" ca="1" si="139"/>
        <v>#VALUE!</v>
      </c>
      <c r="FQ105" s="161" t="e">
        <f t="shared" si="143"/>
        <v>#N/A</v>
      </c>
      <c r="FR105" s="169" t="e">
        <f t="shared" si="148"/>
        <v>#N/A</v>
      </c>
      <c r="FS105" s="7" t="e">
        <f t="shared" si="144"/>
        <v>#N/A</v>
      </c>
      <c r="FT105" t="e">
        <f t="shared" si="149"/>
        <v>#N/A</v>
      </c>
      <c r="FU105" s="8" t="e">
        <f t="shared" si="150"/>
        <v>#N/A</v>
      </c>
      <c r="FV105" s="8" t="e">
        <f t="shared" si="151"/>
        <v>#N/A</v>
      </c>
      <c r="FW105" s="168" t="e">
        <f t="shared" si="152"/>
        <v>#N/A</v>
      </c>
      <c r="FX105" s="161" t="e">
        <f t="shared" si="153"/>
        <v>#N/A</v>
      </c>
      <c r="FY105" s="169" t="e">
        <f t="shared" si="154"/>
        <v>#N/A</v>
      </c>
      <c r="FZ105" s="7" t="e">
        <f t="shared" si="145"/>
        <v>#N/A</v>
      </c>
      <c r="GA105" t="e">
        <f t="shared" si="155"/>
        <v>#N/A</v>
      </c>
      <c r="GB105" s="8" t="e">
        <f t="shared" si="156"/>
        <v>#N/A</v>
      </c>
      <c r="GC105" s="8" t="e">
        <f t="shared" si="157"/>
        <v>#N/A</v>
      </c>
      <c r="GD105" s="168" t="e">
        <f t="shared" si="158"/>
        <v>#N/A</v>
      </c>
      <c r="GE105" s="168"/>
      <c r="GF105" s="168"/>
      <c r="GI105" s="54">
        <f t="shared" si="203"/>
        <v>95</v>
      </c>
      <c r="GJ105" s="54">
        <f t="shared" si="204"/>
        <v>96</v>
      </c>
      <c r="GK105" s="54">
        <f t="shared" si="205"/>
        <v>-0.81447983263337731</v>
      </c>
      <c r="GL105" s="54">
        <f t="shared" si="206"/>
        <v>0.28632514820484678</v>
      </c>
      <c r="GM105" s="54" t="e">
        <f t="shared" si="207"/>
        <v>#N/A</v>
      </c>
      <c r="GN105" s="54" t="e">
        <f t="shared" si="208"/>
        <v>#N/A</v>
      </c>
      <c r="GO105" s="54" t="e">
        <f t="shared" si="209"/>
        <v>#N/A</v>
      </c>
      <c r="GP105" s="54" t="b">
        <f t="shared" si="210"/>
        <v>0</v>
      </c>
      <c r="GQ105" s="54" t="b">
        <f t="shared" si="211"/>
        <v>1</v>
      </c>
      <c r="GR105" s="54" t="b">
        <f t="shared" si="212"/>
        <v>0</v>
      </c>
      <c r="GS105" s="54" t="b">
        <f t="shared" si="213"/>
        <v>1</v>
      </c>
      <c r="GT105" s="54">
        <f t="shared" si="214"/>
        <v>0.28632514820484678</v>
      </c>
      <c r="GU105" s="54" t="e">
        <f t="shared" si="215"/>
        <v>#N/A</v>
      </c>
      <c r="GV105" s="54">
        <f t="shared" si="216"/>
        <v>0.28632514820484678</v>
      </c>
      <c r="GW105" s="72" t="str">
        <f t="shared" si="217"/>
        <v/>
      </c>
      <c r="HC105" s="54">
        <f t="shared" si="218"/>
        <v>95</v>
      </c>
      <c r="HD105" s="54">
        <f t="shared" si="219"/>
        <v>96</v>
      </c>
      <c r="HE105" s="54">
        <f t="shared" si="220"/>
        <v>-1.2612391269279324</v>
      </c>
      <c r="HF105" s="54" t="e">
        <f t="shared" si="221"/>
        <v>#N/A</v>
      </c>
      <c r="HG105" s="54">
        <f t="shared" si="222"/>
        <v>0.16971653355867566</v>
      </c>
      <c r="HH105" s="54" t="e">
        <f t="shared" si="223"/>
        <v>#N/A</v>
      </c>
      <c r="HI105" s="54" t="e">
        <f t="shared" si="224"/>
        <v>#N/A</v>
      </c>
      <c r="HJ105" s="54" t="b">
        <f t="shared" si="225"/>
        <v>1</v>
      </c>
      <c r="HK105" s="54" t="b">
        <f t="shared" si="226"/>
        <v>0</v>
      </c>
      <c r="HL105" s="54" t="b">
        <f t="shared" si="227"/>
        <v>0</v>
      </c>
      <c r="HM105" s="54" t="b">
        <f t="shared" si="228"/>
        <v>1</v>
      </c>
      <c r="HN105" s="54">
        <f t="shared" si="229"/>
        <v>0.16971653355867566</v>
      </c>
      <c r="HO105" s="54">
        <f t="shared" si="230"/>
        <v>0.16971653355867566</v>
      </c>
      <c r="HP105" s="54" t="e">
        <f t="shared" si="231"/>
        <v>#N/A</v>
      </c>
      <c r="HQ105" s="72" t="str">
        <f t="shared" si="232"/>
        <v/>
      </c>
    </row>
    <row r="106" spans="71:225" x14ac:dyDescent="0.2">
      <c r="BS106" s="54">
        <f t="shared" si="159"/>
        <v>96</v>
      </c>
      <c r="BT106" s="54">
        <f>Eu_tabel_g[[#This Row],[Indeks]]+1</f>
        <v>97</v>
      </c>
      <c r="BU106" s="54">
        <f t="shared" si="160"/>
        <v>-0.79052454343827794</v>
      </c>
      <c r="BV106" s="54">
        <f t="shared" si="161"/>
        <v>0.29188276119520318</v>
      </c>
      <c r="BW106" s="54" t="e">
        <f t="shared" si="162"/>
        <v>#N/A</v>
      </c>
      <c r="BX106" s="54" t="e">
        <f t="shared" si="163"/>
        <v>#N/A</v>
      </c>
      <c r="BY106" s="54" t="e">
        <f t="shared" si="164"/>
        <v>#N/A</v>
      </c>
      <c r="BZ106" s="54" t="b">
        <f t="shared" si="165"/>
        <v>0</v>
      </c>
      <c r="CA106" s="54" t="b">
        <f t="shared" si="166"/>
        <v>1</v>
      </c>
      <c r="CB106" s="54" t="b">
        <f t="shared" si="167"/>
        <v>0</v>
      </c>
      <c r="CC106" s="54" t="b">
        <f t="shared" si="168"/>
        <v>1</v>
      </c>
      <c r="CD106" s="54">
        <f t="shared" si="233"/>
        <v>0.29188276119520318</v>
      </c>
      <c r="CE106" s="54" t="e">
        <f t="shared" si="169"/>
        <v>#N/A</v>
      </c>
      <c r="CF106" s="54">
        <f t="shared" si="170"/>
        <v>0.29188276119520318</v>
      </c>
      <c r="CG106" s="72" t="str">
        <f t="shared" si="171"/>
        <v/>
      </c>
      <c r="CH106" s="54">
        <f>_xlfn.NORM.DIST(_xlfn.NORM.INV(1-Eu_g_konfidensniveau,0,1)-Eu_tabel_g[[#This Row],[x base]],0,1,TRUE)</f>
        <v>0.19646133849496453</v>
      </c>
      <c r="CI106" s="54">
        <f>1-_xlfn.NORM.DIST(_xlfn.NORM.INV(Eu_g_konfidensniveau,0,1)-Eu_tabel_g[[#This Row],[x base]],0,1,TRUE)</f>
        <v>7.4381165847303699E-3</v>
      </c>
      <c r="CJ106" s="54">
        <f>_xlfn.NORM.DIST(_xlfn.NORM.INV((1-Eu_g_konfidensniveau)/2,0,1)-Eu_tabel_g[[#This Row],[x base]],0,1,TRUE)+1-_xlfn.NORM.DIST(_xlfn.NORM.INV(1-(1-Eu_g_konfidensniveau)/2,0,1)-Eu_tabel_g[[#This Row],[x base]],0,1,TRUE)</f>
        <v>0.12408863721087593</v>
      </c>
      <c r="CK106" s="54" t="e" cm="1">
        <f t="array" ref="CK106">IF($CK$3,INDEX(Eu_tabel_g[[#This Row],[Styrke venstre]:[Styrke tosidet]],CK$7),NA())</f>
        <v>#N/A</v>
      </c>
      <c r="CL106" s="99" t="e">
        <f>Eu_tabel_g[[#This Row],[Falsk positiv
Nulhypotese accepteres
Fejltype 1]]</f>
        <v>#N/A</v>
      </c>
      <c r="CM106" s="99" t="e">
        <f>IF(CHOOSE(CK$7,Eu_tabel_g[[#This Row],[x base]]&gt;0,Eu_tabel_g[[#This Row],[x base]]&lt;0,Eu_tabel_g[[#This Row],[x base]]=0),Eu_tabel_g[[#This Row],[Styrke, aktiv]],NA())</f>
        <v>#N/A</v>
      </c>
      <c r="CN106" s="99" t="e">
        <f>IFERROR(IF($CK$3,Eu_tabel_g[[#This Row],[Styrke, aktiv]],NA()),NA())</f>
        <v>#N/A</v>
      </c>
      <c r="CO106" s="99" t="e">
        <f>IF(ISNA(Eu_tabel_g[[#This Row],[Sand negativ
Nulhypotese afvises
Korrekt]]),NA(),IF($CK$3,1,NA()))</f>
        <v>#N/A</v>
      </c>
      <c r="CP106" s="56" t="str" cm="1">
        <f t="array" ref="CP106">_xlfn.SWITCH(BS106,_xlfn.IFNA(CN$2,-99),CN$5,_xlfn.IFNA(CN$3,-99),CN$6,_xlfn.IFNA(CN$4,-99),CN$7,"")</f>
        <v/>
      </c>
      <c r="CT106" s="7">
        <f t="shared" si="172"/>
        <v>0.8</v>
      </c>
      <c r="CU106">
        <f>IF(ROW(Styrkeberegning_G[[#This Row],[X base venstre]])=ROW(Styrkeberegning_G[[#Headers],[X base venstre]])+1,CU$7/(CT$7/$B$67),CU105/(CT105/$B$67))</f>
        <v>-2.8015817870135784</v>
      </c>
      <c r="CV106">
        <f>Styrkeberegning_G[[#This Row],[X base venstre]]*-1</f>
        <v>2.8015817870135784</v>
      </c>
      <c r="DG106" s="54">
        <f t="shared" si="173"/>
        <v>96</v>
      </c>
      <c r="DH106" s="54">
        <f t="shared" si="174"/>
        <v>97</v>
      </c>
      <c r="DI106" s="54">
        <f t="shared" si="175"/>
        <v>12.784654880685787</v>
      </c>
      <c r="DJ106" s="54" t="e">
        <f t="shared" si="176"/>
        <v>#N/A</v>
      </c>
      <c r="DK106" s="54" t="e">
        <f t="shared" si="177"/>
        <v>#N/A</v>
      </c>
      <c r="DL106" s="54">
        <f t="shared" si="178"/>
        <v>6.7519040682468889E-2</v>
      </c>
      <c r="DM106" s="54" t="e">
        <f t="shared" si="179"/>
        <v>#N/A</v>
      </c>
      <c r="DN106" s="54" t="b">
        <f t="shared" si="180"/>
        <v>0</v>
      </c>
      <c r="DO106" s="54" t="b">
        <f t="shared" si="181"/>
        <v>1</v>
      </c>
      <c r="DP106" s="54" t="b">
        <f t="shared" si="182"/>
        <v>0</v>
      </c>
      <c r="DQ106" s="54" t="b">
        <f t="shared" si="183"/>
        <v>1</v>
      </c>
      <c r="DR106" s="54">
        <f t="shared" si="184"/>
        <v>6.7519040682468889E-2</v>
      </c>
      <c r="DS106" s="54" t="e">
        <f t="shared" si="185"/>
        <v>#N/A</v>
      </c>
      <c r="DT106" s="54">
        <f t="shared" si="186"/>
        <v>6.7519040682468889E-2</v>
      </c>
      <c r="DU106" s="72" t="str">
        <f t="shared" si="187"/>
        <v/>
      </c>
      <c r="DZ106" s="54">
        <f t="shared" si="188"/>
        <v>96</v>
      </c>
      <c r="EA106" s="54">
        <f t="shared" si="189"/>
        <v>97</v>
      </c>
      <c r="EB106" s="54">
        <f t="shared" si="190"/>
        <v>-0.79052454343827794</v>
      </c>
      <c r="EC106" s="54">
        <f t="shared" si="191"/>
        <v>0.29188276119520318</v>
      </c>
      <c r="ED106" s="54" t="e">
        <f t="shared" si="192"/>
        <v>#N/A</v>
      </c>
      <c r="EE106" s="54" t="e">
        <f t="shared" si="193"/>
        <v>#N/A</v>
      </c>
      <c r="EF106" s="54" t="e">
        <f t="shared" si="194"/>
        <v>#N/A</v>
      </c>
      <c r="EG106" s="54" t="b">
        <f t="shared" si="195"/>
        <v>0</v>
      </c>
      <c r="EH106" s="54" t="b">
        <f t="shared" si="196"/>
        <v>1</v>
      </c>
      <c r="EI106" s="54" t="b">
        <f t="shared" si="197"/>
        <v>0</v>
      </c>
      <c r="EJ106" s="54" t="b">
        <f t="shared" si="198"/>
        <v>1</v>
      </c>
      <c r="EK106" s="54">
        <f t="shared" si="199"/>
        <v>0.29188276119520318</v>
      </c>
      <c r="EL106" s="54" t="e">
        <f t="shared" si="200"/>
        <v>#N/A</v>
      </c>
      <c r="EM106" s="54">
        <f t="shared" si="201"/>
        <v>0.29188276119520318</v>
      </c>
      <c r="EN106" s="72" t="str">
        <f t="shared" si="202"/>
        <v/>
      </c>
      <c r="EO10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0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0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06" s="54" t="e" cm="1">
        <f t="array" ref="ER106">IF($CK$3,INDEX(Eu_tabel_a[[#This Row],[Styrke venstre]:[Styrke tosidet]],ER$7),NA())</f>
        <v>#N/A</v>
      </c>
      <c r="ES106" s="54" t="e">
        <f>IF(ER$3,IF(CHOOSE(ER$7,Eu_tabel_a[[#This Row],[x base]]&gt;0,Eu_tabel_a[[#This Row],[x base]]&lt;0,Eu_tabel_a[[#This Row],[x base]]=0),1,NA()),NA())</f>
        <v>#N/A</v>
      </c>
      <c r="ET106" s="54" t="e">
        <f>IF(CHOOSE(ER$7,Eu_tabel_a[[#This Row],[x base]]&gt;0,Eu_tabel_a[[#This Row],[x base]]&lt;0,Eu_tabel_a[[#This Row],[x base]]=0),Eu_tabel_a[[#This Row],[Styrke, aktiv]],NA())</f>
        <v>#N/A</v>
      </c>
      <c r="EU106" s="54" t="e">
        <f>IFERROR(IF($ER$3,Eu_tabel_a[[#This Row],[Styrke, aktiv]],NA()),NA())</f>
        <v>#N/A</v>
      </c>
      <c r="EV106" s="54" t="e">
        <f>IF(ISNA(Eu_tabel_a[[#This Row],[Sand negativ
Nulhypotese afvises
Korrekt]]),NA(),IF(ER$3,1,NA()))</f>
        <v>#N/A</v>
      </c>
      <c r="EW106" s="55" t="str" cm="1">
        <f t="array" ref="EW106">IFERROR(_xlfn.SWITCH(Eu_tabel_a[[#This Row],[Indeks]],_xlfn.IFNA(EU$2,-99),EU$5,_xlfn.IFNA(EU$3,-99),EU$6,_xlfn.IFNA(EU$4,-99),EU$7,""),"")</f>
        <v/>
      </c>
      <c r="EX106" s="54">
        <f>Eu_tabel_a[[#This Row],[x base]]*SQRT(Eu_a_h0_x*(1-Eu_a_h0_x)/Eu_a_n_x)+Eu_a_h0_x</f>
        <v>0</v>
      </c>
      <c r="FC106" s="161" t="e">
        <f t="shared" si="146"/>
        <v>#N/A</v>
      </c>
      <c r="FD106" s="169" t="e">
        <f t="shared" si="234"/>
        <v>#DIV/0!</v>
      </c>
      <c r="FE106" s="7" t="e">
        <f t="shared" si="140"/>
        <v>#DIV/0!</v>
      </c>
      <c r="FF106" t="e">
        <f t="shared" si="235"/>
        <v>#DIV/0!</v>
      </c>
      <c r="FG106" s="8" t="e">
        <f t="shared" si="236"/>
        <v>#DIV/0!</v>
      </c>
      <c r="FH106" s="8" t="e">
        <f t="shared" si="237"/>
        <v>#DIV/0!</v>
      </c>
      <c r="FI106" s="168" t="e">
        <f t="shared" si="238"/>
        <v>#DIV/0!</v>
      </c>
      <c r="FJ106" s="161" t="e">
        <f t="shared" ca="1" si="141"/>
        <v>#N/A</v>
      </c>
      <c r="FK106" s="169" t="e" vm="3">
        <f t="shared" ca="1" si="147"/>
        <v>#VALUE!</v>
      </c>
      <c r="FL106" s="7" t="e" vm="3">
        <f t="shared" ca="1" si="142"/>
        <v>#VALUE!</v>
      </c>
      <c r="FM106" t="e" vm="3">
        <f t="shared" ca="1" si="136"/>
        <v>#VALUE!</v>
      </c>
      <c r="FN106" s="8" t="e" vm="3">
        <f t="shared" ca="1" si="137"/>
        <v>#VALUE!</v>
      </c>
      <c r="FO106" s="8" t="e" vm="3">
        <f t="shared" ca="1" si="138"/>
        <v>#VALUE!</v>
      </c>
      <c r="FP106" s="168" t="e" vm="3">
        <f t="shared" ca="1" si="139"/>
        <v>#VALUE!</v>
      </c>
      <c r="FQ106" s="161" t="e">
        <f t="shared" si="143"/>
        <v>#N/A</v>
      </c>
      <c r="FR106" s="169" t="e">
        <f t="shared" si="148"/>
        <v>#N/A</v>
      </c>
      <c r="FS106" s="7" t="e">
        <f t="shared" si="144"/>
        <v>#N/A</v>
      </c>
      <c r="FT106" t="e">
        <f t="shared" si="149"/>
        <v>#N/A</v>
      </c>
      <c r="FU106" s="8" t="e">
        <f t="shared" si="150"/>
        <v>#N/A</v>
      </c>
      <c r="FV106" s="8" t="e">
        <f t="shared" si="151"/>
        <v>#N/A</v>
      </c>
      <c r="FW106" s="168" t="e">
        <f t="shared" si="152"/>
        <v>#N/A</v>
      </c>
      <c r="FX106" s="161" t="e">
        <f t="shared" si="153"/>
        <v>#N/A</v>
      </c>
      <c r="FY106" s="169" t="e">
        <f t="shared" si="154"/>
        <v>#N/A</v>
      </c>
      <c r="FZ106" s="7" t="e">
        <f t="shared" si="145"/>
        <v>#N/A</v>
      </c>
      <c r="GA106" t="e">
        <f t="shared" si="155"/>
        <v>#N/A</v>
      </c>
      <c r="GB106" s="8" t="e">
        <f t="shared" si="156"/>
        <v>#N/A</v>
      </c>
      <c r="GC106" s="8" t="e">
        <f t="shared" si="157"/>
        <v>#N/A</v>
      </c>
      <c r="GD106" s="168" t="e">
        <f t="shared" si="158"/>
        <v>#N/A</v>
      </c>
      <c r="GE106" s="168"/>
      <c r="GF106" s="168"/>
      <c r="GI106" s="54">
        <f t="shared" si="203"/>
        <v>96</v>
      </c>
      <c r="GJ106" s="54">
        <f t="shared" si="204"/>
        <v>97</v>
      </c>
      <c r="GK106" s="54">
        <f t="shared" si="205"/>
        <v>-0.79052454343827794</v>
      </c>
      <c r="GL106" s="54">
        <f t="shared" si="206"/>
        <v>0.29188276119520318</v>
      </c>
      <c r="GM106" s="54" t="e">
        <f t="shared" si="207"/>
        <v>#N/A</v>
      </c>
      <c r="GN106" s="54" t="e">
        <f t="shared" si="208"/>
        <v>#N/A</v>
      </c>
      <c r="GO106" s="54" t="e">
        <f t="shared" si="209"/>
        <v>#N/A</v>
      </c>
      <c r="GP106" s="54" t="b">
        <f t="shared" si="210"/>
        <v>0</v>
      </c>
      <c r="GQ106" s="54" t="b">
        <f t="shared" si="211"/>
        <v>1</v>
      </c>
      <c r="GR106" s="54" t="b">
        <f t="shared" si="212"/>
        <v>0</v>
      </c>
      <c r="GS106" s="54" t="b">
        <f t="shared" si="213"/>
        <v>1</v>
      </c>
      <c r="GT106" s="54">
        <f t="shared" si="214"/>
        <v>0.29188276119520318</v>
      </c>
      <c r="GU106" s="54" t="e">
        <f t="shared" si="215"/>
        <v>#N/A</v>
      </c>
      <c r="GV106" s="54">
        <f t="shared" si="216"/>
        <v>0.29188276119520318</v>
      </c>
      <c r="GW106" s="72" t="str">
        <f t="shared" si="217"/>
        <v/>
      </c>
      <c r="HC106" s="54">
        <f t="shared" si="218"/>
        <v>96</v>
      </c>
      <c r="HD106" s="54">
        <f t="shared" si="219"/>
        <v>97</v>
      </c>
      <c r="HE106" s="54">
        <f t="shared" si="220"/>
        <v>-1.2241438584888757</v>
      </c>
      <c r="HF106" s="54" t="e">
        <f t="shared" si="221"/>
        <v>#N/A</v>
      </c>
      <c r="HG106" s="54">
        <f t="shared" si="222"/>
        <v>0.17720189794105068</v>
      </c>
      <c r="HH106" s="54" t="e">
        <f t="shared" si="223"/>
        <v>#N/A</v>
      </c>
      <c r="HI106" s="54" t="e">
        <f t="shared" si="224"/>
        <v>#N/A</v>
      </c>
      <c r="HJ106" s="54" t="b">
        <f t="shared" si="225"/>
        <v>1</v>
      </c>
      <c r="HK106" s="54" t="b">
        <f t="shared" si="226"/>
        <v>0</v>
      </c>
      <c r="HL106" s="54" t="b">
        <f t="shared" si="227"/>
        <v>0</v>
      </c>
      <c r="HM106" s="54" t="b">
        <f t="shared" si="228"/>
        <v>1</v>
      </c>
      <c r="HN106" s="54">
        <f t="shared" si="229"/>
        <v>0.17720189794105068</v>
      </c>
      <c r="HO106" s="54">
        <f t="shared" si="230"/>
        <v>0.17720189794105068</v>
      </c>
      <c r="HP106" s="54" t="e">
        <f t="shared" si="231"/>
        <v>#N/A</v>
      </c>
      <c r="HQ106" s="72" t="str">
        <f t="shared" si="232"/>
        <v/>
      </c>
    </row>
    <row r="107" spans="71:225" x14ac:dyDescent="0.2">
      <c r="BS107" s="54">
        <f t="shared" si="159"/>
        <v>97</v>
      </c>
      <c r="BT107" s="54">
        <f>Eu_tabel_g[[#This Row],[Indeks]]+1</f>
        <v>98</v>
      </c>
      <c r="BU107" s="54">
        <f t="shared" si="160"/>
        <v>-0.76656925424317857</v>
      </c>
      <c r="BV107" s="54">
        <f t="shared" si="161"/>
        <v>0.29737754743782796</v>
      </c>
      <c r="BW107" s="54" t="e">
        <f t="shared" si="162"/>
        <v>#N/A</v>
      </c>
      <c r="BX107" s="54" t="e">
        <f t="shared" si="163"/>
        <v>#N/A</v>
      </c>
      <c r="BY107" s="54" t="e">
        <f t="shared" si="164"/>
        <v>#N/A</v>
      </c>
      <c r="BZ107" s="54" t="b">
        <f t="shared" si="165"/>
        <v>0</v>
      </c>
      <c r="CA107" s="54" t="b">
        <f t="shared" si="166"/>
        <v>1</v>
      </c>
      <c r="CB107" s="54" t="b">
        <f t="shared" si="167"/>
        <v>0</v>
      </c>
      <c r="CC107" s="54" t="b">
        <f t="shared" si="168"/>
        <v>1</v>
      </c>
      <c r="CD107" s="54">
        <f t="shared" si="233"/>
        <v>0.29737754743782796</v>
      </c>
      <c r="CE107" s="54" t="e">
        <f t="shared" si="169"/>
        <v>#N/A</v>
      </c>
      <c r="CF107" s="54">
        <f t="shared" si="170"/>
        <v>0.29737754743782796</v>
      </c>
      <c r="CG107" s="72" t="str">
        <f t="shared" si="171"/>
        <v/>
      </c>
      <c r="CH107" s="54">
        <f>_xlfn.NORM.DIST(_xlfn.NORM.INV(1-Eu_g_konfidensniveau,0,1)-Eu_tabel_g[[#This Row],[x base]],0,1,TRUE)</f>
        <v>0.18989470713955475</v>
      </c>
      <c r="CI107" s="54">
        <f>1-_xlfn.NORM.DIST(_xlfn.NORM.INV(Eu_g_konfidensniveau,0,1)-Eu_tabel_g[[#This Row],[x base]],0,1,TRUE)</f>
        <v>7.9452059958896593E-3</v>
      </c>
      <c r="CJ107" s="54">
        <f>_xlfn.NORM.DIST(_xlfn.NORM.INV((1-Eu_g_konfidensniveau)/2,0,1)-Eu_tabel_g[[#This Row],[x base]],0,1,TRUE)+1-_xlfn.NORM.DIST(_xlfn.NORM.INV(1-(1-Eu_g_konfidensniveau)/2,0,1)-Eu_tabel_g[[#This Row],[x base]],0,1,TRUE)</f>
        <v>0.1195575842137484</v>
      </c>
      <c r="CK107" s="54" t="e" cm="1">
        <f t="array" ref="CK107">IF($CK$3,INDEX(Eu_tabel_g[[#This Row],[Styrke venstre]:[Styrke tosidet]],CK$7),NA())</f>
        <v>#N/A</v>
      </c>
      <c r="CL107" s="99" t="e">
        <f>Eu_tabel_g[[#This Row],[Falsk positiv
Nulhypotese accepteres
Fejltype 1]]</f>
        <v>#N/A</v>
      </c>
      <c r="CM107" s="99" t="e">
        <f>IF(CHOOSE(CK$7,Eu_tabel_g[[#This Row],[x base]]&gt;0,Eu_tabel_g[[#This Row],[x base]]&lt;0,Eu_tabel_g[[#This Row],[x base]]=0),Eu_tabel_g[[#This Row],[Styrke, aktiv]],NA())</f>
        <v>#N/A</v>
      </c>
      <c r="CN107" s="99" t="e">
        <f>IFERROR(IF($CK$3,Eu_tabel_g[[#This Row],[Styrke, aktiv]],NA()),NA())</f>
        <v>#N/A</v>
      </c>
      <c r="CO107" s="99" t="e">
        <f>IF(ISNA(Eu_tabel_g[[#This Row],[Sand negativ
Nulhypotese afvises
Korrekt]]),NA(),IF($CK$3,1,NA()))</f>
        <v>#N/A</v>
      </c>
      <c r="CP107" s="56" t="str" cm="1">
        <f t="array" ref="CP107">_xlfn.SWITCH(BS107,_xlfn.IFNA(CN$2,-99),CN$5,_xlfn.IFNA(CN$3,-99),CN$6,_xlfn.IFNA(CN$4,-99),CN$7,"")</f>
        <v/>
      </c>
      <c r="CT107" s="7">
        <f t="shared" si="172"/>
        <v>0.8</v>
      </c>
      <c r="CU107">
        <f>IF(ROW(Styrkeberegning_G[[#This Row],[X base venstre]])=ROW(Styrkeberegning_G[[#Headers],[X base venstre]])+1,CU$7/(CT$7/$B$67),CU106/(CT106/$B$67))</f>
        <v>-2.8015817870135784</v>
      </c>
      <c r="CV107">
        <f>Styrkeberegning_G[[#This Row],[X base venstre]]*-1</f>
        <v>2.8015817870135784</v>
      </c>
      <c r="DG107" s="54">
        <f t="shared" si="173"/>
        <v>97</v>
      </c>
      <c r="DH107" s="54">
        <f t="shared" si="174"/>
        <v>98</v>
      </c>
      <c r="DI107" s="54">
        <f t="shared" si="175"/>
        <v>12.898725737102788</v>
      </c>
      <c r="DJ107" s="54" t="e">
        <f t="shared" si="176"/>
        <v>#N/A</v>
      </c>
      <c r="DK107" s="54" t="e">
        <f t="shared" si="177"/>
        <v>#N/A</v>
      </c>
      <c r="DL107" s="54">
        <f t="shared" si="178"/>
        <v>6.6376781466230855E-2</v>
      </c>
      <c r="DM107" s="54" t="e">
        <f t="shared" si="179"/>
        <v>#N/A</v>
      </c>
      <c r="DN107" s="54" t="b">
        <f t="shared" si="180"/>
        <v>0</v>
      </c>
      <c r="DO107" s="54" t="b">
        <f t="shared" si="181"/>
        <v>1</v>
      </c>
      <c r="DP107" s="54" t="b">
        <f t="shared" si="182"/>
        <v>0</v>
      </c>
      <c r="DQ107" s="54" t="b">
        <f t="shared" si="183"/>
        <v>1</v>
      </c>
      <c r="DR107" s="54">
        <f t="shared" si="184"/>
        <v>6.6376781466230855E-2</v>
      </c>
      <c r="DS107" s="54" t="e">
        <f t="shared" si="185"/>
        <v>#N/A</v>
      </c>
      <c r="DT107" s="54">
        <f t="shared" si="186"/>
        <v>6.6376781466230855E-2</v>
      </c>
      <c r="DU107" s="72" t="str">
        <f t="shared" si="187"/>
        <v/>
      </c>
      <c r="DZ107" s="54">
        <f t="shared" si="188"/>
        <v>97</v>
      </c>
      <c r="EA107" s="54">
        <f t="shared" si="189"/>
        <v>98</v>
      </c>
      <c r="EB107" s="54">
        <f t="shared" si="190"/>
        <v>-0.76656925424317857</v>
      </c>
      <c r="EC107" s="54">
        <f t="shared" si="191"/>
        <v>0.29737754743782796</v>
      </c>
      <c r="ED107" s="54" t="e">
        <f t="shared" si="192"/>
        <v>#N/A</v>
      </c>
      <c r="EE107" s="54" t="e">
        <f t="shared" si="193"/>
        <v>#N/A</v>
      </c>
      <c r="EF107" s="54" t="e">
        <f t="shared" si="194"/>
        <v>#N/A</v>
      </c>
      <c r="EG107" s="54" t="b">
        <f t="shared" si="195"/>
        <v>0</v>
      </c>
      <c r="EH107" s="54" t="b">
        <f t="shared" si="196"/>
        <v>1</v>
      </c>
      <c r="EI107" s="54" t="b">
        <f t="shared" si="197"/>
        <v>0</v>
      </c>
      <c r="EJ107" s="54" t="b">
        <f t="shared" si="198"/>
        <v>1</v>
      </c>
      <c r="EK107" s="54">
        <f t="shared" si="199"/>
        <v>0.29737754743782796</v>
      </c>
      <c r="EL107" s="54" t="e">
        <f t="shared" si="200"/>
        <v>#N/A</v>
      </c>
      <c r="EM107" s="54">
        <f t="shared" si="201"/>
        <v>0.29737754743782796</v>
      </c>
      <c r="EN107" s="72" t="str">
        <f t="shared" si="202"/>
        <v/>
      </c>
      <c r="EO10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0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0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07" s="54" t="e" cm="1">
        <f t="array" ref="ER107">IF($CK$3,INDEX(Eu_tabel_a[[#This Row],[Styrke venstre]:[Styrke tosidet]],ER$7),NA())</f>
        <v>#N/A</v>
      </c>
      <c r="ES107" s="54" t="e">
        <f>IF(ER$3,IF(CHOOSE(ER$7,Eu_tabel_a[[#This Row],[x base]]&gt;0,Eu_tabel_a[[#This Row],[x base]]&lt;0,Eu_tabel_a[[#This Row],[x base]]=0),1,NA()),NA())</f>
        <v>#N/A</v>
      </c>
      <c r="ET107" s="54" t="e">
        <f>IF(CHOOSE(ER$7,Eu_tabel_a[[#This Row],[x base]]&gt;0,Eu_tabel_a[[#This Row],[x base]]&lt;0,Eu_tabel_a[[#This Row],[x base]]=0),Eu_tabel_a[[#This Row],[Styrke, aktiv]],NA())</f>
        <v>#N/A</v>
      </c>
      <c r="EU107" s="54" t="e">
        <f>IFERROR(IF($ER$3,Eu_tabel_a[[#This Row],[Styrke, aktiv]],NA()),NA())</f>
        <v>#N/A</v>
      </c>
      <c r="EV107" s="54" t="e">
        <f>IF(ISNA(Eu_tabel_a[[#This Row],[Sand negativ
Nulhypotese afvises
Korrekt]]),NA(),IF(ER$3,1,NA()))</f>
        <v>#N/A</v>
      </c>
      <c r="EW107" s="55" t="str" cm="1">
        <f t="array" ref="EW107">IFERROR(_xlfn.SWITCH(Eu_tabel_a[[#This Row],[Indeks]],_xlfn.IFNA(EU$2,-99),EU$5,_xlfn.IFNA(EU$3,-99),EU$6,_xlfn.IFNA(EU$4,-99),EU$7,""),"")</f>
        <v/>
      </c>
      <c r="EX107" s="54">
        <f>Eu_tabel_a[[#This Row],[x base]]*SQRT(Eu_a_h0_x*(1-Eu_a_h0_x)/Eu_a_n_x)+Eu_a_h0_x</f>
        <v>0</v>
      </c>
      <c r="FC107" s="161" t="e">
        <f t="shared" si="146"/>
        <v>#N/A</v>
      </c>
      <c r="FD107" s="169" t="e">
        <f t="shared" si="234"/>
        <v>#DIV/0!</v>
      </c>
      <c r="FE107" s="7" t="e">
        <f t="shared" si="140"/>
        <v>#DIV/0!</v>
      </c>
      <c r="FF107" t="e">
        <f t="shared" si="235"/>
        <v>#DIV/0!</v>
      </c>
      <c r="FG107" s="8" t="e">
        <f t="shared" si="236"/>
        <v>#DIV/0!</v>
      </c>
      <c r="FH107" s="8" t="e">
        <f t="shared" si="237"/>
        <v>#DIV/0!</v>
      </c>
      <c r="FI107" s="168" t="e">
        <f t="shared" si="238"/>
        <v>#DIV/0!</v>
      </c>
      <c r="FJ107" s="161" t="e">
        <f t="shared" ca="1" si="141"/>
        <v>#N/A</v>
      </c>
      <c r="FK107" s="169" t="e" vm="3">
        <f t="shared" ca="1" si="147"/>
        <v>#VALUE!</v>
      </c>
      <c r="FL107" s="7" t="e" vm="3">
        <f t="shared" ca="1" si="142"/>
        <v>#VALUE!</v>
      </c>
      <c r="FM107" t="e" vm="3">
        <f t="shared" ca="1" si="136"/>
        <v>#VALUE!</v>
      </c>
      <c r="FN107" s="8" t="e" vm="3">
        <f t="shared" ca="1" si="137"/>
        <v>#VALUE!</v>
      </c>
      <c r="FO107" s="8" t="e" vm="3">
        <f t="shared" ca="1" si="138"/>
        <v>#VALUE!</v>
      </c>
      <c r="FP107" s="168" t="e" vm="3">
        <f t="shared" ca="1" si="139"/>
        <v>#VALUE!</v>
      </c>
      <c r="FQ107" s="161" t="e">
        <f t="shared" si="143"/>
        <v>#N/A</v>
      </c>
      <c r="FR107" s="169" t="e">
        <f t="shared" si="148"/>
        <v>#N/A</v>
      </c>
      <c r="FS107" s="7" t="e">
        <f t="shared" si="144"/>
        <v>#N/A</v>
      </c>
      <c r="FT107" t="e">
        <f t="shared" si="149"/>
        <v>#N/A</v>
      </c>
      <c r="FU107" s="8" t="e">
        <f t="shared" si="150"/>
        <v>#N/A</v>
      </c>
      <c r="FV107" s="8" t="e">
        <f t="shared" si="151"/>
        <v>#N/A</v>
      </c>
      <c r="FW107" s="168" t="e">
        <f t="shared" si="152"/>
        <v>#N/A</v>
      </c>
      <c r="FX107" s="161" t="e">
        <f t="shared" si="153"/>
        <v>#N/A</v>
      </c>
      <c r="FY107" s="169" t="e">
        <f t="shared" si="154"/>
        <v>#N/A</v>
      </c>
      <c r="FZ107" s="7" t="e">
        <f t="shared" si="145"/>
        <v>#N/A</v>
      </c>
      <c r="GA107" t="e">
        <f t="shared" si="155"/>
        <v>#N/A</v>
      </c>
      <c r="GB107" s="8" t="e">
        <f t="shared" si="156"/>
        <v>#N/A</v>
      </c>
      <c r="GC107" s="8" t="e">
        <f t="shared" si="157"/>
        <v>#N/A</v>
      </c>
      <c r="GD107" s="168" t="e">
        <f t="shared" si="158"/>
        <v>#N/A</v>
      </c>
      <c r="GE107" s="168"/>
      <c r="GF107" s="168"/>
      <c r="GI107" s="54">
        <f t="shared" si="203"/>
        <v>97</v>
      </c>
      <c r="GJ107" s="54">
        <f t="shared" si="204"/>
        <v>98</v>
      </c>
      <c r="GK107" s="54">
        <f t="shared" si="205"/>
        <v>-0.76656925424317857</v>
      </c>
      <c r="GL107" s="54">
        <f t="shared" si="206"/>
        <v>0.29737754743782796</v>
      </c>
      <c r="GM107" s="54" t="e">
        <f t="shared" si="207"/>
        <v>#N/A</v>
      </c>
      <c r="GN107" s="54" t="e">
        <f t="shared" si="208"/>
        <v>#N/A</v>
      </c>
      <c r="GO107" s="54" t="e">
        <f t="shared" si="209"/>
        <v>#N/A</v>
      </c>
      <c r="GP107" s="54" t="b">
        <f t="shared" si="210"/>
        <v>0</v>
      </c>
      <c r="GQ107" s="54" t="b">
        <f t="shared" si="211"/>
        <v>1</v>
      </c>
      <c r="GR107" s="54" t="b">
        <f t="shared" si="212"/>
        <v>0</v>
      </c>
      <c r="GS107" s="54" t="b">
        <f t="shared" si="213"/>
        <v>1</v>
      </c>
      <c r="GT107" s="54">
        <f t="shared" si="214"/>
        <v>0.29737754743782796</v>
      </c>
      <c r="GU107" s="54" t="e">
        <f t="shared" si="215"/>
        <v>#N/A</v>
      </c>
      <c r="GV107" s="54">
        <f t="shared" si="216"/>
        <v>0.29737754743782796</v>
      </c>
      <c r="GW107" s="72" t="str">
        <f t="shared" si="217"/>
        <v/>
      </c>
      <c r="HC107" s="54">
        <f t="shared" si="218"/>
        <v>97</v>
      </c>
      <c r="HD107" s="54">
        <f t="shared" si="219"/>
        <v>98</v>
      </c>
      <c r="HE107" s="54">
        <f t="shared" si="220"/>
        <v>-1.1870485900498191</v>
      </c>
      <c r="HF107" s="54" t="e">
        <f t="shared" si="221"/>
        <v>#N/A</v>
      </c>
      <c r="HG107" s="54">
        <f t="shared" si="222"/>
        <v>0.18486232434663522</v>
      </c>
      <c r="HH107" s="54" t="e">
        <f t="shared" si="223"/>
        <v>#N/A</v>
      </c>
      <c r="HI107" s="54" t="e">
        <f t="shared" si="224"/>
        <v>#N/A</v>
      </c>
      <c r="HJ107" s="54" t="b">
        <f t="shared" si="225"/>
        <v>1</v>
      </c>
      <c r="HK107" s="54" t="b">
        <f t="shared" si="226"/>
        <v>0</v>
      </c>
      <c r="HL107" s="54" t="b">
        <f t="shared" si="227"/>
        <v>0</v>
      </c>
      <c r="HM107" s="54" t="b">
        <f t="shared" si="228"/>
        <v>1</v>
      </c>
      <c r="HN107" s="54">
        <f t="shared" si="229"/>
        <v>0.18486232434663522</v>
      </c>
      <c r="HO107" s="54">
        <f t="shared" si="230"/>
        <v>0.18486232434663522</v>
      </c>
      <c r="HP107" s="54" t="e">
        <f t="shared" si="231"/>
        <v>#N/A</v>
      </c>
      <c r="HQ107" s="72" t="str">
        <f t="shared" si="232"/>
        <v/>
      </c>
    </row>
    <row r="108" spans="71:225" x14ac:dyDescent="0.2">
      <c r="BS108" s="54">
        <f t="shared" si="159"/>
        <v>98</v>
      </c>
      <c r="BT108" s="54">
        <f>Eu_tabel_g[[#This Row],[Indeks]]+1</f>
        <v>99</v>
      </c>
      <c r="BU108" s="54">
        <f t="shared" si="160"/>
        <v>-0.74261396504807919</v>
      </c>
      <c r="BV108" s="54">
        <f t="shared" si="161"/>
        <v>0.30280196023421319</v>
      </c>
      <c r="BW108" s="54" t="e">
        <f t="shared" si="162"/>
        <v>#N/A</v>
      </c>
      <c r="BX108" s="54" t="e">
        <f t="shared" si="163"/>
        <v>#N/A</v>
      </c>
      <c r="BY108" s="54" t="e">
        <f t="shared" si="164"/>
        <v>#N/A</v>
      </c>
      <c r="BZ108" s="54" t="b">
        <f t="shared" si="165"/>
        <v>0</v>
      </c>
      <c r="CA108" s="54" t="b">
        <f t="shared" si="166"/>
        <v>1</v>
      </c>
      <c r="CB108" s="54" t="b">
        <f t="shared" si="167"/>
        <v>0</v>
      </c>
      <c r="CC108" s="54" t="b">
        <f t="shared" si="168"/>
        <v>1</v>
      </c>
      <c r="CD108" s="54">
        <f t="shared" si="233"/>
        <v>0.30280196023421319</v>
      </c>
      <c r="CE108" s="54" t="e">
        <f t="shared" si="169"/>
        <v>#N/A</v>
      </c>
      <c r="CF108" s="54">
        <f t="shared" si="170"/>
        <v>0.30280196023421319</v>
      </c>
      <c r="CG108" s="72" t="str">
        <f t="shared" si="171"/>
        <v/>
      </c>
      <c r="CH108" s="54">
        <f>_xlfn.NORM.DIST(_xlfn.NORM.INV(1-Eu_g_konfidensniveau,0,1)-Eu_tabel_g[[#This Row],[x base]],0,1,TRUE)</f>
        <v>0.18346478506147446</v>
      </c>
      <c r="CI108" s="54">
        <f>1-_xlfn.NORM.DIST(_xlfn.NORM.INV(Eu_g_konfidensniveau,0,1)-Eu_tabel_g[[#This Row],[x base]],0,1,TRUE)</f>
        <v>8.4824492137562935E-3</v>
      </c>
      <c r="CJ108" s="54">
        <f>_xlfn.NORM.DIST(_xlfn.NORM.INV((1-Eu_g_konfidensniveau)/2,0,1)-Eu_tabel_g[[#This Row],[x base]],0,1,TRUE)+1-_xlfn.NORM.DIST(_xlfn.NORM.INV(1-(1-Eu_g_konfidensniveau)/2,0,1)-Eu_tabel_g[[#This Row],[x base]],0,1,TRUE)</f>
        <v>0.11517573781410373</v>
      </c>
      <c r="CK108" s="54" t="e" cm="1">
        <f t="array" ref="CK108">IF($CK$3,INDEX(Eu_tabel_g[[#This Row],[Styrke venstre]:[Styrke tosidet]],CK$7),NA())</f>
        <v>#N/A</v>
      </c>
      <c r="CL108" s="99" t="e">
        <f>Eu_tabel_g[[#This Row],[Falsk positiv
Nulhypotese accepteres
Fejltype 1]]</f>
        <v>#N/A</v>
      </c>
      <c r="CM108" s="99" t="e">
        <f>IF(CHOOSE(CK$7,Eu_tabel_g[[#This Row],[x base]]&gt;0,Eu_tabel_g[[#This Row],[x base]]&lt;0,Eu_tabel_g[[#This Row],[x base]]=0),Eu_tabel_g[[#This Row],[Styrke, aktiv]],NA())</f>
        <v>#N/A</v>
      </c>
      <c r="CN108" s="99" t="e">
        <f>IFERROR(IF($CK$3,Eu_tabel_g[[#This Row],[Styrke, aktiv]],NA()),NA())</f>
        <v>#N/A</v>
      </c>
      <c r="CO108" s="99" t="e">
        <f>IF(ISNA(Eu_tabel_g[[#This Row],[Sand negativ
Nulhypotese afvises
Korrekt]]),NA(),IF($CK$3,1,NA()))</f>
        <v>#N/A</v>
      </c>
      <c r="CP108" s="56" t="str" cm="1">
        <f t="array" ref="CP108">_xlfn.SWITCH(BS108,_xlfn.IFNA(CN$2,-99),CN$5,_xlfn.IFNA(CN$3,-99),CN$6,_xlfn.IFNA(CN$4,-99),CN$7,"")</f>
        <v/>
      </c>
      <c r="CT108" s="7">
        <f t="shared" si="172"/>
        <v>0.8</v>
      </c>
      <c r="CU108">
        <f>IF(ROW(Styrkeberegning_G[[#This Row],[X base venstre]])=ROW(Styrkeberegning_G[[#Headers],[X base venstre]])+1,CU$7/(CT$7/$B$67),CU107/(CT107/$B$67))</f>
        <v>-2.8015817870135784</v>
      </c>
      <c r="CV108">
        <f>Styrkeberegning_G[[#This Row],[X base venstre]]*-1</f>
        <v>2.8015817870135784</v>
      </c>
      <c r="DG108" s="54">
        <f t="shared" si="173"/>
        <v>98</v>
      </c>
      <c r="DH108" s="54">
        <f t="shared" si="174"/>
        <v>99</v>
      </c>
      <c r="DI108" s="54">
        <f t="shared" si="175"/>
        <v>13.01279659351979</v>
      </c>
      <c r="DJ108" s="54" t="e">
        <f t="shared" si="176"/>
        <v>#N/A</v>
      </c>
      <c r="DK108" s="54" t="e">
        <f t="shared" si="177"/>
        <v>#N/A</v>
      </c>
      <c r="DL108" s="54">
        <f t="shared" si="178"/>
        <v>6.5230884240782203E-2</v>
      </c>
      <c r="DM108" s="54" t="e">
        <f t="shared" si="179"/>
        <v>#N/A</v>
      </c>
      <c r="DN108" s="54" t="b">
        <f t="shared" si="180"/>
        <v>0</v>
      </c>
      <c r="DO108" s="54" t="b">
        <f t="shared" si="181"/>
        <v>1</v>
      </c>
      <c r="DP108" s="54" t="b">
        <f t="shared" si="182"/>
        <v>0</v>
      </c>
      <c r="DQ108" s="54" t="b">
        <f t="shared" si="183"/>
        <v>1</v>
      </c>
      <c r="DR108" s="54">
        <f t="shared" si="184"/>
        <v>6.5230884240782203E-2</v>
      </c>
      <c r="DS108" s="54" t="e">
        <f t="shared" si="185"/>
        <v>#N/A</v>
      </c>
      <c r="DT108" s="54">
        <f t="shared" si="186"/>
        <v>6.5230884240782203E-2</v>
      </c>
      <c r="DU108" s="72" t="str">
        <f t="shared" si="187"/>
        <v/>
      </c>
      <c r="DZ108" s="54">
        <f t="shared" si="188"/>
        <v>98</v>
      </c>
      <c r="EA108" s="54">
        <f t="shared" si="189"/>
        <v>99</v>
      </c>
      <c r="EB108" s="54">
        <f t="shared" si="190"/>
        <v>-0.74261396504807919</v>
      </c>
      <c r="EC108" s="54">
        <f t="shared" si="191"/>
        <v>0.30280196023421319</v>
      </c>
      <c r="ED108" s="54" t="e">
        <f t="shared" si="192"/>
        <v>#N/A</v>
      </c>
      <c r="EE108" s="54" t="e">
        <f t="shared" si="193"/>
        <v>#N/A</v>
      </c>
      <c r="EF108" s="54" t="e">
        <f t="shared" si="194"/>
        <v>#N/A</v>
      </c>
      <c r="EG108" s="54" t="b">
        <f t="shared" si="195"/>
        <v>0</v>
      </c>
      <c r="EH108" s="54" t="b">
        <f t="shared" si="196"/>
        <v>1</v>
      </c>
      <c r="EI108" s="54" t="b">
        <f t="shared" si="197"/>
        <v>0</v>
      </c>
      <c r="EJ108" s="54" t="b">
        <f t="shared" si="198"/>
        <v>1</v>
      </c>
      <c r="EK108" s="54">
        <f t="shared" si="199"/>
        <v>0.30280196023421319</v>
      </c>
      <c r="EL108" s="54" t="e">
        <f t="shared" si="200"/>
        <v>#N/A</v>
      </c>
      <c r="EM108" s="54">
        <f t="shared" si="201"/>
        <v>0.30280196023421319</v>
      </c>
      <c r="EN108" s="72" t="str">
        <f t="shared" si="202"/>
        <v/>
      </c>
      <c r="EO10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0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0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08" s="54" t="e" cm="1">
        <f t="array" ref="ER108">IF($CK$3,INDEX(Eu_tabel_a[[#This Row],[Styrke venstre]:[Styrke tosidet]],ER$7),NA())</f>
        <v>#N/A</v>
      </c>
      <c r="ES108" s="54" t="e">
        <f>IF(ER$3,IF(CHOOSE(ER$7,Eu_tabel_a[[#This Row],[x base]]&gt;0,Eu_tabel_a[[#This Row],[x base]]&lt;0,Eu_tabel_a[[#This Row],[x base]]=0),1,NA()),NA())</f>
        <v>#N/A</v>
      </c>
      <c r="ET108" s="54" t="e">
        <f>IF(CHOOSE(ER$7,Eu_tabel_a[[#This Row],[x base]]&gt;0,Eu_tabel_a[[#This Row],[x base]]&lt;0,Eu_tabel_a[[#This Row],[x base]]=0),Eu_tabel_a[[#This Row],[Styrke, aktiv]],NA())</f>
        <v>#N/A</v>
      </c>
      <c r="EU108" s="54" t="e">
        <f>IFERROR(IF($ER$3,Eu_tabel_a[[#This Row],[Styrke, aktiv]],NA()),NA())</f>
        <v>#N/A</v>
      </c>
      <c r="EV108" s="54" t="e">
        <f>IF(ISNA(Eu_tabel_a[[#This Row],[Sand negativ
Nulhypotese afvises
Korrekt]]),NA(),IF(ER$3,1,NA()))</f>
        <v>#N/A</v>
      </c>
      <c r="EW108" s="55" t="str" cm="1">
        <f t="array" ref="EW108">IFERROR(_xlfn.SWITCH(Eu_tabel_a[[#This Row],[Indeks]],_xlfn.IFNA(EU$2,-99),EU$5,_xlfn.IFNA(EU$3,-99),EU$6,_xlfn.IFNA(EU$4,-99),EU$7,""),"")</f>
        <v/>
      </c>
      <c r="EX108" s="54">
        <f>Eu_tabel_a[[#This Row],[x base]]*SQRT(Eu_a_h0_x*(1-Eu_a_h0_x)/Eu_a_n_x)+Eu_a_h0_x</f>
        <v>0</v>
      </c>
      <c r="FC108" s="161" t="e">
        <f t="shared" si="146"/>
        <v>#N/A</v>
      </c>
      <c r="FD108" s="169" t="e">
        <f t="shared" si="234"/>
        <v>#DIV/0!</v>
      </c>
      <c r="FE108" s="7" t="e">
        <f t="shared" si="140"/>
        <v>#DIV/0!</v>
      </c>
      <c r="FF108" t="e">
        <f t="shared" si="235"/>
        <v>#DIV/0!</v>
      </c>
      <c r="FG108" s="8" t="e">
        <f t="shared" si="236"/>
        <v>#DIV/0!</v>
      </c>
      <c r="FH108" s="8" t="e">
        <f t="shared" si="237"/>
        <v>#DIV/0!</v>
      </c>
      <c r="FI108" s="168" t="e">
        <f t="shared" si="238"/>
        <v>#DIV/0!</v>
      </c>
      <c r="FJ108" s="161" t="e">
        <f t="shared" ca="1" si="141"/>
        <v>#N/A</v>
      </c>
      <c r="FK108" s="169" t="e" vm="3">
        <f t="shared" ca="1" si="147"/>
        <v>#VALUE!</v>
      </c>
      <c r="FL108" s="7" t="e" vm="3">
        <f t="shared" ca="1" si="142"/>
        <v>#VALUE!</v>
      </c>
      <c r="FM108" t="e" vm="3">
        <f t="shared" ca="1" si="136"/>
        <v>#VALUE!</v>
      </c>
      <c r="FN108" s="8" t="e" vm="3">
        <f t="shared" ca="1" si="137"/>
        <v>#VALUE!</v>
      </c>
      <c r="FO108" s="8" t="e" vm="3">
        <f t="shared" ca="1" si="138"/>
        <v>#VALUE!</v>
      </c>
      <c r="FP108" s="168" t="e" vm="3">
        <f t="shared" ca="1" si="139"/>
        <v>#VALUE!</v>
      </c>
      <c r="FQ108" s="161" t="e">
        <f t="shared" si="143"/>
        <v>#N/A</v>
      </c>
      <c r="FR108" s="169" t="e">
        <f t="shared" si="148"/>
        <v>#N/A</v>
      </c>
      <c r="FS108" s="7" t="e">
        <f t="shared" si="144"/>
        <v>#N/A</v>
      </c>
      <c r="FT108" t="e">
        <f t="shared" si="149"/>
        <v>#N/A</v>
      </c>
      <c r="FU108" s="8" t="e">
        <f t="shared" si="150"/>
        <v>#N/A</v>
      </c>
      <c r="FV108" s="8" t="e">
        <f t="shared" si="151"/>
        <v>#N/A</v>
      </c>
      <c r="FW108" s="168" t="e">
        <f t="shared" si="152"/>
        <v>#N/A</v>
      </c>
      <c r="FX108" s="161" t="e">
        <f t="shared" si="153"/>
        <v>#N/A</v>
      </c>
      <c r="FY108" s="169" t="e">
        <f t="shared" si="154"/>
        <v>#N/A</v>
      </c>
      <c r="FZ108" s="7" t="e">
        <f t="shared" si="145"/>
        <v>#N/A</v>
      </c>
      <c r="GA108" t="e">
        <f t="shared" si="155"/>
        <v>#N/A</v>
      </c>
      <c r="GB108" s="8" t="e">
        <f t="shared" si="156"/>
        <v>#N/A</v>
      </c>
      <c r="GC108" s="8" t="e">
        <f t="shared" si="157"/>
        <v>#N/A</v>
      </c>
      <c r="GD108" s="168" t="e">
        <f t="shared" si="158"/>
        <v>#N/A</v>
      </c>
      <c r="GE108" s="168"/>
      <c r="GF108" s="168"/>
      <c r="GI108" s="54">
        <f t="shared" si="203"/>
        <v>98</v>
      </c>
      <c r="GJ108" s="54">
        <f t="shared" si="204"/>
        <v>99</v>
      </c>
      <c r="GK108" s="54">
        <f t="shared" si="205"/>
        <v>-0.74261396504807919</v>
      </c>
      <c r="GL108" s="54">
        <f t="shared" si="206"/>
        <v>0.30280196023421319</v>
      </c>
      <c r="GM108" s="54" t="e">
        <f t="shared" si="207"/>
        <v>#N/A</v>
      </c>
      <c r="GN108" s="54" t="e">
        <f t="shared" si="208"/>
        <v>#N/A</v>
      </c>
      <c r="GO108" s="54" t="e">
        <f t="shared" si="209"/>
        <v>#N/A</v>
      </c>
      <c r="GP108" s="54" t="b">
        <f t="shared" si="210"/>
        <v>0</v>
      </c>
      <c r="GQ108" s="54" t="b">
        <f t="shared" si="211"/>
        <v>1</v>
      </c>
      <c r="GR108" s="54" t="b">
        <f t="shared" si="212"/>
        <v>0</v>
      </c>
      <c r="GS108" s="54" t="b">
        <f t="shared" si="213"/>
        <v>1</v>
      </c>
      <c r="GT108" s="54">
        <f t="shared" si="214"/>
        <v>0.30280196023421319</v>
      </c>
      <c r="GU108" s="54" t="e">
        <f t="shared" si="215"/>
        <v>#N/A</v>
      </c>
      <c r="GV108" s="54">
        <f t="shared" si="216"/>
        <v>0.30280196023421319</v>
      </c>
      <c r="GW108" s="72" t="str">
        <f t="shared" si="217"/>
        <v/>
      </c>
      <c r="HC108" s="54">
        <f t="shared" si="218"/>
        <v>98</v>
      </c>
      <c r="HD108" s="54">
        <f t="shared" si="219"/>
        <v>99</v>
      </c>
      <c r="HE108" s="54">
        <f t="shared" si="220"/>
        <v>-1.149953321610762</v>
      </c>
      <c r="HF108" s="54" t="e">
        <f t="shared" si="221"/>
        <v>#N/A</v>
      </c>
      <c r="HG108" s="54">
        <f t="shared" si="222"/>
        <v>0.19268612352727205</v>
      </c>
      <c r="HH108" s="54" t="e">
        <f t="shared" si="223"/>
        <v>#N/A</v>
      </c>
      <c r="HI108" s="54" t="e">
        <f t="shared" si="224"/>
        <v>#N/A</v>
      </c>
      <c r="HJ108" s="54" t="b">
        <f t="shared" si="225"/>
        <v>1</v>
      </c>
      <c r="HK108" s="54" t="b">
        <f t="shared" si="226"/>
        <v>0</v>
      </c>
      <c r="HL108" s="54" t="b">
        <f t="shared" si="227"/>
        <v>0</v>
      </c>
      <c r="HM108" s="54" t="b">
        <f t="shared" si="228"/>
        <v>1</v>
      </c>
      <c r="HN108" s="54">
        <f t="shared" si="229"/>
        <v>0.19268612352727205</v>
      </c>
      <c r="HO108" s="54">
        <f t="shared" si="230"/>
        <v>0.19268612352727205</v>
      </c>
      <c r="HP108" s="54" t="e">
        <f t="shared" si="231"/>
        <v>#N/A</v>
      </c>
      <c r="HQ108" s="72" t="str">
        <f t="shared" si="232"/>
        <v/>
      </c>
    </row>
    <row r="109" spans="71:225" x14ac:dyDescent="0.2">
      <c r="BS109" s="54">
        <f t="shared" si="159"/>
        <v>99</v>
      </c>
      <c r="BT109" s="54">
        <f>Eu_tabel_g[[#This Row],[Indeks]]+1</f>
        <v>100</v>
      </c>
      <c r="BU109" s="54">
        <f t="shared" si="160"/>
        <v>-0.71865867585297982</v>
      </c>
      <c r="BV109" s="54">
        <f t="shared" si="161"/>
        <v>0.30814843527368829</v>
      </c>
      <c r="BW109" s="54" t="e">
        <f t="shared" si="162"/>
        <v>#N/A</v>
      </c>
      <c r="BX109" s="54" t="e">
        <f t="shared" si="163"/>
        <v>#N/A</v>
      </c>
      <c r="BY109" s="54" t="e">
        <f t="shared" si="164"/>
        <v>#N/A</v>
      </c>
      <c r="BZ109" s="54" t="b">
        <f t="shared" si="165"/>
        <v>0</v>
      </c>
      <c r="CA109" s="54" t="b">
        <f t="shared" si="166"/>
        <v>1</v>
      </c>
      <c r="CB109" s="54" t="b">
        <f t="shared" si="167"/>
        <v>0</v>
      </c>
      <c r="CC109" s="54" t="b">
        <f t="shared" si="168"/>
        <v>1</v>
      </c>
      <c r="CD109" s="54">
        <f t="shared" si="233"/>
        <v>0.30814843527368829</v>
      </c>
      <c r="CE109" s="54" t="e">
        <f t="shared" si="169"/>
        <v>#N/A</v>
      </c>
      <c r="CF109" s="54">
        <f t="shared" si="170"/>
        <v>0.30814843527368829</v>
      </c>
      <c r="CG109" s="72" t="str">
        <f t="shared" si="171"/>
        <v/>
      </c>
      <c r="CH109" s="54">
        <f>_xlfn.NORM.DIST(_xlfn.NORM.INV(1-Eu_g_konfidensniveau,0,1)-Eu_tabel_g[[#This Row],[x base]],0,1,TRUE)</f>
        <v>0.17717233796114054</v>
      </c>
      <c r="CI109" s="54">
        <f>1-_xlfn.NORM.DIST(_xlfn.NORM.INV(Eu_g_konfidensniveau,0,1)-Eu_tabel_g[[#This Row],[x base]],0,1,TRUE)</f>
        <v>9.0513127949021221E-3</v>
      </c>
      <c r="CJ109" s="54">
        <f>_xlfn.NORM.DIST(_xlfn.NORM.INV((1-Eu_g_konfidensniveau)/2,0,1)-Eu_tabel_g[[#This Row],[x base]],0,1,TRUE)+1-_xlfn.NORM.DIST(_xlfn.NORM.INV(1-(1-Eu_g_konfidensniveau)/2,0,1)-Eu_tabel_g[[#This Row],[x base]],0,1,TRUE)</f>
        <v>0.11094277467154023</v>
      </c>
      <c r="CK109" s="54" t="e" cm="1">
        <f t="array" ref="CK109">IF($CK$3,INDEX(Eu_tabel_g[[#This Row],[Styrke venstre]:[Styrke tosidet]],CK$7),NA())</f>
        <v>#N/A</v>
      </c>
      <c r="CL109" s="99" t="e">
        <f>Eu_tabel_g[[#This Row],[Falsk positiv
Nulhypotese accepteres
Fejltype 1]]</f>
        <v>#N/A</v>
      </c>
      <c r="CM109" s="99" t="e">
        <f>IF(CHOOSE(CK$7,Eu_tabel_g[[#This Row],[x base]]&gt;0,Eu_tabel_g[[#This Row],[x base]]&lt;0,Eu_tabel_g[[#This Row],[x base]]=0),Eu_tabel_g[[#This Row],[Styrke, aktiv]],NA())</f>
        <v>#N/A</v>
      </c>
      <c r="CN109" s="99" t="e">
        <f>IFERROR(IF($CK$3,Eu_tabel_g[[#This Row],[Styrke, aktiv]],NA()),NA())</f>
        <v>#N/A</v>
      </c>
      <c r="CO109" s="99" t="e">
        <f>IF(ISNA(Eu_tabel_g[[#This Row],[Sand negativ
Nulhypotese afvises
Korrekt]]),NA(),IF($CK$3,1,NA()))</f>
        <v>#N/A</v>
      </c>
      <c r="CP109" s="56" t="str" cm="1">
        <f t="array" ref="CP109">_xlfn.SWITCH(BS109,_xlfn.IFNA(CN$2,-99),CN$5,_xlfn.IFNA(CN$3,-99),CN$6,_xlfn.IFNA(CN$4,-99),CN$7,"")</f>
        <v/>
      </c>
      <c r="CT109" s="7">
        <f t="shared" si="172"/>
        <v>0.8</v>
      </c>
      <c r="CU109">
        <f>IF(ROW(Styrkeberegning_G[[#This Row],[X base venstre]])=ROW(Styrkeberegning_G[[#Headers],[X base venstre]])+1,CU$7/(CT$7/$B$67),CU108/(CT108/$B$67))</f>
        <v>-2.8015817870135784</v>
      </c>
      <c r="CV109">
        <f>Styrkeberegning_G[[#This Row],[X base venstre]]*-1</f>
        <v>2.8015817870135784</v>
      </c>
      <c r="DG109" s="54">
        <f t="shared" si="173"/>
        <v>99</v>
      </c>
      <c r="DH109" s="54">
        <f t="shared" si="174"/>
        <v>100</v>
      </c>
      <c r="DI109" s="54">
        <f t="shared" si="175"/>
        <v>13.126867449936789</v>
      </c>
      <c r="DJ109" s="54" t="e">
        <f t="shared" si="176"/>
        <v>#N/A</v>
      </c>
      <c r="DK109" s="54" t="e">
        <f t="shared" si="177"/>
        <v>#N/A</v>
      </c>
      <c r="DL109" s="54">
        <f t="shared" si="178"/>
        <v>6.4082605014498681E-2</v>
      </c>
      <c r="DM109" s="54" t="e">
        <f t="shared" si="179"/>
        <v>#N/A</v>
      </c>
      <c r="DN109" s="54" t="b">
        <f t="shared" si="180"/>
        <v>0</v>
      </c>
      <c r="DO109" s="54" t="b">
        <f t="shared" si="181"/>
        <v>1</v>
      </c>
      <c r="DP109" s="54" t="b">
        <f t="shared" si="182"/>
        <v>0</v>
      </c>
      <c r="DQ109" s="54" t="b">
        <f t="shared" si="183"/>
        <v>1</v>
      </c>
      <c r="DR109" s="54">
        <f t="shared" si="184"/>
        <v>6.4082605014498681E-2</v>
      </c>
      <c r="DS109" s="54" t="e">
        <f t="shared" si="185"/>
        <v>#N/A</v>
      </c>
      <c r="DT109" s="54">
        <f t="shared" si="186"/>
        <v>6.4082605014498681E-2</v>
      </c>
      <c r="DU109" s="72" t="str">
        <f t="shared" si="187"/>
        <v/>
      </c>
      <c r="DZ109" s="54">
        <f t="shared" si="188"/>
        <v>99</v>
      </c>
      <c r="EA109" s="54">
        <f t="shared" si="189"/>
        <v>100</v>
      </c>
      <c r="EB109" s="54">
        <f t="shared" si="190"/>
        <v>-0.71865867585297982</v>
      </c>
      <c r="EC109" s="54">
        <f t="shared" si="191"/>
        <v>0.30814843527368829</v>
      </c>
      <c r="ED109" s="54" t="e">
        <f t="shared" si="192"/>
        <v>#N/A</v>
      </c>
      <c r="EE109" s="54" t="e">
        <f t="shared" si="193"/>
        <v>#N/A</v>
      </c>
      <c r="EF109" s="54" t="e">
        <f t="shared" si="194"/>
        <v>#N/A</v>
      </c>
      <c r="EG109" s="54" t="b">
        <f t="shared" si="195"/>
        <v>0</v>
      </c>
      <c r="EH109" s="54" t="b">
        <f t="shared" si="196"/>
        <v>1</v>
      </c>
      <c r="EI109" s="54" t="b">
        <f t="shared" si="197"/>
        <v>0</v>
      </c>
      <c r="EJ109" s="54" t="b">
        <f t="shared" si="198"/>
        <v>1</v>
      </c>
      <c r="EK109" s="54">
        <f t="shared" si="199"/>
        <v>0.30814843527368829</v>
      </c>
      <c r="EL109" s="54" t="e">
        <f t="shared" si="200"/>
        <v>#N/A</v>
      </c>
      <c r="EM109" s="54">
        <f t="shared" si="201"/>
        <v>0.30814843527368829</v>
      </c>
      <c r="EN109" s="72" t="str">
        <f t="shared" si="202"/>
        <v/>
      </c>
      <c r="EO10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0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0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09" s="54" t="e" cm="1">
        <f t="array" ref="ER109">IF($CK$3,INDEX(Eu_tabel_a[[#This Row],[Styrke venstre]:[Styrke tosidet]],ER$7),NA())</f>
        <v>#N/A</v>
      </c>
      <c r="ES109" s="54" t="e">
        <f>IF(ER$3,IF(CHOOSE(ER$7,Eu_tabel_a[[#This Row],[x base]]&gt;0,Eu_tabel_a[[#This Row],[x base]]&lt;0,Eu_tabel_a[[#This Row],[x base]]=0),1,NA()),NA())</f>
        <v>#N/A</v>
      </c>
      <c r="ET109" s="54" t="e">
        <f>IF(CHOOSE(ER$7,Eu_tabel_a[[#This Row],[x base]]&gt;0,Eu_tabel_a[[#This Row],[x base]]&lt;0,Eu_tabel_a[[#This Row],[x base]]=0),Eu_tabel_a[[#This Row],[Styrke, aktiv]],NA())</f>
        <v>#N/A</v>
      </c>
      <c r="EU109" s="54" t="e">
        <f>IFERROR(IF($ER$3,Eu_tabel_a[[#This Row],[Styrke, aktiv]],NA()),NA())</f>
        <v>#N/A</v>
      </c>
      <c r="EV109" s="54" t="e">
        <f>IF(ISNA(Eu_tabel_a[[#This Row],[Sand negativ
Nulhypotese afvises
Korrekt]]),NA(),IF(ER$3,1,NA()))</f>
        <v>#N/A</v>
      </c>
      <c r="EW109" s="55" t="str" cm="1">
        <f t="array" ref="EW109">IFERROR(_xlfn.SWITCH(Eu_tabel_a[[#This Row],[Indeks]],_xlfn.IFNA(EU$2,-99),EU$5,_xlfn.IFNA(EU$3,-99),EU$6,_xlfn.IFNA(EU$4,-99),EU$7,""),"")</f>
        <v/>
      </c>
      <c r="EX109" s="54">
        <f>Eu_tabel_a[[#This Row],[x base]]*SQRT(Eu_a_h0_x*(1-Eu_a_h0_x)/Eu_a_n_x)+Eu_a_h0_x</f>
        <v>0</v>
      </c>
      <c r="FC109" s="161" t="e">
        <f t="shared" si="146"/>
        <v>#N/A</v>
      </c>
      <c r="FD109" s="169" t="e">
        <f t="shared" si="234"/>
        <v>#DIV/0!</v>
      </c>
      <c r="FE109" s="7" t="e">
        <f t="shared" si="140"/>
        <v>#DIV/0!</v>
      </c>
      <c r="FF109" t="e">
        <f t="shared" si="235"/>
        <v>#DIV/0!</v>
      </c>
      <c r="FG109" s="8" t="e">
        <f t="shared" si="236"/>
        <v>#DIV/0!</v>
      </c>
      <c r="FH109" s="8" t="e">
        <f t="shared" si="237"/>
        <v>#DIV/0!</v>
      </c>
      <c r="FI109" s="168" t="e">
        <f t="shared" si="238"/>
        <v>#DIV/0!</v>
      </c>
      <c r="FJ109" s="161" t="e">
        <f t="shared" ca="1" si="141"/>
        <v>#N/A</v>
      </c>
      <c r="FK109" s="169" t="e" vm="3">
        <f t="shared" ca="1" si="147"/>
        <v>#VALUE!</v>
      </c>
      <c r="FL109" s="7" t="e" vm="3">
        <f t="shared" ca="1" si="142"/>
        <v>#VALUE!</v>
      </c>
      <c r="FM109" t="e" vm="3">
        <f t="shared" ca="1" si="136"/>
        <v>#VALUE!</v>
      </c>
      <c r="FN109" s="8" t="e" vm="3">
        <f t="shared" ca="1" si="137"/>
        <v>#VALUE!</v>
      </c>
      <c r="FO109" s="8" t="e" vm="3">
        <f t="shared" ca="1" si="138"/>
        <v>#VALUE!</v>
      </c>
      <c r="FP109" s="168" t="e" vm="3">
        <f t="shared" ca="1" si="139"/>
        <v>#VALUE!</v>
      </c>
      <c r="FQ109" s="161" t="e">
        <f t="shared" si="143"/>
        <v>#N/A</v>
      </c>
      <c r="FR109" s="169" t="e">
        <f t="shared" si="148"/>
        <v>#N/A</v>
      </c>
      <c r="FS109" s="7" t="e">
        <f t="shared" si="144"/>
        <v>#N/A</v>
      </c>
      <c r="FT109" t="e">
        <f t="shared" si="149"/>
        <v>#N/A</v>
      </c>
      <c r="FU109" s="8" t="e">
        <f t="shared" si="150"/>
        <v>#N/A</v>
      </c>
      <c r="FV109" s="8" t="e">
        <f t="shared" si="151"/>
        <v>#N/A</v>
      </c>
      <c r="FW109" s="168" t="e">
        <f t="shared" si="152"/>
        <v>#N/A</v>
      </c>
      <c r="FX109" s="161" t="e">
        <f t="shared" si="153"/>
        <v>#N/A</v>
      </c>
      <c r="FY109" s="169" t="e">
        <f t="shared" si="154"/>
        <v>#N/A</v>
      </c>
      <c r="FZ109" s="7" t="e">
        <f t="shared" si="145"/>
        <v>#N/A</v>
      </c>
      <c r="GA109" t="e">
        <f t="shared" si="155"/>
        <v>#N/A</v>
      </c>
      <c r="GB109" s="8" t="e">
        <f t="shared" si="156"/>
        <v>#N/A</v>
      </c>
      <c r="GC109" s="8" t="e">
        <f t="shared" si="157"/>
        <v>#N/A</v>
      </c>
      <c r="GD109" s="168" t="e">
        <f t="shared" si="158"/>
        <v>#N/A</v>
      </c>
      <c r="GE109" s="168"/>
      <c r="GF109" s="168"/>
      <c r="GI109" s="54">
        <f t="shared" si="203"/>
        <v>99</v>
      </c>
      <c r="GJ109" s="54">
        <f t="shared" si="204"/>
        <v>100</v>
      </c>
      <c r="GK109" s="54">
        <f t="shared" si="205"/>
        <v>-0.71865867585297982</v>
      </c>
      <c r="GL109" s="54">
        <f t="shared" si="206"/>
        <v>0.30814843527368829</v>
      </c>
      <c r="GM109" s="54" t="e">
        <f t="shared" si="207"/>
        <v>#N/A</v>
      </c>
      <c r="GN109" s="54" t="e">
        <f t="shared" si="208"/>
        <v>#N/A</v>
      </c>
      <c r="GO109" s="54" t="e">
        <f t="shared" si="209"/>
        <v>#N/A</v>
      </c>
      <c r="GP109" s="54" t="b">
        <f t="shared" si="210"/>
        <v>0</v>
      </c>
      <c r="GQ109" s="54" t="b">
        <f t="shared" si="211"/>
        <v>1</v>
      </c>
      <c r="GR109" s="54" t="b">
        <f t="shared" si="212"/>
        <v>0</v>
      </c>
      <c r="GS109" s="54" t="b">
        <f t="shared" si="213"/>
        <v>1</v>
      </c>
      <c r="GT109" s="54">
        <f t="shared" si="214"/>
        <v>0.30814843527368829</v>
      </c>
      <c r="GU109" s="54" t="e">
        <f t="shared" si="215"/>
        <v>#N/A</v>
      </c>
      <c r="GV109" s="54">
        <f t="shared" si="216"/>
        <v>0.30814843527368829</v>
      </c>
      <c r="GW109" s="72" t="str">
        <f t="shared" si="217"/>
        <v/>
      </c>
      <c r="HC109" s="54">
        <f t="shared" si="218"/>
        <v>99</v>
      </c>
      <c r="HD109" s="54">
        <f t="shared" si="219"/>
        <v>100</v>
      </c>
      <c r="HE109" s="54">
        <f t="shared" si="220"/>
        <v>-1.1128580531717054</v>
      </c>
      <c r="HF109" s="54" t="e">
        <f t="shared" si="221"/>
        <v>#N/A</v>
      </c>
      <c r="HG109" s="54">
        <f t="shared" si="222"/>
        <v>0.20065988647559618</v>
      </c>
      <c r="HH109" s="54" t="e">
        <f t="shared" si="223"/>
        <v>#N/A</v>
      </c>
      <c r="HI109" s="54" t="e">
        <f t="shared" si="224"/>
        <v>#N/A</v>
      </c>
      <c r="HJ109" s="54" t="b">
        <f t="shared" si="225"/>
        <v>1</v>
      </c>
      <c r="HK109" s="54" t="b">
        <f t="shared" si="226"/>
        <v>0</v>
      </c>
      <c r="HL109" s="54" t="b">
        <f t="shared" si="227"/>
        <v>0</v>
      </c>
      <c r="HM109" s="54" t="b">
        <f t="shared" si="228"/>
        <v>1</v>
      </c>
      <c r="HN109" s="54">
        <f t="shared" si="229"/>
        <v>0.20065988647559618</v>
      </c>
      <c r="HO109" s="54">
        <f t="shared" si="230"/>
        <v>0.20065988647559618</v>
      </c>
      <c r="HP109" s="54" t="e">
        <f t="shared" si="231"/>
        <v>#N/A</v>
      </c>
      <c r="HQ109" s="72" t="str">
        <f t="shared" si="232"/>
        <v/>
      </c>
    </row>
    <row r="110" spans="71:225" x14ac:dyDescent="0.2">
      <c r="BS110" s="54">
        <f t="shared" si="159"/>
        <v>100</v>
      </c>
      <c r="BT110" s="54">
        <f>Eu_tabel_g[[#This Row],[Indeks]]+1</f>
        <v>101</v>
      </c>
      <c r="BU110" s="54">
        <f t="shared" si="160"/>
        <v>-0.69470338665788045</v>
      </c>
      <c r="BV110" s="54">
        <f t="shared" si="161"/>
        <v>0.31340940782583288</v>
      </c>
      <c r="BW110" s="54" t="e">
        <f t="shared" si="162"/>
        <v>#N/A</v>
      </c>
      <c r="BX110" s="54" t="e">
        <f t="shared" si="163"/>
        <v>#N/A</v>
      </c>
      <c r="BY110" s="54" t="e">
        <f t="shared" si="164"/>
        <v>#N/A</v>
      </c>
      <c r="BZ110" s="54" t="b">
        <f t="shared" si="165"/>
        <v>0</v>
      </c>
      <c r="CA110" s="54" t="b">
        <f t="shared" si="166"/>
        <v>1</v>
      </c>
      <c r="CB110" s="54" t="b">
        <f t="shared" si="167"/>
        <v>0</v>
      </c>
      <c r="CC110" s="54" t="b">
        <f t="shared" si="168"/>
        <v>1</v>
      </c>
      <c r="CD110" s="54">
        <f t="shared" si="233"/>
        <v>0.31340940782583288</v>
      </c>
      <c r="CE110" s="54" t="e">
        <f t="shared" si="169"/>
        <v>#N/A</v>
      </c>
      <c r="CF110" s="54">
        <f t="shared" si="170"/>
        <v>0.31340940782583288</v>
      </c>
      <c r="CG110" s="72" t="str">
        <f t="shared" si="171"/>
        <v/>
      </c>
      <c r="CH110" s="54">
        <f>_xlfn.NORM.DIST(_xlfn.NORM.INV(1-Eu_g_konfidensniveau,0,1)-Eu_tabel_g[[#This Row],[x base]],0,1,TRUE)</f>
        <v>0.17101795912522497</v>
      </c>
      <c r="CI110" s="54">
        <f>1-_xlfn.NORM.DIST(_xlfn.NORM.INV(Eu_g_konfidensniveau,0,1)-Eu_tabel_g[[#This Row],[x base]],0,1,TRUE)</f>
        <v>9.6533122660337201E-3</v>
      </c>
      <c r="CJ110" s="54">
        <f>_xlfn.NORM.DIST(_xlfn.NORM.INV((1-Eu_g_konfidensniveau)/2,0,1)-Eu_tabel_g[[#This Row],[x base]],0,1,TRUE)+1-_xlfn.NORM.DIST(_xlfn.NORM.INV(1-(1-Eu_g_konfidensniveau)/2,0,1)-Eu_tabel_g[[#This Row],[x base]],0,1,TRUE)</f>
        <v>0.10685829537543157</v>
      </c>
      <c r="CK110" s="54" t="e" cm="1">
        <f t="array" ref="CK110">IF($CK$3,INDEX(Eu_tabel_g[[#This Row],[Styrke venstre]:[Styrke tosidet]],CK$7),NA())</f>
        <v>#N/A</v>
      </c>
      <c r="CL110" s="99" t="e">
        <f>Eu_tabel_g[[#This Row],[Falsk positiv
Nulhypotese accepteres
Fejltype 1]]</f>
        <v>#N/A</v>
      </c>
      <c r="CM110" s="99" t="e">
        <f>IF(CHOOSE(CK$7,Eu_tabel_g[[#This Row],[x base]]&gt;0,Eu_tabel_g[[#This Row],[x base]]&lt;0,Eu_tabel_g[[#This Row],[x base]]=0),Eu_tabel_g[[#This Row],[Styrke, aktiv]],NA())</f>
        <v>#N/A</v>
      </c>
      <c r="CN110" s="99" t="e">
        <f>IFERROR(IF($CK$3,Eu_tabel_g[[#This Row],[Styrke, aktiv]],NA()),NA())</f>
        <v>#N/A</v>
      </c>
      <c r="CO110" s="99" t="e">
        <f>IF(ISNA(Eu_tabel_g[[#This Row],[Sand negativ
Nulhypotese afvises
Korrekt]]),NA(),IF($CK$3,1,NA()))</f>
        <v>#N/A</v>
      </c>
      <c r="CP110" s="56" t="str" cm="1">
        <f t="array" ref="CP110">_xlfn.SWITCH(BS110,_xlfn.IFNA(CN$2,-99),CN$5,_xlfn.IFNA(CN$3,-99),CN$6,_xlfn.IFNA(CN$4,-99),CN$7,"")</f>
        <v/>
      </c>
      <c r="CT110" s="7">
        <f t="shared" si="172"/>
        <v>0.8</v>
      </c>
      <c r="CU110">
        <f>IF(ROW(Styrkeberegning_G[[#This Row],[X base venstre]])=ROW(Styrkeberegning_G[[#Headers],[X base venstre]])+1,CU$7/(CT$7/$B$67),CU109/(CT109/$B$67))</f>
        <v>-2.8015817870135784</v>
      </c>
      <c r="CV110">
        <f>Styrkeberegning_G[[#This Row],[X base venstre]]*-1</f>
        <v>2.8015817870135784</v>
      </c>
      <c r="DG110" s="54">
        <f t="shared" si="173"/>
        <v>100</v>
      </c>
      <c r="DH110" s="54">
        <f t="shared" si="174"/>
        <v>101</v>
      </c>
      <c r="DI110" s="54">
        <f t="shared" si="175"/>
        <v>13.24093830635379</v>
      </c>
      <c r="DJ110" s="54" t="e">
        <f t="shared" si="176"/>
        <v>#N/A</v>
      </c>
      <c r="DK110" s="54" t="e">
        <f t="shared" si="177"/>
        <v>#N/A</v>
      </c>
      <c r="DL110" s="54">
        <f t="shared" si="178"/>
        <v>6.293314936834786E-2</v>
      </c>
      <c r="DM110" s="54" t="e">
        <f t="shared" si="179"/>
        <v>#N/A</v>
      </c>
      <c r="DN110" s="54" t="b">
        <f t="shared" si="180"/>
        <v>0</v>
      </c>
      <c r="DO110" s="54" t="b">
        <f t="shared" si="181"/>
        <v>1</v>
      </c>
      <c r="DP110" s="54" t="b">
        <f t="shared" si="182"/>
        <v>0</v>
      </c>
      <c r="DQ110" s="54" t="b">
        <f t="shared" si="183"/>
        <v>1</v>
      </c>
      <c r="DR110" s="54">
        <f t="shared" si="184"/>
        <v>6.293314936834786E-2</v>
      </c>
      <c r="DS110" s="54" t="e">
        <f t="shared" si="185"/>
        <v>#N/A</v>
      </c>
      <c r="DT110" s="54">
        <f t="shared" si="186"/>
        <v>6.293314936834786E-2</v>
      </c>
      <c r="DU110" s="72" t="str">
        <f t="shared" si="187"/>
        <v/>
      </c>
      <c r="DZ110" s="54">
        <f t="shared" si="188"/>
        <v>100</v>
      </c>
      <c r="EA110" s="54">
        <f t="shared" si="189"/>
        <v>101</v>
      </c>
      <c r="EB110" s="54">
        <f t="shared" si="190"/>
        <v>-0.69470338665788045</v>
      </c>
      <c r="EC110" s="54">
        <f t="shared" si="191"/>
        <v>0.31340940782583288</v>
      </c>
      <c r="ED110" s="54" t="e">
        <f t="shared" si="192"/>
        <v>#N/A</v>
      </c>
      <c r="EE110" s="54" t="e">
        <f t="shared" si="193"/>
        <v>#N/A</v>
      </c>
      <c r="EF110" s="54" t="e">
        <f t="shared" si="194"/>
        <v>#N/A</v>
      </c>
      <c r="EG110" s="54" t="b">
        <f t="shared" si="195"/>
        <v>0</v>
      </c>
      <c r="EH110" s="54" t="b">
        <f t="shared" si="196"/>
        <v>1</v>
      </c>
      <c r="EI110" s="54" t="b">
        <f t="shared" si="197"/>
        <v>0</v>
      </c>
      <c r="EJ110" s="54" t="b">
        <f t="shared" si="198"/>
        <v>1</v>
      </c>
      <c r="EK110" s="54">
        <f t="shared" si="199"/>
        <v>0.31340940782583288</v>
      </c>
      <c r="EL110" s="54" t="e">
        <f t="shared" si="200"/>
        <v>#N/A</v>
      </c>
      <c r="EM110" s="54">
        <f t="shared" si="201"/>
        <v>0.31340940782583288</v>
      </c>
      <c r="EN110" s="72" t="str">
        <f t="shared" si="202"/>
        <v/>
      </c>
      <c r="EO11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1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1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10" s="54" t="e" cm="1">
        <f t="array" ref="ER110">IF($CK$3,INDEX(Eu_tabel_a[[#This Row],[Styrke venstre]:[Styrke tosidet]],ER$7),NA())</f>
        <v>#N/A</v>
      </c>
      <c r="ES110" s="54" t="e">
        <f>IF(ER$3,IF(CHOOSE(ER$7,Eu_tabel_a[[#This Row],[x base]]&gt;0,Eu_tabel_a[[#This Row],[x base]]&lt;0,Eu_tabel_a[[#This Row],[x base]]=0),1,NA()),NA())</f>
        <v>#N/A</v>
      </c>
      <c r="ET110" s="54" t="e">
        <f>IF(CHOOSE(ER$7,Eu_tabel_a[[#This Row],[x base]]&gt;0,Eu_tabel_a[[#This Row],[x base]]&lt;0,Eu_tabel_a[[#This Row],[x base]]=0),Eu_tabel_a[[#This Row],[Styrke, aktiv]],NA())</f>
        <v>#N/A</v>
      </c>
      <c r="EU110" s="54" t="e">
        <f>IFERROR(IF($ER$3,Eu_tabel_a[[#This Row],[Styrke, aktiv]],NA()),NA())</f>
        <v>#N/A</v>
      </c>
      <c r="EV110" s="54" t="e">
        <f>IF(ISNA(Eu_tabel_a[[#This Row],[Sand negativ
Nulhypotese afvises
Korrekt]]),NA(),IF(ER$3,1,NA()))</f>
        <v>#N/A</v>
      </c>
      <c r="EW110" s="55" t="str" cm="1">
        <f t="array" ref="EW110">IFERROR(_xlfn.SWITCH(Eu_tabel_a[[#This Row],[Indeks]],_xlfn.IFNA(EU$2,-99),EU$5,_xlfn.IFNA(EU$3,-99),EU$6,_xlfn.IFNA(EU$4,-99),EU$7,""),"")</f>
        <v/>
      </c>
      <c r="EX110" s="54">
        <f>Eu_tabel_a[[#This Row],[x base]]*SQRT(Eu_a_h0_x*(1-Eu_a_h0_x)/Eu_a_n_x)+Eu_a_h0_x</f>
        <v>0</v>
      </c>
      <c r="FC110" s="161" t="e">
        <f t="shared" si="146"/>
        <v>#N/A</v>
      </c>
      <c r="FD110" s="169" t="e">
        <f t="shared" si="234"/>
        <v>#DIV/0!</v>
      </c>
      <c r="FE110" s="7" t="e">
        <f t="shared" si="140"/>
        <v>#DIV/0!</v>
      </c>
      <c r="FF110" t="e">
        <f t="shared" si="235"/>
        <v>#DIV/0!</v>
      </c>
      <c r="FG110" s="8" t="e">
        <f t="shared" si="236"/>
        <v>#DIV/0!</v>
      </c>
      <c r="FH110" s="8" t="e">
        <f t="shared" si="237"/>
        <v>#DIV/0!</v>
      </c>
      <c r="FI110" s="168" t="e">
        <f t="shared" si="238"/>
        <v>#DIV/0!</v>
      </c>
      <c r="FJ110" s="161" t="e">
        <f t="shared" ca="1" si="141"/>
        <v>#N/A</v>
      </c>
      <c r="FK110" s="169" t="e" vm="3">
        <f t="shared" ca="1" si="147"/>
        <v>#VALUE!</v>
      </c>
      <c r="FL110" s="7" t="e" vm="3">
        <f t="shared" ca="1" si="142"/>
        <v>#VALUE!</v>
      </c>
      <c r="FM110" t="e" vm="3">
        <f t="shared" ca="1" si="136"/>
        <v>#VALUE!</v>
      </c>
      <c r="FN110" s="8" t="e" vm="3">
        <f t="shared" ca="1" si="137"/>
        <v>#VALUE!</v>
      </c>
      <c r="FO110" s="8" t="e" vm="3">
        <f t="shared" ca="1" si="138"/>
        <v>#VALUE!</v>
      </c>
      <c r="FP110" s="168" t="e" vm="3">
        <f t="shared" ca="1" si="139"/>
        <v>#VALUE!</v>
      </c>
      <c r="FQ110" s="161" t="e">
        <f t="shared" si="143"/>
        <v>#N/A</v>
      </c>
      <c r="FR110" s="169" t="e">
        <f t="shared" si="148"/>
        <v>#N/A</v>
      </c>
      <c r="FS110" s="7" t="e">
        <f t="shared" si="144"/>
        <v>#N/A</v>
      </c>
      <c r="FT110" t="e">
        <f t="shared" si="149"/>
        <v>#N/A</v>
      </c>
      <c r="FU110" s="8" t="e">
        <f t="shared" si="150"/>
        <v>#N/A</v>
      </c>
      <c r="FV110" s="8" t="e">
        <f t="shared" si="151"/>
        <v>#N/A</v>
      </c>
      <c r="FW110" s="168" t="e">
        <f t="shared" si="152"/>
        <v>#N/A</v>
      </c>
      <c r="FX110" s="161" t="e">
        <f t="shared" si="153"/>
        <v>#N/A</v>
      </c>
      <c r="FY110" s="169" t="e">
        <f t="shared" si="154"/>
        <v>#N/A</v>
      </c>
      <c r="FZ110" s="7" t="e">
        <f t="shared" si="145"/>
        <v>#N/A</v>
      </c>
      <c r="GA110" t="e">
        <f t="shared" si="155"/>
        <v>#N/A</v>
      </c>
      <c r="GB110" s="8" t="e">
        <f t="shared" si="156"/>
        <v>#N/A</v>
      </c>
      <c r="GC110" s="8" t="e">
        <f t="shared" si="157"/>
        <v>#N/A</v>
      </c>
      <c r="GD110" s="168" t="e">
        <f t="shared" si="158"/>
        <v>#N/A</v>
      </c>
      <c r="GE110" s="168"/>
      <c r="GF110" s="168"/>
      <c r="GI110" s="54">
        <f t="shared" si="203"/>
        <v>100</v>
      </c>
      <c r="GJ110" s="54">
        <f t="shared" si="204"/>
        <v>101</v>
      </c>
      <c r="GK110" s="54">
        <f t="shared" si="205"/>
        <v>-0.69470338665788045</v>
      </c>
      <c r="GL110" s="54">
        <f t="shared" si="206"/>
        <v>0.31340940782583288</v>
      </c>
      <c r="GM110" s="54" t="e">
        <f t="shared" si="207"/>
        <v>#N/A</v>
      </c>
      <c r="GN110" s="54" t="e">
        <f t="shared" si="208"/>
        <v>#N/A</v>
      </c>
      <c r="GO110" s="54" t="e">
        <f t="shared" si="209"/>
        <v>#N/A</v>
      </c>
      <c r="GP110" s="54" t="b">
        <f t="shared" si="210"/>
        <v>0</v>
      </c>
      <c r="GQ110" s="54" t="b">
        <f t="shared" si="211"/>
        <v>1</v>
      </c>
      <c r="GR110" s="54" t="b">
        <f t="shared" si="212"/>
        <v>0</v>
      </c>
      <c r="GS110" s="54" t="b">
        <f t="shared" si="213"/>
        <v>1</v>
      </c>
      <c r="GT110" s="54">
        <f t="shared" si="214"/>
        <v>0.31340940782583288</v>
      </c>
      <c r="GU110" s="54" t="e">
        <f t="shared" si="215"/>
        <v>#N/A</v>
      </c>
      <c r="GV110" s="54">
        <f t="shared" si="216"/>
        <v>0.31340940782583288</v>
      </c>
      <c r="GW110" s="72" t="str">
        <f t="shared" si="217"/>
        <v/>
      </c>
      <c r="HC110" s="54">
        <f t="shared" si="218"/>
        <v>100</v>
      </c>
      <c r="HD110" s="54">
        <f t="shared" si="219"/>
        <v>101</v>
      </c>
      <c r="HE110" s="54">
        <f t="shared" si="220"/>
        <v>-1.0757627847326483</v>
      </c>
      <c r="HF110" s="54" t="e">
        <f t="shared" si="221"/>
        <v>#N/A</v>
      </c>
      <c r="HG110" s="54">
        <f t="shared" si="222"/>
        <v>0.20876843698347813</v>
      </c>
      <c r="HH110" s="54" t="e">
        <f t="shared" si="223"/>
        <v>#N/A</v>
      </c>
      <c r="HI110" s="54" t="e">
        <f t="shared" si="224"/>
        <v>#N/A</v>
      </c>
      <c r="HJ110" s="54" t="b">
        <f t="shared" si="225"/>
        <v>1</v>
      </c>
      <c r="HK110" s="54" t="b">
        <f t="shared" si="226"/>
        <v>0</v>
      </c>
      <c r="HL110" s="54" t="b">
        <f t="shared" si="227"/>
        <v>0</v>
      </c>
      <c r="HM110" s="54" t="b">
        <f t="shared" si="228"/>
        <v>1</v>
      </c>
      <c r="HN110" s="54">
        <f t="shared" si="229"/>
        <v>0.20876843698347813</v>
      </c>
      <c r="HO110" s="54">
        <f t="shared" si="230"/>
        <v>0.20876843698347813</v>
      </c>
      <c r="HP110" s="54" t="e">
        <f t="shared" si="231"/>
        <v>#N/A</v>
      </c>
      <c r="HQ110" s="72" t="str">
        <f t="shared" si="232"/>
        <v/>
      </c>
    </row>
    <row r="111" spans="71:225" x14ac:dyDescent="0.2">
      <c r="BS111" s="54">
        <f t="shared" si="159"/>
        <v>101</v>
      </c>
      <c r="BT111" s="54">
        <f>Eu_tabel_g[[#This Row],[Indeks]]+1</f>
        <v>102</v>
      </c>
      <c r="BU111" s="54">
        <f t="shared" si="160"/>
        <v>-0.67074809746278108</v>
      </c>
      <c r="BV111" s="54">
        <f t="shared" si="161"/>
        <v>0.31857733024261109</v>
      </c>
      <c r="BW111" s="54" t="e">
        <f t="shared" si="162"/>
        <v>#N/A</v>
      </c>
      <c r="BX111" s="54" t="e">
        <f t="shared" si="163"/>
        <v>#N/A</v>
      </c>
      <c r="BY111" s="54" t="e">
        <f t="shared" si="164"/>
        <v>#N/A</v>
      </c>
      <c r="BZ111" s="54" t="b">
        <f t="shared" si="165"/>
        <v>0</v>
      </c>
      <c r="CA111" s="54" t="b">
        <f t="shared" si="166"/>
        <v>1</v>
      </c>
      <c r="CB111" s="54" t="b">
        <f t="shared" si="167"/>
        <v>0</v>
      </c>
      <c r="CC111" s="54" t="b">
        <f t="shared" si="168"/>
        <v>1</v>
      </c>
      <c r="CD111" s="54">
        <f t="shared" si="233"/>
        <v>0.31857733024261109</v>
      </c>
      <c r="CE111" s="54" t="e">
        <f t="shared" si="169"/>
        <v>#N/A</v>
      </c>
      <c r="CF111" s="54">
        <f t="shared" si="170"/>
        <v>0.31857733024261109</v>
      </c>
      <c r="CG111" s="72" t="str">
        <f t="shared" si="171"/>
        <v/>
      </c>
      <c r="CH111" s="54">
        <f>_xlfn.NORM.DIST(_xlfn.NORM.INV(1-Eu_g_konfidensniveau,0,1)-Eu_tabel_g[[#This Row],[x base]],0,1,TRUE)</f>
        <v>0.16500207215092594</v>
      </c>
      <c r="CI111" s="54">
        <f>1-_xlfn.NORM.DIST(_xlfn.NORM.INV(Eu_g_konfidensniveau,0,1)-Eu_tabel_g[[#This Row],[x base]],0,1,TRUE)</f>
        <v>1.0290012307210827E-2</v>
      </c>
      <c r="CJ111" s="54">
        <f>_xlfn.NORM.DIST(_xlfn.NORM.INV((1-Eu_g_konfidensniveau)/2,0,1)-Eu_tabel_g[[#This Row],[x base]],0,1,TRUE)+1-_xlfn.NORM.DIST(_xlfn.NORM.INV(1-(1-Eu_g_konfidensniveau)/2,0,1)-Eu_tabel_g[[#This Row],[x base]],0,1,TRUE)</f>
        <v>0.10292183104268382</v>
      </c>
      <c r="CK111" s="54" t="e" cm="1">
        <f t="array" ref="CK111">IF($CK$3,INDEX(Eu_tabel_g[[#This Row],[Styrke venstre]:[Styrke tosidet]],CK$7),NA())</f>
        <v>#N/A</v>
      </c>
      <c r="CL111" s="99" t="e">
        <f>Eu_tabel_g[[#This Row],[Falsk positiv
Nulhypotese accepteres
Fejltype 1]]</f>
        <v>#N/A</v>
      </c>
      <c r="CM111" s="99" t="e">
        <f>IF(CHOOSE(CK$7,Eu_tabel_g[[#This Row],[x base]]&gt;0,Eu_tabel_g[[#This Row],[x base]]&lt;0,Eu_tabel_g[[#This Row],[x base]]=0),Eu_tabel_g[[#This Row],[Styrke, aktiv]],NA())</f>
        <v>#N/A</v>
      </c>
      <c r="CN111" s="99" t="e">
        <f>IFERROR(IF($CK$3,Eu_tabel_g[[#This Row],[Styrke, aktiv]],NA()),NA())</f>
        <v>#N/A</v>
      </c>
      <c r="CO111" s="99" t="e">
        <f>IF(ISNA(Eu_tabel_g[[#This Row],[Sand negativ
Nulhypotese afvises
Korrekt]]),NA(),IF($CK$3,1,NA()))</f>
        <v>#N/A</v>
      </c>
      <c r="CP111" s="56" t="str" cm="1">
        <f t="array" ref="CP111">_xlfn.SWITCH(BS111,_xlfn.IFNA(CN$2,-99),CN$5,_xlfn.IFNA(CN$3,-99),CN$6,_xlfn.IFNA(CN$4,-99),CN$7,"")</f>
        <v/>
      </c>
      <c r="CT111" s="7">
        <f t="shared" si="172"/>
        <v>0.8</v>
      </c>
      <c r="CU111">
        <f>IF(ROW(Styrkeberegning_G[[#This Row],[X base venstre]])=ROW(Styrkeberegning_G[[#Headers],[X base venstre]])+1,CU$7/(CT$7/$B$67),CU110/(CT110/$B$67))</f>
        <v>-2.8015817870135784</v>
      </c>
      <c r="CV111">
        <f>Styrkeberegning_G[[#This Row],[X base venstre]]*-1</f>
        <v>2.8015817870135784</v>
      </c>
      <c r="DG111" s="54">
        <f t="shared" si="173"/>
        <v>101</v>
      </c>
      <c r="DH111" s="54">
        <f t="shared" si="174"/>
        <v>102</v>
      </c>
      <c r="DI111" s="54">
        <f t="shared" si="175"/>
        <v>13.355009162770791</v>
      </c>
      <c r="DJ111" s="54" t="e">
        <f t="shared" si="176"/>
        <v>#N/A</v>
      </c>
      <c r="DK111" s="54" t="e">
        <f t="shared" si="177"/>
        <v>#N/A</v>
      </c>
      <c r="DL111" s="54">
        <f t="shared" si="178"/>
        <v>6.1783672704887396E-2</v>
      </c>
      <c r="DM111" s="54" t="e">
        <f t="shared" si="179"/>
        <v>#N/A</v>
      </c>
      <c r="DN111" s="54" t="b">
        <f t="shared" si="180"/>
        <v>0</v>
      </c>
      <c r="DO111" s="54" t="b">
        <f t="shared" si="181"/>
        <v>1</v>
      </c>
      <c r="DP111" s="54" t="b">
        <f t="shared" si="182"/>
        <v>0</v>
      </c>
      <c r="DQ111" s="54" t="b">
        <f t="shared" si="183"/>
        <v>1</v>
      </c>
      <c r="DR111" s="54">
        <f t="shared" si="184"/>
        <v>6.1783672704887396E-2</v>
      </c>
      <c r="DS111" s="54" t="e">
        <f t="shared" si="185"/>
        <v>#N/A</v>
      </c>
      <c r="DT111" s="54">
        <f t="shared" si="186"/>
        <v>6.1783672704887396E-2</v>
      </c>
      <c r="DU111" s="72" t="str">
        <f t="shared" si="187"/>
        <v/>
      </c>
      <c r="DZ111" s="54">
        <f t="shared" si="188"/>
        <v>101</v>
      </c>
      <c r="EA111" s="54">
        <f t="shared" si="189"/>
        <v>102</v>
      </c>
      <c r="EB111" s="54">
        <f t="shared" si="190"/>
        <v>-0.67074809746278108</v>
      </c>
      <c r="EC111" s="54">
        <f t="shared" si="191"/>
        <v>0.31857733024261109</v>
      </c>
      <c r="ED111" s="54" t="e">
        <f t="shared" si="192"/>
        <v>#N/A</v>
      </c>
      <c r="EE111" s="54" t="e">
        <f t="shared" si="193"/>
        <v>#N/A</v>
      </c>
      <c r="EF111" s="54" t="e">
        <f t="shared" si="194"/>
        <v>#N/A</v>
      </c>
      <c r="EG111" s="54" t="b">
        <f t="shared" si="195"/>
        <v>0</v>
      </c>
      <c r="EH111" s="54" t="b">
        <f t="shared" si="196"/>
        <v>1</v>
      </c>
      <c r="EI111" s="54" t="b">
        <f t="shared" si="197"/>
        <v>0</v>
      </c>
      <c r="EJ111" s="54" t="b">
        <f t="shared" si="198"/>
        <v>1</v>
      </c>
      <c r="EK111" s="54">
        <f t="shared" si="199"/>
        <v>0.31857733024261109</v>
      </c>
      <c r="EL111" s="54" t="e">
        <f t="shared" si="200"/>
        <v>#N/A</v>
      </c>
      <c r="EM111" s="54">
        <f t="shared" si="201"/>
        <v>0.31857733024261109</v>
      </c>
      <c r="EN111" s="72" t="str">
        <f t="shared" si="202"/>
        <v/>
      </c>
      <c r="EO11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1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1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11" s="54" t="e" cm="1">
        <f t="array" ref="ER111">IF($CK$3,INDEX(Eu_tabel_a[[#This Row],[Styrke venstre]:[Styrke tosidet]],ER$7),NA())</f>
        <v>#N/A</v>
      </c>
      <c r="ES111" s="54" t="e">
        <f>IF(ER$3,IF(CHOOSE(ER$7,Eu_tabel_a[[#This Row],[x base]]&gt;0,Eu_tabel_a[[#This Row],[x base]]&lt;0,Eu_tabel_a[[#This Row],[x base]]=0),1,NA()),NA())</f>
        <v>#N/A</v>
      </c>
      <c r="ET111" s="54" t="e">
        <f>IF(CHOOSE(ER$7,Eu_tabel_a[[#This Row],[x base]]&gt;0,Eu_tabel_a[[#This Row],[x base]]&lt;0,Eu_tabel_a[[#This Row],[x base]]=0),Eu_tabel_a[[#This Row],[Styrke, aktiv]],NA())</f>
        <v>#N/A</v>
      </c>
      <c r="EU111" s="54" t="e">
        <f>IFERROR(IF($ER$3,Eu_tabel_a[[#This Row],[Styrke, aktiv]],NA()),NA())</f>
        <v>#N/A</v>
      </c>
      <c r="EV111" s="54" t="e">
        <f>IF(ISNA(Eu_tabel_a[[#This Row],[Sand negativ
Nulhypotese afvises
Korrekt]]),NA(),IF(ER$3,1,NA()))</f>
        <v>#N/A</v>
      </c>
      <c r="EW111" s="55" t="str" cm="1">
        <f t="array" ref="EW111">IFERROR(_xlfn.SWITCH(Eu_tabel_a[[#This Row],[Indeks]],_xlfn.IFNA(EU$2,-99),EU$5,_xlfn.IFNA(EU$3,-99),EU$6,_xlfn.IFNA(EU$4,-99),EU$7,""),"")</f>
        <v/>
      </c>
      <c r="EX111" s="54">
        <f>Eu_tabel_a[[#This Row],[x base]]*SQRT(Eu_a_h0_x*(1-Eu_a_h0_x)/Eu_a_n_x)+Eu_a_h0_x</f>
        <v>0</v>
      </c>
      <c r="FC111" s="161" t="e">
        <f t="shared" si="146"/>
        <v>#N/A</v>
      </c>
      <c r="FD111" s="169" t="e">
        <f t="shared" si="234"/>
        <v>#DIV/0!</v>
      </c>
      <c r="FE111" s="7" t="e">
        <f t="shared" si="140"/>
        <v>#DIV/0!</v>
      </c>
      <c r="FF111" t="e">
        <f t="shared" si="235"/>
        <v>#DIV/0!</v>
      </c>
      <c r="FG111" s="8" t="e">
        <f t="shared" si="236"/>
        <v>#DIV/0!</v>
      </c>
      <c r="FH111" s="8" t="e">
        <f t="shared" si="237"/>
        <v>#DIV/0!</v>
      </c>
      <c r="FI111" s="168" t="e">
        <f t="shared" si="238"/>
        <v>#DIV/0!</v>
      </c>
      <c r="FJ111" s="161" t="e">
        <f t="shared" ca="1" si="141"/>
        <v>#N/A</v>
      </c>
      <c r="FK111" s="169" t="e" vm="3">
        <f t="shared" ca="1" si="147"/>
        <v>#VALUE!</v>
      </c>
      <c r="FL111" s="7" t="e" vm="3">
        <f t="shared" ca="1" si="142"/>
        <v>#VALUE!</v>
      </c>
      <c r="FM111" t="e" vm="3">
        <f t="shared" ca="1" si="136"/>
        <v>#VALUE!</v>
      </c>
      <c r="FN111" s="8" t="e" vm="3">
        <f t="shared" ca="1" si="137"/>
        <v>#VALUE!</v>
      </c>
      <c r="FO111" s="8" t="e" vm="3">
        <f t="shared" ca="1" si="138"/>
        <v>#VALUE!</v>
      </c>
      <c r="FP111" s="168" t="e" vm="3">
        <f t="shared" ca="1" si="139"/>
        <v>#VALUE!</v>
      </c>
      <c r="FQ111" s="161" t="e">
        <f t="shared" si="143"/>
        <v>#N/A</v>
      </c>
      <c r="FR111" s="169" t="e">
        <f t="shared" si="148"/>
        <v>#N/A</v>
      </c>
      <c r="FS111" s="7" t="e">
        <f t="shared" si="144"/>
        <v>#N/A</v>
      </c>
      <c r="FT111" t="e">
        <f t="shared" si="149"/>
        <v>#N/A</v>
      </c>
      <c r="FU111" s="8" t="e">
        <f t="shared" si="150"/>
        <v>#N/A</v>
      </c>
      <c r="FV111" s="8" t="e">
        <f t="shared" si="151"/>
        <v>#N/A</v>
      </c>
      <c r="FW111" s="168" t="e">
        <f t="shared" si="152"/>
        <v>#N/A</v>
      </c>
      <c r="FX111" s="161" t="e">
        <f t="shared" si="153"/>
        <v>#N/A</v>
      </c>
      <c r="FY111" s="169" t="e">
        <f t="shared" si="154"/>
        <v>#N/A</v>
      </c>
      <c r="FZ111" s="7" t="e">
        <f t="shared" si="145"/>
        <v>#N/A</v>
      </c>
      <c r="GA111" t="e">
        <f t="shared" si="155"/>
        <v>#N/A</v>
      </c>
      <c r="GB111" s="8" t="e">
        <f t="shared" si="156"/>
        <v>#N/A</v>
      </c>
      <c r="GC111" s="8" t="e">
        <f t="shared" si="157"/>
        <v>#N/A</v>
      </c>
      <c r="GD111" s="168" t="e">
        <f t="shared" si="158"/>
        <v>#N/A</v>
      </c>
      <c r="GE111" s="168"/>
      <c r="GF111" s="168"/>
      <c r="GI111" s="54">
        <f t="shared" si="203"/>
        <v>101</v>
      </c>
      <c r="GJ111" s="54">
        <f t="shared" si="204"/>
        <v>102</v>
      </c>
      <c r="GK111" s="54">
        <f t="shared" si="205"/>
        <v>-0.67074809746278108</v>
      </c>
      <c r="GL111" s="54">
        <f t="shared" si="206"/>
        <v>0.31857733024261109</v>
      </c>
      <c r="GM111" s="54" t="e">
        <f t="shared" si="207"/>
        <v>#N/A</v>
      </c>
      <c r="GN111" s="54" t="e">
        <f t="shared" si="208"/>
        <v>#N/A</v>
      </c>
      <c r="GO111" s="54" t="e">
        <f t="shared" si="209"/>
        <v>#N/A</v>
      </c>
      <c r="GP111" s="54" t="b">
        <f t="shared" si="210"/>
        <v>0</v>
      </c>
      <c r="GQ111" s="54" t="b">
        <f t="shared" si="211"/>
        <v>1</v>
      </c>
      <c r="GR111" s="54" t="b">
        <f t="shared" si="212"/>
        <v>0</v>
      </c>
      <c r="GS111" s="54" t="b">
        <f t="shared" si="213"/>
        <v>1</v>
      </c>
      <c r="GT111" s="54">
        <f t="shared" si="214"/>
        <v>0.31857733024261109</v>
      </c>
      <c r="GU111" s="54" t="e">
        <f t="shared" si="215"/>
        <v>#N/A</v>
      </c>
      <c r="GV111" s="54">
        <f t="shared" si="216"/>
        <v>0.31857733024261109</v>
      </c>
      <c r="GW111" s="72" t="str">
        <f t="shared" si="217"/>
        <v/>
      </c>
      <c r="HC111" s="54">
        <f t="shared" si="218"/>
        <v>101</v>
      </c>
      <c r="HD111" s="54">
        <f t="shared" si="219"/>
        <v>102</v>
      </c>
      <c r="HE111" s="54">
        <f t="shared" si="220"/>
        <v>-1.0386675162935917</v>
      </c>
      <c r="HF111" s="54" t="e">
        <f t="shared" si="221"/>
        <v>#N/A</v>
      </c>
      <c r="HG111" s="54">
        <f t="shared" si="222"/>
        <v>0.21699479795162499</v>
      </c>
      <c r="HH111" s="54" t="e">
        <f t="shared" si="223"/>
        <v>#N/A</v>
      </c>
      <c r="HI111" s="54" t="e">
        <f t="shared" si="224"/>
        <v>#N/A</v>
      </c>
      <c r="HJ111" s="54" t="b">
        <f t="shared" si="225"/>
        <v>1</v>
      </c>
      <c r="HK111" s="54" t="b">
        <f t="shared" si="226"/>
        <v>0</v>
      </c>
      <c r="HL111" s="54" t="b">
        <f t="shared" si="227"/>
        <v>0</v>
      </c>
      <c r="HM111" s="54" t="b">
        <f t="shared" si="228"/>
        <v>1</v>
      </c>
      <c r="HN111" s="54">
        <f t="shared" si="229"/>
        <v>0.21699479795162499</v>
      </c>
      <c r="HO111" s="54">
        <f t="shared" si="230"/>
        <v>0.21699479795162499</v>
      </c>
      <c r="HP111" s="54" t="e">
        <f t="shared" si="231"/>
        <v>#N/A</v>
      </c>
      <c r="HQ111" s="72" t="str">
        <f t="shared" si="232"/>
        <v/>
      </c>
    </row>
    <row r="112" spans="71:225" x14ac:dyDescent="0.2">
      <c r="BS112" s="54">
        <f t="shared" si="159"/>
        <v>102</v>
      </c>
      <c r="BT112" s="54">
        <f>Eu_tabel_g[[#This Row],[Indeks]]+1</f>
        <v>103</v>
      </c>
      <c r="BU112" s="54">
        <f t="shared" si="160"/>
        <v>-0.64679280826768171</v>
      </c>
      <c r="BV112" s="54">
        <f t="shared" si="161"/>
        <v>0.32364468971493993</v>
      </c>
      <c r="BW112" s="54" t="e">
        <f t="shared" si="162"/>
        <v>#N/A</v>
      </c>
      <c r="BX112" s="54" t="e">
        <f t="shared" si="163"/>
        <v>#N/A</v>
      </c>
      <c r="BY112" s="54" t="e">
        <f t="shared" si="164"/>
        <v>#N/A</v>
      </c>
      <c r="BZ112" s="54" t="b">
        <f t="shared" si="165"/>
        <v>0</v>
      </c>
      <c r="CA112" s="54" t="b">
        <f t="shared" si="166"/>
        <v>1</v>
      </c>
      <c r="CB112" s="54" t="b">
        <f t="shared" si="167"/>
        <v>0</v>
      </c>
      <c r="CC112" s="54" t="b">
        <f t="shared" si="168"/>
        <v>1</v>
      </c>
      <c r="CD112" s="54">
        <f t="shared" si="233"/>
        <v>0.32364468971493993</v>
      </c>
      <c r="CE112" s="54" t="e">
        <f t="shared" si="169"/>
        <v>#N/A</v>
      </c>
      <c r="CF112" s="54">
        <f t="shared" si="170"/>
        <v>0.32364468971493993</v>
      </c>
      <c r="CG112" s="72" t="str">
        <f t="shared" si="171"/>
        <v/>
      </c>
      <c r="CH112" s="54">
        <f>_xlfn.NORM.DIST(_xlfn.NORM.INV(1-Eu_g_konfidensniveau,0,1)-Eu_tabel_g[[#This Row],[x base]],0,1,TRUE)</f>
        <v>0.15912493399551048</v>
      </c>
      <c r="CI112" s="54">
        <f>1-_xlfn.NORM.DIST(_xlfn.NORM.INV(Eu_g_konfidensniveau,0,1)-Eu_tabel_g[[#This Row],[x base]],0,1,TRUE)</f>
        <v>1.0963026829707734E-2</v>
      </c>
      <c r="CJ112" s="54">
        <f>_xlfn.NORM.DIST(_xlfn.NORM.INV((1-Eu_g_konfidensniveau)/2,0,1)-Eu_tabel_g[[#This Row],[x base]],0,1,TRUE)+1-_xlfn.NORM.DIST(_xlfn.NORM.INV(1-(1-Eu_g_konfidensniveau)/2,0,1)-Eu_tabel_g[[#This Row],[x base]],0,1,TRUE)</f>
        <v>9.9132849971210413E-2</v>
      </c>
      <c r="CK112" s="54" t="e" cm="1">
        <f t="array" ref="CK112">IF($CK$3,INDEX(Eu_tabel_g[[#This Row],[Styrke venstre]:[Styrke tosidet]],CK$7),NA())</f>
        <v>#N/A</v>
      </c>
      <c r="CL112" s="99" t="e">
        <f>Eu_tabel_g[[#This Row],[Falsk positiv
Nulhypotese accepteres
Fejltype 1]]</f>
        <v>#N/A</v>
      </c>
      <c r="CM112" s="99" t="e">
        <f>IF(CHOOSE(CK$7,Eu_tabel_g[[#This Row],[x base]]&gt;0,Eu_tabel_g[[#This Row],[x base]]&lt;0,Eu_tabel_g[[#This Row],[x base]]=0),Eu_tabel_g[[#This Row],[Styrke, aktiv]],NA())</f>
        <v>#N/A</v>
      </c>
      <c r="CN112" s="99" t="e">
        <f>IFERROR(IF($CK$3,Eu_tabel_g[[#This Row],[Styrke, aktiv]],NA()),NA())</f>
        <v>#N/A</v>
      </c>
      <c r="CO112" s="99" t="e">
        <f>IF(ISNA(Eu_tabel_g[[#This Row],[Sand negativ
Nulhypotese afvises
Korrekt]]),NA(),IF($CK$3,1,NA()))</f>
        <v>#N/A</v>
      </c>
      <c r="CP112" s="56" t="str" cm="1">
        <f t="array" ref="CP112">_xlfn.SWITCH(BS112,_xlfn.IFNA(CN$2,-99),CN$5,_xlfn.IFNA(CN$3,-99),CN$6,_xlfn.IFNA(CN$4,-99),CN$7,"")</f>
        <v/>
      </c>
      <c r="CT112" s="7">
        <f t="shared" si="172"/>
        <v>0.8</v>
      </c>
      <c r="CU112">
        <f>IF(ROW(Styrkeberegning_G[[#This Row],[X base venstre]])=ROW(Styrkeberegning_G[[#Headers],[X base venstre]])+1,CU$7/(CT$7/$B$67),CU111/(CT111/$B$67))</f>
        <v>-2.8015817870135784</v>
      </c>
      <c r="CV112">
        <f>Styrkeberegning_G[[#This Row],[X base venstre]]*-1</f>
        <v>2.8015817870135784</v>
      </c>
      <c r="DG112" s="54">
        <f t="shared" si="173"/>
        <v>102</v>
      </c>
      <c r="DH112" s="54">
        <f t="shared" si="174"/>
        <v>103</v>
      </c>
      <c r="DI112" s="54">
        <f t="shared" si="175"/>
        <v>13.469080019187793</v>
      </c>
      <c r="DJ112" s="54" t="e">
        <f t="shared" si="176"/>
        <v>#N/A</v>
      </c>
      <c r="DK112" s="54" t="e">
        <f t="shared" si="177"/>
        <v>#N/A</v>
      </c>
      <c r="DL112" s="54">
        <f t="shared" si="178"/>
        <v>6.0635280603029251E-2</v>
      </c>
      <c r="DM112" s="54" t="e">
        <f t="shared" si="179"/>
        <v>#N/A</v>
      </c>
      <c r="DN112" s="54" t="b">
        <f t="shared" si="180"/>
        <v>0</v>
      </c>
      <c r="DO112" s="54" t="b">
        <f t="shared" si="181"/>
        <v>1</v>
      </c>
      <c r="DP112" s="54" t="b">
        <f t="shared" si="182"/>
        <v>0</v>
      </c>
      <c r="DQ112" s="54" t="b">
        <f t="shared" si="183"/>
        <v>1</v>
      </c>
      <c r="DR112" s="54">
        <f t="shared" si="184"/>
        <v>6.0635280603029251E-2</v>
      </c>
      <c r="DS112" s="54" t="e">
        <f t="shared" si="185"/>
        <v>#N/A</v>
      </c>
      <c r="DT112" s="54">
        <f t="shared" si="186"/>
        <v>6.0635280603029251E-2</v>
      </c>
      <c r="DU112" s="72" t="str">
        <f t="shared" si="187"/>
        <v/>
      </c>
      <c r="DZ112" s="54">
        <f t="shared" si="188"/>
        <v>102</v>
      </c>
      <c r="EA112" s="54">
        <f t="shared" si="189"/>
        <v>103</v>
      </c>
      <c r="EB112" s="54">
        <f t="shared" si="190"/>
        <v>-0.64679280826768171</v>
      </c>
      <c r="EC112" s="54">
        <f t="shared" si="191"/>
        <v>0.32364468971493993</v>
      </c>
      <c r="ED112" s="54" t="e">
        <f t="shared" si="192"/>
        <v>#N/A</v>
      </c>
      <c r="EE112" s="54" t="e">
        <f t="shared" si="193"/>
        <v>#N/A</v>
      </c>
      <c r="EF112" s="54" t="e">
        <f t="shared" si="194"/>
        <v>#N/A</v>
      </c>
      <c r="EG112" s="54" t="b">
        <f t="shared" si="195"/>
        <v>0</v>
      </c>
      <c r="EH112" s="54" t="b">
        <f t="shared" si="196"/>
        <v>1</v>
      </c>
      <c r="EI112" s="54" t="b">
        <f t="shared" si="197"/>
        <v>0</v>
      </c>
      <c r="EJ112" s="54" t="b">
        <f t="shared" si="198"/>
        <v>1</v>
      </c>
      <c r="EK112" s="54">
        <f t="shared" si="199"/>
        <v>0.32364468971493993</v>
      </c>
      <c r="EL112" s="54" t="e">
        <f t="shared" si="200"/>
        <v>#N/A</v>
      </c>
      <c r="EM112" s="54">
        <f t="shared" si="201"/>
        <v>0.32364468971493993</v>
      </c>
      <c r="EN112" s="72" t="str">
        <f t="shared" si="202"/>
        <v/>
      </c>
      <c r="EO11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1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1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12" s="54" t="e" cm="1">
        <f t="array" ref="ER112">IF($CK$3,INDEX(Eu_tabel_a[[#This Row],[Styrke venstre]:[Styrke tosidet]],ER$7),NA())</f>
        <v>#N/A</v>
      </c>
      <c r="ES112" s="54" t="e">
        <f>IF(ER$3,IF(CHOOSE(ER$7,Eu_tabel_a[[#This Row],[x base]]&gt;0,Eu_tabel_a[[#This Row],[x base]]&lt;0,Eu_tabel_a[[#This Row],[x base]]=0),1,NA()),NA())</f>
        <v>#N/A</v>
      </c>
      <c r="ET112" s="54" t="e">
        <f>IF(CHOOSE(ER$7,Eu_tabel_a[[#This Row],[x base]]&gt;0,Eu_tabel_a[[#This Row],[x base]]&lt;0,Eu_tabel_a[[#This Row],[x base]]=0),Eu_tabel_a[[#This Row],[Styrke, aktiv]],NA())</f>
        <v>#N/A</v>
      </c>
      <c r="EU112" s="54" t="e">
        <f>IFERROR(IF($ER$3,Eu_tabel_a[[#This Row],[Styrke, aktiv]],NA()),NA())</f>
        <v>#N/A</v>
      </c>
      <c r="EV112" s="54" t="e">
        <f>IF(ISNA(Eu_tabel_a[[#This Row],[Sand negativ
Nulhypotese afvises
Korrekt]]),NA(),IF(ER$3,1,NA()))</f>
        <v>#N/A</v>
      </c>
      <c r="EW112" s="55" t="str" cm="1">
        <f t="array" ref="EW112">IFERROR(_xlfn.SWITCH(Eu_tabel_a[[#This Row],[Indeks]],_xlfn.IFNA(EU$2,-99),EU$5,_xlfn.IFNA(EU$3,-99),EU$6,_xlfn.IFNA(EU$4,-99),EU$7,""),"")</f>
        <v/>
      </c>
      <c r="EX112" s="54">
        <f>Eu_tabel_a[[#This Row],[x base]]*SQRT(Eu_a_h0_x*(1-Eu_a_h0_x)/Eu_a_n_x)+Eu_a_h0_x</f>
        <v>0</v>
      </c>
      <c r="FC112" s="161" t="e">
        <f t="shared" si="146"/>
        <v>#N/A</v>
      </c>
      <c r="FD112" s="169" t="e">
        <f t="shared" si="234"/>
        <v>#DIV/0!</v>
      </c>
      <c r="FE112" s="7" t="e">
        <f t="shared" si="140"/>
        <v>#DIV/0!</v>
      </c>
      <c r="FF112" t="e">
        <f t="shared" si="235"/>
        <v>#DIV/0!</v>
      </c>
      <c r="FG112" s="8" t="e">
        <f t="shared" si="236"/>
        <v>#DIV/0!</v>
      </c>
      <c r="FH112" s="8" t="e">
        <f t="shared" si="237"/>
        <v>#DIV/0!</v>
      </c>
      <c r="FI112" s="168" t="e">
        <f t="shared" si="238"/>
        <v>#DIV/0!</v>
      </c>
      <c r="FJ112" s="161" t="e">
        <f t="shared" ca="1" si="141"/>
        <v>#N/A</v>
      </c>
      <c r="FK112" s="169" t="e" vm="3">
        <f t="shared" ca="1" si="147"/>
        <v>#VALUE!</v>
      </c>
      <c r="FL112" s="7" t="e" vm="3">
        <f t="shared" ca="1" si="142"/>
        <v>#VALUE!</v>
      </c>
      <c r="FM112" t="e" vm="3">
        <f t="shared" ca="1" si="136"/>
        <v>#VALUE!</v>
      </c>
      <c r="FN112" s="8" t="e" vm="3">
        <f t="shared" ca="1" si="137"/>
        <v>#VALUE!</v>
      </c>
      <c r="FO112" s="8" t="e" vm="3">
        <f t="shared" ca="1" si="138"/>
        <v>#VALUE!</v>
      </c>
      <c r="FP112" s="168" t="e" vm="3">
        <f t="shared" ca="1" si="139"/>
        <v>#VALUE!</v>
      </c>
      <c r="FQ112" s="161" t="e">
        <f t="shared" si="143"/>
        <v>#N/A</v>
      </c>
      <c r="FR112" s="169" t="e">
        <f t="shared" si="148"/>
        <v>#N/A</v>
      </c>
      <c r="FS112" s="7" t="e">
        <f t="shared" si="144"/>
        <v>#N/A</v>
      </c>
      <c r="FT112" t="e">
        <f t="shared" si="149"/>
        <v>#N/A</v>
      </c>
      <c r="FU112" s="8" t="e">
        <f t="shared" si="150"/>
        <v>#N/A</v>
      </c>
      <c r="FV112" s="8" t="e">
        <f t="shared" si="151"/>
        <v>#N/A</v>
      </c>
      <c r="FW112" s="168" t="e">
        <f t="shared" si="152"/>
        <v>#N/A</v>
      </c>
      <c r="FX112" s="161" t="e">
        <f t="shared" si="153"/>
        <v>#N/A</v>
      </c>
      <c r="FY112" s="169" t="e">
        <f t="shared" si="154"/>
        <v>#N/A</v>
      </c>
      <c r="FZ112" s="7" t="e">
        <f t="shared" si="145"/>
        <v>#N/A</v>
      </c>
      <c r="GA112" t="e">
        <f t="shared" si="155"/>
        <v>#N/A</v>
      </c>
      <c r="GB112" s="8" t="e">
        <f t="shared" si="156"/>
        <v>#N/A</v>
      </c>
      <c r="GC112" s="8" t="e">
        <f t="shared" si="157"/>
        <v>#N/A</v>
      </c>
      <c r="GD112" s="168" t="e">
        <f t="shared" si="158"/>
        <v>#N/A</v>
      </c>
      <c r="GE112" s="168"/>
      <c r="GF112" s="168"/>
      <c r="GI112" s="54">
        <f t="shared" si="203"/>
        <v>102</v>
      </c>
      <c r="GJ112" s="54">
        <f t="shared" si="204"/>
        <v>103</v>
      </c>
      <c r="GK112" s="54">
        <f t="shared" si="205"/>
        <v>-0.64679280826768171</v>
      </c>
      <c r="GL112" s="54">
        <f t="shared" si="206"/>
        <v>0.32364468971493993</v>
      </c>
      <c r="GM112" s="54" t="e">
        <f t="shared" si="207"/>
        <v>#N/A</v>
      </c>
      <c r="GN112" s="54" t="e">
        <f t="shared" si="208"/>
        <v>#N/A</v>
      </c>
      <c r="GO112" s="54" t="e">
        <f t="shared" si="209"/>
        <v>#N/A</v>
      </c>
      <c r="GP112" s="54" t="b">
        <f t="shared" si="210"/>
        <v>0</v>
      </c>
      <c r="GQ112" s="54" t="b">
        <f t="shared" si="211"/>
        <v>1</v>
      </c>
      <c r="GR112" s="54" t="b">
        <f t="shared" si="212"/>
        <v>0</v>
      </c>
      <c r="GS112" s="54" t="b">
        <f t="shared" si="213"/>
        <v>1</v>
      </c>
      <c r="GT112" s="54">
        <f t="shared" si="214"/>
        <v>0.32364468971493993</v>
      </c>
      <c r="GU112" s="54" t="e">
        <f t="shared" si="215"/>
        <v>#N/A</v>
      </c>
      <c r="GV112" s="54">
        <f t="shared" si="216"/>
        <v>0.32364468971493993</v>
      </c>
      <c r="GW112" s="72" t="str">
        <f t="shared" si="217"/>
        <v/>
      </c>
      <c r="HC112" s="54">
        <f t="shared" si="218"/>
        <v>102</v>
      </c>
      <c r="HD112" s="54">
        <f t="shared" si="219"/>
        <v>103</v>
      </c>
      <c r="HE112" s="54">
        <f t="shared" si="220"/>
        <v>-1.0015722478545346</v>
      </c>
      <c r="HF112" s="54" t="e">
        <f t="shared" si="221"/>
        <v>#N/A</v>
      </c>
      <c r="HG112" s="54">
        <f t="shared" si="222"/>
        <v>0.22532017337259727</v>
      </c>
      <c r="HH112" s="54" t="e">
        <f t="shared" si="223"/>
        <v>#N/A</v>
      </c>
      <c r="HI112" s="54" t="e">
        <f t="shared" si="224"/>
        <v>#N/A</v>
      </c>
      <c r="HJ112" s="54" t="b">
        <f t="shared" si="225"/>
        <v>1</v>
      </c>
      <c r="HK112" s="54" t="b">
        <f t="shared" si="226"/>
        <v>0</v>
      </c>
      <c r="HL112" s="54" t="b">
        <f t="shared" si="227"/>
        <v>0</v>
      </c>
      <c r="HM112" s="54" t="b">
        <f t="shared" si="228"/>
        <v>1</v>
      </c>
      <c r="HN112" s="54">
        <f t="shared" si="229"/>
        <v>0.22532017337259727</v>
      </c>
      <c r="HO112" s="54">
        <f t="shared" si="230"/>
        <v>0.22532017337259727</v>
      </c>
      <c r="HP112" s="54" t="e">
        <f t="shared" si="231"/>
        <v>#N/A</v>
      </c>
      <c r="HQ112" s="72" t="str">
        <f t="shared" si="232"/>
        <v/>
      </c>
    </row>
    <row r="113" spans="71:225" x14ac:dyDescent="0.2">
      <c r="BS113" s="54">
        <f t="shared" si="159"/>
        <v>103</v>
      </c>
      <c r="BT113" s="54">
        <f>Eu_tabel_g[[#This Row],[Indeks]]+1</f>
        <v>104</v>
      </c>
      <c r="BU113" s="54">
        <f t="shared" si="160"/>
        <v>-0.62283751907258234</v>
      </c>
      <c r="BV113" s="54">
        <f t="shared" si="161"/>
        <v>0.3286040262264141</v>
      </c>
      <c r="BW113" s="54" t="e">
        <f t="shared" si="162"/>
        <v>#N/A</v>
      </c>
      <c r="BX113" s="54" t="e">
        <f t="shared" si="163"/>
        <v>#N/A</v>
      </c>
      <c r="BY113" s="54" t="e">
        <f t="shared" si="164"/>
        <v>#N/A</v>
      </c>
      <c r="BZ113" s="54" t="b">
        <f t="shared" si="165"/>
        <v>0</v>
      </c>
      <c r="CA113" s="54" t="b">
        <f t="shared" si="166"/>
        <v>1</v>
      </c>
      <c r="CB113" s="54" t="b">
        <f t="shared" si="167"/>
        <v>0</v>
      </c>
      <c r="CC113" s="54" t="b">
        <f t="shared" si="168"/>
        <v>1</v>
      </c>
      <c r="CD113" s="54">
        <f t="shared" si="233"/>
        <v>0.3286040262264141</v>
      </c>
      <c r="CE113" s="54" t="e">
        <f t="shared" si="169"/>
        <v>#N/A</v>
      </c>
      <c r="CF113" s="54">
        <f t="shared" si="170"/>
        <v>0.3286040262264141</v>
      </c>
      <c r="CG113" s="72" t="str">
        <f t="shared" si="171"/>
        <v/>
      </c>
      <c r="CH113" s="54">
        <f>_xlfn.NORM.DIST(_xlfn.NORM.INV(1-Eu_g_konfidensniveau,0,1)-Eu_tabel_g[[#This Row],[x base]],0,1,TRUE)</f>
        <v>0.15338663833525562</v>
      </c>
      <c r="CI113" s="54">
        <f>1-_xlfn.NORM.DIST(_xlfn.NORM.INV(Eu_g_konfidensniveau,0,1)-Eu_tabel_g[[#This Row],[x base]],0,1,TRUE)</f>
        <v>1.1674018942185449E-2</v>
      </c>
      <c r="CJ113" s="54">
        <f>_xlfn.NORM.DIST(_xlfn.NORM.INV((1-Eu_g_konfidensniveau)/2,0,1)-Eu_tabel_g[[#This Row],[x base]],0,1,TRUE)+1-_xlfn.NORM.DIST(_xlfn.NORM.INV(1-(1-Eu_g_konfidensniveau)/2,0,1)-Eu_tabel_g[[#This Row],[x base]],0,1,TRUE)</f>
        <v>9.5490764325729005E-2</v>
      </c>
      <c r="CK113" s="54" t="e" cm="1">
        <f t="array" ref="CK113">IF($CK$3,INDEX(Eu_tabel_g[[#This Row],[Styrke venstre]:[Styrke tosidet]],CK$7),NA())</f>
        <v>#N/A</v>
      </c>
      <c r="CL113" s="99" t="e">
        <f>Eu_tabel_g[[#This Row],[Falsk positiv
Nulhypotese accepteres
Fejltype 1]]</f>
        <v>#N/A</v>
      </c>
      <c r="CM113" s="99" t="e">
        <f>IF(CHOOSE(CK$7,Eu_tabel_g[[#This Row],[x base]]&gt;0,Eu_tabel_g[[#This Row],[x base]]&lt;0,Eu_tabel_g[[#This Row],[x base]]=0),Eu_tabel_g[[#This Row],[Styrke, aktiv]],NA())</f>
        <v>#N/A</v>
      </c>
      <c r="CN113" s="99" t="e">
        <f>IFERROR(IF($CK$3,Eu_tabel_g[[#This Row],[Styrke, aktiv]],NA()),NA())</f>
        <v>#N/A</v>
      </c>
      <c r="CO113" s="99" t="e">
        <f>IF(ISNA(Eu_tabel_g[[#This Row],[Sand negativ
Nulhypotese afvises
Korrekt]]),NA(),IF($CK$3,1,NA()))</f>
        <v>#N/A</v>
      </c>
      <c r="CP113" s="56" t="str" cm="1">
        <f t="array" ref="CP113">_xlfn.SWITCH(BS113,_xlfn.IFNA(CN$2,-99),CN$5,_xlfn.IFNA(CN$3,-99),CN$6,_xlfn.IFNA(CN$4,-99),CN$7,"")</f>
        <v/>
      </c>
      <c r="CT113" s="7">
        <f t="shared" si="172"/>
        <v>0.8</v>
      </c>
      <c r="CU113">
        <f>IF(ROW(Styrkeberegning_G[[#This Row],[X base venstre]])=ROW(Styrkeberegning_G[[#Headers],[X base venstre]])+1,CU$7/(CT$7/$B$67),CU112/(CT112/$B$67))</f>
        <v>-2.8015817870135784</v>
      </c>
      <c r="CV113">
        <f>Styrkeberegning_G[[#This Row],[X base venstre]]*-1</f>
        <v>2.8015817870135784</v>
      </c>
      <c r="DG113" s="54">
        <f t="shared" si="173"/>
        <v>103</v>
      </c>
      <c r="DH113" s="54">
        <f t="shared" si="174"/>
        <v>104</v>
      </c>
      <c r="DI113" s="54">
        <f t="shared" si="175"/>
        <v>13.583150875604794</v>
      </c>
      <c r="DJ113" s="54" t="e">
        <f t="shared" si="176"/>
        <v>#N/A</v>
      </c>
      <c r="DK113" s="54" t="e">
        <f t="shared" si="177"/>
        <v>#N/A</v>
      </c>
      <c r="DL113" s="54">
        <f t="shared" si="178"/>
        <v>5.9489029270404468E-2</v>
      </c>
      <c r="DM113" s="54" t="e">
        <f t="shared" si="179"/>
        <v>#N/A</v>
      </c>
      <c r="DN113" s="54" t="b">
        <f t="shared" si="180"/>
        <v>0</v>
      </c>
      <c r="DO113" s="54" t="b">
        <f t="shared" si="181"/>
        <v>1</v>
      </c>
      <c r="DP113" s="54" t="b">
        <f t="shared" si="182"/>
        <v>0</v>
      </c>
      <c r="DQ113" s="54" t="b">
        <f t="shared" si="183"/>
        <v>1</v>
      </c>
      <c r="DR113" s="54">
        <f t="shared" si="184"/>
        <v>5.9489029270404468E-2</v>
      </c>
      <c r="DS113" s="54" t="e">
        <f t="shared" si="185"/>
        <v>#N/A</v>
      </c>
      <c r="DT113" s="54">
        <f t="shared" si="186"/>
        <v>5.9489029270404468E-2</v>
      </c>
      <c r="DU113" s="72" t="str">
        <f t="shared" si="187"/>
        <v/>
      </c>
      <c r="DZ113" s="54">
        <f t="shared" si="188"/>
        <v>103</v>
      </c>
      <c r="EA113" s="54">
        <f t="shared" si="189"/>
        <v>104</v>
      </c>
      <c r="EB113" s="54">
        <f t="shared" si="190"/>
        <v>-0.62283751907258234</v>
      </c>
      <c r="EC113" s="54">
        <f t="shared" si="191"/>
        <v>0.3286040262264141</v>
      </c>
      <c r="ED113" s="54" t="e">
        <f t="shared" si="192"/>
        <v>#N/A</v>
      </c>
      <c r="EE113" s="54" t="e">
        <f t="shared" si="193"/>
        <v>#N/A</v>
      </c>
      <c r="EF113" s="54" t="e">
        <f t="shared" si="194"/>
        <v>#N/A</v>
      </c>
      <c r="EG113" s="54" t="b">
        <f t="shared" si="195"/>
        <v>0</v>
      </c>
      <c r="EH113" s="54" t="b">
        <f t="shared" si="196"/>
        <v>1</v>
      </c>
      <c r="EI113" s="54" t="b">
        <f t="shared" si="197"/>
        <v>0</v>
      </c>
      <c r="EJ113" s="54" t="b">
        <f t="shared" si="198"/>
        <v>1</v>
      </c>
      <c r="EK113" s="54">
        <f t="shared" si="199"/>
        <v>0.3286040262264141</v>
      </c>
      <c r="EL113" s="54" t="e">
        <f t="shared" si="200"/>
        <v>#N/A</v>
      </c>
      <c r="EM113" s="54">
        <f t="shared" si="201"/>
        <v>0.3286040262264141</v>
      </c>
      <c r="EN113" s="72" t="str">
        <f t="shared" si="202"/>
        <v/>
      </c>
      <c r="EO11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1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1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13" s="54" t="e" cm="1">
        <f t="array" ref="ER113">IF($CK$3,INDEX(Eu_tabel_a[[#This Row],[Styrke venstre]:[Styrke tosidet]],ER$7),NA())</f>
        <v>#N/A</v>
      </c>
      <c r="ES113" s="54" t="e">
        <f>IF(ER$3,IF(CHOOSE(ER$7,Eu_tabel_a[[#This Row],[x base]]&gt;0,Eu_tabel_a[[#This Row],[x base]]&lt;0,Eu_tabel_a[[#This Row],[x base]]=0),1,NA()),NA())</f>
        <v>#N/A</v>
      </c>
      <c r="ET113" s="54" t="e">
        <f>IF(CHOOSE(ER$7,Eu_tabel_a[[#This Row],[x base]]&gt;0,Eu_tabel_a[[#This Row],[x base]]&lt;0,Eu_tabel_a[[#This Row],[x base]]=0),Eu_tabel_a[[#This Row],[Styrke, aktiv]],NA())</f>
        <v>#N/A</v>
      </c>
      <c r="EU113" s="54" t="e">
        <f>IFERROR(IF($ER$3,Eu_tabel_a[[#This Row],[Styrke, aktiv]],NA()),NA())</f>
        <v>#N/A</v>
      </c>
      <c r="EV113" s="54" t="e">
        <f>IF(ISNA(Eu_tabel_a[[#This Row],[Sand negativ
Nulhypotese afvises
Korrekt]]),NA(),IF(ER$3,1,NA()))</f>
        <v>#N/A</v>
      </c>
      <c r="EW113" s="55" t="str" cm="1">
        <f t="array" ref="EW113">IFERROR(_xlfn.SWITCH(Eu_tabel_a[[#This Row],[Indeks]],_xlfn.IFNA(EU$2,-99),EU$5,_xlfn.IFNA(EU$3,-99),EU$6,_xlfn.IFNA(EU$4,-99),EU$7,""),"")</f>
        <v/>
      </c>
      <c r="EX113" s="54">
        <f>Eu_tabel_a[[#This Row],[x base]]*SQRT(Eu_a_h0_x*(1-Eu_a_h0_x)/Eu_a_n_x)+Eu_a_h0_x</f>
        <v>0</v>
      </c>
      <c r="FC113" s="161" t="e">
        <f t="shared" si="146"/>
        <v>#N/A</v>
      </c>
      <c r="FD113" s="169" t="e">
        <f t="shared" si="234"/>
        <v>#DIV/0!</v>
      </c>
      <c r="FE113" s="7" t="e">
        <f t="shared" si="140"/>
        <v>#DIV/0!</v>
      </c>
      <c r="FF113" t="e">
        <f t="shared" si="235"/>
        <v>#DIV/0!</v>
      </c>
      <c r="FG113" s="8" t="e">
        <f t="shared" si="236"/>
        <v>#DIV/0!</v>
      </c>
      <c r="FH113" s="8" t="e">
        <f t="shared" si="237"/>
        <v>#DIV/0!</v>
      </c>
      <c r="FI113" s="168" t="e">
        <f t="shared" si="238"/>
        <v>#DIV/0!</v>
      </c>
      <c r="FJ113" s="161" t="e">
        <f t="shared" ca="1" si="141"/>
        <v>#N/A</v>
      </c>
      <c r="FK113" s="169" t="e" vm="3">
        <f t="shared" ca="1" si="147"/>
        <v>#VALUE!</v>
      </c>
      <c r="FL113" s="7" t="e" vm="3">
        <f t="shared" ca="1" si="142"/>
        <v>#VALUE!</v>
      </c>
      <c r="FM113" t="e" vm="3">
        <f t="shared" ca="1" si="136"/>
        <v>#VALUE!</v>
      </c>
      <c r="FN113" s="8" t="e" vm="3">
        <f t="shared" ca="1" si="137"/>
        <v>#VALUE!</v>
      </c>
      <c r="FO113" s="8" t="e" vm="3">
        <f t="shared" ca="1" si="138"/>
        <v>#VALUE!</v>
      </c>
      <c r="FP113" s="168" t="e" vm="3">
        <f t="shared" ca="1" si="139"/>
        <v>#VALUE!</v>
      </c>
      <c r="FQ113" s="161" t="e">
        <f t="shared" si="143"/>
        <v>#N/A</v>
      </c>
      <c r="FR113" s="169" t="e">
        <f t="shared" si="148"/>
        <v>#N/A</v>
      </c>
      <c r="FS113" s="7" t="e">
        <f t="shared" si="144"/>
        <v>#N/A</v>
      </c>
      <c r="FT113" t="e">
        <f t="shared" si="149"/>
        <v>#N/A</v>
      </c>
      <c r="FU113" s="8" t="e">
        <f t="shared" si="150"/>
        <v>#N/A</v>
      </c>
      <c r="FV113" s="8" t="e">
        <f t="shared" si="151"/>
        <v>#N/A</v>
      </c>
      <c r="FW113" s="168" t="e">
        <f t="shared" si="152"/>
        <v>#N/A</v>
      </c>
      <c r="FX113" s="161" t="e">
        <f t="shared" si="153"/>
        <v>#N/A</v>
      </c>
      <c r="FY113" s="169" t="e">
        <f t="shared" si="154"/>
        <v>#N/A</v>
      </c>
      <c r="FZ113" s="7" t="e">
        <f t="shared" si="145"/>
        <v>#N/A</v>
      </c>
      <c r="GA113" t="e">
        <f t="shared" si="155"/>
        <v>#N/A</v>
      </c>
      <c r="GB113" s="8" t="e">
        <f t="shared" si="156"/>
        <v>#N/A</v>
      </c>
      <c r="GC113" s="8" t="e">
        <f t="shared" si="157"/>
        <v>#N/A</v>
      </c>
      <c r="GD113" s="168" t="e">
        <f t="shared" si="158"/>
        <v>#N/A</v>
      </c>
      <c r="GE113" s="168"/>
      <c r="GF113" s="168"/>
      <c r="GI113" s="54">
        <f t="shared" si="203"/>
        <v>103</v>
      </c>
      <c r="GJ113" s="54">
        <f t="shared" si="204"/>
        <v>104</v>
      </c>
      <c r="GK113" s="54">
        <f t="shared" si="205"/>
        <v>-0.62283751907258234</v>
      </c>
      <c r="GL113" s="54">
        <f t="shared" si="206"/>
        <v>0.3286040262264141</v>
      </c>
      <c r="GM113" s="54" t="e">
        <f t="shared" si="207"/>
        <v>#N/A</v>
      </c>
      <c r="GN113" s="54" t="e">
        <f t="shared" si="208"/>
        <v>#N/A</v>
      </c>
      <c r="GO113" s="54" t="e">
        <f t="shared" si="209"/>
        <v>#N/A</v>
      </c>
      <c r="GP113" s="54" t="b">
        <f t="shared" si="210"/>
        <v>0</v>
      </c>
      <c r="GQ113" s="54" t="b">
        <f t="shared" si="211"/>
        <v>1</v>
      </c>
      <c r="GR113" s="54" t="b">
        <f t="shared" si="212"/>
        <v>0</v>
      </c>
      <c r="GS113" s="54" t="b">
        <f t="shared" si="213"/>
        <v>1</v>
      </c>
      <c r="GT113" s="54">
        <f t="shared" si="214"/>
        <v>0.3286040262264141</v>
      </c>
      <c r="GU113" s="54" t="e">
        <f t="shared" si="215"/>
        <v>#N/A</v>
      </c>
      <c r="GV113" s="54">
        <f t="shared" si="216"/>
        <v>0.3286040262264141</v>
      </c>
      <c r="GW113" s="72" t="str">
        <f t="shared" si="217"/>
        <v/>
      </c>
      <c r="HC113" s="54">
        <f t="shared" si="218"/>
        <v>103</v>
      </c>
      <c r="HD113" s="54">
        <f t="shared" si="219"/>
        <v>104</v>
      </c>
      <c r="HE113" s="54">
        <f t="shared" si="220"/>
        <v>-0.96447697941547794</v>
      </c>
      <c r="HF113" s="54" t="e">
        <f t="shared" si="221"/>
        <v>#N/A</v>
      </c>
      <c r="HG113" s="54">
        <f t="shared" si="222"/>
        <v>0.23372394786255571</v>
      </c>
      <c r="HH113" s="54" t="e">
        <f t="shared" si="223"/>
        <v>#N/A</v>
      </c>
      <c r="HI113" s="54" t="e">
        <f t="shared" si="224"/>
        <v>#N/A</v>
      </c>
      <c r="HJ113" s="54" t="b">
        <f t="shared" si="225"/>
        <v>1</v>
      </c>
      <c r="HK113" s="54" t="b">
        <f t="shared" si="226"/>
        <v>0</v>
      </c>
      <c r="HL113" s="54" t="b">
        <f t="shared" si="227"/>
        <v>0</v>
      </c>
      <c r="HM113" s="54" t="b">
        <f t="shared" si="228"/>
        <v>1</v>
      </c>
      <c r="HN113" s="54">
        <f t="shared" si="229"/>
        <v>0.23372394786255571</v>
      </c>
      <c r="HO113" s="54">
        <f t="shared" si="230"/>
        <v>0.23372394786255571</v>
      </c>
      <c r="HP113" s="54" t="e">
        <f t="shared" si="231"/>
        <v>#N/A</v>
      </c>
      <c r="HQ113" s="72" t="str">
        <f t="shared" si="232"/>
        <v/>
      </c>
    </row>
    <row r="114" spans="71:225" x14ac:dyDescent="0.2">
      <c r="BS114" s="54">
        <f t="shared" si="159"/>
        <v>104</v>
      </c>
      <c r="BT114" s="54">
        <f>Eu_tabel_g[[#This Row],[Indeks]]+1</f>
        <v>105</v>
      </c>
      <c r="BU114" s="54">
        <f t="shared" si="160"/>
        <v>-0.59888222987748341</v>
      </c>
      <c r="BV114" s="54">
        <f t="shared" si="161"/>
        <v>0.3334479506451507</v>
      </c>
      <c r="BW114" s="54" t="e">
        <f t="shared" si="162"/>
        <v>#N/A</v>
      </c>
      <c r="BX114" s="54" t="e">
        <f t="shared" si="163"/>
        <v>#N/A</v>
      </c>
      <c r="BY114" s="54" t="e">
        <f t="shared" si="164"/>
        <v>#N/A</v>
      </c>
      <c r="BZ114" s="54" t="b">
        <f t="shared" si="165"/>
        <v>0</v>
      </c>
      <c r="CA114" s="54" t="b">
        <f t="shared" si="166"/>
        <v>1</v>
      </c>
      <c r="CB114" s="54" t="b">
        <f t="shared" si="167"/>
        <v>0</v>
      </c>
      <c r="CC114" s="54" t="b">
        <f t="shared" si="168"/>
        <v>1</v>
      </c>
      <c r="CD114" s="54">
        <f t="shared" si="233"/>
        <v>0.3334479506451507</v>
      </c>
      <c r="CE114" s="54" t="e">
        <f t="shared" si="169"/>
        <v>#N/A</v>
      </c>
      <c r="CF114" s="54">
        <f t="shared" si="170"/>
        <v>0.3334479506451507</v>
      </c>
      <c r="CG114" s="72" t="str">
        <f t="shared" si="171"/>
        <v/>
      </c>
      <c r="CH114" s="54">
        <f>_xlfn.NORM.DIST(_xlfn.NORM.INV(1-Eu_g_konfidensniveau,0,1)-Eu_tabel_g[[#This Row],[x base]],0,1,TRUE)</f>
        <v>0.14778711921721879</v>
      </c>
      <c r="CI114" s="54">
        <f>1-_xlfn.NORM.DIST(_xlfn.NORM.INV(Eu_g_konfidensniveau,0,1)-Eu_tabel_g[[#This Row],[x base]],0,1,TRUE)</f>
        <v>1.2424700798871258E-2</v>
      </c>
      <c r="CJ114" s="54">
        <f>_xlfn.NORM.DIST(_xlfn.NORM.INV((1-Eu_g_konfidensniveau)/2,0,1)-Eu_tabel_g[[#This Row],[x base]],0,1,TRUE)+1-_xlfn.NORM.DIST(_xlfn.NORM.INV(1-(1-Eu_g_konfidensniveau)/2,0,1)-Eu_tabel_g[[#This Row],[x base]],0,1,TRUE)</f>
        <v>9.1994936832619389E-2</v>
      </c>
      <c r="CK114" s="54" t="e" cm="1">
        <f t="array" ref="CK114">IF($CK$3,INDEX(Eu_tabel_g[[#This Row],[Styrke venstre]:[Styrke tosidet]],CK$7),NA())</f>
        <v>#N/A</v>
      </c>
      <c r="CL114" s="99" t="e">
        <f>Eu_tabel_g[[#This Row],[Falsk positiv
Nulhypotese accepteres
Fejltype 1]]</f>
        <v>#N/A</v>
      </c>
      <c r="CM114" s="99" t="e">
        <f>IF(CHOOSE(CK$7,Eu_tabel_g[[#This Row],[x base]]&gt;0,Eu_tabel_g[[#This Row],[x base]]&lt;0,Eu_tabel_g[[#This Row],[x base]]=0),Eu_tabel_g[[#This Row],[Styrke, aktiv]],NA())</f>
        <v>#N/A</v>
      </c>
      <c r="CN114" s="99" t="e">
        <f>IFERROR(IF($CK$3,Eu_tabel_g[[#This Row],[Styrke, aktiv]],NA()),NA())</f>
        <v>#N/A</v>
      </c>
      <c r="CO114" s="99" t="e">
        <f>IF(ISNA(Eu_tabel_g[[#This Row],[Sand negativ
Nulhypotese afvises
Korrekt]]),NA(),IF($CK$3,1,NA()))</f>
        <v>#N/A</v>
      </c>
      <c r="CP114" s="56" t="str" cm="1">
        <f t="array" ref="CP114">_xlfn.SWITCH(BS114,_xlfn.IFNA(CN$2,-99),CN$5,_xlfn.IFNA(CN$3,-99),CN$6,_xlfn.IFNA(CN$4,-99),CN$7,"")</f>
        <v/>
      </c>
      <c r="CT114" s="7">
        <f t="shared" si="172"/>
        <v>0.8</v>
      </c>
      <c r="CU114">
        <f>IF(ROW(Styrkeberegning_G[[#This Row],[X base venstre]])=ROW(Styrkeberegning_G[[#Headers],[X base venstre]])+1,CU$7/(CT$7/$B$67),CU113/(CT113/$B$67))</f>
        <v>-2.8015817870135784</v>
      </c>
      <c r="CV114">
        <f>Styrkeberegning_G[[#This Row],[X base venstre]]*-1</f>
        <v>2.8015817870135784</v>
      </c>
      <c r="DG114" s="54">
        <f t="shared" si="173"/>
        <v>104</v>
      </c>
      <c r="DH114" s="54">
        <f t="shared" si="174"/>
        <v>105</v>
      </c>
      <c r="DI114" s="54">
        <f t="shared" si="175"/>
        <v>13.697221732021795</v>
      </c>
      <c r="DJ114" s="54" t="e">
        <f t="shared" si="176"/>
        <v>#N/A</v>
      </c>
      <c r="DK114" s="54" t="e">
        <f t="shared" si="177"/>
        <v>#N/A</v>
      </c>
      <c r="DL114" s="54">
        <f t="shared" si="178"/>
        <v>5.834592608545798E-2</v>
      </c>
      <c r="DM114" s="54" t="e">
        <f t="shared" si="179"/>
        <v>#N/A</v>
      </c>
      <c r="DN114" s="54" t="b">
        <f t="shared" si="180"/>
        <v>0</v>
      </c>
      <c r="DO114" s="54" t="b">
        <f t="shared" si="181"/>
        <v>1</v>
      </c>
      <c r="DP114" s="54" t="b">
        <f t="shared" si="182"/>
        <v>0</v>
      </c>
      <c r="DQ114" s="54" t="b">
        <f t="shared" si="183"/>
        <v>1</v>
      </c>
      <c r="DR114" s="54">
        <f t="shared" si="184"/>
        <v>5.834592608545798E-2</v>
      </c>
      <c r="DS114" s="54" t="e">
        <f t="shared" si="185"/>
        <v>#N/A</v>
      </c>
      <c r="DT114" s="54">
        <f t="shared" si="186"/>
        <v>5.834592608545798E-2</v>
      </c>
      <c r="DU114" s="72" t="str">
        <f t="shared" si="187"/>
        <v/>
      </c>
      <c r="DZ114" s="54">
        <f t="shared" si="188"/>
        <v>104</v>
      </c>
      <c r="EA114" s="54">
        <f t="shared" si="189"/>
        <v>105</v>
      </c>
      <c r="EB114" s="54">
        <f t="shared" si="190"/>
        <v>-0.59888222987748341</v>
      </c>
      <c r="EC114" s="54">
        <f t="shared" si="191"/>
        <v>0.3334479506451507</v>
      </c>
      <c r="ED114" s="54" t="e">
        <f t="shared" si="192"/>
        <v>#N/A</v>
      </c>
      <c r="EE114" s="54" t="e">
        <f t="shared" si="193"/>
        <v>#N/A</v>
      </c>
      <c r="EF114" s="54" t="e">
        <f t="shared" si="194"/>
        <v>#N/A</v>
      </c>
      <c r="EG114" s="54" t="b">
        <f t="shared" si="195"/>
        <v>0</v>
      </c>
      <c r="EH114" s="54" t="b">
        <f t="shared" si="196"/>
        <v>1</v>
      </c>
      <c r="EI114" s="54" t="b">
        <f t="shared" si="197"/>
        <v>0</v>
      </c>
      <c r="EJ114" s="54" t="b">
        <f t="shared" si="198"/>
        <v>1</v>
      </c>
      <c r="EK114" s="54">
        <f t="shared" si="199"/>
        <v>0.3334479506451507</v>
      </c>
      <c r="EL114" s="54" t="e">
        <f t="shared" si="200"/>
        <v>#N/A</v>
      </c>
      <c r="EM114" s="54">
        <f t="shared" si="201"/>
        <v>0.3334479506451507</v>
      </c>
      <c r="EN114" s="72" t="str">
        <f t="shared" si="202"/>
        <v/>
      </c>
      <c r="EO11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1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1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14" s="54" t="e" cm="1">
        <f t="array" ref="ER114">IF($CK$3,INDEX(Eu_tabel_a[[#This Row],[Styrke venstre]:[Styrke tosidet]],ER$7),NA())</f>
        <v>#N/A</v>
      </c>
      <c r="ES114" s="54" t="e">
        <f>IF(ER$3,IF(CHOOSE(ER$7,Eu_tabel_a[[#This Row],[x base]]&gt;0,Eu_tabel_a[[#This Row],[x base]]&lt;0,Eu_tabel_a[[#This Row],[x base]]=0),1,NA()),NA())</f>
        <v>#N/A</v>
      </c>
      <c r="ET114" s="54" t="e">
        <f>IF(CHOOSE(ER$7,Eu_tabel_a[[#This Row],[x base]]&gt;0,Eu_tabel_a[[#This Row],[x base]]&lt;0,Eu_tabel_a[[#This Row],[x base]]=0),Eu_tabel_a[[#This Row],[Styrke, aktiv]],NA())</f>
        <v>#N/A</v>
      </c>
      <c r="EU114" s="54" t="e">
        <f>IFERROR(IF($ER$3,Eu_tabel_a[[#This Row],[Styrke, aktiv]],NA()),NA())</f>
        <v>#N/A</v>
      </c>
      <c r="EV114" s="54" t="e">
        <f>IF(ISNA(Eu_tabel_a[[#This Row],[Sand negativ
Nulhypotese afvises
Korrekt]]),NA(),IF(ER$3,1,NA()))</f>
        <v>#N/A</v>
      </c>
      <c r="EW114" s="55" t="str" cm="1">
        <f t="array" ref="EW114">IFERROR(_xlfn.SWITCH(Eu_tabel_a[[#This Row],[Indeks]],_xlfn.IFNA(EU$2,-99),EU$5,_xlfn.IFNA(EU$3,-99),EU$6,_xlfn.IFNA(EU$4,-99),EU$7,""),"")</f>
        <v/>
      </c>
      <c r="EX114" s="54">
        <f>Eu_tabel_a[[#This Row],[x base]]*SQRT(Eu_a_h0_x*(1-Eu_a_h0_x)/Eu_a_n_x)+Eu_a_h0_x</f>
        <v>0</v>
      </c>
      <c r="FC114" s="161" t="e">
        <f t="shared" si="146"/>
        <v>#N/A</v>
      </c>
      <c r="FD114" s="169" t="e">
        <f t="shared" si="234"/>
        <v>#DIV/0!</v>
      </c>
      <c r="FE114" s="7" t="e">
        <f t="shared" si="140"/>
        <v>#DIV/0!</v>
      </c>
      <c r="FF114" t="e">
        <f t="shared" si="235"/>
        <v>#DIV/0!</v>
      </c>
      <c r="FG114" s="8" t="e">
        <f t="shared" si="236"/>
        <v>#DIV/0!</v>
      </c>
      <c r="FH114" s="8" t="e">
        <f t="shared" si="237"/>
        <v>#DIV/0!</v>
      </c>
      <c r="FI114" s="168" t="e">
        <f t="shared" si="238"/>
        <v>#DIV/0!</v>
      </c>
      <c r="FJ114" s="161" t="e">
        <f t="shared" ca="1" si="141"/>
        <v>#N/A</v>
      </c>
      <c r="FK114" s="169" t="e" vm="3">
        <f t="shared" ca="1" si="147"/>
        <v>#VALUE!</v>
      </c>
      <c r="FL114" s="7" t="e" vm="3">
        <f t="shared" ca="1" si="142"/>
        <v>#VALUE!</v>
      </c>
      <c r="FM114" t="e" vm="3">
        <f t="shared" ca="1" si="136"/>
        <v>#VALUE!</v>
      </c>
      <c r="FN114" s="8" t="e" vm="3">
        <f t="shared" ca="1" si="137"/>
        <v>#VALUE!</v>
      </c>
      <c r="FO114" s="8" t="e" vm="3">
        <f t="shared" ca="1" si="138"/>
        <v>#VALUE!</v>
      </c>
      <c r="FP114" s="168" t="e" vm="3">
        <f t="shared" ca="1" si="139"/>
        <v>#VALUE!</v>
      </c>
      <c r="FQ114" s="161" t="e">
        <f t="shared" si="143"/>
        <v>#N/A</v>
      </c>
      <c r="FR114" s="169" t="e">
        <f t="shared" si="148"/>
        <v>#N/A</v>
      </c>
      <c r="FS114" s="7" t="e">
        <f t="shared" si="144"/>
        <v>#N/A</v>
      </c>
      <c r="FT114" t="e">
        <f t="shared" si="149"/>
        <v>#N/A</v>
      </c>
      <c r="FU114" s="8" t="e">
        <f t="shared" si="150"/>
        <v>#N/A</v>
      </c>
      <c r="FV114" s="8" t="e">
        <f t="shared" si="151"/>
        <v>#N/A</v>
      </c>
      <c r="FW114" s="168" t="e">
        <f t="shared" si="152"/>
        <v>#N/A</v>
      </c>
      <c r="FX114" s="161" t="e">
        <f t="shared" si="153"/>
        <v>#N/A</v>
      </c>
      <c r="FY114" s="169" t="e">
        <f t="shared" si="154"/>
        <v>#N/A</v>
      </c>
      <c r="FZ114" s="7" t="e">
        <f t="shared" si="145"/>
        <v>#N/A</v>
      </c>
      <c r="GA114" t="e">
        <f t="shared" si="155"/>
        <v>#N/A</v>
      </c>
      <c r="GB114" s="8" t="e">
        <f t="shared" si="156"/>
        <v>#N/A</v>
      </c>
      <c r="GC114" s="8" t="e">
        <f t="shared" si="157"/>
        <v>#N/A</v>
      </c>
      <c r="GD114" s="168" t="e">
        <f t="shared" si="158"/>
        <v>#N/A</v>
      </c>
      <c r="GE114" s="168"/>
      <c r="GF114" s="168"/>
      <c r="GI114" s="54">
        <f t="shared" si="203"/>
        <v>104</v>
      </c>
      <c r="GJ114" s="54">
        <f t="shared" si="204"/>
        <v>105</v>
      </c>
      <c r="GK114" s="54">
        <f t="shared" si="205"/>
        <v>-0.59888222987748341</v>
      </c>
      <c r="GL114" s="54">
        <f t="shared" si="206"/>
        <v>0.3334479506451507</v>
      </c>
      <c r="GM114" s="54" t="e">
        <f t="shared" si="207"/>
        <v>#N/A</v>
      </c>
      <c r="GN114" s="54" t="e">
        <f t="shared" si="208"/>
        <v>#N/A</v>
      </c>
      <c r="GO114" s="54" t="e">
        <f t="shared" si="209"/>
        <v>#N/A</v>
      </c>
      <c r="GP114" s="54" t="b">
        <f t="shared" si="210"/>
        <v>0</v>
      </c>
      <c r="GQ114" s="54" t="b">
        <f t="shared" si="211"/>
        <v>1</v>
      </c>
      <c r="GR114" s="54" t="b">
        <f t="shared" si="212"/>
        <v>0</v>
      </c>
      <c r="GS114" s="54" t="b">
        <f t="shared" si="213"/>
        <v>1</v>
      </c>
      <c r="GT114" s="54">
        <f t="shared" si="214"/>
        <v>0.3334479506451507</v>
      </c>
      <c r="GU114" s="54" t="e">
        <f t="shared" si="215"/>
        <v>#N/A</v>
      </c>
      <c r="GV114" s="54">
        <f t="shared" si="216"/>
        <v>0.3334479506451507</v>
      </c>
      <c r="GW114" s="72" t="str">
        <f t="shared" si="217"/>
        <v/>
      </c>
      <c r="HC114" s="54">
        <f t="shared" si="218"/>
        <v>104</v>
      </c>
      <c r="HD114" s="54">
        <f t="shared" si="219"/>
        <v>105</v>
      </c>
      <c r="HE114" s="54">
        <f t="shared" si="220"/>
        <v>-0.92738171097642086</v>
      </c>
      <c r="HF114" s="54" t="e">
        <f t="shared" si="221"/>
        <v>#N/A</v>
      </c>
      <c r="HG114" s="54">
        <f t="shared" si="222"/>
        <v>0.24218370552426591</v>
      </c>
      <c r="HH114" s="54" t="e">
        <f t="shared" si="223"/>
        <v>#N/A</v>
      </c>
      <c r="HI114" s="54" t="e">
        <f t="shared" si="224"/>
        <v>#N/A</v>
      </c>
      <c r="HJ114" s="54" t="b">
        <f t="shared" si="225"/>
        <v>1</v>
      </c>
      <c r="HK114" s="54" t="b">
        <f t="shared" si="226"/>
        <v>0</v>
      </c>
      <c r="HL114" s="54" t="b">
        <f t="shared" si="227"/>
        <v>0</v>
      </c>
      <c r="HM114" s="54" t="b">
        <f t="shared" si="228"/>
        <v>1</v>
      </c>
      <c r="HN114" s="54">
        <f t="shared" si="229"/>
        <v>0.24218370552426591</v>
      </c>
      <c r="HO114" s="54">
        <f t="shared" si="230"/>
        <v>0.24218370552426591</v>
      </c>
      <c r="HP114" s="54" t="e">
        <f t="shared" si="231"/>
        <v>#N/A</v>
      </c>
      <c r="HQ114" s="72" t="str">
        <f t="shared" si="232"/>
        <v/>
      </c>
    </row>
    <row r="115" spans="71:225" x14ac:dyDescent="0.2">
      <c r="BS115" s="54">
        <f t="shared" si="159"/>
        <v>105</v>
      </c>
      <c r="BT115" s="54">
        <f>Eu_tabel_g[[#This Row],[Indeks]]+1</f>
        <v>106</v>
      </c>
      <c r="BU115" s="54">
        <f t="shared" si="160"/>
        <v>-0.57492694068238404</v>
      </c>
      <c r="BV115" s="54">
        <f t="shared" si="161"/>
        <v>0.33816916289320309</v>
      </c>
      <c r="BW115" s="54" t="e">
        <f t="shared" si="162"/>
        <v>#N/A</v>
      </c>
      <c r="BX115" s="54" t="e">
        <f t="shared" si="163"/>
        <v>#N/A</v>
      </c>
      <c r="BY115" s="54" t="e">
        <f t="shared" si="164"/>
        <v>#N/A</v>
      </c>
      <c r="BZ115" s="54" t="b">
        <f t="shared" si="165"/>
        <v>0</v>
      </c>
      <c r="CA115" s="54" t="b">
        <f t="shared" si="166"/>
        <v>1</v>
      </c>
      <c r="CB115" s="54" t="b">
        <f t="shared" si="167"/>
        <v>0</v>
      </c>
      <c r="CC115" s="54" t="b">
        <f t="shared" si="168"/>
        <v>1</v>
      </c>
      <c r="CD115" s="54">
        <f t="shared" si="233"/>
        <v>0.33816916289320309</v>
      </c>
      <c r="CE115" s="54" t="e">
        <f t="shared" si="169"/>
        <v>#N/A</v>
      </c>
      <c r="CF115" s="54">
        <f t="shared" si="170"/>
        <v>0.33816916289320309</v>
      </c>
      <c r="CG115" s="72" t="str">
        <f t="shared" si="171"/>
        <v/>
      </c>
      <c r="CH115" s="54">
        <f>_xlfn.NORM.DIST(_xlfn.NORM.INV(1-Eu_g_konfidensniveau,0,1)-Eu_tabel_g[[#This Row],[x base]],0,1,TRUE)</f>
        <v>0.14232615498665233</v>
      </c>
      <c r="CI115" s="54">
        <f>1-_xlfn.NORM.DIST(_xlfn.NORM.INV(Eu_g_konfidensniveau,0,1)-Eu_tabel_g[[#This Row],[x base]],0,1,TRUE)</f>
        <v>1.3216833323501209E-2</v>
      </c>
      <c r="CJ115" s="54">
        <f>_xlfn.NORM.DIST(_xlfn.NORM.INV((1-Eu_g_konfidensniveau)/2,0,1)-Eu_tabel_g[[#This Row],[x base]],0,1,TRUE)+1-_xlfn.NORM.DIST(_xlfn.NORM.INV(1-(1-Eu_g_konfidensniveau)/2,0,1)-Eu_tabel_g[[#This Row],[x base]],0,1,TRUE)</f>
        <v>8.8644687460783023E-2</v>
      </c>
      <c r="CK115" s="54" t="e" cm="1">
        <f t="array" ref="CK115">IF($CK$3,INDEX(Eu_tabel_g[[#This Row],[Styrke venstre]:[Styrke tosidet]],CK$7),NA())</f>
        <v>#N/A</v>
      </c>
      <c r="CL115" s="99" t="e">
        <f>Eu_tabel_g[[#This Row],[Falsk positiv
Nulhypotese accepteres
Fejltype 1]]</f>
        <v>#N/A</v>
      </c>
      <c r="CM115" s="99" t="e">
        <f>IF(CHOOSE(CK$7,Eu_tabel_g[[#This Row],[x base]]&gt;0,Eu_tabel_g[[#This Row],[x base]]&lt;0,Eu_tabel_g[[#This Row],[x base]]=0),Eu_tabel_g[[#This Row],[Styrke, aktiv]],NA())</f>
        <v>#N/A</v>
      </c>
      <c r="CN115" s="99" t="e">
        <f>IFERROR(IF($CK$3,Eu_tabel_g[[#This Row],[Styrke, aktiv]],NA()),NA())</f>
        <v>#N/A</v>
      </c>
      <c r="CO115" s="99" t="e">
        <f>IF(ISNA(Eu_tabel_g[[#This Row],[Sand negativ
Nulhypotese afvises
Korrekt]]),NA(),IF($CK$3,1,NA()))</f>
        <v>#N/A</v>
      </c>
      <c r="CP115" s="56" t="str" cm="1">
        <f t="array" ref="CP115">_xlfn.SWITCH(BS115,_xlfn.IFNA(CN$2,-99),CN$5,_xlfn.IFNA(CN$3,-99),CN$6,_xlfn.IFNA(CN$4,-99),CN$7,"")</f>
        <v/>
      </c>
      <c r="CT115" s="7">
        <f t="shared" si="172"/>
        <v>0.8</v>
      </c>
      <c r="CU115">
        <f>IF(ROW(Styrkeberegning_G[[#This Row],[X base venstre]])=ROW(Styrkeberegning_G[[#Headers],[X base venstre]])+1,CU$7/(CT$7/$B$67),CU114/(CT114/$B$67))</f>
        <v>-2.8015817870135784</v>
      </c>
      <c r="CV115">
        <f>Styrkeberegning_G[[#This Row],[X base venstre]]*-1</f>
        <v>2.8015817870135784</v>
      </c>
      <c r="DG115" s="54">
        <f t="shared" si="173"/>
        <v>105</v>
      </c>
      <c r="DH115" s="54">
        <f t="shared" si="174"/>
        <v>106</v>
      </c>
      <c r="DI115" s="54">
        <f t="shared" si="175"/>
        <v>13.811292588438796</v>
      </c>
      <c r="DJ115" s="54" t="e">
        <f t="shared" si="176"/>
        <v>#N/A</v>
      </c>
      <c r="DK115" s="54" t="e">
        <f t="shared" si="177"/>
        <v>#N/A</v>
      </c>
      <c r="DL115" s="54">
        <f t="shared" si="178"/>
        <v>5.7206930221701147E-2</v>
      </c>
      <c r="DM115" s="54" t="e">
        <f t="shared" si="179"/>
        <v>#N/A</v>
      </c>
      <c r="DN115" s="54" t="b">
        <f t="shared" si="180"/>
        <v>0</v>
      </c>
      <c r="DO115" s="54" t="b">
        <f t="shared" si="181"/>
        <v>1</v>
      </c>
      <c r="DP115" s="54" t="b">
        <f t="shared" si="182"/>
        <v>0</v>
      </c>
      <c r="DQ115" s="54" t="b">
        <f t="shared" si="183"/>
        <v>1</v>
      </c>
      <c r="DR115" s="54">
        <f t="shared" si="184"/>
        <v>5.7206930221701147E-2</v>
      </c>
      <c r="DS115" s="54" t="e">
        <f t="shared" si="185"/>
        <v>#N/A</v>
      </c>
      <c r="DT115" s="54">
        <f t="shared" si="186"/>
        <v>5.7206930221701147E-2</v>
      </c>
      <c r="DU115" s="72" t="str">
        <f t="shared" si="187"/>
        <v/>
      </c>
      <c r="DZ115" s="54">
        <f t="shared" si="188"/>
        <v>105</v>
      </c>
      <c r="EA115" s="54">
        <f t="shared" si="189"/>
        <v>106</v>
      </c>
      <c r="EB115" s="54">
        <f t="shared" si="190"/>
        <v>-0.57492694068238404</v>
      </c>
      <c r="EC115" s="54">
        <f t="shared" si="191"/>
        <v>0.33816916289320309</v>
      </c>
      <c r="ED115" s="54" t="e">
        <f t="shared" si="192"/>
        <v>#N/A</v>
      </c>
      <c r="EE115" s="54" t="e">
        <f t="shared" si="193"/>
        <v>#N/A</v>
      </c>
      <c r="EF115" s="54" t="e">
        <f t="shared" si="194"/>
        <v>#N/A</v>
      </c>
      <c r="EG115" s="54" t="b">
        <f t="shared" si="195"/>
        <v>0</v>
      </c>
      <c r="EH115" s="54" t="b">
        <f t="shared" si="196"/>
        <v>1</v>
      </c>
      <c r="EI115" s="54" t="b">
        <f t="shared" si="197"/>
        <v>0</v>
      </c>
      <c r="EJ115" s="54" t="b">
        <f t="shared" si="198"/>
        <v>1</v>
      </c>
      <c r="EK115" s="54">
        <f t="shared" si="199"/>
        <v>0.33816916289320309</v>
      </c>
      <c r="EL115" s="54" t="e">
        <f t="shared" si="200"/>
        <v>#N/A</v>
      </c>
      <c r="EM115" s="54">
        <f t="shared" si="201"/>
        <v>0.33816916289320309</v>
      </c>
      <c r="EN115" s="72" t="str">
        <f t="shared" si="202"/>
        <v/>
      </c>
      <c r="EO11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1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1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15" s="54" t="e" cm="1">
        <f t="array" ref="ER115">IF($CK$3,INDEX(Eu_tabel_a[[#This Row],[Styrke venstre]:[Styrke tosidet]],ER$7),NA())</f>
        <v>#N/A</v>
      </c>
      <c r="ES115" s="54" t="e">
        <f>IF(ER$3,IF(CHOOSE(ER$7,Eu_tabel_a[[#This Row],[x base]]&gt;0,Eu_tabel_a[[#This Row],[x base]]&lt;0,Eu_tabel_a[[#This Row],[x base]]=0),1,NA()),NA())</f>
        <v>#N/A</v>
      </c>
      <c r="ET115" s="54" t="e">
        <f>IF(CHOOSE(ER$7,Eu_tabel_a[[#This Row],[x base]]&gt;0,Eu_tabel_a[[#This Row],[x base]]&lt;0,Eu_tabel_a[[#This Row],[x base]]=0),Eu_tabel_a[[#This Row],[Styrke, aktiv]],NA())</f>
        <v>#N/A</v>
      </c>
      <c r="EU115" s="54" t="e">
        <f>IFERROR(IF($ER$3,Eu_tabel_a[[#This Row],[Styrke, aktiv]],NA()),NA())</f>
        <v>#N/A</v>
      </c>
      <c r="EV115" s="54" t="e">
        <f>IF(ISNA(Eu_tabel_a[[#This Row],[Sand negativ
Nulhypotese afvises
Korrekt]]),NA(),IF(ER$3,1,NA()))</f>
        <v>#N/A</v>
      </c>
      <c r="EW115" s="55" t="str" cm="1">
        <f t="array" ref="EW115">IFERROR(_xlfn.SWITCH(Eu_tabel_a[[#This Row],[Indeks]],_xlfn.IFNA(EU$2,-99),EU$5,_xlfn.IFNA(EU$3,-99),EU$6,_xlfn.IFNA(EU$4,-99),EU$7,""),"")</f>
        <v/>
      </c>
      <c r="EX115" s="54">
        <f>Eu_tabel_a[[#This Row],[x base]]*SQRT(Eu_a_h0_x*(1-Eu_a_h0_x)/Eu_a_n_x)+Eu_a_h0_x</f>
        <v>0</v>
      </c>
      <c r="FC115" s="161" t="e">
        <f t="shared" si="146"/>
        <v>#N/A</v>
      </c>
      <c r="FD115" s="169" t="e">
        <f t="shared" si="234"/>
        <v>#DIV/0!</v>
      </c>
      <c r="FE115" s="7" t="e">
        <f t="shared" si="140"/>
        <v>#DIV/0!</v>
      </c>
      <c r="FF115" t="e">
        <f t="shared" si="235"/>
        <v>#DIV/0!</v>
      </c>
      <c r="FG115" s="8" t="e">
        <f t="shared" si="236"/>
        <v>#DIV/0!</v>
      </c>
      <c r="FH115" s="8" t="e">
        <f t="shared" si="237"/>
        <v>#DIV/0!</v>
      </c>
      <c r="FI115" s="168" t="e">
        <f t="shared" si="238"/>
        <v>#DIV/0!</v>
      </c>
      <c r="FJ115" s="161" t="e">
        <f t="shared" ca="1" si="141"/>
        <v>#N/A</v>
      </c>
      <c r="FK115" s="169" t="e" vm="3">
        <f t="shared" ca="1" si="147"/>
        <v>#VALUE!</v>
      </c>
      <c r="FL115" s="7" t="e" vm="3">
        <f t="shared" ca="1" si="142"/>
        <v>#VALUE!</v>
      </c>
      <c r="FM115" t="e" vm="3">
        <f t="shared" ca="1" si="136"/>
        <v>#VALUE!</v>
      </c>
      <c r="FN115" s="8" t="e" vm="3">
        <f t="shared" ca="1" si="137"/>
        <v>#VALUE!</v>
      </c>
      <c r="FO115" s="8" t="e" vm="3">
        <f t="shared" ca="1" si="138"/>
        <v>#VALUE!</v>
      </c>
      <c r="FP115" s="168" t="e" vm="3">
        <f t="shared" ca="1" si="139"/>
        <v>#VALUE!</v>
      </c>
      <c r="FQ115" s="161" t="e">
        <f t="shared" si="143"/>
        <v>#N/A</v>
      </c>
      <c r="FR115" s="169" t="e">
        <f t="shared" si="148"/>
        <v>#N/A</v>
      </c>
      <c r="FS115" s="7" t="e">
        <f t="shared" si="144"/>
        <v>#N/A</v>
      </c>
      <c r="FT115" t="e">
        <f t="shared" si="149"/>
        <v>#N/A</v>
      </c>
      <c r="FU115" s="8" t="e">
        <f t="shared" si="150"/>
        <v>#N/A</v>
      </c>
      <c r="FV115" s="8" t="e">
        <f t="shared" si="151"/>
        <v>#N/A</v>
      </c>
      <c r="FW115" s="168" t="e">
        <f t="shared" si="152"/>
        <v>#N/A</v>
      </c>
      <c r="FX115" s="161" t="e">
        <f t="shared" si="153"/>
        <v>#N/A</v>
      </c>
      <c r="FY115" s="169" t="e">
        <f t="shared" si="154"/>
        <v>#N/A</v>
      </c>
      <c r="FZ115" s="7" t="e">
        <f t="shared" si="145"/>
        <v>#N/A</v>
      </c>
      <c r="GA115" t="e">
        <f t="shared" si="155"/>
        <v>#N/A</v>
      </c>
      <c r="GB115" s="8" t="e">
        <f t="shared" si="156"/>
        <v>#N/A</v>
      </c>
      <c r="GC115" s="8" t="e">
        <f t="shared" si="157"/>
        <v>#N/A</v>
      </c>
      <c r="GD115" s="168" t="e">
        <f t="shared" si="158"/>
        <v>#N/A</v>
      </c>
      <c r="GE115" s="168"/>
      <c r="GF115" s="168"/>
      <c r="GI115" s="54">
        <f t="shared" si="203"/>
        <v>105</v>
      </c>
      <c r="GJ115" s="54">
        <f t="shared" si="204"/>
        <v>106</v>
      </c>
      <c r="GK115" s="54">
        <f t="shared" si="205"/>
        <v>-0.57492694068238404</v>
      </c>
      <c r="GL115" s="54">
        <f t="shared" si="206"/>
        <v>0.33816916289320309</v>
      </c>
      <c r="GM115" s="54" t="e">
        <f t="shared" si="207"/>
        <v>#N/A</v>
      </c>
      <c r="GN115" s="54" t="e">
        <f t="shared" si="208"/>
        <v>#N/A</v>
      </c>
      <c r="GO115" s="54" t="e">
        <f t="shared" si="209"/>
        <v>#N/A</v>
      </c>
      <c r="GP115" s="54" t="b">
        <f t="shared" si="210"/>
        <v>0</v>
      </c>
      <c r="GQ115" s="54" t="b">
        <f t="shared" si="211"/>
        <v>1</v>
      </c>
      <c r="GR115" s="54" t="b">
        <f t="shared" si="212"/>
        <v>0</v>
      </c>
      <c r="GS115" s="54" t="b">
        <f t="shared" si="213"/>
        <v>1</v>
      </c>
      <c r="GT115" s="54">
        <f t="shared" si="214"/>
        <v>0.33816916289320309</v>
      </c>
      <c r="GU115" s="54" t="e">
        <f t="shared" si="215"/>
        <v>#N/A</v>
      </c>
      <c r="GV115" s="54">
        <f t="shared" si="216"/>
        <v>0.33816916289320309</v>
      </c>
      <c r="GW115" s="72" t="str">
        <f t="shared" si="217"/>
        <v/>
      </c>
      <c r="HC115" s="54">
        <f t="shared" si="218"/>
        <v>105</v>
      </c>
      <c r="HD115" s="54">
        <f t="shared" si="219"/>
        <v>106</v>
      </c>
      <c r="HE115" s="54">
        <f t="shared" si="220"/>
        <v>-0.89028644253736422</v>
      </c>
      <c r="HF115" s="54" t="e">
        <f t="shared" si="221"/>
        <v>#N/A</v>
      </c>
      <c r="HG115" s="54">
        <f t="shared" si="222"/>
        <v>0.25067526978144983</v>
      </c>
      <c r="HH115" s="54" t="e">
        <f t="shared" si="223"/>
        <v>#N/A</v>
      </c>
      <c r="HI115" s="54" t="e">
        <f t="shared" si="224"/>
        <v>#N/A</v>
      </c>
      <c r="HJ115" s="54" t="b">
        <f t="shared" si="225"/>
        <v>1</v>
      </c>
      <c r="HK115" s="54" t="b">
        <f t="shared" si="226"/>
        <v>0</v>
      </c>
      <c r="HL115" s="54" t="b">
        <f t="shared" si="227"/>
        <v>0</v>
      </c>
      <c r="HM115" s="54" t="b">
        <f t="shared" si="228"/>
        <v>1</v>
      </c>
      <c r="HN115" s="54">
        <f t="shared" si="229"/>
        <v>0.25067526978144983</v>
      </c>
      <c r="HO115" s="54">
        <f t="shared" si="230"/>
        <v>0.25067526978144983</v>
      </c>
      <c r="HP115" s="54" t="e">
        <f t="shared" si="231"/>
        <v>#N/A</v>
      </c>
      <c r="HQ115" s="72" t="str">
        <f t="shared" si="232"/>
        <v/>
      </c>
    </row>
    <row r="116" spans="71:225" x14ac:dyDescent="0.2">
      <c r="BS116" s="54">
        <f t="shared" si="159"/>
        <v>106</v>
      </c>
      <c r="BT116" s="54">
        <f>Eu_tabel_g[[#This Row],[Indeks]]+1</f>
        <v>107</v>
      </c>
      <c r="BU116" s="54">
        <f t="shared" si="160"/>
        <v>-0.55097165148728466</v>
      </c>
      <c r="BV116" s="54">
        <f t="shared" si="161"/>
        <v>0.34276047013173222</v>
      </c>
      <c r="BW116" s="54" t="e">
        <f t="shared" si="162"/>
        <v>#N/A</v>
      </c>
      <c r="BX116" s="54" t="e">
        <f t="shared" si="163"/>
        <v>#N/A</v>
      </c>
      <c r="BY116" s="54" t="e">
        <f t="shared" si="164"/>
        <v>#N/A</v>
      </c>
      <c r="BZ116" s="54" t="b">
        <f t="shared" si="165"/>
        <v>0</v>
      </c>
      <c r="CA116" s="54" t="b">
        <f t="shared" si="166"/>
        <v>1</v>
      </c>
      <c r="CB116" s="54" t="b">
        <f t="shared" si="167"/>
        <v>0</v>
      </c>
      <c r="CC116" s="54" t="b">
        <f t="shared" si="168"/>
        <v>1</v>
      </c>
      <c r="CD116" s="54">
        <f t="shared" si="233"/>
        <v>0.34276047013173222</v>
      </c>
      <c r="CE116" s="54" t="e">
        <f t="shared" si="169"/>
        <v>#N/A</v>
      </c>
      <c r="CF116" s="54">
        <f t="shared" si="170"/>
        <v>0.34276047013173222</v>
      </c>
      <c r="CG116" s="72" t="str">
        <f t="shared" si="171"/>
        <v/>
      </c>
      <c r="CH116" s="54">
        <f>_xlfn.NORM.DIST(_xlfn.NORM.INV(1-Eu_g_konfidensniveau,0,1)-Eu_tabel_g[[#This Row],[x base]],0,1,TRUE)</f>
        <v>0.13700337247235039</v>
      </c>
      <c r="CI116" s="54">
        <f>1-_xlfn.NORM.DIST(_xlfn.NORM.INV(Eu_g_konfidensniveau,0,1)-Eu_tabel_g[[#This Row],[x base]],0,1,TRUE)</f>
        <v>1.4052225802867691E-2</v>
      </c>
      <c r="CJ116" s="54">
        <f>_xlfn.NORM.DIST(_xlfn.NORM.INV((1-Eu_g_konfidensniveau)/2,0,1)-Eu_tabel_g[[#This Row],[x base]],0,1,TRUE)+1-_xlfn.NORM.DIST(_xlfn.NORM.INV(1-(1-Eu_g_konfidensniveau)/2,0,1)-Eu_tabel_g[[#This Row],[x base]],0,1,TRUE)</f>
        <v>8.5439300065713875E-2</v>
      </c>
      <c r="CK116" s="54" t="e" cm="1">
        <f t="array" ref="CK116">IF($CK$3,INDEX(Eu_tabel_g[[#This Row],[Styrke venstre]:[Styrke tosidet]],CK$7),NA())</f>
        <v>#N/A</v>
      </c>
      <c r="CL116" s="99" t="e">
        <f>Eu_tabel_g[[#This Row],[Falsk positiv
Nulhypotese accepteres
Fejltype 1]]</f>
        <v>#N/A</v>
      </c>
      <c r="CM116" s="99" t="e">
        <f>IF(CHOOSE(CK$7,Eu_tabel_g[[#This Row],[x base]]&gt;0,Eu_tabel_g[[#This Row],[x base]]&lt;0,Eu_tabel_g[[#This Row],[x base]]=0),Eu_tabel_g[[#This Row],[Styrke, aktiv]],NA())</f>
        <v>#N/A</v>
      </c>
      <c r="CN116" s="99" t="e">
        <f>IFERROR(IF($CK$3,Eu_tabel_g[[#This Row],[Styrke, aktiv]],NA()),NA())</f>
        <v>#N/A</v>
      </c>
      <c r="CO116" s="99" t="e">
        <f>IF(ISNA(Eu_tabel_g[[#This Row],[Sand negativ
Nulhypotese afvises
Korrekt]]),NA(),IF($CK$3,1,NA()))</f>
        <v>#N/A</v>
      </c>
      <c r="CP116" s="56" t="str" cm="1">
        <f t="array" ref="CP116">_xlfn.SWITCH(BS116,_xlfn.IFNA(CN$2,-99),CN$5,_xlfn.IFNA(CN$3,-99),CN$6,_xlfn.IFNA(CN$4,-99),CN$7,"")</f>
        <v/>
      </c>
      <c r="CT116" s="7">
        <f t="shared" si="172"/>
        <v>0.8</v>
      </c>
      <c r="CU116">
        <f>IF(ROW(Styrkeberegning_G[[#This Row],[X base venstre]])=ROW(Styrkeberegning_G[[#Headers],[X base venstre]])+1,CU$7/(CT$7/$B$67),CU115/(CT115/$B$67))</f>
        <v>-2.8015817870135784</v>
      </c>
      <c r="CV116">
        <f>Styrkeberegning_G[[#This Row],[X base venstre]]*-1</f>
        <v>2.8015817870135784</v>
      </c>
      <c r="DG116" s="54">
        <f t="shared" si="173"/>
        <v>106</v>
      </c>
      <c r="DH116" s="54">
        <f t="shared" si="174"/>
        <v>107</v>
      </c>
      <c r="DI116" s="54">
        <f t="shared" si="175"/>
        <v>13.925363444855797</v>
      </c>
      <c r="DJ116" s="54" t="e">
        <f t="shared" si="176"/>
        <v>#N/A</v>
      </c>
      <c r="DK116" s="54" t="e">
        <f t="shared" si="177"/>
        <v>#N/A</v>
      </c>
      <c r="DL116" s="54">
        <f t="shared" si="178"/>
        <v>5.6072953346852777E-2</v>
      </c>
      <c r="DM116" s="54" t="e">
        <f t="shared" si="179"/>
        <v>#N/A</v>
      </c>
      <c r="DN116" s="54" t="b">
        <f t="shared" si="180"/>
        <v>0</v>
      </c>
      <c r="DO116" s="54" t="b">
        <f t="shared" si="181"/>
        <v>1</v>
      </c>
      <c r="DP116" s="54" t="b">
        <f t="shared" si="182"/>
        <v>0</v>
      </c>
      <c r="DQ116" s="54" t="b">
        <f t="shared" si="183"/>
        <v>1</v>
      </c>
      <c r="DR116" s="54">
        <f t="shared" si="184"/>
        <v>5.6072953346852777E-2</v>
      </c>
      <c r="DS116" s="54" t="e">
        <f t="shared" si="185"/>
        <v>#N/A</v>
      </c>
      <c r="DT116" s="54">
        <f t="shared" si="186"/>
        <v>5.6072953346852777E-2</v>
      </c>
      <c r="DU116" s="72" t="str">
        <f t="shared" si="187"/>
        <v/>
      </c>
      <c r="DZ116" s="54">
        <f t="shared" si="188"/>
        <v>106</v>
      </c>
      <c r="EA116" s="54">
        <f t="shared" si="189"/>
        <v>107</v>
      </c>
      <c r="EB116" s="54">
        <f t="shared" si="190"/>
        <v>-0.55097165148728466</v>
      </c>
      <c r="EC116" s="54">
        <f t="shared" si="191"/>
        <v>0.34276047013173222</v>
      </c>
      <c r="ED116" s="54" t="e">
        <f t="shared" si="192"/>
        <v>#N/A</v>
      </c>
      <c r="EE116" s="54" t="e">
        <f t="shared" si="193"/>
        <v>#N/A</v>
      </c>
      <c r="EF116" s="54" t="e">
        <f t="shared" si="194"/>
        <v>#N/A</v>
      </c>
      <c r="EG116" s="54" t="b">
        <f t="shared" si="195"/>
        <v>0</v>
      </c>
      <c r="EH116" s="54" t="b">
        <f t="shared" si="196"/>
        <v>1</v>
      </c>
      <c r="EI116" s="54" t="b">
        <f t="shared" si="197"/>
        <v>0</v>
      </c>
      <c r="EJ116" s="54" t="b">
        <f t="shared" si="198"/>
        <v>1</v>
      </c>
      <c r="EK116" s="54">
        <f t="shared" si="199"/>
        <v>0.34276047013173222</v>
      </c>
      <c r="EL116" s="54" t="e">
        <f t="shared" si="200"/>
        <v>#N/A</v>
      </c>
      <c r="EM116" s="54">
        <f t="shared" si="201"/>
        <v>0.34276047013173222</v>
      </c>
      <c r="EN116" s="72" t="str">
        <f t="shared" si="202"/>
        <v/>
      </c>
      <c r="EO11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1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1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16" s="54" t="e" cm="1">
        <f t="array" ref="ER116">IF($CK$3,INDEX(Eu_tabel_a[[#This Row],[Styrke venstre]:[Styrke tosidet]],ER$7),NA())</f>
        <v>#N/A</v>
      </c>
      <c r="ES116" s="54" t="e">
        <f>IF(ER$3,IF(CHOOSE(ER$7,Eu_tabel_a[[#This Row],[x base]]&gt;0,Eu_tabel_a[[#This Row],[x base]]&lt;0,Eu_tabel_a[[#This Row],[x base]]=0),1,NA()),NA())</f>
        <v>#N/A</v>
      </c>
      <c r="ET116" s="54" t="e">
        <f>IF(CHOOSE(ER$7,Eu_tabel_a[[#This Row],[x base]]&gt;0,Eu_tabel_a[[#This Row],[x base]]&lt;0,Eu_tabel_a[[#This Row],[x base]]=0),Eu_tabel_a[[#This Row],[Styrke, aktiv]],NA())</f>
        <v>#N/A</v>
      </c>
      <c r="EU116" s="54" t="e">
        <f>IFERROR(IF($ER$3,Eu_tabel_a[[#This Row],[Styrke, aktiv]],NA()),NA())</f>
        <v>#N/A</v>
      </c>
      <c r="EV116" s="54" t="e">
        <f>IF(ISNA(Eu_tabel_a[[#This Row],[Sand negativ
Nulhypotese afvises
Korrekt]]),NA(),IF(ER$3,1,NA()))</f>
        <v>#N/A</v>
      </c>
      <c r="EW116" s="55" t="str" cm="1">
        <f t="array" ref="EW116">IFERROR(_xlfn.SWITCH(Eu_tabel_a[[#This Row],[Indeks]],_xlfn.IFNA(EU$2,-99),EU$5,_xlfn.IFNA(EU$3,-99),EU$6,_xlfn.IFNA(EU$4,-99),EU$7,""),"")</f>
        <v/>
      </c>
      <c r="EX116" s="54">
        <f>Eu_tabel_a[[#This Row],[x base]]*SQRT(Eu_a_h0_x*(1-Eu_a_h0_x)/Eu_a_n_x)+Eu_a_h0_x</f>
        <v>0</v>
      </c>
      <c r="FC116" s="161" t="e">
        <f t="shared" si="146"/>
        <v>#N/A</v>
      </c>
      <c r="FD116" s="169" t="e">
        <f t="shared" si="234"/>
        <v>#DIV/0!</v>
      </c>
      <c r="FE116" s="7" t="e">
        <f t="shared" si="140"/>
        <v>#DIV/0!</v>
      </c>
      <c r="FF116" t="e">
        <f t="shared" si="235"/>
        <v>#DIV/0!</v>
      </c>
      <c r="FG116" s="8" t="e">
        <f t="shared" si="236"/>
        <v>#DIV/0!</v>
      </c>
      <c r="FH116" s="8" t="e">
        <f t="shared" si="237"/>
        <v>#DIV/0!</v>
      </c>
      <c r="FI116" s="168" t="e">
        <f t="shared" si="238"/>
        <v>#DIV/0!</v>
      </c>
      <c r="FJ116" s="161" t="e">
        <f t="shared" ca="1" si="141"/>
        <v>#N/A</v>
      </c>
      <c r="FK116" s="169" t="e" vm="3">
        <f t="shared" ca="1" si="147"/>
        <v>#VALUE!</v>
      </c>
      <c r="FL116" s="7" t="e" vm="3">
        <f t="shared" ca="1" si="142"/>
        <v>#VALUE!</v>
      </c>
      <c r="FM116" t="e" vm="3">
        <f t="shared" ca="1" si="136"/>
        <v>#VALUE!</v>
      </c>
      <c r="FN116" s="8" t="e" vm="3">
        <f t="shared" ca="1" si="137"/>
        <v>#VALUE!</v>
      </c>
      <c r="FO116" s="8" t="e" vm="3">
        <f t="shared" ca="1" si="138"/>
        <v>#VALUE!</v>
      </c>
      <c r="FP116" s="168" t="e" vm="3">
        <f t="shared" ca="1" si="139"/>
        <v>#VALUE!</v>
      </c>
      <c r="FQ116" s="161" t="e">
        <f t="shared" si="143"/>
        <v>#N/A</v>
      </c>
      <c r="FR116" s="169" t="e">
        <f t="shared" si="148"/>
        <v>#N/A</v>
      </c>
      <c r="FS116" s="7" t="e">
        <f t="shared" si="144"/>
        <v>#N/A</v>
      </c>
      <c r="FT116" t="e">
        <f t="shared" si="149"/>
        <v>#N/A</v>
      </c>
      <c r="FU116" s="8" t="e">
        <f t="shared" si="150"/>
        <v>#N/A</v>
      </c>
      <c r="FV116" s="8" t="e">
        <f t="shared" si="151"/>
        <v>#N/A</v>
      </c>
      <c r="FW116" s="168" t="e">
        <f t="shared" si="152"/>
        <v>#N/A</v>
      </c>
      <c r="FX116" s="161" t="e">
        <f t="shared" si="153"/>
        <v>#N/A</v>
      </c>
      <c r="FY116" s="169" t="e">
        <f t="shared" si="154"/>
        <v>#N/A</v>
      </c>
      <c r="FZ116" s="7" t="e">
        <f t="shared" si="145"/>
        <v>#N/A</v>
      </c>
      <c r="GA116" t="e">
        <f t="shared" si="155"/>
        <v>#N/A</v>
      </c>
      <c r="GB116" s="8" t="e">
        <f t="shared" si="156"/>
        <v>#N/A</v>
      </c>
      <c r="GC116" s="8" t="e">
        <f t="shared" si="157"/>
        <v>#N/A</v>
      </c>
      <c r="GD116" s="168" t="e">
        <f t="shared" si="158"/>
        <v>#N/A</v>
      </c>
      <c r="GE116" s="168"/>
      <c r="GF116" s="168"/>
      <c r="GI116" s="54">
        <f t="shared" si="203"/>
        <v>106</v>
      </c>
      <c r="GJ116" s="54">
        <f t="shared" si="204"/>
        <v>107</v>
      </c>
      <c r="GK116" s="54">
        <f t="shared" si="205"/>
        <v>-0.55097165148728466</v>
      </c>
      <c r="GL116" s="54">
        <f t="shared" si="206"/>
        <v>0.34276047013173222</v>
      </c>
      <c r="GM116" s="54" t="e">
        <f t="shared" si="207"/>
        <v>#N/A</v>
      </c>
      <c r="GN116" s="54" t="e">
        <f t="shared" si="208"/>
        <v>#N/A</v>
      </c>
      <c r="GO116" s="54" t="e">
        <f t="shared" si="209"/>
        <v>#N/A</v>
      </c>
      <c r="GP116" s="54" t="b">
        <f t="shared" si="210"/>
        <v>0</v>
      </c>
      <c r="GQ116" s="54" t="b">
        <f t="shared" si="211"/>
        <v>1</v>
      </c>
      <c r="GR116" s="54" t="b">
        <f t="shared" si="212"/>
        <v>0</v>
      </c>
      <c r="GS116" s="54" t="b">
        <f t="shared" si="213"/>
        <v>1</v>
      </c>
      <c r="GT116" s="54">
        <f t="shared" si="214"/>
        <v>0.34276047013173222</v>
      </c>
      <c r="GU116" s="54" t="e">
        <f t="shared" si="215"/>
        <v>#N/A</v>
      </c>
      <c r="GV116" s="54">
        <f t="shared" si="216"/>
        <v>0.34276047013173222</v>
      </c>
      <c r="GW116" s="72" t="str">
        <f t="shared" si="217"/>
        <v/>
      </c>
      <c r="HC116" s="54">
        <f t="shared" si="218"/>
        <v>106</v>
      </c>
      <c r="HD116" s="54">
        <f t="shared" si="219"/>
        <v>107</v>
      </c>
      <c r="HE116" s="54">
        <f t="shared" si="220"/>
        <v>-0.85319117409830714</v>
      </c>
      <c r="HF116" s="54" t="e">
        <f t="shared" si="221"/>
        <v>#N/A</v>
      </c>
      <c r="HG116" s="54">
        <f t="shared" si="222"/>
        <v>0.25917276562967623</v>
      </c>
      <c r="HH116" s="54" t="e">
        <f t="shared" si="223"/>
        <v>#N/A</v>
      </c>
      <c r="HI116" s="54" t="e">
        <f t="shared" si="224"/>
        <v>#N/A</v>
      </c>
      <c r="HJ116" s="54" t="b">
        <f t="shared" si="225"/>
        <v>1</v>
      </c>
      <c r="HK116" s="54" t="b">
        <f t="shared" si="226"/>
        <v>0</v>
      </c>
      <c r="HL116" s="54" t="b">
        <f t="shared" si="227"/>
        <v>0</v>
      </c>
      <c r="HM116" s="54" t="b">
        <f t="shared" si="228"/>
        <v>1</v>
      </c>
      <c r="HN116" s="54">
        <f t="shared" si="229"/>
        <v>0.25917276562967623</v>
      </c>
      <c r="HO116" s="54">
        <f t="shared" si="230"/>
        <v>0.25917276562967623</v>
      </c>
      <c r="HP116" s="54" t="e">
        <f t="shared" si="231"/>
        <v>#N/A</v>
      </c>
      <c r="HQ116" s="72" t="str">
        <f t="shared" si="232"/>
        <v/>
      </c>
    </row>
    <row r="117" spans="71:225" x14ac:dyDescent="0.2">
      <c r="BS117" s="54">
        <f t="shared" si="159"/>
        <v>107</v>
      </c>
      <c r="BT117" s="54">
        <f>Eu_tabel_g[[#This Row],[Indeks]]+1</f>
        <v>108</v>
      </c>
      <c r="BU117" s="54">
        <f t="shared" si="160"/>
        <v>-0.52701636229218529</v>
      </c>
      <c r="BV117" s="54">
        <f t="shared" si="161"/>
        <v>0.34721480489913414</v>
      </c>
      <c r="BW117" s="54" t="e">
        <f t="shared" si="162"/>
        <v>#N/A</v>
      </c>
      <c r="BX117" s="54" t="e">
        <f t="shared" si="163"/>
        <v>#N/A</v>
      </c>
      <c r="BY117" s="54" t="e">
        <f t="shared" si="164"/>
        <v>#N/A</v>
      </c>
      <c r="BZ117" s="54" t="b">
        <f t="shared" si="165"/>
        <v>0</v>
      </c>
      <c r="CA117" s="54" t="b">
        <f t="shared" si="166"/>
        <v>1</v>
      </c>
      <c r="CB117" s="54" t="b">
        <f t="shared" si="167"/>
        <v>0</v>
      </c>
      <c r="CC117" s="54" t="b">
        <f t="shared" si="168"/>
        <v>1</v>
      </c>
      <c r="CD117" s="54">
        <f t="shared" si="233"/>
        <v>0.34721480489913414</v>
      </c>
      <c r="CE117" s="54" t="e">
        <f t="shared" si="169"/>
        <v>#N/A</v>
      </c>
      <c r="CF117" s="54">
        <f t="shared" si="170"/>
        <v>0.34721480489913414</v>
      </c>
      <c r="CG117" s="72" t="str">
        <f t="shared" si="171"/>
        <v/>
      </c>
      <c r="CH117" s="54">
        <f>_xlfn.NORM.DIST(_xlfn.NORM.INV(1-Eu_g_konfidensniveau,0,1)-Eu_tabel_g[[#This Row],[x base]],0,1,TRUE)</f>
        <v>0.13181825141176104</v>
      </c>
      <c r="CI117" s="54">
        <f>1-_xlfn.NORM.DIST(_xlfn.NORM.INV(Eu_g_konfidensniveau,0,1)-Eu_tabel_g[[#This Row],[x base]],0,1,TRUE)</f>
        <v>1.4932735343932468E-2</v>
      </c>
      <c r="CJ117" s="54">
        <f>_xlfn.NORM.DIST(_xlfn.NORM.INV((1-Eu_g_konfidensniveau)/2,0,1)-Eu_tabel_g[[#This Row],[x base]],0,1,TRUE)+1-_xlfn.NORM.DIST(_xlfn.NORM.INV(1-(1-Eu_g_konfidensniveau)/2,0,1)-Eu_tabel_g[[#This Row],[x base]],0,1,TRUE)</f>
        <v>8.2378028974324891E-2</v>
      </c>
      <c r="CK117" s="54" t="e" cm="1">
        <f t="array" ref="CK117">IF($CK$3,INDEX(Eu_tabel_g[[#This Row],[Styrke venstre]:[Styrke tosidet]],CK$7),NA())</f>
        <v>#N/A</v>
      </c>
      <c r="CL117" s="99" t="e">
        <f>Eu_tabel_g[[#This Row],[Falsk positiv
Nulhypotese accepteres
Fejltype 1]]</f>
        <v>#N/A</v>
      </c>
      <c r="CM117" s="99" t="e">
        <f>IF(CHOOSE(CK$7,Eu_tabel_g[[#This Row],[x base]]&gt;0,Eu_tabel_g[[#This Row],[x base]]&lt;0,Eu_tabel_g[[#This Row],[x base]]=0),Eu_tabel_g[[#This Row],[Styrke, aktiv]],NA())</f>
        <v>#N/A</v>
      </c>
      <c r="CN117" s="99" t="e">
        <f>IFERROR(IF($CK$3,Eu_tabel_g[[#This Row],[Styrke, aktiv]],NA()),NA())</f>
        <v>#N/A</v>
      </c>
      <c r="CO117" s="99" t="e">
        <f>IF(ISNA(Eu_tabel_g[[#This Row],[Sand negativ
Nulhypotese afvises
Korrekt]]),NA(),IF($CK$3,1,NA()))</f>
        <v>#N/A</v>
      </c>
      <c r="CP117" s="56" t="str" cm="1">
        <f t="array" ref="CP117">_xlfn.SWITCH(BS117,_xlfn.IFNA(CN$2,-99),CN$5,_xlfn.IFNA(CN$3,-99),CN$6,_xlfn.IFNA(CN$4,-99),CN$7,"")</f>
        <v/>
      </c>
      <c r="CT117" s="7">
        <f t="shared" si="172"/>
        <v>0.8</v>
      </c>
      <c r="CU117">
        <f>IF(ROW(Styrkeberegning_G[[#This Row],[X base venstre]])=ROW(Styrkeberegning_G[[#Headers],[X base venstre]])+1,CU$7/(CT$7/$B$67),CU116/(CT116/$B$67))</f>
        <v>-2.8015817870135784</v>
      </c>
      <c r="CV117">
        <f>Styrkeberegning_G[[#This Row],[X base venstre]]*-1</f>
        <v>2.8015817870135784</v>
      </c>
      <c r="DG117" s="54">
        <f t="shared" si="173"/>
        <v>107</v>
      </c>
      <c r="DH117" s="54">
        <f t="shared" si="174"/>
        <v>108</v>
      </c>
      <c r="DI117" s="54">
        <f t="shared" si="175"/>
        <v>14.039434301272797</v>
      </c>
      <c r="DJ117" s="54" t="e">
        <f t="shared" si="176"/>
        <v>#N/A</v>
      </c>
      <c r="DK117" s="54" t="e">
        <f t="shared" si="177"/>
        <v>#N/A</v>
      </c>
      <c r="DL117" s="54">
        <f t="shared" si="178"/>
        <v>5.494486038990349E-2</v>
      </c>
      <c r="DM117" s="54" t="e">
        <f t="shared" si="179"/>
        <v>#N/A</v>
      </c>
      <c r="DN117" s="54" t="b">
        <f t="shared" si="180"/>
        <v>0</v>
      </c>
      <c r="DO117" s="54" t="b">
        <f t="shared" si="181"/>
        <v>1</v>
      </c>
      <c r="DP117" s="54" t="b">
        <f t="shared" si="182"/>
        <v>0</v>
      </c>
      <c r="DQ117" s="54" t="b">
        <f t="shared" si="183"/>
        <v>1</v>
      </c>
      <c r="DR117" s="54">
        <f t="shared" si="184"/>
        <v>5.494486038990349E-2</v>
      </c>
      <c r="DS117" s="54" t="e">
        <f t="shared" si="185"/>
        <v>#N/A</v>
      </c>
      <c r="DT117" s="54">
        <f t="shared" si="186"/>
        <v>5.494486038990349E-2</v>
      </c>
      <c r="DU117" s="72" t="str">
        <f t="shared" si="187"/>
        <v/>
      </c>
      <c r="DZ117" s="54">
        <f t="shared" si="188"/>
        <v>107</v>
      </c>
      <c r="EA117" s="54">
        <f t="shared" si="189"/>
        <v>108</v>
      </c>
      <c r="EB117" s="54">
        <f t="shared" si="190"/>
        <v>-0.52701636229218529</v>
      </c>
      <c r="EC117" s="54">
        <f t="shared" si="191"/>
        <v>0.34721480489913414</v>
      </c>
      <c r="ED117" s="54" t="e">
        <f t="shared" si="192"/>
        <v>#N/A</v>
      </c>
      <c r="EE117" s="54" t="e">
        <f t="shared" si="193"/>
        <v>#N/A</v>
      </c>
      <c r="EF117" s="54" t="e">
        <f t="shared" si="194"/>
        <v>#N/A</v>
      </c>
      <c r="EG117" s="54" t="b">
        <f t="shared" si="195"/>
        <v>0</v>
      </c>
      <c r="EH117" s="54" t="b">
        <f t="shared" si="196"/>
        <v>1</v>
      </c>
      <c r="EI117" s="54" t="b">
        <f t="shared" si="197"/>
        <v>0</v>
      </c>
      <c r="EJ117" s="54" t="b">
        <f t="shared" si="198"/>
        <v>1</v>
      </c>
      <c r="EK117" s="54">
        <f t="shared" si="199"/>
        <v>0.34721480489913414</v>
      </c>
      <c r="EL117" s="54" t="e">
        <f t="shared" si="200"/>
        <v>#N/A</v>
      </c>
      <c r="EM117" s="54">
        <f t="shared" si="201"/>
        <v>0.34721480489913414</v>
      </c>
      <c r="EN117" s="72" t="str">
        <f t="shared" si="202"/>
        <v/>
      </c>
      <c r="EO11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1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1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17" s="54" t="e" cm="1">
        <f t="array" ref="ER117">IF($CK$3,INDEX(Eu_tabel_a[[#This Row],[Styrke venstre]:[Styrke tosidet]],ER$7),NA())</f>
        <v>#N/A</v>
      </c>
      <c r="ES117" s="54" t="e">
        <f>IF(ER$3,IF(CHOOSE(ER$7,Eu_tabel_a[[#This Row],[x base]]&gt;0,Eu_tabel_a[[#This Row],[x base]]&lt;0,Eu_tabel_a[[#This Row],[x base]]=0),1,NA()),NA())</f>
        <v>#N/A</v>
      </c>
      <c r="ET117" s="54" t="e">
        <f>IF(CHOOSE(ER$7,Eu_tabel_a[[#This Row],[x base]]&gt;0,Eu_tabel_a[[#This Row],[x base]]&lt;0,Eu_tabel_a[[#This Row],[x base]]=0),Eu_tabel_a[[#This Row],[Styrke, aktiv]],NA())</f>
        <v>#N/A</v>
      </c>
      <c r="EU117" s="54" t="e">
        <f>IFERROR(IF($ER$3,Eu_tabel_a[[#This Row],[Styrke, aktiv]],NA()),NA())</f>
        <v>#N/A</v>
      </c>
      <c r="EV117" s="54" t="e">
        <f>IF(ISNA(Eu_tabel_a[[#This Row],[Sand negativ
Nulhypotese afvises
Korrekt]]),NA(),IF(ER$3,1,NA()))</f>
        <v>#N/A</v>
      </c>
      <c r="EW117" s="55" t="str" cm="1">
        <f t="array" ref="EW117">IFERROR(_xlfn.SWITCH(Eu_tabel_a[[#This Row],[Indeks]],_xlfn.IFNA(EU$2,-99),EU$5,_xlfn.IFNA(EU$3,-99),EU$6,_xlfn.IFNA(EU$4,-99),EU$7,""),"")</f>
        <v/>
      </c>
      <c r="EX117" s="54">
        <f>Eu_tabel_a[[#This Row],[x base]]*SQRT(Eu_a_h0_x*(1-Eu_a_h0_x)/Eu_a_n_x)+Eu_a_h0_x</f>
        <v>0</v>
      </c>
      <c r="FC117" s="161" t="e">
        <f t="shared" si="146"/>
        <v>#N/A</v>
      </c>
      <c r="FD117" s="169" t="e">
        <f t="shared" si="234"/>
        <v>#DIV/0!</v>
      </c>
      <c r="FE117" s="7" t="e">
        <f t="shared" si="140"/>
        <v>#DIV/0!</v>
      </c>
      <c r="FF117" t="e">
        <f t="shared" si="235"/>
        <v>#DIV/0!</v>
      </c>
      <c r="FG117" s="8" t="e">
        <f t="shared" si="236"/>
        <v>#DIV/0!</v>
      </c>
      <c r="FH117" s="8" t="e">
        <f t="shared" si="237"/>
        <v>#DIV/0!</v>
      </c>
      <c r="FI117" s="168" t="e">
        <f t="shared" si="238"/>
        <v>#DIV/0!</v>
      </c>
      <c r="FJ117" s="161" t="e">
        <f t="shared" ca="1" si="141"/>
        <v>#N/A</v>
      </c>
      <c r="FK117" s="169" t="e" vm="3">
        <f t="shared" ca="1" si="147"/>
        <v>#VALUE!</v>
      </c>
      <c r="FL117" s="7" t="e" vm="3">
        <f t="shared" ca="1" si="142"/>
        <v>#VALUE!</v>
      </c>
      <c r="FM117" t="e" vm="3">
        <f t="shared" ca="1" si="136"/>
        <v>#VALUE!</v>
      </c>
      <c r="FN117" s="8" t="e" vm="3">
        <f t="shared" ca="1" si="137"/>
        <v>#VALUE!</v>
      </c>
      <c r="FO117" s="8" t="e" vm="3">
        <f t="shared" ca="1" si="138"/>
        <v>#VALUE!</v>
      </c>
      <c r="FP117" s="168" t="e" vm="3">
        <f t="shared" ca="1" si="139"/>
        <v>#VALUE!</v>
      </c>
      <c r="FQ117" s="161" t="e">
        <f t="shared" si="143"/>
        <v>#N/A</v>
      </c>
      <c r="FR117" s="169" t="e">
        <f t="shared" si="148"/>
        <v>#N/A</v>
      </c>
      <c r="FS117" s="7" t="e">
        <f t="shared" si="144"/>
        <v>#N/A</v>
      </c>
      <c r="FT117" t="e">
        <f t="shared" si="149"/>
        <v>#N/A</v>
      </c>
      <c r="FU117" s="8" t="e">
        <f t="shared" si="150"/>
        <v>#N/A</v>
      </c>
      <c r="FV117" s="8" t="e">
        <f t="shared" si="151"/>
        <v>#N/A</v>
      </c>
      <c r="FW117" s="168" t="e">
        <f t="shared" si="152"/>
        <v>#N/A</v>
      </c>
      <c r="FX117" s="161" t="e">
        <f t="shared" si="153"/>
        <v>#N/A</v>
      </c>
      <c r="FY117" s="169" t="e">
        <f t="shared" si="154"/>
        <v>#N/A</v>
      </c>
      <c r="FZ117" s="7" t="e">
        <f t="shared" si="145"/>
        <v>#N/A</v>
      </c>
      <c r="GA117" t="e">
        <f t="shared" si="155"/>
        <v>#N/A</v>
      </c>
      <c r="GB117" s="8" t="e">
        <f t="shared" si="156"/>
        <v>#N/A</v>
      </c>
      <c r="GC117" s="8" t="e">
        <f t="shared" si="157"/>
        <v>#N/A</v>
      </c>
      <c r="GD117" s="168" t="e">
        <f t="shared" si="158"/>
        <v>#N/A</v>
      </c>
      <c r="GE117" s="168"/>
      <c r="GF117" s="168"/>
      <c r="GI117" s="54">
        <f t="shared" si="203"/>
        <v>107</v>
      </c>
      <c r="GJ117" s="54">
        <f t="shared" si="204"/>
        <v>108</v>
      </c>
      <c r="GK117" s="54">
        <f t="shared" si="205"/>
        <v>-0.52701636229218529</v>
      </c>
      <c r="GL117" s="54">
        <f t="shared" si="206"/>
        <v>0.34721480489913414</v>
      </c>
      <c r="GM117" s="54" t="e">
        <f t="shared" si="207"/>
        <v>#N/A</v>
      </c>
      <c r="GN117" s="54" t="e">
        <f t="shared" si="208"/>
        <v>#N/A</v>
      </c>
      <c r="GO117" s="54" t="e">
        <f t="shared" si="209"/>
        <v>#N/A</v>
      </c>
      <c r="GP117" s="54" t="b">
        <f t="shared" si="210"/>
        <v>0</v>
      </c>
      <c r="GQ117" s="54" t="b">
        <f t="shared" si="211"/>
        <v>1</v>
      </c>
      <c r="GR117" s="54" t="b">
        <f t="shared" si="212"/>
        <v>0</v>
      </c>
      <c r="GS117" s="54" t="b">
        <f t="shared" si="213"/>
        <v>1</v>
      </c>
      <c r="GT117" s="54">
        <f t="shared" si="214"/>
        <v>0.34721480489913414</v>
      </c>
      <c r="GU117" s="54" t="e">
        <f t="shared" si="215"/>
        <v>#N/A</v>
      </c>
      <c r="GV117" s="54">
        <f t="shared" si="216"/>
        <v>0.34721480489913414</v>
      </c>
      <c r="GW117" s="72" t="str">
        <f t="shared" si="217"/>
        <v/>
      </c>
      <c r="HC117" s="54">
        <f t="shared" si="218"/>
        <v>107</v>
      </c>
      <c r="HD117" s="54">
        <f t="shared" si="219"/>
        <v>108</v>
      </c>
      <c r="HE117" s="54">
        <f t="shared" si="220"/>
        <v>-0.8160959056592505</v>
      </c>
      <c r="HF117" s="54" t="e">
        <f t="shared" si="221"/>
        <v>#N/A</v>
      </c>
      <c r="HG117" s="54">
        <f t="shared" si="222"/>
        <v>0.26764870550000192</v>
      </c>
      <c r="HH117" s="54" t="e">
        <f t="shared" si="223"/>
        <v>#N/A</v>
      </c>
      <c r="HI117" s="54" t="e">
        <f t="shared" si="224"/>
        <v>#N/A</v>
      </c>
      <c r="HJ117" s="54" t="b">
        <f t="shared" si="225"/>
        <v>1</v>
      </c>
      <c r="HK117" s="54" t="b">
        <f t="shared" si="226"/>
        <v>0</v>
      </c>
      <c r="HL117" s="54" t="b">
        <f t="shared" si="227"/>
        <v>0</v>
      </c>
      <c r="HM117" s="54" t="b">
        <f t="shared" si="228"/>
        <v>1</v>
      </c>
      <c r="HN117" s="54">
        <f t="shared" si="229"/>
        <v>0.26764870550000192</v>
      </c>
      <c r="HO117" s="54">
        <f t="shared" si="230"/>
        <v>0.26764870550000192</v>
      </c>
      <c r="HP117" s="54" t="e">
        <f t="shared" si="231"/>
        <v>#N/A</v>
      </c>
      <c r="HQ117" s="72" t="str">
        <f t="shared" si="232"/>
        <v/>
      </c>
    </row>
    <row r="118" spans="71:225" x14ac:dyDescent="0.2">
      <c r="BS118" s="54">
        <f t="shared" si="159"/>
        <v>108</v>
      </c>
      <c r="BT118" s="54">
        <f>Eu_tabel_g[[#This Row],[Indeks]]+1</f>
        <v>109</v>
      </c>
      <c r="BU118" s="54">
        <f t="shared" si="160"/>
        <v>-0.50306107309708592</v>
      </c>
      <c r="BV118" s="54">
        <f t="shared" si="161"/>
        <v>0.35152524313860362</v>
      </c>
      <c r="BW118" s="54" t="e">
        <f t="shared" si="162"/>
        <v>#N/A</v>
      </c>
      <c r="BX118" s="54" t="e">
        <f t="shared" si="163"/>
        <v>#N/A</v>
      </c>
      <c r="BY118" s="54" t="e">
        <f t="shared" si="164"/>
        <v>#N/A</v>
      </c>
      <c r="BZ118" s="54" t="b">
        <f t="shared" si="165"/>
        <v>0</v>
      </c>
      <c r="CA118" s="54" t="b">
        <f t="shared" si="166"/>
        <v>1</v>
      </c>
      <c r="CB118" s="54" t="b">
        <f t="shared" si="167"/>
        <v>0</v>
      </c>
      <c r="CC118" s="54" t="b">
        <f t="shared" si="168"/>
        <v>1</v>
      </c>
      <c r="CD118" s="54">
        <f t="shared" si="233"/>
        <v>0.35152524313860362</v>
      </c>
      <c r="CE118" s="54" t="e">
        <f t="shared" si="169"/>
        <v>#N/A</v>
      </c>
      <c r="CF118" s="54">
        <f t="shared" si="170"/>
        <v>0.35152524313860362</v>
      </c>
      <c r="CG118" s="72" t="str">
        <f t="shared" si="171"/>
        <v/>
      </c>
      <c r="CH118" s="54">
        <f>_xlfn.NORM.DIST(_xlfn.NORM.INV(1-Eu_g_konfidensniveau,0,1)-Eu_tabel_g[[#This Row],[x base]],0,1,TRUE)</f>
        <v>0.12677012909733829</v>
      </c>
      <c r="CI118" s="54">
        <f>1-_xlfn.NORM.DIST(_xlfn.NORM.INV(Eu_g_konfidensniveau,0,1)-Eu_tabel_g[[#This Row],[x base]],0,1,TRUE)</f>
        <v>1.5860266188613248E-2</v>
      </c>
      <c r="CJ118" s="54">
        <f>_xlfn.NORM.DIST(_xlfn.NORM.INV((1-Eu_g_konfidensniveau)/2,0,1)-Eu_tabel_g[[#This Row],[x base]],0,1,TRUE)+1-_xlfn.NORM.DIST(_xlfn.NORM.INV(1-(1-Eu_g_konfidensniveau)/2,0,1)-Eu_tabel_g[[#This Row],[x base]],0,1,TRUE)</f>
        <v>7.9460105488476707E-2</v>
      </c>
      <c r="CK118" s="54" t="e" cm="1">
        <f t="array" ref="CK118">IF($CK$3,INDEX(Eu_tabel_g[[#This Row],[Styrke venstre]:[Styrke tosidet]],CK$7),NA())</f>
        <v>#N/A</v>
      </c>
      <c r="CL118" s="99" t="e">
        <f>Eu_tabel_g[[#This Row],[Falsk positiv
Nulhypotese accepteres
Fejltype 1]]</f>
        <v>#N/A</v>
      </c>
      <c r="CM118" s="99" t="e">
        <f>IF(CHOOSE(CK$7,Eu_tabel_g[[#This Row],[x base]]&gt;0,Eu_tabel_g[[#This Row],[x base]]&lt;0,Eu_tabel_g[[#This Row],[x base]]=0),Eu_tabel_g[[#This Row],[Styrke, aktiv]],NA())</f>
        <v>#N/A</v>
      </c>
      <c r="CN118" s="99" t="e">
        <f>IFERROR(IF($CK$3,Eu_tabel_g[[#This Row],[Styrke, aktiv]],NA()),NA())</f>
        <v>#N/A</v>
      </c>
      <c r="CO118" s="99" t="e">
        <f>IF(ISNA(Eu_tabel_g[[#This Row],[Sand negativ
Nulhypotese afvises
Korrekt]]),NA(),IF($CK$3,1,NA()))</f>
        <v>#N/A</v>
      </c>
      <c r="CP118" s="56" t="str" cm="1">
        <f t="array" ref="CP118">_xlfn.SWITCH(BS118,_xlfn.IFNA(CN$2,-99),CN$5,_xlfn.IFNA(CN$3,-99),CN$6,_xlfn.IFNA(CN$4,-99),CN$7,"")</f>
        <v/>
      </c>
      <c r="CT118" s="7">
        <f t="shared" si="172"/>
        <v>0.8</v>
      </c>
      <c r="CU118">
        <f>IF(ROW(Styrkeberegning_G[[#This Row],[X base venstre]])=ROW(Styrkeberegning_G[[#Headers],[X base venstre]])+1,CU$7/(CT$7/$B$67),CU117/(CT117/$B$67))</f>
        <v>-2.8015817870135784</v>
      </c>
      <c r="CV118">
        <f>Styrkeberegning_G[[#This Row],[X base venstre]]*-1</f>
        <v>2.8015817870135784</v>
      </c>
      <c r="DG118" s="54">
        <f t="shared" si="173"/>
        <v>108</v>
      </c>
      <c r="DH118" s="54">
        <f t="shared" si="174"/>
        <v>109</v>
      </c>
      <c r="DI118" s="54">
        <f t="shared" si="175"/>
        <v>14.153505157689798</v>
      </c>
      <c r="DJ118" s="54" t="e">
        <f t="shared" si="176"/>
        <v>#N/A</v>
      </c>
      <c r="DK118" s="54" t="e">
        <f t="shared" si="177"/>
        <v>#N/A</v>
      </c>
      <c r="DL118" s="54">
        <f t="shared" si="178"/>
        <v>5.3823470369441753E-2</v>
      </c>
      <c r="DM118" s="54" t="e">
        <f t="shared" si="179"/>
        <v>#N/A</v>
      </c>
      <c r="DN118" s="54" t="b">
        <f t="shared" si="180"/>
        <v>0</v>
      </c>
      <c r="DO118" s="54" t="b">
        <f t="shared" si="181"/>
        <v>1</v>
      </c>
      <c r="DP118" s="54" t="b">
        <f t="shared" si="182"/>
        <v>0</v>
      </c>
      <c r="DQ118" s="54" t="b">
        <f t="shared" si="183"/>
        <v>1</v>
      </c>
      <c r="DR118" s="54">
        <f t="shared" si="184"/>
        <v>5.3823470369441753E-2</v>
      </c>
      <c r="DS118" s="54" t="e">
        <f t="shared" si="185"/>
        <v>#N/A</v>
      </c>
      <c r="DT118" s="54">
        <f t="shared" si="186"/>
        <v>5.3823470369441753E-2</v>
      </c>
      <c r="DU118" s="72" t="str">
        <f t="shared" si="187"/>
        <v/>
      </c>
      <c r="DZ118" s="54">
        <f t="shared" si="188"/>
        <v>108</v>
      </c>
      <c r="EA118" s="54">
        <f t="shared" si="189"/>
        <v>109</v>
      </c>
      <c r="EB118" s="54">
        <f t="shared" si="190"/>
        <v>-0.50306107309708592</v>
      </c>
      <c r="EC118" s="54">
        <f t="shared" si="191"/>
        <v>0.35152524313860362</v>
      </c>
      <c r="ED118" s="54" t="e">
        <f t="shared" si="192"/>
        <v>#N/A</v>
      </c>
      <c r="EE118" s="54" t="e">
        <f t="shared" si="193"/>
        <v>#N/A</v>
      </c>
      <c r="EF118" s="54" t="e">
        <f t="shared" si="194"/>
        <v>#N/A</v>
      </c>
      <c r="EG118" s="54" t="b">
        <f t="shared" si="195"/>
        <v>0</v>
      </c>
      <c r="EH118" s="54" t="b">
        <f t="shared" si="196"/>
        <v>1</v>
      </c>
      <c r="EI118" s="54" t="b">
        <f t="shared" si="197"/>
        <v>0</v>
      </c>
      <c r="EJ118" s="54" t="b">
        <f t="shared" si="198"/>
        <v>1</v>
      </c>
      <c r="EK118" s="54">
        <f t="shared" si="199"/>
        <v>0.35152524313860362</v>
      </c>
      <c r="EL118" s="54" t="e">
        <f t="shared" si="200"/>
        <v>#N/A</v>
      </c>
      <c r="EM118" s="54">
        <f t="shared" si="201"/>
        <v>0.35152524313860362</v>
      </c>
      <c r="EN118" s="72" t="str">
        <f t="shared" si="202"/>
        <v/>
      </c>
      <c r="EO11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1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1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18" s="54" t="e" cm="1">
        <f t="array" ref="ER118">IF($CK$3,INDEX(Eu_tabel_a[[#This Row],[Styrke venstre]:[Styrke tosidet]],ER$7),NA())</f>
        <v>#N/A</v>
      </c>
      <c r="ES118" s="54" t="e">
        <f>IF(ER$3,IF(CHOOSE(ER$7,Eu_tabel_a[[#This Row],[x base]]&gt;0,Eu_tabel_a[[#This Row],[x base]]&lt;0,Eu_tabel_a[[#This Row],[x base]]=0),1,NA()),NA())</f>
        <v>#N/A</v>
      </c>
      <c r="ET118" s="54" t="e">
        <f>IF(CHOOSE(ER$7,Eu_tabel_a[[#This Row],[x base]]&gt;0,Eu_tabel_a[[#This Row],[x base]]&lt;0,Eu_tabel_a[[#This Row],[x base]]=0),Eu_tabel_a[[#This Row],[Styrke, aktiv]],NA())</f>
        <v>#N/A</v>
      </c>
      <c r="EU118" s="54" t="e">
        <f>IFERROR(IF($ER$3,Eu_tabel_a[[#This Row],[Styrke, aktiv]],NA()),NA())</f>
        <v>#N/A</v>
      </c>
      <c r="EV118" s="54" t="e">
        <f>IF(ISNA(Eu_tabel_a[[#This Row],[Sand negativ
Nulhypotese afvises
Korrekt]]),NA(),IF(ER$3,1,NA()))</f>
        <v>#N/A</v>
      </c>
      <c r="EW118" s="55" t="str" cm="1">
        <f t="array" ref="EW118">IFERROR(_xlfn.SWITCH(Eu_tabel_a[[#This Row],[Indeks]],_xlfn.IFNA(EU$2,-99),EU$5,_xlfn.IFNA(EU$3,-99),EU$6,_xlfn.IFNA(EU$4,-99),EU$7,""),"")</f>
        <v/>
      </c>
      <c r="EX118" s="54">
        <f>Eu_tabel_a[[#This Row],[x base]]*SQRT(Eu_a_h0_x*(1-Eu_a_h0_x)/Eu_a_n_x)+Eu_a_h0_x</f>
        <v>0</v>
      </c>
      <c r="FC118" s="161" t="e">
        <f t="shared" si="146"/>
        <v>#N/A</v>
      </c>
      <c r="FD118" s="169" t="e">
        <f t="shared" si="234"/>
        <v>#DIV/0!</v>
      </c>
      <c r="FE118" s="7" t="e">
        <f t="shared" si="140"/>
        <v>#DIV/0!</v>
      </c>
      <c r="FF118" t="e">
        <f t="shared" si="235"/>
        <v>#DIV/0!</v>
      </c>
      <c r="FG118" s="8" t="e">
        <f t="shared" si="236"/>
        <v>#DIV/0!</v>
      </c>
      <c r="FH118" s="8" t="e">
        <f t="shared" si="237"/>
        <v>#DIV/0!</v>
      </c>
      <c r="FI118" s="168" t="e">
        <f t="shared" si="238"/>
        <v>#DIV/0!</v>
      </c>
      <c r="FJ118" s="161" t="e">
        <f t="shared" ca="1" si="141"/>
        <v>#N/A</v>
      </c>
      <c r="FK118" s="169" t="e" vm="3">
        <f t="shared" ca="1" si="147"/>
        <v>#VALUE!</v>
      </c>
      <c r="FL118" s="7" t="e" vm="3">
        <f t="shared" ca="1" si="142"/>
        <v>#VALUE!</v>
      </c>
      <c r="FM118" t="e" vm="3">
        <f t="shared" ca="1" si="136"/>
        <v>#VALUE!</v>
      </c>
      <c r="FN118" s="8" t="e" vm="3">
        <f t="shared" ca="1" si="137"/>
        <v>#VALUE!</v>
      </c>
      <c r="FO118" s="8" t="e" vm="3">
        <f t="shared" ca="1" si="138"/>
        <v>#VALUE!</v>
      </c>
      <c r="FP118" s="168" t="e" vm="3">
        <f t="shared" ca="1" si="139"/>
        <v>#VALUE!</v>
      </c>
      <c r="FQ118" s="161" t="e">
        <f t="shared" si="143"/>
        <v>#N/A</v>
      </c>
      <c r="FR118" s="169" t="e">
        <f t="shared" si="148"/>
        <v>#N/A</v>
      </c>
      <c r="FS118" s="7" t="e">
        <f t="shared" si="144"/>
        <v>#N/A</v>
      </c>
      <c r="FT118" t="e">
        <f t="shared" si="149"/>
        <v>#N/A</v>
      </c>
      <c r="FU118" s="8" t="e">
        <f t="shared" si="150"/>
        <v>#N/A</v>
      </c>
      <c r="FV118" s="8" t="e">
        <f t="shared" si="151"/>
        <v>#N/A</v>
      </c>
      <c r="FW118" s="168" t="e">
        <f t="shared" si="152"/>
        <v>#N/A</v>
      </c>
      <c r="FX118" s="161" t="e">
        <f t="shared" si="153"/>
        <v>#N/A</v>
      </c>
      <c r="FY118" s="169" t="e">
        <f t="shared" si="154"/>
        <v>#N/A</v>
      </c>
      <c r="FZ118" s="7" t="e">
        <f t="shared" si="145"/>
        <v>#N/A</v>
      </c>
      <c r="GA118" t="e">
        <f t="shared" si="155"/>
        <v>#N/A</v>
      </c>
      <c r="GB118" s="8" t="e">
        <f t="shared" si="156"/>
        <v>#N/A</v>
      </c>
      <c r="GC118" s="8" t="e">
        <f t="shared" si="157"/>
        <v>#N/A</v>
      </c>
      <c r="GD118" s="168" t="e">
        <f t="shared" si="158"/>
        <v>#N/A</v>
      </c>
      <c r="GE118" s="168"/>
      <c r="GF118" s="168"/>
      <c r="GI118" s="54">
        <f t="shared" si="203"/>
        <v>108</v>
      </c>
      <c r="GJ118" s="54">
        <f t="shared" si="204"/>
        <v>109</v>
      </c>
      <c r="GK118" s="54">
        <f t="shared" si="205"/>
        <v>-0.50306107309708592</v>
      </c>
      <c r="GL118" s="54">
        <f t="shared" si="206"/>
        <v>0.35152524313860362</v>
      </c>
      <c r="GM118" s="54" t="e">
        <f t="shared" si="207"/>
        <v>#N/A</v>
      </c>
      <c r="GN118" s="54" t="e">
        <f t="shared" si="208"/>
        <v>#N/A</v>
      </c>
      <c r="GO118" s="54" t="e">
        <f t="shared" si="209"/>
        <v>#N/A</v>
      </c>
      <c r="GP118" s="54" t="b">
        <f t="shared" si="210"/>
        <v>0</v>
      </c>
      <c r="GQ118" s="54" t="b">
        <f t="shared" si="211"/>
        <v>1</v>
      </c>
      <c r="GR118" s="54" t="b">
        <f t="shared" si="212"/>
        <v>0</v>
      </c>
      <c r="GS118" s="54" t="b">
        <f t="shared" si="213"/>
        <v>1</v>
      </c>
      <c r="GT118" s="54">
        <f t="shared" si="214"/>
        <v>0.35152524313860362</v>
      </c>
      <c r="GU118" s="54" t="e">
        <f t="shared" si="215"/>
        <v>#N/A</v>
      </c>
      <c r="GV118" s="54">
        <f t="shared" si="216"/>
        <v>0.35152524313860362</v>
      </c>
      <c r="GW118" s="72" t="str">
        <f t="shared" si="217"/>
        <v/>
      </c>
      <c r="HC118" s="54">
        <f t="shared" si="218"/>
        <v>108</v>
      </c>
      <c r="HD118" s="54">
        <f t="shared" si="219"/>
        <v>109</v>
      </c>
      <c r="HE118" s="54">
        <f t="shared" si="220"/>
        <v>-0.77900063722019386</v>
      </c>
      <c r="HF118" s="54" t="e">
        <f t="shared" si="221"/>
        <v>#N/A</v>
      </c>
      <c r="HG118" s="54">
        <f t="shared" si="222"/>
        <v>0.27607409962841173</v>
      </c>
      <c r="HH118" s="54" t="e">
        <f t="shared" si="223"/>
        <v>#N/A</v>
      </c>
      <c r="HI118" s="54" t="e">
        <f t="shared" si="224"/>
        <v>#N/A</v>
      </c>
      <c r="HJ118" s="54" t="b">
        <f t="shared" si="225"/>
        <v>1</v>
      </c>
      <c r="HK118" s="54" t="b">
        <f t="shared" si="226"/>
        <v>0</v>
      </c>
      <c r="HL118" s="54" t="b">
        <f t="shared" si="227"/>
        <v>0</v>
      </c>
      <c r="HM118" s="54" t="b">
        <f t="shared" si="228"/>
        <v>1</v>
      </c>
      <c r="HN118" s="54">
        <f t="shared" si="229"/>
        <v>0.27607409962841173</v>
      </c>
      <c r="HO118" s="54">
        <f t="shared" si="230"/>
        <v>0.27607409962841173</v>
      </c>
      <c r="HP118" s="54" t="e">
        <f t="shared" si="231"/>
        <v>#N/A</v>
      </c>
      <c r="HQ118" s="72" t="str">
        <f t="shared" si="232"/>
        <v/>
      </c>
    </row>
    <row r="119" spans="71:225" x14ac:dyDescent="0.2">
      <c r="BS119" s="54">
        <f t="shared" si="159"/>
        <v>109</v>
      </c>
      <c r="BT119" s="54">
        <f>Eu_tabel_g[[#This Row],[Indeks]]+1</f>
        <v>110</v>
      </c>
      <c r="BU119" s="54">
        <f t="shared" si="160"/>
        <v>-0.47910578390198655</v>
      </c>
      <c r="BV119" s="54">
        <f t="shared" si="161"/>
        <v>0.35568502205117924</v>
      </c>
      <c r="BW119" s="54" t="e">
        <f t="shared" si="162"/>
        <v>#N/A</v>
      </c>
      <c r="BX119" s="54" t="e">
        <f t="shared" si="163"/>
        <v>#N/A</v>
      </c>
      <c r="BY119" s="54" t="e">
        <f t="shared" si="164"/>
        <v>#N/A</v>
      </c>
      <c r="BZ119" s="54" t="b">
        <f t="shared" si="165"/>
        <v>0</v>
      </c>
      <c r="CA119" s="54" t="b">
        <f t="shared" si="166"/>
        <v>1</v>
      </c>
      <c r="CB119" s="54" t="b">
        <f t="shared" si="167"/>
        <v>0</v>
      </c>
      <c r="CC119" s="54" t="b">
        <f t="shared" si="168"/>
        <v>1</v>
      </c>
      <c r="CD119" s="54">
        <f t="shared" si="233"/>
        <v>0.35568502205117924</v>
      </c>
      <c r="CE119" s="54" t="e">
        <f t="shared" si="169"/>
        <v>#N/A</v>
      </c>
      <c r="CF119" s="54">
        <f t="shared" si="170"/>
        <v>0.35568502205117924</v>
      </c>
      <c r="CG119" s="72" t="str">
        <f t="shared" si="171"/>
        <v/>
      </c>
      <c r="CH119" s="54">
        <f>_xlfn.NORM.DIST(_xlfn.NORM.INV(1-Eu_g_konfidensniveau,0,1)-Eu_tabel_g[[#This Row],[x base]],0,1,TRUE)</f>
        <v>0.12185820522532056</v>
      </c>
      <c r="CI119" s="54">
        <f>1-_xlfn.NORM.DIST(_xlfn.NORM.INV(Eu_g_konfidensniveau,0,1)-Eu_tabel_g[[#This Row],[x base]],0,1,TRUE)</f>
        <v>1.6836768880534203E-2</v>
      </c>
      <c r="CJ119" s="54">
        <f>_xlfn.NORM.DIST(_xlfn.NORM.INV((1-Eu_g_konfidensniveau)/2,0,1)-Eu_tabel_g[[#This Row],[x base]],0,1,TRUE)+1-_xlfn.NORM.DIST(_xlfn.NORM.INV(1-(1-Eu_g_konfidensniveau)/2,0,1)-Eu_tabel_g[[#This Row],[x base]],0,1,TRUE)</f>
        <v>7.6684744285610007E-2</v>
      </c>
      <c r="CK119" s="54" t="e" cm="1">
        <f t="array" ref="CK119">IF($CK$3,INDEX(Eu_tabel_g[[#This Row],[Styrke venstre]:[Styrke tosidet]],CK$7),NA())</f>
        <v>#N/A</v>
      </c>
      <c r="CL119" s="99" t="e">
        <f>Eu_tabel_g[[#This Row],[Falsk positiv
Nulhypotese accepteres
Fejltype 1]]</f>
        <v>#N/A</v>
      </c>
      <c r="CM119" s="99" t="e">
        <f>IF(CHOOSE(CK$7,Eu_tabel_g[[#This Row],[x base]]&gt;0,Eu_tabel_g[[#This Row],[x base]]&lt;0,Eu_tabel_g[[#This Row],[x base]]=0),Eu_tabel_g[[#This Row],[Styrke, aktiv]],NA())</f>
        <v>#N/A</v>
      </c>
      <c r="CN119" s="99" t="e">
        <f>IFERROR(IF($CK$3,Eu_tabel_g[[#This Row],[Styrke, aktiv]],NA()),NA())</f>
        <v>#N/A</v>
      </c>
      <c r="CO119" s="99" t="e">
        <f>IF(ISNA(Eu_tabel_g[[#This Row],[Sand negativ
Nulhypotese afvises
Korrekt]]),NA(),IF($CK$3,1,NA()))</f>
        <v>#N/A</v>
      </c>
      <c r="CP119" s="56" t="str" cm="1">
        <f t="array" ref="CP119">_xlfn.SWITCH(BS119,_xlfn.IFNA(CN$2,-99),CN$5,_xlfn.IFNA(CN$3,-99),CN$6,_xlfn.IFNA(CN$4,-99),CN$7,"")</f>
        <v/>
      </c>
      <c r="CT119" s="7">
        <f t="shared" si="172"/>
        <v>0.8</v>
      </c>
      <c r="CU119">
        <f>IF(ROW(Styrkeberegning_G[[#This Row],[X base venstre]])=ROW(Styrkeberegning_G[[#Headers],[X base venstre]])+1,CU$7/(CT$7/$B$67),CU118/(CT118/$B$67))</f>
        <v>-2.8015817870135784</v>
      </c>
      <c r="CV119">
        <f>Styrkeberegning_G[[#This Row],[X base venstre]]*-1</f>
        <v>2.8015817870135784</v>
      </c>
      <c r="DG119" s="54">
        <f t="shared" si="173"/>
        <v>109</v>
      </c>
      <c r="DH119" s="54">
        <f t="shared" si="174"/>
        <v>110</v>
      </c>
      <c r="DI119" s="54">
        <f t="shared" si="175"/>
        <v>14.267576014106799</v>
      </c>
      <c r="DJ119" s="54" t="e">
        <f t="shared" si="176"/>
        <v>#N/A</v>
      </c>
      <c r="DK119" s="54" t="e">
        <f t="shared" si="177"/>
        <v>#N/A</v>
      </c>
      <c r="DL119" s="54">
        <f t="shared" si="178"/>
        <v>5.2709557276885192E-2</v>
      </c>
      <c r="DM119" s="54" t="e">
        <f t="shared" si="179"/>
        <v>#N/A</v>
      </c>
      <c r="DN119" s="54" t="b">
        <f t="shared" si="180"/>
        <v>0</v>
      </c>
      <c r="DO119" s="54" t="b">
        <f t="shared" si="181"/>
        <v>1</v>
      </c>
      <c r="DP119" s="54" t="b">
        <f t="shared" si="182"/>
        <v>0</v>
      </c>
      <c r="DQ119" s="54" t="b">
        <f t="shared" si="183"/>
        <v>1</v>
      </c>
      <c r="DR119" s="54">
        <f t="shared" si="184"/>
        <v>5.2709557276885192E-2</v>
      </c>
      <c r="DS119" s="54" t="e">
        <f t="shared" si="185"/>
        <v>#N/A</v>
      </c>
      <c r="DT119" s="54">
        <f t="shared" si="186"/>
        <v>5.2709557276885192E-2</v>
      </c>
      <c r="DU119" s="72" t="str">
        <f t="shared" si="187"/>
        <v/>
      </c>
      <c r="DZ119" s="54">
        <f t="shared" si="188"/>
        <v>109</v>
      </c>
      <c r="EA119" s="54">
        <f t="shared" si="189"/>
        <v>110</v>
      </c>
      <c r="EB119" s="54">
        <f t="shared" si="190"/>
        <v>-0.47910578390198655</v>
      </c>
      <c r="EC119" s="54">
        <f t="shared" si="191"/>
        <v>0.35568502205117924</v>
      </c>
      <c r="ED119" s="54" t="e">
        <f t="shared" si="192"/>
        <v>#N/A</v>
      </c>
      <c r="EE119" s="54" t="e">
        <f t="shared" si="193"/>
        <v>#N/A</v>
      </c>
      <c r="EF119" s="54" t="e">
        <f t="shared" si="194"/>
        <v>#N/A</v>
      </c>
      <c r="EG119" s="54" t="b">
        <f t="shared" si="195"/>
        <v>0</v>
      </c>
      <c r="EH119" s="54" t="b">
        <f t="shared" si="196"/>
        <v>1</v>
      </c>
      <c r="EI119" s="54" t="b">
        <f t="shared" si="197"/>
        <v>0</v>
      </c>
      <c r="EJ119" s="54" t="b">
        <f t="shared" si="198"/>
        <v>1</v>
      </c>
      <c r="EK119" s="54">
        <f t="shared" si="199"/>
        <v>0.35568502205117924</v>
      </c>
      <c r="EL119" s="54" t="e">
        <f t="shared" si="200"/>
        <v>#N/A</v>
      </c>
      <c r="EM119" s="54">
        <f t="shared" si="201"/>
        <v>0.35568502205117924</v>
      </c>
      <c r="EN119" s="72" t="str">
        <f t="shared" si="202"/>
        <v/>
      </c>
      <c r="EO11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1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1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19" s="54" t="e" cm="1">
        <f t="array" ref="ER119">IF($CK$3,INDEX(Eu_tabel_a[[#This Row],[Styrke venstre]:[Styrke tosidet]],ER$7),NA())</f>
        <v>#N/A</v>
      </c>
      <c r="ES119" s="54" t="e">
        <f>IF(ER$3,IF(CHOOSE(ER$7,Eu_tabel_a[[#This Row],[x base]]&gt;0,Eu_tabel_a[[#This Row],[x base]]&lt;0,Eu_tabel_a[[#This Row],[x base]]=0),1,NA()),NA())</f>
        <v>#N/A</v>
      </c>
      <c r="ET119" s="54" t="e">
        <f>IF(CHOOSE(ER$7,Eu_tabel_a[[#This Row],[x base]]&gt;0,Eu_tabel_a[[#This Row],[x base]]&lt;0,Eu_tabel_a[[#This Row],[x base]]=0),Eu_tabel_a[[#This Row],[Styrke, aktiv]],NA())</f>
        <v>#N/A</v>
      </c>
      <c r="EU119" s="54" t="e">
        <f>IFERROR(IF($ER$3,Eu_tabel_a[[#This Row],[Styrke, aktiv]],NA()),NA())</f>
        <v>#N/A</v>
      </c>
      <c r="EV119" s="54" t="e">
        <f>IF(ISNA(Eu_tabel_a[[#This Row],[Sand negativ
Nulhypotese afvises
Korrekt]]),NA(),IF(ER$3,1,NA()))</f>
        <v>#N/A</v>
      </c>
      <c r="EW119" s="55" t="str" cm="1">
        <f t="array" ref="EW119">IFERROR(_xlfn.SWITCH(Eu_tabel_a[[#This Row],[Indeks]],_xlfn.IFNA(EU$2,-99),EU$5,_xlfn.IFNA(EU$3,-99),EU$6,_xlfn.IFNA(EU$4,-99),EU$7,""),"")</f>
        <v/>
      </c>
      <c r="EX119" s="54">
        <f>Eu_tabel_a[[#This Row],[x base]]*SQRT(Eu_a_h0_x*(1-Eu_a_h0_x)/Eu_a_n_x)+Eu_a_h0_x</f>
        <v>0</v>
      </c>
      <c r="FC119" s="161" t="e">
        <f t="shared" si="146"/>
        <v>#N/A</v>
      </c>
      <c r="FD119" s="169" t="e">
        <f t="shared" si="234"/>
        <v>#DIV/0!</v>
      </c>
      <c r="FE119" s="7" t="e">
        <f t="shared" si="140"/>
        <v>#DIV/0!</v>
      </c>
      <c r="FF119" t="e">
        <f t="shared" si="235"/>
        <v>#DIV/0!</v>
      </c>
      <c r="FG119" s="8" t="e">
        <f t="shared" si="236"/>
        <v>#DIV/0!</v>
      </c>
      <c r="FH119" s="8" t="e">
        <f t="shared" si="237"/>
        <v>#DIV/0!</v>
      </c>
      <c r="FI119" s="168" t="e">
        <f t="shared" si="238"/>
        <v>#DIV/0!</v>
      </c>
      <c r="FJ119" s="161" t="e">
        <f t="shared" ca="1" si="141"/>
        <v>#N/A</v>
      </c>
      <c r="FK119" s="169" t="e" vm="3">
        <f t="shared" ca="1" si="147"/>
        <v>#VALUE!</v>
      </c>
      <c r="FL119" s="7" t="e" vm="3">
        <f t="shared" ca="1" si="142"/>
        <v>#VALUE!</v>
      </c>
      <c r="FM119" t="e" vm="3">
        <f t="shared" ca="1" si="136"/>
        <v>#VALUE!</v>
      </c>
      <c r="FN119" s="8" t="e" vm="3">
        <f t="shared" ca="1" si="137"/>
        <v>#VALUE!</v>
      </c>
      <c r="FO119" s="8" t="e" vm="3">
        <f t="shared" ca="1" si="138"/>
        <v>#VALUE!</v>
      </c>
      <c r="FP119" s="168" t="e" vm="3">
        <f t="shared" ca="1" si="139"/>
        <v>#VALUE!</v>
      </c>
      <c r="FQ119" s="161" t="e">
        <f t="shared" si="143"/>
        <v>#N/A</v>
      </c>
      <c r="FR119" s="169" t="e">
        <f t="shared" si="148"/>
        <v>#N/A</v>
      </c>
      <c r="FS119" s="7" t="e">
        <f t="shared" si="144"/>
        <v>#N/A</v>
      </c>
      <c r="FT119" t="e">
        <f t="shared" si="149"/>
        <v>#N/A</v>
      </c>
      <c r="FU119" s="8" t="e">
        <f t="shared" si="150"/>
        <v>#N/A</v>
      </c>
      <c r="FV119" s="8" t="e">
        <f t="shared" si="151"/>
        <v>#N/A</v>
      </c>
      <c r="FW119" s="168" t="e">
        <f t="shared" si="152"/>
        <v>#N/A</v>
      </c>
      <c r="FX119" s="161" t="e">
        <f t="shared" si="153"/>
        <v>#N/A</v>
      </c>
      <c r="FY119" s="169" t="e">
        <f t="shared" si="154"/>
        <v>#N/A</v>
      </c>
      <c r="FZ119" s="7" t="e">
        <f t="shared" si="145"/>
        <v>#N/A</v>
      </c>
      <c r="GA119" t="e">
        <f t="shared" si="155"/>
        <v>#N/A</v>
      </c>
      <c r="GB119" s="8" t="e">
        <f t="shared" si="156"/>
        <v>#N/A</v>
      </c>
      <c r="GC119" s="8" t="e">
        <f t="shared" si="157"/>
        <v>#N/A</v>
      </c>
      <c r="GD119" s="168" t="e">
        <f t="shared" si="158"/>
        <v>#N/A</v>
      </c>
      <c r="GE119" s="168"/>
      <c r="GF119" s="168"/>
      <c r="GI119" s="54">
        <f t="shared" si="203"/>
        <v>109</v>
      </c>
      <c r="GJ119" s="54">
        <f t="shared" si="204"/>
        <v>110</v>
      </c>
      <c r="GK119" s="54">
        <f t="shared" si="205"/>
        <v>-0.47910578390198655</v>
      </c>
      <c r="GL119" s="54">
        <f t="shared" si="206"/>
        <v>0.35568502205117924</v>
      </c>
      <c r="GM119" s="54" t="e">
        <f t="shared" si="207"/>
        <v>#N/A</v>
      </c>
      <c r="GN119" s="54" t="e">
        <f t="shared" si="208"/>
        <v>#N/A</v>
      </c>
      <c r="GO119" s="54" t="e">
        <f t="shared" si="209"/>
        <v>#N/A</v>
      </c>
      <c r="GP119" s="54" t="b">
        <f t="shared" si="210"/>
        <v>0</v>
      </c>
      <c r="GQ119" s="54" t="b">
        <f t="shared" si="211"/>
        <v>1</v>
      </c>
      <c r="GR119" s="54" t="b">
        <f t="shared" si="212"/>
        <v>0</v>
      </c>
      <c r="GS119" s="54" t="b">
        <f t="shared" si="213"/>
        <v>1</v>
      </c>
      <c r="GT119" s="54">
        <f t="shared" si="214"/>
        <v>0.35568502205117924</v>
      </c>
      <c r="GU119" s="54" t="e">
        <f t="shared" si="215"/>
        <v>#N/A</v>
      </c>
      <c r="GV119" s="54">
        <f t="shared" si="216"/>
        <v>0.35568502205117924</v>
      </c>
      <c r="GW119" s="72" t="str">
        <f t="shared" si="217"/>
        <v/>
      </c>
      <c r="HC119" s="54">
        <f t="shared" si="218"/>
        <v>109</v>
      </c>
      <c r="HD119" s="54">
        <f t="shared" si="219"/>
        <v>110</v>
      </c>
      <c r="HE119" s="54">
        <f t="shared" si="220"/>
        <v>-0.74190536878113633</v>
      </c>
      <c r="HF119" s="54" t="e">
        <f t="shared" si="221"/>
        <v>#N/A</v>
      </c>
      <c r="HG119" s="54">
        <f t="shared" si="222"/>
        <v>0.28441859146828474</v>
      </c>
      <c r="HH119" s="54" t="e">
        <f t="shared" si="223"/>
        <v>#N/A</v>
      </c>
      <c r="HI119" s="54" t="e">
        <f t="shared" si="224"/>
        <v>#N/A</v>
      </c>
      <c r="HJ119" s="54" t="b">
        <f t="shared" si="225"/>
        <v>1</v>
      </c>
      <c r="HK119" s="54" t="b">
        <f t="shared" si="226"/>
        <v>0</v>
      </c>
      <c r="HL119" s="54" t="b">
        <f t="shared" si="227"/>
        <v>0</v>
      </c>
      <c r="HM119" s="54" t="b">
        <f t="shared" si="228"/>
        <v>1</v>
      </c>
      <c r="HN119" s="54">
        <f t="shared" si="229"/>
        <v>0.28441859146828474</v>
      </c>
      <c r="HO119" s="54">
        <f t="shared" si="230"/>
        <v>0.28441859146828474</v>
      </c>
      <c r="HP119" s="54" t="e">
        <f t="shared" si="231"/>
        <v>#N/A</v>
      </c>
      <c r="HQ119" s="72" t="str">
        <f t="shared" si="232"/>
        <v/>
      </c>
    </row>
    <row r="120" spans="71:225" x14ac:dyDescent="0.2">
      <c r="BS120" s="54">
        <f t="shared" si="159"/>
        <v>110</v>
      </c>
      <c r="BT120" s="54">
        <f>Eu_tabel_g[[#This Row],[Indeks]]+1</f>
        <v>111</v>
      </c>
      <c r="BU120" s="54">
        <f t="shared" si="160"/>
        <v>-0.45515049470688718</v>
      </c>
      <c r="BV120" s="54">
        <f t="shared" si="161"/>
        <v>0.35968755771017369</v>
      </c>
      <c r="BW120" s="54" t="e">
        <f t="shared" si="162"/>
        <v>#N/A</v>
      </c>
      <c r="BX120" s="54" t="e">
        <f t="shared" si="163"/>
        <v>#N/A</v>
      </c>
      <c r="BY120" s="54" t="e">
        <f t="shared" si="164"/>
        <v>#N/A</v>
      </c>
      <c r="BZ120" s="54" t="b">
        <f t="shared" si="165"/>
        <v>0</v>
      </c>
      <c r="CA120" s="54" t="b">
        <f t="shared" si="166"/>
        <v>1</v>
      </c>
      <c r="CB120" s="54" t="b">
        <f t="shared" si="167"/>
        <v>0</v>
      </c>
      <c r="CC120" s="54" t="b">
        <f t="shared" si="168"/>
        <v>1</v>
      </c>
      <c r="CD120" s="54">
        <f t="shared" si="233"/>
        <v>0.35968755771017369</v>
      </c>
      <c r="CE120" s="54" t="e">
        <f t="shared" si="169"/>
        <v>#N/A</v>
      </c>
      <c r="CF120" s="54">
        <f t="shared" si="170"/>
        <v>0.35968755771017369</v>
      </c>
      <c r="CG120" s="72" t="str">
        <f t="shared" si="171"/>
        <v/>
      </c>
      <c r="CH120" s="54">
        <f>_xlfn.NORM.DIST(_xlfn.NORM.INV(1-Eu_g_konfidensniveau,0,1)-Eu_tabel_g[[#This Row],[x base]],0,1,TRUE)</f>
        <v>0.11708154692792394</v>
      </c>
      <c r="CI120" s="54">
        <f>1-_xlfn.NORM.DIST(_xlfn.NORM.INV(Eu_g_konfidensniveau,0,1)-Eu_tabel_g[[#This Row],[x base]],0,1,TRUE)</f>
        <v>1.7864239278245098E-2</v>
      </c>
      <c r="CJ120" s="54">
        <f>_xlfn.NORM.DIST(_xlfn.NORM.INV((1-Eu_g_konfidensniveau)/2,0,1)-Eu_tabel_g[[#This Row],[x base]],0,1,TRUE)+1-_xlfn.NORM.DIST(_xlfn.NORM.INV(1-(1-Eu_g_konfidensniveau)/2,0,1)-Eu_tabel_g[[#This Row],[x base]],0,1,TRUE)</f>
        <v>7.4051149695403939E-2</v>
      </c>
      <c r="CK120" s="54" t="e" cm="1">
        <f t="array" ref="CK120">IF($CK$3,INDEX(Eu_tabel_g[[#This Row],[Styrke venstre]:[Styrke tosidet]],CK$7),NA())</f>
        <v>#N/A</v>
      </c>
      <c r="CL120" s="99" t="e">
        <f>Eu_tabel_g[[#This Row],[Falsk positiv
Nulhypotese accepteres
Fejltype 1]]</f>
        <v>#N/A</v>
      </c>
      <c r="CM120" s="99" t="e">
        <f>IF(CHOOSE(CK$7,Eu_tabel_g[[#This Row],[x base]]&gt;0,Eu_tabel_g[[#This Row],[x base]]&lt;0,Eu_tabel_g[[#This Row],[x base]]=0),Eu_tabel_g[[#This Row],[Styrke, aktiv]],NA())</f>
        <v>#N/A</v>
      </c>
      <c r="CN120" s="99" t="e">
        <f>IFERROR(IF($CK$3,Eu_tabel_g[[#This Row],[Styrke, aktiv]],NA()),NA())</f>
        <v>#N/A</v>
      </c>
      <c r="CO120" s="99" t="e">
        <f>IF(ISNA(Eu_tabel_g[[#This Row],[Sand negativ
Nulhypotese afvises
Korrekt]]),NA(),IF($CK$3,1,NA()))</f>
        <v>#N/A</v>
      </c>
      <c r="CP120" s="56" t="str" cm="1">
        <f t="array" ref="CP120">_xlfn.SWITCH(BS120,_xlfn.IFNA(CN$2,-99),CN$5,_xlfn.IFNA(CN$3,-99),CN$6,_xlfn.IFNA(CN$4,-99),CN$7,"")</f>
        <v/>
      </c>
      <c r="CT120" s="7">
        <f t="shared" si="172"/>
        <v>0.8</v>
      </c>
      <c r="CU120">
        <f>IF(ROW(Styrkeberegning_G[[#This Row],[X base venstre]])=ROW(Styrkeberegning_G[[#Headers],[X base venstre]])+1,CU$7/(CT$7/$B$67),CU119/(CT119/$B$67))</f>
        <v>-2.8015817870135784</v>
      </c>
      <c r="CV120">
        <f>Styrkeberegning_G[[#This Row],[X base venstre]]*-1</f>
        <v>2.8015817870135784</v>
      </c>
      <c r="DG120" s="54">
        <f t="shared" si="173"/>
        <v>110</v>
      </c>
      <c r="DH120" s="54">
        <f t="shared" si="174"/>
        <v>111</v>
      </c>
      <c r="DI120" s="54">
        <f t="shared" si="175"/>
        <v>14.381646870523801</v>
      </c>
      <c r="DJ120" s="54" t="e">
        <f t="shared" si="176"/>
        <v>#N/A</v>
      </c>
      <c r="DK120" s="54" t="e">
        <f t="shared" si="177"/>
        <v>#N/A</v>
      </c>
      <c r="DL120" s="54">
        <f t="shared" si="178"/>
        <v>5.1603851008559944E-2</v>
      </c>
      <c r="DM120" s="54" t="e">
        <f t="shared" si="179"/>
        <v>#N/A</v>
      </c>
      <c r="DN120" s="54" t="b">
        <f t="shared" si="180"/>
        <v>0</v>
      </c>
      <c r="DO120" s="54" t="b">
        <f t="shared" si="181"/>
        <v>1</v>
      </c>
      <c r="DP120" s="54" t="b">
        <f t="shared" si="182"/>
        <v>0</v>
      </c>
      <c r="DQ120" s="54" t="b">
        <f t="shared" si="183"/>
        <v>1</v>
      </c>
      <c r="DR120" s="54">
        <f t="shared" si="184"/>
        <v>5.1603851008559944E-2</v>
      </c>
      <c r="DS120" s="54" t="e">
        <f t="shared" si="185"/>
        <v>#N/A</v>
      </c>
      <c r="DT120" s="54">
        <f t="shared" si="186"/>
        <v>5.1603851008559944E-2</v>
      </c>
      <c r="DU120" s="72" t="str">
        <f t="shared" si="187"/>
        <v/>
      </c>
      <c r="DZ120" s="54">
        <f t="shared" si="188"/>
        <v>110</v>
      </c>
      <c r="EA120" s="54">
        <f t="shared" si="189"/>
        <v>111</v>
      </c>
      <c r="EB120" s="54">
        <f t="shared" si="190"/>
        <v>-0.45515049470688718</v>
      </c>
      <c r="EC120" s="54">
        <f t="shared" si="191"/>
        <v>0.35968755771017369</v>
      </c>
      <c r="ED120" s="54" t="e">
        <f t="shared" si="192"/>
        <v>#N/A</v>
      </c>
      <c r="EE120" s="54" t="e">
        <f t="shared" si="193"/>
        <v>#N/A</v>
      </c>
      <c r="EF120" s="54" t="e">
        <f t="shared" si="194"/>
        <v>#N/A</v>
      </c>
      <c r="EG120" s="54" t="b">
        <f t="shared" si="195"/>
        <v>0</v>
      </c>
      <c r="EH120" s="54" t="b">
        <f t="shared" si="196"/>
        <v>1</v>
      </c>
      <c r="EI120" s="54" t="b">
        <f t="shared" si="197"/>
        <v>0</v>
      </c>
      <c r="EJ120" s="54" t="b">
        <f t="shared" si="198"/>
        <v>1</v>
      </c>
      <c r="EK120" s="54">
        <f t="shared" si="199"/>
        <v>0.35968755771017369</v>
      </c>
      <c r="EL120" s="54" t="e">
        <f t="shared" si="200"/>
        <v>#N/A</v>
      </c>
      <c r="EM120" s="54">
        <f t="shared" si="201"/>
        <v>0.35968755771017369</v>
      </c>
      <c r="EN120" s="72" t="str">
        <f t="shared" si="202"/>
        <v/>
      </c>
      <c r="EO12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2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2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20" s="54" t="e" cm="1">
        <f t="array" ref="ER120">IF($CK$3,INDEX(Eu_tabel_a[[#This Row],[Styrke venstre]:[Styrke tosidet]],ER$7),NA())</f>
        <v>#N/A</v>
      </c>
      <c r="ES120" s="54" t="e">
        <f>IF(ER$3,IF(CHOOSE(ER$7,Eu_tabel_a[[#This Row],[x base]]&gt;0,Eu_tabel_a[[#This Row],[x base]]&lt;0,Eu_tabel_a[[#This Row],[x base]]=0),1,NA()),NA())</f>
        <v>#N/A</v>
      </c>
      <c r="ET120" s="54" t="e">
        <f>IF(CHOOSE(ER$7,Eu_tabel_a[[#This Row],[x base]]&gt;0,Eu_tabel_a[[#This Row],[x base]]&lt;0,Eu_tabel_a[[#This Row],[x base]]=0),Eu_tabel_a[[#This Row],[Styrke, aktiv]],NA())</f>
        <v>#N/A</v>
      </c>
      <c r="EU120" s="54" t="e">
        <f>IFERROR(IF($ER$3,Eu_tabel_a[[#This Row],[Styrke, aktiv]],NA()),NA())</f>
        <v>#N/A</v>
      </c>
      <c r="EV120" s="54" t="e">
        <f>IF(ISNA(Eu_tabel_a[[#This Row],[Sand negativ
Nulhypotese afvises
Korrekt]]),NA(),IF(ER$3,1,NA()))</f>
        <v>#N/A</v>
      </c>
      <c r="EW120" s="55" t="str" cm="1">
        <f t="array" ref="EW120">IFERROR(_xlfn.SWITCH(Eu_tabel_a[[#This Row],[Indeks]],_xlfn.IFNA(EU$2,-99),EU$5,_xlfn.IFNA(EU$3,-99),EU$6,_xlfn.IFNA(EU$4,-99),EU$7,""),"")</f>
        <v/>
      </c>
      <c r="EX120" s="54">
        <f>Eu_tabel_a[[#This Row],[x base]]*SQRT(Eu_a_h0_x*(1-Eu_a_h0_x)/Eu_a_n_x)+Eu_a_h0_x</f>
        <v>0</v>
      </c>
      <c r="FC120" s="161" t="e">
        <f t="shared" si="146"/>
        <v>#N/A</v>
      </c>
      <c r="FD120" s="169" t="e">
        <f t="shared" si="234"/>
        <v>#DIV/0!</v>
      </c>
      <c r="FE120" s="7" t="e">
        <f t="shared" si="140"/>
        <v>#DIV/0!</v>
      </c>
      <c r="FF120" t="e">
        <f t="shared" si="235"/>
        <v>#DIV/0!</v>
      </c>
      <c r="FG120" s="8" t="e">
        <f t="shared" si="236"/>
        <v>#DIV/0!</v>
      </c>
      <c r="FH120" s="8" t="e">
        <f t="shared" si="237"/>
        <v>#DIV/0!</v>
      </c>
      <c r="FI120" s="168" t="e">
        <f t="shared" si="238"/>
        <v>#DIV/0!</v>
      </c>
      <c r="FJ120" s="161" t="e">
        <f t="shared" ca="1" si="141"/>
        <v>#N/A</v>
      </c>
      <c r="FK120" s="169" t="e" vm="3">
        <f t="shared" ca="1" si="147"/>
        <v>#VALUE!</v>
      </c>
      <c r="FL120" s="7" t="e" vm="3">
        <f t="shared" ca="1" si="142"/>
        <v>#VALUE!</v>
      </c>
      <c r="FM120" t="e" vm="3">
        <f t="shared" ca="1" si="136"/>
        <v>#VALUE!</v>
      </c>
      <c r="FN120" s="8" t="e" vm="3">
        <f t="shared" ca="1" si="137"/>
        <v>#VALUE!</v>
      </c>
      <c r="FO120" s="8" t="e" vm="3">
        <f t="shared" ca="1" si="138"/>
        <v>#VALUE!</v>
      </c>
      <c r="FP120" s="168" t="e" vm="3">
        <f t="shared" ca="1" si="139"/>
        <v>#VALUE!</v>
      </c>
      <c r="FQ120" s="161" t="e">
        <f t="shared" si="143"/>
        <v>#N/A</v>
      </c>
      <c r="FR120" s="169" t="e">
        <f t="shared" si="148"/>
        <v>#N/A</v>
      </c>
      <c r="FS120" s="7" t="e">
        <f t="shared" si="144"/>
        <v>#N/A</v>
      </c>
      <c r="FT120" t="e">
        <f t="shared" si="149"/>
        <v>#N/A</v>
      </c>
      <c r="FU120" s="8" t="e">
        <f t="shared" si="150"/>
        <v>#N/A</v>
      </c>
      <c r="FV120" s="8" t="e">
        <f t="shared" si="151"/>
        <v>#N/A</v>
      </c>
      <c r="FW120" s="168" t="e">
        <f t="shared" si="152"/>
        <v>#N/A</v>
      </c>
      <c r="FX120" s="161" t="e">
        <f t="shared" si="153"/>
        <v>#N/A</v>
      </c>
      <c r="FY120" s="169" t="e">
        <f t="shared" si="154"/>
        <v>#N/A</v>
      </c>
      <c r="FZ120" s="7" t="e">
        <f t="shared" si="145"/>
        <v>#N/A</v>
      </c>
      <c r="GA120" t="e">
        <f t="shared" si="155"/>
        <v>#N/A</v>
      </c>
      <c r="GB120" s="8" t="e">
        <f t="shared" si="156"/>
        <v>#N/A</v>
      </c>
      <c r="GC120" s="8" t="e">
        <f t="shared" si="157"/>
        <v>#N/A</v>
      </c>
      <c r="GD120" s="168" t="e">
        <f t="shared" si="158"/>
        <v>#N/A</v>
      </c>
      <c r="GE120" s="168"/>
      <c r="GF120" s="168"/>
      <c r="GI120" s="54">
        <f t="shared" si="203"/>
        <v>110</v>
      </c>
      <c r="GJ120" s="54">
        <f t="shared" si="204"/>
        <v>111</v>
      </c>
      <c r="GK120" s="54">
        <f t="shared" si="205"/>
        <v>-0.45515049470688718</v>
      </c>
      <c r="GL120" s="54">
        <f t="shared" si="206"/>
        <v>0.35968755771017369</v>
      </c>
      <c r="GM120" s="54" t="e">
        <f t="shared" si="207"/>
        <v>#N/A</v>
      </c>
      <c r="GN120" s="54" t="e">
        <f t="shared" si="208"/>
        <v>#N/A</v>
      </c>
      <c r="GO120" s="54" t="e">
        <f t="shared" si="209"/>
        <v>#N/A</v>
      </c>
      <c r="GP120" s="54" t="b">
        <f t="shared" si="210"/>
        <v>0</v>
      </c>
      <c r="GQ120" s="54" t="b">
        <f t="shared" si="211"/>
        <v>1</v>
      </c>
      <c r="GR120" s="54" t="b">
        <f t="shared" si="212"/>
        <v>0</v>
      </c>
      <c r="GS120" s="54" t="b">
        <f t="shared" si="213"/>
        <v>1</v>
      </c>
      <c r="GT120" s="54">
        <f t="shared" si="214"/>
        <v>0.35968755771017369</v>
      </c>
      <c r="GU120" s="54" t="e">
        <f t="shared" si="215"/>
        <v>#N/A</v>
      </c>
      <c r="GV120" s="54">
        <f t="shared" si="216"/>
        <v>0.35968755771017369</v>
      </c>
      <c r="GW120" s="72" t="str">
        <f t="shared" si="217"/>
        <v/>
      </c>
      <c r="HC120" s="54">
        <f t="shared" si="218"/>
        <v>110</v>
      </c>
      <c r="HD120" s="54">
        <f t="shared" si="219"/>
        <v>111</v>
      </c>
      <c r="HE120" s="54">
        <f t="shared" si="220"/>
        <v>-0.70481010034207969</v>
      </c>
      <c r="HF120" s="54" t="e">
        <f t="shared" si="221"/>
        <v>#N/A</v>
      </c>
      <c r="HG120" s="54">
        <f t="shared" si="222"/>
        <v>0.29265061827805422</v>
      </c>
      <c r="HH120" s="54" t="e">
        <f t="shared" si="223"/>
        <v>#N/A</v>
      </c>
      <c r="HI120" s="54" t="e">
        <f t="shared" si="224"/>
        <v>#N/A</v>
      </c>
      <c r="HJ120" s="54" t="b">
        <f t="shared" si="225"/>
        <v>1</v>
      </c>
      <c r="HK120" s="54" t="b">
        <f t="shared" si="226"/>
        <v>0</v>
      </c>
      <c r="HL120" s="54" t="b">
        <f t="shared" si="227"/>
        <v>0</v>
      </c>
      <c r="HM120" s="54" t="b">
        <f t="shared" si="228"/>
        <v>1</v>
      </c>
      <c r="HN120" s="54">
        <f t="shared" si="229"/>
        <v>0.29265061827805422</v>
      </c>
      <c r="HO120" s="54">
        <f t="shared" si="230"/>
        <v>0.29265061827805422</v>
      </c>
      <c r="HP120" s="54" t="e">
        <f t="shared" si="231"/>
        <v>#N/A</v>
      </c>
      <c r="HQ120" s="72" t="str">
        <f t="shared" si="232"/>
        <v/>
      </c>
    </row>
    <row r="121" spans="71:225" x14ac:dyDescent="0.2">
      <c r="BS121" s="54">
        <f t="shared" si="159"/>
        <v>111</v>
      </c>
      <c r="BT121" s="54">
        <f>Eu_tabel_g[[#This Row],[Indeks]]+1</f>
        <v>112</v>
      </c>
      <c r="BU121" s="54">
        <f t="shared" si="160"/>
        <v>-0.4311952055117878</v>
      </c>
      <c r="BV121" s="54">
        <f t="shared" si="161"/>
        <v>0.36352646237304004</v>
      </c>
      <c r="BW121" s="54" t="e">
        <f t="shared" si="162"/>
        <v>#N/A</v>
      </c>
      <c r="BX121" s="54" t="e">
        <f t="shared" si="163"/>
        <v>#N/A</v>
      </c>
      <c r="BY121" s="54" t="e">
        <f t="shared" si="164"/>
        <v>#N/A</v>
      </c>
      <c r="BZ121" s="54" t="b">
        <f t="shared" si="165"/>
        <v>0</v>
      </c>
      <c r="CA121" s="54" t="b">
        <f t="shared" si="166"/>
        <v>1</v>
      </c>
      <c r="CB121" s="54" t="b">
        <f t="shared" si="167"/>
        <v>0</v>
      </c>
      <c r="CC121" s="54" t="b">
        <f t="shared" si="168"/>
        <v>1</v>
      </c>
      <c r="CD121" s="54">
        <f t="shared" si="233"/>
        <v>0.36352646237304004</v>
      </c>
      <c r="CE121" s="54" t="e">
        <f t="shared" si="169"/>
        <v>#N/A</v>
      </c>
      <c r="CF121" s="54">
        <f t="shared" si="170"/>
        <v>0.36352646237304004</v>
      </c>
      <c r="CG121" s="72" t="str">
        <f t="shared" si="171"/>
        <v/>
      </c>
      <c r="CH121" s="54">
        <f>_xlfn.NORM.DIST(_xlfn.NORM.INV(1-Eu_g_konfidensniveau,0,1)-Eu_tabel_g[[#This Row],[x base]],0,1,TRUE)</f>
        <v>0.11243909396981623</v>
      </c>
      <c r="CI121" s="54">
        <f>1-_xlfn.NORM.DIST(_xlfn.NORM.INV(Eu_g_konfidensniveau,0,1)-Eu_tabel_g[[#This Row],[x base]],0,1,TRUE)</f>
        <v>1.894471740966297E-2</v>
      </c>
      <c r="CJ121" s="54">
        <f>_xlfn.NORM.DIST(_xlfn.NORM.INV((1-Eu_g_konfidensniveau)/2,0,1)-Eu_tabel_g[[#This Row],[x base]],0,1,TRUE)+1-_xlfn.NORM.DIST(_xlfn.NORM.INV(1-(1-Eu_g_konfidensniveau)/2,0,1)-Eu_tabel_g[[#This Row],[x base]],0,1,TRUE)</f>
        <v>7.1558521831954436E-2</v>
      </c>
      <c r="CK121" s="54" t="e" cm="1">
        <f t="array" ref="CK121">IF($CK$3,INDEX(Eu_tabel_g[[#This Row],[Styrke venstre]:[Styrke tosidet]],CK$7),NA())</f>
        <v>#N/A</v>
      </c>
      <c r="CL121" s="99" t="e">
        <f>Eu_tabel_g[[#This Row],[Falsk positiv
Nulhypotese accepteres
Fejltype 1]]</f>
        <v>#N/A</v>
      </c>
      <c r="CM121" s="99" t="e">
        <f>IF(CHOOSE(CK$7,Eu_tabel_g[[#This Row],[x base]]&gt;0,Eu_tabel_g[[#This Row],[x base]]&lt;0,Eu_tabel_g[[#This Row],[x base]]=0),Eu_tabel_g[[#This Row],[Styrke, aktiv]],NA())</f>
        <v>#N/A</v>
      </c>
      <c r="CN121" s="99" t="e">
        <f>IFERROR(IF($CK$3,Eu_tabel_g[[#This Row],[Styrke, aktiv]],NA()),NA())</f>
        <v>#N/A</v>
      </c>
      <c r="CO121" s="99" t="e">
        <f>IF(ISNA(Eu_tabel_g[[#This Row],[Sand negativ
Nulhypotese afvises
Korrekt]]),NA(),IF($CK$3,1,NA()))</f>
        <v>#N/A</v>
      </c>
      <c r="CP121" s="56" t="str" cm="1">
        <f t="array" ref="CP121">_xlfn.SWITCH(BS121,_xlfn.IFNA(CN$2,-99),CN$5,_xlfn.IFNA(CN$3,-99),CN$6,_xlfn.IFNA(CN$4,-99),CN$7,"")</f>
        <v/>
      </c>
      <c r="CT121" s="7">
        <f t="shared" si="172"/>
        <v>0.8</v>
      </c>
      <c r="CU121">
        <f>IF(ROW(Styrkeberegning_G[[#This Row],[X base venstre]])=ROW(Styrkeberegning_G[[#Headers],[X base venstre]])+1,CU$7/(CT$7/$B$67),CU120/(CT120/$B$67))</f>
        <v>-2.8015817870135784</v>
      </c>
      <c r="CV121">
        <f>Styrkeberegning_G[[#This Row],[X base venstre]]*-1</f>
        <v>2.8015817870135784</v>
      </c>
      <c r="DG121" s="54">
        <f t="shared" si="173"/>
        <v>111</v>
      </c>
      <c r="DH121" s="54">
        <f t="shared" si="174"/>
        <v>112</v>
      </c>
      <c r="DI121" s="54">
        <f t="shared" si="175"/>
        <v>14.495717726940802</v>
      </c>
      <c r="DJ121" s="54" t="e">
        <f t="shared" si="176"/>
        <v>#N/A</v>
      </c>
      <c r="DK121" s="54" t="e">
        <f t="shared" si="177"/>
        <v>#N/A</v>
      </c>
      <c r="DL121" s="54">
        <f t="shared" si="178"/>
        <v>5.0507038340871085E-2</v>
      </c>
      <c r="DM121" s="54" t="e">
        <f t="shared" si="179"/>
        <v>#N/A</v>
      </c>
      <c r="DN121" s="54" t="b">
        <f t="shared" si="180"/>
        <v>0</v>
      </c>
      <c r="DO121" s="54" t="b">
        <f t="shared" si="181"/>
        <v>1</v>
      </c>
      <c r="DP121" s="54" t="b">
        <f t="shared" si="182"/>
        <v>0</v>
      </c>
      <c r="DQ121" s="54" t="b">
        <f t="shared" si="183"/>
        <v>1</v>
      </c>
      <c r="DR121" s="54">
        <f t="shared" si="184"/>
        <v>5.0507038340871085E-2</v>
      </c>
      <c r="DS121" s="54" t="e">
        <f t="shared" si="185"/>
        <v>#N/A</v>
      </c>
      <c r="DT121" s="54">
        <f t="shared" si="186"/>
        <v>5.0507038340871085E-2</v>
      </c>
      <c r="DU121" s="72" t="str">
        <f t="shared" si="187"/>
        <v/>
      </c>
      <c r="DZ121" s="54">
        <f t="shared" si="188"/>
        <v>111</v>
      </c>
      <c r="EA121" s="54">
        <f t="shared" si="189"/>
        <v>112</v>
      </c>
      <c r="EB121" s="54">
        <f t="shared" si="190"/>
        <v>-0.4311952055117878</v>
      </c>
      <c r="EC121" s="54">
        <f t="shared" si="191"/>
        <v>0.36352646237304004</v>
      </c>
      <c r="ED121" s="54" t="e">
        <f t="shared" si="192"/>
        <v>#N/A</v>
      </c>
      <c r="EE121" s="54" t="e">
        <f t="shared" si="193"/>
        <v>#N/A</v>
      </c>
      <c r="EF121" s="54" t="e">
        <f t="shared" si="194"/>
        <v>#N/A</v>
      </c>
      <c r="EG121" s="54" t="b">
        <f t="shared" si="195"/>
        <v>0</v>
      </c>
      <c r="EH121" s="54" t="b">
        <f t="shared" si="196"/>
        <v>1</v>
      </c>
      <c r="EI121" s="54" t="b">
        <f t="shared" si="197"/>
        <v>0</v>
      </c>
      <c r="EJ121" s="54" t="b">
        <f t="shared" si="198"/>
        <v>1</v>
      </c>
      <c r="EK121" s="54">
        <f t="shared" si="199"/>
        <v>0.36352646237304004</v>
      </c>
      <c r="EL121" s="54" t="e">
        <f t="shared" si="200"/>
        <v>#N/A</v>
      </c>
      <c r="EM121" s="54">
        <f t="shared" si="201"/>
        <v>0.36352646237304004</v>
      </c>
      <c r="EN121" s="72" t="str">
        <f t="shared" si="202"/>
        <v/>
      </c>
      <c r="EO12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2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2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21" s="54" t="e" cm="1">
        <f t="array" ref="ER121">IF($CK$3,INDEX(Eu_tabel_a[[#This Row],[Styrke venstre]:[Styrke tosidet]],ER$7),NA())</f>
        <v>#N/A</v>
      </c>
      <c r="ES121" s="54" t="e">
        <f>IF(ER$3,IF(CHOOSE(ER$7,Eu_tabel_a[[#This Row],[x base]]&gt;0,Eu_tabel_a[[#This Row],[x base]]&lt;0,Eu_tabel_a[[#This Row],[x base]]=0),1,NA()),NA())</f>
        <v>#N/A</v>
      </c>
      <c r="ET121" s="54" t="e">
        <f>IF(CHOOSE(ER$7,Eu_tabel_a[[#This Row],[x base]]&gt;0,Eu_tabel_a[[#This Row],[x base]]&lt;0,Eu_tabel_a[[#This Row],[x base]]=0),Eu_tabel_a[[#This Row],[Styrke, aktiv]],NA())</f>
        <v>#N/A</v>
      </c>
      <c r="EU121" s="54" t="e">
        <f>IFERROR(IF($ER$3,Eu_tabel_a[[#This Row],[Styrke, aktiv]],NA()),NA())</f>
        <v>#N/A</v>
      </c>
      <c r="EV121" s="54" t="e">
        <f>IF(ISNA(Eu_tabel_a[[#This Row],[Sand negativ
Nulhypotese afvises
Korrekt]]),NA(),IF(ER$3,1,NA()))</f>
        <v>#N/A</v>
      </c>
      <c r="EW121" s="55" t="str" cm="1">
        <f t="array" ref="EW121">IFERROR(_xlfn.SWITCH(Eu_tabel_a[[#This Row],[Indeks]],_xlfn.IFNA(EU$2,-99),EU$5,_xlfn.IFNA(EU$3,-99),EU$6,_xlfn.IFNA(EU$4,-99),EU$7,""),"")</f>
        <v/>
      </c>
      <c r="EX121" s="54">
        <f>Eu_tabel_a[[#This Row],[x base]]*SQRT(Eu_a_h0_x*(1-Eu_a_h0_x)/Eu_a_n_x)+Eu_a_h0_x</f>
        <v>0</v>
      </c>
      <c r="FC121" s="161" t="e">
        <f t="shared" si="146"/>
        <v>#N/A</v>
      </c>
      <c r="FD121" s="169" t="e">
        <f t="shared" si="234"/>
        <v>#DIV/0!</v>
      </c>
      <c r="FE121" s="7" t="e">
        <f t="shared" si="140"/>
        <v>#DIV/0!</v>
      </c>
      <c r="FF121" t="e">
        <f t="shared" si="235"/>
        <v>#DIV/0!</v>
      </c>
      <c r="FG121" s="8" t="e">
        <f t="shared" si="236"/>
        <v>#DIV/0!</v>
      </c>
      <c r="FH121" s="8" t="e">
        <f t="shared" si="237"/>
        <v>#DIV/0!</v>
      </c>
      <c r="FI121" s="168" t="e">
        <f t="shared" si="238"/>
        <v>#DIV/0!</v>
      </c>
      <c r="FJ121" s="161" t="e">
        <f t="shared" ca="1" si="141"/>
        <v>#N/A</v>
      </c>
      <c r="FK121" s="169" t="e" vm="3">
        <f t="shared" ca="1" si="147"/>
        <v>#VALUE!</v>
      </c>
      <c r="FL121" s="7" t="e" vm="3">
        <f t="shared" ca="1" si="142"/>
        <v>#VALUE!</v>
      </c>
      <c r="FM121" t="e" vm="3">
        <f t="shared" ca="1" si="136"/>
        <v>#VALUE!</v>
      </c>
      <c r="FN121" s="8" t="e" vm="3">
        <f t="shared" ca="1" si="137"/>
        <v>#VALUE!</v>
      </c>
      <c r="FO121" s="8" t="e" vm="3">
        <f t="shared" ca="1" si="138"/>
        <v>#VALUE!</v>
      </c>
      <c r="FP121" s="168" t="e" vm="3">
        <f t="shared" ca="1" si="139"/>
        <v>#VALUE!</v>
      </c>
      <c r="FQ121" s="161" t="e">
        <f t="shared" si="143"/>
        <v>#N/A</v>
      </c>
      <c r="FR121" s="169" t="e">
        <f t="shared" si="148"/>
        <v>#N/A</v>
      </c>
      <c r="FS121" s="7" t="e">
        <f t="shared" si="144"/>
        <v>#N/A</v>
      </c>
      <c r="FT121" t="e">
        <f t="shared" si="149"/>
        <v>#N/A</v>
      </c>
      <c r="FU121" s="8" t="e">
        <f t="shared" si="150"/>
        <v>#N/A</v>
      </c>
      <c r="FV121" s="8" t="e">
        <f t="shared" si="151"/>
        <v>#N/A</v>
      </c>
      <c r="FW121" s="168" t="e">
        <f t="shared" si="152"/>
        <v>#N/A</v>
      </c>
      <c r="FX121" s="161" t="e">
        <f t="shared" si="153"/>
        <v>#N/A</v>
      </c>
      <c r="FY121" s="169" t="e">
        <f t="shared" si="154"/>
        <v>#N/A</v>
      </c>
      <c r="FZ121" s="7" t="e">
        <f t="shared" si="145"/>
        <v>#N/A</v>
      </c>
      <c r="GA121" t="e">
        <f t="shared" si="155"/>
        <v>#N/A</v>
      </c>
      <c r="GB121" s="8" t="e">
        <f t="shared" si="156"/>
        <v>#N/A</v>
      </c>
      <c r="GC121" s="8" t="e">
        <f t="shared" si="157"/>
        <v>#N/A</v>
      </c>
      <c r="GD121" s="168" t="e">
        <f t="shared" si="158"/>
        <v>#N/A</v>
      </c>
      <c r="GE121" s="168"/>
      <c r="GF121" s="168"/>
      <c r="GI121" s="54">
        <f t="shared" si="203"/>
        <v>111</v>
      </c>
      <c r="GJ121" s="54">
        <f t="shared" si="204"/>
        <v>112</v>
      </c>
      <c r="GK121" s="54">
        <f t="shared" si="205"/>
        <v>-0.4311952055117878</v>
      </c>
      <c r="GL121" s="54">
        <f t="shared" si="206"/>
        <v>0.36352646237304004</v>
      </c>
      <c r="GM121" s="54" t="e">
        <f t="shared" si="207"/>
        <v>#N/A</v>
      </c>
      <c r="GN121" s="54" t="e">
        <f t="shared" si="208"/>
        <v>#N/A</v>
      </c>
      <c r="GO121" s="54" t="e">
        <f t="shared" si="209"/>
        <v>#N/A</v>
      </c>
      <c r="GP121" s="54" t="b">
        <f t="shared" si="210"/>
        <v>0</v>
      </c>
      <c r="GQ121" s="54" t="b">
        <f t="shared" si="211"/>
        <v>1</v>
      </c>
      <c r="GR121" s="54" t="b">
        <f t="shared" si="212"/>
        <v>0</v>
      </c>
      <c r="GS121" s="54" t="b">
        <f t="shared" si="213"/>
        <v>1</v>
      </c>
      <c r="GT121" s="54">
        <f t="shared" si="214"/>
        <v>0.36352646237304004</v>
      </c>
      <c r="GU121" s="54" t="e">
        <f t="shared" si="215"/>
        <v>#N/A</v>
      </c>
      <c r="GV121" s="54">
        <f t="shared" si="216"/>
        <v>0.36352646237304004</v>
      </c>
      <c r="GW121" s="72" t="str">
        <f t="shared" si="217"/>
        <v/>
      </c>
      <c r="HC121" s="54">
        <f t="shared" si="218"/>
        <v>111</v>
      </c>
      <c r="HD121" s="54">
        <f t="shared" si="219"/>
        <v>112</v>
      </c>
      <c r="HE121" s="54">
        <f t="shared" si="220"/>
        <v>-0.66771483190302305</v>
      </c>
      <c r="HF121" s="54" t="e">
        <f t="shared" si="221"/>
        <v>#N/A</v>
      </c>
      <c r="HG121" s="54">
        <f t="shared" si="222"/>
        <v>0.30073759656733073</v>
      </c>
      <c r="HH121" s="54" t="e">
        <f t="shared" si="223"/>
        <v>#N/A</v>
      </c>
      <c r="HI121" s="54" t="e">
        <f t="shared" si="224"/>
        <v>#N/A</v>
      </c>
      <c r="HJ121" s="54" t="b">
        <f t="shared" si="225"/>
        <v>1</v>
      </c>
      <c r="HK121" s="54" t="b">
        <f t="shared" si="226"/>
        <v>0</v>
      </c>
      <c r="HL121" s="54" t="b">
        <f t="shared" si="227"/>
        <v>0</v>
      </c>
      <c r="HM121" s="54" t="b">
        <f t="shared" si="228"/>
        <v>1</v>
      </c>
      <c r="HN121" s="54">
        <f t="shared" si="229"/>
        <v>0.30073759656733073</v>
      </c>
      <c r="HO121" s="54">
        <f t="shared" si="230"/>
        <v>0.30073759656733073</v>
      </c>
      <c r="HP121" s="54" t="e">
        <f t="shared" si="231"/>
        <v>#N/A</v>
      </c>
      <c r="HQ121" s="72" t="str">
        <f t="shared" si="232"/>
        <v/>
      </c>
    </row>
    <row r="122" spans="71:225" x14ac:dyDescent="0.2">
      <c r="BS122" s="54">
        <f t="shared" si="159"/>
        <v>112</v>
      </c>
      <c r="BT122" s="54">
        <f>Eu_tabel_g[[#This Row],[Indeks]]+1</f>
        <v>113</v>
      </c>
      <c r="BU122" s="54">
        <f t="shared" si="160"/>
        <v>-0.40723991631668843</v>
      </c>
      <c r="BV122" s="54">
        <f t="shared" si="161"/>
        <v>0.36719556142717458</v>
      </c>
      <c r="BW122" s="54" t="e">
        <f t="shared" si="162"/>
        <v>#N/A</v>
      </c>
      <c r="BX122" s="54" t="e">
        <f t="shared" si="163"/>
        <v>#N/A</v>
      </c>
      <c r="BY122" s="54" t="e">
        <f t="shared" si="164"/>
        <v>#N/A</v>
      </c>
      <c r="BZ122" s="54" t="b">
        <f t="shared" si="165"/>
        <v>0</v>
      </c>
      <c r="CA122" s="54" t="b">
        <f t="shared" si="166"/>
        <v>1</v>
      </c>
      <c r="CB122" s="54" t="b">
        <f t="shared" si="167"/>
        <v>0</v>
      </c>
      <c r="CC122" s="54" t="b">
        <f t="shared" si="168"/>
        <v>1</v>
      </c>
      <c r="CD122" s="54">
        <f t="shared" si="233"/>
        <v>0.36719556142717458</v>
      </c>
      <c r="CE122" s="54" t="e">
        <f t="shared" si="169"/>
        <v>#N/A</v>
      </c>
      <c r="CF122" s="54">
        <f t="shared" si="170"/>
        <v>0.36719556142717458</v>
      </c>
      <c r="CG122" s="72" t="str">
        <f t="shared" si="171"/>
        <v/>
      </c>
      <c r="CH122" s="54">
        <f>_xlfn.NORM.DIST(_xlfn.NORM.INV(1-Eu_g_konfidensniveau,0,1)-Eu_tabel_g[[#This Row],[x base]],0,1,TRUE)</f>
        <v>0.10792966408969765</v>
      </c>
      <c r="CI122" s="54">
        <f>1-_xlfn.NORM.DIST(_xlfn.NORM.INV(Eu_g_konfidensniveau,0,1)-Eu_tabel_g[[#This Row],[x base]],0,1,TRUE)</f>
        <v>2.0080286162773131E-2</v>
      </c>
      <c r="CJ122" s="54">
        <f>_xlfn.NORM.DIST(_xlfn.NORM.INV((1-Eu_g_konfidensniveau)/2,0,1)-Eu_tabel_g[[#This Row],[x base]],0,1,TRUE)+1-_xlfn.NORM.DIST(_xlfn.NORM.INV(1-(1-Eu_g_konfidensniveau)/2,0,1)-Eu_tabel_g[[#This Row],[x base]],0,1,TRUE)</f>
        <v>6.9206062561586679E-2</v>
      </c>
      <c r="CK122" s="54" t="e" cm="1">
        <f t="array" ref="CK122">IF($CK$3,INDEX(Eu_tabel_g[[#This Row],[Styrke venstre]:[Styrke tosidet]],CK$7),NA())</f>
        <v>#N/A</v>
      </c>
      <c r="CL122" s="99" t="e">
        <f>Eu_tabel_g[[#This Row],[Falsk positiv
Nulhypotese accepteres
Fejltype 1]]</f>
        <v>#N/A</v>
      </c>
      <c r="CM122" s="99" t="e">
        <f>IF(CHOOSE(CK$7,Eu_tabel_g[[#This Row],[x base]]&gt;0,Eu_tabel_g[[#This Row],[x base]]&lt;0,Eu_tabel_g[[#This Row],[x base]]=0),Eu_tabel_g[[#This Row],[Styrke, aktiv]],NA())</f>
        <v>#N/A</v>
      </c>
      <c r="CN122" s="99" t="e">
        <f>IFERROR(IF($CK$3,Eu_tabel_g[[#This Row],[Styrke, aktiv]],NA()),NA())</f>
        <v>#N/A</v>
      </c>
      <c r="CO122" s="99" t="e">
        <f>IF(ISNA(Eu_tabel_g[[#This Row],[Sand negativ
Nulhypotese afvises
Korrekt]]),NA(),IF($CK$3,1,NA()))</f>
        <v>#N/A</v>
      </c>
      <c r="CP122" s="56" t="str" cm="1">
        <f t="array" ref="CP122">_xlfn.SWITCH(BS122,_xlfn.IFNA(CN$2,-99),CN$5,_xlfn.IFNA(CN$3,-99),CN$6,_xlfn.IFNA(CN$4,-99),CN$7,"")</f>
        <v/>
      </c>
      <c r="CT122" s="7">
        <f t="shared" si="172"/>
        <v>0.8</v>
      </c>
      <c r="CU122">
        <f>IF(ROW(Styrkeberegning_G[[#This Row],[X base venstre]])=ROW(Styrkeberegning_G[[#Headers],[X base venstre]])+1,CU$7/(CT$7/$B$67),CU121/(CT121/$B$67))</f>
        <v>-2.8015817870135784</v>
      </c>
      <c r="CV122">
        <f>Styrkeberegning_G[[#This Row],[X base venstre]]*-1</f>
        <v>2.8015817870135784</v>
      </c>
      <c r="DG122" s="54">
        <f t="shared" si="173"/>
        <v>112</v>
      </c>
      <c r="DH122" s="54">
        <f t="shared" si="174"/>
        <v>113</v>
      </c>
      <c r="DI122" s="54">
        <f t="shared" si="175"/>
        <v>14.609788583357803</v>
      </c>
      <c r="DJ122" s="54" t="e">
        <f t="shared" si="176"/>
        <v>#N/A</v>
      </c>
      <c r="DK122" s="54" t="e">
        <f t="shared" si="177"/>
        <v>#N/A</v>
      </c>
      <c r="DL122" s="54">
        <f t="shared" si="178"/>
        <v>4.9419763943099951E-2</v>
      </c>
      <c r="DM122" s="54" t="e">
        <f t="shared" si="179"/>
        <v>#N/A</v>
      </c>
      <c r="DN122" s="54" t="b">
        <f t="shared" si="180"/>
        <v>0</v>
      </c>
      <c r="DO122" s="54" t="b">
        <f t="shared" si="181"/>
        <v>1</v>
      </c>
      <c r="DP122" s="54" t="b">
        <f t="shared" si="182"/>
        <v>0</v>
      </c>
      <c r="DQ122" s="54" t="b">
        <f t="shared" si="183"/>
        <v>1</v>
      </c>
      <c r="DR122" s="54">
        <f t="shared" si="184"/>
        <v>4.9419763943099951E-2</v>
      </c>
      <c r="DS122" s="54" t="e">
        <f t="shared" si="185"/>
        <v>#N/A</v>
      </c>
      <c r="DT122" s="54">
        <f t="shared" si="186"/>
        <v>4.9419763943099951E-2</v>
      </c>
      <c r="DU122" s="72" t="str">
        <f t="shared" si="187"/>
        <v/>
      </c>
      <c r="DZ122" s="54">
        <f t="shared" si="188"/>
        <v>112</v>
      </c>
      <c r="EA122" s="54">
        <f t="shared" si="189"/>
        <v>113</v>
      </c>
      <c r="EB122" s="54">
        <f t="shared" si="190"/>
        <v>-0.40723991631668843</v>
      </c>
      <c r="EC122" s="54">
        <f t="shared" si="191"/>
        <v>0.36719556142717458</v>
      </c>
      <c r="ED122" s="54" t="e">
        <f t="shared" si="192"/>
        <v>#N/A</v>
      </c>
      <c r="EE122" s="54" t="e">
        <f t="shared" si="193"/>
        <v>#N/A</v>
      </c>
      <c r="EF122" s="54" t="e">
        <f t="shared" si="194"/>
        <v>#N/A</v>
      </c>
      <c r="EG122" s="54" t="b">
        <f t="shared" si="195"/>
        <v>0</v>
      </c>
      <c r="EH122" s="54" t="b">
        <f t="shared" si="196"/>
        <v>1</v>
      </c>
      <c r="EI122" s="54" t="b">
        <f t="shared" si="197"/>
        <v>0</v>
      </c>
      <c r="EJ122" s="54" t="b">
        <f t="shared" si="198"/>
        <v>1</v>
      </c>
      <c r="EK122" s="54">
        <f t="shared" si="199"/>
        <v>0.36719556142717458</v>
      </c>
      <c r="EL122" s="54" t="e">
        <f t="shared" si="200"/>
        <v>#N/A</v>
      </c>
      <c r="EM122" s="54">
        <f t="shared" si="201"/>
        <v>0.36719556142717458</v>
      </c>
      <c r="EN122" s="72" t="str">
        <f t="shared" si="202"/>
        <v/>
      </c>
      <c r="EO12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2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2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22" s="54" t="e" cm="1">
        <f t="array" ref="ER122">IF($CK$3,INDEX(Eu_tabel_a[[#This Row],[Styrke venstre]:[Styrke tosidet]],ER$7),NA())</f>
        <v>#N/A</v>
      </c>
      <c r="ES122" s="54" t="e">
        <f>IF(ER$3,IF(CHOOSE(ER$7,Eu_tabel_a[[#This Row],[x base]]&gt;0,Eu_tabel_a[[#This Row],[x base]]&lt;0,Eu_tabel_a[[#This Row],[x base]]=0),1,NA()),NA())</f>
        <v>#N/A</v>
      </c>
      <c r="ET122" s="54" t="e">
        <f>IF(CHOOSE(ER$7,Eu_tabel_a[[#This Row],[x base]]&gt;0,Eu_tabel_a[[#This Row],[x base]]&lt;0,Eu_tabel_a[[#This Row],[x base]]=0),Eu_tabel_a[[#This Row],[Styrke, aktiv]],NA())</f>
        <v>#N/A</v>
      </c>
      <c r="EU122" s="54" t="e">
        <f>IFERROR(IF($ER$3,Eu_tabel_a[[#This Row],[Styrke, aktiv]],NA()),NA())</f>
        <v>#N/A</v>
      </c>
      <c r="EV122" s="54" t="e">
        <f>IF(ISNA(Eu_tabel_a[[#This Row],[Sand negativ
Nulhypotese afvises
Korrekt]]),NA(),IF(ER$3,1,NA()))</f>
        <v>#N/A</v>
      </c>
      <c r="EW122" s="55" t="str" cm="1">
        <f t="array" ref="EW122">IFERROR(_xlfn.SWITCH(Eu_tabel_a[[#This Row],[Indeks]],_xlfn.IFNA(EU$2,-99),EU$5,_xlfn.IFNA(EU$3,-99),EU$6,_xlfn.IFNA(EU$4,-99),EU$7,""),"")</f>
        <v/>
      </c>
      <c r="EX122" s="54">
        <f>Eu_tabel_a[[#This Row],[x base]]*SQRT(Eu_a_h0_x*(1-Eu_a_h0_x)/Eu_a_n_x)+Eu_a_h0_x</f>
        <v>0</v>
      </c>
      <c r="FC122" s="161" t="e">
        <f t="shared" si="146"/>
        <v>#N/A</v>
      </c>
      <c r="FD122" s="169" t="e">
        <f t="shared" si="234"/>
        <v>#DIV/0!</v>
      </c>
      <c r="FE122" s="7" t="e">
        <f t="shared" si="140"/>
        <v>#DIV/0!</v>
      </c>
      <c r="FF122" t="e">
        <f t="shared" si="235"/>
        <v>#DIV/0!</v>
      </c>
      <c r="FG122" s="8" t="e">
        <f t="shared" si="236"/>
        <v>#DIV/0!</v>
      </c>
      <c r="FH122" s="8" t="e">
        <f t="shared" si="237"/>
        <v>#DIV/0!</v>
      </c>
      <c r="FI122" s="168" t="e">
        <f t="shared" si="238"/>
        <v>#DIV/0!</v>
      </c>
      <c r="FJ122" s="161" t="e">
        <f t="shared" ca="1" si="141"/>
        <v>#N/A</v>
      </c>
      <c r="FK122" s="169" t="e" vm="3">
        <f t="shared" ca="1" si="147"/>
        <v>#VALUE!</v>
      </c>
      <c r="FL122" s="7" t="e" vm="3">
        <f t="shared" ca="1" si="142"/>
        <v>#VALUE!</v>
      </c>
      <c r="FM122" t="e" vm="3">
        <f t="shared" ca="1" si="136"/>
        <v>#VALUE!</v>
      </c>
      <c r="FN122" s="8" t="e" vm="3">
        <f t="shared" ca="1" si="137"/>
        <v>#VALUE!</v>
      </c>
      <c r="FO122" s="8" t="e" vm="3">
        <f t="shared" ca="1" si="138"/>
        <v>#VALUE!</v>
      </c>
      <c r="FP122" s="168" t="e" vm="3">
        <f t="shared" ca="1" si="139"/>
        <v>#VALUE!</v>
      </c>
      <c r="FQ122" s="161" t="e">
        <f t="shared" si="143"/>
        <v>#N/A</v>
      </c>
      <c r="FR122" s="169" t="e">
        <f t="shared" si="148"/>
        <v>#N/A</v>
      </c>
      <c r="FS122" s="7" t="e">
        <f t="shared" si="144"/>
        <v>#N/A</v>
      </c>
      <c r="FT122" t="e">
        <f t="shared" si="149"/>
        <v>#N/A</v>
      </c>
      <c r="FU122" s="8" t="e">
        <f t="shared" si="150"/>
        <v>#N/A</v>
      </c>
      <c r="FV122" s="8" t="e">
        <f t="shared" si="151"/>
        <v>#N/A</v>
      </c>
      <c r="FW122" s="168" t="e">
        <f t="shared" si="152"/>
        <v>#N/A</v>
      </c>
      <c r="FX122" s="161" t="e">
        <f t="shared" si="153"/>
        <v>#N/A</v>
      </c>
      <c r="FY122" s="169" t="e">
        <f t="shared" si="154"/>
        <v>#N/A</v>
      </c>
      <c r="FZ122" s="7" t="e">
        <f t="shared" si="145"/>
        <v>#N/A</v>
      </c>
      <c r="GA122" t="e">
        <f t="shared" si="155"/>
        <v>#N/A</v>
      </c>
      <c r="GB122" s="8" t="e">
        <f t="shared" si="156"/>
        <v>#N/A</v>
      </c>
      <c r="GC122" s="8" t="e">
        <f t="shared" si="157"/>
        <v>#N/A</v>
      </c>
      <c r="GD122" s="168" t="e">
        <f t="shared" si="158"/>
        <v>#N/A</v>
      </c>
      <c r="GE122" s="168"/>
      <c r="GF122" s="168"/>
      <c r="GI122" s="54">
        <f t="shared" si="203"/>
        <v>112</v>
      </c>
      <c r="GJ122" s="54">
        <f t="shared" si="204"/>
        <v>113</v>
      </c>
      <c r="GK122" s="54">
        <f t="shared" si="205"/>
        <v>-0.40723991631668843</v>
      </c>
      <c r="GL122" s="54">
        <f t="shared" si="206"/>
        <v>0.36719556142717458</v>
      </c>
      <c r="GM122" s="54" t="e">
        <f t="shared" si="207"/>
        <v>#N/A</v>
      </c>
      <c r="GN122" s="54" t="e">
        <f t="shared" si="208"/>
        <v>#N/A</v>
      </c>
      <c r="GO122" s="54" t="e">
        <f t="shared" si="209"/>
        <v>#N/A</v>
      </c>
      <c r="GP122" s="54" t="b">
        <f t="shared" si="210"/>
        <v>0</v>
      </c>
      <c r="GQ122" s="54" t="b">
        <f t="shared" si="211"/>
        <v>1</v>
      </c>
      <c r="GR122" s="54" t="b">
        <f t="shared" si="212"/>
        <v>0</v>
      </c>
      <c r="GS122" s="54" t="b">
        <f t="shared" si="213"/>
        <v>1</v>
      </c>
      <c r="GT122" s="54">
        <f t="shared" si="214"/>
        <v>0.36719556142717458</v>
      </c>
      <c r="GU122" s="54" t="e">
        <f t="shared" si="215"/>
        <v>#N/A</v>
      </c>
      <c r="GV122" s="54">
        <f t="shared" si="216"/>
        <v>0.36719556142717458</v>
      </c>
      <c r="GW122" s="72" t="str">
        <f t="shared" si="217"/>
        <v/>
      </c>
      <c r="HC122" s="54">
        <f t="shared" si="218"/>
        <v>112</v>
      </c>
      <c r="HD122" s="54">
        <f t="shared" si="219"/>
        <v>113</v>
      </c>
      <c r="HE122" s="54">
        <f t="shared" si="220"/>
        <v>-0.63061956346396641</v>
      </c>
      <c r="HF122" s="54" t="e">
        <f t="shared" si="221"/>
        <v>#N/A</v>
      </c>
      <c r="HG122" s="54">
        <f t="shared" si="222"/>
        <v>0.30864613159943455</v>
      </c>
      <c r="HH122" s="54" t="e">
        <f t="shared" si="223"/>
        <v>#N/A</v>
      </c>
      <c r="HI122" s="54" t="e">
        <f t="shared" si="224"/>
        <v>#N/A</v>
      </c>
      <c r="HJ122" s="54" t="b">
        <f t="shared" si="225"/>
        <v>1</v>
      </c>
      <c r="HK122" s="54" t="b">
        <f t="shared" si="226"/>
        <v>0</v>
      </c>
      <c r="HL122" s="54" t="b">
        <f t="shared" si="227"/>
        <v>0</v>
      </c>
      <c r="HM122" s="54" t="b">
        <f t="shared" si="228"/>
        <v>1</v>
      </c>
      <c r="HN122" s="54">
        <f t="shared" si="229"/>
        <v>0.30864613159943455</v>
      </c>
      <c r="HO122" s="54">
        <f t="shared" si="230"/>
        <v>0.30864613159943455</v>
      </c>
      <c r="HP122" s="54" t="e">
        <f t="shared" si="231"/>
        <v>#N/A</v>
      </c>
      <c r="HQ122" s="72" t="str">
        <f t="shared" si="232"/>
        <v/>
      </c>
    </row>
    <row r="123" spans="71:225" x14ac:dyDescent="0.2">
      <c r="BS123" s="54">
        <f t="shared" si="159"/>
        <v>113</v>
      </c>
      <c r="BT123" s="54">
        <f>Eu_tabel_g[[#This Row],[Indeks]]+1</f>
        <v>114</v>
      </c>
      <c r="BU123" s="54">
        <f t="shared" si="160"/>
        <v>-0.38328462712158906</v>
      </c>
      <c r="BV123" s="54">
        <f t="shared" si="161"/>
        <v>0.37068890990689796</v>
      </c>
      <c r="BW123" s="54" t="e">
        <f t="shared" si="162"/>
        <v>#N/A</v>
      </c>
      <c r="BX123" s="54" t="e">
        <f t="shared" si="163"/>
        <v>#N/A</v>
      </c>
      <c r="BY123" s="54" t="e">
        <f t="shared" si="164"/>
        <v>#N/A</v>
      </c>
      <c r="BZ123" s="54" t="b">
        <f t="shared" si="165"/>
        <v>0</v>
      </c>
      <c r="CA123" s="54" t="b">
        <f t="shared" si="166"/>
        <v>1</v>
      </c>
      <c r="CB123" s="54" t="b">
        <f t="shared" si="167"/>
        <v>0</v>
      </c>
      <c r="CC123" s="54" t="b">
        <f t="shared" si="168"/>
        <v>1</v>
      </c>
      <c r="CD123" s="54">
        <f t="shared" si="233"/>
        <v>0.37068890990689796</v>
      </c>
      <c r="CE123" s="54" t="e">
        <f t="shared" si="169"/>
        <v>#N/A</v>
      </c>
      <c r="CF123" s="54">
        <f t="shared" si="170"/>
        <v>0.37068890990689796</v>
      </c>
      <c r="CG123" s="72" t="str">
        <f t="shared" si="171"/>
        <v/>
      </c>
      <c r="CH123" s="54">
        <f>_xlfn.NORM.DIST(_xlfn.NORM.INV(1-Eu_g_konfidensniveau,0,1)-Eu_tabel_g[[#This Row],[x base]],0,1,TRUE)</f>
        <v>0.10355195846784909</v>
      </c>
      <c r="CI123" s="54">
        <f>1-_xlfn.NORM.DIST(_xlfn.NORM.INV(Eu_g_konfidensniveau,0,1)-Eu_tabel_g[[#This Row],[x base]],0,1,TRUE)</f>
        <v>2.1273069807946188E-2</v>
      </c>
      <c r="CJ123" s="54">
        <f>_xlfn.NORM.DIST(_xlfn.NORM.INV((1-Eu_g_konfidensniveau)/2,0,1)-Eu_tabel_g[[#This Row],[x base]],0,1,TRUE)+1-_xlfn.NORM.DIST(_xlfn.NORM.INV(1-(1-Eu_g_konfidensniveau)/2,0,1)-Eu_tabel_g[[#This Row],[x base]],0,1,TRUE)</f>
        <v>6.6992981287097075E-2</v>
      </c>
      <c r="CK123" s="54" t="e" cm="1">
        <f t="array" ref="CK123">IF($CK$3,INDEX(Eu_tabel_g[[#This Row],[Styrke venstre]:[Styrke tosidet]],CK$7),NA())</f>
        <v>#N/A</v>
      </c>
      <c r="CL123" s="99" t="e">
        <f>Eu_tabel_g[[#This Row],[Falsk positiv
Nulhypotese accepteres
Fejltype 1]]</f>
        <v>#N/A</v>
      </c>
      <c r="CM123" s="99" t="e">
        <f>IF(CHOOSE(CK$7,Eu_tabel_g[[#This Row],[x base]]&gt;0,Eu_tabel_g[[#This Row],[x base]]&lt;0,Eu_tabel_g[[#This Row],[x base]]=0),Eu_tabel_g[[#This Row],[Styrke, aktiv]],NA())</f>
        <v>#N/A</v>
      </c>
      <c r="CN123" s="99" t="e">
        <f>IFERROR(IF($CK$3,Eu_tabel_g[[#This Row],[Styrke, aktiv]],NA()),NA())</f>
        <v>#N/A</v>
      </c>
      <c r="CO123" s="99" t="e">
        <f>IF(ISNA(Eu_tabel_g[[#This Row],[Sand negativ
Nulhypotese afvises
Korrekt]]),NA(),IF($CK$3,1,NA()))</f>
        <v>#N/A</v>
      </c>
      <c r="CP123" s="56" t="str" cm="1">
        <f t="array" ref="CP123">_xlfn.SWITCH(BS123,_xlfn.IFNA(CN$2,-99),CN$5,_xlfn.IFNA(CN$3,-99),CN$6,_xlfn.IFNA(CN$4,-99),CN$7,"")</f>
        <v/>
      </c>
      <c r="CT123" s="7">
        <f t="shared" si="172"/>
        <v>0.8</v>
      </c>
      <c r="CU123">
        <f>IF(ROW(Styrkeberegning_G[[#This Row],[X base venstre]])=ROW(Styrkeberegning_G[[#Headers],[X base venstre]])+1,CU$7/(CT$7/$B$67),CU122/(CT122/$B$67))</f>
        <v>-2.8015817870135784</v>
      </c>
      <c r="CV123">
        <f>Styrkeberegning_G[[#This Row],[X base venstre]]*-1</f>
        <v>2.8015817870135784</v>
      </c>
      <c r="DG123" s="54">
        <f t="shared" si="173"/>
        <v>113</v>
      </c>
      <c r="DH123" s="54">
        <f t="shared" si="174"/>
        <v>114</v>
      </c>
      <c r="DI123" s="54">
        <f t="shared" si="175"/>
        <v>14.723859439774804</v>
      </c>
      <c r="DJ123" s="54" t="e">
        <f t="shared" si="176"/>
        <v>#N/A</v>
      </c>
      <c r="DK123" s="54" t="e">
        <f t="shared" si="177"/>
        <v>#N/A</v>
      </c>
      <c r="DL123" s="54">
        <f t="shared" si="178"/>
        <v>4.8342631422654346E-2</v>
      </c>
      <c r="DM123" s="54" t="e">
        <f t="shared" si="179"/>
        <v>#N/A</v>
      </c>
      <c r="DN123" s="54" t="b">
        <f t="shared" si="180"/>
        <v>0</v>
      </c>
      <c r="DO123" s="54" t="b">
        <f t="shared" si="181"/>
        <v>1</v>
      </c>
      <c r="DP123" s="54" t="b">
        <f t="shared" si="182"/>
        <v>0</v>
      </c>
      <c r="DQ123" s="54" t="b">
        <f t="shared" si="183"/>
        <v>1</v>
      </c>
      <c r="DR123" s="54">
        <f t="shared" si="184"/>
        <v>4.8342631422654346E-2</v>
      </c>
      <c r="DS123" s="54" t="e">
        <f t="shared" si="185"/>
        <v>#N/A</v>
      </c>
      <c r="DT123" s="54">
        <f t="shared" si="186"/>
        <v>4.8342631422654346E-2</v>
      </c>
      <c r="DU123" s="72" t="str">
        <f t="shared" si="187"/>
        <v/>
      </c>
      <c r="DZ123" s="54">
        <f t="shared" si="188"/>
        <v>113</v>
      </c>
      <c r="EA123" s="54">
        <f t="shared" si="189"/>
        <v>114</v>
      </c>
      <c r="EB123" s="54">
        <f t="shared" si="190"/>
        <v>-0.38328462712158906</v>
      </c>
      <c r="EC123" s="54">
        <f t="shared" si="191"/>
        <v>0.37068890990689796</v>
      </c>
      <c r="ED123" s="54" t="e">
        <f t="shared" si="192"/>
        <v>#N/A</v>
      </c>
      <c r="EE123" s="54" t="e">
        <f t="shared" si="193"/>
        <v>#N/A</v>
      </c>
      <c r="EF123" s="54" t="e">
        <f t="shared" si="194"/>
        <v>#N/A</v>
      </c>
      <c r="EG123" s="54" t="b">
        <f t="shared" si="195"/>
        <v>0</v>
      </c>
      <c r="EH123" s="54" t="b">
        <f t="shared" si="196"/>
        <v>1</v>
      </c>
      <c r="EI123" s="54" t="b">
        <f t="shared" si="197"/>
        <v>0</v>
      </c>
      <c r="EJ123" s="54" t="b">
        <f t="shared" si="198"/>
        <v>1</v>
      </c>
      <c r="EK123" s="54">
        <f t="shared" si="199"/>
        <v>0.37068890990689796</v>
      </c>
      <c r="EL123" s="54" t="e">
        <f t="shared" si="200"/>
        <v>#N/A</v>
      </c>
      <c r="EM123" s="54">
        <f t="shared" si="201"/>
        <v>0.37068890990689796</v>
      </c>
      <c r="EN123" s="72" t="str">
        <f t="shared" si="202"/>
        <v/>
      </c>
      <c r="EO12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2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2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23" s="54" t="e" cm="1">
        <f t="array" ref="ER123">IF($CK$3,INDEX(Eu_tabel_a[[#This Row],[Styrke venstre]:[Styrke tosidet]],ER$7),NA())</f>
        <v>#N/A</v>
      </c>
      <c r="ES123" s="54" t="e">
        <f>IF(ER$3,IF(CHOOSE(ER$7,Eu_tabel_a[[#This Row],[x base]]&gt;0,Eu_tabel_a[[#This Row],[x base]]&lt;0,Eu_tabel_a[[#This Row],[x base]]=0),1,NA()),NA())</f>
        <v>#N/A</v>
      </c>
      <c r="ET123" s="54" t="e">
        <f>IF(CHOOSE(ER$7,Eu_tabel_a[[#This Row],[x base]]&gt;0,Eu_tabel_a[[#This Row],[x base]]&lt;0,Eu_tabel_a[[#This Row],[x base]]=0),Eu_tabel_a[[#This Row],[Styrke, aktiv]],NA())</f>
        <v>#N/A</v>
      </c>
      <c r="EU123" s="54" t="e">
        <f>IFERROR(IF($ER$3,Eu_tabel_a[[#This Row],[Styrke, aktiv]],NA()),NA())</f>
        <v>#N/A</v>
      </c>
      <c r="EV123" s="54" t="e">
        <f>IF(ISNA(Eu_tabel_a[[#This Row],[Sand negativ
Nulhypotese afvises
Korrekt]]),NA(),IF(ER$3,1,NA()))</f>
        <v>#N/A</v>
      </c>
      <c r="EW123" s="55" t="str" cm="1">
        <f t="array" ref="EW123">IFERROR(_xlfn.SWITCH(Eu_tabel_a[[#This Row],[Indeks]],_xlfn.IFNA(EU$2,-99),EU$5,_xlfn.IFNA(EU$3,-99),EU$6,_xlfn.IFNA(EU$4,-99),EU$7,""),"")</f>
        <v/>
      </c>
      <c r="EX123" s="54">
        <f>Eu_tabel_a[[#This Row],[x base]]*SQRT(Eu_a_h0_x*(1-Eu_a_h0_x)/Eu_a_n_x)+Eu_a_h0_x</f>
        <v>0</v>
      </c>
      <c r="FC123" s="161" t="e">
        <f t="shared" si="146"/>
        <v>#N/A</v>
      </c>
      <c r="FD123" s="169" t="e">
        <f t="shared" si="234"/>
        <v>#DIV/0!</v>
      </c>
      <c r="FE123" s="7" t="e">
        <f t="shared" si="140"/>
        <v>#DIV/0!</v>
      </c>
      <c r="FF123" t="e">
        <f t="shared" si="235"/>
        <v>#DIV/0!</v>
      </c>
      <c r="FG123" s="8" t="e">
        <f t="shared" si="236"/>
        <v>#DIV/0!</v>
      </c>
      <c r="FH123" s="8" t="e">
        <f t="shared" si="237"/>
        <v>#DIV/0!</v>
      </c>
      <c r="FI123" s="168" t="e">
        <f t="shared" si="238"/>
        <v>#DIV/0!</v>
      </c>
      <c r="FJ123" s="161" t="e">
        <f t="shared" ca="1" si="141"/>
        <v>#N/A</v>
      </c>
      <c r="FK123" s="169" t="e" vm="3">
        <f t="shared" ca="1" si="147"/>
        <v>#VALUE!</v>
      </c>
      <c r="FL123" s="7" t="e" vm="3">
        <f t="shared" ca="1" si="142"/>
        <v>#VALUE!</v>
      </c>
      <c r="FM123" t="e" vm="3">
        <f t="shared" ca="1" si="136"/>
        <v>#VALUE!</v>
      </c>
      <c r="FN123" s="8" t="e" vm="3">
        <f t="shared" ca="1" si="137"/>
        <v>#VALUE!</v>
      </c>
      <c r="FO123" s="8" t="e" vm="3">
        <f t="shared" ca="1" si="138"/>
        <v>#VALUE!</v>
      </c>
      <c r="FP123" s="168" t="e" vm="3">
        <f t="shared" ca="1" si="139"/>
        <v>#VALUE!</v>
      </c>
      <c r="FQ123" s="161" t="e">
        <f t="shared" si="143"/>
        <v>#N/A</v>
      </c>
      <c r="FR123" s="169" t="e">
        <f t="shared" si="148"/>
        <v>#N/A</v>
      </c>
      <c r="FS123" s="7" t="e">
        <f t="shared" si="144"/>
        <v>#N/A</v>
      </c>
      <c r="FT123" t="e">
        <f t="shared" si="149"/>
        <v>#N/A</v>
      </c>
      <c r="FU123" s="8" t="e">
        <f t="shared" si="150"/>
        <v>#N/A</v>
      </c>
      <c r="FV123" s="8" t="e">
        <f t="shared" si="151"/>
        <v>#N/A</v>
      </c>
      <c r="FW123" s="168" t="e">
        <f t="shared" si="152"/>
        <v>#N/A</v>
      </c>
      <c r="FX123" s="161" t="e">
        <f t="shared" si="153"/>
        <v>#N/A</v>
      </c>
      <c r="FY123" s="169" t="e">
        <f t="shared" si="154"/>
        <v>#N/A</v>
      </c>
      <c r="FZ123" s="7" t="e">
        <f t="shared" si="145"/>
        <v>#N/A</v>
      </c>
      <c r="GA123" t="e">
        <f t="shared" si="155"/>
        <v>#N/A</v>
      </c>
      <c r="GB123" s="8" t="e">
        <f t="shared" si="156"/>
        <v>#N/A</v>
      </c>
      <c r="GC123" s="8" t="e">
        <f t="shared" si="157"/>
        <v>#N/A</v>
      </c>
      <c r="GD123" s="168" t="e">
        <f t="shared" si="158"/>
        <v>#N/A</v>
      </c>
      <c r="GE123" s="168"/>
      <c r="GF123" s="168"/>
      <c r="GI123" s="54">
        <f t="shared" si="203"/>
        <v>113</v>
      </c>
      <c r="GJ123" s="54">
        <f t="shared" si="204"/>
        <v>114</v>
      </c>
      <c r="GK123" s="54">
        <f t="shared" si="205"/>
        <v>-0.38328462712158906</v>
      </c>
      <c r="GL123" s="54">
        <f t="shared" si="206"/>
        <v>0.37068890990689796</v>
      </c>
      <c r="GM123" s="54" t="e">
        <f t="shared" si="207"/>
        <v>#N/A</v>
      </c>
      <c r="GN123" s="54" t="e">
        <f t="shared" si="208"/>
        <v>#N/A</v>
      </c>
      <c r="GO123" s="54" t="e">
        <f t="shared" si="209"/>
        <v>#N/A</v>
      </c>
      <c r="GP123" s="54" t="b">
        <f t="shared" si="210"/>
        <v>0</v>
      </c>
      <c r="GQ123" s="54" t="b">
        <f t="shared" si="211"/>
        <v>1</v>
      </c>
      <c r="GR123" s="54" t="b">
        <f t="shared" si="212"/>
        <v>0</v>
      </c>
      <c r="GS123" s="54" t="b">
        <f t="shared" si="213"/>
        <v>1</v>
      </c>
      <c r="GT123" s="54">
        <f t="shared" si="214"/>
        <v>0.37068890990689796</v>
      </c>
      <c r="GU123" s="54" t="e">
        <f t="shared" si="215"/>
        <v>#N/A</v>
      </c>
      <c r="GV123" s="54">
        <f t="shared" si="216"/>
        <v>0.37068890990689796</v>
      </c>
      <c r="GW123" s="72" t="str">
        <f t="shared" si="217"/>
        <v/>
      </c>
      <c r="HC123" s="54">
        <f t="shared" si="218"/>
        <v>113</v>
      </c>
      <c r="HD123" s="54">
        <f t="shared" si="219"/>
        <v>114</v>
      </c>
      <c r="HE123" s="54">
        <f t="shared" si="220"/>
        <v>-0.59352429502490978</v>
      </c>
      <c r="HF123" s="54" t="e">
        <f t="shared" si="221"/>
        <v>#N/A</v>
      </c>
      <c r="HG123" s="54">
        <f t="shared" si="222"/>
        <v>0.3163422496360116</v>
      </c>
      <c r="HH123" s="54" t="e">
        <f t="shared" si="223"/>
        <v>#N/A</v>
      </c>
      <c r="HI123" s="54" t="e">
        <f t="shared" si="224"/>
        <v>#N/A</v>
      </c>
      <c r="HJ123" s="54" t="b">
        <f t="shared" si="225"/>
        <v>1</v>
      </c>
      <c r="HK123" s="54" t="b">
        <f t="shared" si="226"/>
        <v>0</v>
      </c>
      <c r="HL123" s="54" t="b">
        <f t="shared" si="227"/>
        <v>0</v>
      </c>
      <c r="HM123" s="54" t="b">
        <f t="shared" si="228"/>
        <v>1</v>
      </c>
      <c r="HN123" s="54">
        <f t="shared" si="229"/>
        <v>0.3163422496360116</v>
      </c>
      <c r="HO123" s="54">
        <f t="shared" si="230"/>
        <v>0.3163422496360116</v>
      </c>
      <c r="HP123" s="54" t="e">
        <f t="shared" si="231"/>
        <v>#N/A</v>
      </c>
      <c r="HQ123" s="72" t="str">
        <f t="shared" si="232"/>
        <v/>
      </c>
    </row>
    <row r="124" spans="71:225" x14ac:dyDescent="0.2">
      <c r="BS124" s="54">
        <f t="shared" si="159"/>
        <v>114</v>
      </c>
      <c r="BT124" s="54">
        <f>Eu_tabel_g[[#This Row],[Indeks]]+1</f>
        <v>115</v>
      </c>
      <c r="BU124" s="54">
        <f t="shared" si="160"/>
        <v>-0.35932933792649013</v>
      </c>
      <c r="BV124" s="54">
        <f t="shared" si="161"/>
        <v>0.37400080851990369</v>
      </c>
      <c r="BW124" s="54" t="e">
        <f t="shared" si="162"/>
        <v>#N/A</v>
      </c>
      <c r="BX124" s="54" t="e">
        <f t="shared" si="163"/>
        <v>#N/A</v>
      </c>
      <c r="BY124" s="54" t="e">
        <f t="shared" si="164"/>
        <v>#N/A</v>
      </c>
      <c r="BZ124" s="54" t="b">
        <f t="shared" si="165"/>
        <v>0</v>
      </c>
      <c r="CA124" s="54" t="b">
        <f t="shared" si="166"/>
        <v>1</v>
      </c>
      <c r="CB124" s="54" t="b">
        <f t="shared" si="167"/>
        <v>0</v>
      </c>
      <c r="CC124" s="54" t="b">
        <f t="shared" si="168"/>
        <v>1</v>
      </c>
      <c r="CD124" s="54">
        <f t="shared" si="233"/>
        <v>0.37400080851990369</v>
      </c>
      <c r="CE124" s="54" t="e">
        <f t="shared" si="169"/>
        <v>#N/A</v>
      </c>
      <c r="CF124" s="54">
        <f t="shared" si="170"/>
        <v>0.37400080851990369</v>
      </c>
      <c r="CG124" s="72" t="str">
        <f t="shared" si="171"/>
        <v/>
      </c>
      <c r="CH124" s="54">
        <f>_xlfn.NORM.DIST(_xlfn.NORM.INV(1-Eu_g_konfidensniveau,0,1)-Eu_tabel_g[[#This Row],[x base]],0,1,TRUE)</f>
        <v>9.9304567300618568E-2</v>
      </c>
      <c r="CI124" s="54">
        <f>1-_xlfn.NORM.DIST(_xlfn.NORM.INV(Eu_g_konfidensniveau,0,1)-Eu_tabel_g[[#This Row],[x base]],0,1,TRUE)</f>
        <v>2.2525232347582635E-2</v>
      </c>
      <c r="CJ124" s="54">
        <f>_xlfn.NORM.DIST(_xlfn.NORM.INV((1-Eu_g_konfidensniveau)/2,0,1)-Eu_tabel_g[[#This Row],[x base]],0,1,TRUE)+1-_xlfn.NORM.DIST(_xlfn.NORM.INV(1-(1-Eu_g_konfidensniveau)/2,0,1)-Eu_tabel_g[[#This Row],[x base]],0,1,TRUE)</f>
        <v>6.4918500529934198E-2</v>
      </c>
      <c r="CK124" s="54" t="e" cm="1">
        <f t="array" ref="CK124">IF($CK$3,INDEX(Eu_tabel_g[[#This Row],[Styrke venstre]:[Styrke tosidet]],CK$7),NA())</f>
        <v>#N/A</v>
      </c>
      <c r="CL124" s="99" t="e">
        <f>Eu_tabel_g[[#This Row],[Falsk positiv
Nulhypotese accepteres
Fejltype 1]]</f>
        <v>#N/A</v>
      </c>
      <c r="CM124" s="99" t="e">
        <f>IF(CHOOSE(CK$7,Eu_tabel_g[[#This Row],[x base]]&gt;0,Eu_tabel_g[[#This Row],[x base]]&lt;0,Eu_tabel_g[[#This Row],[x base]]=0),Eu_tabel_g[[#This Row],[Styrke, aktiv]],NA())</f>
        <v>#N/A</v>
      </c>
      <c r="CN124" s="99" t="e">
        <f>IFERROR(IF($CK$3,Eu_tabel_g[[#This Row],[Styrke, aktiv]],NA()),NA())</f>
        <v>#N/A</v>
      </c>
      <c r="CO124" s="99" t="e">
        <f>IF(ISNA(Eu_tabel_g[[#This Row],[Sand negativ
Nulhypotese afvises
Korrekt]]),NA(),IF($CK$3,1,NA()))</f>
        <v>#N/A</v>
      </c>
      <c r="CP124" s="56" t="str" cm="1">
        <f t="array" ref="CP124">_xlfn.SWITCH(BS124,_xlfn.IFNA(CN$2,-99),CN$5,_xlfn.IFNA(CN$3,-99),CN$6,_xlfn.IFNA(CN$4,-99),CN$7,"")</f>
        <v/>
      </c>
      <c r="CT124" s="7">
        <f t="shared" si="172"/>
        <v>0.8</v>
      </c>
      <c r="CU124">
        <f>IF(ROW(Styrkeberegning_G[[#This Row],[X base venstre]])=ROW(Styrkeberegning_G[[#Headers],[X base venstre]])+1,CU$7/(CT$7/$B$67),CU123/(CT123/$B$67))</f>
        <v>-2.8015817870135784</v>
      </c>
      <c r="CV124">
        <f>Styrkeberegning_G[[#This Row],[X base venstre]]*-1</f>
        <v>2.8015817870135784</v>
      </c>
      <c r="DG124" s="54">
        <f t="shared" si="173"/>
        <v>114</v>
      </c>
      <c r="DH124" s="54">
        <f t="shared" si="174"/>
        <v>115</v>
      </c>
      <c r="DI124" s="54">
        <f t="shared" si="175"/>
        <v>14.837930296191805</v>
      </c>
      <c r="DJ124" s="54" t="e">
        <f t="shared" si="176"/>
        <v>#N/A</v>
      </c>
      <c r="DK124" s="54" t="e">
        <f t="shared" si="177"/>
        <v>#N/A</v>
      </c>
      <c r="DL124" s="54">
        <f t="shared" si="178"/>
        <v>4.7276204397881473E-2</v>
      </c>
      <c r="DM124" s="54" t="e">
        <f t="shared" si="179"/>
        <v>#N/A</v>
      </c>
      <c r="DN124" s="54" t="b">
        <f t="shared" si="180"/>
        <v>0</v>
      </c>
      <c r="DO124" s="54" t="b">
        <f t="shared" si="181"/>
        <v>1</v>
      </c>
      <c r="DP124" s="54" t="b">
        <f t="shared" si="182"/>
        <v>0</v>
      </c>
      <c r="DQ124" s="54" t="b">
        <f t="shared" si="183"/>
        <v>1</v>
      </c>
      <c r="DR124" s="54">
        <f t="shared" si="184"/>
        <v>4.7276204397881473E-2</v>
      </c>
      <c r="DS124" s="54" t="e">
        <f t="shared" si="185"/>
        <v>#N/A</v>
      </c>
      <c r="DT124" s="54">
        <f t="shared" si="186"/>
        <v>4.7276204397881473E-2</v>
      </c>
      <c r="DU124" s="72" t="str">
        <f t="shared" si="187"/>
        <v/>
      </c>
      <c r="DZ124" s="54">
        <f t="shared" si="188"/>
        <v>114</v>
      </c>
      <c r="EA124" s="54">
        <f t="shared" si="189"/>
        <v>115</v>
      </c>
      <c r="EB124" s="54">
        <f t="shared" si="190"/>
        <v>-0.35932933792649013</v>
      </c>
      <c r="EC124" s="54">
        <f t="shared" si="191"/>
        <v>0.37400080851990369</v>
      </c>
      <c r="ED124" s="54" t="e">
        <f t="shared" si="192"/>
        <v>#N/A</v>
      </c>
      <c r="EE124" s="54" t="e">
        <f t="shared" si="193"/>
        <v>#N/A</v>
      </c>
      <c r="EF124" s="54" t="e">
        <f t="shared" si="194"/>
        <v>#N/A</v>
      </c>
      <c r="EG124" s="54" t="b">
        <f t="shared" si="195"/>
        <v>0</v>
      </c>
      <c r="EH124" s="54" t="b">
        <f t="shared" si="196"/>
        <v>1</v>
      </c>
      <c r="EI124" s="54" t="b">
        <f t="shared" si="197"/>
        <v>0</v>
      </c>
      <c r="EJ124" s="54" t="b">
        <f t="shared" si="198"/>
        <v>1</v>
      </c>
      <c r="EK124" s="54">
        <f t="shared" si="199"/>
        <v>0.37400080851990369</v>
      </c>
      <c r="EL124" s="54" t="e">
        <f t="shared" si="200"/>
        <v>#N/A</v>
      </c>
      <c r="EM124" s="54">
        <f t="shared" si="201"/>
        <v>0.37400080851990369</v>
      </c>
      <c r="EN124" s="72" t="str">
        <f t="shared" si="202"/>
        <v/>
      </c>
      <c r="EO12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2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2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24" s="54" t="e" cm="1">
        <f t="array" ref="ER124">IF($CK$3,INDEX(Eu_tabel_a[[#This Row],[Styrke venstre]:[Styrke tosidet]],ER$7),NA())</f>
        <v>#N/A</v>
      </c>
      <c r="ES124" s="54" t="e">
        <f>IF(ER$3,IF(CHOOSE(ER$7,Eu_tabel_a[[#This Row],[x base]]&gt;0,Eu_tabel_a[[#This Row],[x base]]&lt;0,Eu_tabel_a[[#This Row],[x base]]=0),1,NA()),NA())</f>
        <v>#N/A</v>
      </c>
      <c r="ET124" s="54" t="e">
        <f>IF(CHOOSE(ER$7,Eu_tabel_a[[#This Row],[x base]]&gt;0,Eu_tabel_a[[#This Row],[x base]]&lt;0,Eu_tabel_a[[#This Row],[x base]]=0),Eu_tabel_a[[#This Row],[Styrke, aktiv]],NA())</f>
        <v>#N/A</v>
      </c>
      <c r="EU124" s="54" t="e">
        <f>IFERROR(IF($ER$3,Eu_tabel_a[[#This Row],[Styrke, aktiv]],NA()),NA())</f>
        <v>#N/A</v>
      </c>
      <c r="EV124" s="54" t="e">
        <f>IF(ISNA(Eu_tabel_a[[#This Row],[Sand negativ
Nulhypotese afvises
Korrekt]]),NA(),IF(ER$3,1,NA()))</f>
        <v>#N/A</v>
      </c>
      <c r="EW124" s="55" t="str" cm="1">
        <f t="array" ref="EW124">IFERROR(_xlfn.SWITCH(Eu_tabel_a[[#This Row],[Indeks]],_xlfn.IFNA(EU$2,-99),EU$5,_xlfn.IFNA(EU$3,-99),EU$6,_xlfn.IFNA(EU$4,-99),EU$7,""),"")</f>
        <v/>
      </c>
      <c r="EX124" s="54">
        <f>Eu_tabel_a[[#This Row],[x base]]*SQRT(Eu_a_h0_x*(1-Eu_a_h0_x)/Eu_a_n_x)+Eu_a_h0_x</f>
        <v>0</v>
      </c>
      <c r="FC124" s="161" t="e">
        <f t="shared" si="146"/>
        <v>#N/A</v>
      </c>
      <c r="FD124" s="169" t="e">
        <f t="shared" si="234"/>
        <v>#DIV/0!</v>
      </c>
      <c r="FE124" s="7" t="e">
        <f t="shared" si="140"/>
        <v>#DIV/0!</v>
      </c>
      <c r="FF124" t="e">
        <f t="shared" si="235"/>
        <v>#DIV/0!</v>
      </c>
      <c r="FG124" s="8" t="e">
        <f t="shared" si="236"/>
        <v>#DIV/0!</v>
      </c>
      <c r="FH124" s="8" t="e">
        <f t="shared" si="237"/>
        <v>#DIV/0!</v>
      </c>
      <c r="FI124" s="168" t="e">
        <f t="shared" si="238"/>
        <v>#DIV/0!</v>
      </c>
      <c r="FJ124" s="161" t="e">
        <f t="shared" ca="1" si="141"/>
        <v>#N/A</v>
      </c>
      <c r="FK124" s="169" t="e" vm="3">
        <f t="shared" ca="1" si="147"/>
        <v>#VALUE!</v>
      </c>
      <c r="FL124" s="7" t="e" vm="3">
        <f t="shared" ca="1" si="142"/>
        <v>#VALUE!</v>
      </c>
      <c r="FM124" t="e" vm="3">
        <f t="shared" ca="1" si="136"/>
        <v>#VALUE!</v>
      </c>
      <c r="FN124" s="8" t="e" vm="3">
        <f t="shared" ca="1" si="137"/>
        <v>#VALUE!</v>
      </c>
      <c r="FO124" s="8" t="e" vm="3">
        <f t="shared" ca="1" si="138"/>
        <v>#VALUE!</v>
      </c>
      <c r="FP124" s="168" t="e" vm="3">
        <f t="shared" ca="1" si="139"/>
        <v>#VALUE!</v>
      </c>
      <c r="FQ124" s="161" t="e">
        <f t="shared" si="143"/>
        <v>#N/A</v>
      </c>
      <c r="FR124" s="169" t="e">
        <f t="shared" si="148"/>
        <v>#N/A</v>
      </c>
      <c r="FS124" s="7" t="e">
        <f t="shared" si="144"/>
        <v>#N/A</v>
      </c>
      <c r="FT124" t="e">
        <f t="shared" si="149"/>
        <v>#N/A</v>
      </c>
      <c r="FU124" s="8" t="e">
        <f t="shared" si="150"/>
        <v>#N/A</v>
      </c>
      <c r="FV124" s="8" t="e">
        <f t="shared" si="151"/>
        <v>#N/A</v>
      </c>
      <c r="FW124" s="168" t="e">
        <f t="shared" si="152"/>
        <v>#N/A</v>
      </c>
      <c r="FX124" s="161" t="e">
        <f t="shared" si="153"/>
        <v>#N/A</v>
      </c>
      <c r="FY124" s="169" t="e">
        <f t="shared" si="154"/>
        <v>#N/A</v>
      </c>
      <c r="FZ124" s="7" t="e">
        <f t="shared" si="145"/>
        <v>#N/A</v>
      </c>
      <c r="GA124" t="e">
        <f t="shared" si="155"/>
        <v>#N/A</v>
      </c>
      <c r="GB124" s="8" t="e">
        <f t="shared" si="156"/>
        <v>#N/A</v>
      </c>
      <c r="GC124" s="8" t="e">
        <f t="shared" si="157"/>
        <v>#N/A</v>
      </c>
      <c r="GD124" s="168" t="e">
        <f t="shared" si="158"/>
        <v>#N/A</v>
      </c>
      <c r="GE124" s="168"/>
      <c r="GF124" s="168"/>
      <c r="GI124" s="54">
        <f t="shared" si="203"/>
        <v>114</v>
      </c>
      <c r="GJ124" s="54">
        <f t="shared" si="204"/>
        <v>115</v>
      </c>
      <c r="GK124" s="54">
        <f t="shared" si="205"/>
        <v>-0.35932933792649013</v>
      </c>
      <c r="GL124" s="54">
        <f t="shared" si="206"/>
        <v>0.37400080851990369</v>
      </c>
      <c r="GM124" s="54" t="e">
        <f t="shared" si="207"/>
        <v>#N/A</v>
      </c>
      <c r="GN124" s="54" t="e">
        <f t="shared" si="208"/>
        <v>#N/A</v>
      </c>
      <c r="GO124" s="54" t="e">
        <f t="shared" si="209"/>
        <v>#N/A</v>
      </c>
      <c r="GP124" s="54" t="b">
        <f t="shared" si="210"/>
        <v>0</v>
      </c>
      <c r="GQ124" s="54" t="b">
        <f t="shared" si="211"/>
        <v>1</v>
      </c>
      <c r="GR124" s="54" t="b">
        <f t="shared" si="212"/>
        <v>0</v>
      </c>
      <c r="GS124" s="54" t="b">
        <f t="shared" si="213"/>
        <v>1</v>
      </c>
      <c r="GT124" s="54">
        <f t="shared" si="214"/>
        <v>0.37400080851990369</v>
      </c>
      <c r="GU124" s="54" t="e">
        <f t="shared" si="215"/>
        <v>#N/A</v>
      </c>
      <c r="GV124" s="54">
        <f t="shared" si="216"/>
        <v>0.37400080851990369</v>
      </c>
      <c r="GW124" s="72" t="str">
        <f t="shared" si="217"/>
        <v/>
      </c>
      <c r="HC124" s="54">
        <f t="shared" si="218"/>
        <v>114</v>
      </c>
      <c r="HD124" s="54">
        <f t="shared" si="219"/>
        <v>115</v>
      </c>
      <c r="HE124" s="54">
        <f t="shared" si="220"/>
        <v>-0.55642902658585225</v>
      </c>
      <c r="HF124" s="54" t="e">
        <f t="shared" si="221"/>
        <v>#N/A</v>
      </c>
      <c r="HG124" s="54">
        <f t="shared" si="222"/>
        <v>0.32379165108150787</v>
      </c>
      <c r="HH124" s="54" t="e">
        <f t="shared" si="223"/>
        <v>#N/A</v>
      </c>
      <c r="HI124" s="54" t="e">
        <f t="shared" si="224"/>
        <v>#N/A</v>
      </c>
      <c r="HJ124" s="54" t="b">
        <f t="shared" si="225"/>
        <v>1</v>
      </c>
      <c r="HK124" s="54" t="b">
        <f t="shared" si="226"/>
        <v>0</v>
      </c>
      <c r="HL124" s="54" t="b">
        <f t="shared" si="227"/>
        <v>0</v>
      </c>
      <c r="HM124" s="54" t="b">
        <f t="shared" si="228"/>
        <v>1</v>
      </c>
      <c r="HN124" s="54">
        <f t="shared" si="229"/>
        <v>0.32379165108150787</v>
      </c>
      <c r="HO124" s="54">
        <f t="shared" si="230"/>
        <v>0.32379165108150787</v>
      </c>
      <c r="HP124" s="54" t="e">
        <f t="shared" si="231"/>
        <v>#N/A</v>
      </c>
      <c r="HQ124" s="72" t="str">
        <f t="shared" si="232"/>
        <v/>
      </c>
    </row>
    <row r="125" spans="71:225" x14ac:dyDescent="0.2">
      <c r="BS125" s="54">
        <f t="shared" si="159"/>
        <v>115</v>
      </c>
      <c r="BT125" s="54">
        <f>Eu_tabel_g[[#This Row],[Indeks]]+1</f>
        <v>116</v>
      </c>
      <c r="BU125" s="54">
        <f t="shared" si="160"/>
        <v>-0.33537404873139076</v>
      </c>
      <c r="BV125" s="54">
        <f t="shared" si="161"/>
        <v>0.37712581912279941</v>
      </c>
      <c r="BW125" s="54" t="e">
        <f t="shared" si="162"/>
        <v>#N/A</v>
      </c>
      <c r="BX125" s="54" t="e">
        <f t="shared" si="163"/>
        <v>#N/A</v>
      </c>
      <c r="BY125" s="54" t="e">
        <f t="shared" si="164"/>
        <v>#N/A</v>
      </c>
      <c r="BZ125" s="54" t="b">
        <f t="shared" si="165"/>
        <v>0</v>
      </c>
      <c r="CA125" s="54" t="b">
        <f t="shared" si="166"/>
        <v>1</v>
      </c>
      <c r="CB125" s="54" t="b">
        <f t="shared" si="167"/>
        <v>0</v>
      </c>
      <c r="CC125" s="54" t="b">
        <f t="shared" si="168"/>
        <v>1</v>
      </c>
      <c r="CD125" s="54">
        <f t="shared" si="233"/>
        <v>0.37712581912279941</v>
      </c>
      <c r="CE125" s="54" t="e">
        <f t="shared" si="169"/>
        <v>#N/A</v>
      </c>
      <c r="CF125" s="54">
        <f t="shared" si="170"/>
        <v>0.37712581912279941</v>
      </c>
      <c r="CG125" s="72" t="str">
        <f t="shared" si="171"/>
        <v/>
      </c>
      <c r="CH125" s="54">
        <f>_xlfn.NORM.DIST(_xlfn.NORM.INV(1-Eu_g_konfidensniveau,0,1)-Eu_tabel_g[[#This Row],[x base]],0,1,TRUE)</f>
        <v>9.5185975462999145E-2</v>
      </c>
      <c r="CI125" s="54">
        <f>1-_xlfn.NORM.DIST(_xlfn.NORM.INV(Eu_g_konfidensniveau,0,1)-Eu_tabel_g[[#This Row],[x base]],0,1,TRUE)</f>
        <v>2.3838975689185804E-2</v>
      </c>
      <c r="CJ125" s="54">
        <f>_xlfn.NORM.DIST(_xlfn.NORM.INV((1-Eu_g_konfidensniveau)/2,0,1)-Eu_tabel_g[[#This Row],[x base]],0,1,TRUE)+1-_xlfn.NORM.DIST(_xlfn.NORM.INV(1-(1-Eu_g_konfidensniveau)/2,0,1)-Eu_tabel_g[[#This Row],[x base]],0,1,TRUE)</f>
        <v>6.2981861292597308E-2</v>
      </c>
      <c r="CK125" s="54" t="e" cm="1">
        <f t="array" ref="CK125">IF($CK$3,INDEX(Eu_tabel_g[[#This Row],[Styrke venstre]:[Styrke tosidet]],CK$7),NA())</f>
        <v>#N/A</v>
      </c>
      <c r="CL125" s="99" t="e">
        <f>Eu_tabel_g[[#This Row],[Falsk positiv
Nulhypotese accepteres
Fejltype 1]]</f>
        <v>#N/A</v>
      </c>
      <c r="CM125" s="99" t="e">
        <f>IF(CHOOSE(CK$7,Eu_tabel_g[[#This Row],[x base]]&gt;0,Eu_tabel_g[[#This Row],[x base]]&lt;0,Eu_tabel_g[[#This Row],[x base]]=0),Eu_tabel_g[[#This Row],[Styrke, aktiv]],NA())</f>
        <v>#N/A</v>
      </c>
      <c r="CN125" s="99" t="e">
        <f>IFERROR(IF($CK$3,Eu_tabel_g[[#This Row],[Styrke, aktiv]],NA()),NA())</f>
        <v>#N/A</v>
      </c>
      <c r="CO125" s="99" t="e">
        <f>IF(ISNA(Eu_tabel_g[[#This Row],[Sand negativ
Nulhypotese afvises
Korrekt]]),NA(),IF($CK$3,1,NA()))</f>
        <v>#N/A</v>
      </c>
      <c r="CP125" s="56" t="str" cm="1">
        <f t="array" ref="CP125">_xlfn.SWITCH(BS125,_xlfn.IFNA(CN$2,-99),CN$5,_xlfn.IFNA(CN$3,-99),CN$6,_xlfn.IFNA(CN$4,-99),CN$7,"")</f>
        <v/>
      </c>
      <c r="CT125" s="7">
        <f t="shared" si="172"/>
        <v>0.8</v>
      </c>
      <c r="CU125">
        <f>IF(ROW(Styrkeberegning_G[[#This Row],[X base venstre]])=ROW(Styrkeberegning_G[[#Headers],[X base venstre]])+1,CU$7/(CT$7/$B$67),CU124/(CT124/$B$67))</f>
        <v>-2.8015817870135784</v>
      </c>
      <c r="CV125">
        <f>Styrkeberegning_G[[#This Row],[X base venstre]]*-1</f>
        <v>2.8015817870135784</v>
      </c>
      <c r="DG125" s="54">
        <f t="shared" si="173"/>
        <v>115</v>
      </c>
      <c r="DH125" s="54">
        <f t="shared" si="174"/>
        <v>116</v>
      </c>
      <c r="DI125" s="54">
        <f t="shared" si="175"/>
        <v>14.952001152608807</v>
      </c>
      <c r="DJ125" s="54" t="e">
        <f t="shared" si="176"/>
        <v>#N/A</v>
      </c>
      <c r="DK125" s="54" t="e">
        <f t="shared" si="177"/>
        <v>#N/A</v>
      </c>
      <c r="DL125" s="54">
        <f t="shared" si="178"/>
        <v>4.6221007593830528E-2</v>
      </c>
      <c r="DM125" s="54" t="e">
        <f t="shared" si="179"/>
        <v>#N/A</v>
      </c>
      <c r="DN125" s="54" t="b">
        <f t="shared" si="180"/>
        <v>0</v>
      </c>
      <c r="DO125" s="54" t="b">
        <f t="shared" si="181"/>
        <v>1</v>
      </c>
      <c r="DP125" s="54" t="b">
        <f t="shared" si="182"/>
        <v>0</v>
      </c>
      <c r="DQ125" s="54" t="b">
        <f t="shared" si="183"/>
        <v>1</v>
      </c>
      <c r="DR125" s="54">
        <f t="shared" si="184"/>
        <v>4.6221007593830528E-2</v>
      </c>
      <c r="DS125" s="54" t="e">
        <f t="shared" si="185"/>
        <v>#N/A</v>
      </c>
      <c r="DT125" s="54">
        <f t="shared" si="186"/>
        <v>4.6221007593830528E-2</v>
      </c>
      <c r="DU125" s="72" t="str">
        <f t="shared" si="187"/>
        <v/>
      </c>
      <c r="DZ125" s="54">
        <f t="shared" si="188"/>
        <v>115</v>
      </c>
      <c r="EA125" s="54">
        <f t="shared" si="189"/>
        <v>116</v>
      </c>
      <c r="EB125" s="54">
        <f t="shared" si="190"/>
        <v>-0.33537404873139076</v>
      </c>
      <c r="EC125" s="54">
        <f t="shared" si="191"/>
        <v>0.37712581912279941</v>
      </c>
      <c r="ED125" s="54" t="e">
        <f t="shared" si="192"/>
        <v>#N/A</v>
      </c>
      <c r="EE125" s="54" t="e">
        <f t="shared" si="193"/>
        <v>#N/A</v>
      </c>
      <c r="EF125" s="54" t="e">
        <f t="shared" si="194"/>
        <v>#N/A</v>
      </c>
      <c r="EG125" s="54" t="b">
        <f t="shared" si="195"/>
        <v>0</v>
      </c>
      <c r="EH125" s="54" t="b">
        <f t="shared" si="196"/>
        <v>1</v>
      </c>
      <c r="EI125" s="54" t="b">
        <f t="shared" si="197"/>
        <v>0</v>
      </c>
      <c r="EJ125" s="54" t="b">
        <f t="shared" si="198"/>
        <v>1</v>
      </c>
      <c r="EK125" s="54">
        <f t="shared" si="199"/>
        <v>0.37712581912279941</v>
      </c>
      <c r="EL125" s="54" t="e">
        <f t="shared" si="200"/>
        <v>#N/A</v>
      </c>
      <c r="EM125" s="54">
        <f t="shared" si="201"/>
        <v>0.37712581912279941</v>
      </c>
      <c r="EN125" s="72" t="str">
        <f t="shared" si="202"/>
        <v/>
      </c>
      <c r="EO12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2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2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25" s="54" t="e" cm="1">
        <f t="array" ref="ER125">IF($CK$3,INDEX(Eu_tabel_a[[#This Row],[Styrke venstre]:[Styrke tosidet]],ER$7),NA())</f>
        <v>#N/A</v>
      </c>
      <c r="ES125" s="54" t="e">
        <f>IF(ER$3,IF(CHOOSE(ER$7,Eu_tabel_a[[#This Row],[x base]]&gt;0,Eu_tabel_a[[#This Row],[x base]]&lt;0,Eu_tabel_a[[#This Row],[x base]]=0),1,NA()),NA())</f>
        <v>#N/A</v>
      </c>
      <c r="ET125" s="54" t="e">
        <f>IF(CHOOSE(ER$7,Eu_tabel_a[[#This Row],[x base]]&gt;0,Eu_tabel_a[[#This Row],[x base]]&lt;0,Eu_tabel_a[[#This Row],[x base]]=0),Eu_tabel_a[[#This Row],[Styrke, aktiv]],NA())</f>
        <v>#N/A</v>
      </c>
      <c r="EU125" s="54" t="e">
        <f>IFERROR(IF($ER$3,Eu_tabel_a[[#This Row],[Styrke, aktiv]],NA()),NA())</f>
        <v>#N/A</v>
      </c>
      <c r="EV125" s="54" t="e">
        <f>IF(ISNA(Eu_tabel_a[[#This Row],[Sand negativ
Nulhypotese afvises
Korrekt]]),NA(),IF(ER$3,1,NA()))</f>
        <v>#N/A</v>
      </c>
      <c r="EW125" s="55" t="str" cm="1">
        <f t="array" ref="EW125">IFERROR(_xlfn.SWITCH(Eu_tabel_a[[#This Row],[Indeks]],_xlfn.IFNA(EU$2,-99),EU$5,_xlfn.IFNA(EU$3,-99),EU$6,_xlfn.IFNA(EU$4,-99),EU$7,""),"")</f>
        <v/>
      </c>
      <c r="EX125" s="54">
        <f>Eu_tabel_a[[#This Row],[x base]]*SQRT(Eu_a_h0_x*(1-Eu_a_h0_x)/Eu_a_n_x)+Eu_a_h0_x</f>
        <v>0</v>
      </c>
      <c r="FC125" s="161" t="e">
        <f t="shared" si="146"/>
        <v>#N/A</v>
      </c>
      <c r="FD125" s="169" t="e">
        <f t="shared" si="234"/>
        <v>#DIV/0!</v>
      </c>
      <c r="FE125" s="7" t="e">
        <f t="shared" si="140"/>
        <v>#DIV/0!</v>
      </c>
      <c r="FF125" t="e">
        <f t="shared" si="235"/>
        <v>#DIV/0!</v>
      </c>
      <c r="FG125" s="8" t="e">
        <f t="shared" si="236"/>
        <v>#DIV/0!</v>
      </c>
      <c r="FH125" s="8" t="e">
        <f t="shared" si="237"/>
        <v>#DIV/0!</v>
      </c>
      <c r="FI125" s="168" t="e">
        <f t="shared" si="238"/>
        <v>#DIV/0!</v>
      </c>
      <c r="FJ125" s="161" t="e">
        <f t="shared" ca="1" si="141"/>
        <v>#N/A</v>
      </c>
      <c r="FK125" s="169" t="e" vm="3">
        <f t="shared" ca="1" si="147"/>
        <v>#VALUE!</v>
      </c>
      <c r="FL125" s="7" t="e" vm="3">
        <f t="shared" ca="1" si="142"/>
        <v>#VALUE!</v>
      </c>
      <c r="FM125" t="e" vm="3">
        <f t="shared" ca="1" si="136"/>
        <v>#VALUE!</v>
      </c>
      <c r="FN125" s="8" t="e" vm="3">
        <f t="shared" ca="1" si="137"/>
        <v>#VALUE!</v>
      </c>
      <c r="FO125" s="8" t="e" vm="3">
        <f t="shared" ca="1" si="138"/>
        <v>#VALUE!</v>
      </c>
      <c r="FP125" s="168" t="e" vm="3">
        <f t="shared" ca="1" si="139"/>
        <v>#VALUE!</v>
      </c>
      <c r="FQ125" s="161" t="e">
        <f t="shared" si="143"/>
        <v>#N/A</v>
      </c>
      <c r="FR125" s="169" t="e">
        <f t="shared" si="148"/>
        <v>#N/A</v>
      </c>
      <c r="FS125" s="7" t="e">
        <f t="shared" si="144"/>
        <v>#N/A</v>
      </c>
      <c r="FT125" t="e">
        <f t="shared" si="149"/>
        <v>#N/A</v>
      </c>
      <c r="FU125" s="8" t="e">
        <f t="shared" si="150"/>
        <v>#N/A</v>
      </c>
      <c r="FV125" s="8" t="e">
        <f t="shared" si="151"/>
        <v>#N/A</v>
      </c>
      <c r="FW125" s="168" t="e">
        <f t="shared" si="152"/>
        <v>#N/A</v>
      </c>
      <c r="FX125" s="161" t="e">
        <f t="shared" si="153"/>
        <v>#N/A</v>
      </c>
      <c r="FY125" s="169" t="e">
        <f t="shared" si="154"/>
        <v>#N/A</v>
      </c>
      <c r="FZ125" s="7" t="e">
        <f t="shared" si="145"/>
        <v>#N/A</v>
      </c>
      <c r="GA125" t="e">
        <f t="shared" si="155"/>
        <v>#N/A</v>
      </c>
      <c r="GB125" s="8" t="e">
        <f t="shared" si="156"/>
        <v>#N/A</v>
      </c>
      <c r="GC125" s="8" t="e">
        <f t="shared" si="157"/>
        <v>#N/A</v>
      </c>
      <c r="GD125" s="168" t="e">
        <f t="shared" si="158"/>
        <v>#N/A</v>
      </c>
      <c r="GE125" s="168"/>
      <c r="GF125" s="168"/>
      <c r="GI125" s="54">
        <f t="shared" si="203"/>
        <v>115</v>
      </c>
      <c r="GJ125" s="54">
        <f t="shared" si="204"/>
        <v>116</v>
      </c>
      <c r="GK125" s="54">
        <f t="shared" si="205"/>
        <v>-0.33537404873139076</v>
      </c>
      <c r="GL125" s="54">
        <f t="shared" si="206"/>
        <v>0.37712581912279941</v>
      </c>
      <c r="GM125" s="54" t="e">
        <f t="shared" si="207"/>
        <v>#N/A</v>
      </c>
      <c r="GN125" s="54" t="e">
        <f t="shared" si="208"/>
        <v>#N/A</v>
      </c>
      <c r="GO125" s="54" t="e">
        <f t="shared" si="209"/>
        <v>#N/A</v>
      </c>
      <c r="GP125" s="54" t="b">
        <f t="shared" si="210"/>
        <v>0</v>
      </c>
      <c r="GQ125" s="54" t="b">
        <f t="shared" si="211"/>
        <v>1</v>
      </c>
      <c r="GR125" s="54" t="b">
        <f t="shared" si="212"/>
        <v>0</v>
      </c>
      <c r="GS125" s="54" t="b">
        <f t="shared" si="213"/>
        <v>1</v>
      </c>
      <c r="GT125" s="54">
        <f t="shared" si="214"/>
        <v>0.37712581912279941</v>
      </c>
      <c r="GU125" s="54" t="e">
        <f t="shared" si="215"/>
        <v>#N/A</v>
      </c>
      <c r="GV125" s="54">
        <f t="shared" si="216"/>
        <v>0.37712581912279941</v>
      </c>
      <c r="GW125" s="72" t="str">
        <f t="shared" si="217"/>
        <v/>
      </c>
      <c r="HC125" s="54">
        <f t="shared" si="218"/>
        <v>115</v>
      </c>
      <c r="HD125" s="54">
        <f t="shared" si="219"/>
        <v>116</v>
      </c>
      <c r="HE125" s="54">
        <f t="shared" si="220"/>
        <v>-0.51933375814679561</v>
      </c>
      <c r="HF125" s="54" t="e">
        <f t="shared" si="221"/>
        <v>#N/A</v>
      </c>
      <c r="HG125" s="54">
        <f t="shared" si="222"/>
        <v>0.33095998215482658</v>
      </c>
      <c r="HH125" s="54" t="e">
        <f t="shared" si="223"/>
        <v>#N/A</v>
      </c>
      <c r="HI125" s="54" t="e">
        <f t="shared" si="224"/>
        <v>#N/A</v>
      </c>
      <c r="HJ125" s="54" t="b">
        <f t="shared" si="225"/>
        <v>1</v>
      </c>
      <c r="HK125" s="54" t="b">
        <f t="shared" si="226"/>
        <v>0</v>
      </c>
      <c r="HL125" s="54" t="b">
        <f t="shared" si="227"/>
        <v>0</v>
      </c>
      <c r="HM125" s="54" t="b">
        <f t="shared" si="228"/>
        <v>1</v>
      </c>
      <c r="HN125" s="54">
        <f t="shared" si="229"/>
        <v>0.33095998215482658</v>
      </c>
      <c r="HO125" s="54">
        <f t="shared" si="230"/>
        <v>0.33095998215482658</v>
      </c>
      <c r="HP125" s="54" t="e">
        <f t="shared" si="231"/>
        <v>#N/A</v>
      </c>
      <c r="HQ125" s="72" t="str">
        <f t="shared" si="232"/>
        <v/>
      </c>
    </row>
    <row r="126" spans="71:225" x14ac:dyDescent="0.2">
      <c r="BS126" s="54">
        <f t="shared" si="159"/>
        <v>116</v>
      </c>
      <c r="BT126" s="54">
        <f>Eu_tabel_g[[#This Row],[Indeks]]+1</f>
        <v>117</v>
      </c>
      <c r="BU126" s="54">
        <f t="shared" si="160"/>
        <v>-0.31141875953629139</v>
      </c>
      <c r="BV126" s="54">
        <f t="shared" si="161"/>
        <v>0.38005877958699552</v>
      </c>
      <c r="BW126" s="54" t="e">
        <f t="shared" si="162"/>
        <v>#N/A</v>
      </c>
      <c r="BX126" s="54" t="e">
        <f t="shared" si="163"/>
        <v>#N/A</v>
      </c>
      <c r="BY126" s="54" t="e">
        <f t="shared" si="164"/>
        <v>#N/A</v>
      </c>
      <c r="BZ126" s="54" t="b">
        <f t="shared" si="165"/>
        <v>0</v>
      </c>
      <c r="CA126" s="54" t="b">
        <f t="shared" si="166"/>
        <v>1</v>
      </c>
      <c r="CB126" s="54" t="b">
        <f t="shared" si="167"/>
        <v>0</v>
      </c>
      <c r="CC126" s="54" t="b">
        <f t="shared" si="168"/>
        <v>1</v>
      </c>
      <c r="CD126" s="54">
        <f t="shared" ref="CD126:CD157" si="239">_xlfn.AGGREGATE(9,6,BV126:BY126)</f>
        <v>0.38005877958699552</v>
      </c>
      <c r="CE126" s="54" t="e">
        <f t="shared" si="169"/>
        <v>#N/A</v>
      </c>
      <c r="CF126" s="54">
        <f t="shared" si="170"/>
        <v>0.38005877958699552</v>
      </c>
      <c r="CG126" s="72" t="str">
        <f t="shared" si="171"/>
        <v/>
      </c>
      <c r="CH126" s="54">
        <f>_xlfn.NORM.DIST(_xlfn.NORM.INV(1-Eu_g_konfidensniveau,0,1)-Eu_tabel_g[[#This Row],[x base]],0,1,TRUE)</f>
        <v>9.1194568240704876E-2</v>
      </c>
      <c r="CI126" s="54">
        <f>1-_xlfn.NORM.DIST(_xlfn.NORM.INV(Eu_g_konfidensniveau,0,1)-Eu_tabel_g[[#This Row],[x base]],0,1,TRUE)</f>
        <v>2.5216537638391379E-2</v>
      </c>
      <c r="CJ126" s="54">
        <f>_xlfn.NORM.DIST(_xlfn.NORM.INV((1-Eu_g_konfidensniveau)/2,0,1)-Eu_tabel_g[[#This Row],[x base]],0,1,TRUE)+1-_xlfn.NORM.DIST(_xlfn.NORM.INV(1-(1-Eu_g_konfidensniveau)/2,0,1)-Eu_tabel_g[[#This Row],[x base]],0,1,TRUE)</f>
        <v>6.1182328184333556E-2</v>
      </c>
      <c r="CK126" s="54" t="e" cm="1">
        <f t="array" ref="CK126">IF($CK$3,INDEX(Eu_tabel_g[[#This Row],[Styrke venstre]:[Styrke tosidet]],CK$7),NA())</f>
        <v>#N/A</v>
      </c>
      <c r="CL126" s="99" t="e">
        <f>Eu_tabel_g[[#This Row],[Falsk positiv
Nulhypotese accepteres
Fejltype 1]]</f>
        <v>#N/A</v>
      </c>
      <c r="CM126" s="99" t="e">
        <f>IF(CHOOSE(CK$7,Eu_tabel_g[[#This Row],[x base]]&gt;0,Eu_tabel_g[[#This Row],[x base]]&lt;0,Eu_tabel_g[[#This Row],[x base]]=0),Eu_tabel_g[[#This Row],[Styrke, aktiv]],NA())</f>
        <v>#N/A</v>
      </c>
      <c r="CN126" s="99" t="e">
        <f>IFERROR(IF($CK$3,Eu_tabel_g[[#This Row],[Styrke, aktiv]],NA()),NA())</f>
        <v>#N/A</v>
      </c>
      <c r="CO126" s="99" t="e">
        <f>IF(ISNA(Eu_tabel_g[[#This Row],[Sand negativ
Nulhypotese afvises
Korrekt]]),NA(),IF($CK$3,1,NA()))</f>
        <v>#N/A</v>
      </c>
      <c r="CP126" s="56" t="str" cm="1">
        <f t="array" ref="CP126">_xlfn.SWITCH(BS126,_xlfn.IFNA(CN$2,-99),CN$5,_xlfn.IFNA(CN$3,-99),CN$6,_xlfn.IFNA(CN$4,-99),CN$7,"")</f>
        <v/>
      </c>
      <c r="CT126" s="7">
        <f t="shared" si="172"/>
        <v>0.8</v>
      </c>
      <c r="CU126">
        <f>IF(ROW(Styrkeberegning_G[[#This Row],[X base venstre]])=ROW(Styrkeberegning_G[[#Headers],[X base venstre]])+1,CU$7/(CT$7/$B$67),CU125/(CT125/$B$67))</f>
        <v>-2.8015817870135784</v>
      </c>
      <c r="CV126">
        <f>Styrkeberegning_G[[#This Row],[X base venstre]]*-1</f>
        <v>2.8015817870135784</v>
      </c>
      <c r="DG126" s="54">
        <f t="shared" si="173"/>
        <v>116</v>
      </c>
      <c r="DH126" s="54">
        <f t="shared" si="174"/>
        <v>117</v>
      </c>
      <c r="DI126" s="54">
        <f t="shared" si="175"/>
        <v>15.066072009025806</v>
      </c>
      <c r="DJ126" s="54" t="e">
        <f t="shared" si="176"/>
        <v>#N/A</v>
      </c>
      <c r="DK126" s="54" t="e">
        <f t="shared" si="177"/>
        <v>#N/A</v>
      </c>
      <c r="DL126" s="54">
        <f t="shared" si="178"/>
        <v>4.5177527956623796E-2</v>
      </c>
      <c r="DM126" s="54" t="e">
        <f t="shared" si="179"/>
        <v>#N/A</v>
      </c>
      <c r="DN126" s="54" t="b">
        <f t="shared" si="180"/>
        <v>0</v>
      </c>
      <c r="DO126" s="54" t="b">
        <f t="shared" si="181"/>
        <v>1</v>
      </c>
      <c r="DP126" s="54" t="b">
        <f t="shared" si="182"/>
        <v>0</v>
      </c>
      <c r="DQ126" s="54" t="b">
        <f t="shared" si="183"/>
        <v>1</v>
      </c>
      <c r="DR126" s="54">
        <f t="shared" si="184"/>
        <v>4.5177527956623796E-2</v>
      </c>
      <c r="DS126" s="54" t="e">
        <f t="shared" si="185"/>
        <v>#N/A</v>
      </c>
      <c r="DT126" s="54">
        <f t="shared" si="186"/>
        <v>4.5177527956623796E-2</v>
      </c>
      <c r="DU126" s="72" t="str">
        <f t="shared" si="187"/>
        <v/>
      </c>
      <c r="DZ126" s="54">
        <f t="shared" si="188"/>
        <v>116</v>
      </c>
      <c r="EA126" s="54">
        <f t="shared" si="189"/>
        <v>117</v>
      </c>
      <c r="EB126" s="54">
        <f t="shared" si="190"/>
        <v>-0.31141875953629139</v>
      </c>
      <c r="EC126" s="54">
        <f t="shared" si="191"/>
        <v>0.38005877958699552</v>
      </c>
      <c r="ED126" s="54" t="e">
        <f t="shared" si="192"/>
        <v>#N/A</v>
      </c>
      <c r="EE126" s="54" t="e">
        <f t="shared" si="193"/>
        <v>#N/A</v>
      </c>
      <c r="EF126" s="54" t="e">
        <f t="shared" si="194"/>
        <v>#N/A</v>
      </c>
      <c r="EG126" s="54" t="b">
        <f t="shared" si="195"/>
        <v>0</v>
      </c>
      <c r="EH126" s="54" t="b">
        <f t="shared" si="196"/>
        <v>1</v>
      </c>
      <c r="EI126" s="54" t="b">
        <f t="shared" si="197"/>
        <v>0</v>
      </c>
      <c r="EJ126" s="54" t="b">
        <f t="shared" si="198"/>
        <v>1</v>
      </c>
      <c r="EK126" s="54">
        <f t="shared" si="199"/>
        <v>0.38005877958699552</v>
      </c>
      <c r="EL126" s="54" t="e">
        <f t="shared" si="200"/>
        <v>#N/A</v>
      </c>
      <c r="EM126" s="54">
        <f t="shared" si="201"/>
        <v>0.38005877958699552</v>
      </c>
      <c r="EN126" s="72" t="str">
        <f t="shared" si="202"/>
        <v/>
      </c>
      <c r="EO12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2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2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26" s="54" t="e" cm="1">
        <f t="array" ref="ER126">IF($CK$3,INDEX(Eu_tabel_a[[#This Row],[Styrke venstre]:[Styrke tosidet]],ER$7),NA())</f>
        <v>#N/A</v>
      </c>
      <c r="ES126" s="54" t="e">
        <f>IF(ER$3,IF(CHOOSE(ER$7,Eu_tabel_a[[#This Row],[x base]]&gt;0,Eu_tabel_a[[#This Row],[x base]]&lt;0,Eu_tabel_a[[#This Row],[x base]]=0),1,NA()),NA())</f>
        <v>#N/A</v>
      </c>
      <c r="ET126" s="54" t="e">
        <f>IF(CHOOSE(ER$7,Eu_tabel_a[[#This Row],[x base]]&gt;0,Eu_tabel_a[[#This Row],[x base]]&lt;0,Eu_tabel_a[[#This Row],[x base]]=0),Eu_tabel_a[[#This Row],[Styrke, aktiv]],NA())</f>
        <v>#N/A</v>
      </c>
      <c r="EU126" s="54" t="e">
        <f>IFERROR(IF($ER$3,Eu_tabel_a[[#This Row],[Styrke, aktiv]],NA()),NA())</f>
        <v>#N/A</v>
      </c>
      <c r="EV126" s="54" t="e">
        <f>IF(ISNA(Eu_tabel_a[[#This Row],[Sand negativ
Nulhypotese afvises
Korrekt]]),NA(),IF(ER$3,1,NA()))</f>
        <v>#N/A</v>
      </c>
      <c r="EW126" s="55" t="str" cm="1">
        <f t="array" ref="EW126">IFERROR(_xlfn.SWITCH(Eu_tabel_a[[#This Row],[Indeks]],_xlfn.IFNA(EU$2,-99),EU$5,_xlfn.IFNA(EU$3,-99),EU$6,_xlfn.IFNA(EU$4,-99),EU$7,""),"")</f>
        <v/>
      </c>
      <c r="EX126" s="54">
        <f>Eu_tabel_a[[#This Row],[x base]]*SQRT(Eu_a_h0_x*(1-Eu_a_h0_x)/Eu_a_n_x)+Eu_a_h0_x</f>
        <v>0</v>
      </c>
      <c r="FC126" s="161" t="e">
        <f t="shared" si="146"/>
        <v>#N/A</v>
      </c>
      <c r="FD126" s="169" t="e">
        <f t="shared" si="234"/>
        <v>#DIV/0!</v>
      </c>
      <c r="FE126" s="7" t="e">
        <f t="shared" si="140"/>
        <v>#DIV/0!</v>
      </c>
      <c r="FF126" t="e">
        <f t="shared" si="235"/>
        <v>#DIV/0!</v>
      </c>
      <c r="FG126" s="8" t="e">
        <f t="shared" si="236"/>
        <v>#DIV/0!</v>
      </c>
      <c r="FH126" s="8" t="e">
        <f t="shared" si="237"/>
        <v>#DIV/0!</v>
      </c>
      <c r="FI126" s="168" t="e">
        <f t="shared" si="238"/>
        <v>#DIV/0!</v>
      </c>
      <c r="FJ126" s="161" t="e">
        <f t="shared" ca="1" si="141"/>
        <v>#N/A</v>
      </c>
      <c r="FK126" s="169" t="e" vm="3">
        <f t="shared" ca="1" si="147"/>
        <v>#VALUE!</v>
      </c>
      <c r="FL126" s="7" t="e" vm="3">
        <f t="shared" ca="1" si="142"/>
        <v>#VALUE!</v>
      </c>
      <c r="FM126" t="e" vm="3">
        <f t="shared" ca="1" si="136"/>
        <v>#VALUE!</v>
      </c>
      <c r="FN126" s="8" t="e" vm="3">
        <f t="shared" ca="1" si="137"/>
        <v>#VALUE!</v>
      </c>
      <c r="FO126" s="8" t="e" vm="3">
        <f t="shared" ca="1" si="138"/>
        <v>#VALUE!</v>
      </c>
      <c r="FP126" s="168" t="e" vm="3">
        <f t="shared" ca="1" si="139"/>
        <v>#VALUE!</v>
      </c>
      <c r="FQ126" s="161" t="e">
        <f t="shared" si="143"/>
        <v>#N/A</v>
      </c>
      <c r="FR126" s="169" t="e">
        <f t="shared" si="148"/>
        <v>#N/A</v>
      </c>
      <c r="FS126" s="7" t="e">
        <f t="shared" si="144"/>
        <v>#N/A</v>
      </c>
      <c r="FT126" t="e">
        <f t="shared" si="149"/>
        <v>#N/A</v>
      </c>
      <c r="FU126" s="8" t="e">
        <f t="shared" si="150"/>
        <v>#N/A</v>
      </c>
      <c r="FV126" s="8" t="e">
        <f t="shared" si="151"/>
        <v>#N/A</v>
      </c>
      <c r="FW126" s="168" t="e">
        <f t="shared" si="152"/>
        <v>#N/A</v>
      </c>
      <c r="FX126" s="161" t="e">
        <f t="shared" si="153"/>
        <v>#N/A</v>
      </c>
      <c r="FY126" s="169" t="e">
        <f t="shared" si="154"/>
        <v>#N/A</v>
      </c>
      <c r="FZ126" s="7" t="e">
        <f t="shared" si="145"/>
        <v>#N/A</v>
      </c>
      <c r="GA126" t="e">
        <f t="shared" si="155"/>
        <v>#N/A</v>
      </c>
      <c r="GB126" s="8" t="e">
        <f t="shared" si="156"/>
        <v>#N/A</v>
      </c>
      <c r="GC126" s="8" t="e">
        <f t="shared" si="157"/>
        <v>#N/A</v>
      </c>
      <c r="GD126" s="168" t="e">
        <f t="shared" si="158"/>
        <v>#N/A</v>
      </c>
      <c r="GE126" s="168"/>
      <c r="GF126" s="168"/>
      <c r="GI126" s="54">
        <f t="shared" si="203"/>
        <v>116</v>
      </c>
      <c r="GJ126" s="54">
        <f t="shared" si="204"/>
        <v>117</v>
      </c>
      <c r="GK126" s="54">
        <f t="shared" si="205"/>
        <v>-0.31141875953629139</v>
      </c>
      <c r="GL126" s="54">
        <f t="shared" si="206"/>
        <v>0.38005877958699552</v>
      </c>
      <c r="GM126" s="54" t="e">
        <f t="shared" si="207"/>
        <v>#N/A</v>
      </c>
      <c r="GN126" s="54" t="e">
        <f t="shared" si="208"/>
        <v>#N/A</v>
      </c>
      <c r="GO126" s="54" t="e">
        <f t="shared" si="209"/>
        <v>#N/A</v>
      </c>
      <c r="GP126" s="54" t="b">
        <f t="shared" si="210"/>
        <v>0</v>
      </c>
      <c r="GQ126" s="54" t="b">
        <f t="shared" si="211"/>
        <v>1</v>
      </c>
      <c r="GR126" s="54" t="b">
        <f t="shared" si="212"/>
        <v>0</v>
      </c>
      <c r="GS126" s="54" t="b">
        <f t="shared" si="213"/>
        <v>1</v>
      </c>
      <c r="GT126" s="54">
        <f t="shared" si="214"/>
        <v>0.38005877958699552</v>
      </c>
      <c r="GU126" s="54" t="e">
        <f t="shared" si="215"/>
        <v>#N/A</v>
      </c>
      <c r="GV126" s="54">
        <f t="shared" si="216"/>
        <v>0.38005877958699552</v>
      </c>
      <c r="GW126" s="72" t="str">
        <f t="shared" si="217"/>
        <v/>
      </c>
      <c r="HC126" s="54">
        <f t="shared" si="218"/>
        <v>116</v>
      </c>
      <c r="HD126" s="54">
        <f t="shared" si="219"/>
        <v>117</v>
      </c>
      <c r="HE126" s="54">
        <f t="shared" si="220"/>
        <v>-0.48223848970773897</v>
      </c>
      <c r="HF126" s="54" t="e">
        <f t="shared" si="221"/>
        <v>#N/A</v>
      </c>
      <c r="HG126" s="54">
        <f t="shared" si="222"/>
        <v>0.3378131221968852</v>
      </c>
      <c r="HH126" s="54" t="e">
        <f t="shared" si="223"/>
        <v>#N/A</v>
      </c>
      <c r="HI126" s="54" t="e">
        <f t="shared" si="224"/>
        <v>#N/A</v>
      </c>
      <c r="HJ126" s="54" t="b">
        <f t="shared" si="225"/>
        <v>1</v>
      </c>
      <c r="HK126" s="54" t="b">
        <f t="shared" si="226"/>
        <v>0</v>
      </c>
      <c r="HL126" s="54" t="b">
        <f t="shared" si="227"/>
        <v>0</v>
      </c>
      <c r="HM126" s="54" t="b">
        <f t="shared" si="228"/>
        <v>1</v>
      </c>
      <c r="HN126" s="54">
        <f t="shared" si="229"/>
        <v>0.3378131221968852</v>
      </c>
      <c r="HO126" s="54">
        <f t="shared" si="230"/>
        <v>0.3378131221968852</v>
      </c>
      <c r="HP126" s="54" t="e">
        <f t="shared" si="231"/>
        <v>#N/A</v>
      </c>
      <c r="HQ126" s="72" t="str">
        <f t="shared" si="232"/>
        <v/>
      </c>
    </row>
    <row r="127" spans="71:225" x14ac:dyDescent="0.2">
      <c r="BS127" s="54">
        <f t="shared" si="159"/>
        <v>117</v>
      </c>
      <c r="BT127" s="54">
        <f>Eu_tabel_g[[#This Row],[Indeks]]+1</f>
        <v>118</v>
      </c>
      <c r="BU127" s="54">
        <f t="shared" si="160"/>
        <v>-0.28746347034119202</v>
      </c>
      <c r="BV127" s="54">
        <f t="shared" si="161"/>
        <v>0.38279481799811688</v>
      </c>
      <c r="BW127" s="54" t="e">
        <f t="shared" si="162"/>
        <v>#N/A</v>
      </c>
      <c r="BX127" s="54" t="e">
        <f t="shared" si="163"/>
        <v>#N/A</v>
      </c>
      <c r="BY127" s="54" t="e">
        <f t="shared" si="164"/>
        <v>#N/A</v>
      </c>
      <c r="BZ127" s="54" t="b">
        <f t="shared" si="165"/>
        <v>0</v>
      </c>
      <c r="CA127" s="54" t="b">
        <f t="shared" si="166"/>
        <v>1</v>
      </c>
      <c r="CB127" s="54" t="b">
        <f t="shared" si="167"/>
        <v>0</v>
      </c>
      <c r="CC127" s="54" t="b">
        <f t="shared" si="168"/>
        <v>1</v>
      </c>
      <c r="CD127" s="54">
        <f t="shared" si="239"/>
        <v>0.38279481799811688</v>
      </c>
      <c r="CE127" s="54" t="e">
        <f t="shared" si="169"/>
        <v>#N/A</v>
      </c>
      <c r="CF127" s="54">
        <f t="shared" si="170"/>
        <v>0.38279481799811688</v>
      </c>
      <c r="CG127" s="72" t="str">
        <f t="shared" si="171"/>
        <v/>
      </c>
      <c r="CH127" s="54">
        <f>_xlfn.NORM.DIST(_xlfn.NORM.INV(1-Eu_g_konfidensniveau,0,1)-Eu_tabel_g[[#This Row],[x base]],0,1,TRUE)</f>
        <v>8.732863711346614E-2</v>
      </c>
      <c r="CI127" s="54">
        <f>1-_xlfn.NORM.DIST(_xlfn.NORM.INV(Eu_g_konfidensniveau,0,1)-Eu_tabel_g[[#This Row],[x base]],0,1,TRUE)</f>
        <v>2.6660189708944237E-2</v>
      </c>
      <c r="CJ127" s="54">
        <f>_xlfn.NORM.DIST(_xlfn.NORM.INV((1-Eu_g_konfidensniveau)/2,0,1)-Eu_tabel_g[[#This Row],[x base]],0,1,TRUE)+1-_xlfn.NORM.DIST(_xlfn.NORM.INV(1-(1-Eu_g_konfidensniveau)/2,0,1)-Eu_tabel_g[[#This Row],[x base]],0,1,TRUE)</f>
        <v>5.9519194294059163E-2</v>
      </c>
      <c r="CK127" s="54" t="e" cm="1">
        <f t="array" ref="CK127">IF($CK$3,INDEX(Eu_tabel_g[[#This Row],[Styrke venstre]:[Styrke tosidet]],CK$7),NA())</f>
        <v>#N/A</v>
      </c>
      <c r="CL127" s="99" t="e">
        <f>Eu_tabel_g[[#This Row],[Falsk positiv
Nulhypotese accepteres
Fejltype 1]]</f>
        <v>#N/A</v>
      </c>
      <c r="CM127" s="99" t="e">
        <f>IF(CHOOSE(CK$7,Eu_tabel_g[[#This Row],[x base]]&gt;0,Eu_tabel_g[[#This Row],[x base]]&lt;0,Eu_tabel_g[[#This Row],[x base]]=0),Eu_tabel_g[[#This Row],[Styrke, aktiv]],NA())</f>
        <v>#N/A</v>
      </c>
      <c r="CN127" s="99" t="e">
        <f>IFERROR(IF($CK$3,Eu_tabel_g[[#This Row],[Styrke, aktiv]],NA()),NA())</f>
        <v>#N/A</v>
      </c>
      <c r="CO127" s="99" t="e">
        <f>IF(ISNA(Eu_tabel_g[[#This Row],[Sand negativ
Nulhypotese afvises
Korrekt]]),NA(),IF($CK$3,1,NA()))</f>
        <v>#N/A</v>
      </c>
      <c r="CP127" s="56" t="str" cm="1">
        <f t="array" ref="CP127">_xlfn.SWITCH(BS127,_xlfn.IFNA(CN$2,-99),CN$5,_xlfn.IFNA(CN$3,-99),CN$6,_xlfn.IFNA(CN$4,-99),CN$7,"")</f>
        <v/>
      </c>
      <c r="CT127" s="7">
        <f t="shared" si="172"/>
        <v>0.8</v>
      </c>
      <c r="CU127">
        <f>IF(ROW(Styrkeberegning_G[[#This Row],[X base venstre]])=ROW(Styrkeberegning_G[[#Headers],[X base venstre]])+1,CU$7/(CT$7/$B$67),CU126/(CT126/$B$67))</f>
        <v>-2.8015817870135784</v>
      </c>
      <c r="CV127">
        <f>Styrkeberegning_G[[#This Row],[X base venstre]]*-1</f>
        <v>2.8015817870135784</v>
      </c>
      <c r="DG127" s="54">
        <f t="shared" si="173"/>
        <v>117</v>
      </c>
      <c r="DH127" s="54">
        <f t="shared" si="174"/>
        <v>118</v>
      </c>
      <c r="DI127" s="54">
        <f t="shared" si="175"/>
        <v>15.180142865442807</v>
      </c>
      <c r="DJ127" s="54" t="e">
        <f t="shared" si="176"/>
        <v>#N/A</v>
      </c>
      <c r="DK127" s="54" t="e">
        <f t="shared" si="177"/>
        <v>#N/A</v>
      </c>
      <c r="DL127" s="54">
        <f t="shared" si="178"/>
        <v>4.4146215782358278E-2</v>
      </c>
      <c r="DM127" s="54" t="e">
        <f t="shared" si="179"/>
        <v>#N/A</v>
      </c>
      <c r="DN127" s="54" t="b">
        <f t="shared" si="180"/>
        <v>0</v>
      </c>
      <c r="DO127" s="54" t="b">
        <f t="shared" si="181"/>
        <v>1</v>
      </c>
      <c r="DP127" s="54" t="b">
        <f t="shared" si="182"/>
        <v>0</v>
      </c>
      <c r="DQ127" s="54" t="b">
        <f t="shared" si="183"/>
        <v>1</v>
      </c>
      <c r="DR127" s="54">
        <f t="shared" si="184"/>
        <v>4.4146215782358278E-2</v>
      </c>
      <c r="DS127" s="54" t="e">
        <f t="shared" si="185"/>
        <v>#N/A</v>
      </c>
      <c r="DT127" s="54">
        <f t="shared" si="186"/>
        <v>4.4146215782358278E-2</v>
      </c>
      <c r="DU127" s="72" t="str">
        <f t="shared" si="187"/>
        <v/>
      </c>
      <c r="DZ127" s="54">
        <f t="shared" si="188"/>
        <v>117</v>
      </c>
      <c r="EA127" s="54">
        <f t="shared" si="189"/>
        <v>118</v>
      </c>
      <c r="EB127" s="54">
        <f t="shared" si="190"/>
        <v>-0.28746347034119202</v>
      </c>
      <c r="EC127" s="54">
        <f t="shared" si="191"/>
        <v>0.38279481799811688</v>
      </c>
      <c r="ED127" s="54" t="e">
        <f t="shared" si="192"/>
        <v>#N/A</v>
      </c>
      <c r="EE127" s="54" t="e">
        <f t="shared" si="193"/>
        <v>#N/A</v>
      </c>
      <c r="EF127" s="54" t="e">
        <f t="shared" si="194"/>
        <v>#N/A</v>
      </c>
      <c r="EG127" s="54" t="b">
        <f t="shared" si="195"/>
        <v>0</v>
      </c>
      <c r="EH127" s="54" t="b">
        <f t="shared" si="196"/>
        <v>1</v>
      </c>
      <c r="EI127" s="54" t="b">
        <f t="shared" si="197"/>
        <v>0</v>
      </c>
      <c r="EJ127" s="54" t="b">
        <f t="shared" si="198"/>
        <v>1</v>
      </c>
      <c r="EK127" s="54">
        <f t="shared" si="199"/>
        <v>0.38279481799811688</v>
      </c>
      <c r="EL127" s="54" t="e">
        <f t="shared" si="200"/>
        <v>#N/A</v>
      </c>
      <c r="EM127" s="54">
        <f t="shared" si="201"/>
        <v>0.38279481799811688</v>
      </c>
      <c r="EN127" s="72" t="str">
        <f t="shared" si="202"/>
        <v/>
      </c>
      <c r="EO12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2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2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27" s="54" t="e" cm="1">
        <f t="array" ref="ER127">IF($CK$3,INDEX(Eu_tabel_a[[#This Row],[Styrke venstre]:[Styrke tosidet]],ER$7),NA())</f>
        <v>#N/A</v>
      </c>
      <c r="ES127" s="54" t="e">
        <f>IF(ER$3,IF(CHOOSE(ER$7,Eu_tabel_a[[#This Row],[x base]]&gt;0,Eu_tabel_a[[#This Row],[x base]]&lt;0,Eu_tabel_a[[#This Row],[x base]]=0),1,NA()),NA())</f>
        <v>#N/A</v>
      </c>
      <c r="ET127" s="54" t="e">
        <f>IF(CHOOSE(ER$7,Eu_tabel_a[[#This Row],[x base]]&gt;0,Eu_tabel_a[[#This Row],[x base]]&lt;0,Eu_tabel_a[[#This Row],[x base]]=0),Eu_tabel_a[[#This Row],[Styrke, aktiv]],NA())</f>
        <v>#N/A</v>
      </c>
      <c r="EU127" s="54" t="e">
        <f>IFERROR(IF($ER$3,Eu_tabel_a[[#This Row],[Styrke, aktiv]],NA()),NA())</f>
        <v>#N/A</v>
      </c>
      <c r="EV127" s="54" t="e">
        <f>IF(ISNA(Eu_tabel_a[[#This Row],[Sand negativ
Nulhypotese afvises
Korrekt]]),NA(),IF(ER$3,1,NA()))</f>
        <v>#N/A</v>
      </c>
      <c r="EW127" s="55" t="str" cm="1">
        <f t="array" ref="EW127">IFERROR(_xlfn.SWITCH(Eu_tabel_a[[#This Row],[Indeks]],_xlfn.IFNA(EU$2,-99),EU$5,_xlfn.IFNA(EU$3,-99),EU$6,_xlfn.IFNA(EU$4,-99),EU$7,""),"")</f>
        <v/>
      </c>
      <c r="EX127" s="54">
        <f>Eu_tabel_a[[#This Row],[x base]]*SQRT(Eu_a_h0_x*(1-Eu_a_h0_x)/Eu_a_n_x)+Eu_a_h0_x</f>
        <v>0</v>
      </c>
      <c r="FC127" s="161" t="e">
        <f t="shared" si="146"/>
        <v>#N/A</v>
      </c>
      <c r="FD127" s="169" t="e">
        <f t="shared" si="234"/>
        <v>#DIV/0!</v>
      </c>
      <c r="FE127" s="7" t="e">
        <f t="shared" si="140"/>
        <v>#DIV/0!</v>
      </c>
      <c r="FF127" t="e">
        <f t="shared" si="235"/>
        <v>#DIV/0!</v>
      </c>
      <c r="FG127" s="8" t="e">
        <f t="shared" si="236"/>
        <v>#DIV/0!</v>
      </c>
      <c r="FH127" s="8" t="e">
        <f t="shared" si="237"/>
        <v>#DIV/0!</v>
      </c>
      <c r="FI127" s="168" t="e">
        <f t="shared" si="238"/>
        <v>#DIV/0!</v>
      </c>
      <c r="FJ127" s="161" t="e">
        <f t="shared" ca="1" si="141"/>
        <v>#N/A</v>
      </c>
      <c r="FK127" s="169" t="e" vm="3">
        <f t="shared" ca="1" si="147"/>
        <v>#VALUE!</v>
      </c>
      <c r="FL127" s="7" t="e" vm="3">
        <f t="shared" ca="1" si="142"/>
        <v>#VALUE!</v>
      </c>
      <c r="FM127" t="e" vm="3">
        <f t="shared" ca="1" si="136"/>
        <v>#VALUE!</v>
      </c>
      <c r="FN127" s="8" t="e" vm="3">
        <f t="shared" ca="1" si="137"/>
        <v>#VALUE!</v>
      </c>
      <c r="FO127" s="8" t="e" vm="3">
        <f t="shared" ca="1" si="138"/>
        <v>#VALUE!</v>
      </c>
      <c r="FP127" s="168" t="e" vm="3">
        <f t="shared" ca="1" si="139"/>
        <v>#VALUE!</v>
      </c>
      <c r="FQ127" s="161" t="e">
        <f t="shared" si="143"/>
        <v>#N/A</v>
      </c>
      <c r="FR127" s="169" t="e">
        <f t="shared" si="148"/>
        <v>#N/A</v>
      </c>
      <c r="FS127" s="7" t="e">
        <f t="shared" si="144"/>
        <v>#N/A</v>
      </c>
      <c r="FT127" t="e">
        <f t="shared" si="149"/>
        <v>#N/A</v>
      </c>
      <c r="FU127" s="8" t="e">
        <f t="shared" si="150"/>
        <v>#N/A</v>
      </c>
      <c r="FV127" s="8" t="e">
        <f t="shared" si="151"/>
        <v>#N/A</v>
      </c>
      <c r="FW127" s="168" t="e">
        <f t="shared" si="152"/>
        <v>#N/A</v>
      </c>
      <c r="FX127" s="161" t="e">
        <f t="shared" si="153"/>
        <v>#N/A</v>
      </c>
      <c r="FY127" s="169" t="e">
        <f t="shared" si="154"/>
        <v>#N/A</v>
      </c>
      <c r="FZ127" s="7" t="e">
        <f t="shared" si="145"/>
        <v>#N/A</v>
      </c>
      <c r="GA127" t="e">
        <f t="shared" si="155"/>
        <v>#N/A</v>
      </c>
      <c r="GB127" s="8" t="e">
        <f t="shared" si="156"/>
        <v>#N/A</v>
      </c>
      <c r="GC127" s="8" t="e">
        <f t="shared" si="157"/>
        <v>#N/A</v>
      </c>
      <c r="GD127" s="168" t="e">
        <f t="shared" si="158"/>
        <v>#N/A</v>
      </c>
      <c r="GE127" s="168"/>
      <c r="GF127" s="168"/>
      <c r="GI127" s="54">
        <f t="shared" si="203"/>
        <v>117</v>
      </c>
      <c r="GJ127" s="54">
        <f t="shared" si="204"/>
        <v>118</v>
      </c>
      <c r="GK127" s="54">
        <f t="shared" si="205"/>
        <v>-0.28746347034119202</v>
      </c>
      <c r="GL127" s="54">
        <f t="shared" si="206"/>
        <v>0.38279481799811688</v>
      </c>
      <c r="GM127" s="54" t="e">
        <f t="shared" si="207"/>
        <v>#N/A</v>
      </c>
      <c r="GN127" s="54" t="e">
        <f t="shared" si="208"/>
        <v>#N/A</v>
      </c>
      <c r="GO127" s="54" t="e">
        <f t="shared" si="209"/>
        <v>#N/A</v>
      </c>
      <c r="GP127" s="54" t="b">
        <f t="shared" si="210"/>
        <v>0</v>
      </c>
      <c r="GQ127" s="54" t="b">
        <f t="shared" si="211"/>
        <v>1</v>
      </c>
      <c r="GR127" s="54" t="b">
        <f t="shared" si="212"/>
        <v>0</v>
      </c>
      <c r="GS127" s="54" t="b">
        <f t="shared" si="213"/>
        <v>1</v>
      </c>
      <c r="GT127" s="54">
        <f t="shared" si="214"/>
        <v>0.38279481799811688</v>
      </c>
      <c r="GU127" s="54" t="e">
        <f t="shared" si="215"/>
        <v>#N/A</v>
      </c>
      <c r="GV127" s="54">
        <f t="shared" si="216"/>
        <v>0.38279481799811688</v>
      </c>
      <c r="GW127" s="72" t="str">
        <f t="shared" si="217"/>
        <v/>
      </c>
      <c r="HC127" s="54">
        <f t="shared" si="218"/>
        <v>117</v>
      </c>
      <c r="HD127" s="54">
        <f t="shared" si="219"/>
        <v>118</v>
      </c>
      <c r="HE127" s="54">
        <f t="shared" si="220"/>
        <v>-0.44514322126868233</v>
      </c>
      <c r="HF127" s="54" t="e">
        <f t="shared" si="221"/>
        <v>#N/A</v>
      </c>
      <c r="HG127" s="54">
        <f t="shared" si="222"/>
        <v>0.34431748323144512</v>
      </c>
      <c r="HH127" s="54" t="e">
        <f t="shared" si="223"/>
        <v>#N/A</v>
      </c>
      <c r="HI127" s="54" t="e">
        <f t="shared" si="224"/>
        <v>#N/A</v>
      </c>
      <c r="HJ127" s="54" t="b">
        <f t="shared" si="225"/>
        <v>1</v>
      </c>
      <c r="HK127" s="54" t="b">
        <f t="shared" si="226"/>
        <v>0</v>
      </c>
      <c r="HL127" s="54" t="b">
        <f t="shared" si="227"/>
        <v>0</v>
      </c>
      <c r="HM127" s="54" t="b">
        <f t="shared" si="228"/>
        <v>1</v>
      </c>
      <c r="HN127" s="54">
        <f t="shared" si="229"/>
        <v>0.34431748323144512</v>
      </c>
      <c r="HO127" s="54">
        <f t="shared" si="230"/>
        <v>0.34431748323144512</v>
      </c>
      <c r="HP127" s="54" t="e">
        <f t="shared" si="231"/>
        <v>#N/A</v>
      </c>
      <c r="HQ127" s="72" t="str">
        <f t="shared" si="232"/>
        <v/>
      </c>
    </row>
    <row r="128" spans="71:225" x14ac:dyDescent="0.2">
      <c r="BS128" s="54">
        <f t="shared" si="159"/>
        <v>118</v>
      </c>
      <c r="BT128" s="54">
        <f>Eu_tabel_g[[#This Row],[Indeks]]+1</f>
        <v>119</v>
      </c>
      <c r="BU128" s="54">
        <f t="shared" si="160"/>
        <v>-0.26350818114609265</v>
      </c>
      <c r="BV128" s="54">
        <f t="shared" si="161"/>
        <v>0.38532936613430413</v>
      </c>
      <c r="BW128" s="54" t="e">
        <f t="shared" si="162"/>
        <v>#N/A</v>
      </c>
      <c r="BX128" s="54" t="e">
        <f t="shared" si="163"/>
        <v>#N/A</v>
      </c>
      <c r="BY128" s="54" t="e">
        <f t="shared" si="164"/>
        <v>#N/A</v>
      </c>
      <c r="BZ128" s="54" t="b">
        <f t="shared" si="165"/>
        <v>0</v>
      </c>
      <c r="CA128" s="54" t="b">
        <f t="shared" si="166"/>
        <v>1</v>
      </c>
      <c r="CB128" s="54" t="b">
        <f t="shared" si="167"/>
        <v>0</v>
      </c>
      <c r="CC128" s="54" t="b">
        <f t="shared" si="168"/>
        <v>1</v>
      </c>
      <c r="CD128" s="54">
        <f t="shared" si="239"/>
        <v>0.38532936613430413</v>
      </c>
      <c r="CE128" s="54" t="e">
        <f t="shared" si="169"/>
        <v>#N/A</v>
      </c>
      <c r="CF128" s="54">
        <f t="shared" si="170"/>
        <v>0.38532936613430413</v>
      </c>
      <c r="CG128" s="72" t="str">
        <f t="shared" si="171"/>
        <v/>
      </c>
      <c r="CH128" s="54">
        <f>_xlfn.NORM.DIST(_xlfn.NORM.INV(1-Eu_g_konfidensniveau,0,1)-Eu_tabel_g[[#This Row],[x base]],0,1,TRUE)</f>
        <v>8.358638557164863E-2</v>
      </c>
      <c r="CI128" s="54">
        <f>1-_xlfn.NORM.DIST(_xlfn.NORM.INV(Eu_g_konfidensniveau,0,1)-Eu_tabel_g[[#This Row],[x base]],0,1,TRUE)</f>
        <v>2.8172234747108615E-2</v>
      </c>
      <c r="CJ128" s="54">
        <f>_xlfn.NORM.DIST(_xlfn.NORM.INV((1-Eu_g_konfidensniveau)/2,0,1)-Eu_tabel_g[[#This Row],[x base]],0,1,TRUE)+1-_xlfn.NORM.DIST(_xlfn.NORM.INV(1-(1-Eu_g_konfidensniveau)/2,0,1)-Eu_tabel_g[[#This Row],[x base]],0,1,TRUE)</f>
        <v>5.7991785795311168E-2</v>
      </c>
      <c r="CK128" s="54" t="e" cm="1">
        <f t="array" ref="CK128">IF($CK$3,INDEX(Eu_tabel_g[[#This Row],[Styrke venstre]:[Styrke tosidet]],CK$7),NA())</f>
        <v>#N/A</v>
      </c>
      <c r="CL128" s="99" t="e">
        <f>Eu_tabel_g[[#This Row],[Falsk positiv
Nulhypotese accepteres
Fejltype 1]]</f>
        <v>#N/A</v>
      </c>
      <c r="CM128" s="99" t="e">
        <f>IF(CHOOSE(CK$7,Eu_tabel_g[[#This Row],[x base]]&gt;0,Eu_tabel_g[[#This Row],[x base]]&lt;0,Eu_tabel_g[[#This Row],[x base]]=0),Eu_tabel_g[[#This Row],[Styrke, aktiv]],NA())</f>
        <v>#N/A</v>
      </c>
      <c r="CN128" s="99" t="e">
        <f>IFERROR(IF($CK$3,Eu_tabel_g[[#This Row],[Styrke, aktiv]],NA()),NA())</f>
        <v>#N/A</v>
      </c>
      <c r="CO128" s="99" t="e">
        <f>IF(ISNA(Eu_tabel_g[[#This Row],[Sand negativ
Nulhypotese afvises
Korrekt]]),NA(),IF($CK$3,1,NA()))</f>
        <v>#N/A</v>
      </c>
      <c r="CP128" s="56" t="str" cm="1">
        <f t="array" ref="CP128">_xlfn.SWITCH(BS128,_xlfn.IFNA(CN$2,-99),CN$5,_xlfn.IFNA(CN$3,-99),CN$6,_xlfn.IFNA(CN$4,-99),CN$7,"")</f>
        <v/>
      </c>
      <c r="CT128" s="7">
        <f t="shared" si="172"/>
        <v>0.8</v>
      </c>
      <c r="CU128">
        <f>IF(ROW(Styrkeberegning_G[[#This Row],[X base venstre]])=ROW(Styrkeberegning_G[[#Headers],[X base venstre]])+1,CU$7/(CT$7/$B$67),CU127/(CT127/$B$67))</f>
        <v>-2.8015817870135784</v>
      </c>
      <c r="CV128">
        <f>Styrkeberegning_G[[#This Row],[X base venstre]]*-1</f>
        <v>2.8015817870135784</v>
      </c>
      <c r="DG128" s="54">
        <f t="shared" si="173"/>
        <v>118</v>
      </c>
      <c r="DH128" s="54">
        <f t="shared" si="174"/>
        <v>119</v>
      </c>
      <c r="DI128" s="54">
        <f t="shared" si="175"/>
        <v>15.294213721859808</v>
      </c>
      <c r="DJ128" s="54" t="e">
        <f t="shared" si="176"/>
        <v>#N/A</v>
      </c>
      <c r="DK128" s="54" t="e">
        <f t="shared" si="177"/>
        <v>#N/A</v>
      </c>
      <c r="DL128" s="54">
        <f t="shared" si="178"/>
        <v>4.3127485856716836E-2</v>
      </c>
      <c r="DM128" s="54" t="e">
        <f t="shared" si="179"/>
        <v>#N/A</v>
      </c>
      <c r="DN128" s="54" t="b">
        <f t="shared" si="180"/>
        <v>0</v>
      </c>
      <c r="DO128" s="54" t="b">
        <f t="shared" si="181"/>
        <v>1</v>
      </c>
      <c r="DP128" s="54" t="b">
        <f t="shared" si="182"/>
        <v>0</v>
      </c>
      <c r="DQ128" s="54" t="b">
        <f t="shared" si="183"/>
        <v>1</v>
      </c>
      <c r="DR128" s="54">
        <f t="shared" si="184"/>
        <v>4.3127485856716836E-2</v>
      </c>
      <c r="DS128" s="54" t="e">
        <f t="shared" si="185"/>
        <v>#N/A</v>
      </c>
      <c r="DT128" s="54">
        <f t="shared" si="186"/>
        <v>4.3127485856716836E-2</v>
      </c>
      <c r="DU128" s="72" t="str">
        <f t="shared" si="187"/>
        <v/>
      </c>
      <c r="DZ128" s="54">
        <f t="shared" si="188"/>
        <v>118</v>
      </c>
      <c r="EA128" s="54">
        <f t="shared" si="189"/>
        <v>119</v>
      </c>
      <c r="EB128" s="54">
        <f t="shared" si="190"/>
        <v>-0.26350818114609265</v>
      </c>
      <c r="EC128" s="54">
        <f t="shared" si="191"/>
        <v>0.38532936613430413</v>
      </c>
      <c r="ED128" s="54" t="e">
        <f t="shared" si="192"/>
        <v>#N/A</v>
      </c>
      <c r="EE128" s="54" t="e">
        <f t="shared" si="193"/>
        <v>#N/A</v>
      </c>
      <c r="EF128" s="54" t="e">
        <f t="shared" si="194"/>
        <v>#N/A</v>
      </c>
      <c r="EG128" s="54" t="b">
        <f t="shared" si="195"/>
        <v>0</v>
      </c>
      <c r="EH128" s="54" t="b">
        <f t="shared" si="196"/>
        <v>1</v>
      </c>
      <c r="EI128" s="54" t="b">
        <f t="shared" si="197"/>
        <v>0</v>
      </c>
      <c r="EJ128" s="54" t="b">
        <f t="shared" si="198"/>
        <v>1</v>
      </c>
      <c r="EK128" s="54">
        <f t="shared" si="199"/>
        <v>0.38532936613430413</v>
      </c>
      <c r="EL128" s="54" t="e">
        <f t="shared" si="200"/>
        <v>#N/A</v>
      </c>
      <c r="EM128" s="54">
        <f t="shared" si="201"/>
        <v>0.38532936613430413</v>
      </c>
      <c r="EN128" s="72" t="str">
        <f t="shared" si="202"/>
        <v/>
      </c>
      <c r="EO12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2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2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28" s="54" t="e" cm="1">
        <f t="array" ref="ER128">IF($CK$3,INDEX(Eu_tabel_a[[#This Row],[Styrke venstre]:[Styrke tosidet]],ER$7),NA())</f>
        <v>#N/A</v>
      </c>
      <c r="ES128" s="54" t="e">
        <f>IF(ER$3,IF(CHOOSE(ER$7,Eu_tabel_a[[#This Row],[x base]]&gt;0,Eu_tabel_a[[#This Row],[x base]]&lt;0,Eu_tabel_a[[#This Row],[x base]]=0),1,NA()),NA())</f>
        <v>#N/A</v>
      </c>
      <c r="ET128" s="54" t="e">
        <f>IF(CHOOSE(ER$7,Eu_tabel_a[[#This Row],[x base]]&gt;0,Eu_tabel_a[[#This Row],[x base]]&lt;0,Eu_tabel_a[[#This Row],[x base]]=0),Eu_tabel_a[[#This Row],[Styrke, aktiv]],NA())</f>
        <v>#N/A</v>
      </c>
      <c r="EU128" s="54" t="e">
        <f>IFERROR(IF($ER$3,Eu_tabel_a[[#This Row],[Styrke, aktiv]],NA()),NA())</f>
        <v>#N/A</v>
      </c>
      <c r="EV128" s="54" t="e">
        <f>IF(ISNA(Eu_tabel_a[[#This Row],[Sand negativ
Nulhypotese afvises
Korrekt]]),NA(),IF(ER$3,1,NA()))</f>
        <v>#N/A</v>
      </c>
      <c r="EW128" s="55" t="str" cm="1">
        <f t="array" ref="EW128">IFERROR(_xlfn.SWITCH(Eu_tabel_a[[#This Row],[Indeks]],_xlfn.IFNA(EU$2,-99),EU$5,_xlfn.IFNA(EU$3,-99),EU$6,_xlfn.IFNA(EU$4,-99),EU$7,""),"")</f>
        <v/>
      </c>
      <c r="EX128" s="54">
        <f>Eu_tabel_a[[#This Row],[x base]]*SQRT(Eu_a_h0_x*(1-Eu_a_h0_x)/Eu_a_n_x)+Eu_a_h0_x</f>
        <v>0</v>
      </c>
      <c r="FC128" s="161" t="e">
        <f t="shared" si="146"/>
        <v>#N/A</v>
      </c>
      <c r="FD128" s="169" t="e">
        <f t="shared" si="234"/>
        <v>#DIV/0!</v>
      </c>
      <c r="FE128" s="7" t="e">
        <f t="shared" si="140"/>
        <v>#DIV/0!</v>
      </c>
      <c r="FF128" t="e">
        <f t="shared" si="235"/>
        <v>#DIV/0!</v>
      </c>
      <c r="FG128" s="8" t="e">
        <f t="shared" si="236"/>
        <v>#DIV/0!</v>
      </c>
      <c r="FH128" s="8" t="e">
        <f t="shared" si="237"/>
        <v>#DIV/0!</v>
      </c>
      <c r="FI128" s="168" t="e">
        <f t="shared" si="238"/>
        <v>#DIV/0!</v>
      </c>
      <c r="FJ128" s="161" t="e">
        <f t="shared" ca="1" si="141"/>
        <v>#N/A</v>
      </c>
      <c r="FK128" s="169" t="e" vm="3">
        <f t="shared" ca="1" si="147"/>
        <v>#VALUE!</v>
      </c>
      <c r="FL128" s="7" t="e" vm="3">
        <f t="shared" ca="1" si="142"/>
        <v>#VALUE!</v>
      </c>
      <c r="FM128" t="e" vm="3">
        <f t="shared" ca="1" si="136"/>
        <v>#VALUE!</v>
      </c>
      <c r="FN128" s="8" t="e" vm="3">
        <f t="shared" ca="1" si="137"/>
        <v>#VALUE!</v>
      </c>
      <c r="FO128" s="8" t="e" vm="3">
        <f t="shared" ca="1" si="138"/>
        <v>#VALUE!</v>
      </c>
      <c r="FP128" s="168" t="e" vm="3">
        <f t="shared" ca="1" si="139"/>
        <v>#VALUE!</v>
      </c>
      <c r="FQ128" s="161" t="e">
        <f t="shared" si="143"/>
        <v>#N/A</v>
      </c>
      <c r="FR128" s="169" t="e">
        <f t="shared" si="148"/>
        <v>#N/A</v>
      </c>
      <c r="FS128" s="7" t="e">
        <f t="shared" si="144"/>
        <v>#N/A</v>
      </c>
      <c r="FT128" t="e">
        <f t="shared" si="149"/>
        <v>#N/A</v>
      </c>
      <c r="FU128" s="8" t="e">
        <f t="shared" si="150"/>
        <v>#N/A</v>
      </c>
      <c r="FV128" s="8" t="e">
        <f t="shared" si="151"/>
        <v>#N/A</v>
      </c>
      <c r="FW128" s="168" t="e">
        <f t="shared" si="152"/>
        <v>#N/A</v>
      </c>
      <c r="FX128" s="161" t="e">
        <f t="shared" si="153"/>
        <v>#N/A</v>
      </c>
      <c r="FY128" s="169" t="e">
        <f t="shared" si="154"/>
        <v>#N/A</v>
      </c>
      <c r="FZ128" s="7" t="e">
        <f t="shared" si="145"/>
        <v>#N/A</v>
      </c>
      <c r="GA128" t="e">
        <f t="shared" si="155"/>
        <v>#N/A</v>
      </c>
      <c r="GB128" s="8" t="e">
        <f t="shared" si="156"/>
        <v>#N/A</v>
      </c>
      <c r="GC128" s="8" t="e">
        <f t="shared" si="157"/>
        <v>#N/A</v>
      </c>
      <c r="GD128" s="168" t="e">
        <f t="shared" si="158"/>
        <v>#N/A</v>
      </c>
      <c r="GE128" s="168"/>
      <c r="GF128" s="168"/>
      <c r="GI128" s="54">
        <f t="shared" si="203"/>
        <v>118</v>
      </c>
      <c r="GJ128" s="54">
        <f t="shared" si="204"/>
        <v>119</v>
      </c>
      <c r="GK128" s="54">
        <f t="shared" si="205"/>
        <v>-0.26350818114609265</v>
      </c>
      <c r="GL128" s="54">
        <f t="shared" si="206"/>
        <v>0.38532936613430413</v>
      </c>
      <c r="GM128" s="54" t="e">
        <f t="shared" si="207"/>
        <v>#N/A</v>
      </c>
      <c r="GN128" s="54" t="e">
        <f t="shared" si="208"/>
        <v>#N/A</v>
      </c>
      <c r="GO128" s="54" t="e">
        <f t="shared" si="209"/>
        <v>#N/A</v>
      </c>
      <c r="GP128" s="54" t="b">
        <f t="shared" si="210"/>
        <v>0</v>
      </c>
      <c r="GQ128" s="54" t="b">
        <f t="shared" si="211"/>
        <v>1</v>
      </c>
      <c r="GR128" s="54" t="b">
        <f t="shared" si="212"/>
        <v>0</v>
      </c>
      <c r="GS128" s="54" t="b">
        <f t="shared" si="213"/>
        <v>1</v>
      </c>
      <c r="GT128" s="54">
        <f t="shared" si="214"/>
        <v>0.38532936613430413</v>
      </c>
      <c r="GU128" s="54" t="e">
        <f t="shared" si="215"/>
        <v>#N/A</v>
      </c>
      <c r="GV128" s="54">
        <f t="shared" si="216"/>
        <v>0.38532936613430413</v>
      </c>
      <c r="GW128" s="72" t="str">
        <f t="shared" si="217"/>
        <v/>
      </c>
      <c r="HC128" s="54">
        <f t="shared" si="218"/>
        <v>118</v>
      </c>
      <c r="HD128" s="54">
        <f t="shared" si="219"/>
        <v>119</v>
      </c>
      <c r="HE128" s="54">
        <f t="shared" si="220"/>
        <v>-0.4080479528296248</v>
      </c>
      <c r="HF128" s="54" t="e">
        <f t="shared" si="221"/>
        <v>#N/A</v>
      </c>
      <c r="HG128" s="54">
        <f t="shared" si="222"/>
        <v>0.35044031794837699</v>
      </c>
      <c r="HH128" s="54" t="e">
        <f t="shared" si="223"/>
        <v>#N/A</v>
      </c>
      <c r="HI128" s="54" t="e">
        <f t="shared" si="224"/>
        <v>#N/A</v>
      </c>
      <c r="HJ128" s="54" t="b">
        <f t="shared" si="225"/>
        <v>1</v>
      </c>
      <c r="HK128" s="54" t="b">
        <f t="shared" si="226"/>
        <v>0</v>
      </c>
      <c r="HL128" s="54" t="b">
        <f t="shared" si="227"/>
        <v>0</v>
      </c>
      <c r="HM128" s="54" t="b">
        <f t="shared" si="228"/>
        <v>1</v>
      </c>
      <c r="HN128" s="54">
        <f t="shared" si="229"/>
        <v>0.35044031794837699</v>
      </c>
      <c r="HO128" s="54">
        <f t="shared" si="230"/>
        <v>0.35044031794837699</v>
      </c>
      <c r="HP128" s="54" t="e">
        <f t="shared" si="231"/>
        <v>#N/A</v>
      </c>
      <c r="HQ128" s="72" t="str">
        <f t="shared" si="232"/>
        <v/>
      </c>
    </row>
    <row r="129" spans="71:225" x14ac:dyDescent="0.2">
      <c r="BS129" s="54">
        <f t="shared" si="159"/>
        <v>119</v>
      </c>
      <c r="BT129" s="54">
        <f>Eu_tabel_g[[#This Row],[Indeks]]+1</f>
        <v>120</v>
      </c>
      <c r="BU129" s="54">
        <f t="shared" si="160"/>
        <v>-0.23955289195099327</v>
      </c>
      <c r="BV129" s="54">
        <f t="shared" si="161"/>
        <v>0.38765817217124104</v>
      </c>
      <c r="BW129" s="54" t="e">
        <f t="shared" si="162"/>
        <v>#N/A</v>
      </c>
      <c r="BX129" s="54" t="e">
        <f t="shared" si="163"/>
        <v>#N/A</v>
      </c>
      <c r="BY129" s="54" t="e">
        <f t="shared" si="164"/>
        <v>#N/A</v>
      </c>
      <c r="BZ129" s="54" t="b">
        <f t="shared" si="165"/>
        <v>0</v>
      </c>
      <c r="CA129" s="54" t="b">
        <f t="shared" si="166"/>
        <v>1</v>
      </c>
      <c r="CB129" s="54" t="b">
        <f t="shared" si="167"/>
        <v>0</v>
      </c>
      <c r="CC129" s="54" t="b">
        <f t="shared" si="168"/>
        <v>1</v>
      </c>
      <c r="CD129" s="54">
        <f t="shared" si="239"/>
        <v>0.38765817217124104</v>
      </c>
      <c r="CE129" s="54" t="e">
        <f t="shared" si="169"/>
        <v>#N/A</v>
      </c>
      <c r="CF129" s="54">
        <f t="shared" si="170"/>
        <v>0.38765817217124104</v>
      </c>
      <c r="CG129" s="72" t="str">
        <f t="shared" si="171"/>
        <v/>
      </c>
      <c r="CH129" s="54">
        <f>_xlfn.NORM.DIST(_xlfn.NORM.INV(1-Eu_g_konfidensniveau,0,1)-Eu_tabel_g[[#This Row],[x base]],0,1,TRUE)</f>
        <v>7.9965934948739603E-2</v>
      </c>
      <c r="CI129" s="54">
        <f>1-_xlfn.NORM.DIST(_xlfn.NORM.INV(Eu_g_konfidensniveau,0,1)-Eu_tabel_g[[#This Row],[x base]],0,1,TRUE)</f>
        <v>2.9755004368531734E-2</v>
      </c>
      <c r="CJ129" s="54">
        <f>_xlfn.NORM.DIST(_xlfn.NORM.INV((1-Eu_g_konfidensniveau)/2,0,1)-Eu_tabel_g[[#This Row],[x base]],0,1,TRUE)+1-_xlfn.NORM.DIST(_xlfn.NORM.INV(1-(1-Eu_g_konfidensniveau)/2,0,1)-Eu_tabel_g[[#This Row],[x base]],0,1,TRUE)</f>
        <v>5.6599466268946075E-2</v>
      </c>
      <c r="CK129" s="54" t="e" cm="1">
        <f t="array" ref="CK129">IF($CK$3,INDEX(Eu_tabel_g[[#This Row],[Styrke venstre]:[Styrke tosidet]],CK$7),NA())</f>
        <v>#N/A</v>
      </c>
      <c r="CL129" s="99" t="e">
        <f>Eu_tabel_g[[#This Row],[Falsk positiv
Nulhypotese accepteres
Fejltype 1]]</f>
        <v>#N/A</v>
      </c>
      <c r="CM129" s="99" t="e">
        <f>IF(CHOOSE(CK$7,Eu_tabel_g[[#This Row],[x base]]&gt;0,Eu_tabel_g[[#This Row],[x base]]&lt;0,Eu_tabel_g[[#This Row],[x base]]=0),Eu_tabel_g[[#This Row],[Styrke, aktiv]],NA())</f>
        <v>#N/A</v>
      </c>
      <c r="CN129" s="99" t="e">
        <f>IFERROR(IF($CK$3,Eu_tabel_g[[#This Row],[Styrke, aktiv]],NA()),NA())</f>
        <v>#N/A</v>
      </c>
      <c r="CO129" s="99" t="e">
        <f>IF(ISNA(Eu_tabel_g[[#This Row],[Sand negativ
Nulhypotese afvises
Korrekt]]),NA(),IF($CK$3,1,NA()))</f>
        <v>#N/A</v>
      </c>
      <c r="CP129" s="56" t="str" cm="1">
        <f t="array" ref="CP129">_xlfn.SWITCH(BS129,_xlfn.IFNA(CN$2,-99),CN$5,_xlfn.IFNA(CN$3,-99),CN$6,_xlfn.IFNA(CN$4,-99),CN$7,"")</f>
        <v/>
      </c>
      <c r="CT129" s="7">
        <f t="shared" si="172"/>
        <v>0.8</v>
      </c>
      <c r="CU129">
        <f>IF(ROW(Styrkeberegning_G[[#This Row],[X base venstre]])=ROW(Styrkeberegning_G[[#Headers],[X base venstre]])+1,CU$7/(CT$7/$B$67),CU128/(CT128/$B$67))</f>
        <v>-2.8015817870135784</v>
      </c>
      <c r="CV129">
        <f>Styrkeberegning_G[[#This Row],[X base venstre]]*-1</f>
        <v>2.8015817870135784</v>
      </c>
      <c r="DG129" s="54">
        <f t="shared" si="173"/>
        <v>119</v>
      </c>
      <c r="DH129" s="54">
        <f t="shared" si="174"/>
        <v>120</v>
      </c>
      <c r="DI129" s="54">
        <f t="shared" si="175"/>
        <v>15.40828457827681</v>
      </c>
      <c r="DJ129" s="54" t="e">
        <f t="shared" si="176"/>
        <v>#N/A</v>
      </c>
      <c r="DK129" s="54" t="e">
        <f t="shared" si="177"/>
        <v>#N/A</v>
      </c>
      <c r="DL129" s="54">
        <f t="shared" si="178"/>
        <v>4.2121718601716034E-2</v>
      </c>
      <c r="DM129" s="54" t="e">
        <f t="shared" si="179"/>
        <v>#N/A</v>
      </c>
      <c r="DN129" s="54" t="b">
        <f t="shared" si="180"/>
        <v>0</v>
      </c>
      <c r="DO129" s="54" t="b">
        <f t="shared" si="181"/>
        <v>1</v>
      </c>
      <c r="DP129" s="54" t="b">
        <f t="shared" si="182"/>
        <v>0</v>
      </c>
      <c r="DQ129" s="54" t="b">
        <f t="shared" si="183"/>
        <v>1</v>
      </c>
      <c r="DR129" s="54">
        <f t="shared" si="184"/>
        <v>4.2121718601716034E-2</v>
      </c>
      <c r="DS129" s="54" t="e">
        <f t="shared" si="185"/>
        <v>#N/A</v>
      </c>
      <c r="DT129" s="54">
        <f t="shared" si="186"/>
        <v>4.2121718601716034E-2</v>
      </c>
      <c r="DU129" s="72" t="str">
        <f t="shared" si="187"/>
        <v/>
      </c>
      <c r="DZ129" s="54">
        <f t="shared" si="188"/>
        <v>119</v>
      </c>
      <c r="EA129" s="54">
        <f t="shared" si="189"/>
        <v>120</v>
      </c>
      <c r="EB129" s="54">
        <f t="shared" si="190"/>
        <v>-0.23955289195099327</v>
      </c>
      <c r="EC129" s="54">
        <f t="shared" si="191"/>
        <v>0.38765817217124104</v>
      </c>
      <c r="ED129" s="54" t="e">
        <f t="shared" si="192"/>
        <v>#N/A</v>
      </c>
      <c r="EE129" s="54" t="e">
        <f t="shared" si="193"/>
        <v>#N/A</v>
      </c>
      <c r="EF129" s="54" t="e">
        <f t="shared" si="194"/>
        <v>#N/A</v>
      </c>
      <c r="EG129" s="54" t="b">
        <f t="shared" si="195"/>
        <v>0</v>
      </c>
      <c r="EH129" s="54" t="b">
        <f t="shared" si="196"/>
        <v>1</v>
      </c>
      <c r="EI129" s="54" t="b">
        <f t="shared" si="197"/>
        <v>0</v>
      </c>
      <c r="EJ129" s="54" t="b">
        <f t="shared" si="198"/>
        <v>1</v>
      </c>
      <c r="EK129" s="54">
        <f t="shared" si="199"/>
        <v>0.38765817217124104</v>
      </c>
      <c r="EL129" s="54" t="e">
        <f t="shared" si="200"/>
        <v>#N/A</v>
      </c>
      <c r="EM129" s="54">
        <f t="shared" si="201"/>
        <v>0.38765817217124104</v>
      </c>
      <c r="EN129" s="72" t="str">
        <f t="shared" si="202"/>
        <v/>
      </c>
      <c r="EO12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2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2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29" s="54" t="e" cm="1">
        <f t="array" ref="ER129">IF($CK$3,INDEX(Eu_tabel_a[[#This Row],[Styrke venstre]:[Styrke tosidet]],ER$7),NA())</f>
        <v>#N/A</v>
      </c>
      <c r="ES129" s="54" t="e">
        <f>IF(ER$3,IF(CHOOSE(ER$7,Eu_tabel_a[[#This Row],[x base]]&gt;0,Eu_tabel_a[[#This Row],[x base]]&lt;0,Eu_tabel_a[[#This Row],[x base]]=0),1,NA()),NA())</f>
        <v>#N/A</v>
      </c>
      <c r="ET129" s="54" t="e">
        <f>IF(CHOOSE(ER$7,Eu_tabel_a[[#This Row],[x base]]&gt;0,Eu_tabel_a[[#This Row],[x base]]&lt;0,Eu_tabel_a[[#This Row],[x base]]=0),Eu_tabel_a[[#This Row],[Styrke, aktiv]],NA())</f>
        <v>#N/A</v>
      </c>
      <c r="EU129" s="54" t="e">
        <f>IFERROR(IF($ER$3,Eu_tabel_a[[#This Row],[Styrke, aktiv]],NA()),NA())</f>
        <v>#N/A</v>
      </c>
      <c r="EV129" s="54" t="e">
        <f>IF(ISNA(Eu_tabel_a[[#This Row],[Sand negativ
Nulhypotese afvises
Korrekt]]),NA(),IF(ER$3,1,NA()))</f>
        <v>#N/A</v>
      </c>
      <c r="EW129" s="55" t="str" cm="1">
        <f t="array" ref="EW129">IFERROR(_xlfn.SWITCH(Eu_tabel_a[[#This Row],[Indeks]],_xlfn.IFNA(EU$2,-99),EU$5,_xlfn.IFNA(EU$3,-99),EU$6,_xlfn.IFNA(EU$4,-99),EU$7,""),"")</f>
        <v/>
      </c>
      <c r="EX129" s="54">
        <f>Eu_tabel_a[[#This Row],[x base]]*SQRT(Eu_a_h0_x*(1-Eu_a_h0_x)/Eu_a_n_x)+Eu_a_h0_x</f>
        <v>0</v>
      </c>
      <c r="FC129" s="161" t="e">
        <f t="shared" si="146"/>
        <v>#N/A</v>
      </c>
      <c r="FD129" s="169" t="e">
        <f t="shared" si="234"/>
        <v>#DIV/0!</v>
      </c>
      <c r="FE129" s="7" t="e">
        <f t="shared" si="140"/>
        <v>#DIV/0!</v>
      </c>
      <c r="FF129" t="e">
        <f t="shared" si="235"/>
        <v>#DIV/0!</v>
      </c>
      <c r="FG129" s="8" t="e">
        <f t="shared" si="236"/>
        <v>#DIV/0!</v>
      </c>
      <c r="FH129" s="8" t="e">
        <f t="shared" si="237"/>
        <v>#DIV/0!</v>
      </c>
      <c r="FI129" s="168" t="e">
        <f t="shared" si="238"/>
        <v>#DIV/0!</v>
      </c>
      <c r="FJ129" s="161" t="e">
        <f t="shared" ca="1" si="141"/>
        <v>#N/A</v>
      </c>
      <c r="FK129" s="169" t="e" vm="3">
        <f t="shared" ca="1" si="147"/>
        <v>#VALUE!</v>
      </c>
      <c r="FL129" s="7" t="e" vm="3">
        <f t="shared" ca="1" si="142"/>
        <v>#VALUE!</v>
      </c>
      <c r="FM129" t="e" vm="3">
        <f t="shared" ca="1" si="136"/>
        <v>#VALUE!</v>
      </c>
      <c r="FN129" s="8" t="e" vm="3">
        <f t="shared" ca="1" si="137"/>
        <v>#VALUE!</v>
      </c>
      <c r="FO129" s="8" t="e" vm="3">
        <f t="shared" ca="1" si="138"/>
        <v>#VALUE!</v>
      </c>
      <c r="FP129" s="168" t="e" vm="3">
        <f t="shared" ca="1" si="139"/>
        <v>#VALUE!</v>
      </c>
      <c r="FQ129" s="161" t="e">
        <f t="shared" si="143"/>
        <v>#N/A</v>
      </c>
      <c r="FR129" s="169" t="e">
        <f t="shared" si="148"/>
        <v>#N/A</v>
      </c>
      <c r="FS129" s="7" t="e">
        <f t="shared" si="144"/>
        <v>#N/A</v>
      </c>
      <c r="FT129" t="e">
        <f t="shared" si="149"/>
        <v>#N/A</v>
      </c>
      <c r="FU129" s="8" t="e">
        <f t="shared" si="150"/>
        <v>#N/A</v>
      </c>
      <c r="FV129" s="8" t="e">
        <f t="shared" si="151"/>
        <v>#N/A</v>
      </c>
      <c r="FW129" s="168" t="e">
        <f t="shared" si="152"/>
        <v>#N/A</v>
      </c>
      <c r="FX129" s="161" t="e">
        <f t="shared" si="153"/>
        <v>#N/A</v>
      </c>
      <c r="FY129" s="169" t="e">
        <f t="shared" si="154"/>
        <v>#N/A</v>
      </c>
      <c r="FZ129" s="7" t="e">
        <f t="shared" si="145"/>
        <v>#N/A</v>
      </c>
      <c r="GA129" t="e">
        <f t="shared" si="155"/>
        <v>#N/A</v>
      </c>
      <c r="GB129" s="8" t="e">
        <f t="shared" si="156"/>
        <v>#N/A</v>
      </c>
      <c r="GC129" s="8" t="e">
        <f t="shared" si="157"/>
        <v>#N/A</v>
      </c>
      <c r="GD129" s="168" t="e">
        <f t="shared" si="158"/>
        <v>#N/A</v>
      </c>
      <c r="GE129" s="168"/>
      <c r="GF129" s="168"/>
      <c r="GI129" s="54">
        <f t="shared" si="203"/>
        <v>119</v>
      </c>
      <c r="GJ129" s="54">
        <f t="shared" si="204"/>
        <v>120</v>
      </c>
      <c r="GK129" s="54">
        <f t="shared" si="205"/>
        <v>-0.23955289195099327</v>
      </c>
      <c r="GL129" s="54">
        <f t="shared" si="206"/>
        <v>0.38765817217124104</v>
      </c>
      <c r="GM129" s="54" t="e">
        <f t="shared" si="207"/>
        <v>#N/A</v>
      </c>
      <c r="GN129" s="54" t="e">
        <f t="shared" si="208"/>
        <v>#N/A</v>
      </c>
      <c r="GO129" s="54" t="e">
        <f t="shared" si="209"/>
        <v>#N/A</v>
      </c>
      <c r="GP129" s="54" t="b">
        <f t="shared" si="210"/>
        <v>0</v>
      </c>
      <c r="GQ129" s="54" t="b">
        <f t="shared" si="211"/>
        <v>1</v>
      </c>
      <c r="GR129" s="54" t="b">
        <f t="shared" si="212"/>
        <v>0</v>
      </c>
      <c r="GS129" s="54" t="b">
        <f t="shared" si="213"/>
        <v>1</v>
      </c>
      <c r="GT129" s="54">
        <f t="shared" si="214"/>
        <v>0.38765817217124104</v>
      </c>
      <c r="GU129" s="54" t="e">
        <f t="shared" si="215"/>
        <v>#N/A</v>
      </c>
      <c r="GV129" s="54">
        <f t="shared" si="216"/>
        <v>0.38765817217124104</v>
      </c>
      <c r="GW129" s="72" t="str">
        <f t="shared" si="217"/>
        <v/>
      </c>
      <c r="HC129" s="54">
        <f t="shared" si="218"/>
        <v>119</v>
      </c>
      <c r="HD129" s="54">
        <f t="shared" si="219"/>
        <v>120</v>
      </c>
      <c r="HE129" s="54">
        <f t="shared" si="220"/>
        <v>-0.37095268439056817</v>
      </c>
      <c r="HF129" s="54" t="e">
        <f t="shared" si="221"/>
        <v>#N/A</v>
      </c>
      <c r="HG129" s="54">
        <f t="shared" si="222"/>
        <v>0.35615003188924521</v>
      </c>
      <c r="HH129" s="54" t="e">
        <f t="shared" si="223"/>
        <v>#N/A</v>
      </c>
      <c r="HI129" s="54" t="e">
        <f t="shared" si="224"/>
        <v>#N/A</v>
      </c>
      <c r="HJ129" s="54" t="b">
        <f t="shared" si="225"/>
        <v>1</v>
      </c>
      <c r="HK129" s="54" t="b">
        <f t="shared" si="226"/>
        <v>0</v>
      </c>
      <c r="HL129" s="54" t="b">
        <f t="shared" si="227"/>
        <v>0</v>
      </c>
      <c r="HM129" s="54" t="b">
        <f t="shared" si="228"/>
        <v>1</v>
      </c>
      <c r="HN129" s="54">
        <f t="shared" si="229"/>
        <v>0.35615003188924521</v>
      </c>
      <c r="HO129" s="54">
        <f t="shared" si="230"/>
        <v>0.35615003188924521</v>
      </c>
      <c r="HP129" s="54" t="e">
        <f t="shared" si="231"/>
        <v>#N/A</v>
      </c>
      <c r="HQ129" s="72" t="str">
        <f t="shared" si="232"/>
        <v/>
      </c>
    </row>
    <row r="130" spans="71:225" x14ac:dyDescent="0.2">
      <c r="BS130" s="54">
        <f t="shared" si="159"/>
        <v>120</v>
      </c>
      <c r="BT130" s="54">
        <f>Eu_tabel_g[[#This Row],[Indeks]]+1</f>
        <v>121</v>
      </c>
      <c r="BU130" s="54">
        <f t="shared" si="160"/>
        <v>-0.2155976027558939</v>
      </c>
      <c r="BV130" s="54">
        <f t="shared" si="161"/>
        <v>0.38977731256446624</v>
      </c>
      <c r="BW130" s="54" t="e">
        <f t="shared" si="162"/>
        <v>#N/A</v>
      </c>
      <c r="BX130" s="54" t="e">
        <f t="shared" si="163"/>
        <v>#N/A</v>
      </c>
      <c r="BY130" s="54" t="e">
        <f t="shared" si="164"/>
        <v>#N/A</v>
      </c>
      <c r="BZ130" s="54" t="b">
        <f t="shared" si="165"/>
        <v>0</v>
      </c>
      <c r="CA130" s="54" t="b">
        <f t="shared" si="166"/>
        <v>1</v>
      </c>
      <c r="CB130" s="54" t="b">
        <f t="shared" si="167"/>
        <v>0</v>
      </c>
      <c r="CC130" s="54" t="b">
        <f t="shared" si="168"/>
        <v>1</v>
      </c>
      <c r="CD130" s="54">
        <f t="shared" si="239"/>
        <v>0.38977731256446624</v>
      </c>
      <c r="CE130" s="54" t="e">
        <f t="shared" si="169"/>
        <v>#N/A</v>
      </c>
      <c r="CF130" s="54">
        <f t="shared" si="170"/>
        <v>0.38977731256446624</v>
      </c>
      <c r="CG130" s="72" t="str">
        <f t="shared" si="171"/>
        <v/>
      </c>
      <c r="CH130" s="54">
        <f>_xlfn.NORM.DIST(_xlfn.NORM.INV(1-Eu_g_konfidensniveau,0,1)-Eu_tabel_g[[#This Row],[x base]],0,1,TRUE)</f>
        <v>7.6465330252738495E-2</v>
      </c>
      <c r="CI130" s="54">
        <f>1-_xlfn.NORM.DIST(_xlfn.NORM.INV(Eu_g_konfidensniveau,0,1)-Eu_tabel_g[[#This Row],[x base]],0,1,TRUE)</f>
        <v>3.141085620614481E-2</v>
      </c>
      <c r="CJ130" s="54">
        <f>_xlfn.NORM.DIST(_xlfn.NORM.INV((1-Eu_g_konfidensniveau)/2,0,1)-Eu_tabel_g[[#This Row],[x base]],0,1,TRUE)+1-_xlfn.NORM.DIST(_xlfn.NORM.INV(1-(1-Eu_g_konfidensniveau)/2,0,1)-Eu_tabel_g[[#This Row],[x base]],0,1,TRUE)</f>
        <v>5.534164073024217E-2</v>
      </c>
      <c r="CK130" s="54" t="e" cm="1">
        <f t="array" ref="CK130">IF($CK$3,INDEX(Eu_tabel_g[[#This Row],[Styrke venstre]:[Styrke tosidet]],CK$7),NA())</f>
        <v>#N/A</v>
      </c>
      <c r="CL130" s="99" t="e">
        <f>Eu_tabel_g[[#This Row],[Falsk positiv
Nulhypotese accepteres
Fejltype 1]]</f>
        <v>#N/A</v>
      </c>
      <c r="CM130" s="99" t="e">
        <f>IF(CHOOSE(CK$7,Eu_tabel_g[[#This Row],[x base]]&gt;0,Eu_tabel_g[[#This Row],[x base]]&lt;0,Eu_tabel_g[[#This Row],[x base]]=0),Eu_tabel_g[[#This Row],[Styrke, aktiv]],NA())</f>
        <v>#N/A</v>
      </c>
      <c r="CN130" s="99" t="e">
        <f>IFERROR(IF($CK$3,Eu_tabel_g[[#This Row],[Styrke, aktiv]],NA()),NA())</f>
        <v>#N/A</v>
      </c>
      <c r="CO130" s="99" t="e">
        <f>IF(ISNA(Eu_tabel_g[[#This Row],[Sand negativ
Nulhypotese afvises
Korrekt]]),NA(),IF($CK$3,1,NA()))</f>
        <v>#N/A</v>
      </c>
      <c r="CP130" s="56" t="str" cm="1">
        <f t="array" ref="CP130">_xlfn.SWITCH(BS130,_xlfn.IFNA(CN$2,-99),CN$5,_xlfn.IFNA(CN$3,-99),CN$6,_xlfn.IFNA(CN$4,-99),CN$7,"")</f>
        <v/>
      </c>
      <c r="CT130" s="7">
        <f t="shared" si="172"/>
        <v>0.8</v>
      </c>
      <c r="CU130">
        <f>IF(ROW(Styrkeberegning_G[[#This Row],[X base venstre]])=ROW(Styrkeberegning_G[[#Headers],[X base venstre]])+1,CU$7/(CT$7/$B$67),CU129/(CT129/$B$67))</f>
        <v>-2.8015817870135784</v>
      </c>
      <c r="CV130">
        <f>Styrkeberegning_G[[#This Row],[X base venstre]]*-1</f>
        <v>2.8015817870135784</v>
      </c>
      <c r="DG130" s="54">
        <f t="shared" si="173"/>
        <v>120</v>
      </c>
      <c r="DH130" s="54">
        <f t="shared" si="174"/>
        <v>121</v>
      </c>
      <c r="DI130" s="54">
        <f t="shared" si="175"/>
        <v>15.522355434693811</v>
      </c>
      <c r="DJ130" s="54" t="e">
        <f t="shared" si="176"/>
        <v>#N/A</v>
      </c>
      <c r="DK130" s="54" t="e">
        <f t="shared" si="177"/>
        <v>#N/A</v>
      </c>
      <c r="DL130" s="54">
        <f t="shared" si="178"/>
        <v>4.1129261226258734E-2</v>
      </c>
      <c r="DM130" s="54" t="e">
        <f t="shared" si="179"/>
        <v>#N/A</v>
      </c>
      <c r="DN130" s="54" t="b">
        <f t="shared" si="180"/>
        <v>0</v>
      </c>
      <c r="DO130" s="54" t="b">
        <f t="shared" si="181"/>
        <v>1</v>
      </c>
      <c r="DP130" s="54" t="b">
        <f t="shared" si="182"/>
        <v>0</v>
      </c>
      <c r="DQ130" s="54" t="b">
        <f t="shared" si="183"/>
        <v>1</v>
      </c>
      <c r="DR130" s="54">
        <f t="shared" si="184"/>
        <v>4.1129261226258734E-2</v>
      </c>
      <c r="DS130" s="54" t="e">
        <f t="shared" si="185"/>
        <v>#N/A</v>
      </c>
      <c r="DT130" s="54">
        <f t="shared" si="186"/>
        <v>4.1129261226258734E-2</v>
      </c>
      <c r="DU130" s="72" t="str">
        <f t="shared" si="187"/>
        <v/>
      </c>
      <c r="DZ130" s="54">
        <f t="shared" si="188"/>
        <v>120</v>
      </c>
      <c r="EA130" s="54">
        <f t="shared" si="189"/>
        <v>121</v>
      </c>
      <c r="EB130" s="54">
        <f t="shared" si="190"/>
        <v>-0.2155976027558939</v>
      </c>
      <c r="EC130" s="54">
        <f t="shared" si="191"/>
        <v>0.38977731256446624</v>
      </c>
      <c r="ED130" s="54" t="e">
        <f t="shared" si="192"/>
        <v>#N/A</v>
      </c>
      <c r="EE130" s="54" t="e">
        <f t="shared" si="193"/>
        <v>#N/A</v>
      </c>
      <c r="EF130" s="54" t="e">
        <f t="shared" si="194"/>
        <v>#N/A</v>
      </c>
      <c r="EG130" s="54" t="b">
        <f t="shared" si="195"/>
        <v>0</v>
      </c>
      <c r="EH130" s="54" t="b">
        <f t="shared" si="196"/>
        <v>1</v>
      </c>
      <c r="EI130" s="54" t="b">
        <f t="shared" si="197"/>
        <v>0</v>
      </c>
      <c r="EJ130" s="54" t="b">
        <f t="shared" si="198"/>
        <v>1</v>
      </c>
      <c r="EK130" s="54">
        <f t="shared" si="199"/>
        <v>0.38977731256446624</v>
      </c>
      <c r="EL130" s="54" t="e">
        <f t="shared" si="200"/>
        <v>#N/A</v>
      </c>
      <c r="EM130" s="54">
        <f t="shared" si="201"/>
        <v>0.38977731256446624</v>
      </c>
      <c r="EN130" s="72" t="str">
        <f t="shared" si="202"/>
        <v/>
      </c>
      <c r="EO13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3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3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30" s="54" t="e" cm="1">
        <f t="array" ref="ER130">IF($CK$3,INDEX(Eu_tabel_a[[#This Row],[Styrke venstre]:[Styrke tosidet]],ER$7),NA())</f>
        <v>#N/A</v>
      </c>
      <c r="ES130" s="54" t="e">
        <f>IF(ER$3,IF(CHOOSE(ER$7,Eu_tabel_a[[#This Row],[x base]]&gt;0,Eu_tabel_a[[#This Row],[x base]]&lt;0,Eu_tabel_a[[#This Row],[x base]]=0),1,NA()),NA())</f>
        <v>#N/A</v>
      </c>
      <c r="ET130" s="54" t="e">
        <f>IF(CHOOSE(ER$7,Eu_tabel_a[[#This Row],[x base]]&gt;0,Eu_tabel_a[[#This Row],[x base]]&lt;0,Eu_tabel_a[[#This Row],[x base]]=0),Eu_tabel_a[[#This Row],[Styrke, aktiv]],NA())</f>
        <v>#N/A</v>
      </c>
      <c r="EU130" s="54" t="e">
        <f>IFERROR(IF($ER$3,Eu_tabel_a[[#This Row],[Styrke, aktiv]],NA()),NA())</f>
        <v>#N/A</v>
      </c>
      <c r="EV130" s="54" t="e">
        <f>IF(ISNA(Eu_tabel_a[[#This Row],[Sand negativ
Nulhypotese afvises
Korrekt]]),NA(),IF(ER$3,1,NA()))</f>
        <v>#N/A</v>
      </c>
      <c r="EW130" s="55" t="str" cm="1">
        <f t="array" ref="EW130">IFERROR(_xlfn.SWITCH(Eu_tabel_a[[#This Row],[Indeks]],_xlfn.IFNA(EU$2,-99),EU$5,_xlfn.IFNA(EU$3,-99),EU$6,_xlfn.IFNA(EU$4,-99),EU$7,""),"")</f>
        <v/>
      </c>
      <c r="EX130" s="54">
        <f>Eu_tabel_a[[#This Row],[x base]]*SQRT(Eu_a_h0_x*(1-Eu_a_h0_x)/Eu_a_n_x)+Eu_a_h0_x</f>
        <v>0</v>
      </c>
      <c r="FC130" s="161" t="e">
        <f t="shared" si="146"/>
        <v>#N/A</v>
      </c>
      <c r="FD130" s="169" t="e">
        <f t="shared" si="234"/>
        <v>#DIV/0!</v>
      </c>
      <c r="FE130" s="7" t="e">
        <f t="shared" si="140"/>
        <v>#DIV/0!</v>
      </c>
      <c r="FF130" t="e">
        <f t="shared" si="235"/>
        <v>#DIV/0!</v>
      </c>
      <c r="FG130" s="8" t="e">
        <f t="shared" si="236"/>
        <v>#DIV/0!</v>
      </c>
      <c r="FH130" s="8" t="e">
        <f t="shared" si="237"/>
        <v>#DIV/0!</v>
      </c>
      <c r="FI130" s="168" t="e">
        <f t="shared" si="238"/>
        <v>#DIV/0!</v>
      </c>
      <c r="FJ130" s="161" t="e">
        <f t="shared" ca="1" si="141"/>
        <v>#N/A</v>
      </c>
      <c r="FK130" s="169" t="e" vm="3">
        <f t="shared" ca="1" si="147"/>
        <v>#VALUE!</v>
      </c>
      <c r="FL130" s="7" t="e" vm="3">
        <f t="shared" ca="1" si="142"/>
        <v>#VALUE!</v>
      </c>
      <c r="FM130" t="e" vm="3">
        <f t="shared" ca="1" si="136"/>
        <v>#VALUE!</v>
      </c>
      <c r="FN130" s="8" t="e" vm="3">
        <f t="shared" ca="1" si="137"/>
        <v>#VALUE!</v>
      </c>
      <c r="FO130" s="8" t="e" vm="3">
        <f t="shared" ca="1" si="138"/>
        <v>#VALUE!</v>
      </c>
      <c r="FP130" s="168" t="e" vm="3">
        <f t="shared" ca="1" si="139"/>
        <v>#VALUE!</v>
      </c>
      <c r="FQ130" s="161" t="e">
        <f t="shared" si="143"/>
        <v>#N/A</v>
      </c>
      <c r="FR130" s="169" t="e">
        <f t="shared" si="148"/>
        <v>#N/A</v>
      </c>
      <c r="FS130" s="7" t="e">
        <f t="shared" si="144"/>
        <v>#N/A</v>
      </c>
      <c r="FT130" t="e">
        <f t="shared" si="149"/>
        <v>#N/A</v>
      </c>
      <c r="FU130" s="8" t="e">
        <f t="shared" si="150"/>
        <v>#N/A</v>
      </c>
      <c r="FV130" s="8" t="e">
        <f t="shared" si="151"/>
        <v>#N/A</v>
      </c>
      <c r="FW130" s="168" t="e">
        <f t="shared" si="152"/>
        <v>#N/A</v>
      </c>
      <c r="FX130" s="161" t="e">
        <f t="shared" si="153"/>
        <v>#N/A</v>
      </c>
      <c r="FY130" s="169" t="e">
        <f t="shared" si="154"/>
        <v>#N/A</v>
      </c>
      <c r="FZ130" s="7" t="e">
        <f t="shared" si="145"/>
        <v>#N/A</v>
      </c>
      <c r="GA130" t="e">
        <f t="shared" si="155"/>
        <v>#N/A</v>
      </c>
      <c r="GB130" s="8" t="e">
        <f t="shared" si="156"/>
        <v>#N/A</v>
      </c>
      <c r="GC130" s="8" t="e">
        <f t="shared" si="157"/>
        <v>#N/A</v>
      </c>
      <c r="GD130" s="168" t="e">
        <f t="shared" si="158"/>
        <v>#N/A</v>
      </c>
      <c r="GE130" s="168"/>
      <c r="GF130" s="168"/>
      <c r="GI130" s="54">
        <f t="shared" si="203"/>
        <v>120</v>
      </c>
      <c r="GJ130" s="54">
        <f t="shared" si="204"/>
        <v>121</v>
      </c>
      <c r="GK130" s="54">
        <f t="shared" si="205"/>
        <v>-0.2155976027558939</v>
      </c>
      <c r="GL130" s="54">
        <f t="shared" si="206"/>
        <v>0.38977731256446624</v>
      </c>
      <c r="GM130" s="54" t="e">
        <f t="shared" si="207"/>
        <v>#N/A</v>
      </c>
      <c r="GN130" s="54" t="e">
        <f t="shared" si="208"/>
        <v>#N/A</v>
      </c>
      <c r="GO130" s="54" t="e">
        <f t="shared" si="209"/>
        <v>#N/A</v>
      </c>
      <c r="GP130" s="54" t="b">
        <f t="shared" si="210"/>
        <v>0</v>
      </c>
      <c r="GQ130" s="54" t="b">
        <f t="shared" si="211"/>
        <v>1</v>
      </c>
      <c r="GR130" s="54" t="b">
        <f t="shared" si="212"/>
        <v>0</v>
      </c>
      <c r="GS130" s="54" t="b">
        <f t="shared" si="213"/>
        <v>1</v>
      </c>
      <c r="GT130" s="54">
        <f t="shared" si="214"/>
        <v>0.38977731256446624</v>
      </c>
      <c r="GU130" s="54" t="e">
        <f t="shared" si="215"/>
        <v>#N/A</v>
      </c>
      <c r="GV130" s="54">
        <f t="shared" si="216"/>
        <v>0.38977731256446624</v>
      </c>
      <c r="GW130" s="72" t="str">
        <f t="shared" si="217"/>
        <v/>
      </c>
      <c r="HC130" s="54">
        <f t="shared" si="218"/>
        <v>120</v>
      </c>
      <c r="HD130" s="54">
        <f t="shared" si="219"/>
        <v>121</v>
      </c>
      <c r="HE130" s="54">
        <f t="shared" si="220"/>
        <v>-0.33385741595151153</v>
      </c>
      <c r="HF130" s="54" t="e">
        <f t="shared" si="221"/>
        <v>#N/A</v>
      </c>
      <c r="HG130" s="54">
        <f t="shared" si="222"/>
        <v>0.36141649529983938</v>
      </c>
      <c r="HH130" s="54" t="e">
        <f t="shared" si="223"/>
        <v>#N/A</v>
      </c>
      <c r="HI130" s="54" t="e">
        <f t="shared" si="224"/>
        <v>#N/A</v>
      </c>
      <c r="HJ130" s="54" t="b">
        <f t="shared" si="225"/>
        <v>1</v>
      </c>
      <c r="HK130" s="54" t="b">
        <f t="shared" si="226"/>
        <v>0</v>
      </c>
      <c r="HL130" s="54" t="b">
        <f t="shared" si="227"/>
        <v>0</v>
      </c>
      <c r="HM130" s="54" t="b">
        <f t="shared" si="228"/>
        <v>1</v>
      </c>
      <c r="HN130" s="54">
        <f t="shared" si="229"/>
        <v>0.36141649529983938</v>
      </c>
      <c r="HO130" s="54">
        <f t="shared" si="230"/>
        <v>0.36141649529983938</v>
      </c>
      <c r="HP130" s="54" t="e">
        <f t="shared" si="231"/>
        <v>#N/A</v>
      </c>
      <c r="HQ130" s="72" t="str">
        <f t="shared" si="232"/>
        <v/>
      </c>
    </row>
    <row r="131" spans="71:225" x14ac:dyDescent="0.2">
      <c r="BS131" s="54">
        <f t="shared" si="159"/>
        <v>121</v>
      </c>
      <c r="BT131" s="54">
        <f>Eu_tabel_g[[#This Row],[Indeks]]+1</f>
        <v>122</v>
      </c>
      <c r="BU131" s="54">
        <f t="shared" si="160"/>
        <v>-0.19164231356079453</v>
      </c>
      <c r="BV131" s="54">
        <f t="shared" si="161"/>
        <v>0.39168320306250204</v>
      </c>
      <c r="BW131" s="54" t="e">
        <f t="shared" si="162"/>
        <v>#N/A</v>
      </c>
      <c r="BX131" s="54" t="e">
        <f t="shared" si="163"/>
        <v>#N/A</v>
      </c>
      <c r="BY131" s="54" t="e">
        <f t="shared" si="164"/>
        <v>#N/A</v>
      </c>
      <c r="BZ131" s="54" t="b">
        <f t="shared" si="165"/>
        <v>0</v>
      </c>
      <c r="CA131" s="54" t="b">
        <f t="shared" si="166"/>
        <v>1</v>
      </c>
      <c r="CB131" s="54" t="b">
        <f t="shared" si="167"/>
        <v>0</v>
      </c>
      <c r="CC131" s="54" t="b">
        <f t="shared" si="168"/>
        <v>1</v>
      </c>
      <c r="CD131" s="54">
        <f t="shared" si="239"/>
        <v>0.39168320306250204</v>
      </c>
      <c r="CE131" s="54" t="e">
        <f t="shared" si="169"/>
        <v>#N/A</v>
      </c>
      <c r="CF131" s="54">
        <f t="shared" si="170"/>
        <v>0.39168320306250204</v>
      </c>
      <c r="CG131" s="72" t="str">
        <f t="shared" si="171"/>
        <v/>
      </c>
      <c r="CH131" s="54">
        <f>_xlfn.NORM.DIST(_xlfn.NORM.INV(1-Eu_g_konfidensniveau,0,1)-Eu_tabel_g[[#This Row],[x base]],0,1,TRUE)</f>
        <v>7.3082545980037106E-2</v>
      </c>
      <c r="CI131" s="54">
        <f>1-_xlfn.NORM.DIST(_xlfn.NORM.INV(Eu_g_konfidensniveau,0,1)-Eu_tabel_g[[#This Row],[x base]],0,1,TRUE)</f>
        <v>3.3142170968285201E-2</v>
      </c>
      <c r="CJ131" s="54">
        <f>_xlfn.NORM.DIST(_xlfn.NORM.INV((1-Eu_g_konfidensniveau)/2,0,1)-Eu_tabel_g[[#This Row],[x base]],0,1,TRUE)+1-_xlfn.NORM.DIST(_xlfn.NORM.INV(1-(1-Eu_g_konfidensniveau)/2,0,1)-Eu_tabel_g[[#This Row],[x base]],0,1,TRUE)</f>
        <v>5.4217759348040184E-2</v>
      </c>
      <c r="CK131" s="54" t="e" cm="1">
        <f t="array" ref="CK131">IF($CK$3,INDEX(Eu_tabel_g[[#This Row],[Styrke venstre]:[Styrke tosidet]],CK$7),NA())</f>
        <v>#N/A</v>
      </c>
      <c r="CL131" s="99" t="e">
        <f>Eu_tabel_g[[#This Row],[Falsk positiv
Nulhypotese accepteres
Fejltype 1]]</f>
        <v>#N/A</v>
      </c>
      <c r="CM131" s="99" t="e">
        <f>IF(CHOOSE(CK$7,Eu_tabel_g[[#This Row],[x base]]&gt;0,Eu_tabel_g[[#This Row],[x base]]&lt;0,Eu_tabel_g[[#This Row],[x base]]=0),Eu_tabel_g[[#This Row],[Styrke, aktiv]],NA())</f>
        <v>#N/A</v>
      </c>
      <c r="CN131" s="99" t="e">
        <f>IFERROR(IF($CK$3,Eu_tabel_g[[#This Row],[Styrke, aktiv]],NA()),NA())</f>
        <v>#N/A</v>
      </c>
      <c r="CO131" s="99" t="e">
        <f>IF(ISNA(Eu_tabel_g[[#This Row],[Sand negativ
Nulhypotese afvises
Korrekt]]),NA(),IF($CK$3,1,NA()))</f>
        <v>#N/A</v>
      </c>
      <c r="CP131" s="56" t="str" cm="1">
        <f t="array" ref="CP131">_xlfn.SWITCH(BS131,_xlfn.IFNA(CN$2,-99),CN$5,_xlfn.IFNA(CN$3,-99),CN$6,_xlfn.IFNA(CN$4,-99),CN$7,"")</f>
        <v/>
      </c>
      <c r="CT131" s="7">
        <f t="shared" si="172"/>
        <v>0.8</v>
      </c>
      <c r="CU131">
        <f>IF(ROW(Styrkeberegning_G[[#This Row],[X base venstre]])=ROW(Styrkeberegning_G[[#Headers],[X base venstre]])+1,CU$7/(CT$7/$B$67),CU130/(CT130/$B$67))</f>
        <v>-2.8015817870135784</v>
      </c>
      <c r="CV131">
        <f>Styrkeberegning_G[[#This Row],[X base venstre]]*-1</f>
        <v>2.8015817870135784</v>
      </c>
      <c r="DG131" s="54">
        <f t="shared" si="173"/>
        <v>121</v>
      </c>
      <c r="DH131" s="54">
        <f t="shared" si="174"/>
        <v>122</v>
      </c>
      <c r="DI131" s="54">
        <f t="shared" si="175"/>
        <v>15.636426291110812</v>
      </c>
      <c r="DJ131" s="54" t="e">
        <f t="shared" si="176"/>
        <v>#N/A</v>
      </c>
      <c r="DK131" s="54" t="e">
        <f t="shared" si="177"/>
        <v>#N/A</v>
      </c>
      <c r="DL131" s="54">
        <f t="shared" si="178"/>
        <v>4.0150428877391404E-2</v>
      </c>
      <c r="DM131" s="54" t="e">
        <f t="shared" si="179"/>
        <v>#N/A</v>
      </c>
      <c r="DN131" s="54" t="b">
        <f t="shared" si="180"/>
        <v>0</v>
      </c>
      <c r="DO131" s="54" t="b">
        <f t="shared" si="181"/>
        <v>1</v>
      </c>
      <c r="DP131" s="54" t="b">
        <f t="shared" si="182"/>
        <v>0</v>
      </c>
      <c r="DQ131" s="54" t="b">
        <f t="shared" si="183"/>
        <v>1</v>
      </c>
      <c r="DR131" s="54">
        <f t="shared" si="184"/>
        <v>4.0150428877391404E-2</v>
      </c>
      <c r="DS131" s="54" t="e">
        <f t="shared" si="185"/>
        <v>#N/A</v>
      </c>
      <c r="DT131" s="54">
        <f t="shared" si="186"/>
        <v>4.0150428877391404E-2</v>
      </c>
      <c r="DU131" s="72" t="str">
        <f t="shared" si="187"/>
        <v/>
      </c>
      <c r="DZ131" s="54">
        <f t="shared" si="188"/>
        <v>121</v>
      </c>
      <c r="EA131" s="54">
        <f t="shared" si="189"/>
        <v>122</v>
      </c>
      <c r="EB131" s="54">
        <f t="shared" si="190"/>
        <v>-0.19164231356079453</v>
      </c>
      <c r="EC131" s="54">
        <f t="shared" si="191"/>
        <v>0.39168320306250204</v>
      </c>
      <c r="ED131" s="54" t="e">
        <f t="shared" si="192"/>
        <v>#N/A</v>
      </c>
      <c r="EE131" s="54" t="e">
        <f t="shared" si="193"/>
        <v>#N/A</v>
      </c>
      <c r="EF131" s="54" t="e">
        <f t="shared" si="194"/>
        <v>#N/A</v>
      </c>
      <c r="EG131" s="54" t="b">
        <f t="shared" si="195"/>
        <v>0</v>
      </c>
      <c r="EH131" s="54" t="b">
        <f t="shared" si="196"/>
        <v>1</v>
      </c>
      <c r="EI131" s="54" t="b">
        <f t="shared" si="197"/>
        <v>0</v>
      </c>
      <c r="EJ131" s="54" t="b">
        <f t="shared" si="198"/>
        <v>1</v>
      </c>
      <c r="EK131" s="54">
        <f t="shared" si="199"/>
        <v>0.39168320306250204</v>
      </c>
      <c r="EL131" s="54" t="e">
        <f t="shared" si="200"/>
        <v>#N/A</v>
      </c>
      <c r="EM131" s="54">
        <f t="shared" si="201"/>
        <v>0.39168320306250204</v>
      </c>
      <c r="EN131" s="72" t="str">
        <f t="shared" si="202"/>
        <v/>
      </c>
      <c r="EO13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3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3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31" s="54" t="e" cm="1">
        <f t="array" ref="ER131">IF($CK$3,INDEX(Eu_tabel_a[[#This Row],[Styrke venstre]:[Styrke tosidet]],ER$7),NA())</f>
        <v>#N/A</v>
      </c>
      <c r="ES131" s="54" t="e">
        <f>IF(ER$3,IF(CHOOSE(ER$7,Eu_tabel_a[[#This Row],[x base]]&gt;0,Eu_tabel_a[[#This Row],[x base]]&lt;0,Eu_tabel_a[[#This Row],[x base]]=0),1,NA()),NA())</f>
        <v>#N/A</v>
      </c>
      <c r="ET131" s="54" t="e">
        <f>IF(CHOOSE(ER$7,Eu_tabel_a[[#This Row],[x base]]&gt;0,Eu_tabel_a[[#This Row],[x base]]&lt;0,Eu_tabel_a[[#This Row],[x base]]=0),Eu_tabel_a[[#This Row],[Styrke, aktiv]],NA())</f>
        <v>#N/A</v>
      </c>
      <c r="EU131" s="54" t="e">
        <f>IFERROR(IF($ER$3,Eu_tabel_a[[#This Row],[Styrke, aktiv]],NA()),NA())</f>
        <v>#N/A</v>
      </c>
      <c r="EV131" s="54" t="e">
        <f>IF(ISNA(Eu_tabel_a[[#This Row],[Sand negativ
Nulhypotese afvises
Korrekt]]),NA(),IF(ER$3,1,NA()))</f>
        <v>#N/A</v>
      </c>
      <c r="EW131" s="55" t="str" cm="1">
        <f t="array" ref="EW131">IFERROR(_xlfn.SWITCH(Eu_tabel_a[[#This Row],[Indeks]],_xlfn.IFNA(EU$2,-99),EU$5,_xlfn.IFNA(EU$3,-99),EU$6,_xlfn.IFNA(EU$4,-99),EU$7,""),"")</f>
        <v/>
      </c>
      <c r="EX131" s="54">
        <f>Eu_tabel_a[[#This Row],[x base]]*SQRT(Eu_a_h0_x*(1-Eu_a_h0_x)/Eu_a_n_x)+Eu_a_h0_x</f>
        <v>0</v>
      </c>
      <c r="FC131" s="161" t="e">
        <f t="shared" si="146"/>
        <v>#N/A</v>
      </c>
      <c r="FD131" s="169" t="e">
        <f t="shared" si="234"/>
        <v>#DIV/0!</v>
      </c>
      <c r="FE131" s="7" t="e">
        <f t="shared" si="140"/>
        <v>#DIV/0!</v>
      </c>
      <c r="FF131" t="e">
        <f t="shared" si="235"/>
        <v>#DIV/0!</v>
      </c>
      <c r="FG131" s="8" t="e">
        <f t="shared" si="236"/>
        <v>#DIV/0!</v>
      </c>
      <c r="FH131" s="8" t="e">
        <f t="shared" si="237"/>
        <v>#DIV/0!</v>
      </c>
      <c r="FI131" s="168" t="e">
        <f t="shared" si="238"/>
        <v>#DIV/0!</v>
      </c>
      <c r="FJ131" s="161" t="e">
        <f t="shared" ca="1" si="141"/>
        <v>#N/A</v>
      </c>
      <c r="FK131" s="169" t="e" vm="3">
        <f t="shared" ca="1" si="147"/>
        <v>#VALUE!</v>
      </c>
      <c r="FL131" s="7" t="e" vm="3">
        <f t="shared" ca="1" si="142"/>
        <v>#VALUE!</v>
      </c>
      <c r="FM131" t="e" vm="3">
        <f t="shared" ca="1" si="136"/>
        <v>#VALUE!</v>
      </c>
      <c r="FN131" s="8" t="e" vm="3">
        <f t="shared" ca="1" si="137"/>
        <v>#VALUE!</v>
      </c>
      <c r="FO131" s="8" t="e" vm="3">
        <f t="shared" ca="1" si="138"/>
        <v>#VALUE!</v>
      </c>
      <c r="FP131" s="168" t="e" vm="3">
        <f t="shared" ca="1" si="139"/>
        <v>#VALUE!</v>
      </c>
      <c r="FQ131" s="161" t="e">
        <f t="shared" si="143"/>
        <v>#N/A</v>
      </c>
      <c r="FR131" s="169" t="e">
        <f t="shared" si="148"/>
        <v>#N/A</v>
      </c>
      <c r="FS131" s="7" t="e">
        <f t="shared" si="144"/>
        <v>#N/A</v>
      </c>
      <c r="FT131" t="e">
        <f t="shared" si="149"/>
        <v>#N/A</v>
      </c>
      <c r="FU131" s="8" t="e">
        <f t="shared" si="150"/>
        <v>#N/A</v>
      </c>
      <c r="FV131" s="8" t="e">
        <f t="shared" si="151"/>
        <v>#N/A</v>
      </c>
      <c r="FW131" s="168" t="e">
        <f t="shared" si="152"/>
        <v>#N/A</v>
      </c>
      <c r="FX131" s="161" t="e">
        <f t="shared" si="153"/>
        <v>#N/A</v>
      </c>
      <c r="FY131" s="169" t="e">
        <f t="shared" si="154"/>
        <v>#N/A</v>
      </c>
      <c r="FZ131" s="7" t="e">
        <f t="shared" si="145"/>
        <v>#N/A</v>
      </c>
      <c r="GA131" t="e">
        <f t="shared" si="155"/>
        <v>#N/A</v>
      </c>
      <c r="GB131" s="8" t="e">
        <f t="shared" si="156"/>
        <v>#N/A</v>
      </c>
      <c r="GC131" s="8" t="e">
        <f t="shared" si="157"/>
        <v>#N/A</v>
      </c>
      <c r="GD131" s="168" t="e">
        <f t="shared" si="158"/>
        <v>#N/A</v>
      </c>
      <c r="GE131" s="168"/>
      <c r="GF131" s="168"/>
      <c r="GI131" s="54">
        <f t="shared" si="203"/>
        <v>121</v>
      </c>
      <c r="GJ131" s="54">
        <f t="shared" si="204"/>
        <v>122</v>
      </c>
      <c r="GK131" s="54">
        <f t="shared" si="205"/>
        <v>-0.19164231356079453</v>
      </c>
      <c r="GL131" s="54">
        <f t="shared" si="206"/>
        <v>0.39168320306250204</v>
      </c>
      <c r="GM131" s="54" t="e">
        <f t="shared" si="207"/>
        <v>#N/A</v>
      </c>
      <c r="GN131" s="54" t="e">
        <f t="shared" si="208"/>
        <v>#N/A</v>
      </c>
      <c r="GO131" s="54" t="e">
        <f t="shared" si="209"/>
        <v>#N/A</v>
      </c>
      <c r="GP131" s="54" t="b">
        <f t="shared" si="210"/>
        <v>0</v>
      </c>
      <c r="GQ131" s="54" t="b">
        <f t="shared" si="211"/>
        <v>1</v>
      </c>
      <c r="GR131" s="54" t="b">
        <f t="shared" si="212"/>
        <v>0</v>
      </c>
      <c r="GS131" s="54" t="b">
        <f t="shared" si="213"/>
        <v>1</v>
      </c>
      <c r="GT131" s="54">
        <f t="shared" si="214"/>
        <v>0.39168320306250204</v>
      </c>
      <c r="GU131" s="54" t="e">
        <f t="shared" si="215"/>
        <v>#N/A</v>
      </c>
      <c r="GV131" s="54">
        <f t="shared" si="216"/>
        <v>0.39168320306250204</v>
      </c>
      <c r="GW131" s="72" t="str">
        <f t="shared" si="217"/>
        <v/>
      </c>
      <c r="HC131" s="54">
        <f t="shared" si="218"/>
        <v>121</v>
      </c>
      <c r="HD131" s="54">
        <f t="shared" si="219"/>
        <v>122</v>
      </c>
      <c r="HE131" s="54">
        <f t="shared" si="220"/>
        <v>-0.29676214751245489</v>
      </c>
      <c r="HF131" s="54" t="e">
        <f t="shared" si="221"/>
        <v>#N/A</v>
      </c>
      <c r="HG131" s="54">
        <f t="shared" si="222"/>
        <v>0.36621134988680171</v>
      </c>
      <c r="HH131" s="54" t="e">
        <f t="shared" si="223"/>
        <v>#N/A</v>
      </c>
      <c r="HI131" s="54" t="e">
        <f t="shared" si="224"/>
        <v>#N/A</v>
      </c>
      <c r="HJ131" s="54" t="b">
        <f t="shared" si="225"/>
        <v>1</v>
      </c>
      <c r="HK131" s="54" t="b">
        <f t="shared" si="226"/>
        <v>0</v>
      </c>
      <c r="HL131" s="54" t="b">
        <f t="shared" si="227"/>
        <v>0</v>
      </c>
      <c r="HM131" s="54" t="b">
        <f t="shared" si="228"/>
        <v>1</v>
      </c>
      <c r="HN131" s="54">
        <f t="shared" si="229"/>
        <v>0.36621134988680171</v>
      </c>
      <c r="HO131" s="54">
        <f t="shared" si="230"/>
        <v>0.36621134988680171</v>
      </c>
      <c r="HP131" s="54" t="e">
        <f t="shared" si="231"/>
        <v>#N/A</v>
      </c>
      <c r="HQ131" s="72" t="str">
        <f t="shared" si="232"/>
        <v/>
      </c>
    </row>
    <row r="132" spans="71:225" x14ac:dyDescent="0.2">
      <c r="BS132" s="54">
        <f t="shared" si="159"/>
        <v>122</v>
      </c>
      <c r="BT132" s="54">
        <f>Eu_tabel_g[[#This Row],[Indeks]]+1</f>
        <v>123</v>
      </c>
      <c r="BU132" s="54">
        <f t="shared" si="160"/>
        <v>-0.16768702436569516</v>
      </c>
      <c r="BV132" s="54">
        <f t="shared" si="161"/>
        <v>0.39337260880753866</v>
      </c>
      <c r="BW132" s="54" t="e">
        <f t="shared" si="162"/>
        <v>#N/A</v>
      </c>
      <c r="BX132" s="54" t="e">
        <f t="shared" si="163"/>
        <v>#N/A</v>
      </c>
      <c r="BY132" s="54" t="e">
        <f t="shared" si="164"/>
        <v>#N/A</v>
      </c>
      <c r="BZ132" s="54" t="b">
        <f t="shared" si="165"/>
        <v>0</v>
      </c>
      <c r="CA132" s="54" t="b">
        <f t="shared" si="166"/>
        <v>1</v>
      </c>
      <c r="CB132" s="54" t="b">
        <f t="shared" si="167"/>
        <v>0</v>
      </c>
      <c r="CC132" s="54" t="b">
        <f t="shared" si="168"/>
        <v>1</v>
      </c>
      <c r="CD132" s="54">
        <f t="shared" si="239"/>
        <v>0.39337260880753866</v>
      </c>
      <c r="CE132" s="54" t="e">
        <f t="shared" si="169"/>
        <v>#N/A</v>
      </c>
      <c r="CF132" s="54">
        <f t="shared" si="170"/>
        <v>0.39337260880753866</v>
      </c>
      <c r="CG132" s="72" t="str">
        <f t="shared" si="171"/>
        <v/>
      </c>
      <c r="CH132" s="54">
        <f>_xlfn.NORM.DIST(_xlfn.NORM.INV(1-Eu_g_konfidensniveau,0,1)-Eu_tabel_g[[#This Row],[x base]],0,1,TRUE)</f>
        <v>6.9815491895966419E-2</v>
      </c>
      <c r="CI132" s="54">
        <f>1-_xlfn.NORM.DIST(_xlfn.NORM.INV(Eu_g_konfidensniveau,0,1)-Eu_tabel_g[[#This Row],[x base]],0,1,TRUE)</f>
        <v>3.4951349306852841E-2</v>
      </c>
      <c r="CJ132" s="54">
        <f>_xlfn.NORM.DIST(_xlfn.NORM.INV((1-Eu_g_konfidensniveau)/2,0,1)-Eu_tabel_g[[#This Row],[x base]],0,1,TRUE)+1-_xlfn.NORM.DIST(_xlfn.NORM.INV(1-(1-Eu_g_konfidensniveau)/2,0,1)-Eu_tabel_g[[#This Row],[x base]],0,1,TRUE)</f>
        <v>5.322732084453996E-2</v>
      </c>
      <c r="CK132" s="54" t="e" cm="1">
        <f t="array" ref="CK132">IF($CK$3,INDEX(Eu_tabel_g[[#This Row],[Styrke venstre]:[Styrke tosidet]],CK$7),NA())</f>
        <v>#N/A</v>
      </c>
      <c r="CL132" s="99" t="e">
        <f>Eu_tabel_g[[#This Row],[Falsk positiv
Nulhypotese accepteres
Fejltype 1]]</f>
        <v>#N/A</v>
      </c>
      <c r="CM132" s="99" t="e">
        <f>IF(CHOOSE(CK$7,Eu_tabel_g[[#This Row],[x base]]&gt;0,Eu_tabel_g[[#This Row],[x base]]&lt;0,Eu_tabel_g[[#This Row],[x base]]=0),Eu_tabel_g[[#This Row],[Styrke, aktiv]],NA())</f>
        <v>#N/A</v>
      </c>
      <c r="CN132" s="99" t="e">
        <f>IFERROR(IF($CK$3,Eu_tabel_g[[#This Row],[Styrke, aktiv]],NA()),NA())</f>
        <v>#N/A</v>
      </c>
      <c r="CO132" s="99" t="e">
        <f>IF(ISNA(Eu_tabel_g[[#This Row],[Sand negativ
Nulhypotese afvises
Korrekt]]),NA(),IF($CK$3,1,NA()))</f>
        <v>#N/A</v>
      </c>
      <c r="CP132" s="56" t="str" cm="1">
        <f t="array" ref="CP132">_xlfn.SWITCH(BS132,_xlfn.IFNA(CN$2,-99),CN$5,_xlfn.IFNA(CN$3,-99),CN$6,_xlfn.IFNA(CN$4,-99),CN$7,"")</f>
        <v/>
      </c>
      <c r="CT132" s="7">
        <f t="shared" si="172"/>
        <v>0.8</v>
      </c>
      <c r="CU132">
        <f>IF(ROW(Styrkeberegning_G[[#This Row],[X base venstre]])=ROW(Styrkeberegning_G[[#Headers],[X base venstre]])+1,CU$7/(CT$7/$B$67),CU131/(CT131/$B$67))</f>
        <v>-2.8015817870135784</v>
      </c>
      <c r="CV132">
        <f>Styrkeberegning_G[[#This Row],[X base venstre]]*-1</f>
        <v>2.8015817870135784</v>
      </c>
      <c r="DG132" s="54">
        <f t="shared" si="173"/>
        <v>122</v>
      </c>
      <c r="DH132" s="54">
        <f t="shared" si="174"/>
        <v>123</v>
      </c>
      <c r="DI132" s="54">
        <f t="shared" si="175"/>
        <v>15.750497147527813</v>
      </c>
      <c r="DJ132" s="54" t="e">
        <f t="shared" si="176"/>
        <v>#N/A</v>
      </c>
      <c r="DK132" s="54" t="e">
        <f t="shared" si="177"/>
        <v>#N/A</v>
      </c>
      <c r="DL132" s="54">
        <f t="shared" si="178"/>
        <v>3.9185505789390514E-2</v>
      </c>
      <c r="DM132" s="54" t="e">
        <f t="shared" si="179"/>
        <v>#N/A</v>
      </c>
      <c r="DN132" s="54" t="b">
        <f t="shared" si="180"/>
        <v>0</v>
      </c>
      <c r="DO132" s="54" t="b">
        <f t="shared" si="181"/>
        <v>1</v>
      </c>
      <c r="DP132" s="54" t="b">
        <f t="shared" si="182"/>
        <v>0</v>
      </c>
      <c r="DQ132" s="54" t="b">
        <f t="shared" si="183"/>
        <v>1</v>
      </c>
      <c r="DR132" s="54">
        <f t="shared" si="184"/>
        <v>3.9185505789390514E-2</v>
      </c>
      <c r="DS132" s="54" t="e">
        <f t="shared" si="185"/>
        <v>#N/A</v>
      </c>
      <c r="DT132" s="54">
        <f t="shared" si="186"/>
        <v>3.9185505789390514E-2</v>
      </c>
      <c r="DU132" s="72" t="str">
        <f t="shared" si="187"/>
        <v/>
      </c>
      <c r="DZ132" s="54">
        <f t="shared" si="188"/>
        <v>122</v>
      </c>
      <c r="EA132" s="54">
        <f t="shared" si="189"/>
        <v>123</v>
      </c>
      <c r="EB132" s="54">
        <f t="shared" si="190"/>
        <v>-0.16768702436569516</v>
      </c>
      <c r="EC132" s="54">
        <f t="shared" si="191"/>
        <v>0.39337260880753866</v>
      </c>
      <c r="ED132" s="54" t="e">
        <f t="shared" si="192"/>
        <v>#N/A</v>
      </c>
      <c r="EE132" s="54" t="e">
        <f t="shared" si="193"/>
        <v>#N/A</v>
      </c>
      <c r="EF132" s="54" t="e">
        <f t="shared" si="194"/>
        <v>#N/A</v>
      </c>
      <c r="EG132" s="54" t="b">
        <f t="shared" si="195"/>
        <v>0</v>
      </c>
      <c r="EH132" s="54" t="b">
        <f t="shared" si="196"/>
        <v>1</v>
      </c>
      <c r="EI132" s="54" t="b">
        <f t="shared" si="197"/>
        <v>0</v>
      </c>
      <c r="EJ132" s="54" t="b">
        <f t="shared" si="198"/>
        <v>1</v>
      </c>
      <c r="EK132" s="54">
        <f t="shared" si="199"/>
        <v>0.39337260880753866</v>
      </c>
      <c r="EL132" s="54" t="e">
        <f t="shared" si="200"/>
        <v>#N/A</v>
      </c>
      <c r="EM132" s="54">
        <f t="shared" si="201"/>
        <v>0.39337260880753866</v>
      </c>
      <c r="EN132" s="72" t="str">
        <f t="shared" si="202"/>
        <v/>
      </c>
      <c r="EO13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3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3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32" s="54" t="e" cm="1">
        <f t="array" ref="ER132">IF($CK$3,INDEX(Eu_tabel_a[[#This Row],[Styrke venstre]:[Styrke tosidet]],ER$7),NA())</f>
        <v>#N/A</v>
      </c>
      <c r="ES132" s="54" t="e">
        <f>IF(ER$3,IF(CHOOSE(ER$7,Eu_tabel_a[[#This Row],[x base]]&gt;0,Eu_tabel_a[[#This Row],[x base]]&lt;0,Eu_tabel_a[[#This Row],[x base]]=0),1,NA()),NA())</f>
        <v>#N/A</v>
      </c>
      <c r="ET132" s="54" t="e">
        <f>IF(CHOOSE(ER$7,Eu_tabel_a[[#This Row],[x base]]&gt;0,Eu_tabel_a[[#This Row],[x base]]&lt;0,Eu_tabel_a[[#This Row],[x base]]=0),Eu_tabel_a[[#This Row],[Styrke, aktiv]],NA())</f>
        <v>#N/A</v>
      </c>
      <c r="EU132" s="54" t="e">
        <f>IFERROR(IF($ER$3,Eu_tabel_a[[#This Row],[Styrke, aktiv]],NA()),NA())</f>
        <v>#N/A</v>
      </c>
      <c r="EV132" s="54" t="e">
        <f>IF(ISNA(Eu_tabel_a[[#This Row],[Sand negativ
Nulhypotese afvises
Korrekt]]),NA(),IF(ER$3,1,NA()))</f>
        <v>#N/A</v>
      </c>
      <c r="EW132" s="55" t="str" cm="1">
        <f t="array" ref="EW132">IFERROR(_xlfn.SWITCH(Eu_tabel_a[[#This Row],[Indeks]],_xlfn.IFNA(EU$2,-99),EU$5,_xlfn.IFNA(EU$3,-99),EU$6,_xlfn.IFNA(EU$4,-99),EU$7,""),"")</f>
        <v/>
      </c>
      <c r="EX132" s="54">
        <f>Eu_tabel_a[[#This Row],[x base]]*SQRT(Eu_a_h0_x*(1-Eu_a_h0_x)/Eu_a_n_x)+Eu_a_h0_x</f>
        <v>0</v>
      </c>
      <c r="FC132" s="161" t="e">
        <f t="shared" si="146"/>
        <v>#N/A</v>
      </c>
      <c r="FD132" s="169" t="e">
        <f t="shared" si="234"/>
        <v>#DIV/0!</v>
      </c>
      <c r="FE132" s="7" t="e">
        <f t="shared" si="140"/>
        <v>#DIV/0!</v>
      </c>
      <c r="FF132" t="e">
        <f t="shared" si="235"/>
        <v>#DIV/0!</v>
      </c>
      <c r="FG132" s="8" t="e">
        <f t="shared" si="236"/>
        <v>#DIV/0!</v>
      </c>
      <c r="FH132" s="8" t="e">
        <f t="shared" si="237"/>
        <v>#DIV/0!</v>
      </c>
      <c r="FI132" s="168" t="e">
        <f t="shared" si="238"/>
        <v>#DIV/0!</v>
      </c>
      <c r="FJ132" s="161" t="e">
        <f t="shared" ca="1" si="141"/>
        <v>#N/A</v>
      </c>
      <c r="FK132" s="169" t="e" vm="3">
        <f t="shared" ca="1" si="147"/>
        <v>#VALUE!</v>
      </c>
      <c r="FL132" s="7" t="e" vm="3">
        <f t="shared" ca="1" si="142"/>
        <v>#VALUE!</v>
      </c>
      <c r="FM132" t="e" vm="3">
        <f t="shared" ca="1" si="136"/>
        <v>#VALUE!</v>
      </c>
      <c r="FN132" s="8" t="e" vm="3">
        <f t="shared" ca="1" si="137"/>
        <v>#VALUE!</v>
      </c>
      <c r="FO132" s="8" t="e" vm="3">
        <f t="shared" ca="1" si="138"/>
        <v>#VALUE!</v>
      </c>
      <c r="FP132" s="168" t="e" vm="3">
        <f t="shared" ca="1" si="139"/>
        <v>#VALUE!</v>
      </c>
      <c r="FQ132" s="161" t="e">
        <f t="shared" si="143"/>
        <v>#N/A</v>
      </c>
      <c r="FR132" s="169" t="e">
        <f t="shared" si="148"/>
        <v>#N/A</v>
      </c>
      <c r="FS132" s="7" t="e">
        <f t="shared" si="144"/>
        <v>#N/A</v>
      </c>
      <c r="FT132" t="e">
        <f t="shared" si="149"/>
        <v>#N/A</v>
      </c>
      <c r="FU132" s="8" t="e">
        <f t="shared" si="150"/>
        <v>#N/A</v>
      </c>
      <c r="FV132" s="8" t="e">
        <f t="shared" si="151"/>
        <v>#N/A</v>
      </c>
      <c r="FW132" s="168" t="e">
        <f t="shared" si="152"/>
        <v>#N/A</v>
      </c>
      <c r="FX132" s="161" t="e">
        <f t="shared" si="153"/>
        <v>#N/A</v>
      </c>
      <c r="FY132" s="169" t="e">
        <f t="shared" si="154"/>
        <v>#N/A</v>
      </c>
      <c r="FZ132" s="7" t="e">
        <f t="shared" si="145"/>
        <v>#N/A</v>
      </c>
      <c r="GA132" t="e">
        <f t="shared" si="155"/>
        <v>#N/A</v>
      </c>
      <c r="GB132" s="8" t="e">
        <f t="shared" si="156"/>
        <v>#N/A</v>
      </c>
      <c r="GC132" s="8" t="e">
        <f t="shared" si="157"/>
        <v>#N/A</v>
      </c>
      <c r="GD132" s="168" t="e">
        <f t="shared" si="158"/>
        <v>#N/A</v>
      </c>
      <c r="GE132" s="168"/>
      <c r="GF132" s="168"/>
      <c r="GI132" s="54">
        <f t="shared" si="203"/>
        <v>122</v>
      </c>
      <c r="GJ132" s="54">
        <f t="shared" si="204"/>
        <v>123</v>
      </c>
      <c r="GK132" s="54">
        <f t="shared" si="205"/>
        <v>-0.16768702436569516</v>
      </c>
      <c r="GL132" s="54">
        <f t="shared" si="206"/>
        <v>0.39337260880753866</v>
      </c>
      <c r="GM132" s="54" t="e">
        <f t="shared" si="207"/>
        <v>#N/A</v>
      </c>
      <c r="GN132" s="54" t="e">
        <f t="shared" si="208"/>
        <v>#N/A</v>
      </c>
      <c r="GO132" s="54" t="e">
        <f t="shared" si="209"/>
        <v>#N/A</v>
      </c>
      <c r="GP132" s="54" t="b">
        <f t="shared" si="210"/>
        <v>0</v>
      </c>
      <c r="GQ132" s="54" t="b">
        <f t="shared" si="211"/>
        <v>1</v>
      </c>
      <c r="GR132" s="54" t="b">
        <f t="shared" si="212"/>
        <v>0</v>
      </c>
      <c r="GS132" s="54" t="b">
        <f t="shared" si="213"/>
        <v>1</v>
      </c>
      <c r="GT132" s="54">
        <f t="shared" si="214"/>
        <v>0.39337260880753866</v>
      </c>
      <c r="GU132" s="54" t="e">
        <f t="shared" si="215"/>
        <v>#N/A</v>
      </c>
      <c r="GV132" s="54">
        <f t="shared" si="216"/>
        <v>0.39337260880753866</v>
      </c>
      <c r="GW132" s="72" t="str">
        <f t="shared" si="217"/>
        <v/>
      </c>
      <c r="HC132" s="54">
        <f t="shared" si="218"/>
        <v>122</v>
      </c>
      <c r="HD132" s="54">
        <f t="shared" si="219"/>
        <v>123</v>
      </c>
      <c r="HE132" s="54">
        <f t="shared" si="220"/>
        <v>-0.25966687907339736</v>
      </c>
      <c r="HF132" s="54" t="e">
        <f t="shared" si="221"/>
        <v>#N/A</v>
      </c>
      <c r="HG132" s="54">
        <f t="shared" si="222"/>
        <v>0.37050830558756809</v>
      </c>
      <c r="HH132" s="54" t="e">
        <f t="shared" si="223"/>
        <v>#N/A</v>
      </c>
      <c r="HI132" s="54" t="e">
        <f t="shared" si="224"/>
        <v>#N/A</v>
      </c>
      <c r="HJ132" s="54" t="b">
        <f t="shared" si="225"/>
        <v>1</v>
      </c>
      <c r="HK132" s="54" t="b">
        <f t="shared" si="226"/>
        <v>0</v>
      </c>
      <c r="HL132" s="54" t="b">
        <f t="shared" si="227"/>
        <v>0</v>
      </c>
      <c r="HM132" s="54" t="b">
        <f t="shared" si="228"/>
        <v>1</v>
      </c>
      <c r="HN132" s="54">
        <f t="shared" si="229"/>
        <v>0.37050830558756809</v>
      </c>
      <c r="HO132" s="54">
        <f t="shared" si="230"/>
        <v>0.37050830558756809</v>
      </c>
      <c r="HP132" s="54" t="e">
        <f t="shared" si="231"/>
        <v>#N/A</v>
      </c>
      <c r="HQ132" s="72" t="str">
        <f t="shared" si="232"/>
        <v/>
      </c>
    </row>
    <row r="133" spans="71:225" x14ac:dyDescent="0.2">
      <c r="BS133" s="54">
        <f t="shared" si="159"/>
        <v>123</v>
      </c>
      <c r="BT133" s="54">
        <f>Eu_tabel_g[[#This Row],[Indeks]]+1</f>
        <v>124</v>
      </c>
      <c r="BU133" s="54">
        <f t="shared" si="160"/>
        <v>-0.14373173517059579</v>
      </c>
      <c r="BV133" s="54">
        <f t="shared" si="161"/>
        <v>0.39484265348383518</v>
      </c>
      <c r="BW133" s="54" t="e">
        <f t="shared" si="162"/>
        <v>#N/A</v>
      </c>
      <c r="BX133" s="54" t="e">
        <f t="shared" si="163"/>
        <v>#N/A</v>
      </c>
      <c r="BY133" s="54" t="e">
        <f t="shared" si="164"/>
        <v>#N/A</v>
      </c>
      <c r="BZ133" s="54" t="b">
        <f t="shared" si="165"/>
        <v>0</v>
      </c>
      <c r="CA133" s="54" t="b">
        <f t="shared" si="166"/>
        <v>1</v>
      </c>
      <c r="CB133" s="54" t="b">
        <f t="shared" si="167"/>
        <v>0</v>
      </c>
      <c r="CC133" s="54" t="b">
        <f t="shared" si="168"/>
        <v>1</v>
      </c>
      <c r="CD133" s="54">
        <f t="shared" si="239"/>
        <v>0.39484265348383518</v>
      </c>
      <c r="CE133" s="54" t="e">
        <f t="shared" si="169"/>
        <v>#N/A</v>
      </c>
      <c r="CF133" s="54">
        <f t="shared" si="170"/>
        <v>0.39484265348383518</v>
      </c>
      <c r="CG133" s="72" t="str">
        <f t="shared" si="171"/>
        <v/>
      </c>
      <c r="CH133" s="54">
        <f>_xlfn.NORM.DIST(_xlfn.NORM.INV(1-Eu_g_konfidensniveau,0,1)-Eu_tabel_g[[#This Row],[x base]],0,1,TRUE)</f>
        <v>6.6662018766824135E-2</v>
      </c>
      <c r="CI133" s="54">
        <f>1-_xlfn.NORM.DIST(_xlfn.NORM.INV(Eu_g_konfidensniveau,0,1)-Eu_tabel_g[[#This Row],[x base]],0,1,TRUE)</f>
        <v>3.6840808495973154E-2</v>
      </c>
      <c r="CJ133" s="54">
        <f>_xlfn.NORM.DIST(_xlfn.NORM.INV((1-Eu_g_konfidensniveau)/2,0,1)-Eu_tabel_g[[#This Row],[x base]],0,1,TRUE)+1-_xlfn.NORM.DIST(_xlfn.NORM.INV(1-(1-Eu_g_konfidensniveau)/2,0,1)-Eu_tabel_g[[#This Row],[x base]],0,1,TRUE)</f>
        <v>5.2369875565396407E-2</v>
      </c>
      <c r="CK133" s="54" t="e" cm="1">
        <f t="array" ref="CK133">IF($CK$3,INDEX(Eu_tabel_g[[#This Row],[Styrke venstre]:[Styrke tosidet]],CK$7),NA())</f>
        <v>#N/A</v>
      </c>
      <c r="CL133" s="99" t="e">
        <f>Eu_tabel_g[[#This Row],[Falsk positiv
Nulhypotese accepteres
Fejltype 1]]</f>
        <v>#N/A</v>
      </c>
      <c r="CM133" s="99" t="e">
        <f>IF(CHOOSE(CK$7,Eu_tabel_g[[#This Row],[x base]]&gt;0,Eu_tabel_g[[#This Row],[x base]]&lt;0,Eu_tabel_g[[#This Row],[x base]]=0),Eu_tabel_g[[#This Row],[Styrke, aktiv]],NA())</f>
        <v>#N/A</v>
      </c>
      <c r="CN133" s="99" t="e">
        <f>IFERROR(IF($CK$3,Eu_tabel_g[[#This Row],[Styrke, aktiv]],NA()),NA())</f>
        <v>#N/A</v>
      </c>
      <c r="CO133" s="99" t="e">
        <f>IF(ISNA(Eu_tabel_g[[#This Row],[Sand negativ
Nulhypotese afvises
Korrekt]]),NA(),IF($CK$3,1,NA()))</f>
        <v>#N/A</v>
      </c>
      <c r="CP133" s="56" t="str" cm="1">
        <f t="array" ref="CP133">_xlfn.SWITCH(BS133,_xlfn.IFNA(CN$2,-99),CN$5,_xlfn.IFNA(CN$3,-99),CN$6,_xlfn.IFNA(CN$4,-99),CN$7,"")</f>
        <v/>
      </c>
      <c r="CT133" s="7">
        <f t="shared" si="172"/>
        <v>0.8</v>
      </c>
      <c r="CU133">
        <f>IF(ROW(Styrkeberegning_G[[#This Row],[X base venstre]])=ROW(Styrkeberegning_G[[#Headers],[X base venstre]])+1,CU$7/(CT$7/$B$67),CU132/(CT132/$B$67))</f>
        <v>-2.8015817870135784</v>
      </c>
      <c r="CV133">
        <f>Styrkeberegning_G[[#This Row],[X base venstre]]*-1</f>
        <v>2.8015817870135784</v>
      </c>
      <c r="DG133" s="54">
        <f t="shared" si="173"/>
        <v>123</v>
      </c>
      <c r="DH133" s="54">
        <f t="shared" si="174"/>
        <v>124</v>
      </c>
      <c r="DI133" s="54">
        <f t="shared" si="175"/>
        <v>15.864568003944814</v>
      </c>
      <c r="DJ133" s="54" t="e">
        <f t="shared" si="176"/>
        <v>#N/A</v>
      </c>
      <c r="DK133" s="54" t="e">
        <f t="shared" si="177"/>
        <v>#N/A</v>
      </c>
      <c r="DL133" s="54">
        <f t="shared" si="178"/>
        <v>3.8234746428017247E-2</v>
      </c>
      <c r="DM133" s="54" t="e">
        <f t="shared" si="179"/>
        <v>#N/A</v>
      </c>
      <c r="DN133" s="54" t="b">
        <f t="shared" si="180"/>
        <v>0</v>
      </c>
      <c r="DO133" s="54" t="b">
        <f t="shared" si="181"/>
        <v>1</v>
      </c>
      <c r="DP133" s="54" t="b">
        <f t="shared" si="182"/>
        <v>0</v>
      </c>
      <c r="DQ133" s="54" t="b">
        <f t="shared" si="183"/>
        <v>1</v>
      </c>
      <c r="DR133" s="54">
        <f t="shared" si="184"/>
        <v>3.8234746428017247E-2</v>
      </c>
      <c r="DS133" s="54" t="e">
        <f t="shared" si="185"/>
        <v>#N/A</v>
      </c>
      <c r="DT133" s="54">
        <f t="shared" si="186"/>
        <v>3.8234746428017247E-2</v>
      </c>
      <c r="DU133" s="72" t="str">
        <f t="shared" si="187"/>
        <v/>
      </c>
      <c r="DZ133" s="54">
        <f t="shared" si="188"/>
        <v>123</v>
      </c>
      <c r="EA133" s="54">
        <f t="shared" si="189"/>
        <v>124</v>
      </c>
      <c r="EB133" s="54">
        <f t="shared" si="190"/>
        <v>-0.14373173517059579</v>
      </c>
      <c r="EC133" s="54">
        <f t="shared" si="191"/>
        <v>0.39484265348383518</v>
      </c>
      <c r="ED133" s="54" t="e">
        <f t="shared" si="192"/>
        <v>#N/A</v>
      </c>
      <c r="EE133" s="54" t="e">
        <f t="shared" si="193"/>
        <v>#N/A</v>
      </c>
      <c r="EF133" s="54" t="e">
        <f t="shared" si="194"/>
        <v>#N/A</v>
      </c>
      <c r="EG133" s="54" t="b">
        <f t="shared" si="195"/>
        <v>0</v>
      </c>
      <c r="EH133" s="54" t="b">
        <f t="shared" si="196"/>
        <v>1</v>
      </c>
      <c r="EI133" s="54" t="b">
        <f t="shared" si="197"/>
        <v>0</v>
      </c>
      <c r="EJ133" s="54" t="b">
        <f t="shared" si="198"/>
        <v>1</v>
      </c>
      <c r="EK133" s="54">
        <f t="shared" si="199"/>
        <v>0.39484265348383518</v>
      </c>
      <c r="EL133" s="54" t="e">
        <f t="shared" si="200"/>
        <v>#N/A</v>
      </c>
      <c r="EM133" s="54">
        <f t="shared" si="201"/>
        <v>0.39484265348383518</v>
      </c>
      <c r="EN133" s="72" t="str">
        <f t="shared" si="202"/>
        <v/>
      </c>
      <c r="EO13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3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3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33" s="54" t="e" cm="1">
        <f t="array" ref="ER133">IF($CK$3,INDEX(Eu_tabel_a[[#This Row],[Styrke venstre]:[Styrke tosidet]],ER$7),NA())</f>
        <v>#N/A</v>
      </c>
      <c r="ES133" s="54" t="e">
        <f>IF(ER$3,IF(CHOOSE(ER$7,Eu_tabel_a[[#This Row],[x base]]&gt;0,Eu_tabel_a[[#This Row],[x base]]&lt;0,Eu_tabel_a[[#This Row],[x base]]=0),1,NA()),NA())</f>
        <v>#N/A</v>
      </c>
      <c r="ET133" s="54" t="e">
        <f>IF(CHOOSE(ER$7,Eu_tabel_a[[#This Row],[x base]]&gt;0,Eu_tabel_a[[#This Row],[x base]]&lt;0,Eu_tabel_a[[#This Row],[x base]]=0),Eu_tabel_a[[#This Row],[Styrke, aktiv]],NA())</f>
        <v>#N/A</v>
      </c>
      <c r="EU133" s="54" t="e">
        <f>IFERROR(IF($ER$3,Eu_tabel_a[[#This Row],[Styrke, aktiv]],NA()),NA())</f>
        <v>#N/A</v>
      </c>
      <c r="EV133" s="54" t="e">
        <f>IF(ISNA(Eu_tabel_a[[#This Row],[Sand negativ
Nulhypotese afvises
Korrekt]]),NA(),IF(ER$3,1,NA()))</f>
        <v>#N/A</v>
      </c>
      <c r="EW133" s="55" t="str" cm="1">
        <f t="array" ref="EW133">IFERROR(_xlfn.SWITCH(Eu_tabel_a[[#This Row],[Indeks]],_xlfn.IFNA(EU$2,-99),EU$5,_xlfn.IFNA(EU$3,-99),EU$6,_xlfn.IFNA(EU$4,-99),EU$7,""),"")</f>
        <v/>
      </c>
      <c r="EX133" s="54">
        <f>Eu_tabel_a[[#This Row],[x base]]*SQRT(Eu_a_h0_x*(1-Eu_a_h0_x)/Eu_a_n_x)+Eu_a_h0_x</f>
        <v>0</v>
      </c>
      <c r="FC133" s="161" t="e">
        <f t="shared" si="146"/>
        <v>#N/A</v>
      </c>
      <c r="FD133" s="169" t="e">
        <f t="shared" si="234"/>
        <v>#DIV/0!</v>
      </c>
      <c r="FE133" s="7" t="e">
        <f t="shared" si="140"/>
        <v>#DIV/0!</v>
      </c>
      <c r="FF133" t="e">
        <f t="shared" si="235"/>
        <v>#DIV/0!</v>
      </c>
      <c r="FG133" s="8" t="e">
        <f t="shared" si="236"/>
        <v>#DIV/0!</v>
      </c>
      <c r="FH133" s="8" t="e">
        <f t="shared" si="237"/>
        <v>#DIV/0!</v>
      </c>
      <c r="FI133" s="168" t="e">
        <f t="shared" si="238"/>
        <v>#DIV/0!</v>
      </c>
      <c r="FJ133" s="161" t="e">
        <f t="shared" ca="1" si="141"/>
        <v>#N/A</v>
      </c>
      <c r="FK133" s="169" t="e" vm="3">
        <f t="shared" ca="1" si="147"/>
        <v>#VALUE!</v>
      </c>
      <c r="FL133" s="7" t="e" vm="3">
        <f t="shared" ca="1" si="142"/>
        <v>#VALUE!</v>
      </c>
      <c r="FM133" t="e" vm="3">
        <f t="shared" ref="FM133:FM196" ca="1" si="240">FK133-FK132</f>
        <v>#VALUE!</v>
      </c>
      <c r="FN133" s="8" t="e" vm="3">
        <f t="shared" ref="FN133:FN196" ca="1" si="241">FL133-FL132</f>
        <v>#VALUE!</v>
      </c>
      <c r="FO133" s="8" t="e" vm="3">
        <f t="shared" ref="FO133:FO196" ca="1" si="242">$P$67-FL132</f>
        <v>#VALUE!</v>
      </c>
      <c r="FP133" s="168" t="e" vm="3">
        <f t="shared" ref="FP133:FP196" ca="1" si="243">FM133/(FN133/FO133)</f>
        <v>#VALUE!</v>
      </c>
      <c r="FQ133" s="161" t="e">
        <f t="shared" si="143"/>
        <v>#N/A</v>
      </c>
      <c r="FR133" s="169" t="e">
        <f t="shared" si="148"/>
        <v>#N/A</v>
      </c>
      <c r="FS133" s="7" t="e">
        <f t="shared" si="144"/>
        <v>#N/A</v>
      </c>
      <c r="FT133" t="e">
        <f t="shared" si="149"/>
        <v>#N/A</v>
      </c>
      <c r="FU133" s="8" t="e">
        <f t="shared" si="150"/>
        <v>#N/A</v>
      </c>
      <c r="FV133" s="8" t="e">
        <f t="shared" si="151"/>
        <v>#N/A</v>
      </c>
      <c r="FW133" s="168" t="e">
        <f t="shared" si="152"/>
        <v>#N/A</v>
      </c>
      <c r="FX133" s="161" t="e">
        <f t="shared" si="153"/>
        <v>#N/A</v>
      </c>
      <c r="FY133" s="169" t="e">
        <f t="shared" si="154"/>
        <v>#N/A</v>
      </c>
      <c r="FZ133" s="7" t="e">
        <f t="shared" si="145"/>
        <v>#N/A</v>
      </c>
      <c r="GA133" t="e">
        <f t="shared" si="155"/>
        <v>#N/A</v>
      </c>
      <c r="GB133" s="8" t="e">
        <f t="shared" si="156"/>
        <v>#N/A</v>
      </c>
      <c r="GC133" s="8" t="e">
        <f t="shared" si="157"/>
        <v>#N/A</v>
      </c>
      <c r="GD133" s="168" t="e">
        <f t="shared" si="158"/>
        <v>#N/A</v>
      </c>
      <c r="GE133" s="168"/>
      <c r="GF133" s="168"/>
      <c r="GI133" s="54">
        <f t="shared" si="203"/>
        <v>123</v>
      </c>
      <c r="GJ133" s="54">
        <f t="shared" si="204"/>
        <v>124</v>
      </c>
      <c r="GK133" s="54">
        <f t="shared" si="205"/>
        <v>-0.14373173517059579</v>
      </c>
      <c r="GL133" s="54">
        <f t="shared" si="206"/>
        <v>0.39484265348383518</v>
      </c>
      <c r="GM133" s="54" t="e">
        <f t="shared" si="207"/>
        <v>#N/A</v>
      </c>
      <c r="GN133" s="54" t="e">
        <f t="shared" si="208"/>
        <v>#N/A</v>
      </c>
      <c r="GO133" s="54" t="e">
        <f t="shared" si="209"/>
        <v>#N/A</v>
      </c>
      <c r="GP133" s="54" t="b">
        <f t="shared" si="210"/>
        <v>0</v>
      </c>
      <c r="GQ133" s="54" t="b">
        <f t="shared" si="211"/>
        <v>1</v>
      </c>
      <c r="GR133" s="54" t="b">
        <f t="shared" si="212"/>
        <v>0</v>
      </c>
      <c r="GS133" s="54" t="b">
        <f t="shared" si="213"/>
        <v>1</v>
      </c>
      <c r="GT133" s="54">
        <f t="shared" si="214"/>
        <v>0.39484265348383518</v>
      </c>
      <c r="GU133" s="54" t="e">
        <f t="shared" si="215"/>
        <v>#N/A</v>
      </c>
      <c r="GV133" s="54">
        <f t="shared" si="216"/>
        <v>0.39484265348383518</v>
      </c>
      <c r="GW133" s="72" t="str">
        <f t="shared" si="217"/>
        <v/>
      </c>
      <c r="HC133" s="54">
        <f t="shared" si="218"/>
        <v>123</v>
      </c>
      <c r="HD133" s="54">
        <f t="shared" si="219"/>
        <v>124</v>
      </c>
      <c r="HE133" s="54">
        <f t="shared" si="220"/>
        <v>-0.22257161063434072</v>
      </c>
      <c r="HF133" s="54" t="e">
        <f t="shared" si="221"/>
        <v>#N/A</v>
      </c>
      <c r="HG133" s="54">
        <f t="shared" si="222"/>
        <v>0.37428342244366131</v>
      </c>
      <c r="HH133" s="54" t="e">
        <f t="shared" si="223"/>
        <v>#N/A</v>
      </c>
      <c r="HI133" s="54" t="e">
        <f t="shared" si="224"/>
        <v>#N/A</v>
      </c>
      <c r="HJ133" s="54" t="b">
        <f t="shared" si="225"/>
        <v>1</v>
      </c>
      <c r="HK133" s="54" t="b">
        <f t="shared" si="226"/>
        <v>0</v>
      </c>
      <c r="HL133" s="54" t="b">
        <f t="shared" si="227"/>
        <v>0</v>
      </c>
      <c r="HM133" s="54" t="b">
        <f t="shared" si="228"/>
        <v>1</v>
      </c>
      <c r="HN133" s="54">
        <f t="shared" si="229"/>
        <v>0.37428342244366131</v>
      </c>
      <c r="HO133" s="54">
        <f t="shared" si="230"/>
        <v>0.37428342244366131</v>
      </c>
      <c r="HP133" s="54" t="e">
        <f t="shared" si="231"/>
        <v>#N/A</v>
      </c>
      <c r="HQ133" s="72" t="str">
        <f t="shared" si="232"/>
        <v/>
      </c>
    </row>
    <row r="134" spans="71:225" x14ac:dyDescent="0.2">
      <c r="BS134" s="54">
        <f t="shared" si="159"/>
        <v>124</v>
      </c>
      <c r="BT134" s="54">
        <f>Eu_tabel_g[[#This Row],[Indeks]]+1</f>
        <v>125</v>
      </c>
      <c r="BU134" s="54">
        <f t="shared" si="160"/>
        <v>-0.11977644597549686</v>
      </c>
      <c r="BV134" s="54">
        <f t="shared" si="161"/>
        <v>0.39609082747762636</v>
      </c>
      <c r="BW134" s="54" t="e">
        <f t="shared" si="162"/>
        <v>#N/A</v>
      </c>
      <c r="BX134" s="54" t="e">
        <f t="shared" si="163"/>
        <v>#N/A</v>
      </c>
      <c r="BY134" s="54" t="e">
        <f t="shared" si="164"/>
        <v>#N/A</v>
      </c>
      <c r="BZ134" s="54" t="b">
        <f t="shared" si="165"/>
        <v>0</v>
      </c>
      <c r="CA134" s="54" t="b">
        <f t="shared" si="166"/>
        <v>1</v>
      </c>
      <c r="CB134" s="54" t="b">
        <f t="shared" si="167"/>
        <v>0</v>
      </c>
      <c r="CC134" s="54" t="b">
        <f t="shared" si="168"/>
        <v>1</v>
      </c>
      <c r="CD134" s="54">
        <f t="shared" si="239"/>
        <v>0.39609082747762636</v>
      </c>
      <c r="CE134" s="54" t="e">
        <f t="shared" si="169"/>
        <v>#N/A</v>
      </c>
      <c r="CF134" s="54">
        <f t="shared" si="170"/>
        <v>0.39609082747762636</v>
      </c>
      <c r="CG134" s="72" t="str">
        <f t="shared" si="171"/>
        <v/>
      </c>
      <c r="CH134" s="54">
        <f>_xlfn.NORM.DIST(_xlfn.NORM.INV(1-Eu_g_konfidensniveau,0,1)-Eu_tabel_g[[#This Row],[x base]],0,1,TRUE)</f>
        <v>6.3619924028872746E-2</v>
      </c>
      <c r="CI134" s="54">
        <f>1-_xlfn.NORM.DIST(_xlfn.NORM.INV(Eu_g_konfidensniveau,0,1)-Eu_tabel_g[[#This Row],[x base]],0,1,TRUE)</f>
        <v>3.8812978922329044E-2</v>
      </c>
      <c r="CJ134" s="54">
        <f>_xlfn.NORM.DIST(_xlfn.NORM.INV((1-Eu_g_konfidensniveau)/2,0,1)-Eu_tabel_g[[#This Row],[x base]],0,1,TRUE)+1-_xlfn.NORM.DIST(_xlfn.NORM.INV(1-(1-Eu_g_konfidensniveau)/2,0,1)-Eu_tabel_g[[#This Row],[x base]],0,1,TRUE)</f>
        <v>5.1645028210794308E-2</v>
      </c>
      <c r="CK134" s="54" t="e" cm="1">
        <f t="array" ref="CK134">IF($CK$3,INDEX(Eu_tabel_g[[#This Row],[Styrke venstre]:[Styrke tosidet]],CK$7),NA())</f>
        <v>#N/A</v>
      </c>
      <c r="CL134" s="99" t="e">
        <f>Eu_tabel_g[[#This Row],[Falsk positiv
Nulhypotese accepteres
Fejltype 1]]</f>
        <v>#N/A</v>
      </c>
      <c r="CM134" s="99" t="e">
        <f>IF(CHOOSE(CK$7,Eu_tabel_g[[#This Row],[x base]]&gt;0,Eu_tabel_g[[#This Row],[x base]]&lt;0,Eu_tabel_g[[#This Row],[x base]]=0),Eu_tabel_g[[#This Row],[Styrke, aktiv]],NA())</f>
        <v>#N/A</v>
      </c>
      <c r="CN134" s="99" t="e">
        <f>IFERROR(IF($CK$3,Eu_tabel_g[[#This Row],[Styrke, aktiv]],NA()),NA())</f>
        <v>#N/A</v>
      </c>
      <c r="CO134" s="99" t="e">
        <f>IF(ISNA(Eu_tabel_g[[#This Row],[Sand negativ
Nulhypotese afvises
Korrekt]]),NA(),IF($CK$3,1,NA()))</f>
        <v>#N/A</v>
      </c>
      <c r="CP134" s="56" t="str" cm="1">
        <f t="array" ref="CP134">_xlfn.SWITCH(BS134,_xlfn.IFNA(CN$2,-99),CN$5,_xlfn.IFNA(CN$3,-99),CN$6,_xlfn.IFNA(CN$4,-99),CN$7,"")</f>
        <v/>
      </c>
      <c r="CT134" s="7">
        <f t="shared" si="172"/>
        <v>0.8</v>
      </c>
      <c r="CU134">
        <f>IF(ROW(Styrkeberegning_G[[#This Row],[X base venstre]])=ROW(Styrkeberegning_G[[#Headers],[X base venstre]])+1,CU$7/(CT$7/$B$67),CU133/(CT133/$B$67))</f>
        <v>-2.8015817870135784</v>
      </c>
      <c r="CV134">
        <f>Styrkeberegning_G[[#This Row],[X base venstre]]*-1</f>
        <v>2.8015817870135784</v>
      </c>
      <c r="DG134" s="54">
        <f t="shared" si="173"/>
        <v>124</v>
      </c>
      <c r="DH134" s="54">
        <f t="shared" si="174"/>
        <v>125</v>
      </c>
      <c r="DI134" s="54">
        <f t="shared" si="175"/>
        <v>15.978638860361814</v>
      </c>
      <c r="DJ134" s="54" t="e">
        <f t="shared" si="176"/>
        <v>#N/A</v>
      </c>
      <c r="DK134" s="54" t="e">
        <f t="shared" si="177"/>
        <v>#N/A</v>
      </c>
      <c r="DL134" s="54">
        <f t="shared" si="178"/>
        <v>3.7298376627487174E-2</v>
      </c>
      <c r="DM134" s="54" t="e">
        <f t="shared" si="179"/>
        <v>#N/A</v>
      </c>
      <c r="DN134" s="54" t="b">
        <f t="shared" si="180"/>
        <v>0</v>
      </c>
      <c r="DO134" s="54" t="b">
        <f t="shared" si="181"/>
        <v>1</v>
      </c>
      <c r="DP134" s="54" t="b">
        <f t="shared" si="182"/>
        <v>0</v>
      </c>
      <c r="DQ134" s="54" t="b">
        <f t="shared" si="183"/>
        <v>1</v>
      </c>
      <c r="DR134" s="54">
        <f t="shared" si="184"/>
        <v>3.7298376627487174E-2</v>
      </c>
      <c r="DS134" s="54" t="e">
        <f t="shared" si="185"/>
        <v>#N/A</v>
      </c>
      <c r="DT134" s="54">
        <f t="shared" si="186"/>
        <v>3.7298376627487174E-2</v>
      </c>
      <c r="DU134" s="72" t="str">
        <f t="shared" si="187"/>
        <v/>
      </c>
      <c r="DZ134" s="54">
        <f t="shared" si="188"/>
        <v>124</v>
      </c>
      <c r="EA134" s="54">
        <f t="shared" si="189"/>
        <v>125</v>
      </c>
      <c r="EB134" s="54">
        <f t="shared" si="190"/>
        <v>-0.11977644597549686</v>
      </c>
      <c r="EC134" s="54">
        <f t="shared" si="191"/>
        <v>0.39609082747762636</v>
      </c>
      <c r="ED134" s="54" t="e">
        <f t="shared" si="192"/>
        <v>#N/A</v>
      </c>
      <c r="EE134" s="54" t="e">
        <f t="shared" si="193"/>
        <v>#N/A</v>
      </c>
      <c r="EF134" s="54" t="e">
        <f t="shared" si="194"/>
        <v>#N/A</v>
      </c>
      <c r="EG134" s="54" t="b">
        <f t="shared" si="195"/>
        <v>0</v>
      </c>
      <c r="EH134" s="54" t="b">
        <f t="shared" si="196"/>
        <v>1</v>
      </c>
      <c r="EI134" s="54" t="b">
        <f t="shared" si="197"/>
        <v>0</v>
      </c>
      <c r="EJ134" s="54" t="b">
        <f t="shared" si="198"/>
        <v>1</v>
      </c>
      <c r="EK134" s="54">
        <f t="shared" si="199"/>
        <v>0.39609082747762636</v>
      </c>
      <c r="EL134" s="54" t="e">
        <f t="shared" si="200"/>
        <v>#N/A</v>
      </c>
      <c r="EM134" s="54">
        <f t="shared" si="201"/>
        <v>0.39609082747762636</v>
      </c>
      <c r="EN134" s="72" t="str">
        <f t="shared" si="202"/>
        <v/>
      </c>
      <c r="EO13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3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3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34" s="54" t="e" cm="1">
        <f t="array" ref="ER134">IF($CK$3,INDEX(Eu_tabel_a[[#This Row],[Styrke venstre]:[Styrke tosidet]],ER$7),NA())</f>
        <v>#N/A</v>
      </c>
      <c r="ES134" s="54" t="e">
        <f>IF(ER$3,IF(CHOOSE(ER$7,Eu_tabel_a[[#This Row],[x base]]&gt;0,Eu_tabel_a[[#This Row],[x base]]&lt;0,Eu_tabel_a[[#This Row],[x base]]=0),1,NA()),NA())</f>
        <v>#N/A</v>
      </c>
      <c r="ET134" s="54" t="e">
        <f>IF(CHOOSE(ER$7,Eu_tabel_a[[#This Row],[x base]]&gt;0,Eu_tabel_a[[#This Row],[x base]]&lt;0,Eu_tabel_a[[#This Row],[x base]]=0),Eu_tabel_a[[#This Row],[Styrke, aktiv]],NA())</f>
        <v>#N/A</v>
      </c>
      <c r="EU134" s="54" t="e">
        <f>IFERROR(IF($ER$3,Eu_tabel_a[[#This Row],[Styrke, aktiv]],NA()),NA())</f>
        <v>#N/A</v>
      </c>
      <c r="EV134" s="54" t="e">
        <f>IF(ISNA(Eu_tabel_a[[#This Row],[Sand negativ
Nulhypotese afvises
Korrekt]]),NA(),IF(ER$3,1,NA()))</f>
        <v>#N/A</v>
      </c>
      <c r="EW134" s="55" t="str" cm="1">
        <f t="array" ref="EW134">IFERROR(_xlfn.SWITCH(Eu_tabel_a[[#This Row],[Indeks]],_xlfn.IFNA(EU$2,-99),EU$5,_xlfn.IFNA(EU$3,-99),EU$6,_xlfn.IFNA(EU$4,-99),EU$7,""),"")</f>
        <v/>
      </c>
      <c r="EX134" s="54">
        <f>Eu_tabel_a[[#This Row],[x base]]*SQRT(Eu_a_h0_x*(1-Eu_a_h0_x)/Eu_a_n_x)+Eu_a_h0_x</f>
        <v>0</v>
      </c>
      <c r="FC134" s="161" t="e">
        <f t="shared" si="146"/>
        <v>#N/A</v>
      </c>
      <c r="FD134" s="169" t="e">
        <f t="shared" si="234"/>
        <v>#DIV/0!</v>
      </c>
      <c r="FE134" s="7" t="e">
        <f t="shared" ref="FE134:FE197" si="244">_xlfn.NORM.DIST(-(SQRT(Eu_a_n_x)*(FD134-Eu_a_h0_x)/SQRT(FD134*(1-FD134)))-(_xlfn.NORM.INV(Eu_a_konfidensniveau,0,1)*SQRT((Eu_a_h0_x*(1-Eu_a_h0_x))/(FD134*(1-FD134)))),0,1,TRUE)</f>
        <v>#DIV/0!</v>
      </c>
      <c r="FF134" t="e">
        <f t="shared" si="235"/>
        <v>#DIV/0!</v>
      </c>
      <c r="FG134" s="8" t="e">
        <f t="shared" si="236"/>
        <v>#DIV/0!</v>
      </c>
      <c r="FH134" s="8" t="e">
        <f t="shared" si="237"/>
        <v>#DIV/0!</v>
      </c>
      <c r="FI134" s="168" t="e">
        <f t="shared" si="238"/>
        <v>#DIV/0!</v>
      </c>
      <c r="FJ134" s="161" t="e">
        <f t="shared" ref="FJ134:FJ197" ca="1" si="245">IF(ISERROR(FK134),NA(),ROW(FJ134)-ROW(FJ$5))</f>
        <v>#N/A</v>
      </c>
      <c r="FK134" s="169" t="e" vm="3">
        <f t="shared" ca="1" si="147"/>
        <v>#VALUE!</v>
      </c>
      <c r="FL134" s="7" t="e" vm="3">
        <f t="shared" ref="FL134:FL197" ca="1" si="246">_xlfn.NORM.DIST((SQRT(Eu_a_n_x)*(FK134-Eu_a_h0_x)/SQRT(FK134*(1-FK134)))-(_xlfn.NORM.INV(Eu_a_konfidensniveau,0,1)*SQRT((Eu_a_h0_x*(1-Eu_a_h0_x))/(FK134*(1-FK134)))),0,1,TRUE)</f>
        <v>#VALUE!</v>
      </c>
      <c r="FM134" t="e" vm="3">
        <f t="shared" ca="1" si="240"/>
        <v>#VALUE!</v>
      </c>
      <c r="FN134" s="8" t="e" vm="3">
        <f t="shared" ca="1" si="241"/>
        <v>#VALUE!</v>
      </c>
      <c r="FO134" s="8" t="e" vm="3">
        <f t="shared" ca="1" si="242"/>
        <v>#VALUE!</v>
      </c>
      <c r="FP134" s="168" t="e" vm="3">
        <f t="shared" ca="1" si="243"/>
        <v>#VALUE!</v>
      </c>
      <c r="FQ134" s="161" t="e">
        <f t="shared" ref="FQ134:FQ197" si="247">IF(ISERROR(FR134),NA(),ROW(FQ134)-ROW(FQ$5))</f>
        <v>#N/A</v>
      </c>
      <c r="FR134" s="169" t="e">
        <f t="shared" si="148"/>
        <v>#N/A</v>
      </c>
      <c r="FS134" s="7" t="e">
        <f t="shared" ref="FS134:FS197" si="248">_xlfn.NORM.DIST(-(SQRT(Eu_a_n_x)*(FR134-Eu_a_h0_x)/SQRT(FR134*(1-FR134)))-(_xlfn.NORM.INV(1-(1-Eu_a_konfidensniveau)/2,0,1)*SQRT((Eu_a_h0_x*(1-Eu_a_h0_x))/(FR134*(1-FR134)))),0,1,TRUE)+_xlfn.NORM.DIST((SQRT(Eu_a_n_x)*(FR134-Eu_a_h0_x)/SQRT(FR134*(1-FR134)))-(_xlfn.NORM.INV(1-(1-Eu_a_konfidensniveau)/2,0,1)*SQRT((Eu_a_h0_x*(1-Eu_a_h0_x))/(FR134*(1-FR134)))),0,1,TRUE)</f>
        <v>#N/A</v>
      </c>
      <c r="FT134" t="e">
        <f t="shared" si="149"/>
        <v>#N/A</v>
      </c>
      <c r="FU134" s="8" t="e">
        <f t="shared" si="150"/>
        <v>#N/A</v>
      </c>
      <c r="FV134" s="8" t="e">
        <f t="shared" si="151"/>
        <v>#N/A</v>
      </c>
      <c r="FW134" s="168" t="e">
        <f t="shared" si="152"/>
        <v>#N/A</v>
      </c>
      <c r="FX134" s="161" t="e">
        <f t="shared" si="153"/>
        <v>#N/A</v>
      </c>
      <c r="FY134" s="169" t="e">
        <f t="shared" si="154"/>
        <v>#N/A</v>
      </c>
      <c r="FZ134" s="7" t="e">
        <f t="shared" ref="FZ134:FZ197" si="249">_xlfn.NORM.DIST(-(SQRT(Eu_a_n_x)*(FY134-Eu_a_h0_x)/SQRT(FY134*(1-FY134)))-(_xlfn.NORM.INV(1-(1-Eu_a_konfidensniveau)/2,0,1)*SQRT((Eu_a_h0_x*(1-Eu_a_h0_x))/(FY134*(1-FY134)))),0,1,TRUE)+_xlfn.NORM.DIST((SQRT(Eu_a_n_x)*(FY134-Eu_a_h0_x)/SQRT(FY134*(1-FY134)))-(_xlfn.NORM.INV(1-(1-Eu_a_konfidensniveau)/2,0,1)*SQRT((Eu_a_h0_x*(1-Eu_a_h0_x))/(FY134*(1-FY134)))),0,1,TRUE)</f>
        <v>#N/A</v>
      </c>
      <c r="GA134" t="e">
        <f t="shared" si="155"/>
        <v>#N/A</v>
      </c>
      <c r="GB134" s="8" t="e">
        <f t="shared" si="156"/>
        <v>#N/A</v>
      </c>
      <c r="GC134" s="8" t="e">
        <f t="shared" si="157"/>
        <v>#N/A</v>
      </c>
      <c r="GD134" s="168" t="e">
        <f t="shared" si="158"/>
        <v>#N/A</v>
      </c>
      <c r="GE134" s="168"/>
      <c r="GF134" s="168"/>
      <c r="GI134" s="54">
        <f t="shared" si="203"/>
        <v>124</v>
      </c>
      <c r="GJ134" s="54">
        <f t="shared" si="204"/>
        <v>125</v>
      </c>
      <c r="GK134" s="54">
        <f t="shared" si="205"/>
        <v>-0.11977644597549686</v>
      </c>
      <c r="GL134" s="54">
        <f t="shared" si="206"/>
        <v>0.39609082747762636</v>
      </c>
      <c r="GM134" s="54" t="e">
        <f t="shared" si="207"/>
        <v>#N/A</v>
      </c>
      <c r="GN134" s="54" t="e">
        <f t="shared" si="208"/>
        <v>#N/A</v>
      </c>
      <c r="GO134" s="54" t="e">
        <f t="shared" si="209"/>
        <v>#N/A</v>
      </c>
      <c r="GP134" s="54" t="b">
        <f t="shared" si="210"/>
        <v>0</v>
      </c>
      <c r="GQ134" s="54" t="b">
        <f t="shared" si="211"/>
        <v>1</v>
      </c>
      <c r="GR134" s="54" t="b">
        <f t="shared" si="212"/>
        <v>0</v>
      </c>
      <c r="GS134" s="54" t="b">
        <f t="shared" si="213"/>
        <v>1</v>
      </c>
      <c r="GT134" s="54">
        <f t="shared" si="214"/>
        <v>0.39609082747762636</v>
      </c>
      <c r="GU134" s="54" t="e">
        <f t="shared" si="215"/>
        <v>#N/A</v>
      </c>
      <c r="GV134" s="54">
        <f t="shared" si="216"/>
        <v>0.39609082747762636</v>
      </c>
      <c r="GW134" s="72" t="str">
        <f t="shared" si="217"/>
        <v/>
      </c>
      <c r="HC134" s="54">
        <f t="shared" si="218"/>
        <v>124</v>
      </c>
      <c r="HD134" s="54">
        <f t="shared" si="219"/>
        <v>125</v>
      </c>
      <c r="HE134" s="54">
        <f t="shared" si="220"/>
        <v>-0.18547634219528408</v>
      </c>
      <c r="HF134" s="54" t="e">
        <f t="shared" si="221"/>
        <v>#N/A</v>
      </c>
      <c r="HG134" s="54">
        <f t="shared" si="222"/>
        <v>0.37751537276303793</v>
      </c>
      <c r="HH134" s="54" t="e">
        <f t="shared" si="223"/>
        <v>#N/A</v>
      </c>
      <c r="HI134" s="54" t="e">
        <f t="shared" si="224"/>
        <v>#N/A</v>
      </c>
      <c r="HJ134" s="54" t="b">
        <f t="shared" si="225"/>
        <v>1</v>
      </c>
      <c r="HK134" s="54" t="b">
        <f t="shared" si="226"/>
        <v>0</v>
      </c>
      <c r="HL134" s="54" t="b">
        <f t="shared" si="227"/>
        <v>0</v>
      </c>
      <c r="HM134" s="54" t="b">
        <f t="shared" si="228"/>
        <v>1</v>
      </c>
      <c r="HN134" s="54">
        <f t="shared" si="229"/>
        <v>0.37751537276303793</v>
      </c>
      <c r="HO134" s="54">
        <f t="shared" si="230"/>
        <v>0.37751537276303793</v>
      </c>
      <c r="HP134" s="54" t="e">
        <f t="shared" si="231"/>
        <v>#N/A</v>
      </c>
      <c r="HQ134" s="72" t="str">
        <f t="shared" si="232"/>
        <v/>
      </c>
    </row>
    <row r="135" spans="71:225" x14ac:dyDescent="0.2">
      <c r="BS135" s="54">
        <f t="shared" si="159"/>
        <v>125</v>
      </c>
      <c r="BT135" s="54">
        <f>Eu_tabel_g[[#This Row],[Indeks]]+1</f>
        <v>126</v>
      </c>
      <c r="BU135" s="54">
        <f t="shared" si="160"/>
        <v>-9.5821156780397487E-2</v>
      </c>
      <c r="BV135" s="54">
        <f t="shared" si="161"/>
        <v>0.39711499501613434</v>
      </c>
      <c r="BW135" s="54" t="e">
        <f t="shared" si="162"/>
        <v>#N/A</v>
      </c>
      <c r="BX135" s="54" t="e">
        <f t="shared" si="163"/>
        <v>#N/A</v>
      </c>
      <c r="BY135" s="54" t="e">
        <f t="shared" si="164"/>
        <v>#N/A</v>
      </c>
      <c r="BZ135" s="54" t="b">
        <f t="shared" si="165"/>
        <v>0</v>
      </c>
      <c r="CA135" s="54" t="b">
        <f t="shared" si="166"/>
        <v>1</v>
      </c>
      <c r="CB135" s="54" t="b">
        <f t="shared" si="167"/>
        <v>0</v>
      </c>
      <c r="CC135" s="54" t="b">
        <f t="shared" si="168"/>
        <v>1</v>
      </c>
      <c r="CD135" s="54">
        <f t="shared" si="239"/>
        <v>0.39711499501613434</v>
      </c>
      <c r="CE135" s="54" t="e">
        <f t="shared" si="169"/>
        <v>#N/A</v>
      </c>
      <c r="CF135" s="54">
        <f t="shared" si="170"/>
        <v>0.39711499501613434</v>
      </c>
      <c r="CG135" s="72" t="str">
        <f t="shared" si="171"/>
        <v/>
      </c>
      <c r="CH135" s="54">
        <f>_xlfn.NORM.DIST(_xlfn.NORM.INV(1-Eu_g_konfidensniveau,0,1)-Eu_tabel_g[[#This Row],[x base]],0,1,TRUE)</f>
        <v>6.068695738050528E-2</v>
      </c>
      <c r="CI135" s="54">
        <f>1-_xlfn.NORM.DIST(_xlfn.NORM.INV(Eu_g_konfidensniveau,0,1)-Eu_tabel_g[[#This Row],[x base]],0,1,TRUE)</f>
        <v>4.0870300389037606E-2</v>
      </c>
      <c r="CJ135" s="54">
        <f>_xlfn.NORM.DIST(_xlfn.NORM.INV((1-Eu_g_konfidensniveau)/2,0,1)-Eu_tabel_g[[#This Row],[x base]],0,1,TRUE)+1-_xlfn.NORM.DIST(_xlfn.NORM.INV(1-(1-Eu_g_konfidensniveau)/2,0,1)-Eu_tabel_g[[#This Row],[x base]],0,1,TRUE)</f>
        <v>5.1052440219235939E-2</v>
      </c>
      <c r="CK135" s="54" t="e" cm="1">
        <f t="array" ref="CK135">IF($CK$3,INDEX(Eu_tabel_g[[#This Row],[Styrke venstre]:[Styrke tosidet]],CK$7),NA())</f>
        <v>#N/A</v>
      </c>
      <c r="CL135" s="99" t="e">
        <f>Eu_tabel_g[[#This Row],[Falsk positiv
Nulhypotese accepteres
Fejltype 1]]</f>
        <v>#N/A</v>
      </c>
      <c r="CM135" s="99" t="e">
        <f>IF(CHOOSE(CK$7,Eu_tabel_g[[#This Row],[x base]]&gt;0,Eu_tabel_g[[#This Row],[x base]]&lt;0,Eu_tabel_g[[#This Row],[x base]]=0),Eu_tabel_g[[#This Row],[Styrke, aktiv]],NA())</f>
        <v>#N/A</v>
      </c>
      <c r="CN135" s="99" t="e">
        <f>IFERROR(IF($CK$3,Eu_tabel_g[[#This Row],[Styrke, aktiv]],NA()),NA())</f>
        <v>#N/A</v>
      </c>
      <c r="CO135" s="99" t="e">
        <f>IF(ISNA(Eu_tabel_g[[#This Row],[Sand negativ
Nulhypotese afvises
Korrekt]]),NA(),IF($CK$3,1,NA()))</f>
        <v>#N/A</v>
      </c>
      <c r="CP135" s="56" t="str" cm="1">
        <f t="array" ref="CP135">_xlfn.SWITCH(BS135,_xlfn.IFNA(CN$2,-99),CN$5,_xlfn.IFNA(CN$3,-99),CN$6,_xlfn.IFNA(CN$4,-99),CN$7,"")</f>
        <v/>
      </c>
      <c r="CT135" s="7">
        <f t="shared" si="172"/>
        <v>0.8</v>
      </c>
      <c r="CU135">
        <f>IF(ROW(Styrkeberegning_G[[#This Row],[X base venstre]])=ROW(Styrkeberegning_G[[#Headers],[X base venstre]])+1,CU$7/(CT$7/$B$67),CU134/(CT134/$B$67))</f>
        <v>-2.8015817870135784</v>
      </c>
      <c r="CV135">
        <f>Styrkeberegning_G[[#This Row],[X base venstre]]*-1</f>
        <v>2.8015817870135784</v>
      </c>
      <c r="DG135" s="54">
        <f t="shared" si="173"/>
        <v>125</v>
      </c>
      <c r="DH135" s="54">
        <f t="shared" si="174"/>
        <v>126</v>
      </c>
      <c r="DI135" s="54">
        <f t="shared" si="175"/>
        <v>16.092709716778813</v>
      </c>
      <c r="DJ135" s="54" t="e">
        <f t="shared" si="176"/>
        <v>#N/A</v>
      </c>
      <c r="DK135" s="54" t="e">
        <f t="shared" si="177"/>
        <v>#N/A</v>
      </c>
      <c r="DL135" s="54">
        <f t="shared" si="178"/>
        <v>3.6376594717899113E-2</v>
      </c>
      <c r="DM135" s="54" t="e">
        <f t="shared" si="179"/>
        <v>#N/A</v>
      </c>
      <c r="DN135" s="54" t="b">
        <f t="shared" si="180"/>
        <v>0</v>
      </c>
      <c r="DO135" s="54" t="b">
        <f t="shared" si="181"/>
        <v>1</v>
      </c>
      <c r="DP135" s="54" t="b">
        <f t="shared" si="182"/>
        <v>0</v>
      </c>
      <c r="DQ135" s="54" t="b">
        <f t="shared" si="183"/>
        <v>1</v>
      </c>
      <c r="DR135" s="54">
        <f t="shared" si="184"/>
        <v>3.6376594717899113E-2</v>
      </c>
      <c r="DS135" s="54" t="e">
        <f t="shared" si="185"/>
        <v>#N/A</v>
      </c>
      <c r="DT135" s="54">
        <f t="shared" si="186"/>
        <v>3.6376594717899113E-2</v>
      </c>
      <c r="DU135" s="72" t="str">
        <f t="shared" si="187"/>
        <v/>
      </c>
      <c r="DZ135" s="54">
        <f t="shared" si="188"/>
        <v>125</v>
      </c>
      <c r="EA135" s="54">
        <f t="shared" si="189"/>
        <v>126</v>
      </c>
      <c r="EB135" s="54">
        <f t="shared" si="190"/>
        <v>-9.5821156780397487E-2</v>
      </c>
      <c r="EC135" s="54">
        <f t="shared" si="191"/>
        <v>0.39711499501613434</v>
      </c>
      <c r="ED135" s="54" t="e">
        <f t="shared" si="192"/>
        <v>#N/A</v>
      </c>
      <c r="EE135" s="54" t="e">
        <f t="shared" si="193"/>
        <v>#N/A</v>
      </c>
      <c r="EF135" s="54" t="e">
        <f t="shared" si="194"/>
        <v>#N/A</v>
      </c>
      <c r="EG135" s="54" t="b">
        <f t="shared" si="195"/>
        <v>0</v>
      </c>
      <c r="EH135" s="54" t="b">
        <f t="shared" si="196"/>
        <v>1</v>
      </c>
      <c r="EI135" s="54" t="b">
        <f t="shared" si="197"/>
        <v>0</v>
      </c>
      <c r="EJ135" s="54" t="b">
        <f t="shared" si="198"/>
        <v>1</v>
      </c>
      <c r="EK135" s="54">
        <f t="shared" si="199"/>
        <v>0.39711499501613434</v>
      </c>
      <c r="EL135" s="54" t="e">
        <f t="shared" si="200"/>
        <v>#N/A</v>
      </c>
      <c r="EM135" s="54">
        <f t="shared" si="201"/>
        <v>0.39711499501613434</v>
      </c>
      <c r="EN135" s="72" t="str">
        <f t="shared" si="202"/>
        <v/>
      </c>
      <c r="EO13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3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3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35" s="54" t="e" cm="1">
        <f t="array" ref="ER135">IF($CK$3,INDEX(Eu_tabel_a[[#This Row],[Styrke venstre]:[Styrke tosidet]],ER$7),NA())</f>
        <v>#N/A</v>
      </c>
      <c r="ES135" s="54" t="e">
        <f>IF(ER$3,IF(CHOOSE(ER$7,Eu_tabel_a[[#This Row],[x base]]&gt;0,Eu_tabel_a[[#This Row],[x base]]&lt;0,Eu_tabel_a[[#This Row],[x base]]=0),1,NA()),NA())</f>
        <v>#N/A</v>
      </c>
      <c r="ET135" s="54" t="e">
        <f>IF(CHOOSE(ER$7,Eu_tabel_a[[#This Row],[x base]]&gt;0,Eu_tabel_a[[#This Row],[x base]]&lt;0,Eu_tabel_a[[#This Row],[x base]]=0),Eu_tabel_a[[#This Row],[Styrke, aktiv]],NA())</f>
        <v>#N/A</v>
      </c>
      <c r="EU135" s="54" t="e">
        <f>IFERROR(IF($ER$3,Eu_tabel_a[[#This Row],[Styrke, aktiv]],NA()),NA())</f>
        <v>#N/A</v>
      </c>
      <c r="EV135" s="54" t="e">
        <f>IF(ISNA(Eu_tabel_a[[#This Row],[Sand negativ
Nulhypotese afvises
Korrekt]]),NA(),IF(ER$3,1,NA()))</f>
        <v>#N/A</v>
      </c>
      <c r="EW135" s="55" t="str" cm="1">
        <f t="array" ref="EW135">IFERROR(_xlfn.SWITCH(Eu_tabel_a[[#This Row],[Indeks]],_xlfn.IFNA(EU$2,-99),EU$5,_xlfn.IFNA(EU$3,-99),EU$6,_xlfn.IFNA(EU$4,-99),EU$7,""),"")</f>
        <v/>
      </c>
      <c r="EX135" s="54">
        <f>Eu_tabel_a[[#This Row],[x base]]*SQRT(Eu_a_h0_x*(1-Eu_a_h0_x)/Eu_a_n_x)+Eu_a_h0_x</f>
        <v>0</v>
      </c>
      <c r="FC135" s="161" t="e">
        <f t="shared" ref="FC135:FC198" si="250">IF(ISERROR(FD135),NA(),ROW(FC135)-ROW(FC$5))</f>
        <v>#N/A</v>
      </c>
      <c r="FD135" s="169" t="e">
        <f t="shared" si="234"/>
        <v>#DIV/0!</v>
      </c>
      <c r="FE135" s="7" t="e">
        <f t="shared" si="244"/>
        <v>#DIV/0!</v>
      </c>
      <c r="FF135" t="e">
        <f t="shared" si="235"/>
        <v>#DIV/0!</v>
      </c>
      <c r="FG135" s="8" t="e">
        <f t="shared" si="236"/>
        <v>#DIV/0!</v>
      </c>
      <c r="FH135" s="8" t="e">
        <f t="shared" si="237"/>
        <v>#DIV/0!</v>
      </c>
      <c r="FI135" s="168" t="e">
        <f t="shared" si="238"/>
        <v>#DIV/0!</v>
      </c>
      <c r="FJ135" s="161" t="e">
        <f t="shared" ca="1" si="245"/>
        <v>#N/A</v>
      </c>
      <c r="FK135" s="169" t="e" vm="3">
        <f t="shared" ref="FK135:FK198" ca="1" si="251">FK133+FP134</f>
        <v>#VALUE!</v>
      </c>
      <c r="FL135" s="7" t="e" vm="3">
        <f t="shared" ca="1" si="246"/>
        <v>#VALUE!</v>
      </c>
      <c r="FM135" t="e" vm="3">
        <f t="shared" ca="1" si="240"/>
        <v>#VALUE!</v>
      </c>
      <c r="FN135" s="8" t="e" vm="3">
        <f t="shared" ca="1" si="241"/>
        <v>#VALUE!</v>
      </c>
      <c r="FO135" s="8" t="e" vm="3">
        <f t="shared" ca="1" si="242"/>
        <v>#VALUE!</v>
      </c>
      <c r="FP135" s="168" t="e" vm="3">
        <f t="shared" ca="1" si="243"/>
        <v>#VALUE!</v>
      </c>
      <c r="FQ135" s="161" t="e">
        <f t="shared" si="247"/>
        <v>#N/A</v>
      </c>
      <c r="FR135" s="169" t="e">
        <f t="shared" ref="FR135:FR198" si="252">FR133+FW134</f>
        <v>#N/A</v>
      </c>
      <c r="FS135" s="7" t="e">
        <f t="shared" si="248"/>
        <v>#N/A</v>
      </c>
      <c r="FT135" t="e">
        <f t="shared" ref="FT135:FT198" si="253">FR135-FR134</f>
        <v>#N/A</v>
      </c>
      <c r="FU135" s="8" t="e">
        <f t="shared" ref="FU135:FU198" si="254">FS135-FS134</f>
        <v>#N/A</v>
      </c>
      <c r="FV135" s="8" t="e">
        <f t="shared" ref="FV135:FV198" si="255">$P$67-FS134</f>
        <v>#N/A</v>
      </c>
      <c r="FW135" s="168" t="e">
        <f t="shared" ref="FW135:FW198" si="256">FT135/(FU135/FV135)</f>
        <v>#N/A</v>
      </c>
      <c r="FX135" s="161" t="e">
        <f t="shared" ref="FX135:FX198" si="257">IF(ISERROR(FY135),NA(),ROW(FX135)-ROW(FX$5))</f>
        <v>#N/A</v>
      </c>
      <c r="FY135" s="169" t="e">
        <f t="shared" ref="FY135:FY198" si="258">FY133+GD134</f>
        <v>#N/A</v>
      </c>
      <c r="FZ135" s="7" t="e">
        <f t="shared" si="249"/>
        <v>#N/A</v>
      </c>
      <c r="GA135" t="e">
        <f t="shared" ref="GA135:GA198" si="259">FY135-FY134</f>
        <v>#N/A</v>
      </c>
      <c r="GB135" s="8" t="e">
        <f t="shared" ref="GB135:GB198" si="260">FZ135-FZ134</f>
        <v>#N/A</v>
      </c>
      <c r="GC135" s="8" t="e">
        <f t="shared" ref="GC135:GC198" si="261">$P$67-FZ134</f>
        <v>#N/A</v>
      </c>
      <c r="GD135" s="168" t="e">
        <f t="shared" ref="GD135:GD198" si="262">GA135/(GB135/GC135)</f>
        <v>#N/A</v>
      </c>
      <c r="GE135" s="168"/>
      <c r="GF135" s="168"/>
      <c r="GI135" s="54">
        <f t="shared" si="203"/>
        <v>125</v>
      </c>
      <c r="GJ135" s="54">
        <f t="shared" si="204"/>
        <v>126</v>
      </c>
      <c r="GK135" s="54">
        <f t="shared" si="205"/>
        <v>-9.5821156780397487E-2</v>
      </c>
      <c r="GL135" s="54">
        <f t="shared" si="206"/>
        <v>0.39711499501613434</v>
      </c>
      <c r="GM135" s="54" t="e">
        <f t="shared" si="207"/>
        <v>#N/A</v>
      </c>
      <c r="GN135" s="54" t="e">
        <f t="shared" si="208"/>
        <v>#N/A</v>
      </c>
      <c r="GO135" s="54" t="e">
        <f t="shared" si="209"/>
        <v>#N/A</v>
      </c>
      <c r="GP135" s="54" t="b">
        <f t="shared" si="210"/>
        <v>0</v>
      </c>
      <c r="GQ135" s="54" t="b">
        <f t="shared" si="211"/>
        <v>1</v>
      </c>
      <c r="GR135" s="54" t="b">
        <f t="shared" si="212"/>
        <v>0</v>
      </c>
      <c r="GS135" s="54" t="b">
        <f t="shared" si="213"/>
        <v>1</v>
      </c>
      <c r="GT135" s="54">
        <f t="shared" si="214"/>
        <v>0.39711499501613434</v>
      </c>
      <c r="GU135" s="54" t="e">
        <f t="shared" si="215"/>
        <v>#N/A</v>
      </c>
      <c r="GV135" s="54">
        <f t="shared" si="216"/>
        <v>0.39711499501613434</v>
      </c>
      <c r="GW135" s="72" t="str">
        <f t="shared" si="217"/>
        <v/>
      </c>
      <c r="HC135" s="54">
        <f t="shared" si="218"/>
        <v>125</v>
      </c>
      <c r="HD135" s="54">
        <f t="shared" si="219"/>
        <v>126</v>
      </c>
      <c r="HE135" s="54">
        <f t="shared" si="220"/>
        <v>-0.14838107375622744</v>
      </c>
      <c r="HF135" s="54" t="e">
        <f t="shared" si="221"/>
        <v>#N/A</v>
      </c>
      <c r="HG135" s="54">
        <f t="shared" si="222"/>
        <v>0.38018567897028177</v>
      </c>
      <c r="HH135" s="54" t="e">
        <f t="shared" si="223"/>
        <v>#N/A</v>
      </c>
      <c r="HI135" s="54" t="e">
        <f t="shared" si="224"/>
        <v>#N/A</v>
      </c>
      <c r="HJ135" s="54" t="b">
        <f t="shared" si="225"/>
        <v>1</v>
      </c>
      <c r="HK135" s="54" t="b">
        <f t="shared" si="226"/>
        <v>0</v>
      </c>
      <c r="HL135" s="54" t="b">
        <f t="shared" si="227"/>
        <v>0</v>
      </c>
      <c r="HM135" s="54" t="b">
        <f t="shared" si="228"/>
        <v>1</v>
      </c>
      <c r="HN135" s="54">
        <f t="shared" si="229"/>
        <v>0.38018567897028177</v>
      </c>
      <c r="HO135" s="54">
        <f t="shared" si="230"/>
        <v>0.38018567897028177</v>
      </c>
      <c r="HP135" s="54" t="e">
        <f t="shared" si="231"/>
        <v>#N/A</v>
      </c>
      <c r="HQ135" s="72" t="str">
        <f t="shared" si="232"/>
        <v/>
      </c>
    </row>
    <row r="136" spans="71:225" x14ac:dyDescent="0.2">
      <c r="BS136" s="54">
        <f t="shared" si="159"/>
        <v>126</v>
      </c>
      <c r="BT136" s="54">
        <f>Eu_tabel_g[[#This Row],[Indeks]]+1</f>
        <v>127</v>
      </c>
      <c r="BU136" s="54">
        <f t="shared" si="160"/>
        <v>-7.1865867585298115E-2</v>
      </c>
      <c r="BV136" s="54">
        <f t="shared" si="161"/>
        <v>0.39791340025725958</v>
      </c>
      <c r="BW136" s="54" t="e">
        <f t="shared" si="162"/>
        <v>#N/A</v>
      </c>
      <c r="BX136" s="54" t="e">
        <f t="shared" si="163"/>
        <v>#N/A</v>
      </c>
      <c r="BY136" s="54" t="e">
        <f t="shared" si="164"/>
        <v>#N/A</v>
      </c>
      <c r="BZ136" s="54" t="b">
        <f t="shared" si="165"/>
        <v>0</v>
      </c>
      <c r="CA136" s="54" t="b">
        <f t="shared" si="166"/>
        <v>1</v>
      </c>
      <c r="CB136" s="54" t="b">
        <f t="shared" si="167"/>
        <v>0</v>
      </c>
      <c r="CC136" s="54" t="b">
        <f t="shared" si="168"/>
        <v>1</v>
      </c>
      <c r="CD136" s="54">
        <f t="shared" si="239"/>
        <v>0.39791340025725958</v>
      </c>
      <c r="CE136" s="54" t="e">
        <f t="shared" si="169"/>
        <v>#N/A</v>
      </c>
      <c r="CF136" s="54">
        <f t="shared" si="170"/>
        <v>0.39791340025725958</v>
      </c>
      <c r="CG136" s="72" t="str">
        <f t="shared" si="171"/>
        <v/>
      </c>
      <c r="CH136" s="54">
        <f>_xlfn.NORM.DIST(_xlfn.NORM.INV(1-Eu_g_konfidensniveau,0,1)-Eu_tabel_g[[#This Row],[x base]],0,1,TRUE)</f>
        <v>5.7860826284518954E-2</v>
      </c>
      <c r="CI136" s="54">
        <f>1-_xlfn.NORM.DIST(_xlfn.NORM.INV(Eu_g_konfidensniveau,0,1)-Eu_tabel_g[[#This Row],[x base]],0,1,TRUE)</f>
        <v>4.3015218235686214E-2</v>
      </c>
      <c r="CJ136" s="54">
        <f>_xlfn.NORM.DIST(_xlfn.NORM.INV((1-Eu_g_konfidensniveau)/2,0,1)-Eu_tabel_g[[#This Row],[x base]],0,1,TRUE)+1-_xlfn.NORM.DIST(_xlfn.NORM.INV(1-(1-Eu_g_konfidensniveau)/2,0,1)-Eu_tabel_g[[#This Row],[x base]],0,1,TRUE)</f>
        <v>5.0591831796844566E-2</v>
      </c>
      <c r="CK136" s="54" t="e" cm="1">
        <f t="array" ref="CK136">IF($CK$3,INDEX(Eu_tabel_g[[#This Row],[Styrke venstre]:[Styrke tosidet]],CK$7),NA())</f>
        <v>#N/A</v>
      </c>
      <c r="CL136" s="99" t="e">
        <f>Eu_tabel_g[[#This Row],[Falsk positiv
Nulhypotese accepteres
Fejltype 1]]</f>
        <v>#N/A</v>
      </c>
      <c r="CM136" s="99" t="e">
        <f>IF(CHOOSE(CK$7,Eu_tabel_g[[#This Row],[x base]]&gt;0,Eu_tabel_g[[#This Row],[x base]]&lt;0,Eu_tabel_g[[#This Row],[x base]]=0),Eu_tabel_g[[#This Row],[Styrke, aktiv]],NA())</f>
        <v>#N/A</v>
      </c>
      <c r="CN136" s="99" t="e">
        <f>IFERROR(IF($CK$3,Eu_tabel_g[[#This Row],[Styrke, aktiv]],NA()),NA())</f>
        <v>#N/A</v>
      </c>
      <c r="CO136" s="99" t="e">
        <f>IF(ISNA(Eu_tabel_g[[#This Row],[Sand negativ
Nulhypotese afvises
Korrekt]]),NA(),IF($CK$3,1,NA()))</f>
        <v>#N/A</v>
      </c>
      <c r="CP136" s="56" t="str" cm="1">
        <f t="array" ref="CP136">_xlfn.SWITCH(BS136,_xlfn.IFNA(CN$2,-99),CN$5,_xlfn.IFNA(CN$3,-99),CN$6,_xlfn.IFNA(CN$4,-99),CN$7,"")</f>
        <v/>
      </c>
      <c r="CT136" s="7">
        <f t="shared" si="172"/>
        <v>0.8</v>
      </c>
      <c r="CU136">
        <f>IF(ROW(Styrkeberegning_G[[#This Row],[X base venstre]])=ROW(Styrkeberegning_G[[#Headers],[X base venstre]])+1,CU$7/(CT$7/$B$67),CU135/(CT135/$B$67))</f>
        <v>-2.8015817870135784</v>
      </c>
      <c r="CV136">
        <f>Styrkeberegning_G[[#This Row],[X base venstre]]*-1</f>
        <v>2.8015817870135784</v>
      </c>
      <c r="DG136" s="54">
        <f t="shared" si="173"/>
        <v>126</v>
      </c>
      <c r="DH136" s="54">
        <f t="shared" si="174"/>
        <v>127</v>
      </c>
      <c r="DI136" s="54">
        <f t="shared" si="175"/>
        <v>16.206780573195815</v>
      </c>
      <c r="DJ136" s="54" t="e">
        <f t="shared" si="176"/>
        <v>#N/A</v>
      </c>
      <c r="DK136" s="54" t="e">
        <f t="shared" si="177"/>
        <v>#N/A</v>
      </c>
      <c r="DL136" s="54">
        <f t="shared" si="178"/>
        <v>3.5469572641058468E-2</v>
      </c>
      <c r="DM136" s="54" t="e">
        <f t="shared" si="179"/>
        <v>#N/A</v>
      </c>
      <c r="DN136" s="54" t="b">
        <f t="shared" si="180"/>
        <v>0</v>
      </c>
      <c r="DO136" s="54" t="b">
        <f t="shared" si="181"/>
        <v>1</v>
      </c>
      <c r="DP136" s="54" t="b">
        <f t="shared" si="182"/>
        <v>0</v>
      </c>
      <c r="DQ136" s="54" t="b">
        <f t="shared" si="183"/>
        <v>1</v>
      </c>
      <c r="DR136" s="54">
        <f t="shared" si="184"/>
        <v>3.5469572641058468E-2</v>
      </c>
      <c r="DS136" s="54" t="e">
        <f t="shared" si="185"/>
        <v>#N/A</v>
      </c>
      <c r="DT136" s="54">
        <f t="shared" si="186"/>
        <v>3.5469572641058468E-2</v>
      </c>
      <c r="DU136" s="72" t="str">
        <f t="shared" si="187"/>
        <v/>
      </c>
      <c r="DZ136" s="54">
        <f t="shared" si="188"/>
        <v>126</v>
      </c>
      <c r="EA136" s="54">
        <f t="shared" si="189"/>
        <v>127</v>
      </c>
      <c r="EB136" s="54">
        <f t="shared" si="190"/>
        <v>-7.1865867585298115E-2</v>
      </c>
      <c r="EC136" s="54">
        <f t="shared" si="191"/>
        <v>0.39791340025725958</v>
      </c>
      <c r="ED136" s="54" t="e">
        <f t="shared" si="192"/>
        <v>#N/A</v>
      </c>
      <c r="EE136" s="54" t="e">
        <f t="shared" si="193"/>
        <v>#N/A</v>
      </c>
      <c r="EF136" s="54" t="e">
        <f t="shared" si="194"/>
        <v>#N/A</v>
      </c>
      <c r="EG136" s="54" t="b">
        <f t="shared" si="195"/>
        <v>0</v>
      </c>
      <c r="EH136" s="54" t="b">
        <f t="shared" si="196"/>
        <v>1</v>
      </c>
      <c r="EI136" s="54" t="b">
        <f t="shared" si="197"/>
        <v>0</v>
      </c>
      <c r="EJ136" s="54" t="b">
        <f t="shared" si="198"/>
        <v>1</v>
      </c>
      <c r="EK136" s="54">
        <f t="shared" si="199"/>
        <v>0.39791340025725958</v>
      </c>
      <c r="EL136" s="54" t="e">
        <f t="shared" si="200"/>
        <v>#N/A</v>
      </c>
      <c r="EM136" s="54">
        <f t="shared" si="201"/>
        <v>0.39791340025725958</v>
      </c>
      <c r="EN136" s="72" t="str">
        <f t="shared" si="202"/>
        <v/>
      </c>
      <c r="EO13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3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3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36" s="54" t="e" cm="1">
        <f t="array" ref="ER136">IF($CK$3,INDEX(Eu_tabel_a[[#This Row],[Styrke venstre]:[Styrke tosidet]],ER$7),NA())</f>
        <v>#N/A</v>
      </c>
      <c r="ES136" s="54" t="e">
        <f>IF(ER$3,IF(CHOOSE(ER$7,Eu_tabel_a[[#This Row],[x base]]&gt;0,Eu_tabel_a[[#This Row],[x base]]&lt;0,Eu_tabel_a[[#This Row],[x base]]=0),1,NA()),NA())</f>
        <v>#N/A</v>
      </c>
      <c r="ET136" s="54" t="e">
        <f>IF(CHOOSE(ER$7,Eu_tabel_a[[#This Row],[x base]]&gt;0,Eu_tabel_a[[#This Row],[x base]]&lt;0,Eu_tabel_a[[#This Row],[x base]]=0),Eu_tabel_a[[#This Row],[Styrke, aktiv]],NA())</f>
        <v>#N/A</v>
      </c>
      <c r="EU136" s="54" t="e">
        <f>IFERROR(IF($ER$3,Eu_tabel_a[[#This Row],[Styrke, aktiv]],NA()),NA())</f>
        <v>#N/A</v>
      </c>
      <c r="EV136" s="54" t="e">
        <f>IF(ISNA(Eu_tabel_a[[#This Row],[Sand negativ
Nulhypotese afvises
Korrekt]]),NA(),IF(ER$3,1,NA()))</f>
        <v>#N/A</v>
      </c>
      <c r="EW136" s="55" t="str" cm="1">
        <f t="array" ref="EW136">IFERROR(_xlfn.SWITCH(Eu_tabel_a[[#This Row],[Indeks]],_xlfn.IFNA(EU$2,-99),EU$5,_xlfn.IFNA(EU$3,-99),EU$6,_xlfn.IFNA(EU$4,-99),EU$7,""),"")</f>
        <v/>
      </c>
      <c r="EX136" s="54">
        <f>Eu_tabel_a[[#This Row],[x base]]*SQRT(Eu_a_h0_x*(1-Eu_a_h0_x)/Eu_a_n_x)+Eu_a_h0_x</f>
        <v>0</v>
      </c>
      <c r="FC136" s="161" t="e">
        <f t="shared" si="250"/>
        <v>#N/A</v>
      </c>
      <c r="FD136" s="169" t="e">
        <f t="shared" si="234"/>
        <v>#DIV/0!</v>
      </c>
      <c r="FE136" s="7" t="e">
        <f t="shared" si="244"/>
        <v>#DIV/0!</v>
      </c>
      <c r="FF136" t="e">
        <f t="shared" si="235"/>
        <v>#DIV/0!</v>
      </c>
      <c r="FG136" s="8" t="e">
        <f t="shared" si="236"/>
        <v>#DIV/0!</v>
      </c>
      <c r="FH136" s="8" t="e">
        <f t="shared" si="237"/>
        <v>#DIV/0!</v>
      </c>
      <c r="FI136" s="168" t="e">
        <f t="shared" si="238"/>
        <v>#DIV/0!</v>
      </c>
      <c r="FJ136" s="161" t="e">
        <f t="shared" ca="1" si="245"/>
        <v>#N/A</v>
      </c>
      <c r="FK136" s="169" t="e" vm="3">
        <f t="shared" ca="1" si="251"/>
        <v>#VALUE!</v>
      </c>
      <c r="FL136" s="7" t="e" vm="3">
        <f t="shared" ca="1" si="246"/>
        <v>#VALUE!</v>
      </c>
      <c r="FM136" t="e" vm="3">
        <f t="shared" ca="1" si="240"/>
        <v>#VALUE!</v>
      </c>
      <c r="FN136" s="8" t="e" vm="3">
        <f t="shared" ca="1" si="241"/>
        <v>#VALUE!</v>
      </c>
      <c r="FO136" s="8" t="e" vm="3">
        <f t="shared" ca="1" si="242"/>
        <v>#VALUE!</v>
      </c>
      <c r="FP136" s="168" t="e" vm="3">
        <f t="shared" ca="1" si="243"/>
        <v>#VALUE!</v>
      </c>
      <c r="FQ136" s="161" t="e">
        <f t="shared" si="247"/>
        <v>#N/A</v>
      </c>
      <c r="FR136" s="169" t="e">
        <f t="shared" si="252"/>
        <v>#N/A</v>
      </c>
      <c r="FS136" s="7" t="e">
        <f t="shared" si="248"/>
        <v>#N/A</v>
      </c>
      <c r="FT136" t="e">
        <f t="shared" si="253"/>
        <v>#N/A</v>
      </c>
      <c r="FU136" s="8" t="e">
        <f t="shared" si="254"/>
        <v>#N/A</v>
      </c>
      <c r="FV136" s="8" t="e">
        <f t="shared" si="255"/>
        <v>#N/A</v>
      </c>
      <c r="FW136" s="168" t="e">
        <f t="shared" si="256"/>
        <v>#N/A</v>
      </c>
      <c r="FX136" s="161" t="e">
        <f t="shared" si="257"/>
        <v>#N/A</v>
      </c>
      <c r="FY136" s="169" t="e">
        <f t="shared" si="258"/>
        <v>#N/A</v>
      </c>
      <c r="FZ136" s="7" t="e">
        <f t="shared" si="249"/>
        <v>#N/A</v>
      </c>
      <c r="GA136" t="e">
        <f t="shared" si="259"/>
        <v>#N/A</v>
      </c>
      <c r="GB136" s="8" t="e">
        <f t="shared" si="260"/>
        <v>#N/A</v>
      </c>
      <c r="GC136" s="8" t="e">
        <f t="shared" si="261"/>
        <v>#N/A</v>
      </c>
      <c r="GD136" s="168" t="e">
        <f t="shared" si="262"/>
        <v>#N/A</v>
      </c>
      <c r="GE136" s="168"/>
      <c r="GF136" s="168"/>
      <c r="GI136" s="54">
        <f t="shared" si="203"/>
        <v>126</v>
      </c>
      <c r="GJ136" s="54">
        <f t="shared" si="204"/>
        <v>127</v>
      </c>
      <c r="GK136" s="54">
        <f t="shared" si="205"/>
        <v>-7.1865867585298115E-2</v>
      </c>
      <c r="GL136" s="54">
        <f t="shared" si="206"/>
        <v>0.39791340025725958</v>
      </c>
      <c r="GM136" s="54" t="e">
        <f t="shared" si="207"/>
        <v>#N/A</v>
      </c>
      <c r="GN136" s="54" t="e">
        <f t="shared" si="208"/>
        <v>#N/A</v>
      </c>
      <c r="GO136" s="54" t="e">
        <f t="shared" si="209"/>
        <v>#N/A</v>
      </c>
      <c r="GP136" s="54" t="b">
        <f t="shared" si="210"/>
        <v>0</v>
      </c>
      <c r="GQ136" s="54" t="b">
        <f t="shared" si="211"/>
        <v>1</v>
      </c>
      <c r="GR136" s="54" t="b">
        <f t="shared" si="212"/>
        <v>0</v>
      </c>
      <c r="GS136" s="54" t="b">
        <f t="shared" si="213"/>
        <v>1</v>
      </c>
      <c r="GT136" s="54">
        <f t="shared" si="214"/>
        <v>0.39791340025725958</v>
      </c>
      <c r="GU136" s="54" t="e">
        <f t="shared" si="215"/>
        <v>#N/A</v>
      </c>
      <c r="GV136" s="54">
        <f t="shared" si="216"/>
        <v>0.39791340025725958</v>
      </c>
      <c r="GW136" s="72" t="str">
        <f t="shared" si="217"/>
        <v/>
      </c>
      <c r="HC136" s="54">
        <f t="shared" si="218"/>
        <v>126</v>
      </c>
      <c r="HD136" s="54">
        <f t="shared" si="219"/>
        <v>127</v>
      </c>
      <c r="HE136" s="54">
        <f t="shared" si="220"/>
        <v>-0.11128580531716992</v>
      </c>
      <c r="HF136" s="54" t="e">
        <f t="shared" si="221"/>
        <v>#N/A</v>
      </c>
      <c r="HG136" s="54">
        <f t="shared" si="222"/>
        <v>0.38227892287272441</v>
      </c>
      <c r="HH136" s="54" t="e">
        <f t="shared" si="223"/>
        <v>#N/A</v>
      </c>
      <c r="HI136" s="54" t="e">
        <f t="shared" si="224"/>
        <v>#N/A</v>
      </c>
      <c r="HJ136" s="54" t="b">
        <f t="shared" si="225"/>
        <v>1</v>
      </c>
      <c r="HK136" s="54" t="b">
        <f t="shared" si="226"/>
        <v>0</v>
      </c>
      <c r="HL136" s="54" t="b">
        <f t="shared" si="227"/>
        <v>0</v>
      </c>
      <c r="HM136" s="54" t="b">
        <f t="shared" si="228"/>
        <v>1</v>
      </c>
      <c r="HN136" s="54">
        <f t="shared" si="229"/>
        <v>0.38227892287272441</v>
      </c>
      <c r="HO136" s="54">
        <f t="shared" si="230"/>
        <v>0.38227892287272441</v>
      </c>
      <c r="HP136" s="54" t="e">
        <f t="shared" si="231"/>
        <v>#N/A</v>
      </c>
      <c r="HQ136" s="72" t="str">
        <f t="shared" si="232"/>
        <v/>
      </c>
    </row>
    <row r="137" spans="71:225" x14ac:dyDescent="0.2">
      <c r="BS137" s="54">
        <f t="shared" si="159"/>
        <v>127</v>
      </c>
      <c r="BT137" s="54">
        <f>Eu_tabel_g[[#This Row],[Indeks]]+1</f>
        <v>128</v>
      </c>
      <c r="BU137" s="54">
        <f t="shared" si="160"/>
        <v>-4.7910578390198744E-2</v>
      </c>
      <c r="BV137" s="54">
        <f t="shared" si="161"/>
        <v>0.39848467230564738</v>
      </c>
      <c r="BW137" s="54" t="e">
        <f t="shared" si="162"/>
        <v>#N/A</v>
      </c>
      <c r="BX137" s="54" t="e">
        <f t="shared" si="163"/>
        <v>#N/A</v>
      </c>
      <c r="BY137" s="54" t="e">
        <f t="shared" si="164"/>
        <v>#N/A</v>
      </c>
      <c r="BZ137" s="54" t="b">
        <f t="shared" si="165"/>
        <v>0</v>
      </c>
      <c r="CA137" s="54" t="b">
        <f t="shared" si="166"/>
        <v>1</v>
      </c>
      <c r="CB137" s="54" t="b">
        <f t="shared" si="167"/>
        <v>0</v>
      </c>
      <c r="CC137" s="54" t="b">
        <f t="shared" si="168"/>
        <v>1</v>
      </c>
      <c r="CD137" s="54">
        <f t="shared" si="239"/>
        <v>0.39848467230564738</v>
      </c>
      <c r="CE137" s="54" t="e">
        <f t="shared" si="169"/>
        <v>#N/A</v>
      </c>
      <c r="CF137" s="54">
        <f t="shared" si="170"/>
        <v>0.39848467230564738</v>
      </c>
      <c r="CG137" s="72" t="str">
        <f t="shared" si="171"/>
        <v/>
      </c>
      <c r="CH137" s="54">
        <f>_xlfn.NORM.DIST(_xlfn.NORM.INV(1-Eu_g_konfidensniveau,0,1)-Eu_tabel_g[[#This Row],[x base]],0,1,TRUE)</f>
        <v>5.5139201368197548E-2</v>
      </c>
      <c r="CI137" s="54">
        <f>1-_xlfn.NORM.DIST(_xlfn.NORM.INV(Eu_g_konfidensniveau,0,1)-Eu_tabel_g[[#This Row],[x base]],0,1,TRUE)</f>
        <v>4.5250179277904423E-2</v>
      </c>
      <c r="CJ137" s="54">
        <f>_xlfn.NORM.DIST(_xlfn.NORM.INV((1-Eu_g_konfidensniveau)/2,0,1)-Eu_tabel_g[[#This Row],[x base]],0,1,TRUE)+1-_xlfn.NORM.DIST(_xlfn.NORM.INV(1-(1-Eu_g_konfidensniveau)/2,0,1)-Eu_tabel_g[[#This Row],[x base]],0,1,TRUE)</f>
        <v>5.0262983586075727E-2</v>
      </c>
      <c r="CK137" s="54" t="e" cm="1">
        <f t="array" ref="CK137">IF($CK$3,INDEX(Eu_tabel_g[[#This Row],[Styrke venstre]:[Styrke tosidet]],CK$7),NA())</f>
        <v>#N/A</v>
      </c>
      <c r="CL137" s="99" t="e">
        <f>Eu_tabel_g[[#This Row],[Falsk positiv
Nulhypotese accepteres
Fejltype 1]]</f>
        <v>#N/A</v>
      </c>
      <c r="CM137" s="99" t="e">
        <f>IF(CHOOSE(CK$7,Eu_tabel_g[[#This Row],[x base]]&gt;0,Eu_tabel_g[[#This Row],[x base]]&lt;0,Eu_tabel_g[[#This Row],[x base]]=0),Eu_tabel_g[[#This Row],[Styrke, aktiv]],NA())</f>
        <v>#N/A</v>
      </c>
      <c r="CN137" s="99" t="e">
        <f>IFERROR(IF($CK$3,Eu_tabel_g[[#This Row],[Styrke, aktiv]],NA()),NA())</f>
        <v>#N/A</v>
      </c>
      <c r="CO137" s="99" t="e">
        <f>IF(ISNA(Eu_tabel_g[[#This Row],[Sand negativ
Nulhypotese afvises
Korrekt]]),NA(),IF($CK$3,1,NA()))</f>
        <v>#N/A</v>
      </c>
      <c r="CP137" s="56" t="str" cm="1">
        <f t="array" ref="CP137">_xlfn.SWITCH(BS137,_xlfn.IFNA(CN$2,-99),CN$5,_xlfn.IFNA(CN$3,-99),CN$6,_xlfn.IFNA(CN$4,-99),CN$7,"")</f>
        <v/>
      </c>
      <c r="CT137" s="7">
        <f t="shared" si="172"/>
        <v>0.8</v>
      </c>
      <c r="CU137">
        <f>IF(ROW(Styrkeberegning_G[[#This Row],[X base venstre]])=ROW(Styrkeberegning_G[[#Headers],[X base venstre]])+1,CU$7/(CT$7/$B$67),CU136/(CT136/$B$67))</f>
        <v>-2.8015817870135784</v>
      </c>
      <c r="CV137">
        <f>Styrkeberegning_G[[#This Row],[X base venstre]]*-1</f>
        <v>2.8015817870135784</v>
      </c>
      <c r="DG137" s="54">
        <f t="shared" si="173"/>
        <v>127</v>
      </c>
      <c r="DH137" s="54">
        <f t="shared" si="174"/>
        <v>128</v>
      </c>
      <c r="DI137" s="54">
        <f t="shared" si="175"/>
        <v>16.320851429612816</v>
      </c>
      <c r="DJ137" s="54" t="e">
        <f t="shared" si="176"/>
        <v>#N/A</v>
      </c>
      <c r="DK137" s="54" t="e">
        <f t="shared" si="177"/>
        <v>#N/A</v>
      </c>
      <c r="DL137" s="54">
        <f t="shared" si="178"/>
        <v>3.4577457052810151E-2</v>
      </c>
      <c r="DM137" s="54" t="e">
        <f t="shared" si="179"/>
        <v>#N/A</v>
      </c>
      <c r="DN137" s="54" t="b">
        <f t="shared" si="180"/>
        <v>0</v>
      </c>
      <c r="DO137" s="54" t="b">
        <f t="shared" si="181"/>
        <v>1</v>
      </c>
      <c r="DP137" s="54" t="b">
        <f t="shared" si="182"/>
        <v>0</v>
      </c>
      <c r="DQ137" s="54" t="b">
        <f t="shared" si="183"/>
        <v>1</v>
      </c>
      <c r="DR137" s="54">
        <f t="shared" si="184"/>
        <v>3.4577457052810151E-2</v>
      </c>
      <c r="DS137" s="54" t="e">
        <f t="shared" si="185"/>
        <v>#N/A</v>
      </c>
      <c r="DT137" s="54">
        <f t="shared" si="186"/>
        <v>3.4577457052810151E-2</v>
      </c>
      <c r="DU137" s="72" t="str">
        <f t="shared" si="187"/>
        <v/>
      </c>
      <c r="DZ137" s="54">
        <f t="shared" si="188"/>
        <v>127</v>
      </c>
      <c r="EA137" s="54">
        <f t="shared" si="189"/>
        <v>128</v>
      </c>
      <c r="EB137" s="54">
        <f t="shared" si="190"/>
        <v>-4.7910578390198744E-2</v>
      </c>
      <c r="EC137" s="54">
        <f t="shared" si="191"/>
        <v>0.39848467230564738</v>
      </c>
      <c r="ED137" s="54" t="e">
        <f t="shared" si="192"/>
        <v>#N/A</v>
      </c>
      <c r="EE137" s="54" t="e">
        <f t="shared" si="193"/>
        <v>#N/A</v>
      </c>
      <c r="EF137" s="54" t="e">
        <f t="shared" si="194"/>
        <v>#N/A</v>
      </c>
      <c r="EG137" s="54" t="b">
        <f t="shared" si="195"/>
        <v>0</v>
      </c>
      <c r="EH137" s="54" t="b">
        <f t="shared" si="196"/>
        <v>1</v>
      </c>
      <c r="EI137" s="54" t="b">
        <f t="shared" si="197"/>
        <v>0</v>
      </c>
      <c r="EJ137" s="54" t="b">
        <f t="shared" si="198"/>
        <v>1</v>
      </c>
      <c r="EK137" s="54">
        <f t="shared" si="199"/>
        <v>0.39848467230564738</v>
      </c>
      <c r="EL137" s="54" t="e">
        <f t="shared" si="200"/>
        <v>#N/A</v>
      </c>
      <c r="EM137" s="54">
        <f t="shared" si="201"/>
        <v>0.39848467230564738</v>
      </c>
      <c r="EN137" s="72" t="str">
        <f t="shared" si="202"/>
        <v/>
      </c>
      <c r="EO13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3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3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37" s="54" t="e" cm="1">
        <f t="array" ref="ER137">IF($CK$3,INDEX(Eu_tabel_a[[#This Row],[Styrke venstre]:[Styrke tosidet]],ER$7),NA())</f>
        <v>#N/A</v>
      </c>
      <c r="ES137" s="54" t="e">
        <f>IF(ER$3,IF(CHOOSE(ER$7,Eu_tabel_a[[#This Row],[x base]]&gt;0,Eu_tabel_a[[#This Row],[x base]]&lt;0,Eu_tabel_a[[#This Row],[x base]]=0),1,NA()),NA())</f>
        <v>#N/A</v>
      </c>
      <c r="ET137" s="54" t="e">
        <f>IF(CHOOSE(ER$7,Eu_tabel_a[[#This Row],[x base]]&gt;0,Eu_tabel_a[[#This Row],[x base]]&lt;0,Eu_tabel_a[[#This Row],[x base]]=0),Eu_tabel_a[[#This Row],[Styrke, aktiv]],NA())</f>
        <v>#N/A</v>
      </c>
      <c r="EU137" s="54" t="e">
        <f>IFERROR(IF($ER$3,Eu_tabel_a[[#This Row],[Styrke, aktiv]],NA()),NA())</f>
        <v>#N/A</v>
      </c>
      <c r="EV137" s="54" t="e">
        <f>IF(ISNA(Eu_tabel_a[[#This Row],[Sand negativ
Nulhypotese afvises
Korrekt]]),NA(),IF(ER$3,1,NA()))</f>
        <v>#N/A</v>
      </c>
      <c r="EW137" s="55" t="str" cm="1">
        <f t="array" ref="EW137">IFERROR(_xlfn.SWITCH(Eu_tabel_a[[#This Row],[Indeks]],_xlfn.IFNA(EU$2,-99),EU$5,_xlfn.IFNA(EU$3,-99),EU$6,_xlfn.IFNA(EU$4,-99),EU$7,""),"")</f>
        <v/>
      </c>
      <c r="EX137" s="54">
        <f>Eu_tabel_a[[#This Row],[x base]]*SQRT(Eu_a_h0_x*(1-Eu_a_h0_x)/Eu_a_n_x)+Eu_a_h0_x</f>
        <v>0</v>
      </c>
      <c r="FC137" s="161" t="e">
        <f t="shared" si="250"/>
        <v>#N/A</v>
      </c>
      <c r="FD137" s="169" t="e">
        <f t="shared" si="234"/>
        <v>#DIV/0!</v>
      </c>
      <c r="FE137" s="7" t="e">
        <f t="shared" si="244"/>
        <v>#DIV/0!</v>
      </c>
      <c r="FF137" t="e">
        <f t="shared" si="235"/>
        <v>#DIV/0!</v>
      </c>
      <c r="FG137" s="8" t="e">
        <f t="shared" si="236"/>
        <v>#DIV/0!</v>
      </c>
      <c r="FH137" s="8" t="e">
        <f t="shared" si="237"/>
        <v>#DIV/0!</v>
      </c>
      <c r="FI137" s="168" t="e">
        <f t="shared" si="238"/>
        <v>#DIV/0!</v>
      </c>
      <c r="FJ137" s="161" t="e">
        <f t="shared" ca="1" si="245"/>
        <v>#N/A</v>
      </c>
      <c r="FK137" s="169" t="e" vm="3">
        <f t="shared" ca="1" si="251"/>
        <v>#VALUE!</v>
      </c>
      <c r="FL137" s="7" t="e" vm="3">
        <f t="shared" ca="1" si="246"/>
        <v>#VALUE!</v>
      </c>
      <c r="FM137" t="e" vm="3">
        <f t="shared" ca="1" si="240"/>
        <v>#VALUE!</v>
      </c>
      <c r="FN137" s="8" t="e" vm="3">
        <f t="shared" ca="1" si="241"/>
        <v>#VALUE!</v>
      </c>
      <c r="FO137" s="8" t="e" vm="3">
        <f t="shared" ca="1" si="242"/>
        <v>#VALUE!</v>
      </c>
      <c r="FP137" s="168" t="e" vm="3">
        <f t="shared" ca="1" si="243"/>
        <v>#VALUE!</v>
      </c>
      <c r="FQ137" s="161" t="e">
        <f t="shared" si="247"/>
        <v>#N/A</v>
      </c>
      <c r="FR137" s="169" t="e">
        <f t="shared" si="252"/>
        <v>#N/A</v>
      </c>
      <c r="FS137" s="7" t="e">
        <f t="shared" si="248"/>
        <v>#N/A</v>
      </c>
      <c r="FT137" t="e">
        <f t="shared" si="253"/>
        <v>#N/A</v>
      </c>
      <c r="FU137" s="8" t="e">
        <f t="shared" si="254"/>
        <v>#N/A</v>
      </c>
      <c r="FV137" s="8" t="e">
        <f t="shared" si="255"/>
        <v>#N/A</v>
      </c>
      <c r="FW137" s="168" t="e">
        <f t="shared" si="256"/>
        <v>#N/A</v>
      </c>
      <c r="FX137" s="161" t="e">
        <f t="shared" si="257"/>
        <v>#N/A</v>
      </c>
      <c r="FY137" s="169" t="e">
        <f t="shared" si="258"/>
        <v>#N/A</v>
      </c>
      <c r="FZ137" s="7" t="e">
        <f t="shared" si="249"/>
        <v>#N/A</v>
      </c>
      <c r="GA137" t="e">
        <f t="shared" si="259"/>
        <v>#N/A</v>
      </c>
      <c r="GB137" s="8" t="e">
        <f t="shared" si="260"/>
        <v>#N/A</v>
      </c>
      <c r="GC137" s="8" t="e">
        <f t="shared" si="261"/>
        <v>#N/A</v>
      </c>
      <c r="GD137" s="168" t="e">
        <f t="shared" si="262"/>
        <v>#N/A</v>
      </c>
      <c r="GE137" s="168"/>
      <c r="GF137" s="168"/>
      <c r="GI137" s="54">
        <f t="shared" si="203"/>
        <v>127</v>
      </c>
      <c r="GJ137" s="54">
        <f t="shared" si="204"/>
        <v>128</v>
      </c>
      <c r="GK137" s="54">
        <f t="shared" si="205"/>
        <v>-4.7910578390198744E-2</v>
      </c>
      <c r="GL137" s="54">
        <f t="shared" si="206"/>
        <v>0.39848467230564738</v>
      </c>
      <c r="GM137" s="54" t="e">
        <f t="shared" si="207"/>
        <v>#N/A</v>
      </c>
      <c r="GN137" s="54" t="e">
        <f t="shared" si="208"/>
        <v>#N/A</v>
      </c>
      <c r="GO137" s="54" t="e">
        <f t="shared" si="209"/>
        <v>#N/A</v>
      </c>
      <c r="GP137" s="54" t="b">
        <f t="shared" si="210"/>
        <v>0</v>
      </c>
      <c r="GQ137" s="54" t="b">
        <f t="shared" si="211"/>
        <v>1</v>
      </c>
      <c r="GR137" s="54" t="b">
        <f t="shared" si="212"/>
        <v>0</v>
      </c>
      <c r="GS137" s="54" t="b">
        <f t="shared" si="213"/>
        <v>1</v>
      </c>
      <c r="GT137" s="54">
        <f t="shared" si="214"/>
        <v>0.39848467230564738</v>
      </c>
      <c r="GU137" s="54" t="e">
        <f t="shared" si="215"/>
        <v>#N/A</v>
      </c>
      <c r="GV137" s="54">
        <f t="shared" si="216"/>
        <v>0.39848467230564738</v>
      </c>
      <c r="GW137" s="72" t="str">
        <f t="shared" si="217"/>
        <v/>
      </c>
      <c r="HC137" s="54">
        <f t="shared" si="218"/>
        <v>127</v>
      </c>
      <c r="HD137" s="54">
        <f t="shared" si="219"/>
        <v>128</v>
      </c>
      <c r="HE137" s="54">
        <f t="shared" si="220"/>
        <v>-7.4190536878113278E-2</v>
      </c>
      <c r="HF137" s="54" t="e">
        <f t="shared" si="221"/>
        <v>#N/A</v>
      </c>
      <c r="HG137" s="54">
        <f t="shared" si="222"/>
        <v>0.38378292251089163</v>
      </c>
      <c r="HH137" s="54" t="e">
        <f t="shared" si="223"/>
        <v>#N/A</v>
      </c>
      <c r="HI137" s="54" t="e">
        <f t="shared" si="224"/>
        <v>#N/A</v>
      </c>
      <c r="HJ137" s="54" t="b">
        <f t="shared" si="225"/>
        <v>1</v>
      </c>
      <c r="HK137" s="54" t="b">
        <f t="shared" si="226"/>
        <v>0</v>
      </c>
      <c r="HL137" s="54" t="b">
        <f t="shared" si="227"/>
        <v>0</v>
      </c>
      <c r="HM137" s="54" t="b">
        <f t="shared" si="228"/>
        <v>1</v>
      </c>
      <c r="HN137" s="54">
        <f t="shared" si="229"/>
        <v>0.38378292251089163</v>
      </c>
      <c r="HO137" s="54">
        <f t="shared" si="230"/>
        <v>0.38378292251089163</v>
      </c>
      <c r="HP137" s="54" t="e">
        <f t="shared" si="231"/>
        <v>#N/A</v>
      </c>
      <c r="HQ137" s="72" t="str">
        <f t="shared" si="232"/>
        <v/>
      </c>
    </row>
    <row r="138" spans="71:225" x14ac:dyDescent="0.2">
      <c r="BS138" s="54">
        <f t="shared" ref="BS138:BS201" si="263">ROW(BS138)-ROW(BS$10)</f>
        <v>128</v>
      </c>
      <c r="BT138" s="54">
        <f>Eu_tabel_g[[#This Row],[Indeks]]+1</f>
        <v>129</v>
      </c>
      <c r="BU138" s="54">
        <f t="shared" ref="BU138:BU201" si="264">BU$5+(BU$7-BU$5)/BU$3*BS138</f>
        <v>-2.3955289195099372E-2</v>
      </c>
      <c r="BV138" s="54">
        <f t="shared" ref="BV138:BV201" si="265">IF(BV$3,_xlfn.NORM.DIST(BU138,BV$5,BV$7,FALSE),NA())</f>
        <v>0.39882782913507253</v>
      </c>
      <c r="BW138" s="54" t="e">
        <f t="shared" ref="BW138:BW201" si="266">IF(BW$3,_xlfn.T.DIST(BU138,BW$5,FALSE),NA())</f>
        <v>#N/A</v>
      </c>
      <c r="BX138" s="54" t="e">
        <f t="shared" ref="BX138:BX201" si="267">IF(BX$3,_xlfn.CHISQ.DIST(BU138,BX$5,FALSE),NA())</f>
        <v>#N/A</v>
      </c>
      <c r="BY138" s="54" t="e">
        <f t="shared" ref="BY138:BY201" si="268">IF(BY$3,_xlfn.F.DIST(BU138,BY$5,BY$7,FALSE),NA())</f>
        <v>#N/A</v>
      </c>
      <c r="BZ138" s="54" t="b">
        <f t="shared" ref="BZ138:BZ201" si="269">BU138&lt;BZ$3</f>
        <v>0</v>
      </c>
      <c r="CA138" s="54" t="b">
        <f t="shared" ref="CA138:CA201" si="270">BU138&gt;BZ$3</f>
        <v>1</v>
      </c>
      <c r="CB138" s="54" t="b">
        <f t="shared" ref="CB138:CB201" si="271">OR(BU138&lt;CB$3,BU138&gt;CB$5)</f>
        <v>0</v>
      </c>
      <c r="CC138" s="54" t="b">
        <f t="shared" ref="CC138:CC201" si="272">AND(BU138&gt;CB$3,BU138&lt;CB$5)</f>
        <v>1</v>
      </c>
      <c r="CD138" s="54">
        <f t="shared" si="239"/>
        <v>0.39882782913507253</v>
      </c>
      <c r="CE138" s="54" t="e">
        <f t="shared" ref="CE138:CE201" si="273">IF(INDEX(BZ138:CC138,CD$7),CD138,NA())</f>
        <v>#N/A</v>
      </c>
      <c r="CF138" s="54">
        <f t="shared" ref="CF138:CF201" si="274">IF(INDEX(BZ138:CC138,CE$7),CD138,NA())</f>
        <v>0.39882782913507253</v>
      </c>
      <c r="CG138" s="72" t="str">
        <f t="shared" ref="CG138:CG201" si="275">_xlfn.SWITCH(BS138,CG$2,CG$5,CG$3,CG$6,CG$4,CG$7,"")</f>
        <v/>
      </c>
      <c r="CH138" s="54">
        <f>_xlfn.NORM.DIST(_xlfn.NORM.INV(1-Eu_g_konfidensniveau,0,1)-Eu_tabel_g[[#This Row],[x base]],0,1,TRUE)</f>
        <v>5.2519721709693296E-2</v>
      </c>
      <c r="CI138" s="54">
        <f>1-_xlfn.NORM.DIST(_xlfn.NORM.INV(Eu_g_konfidensniveau,0,1)-Eu_tabel_g[[#This Row],[x base]],0,1,TRUE)</f>
        <v>4.7577627570627001E-2</v>
      </c>
      <c r="CJ138" s="54">
        <f>_xlfn.NORM.DIST(_xlfn.NORM.INV((1-Eu_g_konfidensniveau)/2,0,1)-Eu_tabel_g[[#This Row],[x base]],0,1,TRUE)+1-_xlfn.NORM.DIST(_xlfn.NORM.INV(1-(1-Eu_g_konfidensniveau)/2,0,1)-Eu_tabel_g[[#This Row],[x base]],0,1,TRUE)</f>
        <v>5.0065737968822299E-2</v>
      </c>
      <c r="CK138" s="54" t="e" cm="1">
        <f t="array" ref="CK138">IF($CK$3,INDEX(Eu_tabel_g[[#This Row],[Styrke venstre]:[Styrke tosidet]],CK$7),NA())</f>
        <v>#N/A</v>
      </c>
      <c r="CL138" s="99" t="e">
        <f>Eu_tabel_g[[#This Row],[Falsk positiv
Nulhypotese accepteres
Fejltype 1]]</f>
        <v>#N/A</v>
      </c>
      <c r="CM138" s="99" t="e">
        <f>IF(CHOOSE(CK$7,Eu_tabel_g[[#This Row],[x base]]&gt;0,Eu_tabel_g[[#This Row],[x base]]&lt;0,Eu_tabel_g[[#This Row],[x base]]=0),Eu_tabel_g[[#This Row],[Styrke, aktiv]],NA())</f>
        <v>#N/A</v>
      </c>
      <c r="CN138" s="99" t="e">
        <f>IFERROR(IF($CK$3,Eu_tabel_g[[#This Row],[Styrke, aktiv]],NA()),NA())</f>
        <v>#N/A</v>
      </c>
      <c r="CO138" s="99" t="e">
        <f>IF(ISNA(Eu_tabel_g[[#This Row],[Sand negativ
Nulhypotese afvises
Korrekt]]),NA(),IF($CK$3,1,NA()))</f>
        <v>#N/A</v>
      </c>
      <c r="CP138" s="56" t="str" cm="1">
        <f t="array" ref="CP138">_xlfn.SWITCH(BS138,_xlfn.IFNA(CN$2,-99),CN$5,_xlfn.IFNA(CN$3,-99),CN$6,_xlfn.IFNA(CN$4,-99),CN$7,"")</f>
        <v/>
      </c>
      <c r="CT138" s="7">
        <f t="shared" ref="CT138:CT201" si="276">_xlfn.NORM.DIST(_xlfn.NORM.INV((1-Eu_g_konfidensniveau)/2,0,1)-CU138,0,1,TRUE)+1-_xlfn.NORM.DIST(_xlfn.NORM.INV(1-(1-Eu_g_konfidensniveau)/2,0,1)-CU138,0,1,TRUE)</f>
        <v>0.8</v>
      </c>
      <c r="CU138">
        <f>IF(ROW(Styrkeberegning_G[[#This Row],[X base venstre]])=ROW(Styrkeberegning_G[[#Headers],[X base venstre]])+1,CU$7/(CT$7/$B$67),CU137/(CT137/$B$67))</f>
        <v>-2.8015817870135784</v>
      </c>
      <c r="CV138">
        <f>Styrkeberegning_G[[#This Row],[X base venstre]]*-1</f>
        <v>2.8015817870135784</v>
      </c>
      <c r="DG138" s="54">
        <f t="shared" ref="DG138:DG201" si="277">ROW(DG138)-ROW(DG$10)</f>
        <v>128</v>
      </c>
      <c r="DH138" s="54">
        <f t="shared" ref="DH138:DH201" si="278">DG138+1</f>
        <v>129</v>
      </c>
      <c r="DI138" s="54">
        <f t="shared" ref="DI138:DI201" si="279">DI$5+(DI$7-DI$5)/DI$3*DG138</f>
        <v>16.434922286029817</v>
      </c>
      <c r="DJ138" s="54" t="e">
        <f t="shared" ref="DJ138:DJ201" si="280">IF(DJ$3,_xlfn.NORM.DIST(DI138,DJ$5,DJ$7,FALSE),NA())</f>
        <v>#N/A</v>
      </c>
      <c r="DK138" s="54" t="e">
        <f t="shared" ref="DK138:DK201" si="281">IF(DK$3,_xlfn.T.DIST(DI138,DK$5,FALSE),NA())</f>
        <v>#N/A</v>
      </c>
      <c r="DL138" s="54">
        <f t="shared" ref="DL138:DL201" si="282">IF(DL$3,_xlfn.CHISQ.DIST(DI138,DL$5,FALSE),NA())</f>
        <v>3.3700370410170197E-2</v>
      </c>
      <c r="DM138" s="54" t="e">
        <f t="shared" ref="DM138:DM201" si="283">IF(DM$3,_xlfn.F.DIST(DI138,DM$5,DM$7,FALSE),NA())</f>
        <v>#N/A</v>
      </c>
      <c r="DN138" s="54" t="b">
        <f t="shared" ref="DN138:DN201" si="284">DI138&lt;DN$3</f>
        <v>0</v>
      </c>
      <c r="DO138" s="54" t="b">
        <f t="shared" ref="DO138:DO201" si="285">DI138&gt;DN$3</f>
        <v>1</v>
      </c>
      <c r="DP138" s="54" t="b">
        <f t="shared" ref="DP138:DP201" si="286">OR(DI138&lt;DP$3,DI138&gt;DP$5)</f>
        <v>0</v>
      </c>
      <c r="DQ138" s="54" t="b">
        <f t="shared" ref="DQ138:DQ201" si="287">AND(DI138&gt;DP$3,DI138&lt;DP$5)</f>
        <v>1</v>
      </c>
      <c r="DR138" s="54">
        <f t="shared" ref="DR138:DR201" si="288">_xlfn.AGGREGATE(9,6,DJ138:DM138)</f>
        <v>3.3700370410170197E-2</v>
      </c>
      <c r="DS138" s="54" t="e">
        <f t="shared" ref="DS138:DS201" si="289">IF(INDEX(DN138:DQ138,DR$7),DR138,NA())</f>
        <v>#N/A</v>
      </c>
      <c r="DT138" s="54">
        <f t="shared" ref="DT138:DT201" si="290">IF(INDEX(DN138:DQ138,DS$7),DR138,NA())</f>
        <v>3.3700370410170197E-2</v>
      </c>
      <c r="DU138" s="72" t="str">
        <f t="shared" ref="DU138:DU201" si="291">_xlfn.SWITCH(DG138,DU$2,DU$5,DU$3,DU$6,DU$4,DU$7,"")</f>
        <v/>
      </c>
      <c r="DZ138" s="54">
        <f t="shared" ref="DZ138:DZ201" si="292">ROW(DZ138)-ROW(DZ$10)</f>
        <v>128</v>
      </c>
      <c r="EA138" s="54">
        <f t="shared" ref="EA138:EA201" si="293">DZ138+1</f>
        <v>129</v>
      </c>
      <c r="EB138" s="54">
        <f t="shared" ref="EB138:EB201" si="294">EB$5+(EB$7-EB$5)/EB$3*DZ138</f>
        <v>-2.3955289195099372E-2</v>
      </c>
      <c r="EC138" s="54">
        <f t="shared" ref="EC138:EC201" si="295">IF(EC$3,_xlfn.NORM.DIST(EB138,EC$5,EC$7,FALSE),NA())</f>
        <v>0.39882782913507253</v>
      </c>
      <c r="ED138" s="54" t="e">
        <f t="shared" ref="ED138:ED201" si="296">IF(ED$3,_xlfn.T.DIST(EB138,ED$5,FALSE),NA())</f>
        <v>#N/A</v>
      </c>
      <c r="EE138" s="54" t="e">
        <f t="shared" ref="EE138:EE201" si="297">IF(EE$3,_xlfn.CHISQ.DIST(EB138,EE$5,FALSE),NA())</f>
        <v>#N/A</v>
      </c>
      <c r="EF138" s="54" t="e">
        <f t="shared" ref="EF138:EF201" si="298">IF(EF$3,_xlfn.F.DIST(EB138,EF$5,EF$7,FALSE),NA())</f>
        <v>#N/A</v>
      </c>
      <c r="EG138" s="54" t="b">
        <f t="shared" ref="EG138:EG201" si="299">EB138&lt;EG$3</f>
        <v>0</v>
      </c>
      <c r="EH138" s="54" t="b">
        <f t="shared" ref="EH138:EH201" si="300">EB138&gt;EG$3</f>
        <v>1</v>
      </c>
      <c r="EI138" s="54" t="b">
        <f t="shared" ref="EI138:EI201" si="301">OR(EB138&lt;EI$3,EB138&gt;EI$5)</f>
        <v>0</v>
      </c>
      <c r="EJ138" s="54" t="b">
        <f t="shared" ref="EJ138:EJ201" si="302">AND(EB138&gt;EI$3,EB138&lt;EI$5)</f>
        <v>1</v>
      </c>
      <c r="EK138" s="54">
        <f t="shared" ref="EK138:EK201" si="303">_xlfn.AGGREGATE(9,6,EC138:EF138)</f>
        <v>0.39882782913507253</v>
      </c>
      <c r="EL138" s="54" t="e">
        <f t="shared" ref="EL138:EL201" si="304">IF(INDEX(EG138:EJ138,EK$7),EK138,NA())</f>
        <v>#N/A</v>
      </c>
      <c r="EM138" s="54">
        <f t="shared" ref="EM138:EM201" si="305">IF(INDEX(EG138:EJ138,EL$7),EK138,NA())</f>
        <v>0.39882782913507253</v>
      </c>
      <c r="EN138" s="72" t="str">
        <f t="shared" ref="EN138:EN201" si="306">_xlfn.SWITCH(DZ138,EN$2,EN$5,EN$3,EN$6,EN$4,EN$7,"")</f>
        <v/>
      </c>
      <c r="EO13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3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3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38" s="54" t="e" cm="1">
        <f t="array" ref="ER138">IF($CK$3,INDEX(Eu_tabel_a[[#This Row],[Styrke venstre]:[Styrke tosidet]],ER$7),NA())</f>
        <v>#N/A</v>
      </c>
      <c r="ES138" s="54" t="e">
        <f>IF(ER$3,IF(CHOOSE(ER$7,Eu_tabel_a[[#This Row],[x base]]&gt;0,Eu_tabel_a[[#This Row],[x base]]&lt;0,Eu_tabel_a[[#This Row],[x base]]=0),1,NA()),NA())</f>
        <v>#N/A</v>
      </c>
      <c r="ET138" s="54" t="e">
        <f>IF(CHOOSE(ER$7,Eu_tabel_a[[#This Row],[x base]]&gt;0,Eu_tabel_a[[#This Row],[x base]]&lt;0,Eu_tabel_a[[#This Row],[x base]]=0),Eu_tabel_a[[#This Row],[Styrke, aktiv]],NA())</f>
        <v>#N/A</v>
      </c>
      <c r="EU138" s="54" t="e">
        <f>IFERROR(IF($ER$3,Eu_tabel_a[[#This Row],[Styrke, aktiv]],NA()),NA())</f>
        <v>#N/A</v>
      </c>
      <c r="EV138" s="54" t="e">
        <f>IF(ISNA(Eu_tabel_a[[#This Row],[Sand negativ
Nulhypotese afvises
Korrekt]]),NA(),IF(ER$3,1,NA()))</f>
        <v>#N/A</v>
      </c>
      <c r="EW138" s="55" t="str" cm="1">
        <f t="array" ref="EW138">IFERROR(_xlfn.SWITCH(Eu_tabel_a[[#This Row],[Indeks]],_xlfn.IFNA(EU$2,-99),EU$5,_xlfn.IFNA(EU$3,-99),EU$6,_xlfn.IFNA(EU$4,-99),EU$7,""),"")</f>
        <v/>
      </c>
      <c r="EX138" s="54">
        <f>Eu_tabel_a[[#This Row],[x base]]*SQRT(Eu_a_h0_x*(1-Eu_a_h0_x)/Eu_a_n_x)+Eu_a_h0_x</f>
        <v>0</v>
      </c>
      <c r="FC138" s="161" t="e">
        <f t="shared" si="250"/>
        <v>#N/A</v>
      </c>
      <c r="FD138" s="169" t="e">
        <f t="shared" si="234"/>
        <v>#DIV/0!</v>
      </c>
      <c r="FE138" s="7" t="e">
        <f t="shared" si="244"/>
        <v>#DIV/0!</v>
      </c>
      <c r="FF138" t="e">
        <f t="shared" si="235"/>
        <v>#DIV/0!</v>
      </c>
      <c r="FG138" s="8" t="e">
        <f t="shared" si="236"/>
        <v>#DIV/0!</v>
      </c>
      <c r="FH138" s="8" t="e">
        <f t="shared" si="237"/>
        <v>#DIV/0!</v>
      </c>
      <c r="FI138" s="168" t="e">
        <f t="shared" si="238"/>
        <v>#DIV/0!</v>
      </c>
      <c r="FJ138" s="161" t="e">
        <f t="shared" ca="1" si="245"/>
        <v>#N/A</v>
      </c>
      <c r="FK138" s="169" t="e" vm="3">
        <f t="shared" ca="1" si="251"/>
        <v>#VALUE!</v>
      </c>
      <c r="FL138" s="7" t="e" vm="3">
        <f t="shared" ca="1" si="246"/>
        <v>#VALUE!</v>
      </c>
      <c r="FM138" t="e" vm="3">
        <f t="shared" ca="1" si="240"/>
        <v>#VALUE!</v>
      </c>
      <c r="FN138" s="8" t="e" vm="3">
        <f t="shared" ca="1" si="241"/>
        <v>#VALUE!</v>
      </c>
      <c r="FO138" s="8" t="e" vm="3">
        <f t="shared" ca="1" si="242"/>
        <v>#VALUE!</v>
      </c>
      <c r="FP138" s="168" t="e" vm="3">
        <f t="shared" ca="1" si="243"/>
        <v>#VALUE!</v>
      </c>
      <c r="FQ138" s="161" t="e">
        <f t="shared" si="247"/>
        <v>#N/A</v>
      </c>
      <c r="FR138" s="169" t="e">
        <f t="shared" si="252"/>
        <v>#N/A</v>
      </c>
      <c r="FS138" s="7" t="e">
        <f t="shared" si="248"/>
        <v>#N/A</v>
      </c>
      <c r="FT138" t="e">
        <f t="shared" si="253"/>
        <v>#N/A</v>
      </c>
      <c r="FU138" s="8" t="e">
        <f t="shared" si="254"/>
        <v>#N/A</v>
      </c>
      <c r="FV138" s="8" t="e">
        <f t="shared" si="255"/>
        <v>#N/A</v>
      </c>
      <c r="FW138" s="168" t="e">
        <f t="shared" si="256"/>
        <v>#N/A</v>
      </c>
      <c r="FX138" s="161" t="e">
        <f t="shared" si="257"/>
        <v>#N/A</v>
      </c>
      <c r="FY138" s="169" t="e">
        <f t="shared" si="258"/>
        <v>#N/A</v>
      </c>
      <c r="FZ138" s="7" t="e">
        <f t="shared" si="249"/>
        <v>#N/A</v>
      </c>
      <c r="GA138" t="e">
        <f t="shared" si="259"/>
        <v>#N/A</v>
      </c>
      <c r="GB138" s="8" t="e">
        <f t="shared" si="260"/>
        <v>#N/A</v>
      </c>
      <c r="GC138" s="8" t="e">
        <f t="shared" si="261"/>
        <v>#N/A</v>
      </c>
      <c r="GD138" s="168" t="e">
        <f t="shared" si="262"/>
        <v>#N/A</v>
      </c>
      <c r="GE138" s="168"/>
      <c r="GF138" s="168"/>
      <c r="GI138" s="54">
        <f t="shared" ref="GI138:GI201" si="307">ROW(GI138)-ROW(GI$10)</f>
        <v>128</v>
      </c>
      <c r="GJ138" s="54">
        <f t="shared" ref="GJ138:GJ201" si="308">GI138+1</f>
        <v>129</v>
      </c>
      <c r="GK138" s="54">
        <f t="shared" ref="GK138:GK201" si="309">GK$5+(GK$7-GK$5)/GK$3*GI138</f>
        <v>-2.3955289195099372E-2</v>
      </c>
      <c r="GL138" s="54">
        <f t="shared" ref="GL138:GL201" si="310">IF(GL$3,_xlfn.NORM.DIST(GK138,GL$5,GL$7,FALSE),NA())</f>
        <v>0.39882782913507253</v>
      </c>
      <c r="GM138" s="54" t="e">
        <f t="shared" ref="GM138:GM201" si="311">IF(GM$3,_xlfn.T.DIST(GK138,GM$5,FALSE),NA())</f>
        <v>#N/A</v>
      </c>
      <c r="GN138" s="54" t="e">
        <f t="shared" ref="GN138:GN201" si="312">IF(GN$3,_xlfn.CHISQ.DIST(GK138,GN$5,FALSE),NA())</f>
        <v>#N/A</v>
      </c>
      <c r="GO138" s="54" t="e">
        <f t="shared" ref="GO138:GO201" si="313">IF(GO$3,_xlfn.F.DIST(GK138,GO$5,GO$7,FALSE),NA())</f>
        <v>#N/A</v>
      </c>
      <c r="GP138" s="54" t="b">
        <f t="shared" ref="GP138:GP201" si="314">GK138&lt;GP$3</f>
        <v>0</v>
      </c>
      <c r="GQ138" s="54" t="b">
        <f t="shared" ref="GQ138:GQ201" si="315">GK138&gt;GP$3</f>
        <v>1</v>
      </c>
      <c r="GR138" s="54" t="b">
        <f t="shared" ref="GR138:GR201" si="316">OR(GK138&lt;GR$3,GK138&gt;GR$5)</f>
        <v>0</v>
      </c>
      <c r="GS138" s="54" t="b">
        <f t="shared" ref="GS138:GS201" si="317">AND(GK138&gt;GR$3,GK138&lt;GR$5)</f>
        <v>1</v>
      </c>
      <c r="GT138" s="54">
        <f t="shared" ref="GT138:GT201" si="318">_xlfn.AGGREGATE(9,6,GL138:GO138)</f>
        <v>0.39882782913507253</v>
      </c>
      <c r="GU138" s="54" t="e">
        <f t="shared" ref="GU138:GU201" si="319">IF(INDEX(GP138:GS138,GT$7),GT138,NA())</f>
        <v>#N/A</v>
      </c>
      <c r="GV138" s="54">
        <f t="shared" ref="GV138:GV201" si="320">IF(INDEX(GP138:GS138,GU$7),GT138,NA())</f>
        <v>0.39882782913507253</v>
      </c>
      <c r="GW138" s="72" t="str">
        <f t="shared" ref="GW138:GW201" si="321">_xlfn.SWITCH(GI138,GW$2,GW$5,GW$3,GW$6,GW$4,GW$7,"")</f>
        <v/>
      </c>
      <c r="HC138" s="54">
        <f t="shared" ref="HC138:HC201" si="322">ROW(HC138)-ROW(HC$10)</f>
        <v>128</v>
      </c>
      <c r="HD138" s="54">
        <f t="shared" ref="HD138:HD201" si="323">HC138+1</f>
        <v>129</v>
      </c>
      <c r="HE138" s="54">
        <f t="shared" ref="HE138:HE201" si="324">HE$5+(HE$7-HE$5)/HE$3*HC138</f>
        <v>-3.7095268439056639E-2</v>
      </c>
      <c r="HF138" s="54" t="e">
        <f t="shared" ref="HF138:HF201" si="325">IF(HF$3,_xlfn.NORM.DIST(HE138,HF$5,HF$7,FALSE),NA())</f>
        <v>#N/A</v>
      </c>
      <c r="HG138" s="54">
        <f t="shared" ref="HG138:HG201" si="326">IF(HG$3,_xlfn.T.DIST(HE138,HG$5,FALSE),NA())</f>
        <v>0.38468887330394552</v>
      </c>
      <c r="HH138" s="54" t="e">
        <f t="shared" ref="HH138:HH201" si="327">IF(HH$3,_xlfn.CHISQ.DIST(HE138,HH$5,FALSE),NA())</f>
        <v>#N/A</v>
      </c>
      <c r="HI138" s="54" t="e">
        <f t="shared" ref="HI138:HI201" si="328">IF(HI$3,_xlfn.F.DIST(HE138,HI$5,HI$7,FALSE),NA())</f>
        <v>#N/A</v>
      </c>
      <c r="HJ138" s="54" t="b">
        <f t="shared" ref="HJ138:HJ201" si="329">HE138&lt;HJ$3</f>
        <v>1</v>
      </c>
      <c r="HK138" s="54" t="b">
        <f t="shared" ref="HK138:HK201" si="330">HE138&gt;HJ$3</f>
        <v>0</v>
      </c>
      <c r="HL138" s="54" t="b">
        <f t="shared" ref="HL138:HL201" si="331">OR(HE138&lt;HL$3,HE138&gt;HL$5)</f>
        <v>0</v>
      </c>
      <c r="HM138" s="54" t="b">
        <f t="shared" ref="HM138:HM201" si="332">AND(HE138&gt;HL$3,HE138&lt;HL$5)</f>
        <v>1</v>
      </c>
      <c r="HN138" s="54">
        <f t="shared" ref="HN138:HN201" si="333">_xlfn.AGGREGATE(9,6,HF138:HI138)</f>
        <v>0.38468887330394552</v>
      </c>
      <c r="HO138" s="54">
        <f t="shared" ref="HO138:HO201" si="334">IF(INDEX(HJ138:HM138,HN$7),HN138,NA())</f>
        <v>0.38468887330394552</v>
      </c>
      <c r="HP138" s="54" t="e">
        <f t="shared" ref="HP138:HP201" si="335">IF(INDEX(HJ138:HM138,HO$7),HN138,NA())</f>
        <v>#N/A</v>
      </c>
      <c r="HQ138" s="72" t="str">
        <f t="shared" ref="HQ138:HQ201" si="336">_xlfn.SWITCH(HC138,HQ$2,HQ$5,HQ$3,HQ$6,HQ$4,HQ$7,"")</f>
        <v/>
      </c>
    </row>
    <row r="139" spans="71:225" x14ac:dyDescent="0.2">
      <c r="BS139" s="54">
        <f t="shared" si="263"/>
        <v>129</v>
      </c>
      <c r="BT139" s="54">
        <f>Eu_tabel_g[[#This Row],[Indeks]]+1</f>
        <v>130</v>
      </c>
      <c r="BU139" s="54">
        <f t="shared" si="264"/>
        <v>0</v>
      </c>
      <c r="BV139" s="54">
        <f t="shared" si="265"/>
        <v>0.3989422804014327</v>
      </c>
      <c r="BW139" s="54" t="e">
        <f t="shared" si="266"/>
        <v>#N/A</v>
      </c>
      <c r="BX139" s="54" t="e">
        <f t="shared" si="267"/>
        <v>#N/A</v>
      </c>
      <c r="BY139" s="54" t="e">
        <f t="shared" si="268"/>
        <v>#N/A</v>
      </c>
      <c r="BZ139" s="54" t="b">
        <f t="shared" si="269"/>
        <v>0</v>
      </c>
      <c r="CA139" s="54" t="b">
        <f t="shared" si="270"/>
        <v>1</v>
      </c>
      <c r="CB139" s="54" t="b">
        <f t="shared" si="271"/>
        <v>0</v>
      </c>
      <c r="CC139" s="54" t="b">
        <f t="shared" si="272"/>
        <v>1</v>
      </c>
      <c r="CD139" s="54">
        <f t="shared" si="239"/>
        <v>0.3989422804014327</v>
      </c>
      <c r="CE139" s="54" t="e">
        <f t="shared" si="273"/>
        <v>#N/A</v>
      </c>
      <c r="CF139" s="54">
        <f t="shared" si="274"/>
        <v>0.3989422804014327</v>
      </c>
      <c r="CG139" s="72">
        <f t="shared" si="275"/>
        <v>1.8540000000000001</v>
      </c>
      <c r="CH139" s="54">
        <f>_xlfn.NORM.DIST(_xlfn.NORM.INV(1-Eu_g_konfidensniveau,0,1)-Eu_tabel_g[[#This Row],[x base]],0,1,TRUE)</f>
        <v>5.0000000000000121E-2</v>
      </c>
      <c r="CI139" s="54">
        <f>1-_xlfn.NORM.DIST(_xlfn.NORM.INV(Eu_g_konfidensniveau,0,1)-Eu_tabel_g[[#This Row],[x base]],0,1,TRUE)</f>
        <v>5.0000000000000155E-2</v>
      </c>
      <c r="CJ139" s="54">
        <f>_xlfn.NORM.DIST(_xlfn.NORM.INV((1-Eu_g_konfidensniveau)/2,0,1)-Eu_tabel_g[[#This Row],[x base]],0,1,TRUE)+1-_xlfn.NORM.DIST(_xlfn.NORM.INV(1-(1-Eu_g_konfidensniveau)/2,0,1)-Eu_tabel_g[[#This Row],[x base]],0,1,TRUE)</f>
        <v>5.0000000000000155E-2</v>
      </c>
      <c r="CK139" s="54" t="e" cm="1">
        <f t="array" ref="CK139">IF($CK$3,INDEX(Eu_tabel_g[[#This Row],[Styrke venstre]:[Styrke tosidet]],CK$7),NA())</f>
        <v>#N/A</v>
      </c>
      <c r="CL139" s="99" t="e">
        <f>Eu_tabel_g[[#This Row],[Falsk positiv
Nulhypotese accepteres
Fejltype 1]]</f>
        <v>#N/A</v>
      </c>
      <c r="CM139" s="99" t="e">
        <f>IF(CHOOSE(CK$7,Eu_tabel_g[[#This Row],[x base]]&gt;0,Eu_tabel_g[[#This Row],[x base]]&lt;0,Eu_tabel_g[[#This Row],[x base]]=0),Eu_tabel_g[[#This Row],[Styrke, aktiv]],NA())</f>
        <v>#N/A</v>
      </c>
      <c r="CN139" s="99" t="e">
        <f>IFERROR(IF($CK$3,Eu_tabel_g[[#This Row],[Styrke, aktiv]],NA()),NA())</f>
        <v>#N/A</v>
      </c>
      <c r="CO139" s="99" t="e">
        <f>IF(ISNA(Eu_tabel_g[[#This Row],[Sand negativ
Nulhypotese afvises
Korrekt]]),NA(),IF($CK$3,1,NA()))</f>
        <v>#N/A</v>
      </c>
      <c r="CP139" s="56" cm="1">
        <f t="array" ref="CP139">_xlfn.SWITCH(BS139,_xlfn.IFNA(CN$2,-99),CN$5,_xlfn.IFNA(CN$3,-99),CN$6,_xlfn.IFNA(CN$4,-99),CN$7,"")</f>
        <v>0</v>
      </c>
      <c r="CT139" s="7">
        <f t="shared" si="276"/>
        <v>0.8</v>
      </c>
      <c r="CU139">
        <f>IF(ROW(Styrkeberegning_G[[#This Row],[X base venstre]])=ROW(Styrkeberegning_G[[#Headers],[X base venstre]])+1,CU$7/(CT$7/$B$67),CU138/(CT138/$B$67))</f>
        <v>-2.8015817870135784</v>
      </c>
      <c r="CV139">
        <f>Styrkeberegning_G[[#This Row],[X base venstre]]*-1</f>
        <v>2.8015817870135784</v>
      </c>
      <c r="DG139" s="54">
        <f t="shared" si="277"/>
        <v>129</v>
      </c>
      <c r="DH139" s="54">
        <f t="shared" si="278"/>
        <v>130</v>
      </c>
      <c r="DI139" s="54">
        <f t="shared" si="279"/>
        <v>16.548993142446818</v>
      </c>
      <c r="DJ139" s="54" t="e">
        <f t="shared" si="280"/>
        <v>#N/A</v>
      </c>
      <c r="DK139" s="54" t="e">
        <f t="shared" si="281"/>
        <v>#N/A</v>
      </c>
      <c r="DL139" s="54">
        <f t="shared" si="282"/>
        <v>3.2838412041709814E-2</v>
      </c>
      <c r="DM139" s="54" t="e">
        <f t="shared" si="283"/>
        <v>#N/A</v>
      </c>
      <c r="DN139" s="54" t="b">
        <f t="shared" si="284"/>
        <v>0</v>
      </c>
      <c r="DO139" s="54" t="b">
        <f t="shared" si="285"/>
        <v>1</v>
      </c>
      <c r="DP139" s="54" t="b">
        <f t="shared" si="286"/>
        <v>0</v>
      </c>
      <c r="DQ139" s="54" t="b">
        <f t="shared" si="287"/>
        <v>1</v>
      </c>
      <c r="DR139" s="54">
        <f t="shared" si="288"/>
        <v>3.2838412041709814E-2</v>
      </c>
      <c r="DS139" s="54" t="e">
        <f t="shared" si="289"/>
        <v>#N/A</v>
      </c>
      <c r="DT139" s="54">
        <f t="shared" si="290"/>
        <v>3.2838412041709814E-2</v>
      </c>
      <c r="DU139" s="72" t="str">
        <f t="shared" si="291"/>
        <v/>
      </c>
      <c r="DZ139" s="54">
        <f t="shared" si="292"/>
        <v>129</v>
      </c>
      <c r="EA139" s="54">
        <f t="shared" si="293"/>
        <v>130</v>
      </c>
      <c r="EB139" s="54">
        <f t="shared" si="294"/>
        <v>0</v>
      </c>
      <c r="EC139" s="54">
        <f t="shared" si="295"/>
        <v>0.3989422804014327</v>
      </c>
      <c r="ED139" s="54" t="e">
        <f t="shared" si="296"/>
        <v>#N/A</v>
      </c>
      <c r="EE139" s="54" t="e">
        <f t="shared" si="297"/>
        <v>#N/A</v>
      </c>
      <c r="EF139" s="54" t="e">
        <f t="shared" si="298"/>
        <v>#N/A</v>
      </c>
      <c r="EG139" s="54" t="b">
        <f t="shared" si="299"/>
        <v>0</v>
      </c>
      <c r="EH139" s="54" t="b">
        <f t="shared" si="300"/>
        <v>1</v>
      </c>
      <c r="EI139" s="54" t="b">
        <f t="shared" si="301"/>
        <v>0</v>
      </c>
      <c r="EJ139" s="54" t="b">
        <f t="shared" si="302"/>
        <v>1</v>
      </c>
      <c r="EK139" s="54">
        <f t="shared" si="303"/>
        <v>0.3989422804014327</v>
      </c>
      <c r="EL139" s="54" t="e">
        <f t="shared" si="304"/>
        <v>#N/A</v>
      </c>
      <c r="EM139" s="54">
        <f t="shared" si="305"/>
        <v>0.3989422804014327</v>
      </c>
      <c r="EN139" s="72" t="str">
        <f t="shared" si="306"/>
        <v>41.667%</v>
      </c>
      <c r="EO13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3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3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39" s="54" t="e" cm="1">
        <f t="array" ref="ER139">IF($CK$3,INDEX(Eu_tabel_a[[#This Row],[Styrke venstre]:[Styrke tosidet]],ER$7),NA())</f>
        <v>#N/A</v>
      </c>
      <c r="ES139" s="54" t="e">
        <f>IF(ER$3,IF(CHOOSE(ER$7,Eu_tabel_a[[#This Row],[x base]]&gt;0,Eu_tabel_a[[#This Row],[x base]]&lt;0,Eu_tabel_a[[#This Row],[x base]]=0),1,NA()),NA())</f>
        <v>#N/A</v>
      </c>
      <c r="ET139" s="54" t="e">
        <f>IF(CHOOSE(ER$7,Eu_tabel_a[[#This Row],[x base]]&gt;0,Eu_tabel_a[[#This Row],[x base]]&lt;0,Eu_tabel_a[[#This Row],[x base]]=0),Eu_tabel_a[[#This Row],[Styrke, aktiv]],NA())</f>
        <v>#N/A</v>
      </c>
      <c r="EU139" s="54" t="e">
        <f>IFERROR(IF($ER$3,Eu_tabel_a[[#This Row],[Styrke, aktiv]],NA()),NA())</f>
        <v>#N/A</v>
      </c>
      <c r="EV139" s="54" t="e">
        <f>IF(ISNA(Eu_tabel_a[[#This Row],[Sand negativ
Nulhypotese afvises
Korrekt]]),NA(),IF(ER$3,1,NA()))</f>
        <v>#N/A</v>
      </c>
      <c r="EW139" s="55" cm="1">
        <f t="array" ref="EW139">IFERROR(_xlfn.SWITCH(Eu_tabel_a[[#This Row],[Indeks]],_xlfn.IFNA(EU$2,-99),EU$5,_xlfn.IFNA(EU$3,-99),EU$6,_xlfn.IFNA(EU$4,-99),EU$7,""),"")</f>
        <v>0</v>
      </c>
      <c r="EX139" s="54">
        <f>Eu_tabel_a[[#This Row],[x base]]*SQRT(Eu_a_h0_x*(1-Eu_a_h0_x)/Eu_a_n_x)+Eu_a_h0_x</f>
        <v>0</v>
      </c>
      <c r="FC139" s="161" t="e">
        <f t="shared" si="250"/>
        <v>#N/A</v>
      </c>
      <c r="FD139" s="169" t="e">
        <f t="shared" si="234"/>
        <v>#DIV/0!</v>
      </c>
      <c r="FE139" s="7" t="e">
        <f t="shared" si="244"/>
        <v>#DIV/0!</v>
      </c>
      <c r="FF139" t="e">
        <f t="shared" si="235"/>
        <v>#DIV/0!</v>
      </c>
      <c r="FG139" s="8" t="e">
        <f t="shared" si="236"/>
        <v>#DIV/0!</v>
      </c>
      <c r="FH139" s="8" t="e">
        <f t="shared" si="237"/>
        <v>#DIV/0!</v>
      </c>
      <c r="FI139" s="168" t="e">
        <f t="shared" si="238"/>
        <v>#DIV/0!</v>
      </c>
      <c r="FJ139" s="161" t="e">
        <f t="shared" ca="1" si="245"/>
        <v>#N/A</v>
      </c>
      <c r="FK139" s="169" t="e" vm="3">
        <f t="shared" ca="1" si="251"/>
        <v>#VALUE!</v>
      </c>
      <c r="FL139" s="7" t="e" vm="3">
        <f t="shared" ca="1" si="246"/>
        <v>#VALUE!</v>
      </c>
      <c r="FM139" t="e" vm="3">
        <f t="shared" ca="1" si="240"/>
        <v>#VALUE!</v>
      </c>
      <c r="FN139" s="8" t="e" vm="3">
        <f t="shared" ca="1" si="241"/>
        <v>#VALUE!</v>
      </c>
      <c r="FO139" s="8" t="e" vm="3">
        <f t="shared" ca="1" si="242"/>
        <v>#VALUE!</v>
      </c>
      <c r="FP139" s="168" t="e" vm="3">
        <f t="shared" ca="1" si="243"/>
        <v>#VALUE!</v>
      </c>
      <c r="FQ139" s="161" t="e">
        <f t="shared" si="247"/>
        <v>#N/A</v>
      </c>
      <c r="FR139" s="169" t="e">
        <f t="shared" si="252"/>
        <v>#N/A</v>
      </c>
      <c r="FS139" s="7" t="e">
        <f t="shared" si="248"/>
        <v>#N/A</v>
      </c>
      <c r="FT139" t="e">
        <f t="shared" si="253"/>
        <v>#N/A</v>
      </c>
      <c r="FU139" s="8" t="e">
        <f t="shared" si="254"/>
        <v>#N/A</v>
      </c>
      <c r="FV139" s="8" t="e">
        <f t="shared" si="255"/>
        <v>#N/A</v>
      </c>
      <c r="FW139" s="168" t="e">
        <f t="shared" si="256"/>
        <v>#N/A</v>
      </c>
      <c r="FX139" s="161" t="e">
        <f t="shared" si="257"/>
        <v>#N/A</v>
      </c>
      <c r="FY139" s="169" t="e">
        <f t="shared" si="258"/>
        <v>#N/A</v>
      </c>
      <c r="FZ139" s="7" t="e">
        <f t="shared" si="249"/>
        <v>#N/A</v>
      </c>
      <c r="GA139" t="e">
        <f t="shared" si="259"/>
        <v>#N/A</v>
      </c>
      <c r="GB139" s="8" t="e">
        <f t="shared" si="260"/>
        <v>#N/A</v>
      </c>
      <c r="GC139" s="8" t="e">
        <f t="shared" si="261"/>
        <v>#N/A</v>
      </c>
      <c r="GD139" s="168" t="e">
        <f t="shared" si="262"/>
        <v>#N/A</v>
      </c>
      <c r="GE139" s="168"/>
      <c r="GF139" s="168"/>
      <c r="GI139" s="54">
        <f t="shared" si="307"/>
        <v>129</v>
      </c>
      <c r="GJ139" s="54">
        <f t="shared" si="308"/>
        <v>130</v>
      </c>
      <c r="GK139" s="54">
        <f t="shared" si="309"/>
        <v>0</v>
      </c>
      <c r="GL139" s="54">
        <f t="shared" si="310"/>
        <v>0.3989422804014327</v>
      </c>
      <c r="GM139" s="54" t="e">
        <f t="shared" si="311"/>
        <v>#N/A</v>
      </c>
      <c r="GN139" s="54" t="e">
        <f t="shared" si="312"/>
        <v>#N/A</v>
      </c>
      <c r="GO139" s="54" t="e">
        <f t="shared" si="313"/>
        <v>#N/A</v>
      </c>
      <c r="GP139" s="54" t="b">
        <f t="shared" si="314"/>
        <v>0</v>
      </c>
      <c r="GQ139" s="54" t="b">
        <f t="shared" si="315"/>
        <v>1</v>
      </c>
      <c r="GR139" s="54" t="b">
        <f t="shared" si="316"/>
        <v>0</v>
      </c>
      <c r="GS139" s="54" t="b">
        <f t="shared" si="317"/>
        <v>1</v>
      </c>
      <c r="GT139" s="54">
        <f t="shared" si="318"/>
        <v>0.3989422804014327</v>
      </c>
      <c r="GU139" s="54" t="e">
        <f t="shared" si="319"/>
        <v>#N/A</v>
      </c>
      <c r="GV139" s="54">
        <f t="shared" si="320"/>
        <v>0.3989422804014327</v>
      </c>
      <c r="GW139" s="72">
        <f t="shared" si="321"/>
        <v>1.8540000000000001</v>
      </c>
      <c r="HC139" s="54">
        <f t="shared" si="322"/>
        <v>129</v>
      </c>
      <c r="HD139" s="54">
        <f t="shared" si="323"/>
        <v>130</v>
      </c>
      <c r="HE139" s="54">
        <f t="shared" si="324"/>
        <v>0</v>
      </c>
      <c r="HF139" s="54" t="e">
        <f t="shared" si="325"/>
        <v>#N/A</v>
      </c>
      <c r="HG139" s="54">
        <f t="shared" si="326"/>
        <v>0.38499145083226738</v>
      </c>
      <c r="HH139" s="54" t="e">
        <f t="shared" si="327"/>
        <v>#N/A</v>
      </c>
      <c r="HI139" s="54" t="e">
        <f t="shared" si="328"/>
        <v>#N/A</v>
      </c>
      <c r="HJ139" s="54" t="b">
        <f t="shared" si="329"/>
        <v>1</v>
      </c>
      <c r="HK139" s="54" t="b">
        <f t="shared" si="330"/>
        <v>0</v>
      </c>
      <c r="HL139" s="54" t="b">
        <f t="shared" si="331"/>
        <v>0</v>
      </c>
      <c r="HM139" s="54" t="b">
        <f t="shared" si="332"/>
        <v>1</v>
      </c>
      <c r="HN139" s="54">
        <f t="shared" si="333"/>
        <v>0.38499145083226738</v>
      </c>
      <c r="HO139" s="54">
        <f t="shared" si="334"/>
        <v>0.38499145083226738</v>
      </c>
      <c r="HP139" s="54" t="e">
        <f t="shared" si="335"/>
        <v>#N/A</v>
      </c>
      <c r="HQ139" s="72">
        <f t="shared" si="336"/>
        <v>0</v>
      </c>
    </row>
    <row r="140" spans="71:225" x14ac:dyDescent="0.2">
      <c r="BS140" s="54">
        <f t="shared" si="263"/>
        <v>130</v>
      </c>
      <c r="BT140" s="54">
        <f>Eu_tabel_g[[#This Row],[Indeks]]+1</f>
        <v>131</v>
      </c>
      <c r="BU140" s="54">
        <f t="shared" si="264"/>
        <v>2.3955289195099372E-2</v>
      </c>
      <c r="BV140" s="54">
        <f t="shared" si="265"/>
        <v>0.39882782913507253</v>
      </c>
      <c r="BW140" s="54" t="e">
        <f t="shared" si="266"/>
        <v>#N/A</v>
      </c>
      <c r="BX140" s="54" t="e">
        <f t="shared" si="267"/>
        <v>#N/A</v>
      </c>
      <c r="BY140" s="54" t="e">
        <f t="shared" si="268"/>
        <v>#N/A</v>
      </c>
      <c r="BZ140" s="54" t="b">
        <f t="shared" si="269"/>
        <v>0</v>
      </c>
      <c r="CA140" s="54" t="b">
        <f t="shared" si="270"/>
        <v>1</v>
      </c>
      <c r="CB140" s="54" t="b">
        <f t="shared" si="271"/>
        <v>0</v>
      </c>
      <c r="CC140" s="54" t="b">
        <f t="shared" si="272"/>
        <v>1</v>
      </c>
      <c r="CD140" s="54">
        <f t="shared" si="239"/>
        <v>0.39882782913507253</v>
      </c>
      <c r="CE140" s="54" t="e">
        <f t="shared" si="273"/>
        <v>#N/A</v>
      </c>
      <c r="CF140" s="54">
        <f t="shared" si="274"/>
        <v>0.39882782913507253</v>
      </c>
      <c r="CG140" s="72" t="str">
        <f t="shared" si="275"/>
        <v/>
      </c>
      <c r="CH140" s="54">
        <f>_xlfn.NORM.DIST(_xlfn.NORM.INV(1-Eu_g_konfidensniveau,0,1)-Eu_tabel_g[[#This Row],[x base]],0,1,TRUE)</f>
        <v>4.7577627570626967E-2</v>
      </c>
      <c r="CI140" s="54">
        <f>1-_xlfn.NORM.DIST(_xlfn.NORM.INV(Eu_g_konfidensniveau,0,1)-Eu_tabel_g[[#This Row],[x base]],0,1,TRUE)</f>
        <v>5.2519721709693323E-2</v>
      </c>
      <c r="CJ140" s="54">
        <f>_xlfn.NORM.DIST(_xlfn.NORM.INV((1-Eu_g_konfidensniveau)/2,0,1)-Eu_tabel_g[[#This Row],[x base]],0,1,TRUE)+1-_xlfn.NORM.DIST(_xlfn.NORM.INV(1-(1-Eu_g_konfidensniveau)/2,0,1)-Eu_tabel_g[[#This Row],[x base]],0,1,TRUE)</f>
        <v>5.0065737968822299E-2</v>
      </c>
      <c r="CK140" s="54" t="e" cm="1">
        <f t="array" ref="CK140">IF($CK$3,INDEX(Eu_tabel_g[[#This Row],[Styrke venstre]:[Styrke tosidet]],CK$7),NA())</f>
        <v>#N/A</v>
      </c>
      <c r="CL140" s="99" t="e">
        <f>Eu_tabel_g[[#This Row],[Falsk positiv
Nulhypotese accepteres
Fejltype 1]]</f>
        <v>#N/A</v>
      </c>
      <c r="CM140" s="99" t="e">
        <f>IF(CHOOSE(CK$7,Eu_tabel_g[[#This Row],[x base]]&gt;0,Eu_tabel_g[[#This Row],[x base]]&lt;0,Eu_tabel_g[[#This Row],[x base]]=0),Eu_tabel_g[[#This Row],[Styrke, aktiv]],NA())</f>
        <v>#N/A</v>
      </c>
      <c r="CN140" s="99" t="e">
        <f>IFERROR(IF($CK$3,Eu_tabel_g[[#This Row],[Styrke, aktiv]],NA()),NA())</f>
        <v>#N/A</v>
      </c>
      <c r="CO140" s="99" t="e">
        <f>IF(ISNA(Eu_tabel_g[[#This Row],[Sand negativ
Nulhypotese afvises
Korrekt]]),NA(),IF($CK$3,1,NA()))</f>
        <v>#N/A</v>
      </c>
      <c r="CP140" s="56" t="str" cm="1">
        <f t="array" ref="CP140">_xlfn.SWITCH(BS140,_xlfn.IFNA(CN$2,-99),CN$5,_xlfn.IFNA(CN$3,-99),CN$6,_xlfn.IFNA(CN$4,-99),CN$7,"")</f>
        <v/>
      </c>
      <c r="CT140" s="7">
        <f t="shared" si="276"/>
        <v>0.8</v>
      </c>
      <c r="CU140">
        <f>IF(ROW(Styrkeberegning_G[[#This Row],[X base venstre]])=ROW(Styrkeberegning_G[[#Headers],[X base venstre]])+1,CU$7/(CT$7/$B$67),CU139/(CT139/$B$67))</f>
        <v>-2.8015817870135784</v>
      </c>
      <c r="CV140">
        <f>Styrkeberegning_G[[#This Row],[X base venstre]]*-1</f>
        <v>2.8015817870135784</v>
      </c>
      <c r="DG140" s="54">
        <f t="shared" si="277"/>
        <v>130</v>
      </c>
      <c r="DH140" s="54">
        <f t="shared" si="278"/>
        <v>131</v>
      </c>
      <c r="DI140" s="54">
        <f t="shared" si="279"/>
        <v>16.663063998863819</v>
      </c>
      <c r="DJ140" s="54" t="e">
        <f t="shared" si="280"/>
        <v>#N/A</v>
      </c>
      <c r="DK140" s="54" t="e">
        <f t="shared" si="281"/>
        <v>#N/A</v>
      </c>
      <c r="DL140" s="54">
        <f t="shared" si="282"/>
        <v>3.1991659199801618E-2</v>
      </c>
      <c r="DM140" s="54" t="e">
        <f t="shared" si="283"/>
        <v>#N/A</v>
      </c>
      <c r="DN140" s="54" t="b">
        <f t="shared" si="284"/>
        <v>0</v>
      </c>
      <c r="DO140" s="54" t="b">
        <f t="shared" si="285"/>
        <v>1</v>
      </c>
      <c r="DP140" s="54" t="b">
        <f t="shared" si="286"/>
        <v>0</v>
      </c>
      <c r="DQ140" s="54" t="b">
        <f t="shared" si="287"/>
        <v>1</v>
      </c>
      <c r="DR140" s="54">
        <f t="shared" si="288"/>
        <v>3.1991659199801618E-2</v>
      </c>
      <c r="DS140" s="54" t="e">
        <f t="shared" si="289"/>
        <v>#N/A</v>
      </c>
      <c r="DT140" s="54">
        <f t="shared" si="290"/>
        <v>3.1991659199801618E-2</v>
      </c>
      <c r="DU140" s="72" t="str">
        <f t="shared" si="291"/>
        <v/>
      </c>
      <c r="DZ140" s="54">
        <f t="shared" si="292"/>
        <v>130</v>
      </c>
      <c r="EA140" s="54">
        <f t="shared" si="293"/>
        <v>131</v>
      </c>
      <c r="EB140" s="54">
        <f t="shared" si="294"/>
        <v>2.3955289195099372E-2</v>
      </c>
      <c r="EC140" s="54">
        <f t="shared" si="295"/>
        <v>0.39882782913507253</v>
      </c>
      <c r="ED140" s="54" t="e">
        <f t="shared" si="296"/>
        <v>#N/A</v>
      </c>
      <c r="EE140" s="54" t="e">
        <f t="shared" si="297"/>
        <v>#N/A</v>
      </c>
      <c r="EF140" s="54" t="e">
        <f t="shared" si="298"/>
        <v>#N/A</v>
      </c>
      <c r="EG140" s="54" t="b">
        <f t="shared" si="299"/>
        <v>0</v>
      </c>
      <c r="EH140" s="54" t="b">
        <f t="shared" si="300"/>
        <v>1</v>
      </c>
      <c r="EI140" s="54" t="b">
        <f t="shared" si="301"/>
        <v>0</v>
      </c>
      <c r="EJ140" s="54" t="b">
        <f t="shared" si="302"/>
        <v>1</v>
      </c>
      <c r="EK140" s="54">
        <f t="shared" si="303"/>
        <v>0.39882782913507253</v>
      </c>
      <c r="EL140" s="54" t="e">
        <f t="shared" si="304"/>
        <v>#N/A</v>
      </c>
      <c r="EM140" s="54">
        <f t="shared" si="305"/>
        <v>0.39882782913507253</v>
      </c>
      <c r="EN140" s="72" t="str">
        <f t="shared" si="306"/>
        <v/>
      </c>
      <c r="EO14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4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4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40" s="54" t="e" cm="1">
        <f t="array" ref="ER140">IF($CK$3,INDEX(Eu_tabel_a[[#This Row],[Styrke venstre]:[Styrke tosidet]],ER$7),NA())</f>
        <v>#N/A</v>
      </c>
      <c r="ES140" s="54" t="e">
        <f>IF(ER$3,IF(CHOOSE(ER$7,Eu_tabel_a[[#This Row],[x base]]&gt;0,Eu_tabel_a[[#This Row],[x base]]&lt;0,Eu_tabel_a[[#This Row],[x base]]=0),1,NA()),NA())</f>
        <v>#N/A</v>
      </c>
      <c r="ET140" s="54" t="e">
        <f>IF(CHOOSE(ER$7,Eu_tabel_a[[#This Row],[x base]]&gt;0,Eu_tabel_a[[#This Row],[x base]]&lt;0,Eu_tabel_a[[#This Row],[x base]]=0),Eu_tabel_a[[#This Row],[Styrke, aktiv]],NA())</f>
        <v>#N/A</v>
      </c>
      <c r="EU140" s="54" t="e">
        <f>IFERROR(IF($ER$3,Eu_tabel_a[[#This Row],[Styrke, aktiv]],NA()),NA())</f>
        <v>#N/A</v>
      </c>
      <c r="EV140" s="54" t="e">
        <f>IF(ISNA(Eu_tabel_a[[#This Row],[Sand negativ
Nulhypotese afvises
Korrekt]]),NA(),IF(ER$3,1,NA()))</f>
        <v>#N/A</v>
      </c>
      <c r="EW140" s="55" t="str" cm="1">
        <f t="array" ref="EW140">IFERROR(_xlfn.SWITCH(Eu_tabel_a[[#This Row],[Indeks]],_xlfn.IFNA(EU$2,-99),EU$5,_xlfn.IFNA(EU$3,-99),EU$6,_xlfn.IFNA(EU$4,-99),EU$7,""),"")</f>
        <v/>
      </c>
      <c r="EX140" s="54">
        <f>Eu_tabel_a[[#This Row],[x base]]*SQRT(Eu_a_h0_x*(1-Eu_a_h0_x)/Eu_a_n_x)+Eu_a_h0_x</f>
        <v>0</v>
      </c>
      <c r="FC140" s="161" t="e">
        <f t="shared" si="250"/>
        <v>#N/A</v>
      </c>
      <c r="FD140" s="169" t="e">
        <f t="shared" si="234"/>
        <v>#DIV/0!</v>
      </c>
      <c r="FE140" s="7" t="e">
        <f t="shared" si="244"/>
        <v>#DIV/0!</v>
      </c>
      <c r="FF140" t="e">
        <f t="shared" si="235"/>
        <v>#DIV/0!</v>
      </c>
      <c r="FG140" s="8" t="e">
        <f t="shared" si="236"/>
        <v>#DIV/0!</v>
      </c>
      <c r="FH140" s="8" t="e">
        <f t="shared" si="237"/>
        <v>#DIV/0!</v>
      </c>
      <c r="FI140" s="168" t="e">
        <f t="shared" si="238"/>
        <v>#DIV/0!</v>
      </c>
      <c r="FJ140" s="161" t="e">
        <f t="shared" ca="1" si="245"/>
        <v>#N/A</v>
      </c>
      <c r="FK140" s="169" t="e" vm="3">
        <f t="shared" ca="1" si="251"/>
        <v>#VALUE!</v>
      </c>
      <c r="FL140" s="7" t="e" vm="3">
        <f t="shared" ca="1" si="246"/>
        <v>#VALUE!</v>
      </c>
      <c r="FM140" t="e" vm="3">
        <f t="shared" ca="1" si="240"/>
        <v>#VALUE!</v>
      </c>
      <c r="FN140" s="8" t="e" vm="3">
        <f t="shared" ca="1" si="241"/>
        <v>#VALUE!</v>
      </c>
      <c r="FO140" s="8" t="e" vm="3">
        <f t="shared" ca="1" si="242"/>
        <v>#VALUE!</v>
      </c>
      <c r="FP140" s="168" t="e" vm="3">
        <f t="shared" ca="1" si="243"/>
        <v>#VALUE!</v>
      </c>
      <c r="FQ140" s="161" t="e">
        <f t="shared" si="247"/>
        <v>#N/A</v>
      </c>
      <c r="FR140" s="169" t="e">
        <f t="shared" si="252"/>
        <v>#N/A</v>
      </c>
      <c r="FS140" s="7" t="e">
        <f t="shared" si="248"/>
        <v>#N/A</v>
      </c>
      <c r="FT140" t="e">
        <f t="shared" si="253"/>
        <v>#N/A</v>
      </c>
      <c r="FU140" s="8" t="e">
        <f t="shared" si="254"/>
        <v>#N/A</v>
      </c>
      <c r="FV140" s="8" t="e">
        <f t="shared" si="255"/>
        <v>#N/A</v>
      </c>
      <c r="FW140" s="168" t="e">
        <f t="shared" si="256"/>
        <v>#N/A</v>
      </c>
      <c r="FX140" s="161" t="e">
        <f t="shared" si="257"/>
        <v>#N/A</v>
      </c>
      <c r="FY140" s="169" t="e">
        <f t="shared" si="258"/>
        <v>#N/A</v>
      </c>
      <c r="FZ140" s="7" t="e">
        <f t="shared" si="249"/>
        <v>#N/A</v>
      </c>
      <c r="GA140" t="e">
        <f t="shared" si="259"/>
        <v>#N/A</v>
      </c>
      <c r="GB140" s="8" t="e">
        <f t="shared" si="260"/>
        <v>#N/A</v>
      </c>
      <c r="GC140" s="8" t="e">
        <f t="shared" si="261"/>
        <v>#N/A</v>
      </c>
      <c r="GD140" s="168" t="e">
        <f t="shared" si="262"/>
        <v>#N/A</v>
      </c>
      <c r="GE140" s="168"/>
      <c r="GF140" s="168"/>
      <c r="GI140" s="54">
        <f t="shared" si="307"/>
        <v>130</v>
      </c>
      <c r="GJ140" s="54">
        <f t="shared" si="308"/>
        <v>131</v>
      </c>
      <c r="GK140" s="54">
        <f t="shared" si="309"/>
        <v>2.3955289195099372E-2</v>
      </c>
      <c r="GL140" s="54">
        <f t="shared" si="310"/>
        <v>0.39882782913507253</v>
      </c>
      <c r="GM140" s="54" t="e">
        <f t="shared" si="311"/>
        <v>#N/A</v>
      </c>
      <c r="GN140" s="54" t="e">
        <f t="shared" si="312"/>
        <v>#N/A</v>
      </c>
      <c r="GO140" s="54" t="e">
        <f t="shared" si="313"/>
        <v>#N/A</v>
      </c>
      <c r="GP140" s="54" t="b">
        <f t="shared" si="314"/>
        <v>0</v>
      </c>
      <c r="GQ140" s="54" t="b">
        <f t="shared" si="315"/>
        <v>1</v>
      </c>
      <c r="GR140" s="54" t="b">
        <f t="shared" si="316"/>
        <v>0</v>
      </c>
      <c r="GS140" s="54" t="b">
        <f t="shared" si="317"/>
        <v>1</v>
      </c>
      <c r="GT140" s="54">
        <f t="shared" si="318"/>
        <v>0.39882782913507253</v>
      </c>
      <c r="GU140" s="54" t="e">
        <f t="shared" si="319"/>
        <v>#N/A</v>
      </c>
      <c r="GV140" s="54">
        <f t="shared" si="320"/>
        <v>0.39882782913507253</v>
      </c>
      <c r="GW140" s="72" t="str">
        <f t="shared" si="321"/>
        <v/>
      </c>
      <c r="HC140" s="54">
        <f t="shared" si="322"/>
        <v>130</v>
      </c>
      <c r="HD140" s="54">
        <f t="shared" si="323"/>
        <v>131</v>
      </c>
      <c r="HE140" s="54">
        <f t="shared" si="324"/>
        <v>3.7095268439056639E-2</v>
      </c>
      <c r="HF140" s="54" t="e">
        <f t="shared" si="325"/>
        <v>#N/A</v>
      </c>
      <c r="HG140" s="54">
        <f t="shared" si="326"/>
        <v>0.38468887330394552</v>
      </c>
      <c r="HH140" s="54" t="e">
        <f t="shared" si="327"/>
        <v>#N/A</v>
      </c>
      <c r="HI140" s="54" t="e">
        <f t="shared" si="328"/>
        <v>#N/A</v>
      </c>
      <c r="HJ140" s="54" t="b">
        <f t="shared" si="329"/>
        <v>1</v>
      </c>
      <c r="HK140" s="54" t="b">
        <f t="shared" si="330"/>
        <v>0</v>
      </c>
      <c r="HL140" s="54" t="b">
        <f t="shared" si="331"/>
        <v>0</v>
      </c>
      <c r="HM140" s="54" t="b">
        <f t="shared" si="332"/>
        <v>1</v>
      </c>
      <c r="HN140" s="54">
        <f t="shared" si="333"/>
        <v>0.38468887330394552</v>
      </c>
      <c r="HO140" s="54">
        <f t="shared" si="334"/>
        <v>0.38468887330394552</v>
      </c>
      <c r="HP140" s="54" t="e">
        <f t="shared" si="335"/>
        <v>#N/A</v>
      </c>
      <c r="HQ140" s="72" t="str">
        <f t="shared" si="336"/>
        <v/>
      </c>
    </row>
    <row r="141" spans="71:225" x14ac:dyDescent="0.2">
      <c r="BS141" s="54">
        <f t="shared" si="263"/>
        <v>131</v>
      </c>
      <c r="BT141" s="54">
        <f>Eu_tabel_g[[#This Row],[Indeks]]+1</f>
        <v>132</v>
      </c>
      <c r="BU141" s="54">
        <f t="shared" si="264"/>
        <v>4.7910578390198744E-2</v>
      </c>
      <c r="BV141" s="54">
        <f t="shared" si="265"/>
        <v>0.39848467230564738</v>
      </c>
      <c r="BW141" s="54" t="e">
        <f t="shared" si="266"/>
        <v>#N/A</v>
      </c>
      <c r="BX141" s="54" t="e">
        <f t="shared" si="267"/>
        <v>#N/A</v>
      </c>
      <c r="BY141" s="54" t="e">
        <f t="shared" si="268"/>
        <v>#N/A</v>
      </c>
      <c r="BZ141" s="54" t="b">
        <f t="shared" si="269"/>
        <v>0</v>
      </c>
      <c r="CA141" s="54" t="b">
        <f t="shared" si="270"/>
        <v>1</v>
      </c>
      <c r="CB141" s="54" t="b">
        <f t="shared" si="271"/>
        <v>0</v>
      </c>
      <c r="CC141" s="54" t="b">
        <f t="shared" si="272"/>
        <v>1</v>
      </c>
      <c r="CD141" s="54">
        <f t="shared" si="239"/>
        <v>0.39848467230564738</v>
      </c>
      <c r="CE141" s="54" t="e">
        <f t="shared" si="273"/>
        <v>#N/A</v>
      </c>
      <c r="CF141" s="54">
        <f t="shared" si="274"/>
        <v>0.39848467230564738</v>
      </c>
      <c r="CG141" s="72" t="str">
        <f t="shared" si="275"/>
        <v/>
      </c>
      <c r="CH141" s="54">
        <f>_xlfn.NORM.DIST(_xlfn.NORM.INV(1-Eu_g_konfidensniveau,0,1)-Eu_tabel_g[[#This Row],[x base]],0,1,TRUE)</f>
        <v>4.5250179277904451E-2</v>
      </c>
      <c r="CI141" s="54">
        <f>1-_xlfn.NORM.DIST(_xlfn.NORM.INV(Eu_g_konfidensniveau,0,1)-Eu_tabel_g[[#This Row],[x base]],0,1,TRUE)</f>
        <v>5.5139201368197499E-2</v>
      </c>
      <c r="CJ141" s="54">
        <f>_xlfn.NORM.DIST(_xlfn.NORM.INV((1-Eu_g_konfidensniveau)/2,0,1)-Eu_tabel_g[[#This Row],[x base]],0,1,TRUE)+1-_xlfn.NORM.DIST(_xlfn.NORM.INV(1-(1-Eu_g_konfidensniveau)/2,0,1)-Eu_tabel_g[[#This Row],[x base]],0,1,TRUE)</f>
        <v>5.0262983586075727E-2</v>
      </c>
      <c r="CK141" s="54" t="e" cm="1">
        <f t="array" ref="CK141">IF($CK$3,INDEX(Eu_tabel_g[[#This Row],[Styrke venstre]:[Styrke tosidet]],CK$7),NA())</f>
        <v>#N/A</v>
      </c>
      <c r="CL141" s="99" t="e">
        <f>Eu_tabel_g[[#This Row],[Falsk positiv
Nulhypotese accepteres
Fejltype 1]]</f>
        <v>#N/A</v>
      </c>
      <c r="CM141" s="99" t="e">
        <f>IF(CHOOSE(CK$7,Eu_tabel_g[[#This Row],[x base]]&gt;0,Eu_tabel_g[[#This Row],[x base]]&lt;0,Eu_tabel_g[[#This Row],[x base]]=0),Eu_tabel_g[[#This Row],[Styrke, aktiv]],NA())</f>
        <v>#N/A</v>
      </c>
      <c r="CN141" s="99" t="e">
        <f>IFERROR(IF($CK$3,Eu_tabel_g[[#This Row],[Styrke, aktiv]],NA()),NA())</f>
        <v>#N/A</v>
      </c>
      <c r="CO141" s="99" t="e">
        <f>IF(ISNA(Eu_tabel_g[[#This Row],[Sand negativ
Nulhypotese afvises
Korrekt]]),NA(),IF($CK$3,1,NA()))</f>
        <v>#N/A</v>
      </c>
      <c r="CP141" s="56" t="str" cm="1">
        <f t="array" ref="CP141">_xlfn.SWITCH(BS141,_xlfn.IFNA(CN$2,-99),CN$5,_xlfn.IFNA(CN$3,-99),CN$6,_xlfn.IFNA(CN$4,-99),CN$7,"")</f>
        <v/>
      </c>
      <c r="CT141" s="7">
        <f t="shared" si="276"/>
        <v>0.8</v>
      </c>
      <c r="CU141">
        <f>IF(ROW(Styrkeberegning_G[[#This Row],[X base venstre]])=ROW(Styrkeberegning_G[[#Headers],[X base venstre]])+1,CU$7/(CT$7/$B$67),CU140/(CT140/$B$67))</f>
        <v>-2.8015817870135784</v>
      </c>
      <c r="CV141">
        <f>Styrkeberegning_G[[#This Row],[X base venstre]]*-1</f>
        <v>2.8015817870135784</v>
      </c>
      <c r="DG141" s="54">
        <f t="shared" si="277"/>
        <v>131</v>
      </c>
      <c r="DH141" s="54">
        <f t="shared" si="278"/>
        <v>132</v>
      </c>
      <c r="DI141" s="54">
        <f t="shared" si="279"/>
        <v>16.777134855280821</v>
      </c>
      <c r="DJ141" s="54" t="e">
        <f t="shared" si="280"/>
        <v>#N/A</v>
      </c>
      <c r="DK141" s="54" t="e">
        <f t="shared" si="281"/>
        <v>#N/A</v>
      </c>
      <c r="DL141" s="54">
        <f t="shared" si="282"/>
        <v>3.1160168093486602E-2</v>
      </c>
      <c r="DM141" s="54" t="e">
        <f t="shared" si="283"/>
        <v>#N/A</v>
      </c>
      <c r="DN141" s="54" t="b">
        <f t="shared" si="284"/>
        <v>0</v>
      </c>
      <c r="DO141" s="54" t="b">
        <f t="shared" si="285"/>
        <v>1</v>
      </c>
      <c r="DP141" s="54" t="b">
        <f t="shared" si="286"/>
        <v>0</v>
      </c>
      <c r="DQ141" s="54" t="b">
        <f t="shared" si="287"/>
        <v>1</v>
      </c>
      <c r="DR141" s="54">
        <f t="shared" si="288"/>
        <v>3.1160168093486602E-2</v>
      </c>
      <c r="DS141" s="54" t="e">
        <f t="shared" si="289"/>
        <v>#N/A</v>
      </c>
      <c r="DT141" s="54">
        <f t="shared" si="290"/>
        <v>3.1160168093486602E-2</v>
      </c>
      <c r="DU141" s="72" t="str">
        <f t="shared" si="291"/>
        <v/>
      </c>
      <c r="DZ141" s="54">
        <f t="shared" si="292"/>
        <v>131</v>
      </c>
      <c r="EA141" s="54">
        <f t="shared" si="293"/>
        <v>132</v>
      </c>
      <c r="EB141" s="54">
        <f t="shared" si="294"/>
        <v>4.7910578390198744E-2</v>
      </c>
      <c r="EC141" s="54">
        <f t="shared" si="295"/>
        <v>0.39848467230564738</v>
      </c>
      <c r="ED141" s="54" t="e">
        <f t="shared" si="296"/>
        <v>#N/A</v>
      </c>
      <c r="EE141" s="54" t="e">
        <f t="shared" si="297"/>
        <v>#N/A</v>
      </c>
      <c r="EF141" s="54" t="e">
        <f t="shared" si="298"/>
        <v>#N/A</v>
      </c>
      <c r="EG141" s="54" t="b">
        <f t="shared" si="299"/>
        <v>0</v>
      </c>
      <c r="EH141" s="54" t="b">
        <f t="shared" si="300"/>
        <v>1</v>
      </c>
      <c r="EI141" s="54" t="b">
        <f t="shared" si="301"/>
        <v>0</v>
      </c>
      <c r="EJ141" s="54" t="b">
        <f t="shared" si="302"/>
        <v>1</v>
      </c>
      <c r="EK141" s="54">
        <f t="shared" si="303"/>
        <v>0.39848467230564738</v>
      </c>
      <c r="EL141" s="54" t="e">
        <f t="shared" si="304"/>
        <v>#N/A</v>
      </c>
      <c r="EM141" s="54">
        <f t="shared" si="305"/>
        <v>0.39848467230564738</v>
      </c>
      <c r="EN141" s="72" t="str">
        <f t="shared" si="306"/>
        <v/>
      </c>
      <c r="EO14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4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4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41" s="54" t="e" cm="1">
        <f t="array" ref="ER141">IF($CK$3,INDEX(Eu_tabel_a[[#This Row],[Styrke venstre]:[Styrke tosidet]],ER$7),NA())</f>
        <v>#N/A</v>
      </c>
      <c r="ES141" s="54" t="e">
        <f>IF(ER$3,IF(CHOOSE(ER$7,Eu_tabel_a[[#This Row],[x base]]&gt;0,Eu_tabel_a[[#This Row],[x base]]&lt;0,Eu_tabel_a[[#This Row],[x base]]=0),1,NA()),NA())</f>
        <v>#N/A</v>
      </c>
      <c r="ET141" s="54" t="e">
        <f>IF(CHOOSE(ER$7,Eu_tabel_a[[#This Row],[x base]]&gt;0,Eu_tabel_a[[#This Row],[x base]]&lt;0,Eu_tabel_a[[#This Row],[x base]]=0),Eu_tabel_a[[#This Row],[Styrke, aktiv]],NA())</f>
        <v>#N/A</v>
      </c>
      <c r="EU141" s="54" t="e">
        <f>IFERROR(IF($ER$3,Eu_tabel_a[[#This Row],[Styrke, aktiv]],NA()),NA())</f>
        <v>#N/A</v>
      </c>
      <c r="EV141" s="54" t="e">
        <f>IF(ISNA(Eu_tabel_a[[#This Row],[Sand negativ
Nulhypotese afvises
Korrekt]]),NA(),IF(ER$3,1,NA()))</f>
        <v>#N/A</v>
      </c>
      <c r="EW141" s="55" t="str" cm="1">
        <f t="array" ref="EW141">IFERROR(_xlfn.SWITCH(Eu_tabel_a[[#This Row],[Indeks]],_xlfn.IFNA(EU$2,-99),EU$5,_xlfn.IFNA(EU$3,-99),EU$6,_xlfn.IFNA(EU$4,-99),EU$7,""),"")</f>
        <v/>
      </c>
      <c r="EX141" s="54">
        <f>Eu_tabel_a[[#This Row],[x base]]*SQRT(Eu_a_h0_x*(1-Eu_a_h0_x)/Eu_a_n_x)+Eu_a_h0_x</f>
        <v>0</v>
      </c>
      <c r="FC141" s="161" t="e">
        <f t="shared" si="250"/>
        <v>#N/A</v>
      </c>
      <c r="FD141" s="169" t="e">
        <f t="shared" si="234"/>
        <v>#DIV/0!</v>
      </c>
      <c r="FE141" s="7" t="e">
        <f t="shared" si="244"/>
        <v>#DIV/0!</v>
      </c>
      <c r="FF141" t="e">
        <f t="shared" si="235"/>
        <v>#DIV/0!</v>
      </c>
      <c r="FG141" s="8" t="e">
        <f t="shared" si="236"/>
        <v>#DIV/0!</v>
      </c>
      <c r="FH141" s="8" t="e">
        <f t="shared" si="237"/>
        <v>#DIV/0!</v>
      </c>
      <c r="FI141" s="168" t="e">
        <f t="shared" si="238"/>
        <v>#DIV/0!</v>
      </c>
      <c r="FJ141" s="161" t="e">
        <f t="shared" ca="1" si="245"/>
        <v>#N/A</v>
      </c>
      <c r="FK141" s="169" t="e" vm="3">
        <f t="shared" ca="1" si="251"/>
        <v>#VALUE!</v>
      </c>
      <c r="FL141" s="7" t="e" vm="3">
        <f t="shared" ca="1" si="246"/>
        <v>#VALUE!</v>
      </c>
      <c r="FM141" t="e" vm="3">
        <f t="shared" ca="1" si="240"/>
        <v>#VALUE!</v>
      </c>
      <c r="FN141" s="8" t="e" vm="3">
        <f t="shared" ca="1" si="241"/>
        <v>#VALUE!</v>
      </c>
      <c r="FO141" s="8" t="e" vm="3">
        <f t="shared" ca="1" si="242"/>
        <v>#VALUE!</v>
      </c>
      <c r="FP141" s="168" t="e" vm="3">
        <f t="shared" ca="1" si="243"/>
        <v>#VALUE!</v>
      </c>
      <c r="FQ141" s="161" t="e">
        <f t="shared" si="247"/>
        <v>#N/A</v>
      </c>
      <c r="FR141" s="169" t="e">
        <f t="shared" si="252"/>
        <v>#N/A</v>
      </c>
      <c r="FS141" s="7" t="e">
        <f t="shared" si="248"/>
        <v>#N/A</v>
      </c>
      <c r="FT141" t="e">
        <f t="shared" si="253"/>
        <v>#N/A</v>
      </c>
      <c r="FU141" s="8" t="e">
        <f t="shared" si="254"/>
        <v>#N/A</v>
      </c>
      <c r="FV141" s="8" t="e">
        <f t="shared" si="255"/>
        <v>#N/A</v>
      </c>
      <c r="FW141" s="168" t="e">
        <f t="shared" si="256"/>
        <v>#N/A</v>
      </c>
      <c r="FX141" s="161" t="e">
        <f t="shared" si="257"/>
        <v>#N/A</v>
      </c>
      <c r="FY141" s="169" t="e">
        <f t="shared" si="258"/>
        <v>#N/A</v>
      </c>
      <c r="FZ141" s="7" t="e">
        <f t="shared" si="249"/>
        <v>#N/A</v>
      </c>
      <c r="GA141" t="e">
        <f t="shared" si="259"/>
        <v>#N/A</v>
      </c>
      <c r="GB141" s="8" t="e">
        <f t="shared" si="260"/>
        <v>#N/A</v>
      </c>
      <c r="GC141" s="8" t="e">
        <f t="shared" si="261"/>
        <v>#N/A</v>
      </c>
      <c r="GD141" s="168" t="e">
        <f t="shared" si="262"/>
        <v>#N/A</v>
      </c>
      <c r="GE141" s="168"/>
      <c r="GF141" s="168"/>
      <c r="GI141" s="54">
        <f t="shared" si="307"/>
        <v>131</v>
      </c>
      <c r="GJ141" s="54">
        <f t="shared" si="308"/>
        <v>132</v>
      </c>
      <c r="GK141" s="54">
        <f t="shared" si="309"/>
        <v>4.7910578390198744E-2</v>
      </c>
      <c r="GL141" s="54">
        <f t="shared" si="310"/>
        <v>0.39848467230564738</v>
      </c>
      <c r="GM141" s="54" t="e">
        <f t="shared" si="311"/>
        <v>#N/A</v>
      </c>
      <c r="GN141" s="54" t="e">
        <f t="shared" si="312"/>
        <v>#N/A</v>
      </c>
      <c r="GO141" s="54" t="e">
        <f t="shared" si="313"/>
        <v>#N/A</v>
      </c>
      <c r="GP141" s="54" t="b">
        <f t="shared" si="314"/>
        <v>0</v>
      </c>
      <c r="GQ141" s="54" t="b">
        <f t="shared" si="315"/>
        <v>1</v>
      </c>
      <c r="GR141" s="54" t="b">
        <f t="shared" si="316"/>
        <v>0</v>
      </c>
      <c r="GS141" s="54" t="b">
        <f t="shared" si="317"/>
        <v>1</v>
      </c>
      <c r="GT141" s="54">
        <f t="shared" si="318"/>
        <v>0.39848467230564738</v>
      </c>
      <c r="GU141" s="54" t="e">
        <f t="shared" si="319"/>
        <v>#N/A</v>
      </c>
      <c r="GV141" s="54">
        <f t="shared" si="320"/>
        <v>0.39848467230564738</v>
      </c>
      <c r="GW141" s="72" t="str">
        <f t="shared" si="321"/>
        <v/>
      </c>
      <c r="HC141" s="54">
        <f t="shared" si="322"/>
        <v>131</v>
      </c>
      <c r="HD141" s="54">
        <f t="shared" si="323"/>
        <v>132</v>
      </c>
      <c r="HE141" s="54">
        <f t="shared" si="324"/>
        <v>7.4190536878114166E-2</v>
      </c>
      <c r="HF141" s="54" t="e">
        <f t="shared" si="325"/>
        <v>#N/A</v>
      </c>
      <c r="HG141" s="54">
        <f t="shared" si="326"/>
        <v>0.38378292251089163</v>
      </c>
      <c r="HH141" s="54" t="e">
        <f t="shared" si="327"/>
        <v>#N/A</v>
      </c>
      <c r="HI141" s="54" t="e">
        <f t="shared" si="328"/>
        <v>#N/A</v>
      </c>
      <c r="HJ141" s="54" t="b">
        <f t="shared" si="329"/>
        <v>1</v>
      </c>
      <c r="HK141" s="54" t="b">
        <f t="shared" si="330"/>
        <v>0</v>
      </c>
      <c r="HL141" s="54" t="b">
        <f t="shared" si="331"/>
        <v>0</v>
      </c>
      <c r="HM141" s="54" t="b">
        <f t="shared" si="332"/>
        <v>1</v>
      </c>
      <c r="HN141" s="54">
        <f t="shared" si="333"/>
        <v>0.38378292251089163</v>
      </c>
      <c r="HO141" s="54">
        <f t="shared" si="334"/>
        <v>0.38378292251089163</v>
      </c>
      <c r="HP141" s="54" t="e">
        <f t="shared" si="335"/>
        <v>#N/A</v>
      </c>
      <c r="HQ141" s="72" t="str">
        <f t="shared" si="336"/>
        <v/>
      </c>
    </row>
    <row r="142" spans="71:225" x14ac:dyDescent="0.2">
      <c r="BS142" s="54">
        <f t="shared" si="263"/>
        <v>132</v>
      </c>
      <c r="BT142" s="54">
        <f>Eu_tabel_g[[#This Row],[Indeks]]+1</f>
        <v>133</v>
      </c>
      <c r="BU142" s="54">
        <f t="shared" si="264"/>
        <v>7.1865867585298115E-2</v>
      </c>
      <c r="BV142" s="54">
        <f t="shared" si="265"/>
        <v>0.39791340025725958</v>
      </c>
      <c r="BW142" s="54" t="e">
        <f t="shared" si="266"/>
        <v>#N/A</v>
      </c>
      <c r="BX142" s="54" t="e">
        <f t="shared" si="267"/>
        <v>#N/A</v>
      </c>
      <c r="BY142" s="54" t="e">
        <f t="shared" si="268"/>
        <v>#N/A</v>
      </c>
      <c r="BZ142" s="54" t="b">
        <f t="shared" si="269"/>
        <v>0</v>
      </c>
      <c r="CA142" s="54" t="b">
        <f t="shared" si="270"/>
        <v>1</v>
      </c>
      <c r="CB142" s="54" t="b">
        <f t="shared" si="271"/>
        <v>0</v>
      </c>
      <c r="CC142" s="54" t="b">
        <f t="shared" si="272"/>
        <v>1</v>
      </c>
      <c r="CD142" s="54">
        <f t="shared" si="239"/>
        <v>0.39791340025725958</v>
      </c>
      <c r="CE142" s="54" t="e">
        <f t="shared" si="273"/>
        <v>#N/A</v>
      </c>
      <c r="CF142" s="54">
        <f t="shared" si="274"/>
        <v>0.39791340025725958</v>
      </c>
      <c r="CG142" s="72" t="str">
        <f t="shared" si="275"/>
        <v/>
      </c>
      <c r="CH142" s="54">
        <f>_xlfn.NORM.DIST(_xlfn.NORM.INV(1-Eu_g_konfidensniveau,0,1)-Eu_tabel_g[[#This Row],[x base]],0,1,TRUE)</f>
        <v>4.3015218235686256E-2</v>
      </c>
      <c r="CI142" s="54">
        <f>1-_xlfn.NORM.DIST(_xlfn.NORM.INV(Eu_g_konfidensniveau,0,1)-Eu_tabel_g[[#This Row],[x base]],0,1,TRUE)</f>
        <v>5.786082628451894E-2</v>
      </c>
      <c r="CJ142" s="54">
        <f>_xlfn.NORM.DIST(_xlfn.NORM.INV((1-Eu_g_konfidensniveau)/2,0,1)-Eu_tabel_g[[#This Row],[x base]],0,1,TRUE)+1-_xlfn.NORM.DIST(_xlfn.NORM.INV(1-(1-Eu_g_konfidensniveau)/2,0,1)-Eu_tabel_g[[#This Row],[x base]],0,1,TRUE)</f>
        <v>5.0591831796844566E-2</v>
      </c>
      <c r="CK142" s="54" t="e" cm="1">
        <f t="array" ref="CK142">IF($CK$3,INDEX(Eu_tabel_g[[#This Row],[Styrke venstre]:[Styrke tosidet]],CK$7),NA())</f>
        <v>#N/A</v>
      </c>
      <c r="CL142" s="99" t="e">
        <f>Eu_tabel_g[[#This Row],[Falsk positiv
Nulhypotese accepteres
Fejltype 1]]</f>
        <v>#N/A</v>
      </c>
      <c r="CM142" s="99" t="e">
        <f>IF(CHOOSE(CK$7,Eu_tabel_g[[#This Row],[x base]]&gt;0,Eu_tabel_g[[#This Row],[x base]]&lt;0,Eu_tabel_g[[#This Row],[x base]]=0),Eu_tabel_g[[#This Row],[Styrke, aktiv]],NA())</f>
        <v>#N/A</v>
      </c>
      <c r="CN142" s="99" t="e">
        <f>IFERROR(IF($CK$3,Eu_tabel_g[[#This Row],[Styrke, aktiv]],NA()),NA())</f>
        <v>#N/A</v>
      </c>
      <c r="CO142" s="99" t="e">
        <f>IF(ISNA(Eu_tabel_g[[#This Row],[Sand negativ
Nulhypotese afvises
Korrekt]]),NA(),IF($CK$3,1,NA()))</f>
        <v>#N/A</v>
      </c>
      <c r="CP142" s="56" t="str" cm="1">
        <f t="array" ref="CP142">_xlfn.SWITCH(BS142,_xlfn.IFNA(CN$2,-99),CN$5,_xlfn.IFNA(CN$3,-99),CN$6,_xlfn.IFNA(CN$4,-99),CN$7,"")</f>
        <v/>
      </c>
      <c r="CT142" s="7">
        <f t="shared" si="276"/>
        <v>0.8</v>
      </c>
      <c r="CU142">
        <f>IF(ROW(Styrkeberegning_G[[#This Row],[X base venstre]])=ROW(Styrkeberegning_G[[#Headers],[X base venstre]])+1,CU$7/(CT$7/$B$67),CU141/(CT141/$B$67))</f>
        <v>-2.8015817870135784</v>
      </c>
      <c r="CV142">
        <f>Styrkeberegning_G[[#This Row],[X base venstre]]*-1</f>
        <v>2.8015817870135784</v>
      </c>
      <c r="DG142" s="54">
        <f t="shared" si="277"/>
        <v>132</v>
      </c>
      <c r="DH142" s="54">
        <f t="shared" si="278"/>
        <v>133</v>
      </c>
      <c r="DI142" s="54">
        <f t="shared" si="279"/>
        <v>16.891205711697822</v>
      </c>
      <c r="DJ142" s="54" t="e">
        <f t="shared" si="280"/>
        <v>#N/A</v>
      </c>
      <c r="DK142" s="54" t="e">
        <f t="shared" si="281"/>
        <v>#N/A</v>
      </c>
      <c r="DL142" s="54">
        <f t="shared" si="282"/>
        <v>3.0343974900861607E-2</v>
      </c>
      <c r="DM142" s="54" t="e">
        <f t="shared" si="283"/>
        <v>#N/A</v>
      </c>
      <c r="DN142" s="54" t="b">
        <f t="shared" si="284"/>
        <v>0</v>
      </c>
      <c r="DO142" s="54" t="b">
        <f t="shared" si="285"/>
        <v>1</v>
      </c>
      <c r="DP142" s="54" t="b">
        <f t="shared" si="286"/>
        <v>0</v>
      </c>
      <c r="DQ142" s="54" t="b">
        <f t="shared" si="287"/>
        <v>1</v>
      </c>
      <c r="DR142" s="54">
        <f t="shared" si="288"/>
        <v>3.0343974900861607E-2</v>
      </c>
      <c r="DS142" s="54" t="e">
        <f t="shared" si="289"/>
        <v>#N/A</v>
      </c>
      <c r="DT142" s="54">
        <f t="shared" si="290"/>
        <v>3.0343974900861607E-2</v>
      </c>
      <c r="DU142" s="72" t="str">
        <f t="shared" si="291"/>
        <v/>
      </c>
      <c r="DZ142" s="54">
        <f t="shared" si="292"/>
        <v>132</v>
      </c>
      <c r="EA142" s="54">
        <f t="shared" si="293"/>
        <v>133</v>
      </c>
      <c r="EB142" s="54">
        <f t="shared" si="294"/>
        <v>7.1865867585298115E-2</v>
      </c>
      <c r="EC142" s="54">
        <f t="shared" si="295"/>
        <v>0.39791340025725958</v>
      </c>
      <c r="ED142" s="54" t="e">
        <f t="shared" si="296"/>
        <v>#N/A</v>
      </c>
      <c r="EE142" s="54" t="e">
        <f t="shared" si="297"/>
        <v>#N/A</v>
      </c>
      <c r="EF142" s="54" t="e">
        <f t="shared" si="298"/>
        <v>#N/A</v>
      </c>
      <c r="EG142" s="54" t="b">
        <f t="shared" si="299"/>
        <v>0</v>
      </c>
      <c r="EH142" s="54" t="b">
        <f t="shared" si="300"/>
        <v>1</v>
      </c>
      <c r="EI142" s="54" t="b">
        <f t="shared" si="301"/>
        <v>0</v>
      </c>
      <c r="EJ142" s="54" t="b">
        <f t="shared" si="302"/>
        <v>1</v>
      </c>
      <c r="EK142" s="54">
        <f t="shared" si="303"/>
        <v>0.39791340025725958</v>
      </c>
      <c r="EL142" s="54" t="e">
        <f t="shared" si="304"/>
        <v>#N/A</v>
      </c>
      <c r="EM142" s="54">
        <f t="shared" si="305"/>
        <v>0.39791340025725958</v>
      </c>
      <c r="EN142" s="72" t="str">
        <f t="shared" si="306"/>
        <v/>
      </c>
      <c r="EO14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4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4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42" s="54" t="e" cm="1">
        <f t="array" ref="ER142">IF($CK$3,INDEX(Eu_tabel_a[[#This Row],[Styrke venstre]:[Styrke tosidet]],ER$7),NA())</f>
        <v>#N/A</v>
      </c>
      <c r="ES142" s="54" t="e">
        <f>IF(ER$3,IF(CHOOSE(ER$7,Eu_tabel_a[[#This Row],[x base]]&gt;0,Eu_tabel_a[[#This Row],[x base]]&lt;0,Eu_tabel_a[[#This Row],[x base]]=0),1,NA()),NA())</f>
        <v>#N/A</v>
      </c>
      <c r="ET142" s="54" t="e">
        <f>IF(CHOOSE(ER$7,Eu_tabel_a[[#This Row],[x base]]&gt;0,Eu_tabel_a[[#This Row],[x base]]&lt;0,Eu_tabel_a[[#This Row],[x base]]=0),Eu_tabel_a[[#This Row],[Styrke, aktiv]],NA())</f>
        <v>#N/A</v>
      </c>
      <c r="EU142" s="54" t="e">
        <f>IFERROR(IF($ER$3,Eu_tabel_a[[#This Row],[Styrke, aktiv]],NA()),NA())</f>
        <v>#N/A</v>
      </c>
      <c r="EV142" s="54" t="e">
        <f>IF(ISNA(Eu_tabel_a[[#This Row],[Sand negativ
Nulhypotese afvises
Korrekt]]),NA(),IF(ER$3,1,NA()))</f>
        <v>#N/A</v>
      </c>
      <c r="EW142" s="55" t="str" cm="1">
        <f t="array" ref="EW142">IFERROR(_xlfn.SWITCH(Eu_tabel_a[[#This Row],[Indeks]],_xlfn.IFNA(EU$2,-99),EU$5,_xlfn.IFNA(EU$3,-99),EU$6,_xlfn.IFNA(EU$4,-99),EU$7,""),"")</f>
        <v/>
      </c>
      <c r="EX142" s="54">
        <f>Eu_tabel_a[[#This Row],[x base]]*SQRT(Eu_a_h0_x*(1-Eu_a_h0_x)/Eu_a_n_x)+Eu_a_h0_x</f>
        <v>0</v>
      </c>
      <c r="FC142" s="161" t="e">
        <f t="shared" si="250"/>
        <v>#N/A</v>
      </c>
      <c r="FD142" s="169" t="e">
        <f t="shared" si="234"/>
        <v>#DIV/0!</v>
      </c>
      <c r="FE142" s="7" t="e">
        <f t="shared" si="244"/>
        <v>#DIV/0!</v>
      </c>
      <c r="FF142" t="e">
        <f t="shared" si="235"/>
        <v>#DIV/0!</v>
      </c>
      <c r="FG142" s="8" t="e">
        <f t="shared" si="236"/>
        <v>#DIV/0!</v>
      </c>
      <c r="FH142" s="8" t="e">
        <f t="shared" si="237"/>
        <v>#DIV/0!</v>
      </c>
      <c r="FI142" s="168" t="e">
        <f t="shared" si="238"/>
        <v>#DIV/0!</v>
      </c>
      <c r="FJ142" s="161" t="e">
        <f t="shared" ca="1" si="245"/>
        <v>#N/A</v>
      </c>
      <c r="FK142" s="169" t="e" vm="3">
        <f t="shared" ca="1" si="251"/>
        <v>#VALUE!</v>
      </c>
      <c r="FL142" s="7" t="e" vm="3">
        <f t="shared" ca="1" si="246"/>
        <v>#VALUE!</v>
      </c>
      <c r="FM142" t="e" vm="3">
        <f t="shared" ca="1" si="240"/>
        <v>#VALUE!</v>
      </c>
      <c r="FN142" s="8" t="e" vm="3">
        <f t="shared" ca="1" si="241"/>
        <v>#VALUE!</v>
      </c>
      <c r="FO142" s="8" t="e" vm="3">
        <f t="shared" ca="1" si="242"/>
        <v>#VALUE!</v>
      </c>
      <c r="FP142" s="168" t="e" vm="3">
        <f t="shared" ca="1" si="243"/>
        <v>#VALUE!</v>
      </c>
      <c r="FQ142" s="161" t="e">
        <f t="shared" si="247"/>
        <v>#N/A</v>
      </c>
      <c r="FR142" s="169" t="e">
        <f t="shared" si="252"/>
        <v>#N/A</v>
      </c>
      <c r="FS142" s="7" t="e">
        <f t="shared" si="248"/>
        <v>#N/A</v>
      </c>
      <c r="FT142" t="e">
        <f t="shared" si="253"/>
        <v>#N/A</v>
      </c>
      <c r="FU142" s="8" t="e">
        <f t="shared" si="254"/>
        <v>#N/A</v>
      </c>
      <c r="FV142" s="8" t="e">
        <f t="shared" si="255"/>
        <v>#N/A</v>
      </c>
      <c r="FW142" s="168" t="e">
        <f t="shared" si="256"/>
        <v>#N/A</v>
      </c>
      <c r="FX142" s="161" t="e">
        <f t="shared" si="257"/>
        <v>#N/A</v>
      </c>
      <c r="FY142" s="169" t="e">
        <f t="shared" si="258"/>
        <v>#N/A</v>
      </c>
      <c r="FZ142" s="7" t="e">
        <f t="shared" si="249"/>
        <v>#N/A</v>
      </c>
      <c r="GA142" t="e">
        <f t="shared" si="259"/>
        <v>#N/A</v>
      </c>
      <c r="GB142" s="8" t="e">
        <f t="shared" si="260"/>
        <v>#N/A</v>
      </c>
      <c r="GC142" s="8" t="e">
        <f t="shared" si="261"/>
        <v>#N/A</v>
      </c>
      <c r="GD142" s="168" t="e">
        <f t="shared" si="262"/>
        <v>#N/A</v>
      </c>
      <c r="GE142" s="168"/>
      <c r="GF142" s="168"/>
      <c r="GI142" s="54">
        <f t="shared" si="307"/>
        <v>132</v>
      </c>
      <c r="GJ142" s="54">
        <f t="shared" si="308"/>
        <v>133</v>
      </c>
      <c r="GK142" s="54">
        <f t="shared" si="309"/>
        <v>7.1865867585298115E-2</v>
      </c>
      <c r="GL142" s="54">
        <f t="shared" si="310"/>
        <v>0.39791340025725958</v>
      </c>
      <c r="GM142" s="54" t="e">
        <f t="shared" si="311"/>
        <v>#N/A</v>
      </c>
      <c r="GN142" s="54" t="e">
        <f t="shared" si="312"/>
        <v>#N/A</v>
      </c>
      <c r="GO142" s="54" t="e">
        <f t="shared" si="313"/>
        <v>#N/A</v>
      </c>
      <c r="GP142" s="54" t="b">
        <f t="shared" si="314"/>
        <v>0</v>
      </c>
      <c r="GQ142" s="54" t="b">
        <f t="shared" si="315"/>
        <v>1</v>
      </c>
      <c r="GR142" s="54" t="b">
        <f t="shared" si="316"/>
        <v>0</v>
      </c>
      <c r="GS142" s="54" t="b">
        <f t="shared" si="317"/>
        <v>1</v>
      </c>
      <c r="GT142" s="54">
        <f t="shared" si="318"/>
        <v>0.39791340025725958</v>
      </c>
      <c r="GU142" s="54" t="e">
        <f t="shared" si="319"/>
        <v>#N/A</v>
      </c>
      <c r="GV142" s="54">
        <f t="shared" si="320"/>
        <v>0.39791340025725958</v>
      </c>
      <c r="GW142" s="72" t="str">
        <f t="shared" si="321"/>
        <v/>
      </c>
      <c r="HC142" s="54">
        <f t="shared" si="322"/>
        <v>132</v>
      </c>
      <c r="HD142" s="54">
        <f t="shared" si="323"/>
        <v>133</v>
      </c>
      <c r="HE142" s="54">
        <f t="shared" si="324"/>
        <v>0.11128580531717081</v>
      </c>
      <c r="HF142" s="54" t="e">
        <f t="shared" si="325"/>
        <v>#N/A</v>
      </c>
      <c r="HG142" s="54">
        <f t="shared" si="326"/>
        <v>0.38227892287272436</v>
      </c>
      <c r="HH142" s="54" t="e">
        <f t="shared" si="327"/>
        <v>#N/A</v>
      </c>
      <c r="HI142" s="54" t="e">
        <f t="shared" si="328"/>
        <v>#N/A</v>
      </c>
      <c r="HJ142" s="54" t="b">
        <f t="shared" si="329"/>
        <v>1</v>
      </c>
      <c r="HK142" s="54" t="b">
        <f t="shared" si="330"/>
        <v>0</v>
      </c>
      <c r="HL142" s="54" t="b">
        <f t="shared" si="331"/>
        <v>0</v>
      </c>
      <c r="HM142" s="54" t="b">
        <f t="shared" si="332"/>
        <v>1</v>
      </c>
      <c r="HN142" s="54">
        <f t="shared" si="333"/>
        <v>0.38227892287272436</v>
      </c>
      <c r="HO142" s="54">
        <f t="shared" si="334"/>
        <v>0.38227892287272436</v>
      </c>
      <c r="HP142" s="54" t="e">
        <f t="shared" si="335"/>
        <v>#N/A</v>
      </c>
      <c r="HQ142" s="72" t="str">
        <f t="shared" si="336"/>
        <v/>
      </c>
    </row>
    <row r="143" spans="71:225" x14ac:dyDescent="0.2">
      <c r="BS143" s="54">
        <f t="shared" si="263"/>
        <v>133</v>
      </c>
      <c r="BT143" s="54">
        <f>Eu_tabel_g[[#This Row],[Indeks]]+1</f>
        <v>134</v>
      </c>
      <c r="BU143" s="54">
        <f t="shared" si="264"/>
        <v>9.5821156780397043E-2</v>
      </c>
      <c r="BV143" s="54">
        <f t="shared" si="265"/>
        <v>0.39711499501613434</v>
      </c>
      <c r="BW143" s="54" t="e">
        <f t="shared" si="266"/>
        <v>#N/A</v>
      </c>
      <c r="BX143" s="54" t="e">
        <f t="shared" si="267"/>
        <v>#N/A</v>
      </c>
      <c r="BY143" s="54" t="e">
        <f t="shared" si="268"/>
        <v>#N/A</v>
      </c>
      <c r="BZ143" s="54" t="b">
        <f t="shared" si="269"/>
        <v>0</v>
      </c>
      <c r="CA143" s="54" t="b">
        <f t="shared" si="270"/>
        <v>1</v>
      </c>
      <c r="CB143" s="54" t="b">
        <f t="shared" si="271"/>
        <v>0</v>
      </c>
      <c r="CC143" s="54" t="b">
        <f t="shared" si="272"/>
        <v>1</v>
      </c>
      <c r="CD143" s="54">
        <f t="shared" si="239"/>
        <v>0.39711499501613434</v>
      </c>
      <c r="CE143" s="54" t="e">
        <f t="shared" si="273"/>
        <v>#N/A</v>
      </c>
      <c r="CF143" s="54">
        <f t="shared" si="274"/>
        <v>0.39711499501613434</v>
      </c>
      <c r="CG143" s="72" t="str">
        <f t="shared" si="275"/>
        <v/>
      </c>
      <c r="CH143" s="54">
        <f>_xlfn.NORM.DIST(_xlfn.NORM.INV(1-Eu_g_konfidensniveau,0,1)-Eu_tabel_g[[#This Row],[x base]],0,1,TRUE)</f>
        <v>4.0870300389037689E-2</v>
      </c>
      <c r="CI143" s="54">
        <f>1-_xlfn.NORM.DIST(_xlfn.NORM.INV(Eu_g_konfidensniveau,0,1)-Eu_tabel_g[[#This Row],[x base]],0,1,TRUE)</f>
        <v>6.0686957380505224E-2</v>
      </c>
      <c r="CJ143" s="54">
        <f>_xlfn.NORM.DIST(_xlfn.NORM.INV((1-Eu_g_konfidensniveau)/2,0,1)-Eu_tabel_g[[#This Row],[x base]],0,1,TRUE)+1-_xlfn.NORM.DIST(_xlfn.NORM.INV(1-(1-Eu_g_konfidensniveau)/2,0,1)-Eu_tabel_g[[#This Row],[x base]],0,1,TRUE)</f>
        <v>5.105244021923605E-2</v>
      </c>
      <c r="CK143" s="54" t="e" cm="1">
        <f t="array" ref="CK143">IF($CK$3,INDEX(Eu_tabel_g[[#This Row],[Styrke venstre]:[Styrke tosidet]],CK$7),NA())</f>
        <v>#N/A</v>
      </c>
      <c r="CL143" s="99" t="e">
        <f>Eu_tabel_g[[#This Row],[Falsk positiv
Nulhypotese accepteres
Fejltype 1]]</f>
        <v>#N/A</v>
      </c>
      <c r="CM143" s="99" t="e">
        <f>IF(CHOOSE(CK$7,Eu_tabel_g[[#This Row],[x base]]&gt;0,Eu_tabel_g[[#This Row],[x base]]&lt;0,Eu_tabel_g[[#This Row],[x base]]=0),Eu_tabel_g[[#This Row],[Styrke, aktiv]],NA())</f>
        <v>#N/A</v>
      </c>
      <c r="CN143" s="99" t="e">
        <f>IFERROR(IF($CK$3,Eu_tabel_g[[#This Row],[Styrke, aktiv]],NA()),NA())</f>
        <v>#N/A</v>
      </c>
      <c r="CO143" s="99" t="e">
        <f>IF(ISNA(Eu_tabel_g[[#This Row],[Sand negativ
Nulhypotese afvises
Korrekt]]),NA(),IF($CK$3,1,NA()))</f>
        <v>#N/A</v>
      </c>
      <c r="CP143" s="56" t="str" cm="1">
        <f t="array" ref="CP143">_xlfn.SWITCH(BS143,_xlfn.IFNA(CN$2,-99),CN$5,_xlfn.IFNA(CN$3,-99),CN$6,_xlfn.IFNA(CN$4,-99),CN$7,"")</f>
        <v/>
      </c>
      <c r="CT143" s="7">
        <f t="shared" si="276"/>
        <v>0.8</v>
      </c>
      <c r="CU143">
        <f>IF(ROW(Styrkeberegning_G[[#This Row],[X base venstre]])=ROW(Styrkeberegning_G[[#Headers],[X base venstre]])+1,CU$7/(CT$7/$B$67),CU142/(CT142/$B$67))</f>
        <v>-2.8015817870135784</v>
      </c>
      <c r="CV143">
        <f>Styrkeberegning_G[[#This Row],[X base venstre]]*-1</f>
        <v>2.8015817870135784</v>
      </c>
      <c r="DG143" s="54">
        <f t="shared" si="277"/>
        <v>133</v>
      </c>
      <c r="DH143" s="54">
        <f t="shared" si="278"/>
        <v>134</v>
      </c>
      <c r="DI143" s="54">
        <f t="shared" si="279"/>
        <v>17.005276568114823</v>
      </c>
      <c r="DJ143" s="54" t="e">
        <f t="shared" si="280"/>
        <v>#N/A</v>
      </c>
      <c r="DK143" s="54" t="e">
        <f t="shared" si="281"/>
        <v>#N/A</v>
      </c>
      <c r="DL143" s="54">
        <f t="shared" si="282"/>
        <v>2.9543096760019427E-2</v>
      </c>
      <c r="DM143" s="54" t="e">
        <f t="shared" si="283"/>
        <v>#N/A</v>
      </c>
      <c r="DN143" s="54" t="b">
        <f t="shared" si="284"/>
        <v>0</v>
      </c>
      <c r="DO143" s="54" t="b">
        <f t="shared" si="285"/>
        <v>1</v>
      </c>
      <c r="DP143" s="54" t="b">
        <f t="shared" si="286"/>
        <v>0</v>
      </c>
      <c r="DQ143" s="54" t="b">
        <f t="shared" si="287"/>
        <v>1</v>
      </c>
      <c r="DR143" s="54">
        <f t="shared" si="288"/>
        <v>2.9543096760019427E-2</v>
      </c>
      <c r="DS143" s="54" t="e">
        <f t="shared" si="289"/>
        <v>#N/A</v>
      </c>
      <c r="DT143" s="54">
        <f t="shared" si="290"/>
        <v>2.9543096760019427E-2</v>
      </c>
      <c r="DU143" s="72" t="str">
        <f t="shared" si="291"/>
        <v/>
      </c>
      <c r="DZ143" s="54">
        <f t="shared" si="292"/>
        <v>133</v>
      </c>
      <c r="EA143" s="54">
        <f t="shared" si="293"/>
        <v>134</v>
      </c>
      <c r="EB143" s="54">
        <f t="shared" si="294"/>
        <v>9.5821156780397043E-2</v>
      </c>
      <c r="EC143" s="54">
        <f t="shared" si="295"/>
        <v>0.39711499501613434</v>
      </c>
      <c r="ED143" s="54" t="e">
        <f t="shared" si="296"/>
        <v>#N/A</v>
      </c>
      <c r="EE143" s="54" t="e">
        <f t="shared" si="297"/>
        <v>#N/A</v>
      </c>
      <c r="EF143" s="54" t="e">
        <f t="shared" si="298"/>
        <v>#N/A</v>
      </c>
      <c r="EG143" s="54" t="b">
        <f t="shared" si="299"/>
        <v>0</v>
      </c>
      <c r="EH143" s="54" t="b">
        <f t="shared" si="300"/>
        <v>1</v>
      </c>
      <c r="EI143" s="54" t="b">
        <f t="shared" si="301"/>
        <v>0</v>
      </c>
      <c r="EJ143" s="54" t="b">
        <f t="shared" si="302"/>
        <v>1</v>
      </c>
      <c r="EK143" s="54">
        <f t="shared" si="303"/>
        <v>0.39711499501613434</v>
      </c>
      <c r="EL143" s="54" t="e">
        <f t="shared" si="304"/>
        <v>#N/A</v>
      </c>
      <c r="EM143" s="54">
        <f t="shared" si="305"/>
        <v>0.39711499501613434</v>
      </c>
      <c r="EN143" s="72" t="str">
        <f t="shared" si="306"/>
        <v/>
      </c>
      <c r="EO14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4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4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43" s="54" t="e" cm="1">
        <f t="array" ref="ER143">IF($CK$3,INDEX(Eu_tabel_a[[#This Row],[Styrke venstre]:[Styrke tosidet]],ER$7),NA())</f>
        <v>#N/A</v>
      </c>
      <c r="ES143" s="54" t="e">
        <f>IF(ER$3,IF(CHOOSE(ER$7,Eu_tabel_a[[#This Row],[x base]]&gt;0,Eu_tabel_a[[#This Row],[x base]]&lt;0,Eu_tabel_a[[#This Row],[x base]]=0),1,NA()),NA())</f>
        <v>#N/A</v>
      </c>
      <c r="ET143" s="54" t="e">
        <f>IF(CHOOSE(ER$7,Eu_tabel_a[[#This Row],[x base]]&gt;0,Eu_tabel_a[[#This Row],[x base]]&lt;0,Eu_tabel_a[[#This Row],[x base]]=0),Eu_tabel_a[[#This Row],[Styrke, aktiv]],NA())</f>
        <v>#N/A</v>
      </c>
      <c r="EU143" s="54" t="e">
        <f>IFERROR(IF($ER$3,Eu_tabel_a[[#This Row],[Styrke, aktiv]],NA()),NA())</f>
        <v>#N/A</v>
      </c>
      <c r="EV143" s="54" t="e">
        <f>IF(ISNA(Eu_tabel_a[[#This Row],[Sand negativ
Nulhypotese afvises
Korrekt]]),NA(),IF(ER$3,1,NA()))</f>
        <v>#N/A</v>
      </c>
      <c r="EW143" s="55" t="str" cm="1">
        <f t="array" ref="EW143">IFERROR(_xlfn.SWITCH(Eu_tabel_a[[#This Row],[Indeks]],_xlfn.IFNA(EU$2,-99),EU$5,_xlfn.IFNA(EU$3,-99),EU$6,_xlfn.IFNA(EU$4,-99),EU$7,""),"")</f>
        <v/>
      </c>
      <c r="EX143" s="54">
        <f>Eu_tabel_a[[#This Row],[x base]]*SQRT(Eu_a_h0_x*(1-Eu_a_h0_x)/Eu_a_n_x)+Eu_a_h0_x</f>
        <v>0</v>
      </c>
      <c r="FC143" s="161" t="e">
        <f t="shared" si="250"/>
        <v>#N/A</v>
      </c>
      <c r="FD143" s="169" t="e">
        <f t="shared" si="234"/>
        <v>#DIV/0!</v>
      </c>
      <c r="FE143" s="7" t="e">
        <f t="shared" si="244"/>
        <v>#DIV/0!</v>
      </c>
      <c r="FF143" t="e">
        <f t="shared" si="235"/>
        <v>#DIV/0!</v>
      </c>
      <c r="FG143" s="8" t="e">
        <f t="shared" si="236"/>
        <v>#DIV/0!</v>
      </c>
      <c r="FH143" s="8" t="e">
        <f t="shared" si="237"/>
        <v>#DIV/0!</v>
      </c>
      <c r="FI143" s="168" t="e">
        <f t="shared" si="238"/>
        <v>#DIV/0!</v>
      </c>
      <c r="FJ143" s="161" t="e">
        <f t="shared" ca="1" si="245"/>
        <v>#N/A</v>
      </c>
      <c r="FK143" s="169" t="e" vm="3">
        <f t="shared" ca="1" si="251"/>
        <v>#VALUE!</v>
      </c>
      <c r="FL143" s="7" t="e" vm="3">
        <f t="shared" ca="1" si="246"/>
        <v>#VALUE!</v>
      </c>
      <c r="FM143" t="e" vm="3">
        <f t="shared" ca="1" si="240"/>
        <v>#VALUE!</v>
      </c>
      <c r="FN143" s="8" t="e" vm="3">
        <f t="shared" ca="1" si="241"/>
        <v>#VALUE!</v>
      </c>
      <c r="FO143" s="8" t="e" vm="3">
        <f t="shared" ca="1" si="242"/>
        <v>#VALUE!</v>
      </c>
      <c r="FP143" s="168" t="e" vm="3">
        <f t="shared" ca="1" si="243"/>
        <v>#VALUE!</v>
      </c>
      <c r="FQ143" s="161" t="e">
        <f t="shared" si="247"/>
        <v>#N/A</v>
      </c>
      <c r="FR143" s="169" t="e">
        <f t="shared" si="252"/>
        <v>#N/A</v>
      </c>
      <c r="FS143" s="7" t="e">
        <f t="shared" si="248"/>
        <v>#N/A</v>
      </c>
      <c r="FT143" t="e">
        <f t="shared" si="253"/>
        <v>#N/A</v>
      </c>
      <c r="FU143" s="8" t="e">
        <f t="shared" si="254"/>
        <v>#N/A</v>
      </c>
      <c r="FV143" s="8" t="e">
        <f t="shared" si="255"/>
        <v>#N/A</v>
      </c>
      <c r="FW143" s="168" t="e">
        <f t="shared" si="256"/>
        <v>#N/A</v>
      </c>
      <c r="FX143" s="161" t="e">
        <f t="shared" si="257"/>
        <v>#N/A</v>
      </c>
      <c r="FY143" s="169" t="e">
        <f t="shared" si="258"/>
        <v>#N/A</v>
      </c>
      <c r="FZ143" s="7" t="e">
        <f t="shared" si="249"/>
        <v>#N/A</v>
      </c>
      <c r="GA143" t="e">
        <f t="shared" si="259"/>
        <v>#N/A</v>
      </c>
      <c r="GB143" s="8" t="e">
        <f t="shared" si="260"/>
        <v>#N/A</v>
      </c>
      <c r="GC143" s="8" t="e">
        <f t="shared" si="261"/>
        <v>#N/A</v>
      </c>
      <c r="GD143" s="168" t="e">
        <f t="shared" si="262"/>
        <v>#N/A</v>
      </c>
      <c r="GE143" s="168"/>
      <c r="GF143" s="168"/>
      <c r="GI143" s="54">
        <f t="shared" si="307"/>
        <v>133</v>
      </c>
      <c r="GJ143" s="54">
        <f t="shared" si="308"/>
        <v>134</v>
      </c>
      <c r="GK143" s="54">
        <f t="shared" si="309"/>
        <v>9.5821156780397043E-2</v>
      </c>
      <c r="GL143" s="54">
        <f t="shared" si="310"/>
        <v>0.39711499501613434</v>
      </c>
      <c r="GM143" s="54" t="e">
        <f t="shared" si="311"/>
        <v>#N/A</v>
      </c>
      <c r="GN143" s="54" t="e">
        <f t="shared" si="312"/>
        <v>#N/A</v>
      </c>
      <c r="GO143" s="54" t="e">
        <f t="shared" si="313"/>
        <v>#N/A</v>
      </c>
      <c r="GP143" s="54" t="b">
        <f t="shared" si="314"/>
        <v>0</v>
      </c>
      <c r="GQ143" s="54" t="b">
        <f t="shared" si="315"/>
        <v>1</v>
      </c>
      <c r="GR143" s="54" t="b">
        <f t="shared" si="316"/>
        <v>0</v>
      </c>
      <c r="GS143" s="54" t="b">
        <f t="shared" si="317"/>
        <v>1</v>
      </c>
      <c r="GT143" s="54">
        <f t="shared" si="318"/>
        <v>0.39711499501613434</v>
      </c>
      <c r="GU143" s="54" t="e">
        <f t="shared" si="319"/>
        <v>#N/A</v>
      </c>
      <c r="GV143" s="54">
        <f t="shared" si="320"/>
        <v>0.39711499501613434</v>
      </c>
      <c r="GW143" s="72" t="str">
        <f t="shared" si="321"/>
        <v/>
      </c>
      <c r="HC143" s="54">
        <f t="shared" si="322"/>
        <v>133</v>
      </c>
      <c r="HD143" s="54">
        <f t="shared" si="323"/>
        <v>134</v>
      </c>
      <c r="HE143" s="54">
        <f t="shared" si="324"/>
        <v>0.14838107375622744</v>
      </c>
      <c r="HF143" s="54" t="e">
        <f t="shared" si="325"/>
        <v>#N/A</v>
      </c>
      <c r="HG143" s="54">
        <f t="shared" si="326"/>
        <v>0.38018567897028177</v>
      </c>
      <c r="HH143" s="54" t="e">
        <f t="shared" si="327"/>
        <v>#N/A</v>
      </c>
      <c r="HI143" s="54" t="e">
        <f t="shared" si="328"/>
        <v>#N/A</v>
      </c>
      <c r="HJ143" s="54" t="b">
        <f t="shared" si="329"/>
        <v>1</v>
      </c>
      <c r="HK143" s="54" t="b">
        <f t="shared" si="330"/>
        <v>0</v>
      </c>
      <c r="HL143" s="54" t="b">
        <f t="shared" si="331"/>
        <v>0</v>
      </c>
      <c r="HM143" s="54" t="b">
        <f t="shared" si="332"/>
        <v>1</v>
      </c>
      <c r="HN143" s="54">
        <f t="shared" si="333"/>
        <v>0.38018567897028177</v>
      </c>
      <c r="HO143" s="54">
        <f t="shared" si="334"/>
        <v>0.38018567897028177</v>
      </c>
      <c r="HP143" s="54" t="e">
        <f t="shared" si="335"/>
        <v>#N/A</v>
      </c>
      <c r="HQ143" s="72" t="str">
        <f t="shared" si="336"/>
        <v/>
      </c>
    </row>
    <row r="144" spans="71:225" x14ac:dyDescent="0.2">
      <c r="BS144" s="54">
        <f t="shared" si="263"/>
        <v>134</v>
      </c>
      <c r="BT144" s="54">
        <f>Eu_tabel_g[[#This Row],[Indeks]]+1</f>
        <v>135</v>
      </c>
      <c r="BU144" s="54">
        <f t="shared" si="264"/>
        <v>0.11977644597549642</v>
      </c>
      <c r="BV144" s="54">
        <f t="shared" si="265"/>
        <v>0.39609082747762636</v>
      </c>
      <c r="BW144" s="54" t="e">
        <f t="shared" si="266"/>
        <v>#N/A</v>
      </c>
      <c r="BX144" s="54" t="e">
        <f t="shared" si="267"/>
        <v>#N/A</v>
      </c>
      <c r="BY144" s="54" t="e">
        <f t="shared" si="268"/>
        <v>#N/A</v>
      </c>
      <c r="BZ144" s="54" t="b">
        <f t="shared" si="269"/>
        <v>0</v>
      </c>
      <c r="CA144" s="54" t="b">
        <f t="shared" si="270"/>
        <v>1</v>
      </c>
      <c r="CB144" s="54" t="b">
        <f t="shared" si="271"/>
        <v>0</v>
      </c>
      <c r="CC144" s="54" t="b">
        <f t="shared" si="272"/>
        <v>1</v>
      </c>
      <c r="CD144" s="54">
        <f t="shared" si="239"/>
        <v>0.39609082747762636</v>
      </c>
      <c r="CE144" s="54" t="e">
        <f t="shared" si="273"/>
        <v>#N/A</v>
      </c>
      <c r="CF144" s="54">
        <f t="shared" si="274"/>
        <v>0.39609082747762636</v>
      </c>
      <c r="CG144" s="72" t="str">
        <f t="shared" si="275"/>
        <v/>
      </c>
      <c r="CH144" s="54">
        <f>_xlfn.NORM.DIST(_xlfn.NORM.INV(1-Eu_g_konfidensniveau,0,1)-Eu_tabel_g[[#This Row],[x base]],0,1,TRUE)</f>
        <v>3.8812978922329114E-2</v>
      </c>
      <c r="CI144" s="54">
        <f>1-_xlfn.NORM.DIST(_xlfn.NORM.INV(Eu_g_konfidensniveau,0,1)-Eu_tabel_g[[#This Row],[x base]],0,1,TRUE)</f>
        <v>6.3619924028872621E-2</v>
      </c>
      <c r="CJ144" s="54">
        <f>_xlfn.NORM.DIST(_xlfn.NORM.INV((1-Eu_g_konfidensniveau)/2,0,1)-Eu_tabel_g[[#This Row],[x base]],0,1,TRUE)+1-_xlfn.NORM.DIST(_xlfn.NORM.INV(1-(1-Eu_g_konfidensniveau)/2,0,1)-Eu_tabel_g[[#This Row],[x base]],0,1,TRUE)</f>
        <v>5.1645028210794308E-2</v>
      </c>
      <c r="CK144" s="54" t="e" cm="1">
        <f t="array" ref="CK144">IF($CK$3,INDEX(Eu_tabel_g[[#This Row],[Styrke venstre]:[Styrke tosidet]],CK$7),NA())</f>
        <v>#N/A</v>
      </c>
      <c r="CL144" s="99" t="e">
        <f>Eu_tabel_g[[#This Row],[Falsk positiv
Nulhypotese accepteres
Fejltype 1]]</f>
        <v>#N/A</v>
      </c>
      <c r="CM144" s="99" t="e">
        <f>IF(CHOOSE(CK$7,Eu_tabel_g[[#This Row],[x base]]&gt;0,Eu_tabel_g[[#This Row],[x base]]&lt;0,Eu_tabel_g[[#This Row],[x base]]=0),Eu_tabel_g[[#This Row],[Styrke, aktiv]],NA())</f>
        <v>#N/A</v>
      </c>
      <c r="CN144" s="99" t="e">
        <f>IFERROR(IF($CK$3,Eu_tabel_g[[#This Row],[Styrke, aktiv]],NA()),NA())</f>
        <v>#N/A</v>
      </c>
      <c r="CO144" s="99" t="e">
        <f>IF(ISNA(Eu_tabel_g[[#This Row],[Sand negativ
Nulhypotese afvises
Korrekt]]),NA(),IF($CK$3,1,NA()))</f>
        <v>#N/A</v>
      </c>
      <c r="CP144" s="56" t="str" cm="1">
        <f t="array" ref="CP144">_xlfn.SWITCH(BS144,_xlfn.IFNA(CN$2,-99),CN$5,_xlfn.IFNA(CN$3,-99),CN$6,_xlfn.IFNA(CN$4,-99),CN$7,"")</f>
        <v/>
      </c>
      <c r="CT144" s="7">
        <f t="shared" si="276"/>
        <v>0.8</v>
      </c>
      <c r="CU144">
        <f>IF(ROW(Styrkeberegning_G[[#This Row],[X base venstre]])=ROW(Styrkeberegning_G[[#Headers],[X base venstre]])+1,CU$7/(CT$7/$B$67),CU143/(CT143/$B$67))</f>
        <v>-2.8015817870135784</v>
      </c>
      <c r="CV144">
        <f>Styrkeberegning_G[[#This Row],[X base venstre]]*-1</f>
        <v>2.8015817870135784</v>
      </c>
      <c r="DG144" s="54">
        <f t="shared" si="277"/>
        <v>134</v>
      </c>
      <c r="DH144" s="54">
        <f t="shared" si="278"/>
        <v>135</v>
      </c>
      <c r="DI144" s="54">
        <f t="shared" si="279"/>
        <v>17.119347424531824</v>
      </c>
      <c r="DJ144" s="54" t="e">
        <f t="shared" si="280"/>
        <v>#N/A</v>
      </c>
      <c r="DK144" s="54" t="e">
        <f t="shared" si="281"/>
        <v>#N/A</v>
      </c>
      <c r="DL144" s="54">
        <f t="shared" si="282"/>
        <v>2.8757532737699435E-2</v>
      </c>
      <c r="DM144" s="54" t="e">
        <f t="shared" si="283"/>
        <v>#N/A</v>
      </c>
      <c r="DN144" s="54" t="b">
        <f t="shared" si="284"/>
        <v>0</v>
      </c>
      <c r="DO144" s="54" t="b">
        <f t="shared" si="285"/>
        <v>1</v>
      </c>
      <c r="DP144" s="54" t="b">
        <f t="shared" si="286"/>
        <v>0</v>
      </c>
      <c r="DQ144" s="54" t="b">
        <f t="shared" si="287"/>
        <v>1</v>
      </c>
      <c r="DR144" s="54">
        <f t="shared" si="288"/>
        <v>2.8757532737699435E-2</v>
      </c>
      <c r="DS144" s="54" t="e">
        <f t="shared" si="289"/>
        <v>#N/A</v>
      </c>
      <c r="DT144" s="54">
        <f t="shared" si="290"/>
        <v>2.8757532737699435E-2</v>
      </c>
      <c r="DU144" s="72" t="str">
        <f t="shared" si="291"/>
        <v/>
      </c>
      <c r="DZ144" s="54">
        <f t="shared" si="292"/>
        <v>134</v>
      </c>
      <c r="EA144" s="54">
        <f t="shared" si="293"/>
        <v>135</v>
      </c>
      <c r="EB144" s="54">
        <f t="shared" si="294"/>
        <v>0.11977644597549642</v>
      </c>
      <c r="EC144" s="54">
        <f t="shared" si="295"/>
        <v>0.39609082747762636</v>
      </c>
      <c r="ED144" s="54" t="e">
        <f t="shared" si="296"/>
        <v>#N/A</v>
      </c>
      <c r="EE144" s="54" t="e">
        <f t="shared" si="297"/>
        <v>#N/A</v>
      </c>
      <c r="EF144" s="54" t="e">
        <f t="shared" si="298"/>
        <v>#N/A</v>
      </c>
      <c r="EG144" s="54" t="b">
        <f t="shared" si="299"/>
        <v>0</v>
      </c>
      <c r="EH144" s="54" t="b">
        <f t="shared" si="300"/>
        <v>1</v>
      </c>
      <c r="EI144" s="54" t="b">
        <f t="shared" si="301"/>
        <v>0</v>
      </c>
      <c r="EJ144" s="54" t="b">
        <f t="shared" si="302"/>
        <v>1</v>
      </c>
      <c r="EK144" s="54">
        <f t="shared" si="303"/>
        <v>0.39609082747762636</v>
      </c>
      <c r="EL144" s="54" t="e">
        <f t="shared" si="304"/>
        <v>#N/A</v>
      </c>
      <c r="EM144" s="54">
        <f t="shared" si="305"/>
        <v>0.39609082747762636</v>
      </c>
      <c r="EN144" s="72" t="str">
        <f t="shared" si="306"/>
        <v/>
      </c>
      <c r="EO14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4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4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44" s="54" t="e" cm="1">
        <f t="array" ref="ER144">IF($CK$3,INDEX(Eu_tabel_a[[#This Row],[Styrke venstre]:[Styrke tosidet]],ER$7),NA())</f>
        <v>#N/A</v>
      </c>
      <c r="ES144" s="54" t="e">
        <f>IF(ER$3,IF(CHOOSE(ER$7,Eu_tabel_a[[#This Row],[x base]]&gt;0,Eu_tabel_a[[#This Row],[x base]]&lt;0,Eu_tabel_a[[#This Row],[x base]]=0),1,NA()),NA())</f>
        <v>#N/A</v>
      </c>
      <c r="ET144" s="54" t="e">
        <f>IF(CHOOSE(ER$7,Eu_tabel_a[[#This Row],[x base]]&gt;0,Eu_tabel_a[[#This Row],[x base]]&lt;0,Eu_tabel_a[[#This Row],[x base]]=0),Eu_tabel_a[[#This Row],[Styrke, aktiv]],NA())</f>
        <v>#N/A</v>
      </c>
      <c r="EU144" s="54" t="e">
        <f>IFERROR(IF($ER$3,Eu_tabel_a[[#This Row],[Styrke, aktiv]],NA()),NA())</f>
        <v>#N/A</v>
      </c>
      <c r="EV144" s="54" t="e">
        <f>IF(ISNA(Eu_tabel_a[[#This Row],[Sand negativ
Nulhypotese afvises
Korrekt]]),NA(),IF(ER$3,1,NA()))</f>
        <v>#N/A</v>
      </c>
      <c r="EW144" s="55" t="str" cm="1">
        <f t="array" ref="EW144">IFERROR(_xlfn.SWITCH(Eu_tabel_a[[#This Row],[Indeks]],_xlfn.IFNA(EU$2,-99),EU$5,_xlfn.IFNA(EU$3,-99),EU$6,_xlfn.IFNA(EU$4,-99),EU$7,""),"")</f>
        <v/>
      </c>
      <c r="EX144" s="54">
        <f>Eu_tabel_a[[#This Row],[x base]]*SQRT(Eu_a_h0_x*(1-Eu_a_h0_x)/Eu_a_n_x)+Eu_a_h0_x</f>
        <v>0</v>
      </c>
      <c r="FC144" s="161" t="e">
        <f t="shared" si="250"/>
        <v>#N/A</v>
      </c>
      <c r="FD144" s="169" t="e">
        <f t="shared" si="234"/>
        <v>#DIV/0!</v>
      </c>
      <c r="FE144" s="7" t="e">
        <f t="shared" si="244"/>
        <v>#DIV/0!</v>
      </c>
      <c r="FF144" t="e">
        <f t="shared" si="235"/>
        <v>#DIV/0!</v>
      </c>
      <c r="FG144" s="8" t="e">
        <f t="shared" si="236"/>
        <v>#DIV/0!</v>
      </c>
      <c r="FH144" s="8" t="e">
        <f t="shared" si="237"/>
        <v>#DIV/0!</v>
      </c>
      <c r="FI144" s="168" t="e">
        <f t="shared" si="238"/>
        <v>#DIV/0!</v>
      </c>
      <c r="FJ144" s="161" t="e">
        <f t="shared" ca="1" si="245"/>
        <v>#N/A</v>
      </c>
      <c r="FK144" s="169" t="e" vm="3">
        <f t="shared" ca="1" si="251"/>
        <v>#VALUE!</v>
      </c>
      <c r="FL144" s="7" t="e" vm="3">
        <f t="shared" ca="1" si="246"/>
        <v>#VALUE!</v>
      </c>
      <c r="FM144" t="e" vm="3">
        <f t="shared" ca="1" si="240"/>
        <v>#VALUE!</v>
      </c>
      <c r="FN144" s="8" t="e" vm="3">
        <f t="shared" ca="1" si="241"/>
        <v>#VALUE!</v>
      </c>
      <c r="FO144" s="8" t="e" vm="3">
        <f t="shared" ca="1" si="242"/>
        <v>#VALUE!</v>
      </c>
      <c r="FP144" s="168" t="e" vm="3">
        <f t="shared" ca="1" si="243"/>
        <v>#VALUE!</v>
      </c>
      <c r="FQ144" s="161" t="e">
        <f t="shared" si="247"/>
        <v>#N/A</v>
      </c>
      <c r="FR144" s="169" t="e">
        <f t="shared" si="252"/>
        <v>#N/A</v>
      </c>
      <c r="FS144" s="7" t="e">
        <f t="shared" si="248"/>
        <v>#N/A</v>
      </c>
      <c r="FT144" t="e">
        <f t="shared" si="253"/>
        <v>#N/A</v>
      </c>
      <c r="FU144" s="8" t="e">
        <f t="shared" si="254"/>
        <v>#N/A</v>
      </c>
      <c r="FV144" s="8" t="e">
        <f t="shared" si="255"/>
        <v>#N/A</v>
      </c>
      <c r="FW144" s="168" t="e">
        <f t="shared" si="256"/>
        <v>#N/A</v>
      </c>
      <c r="FX144" s="161" t="e">
        <f t="shared" si="257"/>
        <v>#N/A</v>
      </c>
      <c r="FY144" s="169" t="e">
        <f t="shared" si="258"/>
        <v>#N/A</v>
      </c>
      <c r="FZ144" s="7" t="e">
        <f t="shared" si="249"/>
        <v>#N/A</v>
      </c>
      <c r="GA144" t="e">
        <f t="shared" si="259"/>
        <v>#N/A</v>
      </c>
      <c r="GB144" s="8" t="e">
        <f t="shared" si="260"/>
        <v>#N/A</v>
      </c>
      <c r="GC144" s="8" t="e">
        <f t="shared" si="261"/>
        <v>#N/A</v>
      </c>
      <c r="GD144" s="168" t="e">
        <f t="shared" si="262"/>
        <v>#N/A</v>
      </c>
      <c r="GE144" s="168"/>
      <c r="GF144" s="168"/>
      <c r="GI144" s="54">
        <f t="shared" si="307"/>
        <v>134</v>
      </c>
      <c r="GJ144" s="54">
        <f t="shared" si="308"/>
        <v>135</v>
      </c>
      <c r="GK144" s="54">
        <f t="shared" si="309"/>
        <v>0.11977644597549642</v>
      </c>
      <c r="GL144" s="54">
        <f t="shared" si="310"/>
        <v>0.39609082747762636</v>
      </c>
      <c r="GM144" s="54" t="e">
        <f t="shared" si="311"/>
        <v>#N/A</v>
      </c>
      <c r="GN144" s="54" t="e">
        <f t="shared" si="312"/>
        <v>#N/A</v>
      </c>
      <c r="GO144" s="54" t="e">
        <f t="shared" si="313"/>
        <v>#N/A</v>
      </c>
      <c r="GP144" s="54" t="b">
        <f t="shared" si="314"/>
        <v>0</v>
      </c>
      <c r="GQ144" s="54" t="b">
        <f t="shared" si="315"/>
        <v>1</v>
      </c>
      <c r="GR144" s="54" t="b">
        <f t="shared" si="316"/>
        <v>0</v>
      </c>
      <c r="GS144" s="54" t="b">
        <f t="shared" si="317"/>
        <v>1</v>
      </c>
      <c r="GT144" s="54">
        <f t="shared" si="318"/>
        <v>0.39609082747762636</v>
      </c>
      <c r="GU144" s="54" t="e">
        <f t="shared" si="319"/>
        <v>#N/A</v>
      </c>
      <c r="GV144" s="54">
        <f t="shared" si="320"/>
        <v>0.39609082747762636</v>
      </c>
      <c r="GW144" s="72" t="str">
        <f t="shared" si="321"/>
        <v/>
      </c>
      <c r="HC144" s="54">
        <f t="shared" si="322"/>
        <v>134</v>
      </c>
      <c r="HD144" s="54">
        <f t="shared" si="323"/>
        <v>135</v>
      </c>
      <c r="HE144" s="54">
        <f t="shared" si="324"/>
        <v>0.18547634219528408</v>
      </c>
      <c r="HF144" s="54" t="e">
        <f t="shared" si="325"/>
        <v>#N/A</v>
      </c>
      <c r="HG144" s="54">
        <f t="shared" si="326"/>
        <v>0.37751537276303793</v>
      </c>
      <c r="HH144" s="54" t="e">
        <f t="shared" si="327"/>
        <v>#N/A</v>
      </c>
      <c r="HI144" s="54" t="e">
        <f t="shared" si="328"/>
        <v>#N/A</v>
      </c>
      <c r="HJ144" s="54" t="b">
        <f t="shared" si="329"/>
        <v>1</v>
      </c>
      <c r="HK144" s="54" t="b">
        <f t="shared" si="330"/>
        <v>0</v>
      </c>
      <c r="HL144" s="54" t="b">
        <f t="shared" si="331"/>
        <v>0</v>
      </c>
      <c r="HM144" s="54" t="b">
        <f t="shared" si="332"/>
        <v>1</v>
      </c>
      <c r="HN144" s="54">
        <f t="shared" si="333"/>
        <v>0.37751537276303793</v>
      </c>
      <c r="HO144" s="54">
        <f t="shared" si="334"/>
        <v>0.37751537276303793</v>
      </c>
      <c r="HP144" s="54" t="e">
        <f t="shared" si="335"/>
        <v>#N/A</v>
      </c>
      <c r="HQ144" s="72" t="str">
        <f t="shared" si="336"/>
        <v/>
      </c>
    </row>
    <row r="145" spans="71:225" x14ac:dyDescent="0.2">
      <c r="BS145" s="54">
        <f t="shared" si="263"/>
        <v>135</v>
      </c>
      <c r="BT145" s="54">
        <f>Eu_tabel_g[[#This Row],[Indeks]]+1</f>
        <v>136</v>
      </c>
      <c r="BU145" s="54">
        <f t="shared" si="264"/>
        <v>0.14373173517059579</v>
      </c>
      <c r="BV145" s="54">
        <f t="shared" si="265"/>
        <v>0.39484265348383518</v>
      </c>
      <c r="BW145" s="54" t="e">
        <f t="shared" si="266"/>
        <v>#N/A</v>
      </c>
      <c r="BX145" s="54" t="e">
        <f t="shared" si="267"/>
        <v>#N/A</v>
      </c>
      <c r="BY145" s="54" t="e">
        <f t="shared" si="268"/>
        <v>#N/A</v>
      </c>
      <c r="BZ145" s="54" t="b">
        <f t="shared" si="269"/>
        <v>0</v>
      </c>
      <c r="CA145" s="54" t="b">
        <f t="shared" si="270"/>
        <v>1</v>
      </c>
      <c r="CB145" s="54" t="b">
        <f t="shared" si="271"/>
        <v>0</v>
      </c>
      <c r="CC145" s="54" t="b">
        <f t="shared" si="272"/>
        <v>1</v>
      </c>
      <c r="CD145" s="54">
        <f t="shared" si="239"/>
        <v>0.39484265348383518</v>
      </c>
      <c r="CE145" s="54" t="e">
        <f t="shared" si="273"/>
        <v>#N/A</v>
      </c>
      <c r="CF145" s="54">
        <f t="shared" si="274"/>
        <v>0.39484265348383518</v>
      </c>
      <c r="CG145" s="72" t="str">
        <f t="shared" si="275"/>
        <v/>
      </c>
      <c r="CH145" s="54">
        <f>_xlfn.NORM.DIST(_xlfn.NORM.INV(1-Eu_g_konfidensniveau,0,1)-Eu_tabel_g[[#This Row],[x base]],0,1,TRUE)</f>
        <v>3.6840808495973203E-2</v>
      </c>
      <c r="CI145" s="54">
        <f>1-_xlfn.NORM.DIST(_xlfn.NORM.INV(Eu_g_konfidensniveau,0,1)-Eu_tabel_g[[#This Row],[x base]],0,1,TRUE)</f>
        <v>6.6662018766824094E-2</v>
      </c>
      <c r="CJ145" s="54">
        <f>_xlfn.NORM.DIST(_xlfn.NORM.INV((1-Eu_g_konfidensniveau)/2,0,1)-Eu_tabel_g[[#This Row],[x base]],0,1,TRUE)+1-_xlfn.NORM.DIST(_xlfn.NORM.INV(1-(1-Eu_g_konfidensniveau)/2,0,1)-Eu_tabel_g[[#This Row],[x base]],0,1,TRUE)</f>
        <v>5.2369875565396296E-2</v>
      </c>
      <c r="CK145" s="54" t="e" cm="1">
        <f t="array" ref="CK145">IF($CK$3,INDEX(Eu_tabel_g[[#This Row],[Styrke venstre]:[Styrke tosidet]],CK$7),NA())</f>
        <v>#N/A</v>
      </c>
      <c r="CL145" s="99" t="e">
        <f>Eu_tabel_g[[#This Row],[Falsk positiv
Nulhypotese accepteres
Fejltype 1]]</f>
        <v>#N/A</v>
      </c>
      <c r="CM145" s="99" t="e">
        <f>IF(CHOOSE(CK$7,Eu_tabel_g[[#This Row],[x base]]&gt;0,Eu_tabel_g[[#This Row],[x base]]&lt;0,Eu_tabel_g[[#This Row],[x base]]=0),Eu_tabel_g[[#This Row],[Styrke, aktiv]],NA())</f>
        <v>#N/A</v>
      </c>
      <c r="CN145" s="99" t="e">
        <f>IFERROR(IF($CK$3,Eu_tabel_g[[#This Row],[Styrke, aktiv]],NA()),NA())</f>
        <v>#N/A</v>
      </c>
      <c r="CO145" s="99" t="e">
        <f>IF(ISNA(Eu_tabel_g[[#This Row],[Sand negativ
Nulhypotese afvises
Korrekt]]),NA(),IF($CK$3,1,NA()))</f>
        <v>#N/A</v>
      </c>
      <c r="CP145" s="56" t="str" cm="1">
        <f t="array" ref="CP145">_xlfn.SWITCH(BS145,_xlfn.IFNA(CN$2,-99),CN$5,_xlfn.IFNA(CN$3,-99),CN$6,_xlfn.IFNA(CN$4,-99),CN$7,"")</f>
        <v/>
      </c>
      <c r="CT145" s="7">
        <f t="shared" si="276"/>
        <v>0.8</v>
      </c>
      <c r="CU145">
        <f>IF(ROW(Styrkeberegning_G[[#This Row],[X base venstre]])=ROW(Styrkeberegning_G[[#Headers],[X base venstre]])+1,CU$7/(CT$7/$B$67),CU144/(CT144/$B$67))</f>
        <v>-2.8015817870135784</v>
      </c>
      <c r="CV145">
        <f>Styrkeberegning_G[[#This Row],[X base venstre]]*-1</f>
        <v>2.8015817870135784</v>
      </c>
      <c r="DG145" s="54">
        <f t="shared" si="277"/>
        <v>135</v>
      </c>
      <c r="DH145" s="54">
        <f t="shared" si="278"/>
        <v>136</v>
      </c>
      <c r="DI145" s="54">
        <f t="shared" si="279"/>
        <v>17.233418280948825</v>
      </c>
      <c r="DJ145" s="54" t="e">
        <f t="shared" si="280"/>
        <v>#N/A</v>
      </c>
      <c r="DK145" s="54" t="e">
        <f t="shared" si="281"/>
        <v>#N/A</v>
      </c>
      <c r="DL145" s="54">
        <f t="shared" si="282"/>
        <v>2.798726477492559E-2</v>
      </c>
      <c r="DM145" s="54" t="e">
        <f t="shared" si="283"/>
        <v>#N/A</v>
      </c>
      <c r="DN145" s="54" t="b">
        <f t="shared" si="284"/>
        <v>0</v>
      </c>
      <c r="DO145" s="54" t="b">
        <f t="shared" si="285"/>
        <v>1</v>
      </c>
      <c r="DP145" s="54" t="b">
        <f t="shared" si="286"/>
        <v>0</v>
      </c>
      <c r="DQ145" s="54" t="b">
        <f t="shared" si="287"/>
        <v>1</v>
      </c>
      <c r="DR145" s="54">
        <f t="shared" si="288"/>
        <v>2.798726477492559E-2</v>
      </c>
      <c r="DS145" s="54" t="e">
        <f t="shared" si="289"/>
        <v>#N/A</v>
      </c>
      <c r="DT145" s="54">
        <f t="shared" si="290"/>
        <v>2.798726477492559E-2</v>
      </c>
      <c r="DU145" s="72" t="str">
        <f t="shared" si="291"/>
        <v/>
      </c>
      <c r="DZ145" s="54">
        <f t="shared" si="292"/>
        <v>135</v>
      </c>
      <c r="EA145" s="54">
        <f t="shared" si="293"/>
        <v>136</v>
      </c>
      <c r="EB145" s="54">
        <f t="shared" si="294"/>
        <v>0.14373173517059579</v>
      </c>
      <c r="EC145" s="54">
        <f t="shared" si="295"/>
        <v>0.39484265348383518</v>
      </c>
      <c r="ED145" s="54" t="e">
        <f t="shared" si="296"/>
        <v>#N/A</v>
      </c>
      <c r="EE145" s="54" t="e">
        <f t="shared" si="297"/>
        <v>#N/A</v>
      </c>
      <c r="EF145" s="54" t="e">
        <f t="shared" si="298"/>
        <v>#N/A</v>
      </c>
      <c r="EG145" s="54" t="b">
        <f t="shared" si="299"/>
        <v>0</v>
      </c>
      <c r="EH145" s="54" t="b">
        <f t="shared" si="300"/>
        <v>1</v>
      </c>
      <c r="EI145" s="54" t="b">
        <f t="shared" si="301"/>
        <v>0</v>
      </c>
      <c r="EJ145" s="54" t="b">
        <f t="shared" si="302"/>
        <v>1</v>
      </c>
      <c r="EK145" s="54">
        <f t="shared" si="303"/>
        <v>0.39484265348383518</v>
      </c>
      <c r="EL145" s="54" t="e">
        <f t="shared" si="304"/>
        <v>#N/A</v>
      </c>
      <c r="EM145" s="54">
        <f t="shared" si="305"/>
        <v>0.39484265348383518</v>
      </c>
      <c r="EN145" s="72" t="str">
        <f t="shared" si="306"/>
        <v/>
      </c>
      <c r="EO14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4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4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45" s="54" t="e" cm="1">
        <f t="array" ref="ER145">IF($CK$3,INDEX(Eu_tabel_a[[#This Row],[Styrke venstre]:[Styrke tosidet]],ER$7),NA())</f>
        <v>#N/A</v>
      </c>
      <c r="ES145" s="54" t="e">
        <f>IF(ER$3,IF(CHOOSE(ER$7,Eu_tabel_a[[#This Row],[x base]]&gt;0,Eu_tabel_a[[#This Row],[x base]]&lt;0,Eu_tabel_a[[#This Row],[x base]]=0),1,NA()),NA())</f>
        <v>#N/A</v>
      </c>
      <c r="ET145" s="54" t="e">
        <f>IF(CHOOSE(ER$7,Eu_tabel_a[[#This Row],[x base]]&gt;0,Eu_tabel_a[[#This Row],[x base]]&lt;0,Eu_tabel_a[[#This Row],[x base]]=0),Eu_tabel_a[[#This Row],[Styrke, aktiv]],NA())</f>
        <v>#N/A</v>
      </c>
      <c r="EU145" s="54" t="e">
        <f>IFERROR(IF($ER$3,Eu_tabel_a[[#This Row],[Styrke, aktiv]],NA()),NA())</f>
        <v>#N/A</v>
      </c>
      <c r="EV145" s="54" t="e">
        <f>IF(ISNA(Eu_tabel_a[[#This Row],[Sand negativ
Nulhypotese afvises
Korrekt]]),NA(),IF(ER$3,1,NA()))</f>
        <v>#N/A</v>
      </c>
      <c r="EW145" s="55" t="str" cm="1">
        <f t="array" ref="EW145">IFERROR(_xlfn.SWITCH(Eu_tabel_a[[#This Row],[Indeks]],_xlfn.IFNA(EU$2,-99),EU$5,_xlfn.IFNA(EU$3,-99),EU$6,_xlfn.IFNA(EU$4,-99),EU$7,""),"")</f>
        <v/>
      </c>
      <c r="EX145" s="54">
        <f>Eu_tabel_a[[#This Row],[x base]]*SQRT(Eu_a_h0_x*(1-Eu_a_h0_x)/Eu_a_n_x)+Eu_a_h0_x</f>
        <v>0</v>
      </c>
      <c r="FC145" s="161" t="e">
        <f t="shared" si="250"/>
        <v>#N/A</v>
      </c>
      <c r="FD145" s="169" t="e">
        <f t="shared" si="234"/>
        <v>#DIV/0!</v>
      </c>
      <c r="FE145" s="7" t="e">
        <f t="shared" si="244"/>
        <v>#DIV/0!</v>
      </c>
      <c r="FF145" t="e">
        <f t="shared" si="235"/>
        <v>#DIV/0!</v>
      </c>
      <c r="FG145" s="8" t="e">
        <f t="shared" si="236"/>
        <v>#DIV/0!</v>
      </c>
      <c r="FH145" s="8" t="e">
        <f t="shared" si="237"/>
        <v>#DIV/0!</v>
      </c>
      <c r="FI145" s="168" t="e">
        <f t="shared" si="238"/>
        <v>#DIV/0!</v>
      </c>
      <c r="FJ145" s="161" t="e">
        <f t="shared" ca="1" si="245"/>
        <v>#N/A</v>
      </c>
      <c r="FK145" s="169" t="e" vm="3">
        <f t="shared" ca="1" si="251"/>
        <v>#VALUE!</v>
      </c>
      <c r="FL145" s="7" t="e" vm="3">
        <f t="shared" ca="1" si="246"/>
        <v>#VALUE!</v>
      </c>
      <c r="FM145" t="e" vm="3">
        <f t="shared" ca="1" si="240"/>
        <v>#VALUE!</v>
      </c>
      <c r="FN145" s="8" t="e" vm="3">
        <f t="shared" ca="1" si="241"/>
        <v>#VALUE!</v>
      </c>
      <c r="FO145" s="8" t="e" vm="3">
        <f t="shared" ca="1" si="242"/>
        <v>#VALUE!</v>
      </c>
      <c r="FP145" s="168" t="e" vm="3">
        <f t="shared" ca="1" si="243"/>
        <v>#VALUE!</v>
      </c>
      <c r="FQ145" s="161" t="e">
        <f t="shared" si="247"/>
        <v>#N/A</v>
      </c>
      <c r="FR145" s="169" t="e">
        <f t="shared" si="252"/>
        <v>#N/A</v>
      </c>
      <c r="FS145" s="7" t="e">
        <f t="shared" si="248"/>
        <v>#N/A</v>
      </c>
      <c r="FT145" t="e">
        <f t="shared" si="253"/>
        <v>#N/A</v>
      </c>
      <c r="FU145" s="8" t="e">
        <f t="shared" si="254"/>
        <v>#N/A</v>
      </c>
      <c r="FV145" s="8" t="e">
        <f t="shared" si="255"/>
        <v>#N/A</v>
      </c>
      <c r="FW145" s="168" t="e">
        <f t="shared" si="256"/>
        <v>#N/A</v>
      </c>
      <c r="FX145" s="161" t="e">
        <f t="shared" si="257"/>
        <v>#N/A</v>
      </c>
      <c r="FY145" s="169" t="e">
        <f t="shared" si="258"/>
        <v>#N/A</v>
      </c>
      <c r="FZ145" s="7" t="e">
        <f t="shared" si="249"/>
        <v>#N/A</v>
      </c>
      <c r="GA145" t="e">
        <f t="shared" si="259"/>
        <v>#N/A</v>
      </c>
      <c r="GB145" s="8" t="e">
        <f t="shared" si="260"/>
        <v>#N/A</v>
      </c>
      <c r="GC145" s="8" t="e">
        <f t="shared" si="261"/>
        <v>#N/A</v>
      </c>
      <c r="GD145" s="168" t="e">
        <f t="shared" si="262"/>
        <v>#N/A</v>
      </c>
      <c r="GE145" s="168"/>
      <c r="GF145" s="168"/>
      <c r="GI145" s="54">
        <f t="shared" si="307"/>
        <v>135</v>
      </c>
      <c r="GJ145" s="54">
        <f t="shared" si="308"/>
        <v>136</v>
      </c>
      <c r="GK145" s="54">
        <f t="shared" si="309"/>
        <v>0.14373173517059579</v>
      </c>
      <c r="GL145" s="54">
        <f t="shared" si="310"/>
        <v>0.39484265348383518</v>
      </c>
      <c r="GM145" s="54" t="e">
        <f t="shared" si="311"/>
        <v>#N/A</v>
      </c>
      <c r="GN145" s="54" t="e">
        <f t="shared" si="312"/>
        <v>#N/A</v>
      </c>
      <c r="GO145" s="54" t="e">
        <f t="shared" si="313"/>
        <v>#N/A</v>
      </c>
      <c r="GP145" s="54" t="b">
        <f t="shared" si="314"/>
        <v>0</v>
      </c>
      <c r="GQ145" s="54" t="b">
        <f t="shared" si="315"/>
        <v>1</v>
      </c>
      <c r="GR145" s="54" t="b">
        <f t="shared" si="316"/>
        <v>0</v>
      </c>
      <c r="GS145" s="54" t="b">
        <f t="shared" si="317"/>
        <v>1</v>
      </c>
      <c r="GT145" s="54">
        <f t="shared" si="318"/>
        <v>0.39484265348383518</v>
      </c>
      <c r="GU145" s="54" t="e">
        <f t="shared" si="319"/>
        <v>#N/A</v>
      </c>
      <c r="GV145" s="54">
        <f t="shared" si="320"/>
        <v>0.39484265348383518</v>
      </c>
      <c r="GW145" s="72" t="str">
        <f t="shared" si="321"/>
        <v/>
      </c>
      <c r="HC145" s="54">
        <f t="shared" si="322"/>
        <v>135</v>
      </c>
      <c r="HD145" s="54">
        <f t="shared" si="323"/>
        <v>136</v>
      </c>
      <c r="HE145" s="54">
        <f t="shared" si="324"/>
        <v>0.22257161063434161</v>
      </c>
      <c r="HF145" s="54" t="e">
        <f t="shared" si="325"/>
        <v>#N/A</v>
      </c>
      <c r="HG145" s="54">
        <f t="shared" si="326"/>
        <v>0.3742834224436612</v>
      </c>
      <c r="HH145" s="54" t="e">
        <f t="shared" si="327"/>
        <v>#N/A</v>
      </c>
      <c r="HI145" s="54" t="e">
        <f t="shared" si="328"/>
        <v>#N/A</v>
      </c>
      <c r="HJ145" s="54" t="b">
        <f t="shared" si="329"/>
        <v>1</v>
      </c>
      <c r="HK145" s="54" t="b">
        <f t="shared" si="330"/>
        <v>0</v>
      </c>
      <c r="HL145" s="54" t="b">
        <f t="shared" si="331"/>
        <v>0</v>
      </c>
      <c r="HM145" s="54" t="b">
        <f t="shared" si="332"/>
        <v>1</v>
      </c>
      <c r="HN145" s="54">
        <f t="shared" si="333"/>
        <v>0.3742834224436612</v>
      </c>
      <c r="HO145" s="54">
        <f t="shared" si="334"/>
        <v>0.3742834224436612</v>
      </c>
      <c r="HP145" s="54" t="e">
        <f t="shared" si="335"/>
        <v>#N/A</v>
      </c>
      <c r="HQ145" s="72" t="str">
        <f t="shared" si="336"/>
        <v/>
      </c>
    </row>
    <row r="146" spans="71:225" x14ac:dyDescent="0.2">
      <c r="BS146" s="54">
        <f t="shared" si="263"/>
        <v>136</v>
      </c>
      <c r="BT146" s="54">
        <f>Eu_tabel_g[[#This Row],[Indeks]]+1</f>
        <v>137</v>
      </c>
      <c r="BU146" s="54">
        <f t="shared" si="264"/>
        <v>0.16768702436569516</v>
      </c>
      <c r="BV146" s="54">
        <f t="shared" si="265"/>
        <v>0.39337260880753866</v>
      </c>
      <c r="BW146" s="54" t="e">
        <f t="shared" si="266"/>
        <v>#N/A</v>
      </c>
      <c r="BX146" s="54" t="e">
        <f t="shared" si="267"/>
        <v>#N/A</v>
      </c>
      <c r="BY146" s="54" t="e">
        <f t="shared" si="268"/>
        <v>#N/A</v>
      </c>
      <c r="BZ146" s="54" t="b">
        <f t="shared" si="269"/>
        <v>0</v>
      </c>
      <c r="CA146" s="54" t="b">
        <f t="shared" si="270"/>
        <v>1</v>
      </c>
      <c r="CB146" s="54" t="b">
        <f t="shared" si="271"/>
        <v>0</v>
      </c>
      <c r="CC146" s="54" t="b">
        <f t="shared" si="272"/>
        <v>1</v>
      </c>
      <c r="CD146" s="54">
        <f t="shared" si="239"/>
        <v>0.39337260880753866</v>
      </c>
      <c r="CE146" s="54" t="e">
        <f t="shared" si="273"/>
        <v>#N/A</v>
      </c>
      <c r="CF146" s="54">
        <f t="shared" si="274"/>
        <v>0.39337260880753866</v>
      </c>
      <c r="CG146" s="72" t="str">
        <f t="shared" si="275"/>
        <v/>
      </c>
      <c r="CH146" s="54">
        <f>_xlfn.NORM.DIST(_xlfn.NORM.INV(1-Eu_g_konfidensniveau,0,1)-Eu_tabel_g[[#This Row],[x base]],0,1,TRUE)</f>
        <v>3.495134930685289E-2</v>
      </c>
      <c r="CI146" s="54">
        <f>1-_xlfn.NORM.DIST(_xlfn.NORM.INV(Eu_g_konfidensniveau,0,1)-Eu_tabel_g[[#This Row],[x base]],0,1,TRUE)</f>
        <v>6.9815491895966364E-2</v>
      </c>
      <c r="CJ146" s="54">
        <f>_xlfn.NORM.DIST(_xlfn.NORM.INV((1-Eu_g_konfidensniveau)/2,0,1)-Eu_tabel_g[[#This Row],[x base]],0,1,TRUE)+1-_xlfn.NORM.DIST(_xlfn.NORM.INV(1-(1-Eu_g_konfidensniveau)/2,0,1)-Eu_tabel_g[[#This Row],[x base]],0,1,TRUE)</f>
        <v>5.3227320844540071E-2</v>
      </c>
      <c r="CK146" s="54" t="e" cm="1">
        <f t="array" ref="CK146">IF($CK$3,INDEX(Eu_tabel_g[[#This Row],[Styrke venstre]:[Styrke tosidet]],CK$7),NA())</f>
        <v>#N/A</v>
      </c>
      <c r="CL146" s="99" t="e">
        <f>Eu_tabel_g[[#This Row],[Falsk positiv
Nulhypotese accepteres
Fejltype 1]]</f>
        <v>#N/A</v>
      </c>
      <c r="CM146" s="99" t="e">
        <f>IF(CHOOSE(CK$7,Eu_tabel_g[[#This Row],[x base]]&gt;0,Eu_tabel_g[[#This Row],[x base]]&lt;0,Eu_tabel_g[[#This Row],[x base]]=0),Eu_tabel_g[[#This Row],[Styrke, aktiv]],NA())</f>
        <v>#N/A</v>
      </c>
      <c r="CN146" s="99" t="e">
        <f>IFERROR(IF($CK$3,Eu_tabel_g[[#This Row],[Styrke, aktiv]],NA()),NA())</f>
        <v>#N/A</v>
      </c>
      <c r="CO146" s="99" t="e">
        <f>IF(ISNA(Eu_tabel_g[[#This Row],[Sand negativ
Nulhypotese afvises
Korrekt]]),NA(),IF($CK$3,1,NA()))</f>
        <v>#N/A</v>
      </c>
      <c r="CP146" s="56" t="str" cm="1">
        <f t="array" ref="CP146">_xlfn.SWITCH(BS146,_xlfn.IFNA(CN$2,-99),CN$5,_xlfn.IFNA(CN$3,-99),CN$6,_xlfn.IFNA(CN$4,-99),CN$7,"")</f>
        <v/>
      </c>
      <c r="CT146" s="7">
        <f t="shared" si="276"/>
        <v>0.8</v>
      </c>
      <c r="CU146">
        <f>IF(ROW(Styrkeberegning_G[[#This Row],[X base venstre]])=ROW(Styrkeberegning_G[[#Headers],[X base venstre]])+1,CU$7/(CT$7/$B$67),CU145/(CT145/$B$67))</f>
        <v>-2.8015817870135784</v>
      </c>
      <c r="CV146">
        <f>Styrkeberegning_G[[#This Row],[X base venstre]]*-1</f>
        <v>2.8015817870135784</v>
      </c>
      <c r="DG146" s="54">
        <f t="shared" si="277"/>
        <v>136</v>
      </c>
      <c r="DH146" s="54">
        <f t="shared" si="278"/>
        <v>137</v>
      </c>
      <c r="DI146" s="54">
        <f t="shared" si="279"/>
        <v>17.347489137365827</v>
      </c>
      <c r="DJ146" s="54" t="e">
        <f t="shared" si="280"/>
        <v>#N/A</v>
      </c>
      <c r="DK146" s="54" t="e">
        <f t="shared" si="281"/>
        <v>#N/A</v>
      </c>
      <c r="DL146" s="54">
        <f t="shared" si="282"/>
        <v>2.7232258609019386E-2</v>
      </c>
      <c r="DM146" s="54" t="e">
        <f t="shared" si="283"/>
        <v>#N/A</v>
      </c>
      <c r="DN146" s="54" t="b">
        <f t="shared" si="284"/>
        <v>0</v>
      </c>
      <c r="DO146" s="54" t="b">
        <f t="shared" si="285"/>
        <v>1</v>
      </c>
      <c r="DP146" s="54" t="b">
        <f t="shared" si="286"/>
        <v>0</v>
      </c>
      <c r="DQ146" s="54" t="b">
        <f t="shared" si="287"/>
        <v>1</v>
      </c>
      <c r="DR146" s="54">
        <f t="shared" si="288"/>
        <v>2.7232258609019386E-2</v>
      </c>
      <c r="DS146" s="54" t="e">
        <f t="shared" si="289"/>
        <v>#N/A</v>
      </c>
      <c r="DT146" s="54">
        <f t="shared" si="290"/>
        <v>2.7232258609019386E-2</v>
      </c>
      <c r="DU146" s="72" t="str">
        <f t="shared" si="291"/>
        <v/>
      </c>
      <c r="DZ146" s="54">
        <f t="shared" si="292"/>
        <v>136</v>
      </c>
      <c r="EA146" s="54">
        <f t="shared" si="293"/>
        <v>137</v>
      </c>
      <c r="EB146" s="54">
        <f t="shared" si="294"/>
        <v>0.16768702436569516</v>
      </c>
      <c r="EC146" s="54">
        <f t="shared" si="295"/>
        <v>0.39337260880753866</v>
      </c>
      <c r="ED146" s="54" t="e">
        <f t="shared" si="296"/>
        <v>#N/A</v>
      </c>
      <c r="EE146" s="54" t="e">
        <f t="shared" si="297"/>
        <v>#N/A</v>
      </c>
      <c r="EF146" s="54" t="e">
        <f t="shared" si="298"/>
        <v>#N/A</v>
      </c>
      <c r="EG146" s="54" t="b">
        <f t="shared" si="299"/>
        <v>0</v>
      </c>
      <c r="EH146" s="54" t="b">
        <f t="shared" si="300"/>
        <v>1</v>
      </c>
      <c r="EI146" s="54" t="b">
        <f t="shared" si="301"/>
        <v>0</v>
      </c>
      <c r="EJ146" s="54" t="b">
        <f t="shared" si="302"/>
        <v>1</v>
      </c>
      <c r="EK146" s="54">
        <f t="shared" si="303"/>
        <v>0.39337260880753866</v>
      </c>
      <c r="EL146" s="54" t="e">
        <f t="shared" si="304"/>
        <v>#N/A</v>
      </c>
      <c r="EM146" s="54">
        <f t="shared" si="305"/>
        <v>0.39337260880753866</v>
      </c>
      <c r="EN146" s="72" t="str">
        <f t="shared" si="306"/>
        <v/>
      </c>
      <c r="EO14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4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4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46" s="54" t="e" cm="1">
        <f t="array" ref="ER146">IF($CK$3,INDEX(Eu_tabel_a[[#This Row],[Styrke venstre]:[Styrke tosidet]],ER$7),NA())</f>
        <v>#N/A</v>
      </c>
      <c r="ES146" s="54" t="e">
        <f>IF(ER$3,IF(CHOOSE(ER$7,Eu_tabel_a[[#This Row],[x base]]&gt;0,Eu_tabel_a[[#This Row],[x base]]&lt;0,Eu_tabel_a[[#This Row],[x base]]=0),1,NA()),NA())</f>
        <v>#N/A</v>
      </c>
      <c r="ET146" s="54" t="e">
        <f>IF(CHOOSE(ER$7,Eu_tabel_a[[#This Row],[x base]]&gt;0,Eu_tabel_a[[#This Row],[x base]]&lt;0,Eu_tabel_a[[#This Row],[x base]]=0),Eu_tabel_a[[#This Row],[Styrke, aktiv]],NA())</f>
        <v>#N/A</v>
      </c>
      <c r="EU146" s="54" t="e">
        <f>IFERROR(IF($ER$3,Eu_tabel_a[[#This Row],[Styrke, aktiv]],NA()),NA())</f>
        <v>#N/A</v>
      </c>
      <c r="EV146" s="54" t="e">
        <f>IF(ISNA(Eu_tabel_a[[#This Row],[Sand negativ
Nulhypotese afvises
Korrekt]]),NA(),IF(ER$3,1,NA()))</f>
        <v>#N/A</v>
      </c>
      <c r="EW146" s="55" t="str" cm="1">
        <f t="array" ref="EW146">IFERROR(_xlfn.SWITCH(Eu_tabel_a[[#This Row],[Indeks]],_xlfn.IFNA(EU$2,-99),EU$5,_xlfn.IFNA(EU$3,-99),EU$6,_xlfn.IFNA(EU$4,-99),EU$7,""),"")</f>
        <v/>
      </c>
      <c r="EX146" s="54">
        <f>Eu_tabel_a[[#This Row],[x base]]*SQRT(Eu_a_h0_x*(1-Eu_a_h0_x)/Eu_a_n_x)+Eu_a_h0_x</f>
        <v>0</v>
      </c>
      <c r="FC146" s="161" t="e">
        <f t="shared" si="250"/>
        <v>#N/A</v>
      </c>
      <c r="FD146" s="169" t="e">
        <f t="shared" si="234"/>
        <v>#DIV/0!</v>
      </c>
      <c r="FE146" s="7" t="e">
        <f t="shared" si="244"/>
        <v>#DIV/0!</v>
      </c>
      <c r="FF146" t="e">
        <f t="shared" si="235"/>
        <v>#DIV/0!</v>
      </c>
      <c r="FG146" s="8" t="e">
        <f t="shared" si="236"/>
        <v>#DIV/0!</v>
      </c>
      <c r="FH146" s="8" t="e">
        <f t="shared" si="237"/>
        <v>#DIV/0!</v>
      </c>
      <c r="FI146" s="168" t="e">
        <f t="shared" si="238"/>
        <v>#DIV/0!</v>
      </c>
      <c r="FJ146" s="161" t="e">
        <f t="shared" ca="1" si="245"/>
        <v>#N/A</v>
      </c>
      <c r="FK146" s="169" t="e" vm="3">
        <f t="shared" ca="1" si="251"/>
        <v>#VALUE!</v>
      </c>
      <c r="FL146" s="7" t="e" vm="3">
        <f t="shared" ca="1" si="246"/>
        <v>#VALUE!</v>
      </c>
      <c r="FM146" t="e" vm="3">
        <f t="shared" ca="1" si="240"/>
        <v>#VALUE!</v>
      </c>
      <c r="FN146" s="8" t="e" vm="3">
        <f t="shared" ca="1" si="241"/>
        <v>#VALUE!</v>
      </c>
      <c r="FO146" s="8" t="e" vm="3">
        <f t="shared" ca="1" si="242"/>
        <v>#VALUE!</v>
      </c>
      <c r="FP146" s="168" t="e" vm="3">
        <f t="shared" ca="1" si="243"/>
        <v>#VALUE!</v>
      </c>
      <c r="FQ146" s="161" t="e">
        <f t="shared" si="247"/>
        <v>#N/A</v>
      </c>
      <c r="FR146" s="169" t="e">
        <f t="shared" si="252"/>
        <v>#N/A</v>
      </c>
      <c r="FS146" s="7" t="e">
        <f t="shared" si="248"/>
        <v>#N/A</v>
      </c>
      <c r="FT146" t="e">
        <f t="shared" si="253"/>
        <v>#N/A</v>
      </c>
      <c r="FU146" s="8" t="e">
        <f t="shared" si="254"/>
        <v>#N/A</v>
      </c>
      <c r="FV146" s="8" t="e">
        <f t="shared" si="255"/>
        <v>#N/A</v>
      </c>
      <c r="FW146" s="168" t="e">
        <f t="shared" si="256"/>
        <v>#N/A</v>
      </c>
      <c r="FX146" s="161" t="e">
        <f t="shared" si="257"/>
        <v>#N/A</v>
      </c>
      <c r="FY146" s="169" t="e">
        <f t="shared" si="258"/>
        <v>#N/A</v>
      </c>
      <c r="FZ146" s="7" t="e">
        <f t="shared" si="249"/>
        <v>#N/A</v>
      </c>
      <c r="GA146" t="e">
        <f t="shared" si="259"/>
        <v>#N/A</v>
      </c>
      <c r="GB146" s="8" t="e">
        <f t="shared" si="260"/>
        <v>#N/A</v>
      </c>
      <c r="GC146" s="8" t="e">
        <f t="shared" si="261"/>
        <v>#N/A</v>
      </c>
      <c r="GD146" s="168" t="e">
        <f t="shared" si="262"/>
        <v>#N/A</v>
      </c>
      <c r="GE146" s="168"/>
      <c r="GF146" s="168"/>
      <c r="GI146" s="54">
        <f t="shared" si="307"/>
        <v>136</v>
      </c>
      <c r="GJ146" s="54">
        <f t="shared" si="308"/>
        <v>137</v>
      </c>
      <c r="GK146" s="54">
        <f t="shared" si="309"/>
        <v>0.16768702436569516</v>
      </c>
      <c r="GL146" s="54">
        <f t="shared" si="310"/>
        <v>0.39337260880753866</v>
      </c>
      <c r="GM146" s="54" t="e">
        <f t="shared" si="311"/>
        <v>#N/A</v>
      </c>
      <c r="GN146" s="54" t="e">
        <f t="shared" si="312"/>
        <v>#N/A</v>
      </c>
      <c r="GO146" s="54" t="e">
        <f t="shared" si="313"/>
        <v>#N/A</v>
      </c>
      <c r="GP146" s="54" t="b">
        <f t="shared" si="314"/>
        <v>0</v>
      </c>
      <c r="GQ146" s="54" t="b">
        <f t="shared" si="315"/>
        <v>1</v>
      </c>
      <c r="GR146" s="54" t="b">
        <f t="shared" si="316"/>
        <v>0</v>
      </c>
      <c r="GS146" s="54" t="b">
        <f t="shared" si="317"/>
        <v>1</v>
      </c>
      <c r="GT146" s="54">
        <f t="shared" si="318"/>
        <v>0.39337260880753866</v>
      </c>
      <c r="GU146" s="54" t="e">
        <f t="shared" si="319"/>
        <v>#N/A</v>
      </c>
      <c r="GV146" s="54">
        <f t="shared" si="320"/>
        <v>0.39337260880753866</v>
      </c>
      <c r="GW146" s="72" t="str">
        <f t="shared" si="321"/>
        <v/>
      </c>
      <c r="HC146" s="54">
        <f t="shared" si="322"/>
        <v>136</v>
      </c>
      <c r="HD146" s="54">
        <f t="shared" si="323"/>
        <v>137</v>
      </c>
      <c r="HE146" s="54">
        <f t="shared" si="324"/>
        <v>0.25966687907339825</v>
      </c>
      <c r="HF146" s="54" t="e">
        <f t="shared" si="325"/>
        <v>#N/A</v>
      </c>
      <c r="HG146" s="54">
        <f t="shared" si="326"/>
        <v>0.37050830558756798</v>
      </c>
      <c r="HH146" s="54" t="e">
        <f t="shared" si="327"/>
        <v>#N/A</v>
      </c>
      <c r="HI146" s="54" t="e">
        <f t="shared" si="328"/>
        <v>#N/A</v>
      </c>
      <c r="HJ146" s="54" t="b">
        <f t="shared" si="329"/>
        <v>1</v>
      </c>
      <c r="HK146" s="54" t="b">
        <f t="shared" si="330"/>
        <v>0</v>
      </c>
      <c r="HL146" s="54" t="b">
        <f t="shared" si="331"/>
        <v>0</v>
      </c>
      <c r="HM146" s="54" t="b">
        <f t="shared" si="332"/>
        <v>1</v>
      </c>
      <c r="HN146" s="54">
        <f t="shared" si="333"/>
        <v>0.37050830558756798</v>
      </c>
      <c r="HO146" s="54">
        <f t="shared" si="334"/>
        <v>0.37050830558756798</v>
      </c>
      <c r="HP146" s="54" t="e">
        <f t="shared" si="335"/>
        <v>#N/A</v>
      </c>
      <c r="HQ146" s="72" t="str">
        <f t="shared" si="336"/>
        <v/>
      </c>
    </row>
    <row r="147" spans="71:225" x14ac:dyDescent="0.2">
      <c r="BS147" s="54">
        <f t="shared" si="263"/>
        <v>137</v>
      </c>
      <c r="BT147" s="54">
        <f>Eu_tabel_g[[#This Row],[Indeks]]+1</f>
        <v>138</v>
      </c>
      <c r="BU147" s="54">
        <f t="shared" si="264"/>
        <v>0.19164231356079453</v>
      </c>
      <c r="BV147" s="54">
        <f t="shared" si="265"/>
        <v>0.39168320306250204</v>
      </c>
      <c r="BW147" s="54" t="e">
        <f t="shared" si="266"/>
        <v>#N/A</v>
      </c>
      <c r="BX147" s="54" t="e">
        <f t="shared" si="267"/>
        <v>#N/A</v>
      </c>
      <c r="BY147" s="54" t="e">
        <f t="shared" si="268"/>
        <v>#N/A</v>
      </c>
      <c r="BZ147" s="54" t="b">
        <f t="shared" si="269"/>
        <v>0</v>
      </c>
      <c r="CA147" s="54" t="b">
        <f t="shared" si="270"/>
        <v>1</v>
      </c>
      <c r="CB147" s="54" t="b">
        <f t="shared" si="271"/>
        <v>0</v>
      </c>
      <c r="CC147" s="54" t="b">
        <f t="shared" si="272"/>
        <v>1</v>
      </c>
      <c r="CD147" s="54">
        <f t="shared" si="239"/>
        <v>0.39168320306250204</v>
      </c>
      <c r="CE147" s="54" t="e">
        <f t="shared" si="273"/>
        <v>#N/A</v>
      </c>
      <c r="CF147" s="54">
        <f t="shared" si="274"/>
        <v>0.39168320306250204</v>
      </c>
      <c r="CG147" s="72" t="str">
        <f t="shared" si="275"/>
        <v/>
      </c>
      <c r="CH147" s="54">
        <f>_xlfn.NORM.DIST(_xlfn.NORM.INV(1-Eu_g_konfidensniveau,0,1)-Eu_tabel_g[[#This Row],[x base]],0,1,TRUE)</f>
        <v>3.3142170968285214E-2</v>
      </c>
      <c r="CI147" s="54">
        <f>1-_xlfn.NORM.DIST(_xlfn.NORM.INV(Eu_g_konfidensniveau,0,1)-Eu_tabel_g[[#This Row],[x base]],0,1,TRUE)</f>
        <v>7.308254598003705E-2</v>
      </c>
      <c r="CJ147" s="54">
        <f>_xlfn.NORM.DIST(_xlfn.NORM.INV((1-Eu_g_konfidensniveau)/2,0,1)-Eu_tabel_g[[#This Row],[x base]],0,1,TRUE)+1-_xlfn.NORM.DIST(_xlfn.NORM.INV(1-(1-Eu_g_konfidensniveau)/2,0,1)-Eu_tabel_g[[#This Row],[x base]],0,1,TRUE)</f>
        <v>5.4217759348040295E-2</v>
      </c>
      <c r="CK147" s="54" t="e" cm="1">
        <f t="array" ref="CK147">IF($CK$3,INDEX(Eu_tabel_g[[#This Row],[Styrke venstre]:[Styrke tosidet]],CK$7),NA())</f>
        <v>#N/A</v>
      </c>
      <c r="CL147" s="99" t="e">
        <f>Eu_tabel_g[[#This Row],[Falsk positiv
Nulhypotese accepteres
Fejltype 1]]</f>
        <v>#N/A</v>
      </c>
      <c r="CM147" s="99" t="e">
        <f>IF(CHOOSE(CK$7,Eu_tabel_g[[#This Row],[x base]]&gt;0,Eu_tabel_g[[#This Row],[x base]]&lt;0,Eu_tabel_g[[#This Row],[x base]]=0),Eu_tabel_g[[#This Row],[Styrke, aktiv]],NA())</f>
        <v>#N/A</v>
      </c>
      <c r="CN147" s="99" t="e">
        <f>IFERROR(IF($CK$3,Eu_tabel_g[[#This Row],[Styrke, aktiv]],NA()),NA())</f>
        <v>#N/A</v>
      </c>
      <c r="CO147" s="99" t="e">
        <f>IF(ISNA(Eu_tabel_g[[#This Row],[Sand negativ
Nulhypotese afvises
Korrekt]]),NA(),IF($CK$3,1,NA()))</f>
        <v>#N/A</v>
      </c>
      <c r="CP147" s="56" t="str" cm="1">
        <f t="array" ref="CP147">_xlfn.SWITCH(BS147,_xlfn.IFNA(CN$2,-99),CN$5,_xlfn.IFNA(CN$3,-99),CN$6,_xlfn.IFNA(CN$4,-99),CN$7,"")</f>
        <v/>
      </c>
      <c r="CT147" s="7">
        <f t="shared" si="276"/>
        <v>0.8</v>
      </c>
      <c r="CU147">
        <f>IF(ROW(Styrkeberegning_G[[#This Row],[X base venstre]])=ROW(Styrkeberegning_G[[#Headers],[X base venstre]])+1,CU$7/(CT$7/$B$67),CU146/(CT146/$B$67))</f>
        <v>-2.8015817870135784</v>
      </c>
      <c r="CV147">
        <f>Styrkeberegning_G[[#This Row],[X base venstre]]*-1</f>
        <v>2.8015817870135784</v>
      </c>
      <c r="DG147" s="54">
        <f t="shared" si="277"/>
        <v>137</v>
      </c>
      <c r="DH147" s="54">
        <f t="shared" si="278"/>
        <v>138</v>
      </c>
      <c r="DI147" s="54">
        <f t="shared" si="279"/>
        <v>17.461559993782828</v>
      </c>
      <c r="DJ147" s="54" t="e">
        <f t="shared" si="280"/>
        <v>#N/A</v>
      </c>
      <c r="DK147" s="54" t="e">
        <f t="shared" si="281"/>
        <v>#N/A</v>
      </c>
      <c r="DL147" s="54">
        <f t="shared" si="282"/>
        <v>2.6492464671480021E-2</v>
      </c>
      <c r="DM147" s="54" t="e">
        <f t="shared" si="283"/>
        <v>#N/A</v>
      </c>
      <c r="DN147" s="54" t="b">
        <f t="shared" si="284"/>
        <v>0</v>
      </c>
      <c r="DO147" s="54" t="b">
        <f t="shared" si="285"/>
        <v>1</v>
      </c>
      <c r="DP147" s="54" t="b">
        <f t="shared" si="286"/>
        <v>0</v>
      </c>
      <c r="DQ147" s="54" t="b">
        <f t="shared" si="287"/>
        <v>1</v>
      </c>
      <c r="DR147" s="54">
        <f t="shared" si="288"/>
        <v>2.6492464671480021E-2</v>
      </c>
      <c r="DS147" s="54" t="e">
        <f t="shared" si="289"/>
        <v>#N/A</v>
      </c>
      <c r="DT147" s="54">
        <f t="shared" si="290"/>
        <v>2.6492464671480021E-2</v>
      </c>
      <c r="DU147" s="72" t="str">
        <f t="shared" si="291"/>
        <v/>
      </c>
      <c r="DZ147" s="54">
        <f t="shared" si="292"/>
        <v>137</v>
      </c>
      <c r="EA147" s="54">
        <f t="shared" si="293"/>
        <v>138</v>
      </c>
      <c r="EB147" s="54">
        <f t="shared" si="294"/>
        <v>0.19164231356079453</v>
      </c>
      <c r="EC147" s="54">
        <f t="shared" si="295"/>
        <v>0.39168320306250204</v>
      </c>
      <c r="ED147" s="54" t="e">
        <f t="shared" si="296"/>
        <v>#N/A</v>
      </c>
      <c r="EE147" s="54" t="e">
        <f t="shared" si="297"/>
        <v>#N/A</v>
      </c>
      <c r="EF147" s="54" t="e">
        <f t="shared" si="298"/>
        <v>#N/A</v>
      </c>
      <c r="EG147" s="54" t="b">
        <f t="shared" si="299"/>
        <v>0</v>
      </c>
      <c r="EH147" s="54" t="b">
        <f t="shared" si="300"/>
        <v>1</v>
      </c>
      <c r="EI147" s="54" t="b">
        <f t="shared" si="301"/>
        <v>0</v>
      </c>
      <c r="EJ147" s="54" t="b">
        <f t="shared" si="302"/>
        <v>1</v>
      </c>
      <c r="EK147" s="54">
        <f t="shared" si="303"/>
        <v>0.39168320306250204</v>
      </c>
      <c r="EL147" s="54" t="e">
        <f t="shared" si="304"/>
        <v>#N/A</v>
      </c>
      <c r="EM147" s="54">
        <f t="shared" si="305"/>
        <v>0.39168320306250204</v>
      </c>
      <c r="EN147" s="72" t="str">
        <f t="shared" si="306"/>
        <v/>
      </c>
      <c r="EO14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4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4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47" s="54" t="e" cm="1">
        <f t="array" ref="ER147">IF($CK$3,INDEX(Eu_tabel_a[[#This Row],[Styrke venstre]:[Styrke tosidet]],ER$7),NA())</f>
        <v>#N/A</v>
      </c>
      <c r="ES147" s="54" t="e">
        <f>IF(ER$3,IF(CHOOSE(ER$7,Eu_tabel_a[[#This Row],[x base]]&gt;0,Eu_tabel_a[[#This Row],[x base]]&lt;0,Eu_tabel_a[[#This Row],[x base]]=0),1,NA()),NA())</f>
        <v>#N/A</v>
      </c>
      <c r="ET147" s="54" t="e">
        <f>IF(CHOOSE(ER$7,Eu_tabel_a[[#This Row],[x base]]&gt;0,Eu_tabel_a[[#This Row],[x base]]&lt;0,Eu_tabel_a[[#This Row],[x base]]=0),Eu_tabel_a[[#This Row],[Styrke, aktiv]],NA())</f>
        <v>#N/A</v>
      </c>
      <c r="EU147" s="54" t="e">
        <f>IFERROR(IF($ER$3,Eu_tabel_a[[#This Row],[Styrke, aktiv]],NA()),NA())</f>
        <v>#N/A</v>
      </c>
      <c r="EV147" s="54" t="e">
        <f>IF(ISNA(Eu_tabel_a[[#This Row],[Sand negativ
Nulhypotese afvises
Korrekt]]),NA(),IF(ER$3,1,NA()))</f>
        <v>#N/A</v>
      </c>
      <c r="EW147" s="55" t="str" cm="1">
        <f t="array" ref="EW147">IFERROR(_xlfn.SWITCH(Eu_tabel_a[[#This Row],[Indeks]],_xlfn.IFNA(EU$2,-99),EU$5,_xlfn.IFNA(EU$3,-99),EU$6,_xlfn.IFNA(EU$4,-99),EU$7,""),"")</f>
        <v/>
      </c>
      <c r="EX147" s="54">
        <f>Eu_tabel_a[[#This Row],[x base]]*SQRT(Eu_a_h0_x*(1-Eu_a_h0_x)/Eu_a_n_x)+Eu_a_h0_x</f>
        <v>0</v>
      </c>
      <c r="FC147" s="161" t="e">
        <f t="shared" si="250"/>
        <v>#N/A</v>
      </c>
      <c r="FD147" s="169" t="e">
        <f t="shared" si="234"/>
        <v>#DIV/0!</v>
      </c>
      <c r="FE147" s="7" t="e">
        <f t="shared" si="244"/>
        <v>#DIV/0!</v>
      </c>
      <c r="FF147" t="e">
        <f t="shared" si="235"/>
        <v>#DIV/0!</v>
      </c>
      <c r="FG147" s="8" t="e">
        <f t="shared" si="236"/>
        <v>#DIV/0!</v>
      </c>
      <c r="FH147" s="8" t="e">
        <f t="shared" si="237"/>
        <v>#DIV/0!</v>
      </c>
      <c r="FI147" s="168" t="e">
        <f t="shared" si="238"/>
        <v>#DIV/0!</v>
      </c>
      <c r="FJ147" s="161" t="e">
        <f t="shared" ca="1" si="245"/>
        <v>#N/A</v>
      </c>
      <c r="FK147" s="169" t="e" vm="3">
        <f t="shared" ca="1" si="251"/>
        <v>#VALUE!</v>
      </c>
      <c r="FL147" s="7" t="e" vm="3">
        <f t="shared" ca="1" si="246"/>
        <v>#VALUE!</v>
      </c>
      <c r="FM147" t="e" vm="3">
        <f t="shared" ca="1" si="240"/>
        <v>#VALUE!</v>
      </c>
      <c r="FN147" s="8" t="e" vm="3">
        <f t="shared" ca="1" si="241"/>
        <v>#VALUE!</v>
      </c>
      <c r="FO147" s="8" t="e" vm="3">
        <f t="shared" ca="1" si="242"/>
        <v>#VALUE!</v>
      </c>
      <c r="FP147" s="168" t="e" vm="3">
        <f t="shared" ca="1" si="243"/>
        <v>#VALUE!</v>
      </c>
      <c r="FQ147" s="161" t="e">
        <f t="shared" si="247"/>
        <v>#N/A</v>
      </c>
      <c r="FR147" s="169" t="e">
        <f t="shared" si="252"/>
        <v>#N/A</v>
      </c>
      <c r="FS147" s="7" t="e">
        <f t="shared" si="248"/>
        <v>#N/A</v>
      </c>
      <c r="FT147" t="e">
        <f t="shared" si="253"/>
        <v>#N/A</v>
      </c>
      <c r="FU147" s="8" t="e">
        <f t="shared" si="254"/>
        <v>#N/A</v>
      </c>
      <c r="FV147" s="8" t="e">
        <f t="shared" si="255"/>
        <v>#N/A</v>
      </c>
      <c r="FW147" s="168" t="e">
        <f t="shared" si="256"/>
        <v>#N/A</v>
      </c>
      <c r="FX147" s="161" t="e">
        <f t="shared" si="257"/>
        <v>#N/A</v>
      </c>
      <c r="FY147" s="169" t="e">
        <f t="shared" si="258"/>
        <v>#N/A</v>
      </c>
      <c r="FZ147" s="7" t="e">
        <f t="shared" si="249"/>
        <v>#N/A</v>
      </c>
      <c r="GA147" t="e">
        <f t="shared" si="259"/>
        <v>#N/A</v>
      </c>
      <c r="GB147" s="8" t="e">
        <f t="shared" si="260"/>
        <v>#N/A</v>
      </c>
      <c r="GC147" s="8" t="e">
        <f t="shared" si="261"/>
        <v>#N/A</v>
      </c>
      <c r="GD147" s="168" t="e">
        <f t="shared" si="262"/>
        <v>#N/A</v>
      </c>
      <c r="GE147" s="168"/>
      <c r="GF147" s="168"/>
      <c r="GI147" s="54">
        <f t="shared" si="307"/>
        <v>137</v>
      </c>
      <c r="GJ147" s="54">
        <f t="shared" si="308"/>
        <v>138</v>
      </c>
      <c r="GK147" s="54">
        <f t="shared" si="309"/>
        <v>0.19164231356079453</v>
      </c>
      <c r="GL147" s="54">
        <f t="shared" si="310"/>
        <v>0.39168320306250204</v>
      </c>
      <c r="GM147" s="54" t="e">
        <f t="shared" si="311"/>
        <v>#N/A</v>
      </c>
      <c r="GN147" s="54" t="e">
        <f t="shared" si="312"/>
        <v>#N/A</v>
      </c>
      <c r="GO147" s="54" t="e">
        <f t="shared" si="313"/>
        <v>#N/A</v>
      </c>
      <c r="GP147" s="54" t="b">
        <f t="shared" si="314"/>
        <v>0</v>
      </c>
      <c r="GQ147" s="54" t="b">
        <f t="shared" si="315"/>
        <v>1</v>
      </c>
      <c r="GR147" s="54" t="b">
        <f t="shared" si="316"/>
        <v>0</v>
      </c>
      <c r="GS147" s="54" t="b">
        <f t="shared" si="317"/>
        <v>1</v>
      </c>
      <c r="GT147" s="54">
        <f t="shared" si="318"/>
        <v>0.39168320306250204</v>
      </c>
      <c r="GU147" s="54" t="e">
        <f t="shared" si="319"/>
        <v>#N/A</v>
      </c>
      <c r="GV147" s="54">
        <f t="shared" si="320"/>
        <v>0.39168320306250204</v>
      </c>
      <c r="GW147" s="72" t="str">
        <f t="shared" si="321"/>
        <v/>
      </c>
      <c r="HC147" s="54">
        <f t="shared" si="322"/>
        <v>137</v>
      </c>
      <c r="HD147" s="54">
        <f t="shared" si="323"/>
        <v>138</v>
      </c>
      <c r="HE147" s="54">
        <f t="shared" si="324"/>
        <v>0.29676214751245489</v>
      </c>
      <c r="HF147" s="54" t="e">
        <f t="shared" si="325"/>
        <v>#N/A</v>
      </c>
      <c r="HG147" s="54">
        <f t="shared" si="326"/>
        <v>0.36621134988680171</v>
      </c>
      <c r="HH147" s="54" t="e">
        <f t="shared" si="327"/>
        <v>#N/A</v>
      </c>
      <c r="HI147" s="54" t="e">
        <f t="shared" si="328"/>
        <v>#N/A</v>
      </c>
      <c r="HJ147" s="54" t="b">
        <f t="shared" si="329"/>
        <v>1</v>
      </c>
      <c r="HK147" s="54" t="b">
        <f t="shared" si="330"/>
        <v>0</v>
      </c>
      <c r="HL147" s="54" t="b">
        <f t="shared" si="331"/>
        <v>0</v>
      </c>
      <c r="HM147" s="54" t="b">
        <f t="shared" si="332"/>
        <v>1</v>
      </c>
      <c r="HN147" s="54">
        <f t="shared" si="333"/>
        <v>0.36621134988680171</v>
      </c>
      <c r="HO147" s="54">
        <f t="shared" si="334"/>
        <v>0.36621134988680171</v>
      </c>
      <c r="HP147" s="54" t="e">
        <f t="shared" si="335"/>
        <v>#N/A</v>
      </c>
      <c r="HQ147" s="72" t="str">
        <f t="shared" si="336"/>
        <v/>
      </c>
    </row>
    <row r="148" spans="71:225" x14ac:dyDescent="0.2">
      <c r="BS148" s="54">
        <f t="shared" si="263"/>
        <v>138</v>
      </c>
      <c r="BT148" s="54">
        <f>Eu_tabel_g[[#This Row],[Indeks]]+1</f>
        <v>139</v>
      </c>
      <c r="BU148" s="54">
        <f t="shared" si="264"/>
        <v>0.2155976027558939</v>
      </c>
      <c r="BV148" s="54">
        <f t="shared" si="265"/>
        <v>0.38977731256446624</v>
      </c>
      <c r="BW148" s="54" t="e">
        <f t="shared" si="266"/>
        <v>#N/A</v>
      </c>
      <c r="BX148" s="54" t="e">
        <f t="shared" si="267"/>
        <v>#N/A</v>
      </c>
      <c r="BY148" s="54" t="e">
        <f t="shared" si="268"/>
        <v>#N/A</v>
      </c>
      <c r="BZ148" s="54" t="b">
        <f t="shared" si="269"/>
        <v>0</v>
      </c>
      <c r="CA148" s="54" t="b">
        <f t="shared" si="270"/>
        <v>1</v>
      </c>
      <c r="CB148" s="54" t="b">
        <f t="shared" si="271"/>
        <v>0</v>
      </c>
      <c r="CC148" s="54" t="b">
        <f t="shared" si="272"/>
        <v>1</v>
      </c>
      <c r="CD148" s="54">
        <f t="shared" si="239"/>
        <v>0.38977731256446624</v>
      </c>
      <c r="CE148" s="54" t="e">
        <f t="shared" si="273"/>
        <v>#N/A</v>
      </c>
      <c r="CF148" s="54">
        <f t="shared" si="274"/>
        <v>0.38977731256446624</v>
      </c>
      <c r="CG148" s="72" t="str">
        <f t="shared" si="275"/>
        <v/>
      </c>
      <c r="CH148" s="54">
        <f>_xlfn.NORM.DIST(_xlfn.NORM.INV(1-Eu_g_konfidensniveau,0,1)-Eu_tabel_g[[#This Row],[x base]],0,1,TRUE)</f>
        <v>3.1410856206144755E-2</v>
      </c>
      <c r="CI148" s="54">
        <f>1-_xlfn.NORM.DIST(_xlfn.NORM.INV(Eu_g_konfidensniveau,0,1)-Eu_tabel_g[[#This Row],[x base]],0,1,TRUE)</f>
        <v>7.6465330252738495E-2</v>
      </c>
      <c r="CJ148" s="54">
        <f>_xlfn.NORM.DIST(_xlfn.NORM.INV((1-Eu_g_konfidensniveau)/2,0,1)-Eu_tabel_g[[#This Row],[x base]],0,1,TRUE)+1-_xlfn.NORM.DIST(_xlfn.NORM.INV(1-(1-Eu_g_konfidensniveau)/2,0,1)-Eu_tabel_g[[#This Row],[x base]],0,1,TRUE)</f>
        <v>5.5341640730241948E-2</v>
      </c>
      <c r="CK148" s="54" t="e" cm="1">
        <f t="array" ref="CK148">IF($CK$3,INDEX(Eu_tabel_g[[#This Row],[Styrke venstre]:[Styrke tosidet]],CK$7),NA())</f>
        <v>#N/A</v>
      </c>
      <c r="CL148" s="99" t="e">
        <f>Eu_tabel_g[[#This Row],[Falsk positiv
Nulhypotese accepteres
Fejltype 1]]</f>
        <v>#N/A</v>
      </c>
      <c r="CM148" s="99" t="e">
        <f>IF(CHOOSE(CK$7,Eu_tabel_g[[#This Row],[x base]]&gt;0,Eu_tabel_g[[#This Row],[x base]]&lt;0,Eu_tabel_g[[#This Row],[x base]]=0),Eu_tabel_g[[#This Row],[Styrke, aktiv]],NA())</f>
        <v>#N/A</v>
      </c>
      <c r="CN148" s="99" t="e">
        <f>IFERROR(IF($CK$3,Eu_tabel_g[[#This Row],[Styrke, aktiv]],NA()),NA())</f>
        <v>#N/A</v>
      </c>
      <c r="CO148" s="99" t="e">
        <f>IF(ISNA(Eu_tabel_g[[#This Row],[Sand negativ
Nulhypotese afvises
Korrekt]]),NA(),IF($CK$3,1,NA()))</f>
        <v>#N/A</v>
      </c>
      <c r="CP148" s="56" t="str" cm="1">
        <f t="array" ref="CP148">_xlfn.SWITCH(BS148,_xlfn.IFNA(CN$2,-99),CN$5,_xlfn.IFNA(CN$3,-99),CN$6,_xlfn.IFNA(CN$4,-99),CN$7,"")</f>
        <v/>
      </c>
      <c r="CT148" s="7">
        <f t="shared" si="276"/>
        <v>0.8</v>
      </c>
      <c r="CU148">
        <f>IF(ROW(Styrkeberegning_G[[#This Row],[X base venstre]])=ROW(Styrkeberegning_G[[#Headers],[X base venstre]])+1,CU$7/(CT$7/$B$67),CU147/(CT147/$B$67))</f>
        <v>-2.8015817870135784</v>
      </c>
      <c r="CV148">
        <f>Styrkeberegning_G[[#This Row],[X base venstre]]*-1</f>
        <v>2.8015817870135784</v>
      </c>
      <c r="DG148" s="54">
        <f t="shared" si="277"/>
        <v>138</v>
      </c>
      <c r="DH148" s="54">
        <f t="shared" si="278"/>
        <v>139</v>
      </c>
      <c r="DI148" s="54">
        <f t="shared" si="279"/>
        <v>17.575630850199829</v>
      </c>
      <c r="DJ148" s="54" t="e">
        <f t="shared" si="280"/>
        <v>#N/A</v>
      </c>
      <c r="DK148" s="54" t="e">
        <f t="shared" si="281"/>
        <v>#N/A</v>
      </c>
      <c r="DL148" s="54">
        <f t="shared" si="282"/>
        <v>2.5767818961322256E-2</v>
      </c>
      <c r="DM148" s="54" t="e">
        <f t="shared" si="283"/>
        <v>#N/A</v>
      </c>
      <c r="DN148" s="54" t="b">
        <f t="shared" si="284"/>
        <v>0</v>
      </c>
      <c r="DO148" s="54" t="b">
        <f t="shared" si="285"/>
        <v>1</v>
      </c>
      <c r="DP148" s="54" t="b">
        <f t="shared" si="286"/>
        <v>0</v>
      </c>
      <c r="DQ148" s="54" t="b">
        <f t="shared" si="287"/>
        <v>1</v>
      </c>
      <c r="DR148" s="54">
        <f t="shared" si="288"/>
        <v>2.5767818961322256E-2</v>
      </c>
      <c r="DS148" s="54" t="e">
        <f t="shared" si="289"/>
        <v>#N/A</v>
      </c>
      <c r="DT148" s="54">
        <f t="shared" si="290"/>
        <v>2.5767818961322256E-2</v>
      </c>
      <c r="DU148" s="72" t="str">
        <f t="shared" si="291"/>
        <v/>
      </c>
      <c r="DZ148" s="54">
        <f t="shared" si="292"/>
        <v>138</v>
      </c>
      <c r="EA148" s="54">
        <f t="shared" si="293"/>
        <v>139</v>
      </c>
      <c r="EB148" s="54">
        <f t="shared" si="294"/>
        <v>0.2155976027558939</v>
      </c>
      <c r="EC148" s="54">
        <f t="shared" si="295"/>
        <v>0.38977731256446624</v>
      </c>
      <c r="ED148" s="54" t="e">
        <f t="shared" si="296"/>
        <v>#N/A</v>
      </c>
      <c r="EE148" s="54" t="e">
        <f t="shared" si="297"/>
        <v>#N/A</v>
      </c>
      <c r="EF148" s="54" t="e">
        <f t="shared" si="298"/>
        <v>#N/A</v>
      </c>
      <c r="EG148" s="54" t="b">
        <f t="shared" si="299"/>
        <v>0</v>
      </c>
      <c r="EH148" s="54" t="b">
        <f t="shared" si="300"/>
        <v>1</v>
      </c>
      <c r="EI148" s="54" t="b">
        <f t="shared" si="301"/>
        <v>0</v>
      </c>
      <c r="EJ148" s="54" t="b">
        <f t="shared" si="302"/>
        <v>1</v>
      </c>
      <c r="EK148" s="54">
        <f t="shared" si="303"/>
        <v>0.38977731256446624</v>
      </c>
      <c r="EL148" s="54" t="e">
        <f t="shared" si="304"/>
        <v>#N/A</v>
      </c>
      <c r="EM148" s="54">
        <f t="shared" si="305"/>
        <v>0.38977731256446624</v>
      </c>
      <c r="EN148" s="72" t="str">
        <f t="shared" si="306"/>
        <v/>
      </c>
      <c r="EO14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4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4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48" s="54" t="e" cm="1">
        <f t="array" ref="ER148">IF($CK$3,INDEX(Eu_tabel_a[[#This Row],[Styrke venstre]:[Styrke tosidet]],ER$7),NA())</f>
        <v>#N/A</v>
      </c>
      <c r="ES148" s="54" t="e">
        <f>IF(ER$3,IF(CHOOSE(ER$7,Eu_tabel_a[[#This Row],[x base]]&gt;0,Eu_tabel_a[[#This Row],[x base]]&lt;0,Eu_tabel_a[[#This Row],[x base]]=0),1,NA()),NA())</f>
        <v>#N/A</v>
      </c>
      <c r="ET148" s="54" t="e">
        <f>IF(CHOOSE(ER$7,Eu_tabel_a[[#This Row],[x base]]&gt;0,Eu_tabel_a[[#This Row],[x base]]&lt;0,Eu_tabel_a[[#This Row],[x base]]=0),Eu_tabel_a[[#This Row],[Styrke, aktiv]],NA())</f>
        <v>#N/A</v>
      </c>
      <c r="EU148" s="54" t="e">
        <f>IFERROR(IF($ER$3,Eu_tabel_a[[#This Row],[Styrke, aktiv]],NA()),NA())</f>
        <v>#N/A</v>
      </c>
      <c r="EV148" s="54" t="e">
        <f>IF(ISNA(Eu_tabel_a[[#This Row],[Sand negativ
Nulhypotese afvises
Korrekt]]),NA(),IF(ER$3,1,NA()))</f>
        <v>#N/A</v>
      </c>
      <c r="EW148" s="55" t="str" cm="1">
        <f t="array" ref="EW148">IFERROR(_xlfn.SWITCH(Eu_tabel_a[[#This Row],[Indeks]],_xlfn.IFNA(EU$2,-99),EU$5,_xlfn.IFNA(EU$3,-99),EU$6,_xlfn.IFNA(EU$4,-99),EU$7,""),"")</f>
        <v/>
      </c>
      <c r="EX148" s="54">
        <f>Eu_tabel_a[[#This Row],[x base]]*SQRT(Eu_a_h0_x*(1-Eu_a_h0_x)/Eu_a_n_x)+Eu_a_h0_x</f>
        <v>0</v>
      </c>
      <c r="FC148" s="161" t="e">
        <f t="shared" si="250"/>
        <v>#N/A</v>
      </c>
      <c r="FD148" s="169" t="e">
        <f t="shared" si="234"/>
        <v>#DIV/0!</v>
      </c>
      <c r="FE148" s="7" t="e">
        <f t="shared" si="244"/>
        <v>#DIV/0!</v>
      </c>
      <c r="FF148" t="e">
        <f t="shared" si="235"/>
        <v>#DIV/0!</v>
      </c>
      <c r="FG148" s="8" t="e">
        <f t="shared" si="236"/>
        <v>#DIV/0!</v>
      </c>
      <c r="FH148" s="8" t="e">
        <f t="shared" si="237"/>
        <v>#DIV/0!</v>
      </c>
      <c r="FI148" s="168" t="e">
        <f t="shared" si="238"/>
        <v>#DIV/0!</v>
      </c>
      <c r="FJ148" s="161" t="e">
        <f t="shared" ca="1" si="245"/>
        <v>#N/A</v>
      </c>
      <c r="FK148" s="169" t="e" vm="3">
        <f t="shared" ca="1" si="251"/>
        <v>#VALUE!</v>
      </c>
      <c r="FL148" s="7" t="e" vm="3">
        <f t="shared" ca="1" si="246"/>
        <v>#VALUE!</v>
      </c>
      <c r="FM148" t="e" vm="3">
        <f t="shared" ca="1" si="240"/>
        <v>#VALUE!</v>
      </c>
      <c r="FN148" s="8" t="e" vm="3">
        <f t="shared" ca="1" si="241"/>
        <v>#VALUE!</v>
      </c>
      <c r="FO148" s="8" t="e" vm="3">
        <f t="shared" ca="1" si="242"/>
        <v>#VALUE!</v>
      </c>
      <c r="FP148" s="168" t="e" vm="3">
        <f t="shared" ca="1" si="243"/>
        <v>#VALUE!</v>
      </c>
      <c r="FQ148" s="161" t="e">
        <f t="shared" si="247"/>
        <v>#N/A</v>
      </c>
      <c r="FR148" s="169" t="e">
        <f t="shared" si="252"/>
        <v>#N/A</v>
      </c>
      <c r="FS148" s="7" t="e">
        <f t="shared" si="248"/>
        <v>#N/A</v>
      </c>
      <c r="FT148" t="e">
        <f t="shared" si="253"/>
        <v>#N/A</v>
      </c>
      <c r="FU148" s="8" t="e">
        <f t="shared" si="254"/>
        <v>#N/A</v>
      </c>
      <c r="FV148" s="8" t="e">
        <f t="shared" si="255"/>
        <v>#N/A</v>
      </c>
      <c r="FW148" s="168" t="e">
        <f t="shared" si="256"/>
        <v>#N/A</v>
      </c>
      <c r="FX148" s="161" t="e">
        <f t="shared" si="257"/>
        <v>#N/A</v>
      </c>
      <c r="FY148" s="169" t="e">
        <f t="shared" si="258"/>
        <v>#N/A</v>
      </c>
      <c r="FZ148" s="7" t="e">
        <f t="shared" si="249"/>
        <v>#N/A</v>
      </c>
      <c r="GA148" t="e">
        <f t="shared" si="259"/>
        <v>#N/A</v>
      </c>
      <c r="GB148" s="8" t="e">
        <f t="shared" si="260"/>
        <v>#N/A</v>
      </c>
      <c r="GC148" s="8" t="e">
        <f t="shared" si="261"/>
        <v>#N/A</v>
      </c>
      <c r="GD148" s="168" t="e">
        <f t="shared" si="262"/>
        <v>#N/A</v>
      </c>
      <c r="GE148" s="168"/>
      <c r="GF148" s="168"/>
      <c r="GI148" s="54">
        <f t="shared" si="307"/>
        <v>138</v>
      </c>
      <c r="GJ148" s="54">
        <f t="shared" si="308"/>
        <v>139</v>
      </c>
      <c r="GK148" s="54">
        <f t="shared" si="309"/>
        <v>0.2155976027558939</v>
      </c>
      <c r="GL148" s="54">
        <f t="shared" si="310"/>
        <v>0.38977731256446624</v>
      </c>
      <c r="GM148" s="54" t="e">
        <f t="shared" si="311"/>
        <v>#N/A</v>
      </c>
      <c r="GN148" s="54" t="e">
        <f t="shared" si="312"/>
        <v>#N/A</v>
      </c>
      <c r="GO148" s="54" t="e">
        <f t="shared" si="313"/>
        <v>#N/A</v>
      </c>
      <c r="GP148" s="54" t="b">
        <f t="shared" si="314"/>
        <v>0</v>
      </c>
      <c r="GQ148" s="54" t="b">
        <f t="shared" si="315"/>
        <v>1</v>
      </c>
      <c r="GR148" s="54" t="b">
        <f t="shared" si="316"/>
        <v>0</v>
      </c>
      <c r="GS148" s="54" t="b">
        <f t="shared" si="317"/>
        <v>1</v>
      </c>
      <c r="GT148" s="54">
        <f t="shared" si="318"/>
        <v>0.38977731256446624</v>
      </c>
      <c r="GU148" s="54" t="e">
        <f t="shared" si="319"/>
        <v>#N/A</v>
      </c>
      <c r="GV148" s="54">
        <f t="shared" si="320"/>
        <v>0.38977731256446624</v>
      </c>
      <c r="GW148" s="72" t="str">
        <f t="shared" si="321"/>
        <v/>
      </c>
      <c r="HC148" s="54">
        <f t="shared" si="322"/>
        <v>138</v>
      </c>
      <c r="HD148" s="54">
        <f t="shared" si="323"/>
        <v>139</v>
      </c>
      <c r="HE148" s="54">
        <f t="shared" si="324"/>
        <v>0.33385741595151153</v>
      </c>
      <c r="HF148" s="54" t="e">
        <f t="shared" si="325"/>
        <v>#N/A</v>
      </c>
      <c r="HG148" s="54">
        <f t="shared" si="326"/>
        <v>0.36141649529983938</v>
      </c>
      <c r="HH148" s="54" t="e">
        <f t="shared" si="327"/>
        <v>#N/A</v>
      </c>
      <c r="HI148" s="54" t="e">
        <f t="shared" si="328"/>
        <v>#N/A</v>
      </c>
      <c r="HJ148" s="54" t="b">
        <f t="shared" si="329"/>
        <v>1</v>
      </c>
      <c r="HK148" s="54" t="b">
        <f t="shared" si="330"/>
        <v>0</v>
      </c>
      <c r="HL148" s="54" t="b">
        <f t="shared" si="331"/>
        <v>0</v>
      </c>
      <c r="HM148" s="54" t="b">
        <f t="shared" si="332"/>
        <v>1</v>
      </c>
      <c r="HN148" s="54">
        <f t="shared" si="333"/>
        <v>0.36141649529983938</v>
      </c>
      <c r="HO148" s="54">
        <f t="shared" si="334"/>
        <v>0.36141649529983938</v>
      </c>
      <c r="HP148" s="54" t="e">
        <f t="shared" si="335"/>
        <v>#N/A</v>
      </c>
      <c r="HQ148" s="72" t="str">
        <f t="shared" si="336"/>
        <v/>
      </c>
    </row>
    <row r="149" spans="71:225" x14ac:dyDescent="0.2">
      <c r="BS149" s="54">
        <f t="shared" si="263"/>
        <v>139</v>
      </c>
      <c r="BT149" s="54">
        <f>Eu_tabel_g[[#This Row],[Indeks]]+1</f>
        <v>140</v>
      </c>
      <c r="BU149" s="54">
        <f t="shared" si="264"/>
        <v>0.23955289195099327</v>
      </c>
      <c r="BV149" s="54">
        <f t="shared" si="265"/>
        <v>0.38765817217124104</v>
      </c>
      <c r="BW149" s="54" t="e">
        <f t="shared" si="266"/>
        <v>#N/A</v>
      </c>
      <c r="BX149" s="54" t="e">
        <f t="shared" si="267"/>
        <v>#N/A</v>
      </c>
      <c r="BY149" s="54" t="e">
        <f t="shared" si="268"/>
        <v>#N/A</v>
      </c>
      <c r="BZ149" s="54" t="b">
        <f t="shared" si="269"/>
        <v>0</v>
      </c>
      <c r="CA149" s="54" t="b">
        <f t="shared" si="270"/>
        <v>1</v>
      </c>
      <c r="CB149" s="54" t="b">
        <f t="shared" si="271"/>
        <v>0</v>
      </c>
      <c r="CC149" s="54" t="b">
        <f t="shared" si="272"/>
        <v>1</v>
      </c>
      <c r="CD149" s="54">
        <f t="shared" si="239"/>
        <v>0.38765817217124104</v>
      </c>
      <c r="CE149" s="54" t="e">
        <f t="shared" si="273"/>
        <v>#N/A</v>
      </c>
      <c r="CF149" s="54">
        <f t="shared" si="274"/>
        <v>0.38765817217124104</v>
      </c>
      <c r="CG149" s="72" t="str">
        <f t="shared" si="275"/>
        <v/>
      </c>
      <c r="CH149" s="54">
        <f>_xlfn.NORM.DIST(_xlfn.NORM.INV(1-Eu_g_konfidensniveau,0,1)-Eu_tabel_g[[#This Row],[x base]],0,1,TRUE)</f>
        <v>2.9755004368531696E-2</v>
      </c>
      <c r="CI149" s="54">
        <f>1-_xlfn.NORM.DIST(_xlfn.NORM.INV(Eu_g_konfidensniveau,0,1)-Eu_tabel_g[[#This Row],[x base]],0,1,TRUE)</f>
        <v>7.9965934948739603E-2</v>
      </c>
      <c r="CJ149" s="54">
        <f>_xlfn.NORM.DIST(_xlfn.NORM.INV((1-Eu_g_konfidensniveau)/2,0,1)-Eu_tabel_g[[#This Row],[x base]],0,1,TRUE)+1-_xlfn.NORM.DIST(_xlfn.NORM.INV(1-(1-Eu_g_konfidensniveau)/2,0,1)-Eu_tabel_g[[#This Row],[x base]],0,1,TRUE)</f>
        <v>5.6599466268945853E-2</v>
      </c>
      <c r="CK149" s="54" t="e" cm="1">
        <f t="array" ref="CK149">IF($CK$3,INDEX(Eu_tabel_g[[#This Row],[Styrke venstre]:[Styrke tosidet]],CK$7),NA())</f>
        <v>#N/A</v>
      </c>
      <c r="CL149" s="99" t="e">
        <f>Eu_tabel_g[[#This Row],[Falsk positiv
Nulhypotese accepteres
Fejltype 1]]</f>
        <v>#N/A</v>
      </c>
      <c r="CM149" s="99" t="e">
        <f>IF(CHOOSE(CK$7,Eu_tabel_g[[#This Row],[x base]]&gt;0,Eu_tabel_g[[#This Row],[x base]]&lt;0,Eu_tabel_g[[#This Row],[x base]]=0),Eu_tabel_g[[#This Row],[Styrke, aktiv]],NA())</f>
        <v>#N/A</v>
      </c>
      <c r="CN149" s="99" t="e">
        <f>IFERROR(IF($CK$3,Eu_tabel_g[[#This Row],[Styrke, aktiv]],NA()),NA())</f>
        <v>#N/A</v>
      </c>
      <c r="CO149" s="99" t="e">
        <f>IF(ISNA(Eu_tabel_g[[#This Row],[Sand negativ
Nulhypotese afvises
Korrekt]]),NA(),IF($CK$3,1,NA()))</f>
        <v>#N/A</v>
      </c>
      <c r="CP149" s="56" t="str" cm="1">
        <f t="array" ref="CP149">_xlfn.SWITCH(BS149,_xlfn.IFNA(CN$2,-99),CN$5,_xlfn.IFNA(CN$3,-99),CN$6,_xlfn.IFNA(CN$4,-99),CN$7,"")</f>
        <v/>
      </c>
      <c r="CT149" s="7">
        <f t="shared" si="276"/>
        <v>0.8</v>
      </c>
      <c r="CU149">
        <f>IF(ROW(Styrkeberegning_G[[#This Row],[X base venstre]])=ROW(Styrkeberegning_G[[#Headers],[X base venstre]])+1,CU$7/(CT$7/$B$67),CU148/(CT148/$B$67))</f>
        <v>-2.8015817870135784</v>
      </c>
      <c r="CV149">
        <f>Styrkeberegning_G[[#This Row],[X base venstre]]*-1</f>
        <v>2.8015817870135784</v>
      </c>
      <c r="DG149" s="54">
        <f t="shared" si="277"/>
        <v>139</v>
      </c>
      <c r="DH149" s="54">
        <f t="shared" si="278"/>
        <v>140</v>
      </c>
      <c r="DI149" s="54">
        <f t="shared" si="279"/>
        <v>17.68970170661683</v>
      </c>
      <c r="DJ149" s="54" t="e">
        <f t="shared" si="280"/>
        <v>#N/A</v>
      </c>
      <c r="DK149" s="54" t="e">
        <f t="shared" si="281"/>
        <v>#N/A</v>
      </c>
      <c r="DL149" s="54">
        <f t="shared" si="282"/>
        <v>2.5058243893553676E-2</v>
      </c>
      <c r="DM149" s="54" t="e">
        <f t="shared" si="283"/>
        <v>#N/A</v>
      </c>
      <c r="DN149" s="54" t="b">
        <f t="shared" si="284"/>
        <v>0</v>
      </c>
      <c r="DO149" s="54" t="b">
        <f t="shared" si="285"/>
        <v>1</v>
      </c>
      <c r="DP149" s="54" t="b">
        <f t="shared" si="286"/>
        <v>0</v>
      </c>
      <c r="DQ149" s="54" t="b">
        <f t="shared" si="287"/>
        <v>1</v>
      </c>
      <c r="DR149" s="54">
        <f t="shared" si="288"/>
        <v>2.5058243893553676E-2</v>
      </c>
      <c r="DS149" s="54" t="e">
        <f t="shared" si="289"/>
        <v>#N/A</v>
      </c>
      <c r="DT149" s="54">
        <f t="shared" si="290"/>
        <v>2.5058243893553676E-2</v>
      </c>
      <c r="DU149" s="72" t="str">
        <f t="shared" si="291"/>
        <v/>
      </c>
      <c r="DZ149" s="54">
        <f t="shared" si="292"/>
        <v>139</v>
      </c>
      <c r="EA149" s="54">
        <f t="shared" si="293"/>
        <v>140</v>
      </c>
      <c r="EB149" s="54">
        <f t="shared" si="294"/>
        <v>0.23955289195099327</v>
      </c>
      <c r="EC149" s="54">
        <f t="shared" si="295"/>
        <v>0.38765817217124104</v>
      </c>
      <c r="ED149" s="54" t="e">
        <f t="shared" si="296"/>
        <v>#N/A</v>
      </c>
      <c r="EE149" s="54" t="e">
        <f t="shared" si="297"/>
        <v>#N/A</v>
      </c>
      <c r="EF149" s="54" t="e">
        <f t="shared" si="298"/>
        <v>#N/A</v>
      </c>
      <c r="EG149" s="54" t="b">
        <f t="shared" si="299"/>
        <v>0</v>
      </c>
      <c r="EH149" s="54" t="b">
        <f t="shared" si="300"/>
        <v>1</v>
      </c>
      <c r="EI149" s="54" t="b">
        <f t="shared" si="301"/>
        <v>0</v>
      </c>
      <c r="EJ149" s="54" t="b">
        <f t="shared" si="302"/>
        <v>1</v>
      </c>
      <c r="EK149" s="54">
        <f t="shared" si="303"/>
        <v>0.38765817217124104</v>
      </c>
      <c r="EL149" s="54" t="e">
        <f t="shared" si="304"/>
        <v>#N/A</v>
      </c>
      <c r="EM149" s="54">
        <f t="shared" si="305"/>
        <v>0.38765817217124104</v>
      </c>
      <c r="EN149" s="72" t="str">
        <f t="shared" si="306"/>
        <v/>
      </c>
      <c r="EO14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4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4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49" s="54" t="e" cm="1">
        <f t="array" ref="ER149">IF($CK$3,INDEX(Eu_tabel_a[[#This Row],[Styrke venstre]:[Styrke tosidet]],ER$7),NA())</f>
        <v>#N/A</v>
      </c>
      <c r="ES149" s="54" t="e">
        <f>IF(ER$3,IF(CHOOSE(ER$7,Eu_tabel_a[[#This Row],[x base]]&gt;0,Eu_tabel_a[[#This Row],[x base]]&lt;0,Eu_tabel_a[[#This Row],[x base]]=0),1,NA()),NA())</f>
        <v>#N/A</v>
      </c>
      <c r="ET149" s="54" t="e">
        <f>IF(CHOOSE(ER$7,Eu_tabel_a[[#This Row],[x base]]&gt;0,Eu_tabel_a[[#This Row],[x base]]&lt;0,Eu_tabel_a[[#This Row],[x base]]=0),Eu_tabel_a[[#This Row],[Styrke, aktiv]],NA())</f>
        <v>#N/A</v>
      </c>
      <c r="EU149" s="54" t="e">
        <f>IFERROR(IF($ER$3,Eu_tabel_a[[#This Row],[Styrke, aktiv]],NA()),NA())</f>
        <v>#N/A</v>
      </c>
      <c r="EV149" s="54" t="e">
        <f>IF(ISNA(Eu_tabel_a[[#This Row],[Sand negativ
Nulhypotese afvises
Korrekt]]),NA(),IF(ER$3,1,NA()))</f>
        <v>#N/A</v>
      </c>
      <c r="EW149" s="55" t="str" cm="1">
        <f t="array" ref="EW149">IFERROR(_xlfn.SWITCH(Eu_tabel_a[[#This Row],[Indeks]],_xlfn.IFNA(EU$2,-99),EU$5,_xlfn.IFNA(EU$3,-99),EU$6,_xlfn.IFNA(EU$4,-99),EU$7,""),"")</f>
        <v/>
      </c>
      <c r="EX149" s="54">
        <f>Eu_tabel_a[[#This Row],[x base]]*SQRT(Eu_a_h0_x*(1-Eu_a_h0_x)/Eu_a_n_x)+Eu_a_h0_x</f>
        <v>0</v>
      </c>
      <c r="FC149" s="161" t="e">
        <f t="shared" si="250"/>
        <v>#N/A</v>
      </c>
      <c r="FD149" s="169" t="e">
        <f t="shared" si="234"/>
        <v>#DIV/0!</v>
      </c>
      <c r="FE149" s="7" t="e">
        <f t="shared" si="244"/>
        <v>#DIV/0!</v>
      </c>
      <c r="FF149" t="e">
        <f t="shared" si="235"/>
        <v>#DIV/0!</v>
      </c>
      <c r="FG149" s="8" t="e">
        <f t="shared" si="236"/>
        <v>#DIV/0!</v>
      </c>
      <c r="FH149" s="8" t="e">
        <f t="shared" si="237"/>
        <v>#DIV/0!</v>
      </c>
      <c r="FI149" s="168" t="e">
        <f t="shared" si="238"/>
        <v>#DIV/0!</v>
      </c>
      <c r="FJ149" s="161" t="e">
        <f t="shared" ca="1" si="245"/>
        <v>#N/A</v>
      </c>
      <c r="FK149" s="169" t="e" vm="3">
        <f t="shared" ca="1" si="251"/>
        <v>#VALUE!</v>
      </c>
      <c r="FL149" s="7" t="e" vm="3">
        <f t="shared" ca="1" si="246"/>
        <v>#VALUE!</v>
      </c>
      <c r="FM149" t="e" vm="3">
        <f t="shared" ca="1" si="240"/>
        <v>#VALUE!</v>
      </c>
      <c r="FN149" s="8" t="e" vm="3">
        <f t="shared" ca="1" si="241"/>
        <v>#VALUE!</v>
      </c>
      <c r="FO149" s="8" t="e" vm="3">
        <f t="shared" ca="1" si="242"/>
        <v>#VALUE!</v>
      </c>
      <c r="FP149" s="168" t="e" vm="3">
        <f t="shared" ca="1" si="243"/>
        <v>#VALUE!</v>
      </c>
      <c r="FQ149" s="161" t="e">
        <f t="shared" si="247"/>
        <v>#N/A</v>
      </c>
      <c r="FR149" s="169" t="e">
        <f t="shared" si="252"/>
        <v>#N/A</v>
      </c>
      <c r="FS149" s="7" t="e">
        <f t="shared" si="248"/>
        <v>#N/A</v>
      </c>
      <c r="FT149" t="e">
        <f t="shared" si="253"/>
        <v>#N/A</v>
      </c>
      <c r="FU149" s="8" t="e">
        <f t="shared" si="254"/>
        <v>#N/A</v>
      </c>
      <c r="FV149" s="8" t="e">
        <f t="shared" si="255"/>
        <v>#N/A</v>
      </c>
      <c r="FW149" s="168" t="e">
        <f t="shared" si="256"/>
        <v>#N/A</v>
      </c>
      <c r="FX149" s="161" t="e">
        <f t="shared" si="257"/>
        <v>#N/A</v>
      </c>
      <c r="FY149" s="169" t="e">
        <f t="shared" si="258"/>
        <v>#N/A</v>
      </c>
      <c r="FZ149" s="7" t="e">
        <f t="shared" si="249"/>
        <v>#N/A</v>
      </c>
      <c r="GA149" t="e">
        <f t="shared" si="259"/>
        <v>#N/A</v>
      </c>
      <c r="GB149" s="8" t="e">
        <f t="shared" si="260"/>
        <v>#N/A</v>
      </c>
      <c r="GC149" s="8" t="e">
        <f t="shared" si="261"/>
        <v>#N/A</v>
      </c>
      <c r="GD149" s="168" t="e">
        <f t="shared" si="262"/>
        <v>#N/A</v>
      </c>
      <c r="GE149" s="168"/>
      <c r="GF149" s="168"/>
      <c r="GI149" s="54">
        <f t="shared" si="307"/>
        <v>139</v>
      </c>
      <c r="GJ149" s="54">
        <f t="shared" si="308"/>
        <v>140</v>
      </c>
      <c r="GK149" s="54">
        <f t="shared" si="309"/>
        <v>0.23955289195099327</v>
      </c>
      <c r="GL149" s="54">
        <f t="shared" si="310"/>
        <v>0.38765817217124104</v>
      </c>
      <c r="GM149" s="54" t="e">
        <f t="shared" si="311"/>
        <v>#N/A</v>
      </c>
      <c r="GN149" s="54" t="e">
        <f t="shared" si="312"/>
        <v>#N/A</v>
      </c>
      <c r="GO149" s="54" t="e">
        <f t="shared" si="313"/>
        <v>#N/A</v>
      </c>
      <c r="GP149" s="54" t="b">
        <f t="shared" si="314"/>
        <v>0</v>
      </c>
      <c r="GQ149" s="54" t="b">
        <f t="shared" si="315"/>
        <v>1</v>
      </c>
      <c r="GR149" s="54" t="b">
        <f t="shared" si="316"/>
        <v>0</v>
      </c>
      <c r="GS149" s="54" t="b">
        <f t="shared" si="317"/>
        <v>1</v>
      </c>
      <c r="GT149" s="54">
        <f t="shared" si="318"/>
        <v>0.38765817217124104</v>
      </c>
      <c r="GU149" s="54" t="e">
        <f t="shared" si="319"/>
        <v>#N/A</v>
      </c>
      <c r="GV149" s="54">
        <f t="shared" si="320"/>
        <v>0.38765817217124104</v>
      </c>
      <c r="GW149" s="72" t="str">
        <f t="shared" si="321"/>
        <v/>
      </c>
      <c r="HC149" s="54">
        <f t="shared" si="322"/>
        <v>139</v>
      </c>
      <c r="HD149" s="54">
        <f t="shared" si="323"/>
        <v>140</v>
      </c>
      <c r="HE149" s="54">
        <f t="shared" si="324"/>
        <v>0.37095268439056905</v>
      </c>
      <c r="HF149" s="54" t="e">
        <f t="shared" si="325"/>
        <v>#N/A</v>
      </c>
      <c r="HG149" s="54">
        <f t="shared" si="326"/>
        <v>0.35615003188924504</v>
      </c>
      <c r="HH149" s="54" t="e">
        <f t="shared" si="327"/>
        <v>#N/A</v>
      </c>
      <c r="HI149" s="54" t="e">
        <f t="shared" si="328"/>
        <v>#N/A</v>
      </c>
      <c r="HJ149" s="54" t="b">
        <f t="shared" si="329"/>
        <v>1</v>
      </c>
      <c r="HK149" s="54" t="b">
        <f t="shared" si="330"/>
        <v>0</v>
      </c>
      <c r="HL149" s="54" t="b">
        <f t="shared" si="331"/>
        <v>0</v>
      </c>
      <c r="HM149" s="54" t="b">
        <f t="shared" si="332"/>
        <v>1</v>
      </c>
      <c r="HN149" s="54">
        <f t="shared" si="333"/>
        <v>0.35615003188924504</v>
      </c>
      <c r="HO149" s="54">
        <f t="shared" si="334"/>
        <v>0.35615003188924504</v>
      </c>
      <c r="HP149" s="54" t="e">
        <f t="shared" si="335"/>
        <v>#N/A</v>
      </c>
      <c r="HQ149" s="72" t="str">
        <f t="shared" si="336"/>
        <v/>
      </c>
    </row>
    <row r="150" spans="71:225" x14ac:dyDescent="0.2">
      <c r="BS150" s="54">
        <f t="shared" si="263"/>
        <v>140</v>
      </c>
      <c r="BT150" s="54">
        <f>Eu_tabel_g[[#This Row],[Indeks]]+1</f>
        <v>141</v>
      </c>
      <c r="BU150" s="54">
        <f t="shared" si="264"/>
        <v>0.26350818114609265</v>
      </c>
      <c r="BV150" s="54">
        <f t="shared" si="265"/>
        <v>0.38532936613430413</v>
      </c>
      <c r="BW150" s="54" t="e">
        <f t="shared" si="266"/>
        <v>#N/A</v>
      </c>
      <c r="BX150" s="54" t="e">
        <f t="shared" si="267"/>
        <v>#N/A</v>
      </c>
      <c r="BY150" s="54" t="e">
        <f t="shared" si="268"/>
        <v>#N/A</v>
      </c>
      <c r="BZ150" s="54" t="b">
        <f t="shared" si="269"/>
        <v>0</v>
      </c>
      <c r="CA150" s="54" t="b">
        <f t="shared" si="270"/>
        <v>1</v>
      </c>
      <c r="CB150" s="54" t="b">
        <f t="shared" si="271"/>
        <v>0</v>
      </c>
      <c r="CC150" s="54" t="b">
        <f t="shared" si="272"/>
        <v>1</v>
      </c>
      <c r="CD150" s="54">
        <f t="shared" si="239"/>
        <v>0.38532936613430413</v>
      </c>
      <c r="CE150" s="54" t="e">
        <f t="shared" si="273"/>
        <v>#N/A</v>
      </c>
      <c r="CF150" s="54">
        <f t="shared" si="274"/>
        <v>0.38532936613430413</v>
      </c>
      <c r="CG150" s="72" t="str">
        <f t="shared" si="275"/>
        <v/>
      </c>
      <c r="CH150" s="54">
        <f>_xlfn.NORM.DIST(_xlfn.NORM.INV(1-Eu_g_konfidensniveau,0,1)-Eu_tabel_g[[#This Row],[x base]],0,1,TRUE)</f>
        <v>2.8172234747108612E-2</v>
      </c>
      <c r="CI150" s="54">
        <f>1-_xlfn.NORM.DIST(_xlfn.NORM.INV(Eu_g_konfidensniveau,0,1)-Eu_tabel_g[[#This Row],[x base]],0,1,TRUE)</f>
        <v>8.3586385571648658E-2</v>
      </c>
      <c r="CJ150" s="54">
        <f>_xlfn.NORM.DIST(_xlfn.NORM.INV((1-Eu_g_konfidensniveau)/2,0,1)-Eu_tabel_g[[#This Row],[x base]],0,1,TRUE)+1-_xlfn.NORM.DIST(_xlfn.NORM.INV(1-(1-Eu_g_konfidensniveau)/2,0,1)-Eu_tabel_g[[#This Row],[x base]],0,1,TRUE)</f>
        <v>5.7991785795311279E-2</v>
      </c>
      <c r="CK150" s="54" t="e" cm="1">
        <f t="array" ref="CK150">IF($CK$3,INDEX(Eu_tabel_g[[#This Row],[Styrke venstre]:[Styrke tosidet]],CK$7),NA())</f>
        <v>#N/A</v>
      </c>
      <c r="CL150" s="99" t="e">
        <f>Eu_tabel_g[[#This Row],[Falsk positiv
Nulhypotese accepteres
Fejltype 1]]</f>
        <v>#N/A</v>
      </c>
      <c r="CM150" s="99" t="e">
        <f>IF(CHOOSE(CK$7,Eu_tabel_g[[#This Row],[x base]]&gt;0,Eu_tabel_g[[#This Row],[x base]]&lt;0,Eu_tabel_g[[#This Row],[x base]]=0),Eu_tabel_g[[#This Row],[Styrke, aktiv]],NA())</f>
        <v>#N/A</v>
      </c>
      <c r="CN150" s="99" t="e">
        <f>IFERROR(IF($CK$3,Eu_tabel_g[[#This Row],[Styrke, aktiv]],NA()),NA())</f>
        <v>#N/A</v>
      </c>
      <c r="CO150" s="99" t="e">
        <f>IF(ISNA(Eu_tabel_g[[#This Row],[Sand negativ
Nulhypotese afvises
Korrekt]]),NA(),IF($CK$3,1,NA()))</f>
        <v>#N/A</v>
      </c>
      <c r="CP150" s="56" t="str" cm="1">
        <f t="array" ref="CP150">_xlfn.SWITCH(BS150,_xlfn.IFNA(CN$2,-99),CN$5,_xlfn.IFNA(CN$3,-99),CN$6,_xlfn.IFNA(CN$4,-99),CN$7,"")</f>
        <v/>
      </c>
      <c r="CT150" s="7">
        <f t="shared" si="276"/>
        <v>0.8</v>
      </c>
      <c r="CU150">
        <f>IF(ROW(Styrkeberegning_G[[#This Row],[X base venstre]])=ROW(Styrkeberegning_G[[#Headers],[X base venstre]])+1,CU$7/(CT$7/$B$67),CU149/(CT149/$B$67))</f>
        <v>-2.8015817870135784</v>
      </c>
      <c r="CV150">
        <f>Styrkeberegning_G[[#This Row],[X base venstre]]*-1</f>
        <v>2.8015817870135784</v>
      </c>
      <c r="DG150" s="54">
        <f t="shared" si="277"/>
        <v>140</v>
      </c>
      <c r="DH150" s="54">
        <f t="shared" si="278"/>
        <v>141</v>
      </c>
      <c r="DI150" s="54">
        <f t="shared" si="279"/>
        <v>17.803772563033831</v>
      </c>
      <c r="DJ150" s="54" t="e">
        <f t="shared" si="280"/>
        <v>#N/A</v>
      </c>
      <c r="DK150" s="54" t="e">
        <f t="shared" si="281"/>
        <v>#N/A</v>
      </c>
      <c r="DL150" s="54">
        <f t="shared" si="282"/>
        <v>2.4363649122558756E-2</v>
      </c>
      <c r="DM150" s="54" t="e">
        <f t="shared" si="283"/>
        <v>#N/A</v>
      </c>
      <c r="DN150" s="54" t="b">
        <f t="shared" si="284"/>
        <v>0</v>
      </c>
      <c r="DO150" s="54" t="b">
        <f t="shared" si="285"/>
        <v>1</v>
      </c>
      <c r="DP150" s="54" t="b">
        <f t="shared" si="286"/>
        <v>0</v>
      </c>
      <c r="DQ150" s="54" t="b">
        <f t="shared" si="287"/>
        <v>1</v>
      </c>
      <c r="DR150" s="54">
        <f t="shared" si="288"/>
        <v>2.4363649122558756E-2</v>
      </c>
      <c r="DS150" s="54" t="e">
        <f t="shared" si="289"/>
        <v>#N/A</v>
      </c>
      <c r="DT150" s="54">
        <f t="shared" si="290"/>
        <v>2.4363649122558756E-2</v>
      </c>
      <c r="DU150" s="72" t="str">
        <f t="shared" si="291"/>
        <v/>
      </c>
      <c r="DZ150" s="54">
        <f t="shared" si="292"/>
        <v>140</v>
      </c>
      <c r="EA150" s="54">
        <f t="shared" si="293"/>
        <v>141</v>
      </c>
      <c r="EB150" s="54">
        <f t="shared" si="294"/>
        <v>0.26350818114609265</v>
      </c>
      <c r="EC150" s="54">
        <f t="shared" si="295"/>
        <v>0.38532936613430413</v>
      </c>
      <c r="ED150" s="54" t="e">
        <f t="shared" si="296"/>
        <v>#N/A</v>
      </c>
      <c r="EE150" s="54" t="e">
        <f t="shared" si="297"/>
        <v>#N/A</v>
      </c>
      <c r="EF150" s="54" t="e">
        <f t="shared" si="298"/>
        <v>#N/A</v>
      </c>
      <c r="EG150" s="54" t="b">
        <f t="shared" si="299"/>
        <v>0</v>
      </c>
      <c r="EH150" s="54" t="b">
        <f t="shared" si="300"/>
        <v>1</v>
      </c>
      <c r="EI150" s="54" t="b">
        <f t="shared" si="301"/>
        <v>0</v>
      </c>
      <c r="EJ150" s="54" t="b">
        <f t="shared" si="302"/>
        <v>1</v>
      </c>
      <c r="EK150" s="54">
        <f t="shared" si="303"/>
        <v>0.38532936613430413</v>
      </c>
      <c r="EL150" s="54" t="e">
        <f t="shared" si="304"/>
        <v>#N/A</v>
      </c>
      <c r="EM150" s="54">
        <f t="shared" si="305"/>
        <v>0.38532936613430413</v>
      </c>
      <c r="EN150" s="72" t="str">
        <f t="shared" si="306"/>
        <v/>
      </c>
      <c r="EO15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5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5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50" s="54" t="e" cm="1">
        <f t="array" ref="ER150">IF($CK$3,INDEX(Eu_tabel_a[[#This Row],[Styrke venstre]:[Styrke tosidet]],ER$7),NA())</f>
        <v>#N/A</v>
      </c>
      <c r="ES150" s="54" t="e">
        <f>IF(ER$3,IF(CHOOSE(ER$7,Eu_tabel_a[[#This Row],[x base]]&gt;0,Eu_tabel_a[[#This Row],[x base]]&lt;0,Eu_tabel_a[[#This Row],[x base]]=0),1,NA()),NA())</f>
        <v>#N/A</v>
      </c>
      <c r="ET150" s="54" t="e">
        <f>IF(CHOOSE(ER$7,Eu_tabel_a[[#This Row],[x base]]&gt;0,Eu_tabel_a[[#This Row],[x base]]&lt;0,Eu_tabel_a[[#This Row],[x base]]=0),Eu_tabel_a[[#This Row],[Styrke, aktiv]],NA())</f>
        <v>#N/A</v>
      </c>
      <c r="EU150" s="54" t="e">
        <f>IFERROR(IF($ER$3,Eu_tabel_a[[#This Row],[Styrke, aktiv]],NA()),NA())</f>
        <v>#N/A</v>
      </c>
      <c r="EV150" s="54" t="e">
        <f>IF(ISNA(Eu_tabel_a[[#This Row],[Sand negativ
Nulhypotese afvises
Korrekt]]),NA(),IF(ER$3,1,NA()))</f>
        <v>#N/A</v>
      </c>
      <c r="EW150" s="55" t="str" cm="1">
        <f t="array" ref="EW150">IFERROR(_xlfn.SWITCH(Eu_tabel_a[[#This Row],[Indeks]],_xlfn.IFNA(EU$2,-99),EU$5,_xlfn.IFNA(EU$3,-99),EU$6,_xlfn.IFNA(EU$4,-99),EU$7,""),"")</f>
        <v/>
      </c>
      <c r="EX150" s="54">
        <f>Eu_tabel_a[[#This Row],[x base]]*SQRT(Eu_a_h0_x*(1-Eu_a_h0_x)/Eu_a_n_x)+Eu_a_h0_x</f>
        <v>0</v>
      </c>
      <c r="FC150" s="161" t="e">
        <f t="shared" si="250"/>
        <v>#N/A</v>
      </c>
      <c r="FD150" s="169" t="e">
        <f t="shared" si="234"/>
        <v>#DIV/0!</v>
      </c>
      <c r="FE150" s="7" t="e">
        <f t="shared" si="244"/>
        <v>#DIV/0!</v>
      </c>
      <c r="FF150" t="e">
        <f t="shared" si="235"/>
        <v>#DIV/0!</v>
      </c>
      <c r="FG150" s="8" t="e">
        <f t="shared" si="236"/>
        <v>#DIV/0!</v>
      </c>
      <c r="FH150" s="8" t="e">
        <f t="shared" si="237"/>
        <v>#DIV/0!</v>
      </c>
      <c r="FI150" s="168" t="e">
        <f t="shared" si="238"/>
        <v>#DIV/0!</v>
      </c>
      <c r="FJ150" s="161" t="e">
        <f t="shared" ca="1" si="245"/>
        <v>#N/A</v>
      </c>
      <c r="FK150" s="169" t="e" vm="3">
        <f t="shared" ca="1" si="251"/>
        <v>#VALUE!</v>
      </c>
      <c r="FL150" s="7" t="e" vm="3">
        <f t="shared" ca="1" si="246"/>
        <v>#VALUE!</v>
      </c>
      <c r="FM150" t="e" vm="3">
        <f t="shared" ca="1" si="240"/>
        <v>#VALUE!</v>
      </c>
      <c r="FN150" s="8" t="e" vm="3">
        <f t="shared" ca="1" si="241"/>
        <v>#VALUE!</v>
      </c>
      <c r="FO150" s="8" t="e" vm="3">
        <f t="shared" ca="1" si="242"/>
        <v>#VALUE!</v>
      </c>
      <c r="FP150" s="168" t="e" vm="3">
        <f t="shared" ca="1" si="243"/>
        <v>#VALUE!</v>
      </c>
      <c r="FQ150" s="161" t="e">
        <f t="shared" si="247"/>
        <v>#N/A</v>
      </c>
      <c r="FR150" s="169" t="e">
        <f t="shared" si="252"/>
        <v>#N/A</v>
      </c>
      <c r="FS150" s="7" t="e">
        <f t="shared" si="248"/>
        <v>#N/A</v>
      </c>
      <c r="FT150" t="e">
        <f t="shared" si="253"/>
        <v>#N/A</v>
      </c>
      <c r="FU150" s="8" t="e">
        <f t="shared" si="254"/>
        <v>#N/A</v>
      </c>
      <c r="FV150" s="8" t="e">
        <f t="shared" si="255"/>
        <v>#N/A</v>
      </c>
      <c r="FW150" s="168" t="e">
        <f t="shared" si="256"/>
        <v>#N/A</v>
      </c>
      <c r="FX150" s="161" t="e">
        <f t="shared" si="257"/>
        <v>#N/A</v>
      </c>
      <c r="FY150" s="169" t="e">
        <f t="shared" si="258"/>
        <v>#N/A</v>
      </c>
      <c r="FZ150" s="7" t="e">
        <f t="shared" si="249"/>
        <v>#N/A</v>
      </c>
      <c r="GA150" t="e">
        <f t="shared" si="259"/>
        <v>#N/A</v>
      </c>
      <c r="GB150" s="8" t="e">
        <f t="shared" si="260"/>
        <v>#N/A</v>
      </c>
      <c r="GC150" s="8" t="e">
        <f t="shared" si="261"/>
        <v>#N/A</v>
      </c>
      <c r="GD150" s="168" t="e">
        <f t="shared" si="262"/>
        <v>#N/A</v>
      </c>
      <c r="GE150" s="168"/>
      <c r="GF150" s="168"/>
      <c r="GI150" s="54">
        <f t="shared" si="307"/>
        <v>140</v>
      </c>
      <c r="GJ150" s="54">
        <f t="shared" si="308"/>
        <v>141</v>
      </c>
      <c r="GK150" s="54">
        <f t="shared" si="309"/>
        <v>0.26350818114609265</v>
      </c>
      <c r="GL150" s="54">
        <f t="shared" si="310"/>
        <v>0.38532936613430413</v>
      </c>
      <c r="GM150" s="54" t="e">
        <f t="shared" si="311"/>
        <v>#N/A</v>
      </c>
      <c r="GN150" s="54" t="e">
        <f t="shared" si="312"/>
        <v>#N/A</v>
      </c>
      <c r="GO150" s="54" t="e">
        <f t="shared" si="313"/>
        <v>#N/A</v>
      </c>
      <c r="GP150" s="54" t="b">
        <f t="shared" si="314"/>
        <v>0</v>
      </c>
      <c r="GQ150" s="54" t="b">
        <f t="shared" si="315"/>
        <v>1</v>
      </c>
      <c r="GR150" s="54" t="b">
        <f t="shared" si="316"/>
        <v>0</v>
      </c>
      <c r="GS150" s="54" t="b">
        <f t="shared" si="317"/>
        <v>1</v>
      </c>
      <c r="GT150" s="54">
        <f t="shared" si="318"/>
        <v>0.38532936613430413</v>
      </c>
      <c r="GU150" s="54" t="e">
        <f t="shared" si="319"/>
        <v>#N/A</v>
      </c>
      <c r="GV150" s="54">
        <f t="shared" si="320"/>
        <v>0.38532936613430413</v>
      </c>
      <c r="GW150" s="72" t="str">
        <f t="shared" si="321"/>
        <v/>
      </c>
      <c r="HC150" s="54">
        <f t="shared" si="322"/>
        <v>140</v>
      </c>
      <c r="HD150" s="54">
        <f t="shared" si="323"/>
        <v>141</v>
      </c>
      <c r="HE150" s="54">
        <f t="shared" si="324"/>
        <v>0.40804795282962569</v>
      </c>
      <c r="HF150" s="54" t="e">
        <f t="shared" si="325"/>
        <v>#N/A</v>
      </c>
      <c r="HG150" s="54">
        <f t="shared" si="326"/>
        <v>0.35044031794837688</v>
      </c>
      <c r="HH150" s="54" t="e">
        <f t="shared" si="327"/>
        <v>#N/A</v>
      </c>
      <c r="HI150" s="54" t="e">
        <f t="shared" si="328"/>
        <v>#N/A</v>
      </c>
      <c r="HJ150" s="54" t="b">
        <f t="shared" si="329"/>
        <v>1</v>
      </c>
      <c r="HK150" s="54" t="b">
        <f t="shared" si="330"/>
        <v>0</v>
      </c>
      <c r="HL150" s="54" t="b">
        <f t="shared" si="331"/>
        <v>0</v>
      </c>
      <c r="HM150" s="54" t="b">
        <f t="shared" si="332"/>
        <v>1</v>
      </c>
      <c r="HN150" s="54">
        <f t="shared" si="333"/>
        <v>0.35044031794837688</v>
      </c>
      <c r="HO150" s="54">
        <f t="shared" si="334"/>
        <v>0.35044031794837688</v>
      </c>
      <c r="HP150" s="54" t="e">
        <f t="shared" si="335"/>
        <v>#N/A</v>
      </c>
      <c r="HQ150" s="72" t="str">
        <f t="shared" si="336"/>
        <v/>
      </c>
    </row>
    <row r="151" spans="71:225" x14ac:dyDescent="0.2">
      <c r="BS151" s="54">
        <f t="shared" si="263"/>
        <v>141</v>
      </c>
      <c r="BT151" s="54">
        <f>Eu_tabel_g[[#This Row],[Indeks]]+1</f>
        <v>142</v>
      </c>
      <c r="BU151" s="54">
        <f t="shared" si="264"/>
        <v>0.28746347034119202</v>
      </c>
      <c r="BV151" s="54">
        <f t="shared" si="265"/>
        <v>0.38279481799811688</v>
      </c>
      <c r="BW151" s="54" t="e">
        <f t="shared" si="266"/>
        <v>#N/A</v>
      </c>
      <c r="BX151" s="54" t="e">
        <f t="shared" si="267"/>
        <v>#N/A</v>
      </c>
      <c r="BY151" s="54" t="e">
        <f t="shared" si="268"/>
        <v>#N/A</v>
      </c>
      <c r="BZ151" s="54" t="b">
        <f t="shared" si="269"/>
        <v>0</v>
      </c>
      <c r="CA151" s="54" t="b">
        <f t="shared" si="270"/>
        <v>1</v>
      </c>
      <c r="CB151" s="54" t="b">
        <f t="shared" si="271"/>
        <v>0</v>
      </c>
      <c r="CC151" s="54" t="b">
        <f t="shared" si="272"/>
        <v>1</v>
      </c>
      <c r="CD151" s="54">
        <f t="shared" si="239"/>
        <v>0.38279481799811688</v>
      </c>
      <c r="CE151" s="54" t="e">
        <f t="shared" si="273"/>
        <v>#N/A</v>
      </c>
      <c r="CF151" s="54">
        <f t="shared" si="274"/>
        <v>0.38279481799811688</v>
      </c>
      <c r="CG151" s="72" t="str">
        <f t="shared" si="275"/>
        <v/>
      </c>
      <c r="CH151" s="54">
        <f>_xlfn.NORM.DIST(_xlfn.NORM.INV(1-Eu_g_konfidensniveau,0,1)-Eu_tabel_g[[#This Row],[x base]],0,1,TRUE)</f>
        <v>2.6660189708944231E-2</v>
      </c>
      <c r="CI151" s="54">
        <f>1-_xlfn.NORM.DIST(_xlfn.NORM.INV(Eu_g_konfidensniveau,0,1)-Eu_tabel_g[[#This Row],[x base]],0,1,TRUE)</f>
        <v>8.7328637113466168E-2</v>
      </c>
      <c r="CJ151" s="54">
        <f>_xlfn.NORM.DIST(_xlfn.NORM.INV((1-Eu_g_konfidensniveau)/2,0,1)-Eu_tabel_g[[#This Row],[x base]],0,1,TRUE)+1-_xlfn.NORM.DIST(_xlfn.NORM.INV(1-(1-Eu_g_konfidensniveau)/2,0,1)-Eu_tabel_g[[#This Row],[x base]],0,1,TRUE)</f>
        <v>5.9519194294059163E-2</v>
      </c>
      <c r="CK151" s="54" t="e" cm="1">
        <f t="array" ref="CK151">IF($CK$3,INDEX(Eu_tabel_g[[#This Row],[Styrke venstre]:[Styrke tosidet]],CK$7),NA())</f>
        <v>#N/A</v>
      </c>
      <c r="CL151" s="99" t="e">
        <f>Eu_tabel_g[[#This Row],[Falsk positiv
Nulhypotese accepteres
Fejltype 1]]</f>
        <v>#N/A</v>
      </c>
      <c r="CM151" s="99" t="e">
        <f>IF(CHOOSE(CK$7,Eu_tabel_g[[#This Row],[x base]]&gt;0,Eu_tabel_g[[#This Row],[x base]]&lt;0,Eu_tabel_g[[#This Row],[x base]]=0),Eu_tabel_g[[#This Row],[Styrke, aktiv]],NA())</f>
        <v>#N/A</v>
      </c>
      <c r="CN151" s="99" t="e">
        <f>IFERROR(IF($CK$3,Eu_tabel_g[[#This Row],[Styrke, aktiv]],NA()),NA())</f>
        <v>#N/A</v>
      </c>
      <c r="CO151" s="99" t="e">
        <f>IF(ISNA(Eu_tabel_g[[#This Row],[Sand negativ
Nulhypotese afvises
Korrekt]]),NA(),IF($CK$3,1,NA()))</f>
        <v>#N/A</v>
      </c>
      <c r="CP151" s="56" t="str" cm="1">
        <f t="array" ref="CP151">_xlfn.SWITCH(BS151,_xlfn.IFNA(CN$2,-99),CN$5,_xlfn.IFNA(CN$3,-99),CN$6,_xlfn.IFNA(CN$4,-99),CN$7,"")</f>
        <v/>
      </c>
      <c r="CT151" s="7">
        <f t="shared" si="276"/>
        <v>0.8</v>
      </c>
      <c r="CU151">
        <f>IF(ROW(Styrkeberegning_G[[#This Row],[X base venstre]])=ROW(Styrkeberegning_G[[#Headers],[X base venstre]])+1,CU$7/(CT$7/$B$67),CU150/(CT150/$B$67))</f>
        <v>-2.8015817870135784</v>
      </c>
      <c r="CV151">
        <f>Styrkeberegning_G[[#This Row],[X base venstre]]*-1</f>
        <v>2.8015817870135784</v>
      </c>
      <c r="DG151" s="54">
        <f t="shared" si="277"/>
        <v>141</v>
      </c>
      <c r="DH151" s="54">
        <f t="shared" si="278"/>
        <v>142</v>
      </c>
      <c r="DI151" s="54">
        <f t="shared" si="279"/>
        <v>17.917843419450833</v>
      </c>
      <c r="DJ151" s="54" t="e">
        <f t="shared" si="280"/>
        <v>#N/A</v>
      </c>
      <c r="DK151" s="54" t="e">
        <f t="shared" si="281"/>
        <v>#N/A</v>
      </c>
      <c r="DL151" s="54">
        <f t="shared" si="282"/>
        <v>2.368393234023642E-2</v>
      </c>
      <c r="DM151" s="54" t="e">
        <f t="shared" si="283"/>
        <v>#N/A</v>
      </c>
      <c r="DN151" s="54" t="b">
        <f t="shared" si="284"/>
        <v>0</v>
      </c>
      <c r="DO151" s="54" t="b">
        <f t="shared" si="285"/>
        <v>1</v>
      </c>
      <c r="DP151" s="54" t="b">
        <f t="shared" si="286"/>
        <v>0</v>
      </c>
      <c r="DQ151" s="54" t="b">
        <f t="shared" si="287"/>
        <v>1</v>
      </c>
      <c r="DR151" s="54">
        <f t="shared" si="288"/>
        <v>2.368393234023642E-2</v>
      </c>
      <c r="DS151" s="54" t="e">
        <f t="shared" si="289"/>
        <v>#N/A</v>
      </c>
      <c r="DT151" s="54">
        <f t="shared" si="290"/>
        <v>2.368393234023642E-2</v>
      </c>
      <c r="DU151" s="72" t="str">
        <f t="shared" si="291"/>
        <v/>
      </c>
      <c r="DZ151" s="54">
        <f t="shared" si="292"/>
        <v>141</v>
      </c>
      <c r="EA151" s="54">
        <f t="shared" si="293"/>
        <v>142</v>
      </c>
      <c r="EB151" s="54">
        <f t="shared" si="294"/>
        <v>0.28746347034119202</v>
      </c>
      <c r="EC151" s="54">
        <f t="shared" si="295"/>
        <v>0.38279481799811688</v>
      </c>
      <c r="ED151" s="54" t="e">
        <f t="shared" si="296"/>
        <v>#N/A</v>
      </c>
      <c r="EE151" s="54" t="e">
        <f t="shared" si="297"/>
        <v>#N/A</v>
      </c>
      <c r="EF151" s="54" t="e">
        <f t="shared" si="298"/>
        <v>#N/A</v>
      </c>
      <c r="EG151" s="54" t="b">
        <f t="shared" si="299"/>
        <v>0</v>
      </c>
      <c r="EH151" s="54" t="b">
        <f t="shared" si="300"/>
        <v>1</v>
      </c>
      <c r="EI151" s="54" t="b">
        <f t="shared" si="301"/>
        <v>0</v>
      </c>
      <c r="EJ151" s="54" t="b">
        <f t="shared" si="302"/>
        <v>1</v>
      </c>
      <c r="EK151" s="54">
        <f t="shared" si="303"/>
        <v>0.38279481799811688</v>
      </c>
      <c r="EL151" s="54" t="e">
        <f t="shared" si="304"/>
        <v>#N/A</v>
      </c>
      <c r="EM151" s="54">
        <f t="shared" si="305"/>
        <v>0.38279481799811688</v>
      </c>
      <c r="EN151" s="72" t="str">
        <f t="shared" si="306"/>
        <v/>
      </c>
      <c r="EO15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5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5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51" s="54" t="e" cm="1">
        <f t="array" ref="ER151">IF($CK$3,INDEX(Eu_tabel_a[[#This Row],[Styrke venstre]:[Styrke tosidet]],ER$7),NA())</f>
        <v>#N/A</v>
      </c>
      <c r="ES151" s="54" t="e">
        <f>IF(ER$3,IF(CHOOSE(ER$7,Eu_tabel_a[[#This Row],[x base]]&gt;0,Eu_tabel_a[[#This Row],[x base]]&lt;0,Eu_tabel_a[[#This Row],[x base]]=0),1,NA()),NA())</f>
        <v>#N/A</v>
      </c>
      <c r="ET151" s="54" t="e">
        <f>IF(CHOOSE(ER$7,Eu_tabel_a[[#This Row],[x base]]&gt;0,Eu_tabel_a[[#This Row],[x base]]&lt;0,Eu_tabel_a[[#This Row],[x base]]=0),Eu_tabel_a[[#This Row],[Styrke, aktiv]],NA())</f>
        <v>#N/A</v>
      </c>
      <c r="EU151" s="54" t="e">
        <f>IFERROR(IF($ER$3,Eu_tabel_a[[#This Row],[Styrke, aktiv]],NA()),NA())</f>
        <v>#N/A</v>
      </c>
      <c r="EV151" s="54" t="e">
        <f>IF(ISNA(Eu_tabel_a[[#This Row],[Sand negativ
Nulhypotese afvises
Korrekt]]),NA(),IF(ER$3,1,NA()))</f>
        <v>#N/A</v>
      </c>
      <c r="EW151" s="55" t="str" cm="1">
        <f t="array" ref="EW151">IFERROR(_xlfn.SWITCH(Eu_tabel_a[[#This Row],[Indeks]],_xlfn.IFNA(EU$2,-99),EU$5,_xlfn.IFNA(EU$3,-99),EU$6,_xlfn.IFNA(EU$4,-99),EU$7,""),"")</f>
        <v/>
      </c>
      <c r="EX151" s="54">
        <f>Eu_tabel_a[[#This Row],[x base]]*SQRT(Eu_a_h0_x*(1-Eu_a_h0_x)/Eu_a_n_x)+Eu_a_h0_x</f>
        <v>0</v>
      </c>
      <c r="FC151" s="161" t="e">
        <f t="shared" si="250"/>
        <v>#N/A</v>
      </c>
      <c r="FD151" s="169" t="e">
        <f t="shared" si="234"/>
        <v>#DIV/0!</v>
      </c>
      <c r="FE151" s="7" t="e">
        <f t="shared" si="244"/>
        <v>#DIV/0!</v>
      </c>
      <c r="FF151" t="e">
        <f t="shared" si="235"/>
        <v>#DIV/0!</v>
      </c>
      <c r="FG151" s="8" t="e">
        <f t="shared" si="236"/>
        <v>#DIV/0!</v>
      </c>
      <c r="FH151" s="8" t="e">
        <f t="shared" si="237"/>
        <v>#DIV/0!</v>
      </c>
      <c r="FI151" s="168" t="e">
        <f t="shared" si="238"/>
        <v>#DIV/0!</v>
      </c>
      <c r="FJ151" s="161" t="e">
        <f t="shared" ca="1" si="245"/>
        <v>#N/A</v>
      </c>
      <c r="FK151" s="169" t="e" vm="3">
        <f t="shared" ca="1" si="251"/>
        <v>#VALUE!</v>
      </c>
      <c r="FL151" s="7" t="e" vm="3">
        <f t="shared" ca="1" si="246"/>
        <v>#VALUE!</v>
      </c>
      <c r="FM151" t="e" vm="3">
        <f t="shared" ca="1" si="240"/>
        <v>#VALUE!</v>
      </c>
      <c r="FN151" s="8" t="e" vm="3">
        <f t="shared" ca="1" si="241"/>
        <v>#VALUE!</v>
      </c>
      <c r="FO151" s="8" t="e" vm="3">
        <f t="shared" ca="1" si="242"/>
        <v>#VALUE!</v>
      </c>
      <c r="FP151" s="168" t="e" vm="3">
        <f t="shared" ca="1" si="243"/>
        <v>#VALUE!</v>
      </c>
      <c r="FQ151" s="161" t="e">
        <f t="shared" si="247"/>
        <v>#N/A</v>
      </c>
      <c r="FR151" s="169" t="e">
        <f t="shared" si="252"/>
        <v>#N/A</v>
      </c>
      <c r="FS151" s="7" t="e">
        <f t="shared" si="248"/>
        <v>#N/A</v>
      </c>
      <c r="FT151" t="e">
        <f t="shared" si="253"/>
        <v>#N/A</v>
      </c>
      <c r="FU151" s="8" t="e">
        <f t="shared" si="254"/>
        <v>#N/A</v>
      </c>
      <c r="FV151" s="8" t="e">
        <f t="shared" si="255"/>
        <v>#N/A</v>
      </c>
      <c r="FW151" s="168" t="e">
        <f t="shared" si="256"/>
        <v>#N/A</v>
      </c>
      <c r="FX151" s="161" t="e">
        <f t="shared" si="257"/>
        <v>#N/A</v>
      </c>
      <c r="FY151" s="169" t="e">
        <f t="shared" si="258"/>
        <v>#N/A</v>
      </c>
      <c r="FZ151" s="7" t="e">
        <f t="shared" si="249"/>
        <v>#N/A</v>
      </c>
      <c r="GA151" t="e">
        <f t="shared" si="259"/>
        <v>#N/A</v>
      </c>
      <c r="GB151" s="8" t="e">
        <f t="shared" si="260"/>
        <v>#N/A</v>
      </c>
      <c r="GC151" s="8" t="e">
        <f t="shared" si="261"/>
        <v>#N/A</v>
      </c>
      <c r="GD151" s="168" t="e">
        <f t="shared" si="262"/>
        <v>#N/A</v>
      </c>
      <c r="GE151" s="168"/>
      <c r="GF151" s="168"/>
      <c r="GI151" s="54">
        <f t="shared" si="307"/>
        <v>141</v>
      </c>
      <c r="GJ151" s="54">
        <f t="shared" si="308"/>
        <v>142</v>
      </c>
      <c r="GK151" s="54">
        <f t="shared" si="309"/>
        <v>0.28746347034119202</v>
      </c>
      <c r="GL151" s="54">
        <f t="shared" si="310"/>
        <v>0.38279481799811688</v>
      </c>
      <c r="GM151" s="54" t="e">
        <f t="shared" si="311"/>
        <v>#N/A</v>
      </c>
      <c r="GN151" s="54" t="e">
        <f t="shared" si="312"/>
        <v>#N/A</v>
      </c>
      <c r="GO151" s="54" t="e">
        <f t="shared" si="313"/>
        <v>#N/A</v>
      </c>
      <c r="GP151" s="54" t="b">
        <f t="shared" si="314"/>
        <v>0</v>
      </c>
      <c r="GQ151" s="54" t="b">
        <f t="shared" si="315"/>
        <v>1</v>
      </c>
      <c r="GR151" s="54" t="b">
        <f t="shared" si="316"/>
        <v>0</v>
      </c>
      <c r="GS151" s="54" t="b">
        <f t="shared" si="317"/>
        <v>1</v>
      </c>
      <c r="GT151" s="54">
        <f t="shared" si="318"/>
        <v>0.38279481799811688</v>
      </c>
      <c r="GU151" s="54" t="e">
        <f t="shared" si="319"/>
        <v>#N/A</v>
      </c>
      <c r="GV151" s="54">
        <f t="shared" si="320"/>
        <v>0.38279481799811688</v>
      </c>
      <c r="GW151" s="72" t="str">
        <f t="shared" si="321"/>
        <v/>
      </c>
      <c r="HC151" s="54">
        <f t="shared" si="322"/>
        <v>141</v>
      </c>
      <c r="HD151" s="54">
        <f t="shared" si="323"/>
        <v>142</v>
      </c>
      <c r="HE151" s="54">
        <f t="shared" si="324"/>
        <v>0.44514322126868233</v>
      </c>
      <c r="HF151" s="54" t="e">
        <f t="shared" si="325"/>
        <v>#N/A</v>
      </c>
      <c r="HG151" s="54">
        <f t="shared" si="326"/>
        <v>0.34431748323144512</v>
      </c>
      <c r="HH151" s="54" t="e">
        <f t="shared" si="327"/>
        <v>#N/A</v>
      </c>
      <c r="HI151" s="54" t="e">
        <f t="shared" si="328"/>
        <v>#N/A</v>
      </c>
      <c r="HJ151" s="54" t="b">
        <f t="shared" si="329"/>
        <v>1</v>
      </c>
      <c r="HK151" s="54" t="b">
        <f t="shared" si="330"/>
        <v>0</v>
      </c>
      <c r="HL151" s="54" t="b">
        <f t="shared" si="331"/>
        <v>0</v>
      </c>
      <c r="HM151" s="54" t="b">
        <f t="shared" si="332"/>
        <v>1</v>
      </c>
      <c r="HN151" s="54">
        <f t="shared" si="333"/>
        <v>0.34431748323144512</v>
      </c>
      <c r="HO151" s="54">
        <f t="shared" si="334"/>
        <v>0.34431748323144512</v>
      </c>
      <c r="HP151" s="54" t="e">
        <f t="shared" si="335"/>
        <v>#N/A</v>
      </c>
      <c r="HQ151" s="72" t="str">
        <f t="shared" si="336"/>
        <v/>
      </c>
    </row>
    <row r="152" spans="71:225" x14ac:dyDescent="0.2">
      <c r="BS152" s="54">
        <f t="shared" si="263"/>
        <v>142</v>
      </c>
      <c r="BT152" s="54">
        <f>Eu_tabel_g[[#This Row],[Indeks]]+1</f>
        <v>143</v>
      </c>
      <c r="BU152" s="54">
        <f t="shared" si="264"/>
        <v>0.31141875953629139</v>
      </c>
      <c r="BV152" s="54">
        <f t="shared" si="265"/>
        <v>0.38005877958699552</v>
      </c>
      <c r="BW152" s="54" t="e">
        <f t="shared" si="266"/>
        <v>#N/A</v>
      </c>
      <c r="BX152" s="54" t="e">
        <f t="shared" si="267"/>
        <v>#N/A</v>
      </c>
      <c r="BY152" s="54" t="e">
        <f t="shared" si="268"/>
        <v>#N/A</v>
      </c>
      <c r="BZ152" s="54" t="b">
        <f t="shared" si="269"/>
        <v>0</v>
      </c>
      <c r="CA152" s="54" t="b">
        <f t="shared" si="270"/>
        <v>1</v>
      </c>
      <c r="CB152" s="54" t="b">
        <f t="shared" si="271"/>
        <v>0</v>
      </c>
      <c r="CC152" s="54" t="b">
        <f t="shared" si="272"/>
        <v>1</v>
      </c>
      <c r="CD152" s="54">
        <f t="shared" si="239"/>
        <v>0.38005877958699552</v>
      </c>
      <c r="CE152" s="54" t="e">
        <f t="shared" si="273"/>
        <v>#N/A</v>
      </c>
      <c r="CF152" s="54">
        <f t="shared" si="274"/>
        <v>0.38005877958699552</v>
      </c>
      <c r="CG152" s="72" t="str">
        <f t="shared" si="275"/>
        <v/>
      </c>
      <c r="CH152" s="54">
        <f>_xlfn.NORM.DIST(_xlfn.NORM.INV(1-Eu_g_konfidensniveau,0,1)-Eu_tabel_g[[#This Row],[x base]],0,1,TRUE)</f>
        <v>2.5216537638391368E-2</v>
      </c>
      <c r="CI152" s="54">
        <f>1-_xlfn.NORM.DIST(_xlfn.NORM.INV(Eu_g_konfidensniveau,0,1)-Eu_tabel_g[[#This Row],[x base]],0,1,TRUE)</f>
        <v>9.1194568240704932E-2</v>
      </c>
      <c r="CJ152" s="54">
        <f>_xlfn.NORM.DIST(_xlfn.NORM.INV((1-Eu_g_konfidensniveau)/2,0,1)-Eu_tabel_g[[#This Row],[x base]],0,1,TRUE)+1-_xlfn.NORM.DIST(_xlfn.NORM.INV(1-(1-Eu_g_konfidensniveau)/2,0,1)-Eu_tabel_g[[#This Row],[x base]],0,1,TRUE)</f>
        <v>6.1182328184333556E-2</v>
      </c>
      <c r="CK152" s="54" t="e" cm="1">
        <f t="array" ref="CK152">IF($CK$3,INDEX(Eu_tabel_g[[#This Row],[Styrke venstre]:[Styrke tosidet]],CK$7),NA())</f>
        <v>#N/A</v>
      </c>
      <c r="CL152" s="99" t="e">
        <f>Eu_tabel_g[[#This Row],[Falsk positiv
Nulhypotese accepteres
Fejltype 1]]</f>
        <v>#N/A</v>
      </c>
      <c r="CM152" s="99" t="e">
        <f>IF(CHOOSE(CK$7,Eu_tabel_g[[#This Row],[x base]]&gt;0,Eu_tabel_g[[#This Row],[x base]]&lt;0,Eu_tabel_g[[#This Row],[x base]]=0),Eu_tabel_g[[#This Row],[Styrke, aktiv]],NA())</f>
        <v>#N/A</v>
      </c>
      <c r="CN152" s="99" t="e">
        <f>IFERROR(IF($CK$3,Eu_tabel_g[[#This Row],[Styrke, aktiv]],NA()),NA())</f>
        <v>#N/A</v>
      </c>
      <c r="CO152" s="99" t="e">
        <f>IF(ISNA(Eu_tabel_g[[#This Row],[Sand negativ
Nulhypotese afvises
Korrekt]]),NA(),IF($CK$3,1,NA()))</f>
        <v>#N/A</v>
      </c>
      <c r="CP152" s="56" t="str" cm="1">
        <f t="array" ref="CP152">_xlfn.SWITCH(BS152,_xlfn.IFNA(CN$2,-99),CN$5,_xlfn.IFNA(CN$3,-99),CN$6,_xlfn.IFNA(CN$4,-99),CN$7,"")</f>
        <v/>
      </c>
      <c r="CT152" s="7">
        <f t="shared" si="276"/>
        <v>0.8</v>
      </c>
      <c r="CU152">
        <f>IF(ROW(Styrkeberegning_G[[#This Row],[X base venstre]])=ROW(Styrkeberegning_G[[#Headers],[X base venstre]])+1,CU$7/(CT$7/$B$67),CU151/(CT151/$B$67))</f>
        <v>-2.8015817870135784</v>
      </c>
      <c r="CV152">
        <f>Styrkeberegning_G[[#This Row],[X base venstre]]*-1</f>
        <v>2.8015817870135784</v>
      </c>
      <c r="DG152" s="54">
        <f t="shared" si="277"/>
        <v>142</v>
      </c>
      <c r="DH152" s="54">
        <f t="shared" si="278"/>
        <v>143</v>
      </c>
      <c r="DI152" s="54">
        <f t="shared" si="279"/>
        <v>18.031914275867834</v>
      </c>
      <c r="DJ152" s="54" t="e">
        <f t="shared" si="280"/>
        <v>#N/A</v>
      </c>
      <c r="DK152" s="54" t="e">
        <f t="shared" si="281"/>
        <v>#N/A</v>
      </c>
      <c r="DL152" s="54">
        <f t="shared" si="282"/>
        <v>2.3018980048812178E-2</v>
      </c>
      <c r="DM152" s="54" t="e">
        <f t="shared" si="283"/>
        <v>#N/A</v>
      </c>
      <c r="DN152" s="54" t="b">
        <f t="shared" si="284"/>
        <v>0</v>
      </c>
      <c r="DO152" s="54" t="b">
        <f t="shared" si="285"/>
        <v>1</v>
      </c>
      <c r="DP152" s="54" t="b">
        <f t="shared" si="286"/>
        <v>0</v>
      </c>
      <c r="DQ152" s="54" t="b">
        <f t="shared" si="287"/>
        <v>1</v>
      </c>
      <c r="DR152" s="54">
        <f t="shared" si="288"/>
        <v>2.3018980048812178E-2</v>
      </c>
      <c r="DS152" s="54" t="e">
        <f t="shared" si="289"/>
        <v>#N/A</v>
      </c>
      <c r="DT152" s="54">
        <f t="shared" si="290"/>
        <v>2.3018980048812178E-2</v>
      </c>
      <c r="DU152" s="72" t="str">
        <f t="shared" si="291"/>
        <v/>
      </c>
      <c r="DZ152" s="54">
        <f t="shared" si="292"/>
        <v>142</v>
      </c>
      <c r="EA152" s="54">
        <f t="shared" si="293"/>
        <v>143</v>
      </c>
      <c r="EB152" s="54">
        <f t="shared" si="294"/>
        <v>0.31141875953629139</v>
      </c>
      <c r="EC152" s="54">
        <f t="shared" si="295"/>
        <v>0.38005877958699552</v>
      </c>
      <c r="ED152" s="54" t="e">
        <f t="shared" si="296"/>
        <v>#N/A</v>
      </c>
      <c r="EE152" s="54" t="e">
        <f t="shared" si="297"/>
        <v>#N/A</v>
      </c>
      <c r="EF152" s="54" t="e">
        <f t="shared" si="298"/>
        <v>#N/A</v>
      </c>
      <c r="EG152" s="54" t="b">
        <f t="shared" si="299"/>
        <v>0</v>
      </c>
      <c r="EH152" s="54" t="b">
        <f t="shared" si="300"/>
        <v>1</v>
      </c>
      <c r="EI152" s="54" t="b">
        <f t="shared" si="301"/>
        <v>0</v>
      </c>
      <c r="EJ152" s="54" t="b">
        <f t="shared" si="302"/>
        <v>1</v>
      </c>
      <c r="EK152" s="54">
        <f t="shared" si="303"/>
        <v>0.38005877958699552</v>
      </c>
      <c r="EL152" s="54" t="e">
        <f t="shared" si="304"/>
        <v>#N/A</v>
      </c>
      <c r="EM152" s="54">
        <f t="shared" si="305"/>
        <v>0.38005877958699552</v>
      </c>
      <c r="EN152" s="72" t="str">
        <f t="shared" si="306"/>
        <v/>
      </c>
      <c r="EO15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5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5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52" s="54" t="e" cm="1">
        <f t="array" ref="ER152">IF($CK$3,INDEX(Eu_tabel_a[[#This Row],[Styrke venstre]:[Styrke tosidet]],ER$7),NA())</f>
        <v>#N/A</v>
      </c>
      <c r="ES152" s="54" t="e">
        <f>IF(ER$3,IF(CHOOSE(ER$7,Eu_tabel_a[[#This Row],[x base]]&gt;0,Eu_tabel_a[[#This Row],[x base]]&lt;0,Eu_tabel_a[[#This Row],[x base]]=0),1,NA()),NA())</f>
        <v>#N/A</v>
      </c>
      <c r="ET152" s="54" t="e">
        <f>IF(CHOOSE(ER$7,Eu_tabel_a[[#This Row],[x base]]&gt;0,Eu_tabel_a[[#This Row],[x base]]&lt;0,Eu_tabel_a[[#This Row],[x base]]=0),Eu_tabel_a[[#This Row],[Styrke, aktiv]],NA())</f>
        <v>#N/A</v>
      </c>
      <c r="EU152" s="54" t="e">
        <f>IFERROR(IF($ER$3,Eu_tabel_a[[#This Row],[Styrke, aktiv]],NA()),NA())</f>
        <v>#N/A</v>
      </c>
      <c r="EV152" s="54" t="e">
        <f>IF(ISNA(Eu_tabel_a[[#This Row],[Sand negativ
Nulhypotese afvises
Korrekt]]),NA(),IF(ER$3,1,NA()))</f>
        <v>#N/A</v>
      </c>
      <c r="EW152" s="55" t="str" cm="1">
        <f t="array" ref="EW152">IFERROR(_xlfn.SWITCH(Eu_tabel_a[[#This Row],[Indeks]],_xlfn.IFNA(EU$2,-99),EU$5,_xlfn.IFNA(EU$3,-99),EU$6,_xlfn.IFNA(EU$4,-99),EU$7,""),"")</f>
        <v/>
      </c>
      <c r="EX152" s="54">
        <f>Eu_tabel_a[[#This Row],[x base]]*SQRT(Eu_a_h0_x*(1-Eu_a_h0_x)/Eu_a_n_x)+Eu_a_h0_x</f>
        <v>0</v>
      </c>
      <c r="FC152" s="161" t="e">
        <f t="shared" si="250"/>
        <v>#N/A</v>
      </c>
      <c r="FD152" s="169" t="e">
        <f t="shared" si="234"/>
        <v>#DIV/0!</v>
      </c>
      <c r="FE152" s="7" t="e">
        <f t="shared" si="244"/>
        <v>#DIV/0!</v>
      </c>
      <c r="FF152" t="e">
        <f t="shared" si="235"/>
        <v>#DIV/0!</v>
      </c>
      <c r="FG152" s="8" t="e">
        <f t="shared" si="236"/>
        <v>#DIV/0!</v>
      </c>
      <c r="FH152" s="8" t="e">
        <f t="shared" si="237"/>
        <v>#DIV/0!</v>
      </c>
      <c r="FI152" s="168" t="e">
        <f t="shared" si="238"/>
        <v>#DIV/0!</v>
      </c>
      <c r="FJ152" s="161" t="e">
        <f t="shared" ca="1" si="245"/>
        <v>#N/A</v>
      </c>
      <c r="FK152" s="169" t="e" vm="3">
        <f t="shared" ca="1" si="251"/>
        <v>#VALUE!</v>
      </c>
      <c r="FL152" s="7" t="e" vm="3">
        <f t="shared" ca="1" si="246"/>
        <v>#VALUE!</v>
      </c>
      <c r="FM152" t="e" vm="3">
        <f t="shared" ca="1" si="240"/>
        <v>#VALUE!</v>
      </c>
      <c r="FN152" s="8" t="e" vm="3">
        <f t="shared" ca="1" si="241"/>
        <v>#VALUE!</v>
      </c>
      <c r="FO152" s="8" t="e" vm="3">
        <f t="shared" ca="1" si="242"/>
        <v>#VALUE!</v>
      </c>
      <c r="FP152" s="168" t="e" vm="3">
        <f t="shared" ca="1" si="243"/>
        <v>#VALUE!</v>
      </c>
      <c r="FQ152" s="161" t="e">
        <f t="shared" si="247"/>
        <v>#N/A</v>
      </c>
      <c r="FR152" s="169" t="e">
        <f t="shared" si="252"/>
        <v>#N/A</v>
      </c>
      <c r="FS152" s="7" t="e">
        <f t="shared" si="248"/>
        <v>#N/A</v>
      </c>
      <c r="FT152" t="e">
        <f t="shared" si="253"/>
        <v>#N/A</v>
      </c>
      <c r="FU152" s="8" t="e">
        <f t="shared" si="254"/>
        <v>#N/A</v>
      </c>
      <c r="FV152" s="8" t="e">
        <f t="shared" si="255"/>
        <v>#N/A</v>
      </c>
      <c r="FW152" s="168" t="e">
        <f t="shared" si="256"/>
        <v>#N/A</v>
      </c>
      <c r="FX152" s="161" t="e">
        <f t="shared" si="257"/>
        <v>#N/A</v>
      </c>
      <c r="FY152" s="169" t="e">
        <f t="shared" si="258"/>
        <v>#N/A</v>
      </c>
      <c r="FZ152" s="7" t="e">
        <f t="shared" si="249"/>
        <v>#N/A</v>
      </c>
      <c r="GA152" t="e">
        <f t="shared" si="259"/>
        <v>#N/A</v>
      </c>
      <c r="GB152" s="8" t="e">
        <f t="shared" si="260"/>
        <v>#N/A</v>
      </c>
      <c r="GC152" s="8" t="e">
        <f t="shared" si="261"/>
        <v>#N/A</v>
      </c>
      <c r="GD152" s="168" t="e">
        <f t="shared" si="262"/>
        <v>#N/A</v>
      </c>
      <c r="GE152" s="168"/>
      <c r="GF152" s="168"/>
      <c r="GI152" s="54">
        <f t="shared" si="307"/>
        <v>142</v>
      </c>
      <c r="GJ152" s="54">
        <f t="shared" si="308"/>
        <v>143</v>
      </c>
      <c r="GK152" s="54">
        <f t="shared" si="309"/>
        <v>0.31141875953629139</v>
      </c>
      <c r="GL152" s="54">
        <f t="shared" si="310"/>
        <v>0.38005877958699552</v>
      </c>
      <c r="GM152" s="54" t="e">
        <f t="shared" si="311"/>
        <v>#N/A</v>
      </c>
      <c r="GN152" s="54" t="e">
        <f t="shared" si="312"/>
        <v>#N/A</v>
      </c>
      <c r="GO152" s="54" t="e">
        <f t="shared" si="313"/>
        <v>#N/A</v>
      </c>
      <c r="GP152" s="54" t="b">
        <f t="shared" si="314"/>
        <v>0</v>
      </c>
      <c r="GQ152" s="54" t="b">
        <f t="shared" si="315"/>
        <v>1</v>
      </c>
      <c r="GR152" s="54" t="b">
        <f t="shared" si="316"/>
        <v>0</v>
      </c>
      <c r="GS152" s="54" t="b">
        <f t="shared" si="317"/>
        <v>1</v>
      </c>
      <c r="GT152" s="54">
        <f t="shared" si="318"/>
        <v>0.38005877958699552</v>
      </c>
      <c r="GU152" s="54" t="e">
        <f t="shared" si="319"/>
        <v>#N/A</v>
      </c>
      <c r="GV152" s="54">
        <f t="shared" si="320"/>
        <v>0.38005877958699552</v>
      </c>
      <c r="GW152" s="72" t="str">
        <f t="shared" si="321"/>
        <v/>
      </c>
      <c r="HC152" s="54">
        <f t="shared" si="322"/>
        <v>142</v>
      </c>
      <c r="HD152" s="54">
        <f t="shared" si="323"/>
        <v>143</v>
      </c>
      <c r="HE152" s="54">
        <f t="shared" si="324"/>
        <v>0.48223848970773897</v>
      </c>
      <c r="HF152" s="54" t="e">
        <f t="shared" si="325"/>
        <v>#N/A</v>
      </c>
      <c r="HG152" s="54">
        <f t="shared" si="326"/>
        <v>0.3378131221968852</v>
      </c>
      <c r="HH152" s="54" t="e">
        <f t="shared" si="327"/>
        <v>#N/A</v>
      </c>
      <c r="HI152" s="54" t="e">
        <f t="shared" si="328"/>
        <v>#N/A</v>
      </c>
      <c r="HJ152" s="54" t="b">
        <f t="shared" si="329"/>
        <v>1</v>
      </c>
      <c r="HK152" s="54" t="b">
        <f t="shared" si="330"/>
        <v>0</v>
      </c>
      <c r="HL152" s="54" t="b">
        <f t="shared" si="331"/>
        <v>0</v>
      </c>
      <c r="HM152" s="54" t="b">
        <f t="shared" si="332"/>
        <v>1</v>
      </c>
      <c r="HN152" s="54">
        <f t="shared" si="333"/>
        <v>0.3378131221968852</v>
      </c>
      <c r="HO152" s="54">
        <f t="shared" si="334"/>
        <v>0.3378131221968852</v>
      </c>
      <c r="HP152" s="54" t="e">
        <f t="shared" si="335"/>
        <v>#N/A</v>
      </c>
      <c r="HQ152" s="72" t="str">
        <f t="shared" si="336"/>
        <v/>
      </c>
    </row>
    <row r="153" spans="71:225" x14ac:dyDescent="0.2">
      <c r="BS153" s="54">
        <f t="shared" si="263"/>
        <v>143</v>
      </c>
      <c r="BT153" s="54">
        <f>Eu_tabel_g[[#This Row],[Indeks]]+1</f>
        <v>144</v>
      </c>
      <c r="BU153" s="54">
        <f t="shared" si="264"/>
        <v>0.33537404873139032</v>
      </c>
      <c r="BV153" s="54">
        <f t="shared" si="265"/>
        <v>0.37712581912279947</v>
      </c>
      <c r="BW153" s="54" t="e">
        <f t="shared" si="266"/>
        <v>#N/A</v>
      </c>
      <c r="BX153" s="54" t="e">
        <f t="shared" si="267"/>
        <v>#N/A</v>
      </c>
      <c r="BY153" s="54" t="e">
        <f t="shared" si="268"/>
        <v>#N/A</v>
      </c>
      <c r="BZ153" s="54" t="b">
        <f t="shared" si="269"/>
        <v>0</v>
      </c>
      <c r="CA153" s="54" t="b">
        <f t="shared" si="270"/>
        <v>1</v>
      </c>
      <c r="CB153" s="54" t="b">
        <f t="shared" si="271"/>
        <v>0</v>
      </c>
      <c r="CC153" s="54" t="b">
        <f t="shared" si="272"/>
        <v>1</v>
      </c>
      <c r="CD153" s="54">
        <f t="shared" si="239"/>
        <v>0.37712581912279947</v>
      </c>
      <c r="CE153" s="54" t="e">
        <f t="shared" si="273"/>
        <v>#N/A</v>
      </c>
      <c r="CF153" s="54">
        <f t="shared" si="274"/>
        <v>0.37712581912279947</v>
      </c>
      <c r="CG153" s="72" t="str">
        <f t="shared" si="275"/>
        <v/>
      </c>
      <c r="CH153" s="54">
        <f>_xlfn.NORM.DIST(_xlfn.NORM.INV(1-Eu_g_konfidensniveau,0,1)-Eu_tabel_g[[#This Row],[x base]],0,1,TRUE)</f>
        <v>2.383897568918579E-2</v>
      </c>
      <c r="CI153" s="54">
        <f>1-_xlfn.NORM.DIST(_xlfn.NORM.INV(Eu_g_konfidensniveau,0,1)-Eu_tabel_g[[#This Row],[x base]],0,1,TRUE)</f>
        <v>9.5185975462999006E-2</v>
      </c>
      <c r="CJ153" s="54">
        <f>_xlfn.NORM.DIST(_xlfn.NORM.INV((1-Eu_g_konfidensniveau)/2,0,1)-Eu_tabel_g[[#This Row],[x base]],0,1,TRUE)+1-_xlfn.NORM.DIST(_xlfn.NORM.INV(1-(1-Eu_g_konfidensniveau)/2,0,1)-Eu_tabel_g[[#This Row],[x base]],0,1,TRUE)</f>
        <v>6.2981861292597086E-2</v>
      </c>
      <c r="CK153" s="54" t="e" cm="1">
        <f t="array" ref="CK153">IF($CK$3,INDEX(Eu_tabel_g[[#This Row],[Styrke venstre]:[Styrke tosidet]],CK$7),NA())</f>
        <v>#N/A</v>
      </c>
      <c r="CL153" s="99" t="e">
        <f>Eu_tabel_g[[#This Row],[Falsk positiv
Nulhypotese accepteres
Fejltype 1]]</f>
        <v>#N/A</v>
      </c>
      <c r="CM153" s="99" t="e">
        <f>IF(CHOOSE(CK$7,Eu_tabel_g[[#This Row],[x base]]&gt;0,Eu_tabel_g[[#This Row],[x base]]&lt;0,Eu_tabel_g[[#This Row],[x base]]=0),Eu_tabel_g[[#This Row],[Styrke, aktiv]],NA())</f>
        <v>#N/A</v>
      </c>
      <c r="CN153" s="99" t="e">
        <f>IFERROR(IF($CK$3,Eu_tabel_g[[#This Row],[Styrke, aktiv]],NA()),NA())</f>
        <v>#N/A</v>
      </c>
      <c r="CO153" s="99" t="e">
        <f>IF(ISNA(Eu_tabel_g[[#This Row],[Sand negativ
Nulhypotese afvises
Korrekt]]),NA(),IF($CK$3,1,NA()))</f>
        <v>#N/A</v>
      </c>
      <c r="CP153" s="56" t="str" cm="1">
        <f t="array" ref="CP153">_xlfn.SWITCH(BS153,_xlfn.IFNA(CN$2,-99),CN$5,_xlfn.IFNA(CN$3,-99),CN$6,_xlfn.IFNA(CN$4,-99),CN$7,"")</f>
        <v/>
      </c>
      <c r="CT153" s="7">
        <f t="shared" si="276"/>
        <v>0.8</v>
      </c>
      <c r="CU153">
        <f>IF(ROW(Styrkeberegning_G[[#This Row],[X base venstre]])=ROW(Styrkeberegning_G[[#Headers],[X base venstre]])+1,CU$7/(CT$7/$B$67),CU152/(CT152/$B$67))</f>
        <v>-2.8015817870135784</v>
      </c>
      <c r="CV153">
        <f>Styrkeberegning_G[[#This Row],[X base venstre]]*-1</f>
        <v>2.8015817870135784</v>
      </c>
      <c r="DG153" s="54">
        <f t="shared" si="277"/>
        <v>143</v>
      </c>
      <c r="DH153" s="54">
        <f t="shared" si="278"/>
        <v>144</v>
      </c>
      <c r="DI153" s="54">
        <f t="shared" si="279"/>
        <v>18.145985132284835</v>
      </c>
      <c r="DJ153" s="54" t="e">
        <f t="shared" si="280"/>
        <v>#N/A</v>
      </c>
      <c r="DK153" s="54" t="e">
        <f t="shared" si="281"/>
        <v>#N/A</v>
      </c>
      <c r="DL153" s="54">
        <f t="shared" si="282"/>
        <v>2.2368668308313761E-2</v>
      </c>
      <c r="DM153" s="54" t="e">
        <f t="shared" si="283"/>
        <v>#N/A</v>
      </c>
      <c r="DN153" s="54" t="b">
        <f t="shared" si="284"/>
        <v>0</v>
      </c>
      <c r="DO153" s="54" t="b">
        <f t="shared" si="285"/>
        <v>1</v>
      </c>
      <c r="DP153" s="54" t="b">
        <f t="shared" si="286"/>
        <v>0</v>
      </c>
      <c r="DQ153" s="54" t="b">
        <f t="shared" si="287"/>
        <v>1</v>
      </c>
      <c r="DR153" s="54">
        <f t="shared" si="288"/>
        <v>2.2368668308313761E-2</v>
      </c>
      <c r="DS153" s="54" t="e">
        <f t="shared" si="289"/>
        <v>#N/A</v>
      </c>
      <c r="DT153" s="54">
        <f t="shared" si="290"/>
        <v>2.2368668308313761E-2</v>
      </c>
      <c r="DU153" s="72" t="str">
        <f t="shared" si="291"/>
        <v/>
      </c>
      <c r="DZ153" s="54">
        <f t="shared" si="292"/>
        <v>143</v>
      </c>
      <c r="EA153" s="54">
        <f t="shared" si="293"/>
        <v>144</v>
      </c>
      <c r="EB153" s="54">
        <f t="shared" si="294"/>
        <v>0.33537404873139032</v>
      </c>
      <c r="EC153" s="54">
        <f t="shared" si="295"/>
        <v>0.37712581912279947</v>
      </c>
      <c r="ED153" s="54" t="e">
        <f t="shared" si="296"/>
        <v>#N/A</v>
      </c>
      <c r="EE153" s="54" t="e">
        <f t="shared" si="297"/>
        <v>#N/A</v>
      </c>
      <c r="EF153" s="54" t="e">
        <f t="shared" si="298"/>
        <v>#N/A</v>
      </c>
      <c r="EG153" s="54" t="b">
        <f t="shared" si="299"/>
        <v>0</v>
      </c>
      <c r="EH153" s="54" t="b">
        <f t="shared" si="300"/>
        <v>1</v>
      </c>
      <c r="EI153" s="54" t="b">
        <f t="shared" si="301"/>
        <v>0</v>
      </c>
      <c r="EJ153" s="54" t="b">
        <f t="shared" si="302"/>
        <v>1</v>
      </c>
      <c r="EK153" s="54">
        <f t="shared" si="303"/>
        <v>0.37712581912279947</v>
      </c>
      <c r="EL153" s="54" t="e">
        <f t="shared" si="304"/>
        <v>#N/A</v>
      </c>
      <c r="EM153" s="54">
        <f t="shared" si="305"/>
        <v>0.37712581912279947</v>
      </c>
      <c r="EN153" s="72" t="str">
        <f t="shared" si="306"/>
        <v/>
      </c>
      <c r="EO15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5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5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53" s="54" t="e" cm="1">
        <f t="array" ref="ER153">IF($CK$3,INDEX(Eu_tabel_a[[#This Row],[Styrke venstre]:[Styrke tosidet]],ER$7),NA())</f>
        <v>#N/A</v>
      </c>
      <c r="ES153" s="54" t="e">
        <f>IF(ER$3,IF(CHOOSE(ER$7,Eu_tabel_a[[#This Row],[x base]]&gt;0,Eu_tabel_a[[#This Row],[x base]]&lt;0,Eu_tabel_a[[#This Row],[x base]]=0),1,NA()),NA())</f>
        <v>#N/A</v>
      </c>
      <c r="ET153" s="54" t="e">
        <f>IF(CHOOSE(ER$7,Eu_tabel_a[[#This Row],[x base]]&gt;0,Eu_tabel_a[[#This Row],[x base]]&lt;0,Eu_tabel_a[[#This Row],[x base]]=0),Eu_tabel_a[[#This Row],[Styrke, aktiv]],NA())</f>
        <v>#N/A</v>
      </c>
      <c r="EU153" s="54" t="e">
        <f>IFERROR(IF($ER$3,Eu_tabel_a[[#This Row],[Styrke, aktiv]],NA()),NA())</f>
        <v>#N/A</v>
      </c>
      <c r="EV153" s="54" t="e">
        <f>IF(ISNA(Eu_tabel_a[[#This Row],[Sand negativ
Nulhypotese afvises
Korrekt]]),NA(),IF(ER$3,1,NA()))</f>
        <v>#N/A</v>
      </c>
      <c r="EW153" s="55" t="str" cm="1">
        <f t="array" ref="EW153">IFERROR(_xlfn.SWITCH(Eu_tabel_a[[#This Row],[Indeks]],_xlfn.IFNA(EU$2,-99),EU$5,_xlfn.IFNA(EU$3,-99),EU$6,_xlfn.IFNA(EU$4,-99),EU$7,""),"")</f>
        <v/>
      </c>
      <c r="EX153" s="54">
        <f>Eu_tabel_a[[#This Row],[x base]]*SQRT(Eu_a_h0_x*(1-Eu_a_h0_x)/Eu_a_n_x)+Eu_a_h0_x</f>
        <v>0</v>
      </c>
      <c r="FC153" s="161" t="e">
        <f t="shared" si="250"/>
        <v>#N/A</v>
      </c>
      <c r="FD153" s="169" t="e">
        <f t="shared" si="234"/>
        <v>#DIV/0!</v>
      </c>
      <c r="FE153" s="7" t="e">
        <f t="shared" si="244"/>
        <v>#DIV/0!</v>
      </c>
      <c r="FF153" t="e">
        <f t="shared" si="235"/>
        <v>#DIV/0!</v>
      </c>
      <c r="FG153" s="8" t="e">
        <f t="shared" si="236"/>
        <v>#DIV/0!</v>
      </c>
      <c r="FH153" s="8" t="e">
        <f t="shared" si="237"/>
        <v>#DIV/0!</v>
      </c>
      <c r="FI153" s="168" t="e">
        <f t="shared" si="238"/>
        <v>#DIV/0!</v>
      </c>
      <c r="FJ153" s="161" t="e">
        <f t="shared" ca="1" si="245"/>
        <v>#N/A</v>
      </c>
      <c r="FK153" s="169" t="e" vm="3">
        <f t="shared" ca="1" si="251"/>
        <v>#VALUE!</v>
      </c>
      <c r="FL153" s="7" t="e" vm="3">
        <f t="shared" ca="1" si="246"/>
        <v>#VALUE!</v>
      </c>
      <c r="FM153" t="e" vm="3">
        <f t="shared" ca="1" si="240"/>
        <v>#VALUE!</v>
      </c>
      <c r="FN153" s="8" t="e" vm="3">
        <f t="shared" ca="1" si="241"/>
        <v>#VALUE!</v>
      </c>
      <c r="FO153" s="8" t="e" vm="3">
        <f t="shared" ca="1" si="242"/>
        <v>#VALUE!</v>
      </c>
      <c r="FP153" s="168" t="e" vm="3">
        <f t="shared" ca="1" si="243"/>
        <v>#VALUE!</v>
      </c>
      <c r="FQ153" s="161" t="e">
        <f t="shared" si="247"/>
        <v>#N/A</v>
      </c>
      <c r="FR153" s="169" t="e">
        <f t="shared" si="252"/>
        <v>#N/A</v>
      </c>
      <c r="FS153" s="7" t="e">
        <f t="shared" si="248"/>
        <v>#N/A</v>
      </c>
      <c r="FT153" t="e">
        <f t="shared" si="253"/>
        <v>#N/A</v>
      </c>
      <c r="FU153" s="8" t="e">
        <f t="shared" si="254"/>
        <v>#N/A</v>
      </c>
      <c r="FV153" s="8" t="e">
        <f t="shared" si="255"/>
        <v>#N/A</v>
      </c>
      <c r="FW153" s="168" t="e">
        <f t="shared" si="256"/>
        <v>#N/A</v>
      </c>
      <c r="FX153" s="161" t="e">
        <f t="shared" si="257"/>
        <v>#N/A</v>
      </c>
      <c r="FY153" s="169" t="e">
        <f t="shared" si="258"/>
        <v>#N/A</v>
      </c>
      <c r="FZ153" s="7" t="e">
        <f t="shared" si="249"/>
        <v>#N/A</v>
      </c>
      <c r="GA153" t="e">
        <f t="shared" si="259"/>
        <v>#N/A</v>
      </c>
      <c r="GB153" s="8" t="e">
        <f t="shared" si="260"/>
        <v>#N/A</v>
      </c>
      <c r="GC153" s="8" t="e">
        <f t="shared" si="261"/>
        <v>#N/A</v>
      </c>
      <c r="GD153" s="168" t="e">
        <f t="shared" si="262"/>
        <v>#N/A</v>
      </c>
      <c r="GE153" s="168"/>
      <c r="GF153" s="168"/>
      <c r="GI153" s="54">
        <f t="shared" si="307"/>
        <v>143</v>
      </c>
      <c r="GJ153" s="54">
        <f t="shared" si="308"/>
        <v>144</v>
      </c>
      <c r="GK153" s="54">
        <f t="shared" si="309"/>
        <v>0.33537404873139032</v>
      </c>
      <c r="GL153" s="54">
        <f t="shared" si="310"/>
        <v>0.37712581912279947</v>
      </c>
      <c r="GM153" s="54" t="e">
        <f t="shared" si="311"/>
        <v>#N/A</v>
      </c>
      <c r="GN153" s="54" t="e">
        <f t="shared" si="312"/>
        <v>#N/A</v>
      </c>
      <c r="GO153" s="54" t="e">
        <f t="shared" si="313"/>
        <v>#N/A</v>
      </c>
      <c r="GP153" s="54" t="b">
        <f t="shared" si="314"/>
        <v>0</v>
      </c>
      <c r="GQ153" s="54" t="b">
        <f t="shared" si="315"/>
        <v>1</v>
      </c>
      <c r="GR153" s="54" t="b">
        <f t="shared" si="316"/>
        <v>0</v>
      </c>
      <c r="GS153" s="54" t="b">
        <f t="shared" si="317"/>
        <v>1</v>
      </c>
      <c r="GT153" s="54">
        <f t="shared" si="318"/>
        <v>0.37712581912279947</v>
      </c>
      <c r="GU153" s="54" t="e">
        <f t="shared" si="319"/>
        <v>#N/A</v>
      </c>
      <c r="GV153" s="54">
        <f t="shared" si="320"/>
        <v>0.37712581912279947</v>
      </c>
      <c r="GW153" s="72" t="str">
        <f t="shared" si="321"/>
        <v/>
      </c>
      <c r="HC153" s="54">
        <f t="shared" si="322"/>
        <v>143</v>
      </c>
      <c r="HD153" s="54">
        <f t="shared" si="323"/>
        <v>144</v>
      </c>
      <c r="HE153" s="54">
        <f t="shared" si="324"/>
        <v>0.5193337581467965</v>
      </c>
      <c r="HF153" s="54" t="e">
        <f t="shared" si="325"/>
        <v>#N/A</v>
      </c>
      <c r="HG153" s="54">
        <f t="shared" si="326"/>
        <v>0.33095998215482636</v>
      </c>
      <c r="HH153" s="54" t="e">
        <f t="shared" si="327"/>
        <v>#N/A</v>
      </c>
      <c r="HI153" s="54" t="e">
        <f t="shared" si="328"/>
        <v>#N/A</v>
      </c>
      <c r="HJ153" s="54" t="b">
        <f t="shared" si="329"/>
        <v>1</v>
      </c>
      <c r="HK153" s="54" t="b">
        <f t="shared" si="330"/>
        <v>0</v>
      </c>
      <c r="HL153" s="54" t="b">
        <f t="shared" si="331"/>
        <v>0</v>
      </c>
      <c r="HM153" s="54" t="b">
        <f t="shared" si="332"/>
        <v>1</v>
      </c>
      <c r="HN153" s="54">
        <f t="shared" si="333"/>
        <v>0.33095998215482636</v>
      </c>
      <c r="HO153" s="54">
        <f t="shared" si="334"/>
        <v>0.33095998215482636</v>
      </c>
      <c r="HP153" s="54" t="e">
        <f t="shared" si="335"/>
        <v>#N/A</v>
      </c>
      <c r="HQ153" s="72" t="str">
        <f t="shared" si="336"/>
        <v/>
      </c>
    </row>
    <row r="154" spans="71:225" x14ac:dyDescent="0.2">
      <c r="BS154" s="54">
        <f t="shared" si="263"/>
        <v>144</v>
      </c>
      <c r="BT154" s="54">
        <f>Eu_tabel_g[[#This Row],[Indeks]]+1</f>
        <v>145</v>
      </c>
      <c r="BU154" s="54">
        <f t="shared" si="264"/>
        <v>0.35932933792648969</v>
      </c>
      <c r="BV154" s="54">
        <f t="shared" si="265"/>
        <v>0.37400080851990375</v>
      </c>
      <c r="BW154" s="54" t="e">
        <f t="shared" si="266"/>
        <v>#N/A</v>
      </c>
      <c r="BX154" s="54" t="e">
        <f t="shared" si="267"/>
        <v>#N/A</v>
      </c>
      <c r="BY154" s="54" t="e">
        <f t="shared" si="268"/>
        <v>#N/A</v>
      </c>
      <c r="BZ154" s="54" t="b">
        <f t="shared" si="269"/>
        <v>0</v>
      </c>
      <c r="CA154" s="54" t="b">
        <f t="shared" si="270"/>
        <v>1</v>
      </c>
      <c r="CB154" s="54" t="b">
        <f t="shared" si="271"/>
        <v>0</v>
      </c>
      <c r="CC154" s="54" t="b">
        <f t="shared" si="272"/>
        <v>1</v>
      </c>
      <c r="CD154" s="54">
        <f t="shared" si="239"/>
        <v>0.37400080851990375</v>
      </c>
      <c r="CE154" s="54" t="e">
        <f t="shared" si="273"/>
        <v>#N/A</v>
      </c>
      <c r="CF154" s="54">
        <f t="shared" si="274"/>
        <v>0.37400080851990375</v>
      </c>
      <c r="CG154" s="72" t="str">
        <f t="shared" si="275"/>
        <v/>
      </c>
      <c r="CH154" s="54">
        <f>_xlfn.NORM.DIST(_xlfn.NORM.INV(1-Eu_g_konfidensniveau,0,1)-Eu_tabel_g[[#This Row],[x base]],0,1,TRUE)</f>
        <v>2.2525232347582649E-2</v>
      </c>
      <c r="CI154" s="54">
        <f>1-_xlfn.NORM.DIST(_xlfn.NORM.INV(Eu_g_konfidensniveau,0,1)-Eu_tabel_g[[#This Row],[x base]],0,1,TRUE)</f>
        <v>9.9304567300618429E-2</v>
      </c>
      <c r="CJ154" s="54">
        <f>_xlfn.NORM.DIST(_xlfn.NORM.INV((1-Eu_g_konfidensniveau)/2,0,1)-Eu_tabel_g[[#This Row],[x base]],0,1,TRUE)+1-_xlfn.NORM.DIST(_xlfn.NORM.INV(1-(1-Eu_g_konfidensniveau)/2,0,1)-Eu_tabel_g[[#This Row],[x base]],0,1,TRUE)</f>
        <v>6.4918500529934087E-2</v>
      </c>
      <c r="CK154" s="54" t="e" cm="1">
        <f t="array" ref="CK154">IF($CK$3,INDEX(Eu_tabel_g[[#This Row],[Styrke venstre]:[Styrke tosidet]],CK$7),NA())</f>
        <v>#N/A</v>
      </c>
      <c r="CL154" s="99" t="e">
        <f>Eu_tabel_g[[#This Row],[Falsk positiv
Nulhypotese accepteres
Fejltype 1]]</f>
        <v>#N/A</v>
      </c>
      <c r="CM154" s="99" t="e">
        <f>IF(CHOOSE(CK$7,Eu_tabel_g[[#This Row],[x base]]&gt;0,Eu_tabel_g[[#This Row],[x base]]&lt;0,Eu_tabel_g[[#This Row],[x base]]=0),Eu_tabel_g[[#This Row],[Styrke, aktiv]],NA())</f>
        <v>#N/A</v>
      </c>
      <c r="CN154" s="99" t="e">
        <f>IFERROR(IF($CK$3,Eu_tabel_g[[#This Row],[Styrke, aktiv]],NA()),NA())</f>
        <v>#N/A</v>
      </c>
      <c r="CO154" s="99" t="e">
        <f>IF(ISNA(Eu_tabel_g[[#This Row],[Sand negativ
Nulhypotese afvises
Korrekt]]),NA(),IF($CK$3,1,NA()))</f>
        <v>#N/A</v>
      </c>
      <c r="CP154" s="56" t="str" cm="1">
        <f t="array" ref="CP154">_xlfn.SWITCH(BS154,_xlfn.IFNA(CN$2,-99),CN$5,_xlfn.IFNA(CN$3,-99),CN$6,_xlfn.IFNA(CN$4,-99),CN$7,"")</f>
        <v/>
      </c>
      <c r="CT154" s="7">
        <f t="shared" si="276"/>
        <v>0.8</v>
      </c>
      <c r="CU154">
        <f>IF(ROW(Styrkeberegning_G[[#This Row],[X base venstre]])=ROW(Styrkeberegning_G[[#Headers],[X base venstre]])+1,CU$7/(CT$7/$B$67),CU153/(CT153/$B$67))</f>
        <v>-2.8015817870135784</v>
      </c>
      <c r="CV154">
        <f>Styrkeberegning_G[[#This Row],[X base venstre]]*-1</f>
        <v>2.8015817870135784</v>
      </c>
      <c r="DG154" s="54">
        <f t="shared" si="277"/>
        <v>144</v>
      </c>
      <c r="DH154" s="54">
        <f t="shared" si="278"/>
        <v>145</v>
      </c>
      <c r="DI154" s="54">
        <f t="shared" si="279"/>
        <v>18.260055988701836</v>
      </c>
      <c r="DJ154" s="54" t="e">
        <f t="shared" si="280"/>
        <v>#N/A</v>
      </c>
      <c r="DK154" s="54" t="e">
        <f t="shared" si="281"/>
        <v>#N/A</v>
      </c>
      <c r="DL154" s="54">
        <f t="shared" si="282"/>
        <v>2.1732863458762738E-2</v>
      </c>
      <c r="DM154" s="54" t="e">
        <f t="shared" si="283"/>
        <v>#N/A</v>
      </c>
      <c r="DN154" s="54" t="b">
        <f t="shared" si="284"/>
        <v>0</v>
      </c>
      <c r="DO154" s="54" t="b">
        <f t="shared" si="285"/>
        <v>1</v>
      </c>
      <c r="DP154" s="54" t="b">
        <f t="shared" si="286"/>
        <v>0</v>
      </c>
      <c r="DQ154" s="54" t="b">
        <f t="shared" si="287"/>
        <v>1</v>
      </c>
      <c r="DR154" s="54">
        <f t="shared" si="288"/>
        <v>2.1732863458762738E-2</v>
      </c>
      <c r="DS154" s="54" t="e">
        <f t="shared" si="289"/>
        <v>#N/A</v>
      </c>
      <c r="DT154" s="54">
        <f t="shared" si="290"/>
        <v>2.1732863458762738E-2</v>
      </c>
      <c r="DU154" s="72" t="str">
        <f t="shared" si="291"/>
        <v/>
      </c>
      <c r="DZ154" s="54">
        <f t="shared" si="292"/>
        <v>144</v>
      </c>
      <c r="EA154" s="54">
        <f t="shared" si="293"/>
        <v>145</v>
      </c>
      <c r="EB154" s="54">
        <f t="shared" si="294"/>
        <v>0.35932933792648969</v>
      </c>
      <c r="EC154" s="54">
        <f t="shared" si="295"/>
        <v>0.37400080851990375</v>
      </c>
      <c r="ED154" s="54" t="e">
        <f t="shared" si="296"/>
        <v>#N/A</v>
      </c>
      <c r="EE154" s="54" t="e">
        <f t="shared" si="297"/>
        <v>#N/A</v>
      </c>
      <c r="EF154" s="54" t="e">
        <f t="shared" si="298"/>
        <v>#N/A</v>
      </c>
      <c r="EG154" s="54" t="b">
        <f t="shared" si="299"/>
        <v>0</v>
      </c>
      <c r="EH154" s="54" t="b">
        <f t="shared" si="300"/>
        <v>1</v>
      </c>
      <c r="EI154" s="54" t="b">
        <f t="shared" si="301"/>
        <v>0</v>
      </c>
      <c r="EJ154" s="54" t="b">
        <f t="shared" si="302"/>
        <v>1</v>
      </c>
      <c r="EK154" s="54">
        <f t="shared" si="303"/>
        <v>0.37400080851990375</v>
      </c>
      <c r="EL154" s="54" t="e">
        <f t="shared" si="304"/>
        <v>#N/A</v>
      </c>
      <c r="EM154" s="54">
        <f t="shared" si="305"/>
        <v>0.37400080851990375</v>
      </c>
      <c r="EN154" s="72" t="str">
        <f t="shared" si="306"/>
        <v/>
      </c>
      <c r="EO15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5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5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54" s="54" t="e" cm="1">
        <f t="array" ref="ER154">IF($CK$3,INDEX(Eu_tabel_a[[#This Row],[Styrke venstre]:[Styrke tosidet]],ER$7),NA())</f>
        <v>#N/A</v>
      </c>
      <c r="ES154" s="54" t="e">
        <f>IF(ER$3,IF(CHOOSE(ER$7,Eu_tabel_a[[#This Row],[x base]]&gt;0,Eu_tabel_a[[#This Row],[x base]]&lt;0,Eu_tabel_a[[#This Row],[x base]]=0),1,NA()),NA())</f>
        <v>#N/A</v>
      </c>
      <c r="ET154" s="54" t="e">
        <f>IF(CHOOSE(ER$7,Eu_tabel_a[[#This Row],[x base]]&gt;0,Eu_tabel_a[[#This Row],[x base]]&lt;0,Eu_tabel_a[[#This Row],[x base]]=0),Eu_tabel_a[[#This Row],[Styrke, aktiv]],NA())</f>
        <v>#N/A</v>
      </c>
      <c r="EU154" s="54" t="e">
        <f>IFERROR(IF($ER$3,Eu_tabel_a[[#This Row],[Styrke, aktiv]],NA()),NA())</f>
        <v>#N/A</v>
      </c>
      <c r="EV154" s="54" t="e">
        <f>IF(ISNA(Eu_tabel_a[[#This Row],[Sand negativ
Nulhypotese afvises
Korrekt]]),NA(),IF(ER$3,1,NA()))</f>
        <v>#N/A</v>
      </c>
      <c r="EW154" s="55" t="str" cm="1">
        <f t="array" ref="EW154">IFERROR(_xlfn.SWITCH(Eu_tabel_a[[#This Row],[Indeks]],_xlfn.IFNA(EU$2,-99),EU$5,_xlfn.IFNA(EU$3,-99),EU$6,_xlfn.IFNA(EU$4,-99),EU$7,""),"")</f>
        <v/>
      </c>
      <c r="EX154" s="54">
        <f>Eu_tabel_a[[#This Row],[x base]]*SQRT(Eu_a_h0_x*(1-Eu_a_h0_x)/Eu_a_n_x)+Eu_a_h0_x</f>
        <v>0</v>
      </c>
      <c r="FC154" s="161" t="e">
        <f t="shared" si="250"/>
        <v>#N/A</v>
      </c>
      <c r="FD154" s="169" t="e">
        <f t="shared" si="234"/>
        <v>#DIV/0!</v>
      </c>
      <c r="FE154" s="7" t="e">
        <f t="shared" si="244"/>
        <v>#DIV/0!</v>
      </c>
      <c r="FF154" t="e">
        <f t="shared" si="235"/>
        <v>#DIV/0!</v>
      </c>
      <c r="FG154" s="8" t="e">
        <f t="shared" si="236"/>
        <v>#DIV/0!</v>
      </c>
      <c r="FH154" s="8" t="e">
        <f t="shared" si="237"/>
        <v>#DIV/0!</v>
      </c>
      <c r="FI154" s="168" t="e">
        <f t="shared" si="238"/>
        <v>#DIV/0!</v>
      </c>
      <c r="FJ154" s="161" t="e">
        <f t="shared" ca="1" si="245"/>
        <v>#N/A</v>
      </c>
      <c r="FK154" s="169" t="e" vm="3">
        <f t="shared" ca="1" si="251"/>
        <v>#VALUE!</v>
      </c>
      <c r="FL154" s="7" t="e" vm="3">
        <f t="shared" ca="1" si="246"/>
        <v>#VALUE!</v>
      </c>
      <c r="FM154" t="e" vm="3">
        <f t="shared" ca="1" si="240"/>
        <v>#VALUE!</v>
      </c>
      <c r="FN154" s="8" t="e" vm="3">
        <f t="shared" ca="1" si="241"/>
        <v>#VALUE!</v>
      </c>
      <c r="FO154" s="8" t="e" vm="3">
        <f t="shared" ca="1" si="242"/>
        <v>#VALUE!</v>
      </c>
      <c r="FP154" s="168" t="e" vm="3">
        <f t="shared" ca="1" si="243"/>
        <v>#VALUE!</v>
      </c>
      <c r="FQ154" s="161" t="e">
        <f t="shared" si="247"/>
        <v>#N/A</v>
      </c>
      <c r="FR154" s="169" t="e">
        <f t="shared" si="252"/>
        <v>#N/A</v>
      </c>
      <c r="FS154" s="7" t="e">
        <f t="shared" si="248"/>
        <v>#N/A</v>
      </c>
      <c r="FT154" t="e">
        <f t="shared" si="253"/>
        <v>#N/A</v>
      </c>
      <c r="FU154" s="8" t="e">
        <f t="shared" si="254"/>
        <v>#N/A</v>
      </c>
      <c r="FV154" s="8" t="e">
        <f t="shared" si="255"/>
        <v>#N/A</v>
      </c>
      <c r="FW154" s="168" t="e">
        <f t="shared" si="256"/>
        <v>#N/A</v>
      </c>
      <c r="FX154" s="161" t="e">
        <f t="shared" si="257"/>
        <v>#N/A</v>
      </c>
      <c r="FY154" s="169" t="e">
        <f t="shared" si="258"/>
        <v>#N/A</v>
      </c>
      <c r="FZ154" s="7" t="e">
        <f t="shared" si="249"/>
        <v>#N/A</v>
      </c>
      <c r="GA154" t="e">
        <f t="shared" si="259"/>
        <v>#N/A</v>
      </c>
      <c r="GB154" s="8" t="e">
        <f t="shared" si="260"/>
        <v>#N/A</v>
      </c>
      <c r="GC154" s="8" t="e">
        <f t="shared" si="261"/>
        <v>#N/A</v>
      </c>
      <c r="GD154" s="168" t="e">
        <f t="shared" si="262"/>
        <v>#N/A</v>
      </c>
      <c r="GE154" s="168"/>
      <c r="GF154" s="168"/>
      <c r="GI154" s="54">
        <f t="shared" si="307"/>
        <v>144</v>
      </c>
      <c r="GJ154" s="54">
        <f t="shared" si="308"/>
        <v>145</v>
      </c>
      <c r="GK154" s="54">
        <f t="shared" si="309"/>
        <v>0.35932933792648969</v>
      </c>
      <c r="GL154" s="54">
        <f t="shared" si="310"/>
        <v>0.37400080851990375</v>
      </c>
      <c r="GM154" s="54" t="e">
        <f t="shared" si="311"/>
        <v>#N/A</v>
      </c>
      <c r="GN154" s="54" t="e">
        <f t="shared" si="312"/>
        <v>#N/A</v>
      </c>
      <c r="GO154" s="54" t="e">
        <f t="shared" si="313"/>
        <v>#N/A</v>
      </c>
      <c r="GP154" s="54" t="b">
        <f t="shared" si="314"/>
        <v>0</v>
      </c>
      <c r="GQ154" s="54" t="b">
        <f t="shared" si="315"/>
        <v>1</v>
      </c>
      <c r="GR154" s="54" t="b">
        <f t="shared" si="316"/>
        <v>0</v>
      </c>
      <c r="GS154" s="54" t="b">
        <f t="shared" si="317"/>
        <v>1</v>
      </c>
      <c r="GT154" s="54">
        <f t="shared" si="318"/>
        <v>0.37400080851990375</v>
      </c>
      <c r="GU154" s="54" t="e">
        <f t="shared" si="319"/>
        <v>#N/A</v>
      </c>
      <c r="GV154" s="54">
        <f t="shared" si="320"/>
        <v>0.37400080851990375</v>
      </c>
      <c r="GW154" s="72" t="str">
        <f t="shared" si="321"/>
        <v/>
      </c>
      <c r="HC154" s="54">
        <f t="shared" si="322"/>
        <v>144</v>
      </c>
      <c r="HD154" s="54">
        <f t="shared" si="323"/>
        <v>145</v>
      </c>
      <c r="HE154" s="54">
        <f t="shared" si="324"/>
        <v>0.55642902658585314</v>
      </c>
      <c r="HF154" s="54" t="e">
        <f t="shared" si="325"/>
        <v>#N/A</v>
      </c>
      <c r="HG154" s="54">
        <f t="shared" si="326"/>
        <v>0.3237916510815077</v>
      </c>
      <c r="HH154" s="54" t="e">
        <f t="shared" si="327"/>
        <v>#N/A</v>
      </c>
      <c r="HI154" s="54" t="e">
        <f t="shared" si="328"/>
        <v>#N/A</v>
      </c>
      <c r="HJ154" s="54" t="b">
        <f t="shared" si="329"/>
        <v>1</v>
      </c>
      <c r="HK154" s="54" t="b">
        <f t="shared" si="330"/>
        <v>0</v>
      </c>
      <c r="HL154" s="54" t="b">
        <f t="shared" si="331"/>
        <v>0</v>
      </c>
      <c r="HM154" s="54" t="b">
        <f t="shared" si="332"/>
        <v>1</v>
      </c>
      <c r="HN154" s="54">
        <f t="shared" si="333"/>
        <v>0.3237916510815077</v>
      </c>
      <c r="HO154" s="54">
        <f t="shared" si="334"/>
        <v>0.3237916510815077</v>
      </c>
      <c r="HP154" s="54" t="e">
        <f t="shared" si="335"/>
        <v>#N/A</v>
      </c>
      <c r="HQ154" s="72" t="str">
        <f t="shared" si="336"/>
        <v/>
      </c>
    </row>
    <row r="155" spans="71:225" x14ac:dyDescent="0.2">
      <c r="BS155" s="54">
        <f t="shared" si="263"/>
        <v>145</v>
      </c>
      <c r="BT155" s="54">
        <f>Eu_tabel_g[[#This Row],[Indeks]]+1</f>
        <v>146</v>
      </c>
      <c r="BU155" s="54">
        <f t="shared" si="264"/>
        <v>0.38328462712158906</v>
      </c>
      <c r="BV155" s="54">
        <f t="shared" si="265"/>
        <v>0.37068890990689796</v>
      </c>
      <c r="BW155" s="54" t="e">
        <f t="shared" si="266"/>
        <v>#N/A</v>
      </c>
      <c r="BX155" s="54" t="e">
        <f t="shared" si="267"/>
        <v>#N/A</v>
      </c>
      <c r="BY155" s="54" t="e">
        <f t="shared" si="268"/>
        <v>#N/A</v>
      </c>
      <c r="BZ155" s="54" t="b">
        <f t="shared" si="269"/>
        <v>0</v>
      </c>
      <c r="CA155" s="54" t="b">
        <f t="shared" si="270"/>
        <v>1</v>
      </c>
      <c r="CB155" s="54" t="b">
        <f t="shared" si="271"/>
        <v>0</v>
      </c>
      <c r="CC155" s="54" t="b">
        <f t="shared" si="272"/>
        <v>1</v>
      </c>
      <c r="CD155" s="54">
        <f t="shared" si="239"/>
        <v>0.37068890990689796</v>
      </c>
      <c r="CE155" s="54" t="e">
        <f t="shared" si="273"/>
        <v>#N/A</v>
      </c>
      <c r="CF155" s="54">
        <f t="shared" si="274"/>
        <v>0.37068890990689796</v>
      </c>
      <c r="CG155" s="72" t="str">
        <f t="shared" si="275"/>
        <v/>
      </c>
      <c r="CH155" s="54">
        <f>_xlfn.NORM.DIST(_xlfn.NORM.INV(1-Eu_g_konfidensniveau,0,1)-Eu_tabel_g[[#This Row],[x base]],0,1,TRUE)</f>
        <v>2.127306980794616E-2</v>
      </c>
      <c r="CI155" s="54">
        <f>1-_xlfn.NORM.DIST(_xlfn.NORM.INV(Eu_g_konfidensniveau,0,1)-Eu_tabel_g[[#This Row],[x base]],0,1,TRUE)</f>
        <v>0.10355195846784904</v>
      </c>
      <c r="CJ155" s="54">
        <f>_xlfn.NORM.DIST(_xlfn.NORM.INV((1-Eu_g_konfidensniveau)/2,0,1)-Eu_tabel_g[[#This Row],[x base]],0,1,TRUE)+1-_xlfn.NORM.DIST(_xlfn.NORM.INV(1-(1-Eu_g_konfidensniveau)/2,0,1)-Eu_tabel_g[[#This Row],[x base]],0,1,TRUE)</f>
        <v>6.6992981287097075E-2</v>
      </c>
      <c r="CK155" s="54" t="e" cm="1">
        <f t="array" ref="CK155">IF($CK$3,INDEX(Eu_tabel_g[[#This Row],[Styrke venstre]:[Styrke tosidet]],CK$7),NA())</f>
        <v>#N/A</v>
      </c>
      <c r="CL155" s="99" t="e">
        <f>Eu_tabel_g[[#This Row],[Falsk positiv
Nulhypotese accepteres
Fejltype 1]]</f>
        <v>#N/A</v>
      </c>
      <c r="CM155" s="99" t="e">
        <f>IF(CHOOSE(CK$7,Eu_tabel_g[[#This Row],[x base]]&gt;0,Eu_tabel_g[[#This Row],[x base]]&lt;0,Eu_tabel_g[[#This Row],[x base]]=0),Eu_tabel_g[[#This Row],[Styrke, aktiv]],NA())</f>
        <v>#N/A</v>
      </c>
      <c r="CN155" s="99" t="e">
        <f>IFERROR(IF($CK$3,Eu_tabel_g[[#This Row],[Styrke, aktiv]],NA()),NA())</f>
        <v>#N/A</v>
      </c>
      <c r="CO155" s="99" t="e">
        <f>IF(ISNA(Eu_tabel_g[[#This Row],[Sand negativ
Nulhypotese afvises
Korrekt]]),NA(),IF($CK$3,1,NA()))</f>
        <v>#N/A</v>
      </c>
      <c r="CP155" s="56" t="str" cm="1">
        <f t="array" ref="CP155">_xlfn.SWITCH(BS155,_xlfn.IFNA(CN$2,-99),CN$5,_xlfn.IFNA(CN$3,-99),CN$6,_xlfn.IFNA(CN$4,-99),CN$7,"")</f>
        <v/>
      </c>
      <c r="CT155" s="7">
        <f t="shared" si="276"/>
        <v>0.8</v>
      </c>
      <c r="CU155">
        <f>IF(ROW(Styrkeberegning_G[[#This Row],[X base venstre]])=ROW(Styrkeberegning_G[[#Headers],[X base venstre]])+1,CU$7/(CT$7/$B$67),CU154/(CT154/$B$67))</f>
        <v>-2.8015817870135784</v>
      </c>
      <c r="CV155">
        <f>Styrkeberegning_G[[#This Row],[X base venstre]]*-1</f>
        <v>2.8015817870135784</v>
      </c>
      <c r="DG155" s="54">
        <f t="shared" si="277"/>
        <v>145</v>
      </c>
      <c r="DH155" s="54">
        <f t="shared" si="278"/>
        <v>146</v>
      </c>
      <c r="DI155" s="54">
        <f t="shared" si="279"/>
        <v>18.374126845118838</v>
      </c>
      <c r="DJ155" s="54" t="e">
        <f t="shared" si="280"/>
        <v>#N/A</v>
      </c>
      <c r="DK155" s="54" t="e">
        <f t="shared" si="281"/>
        <v>#N/A</v>
      </c>
      <c r="DL155" s="54">
        <f t="shared" si="282"/>
        <v>2.1111422817193068E-2</v>
      </c>
      <c r="DM155" s="54" t="e">
        <f t="shared" si="283"/>
        <v>#N/A</v>
      </c>
      <c r="DN155" s="54" t="b">
        <f t="shared" si="284"/>
        <v>0</v>
      </c>
      <c r="DO155" s="54" t="b">
        <f t="shared" si="285"/>
        <v>1</v>
      </c>
      <c r="DP155" s="54" t="b">
        <f t="shared" si="286"/>
        <v>0</v>
      </c>
      <c r="DQ155" s="54" t="b">
        <f t="shared" si="287"/>
        <v>1</v>
      </c>
      <c r="DR155" s="54">
        <f t="shared" si="288"/>
        <v>2.1111422817193068E-2</v>
      </c>
      <c r="DS155" s="54" t="e">
        <f t="shared" si="289"/>
        <v>#N/A</v>
      </c>
      <c r="DT155" s="54">
        <f t="shared" si="290"/>
        <v>2.1111422817193068E-2</v>
      </c>
      <c r="DU155" s="72" t="str">
        <f t="shared" si="291"/>
        <v/>
      </c>
      <c r="DZ155" s="54">
        <f t="shared" si="292"/>
        <v>145</v>
      </c>
      <c r="EA155" s="54">
        <f t="shared" si="293"/>
        <v>146</v>
      </c>
      <c r="EB155" s="54">
        <f t="shared" si="294"/>
        <v>0.38328462712158906</v>
      </c>
      <c r="EC155" s="54">
        <f t="shared" si="295"/>
        <v>0.37068890990689796</v>
      </c>
      <c r="ED155" s="54" t="e">
        <f t="shared" si="296"/>
        <v>#N/A</v>
      </c>
      <c r="EE155" s="54" t="e">
        <f t="shared" si="297"/>
        <v>#N/A</v>
      </c>
      <c r="EF155" s="54" t="e">
        <f t="shared" si="298"/>
        <v>#N/A</v>
      </c>
      <c r="EG155" s="54" t="b">
        <f t="shared" si="299"/>
        <v>0</v>
      </c>
      <c r="EH155" s="54" t="b">
        <f t="shared" si="300"/>
        <v>1</v>
      </c>
      <c r="EI155" s="54" t="b">
        <f t="shared" si="301"/>
        <v>0</v>
      </c>
      <c r="EJ155" s="54" t="b">
        <f t="shared" si="302"/>
        <v>1</v>
      </c>
      <c r="EK155" s="54">
        <f t="shared" si="303"/>
        <v>0.37068890990689796</v>
      </c>
      <c r="EL155" s="54" t="e">
        <f t="shared" si="304"/>
        <v>#N/A</v>
      </c>
      <c r="EM155" s="54">
        <f t="shared" si="305"/>
        <v>0.37068890990689796</v>
      </c>
      <c r="EN155" s="72" t="str">
        <f t="shared" si="306"/>
        <v/>
      </c>
      <c r="EO15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5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5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55" s="54" t="e" cm="1">
        <f t="array" ref="ER155">IF($CK$3,INDEX(Eu_tabel_a[[#This Row],[Styrke venstre]:[Styrke tosidet]],ER$7),NA())</f>
        <v>#N/A</v>
      </c>
      <c r="ES155" s="54" t="e">
        <f>IF(ER$3,IF(CHOOSE(ER$7,Eu_tabel_a[[#This Row],[x base]]&gt;0,Eu_tabel_a[[#This Row],[x base]]&lt;0,Eu_tabel_a[[#This Row],[x base]]=0),1,NA()),NA())</f>
        <v>#N/A</v>
      </c>
      <c r="ET155" s="54" t="e">
        <f>IF(CHOOSE(ER$7,Eu_tabel_a[[#This Row],[x base]]&gt;0,Eu_tabel_a[[#This Row],[x base]]&lt;0,Eu_tabel_a[[#This Row],[x base]]=0),Eu_tabel_a[[#This Row],[Styrke, aktiv]],NA())</f>
        <v>#N/A</v>
      </c>
      <c r="EU155" s="54" t="e">
        <f>IFERROR(IF($ER$3,Eu_tabel_a[[#This Row],[Styrke, aktiv]],NA()),NA())</f>
        <v>#N/A</v>
      </c>
      <c r="EV155" s="54" t="e">
        <f>IF(ISNA(Eu_tabel_a[[#This Row],[Sand negativ
Nulhypotese afvises
Korrekt]]),NA(),IF(ER$3,1,NA()))</f>
        <v>#N/A</v>
      </c>
      <c r="EW155" s="55" t="str" cm="1">
        <f t="array" ref="EW155">IFERROR(_xlfn.SWITCH(Eu_tabel_a[[#This Row],[Indeks]],_xlfn.IFNA(EU$2,-99),EU$5,_xlfn.IFNA(EU$3,-99),EU$6,_xlfn.IFNA(EU$4,-99),EU$7,""),"")</f>
        <v/>
      </c>
      <c r="EX155" s="54">
        <f>Eu_tabel_a[[#This Row],[x base]]*SQRT(Eu_a_h0_x*(1-Eu_a_h0_x)/Eu_a_n_x)+Eu_a_h0_x</f>
        <v>0</v>
      </c>
      <c r="FC155" s="161" t="e">
        <f t="shared" si="250"/>
        <v>#N/A</v>
      </c>
      <c r="FD155" s="169" t="e">
        <f t="shared" si="234"/>
        <v>#DIV/0!</v>
      </c>
      <c r="FE155" s="7" t="e">
        <f t="shared" si="244"/>
        <v>#DIV/0!</v>
      </c>
      <c r="FF155" t="e">
        <f t="shared" si="235"/>
        <v>#DIV/0!</v>
      </c>
      <c r="FG155" s="8" t="e">
        <f t="shared" si="236"/>
        <v>#DIV/0!</v>
      </c>
      <c r="FH155" s="8" t="e">
        <f t="shared" si="237"/>
        <v>#DIV/0!</v>
      </c>
      <c r="FI155" s="168" t="e">
        <f t="shared" si="238"/>
        <v>#DIV/0!</v>
      </c>
      <c r="FJ155" s="161" t="e">
        <f t="shared" ca="1" si="245"/>
        <v>#N/A</v>
      </c>
      <c r="FK155" s="169" t="e" vm="3">
        <f t="shared" ca="1" si="251"/>
        <v>#VALUE!</v>
      </c>
      <c r="FL155" s="7" t="e" vm="3">
        <f t="shared" ca="1" si="246"/>
        <v>#VALUE!</v>
      </c>
      <c r="FM155" t="e" vm="3">
        <f t="shared" ca="1" si="240"/>
        <v>#VALUE!</v>
      </c>
      <c r="FN155" s="8" t="e" vm="3">
        <f t="shared" ca="1" si="241"/>
        <v>#VALUE!</v>
      </c>
      <c r="FO155" s="8" t="e" vm="3">
        <f t="shared" ca="1" si="242"/>
        <v>#VALUE!</v>
      </c>
      <c r="FP155" s="168" t="e" vm="3">
        <f t="shared" ca="1" si="243"/>
        <v>#VALUE!</v>
      </c>
      <c r="FQ155" s="161" t="e">
        <f t="shared" si="247"/>
        <v>#N/A</v>
      </c>
      <c r="FR155" s="169" t="e">
        <f t="shared" si="252"/>
        <v>#N/A</v>
      </c>
      <c r="FS155" s="7" t="e">
        <f t="shared" si="248"/>
        <v>#N/A</v>
      </c>
      <c r="FT155" t="e">
        <f t="shared" si="253"/>
        <v>#N/A</v>
      </c>
      <c r="FU155" s="8" t="e">
        <f t="shared" si="254"/>
        <v>#N/A</v>
      </c>
      <c r="FV155" s="8" t="e">
        <f t="shared" si="255"/>
        <v>#N/A</v>
      </c>
      <c r="FW155" s="168" t="e">
        <f t="shared" si="256"/>
        <v>#N/A</v>
      </c>
      <c r="FX155" s="161" t="e">
        <f t="shared" si="257"/>
        <v>#N/A</v>
      </c>
      <c r="FY155" s="169" t="e">
        <f t="shared" si="258"/>
        <v>#N/A</v>
      </c>
      <c r="FZ155" s="7" t="e">
        <f t="shared" si="249"/>
        <v>#N/A</v>
      </c>
      <c r="GA155" t="e">
        <f t="shared" si="259"/>
        <v>#N/A</v>
      </c>
      <c r="GB155" s="8" t="e">
        <f t="shared" si="260"/>
        <v>#N/A</v>
      </c>
      <c r="GC155" s="8" t="e">
        <f t="shared" si="261"/>
        <v>#N/A</v>
      </c>
      <c r="GD155" s="168" t="e">
        <f t="shared" si="262"/>
        <v>#N/A</v>
      </c>
      <c r="GE155" s="168"/>
      <c r="GF155" s="168"/>
      <c r="GI155" s="54">
        <f t="shared" si="307"/>
        <v>145</v>
      </c>
      <c r="GJ155" s="54">
        <f t="shared" si="308"/>
        <v>146</v>
      </c>
      <c r="GK155" s="54">
        <f t="shared" si="309"/>
        <v>0.38328462712158906</v>
      </c>
      <c r="GL155" s="54">
        <f t="shared" si="310"/>
        <v>0.37068890990689796</v>
      </c>
      <c r="GM155" s="54" t="e">
        <f t="shared" si="311"/>
        <v>#N/A</v>
      </c>
      <c r="GN155" s="54" t="e">
        <f t="shared" si="312"/>
        <v>#N/A</v>
      </c>
      <c r="GO155" s="54" t="e">
        <f t="shared" si="313"/>
        <v>#N/A</v>
      </c>
      <c r="GP155" s="54" t="b">
        <f t="shared" si="314"/>
        <v>0</v>
      </c>
      <c r="GQ155" s="54" t="b">
        <f t="shared" si="315"/>
        <v>1</v>
      </c>
      <c r="GR155" s="54" t="b">
        <f t="shared" si="316"/>
        <v>0</v>
      </c>
      <c r="GS155" s="54" t="b">
        <f t="shared" si="317"/>
        <v>1</v>
      </c>
      <c r="GT155" s="54">
        <f t="shared" si="318"/>
        <v>0.37068890990689796</v>
      </c>
      <c r="GU155" s="54" t="e">
        <f t="shared" si="319"/>
        <v>#N/A</v>
      </c>
      <c r="GV155" s="54">
        <f t="shared" si="320"/>
        <v>0.37068890990689796</v>
      </c>
      <c r="GW155" s="72" t="str">
        <f t="shared" si="321"/>
        <v/>
      </c>
      <c r="HC155" s="54">
        <f t="shared" si="322"/>
        <v>145</v>
      </c>
      <c r="HD155" s="54">
        <f t="shared" si="323"/>
        <v>146</v>
      </c>
      <c r="HE155" s="54">
        <f t="shared" si="324"/>
        <v>0.59352429502490978</v>
      </c>
      <c r="HF155" s="54" t="e">
        <f t="shared" si="325"/>
        <v>#N/A</v>
      </c>
      <c r="HG155" s="54">
        <f t="shared" si="326"/>
        <v>0.3163422496360116</v>
      </c>
      <c r="HH155" s="54" t="e">
        <f t="shared" si="327"/>
        <v>#N/A</v>
      </c>
      <c r="HI155" s="54" t="e">
        <f t="shared" si="328"/>
        <v>#N/A</v>
      </c>
      <c r="HJ155" s="54" t="b">
        <f t="shared" si="329"/>
        <v>1</v>
      </c>
      <c r="HK155" s="54" t="b">
        <f t="shared" si="330"/>
        <v>0</v>
      </c>
      <c r="HL155" s="54" t="b">
        <f t="shared" si="331"/>
        <v>0</v>
      </c>
      <c r="HM155" s="54" t="b">
        <f t="shared" si="332"/>
        <v>1</v>
      </c>
      <c r="HN155" s="54">
        <f t="shared" si="333"/>
        <v>0.3163422496360116</v>
      </c>
      <c r="HO155" s="54">
        <f t="shared" si="334"/>
        <v>0.3163422496360116</v>
      </c>
      <c r="HP155" s="54" t="e">
        <f t="shared" si="335"/>
        <v>#N/A</v>
      </c>
      <c r="HQ155" s="72" t="str">
        <f t="shared" si="336"/>
        <v/>
      </c>
    </row>
    <row r="156" spans="71:225" x14ac:dyDescent="0.2">
      <c r="BS156" s="54">
        <f t="shared" si="263"/>
        <v>146</v>
      </c>
      <c r="BT156" s="54">
        <f>Eu_tabel_g[[#This Row],[Indeks]]+1</f>
        <v>147</v>
      </c>
      <c r="BU156" s="54">
        <f t="shared" si="264"/>
        <v>0.40723991631668843</v>
      </c>
      <c r="BV156" s="54">
        <f t="shared" si="265"/>
        <v>0.36719556142717458</v>
      </c>
      <c r="BW156" s="54" t="e">
        <f t="shared" si="266"/>
        <v>#N/A</v>
      </c>
      <c r="BX156" s="54" t="e">
        <f t="shared" si="267"/>
        <v>#N/A</v>
      </c>
      <c r="BY156" s="54" t="e">
        <f t="shared" si="268"/>
        <v>#N/A</v>
      </c>
      <c r="BZ156" s="54" t="b">
        <f t="shared" si="269"/>
        <v>0</v>
      </c>
      <c r="CA156" s="54" t="b">
        <f t="shared" si="270"/>
        <v>1</v>
      </c>
      <c r="CB156" s="54" t="b">
        <f t="shared" si="271"/>
        <v>0</v>
      </c>
      <c r="CC156" s="54" t="b">
        <f t="shared" si="272"/>
        <v>1</v>
      </c>
      <c r="CD156" s="54">
        <f t="shared" si="239"/>
        <v>0.36719556142717458</v>
      </c>
      <c r="CE156" s="54" t="e">
        <f t="shared" si="273"/>
        <v>#N/A</v>
      </c>
      <c r="CF156" s="54">
        <f t="shared" si="274"/>
        <v>0.36719556142717458</v>
      </c>
      <c r="CG156" s="72" t="str">
        <f t="shared" si="275"/>
        <v/>
      </c>
      <c r="CH156" s="54">
        <f>_xlfn.NORM.DIST(_xlfn.NORM.INV(1-Eu_g_konfidensniveau,0,1)-Eu_tabel_g[[#This Row],[x base]],0,1,TRUE)</f>
        <v>2.0080286162773093E-2</v>
      </c>
      <c r="CI156" s="54">
        <f>1-_xlfn.NORM.DIST(_xlfn.NORM.INV(Eu_g_konfidensniveau,0,1)-Eu_tabel_g[[#This Row],[x base]],0,1,TRUE)</f>
        <v>0.10792966408969762</v>
      </c>
      <c r="CJ156" s="54">
        <f>_xlfn.NORM.DIST(_xlfn.NORM.INV((1-Eu_g_konfidensniveau)/2,0,1)-Eu_tabel_g[[#This Row],[x base]],0,1,TRUE)+1-_xlfn.NORM.DIST(_xlfn.NORM.INV(1-(1-Eu_g_konfidensniveau)/2,0,1)-Eu_tabel_g[[#This Row],[x base]],0,1,TRUE)</f>
        <v>6.9206062561586568E-2</v>
      </c>
      <c r="CK156" s="54" t="e" cm="1">
        <f t="array" ref="CK156">IF($CK$3,INDEX(Eu_tabel_g[[#This Row],[Styrke venstre]:[Styrke tosidet]],CK$7),NA())</f>
        <v>#N/A</v>
      </c>
      <c r="CL156" s="99" t="e">
        <f>Eu_tabel_g[[#This Row],[Falsk positiv
Nulhypotese accepteres
Fejltype 1]]</f>
        <v>#N/A</v>
      </c>
      <c r="CM156" s="99" t="e">
        <f>IF(CHOOSE(CK$7,Eu_tabel_g[[#This Row],[x base]]&gt;0,Eu_tabel_g[[#This Row],[x base]]&lt;0,Eu_tabel_g[[#This Row],[x base]]=0),Eu_tabel_g[[#This Row],[Styrke, aktiv]],NA())</f>
        <v>#N/A</v>
      </c>
      <c r="CN156" s="99" t="e">
        <f>IFERROR(IF($CK$3,Eu_tabel_g[[#This Row],[Styrke, aktiv]],NA()),NA())</f>
        <v>#N/A</v>
      </c>
      <c r="CO156" s="99" t="e">
        <f>IF(ISNA(Eu_tabel_g[[#This Row],[Sand negativ
Nulhypotese afvises
Korrekt]]),NA(),IF($CK$3,1,NA()))</f>
        <v>#N/A</v>
      </c>
      <c r="CP156" s="56" t="str" cm="1">
        <f t="array" ref="CP156">_xlfn.SWITCH(BS156,_xlfn.IFNA(CN$2,-99),CN$5,_xlfn.IFNA(CN$3,-99),CN$6,_xlfn.IFNA(CN$4,-99),CN$7,"")</f>
        <v/>
      </c>
      <c r="CT156" s="7">
        <f t="shared" si="276"/>
        <v>0.8</v>
      </c>
      <c r="CU156">
        <f>IF(ROW(Styrkeberegning_G[[#This Row],[X base venstre]])=ROW(Styrkeberegning_G[[#Headers],[X base venstre]])+1,CU$7/(CT$7/$B$67),CU155/(CT155/$B$67))</f>
        <v>-2.8015817870135784</v>
      </c>
      <c r="CV156">
        <f>Styrkeberegning_G[[#This Row],[X base venstre]]*-1</f>
        <v>2.8015817870135784</v>
      </c>
      <c r="DG156" s="54">
        <f t="shared" si="277"/>
        <v>146</v>
      </c>
      <c r="DH156" s="54">
        <f t="shared" si="278"/>
        <v>147</v>
      </c>
      <c r="DI156" s="54">
        <f t="shared" si="279"/>
        <v>18.488197701535835</v>
      </c>
      <c r="DJ156" s="54" t="e">
        <f t="shared" si="280"/>
        <v>#N/A</v>
      </c>
      <c r="DK156" s="54" t="e">
        <f t="shared" si="281"/>
        <v>#N/A</v>
      </c>
      <c r="DL156" s="54">
        <f t="shared" si="282"/>
        <v>2.0504195349660678E-2</v>
      </c>
      <c r="DM156" s="54" t="e">
        <f t="shared" si="283"/>
        <v>#N/A</v>
      </c>
      <c r="DN156" s="54" t="b">
        <f t="shared" si="284"/>
        <v>0</v>
      </c>
      <c r="DO156" s="54" t="b">
        <f t="shared" si="285"/>
        <v>1</v>
      </c>
      <c r="DP156" s="54" t="b">
        <f t="shared" si="286"/>
        <v>0</v>
      </c>
      <c r="DQ156" s="54" t="b">
        <f t="shared" si="287"/>
        <v>1</v>
      </c>
      <c r="DR156" s="54">
        <f t="shared" si="288"/>
        <v>2.0504195349660678E-2</v>
      </c>
      <c r="DS156" s="54" t="e">
        <f t="shared" si="289"/>
        <v>#N/A</v>
      </c>
      <c r="DT156" s="54">
        <f t="shared" si="290"/>
        <v>2.0504195349660678E-2</v>
      </c>
      <c r="DU156" s="72" t="str">
        <f t="shared" si="291"/>
        <v/>
      </c>
      <c r="DZ156" s="54">
        <f t="shared" si="292"/>
        <v>146</v>
      </c>
      <c r="EA156" s="54">
        <f t="shared" si="293"/>
        <v>147</v>
      </c>
      <c r="EB156" s="54">
        <f t="shared" si="294"/>
        <v>0.40723991631668843</v>
      </c>
      <c r="EC156" s="54">
        <f t="shared" si="295"/>
        <v>0.36719556142717458</v>
      </c>
      <c r="ED156" s="54" t="e">
        <f t="shared" si="296"/>
        <v>#N/A</v>
      </c>
      <c r="EE156" s="54" t="e">
        <f t="shared" si="297"/>
        <v>#N/A</v>
      </c>
      <c r="EF156" s="54" t="e">
        <f t="shared" si="298"/>
        <v>#N/A</v>
      </c>
      <c r="EG156" s="54" t="b">
        <f t="shared" si="299"/>
        <v>0</v>
      </c>
      <c r="EH156" s="54" t="b">
        <f t="shared" si="300"/>
        <v>1</v>
      </c>
      <c r="EI156" s="54" t="b">
        <f t="shared" si="301"/>
        <v>0</v>
      </c>
      <c r="EJ156" s="54" t="b">
        <f t="shared" si="302"/>
        <v>1</v>
      </c>
      <c r="EK156" s="54">
        <f t="shared" si="303"/>
        <v>0.36719556142717458</v>
      </c>
      <c r="EL156" s="54" t="e">
        <f t="shared" si="304"/>
        <v>#N/A</v>
      </c>
      <c r="EM156" s="54">
        <f t="shared" si="305"/>
        <v>0.36719556142717458</v>
      </c>
      <c r="EN156" s="72" t="str">
        <f t="shared" si="306"/>
        <v/>
      </c>
      <c r="EO15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5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5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56" s="54" t="e" cm="1">
        <f t="array" ref="ER156">IF($CK$3,INDEX(Eu_tabel_a[[#This Row],[Styrke venstre]:[Styrke tosidet]],ER$7),NA())</f>
        <v>#N/A</v>
      </c>
      <c r="ES156" s="54" t="e">
        <f>IF(ER$3,IF(CHOOSE(ER$7,Eu_tabel_a[[#This Row],[x base]]&gt;0,Eu_tabel_a[[#This Row],[x base]]&lt;0,Eu_tabel_a[[#This Row],[x base]]=0),1,NA()),NA())</f>
        <v>#N/A</v>
      </c>
      <c r="ET156" s="54" t="e">
        <f>IF(CHOOSE(ER$7,Eu_tabel_a[[#This Row],[x base]]&gt;0,Eu_tabel_a[[#This Row],[x base]]&lt;0,Eu_tabel_a[[#This Row],[x base]]=0),Eu_tabel_a[[#This Row],[Styrke, aktiv]],NA())</f>
        <v>#N/A</v>
      </c>
      <c r="EU156" s="54" t="e">
        <f>IFERROR(IF($ER$3,Eu_tabel_a[[#This Row],[Styrke, aktiv]],NA()),NA())</f>
        <v>#N/A</v>
      </c>
      <c r="EV156" s="54" t="e">
        <f>IF(ISNA(Eu_tabel_a[[#This Row],[Sand negativ
Nulhypotese afvises
Korrekt]]),NA(),IF(ER$3,1,NA()))</f>
        <v>#N/A</v>
      </c>
      <c r="EW156" s="55" t="str" cm="1">
        <f t="array" ref="EW156">IFERROR(_xlfn.SWITCH(Eu_tabel_a[[#This Row],[Indeks]],_xlfn.IFNA(EU$2,-99),EU$5,_xlfn.IFNA(EU$3,-99),EU$6,_xlfn.IFNA(EU$4,-99),EU$7,""),"")</f>
        <v/>
      </c>
      <c r="EX156" s="54">
        <f>Eu_tabel_a[[#This Row],[x base]]*SQRT(Eu_a_h0_x*(1-Eu_a_h0_x)/Eu_a_n_x)+Eu_a_h0_x</f>
        <v>0</v>
      </c>
      <c r="FC156" s="161" t="e">
        <f t="shared" si="250"/>
        <v>#N/A</v>
      </c>
      <c r="FD156" s="169" t="e">
        <f t="shared" si="234"/>
        <v>#DIV/0!</v>
      </c>
      <c r="FE156" s="7" t="e">
        <f t="shared" si="244"/>
        <v>#DIV/0!</v>
      </c>
      <c r="FF156" t="e">
        <f t="shared" si="235"/>
        <v>#DIV/0!</v>
      </c>
      <c r="FG156" s="8" t="e">
        <f t="shared" si="236"/>
        <v>#DIV/0!</v>
      </c>
      <c r="FH156" s="8" t="e">
        <f t="shared" si="237"/>
        <v>#DIV/0!</v>
      </c>
      <c r="FI156" s="168" t="e">
        <f t="shared" si="238"/>
        <v>#DIV/0!</v>
      </c>
      <c r="FJ156" s="161" t="e">
        <f t="shared" ca="1" si="245"/>
        <v>#N/A</v>
      </c>
      <c r="FK156" s="169" t="e" vm="3">
        <f t="shared" ca="1" si="251"/>
        <v>#VALUE!</v>
      </c>
      <c r="FL156" s="7" t="e" vm="3">
        <f t="shared" ca="1" si="246"/>
        <v>#VALUE!</v>
      </c>
      <c r="FM156" t="e" vm="3">
        <f t="shared" ca="1" si="240"/>
        <v>#VALUE!</v>
      </c>
      <c r="FN156" s="8" t="e" vm="3">
        <f t="shared" ca="1" si="241"/>
        <v>#VALUE!</v>
      </c>
      <c r="FO156" s="8" t="e" vm="3">
        <f t="shared" ca="1" si="242"/>
        <v>#VALUE!</v>
      </c>
      <c r="FP156" s="168" t="e" vm="3">
        <f t="shared" ca="1" si="243"/>
        <v>#VALUE!</v>
      </c>
      <c r="FQ156" s="161" t="e">
        <f t="shared" si="247"/>
        <v>#N/A</v>
      </c>
      <c r="FR156" s="169" t="e">
        <f t="shared" si="252"/>
        <v>#N/A</v>
      </c>
      <c r="FS156" s="7" t="e">
        <f t="shared" si="248"/>
        <v>#N/A</v>
      </c>
      <c r="FT156" t="e">
        <f t="shared" si="253"/>
        <v>#N/A</v>
      </c>
      <c r="FU156" s="8" t="e">
        <f t="shared" si="254"/>
        <v>#N/A</v>
      </c>
      <c r="FV156" s="8" t="e">
        <f t="shared" si="255"/>
        <v>#N/A</v>
      </c>
      <c r="FW156" s="168" t="e">
        <f t="shared" si="256"/>
        <v>#N/A</v>
      </c>
      <c r="FX156" s="161" t="e">
        <f t="shared" si="257"/>
        <v>#N/A</v>
      </c>
      <c r="FY156" s="169" t="e">
        <f t="shared" si="258"/>
        <v>#N/A</v>
      </c>
      <c r="FZ156" s="7" t="e">
        <f t="shared" si="249"/>
        <v>#N/A</v>
      </c>
      <c r="GA156" t="e">
        <f t="shared" si="259"/>
        <v>#N/A</v>
      </c>
      <c r="GB156" s="8" t="e">
        <f t="shared" si="260"/>
        <v>#N/A</v>
      </c>
      <c r="GC156" s="8" t="e">
        <f t="shared" si="261"/>
        <v>#N/A</v>
      </c>
      <c r="GD156" s="168" t="e">
        <f t="shared" si="262"/>
        <v>#N/A</v>
      </c>
      <c r="GE156" s="168"/>
      <c r="GF156" s="168"/>
      <c r="GI156" s="54">
        <f t="shared" si="307"/>
        <v>146</v>
      </c>
      <c r="GJ156" s="54">
        <f t="shared" si="308"/>
        <v>147</v>
      </c>
      <c r="GK156" s="54">
        <f t="shared" si="309"/>
        <v>0.40723991631668843</v>
      </c>
      <c r="GL156" s="54">
        <f t="shared" si="310"/>
        <v>0.36719556142717458</v>
      </c>
      <c r="GM156" s="54" t="e">
        <f t="shared" si="311"/>
        <v>#N/A</v>
      </c>
      <c r="GN156" s="54" t="e">
        <f t="shared" si="312"/>
        <v>#N/A</v>
      </c>
      <c r="GO156" s="54" t="e">
        <f t="shared" si="313"/>
        <v>#N/A</v>
      </c>
      <c r="GP156" s="54" t="b">
        <f t="shared" si="314"/>
        <v>0</v>
      </c>
      <c r="GQ156" s="54" t="b">
        <f t="shared" si="315"/>
        <v>1</v>
      </c>
      <c r="GR156" s="54" t="b">
        <f t="shared" si="316"/>
        <v>0</v>
      </c>
      <c r="GS156" s="54" t="b">
        <f t="shared" si="317"/>
        <v>1</v>
      </c>
      <c r="GT156" s="54">
        <f t="shared" si="318"/>
        <v>0.36719556142717458</v>
      </c>
      <c r="GU156" s="54" t="e">
        <f t="shared" si="319"/>
        <v>#N/A</v>
      </c>
      <c r="GV156" s="54">
        <f t="shared" si="320"/>
        <v>0.36719556142717458</v>
      </c>
      <c r="GW156" s="72" t="str">
        <f t="shared" si="321"/>
        <v/>
      </c>
      <c r="HC156" s="54">
        <f t="shared" si="322"/>
        <v>146</v>
      </c>
      <c r="HD156" s="54">
        <f t="shared" si="323"/>
        <v>147</v>
      </c>
      <c r="HE156" s="54">
        <f t="shared" si="324"/>
        <v>0.63061956346396641</v>
      </c>
      <c r="HF156" s="54" t="e">
        <f t="shared" si="325"/>
        <v>#N/A</v>
      </c>
      <c r="HG156" s="54">
        <f t="shared" si="326"/>
        <v>0.30864613159943455</v>
      </c>
      <c r="HH156" s="54" t="e">
        <f t="shared" si="327"/>
        <v>#N/A</v>
      </c>
      <c r="HI156" s="54" t="e">
        <f t="shared" si="328"/>
        <v>#N/A</v>
      </c>
      <c r="HJ156" s="54" t="b">
        <f t="shared" si="329"/>
        <v>1</v>
      </c>
      <c r="HK156" s="54" t="b">
        <f t="shared" si="330"/>
        <v>0</v>
      </c>
      <c r="HL156" s="54" t="b">
        <f t="shared" si="331"/>
        <v>0</v>
      </c>
      <c r="HM156" s="54" t="b">
        <f t="shared" si="332"/>
        <v>1</v>
      </c>
      <c r="HN156" s="54">
        <f t="shared" si="333"/>
        <v>0.30864613159943455</v>
      </c>
      <c r="HO156" s="54">
        <f t="shared" si="334"/>
        <v>0.30864613159943455</v>
      </c>
      <c r="HP156" s="54" t="e">
        <f t="shared" si="335"/>
        <v>#N/A</v>
      </c>
      <c r="HQ156" s="72" t="str">
        <f t="shared" si="336"/>
        <v/>
      </c>
    </row>
    <row r="157" spans="71:225" x14ac:dyDescent="0.2">
      <c r="BS157" s="54">
        <f t="shared" si="263"/>
        <v>147</v>
      </c>
      <c r="BT157" s="54">
        <f>Eu_tabel_g[[#This Row],[Indeks]]+1</f>
        <v>148</v>
      </c>
      <c r="BU157" s="54">
        <f t="shared" si="264"/>
        <v>0.4311952055117878</v>
      </c>
      <c r="BV157" s="54">
        <f t="shared" si="265"/>
        <v>0.36352646237304004</v>
      </c>
      <c r="BW157" s="54" t="e">
        <f t="shared" si="266"/>
        <v>#N/A</v>
      </c>
      <c r="BX157" s="54" t="e">
        <f t="shared" si="267"/>
        <v>#N/A</v>
      </c>
      <c r="BY157" s="54" t="e">
        <f t="shared" si="268"/>
        <v>#N/A</v>
      </c>
      <c r="BZ157" s="54" t="b">
        <f t="shared" si="269"/>
        <v>0</v>
      </c>
      <c r="CA157" s="54" t="b">
        <f t="shared" si="270"/>
        <v>1</v>
      </c>
      <c r="CB157" s="54" t="b">
        <f t="shared" si="271"/>
        <v>0</v>
      </c>
      <c r="CC157" s="54" t="b">
        <f t="shared" si="272"/>
        <v>1</v>
      </c>
      <c r="CD157" s="54">
        <f t="shared" si="239"/>
        <v>0.36352646237304004</v>
      </c>
      <c r="CE157" s="54" t="e">
        <f t="shared" si="273"/>
        <v>#N/A</v>
      </c>
      <c r="CF157" s="54">
        <f t="shared" si="274"/>
        <v>0.36352646237304004</v>
      </c>
      <c r="CG157" s="72" t="str">
        <f t="shared" si="275"/>
        <v/>
      </c>
      <c r="CH157" s="54">
        <f>_xlfn.NORM.DIST(_xlfn.NORM.INV(1-Eu_g_konfidensniveau,0,1)-Eu_tabel_g[[#This Row],[x base]],0,1,TRUE)</f>
        <v>1.894471740966298E-2</v>
      </c>
      <c r="CI157" s="54">
        <f>1-_xlfn.NORM.DIST(_xlfn.NORM.INV(Eu_g_konfidensniveau,0,1)-Eu_tabel_g[[#This Row],[x base]],0,1,TRUE)</f>
        <v>0.11243909396981622</v>
      </c>
      <c r="CJ157" s="54">
        <f>_xlfn.NORM.DIST(_xlfn.NORM.INV((1-Eu_g_konfidensniveau)/2,0,1)-Eu_tabel_g[[#This Row],[x base]],0,1,TRUE)+1-_xlfn.NORM.DIST(_xlfn.NORM.INV(1-(1-Eu_g_konfidensniveau)/2,0,1)-Eu_tabel_g[[#This Row],[x base]],0,1,TRUE)</f>
        <v>7.1558521831954547E-2</v>
      </c>
      <c r="CK157" s="54" t="e" cm="1">
        <f t="array" ref="CK157">IF($CK$3,INDEX(Eu_tabel_g[[#This Row],[Styrke venstre]:[Styrke tosidet]],CK$7),NA())</f>
        <v>#N/A</v>
      </c>
      <c r="CL157" s="99" t="e">
        <f>Eu_tabel_g[[#This Row],[Falsk positiv
Nulhypotese accepteres
Fejltype 1]]</f>
        <v>#N/A</v>
      </c>
      <c r="CM157" s="99" t="e">
        <f>IF(CHOOSE(CK$7,Eu_tabel_g[[#This Row],[x base]]&gt;0,Eu_tabel_g[[#This Row],[x base]]&lt;0,Eu_tabel_g[[#This Row],[x base]]=0),Eu_tabel_g[[#This Row],[Styrke, aktiv]],NA())</f>
        <v>#N/A</v>
      </c>
      <c r="CN157" s="99" t="e">
        <f>IFERROR(IF($CK$3,Eu_tabel_g[[#This Row],[Styrke, aktiv]],NA()),NA())</f>
        <v>#N/A</v>
      </c>
      <c r="CO157" s="99" t="e">
        <f>IF(ISNA(Eu_tabel_g[[#This Row],[Sand negativ
Nulhypotese afvises
Korrekt]]),NA(),IF($CK$3,1,NA()))</f>
        <v>#N/A</v>
      </c>
      <c r="CP157" s="56" t="str" cm="1">
        <f t="array" ref="CP157">_xlfn.SWITCH(BS157,_xlfn.IFNA(CN$2,-99),CN$5,_xlfn.IFNA(CN$3,-99),CN$6,_xlfn.IFNA(CN$4,-99),CN$7,"")</f>
        <v/>
      </c>
      <c r="CT157" s="7">
        <f t="shared" si="276"/>
        <v>0.8</v>
      </c>
      <c r="CU157">
        <f>IF(ROW(Styrkeberegning_G[[#This Row],[X base venstre]])=ROW(Styrkeberegning_G[[#Headers],[X base venstre]])+1,CU$7/(CT$7/$B$67),CU156/(CT156/$B$67))</f>
        <v>-2.8015817870135784</v>
      </c>
      <c r="CV157">
        <f>Styrkeberegning_G[[#This Row],[X base venstre]]*-1</f>
        <v>2.8015817870135784</v>
      </c>
      <c r="DG157" s="54">
        <f t="shared" si="277"/>
        <v>147</v>
      </c>
      <c r="DH157" s="54">
        <f t="shared" si="278"/>
        <v>148</v>
      </c>
      <c r="DI157" s="54">
        <f t="shared" si="279"/>
        <v>18.602268557952836</v>
      </c>
      <c r="DJ157" s="54" t="e">
        <f t="shared" si="280"/>
        <v>#N/A</v>
      </c>
      <c r="DK157" s="54" t="e">
        <f t="shared" si="281"/>
        <v>#N/A</v>
      </c>
      <c r="DL157" s="54">
        <f t="shared" si="282"/>
        <v>1.9911022318457171E-2</v>
      </c>
      <c r="DM157" s="54" t="e">
        <f t="shared" si="283"/>
        <v>#N/A</v>
      </c>
      <c r="DN157" s="54" t="b">
        <f t="shared" si="284"/>
        <v>0</v>
      </c>
      <c r="DO157" s="54" t="b">
        <f t="shared" si="285"/>
        <v>1</v>
      </c>
      <c r="DP157" s="54" t="b">
        <f t="shared" si="286"/>
        <v>0</v>
      </c>
      <c r="DQ157" s="54" t="b">
        <f t="shared" si="287"/>
        <v>1</v>
      </c>
      <c r="DR157" s="54">
        <f t="shared" si="288"/>
        <v>1.9911022318457171E-2</v>
      </c>
      <c r="DS157" s="54" t="e">
        <f t="shared" si="289"/>
        <v>#N/A</v>
      </c>
      <c r="DT157" s="54">
        <f t="shared" si="290"/>
        <v>1.9911022318457171E-2</v>
      </c>
      <c r="DU157" s="72" t="str">
        <f t="shared" si="291"/>
        <v/>
      </c>
      <c r="DZ157" s="54">
        <f t="shared" si="292"/>
        <v>147</v>
      </c>
      <c r="EA157" s="54">
        <f t="shared" si="293"/>
        <v>148</v>
      </c>
      <c r="EB157" s="54">
        <f t="shared" si="294"/>
        <v>0.4311952055117878</v>
      </c>
      <c r="EC157" s="54">
        <f t="shared" si="295"/>
        <v>0.36352646237304004</v>
      </c>
      <c r="ED157" s="54" t="e">
        <f t="shared" si="296"/>
        <v>#N/A</v>
      </c>
      <c r="EE157" s="54" t="e">
        <f t="shared" si="297"/>
        <v>#N/A</v>
      </c>
      <c r="EF157" s="54" t="e">
        <f t="shared" si="298"/>
        <v>#N/A</v>
      </c>
      <c r="EG157" s="54" t="b">
        <f t="shared" si="299"/>
        <v>0</v>
      </c>
      <c r="EH157" s="54" t="b">
        <f t="shared" si="300"/>
        <v>1</v>
      </c>
      <c r="EI157" s="54" t="b">
        <f t="shared" si="301"/>
        <v>0</v>
      </c>
      <c r="EJ157" s="54" t="b">
        <f t="shared" si="302"/>
        <v>1</v>
      </c>
      <c r="EK157" s="54">
        <f t="shared" si="303"/>
        <v>0.36352646237304004</v>
      </c>
      <c r="EL157" s="54" t="e">
        <f t="shared" si="304"/>
        <v>#N/A</v>
      </c>
      <c r="EM157" s="54">
        <f t="shared" si="305"/>
        <v>0.36352646237304004</v>
      </c>
      <c r="EN157" s="72" t="str">
        <f t="shared" si="306"/>
        <v/>
      </c>
      <c r="EO15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5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5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57" s="54" t="e" cm="1">
        <f t="array" ref="ER157">IF($CK$3,INDEX(Eu_tabel_a[[#This Row],[Styrke venstre]:[Styrke tosidet]],ER$7),NA())</f>
        <v>#N/A</v>
      </c>
      <c r="ES157" s="54" t="e">
        <f>IF(ER$3,IF(CHOOSE(ER$7,Eu_tabel_a[[#This Row],[x base]]&gt;0,Eu_tabel_a[[#This Row],[x base]]&lt;0,Eu_tabel_a[[#This Row],[x base]]=0),1,NA()),NA())</f>
        <v>#N/A</v>
      </c>
      <c r="ET157" s="54" t="e">
        <f>IF(CHOOSE(ER$7,Eu_tabel_a[[#This Row],[x base]]&gt;0,Eu_tabel_a[[#This Row],[x base]]&lt;0,Eu_tabel_a[[#This Row],[x base]]=0),Eu_tabel_a[[#This Row],[Styrke, aktiv]],NA())</f>
        <v>#N/A</v>
      </c>
      <c r="EU157" s="54" t="e">
        <f>IFERROR(IF($ER$3,Eu_tabel_a[[#This Row],[Styrke, aktiv]],NA()),NA())</f>
        <v>#N/A</v>
      </c>
      <c r="EV157" s="54" t="e">
        <f>IF(ISNA(Eu_tabel_a[[#This Row],[Sand negativ
Nulhypotese afvises
Korrekt]]),NA(),IF(ER$3,1,NA()))</f>
        <v>#N/A</v>
      </c>
      <c r="EW157" s="55" t="str" cm="1">
        <f t="array" ref="EW157">IFERROR(_xlfn.SWITCH(Eu_tabel_a[[#This Row],[Indeks]],_xlfn.IFNA(EU$2,-99),EU$5,_xlfn.IFNA(EU$3,-99),EU$6,_xlfn.IFNA(EU$4,-99),EU$7,""),"")</f>
        <v/>
      </c>
      <c r="EX157" s="54">
        <f>Eu_tabel_a[[#This Row],[x base]]*SQRT(Eu_a_h0_x*(1-Eu_a_h0_x)/Eu_a_n_x)+Eu_a_h0_x</f>
        <v>0</v>
      </c>
      <c r="FC157" s="161" t="e">
        <f t="shared" si="250"/>
        <v>#N/A</v>
      </c>
      <c r="FD157" s="169" t="e">
        <f t="shared" si="234"/>
        <v>#DIV/0!</v>
      </c>
      <c r="FE157" s="7" t="e">
        <f t="shared" si="244"/>
        <v>#DIV/0!</v>
      </c>
      <c r="FF157" t="e">
        <f t="shared" si="235"/>
        <v>#DIV/0!</v>
      </c>
      <c r="FG157" s="8" t="e">
        <f t="shared" si="236"/>
        <v>#DIV/0!</v>
      </c>
      <c r="FH157" s="8" t="e">
        <f t="shared" si="237"/>
        <v>#DIV/0!</v>
      </c>
      <c r="FI157" s="168" t="e">
        <f t="shared" si="238"/>
        <v>#DIV/0!</v>
      </c>
      <c r="FJ157" s="161" t="e">
        <f t="shared" ca="1" si="245"/>
        <v>#N/A</v>
      </c>
      <c r="FK157" s="169" t="e" vm="3">
        <f t="shared" ca="1" si="251"/>
        <v>#VALUE!</v>
      </c>
      <c r="FL157" s="7" t="e" vm="3">
        <f t="shared" ca="1" si="246"/>
        <v>#VALUE!</v>
      </c>
      <c r="FM157" t="e" vm="3">
        <f t="shared" ca="1" si="240"/>
        <v>#VALUE!</v>
      </c>
      <c r="FN157" s="8" t="e" vm="3">
        <f t="shared" ca="1" si="241"/>
        <v>#VALUE!</v>
      </c>
      <c r="FO157" s="8" t="e" vm="3">
        <f t="shared" ca="1" si="242"/>
        <v>#VALUE!</v>
      </c>
      <c r="FP157" s="168" t="e" vm="3">
        <f t="shared" ca="1" si="243"/>
        <v>#VALUE!</v>
      </c>
      <c r="FQ157" s="161" t="e">
        <f t="shared" si="247"/>
        <v>#N/A</v>
      </c>
      <c r="FR157" s="169" t="e">
        <f t="shared" si="252"/>
        <v>#N/A</v>
      </c>
      <c r="FS157" s="7" t="e">
        <f t="shared" si="248"/>
        <v>#N/A</v>
      </c>
      <c r="FT157" t="e">
        <f t="shared" si="253"/>
        <v>#N/A</v>
      </c>
      <c r="FU157" s="8" t="e">
        <f t="shared" si="254"/>
        <v>#N/A</v>
      </c>
      <c r="FV157" s="8" t="e">
        <f t="shared" si="255"/>
        <v>#N/A</v>
      </c>
      <c r="FW157" s="168" t="e">
        <f t="shared" si="256"/>
        <v>#N/A</v>
      </c>
      <c r="FX157" s="161" t="e">
        <f t="shared" si="257"/>
        <v>#N/A</v>
      </c>
      <c r="FY157" s="169" t="e">
        <f t="shared" si="258"/>
        <v>#N/A</v>
      </c>
      <c r="FZ157" s="7" t="e">
        <f t="shared" si="249"/>
        <v>#N/A</v>
      </c>
      <c r="GA157" t="e">
        <f t="shared" si="259"/>
        <v>#N/A</v>
      </c>
      <c r="GB157" s="8" t="e">
        <f t="shared" si="260"/>
        <v>#N/A</v>
      </c>
      <c r="GC157" s="8" t="e">
        <f t="shared" si="261"/>
        <v>#N/A</v>
      </c>
      <c r="GD157" s="168" t="e">
        <f t="shared" si="262"/>
        <v>#N/A</v>
      </c>
      <c r="GE157" s="168"/>
      <c r="GF157" s="168"/>
      <c r="GI157" s="54">
        <f t="shared" si="307"/>
        <v>147</v>
      </c>
      <c r="GJ157" s="54">
        <f t="shared" si="308"/>
        <v>148</v>
      </c>
      <c r="GK157" s="54">
        <f t="shared" si="309"/>
        <v>0.4311952055117878</v>
      </c>
      <c r="GL157" s="54">
        <f t="shared" si="310"/>
        <v>0.36352646237304004</v>
      </c>
      <c r="GM157" s="54" t="e">
        <f t="shared" si="311"/>
        <v>#N/A</v>
      </c>
      <c r="GN157" s="54" t="e">
        <f t="shared" si="312"/>
        <v>#N/A</v>
      </c>
      <c r="GO157" s="54" t="e">
        <f t="shared" si="313"/>
        <v>#N/A</v>
      </c>
      <c r="GP157" s="54" t="b">
        <f t="shared" si="314"/>
        <v>0</v>
      </c>
      <c r="GQ157" s="54" t="b">
        <f t="shared" si="315"/>
        <v>1</v>
      </c>
      <c r="GR157" s="54" t="b">
        <f t="shared" si="316"/>
        <v>0</v>
      </c>
      <c r="GS157" s="54" t="b">
        <f t="shared" si="317"/>
        <v>1</v>
      </c>
      <c r="GT157" s="54">
        <f t="shared" si="318"/>
        <v>0.36352646237304004</v>
      </c>
      <c r="GU157" s="54" t="e">
        <f t="shared" si="319"/>
        <v>#N/A</v>
      </c>
      <c r="GV157" s="54">
        <f t="shared" si="320"/>
        <v>0.36352646237304004</v>
      </c>
      <c r="GW157" s="72" t="str">
        <f t="shared" si="321"/>
        <v/>
      </c>
      <c r="HC157" s="54">
        <f t="shared" si="322"/>
        <v>147</v>
      </c>
      <c r="HD157" s="54">
        <f t="shared" si="323"/>
        <v>148</v>
      </c>
      <c r="HE157" s="54">
        <f t="shared" si="324"/>
        <v>0.66771483190302305</v>
      </c>
      <c r="HF157" s="54" t="e">
        <f t="shared" si="325"/>
        <v>#N/A</v>
      </c>
      <c r="HG157" s="54">
        <f t="shared" si="326"/>
        <v>0.30073759656733073</v>
      </c>
      <c r="HH157" s="54" t="e">
        <f t="shared" si="327"/>
        <v>#N/A</v>
      </c>
      <c r="HI157" s="54" t="e">
        <f t="shared" si="328"/>
        <v>#N/A</v>
      </c>
      <c r="HJ157" s="54" t="b">
        <f t="shared" si="329"/>
        <v>1</v>
      </c>
      <c r="HK157" s="54" t="b">
        <f t="shared" si="330"/>
        <v>0</v>
      </c>
      <c r="HL157" s="54" t="b">
        <f t="shared" si="331"/>
        <v>0</v>
      </c>
      <c r="HM157" s="54" t="b">
        <f t="shared" si="332"/>
        <v>1</v>
      </c>
      <c r="HN157" s="54">
        <f t="shared" si="333"/>
        <v>0.30073759656733073</v>
      </c>
      <c r="HO157" s="54">
        <f t="shared" si="334"/>
        <v>0.30073759656733073</v>
      </c>
      <c r="HP157" s="54" t="e">
        <f t="shared" si="335"/>
        <v>#N/A</v>
      </c>
      <c r="HQ157" s="72" t="str">
        <f t="shared" si="336"/>
        <v/>
      </c>
    </row>
    <row r="158" spans="71:225" x14ac:dyDescent="0.2">
      <c r="BS158" s="54">
        <f t="shared" si="263"/>
        <v>148</v>
      </c>
      <c r="BT158" s="54">
        <f>Eu_tabel_g[[#This Row],[Indeks]]+1</f>
        <v>149</v>
      </c>
      <c r="BU158" s="54">
        <f t="shared" si="264"/>
        <v>0.45515049470688718</v>
      </c>
      <c r="BV158" s="54">
        <f t="shared" si="265"/>
        <v>0.35968755771017369</v>
      </c>
      <c r="BW158" s="54" t="e">
        <f t="shared" si="266"/>
        <v>#N/A</v>
      </c>
      <c r="BX158" s="54" t="e">
        <f t="shared" si="267"/>
        <v>#N/A</v>
      </c>
      <c r="BY158" s="54" t="e">
        <f t="shared" si="268"/>
        <v>#N/A</v>
      </c>
      <c r="BZ158" s="54" t="b">
        <f t="shared" si="269"/>
        <v>0</v>
      </c>
      <c r="CA158" s="54" t="b">
        <f t="shared" si="270"/>
        <v>1</v>
      </c>
      <c r="CB158" s="54" t="b">
        <f t="shared" si="271"/>
        <v>0</v>
      </c>
      <c r="CC158" s="54" t="b">
        <f t="shared" si="272"/>
        <v>1</v>
      </c>
      <c r="CD158" s="54">
        <f t="shared" ref="CD158:CD189" si="337">_xlfn.AGGREGATE(9,6,BV158:BY158)</f>
        <v>0.35968755771017369</v>
      </c>
      <c r="CE158" s="54" t="e">
        <f t="shared" si="273"/>
        <v>#N/A</v>
      </c>
      <c r="CF158" s="54">
        <f t="shared" si="274"/>
        <v>0.35968755771017369</v>
      </c>
      <c r="CG158" s="72" t="str">
        <f t="shared" si="275"/>
        <v/>
      </c>
      <c r="CH158" s="54">
        <f>_xlfn.NORM.DIST(_xlfn.NORM.INV(1-Eu_g_konfidensniveau,0,1)-Eu_tabel_g[[#This Row],[x base]],0,1,TRUE)</f>
        <v>1.7864239278245084E-2</v>
      </c>
      <c r="CI158" s="54">
        <f>1-_xlfn.NORM.DIST(_xlfn.NORM.INV(Eu_g_konfidensniveau,0,1)-Eu_tabel_g[[#This Row],[x base]],0,1,TRUE)</f>
        <v>0.11708154692792394</v>
      </c>
      <c r="CJ158" s="54">
        <f>_xlfn.NORM.DIST(_xlfn.NORM.INV((1-Eu_g_konfidensniveau)/2,0,1)-Eu_tabel_g[[#This Row],[x base]],0,1,TRUE)+1-_xlfn.NORM.DIST(_xlfn.NORM.INV(1-(1-Eu_g_konfidensniveau)/2,0,1)-Eu_tabel_g[[#This Row],[x base]],0,1,TRUE)</f>
        <v>7.4051149695403939E-2</v>
      </c>
      <c r="CK158" s="54" t="e" cm="1">
        <f t="array" ref="CK158">IF($CK$3,INDEX(Eu_tabel_g[[#This Row],[Styrke venstre]:[Styrke tosidet]],CK$7),NA())</f>
        <v>#N/A</v>
      </c>
      <c r="CL158" s="99" t="e">
        <f>Eu_tabel_g[[#This Row],[Falsk positiv
Nulhypotese accepteres
Fejltype 1]]</f>
        <v>#N/A</v>
      </c>
      <c r="CM158" s="99" t="e">
        <f>IF(CHOOSE(CK$7,Eu_tabel_g[[#This Row],[x base]]&gt;0,Eu_tabel_g[[#This Row],[x base]]&lt;0,Eu_tabel_g[[#This Row],[x base]]=0),Eu_tabel_g[[#This Row],[Styrke, aktiv]],NA())</f>
        <v>#N/A</v>
      </c>
      <c r="CN158" s="99" t="e">
        <f>IFERROR(IF($CK$3,Eu_tabel_g[[#This Row],[Styrke, aktiv]],NA()),NA())</f>
        <v>#N/A</v>
      </c>
      <c r="CO158" s="99" t="e">
        <f>IF(ISNA(Eu_tabel_g[[#This Row],[Sand negativ
Nulhypotese afvises
Korrekt]]),NA(),IF($CK$3,1,NA()))</f>
        <v>#N/A</v>
      </c>
      <c r="CP158" s="56" t="str" cm="1">
        <f t="array" ref="CP158">_xlfn.SWITCH(BS158,_xlfn.IFNA(CN$2,-99),CN$5,_xlfn.IFNA(CN$3,-99),CN$6,_xlfn.IFNA(CN$4,-99),CN$7,"")</f>
        <v/>
      </c>
      <c r="CT158" s="7">
        <f t="shared" si="276"/>
        <v>0.8</v>
      </c>
      <c r="CU158">
        <f>IF(ROW(Styrkeberegning_G[[#This Row],[X base venstre]])=ROW(Styrkeberegning_G[[#Headers],[X base venstre]])+1,CU$7/(CT$7/$B$67),CU157/(CT157/$B$67))</f>
        <v>-2.8015817870135784</v>
      </c>
      <c r="CV158">
        <f>Styrkeberegning_G[[#This Row],[X base venstre]]*-1</f>
        <v>2.8015817870135784</v>
      </c>
      <c r="DG158" s="54">
        <f t="shared" si="277"/>
        <v>148</v>
      </c>
      <c r="DH158" s="54">
        <f t="shared" si="278"/>
        <v>149</v>
      </c>
      <c r="DI158" s="54">
        <f t="shared" si="279"/>
        <v>18.716339414369838</v>
      </c>
      <c r="DJ158" s="54" t="e">
        <f t="shared" si="280"/>
        <v>#N/A</v>
      </c>
      <c r="DK158" s="54" t="e">
        <f t="shared" si="281"/>
        <v>#N/A</v>
      </c>
      <c r="DL158" s="54">
        <f t="shared" si="282"/>
        <v>1.9331737904786175E-2</v>
      </c>
      <c r="DM158" s="54" t="e">
        <f t="shared" si="283"/>
        <v>#N/A</v>
      </c>
      <c r="DN158" s="54" t="b">
        <f t="shared" si="284"/>
        <v>0</v>
      </c>
      <c r="DO158" s="54" t="b">
        <f t="shared" si="285"/>
        <v>1</v>
      </c>
      <c r="DP158" s="54" t="b">
        <f t="shared" si="286"/>
        <v>0</v>
      </c>
      <c r="DQ158" s="54" t="b">
        <f t="shared" si="287"/>
        <v>1</v>
      </c>
      <c r="DR158" s="54">
        <f t="shared" si="288"/>
        <v>1.9331737904786175E-2</v>
      </c>
      <c r="DS158" s="54" t="e">
        <f t="shared" si="289"/>
        <v>#N/A</v>
      </c>
      <c r="DT158" s="54">
        <f t="shared" si="290"/>
        <v>1.9331737904786175E-2</v>
      </c>
      <c r="DU158" s="72" t="str">
        <f t="shared" si="291"/>
        <v/>
      </c>
      <c r="DZ158" s="54">
        <f t="shared" si="292"/>
        <v>148</v>
      </c>
      <c r="EA158" s="54">
        <f t="shared" si="293"/>
        <v>149</v>
      </c>
      <c r="EB158" s="54">
        <f t="shared" si="294"/>
        <v>0.45515049470688718</v>
      </c>
      <c r="EC158" s="54">
        <f t="shared" si="295"/>
        <v>0.35968755771017369</v>
      </c>
      <c r="ED158" s="54" t="e">
        <f t="shared" si="296"/>
        <v>#N/A</v>
      </c>
      <c r="EE158" s="54" t="e">
        <f t="shared" si="297"/>
        <v>#N/A</v>
      </c>
      <c r="EF158" s="54" t="e">
        <f t="shared" si="298"/>
        <v>#N/A</v>
      </c>
      <c r="EG158" s="54" t="b">
        <f t="shared" si="299"/>
        <v>0</v>
      </c>
      <c r="EH158" s="54" t="b">
        <f t="shared" si="300"/>
        <v>1</v>
      </c>
      <c r="EI158" s="54" t="b">
        <f t="shared" si="301"/>
        <v>0</v>
      </c>
      <c r="EJ158" s="54" t="b">
        <f t="shared" si="302"/>
        <v>1</v>
      </c>
      <c r="EK158" s="54">
        <f t="shared" si="303"/>
        <v>0.35968755771017369</v>
      </c>
      <c r="EL158" s="54" t="e">
        <f t="shared" si="304"/>
        <v>#N/A</v>
      </c>
      <c r="EM158" s="54">
        <f t="shared" si="305"/>
        <v>0.35968755771017369</v>
      </c>
      <c r="EN158" s="72" t="str">
        <f t="shared" si="306"/>
        <v/>
      </c>
      <c r="EO15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5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5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58" s="54" t="e" cm="1">
        <f t="array" ref="ER158">IF($CK$3,INDEX(Eu_tabel_a[[#This Row],[Styrke venstre]:[Styrke tosidet]],ER$7),NA())</f>
        <v>#N/A</v>
      </c>
      <c r="ES158" s="54" t="e">
        <f>IF(ER$3,IF(CHOOSE(ER$7,Eu_tabel_a[[#This Row],[x base]]&gt;0,Eu_tabel_a[[#This Row],[x base]]&lt;0,Eu_tabel_a[[#This Row],[x base]]=0),1,NA()),NA())</f>
        <v>#N/A</v>
      </c>
      <c r="ET158" s="54" t="e">
        <f>IF(CHOOSE(ER$7,Eu_tabel_a[[#This Row],[x base]]&gt;0,Eu_tabel_a[[#This Row],[x base]]&lt;0,Eu_tabel_a[[#This Row],[x base]]=0),Eu_tabel_a[[#This Row],[Styrke, aktiv]],NA())</f>
        <v>#N/A</v>
      </c>
      <c r="EU158" s="54" t="e">
        <f>IFERROR(IF($ER$3,Eu_tabel_a[[#This Row],[Styrke, aktiv]],NA()),NA())</f>
        <v>#N/A</v>
      </c>
      <c r="EV158" s="54" t="e">
        <f>IF(ISNA(Eu_tabel_a[[#This Row],[Sand negativ
Nulhypotese afvises
Korrekt]]),NA(),IF(ER$3,1,NA()))</f>
        <v>#N/A</v>
      </c>
      <c r="EW158" s="55" t="str" cm="1">
        <f t="array" ref="EW158">IFERROR(_xlfn.SWITCH(Eu_tabel_a[[#This Row],[Indeks]],_xlfn.IFNA(EU$2,-99),EU$5,_xlfn.IFNA(EU$3,-99),EU$6,_xlfn.IFNA(EU$4,-99),EU$7,""),"")</f>
        <v/>
      </c>
      <c r="EX158" s="54">
        <f>Eu_tabel_a[[#This Row],[x base]]*SQRT(Eu_a_h0_x*(1-Eu_a_h0_x)/Eu_a_n_x)+Eu_a_h0_x</f>
        <v>0</v>
      </c>
      <c r="FC158" s="161" t="e">
        <f t="shared" si="250"/>
        <v>#N/A</v>
      </c>
      <c r="FD158" s="169" t="e">
        <f t="shared" si="234"/>
        <v>#DIV/0!</v>
      </c>
      <c r="FE158" s="7" t="e">
        <f t="shared" si="244"/>
        <v>#DIV/0!</v>
      </c>
      <c r="FF158" t="e">
        <f t="shared" si="235"/>
        <v>#DIV/0!</v>
      </c>
      <c r="FG158" s="8" t="e">
        <f t="shared" si="236"/>
        <v>#DIV/0!</v>
      </c>
      <c r="FH158" s="8" t="e">
        <f t="shared" si="237"/>
        <v>#DIV/0!</v>
      </c>
      <c r="FI158" s="168" t="e">
        <f t="shared" si="238"/>
        <v>#DIV/0!</v>
      </c>
      <c r="FJ158" s="161" t="e">
        <f t="shared" ca="1" si="245"/>
        <v>#N/A</v>
      </c>
      <c r="FK158" s="169" t="e" vm="3">
        <f t="shared" ca="1" si="251"/>
        <v>#VALUE!</v>
      </c>
      <c r="FL158" s="7" t="e" vm="3">
        <f t="shared" ca="1" si="246"/>
        <v>#VALUE!</v>
      </c>
      <c r="FM158" t="e" vm="3">
        <f t="shared" ca="1" si="240"/>
        <v>#VALUE!</v>
      </c>
      <c r="FN158" s="8" t="e" vm="3">
        <f t="shared" ca="1" si="241"/>
        <v>#VALUE!</v>
      </c>
      <c r="FO158" s="8" t="e" vm="3">
        <f t="shared" ca="1" si="242"/>
        <v>#VALUE!</v>
      </c>
      <c r="FP158" s="168" t="e" vm="3">
        <f t="shared" ca="1" si="243"/>
        <v>#VALUE!</v>
      </c>
      <c r="FQ158" s="161" t="e">
        <f t="shared" si="247"/>
        <v>#N/A</v>
      </c>
      <c r="FR158" s="169" t="e">
        <f t="shared" si="252"/>
        <v>#N/A</v>
      </c>
      <c r="FS158" s="7" t="e">
        <f t="shared" si="248"/>
        <v>#N/A</v>
      </c>
      <c r="FT158" t="e">
        <f t="shared" si="253"/>
        <v>#N/A</v>
      </c>
      <c r="FU158" s="8" t="e">
        <f t="shared" si="254"/>
        <v>#N/A</v>
      </c>
      <c r="FV158" s="8" t="e">
        <f t="shared" si="255"/>
        <v>#N/A</v>
      </c>
      <c r="FW158" s="168" t="e">
        <f t="shared" si="256"/>
        <v>#N/A</v>
      </c>
      <c r="FX158" s="161" t="e">
        <f t="shared" si="257"/>
        <v>#N/A</v>
      </c>
      <c r="FY158" s="169" t="e">
        <f t="shared" si="258"/>
        <v>#N/A</v>
      </c>
      <c r="FZ158" s="7" t="e">
        <f t="shared" si="249"/>
        <v>#N/A</v>
      </c>
      <c r="GA158" t="e">
        <f t="shared" si="259"/>
        <v>#N/A</v>
      </c>
      <c r="GB158" s="8" t="e">
        <f t="shared" si="260"/>
        <v>#N/A</v>
      </c>
      <c r="GC158" s="8" t="e">
        <f t="shared" si="261"/>
        <v>#N/A</v>
      </c>
      <c r="GD158" s="168" t="e">
        <f t="shared" si="262"/>
        <v>#N/A</v>
      </c>
      <c r="GE158" s="168"/>
      <c r="GF158" s="168"/>
      <c r="GI158" s="54">
        <f t="shared" si="307"/>
        <v>148</v>
      </c>
      <c r="GJ158" s="54">
        <f t="shared" si="308"/>
        <v>149</v>
      </c>
      <c r="GK158" s="54">
        <f t="shared" si="309"/>
        <v>0.45515049470688718</v>
      </c>
      <c r="GL158" s="54">
        <f t="shared" si="310"/>
        <v>0.35968755771017369</v>
      </c>
      <c r="GM158" s="54" t="e">
        <f t="shared" si="311"/>
        <v>#N/A</v>
      </c>
      <c r="GN158" s="54" t="e">
        <f t="shared" si="312"/>
        <v>#N/A</v>
      </c>
      <c r="GO158" s="54" t="e">
        <f t="shared" si="313"/>
        <v>#N/A</v>
      </c>
      <c r="GP158" s="54" t="b">
        <f t="shared" si="314"/>
        <v>0</v>
      </c>
      <c r="GQ158" s="54" t="b">
        <f t="shared" si="315"/>
        <v>1</v>
      </c>
      <c r="GR158" s="54" t="b">
        <f t="shared" si="316"/>
        <v>0</v>
      </c>
      <c r="GS158" s="54" t="b">
        <f t="shared" si="317"/>
        <v>1</v>
      </c>
      <c r="GT158" s="54">
        <f t="shared" si="318"/>
        <v>0.35968755771017369</v>
      </c>
      <c r="GU158" s="54" t="e">
        <f t="shared" si="319"/>
        <v>#N/A</v>
      </c>
      <c r="GV158" s="54">
        <f t="shared" si="320"/>
        <v>0.35968755771017369</v>
      </c>
      <c r="GW158" s="72" t="str">
        <f t="shared" si="321"/>
        <v/>
      </c>
      <c r="HC158" s="54">
        <f t="shared" si="322"/>
        <v>148</v>
      </c>
      <c r="HD158" s="54">
        <f t="shared" si="323"/>
        <v>149</v>
      </c>
      <c r="HE158" s="54">
        <f t="shared" si="324"/>
        <v>0.70481010034208058</v>
      </c>
      <c r="HF158" s="54" t="e">
        <f t="shared" si="325"/>
        <v>#N/A</v>
      </c>
      <c r="HG158" s="54">
        <f t="shared" si="326"/>
        <v>0.29265061827805405</v>
      </c>
      <c r="HH158" s="54" t="e">
        <f t="shared" si="327"/>
        <v>#N/A</v>
      </c>
      <c r="HI158" s="54" t="e">
        <f t="shared" si="328"/>
        <v>#N/A</v>
      </c>
      <c r="HJ158" s="54" t="b">
        <f t="shared" si="329"/>
        <v>1</v>
      </c>
      <c r="HK158" s="54" t="b">
        <f t="shared" si="330"/>
        <v>0</v>
      </c>
      <c r="HL158" s="54" t="b">
        <f t="shared" si="331"/>
        <v>0</v>
      </c>
      <c r="HM158" s="54" t="b">
        <f t="shared" si="332"/>
        <v>1</v>
      </c>
      <c r="HN158" s="54">
        <f t="shared" si="333"/>
        <v>0.29265061827805405</v>
      </c>
      <c r="HO158" s="54">
        <f t="shared" si="334"/>
        <v>0.29265061827805405</v>
      </c>
      <c r="HP158" s="54" t="e">
        <f t="shared" si="335"/>
        <v>#N/A</v>
      </c>
      <c r="HQ158" s="72" t="str">
        <f t="shared" si="336"/>
        <v/>
      </c>
    </row>
    <row r="159" spans="71:225" x14ac:dyDescent="0.2">
      <c r="BS159" s="54">
        <f t="shared" si="263"/>
        <v>149</v>
      </c>
      <c r="BT159" s="54">
        <f>Eu_tabel_g[[#This Row],[Indeks]]+1</f>
        <v>150</v>
      </c>
      <c r="BU159" s="54">
        <f t="shared" si="264"/>
        <v>0.47910578390198655</v>
      </c>
      <c r="BV159" s="54">
        <f t="shared" si="265"/>
        <v>0.35568502205117924</v>
      </c>
      <c r="BW159" s="54" t="e">
        <f t="shared" si="266"/>
        <v>#N/A</v>
      </c>
      <c r="BX159" s="54" t="e">
        <f t="shared" si="267"/>
        <v>#N/A</v>
      </c>
      <c r="BY159" s="54" t="e">
        <f t="shared" si="268"/>
        <v>#N/A</v>
      </c>
      <c r="BZ159" s="54" t="b">
        <f t="shared" si="269"/>
        <v>0</v>
      </c>
      <c r="CA159" s="54" t="b">
        <f t="shared" si="270"/>
        <v>1</v>
      </c>
      <c r="CB159" s="54" t="b">
        <f t="shared" si="271"/>
        <v>0</v>
      </c>
      <c r="CC159" s="54" t="b">
        <f t="shared" si="272"/>
        <v>1</v>
      </c>
      <c r="CD159" s="54">
        <f t="shared" si="337"/>
        <v>0.35568502205117924</v>
      </c>
      <c r="CE159" s="54" t="e">
        <f t="shared" si="273"/>
        <v>#N/A</v>
      </c>
      <c r="CF159" s="54">
        <f t="shared" si="274"/>
        <v>0.35568502205117924</v>
      </c>
      <c r="CG159" s="72" t="str">
        <f t="shared" si="275"/>
        <v/>
      </c>
      <c r="CH159" s="54">
        <f>_xlfn.NORM.DIST(_xlfn.NORM.INV(1-Eu_g_konfidensniveau,0,1)-Eu_tabel_g[[#This Row],[x base]],0,1,TRUE)</f>
        <v>1.6836768880534154E-2</v>
      </c>
      <c r="CI159" s="54">
        <f>1-_xlfn.NORM.DIST(_xlfn.NORM.INV(Eu_g_konfidensniveau,0,1)-Eu_tabel_g[[#This Row],[x base]],0,1,TRUE)</f>
        <v>0.12185820522532054</v>
      </c>
      <c r="CJ159" s="54">
        <f>_xlfn.NORM.DIST(_xlfn.NORM.INV((1-Eu_g_konfidensniveau)/2,0,1)-Eu_tabel_g[[#This Row],[x base]],0,1,TRUE)+1-_xlfn.NORM.DIST(_xlfn.NORM.INV(1-(1-Eu_g_konfidensniveau)/2,0,1)-Eu_tabel_g[[#This Row],[x base]],0,1,TRUE)</f>
        <v>7.6684744285609896E-2</v>
      </c>
      <c r="CK159" s="54" t="e" cm="1">
        <f t="array" ref="CK159">IF($CK$3,INDEX(Eu_tabel_g[[#This Row],[Styrke venstre]:[Styrke tosidet]],CK$7),NA())</f>
        <v>#N/A</v>
      </c>
      <c r="CL159" s="99" t="e">
        <f>Eu_tabel_g[[#This Row],[Falsk positiv
Nulhypotese accepteres
Fejltype 1]]</f>
        <v>#N/A</v>
      </c>
      <c r="CM159" s="99" t="e">
        <f>IF(CHOOSE(CK$7,Eu_tabel_g[[#This Row],[x base]]&gt;0,Eu_tabel_g[[#This Row],[x base]]&lt;0,Eu_tabel_g[[#This Row],[x base]]=0),Eu_tabel_g[[#This Row],[Styrke, aktiv]],NA())</f>
        <v>#N/A</v>
      </c>
      <c r="CN159" s="99" t="e">
        <f>IFERROR(IF($CK$3,Eu_tabel_g[[#This Row],[Styrke, aktiv]],NA()),NA())</f>
        <v>#N/A</v>
      </c>
      <c r="CO159" s="99" t="e">
        <f>IF(ISNA(Eu_tabel_g[[#This Row],[Sand negativ
Nulhypotese afvises
Korrekt]]),NA(),IF($CK$3,1,NA()))</f>
        <v>#N/A</v>
      </c>
      <c r="CP159" s="56" t="str" cm="1">
        <f t="array" ref="CP159">_xlfn.SWITCH(BS159,_xlfn.IFNA(CN$2,-99),CN$5,_xlfn.IFNA(CN$3,-99),CN$6,_xlfn.IFNA(CN$4,-99),CN$7,"")</f>
        <v/>
      </c>
      <c r="CT159" s="7">
        <f t="shared" si="276"/>
        <v>0.8</v>
      </c>
      <c r="CU159">
        <f>IF(ROW(Styrkeberegning_G[[#This Row],[X base venstre]])=ROW(Styrkeberegning_G[[#Headers],[X base venstre]])+1,CU$7/(CT$7/$B$67),CU158/(CT158/$B$67))</f>
        <v>-2.8015817870135784</v>
      </c>
      <c r="CV159">
        <f>Styrkeberegning_G[[#This Row],[X base venstre]]*-1</f>
        <v>2.8015817870135784</v>
      </c>
      <c r="DG159" s="54">
        <f t="shared" si="277"/>
        <v>149</v>
      </c>
      <c r="DH159" s="54">
        <f t="shared" si="278"/>
        <v>150</v>
      </c>
      <c r="DI159" s="54">
        <f t="shared" si="279"/>
        <v>18.830410270786839</v>
      </c>
      <c r="DJ159" s="54" t="e">
        <f t="shared" si="280"/>
        <v>#N/A</v>
      </c>
      <c r="DK159" s="54" t="e">
        <f t="shared" si="281"/>
        <v>#N/A</v>
      </c>
      <c r="DL159" s="54">
        <f t="shared" si="282"/>
        <v>1.8766169807200226E-2</v>
      </c>
      <c r="DM159" s="54" t="e">
        <f t="shared" si="283"/>
        <v>#N/A</v>
      </c>
      <c r="DN159" s="54" t="b">
        <f t="shared" si="284"/>
        <v>0</v>
      </c>
      <c r="DO159" s="54" t="b">
        <f t="shared" si="285"/>
        <v>1</v>
      </c>
      <c r="DP159" s="54" t="b">
        <f t="shared" si="286"/>
        <v>0</v>
      </c>
      <c r="DQ159" s="54" t="b">
        <f t="shared" si="287"/>
        <v>1</v>
      </c>
      <c r="DR159" s="54">
        <f t="shared" si="288"/>
        <v>1.8766169807200226E-2</v>
      </c>
      <c r="DS159" s="54" t="e">
        <f t="shared" si="289"/>
        <v>#N/A</v>
      </c>
      <c r="DT159" s="54">
        <f t="shared" si="290"/>
        <v>1.8766169807200226E-2</v>
      </c>
      <c r="DU159" s="72" t="str">
        <f t="shared" si="291"/>
        <v/>
      </c>
      <c r="DZ159" s="54">
        <f t="shared" si="292"/>
        <v>149</v>
      </c>
      <c r="EA159" s="54">
        <f t="shared" si="293"/>
        <v>150</v>
      </c>
      <c r="EB159" s="54">
        <f t="shared" si="294"/>
        <v>0.47910578390198655</v>
      </c>
      <c r="EC159" s="54">
        <f t="shared" si="295"/>
        <v>0.35568502205117924</v>
      </c>
      <c r="ED159" s="54" t="e">
        <f t="shared" si="296"/>
        <v>#N/A</v>
      </c>
      <c r="EE159" s="54" t="e">
        <f t="shared" si="297"/>
        <v>#N/A</v>
      </c>
      <c r="EF159" s="54" t="e">
        <f t="shared" si="298"/>
        <v>#N/A</v>
      </c>
      <c r="EG159" s="54" t="b">
        <f t="shared" si="299"/>
        <v>0</v>
      </c>
      <c r="EH159" s="54" t="b">
        <f t="shared" si="300"/>
        <v>1</v>
      </c>
      <c r="EI159" s="54" t="b">
        <f t="shared" si="301"/>
        <v>0</v>
      </c>
      <c r="EJ159" s="54" t="b">
        <f t="shared" si="302"/>
        <v>1</v>
      </c>
      <c r="EK159" s="54">
        <f t="shared" si="303"/>
        <v>0.35568502205117924</v>
      </c>
      <c r="EL159" s="54" t="e">
        <f t="shared" si="304"/>
        <v>#N/A</v>
      </c>
      <c r="EM159" s="54">
        <f t="shared" si="305"/>
        <v>0.35568502205117924</v>
      </c>
      <c r="EN159" s="72" t="str">
        <f t="shared" si="306"/>
        <v/>
      </c>
      <c r="EO15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5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5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59" s="54" t="e" cm="1">
        <f t="array" ref="ER159">IF($CK$3,INDEX(Eu_tabel_a[[#This Row],[Styrke venstre]:[Styrke tosidet]],ER$7),NA())</f>
        <v>#N/A</v>
      </c>
      <c r="ES159" s="54" t="e">
        <f>IF(ER$3,IF(CHOOSE(ER$7,Eu_tabel_a[[#This Row],[x base]]&gt;0,Eu_tabel_a[[#This Row],[x base]]&lt;0,Eu_tabel_a[[#This Row],[x base]]=0),1,NA()),NA())</f>
        <v>#N/A</v>
      </c>
      <c r="ET159" s="54" t="e">
        <f>IF(CHOOSE(ER$7,Eu_tabel_a[[#This Row],[x base]]&gt;0,Eu_tabel_a[[#This Row],[x base]]&lt;0,Eu_tabel_a[[#This Row],[x base]]=0),Eu_tabel_a[[#This Row],[Styrke, aktiv]],NA())</f>
        <v>#N/A</v>
      </c>
      <c r="EU159" s="54" t="e">
        <f>IFERROR(IF($ER$3,Eu_tabel_a[[#This Row],[Styrke, aktiv]],NA()),NA())</f>
        <v>#N/A</v>
      </c>
      <c r="EV159" s="54" t="e">
        <f>IF(ISNA(Eu_tabel_a[[#This Row],[Sand negativ
Nulhypotese afvises
Korrekt]]),NA(),IF(ER$3,1,NA()))</f>
        <v>#N/A</v>
      </c>
      <c r="EW159" s="55" t="str" cm="1">
        <f t="array" ref="EW159">IFERROR(_xlfn.SWITCH(Eu_tabel_a[[#This Row],[Indeks]],_xlfn.IFNA(EU$2,-99),EU$5,_xlfn.IFNA(EU$3,-99),EU$6,_xlfn.IFNA(EU$4,-99),EU$7,""),"")</f>
        <v/>
      </c>
      <c r="EX159" s="54">
        <f>Eu_tabel_a[[#This Row],[x base]]*SQRT(Eu_a_h0_x*(1-Eu_a_h0_x)/Eu_a_n_x)+Eu_a_h0_x</f>
        <v>0</v>
      </c>
      <c r="FC159" s="161" t="e">
        <f t="shared" si="250"/>
        <v>#N/A</v>
      </c>
      <c r="FD159" s="169" t="e">
        <f t="shared" ref="FD159:FD222" si="338">FD157+FI158</f>
        <v>#DIV/0!</v>
      </c>
      <c r="FE159" s="7" t="e">
        <f t="shared" si="244"/>
        <v>#DIV/0!</v>
      </c>
      <c r="FF159" t="e">
        <f t="shared" ref="FF159:FF222" si="339">FD159-FD158</f>
        <v>#DIV/0!</v>
      </c>
      <c r="FG159" s="8" t="e">
        <f t="shared" ref="FG159:FG222" si="340">FE159-FE158</f>
        <v>#DIV/0!</v>
      </c>
      <c r="FH159" s="8" t="e">
        <f t="shared" ref="FH159:FH222" si="341">$P$67-FE158</f>
        <v>#DIV/0!</v>
      </c>
      <c r="FI159" s="168" t="e">
        <f t="shared" ref="FI159:FI222" si="342">FF159/(FG159/FH159)</f>
        <v>#DIV/0!</v>
      </c>
      <c r="FJ159" s="161" t="e">
        <f t="shared" ca="1" si="245"/>
        <v>#N/A</v>
      </c>
      <c r="FK159" s="169" t="e" vm="3">
        <f t="shared" ca="1" si="251"/>
        <v>#VALUE!</v>
      </c>
      <c r="FL159" s="7" t="e" vm="3">
        <f t="shared" ca="1" si="246"/>
        <v>#VALUE!</v>
      </c>
      <c r="FM159" t="e" vm="3">
        <f t="shared" ca="1" si="240"/>
        <v>#VALUE!</v>
      </c>
      <c r="FN159" s="8" t="e" vm="3">
        <f t="shared" ca="1" si="241"/>
        <v>#VALUE!</v>
      </c>
      <c r="FO159" s="8" t="e" vm="3">
        <f t="shared" ca="1" si="242"/>
        <v>#VALUE!</v>
      </c>
      <c r="FP159" s="168" t="e" vm="3">
        <f t="shared" ca="1" si="243"/>
        <v>#VALUE!</v>
      </c>
      <c r="FQ159" s="161" t="e">
        <f t="shared" si="247"/>
        <v>#N/A</v>
      </c>
      <c r="FR159" s="169" t="e">
        <f t="shared" si="252"/>
        <v>#N/A</v>
      </c>
      <c r="FS159" s="7" t="e">
        <f t="shared" si="248"/>
        <v>#N/A</v>
      </c>
      <c r="FT159" t="e">
        <f t="shared" si="253"/>
        <v>#N/A</v>
      </c>
      <c r="FU159" s="8" t="e">
        <f t="shared" si="254"/>
        <v>#N/A</v>
      </c>
      <c r="FV159" s="8" t="e">
        <f t="shared" si="255"/>
        <v>#N/A</v>
      </c>
      <c r="FW159" s="168" t="e">
        <f t="shared" si="256"/>
        <v>#N/A</v>
      </c>
      <c r="FX159" s="161" t="e">
        <f t="shared" si="257"/>
        <v>#N/A</v>
      </c>
      <c r="FY159" s="169" t="e">
        <f t="shared" si="258"/>
        <v>#N/A</v>
      </c>
      <c r="FZ159" s="7" t="e">
        <f t="shared" si="249"/>
        <v>#N/A</v>
      </c>
      <c r="GA159" t="e">
        <f t="shared" si="259"/>
        <v>#N/A</v>
      </c>
      <c r="GB159" s="8" t="e">
        <f t="shared" si="260"/>
        <v>#N/A</v>
      </c>
      <c r="GC159" s="8" t="e">
        <f t="shared" si="261"/>
        <v>#N/A</v>
      </c>
      <c r="GD159" s="168" t="e">
        <f t="shared" si="262"/>
        <v>#N/A</v>
      </c>
      <c r="GE159" s="168"/>
      <c r="GF159" s="168"/>
      <c r="GI159" s="54">
        <f t="shared" si="307"/>
        <v>149</v>
      </c>
      <c r="GJ159" s="54">
        <f t="shared" si="308"/>
        <v>150</v>
      </c>
      <c r="GK159" s="54">
        <f t="shared" si="309"/>
        <v>0.47910578390198655</v>
      </c>
      <c r="GL159" s="54">
        <f t="shared" si="310"/>
        <v>0.35568502205117924</v>
      </c>
      <c r="GM159" s="54" t="e">
        <f t="shared" si="311"/>
        <v>#N/A</v>
      </c>
      <c r="GN159" s="54" t="e">
        <f t="shared" si="312"/>
        <v>#N/A</v>
      </c>
      <c r="GO159" s="54" t="e">
        <f t="shared" si="313"/>
        <v>#N/A</v>
      </c>
      <c r="GP159" s="54" t="b">
        <f t="shared" si="314"/>
        <v>0</v>
      </c>
      <c r="GQ159" s="54" t="b">
        <f t="shared" si="315"/>
        <v>1</v>
      </c>
      <c r="GR159" s="54" t="b">
        <f t="shared" si="316"/>
        <v>0</v>
      </c>
      <c r="GS159" s="54" t="b">
        <f t="shared" si="317"/>
        <v>1</v>
      </c>
      <c r="GT159" s="54">
        <f t="shared" si="318"/>
        <v>0.35568502205117924</v>
      </c>
      <c r="GU159" s="54" t="e">
        <f t="shared" si="319"/>
        <v>#N/A</v>
      </c>
      <c r="GV159" s="54">
        <f t="shared" si="320"/>
        <v>0.35568502205117924</v>
      </c>
      <c r="GW159" s="72" t="str">
        <f t="shared" si="321"/>
        <v/>
      </c>
      <c r="HC159" s="54">
        <f t="shared" si="322"/>
        <v>149</v>
      </c>
      <c r="HD159" s="54">
        <f t="shared" si="323"/>
        <v>150</v>
      </c>
      <c r="HE159" s="54">
        <f t="shared" si="324"/>
        <v>0.74190536878113722</v>
      </c>
      <c r="HF159" s="54" t="e">
        <f t="shared" si="325"/>
        <v>#N/A</v>
      </c>
      <c r="HG159" s="54">
        <f t="shared" si="326"/>
        <v>0.28441859146828452</v>
      </c>
      <c r="HH159" s="54" t="e">
        <f t="shared" si="327"/>
        <v>#N/A</v>
      </c>
      <c r="HI159" s="54" t="e">
        <f t="shared" si="328"/>
        <v>#N/A</v>
      </c>
      <c r="HJ159" s="54" t="b">
        <f t="shared" si="329"/>
        <v>1</v>
      </c>
      <c r="HK159" s="54" t="b">
        <f t="shared" si="330"/>
        <v>0</v>
      </c>
      <c r="HL159" s="54" t="b">
        <f t="shared" si="331"/>
        <v>0</v>
      </c>
      <c r="HM159" s="54" t="b">
        <f t="shared" si="332"/>
        <v>1</v>
      </c>
      <c r="HN159" s="54">
        <f t="shared" si="333"/>
        <v>0.28441859146828452</v>
      </c>
      <c r="HO159" s="54">
        <f t="shared" si="334"/>
        <v>0.28441859146828452</v>
      </c>
      <c r="HP159" s="54" t="e">
        <f t="shared" si="335"/>
        <v>#N/A</v>
      </c>
      <c r="HQ159" s="72" t="str">
        <f t="shared" si="336"/>
        <v/>
      </c>
    </row>
    <row r="160" spans="71:225" x14ac:dyDescent="0.2">
      <c r="BS160" s="54">
        <f t="shared" si="263"/>
        <v>150</v>
      </c>
      <c r="BT160" s="54">
        <f>Eu_tabel_g[[#This Row],[Indeks]]+1</f>
        <v>151</v>
      </c>
      <c r="BU160" s="54">
        <f t="shared" si="264"/>
        <v>0.50306107309708592</v>
      </c>
      <c r="BV160" s="54">
        <f t="shared" si="265"/>
        <v>0.35152524313860362</v>
      </c>
      <c r="BW160" s="54" t="e">
        <f t="shared" si="266"/>
        <v>#N/A</v>
      </c>
      <c r="BX160" s="54" t="e">
        <f t="shared" si="267"/>
        <v>#N/A</v>
      </c>
      <c r="BY160" s="54" t="e">
        <f t="shared" si="268"/>
        <v>#N/A</v>
      </c>
      <c r="BZ160" s="54" t="b">
        <f t="shared" si="269"/>
        <v>0</v>
      </c>
      <c r="CA160" s="54" t="b">
        <f t="shared" si="270"/>
        <v>1</v>
      </c>
      <c r="CB160" s="54" t="b">
        <f t="shared" si="271"/>
        <v>0</v>
      </c>
      <c r="CC160" s="54" t="b">
        <f t="shared" si="272"/>
        <v>1</v>
      </c>
      <c r="CD160" s="54">
        <f t="shared" si="337"/>
        <v>0.35152524313860362</v>
      </c>
      <c r="CE160" s="54" t="e">
        <f t="shared" si="273"/>
        <v>#N/A</v>
      </c>
      <c r="CF160" s="54">
        <f t="shared" si="274"/>
        <v>0.35152524313860362</v>
      </c>
      <c r="CG160" s="72" t="str">
        <f t="shared" si="275"/>
        <v/>
      </c>
      <c r="CH160" s="54">
        <f>_xlfn.NORM.DIST(_xlfn.NORM.INV(1-Eu_g_konfidensniveau,0,1)-Eu_tabel_g[[#This Row],[x base]],0,1,TRUE)</f>
        <v>1.5860266188613213E-2</v>
      </c>
      <c r="CI160" s="54">
        <f>1-_xlfn.NORM.DIST(_xlfn.NORM.INV(Eu_g_konfidensniveau,0,1)-Eu_tabel_g[[#This Row],[x base]],0,1,TRUE)</f>
        <v>0.12677012909733831</v>
      </c>
      <c r="CJ160" s="54">
        <f>_xlfn.NORM.DIST(_xlfn.NORM.INV((1-Eu_g_konfidensniveau)/2,0,1)-Eu_tabel_g[[#This Row],[x base]],0,1,TRUE)+1-_xlfn.NORM.DIST(_xlfn.NORM.INV(1-(1-Eu_g_konfidensniveau)/2,0,1)-Eu_tabel_g[[#This Row],[x base]],0,1,TRUE)</f>
        <v>7.9460105488476707E-2</v>
      </c>
      <c r="CK160" s="54" t="e" cm="1">
        <f t="array" ref="CK160">IF($CK$3,INDEX(Eu_tabel_g[[#This Row],[Styrke venstre]:[Styrke tosidet]],CK$7),NA())</f>
        <v>#N/A</v>
      </c>
      <c r="CL160" s="99" t="e">
        <f>Eu_tabel_g[[#This Row],[Falsk positiv
Nulhypotese accepteres
Fejltype 1]]</f>
        <v>#N/A</v>
      </c>
      <c r="CM160" s="99" t="e">
        <f>IF(CHOOSE(CK$7,Eu_tabel_g[[#This Row],[x base]]&gt;0,Eu_tabel_g[[#This Row],[x base]]&lt;0,Eu_tabel_g[[#This Row],[x base]]=0),Eu_tabel_g[[#This Row],[Styrke, aktiv]],NA())</f>
        <v>#N/A</v>
      </c>
      <c r="CN160" s="99" t="e">
        <f>IFERROR(IF($CK$3,Eu_tabel_g[[#This Row],[Styrke, aktiv]],NA()),NA())</f>
        <v>#N/A</v>
      </c>
      <c r="CO160" s="99" t="e">
        <f>IF(ISNA(Eu_tabel_g[[#This Row],[Sand negativ
Nulhypotese afvises
Korrekt]]),NA(),IF($CK$3,1,NA()))</f>
        <v>#N/A</v>
      </c>
      <c r="CP160" s="56" t="str" cm="1">
        <f t="array" ref="CP160">_xlfn.SWITCH(BS160,_xlfn.IFNA(CN$2,-99),CN$5,_xlfn.IFNA(CN$3,-99),CN$6,_xlfn.IFNA(CN$4,-99),CN$7,"")</f>
        <v/>
      </c>
      <c r="CT160" s="7">
        <f t="shared" si="276"/>
        <v>0.8</v>
      </c>
      <c r="CU160">
        <f>IF(ROW(Styrkeberegning_G[[#This Row],[X base venstre]])=ROW(Styrkeberegning_G[[#Headers],[X base venstre]])+1,CU$7/(CT$7/$B$67),CU159/(CT159/$B$67))</f>
        <v>-2.8015817870135784</v>
      </c>
      <c r="CV160">
        <f>Styrkeberegning_G[[#This Row],[X base venstre]]*-1</f>
        <v>2.8015817870135784</v>
      </c>
      <c r="DG160" s="54">
        <f t="shared" si="277"/>
        <v>150</v>
      </c>
      <c r="DH160" s="54">
        <f t="shared" si="278"/>
        <v>151</v>
      </c>
      <c r="DI160" s="54">
        <f t="shared" si="279"/>
        <v>18.94448112720384</v>
      </c>
      <c r="DJ160" s="54" t="e">
        <f t="shared" si="280"/>
        <v>#N/A</v>
      </c>
      <c r="DK160" s="54" t="e">
        <f t="shared" si="281"/>
        <v>#N/A</v>
      </c>
      <c r="DL160" s="54">
        <f t="shared" si="282"/>
        <v>1.8214139816133987E-2</v>
      </c>
      <c r="DM160" s="54" t="e">
        <f t="shared" si="283"/>
        <v>#N/A</v>
      </c>
      <c r="DN160" s="54" t="b">
        <f t="shared" si="284"/>
        <v>0</v>
      </c>
      <c r="DO160" s="54" t="b">
        <f t="shared" si="285"/>
        <v>1</v>
      </c>
      <c r="DP160" s="54" t="b">
        <f t="shared" si="286"/>
        <v>0</v>
      </c>
      <c r="DQ160" s="54" t="b">
        <f t="shared" si="287"/>
        <v>1</v>
      </c>
      <c r="DR160" s="54">
        <f t="shared" si="288"/>
        <v>1.8214139816133987E-2</v>
      </c>
      <c r="DS160" s="54" t="e">
        <f t="shared" si="289"/>
        <v>#N/A</v>
      </c>
      <c r="DT160" s="54">
        <f t="shared" si="290"/>
        <v>1.8214139816133987E-2</v>
      </c>
      <c r="DU160" s="72" t="str">
        <f t="shared" si="291"/>
        <v/>
      </c>
      <c r="DZ160" s="54">
        <f t="shared" si="292"/>
        <v>150</v>
      </c>
      <c r="EA160" s="54">
        <f t="shared" si="293"/>
        <v>151</v>
      </c>
      <c r="EB160" s="54">
        <f t="shared" si="294"/>
        <v>0.50306107309708592</v>
      </c>
      <c r="EC160" s="54">
        <f t="shared" si="295"/>
        <v>0.35152524313860362</v>
      </c>
      <c r="ED160" s="54" t="e">
        <f t="shared" si="296"/>
        <v>#N/A</v>
      </c>
      <c r="EE160" s="54" t="e">
        <f t="shared" si="297"/>
        <v>#N/A</v>
      </c>
      <c r="EF160" s="54" t="e">
        <f t="shared" si="298"/>
        <v>#N/A</v>
      </c>
      <c r="EG160" s="54" t="b">
        <f t="shared" si="299"/>
        <v>0</v>
      </c>
      <c r="EH160" s="54" t="b">
        <f t="shared" si="300"/>
        <v>1</v>
      </c>
      <c r="EI160" s="54" t="b">
        <f t="shared" si="301"/>
        <v>0</v>
      </c>
      <c r="EJ160" s="54" t="b">
        <f t="shared" si="302"/>
        <v>1</v>
      </c>
      <c r="EK160" s="54">
        <f t="shared" si="303"/>
        <v>0.35152524313860362</v>
      </c>
      <c r="EL160" s="54" t="e">
        <f t="shared" si="304"/>
        <v>#N/A</v>
      </c>
      <c r="EM160" s="54">
        <f t="shared" si="305"/>
        <v>0.35152524313860362</v>
      </c>
      <c r="EN160" s="72" t="str">
        <f t="shared" si="306"/>
        <v/>
      </c>
      <c r="EO16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6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6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60" s="54" t="e" cm="1">
        <f t="array" ref="ER160">IF($CK$3,INDEX(Eu_tabel_a[[#This Row],[Styrke venstre]:[Styrke tosidet]],ER$7),NA())</f>
        <v>#N/A</v>
      </c>
      <c r="ES160" s="54" t="e">
        <f>IF(ER$3,IF(CHOOSE(ER$7,Eu_tabel_a[[#This Row],[x base]]&gt;0,Eu_tabel_a[[#This Row],[x base]]&lt;0,Eu_tabel_a[[#This Row],[x base]]=0),1,NA()),NA())</f>
        <v>#N/A</v>
      </c>
      <c r="ET160" s="54" t="e">
        <f>IF(CHOOSE(ER$7,Eu_tabel_a[[#This Row],[x base]]&gt;0,Eu_tabel_a[[#This Row],[x base]]&lt;0,Eu_tabel_a[[#This Row],[x base]]=0),Eu_tabel_a[[#This Row],[Styrke, aktiv]],NA())</f>
        <v>#N/A</v>
      </c>
      <c r="EU160" s="54" t="e">
        <f>IFERROR(IF($ER$3,Eu_tabel_a[[#This Row],[Styrke, aktiv]],NA()),NA())</f>
        <v>#N/A</v>
      </c>
      <c r="EV160" s="54" t="e">
        <f>IF(ISNA(Eu_tabel_a[[#This Row],[Sand negativ
Nulhypotese afvises
Korrekt]]),NA(),IF(ER$3,1,NA()))</f>
        <v>#N/A</v>
      </c>
      <c r="EW160" s="55" t="str" cm="1">
        <f t="array" ref="EW160">IFERROR(_xlfn.SWITCH(Eu_tabel_a[[#This Row],[Indeks]],_xlfn.IFNA(EU$2,-99),EU$5,_xlfn.IFNA(EU$3,-99),EU$6,_xlfn.IFNA(EU$4,-99),EU$7,""),"")</f>
        <v/>
      </c>
      <c r="EX160" s="54">
        <f>Eu_tabel_a[[#This Row],[x base]]*SQRT(Eu_a_h0_x*(1-Eu_a_h0_x)/Eu_a_n_x)+Eu_a_h0_x</f>
        <v>0</v>
      </c>
      <c r="FC160" s="161" t="e">
        <f t="shared" si="250"/>
        <v>#N/A</v>
      </c>
      <c r="FD160" s="169" t="e">
        <f t="shared" si="338"/>
        <v>#DIV/0!</v>
      </c>
      <c r="FE160" s="7" t="e">
        <f t="shared" si="244"/>
        <v>#DIV/0!</v>
      </c>
      <c r="FF160" t="e">
        <f t="shared" si="339"/>
        <v>#DIV/0!</v>
      </c>
      <c r="FG160" s="8" t="e">
        <f t="shared" si="340"/>
        <v>#DIV/0!</v>
      </c>
      <c r="FH160" s="8" t="e">
        <f t="shared" si="341"/>
        <v>#DIV/0!</v>
      </c>
      <c r="FI160" s="168" t="e">
        <f t="shared" si="342"/>
        <v>#DIV/0!</v>
      </c>
      <c r="FJ160" s="161" t="e">
        <f t="shared" ca="1" si="245"/>
        <v>#N/A</v>
      </c>
      <c r="FK160" s="169" t="e" vm="3">
        <f t="shared" ca="1" si="251"/>
        <v>#VALUE!</v>
      </c>
      <c r="FL160" s="7" t="e" vm="3">
        <f t="shared" ca="1" si="246"/>
        <v>#VALUE!</v>
      </c>
      <c r="FM160" t="e" vm="3">
        <f t="shared" ca="1" si="240"/>
        <v>#VALUE!</v>
      </c>
      <c r="FN160" s="8" t="e" vm="3">
        <f t="shared" ca="1" si="241"/>
        <v>#VALUE!</v>
      </c>
      <c r="FO160" s="8" t="e" vm="3">
        <f t="shared" ca="1" si="242"/>
        <v>#VALUE!</v>
      </c>
      <c r="FP160" s="168" t="e" vm="3">
        <f t="shared" ca="1" si="243"/>
        <v>#VALUE!</v>
      </c>
      <c r="FQ160" s="161" t="e">
        <f t="shared" si="247"/>
        <v>#N/A</v>
      </c>
      <c r="FR160" s="169" t="e">
        <f t="shared" si="252"/>
        <v>#N/A</v>
      </c>
      <c r="FS160" s="7" t="e">
        <f t="shared" si="248"/>
        <v>#N/A</v>
      </c>
      <c r="FT160" t="e">
        <f t="shared" si="253"/>
        <v>#N/A</v>
      </c>
      <c r="FU160" s="8" t="e">
        <f t="shared" si="254"/>
        <v>#N/A</v>
      </c>
      <c r="FV160" s="8" t="e">
        <f t="shared" si="255"/>
        <v>#N/A</v>
      </c>
      <c r="FW160" s="168" t="e">
        <f t="shared" si="256"/>
        <v>#N/A</v>
      </c>
      <c r="FX160" s="161" t="e">
        <f t="shared" si="257"/>
        <v>#N/A</v>
      </c>
      <c r="FY160" s="169" t="e">
        <f t="shared" si="258"/>
        <v>#N/A</v>
      </c>
      <c r="FZ160" s="7" t="e">
        <f t="shared" si="249"/>
        <v>#N/A</v>
      </c>
      <c r="GA160" t="e">
        <f t="shared" si="259"/>
        <v>#N/A</v>
      </c>
      <c r="GB160" s="8" t="e">
        <f t="shared" si="260"/>
        <v>#N/A</v>
      </c>
      <c r="GC160" s="8" t="e">
        <f t="shared" si="261"/>
        <v>#N/A</v>
      </c>
      <c r="GD160" s="168" t="e">
        <f t="shared" si="262"/>
        <v>#N/A</v>
      </c>
      <c r="GE160" s="168"/>
      <c r="GF160" s="168"/>
      <c r="GI160" s="54">
        <f t="shared" si="307"/>
        <v>150</v>
      </c>
      <c r="GJ160" s="54">
        <f t="shared" si="308"/>
        <v>151</v>
      </c>
      <c r="GK160" s="54">
        <f t="shared" si="309"/>
        <v>0.50306107309708592</v>
      </c>
      <c r="GL160" s="54">
        <f t="shared" si="310"/>
        <v>0.35152524313860362</v>
      </c>
      <c r="GM160" s="54" t="e">
        <f t="shared" si="311"/>
        <v>#N/A</v>
      </c>
      <c r="GN160" s="54" t="e">
        <f t="shared" si="312"/>
        <v>#N/A</v>
      </c>
      <c r="GO160" s="54" t="e">
        <f t="shared" si="313"/>
        <v>#N/A</v>
      </c>
      <c r="GP160" s="54" t="b">
        <f t="shared" si="314"/>
        <v>0</v>
      </c>
      <c r="GQ160" s="54" t="b">
        <f t="shared" si="315"/>
        <v>1</v>
      </c>
      <c r="GR160" s="54" t="b">
        <f t="shared" si="316"/>
        <v>0</v>
      </c>
      <c r="GS160" s="54" t="b">
        <f t="shared" si="317"/>
        <v>1</v>
      </c>
      <c r="GT160" s="54">
        <f t="shared" si="318"/>
        <v>0.35152524313860362</v>
      </c>
      <c r="GU160" s="54" t="e">
        <f t="shared" si="319"/>
        <v>#N/A</v>
      </c>
      <c r="GV160" s="54">
        <f t="shared" si="320"/>
        <v>0.35152524313860362</v>
      </c>
      <c r="GW160" s="72" t="str">
        <f t="shared" si="321"/>
        <v/>
      </c>
      <c r="HC160" s="54">
        <f t="shared" si="322"/>
        <v>150</v>
      </c>
      <c r="HD160" s="54">
        <f t="shared" si="323"/>
        <v>151</v>
      </c>
      <c r="HE160" s="54">
        <f t="shared" si="324"/>
        <v>0.77900063722019386</v>
      </c>
      <c r="HF160" s="54" t="e">
        <f t="shared" si="325"/>
        <v>#N/A</v>
      </c>
      <c r="HG160" s="54">
        <f t="shared" si="326"/>
        <v>0.27607409962841173</v>
      </c>
      <c r="HH160" s="54" t="e">
        <f t="shared" si="327"/>
        <v>#N/A</v>
      </c>
      <c r="HI160" s="54" t="e">
        <f t="shared" si="328"/>
        <v>#N/A</v>
      </c>
      <c r="HJ160" s="54" t="b">
        <f t="shared" si="329"/>
        <v>1</v>
      </c>
      <c r="HK160" s="54" t="b">
        <f t="shared" si="330"/>
        <v>0</v>
      </c>
      <c r="HL160" s="54" t="b">
        <f t="shared" si="331"/>
        <v>0</v>
      </c>
      <c r="HM160" s="54" t="b">
        <f t="shared" si="332"/>
        <v>1</v>
      </c>
      <c r="HN160" s="54">
        <f t="shared" si="333"/>
        <v>0.27607409962841173</v>
      </c>
      <c r="HO160" s="54">
        <f t="shared" si="334"/>
        <v>0.27607409962841173</v>
      </c>
      <c r="HP160" s="54" t="e">
        <f t="shared" si="335"/>
        <v>#N/A</v>
      </c>
      <c r="HQ160" s="72" t="str">
        <f t="shared" si="336"/>
        <v/>
      </c>
    </row>
    <row r="161" spans="71:225" x14ac:dyDescent="0.2">
      <c r="BS161" s="54">
        <f t="shared" si="263"/>
        <v>151</v>
      </c>
      <c r="BT161" s="54">
        <f>Eu_tabel_g[[#This Row],[Indeks]]+1</f>
        <v>152</v>
      </c>
      <c r="BU161" s="54">
        <f t="shared" si="264"/>
        <v>0.52701636229218529</v>
      </c>
      <c r="BV161" s="54">
        <f t="shared" si="265"/>
        <v>0.34721480489913414</v>
      </c>
      <c r="BW161" s="54" t="e">
        <f t="shared" si="266"/>
        <v>#N/A</v>
      </c>
      <c r="BX161" s="54" t="e">
        <f t="shared" si="267"/>
        <v>#N/A</v>
      </c>
      <c r="BY161" s="54" t="e">
        <f t="shared" si="268"/>
        <v>#N/A</v>
      </c>
      <c r="BZ161" s="54" t="b">
        <f t="shared" si="269"/>
        <v>0</v>
      </c>
      <c r="CA161" s="54" t="b">
        <f t="shared" si="270"/>
        <v>1</v>
      </c>
      <c r="CB161" s="54" t="b">
        <f t="shared" si="271"/>
        <v>0</v>
      </c>
      <c r="CC161" s="54" t="b">
        <f t="shared" si="272"/>
        <v>1</v>
      </c>
      <c r="CD161" s="54">
        <f t="shared" si="337"/>
        <v>0.34721480489913414</v>
      </c>
      <c r="CE161" s="54" t="e">
        <f t="shared" si="273"/>
        <v>#N/A</v>
      </c>
      <c r="CF161" s="54">
        <f t="shared" si="274"/>
        <v>0.34721480489913414</v>
      </c>
      <c r="CG161" s="72" t="str">
        <f t="shared" si="275"/>
        <v/>
      </c>
      <c r="CH161" s="54">
        <f>_xlfn.NORM.DIST(_xlfn.NORM.INV(1-Eu_g_konfidensniveau,0,1)-Eu_tabel_g[[#This Row],[x base]],0,1,TRUE)</f>
        <v>1.4932735343932423E-2</v>
      </c>
      <c r="CI161" s="54">
        <f>1-_xlfn.NORM.DIST(_xlfn.NORM.INV(Eu_g_konfidensniveau,0,1)-Eu_tabel_g[[#This Row],[x base]],0,1,TRUE)</f>
        <v>0.13181825141176107</v>
      </c>
      <c r="CJ161" s="54">
        <f>_xlfn.NORM.DIST(_xlfn.NORM.INV((1-Eu_g_konfidensniveau)/2,0,1)-Eu_tabel_g[[#This Row],[x base]],0,1,TRUE)+1-_xlfn.NORM.DIST(_xlfn.NORM.INV(1-(1-Eu_g_konfidensniveau)/2,0,1)-Eu_tabel_g[[#This Row],[x base]],0,1,TRUE)</f>
        <v>8.2378028974324891E-2</v>
      </c>
      <c r="CK161" s="54" t="e" cm="1">
        <f t="array" ref="CK161">IF($CK$3,INDEX(Eu_tabel_g[[#This Row],[Styrke venstre]:[Styrke tosidet]],CK$7),NA())</f>
        <v>#N/A</v>
      </c>
      <c r="CL161" s="99" t="e">
        <f>Eu_tabel_g[[#This Row],[Falsk positiv
Nulhypotese accepteres
Fejltype 1]]</f>
        <v>#N/A</v>
      </c>
      <c r="CM161" s="99" t="e">
        <f>IF(CHOOSE(CK$7,Eu_tabel_g[[#This Row],[x base]]&gt;0,Eu_tabel_g[[#This Row],[x base]]&lt;0,Eu_tabel_g[[#This Row],[x base]]=0),Eu_tabel_g[[#This Row],[Styrke, aktiv]],NA())</f>
        <v>#N/A</v>
      </c>
      <c r="CN161" s="99" t="e">
        <f>IFERROR(IF($CK$3,Eu_tabel_g[[#This Row],[Styrke, aktiv]],NA()),NA())</f>
        <v>#N/A</v>
      </c>
      <c r="CO161" s="99" t="e">
        <f>IF(ISNA(Eu_tabel_g[[#This Row],[Sand negativ
Nulhypotese afvises
Korrekt]]),NA(),IF($CK$3,1,NA()))</f>
        <v>#N/A</v>
      </c>
      <c r="CP161" s="56" t="str" cm="1">
        <f t="array" ref="CP161">_xlfn.SWITCH(BS161,_xlfn.IFNA(CN$2,-99),CN$5,_xlfn.IFNA(CN$3,-99),CN$6,_xlfn.IFNA(CN$4,-99),CN$7,"")</f>
        <v/>
      </c>
      <c r="CT161" s="7">
        <f t="shared" si="276"/>
        <v>0.8</v>
      </c>
      <c r="CU161">
        <f>IF(ROW(Styrkeberegning_G[[#This Row],[X base venstre]])=ROW(Styrkeberegning_G[[#Headers],[X base venstre]])+1,CU$7/(CT$7/$B$67),CU160/(CT160/$B$67))</f>
        <v>-2.8015817870135784</v>
      </c>
      <c r="CV161">
        <f>Styrkeberegning_G[[#This Row],[X base venstre]]*-1</f>
        <v>2.8015817870135784</v>
      </c>
      <c r="DG161" s="54">
        <f t="shared" si="277"/>
        <v>151</v>
      </c>
      <c r="DH161" s="54">
        <f t="shared" si="278"/>
        <v>152</v>
      </c>
      <c r="DI161" s="54">
        <f t="shared" si="279"/>
        <v>19.058551983620841</v>
      </c>
      <c r="DJ161" s="54" t="e">
        <f t="shared" si="280"/>
        <v>#N/A</v>
      </c>
      <c r="DK161" s="54" t="e">
        <f t="shared" si="281"/>
        <v>#N/A</v>
      </c>
      <c r="DL161" s="54">
        <f t="shared" si="282"/>
        <v>1.7675464364901958E-2</v>
      </c>
      <c r="DM161" s="54" t="e">
        <f t="shared" si="283"/>
        <v>#N/A</v>
      </c>
      <c r="DN161" s="54" t="b">
        <f t="shared" si="284"/>
        <v>0</v>
      </c>
      <c r="DO161" s="54" t="b">
        <f t="shared" si="285"/>
        <v>1</v>
      </c>
      <c r="DP161" s="54" t="b">
        <f t="shared" si="286"/>
        <v>0</v>
      </c>
      <c r="DQ161" s="54" t="b">
        <f t="shared" si="287"/>
        <v>1</v>
      </c>
      <c r="DR161" s="54">
        <f t="shared" si="288"/>
        <v>1.7675464364901958E-2</v>
      </c>
      <c r="DS161" s="54" t="e">
        <f t="shared" si="289"/>
        <v>#N/A</v>
      </c>
      <c r="DT161" s="54">
        <f t="shared" si="290"/>
        <v>1.7675464364901958E-2</v>
      </c>
      <c r="DU161" s="72" t="str">
        <f t="shared" si="291"/>
        <v/>
      </c>
      <c r="DZ161" s="54">
        <f t="shared" si="292"/>
        <v>151</v>
      </c>
      <c r="EA161" s="54">
        <f t="shared" si="293"/>
        <v>152</v>
      </c>
      <c r="EB161" s="54">
        <f t="shared" si="294"/>
        <v>0.52701636229218529</v>
      </c>
      <c r="EC161" s="54">
        <f t="shared" si="295"/>
        <v>0.34721480489913414</v>
      </c>
      <c r="ED161" s="54" t="e">
        <f t="shared" si="296"/>
        <v>#N/A</v>
      </c>
      <c r="EE161" s="54" t="e">
        <f t="shared" si="297"/>
        <v>#N/A</v>
      </c>
      <c r="EF161" s="54" t="e">
        <f t="shared" si="298"/>
        <v>#N/A</v>
      </c>
      <c r="EG161" s="54" t="b">
        <f t="shared" si="299"/>
        <v>0</v>
      </c>
      <c r="EH161" s="54" t="b">
        <f t="shared" si="300"/>
        <v>1</v>
      </c>
      <c r="EI161" s="54" t="b">
        <f t="shared" si="301"/>
        <v>0</v>
      </c>
      <c r="EJ161" s="54" t="b">
        <f t="shared" si="302"/>
        <v>1</v>
      </c>
      <c r="EK161" s="54">
        <f t="shared" si="303"/>
        <v>0.34721480489913414</v>
      </c>
      <c r="EL161" s="54" t="e">
        <f t="shared" si="304"/>
        <v>#N/A</v>
      </c>
      <c r="EM161" s="54">
        <f t="shared" si="305"/>
        <v>0.34721480489913414</v>
      </c>
      <c r="EN161" s="72" t="str">
        <f t="shared" si="306"/>
        <v/>
      </c>
      <c r="EO16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6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6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61" s="54" t="e" cm="1">
        <f t="array" ref="ER161">IF($CK$3,INDEX(Eu_tabel_a[[#This Row],[Styrke venstre]:[Styrke tosidet]],ER$7),NA())</f>
        <v>#N/A</v>
      </c>
      <c r="ES161" s="54" t="e">
        <f>IF(ER$3,IF(CHOOSE(ER$7,Eu_tabel_a[[#This Row],[x base]]&gt;0,Eu_tabel_a[[#This Row],[x base]]&lt;0,Eu_tabel_a[[#This Row],[x base]]=0),1,NA()),NA())</f>
        <v>#N/A</v>
      </c>
      <c r="ET161" s="54" t="e">
        <f>IF(CHOOSE(ER$7,Eu_tabel_a[[#This Row],[x base]]&gt;0,Eu_tabel_a[[#This Row],[x base]]&lt;0,Eu_tabel_a[[#This Row],[x base]]=0),Eu_tabel_a[[#This Row],[Styrke, aktiv]],NA())</f>
        <v>#N/A</v>
      </c>
      <c r="EU161" s="54" t="e">
        <f>IFERROR(IF($ER$3,Eu_tabel_a[[#This Row],[Styrke, aktiv]],NA()),NA())</f>
        <v>#N/A</v>
      </c>
      <c r="EV161" s="54" t="e">
        <f>IF(ISNA(Eu_tabel_a[[#This Row],[Sand negativ
Nulhypotese afvises
Korrekt]]),NA(),IF(ER$3,1,NA()))</f>
        <v>#N/A</v>
      </c>
      <c r="EW161" s="55" t="str" cm="1">
        <f t="array" ref="EW161">IFERROR(_xlfn.SWITCH(Eu_tabel_a[[#This Row],[Indeks]],_xlfn.IFNA(EU$2,-99),EU$5,_xlfn.IFNA(EU$3,-99),EU$6,_xlfn.IFNA(EU$4,-99),EU$7,""),"")</f>
        <v/>
      </c>
      <c r="EX161" s="54">
        <f>Eu_tabel_a[[#This Row],[x base]]*SQRT(Eu_a_h0_x*(1-Eu_a_h0_x)/Eu_a_n_x)+Eu_a_h0_x</f>
        <v>0</v>
      </c>
      <c r="FC161" s="161" t="e">
        <f t="shared" si="250"/>
        <v>#N/A</v>
      </c>
      <c r="FD161" s="169" t="e">
        <f t="shared" si="338"/>
        <v>#DIV/0!</v>
      </c>
      <c r="FE161" s="7" t="e">
        <f t="shared" si="244"/>
        <v>#DIV/0!</v>
      </c>
      <c r="FF161" t="e">
        <f t="shared" si="339"/>
        <v>#DIV/0!</v>
      </c>
      <c r="FG161" s="8" t="e">
        <f t="shared" si="340"/>
        <v>#DIV/0!</v>
      </c>
      <c r="FH161" s="8" t="e">
        <f t="shared" si="341"/>
        <v>#DIV/0!</v>
      </c>
      <c r="FI161" s="168" t="e">
        <f t="shared" si="342"/>
        <v>#DIV/0!</v>
      </c>
      <c r="FJ161" s="161" t="e">
        <f t="shared" ca="1" si="245"/>
        <v>#N/A</v>
      </c>
      <c r="FK161" s="169" t="e" vm="3">
        <f t="shared" ca="1" si="251"/>
        <v>#VALUE!</v>
      </c>
      <c r="FL161" s="7" t="e" vm="3">
        <f t="shared" ca="1" si="246"/>
        <v>#VALUE!</v>
      </c>
      <c r="FM161" t="e" vm="3">
        <f t="shared" ca="1" si="240"/>
        <v>#VALUE!</v>
      </c>
      <c r="FN161" s="8" t="e" vm="3">
        <f t="shared" ca="1" si="241"/>
        <v>#VALUE!</v>
      </c>
      <c r="FO161" s="8" t="e" vm="3">
        <f t="shared" ca="1" si="242"/>
        <v>#VALUE!</v>
      </c>
      <c r="FP161" s="168" t="e" vm="3">
        <f t="shared" ca="1" si="243"/>
        <v>#VALUE!</v>
      </c>
      <c r="FQ161" s="161" t="e">
        <f t="shared" si="247"/>
        <v>#N/A</v>
      </c>
      <c r="FR161" s="169" t="e">
        <f t="shared" si="252"/>
        <v>#N/A</v>
      </c>
      <c r="FS161" s="7" t="e">
        <f t="shared" si="248"/>
        <v>#N/A</v>
      </c>
      <c r="FT161" t="e">
        <f t="shared" si="253"/>
        <v>#N/A</v>
      </c>
      <c r="FU161" s="8" t="e">
        <f t="shared" si="254"/>
        <v>#N/A</v>
      </c>
      <c r="FV161" s="8" t="e">
        <f t="shared" si="255"/>
        <v>#N/A</v>
      </c>
      <c r="FW161" s="168" t="e">
        <f t="shared" si="256"/>
        <v>#N/A</v>
      </c>
      <c r="FX161" s="161" t="e">
        <f t="shared" si="257"/>
        <v>#N/A</v>
      </c>
      <c r="FY161" s="169" t="e">
        <f t="shared" si="258"/>
        <v>#N/A</v>
      </c>
      <c r="FZ161" s="7" t="e">
        <f t="shared" si="249"/>
        <v>#N/A</v>
      </c>
      <c r="GA161" t="e">
        <f t="shared" si="259"/>
        <v>#N/A</v>
      </c>
      <c r="GB161" s="8" t="e">
        <f t="shared" si="260"/>
        <v>#N/A</v>
      </c>
      <c r="GC161" s="8" t="e">
        <f t="shared" si="261"/>
        <v>#N/A</v>
      </c>
      <c r="GD161" s="168" t="e">
        <f t="shared" si="262"/>
        <v>#N/A</v>
      </c>
      <c r="GE161" s="168"/>
      <c r="GF161" s="168"/>
      <c r="GI161" s="54">
        <f t="shared" si="307"/>
        <v>151</v>
      </c>
      <c r="GJ161" s="54">
        <f t="shared" si="308"/>
        <v>152</v>
      </c>
      <c r="GK161" s="54">
        <f t="shared" si="309"/>
        <v>0.52701636229218529</v>
      </c>
      <c r="GL161" s="54">
        <f t="shared" si="310"/>
        <v>0.34721480489913414</v>
      </c>
      <c r="GM161" s="54" t="e">
        <f t="shared" si="311"/>
        <v>#N/A</v>
      </c>
      <c r="GN161" s="54" t="e">
        <f t="shared" si="312"/>
        <v>#N/A</v>
      </c>
      <c r="GO161" s="54" t="e">
        <f t="shared" si="313"/>
        <v>#N/A</v>
      </c>
      <c r="GP161" s="54" t="b">
        <f t="shared" si="314"/>
        <v>0</v>
      </c>
      <c r="GQ161" s="54" t="b">
        <f t="shared" si="315"/>
        <v>1</v>
      </c>
      <c r="GR161" s="54" t="b">
        <f t="shared" si="316"/>
        <v>0</v>
      </c>
      <c r="GS161" s="54" t="b">
        <f t="shared" si="317"/>
        <v>1</v>
      </c>
      <c r="GT161" s="54">
        <f t="shared" si="318"/>
        <v>0.34721480489913414</v>
      </c>
      <c r="GU161" s="54" t="e">
        <f t="shared" si="319"/>
        <v>#N/A</v>
      </c>
      <c r="GV161" s="54">
        <f t="shared" si="320"/>
        <v>0.34721480489913414</v>
      </c>
      <c r="GW161" s="72" t="str">
        <f t="shared" si="321"/>
        <v/>
      </c>
      <c r="HC161" s="54">
        <f t="shared" si="322"/>
        <v>151</v>
      </c>
      <c r="HD161" s="54">
        <f t="shared" si="323"/>
        <v>152</v>
      </c>
      <c r="HE161" s="54">
        <f t="shared" si="324"/>
        <v>0.8160959056592505</v>
      </c>
      <c r="HF161" s="54" t="e">
        <f t="shared" si="325"/>
        <v>#N/A</v>
      </c>
      <c r="HG161" s="54">
        <f t="shared" si="326"/>
        <v>0.26764870550000192</v>
      </c>
      <c r="HH161" s="54" t="e">
        <f t="shared" si="327"/>
        <v>#N/A</v>
      </c>
      <c r="HI161" s="54" t="e">
        <f t="shared" si="328"/>
        <v>#N/A</v>
      </c>
      <c r="HJ161" s="54" t="b">
        <f t="shared" si="329"/>
        <v>1</v>
      </c>
      <c r="HK161" s="54" t="b">
        <f t="shared" si="330"/>
        <v>0</v>
      </c>
      <c r="HL161" s="54" t="b">
        <f t="shared" si="331"/>
        <v>0</v>
      </c>
      <c r="HM161" s="54" t="b">
        <f t="shared" si="332"/>
        <v>1</v>
      </c>
      <c r="HN161" s="54">
        <f t="shared" si="333"/>
        <v>0.26764870550000192</v>
      </c>
      <c r="HO161" s="54">
        <f t="shared" si="334"/>
        <v>0.26764870550000192</v>
      </c>
      <c r="HP161" s="54" t="e">
        <f t="shared" si="335"/>
        <v>#N/A</v>
      </c>
      <c r="HQ161" s="72" t="str">
        <f t="shared" si="336"/>
        <v/>
      </c>
    </row>
    <row r="162" spans="71:225" x14ac:dyDescent="0.2">
      <c r="BS162" s="54">
        <f t="shared" si="263"/>
        <v>152</v>
      </c>
      <c r="BT162" s="54">
        <f>Eu_tabel_g[[#This Row],[Indeks]]+1</f>
        <v>153</v>
      </c>
      <c r="BU162" s="54">
        <f t="shared" si="264"/>
        <v>0.55097165148728466</v>
      </c>
      <c r="BV162" s="54">
        <f t="shared" si="265"/>
        <v>0.34276047013173222</v>
      </c>
      <c r="BW162" s="54" t="e">
        <f t="shared" si="266"/>
        <v>#N/A</v>
      </c>
      <c r="BX162" s="54" t="e">
        <f t="shared" si="267"/>
        <v>#N/A</v>
      </c>
      <c r="BY162" s="54" t="e">
        <f t="shared" si="268"/>
        <v>#N/A</v>
      </c>
      <c r="BZ162" s="54" t="b">
        <f t="shared" si="269"/>
        <v>0</v>
      </c>
      <c r="CA162" s="54" t="b">
        <f t="shared" si="270"/>
        <v>1</v>
      </c>
      <c r="CB162" s="54" t="b">
        <f t="shared" si="271"/>
        <v>0</v>
      </c>
      <c r="CC162" s="54" t="b">
        <f t="shared" si="272"/>
        <v>1</v>
      </c>
      <c r="CD162" s="54">
        <f t="shared" si="337"/>
        <v>0.34276047013173222</v>
      </c>
      <c r="CE162" s="54" t="e">
        <f t="shared" si="273"/>
        <v>#N/A</v>
      </c>
      <c r="CF162" s="54">
        <f t="shared" si="274"/>
        <v>0.34276047013173222</v>
      </c>
      <c r="CG162" s="72" t="str">
        <f t="shared" si="275"/>
        <v/>
      </c>
      <c r="CH162" s="54">
        <f>_xlfn.NORM.DIST(_xlfn.NORM.INV(1-Eu_g_konfidensniveau,0,1)-Eu_tabel_g[[#This Row],[x base]],0,1,TRUE)</f>
        <v>1.4052225802867635E-2</v>
      </c>
      <c r="CI162" s="54">
        <f>1-_xlfn.NORM.DIST(_xlfn.NORM.INV(Eu_g_konfidensniveau,0,1)-Eu_tabel_g[[#This Row],[x base]],0,1,TRUE)</f>
        <v>0.13700337247235039</v>
      </c>
      <c r="CJ162" s="54">
        <f>_xlfn.NORM.DIST(_xlfn.NORM.INV((1-Eu_g_konfidensniveau)/2,0,1)-Eu_tabel_g[[#This Row],[x base]],0,1,TRUE)+1-_xlfn.NORM.DIST(_xlfn.NORM.INV(1-(1-Eu_g_konfidensniveau)/2,0,1)-Eu_tabel_g[[#This Row],[x base]],0,1,TRUE)</f>
        <v>8.5439300065713875E-2</v>
      </c>
      <c r="CK162" s="54" t="e" cm="1">
        <f t="array" ref="CK162">IF($CK$3,INDEX(Eu_tabel_g[[#This Row],[Styrke venstre]:[Styrke tosidet]],CK$7),NA())</f>
        <v>#N/A</v>
      </c>
      <c r="CL162" s="99" t="e">
        <f>Eu_tabel_g[[#This Row],[Falsk positiv
Nulhypotese accepteres
Fejltype 1]]</f>
        <v>#N/A</v>
      </c>
      <c r="CM162" s="99" t="e">
        <f>IF(CHOOSE(CK$7,Eu_tabel_g[[#This Row],[x base]]&gt;0,Eu_tabel_g[[#This Row],[x base]]&lt;0,Eu_tabel_g[[#This Row],[x base]]=0),Eu_tabel_g[[#This Row],[Styrke, aktiv]],NA())</f>
        <v>#N/A</v>
      </c>
      <c r="CN162" s="99" t="e">
        <f>IFERROR(IF($CK$3,Eu_tabel_g[[#This Row],[Styrke, aktiv]],NA()),NA())</f>
        <v>#N/A</v>
      </c>
      <c r="CO162" s="99" t="e">
        <f>IF(ISNA(Eu_tabel_g[[#This Row],[Sand negativ
Nulhypotese afvises
Korrekt]]),NA(),IF($CK$3,1,NA()))</f>
        <v>#N/A</v>
      </c>
      <c r="CP162" s="56" t="str" cm="1">
        <f t="array" ref="CP162">_xlfn.SWITCH(BS162,_xlfn.IFNA(CN$2,-99),CN$5,_xlfn.IFNA(CN$3,-99),CN$6,_xlfn.IFNA(CN$4,-99),CN$7,"")</f>
        <v/>
      </c>
      <c r="CT162" s="7">
        <f t="shared" si="276"/>
        <v>0.8</v>
      </c>
      <c r="CU162">
        <f>IF(ROW(Styrkeberegning_G[[#This Row],[X base venstre]])=ROW(Styrkeberegning_G[[#Headers],[X base venstre]])+1,CU$7/(CT$7/$B$67),CU161/(CT161/$B$67))</f>
        <v>-2.8015817870135784</v>
      </c>
      <c r="CV162">
        <f>Styrkeberegning_G[[#This Row],[X base venstre]]*-1</f>
        <v>2.8015817870135784</v>
      </c>
      <c r="DG162" s="54">
        <f t="shared" si="277"/>
        <v>152</v>
      </c>
      <c r="DH162" s="54">
        <f t="shared" si="278"/>
        <v>153</v>
      </c>
      <c r="DI162" s="54">
        <f t="shared" si="279"/>
        <v>19.172622840037842</v>
      </c>
      <c r="DJ162" s="54" t="e">
        <f t="shared" si="280"/>
        <v>#N/A</v>
      </c>
      <c r="DK162" s="54" t="e">
        <f t="shared" si="281"/>
        <v>#N/A</v>
      </c>
      <c r="DL162" s="54">
        <f t="shared" si="282"/>
        <v>1.7149955057558421E-2</v>
      </c>
      <c r="DM162" s="54" t="e">
        <f t="shared" si="283"/>
        <v>#N/A</v>
      </c>
      <c r="DN162" s="54" t="b">
        <f t="shared" si="284"/>
        <v>0</v>
      </c>
      <c r="DO162" s="54" t="b">
        <f t="shared" si="285"/>
        <v>1</v>
      </c>
      <c r="DP162" s="54" t="b">
        <f t="shared" si="286"/>
        <v>0</v>
      </c>
      <c r="DQ162" s="54" t="b">
        <f t="shared" si="287"/>
        <v>1</v>
      </c>
      <c r="DR162" s="54">
        <f t="shared" si="288"/>
        <v>1.7149955057558421E-2</v>
      </c>
      <c r="DS162" s="54" t="e">
        <f t="shared" si="289"/>
        <v>#N/A</v>
      </c>
      <c r="DT162" s="54">
        <f t="shared" si="290"/>
        <v>1.7149955057558421E-2</v>
      </c>
      <c r="DU162" s="72" t="str">
        <f t="shared" si="291"/>
        <v/>
      </c>
      <c r="DZ162" s="54">
        <f t="shared" si="292"/>
        <v>152</v>
      </c>
      <c r="EA162" s="54">
        <f t="shared" si="293"/>
        <v>153</v>
      </c>
      <c r="EB162" s="54">
        <f t="shared" si="294"/>
        <v>0.55097165148728466</v>
      </c>
      <c r="EC162" s="54">
        <f t="shared" si="295"/>
        <v>0.34276047013173222</v>
      </c>
      <c r="ED162" s="54" t="e">
        <f t="shared" si="296"/>
        <v>#N/A</v>
      </c>
      <c r="EE162" s="54" t="e">
        <f t="shared" si="297"/>
        <v>#N/A</v>
      </c>
      <c r="EF162" s="54" t="e">
        <f t="shared" si="298"/>
        <v>#N/A</v>
      </c>
      <c r="EG162" s="54" t="b">
        <f t="shared" si="299"/>
        <v>0</v>
      </c>
      <c r="EH162" s="54" t="b">
        <f t="shared" si="300"/>
        <v>1</v>
      </c>
      <c r="EI162" s="54" t="b">
        <f t="shared" si="301"/>
        <v>0</v>
      </c>
      <c r="EJ162" s="54" t="b">
        <f t="shared" si="302"/>
        <v>1</v>
      </c>
      <c r="EK162" s="54">
        <f t="shared" si="303"/>
        <v>0.34276047013173222</v>
      </c>
      <c r="EL162" s="54" t="e">
        <f t="shared" si="304"/>
        <v>#N/A</v>
      </c>
      <c r="EM162" s="54">
        <f t="shared" si="305"/>
        <v>0.34276047013173222</v>
      </c>
      <c r="EN162" s="72" t="str">
        <f t="shared" si="306"/>
        <v/>
      </c>
      <c r="EO16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6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6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62" s="54" t="e" cm="1">
        <f t="array" ref="ER162">IF($CK$3,INDEX(Eu_tabel_a[[#This Row],[Styrke venstre]:[Styrke tosidet]],ER$7),NA())</f>
        <v>#N/A</v>
      </c>
      <c r="ES162" s="54" t="e">
        <f>IF(ER$3,IF(CHOOSE(ER$7,Eu_tabel_a[[#This Row],[x base]]&gt;0,Eu_tabel_a[[#This Row],[x base]]&lt;0,Eu_tabel_a[[#This Row],[x base]]=0),1,NA()),NA())</f>
        <v>#N/A</v>
      </c>
      <c r="ET162" s="54" t="e">
        <f>IF(CHOOSE(ER$7,Eu_tabel_a[[#This Row],[x base]]&gt;0,Eu_tabel_a[[#This Row],[x base]]&lt;0,Eu_tabel_a[[#This Row],[x base]]=0),Eu_tabel_a[[#This Row],[Styrke, aktiv]],NA())</f>
        <v>#N/A</v>
      </c>
      <c r="EU162" s="54" t="e">
        <f>IFERROR(IF($ER$3,Eu_tabel_a[[#This Row],[Styrke, aktiv]],NA()),NA())</f>
        <v>#N/A</v>
      </c>
      <c r="EV162" s="54" t="e">
        <f>IF(ISNA(Eu_tabel_a[[#This Row],[Sand negativ
Nulhypotese afvises
Korrekt]]),NA(),IF(ER$3,1,NA()))</f>
        <v>#N/A</v>
      </c>
      <c r="EW162" s="55" t="str" cm="1">
        <f t="array" ref="EW162">IFERROR(_xlfn.SWITCH(Eu_tabel_a[[#This Row],[Indeks]],_xlfn.IFNA(EU$2,-99),EU$5,_xlfn.IFNA(EU$3,-99),EU$6,_xlfn.IFNA(EU$4,-99),EU$7,""),"")</f>
        <v/>
      </c>
      <c r="EX162" s="54">
        <f>Eu_tabel_a[[#This Row],[x base]]*SQRT(Eu_a_h0_x*(1-Eu_a_h0_x)/Eu_a_n_x)+Eu_a_h0_x</f>
        <v>0</v>
      </c>
      <c r="FC162" s="161" t="e">
        <f t="shared" si="250"/>
        <v>#N/A</v>
      </c>
      <c r="FD162" s="169" t="e">
        <f t="shared" si="338"/>
        <v>#DIV/0!</v>
      </c>
      <c r="FE162" s="7" t="e">
        <f t="shared" si="244"/>
        <v>#DIV/0!</v>
      </c>
      <c r="FF162" t="e">
        <f t="shared" si="339"/>
        <v>#DIV/0!</v>
      </c>
      <c r="FG162" s="8" t="e">
        <f t="shared" si="340"/>
        <v>#DIV/0!</v>
      </c>
      <c r="FH162" s="8" t="e">
        <f t="shared" si="341"/>
        <v>#DIV/0!</v>
      </c>
      <c r="FI162" s="168" t="e">
        <f t="shared" si="342"/>
        <v>#DIV/0!</v>
      </c>
      <c r="FJ162" s="161" t="e">
        <f t="shared" ca="1" si="245"/>
        <v>#N/A</v>
      </c>
      <c r="FK162" s="169" t="e" vm="3">
        <f t="shared" ca="1" si="251"/>
        <v>#VALUE!</v>
      </c>
      <c r="FL162" s="7" t="e" vm="3">
        <f t="shared" ca="1" si="246"/>
        <v>#VALUE!</v>
      </c>
      <c r="FM162" t="e" vm="3">
        <f t="shared" ca="1" si="240"/>
        <v>#VALUE!</v>
      </c>
      <c r="FN162" s="8" t="e" vm="3">
        <f t="shared" ca="1" si="241"/>
        <v>#VALUE!</v>
      </c>
      <c r="FO162" s="8" t="e" vm="3">
        <f t="shared" ca="1" si="242"/>
        <v>#VALUE!</v>
      </c>
      <c r="FP162" s="168" t="e" vm="3">
        <f t="shared" ca="1" si="243"/>
        <v>#VALUE!</v>
      </c>
      <c r="FQ162" s="161" t="e">
        <f t="shared" si="247"/>
        <v>#N/A</v>
      </c>
      <c r="FR162" s="169" t="e">
        <f t="shared" si="252"/>
        <v>#N/A</v>
      </c>
      <c r="FS162" s="7" t="e">
        <f t="shared" si="248"/>
        <v>#N/A</v>
      </c>
      <c r="FT162" t="e">
        <f t="shared" si="253"/>
        <v>#N/A</v>
      </c>
      <c r="FU162" s="8" t="e">
        <f t="shared" si="254"/>
        <v>#N/A</v>
      </c>
      <c r="FV162" s="8" t="e">
        <f t="shared" si="255"/>
        <v>#N/A</v>
      </c>
      <c r="FW162" s="168" t="e">
        <f t="shared" si="256"/>
        <v>#N/A</v>
      </c>
      <c r="FX162" s="161" t="e">
        <f t="shared" si="257"/>
        <v>#N/A</v>
      </c>
      <c r="FY162" s="169" t="e">
        <f t="shared" si="258"/>
        <v>#N/A</v>
      </c>
      <c r="FZ162" s="7" t="e">
        <f t="shared" si="249"/>
        <v>#N/A</v>
      </c>
      <c r="GA162" t="e">
        <f t="shared" si="259"/>
        <v>#N/A</v>
      </c>
      <c r="GB162" s="8" t="e">
        <f t="shared" si="260"/>
        <v>#N/A</v>
      </c>
      <c r="GC162" s="8" t="e">
        <f t="shared" si="261"/>
        <v>#N/A</v>
      </c>
      <c r="GD162" s="168" t="e">
        <f t="shared" si="262"/>
        <v>#N/A</v>
      </c>
      <c r="GE162" s="168"/>
      <c r="GF162" s="168"/>
      <c r="GI162" s="54">
        <f t="shared" si="307"/>
        <v>152</v>
      </c>
      <c r="GJ162" s="54">
        <f t="shared" si="308"/>
        <v>153</v>
      </c>
      <c r="GK162" s="54">
        <f t="shared" si="309"/>
        <v>0.55097165148728466</v>
      </c>
      <c r="GL162" s="54">
        <f t="shared" si="310"/>
        <v>0.34276047013173222</v>
      </c>
      <c r="GM162" s="54" t="e">
        <f t="shared" si="311"/>
        <v>#N/A</v>
      </c>
      <c r="GN162" s="54" t="e">
        <f t="shared" si="312"/>
        <v>#N/A</v>
      </c>
      <c r="GO162" s="54" t="e">
        <f t="shared" si="313"/>
        <v>#N/A</v>
      </c>
      <c r="GP162" s="54" t="b">
        <f t="shared" si="314"/>
        <v>0</v>
      </c>
      <c r="GQ162" s="54" t="b">
        <f t="shared" si="315"/>
        <v>1</v>
      </c>
      <c r="GR162" s="54" t="b">
        <f t="shared" si="316"/>
        <v>0</v>
      </c>
      <c r="GS162" s="54" t="b">
        <f t="shared" si="317"/>
        <v>1</v>
      </c>
      <c r="GT162" s="54">
        <f t="shared" si="318"/>
        <v>0.34276047013173222</v>
      </c>
      <c r="GU162" s="54" t="e">
        <f t="shared" si="319"/>
        <v>#N/A</v>
      </c>
      <c r="GV162" s="54">
        <f t="shared" si="320"/>
        <v>0.34276047013173222</v>
      </c>
      <c r="GW162" s="72" t="str">
        <f t="shared" si="321"/>
        <v/>
      </c>
      <c r="HC162" s="54">
        <f t="shared" si="322"/>
        <v>152</v>
      </c>
      <c r="HD162" s="54">
        <f t="shared" si="323"/>
        <v>153</v>
      </c>
      <c r="HE162" s="54">
        <f t="shared" si="324"/>
        <v>0.85319117409830803</v>
      </c>
      <c r="HF162" s="54" t="e">
        <f t="shared" si="325"/>
        <v>#N/A</v>
      </c>
      <c r="HG162" s="54">
        <f t="shared" si="326"/>
        <v>0.25917276562967606</v>
      </c>
      <c r="HH162" s="54" t="e">
        <f t="shared" si="327"/>
        <v>#N/A</v>
      </c>
      <c r="HI162" s="54" t="e">
        <f t="shared" si="328"/>
        <v>#N/A</v>
      </c>
      <c r="HJ162" s="54" t="b">
        <f t="shared" si="329"/>
        <v>1</v>
      </c>
      <c r="HK162" s="54" t="b">
        <f t="shared" si="330"/>
        <v>0</v>
      </c>
      <c r="HL162" s="54" t="b">
        <f t="shared" si="331"/>
        <v>0</v>
      </c>
      <c r="HM162" s="54" t="b">
        <f t="shared" si="332"/>
        <v>1</v>
      </c>
      <c r="HN162" s="54">
        <f t="shared" si="333"/>
        <v>0.25917276562967606</v>
      </c>
      <c r="HO162" s="54">
        <f t="shared" si="334"/>
        <v>0.25917276562967606</v>
      </c>
      <c r="HP162" s="54" t="e">
        <f t="shared" si="335"/>
        <v>#N/A</v>
      </c>
      <c r="HQ162" s="72" t="str">
        <f t="shared" si="336"/>
        <v/>
      </c>
    </row>
    <row r="163" spans="71:225" x14ac:dyDescent="0.2">
      <c r="BS163" s="54">
        <f t="shared" si="263"/>
        <v>153</v>
      </c>
      <c r="BT163" s="54">
        <f>Eu_tabel_g[[#This Row],[Indeks]]+1</f>
        <v>154</v>
      </c>
      <c r="BU163" s="54">
        <f t="shared" si="264"/>
        <v>0.57492694068238359</v>
      </c>
      <c r="BV163" s="54">
        <f t="shared" si="265"/>
        <v>0.3381691628932032</v>
      </c>
      <c r="BW163" s="54" t="e">
        <f t="shared" si="266"/>
        <v>#N/A</v>
      </c>
      <c r="BX163" s="54" t="e">
        <f t="shared" si="267"/>
        <v>#N/A</v>
      </c>
      <c r="BY163" s="54" t="e">
        <f t="shared" si="268"/>
        <v>#N/A</v>
      </c>
      <c r="BZ163" s="54" t="b">
        <f t="shared" si="269"/>
        <v>0</v>
      </c>
      <c r="CA163" s="54" t="b">
        <f t="shared" si="270"/>
        <v>1</v>
      </c>
      <c r="CB163" s="54" t="b">
        <f t="shared" si="271"/>
        <v>0</v>
      </c>
      <c r="CC163" s="54" t="b">
        <f t="shared" si="272"/>
        <v>1</v>
      </c>
      <c r="CD163" s="54">
        <f t="shared" si="337"/>
        <v>0.3381691628932032</v>
      </c>
      <c r="CE163" s="54" t="e">
        <f t="shared" si="273"/>
        <v>#N/A</v>
      </c>
      <c r="CF163" s="54">
        <f t="shared" si="274"/>
        <v>0.3381691628932032</v>
      </c>
      <c r="CG163" s="72" t="str">
        <f t="shared" si="275"/>
        <v/>
      </c>
      <c r="CH163" s="54">
        <f>_xlfn.NORM.DIST(_xlfn.NORM.INV(1-Eu_g_konfidensniveau,0,1)-Eu_tabel_g[[#This Row],[x base]],0,1,TRUE)</f>
        <v>1.3216833323501195E-2</v>
      </c>
      <c r="CI163" s="54">
        <f>1-_xlfn.NORM.DIST(_xlfn.NORM.INV(Eu_g_konfidensniveau,0,1)-Eu_tabel_g[[#This Row],[x base]],0,1,TRUE)</f>
        <v>0.14232615498665224</v>
      </c>
      <c r="CJ163" s="54">
        <f>_xlfn.NORM.DIST(_xlfn.NORM.INV((1-Eu_g_konfidensniveau)/2,0,1)-Eu_tabel_g[[#This Row],[x base]],0,1,TRUE)+1-_xlfn.NORM.DIST(_xlfn.NORM.INV(1-(1-Eu_g_konfidensniveau)/2,0,1)-Eu_tabel_g[[#This Row],[x base]],0,1,TRUE)</f>
        <v>8.8644687460782801E-2</v>
      </c>
      <c r="CK163" s="54" t="e" cm="1">
        <f t="array" ref="CK163">IF($CK$3,INDEX(Eu_tabel_g[[#This Row],[Styrke venstre]:[Styrke tosidet]],CK$7),NA())</f>
        <v>#N/A</v>
      </c>
      <c r="CL163" s="99" t="e">
        <f>Eu_tabel_g[[#This Row],[Falsk positiv
Nulhypotese accepteres
Fejltype 1]]</f>
        <v>#N/A</v>
      </c>
      <c r="CM163" s="99" t="e">
        <f>IF(CHOOSE(CK$7,Eu_tabel_g[[#This Row],[x base]]&gt;0,Eu_tabel_g[[#This Row],[x base]]&lt;0,Eu_tabel_g[[#This Row],[x base]]=0),Eu_tabel_g[[#This Row],[Styrke, aktiv]],NA())</f>
        <v>#N/A</v>
      </c>
      <c r="CN163" s="99" t="e">
        <f>IFERROR(IF($CK$3,Eu_tabel_g[[#This Row],[Styrke, aktiv]],NA()),NA())</f>
        <v>#N/A</v>
      </c>
      <c r="CO163" s="99" t="e">
        <f>IF(ISNA(Eu_tabel_g[[#This Row],[Sand negativ
Nulhypotese afvises
Korrekt]]),NA(),IF($CK$3,1,NA()))</f>
        <v>#N/A</v>
      </c>
      <c r="CP163" s="56" t="str" cm="1">
        <f t="array" ref="CP163">_xlfn.SWITCH(BS163,_xlfn.IFNA(CN$2,-99),CN$5,_xlfn.IFNA(CN$3,-99),CN$6,_xlfn.IFNA(CN$4,-99),CN$7,"")</f>
        <v/>
      </c>
      <c r="CT163" s="7">
        <f t="shared" si="276"/>
        <v>0.8</v>
      </c>
      <c r="CU163">
        <f>IF(ROW(Styrkeberegning_G[[#This Row],[X base venstre]])=ROW(Styrkeberegning_G[[#Headers],[X base venstre]])+1,CU$7/(CT$7/$B$67),CU162/(CT162/$B$67))</f>
        <v>-2.8015817870135784</v>
      </c>
      <c r="CV163">
        <f>Styrkeberegning_G[[#This Row],[X base venstre]]*-1</f>
        <v>2.8015817870135784</v>
      </c>
      <c r="DG163" s="54">
        <f t="shared" si="277"/>
        <v>153</v>
      </c>
      <c r="DH163" s="54">
        <f t="shared" si="278"/>
        <v>154</v>
      </c>
      <c r="DI163" s="54">
        <f t="shared" si="279"/>
        <v>19.286693696454844</v>
      </c>
      <c r="DJ163" s="54" t="e">
        <f t="shared" si="280"/>
        <v>#N/A</v>
      </c>
      <c r="DK163" s="54" t="e">
        <f t="shared" si="281"/>
        <v>#N/A</v>
      </c>
      <c r="DL163" s="54">
        <f t="shared" si="282"/>
        <v>1.6637419174044116E-2</v>
      </c>
      <c r="DM163" s="54" t="e">
        <f t="shared" si="283"/>
        <v>#N/A</v>
      </c>
      <c r="DN163" s="54" t="b">
        <f t="shared" si="284"/>
        <v>0</v>
      </c>
      <c r="DO163" s="54" t="b">
        <f t="shared" si="285"/>
        <v>1</v>
      </c>
      <c r="DP163" s="54" t="b">
        <f t="shared" si="286"/>
        <v>0</v>
      </c>
      <c r="DQ163" s="54" t="b">
        <f t="shared" si="287"/>
        <v>1</v>
      </c>
      <c r="DR163" s="54">
        <f t="shared" si="288"/>
        <v>1.6637419174044116E-2</v>
      </c>
      <c r="DS163" s="54" t="e">
        <f t="shared" si="289"/>
        <v>#N/A</v>
      </c>
      <c r="DT163" s="54">
        <f t="shared" si="290"/>
        <v>1.6637419174044116E-2</v>
      </c>
      <c r="DU163" s="72" t="str">
        <f t="shared" si="291"/>
        <v/>
      </c>
      <c r="DZ163" s="54">
        <f t="shared" si="292"/>
        <v>153</v>
      </c>
      <c r="EA163" s="54">
        <f t="shared" si="293"/>
        <v>154</v>
      </c>
      <c r="EB163" s="54">
        <f t="shared" si="294"/>
        <v>0.57492694068238359</v>
      </c>
      <c r="EC163" s="54">
        <f t="shared" si="295"/>
        <v>0.3381691628932032</v>
      </c>
      <c r="ED163" s="54" t="e">
        <f t="shared" si="296"/>
        <v>#N/A</v>
      </c>
      <c r="EE163" s="54" t="e">
        <f t="shared" si="297"/>
        <v>#N/A</v>
      </c>
      <c r="EF163" s="54" t="e">
        <f t="shared" si="298"/>
        <v>#N/A</v>
      </c>
      <c r="EG163" s="54" t="b">
        <f t="shared" si="299"/>
        <v>0</v>
      </c>
      <c r="EH163" s="54" t="b">
        <f t="shared" si="300"/>
        <v>1</v>
      </c>
      <c r="EI163" s="54" t="b">
        <f t="shared" si="301"/>
        <v>0</v>
      </c>
      <c r="EJ163" s="54" t="b">
        <f t="shared" si="302"/>
        <v>1</v>
      </c>
      <c r="EK163" s="54">
        <f t="shared" si="303"/>
        <v>0.3381691628932032</v>
      </c>
      <c r="EL163" s="54" t="e">
        <f t="shared" si="304"/>
        <v>#N/A</v>
      </c>
      <c r="EM163" s="54">
        <f t="shared" si="305"/>
        <v>0.3381691628932032</v>
      </c>
      <c r="EN163" s="72" t="str">
        <f t="shared" si="306"/>
        <v/>
      </c>
      <c r="EO16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6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6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63" s="54" t="e" cm="1">
        <f t="array" ref="ER163">IF($CK$3,INDEX(Eu_tabel_a[[#This Row],[Styrke venstre]:[Styrke tosidet]],ER$7),NA())</f>
        <v>#N/A</v>
      </c>
      <c r="ES163" s="54" t="e">
        <f>IF(ER$3,IF(CHOOSE(ER$7,Eu_tabel_a[[#This Row],[x base]]&gt;0,Eu_tabel_a[[#This Row],[x base]]&lt;0,Eu_tabel_a[[#This Row],[x base]]=0),1,NA()),NA())</f>
        <v>#N/A</v>
      </c>
      <c r="ET163" s="54" t="e">
        <f>IF(CHOOSE(ER$7,Eu_tabel_a[[#This Row],[x base]]&gt;0,Eu_tabel_a[[#This Row],[x base]]&lt;0,Eu_tabel_a[[#This Row],[x base]]=0),Eu_tabel_a[[#This Row],[Styrke, aktiv]],NA())</f>
        <v>#N/A</v>
      </c>
      <c r="EU163" s="54" t="e">
        <f>IFERROR(IF($ER$3,Eu_tabel_a[[#This Row],[Styrke, aktiv]],NA()),NA())</f>
        <v>#N/A</v>
      </c>
      <c r="EV163" s="54" t="e">
        <f>IF(ISNA(Eu_tabel_a[[#This Row],[Sand negativ
Nulhypotese afvises
Korrekt]]),NA(),IF(ER$3,1,NA()))</f>
        <v>#N/A</v>
      </c>
      <c r="EW163" s="55" t="str" cm="1">
        <f t="array" ref="EW163">IFERROR(_xlfn.SWITCH(Eu_tabel_a[[#This Row],[Indeks]],_xlfn.IFNA(EU$2,-99),EU$5,_xlfn.IFNA(EU$3,-99),EU$6,_xlfn.IFNA(EU$4,-99),EU$7,""),"")</f>
        <v/>
      </c>
      <c r="EX163" s="54">
        <f>Eu_tabel_a[[#This Row],[x base]]*SQRT(Eu_a_h0_x*(1-Eu_a_h0_x)/Eu_a_n_x)+Eu_a_h0_x</f>
        <v>0</v>
      </c>
      <c r="FC163" s="161" t="e">
        <f t="shared" si="250"/>
        <v>#N/A</v>
      </c>
      <c r="FD163" s="169" t="e">
        <f t="shared" si="338"/>
        <v>#DIV/0!</v>
      </c>
      <c r="FE163" s="7" t="e">
        <f t="shared" si="244"/>
        <v>#DIV/0!</v>
      </c>
      <c r="FF163" t="e">
        <f t="shared" si="339"/>
        <v>#DIV/0!</v>
      </c>
      <c r="FG163" s="8" t="e">
        <f t="shared" si="340"/>
        <v>#DIV/0!</v>
      </c>
      <c r="FH163" s="8" t="e">
        <f t="shared" si="341"/>
        <v>#DIV/0!</v>
      </c>
      <c r="FI163" s="168" t="e">
        <f t="shared" si="342"/>
        <v>#DIV/0!</v>
      </c>
      <c r="FJ163" s="161" t="e">
        <f t="shared" ca="1" si="245"/>
        <v>#N/A</v>
      </c>
      <c r="FK163" s="169" t="e" vm="3">
        <f t="shared" ca="1" si="251"/>
        <v>#VALUE!</v>
      </c>
      <c r="FL163" s="7" t="e" vm="3">
        <f t="shared" ca="1" si="246"/>
        <v>#VALUE!</v>
      </c>
      <c r="FM163" t="e" vm="3">
        <f t="shared" ca="1" si="240"/>
        <v>#VALUE!</v>
      </c>
      <c r="FN163" s="8" t="e" vm="3">
        <f t="shared" ca="1" si="241"/>
        <v>#VALUE!</v>
      </c>
      <c r="FO163" s="8" t="e" vm="3">
        <f t="shared" ca="1" si="242"/>
        <v>#VALUE!</v>
      </c>
      <c r="FP163" s="168" t="e" vm="3">
        <f t="shared" ca="1" si="243"/>
        <v>#VALUE!</v>
      </c>
      <c r="FQ163" s="161" t="e">
        <f t="shared" si="247"/>
        <v>#N/A</v>
      </c>
      <c r="FR163" s="169" t="e">
        <f t="shared" si="252"/>
        <v>#N/A</v>
      </c>
      <c r="FS163" s="7" t="e">
        <f t="shared" si="248"/>
        <v>#N/A</v>
      </c>
      <c r="FT163" t="e">
        <f t="shared" si="253"/>
        <v>#N/A</v>
      </c>
      <c r="FU163" s="8" t="e">
        <f t="shared" si="254"/>
        <v>#N/A</v>
      </c>
      <c r="FV163" s="8" t="e">
        <f t="shared" si="255"/>
        <v>#N/A</v>
      </c>
      <c r="FW163" s="168" t="e">
        <f t="shared" si="256"/>
        <v>#N/A</v>
      </c>
      <c r="FX163" s="161" t="e">
        <f t="shared" si="257"/>
        <v>#N/A</v>
      </c>
      <c r="FY163" s="169" t="e">
        <f t="shared" si="258"/>
        <v>#N/A</v>
      </c>
      <c r="FZ163" s="7" t="e">
        <f t="shared" si="249"/>
        <v>#N/A</v>
      </c>
      <c r="GA163" t="e">
        <f t="shared" si="259"/>
        <v>#N/A</v>
      </c>
      <c r="GB163" s="8" t="e">
        <f t="shared" si="260"/>
        <v>#N/A</v>
      </c>
      <c r="GC163" s="8" t="e">
        <f t="shared" si="261"/>
        <v>#N/A</v>
      </c>
      <c r="GD163" s="168" t="e">
        <f t="shared" si="262"/>
        <v>#N/A</v>
      </c>
      <c r="GE163" s="168"/>
      <c r="GF163" s="168"/>
      <c r="GI163" s="54">
        <f t="shared" si="307"/>
        <v>153</v>
      </c>
      <c r="GJ163" s="54">
        <f t="shared" si="308"/>
        <v>154</v>
      </c>
      <c r="GK163" s="54">
        <f t="shared" si="309"/>
        <v>0.57492694068238359</v>
      </c>
      <c r="GL163" s="54">
        <f t="shared" si="310"/>
        <v>0.3381691628932032</v>
      </c>
      <c r="GM163" s="54" t="e">
        <f t="shared" si="311"/>
        <v>#N/A</v>
      </c>
      <c r="GN163" s="54" t="e">
        <f t="shared" si="312"/>
        <v>#N/A</v>
      </c>
      <c r="GO163" s="54" t="e">
        <f t="shared" si="313"/>
        <v>#N/A</v>
      </c>
      <c r="GP163" s="54" t="b">
        <f t="shared" si="314"/>
        <v>0</v>
      </c>
      <c r="GQ163" s="54" t="b">
        <f t="shared" si="315"/>
        <v>1</v>
      </c>
      <c r="GR163" s="54" t="b">
        <f t="shared" si="316"/>
        <v>0</v>
      </c>
      <c r="GS163" s="54" t="b">
        <f t="shared" si="317"/>
        <v>1</v>
      </c>
      <c r="GT163" s="54">
        <f t="shared" si="318"/>
        <v>0.3381691628932032</v>
      </c>
      <c r="GU163" s="54" t="e">
        <f t="shared" si="319"/>
        <v>#N/A</v>
      </c>
      <c r="GV163" s="54">
        <f t="shared" si="320"/>
        <v>0.3381691628932032</v>
      </c>
      <c r="GW163" s="72" t="str">
        <f t="shared" si="321"/>
        <v/>
      </c>
      <c r="HC163" s="54">
        <f t="shared" si="322"/>
        <v>153</v>
      </c>
      <c r="HD163" s="54">
        <f t="shared" si="323"/>
        <v>154</v>
      </c>
      <c r="HE163" s="54">
        <f t="shared" si="324"/>
        <v>0.89028644253736466</v>
      </c>
      <c r="HF163" s="54" t="e">
        <f t="shared" si="325"/>
        <v>#N/A</v>
      </c>
      <c r="HG163" s="54">
        <f t="shared" si="326"/>
        <v>0.25067526978144972</v>
      </c>
      <c r="HH163" s="54" t="e">
        <f t="shared" si="327"/>
        <v>#N/A</v>
      </c>
      <c r="HI163" s="54" t="e">
        <f t="shared" si="328"/>
        <v>#N/A</v>
      </c>
      <c r="HJ163" s="54" t="b">
        <f t="shared" si="329"/>
        <v>1</v>
      </c>
      <c r="HK163" s="54" t="b">
        <f t="shared" si="330"/>
        <v>0</v>
      </c>
      <c r="HL163" s="54" t="b">
        <f t="shared" si="331"/>
        <v>0</v>
      </c>
      <c r="HM163" s="54" t="b">
        <f t="shared" si="332"/>
        <v>1</v>
      </c>
      <c r="HN163" s="54">
        <f t="shared" si="333"/>
        <v>0.25067526978144972</v>
      </c>
      <c r="HO163" s="54">
        <f t="shared" si="334"/>
        <v>0.25067526978144972</v>
      </c>
      <c r="HP163" s="54" t="e">
        <f t="shared" si="335"/>
        <v>#N/A</v>
      </c>
      <c r="HQ163" s="72" t="str">
        <f t="shared" si="336"/>
        <v/>
      </c>
    </row>
    <row r="164" spans="71:225" x14ac:dyDescent="0.2">
      <c r="BS164" s="54">
        <f t="shared" si="263"/>
        <v>154</v>
      </c>
      <c r="BT164" s="54">
        <f>Eu_tabel_g[[#This Row],[Indeks]]+1</f>
        <v>155</v>
      </c>
      <c r="BU164" s="54">
        <f t="shared" si="264"/>
        <v>0.59888222987748296</v>
      </c>
      <c r="BV164" s="54">
        <f t="shared" si="265"/>
        <v>0.33344795064515081</v>
      </c>
      <c r="BW164" s="54" t="e">
        <f t="shared" si="266"/>
        <v>#N/A</v>
      </c>
      <c r="BX164" s="54" t="e">
        <f t="shared" si="267"/>
        <v>#N/A</v>
      </c>
      <c r="BY164" s="54" t="e">
        <f t="shared" si="268"/>
        <v>#N/A</v>
      </c>
      <c r="BZ164" s="54" t="b">
        <f t="shared" si="269"/>
        <v>0</v>
      </c>
      <c r="CA164" s="54" t="b">
        <f t="shared" si="270"/>
        <v>1</v>
      </c>
      <c r="CB164" s="54" t="b">
        <f t="shared" si="271"/>
        <v>0</v>
      </c>
      <c r="CC164" s="54" t="b">
        <f t="shared" si="272"/>
        <v>1</v>
      </c>
      <c r="CD164" s="54">
        <f t="shared" si="337"/>
        <v>0.33344795064515081</v>
      </c>
      <c r="CE164" s="54" t="e">
        <f t="shared" si="273"/>
        <v>#N/A</v>
      </c>
      <c r="CF164" s="54">
        <f t="shared" si="274"/>
        <v>0.33344795064515081</v>
      </c>
      <c r="CG164" s="72" t="str">
        <f t="shared" si="275"/>
        <v/>
      </c>
      <c r="CH164" s="54">
        <f>_xlfn.NORM.DIST(_xlfn.NORM.INV(1-Eu_g_konfidensniveau,0,1)-Eu_tabel_g[[#This Row],[x base]],0,1,TRUE)</f>
        <v>1.2424700798871303E-2</v>
      </c>
      <c r="CI164" s="54">
        <f>1-_xlfn.NORM.DIST(_xlfn.NORM.INV(Eu_g_konfidensniveau,0,1)-Eu_tabel_g[[#This Row],[x base]],0,1,TRUE)</f>
        <v>0.14778711921721865</v>
      </c>
      <c r="CJ164" s="54">
        <f>_xlfn.NORM.DIST(_xlfn.NORM.INV((1-Eu_g_konfidensniveau)/2,0,1)-Eu_tabel_g[[#This Row],[x base]],0,1,TRUE)+1-_xlfn.NORM.DIST(_xlfn.NORM.INV(1-(1-Eu_g_konfidensniveau)/2,0,1)-Eu_tabel_g[[#This Row],[x base]],0,1,TRUE)</f>
        <v>9.1994936832619278E-2</v>
      </c>
      <c r="CK164" s="54" t="e" cm="1">
        <f t="array" ref="CK164">IF($CK$3,INDEX(Eu_tabel_g[[#This Row],[Styrke venstre]:[Styrke tosidet]],CK$7),NA())</f>
        <v>#N/A</v>
      </c>
      <c r="CL164" s="99" t="e">
        <f>Eu_tabel_g[[#This Row],[Falsk positiv
Nulhypotese accepteres
Fejltype 1]]</f>
        <v>#N/A</v>
      </c>
      <c r="CM164" s="99" t="e">
        <f>IF(CHOOSE(CK$7,Eu_tabel_g[[#This Row],[x base]]&gt;0,Eu_tabel_g[[#This Row],[x base]]&lt;0,Eu_tabel_g[[#This Row],[x base]]=0),Eu_tabel_g[[#This Row],[Styrke, aktiv]],NA())</f>
        <v>#N/A</v>
      </c>
      <c r="CN164" s="99" t="e">
        <f>IFERROR(IF($CK$3,Eu_tabel_g[[#This Row],[Styrke, aktiv]],NA()),NA())</f>
        <v>#N/A</v>
      </c>
      <c r="CO164" s="99" t="e">
        <f>IF(ISNA(Eu_tabel_g[[#This Row],[Sand negativ
Nulhypotese afvises
Korrekt]]),NA(),IF($CK$3,1,NA()))</f>
        <v>#N/A</v>
      </c>
      <c r="CP164" s="56" t="str" cm="1">
        <f t="array" ref="CP164">_xlfn.SWITCH(BS164,_xlfn.IFNA(CN$2,-99),CN$5,_xlfn.IFNA(CN$3,-99),CN$6,_xlfn.IFNA(CN$4,-99),CN$7,"")</f>
        <v/>
      </c>
      <c r="CT164" s="7">
        <f t="shared" si="276"/>
        <v>0.8</v>
      </c>
      <c r="CU164">
        <f>IF(ROW(Styrkeberegning_G[[#This Row],[X base venstre]])=ROW(Styrkeberegning_G[[#Headers],[X base venstre]])+1,CU$7/(CT$7/$B$67),CU163/(CT163/$B$67))</f>
        <v>-2.8015817870135784</v>
      </c>
      <c r="CV164">
        <f>Styrkeberegning_G[[#This Row],[X base venstre]]*-1</f>
        <v>2.8015817870135784</v>
      </c>
      <c r="DG164" s="54">
        <f t="shared" si="277"/>
        <v>154</v>
      </c>
      <c r="DH164" s="54">
        <f t="shared" si="278"/>
        <v>155</v>
      </c>
      <c r="DI164" s="54">
        <f t="shared" si="279"/>
        <v>19.400764552871845</v>
      </c>
      <c r="DJ164" s="54" t="e">
        <f t="shared" si="280"/>
        <v>#N/A</v>
      </c>
      <c r="DK164" s="54" t="e">
        <f t="shared" si="281"/>
        <v>#N/A</v>
      </c>
      <c r="DL164" s="54">
        <f t="shared" si="282"/>
        <v>1.61376601530667E-2</v>
      </c>
      <c r="DM164" s="54" t="e">
        <f t="shared" si="283"/>
        <v>#N/A</v>
      </c>
      <c r="DN164" s="54" t="b">
        <f t="shared" si="284"/>
        <v>0</v>
      </c>
      <c r="DO164" s="54" t="b">
        <f t="shared" si="285"/>
        <v>1</v>
      </c>
      <c r="DP164" s="54" t="b">
        <f t="shared" si="286"/>
        <v>0</v>
      </c>
      <c r="DQ164" s="54" t="b">
        <f t="shared" si="287"/>
        <v>1</v>
      </c>
      <c r="DR164" s="54">
        <f t="shared" si="288"/>
        <v>1.61376601530667E-2</v>
      </c>
      <c r="DS164" s="54" t="e">
        <f t="shared" si="289"/>
        <v>#N/A</v>
      </c>
      <c r="DT164" s="54">
        <f t="shared" si="290"/>
        <v>1.61376601530667E-2</v>
      </c>
      <c r="DU164" s="72" t="str">
        <f t="shared" si="291"/>
        <v/>
      </c>
      <c r="DZ164" s="54">
        <f t="shared" si="292"/>
        <v>154</v>
      </c>
      <c r="EA164" s="54">
        <f t="shared" si="293"/>
        <v>155</v>
      </c>
      <c r="EB164" s="54">
        <f t="shared" si="294"/>
        <v>0.59888222987748296</v>
      </c>
      <c r="EC164" s="54">
        <f t="shared" si="295"/>
        <v>0.33344795064515081</v>
      </c>
      <c r="ED164" s="54" t="e">
        <f t="shared" si="296"/>
        <v>#N/A</v>
      </c>
      <c r="EE164" s="54" t="e">
        <f t="shared" si="297"/>
        <v>#N/A</v>
      </c>
      <c r="EF164" s="54" t="e">
        <f t="shared" si="298"/>
        <v>#N/A</v>
      </c>
      <c r="EG164" s="54" t="b">
        <f t="shared" si="299"/>
        <v>0</v>
      </c>
      <c r="EH164" s="54" t="b">
        <f t="shared" si="300"/>
        <v>1</v>
      </c>
      <c r="EI164" s="54" t="b">
        <f t="shared" si="301"/>
        <v>0</v>
      </c>
      <c r="EJ164" s="54" t="b">
        <f t="shared" si="302"/>
        <v>1</v>
      </c>
      <c r="EK164" s="54">
        <f t="shared" si="303"/>
        <v>0.33344795064515081</v>
      </c>
      <c r="EL164" s="54" t="e">
        <f t="shared" si="304"/>
        <v>#N/A</v>
      </c>
      <c r="EM164" s="54">
        <f t="shared" si="305"/>
        <v>0.33344795064515081</v>
      </c>
      <c r="EN164" s="72" t="str">
        <f t="shared" si="306"/>
        <v/>
      </c>
      <c r="EO16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6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6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64" s="54" t="e" cm="1">
        <f t="array" ref="ER164">IF($CK$3,INDEX(Eu_tabel_a[[#This Row],[Styrke venstre]:[Styrke tosidet]],ER$7),NA())</f>
        <v>#N/A</v>
      </c>
      <c r="ES164" s="54" t="e">
        <f>IF(ER$3,IF(CHOOSE(ER$7,Eu_tabel_a[[#This Row],[x base]]&gt;0,Eu_tabel_a[[#This Row],[x base]]&lt;0,Eu_tabel_a[[#This Row],[x base]]=0),1,NA()),NA())</f>
        <v>#N/A</v>
      </c>
      <c r="ET164" s="54" t="e">
        <f>IF(CHOOSE(ER$7,Eu_tabel_a[[#This Row],[x base]]&gt;0,Eu_tabel_a[[#This Row],[x base]]&lt;0,Eu_tabel_a[[#This Row],[x base]]=0),Eu_tabel_a[[#This Row],[Styrke, aktiv]],NA())</f>
        <v>#N/A</v>
      </c>
      <c r="EU164" s="54" t="e">
        <f>IFERROR(IF($ER$3,Eu_tabel_a[[#This Row],[Styrke, aktiv]],NA()),NA())</f>
        <v>#N/A</v>
      </c>
      <c r="EV164" s="54" t="e">
        <f>IF(ISNA(Eu_tabel_a[[#This Row],[Sand negativ
Nulhypotese afvises
Korrekt]]),NA(),IF(ER$3,1,NA()))</f>
        <v>#N/A</v>
      </c>
      <c r="EW164" s="55" t="str" cm="1">
        <f t="array" ref="EW164">IFERROR(_xlfn.SWITCH(Eu_tabel_a[[#This Row],[Indeks]],_xlfn.IFNA(EU$2,-99),EU$5,_xlfn.IFNA(EU$3,-99),EU$6,_xlfn.IFNA(EU$4,-99),EU$7,""),"")</f>
        <v/>
      </c>
      <c r="EX164" s="54">
        <f>Eu_tabel_a[[#This Row],[x base]]*SQRT(Eu_a_h0_x*(1-Eu_a_h0_x)/Eu_a_n_x)+Eu_a_h0_x</f>
        <v>0</v>
      </c>
      <c r="FC164" s="161" t="e">
        <f t="shared" si="250"/>
        <v>#N/A</v>
      </c>
      <c r="FD164" s="169" t="e">
        <f t="shared" si="338"/>
        <v>#DIV/0!</v>
      </c>
      <c r="FE164" s="7" t="e">
        <f t="shared" si="244"/>
        <v>#DIV/0!</v>
      </c>
      <c r="FF164" t="e">
        <f t="shared" si="339"/>
        <v>#DIV/0!</v>
      </c>
      <c r="FG164" s="8" t="e">
        <f t="shared" si="340"/>
        <v>#DIV/0!</v>
      </c>
      <c r="FH164" s="8" t="e">
        <f t="shared" si="341"/>
        <v>#DIV/0!</v>
      </c>
      <c r="FI164" s="168" t="e">
        <f t="shared" si="342"/>
        <v>#DIV/0!</v>
      </c>
      <c r="FJ164" s="161" t="e">
        <f t="shared" ca="1" si="245"/>
        <v>#N/A</v>
      </c>
      <c r="FK164" s="169" t="e" vm="3">
        <f t="shared" ca="1" si="251"/>
        <v>#VALUE!</v>
      </c>
      <c r="FL164" s="7" t="e" vm="3">
        <f t="shared" ca="1" si="246"/>
        <v>#VALUE!</v>
      </c>
      <c r="FM164" t="e" vm="3">
        <f t="shared" ca="1" si="240"/>
        <v>#VALUE!</v>
      </c>
      <c r="FN164" s="8" t="e" vm="3">
        <f t="shared" ca="1" si="241"/>
        <v>#VALUE!</v>
      </c>
      <c r="FO164" s="8" t="e" vm="3">
        <f t="shared" ca="1" si="242"/>
        <v>#VALUE!</v>
      </c>
      <c r="FP164" s="168" t="e" vm="3">
        <f t="shared" ca="1" si="243"/>
        <v>#VALUE!</v>
      </c>
      <c r="FQ164" s="161" t="e">
        <f t="shared" si="247"/>
        <v>#N/A</v>
      </c>
      <c r="FR164" s="169" t="e">
        <f t="shared" si="252"/>
        <v>#N/A</v>
      </c>
      <c r="FS164" s="7" t="e">
        <f t="shared" si="248"/>
        <v>#N/A</v>
      </c>
      <c r="FT164" t="e">
        <f t="shared" si="253"/>
        <v>#N/A</v>
      </c>
      <c r="FU164" s="8" t="e">
        <f t="shared" si="254"/>
        <v>#N/A</v>
      </c>
      <c r="FV164" s="8" t="e">
        <f t="shared" si="255"/>
        <v>#N/A</v>
      </c>
      <c r="FW164" s="168" t="e">
        <f t="shared" si="256"/>
        <v>#N/A</v>
      </c>
      <c r="FX164" s="161" t="e">
        <f t="shared" si="257"/>
        <v>#N/A</v>
      </c>
      <c r="FY164" s="169" t="e">
        <f t="shared" si="258"/>
        <v>#N/A</v>
      </c>
      <c r="FZ164" s="7" t="e">
        <f t="shared" si="249"/>
        <v>#N/A</v>
      </c>
      <c r="GA164" t="e">
        <f t="shared" si="259"/>
        <v>#N/A</v>
      </c>
      <c r="GB164" s="8" t="e">
        <f t="shared" si="260"/>
        <v>#N/A</v>
      </c>
      <c r="GC164" s="8" t="e">
        <f t="shared" si="261"/>
        <v>#N/A</v>
      </c>
      <c r="GD164" s="168" t="e">
        <f t="shared" si="262"/>
        <v>#N/A</v>
      </c>
      <c r="GE164" s="168"/>
      <c r="GF164" s="168"/>
      <c r="GI164" s="54">
        <f t="shared" si="307"/>
        <v>154</v>
      </c>
      <c r="GJ164" s="54">
        <f t="shared" si="308"/>
        <v>155</v>
      </c>
      <c r="GK164" s="54">
        <f t="shared" si="309"/>
        <v>0.59888222987748296</v>
      </c>
      <c r="GL164" s="54">
        <f t="shared" si="310"/>
        <v>0.33344795064515081</v>
      </c>
      <c r="GM164" s="54" t="e">
        <f t="shared" si="311"/>
        <v>#N/A</v>
      </c>
      <c r="GN164" s="54" t="e">
        <f t="shared" si="312"/>
        <v>#N/A</v>
      </c>
      <c r="GO164" s="54" t="e">
        <f t="shared" si="313"/>
        <v>#N/A</v>
      </c>
      <c r="GP164" s="54" t="b">
        <f t="shared" si="314"/>
        <v>0</v>
      </c>
      <c r="GQ164" s="54" t="b">
        <f t="shared" si="315"/>
        <v>1</v>
      </c>
      <c r="GR164" s="54" t="b">
        <f t="shared" si="316"/>
        <v>0</v>
      </c>
      <c r="GS164" s="54" t="b">
        <f t="shared" si="317"/>
        <v>1</v>
      </c>
      <c r="GT164" s="54">
        <f t="shared" si="318"/>
        <v>0.33344795064515081</v>
      </c>
      <c r="GU164" s="54" t="e">
        <f t="shared" si="319"/>
        <v>#N/A</v>
      </c>
      <c r="GV164" s="54">
        <f t="shared" si="320"/>
        <v>0.33344795064515081</v>
      </c>
      <c r="GW164" s="72" t="str">
        <f t="shared" si="321"/>
        <v/>
      </c>
      <c r="HC164" s="54">
        <f t="shared" si="322"/>
        <v>154</v>
      </c>
      <c r="HD164" s="54">
        <f t="shared" si="323"/>
        <v>155</v>
      </c>
      <c r="HE164" s="54">
        <f t="shared" si="324"/>
        <v>0.9273817109764213</v>
      </c>
      <c r="HF164" s="54" t="e">
        <f t="shared" si="325"/>
        <v>#N/A</v>
      </c>
      <c r="HG164" s="54">
        <f t="shared" si="326"/>
        <v>0.24218370552426577</v>
      </c>
      <c r="HH164" s="54" t="e">
        <f t="shared" si="327"/>
        <v>#N/A</v>
      </c>
      <c r="HI164" s="54" t="e">
        <f t="shared" si="328"/>
        <v>#N/A</v>
      </c>
      <c r="HJ164" s="54" t="b">
        <f t="shared" si="329"/>
        <v>1</v>
      </c>
      <c r="HK164" s="54" t="b">
        <f t="shared" si="330"/>
        <v>0</v>
      </c>
      <c r="HL164" s="54" t="b">
        <f t="shared" si="331"/>
        <v>0</v>
      </c>
      <c r="HM164" s="54" t="b">
        <f t="shared" si="332"/>
        <v>1</v>
      </c>
      <c r="HN164" s="54">
        <f t="shared" si="333"/>
        <v>0.24218370552426577</v>
      </c>
      <c r="HO164" s="54">
        <f t="shared" si="334"/>
        <v>0.24218370552426577</v>
      </c>
      <c r="HP164" s="54" t="e">
        <f t="shared" si="335"/>
        <v>#N/A</v>
      </c>
      <c r="HQ164" s="72" t="str">
        <f t="shared" si="336"/>
        <v/>
      </c>
    </row>
    <row r="165" spans="71:225" x14ac:dyDescent="0.2">
      <c r="BS165" s="54">
        <f t="shared" si="263"/>
        <v>155</v>
      </c>
      <c r="BT165" s="54">
        <f>Eu_tabel_g[[#This Row],[Indeks]]+1</f>
        <v>156</v>
      </c>
      <c r="BU165" s="54">
        <f t="shared" si="264"/>
        <v>0.62283751907258234</v>
      </c>
      <c r="BV165" s="54">
        <f t="shared" si="265"/>
        <v>0.3286040262264141</v>
      </c>
      <c r="BW165" s="54" t="e">
        <f t="shared" si="266"/>
        <v>#N/A</v>
      </c>
      <c r="BX165" s="54" t="e">
        <f t="shared" si="267"/>
        <v>#N/A</v>
      </c>
      <c r="BY165" s="54" t="e">
        <f t="shared" si="268"/>
        <v>#N/A</v>
      </c>
      <c r="BZ165" s="54" t="b">
        <f t="shared" si="269"/>
        <v>0</v>
      </c>
      <c r="CA165" s="54" t="b">
        <f t="shared" si="270"/>
        <v>1</v>
      </c>
      <c r="CB165" s="54" t="b">
        <f t="shared" si="271"/>
        <v>0</v>
      </c>
      <c r="CC165" s="54" t="b">
        <f t="shared" si="272"/>
        <v>1</v>
      </c>
      <c r="CD165" s="54">
        <f t="shared" si="337"/>
        <v>0.3286040262264141</v>
      </c>
      <c r="CE165" s="54" t="e">
        <f t="shared" si="273"/>
        <v>#N/A</v>
      </c>
      <c r="CF165" s="54">
        <f t="shared" si="274"/>
        <v>0.3286040262264141</v>
      </c>
      <c r="CG165" s="72" t="str">
        <f t="shared" si="275"/>
        <v/>
      </c>
      <c r="CH165" s="54">
        <f>_xlfn.NORM.DIST(_xlfn.NORM.INV(1-Eu_g_konfidensniveau,0,1)-Eu_tabel_g[[#This Row],[x base]],0,1,TRUE)</f>
        <v>1.1674018942185489E-2</v>
      </c>
      <c r="CI165" s="54">
        <f>1-_xlfn.NORM.DIST(_xlfn.NORM.INV(Eu_g_konfidensniveau,0,1)-Eu_tabel_g[[#This Row],[x base]],0,1,TRUE)</f>
        <v>0.15338663833525557</v>
      </c>
      <c r="CJ165" s="54">
        <f>_xlfn.NORM.DIST(_xlfn.NORM.INV((1-Eu_g_konfidensniveau)/2,0,1)-Eu_tabel_g[[#This Row],[x base]],0,1,TRUE)+1-_xlfn.NORM.DIST(_xlfn.NORM.INV(1-(1-Eu_g_konfidensniveau)/2,0,1)-Eu_tabel_g[[#This Row],[x base]],0,1,TRUE)</f>
        <v>9.5490764325729005E-2</v>
      </c>
      <c r="CK165" s="54" t="e" cm="1">
        <f t="array" ref="CK165">IF($CK$3,INDEX(Eu_tabel_g[[#This Row],[Styrke venstre]:[Styrke tosidet]],CK$7),NA())</f>
        <v>#N/A</v>
      </c>
      <c r="CL165" s="99" t="e">
        <f>Eu_tabel_g[[#This Row],[Falsk positiv
Nulhypotese accepteres
Fejltype 1]]</f>
        <v>#N/A</v>
      </c>
      <c r="CM165" s="99" t="e">
        <f>IF(CHOOSE(CK$7,Eu_tabel_g[[#This Row],[x base]]&gt;0,Eu_tabel_g[[#This Row],[x base]]&lt;0,Eu_tabel_g[[#This Row],[x base]]=0),Eu_tabel_g[[#This Row],[Styrke, aktiv]],NA())</f>
        <v>#N/A</v>
      </c>
      <c r="CN165" s="99" t="e">
        <f>IFERROR(IF($CK$3,Eu_tabel_g[[#This Row],[Styrke, aktiv]],NA()),NA())</f>
        <v>#N/A</v>
      </c>
      <c r="CO165" s="99" t="e">
        <f>IF(ISNA(Eu_tabel_g[[#This Row],[Sand negativ
Nulhypotese afvises
Korrekt]]),NA(),IF($CK$3,1,NA()))</f>
        <v>#N/A</v>
      </c>
      <c r="CP165" s="56" t="str" cm="1">
        <f t="array" ref="CP165">_xlfn.SWITCH(BS165,_xlfn.IFNA(CN$2,-99),CN$5,_xlfn.IFNA(CN$3,-99),CN$6,_xlfn.IFNA(CN$4,-99),CN$7,"")</f>
        <v/>
      </c>
      <c r="CT165" s="7">
        <f t="shared" si="276"/>
        <v>0.8</v>
      </c>
      <c r="CU165">
        <f>IF(ROW(Styrkeberegning_G[[#This Row],[X base venstre]])=ROW(Styrkeberegning_G[[#Headers],[X base venstre]])+1,CU$7/(CT$7/$B$67),CU164/(CT164/$B$67))</f>
        <v>-2.8015817870135784</v>
      </c>
      <c r="CV165">
        <f>Styrkeberegning_G[[#This Row],[X base venstre]]*-1</f>
        <v>2.8015817870135784</v>
      </c>
      <c r="DG165" s="54">
        <f t="shared" si="277"/>
        <v>155</v>
      </c>
      <c r="DH165" s="54">
        <f t="shared" si="278"/>
        <v>156</v>
      </c>
      <c r="DI165" s="54">
        <f t="shared" si="279"/>
        <v>19.514835409288846</v>
      </c>
      <c r="DJ165" s="54" t="e">
        <f t="shared" si="280"/>
        <v>#N/A</v>
      </c>
      <c r="DK165" s="54" t="e">
        <f t="shared" si="281"/>
        <v>#N/A</v>
      </c>
      <c r="DL165" s="54">
        <f t="shared" si="282"/>
        <v>1.5650478053182721E-2</v>
      </c>
      <c r="DM165" s="54" t="e">
        <f t="shared" si="283"/>
        <v>#N/A</v>
      </c>
      <c r="DN165" s="54" t="b">
        <f t="shared" si="284"/>
        <v>0</v>
      </c>
      <c r="DO165" s="54" t="b">
        <f t="shared" si="285"/>
        <v>1</v>
      </c>
      <c r="DP165" s="54" t="b">
        <f t="shared" si="286"/>
        <v>0</v>
      </c>
      <c r="DQ165" s="54" t="b">
        <f t="shared" si="287"/>
        <v>1</v>
      </c>
      <c r="DR165" s="54">
        <f t="shared" si="288"/>
        <v>1.5650478053182721E-2</v>
      </c>
      <c r="DS165" s="54" t="e">
        <f t="shared" si="289"/>
        <v>#N/A</v>
      </c>
      <c r="DT165" s="54">
        <f t="shared" si="290"/>
        <v>1.5650478053182721E-2</v>
      </c>
      <c r="DU165" s="72" t="str">
        <f t="shared" si="291"/>
        <v/>
      </c>
      <c r="DZ165" s="54">
        <f t="shared" si="292"/>
        <v>155</v>
      </c>
      <c r="EA165" s="54">
        <f t="shared" si="293"/>
        <v>156</v>
      </c>
      <c r="EB165" s="54">
        <f t="shared" si="294"/>
        <v>0.62283751907258234</v>
      </c>
      <c r="EC165" s="54">
        <f t="shared" si="295"/>
        <v>0.3286040262264141</v>
      </c>
      <c r="ED165" s="54" t="e">
        <f t="shared" si="296"/>
        <v>#N/A</v>
      </c>
      <c r="EE165" s="54" t="e">
        <f t="shared" si="297"/>
        <v>#N/A</v>
      </c>
      <c r="EF165" s="54" t="e">
        <f t="shared" si="298"/>
        <v>#N/A</v>
      </c>
      <c r="EG165" s="54" t="b">
        <f t="shared" si="299"/>
        <v>0</v>
      </c>
      <c r="EH165" s="54" t="b">
        <f t="shared" si="300"/>
        <v>1</v>
      </c>
      <c r="EI165" s="54" t="b">
        <f t="shared" si="301"/>
        <v>0</v>
      </c>
      <c r="EJ165" s="54" t="b">
        <f t="shared" si="302"/>
        <v>1</v>
      </c>
      <c r="EK165" s="54">
        <f t="shared" si="303"/>
        <v>0.3286040262264141</v>
      </c>
      <c r="EL165" s="54" t="e">
        <f t="shared" si="304"/>
        <v>#N/A</v>
      </c>
      <c r="EM165" s="54">
        <f t="shared" si="305"/>
        <v>0.3286040262264141</v>
      </c>
      <c r="EN165" s="72" t="str">
        <f t="shared" si="306"/>
        <v/>
      </c>
      <c r="EO16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6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6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65" s="54" t="e" cm="1">
        <f t="array" ref="ER165">IF($CK$3,INDEX(Eu_tabel_a[[#This Row],[Styrke venstre]:[Styrke tosidet]],ER$7),NA())</f>
        <v>#N/A</v>
      </c>
      <c r="ES165" s="54" t="e">
        <f>IF(ER$3,IF(CHOOSE(ER$7,Eu_tabel_a[[#This Row],[x base]]&gt;0,Eu_tabel_a[[#This Row],[x base]]&lt;0,Eu_tabel_a[[#This Row],[x base]]=0),1,NA()),NA())</f>
        <v>#N/A</v>
      </c>
      <c r="ET165" s="54" t="e">
        <f>IF(CHOOSE(ER$7,Eu_tabel_a[[#This Row],[x base]]&gt;0,Eu_tabel_a[[#This Row],[x base]]&lt;0,Eu_tabel_a[[#This Row],[x base]]=0),Eu_tabel_a[[#This Row],[Styrke, aktiv]],NA())</f>
        <v>#N/A</v>
      </c>
      <c r="EU165" s="54" t="e">
        <f>IFERROR(IF($ER$3,Eu_tabel_a[[#This Row],[Styrke, aktiv]],NA()),NA())</f>
        <v>#N/A</v>
      </c>
      <c r="EV165" s="54" t="e">
        <f>IF(ISNA(Eu_tabel_a[[#This Row],[Sand negativ
Nulhypotese afvises
Korrekt]]),NA(),IF(ER$3,1,NA()))</f>
        <v>#N/A</v>
      </c>
      <c r="EW165" s="55" t="str" cm="1">
        <f t="array" ref="EW165">IFERROR(_xlfn.SWITCH(Eu_tabel_a[[#This Row],[Indeks]],_xlfn.IFNA(EU$2,-99),EU$5,_xlfn.IFNA(EU$3,-99),EU$6,_xlfn.IFNA(EU$4,-99),EU$7,""),"")</f>
        <v/>
      </c>
      <c r="EX165" s="54">
        <f>Eu_tabel_a[[#This Row],[x base]]*SQRT(Eu_a_h0_x*(1-Eu_a_h0_x)/Eu_a_n_x)+Eu_a_h0_x</f>
        <v>0</v>
      </c>
      <c r="FC165" s="161" t="e">
        <f t="shared" si="250"/>
        <v>#N/A</v>
      </c>
      <c r="FD165" s="169" t="e">
        <f t="shared" si="338"/>
        <v>#DIV/0!</v>
      </c>
      <c r="FE165" s="7" t="e">
        <f t="shared" si="244"/>
        <v>#DIV/0!</v>
      </c>
      <c r="FF165" t="e">
        <f t="shared" si="339"/>
        <v>#DIV/0!</v>
      </c>
      <c r="FG165" s="8" t="e">
        <f t="shared" si="340"/>
        <v>#DIV/0!</v>
      </c>
      <c r="FH165" s="8" t="e">
        <f t="shared" si="341"/>
        <v>#DIV/0!</v>
      </c>
      <c r="FI165" s="168" t="e">
        <f t="shared" si="342"/>
        <v>#DIV/0!</v>
      </c>
      <c r="FJ165" s="161" t="e">
        <f t="shared" ca="1" si="245"/>
        <v>#N/A</v>
      </c>
      <c r="FK165" s="169" t="e" vm="3">
        <f t="shared" ca="1" si="251"/>
        <v>#VALUE!</v>
      </c>
      <c r="FL165" s="7" t="e" vm="3">
        <f t="shared" ca="1" si="246"/>
        <v>#VALUE!</v>
      </c>
      <c r="FM165" t="e" vm="3">
        <f t="shared" ca="1" si="240"/>
        <v>#VALUE!</v>
      </c>
      <c r="FN165" s="8" t="e" vm="3">
        <f t="shared" ca="1" si="241"/>
        <v>#VALUE!</v>
      </c>
      <c r="FO165" s="8" t="e" vm="3">
        <f t="shared" ca="1" si="242"/>
        <v>#VALUE!</v>
      </c>
      <c r="FP165" s="168" t="e" vm="3">
        <f t="shared" ca="1" si="243"/>
        <v>#VALUE!</v>
      </c>
      <c r="FQ165" s="161" t="e">
        <f t="shared" si="247"/>
        <v>#N/A</v>
      </c>
      <c r="FR165" s="169" t="e">
        <f t="shared" si="252"/>
        <v>#N/A</v>
      </c>
      <c r="FS165" s="7" t="e">
        <f t="shared" si="248"/>
        <v>#N/A</v>
      </c>
      <c r="FT165" t="e">
        <f t="shared" si="253"/>
        <v>#N/A</v>
      </c>
      <c r="FU165" s="8" t="e">
        <f t="shared" si="254"/>
        <v>#N/A</v>
      </c>
      <c r="FV165" s="8" t="e">
        <f t="shared" si="255"/>
        <v>#N/A</v>
      </c>
      <c r="FW165" s="168" t="e">
        <f t="shared" si="256"/>
        <v>#N/A</v>
      </c>
      <c r="FX165" s="161" t="e">
        <f t="shared" si="257"/>
        <v>#N/A</v>
      </c>
      <c r="FY165" s="169" t="e">
        <f t="shared" si="258"/>
        <v>#N/A</v>
      </c>
      <c r="FZ165" s="7" t="e">
        <f t="shared" si="249"/>
        <v>#N/A</v>
      </c>
      <c r="GA165" t="e">
        <f t="shared" si="259"/>
        <v>#N/A</v>
      </c>
      <c r="GB165" s="8" t="e">
        <f t="shared" si="260"/>
        <v>#N/A</v>
      </c>
      <c r="GC165" s="8" t="e">
        <f t="shared" si="261"/>
        <v>#N/A</v>
      </c>
      <c r="GD165" s="168" t="e">
        <f t="shared" si="262"/>
        <v>#N/A</v>
      </c>
      <c r="GE165" s="168"/>
      <c r="GF165" s="168"/>
      <c r="GI165" s="54">
        <f t="shared" si="307"/>
        <v>155</v>
      </c>
      <c r="GJ165" s="54">
        <f t="shared" si="308"/>
        <v>156</v>
      </c>
      <c r="GK165" s="54">
        <f t="shared" si="309"/>
        <v>0.62283751907258234</v>
      </c>
      <c r="GL165" s="54">
        <f t="shared" si="310"/>
        <v>0.3286040262264141</v>
      </c>
      <c r="GM165" s="54" t="e">
        <f t="shared" si="311"/>
        <v>#N/A</v>
      </c>
      <c r="GN165" s="54" t="e">
        <f t="shared" si="312"/>
        <v>#N/A</v>
      </c>
      <c r="GO165" s="54" t="e">
        <f t="shared" si="313"/>
        <v>#N/A</v>
      </c>
      <c r="GP165" s="54" t="b">
        <f t="shared" si="314"/>
        <v>0</v>
      </c>
      <c r="GQ165" s="54" t="b">
        <f t="shared" si="315"/>
        <v>1</v>
      </c>
      <c r="GR165" s="54" t="b">
        <f t="shared" si="316"/>
        <v>0</v>
      </c>
      <c r="GS165" s="54" t="b">
        <f t="shared" si="317"/>
        <v>1</v>
      </c>
      <c r="GT165" s="54">
        <f t="shared" si="318"/>
        <v>0.3286040262264141</v>
      </c>
      <c r="GU165" s="54" t="e">
        <f t="shared" si="319"/>
        <v>#N/A</v>
      </c>
      <c r="GV165" s="54">
        <f t="shared" si="320"/>
        <v>0.3286040262264141</v>
      </c>
      <c r="GW165" s="72" t="str">
        <f t="shared" si="321"/>
        <v/>
      </c>
      <c r="HC165" s="54">
        <f t="shared" si="322"/>
        <v>155</v>
      </c>
      <c r="HD165" s="54">
        <f t="shared" si="323"/>
        <v>156</v>
      </c>
      <c r="HE165" s="54">
        <f t="shared" si="324"/>
        <v>0.96447697941547794</v>
      </c>
      <c r="HF165" s="54" t="e">
        <f t="shared" si="325"/>
        <v>#N/A</v>
      </c>
      <c r="HG165" s="54">
        <f t="shared" si="326"/>
        <v>0.23372394786255571</v>
      </c>
      <c r="HH165" s="54" t="e">
        <f t="shared" si="327"/>
        <v>#N/A</v>
      </c>
      <c r="HI165" s="54" t="e">
        <f t="shared" si="328"/>
        <v>#N/A</v>
      </c>
      <c r="HJ165" s="54" t="b">
        <f t="shared" si="329"/>
        <v>1</v>
      </c>
      <c r="HK165" s="54" t="b">
        <f t="shared" si="330"/>
        <v>0</v>
      </c>
      <c r="HL165" s="54" t="b">
        <f t="shared" si="331"/>
        <v>0</v>
      </c>
      <c r="HM165" s="54" t="b">
        <f t="shared" si="332"/>
        <v>1</v>
      </c>
      <c r="HN165" s="54">
        <f t="shared" si="333"/>
        <v>0.23372394786255571</v>
      </c>
      <c r="HO165" s="54">
        <f t="shared" si="334"/>
        <v>0.23372394786255571</v>
      </c>
      <c r="HP165" s="54" t="e">
        <f t="shared" si="335"/>
        <v>#N/A</v>
      </c>
      <c r="HQ165" s="72" t="str">
        <f t="shared" si="336"/>
        <v/>
      </c>
    </row>
    <row r="166" spans="71:225" x14ac:dyDescent="0.2">
      <c r="BS166" s="54">
        <f t="shared" si="263"/>
        <v>156</v>
      </c>
      <c r="BT166" s="54">
        <f>Eu_tabel_g[[#This Row],[Indeks]]+1</f>
        <v>157</v>
      </c>
      <c r="BU166" s="54">
        <f t="shared" si="264"/>
        <v>0.64679280826768171</v>
      </c>
      <c r="BV166" s="54">
        <f t="shared" si="265"/>
        <v>0.32364468971493993</v>
      </c>
      <c r="BW166" s="54" t="e">
        <f t="shared" si="266"/>
        <v>#N/A</v>
      </c>
      <c r="BX166" s="54" t="e">
        <f t="shared" si="267"/>
        <v>#N/A</v>
      </c>
      <c r="BY166" s="54" t="e">
        <f t="shared" si="268"/>
        <v>#N/A</v>
      </c>
      <c r="BZ166" s="54" t="b">
        <f t="shared" si="269"/>
        <v>0</v>
      </c>
      <c r="CA166" s="54" t="b">
        <f t="shared" si="270"/>
        <v>1</v>
      </c>
      <c r="CB166" s="54" t="b">
        <f t="shared" si="271"/>
        <v>0</v>
      </c>
      <c r="CC166" s="54" t="b">
        <f t="shared" si="272"/>
        <v>1</v>
      </c>
      <c r="CD166" s="54">
        <f t="shared" si="337"/>
        <v>0.32364468971493993</v>
      </c>
      <c r="CE166" s="54" t="e">
        <f t="shared" si="273"/>
        <v>#N/A</v>
      </c>
      <c r="CF166" s="54">
        <f t="shared" si="274"/>
        <v>0.32364468971493993</v>
      </c>
      <c r="CG166" s="72" t="str">
        <f t="shared" si="275"/>
        <v/>
      </c>
      <c r="CH166" s="54">
        <f>_xlfn.NORM.DIST(_xlfn.NORM.INV(1-Eu_g_konfidensniveau,0,1)-Eu_tabel_g[[#This Row],[x base]],0,1,TRUE)</f>
        <v>1.0963026829707758E-2</v>
      </c>
      <c r="CI166" s="54">
        <f>1-_xlfn.NORM.DIST(_xlfn.NORM.INV(Eu_g_konfidensniveau,0,1)-Eu_tabel_g[[#This Row],[x base]],0,1,TRUE)</f>
        <v>0.15912493399551053</v>
      </c>
      <c r="CJ166" s="54">
        <f>_xlfn.NORM.DIST(_xlfn.NORM.INV((1-Eu_g_konfidensniveau)/2,0,1)-Eu_tabel_g[[#This Row],[x base]],0,1,TRUE)+1-_xlfn.NORM.DIST(_xlfn.NORM.INV(1-(1-Eu_g_konfidensniveau)/2,0,1)-Eu_tabel_g[[#This Row],[x base]],0,1,TRUE)</f>
        <v>9.9132849971210524E-2</v>
      </c>
      <c r="CK166" s="54" t="e" cm="1">
        <f t="array" ref="CK166">IF($CK$3,INDEX(Eu_tabel_g[[#This Row],[Styrke venstre]:[Styrke tosidet]],CK$7),NA())</f>
        <v>#N/A</v>
      </c>
      <c r="CL166" s="99" t="e">
        <f>Eu_tabel_g[[#This Row],[Falsk positiv
Nulhypotese accepteres
Fejltype 1]]</f>
        <v>#N/A</v>
      </c>
      <c r="CM166" s="99" t="e">
        <f>IF(CHOOSE(CK$7,Eu_tabel_g[[#This Row],[x base]]&gt;0,Eu_tabel_g[[#This Row],[x base]]&lt;0,Eu_tabel_g[[#This Row],[x base]]=0),Eu_tabel_g[[#This Row],[Styrke, aktiv]],NA())</f>
        <v>#N/A</v>
      </c>
      <c r="CN166" s="99" t="e">
        <f>IFERROR(IF($CK$3,Eu_tabel_g[[#This Row],[Styrke, aktiv]],NA()),NA())</f>
        <v>#N/A</v>
      </c>
      <c r="CO166" s="99" t="e">
        <f>IF(ISNA(Eu_tabel_g[[#This Row],[Sand negativ
Nulhypotese afvises
Korrekt]]),NA(),IF($CK$3,1,NA()))</f>
        <v>#N/A</v>
      </c>
      <c r="CP166" s="56" t="str" cm="1">
        <f t="array" ref="CP166">_xlfn.SWITCH(BS166,_xlfn.IFNA(CN$2,-99),CN$5,_xlfn.IFNA(CN$3,-99),CN$6,_xlfn.IFNA(CN$4,-99),CN$7,"")</f>
        <v/>
      </c>
      <c r="CT166" s="7">
        <f t="shared" si="276"/>
        <v>0.8</v>
      </c>
      <c r="CU166">
        <f>IF(ROW(Styrkeberegning_G[[#This Row],[X base venstre]])=ROW(Styrkeberegning_G[[#Headers],[X base venstre]])+1,CU$7/(CT$7/$B$67),CU165/(CT165/$B$67))</f>
        <v>-2.8015817870135784</v>
      </c>
      <c r="CV166">
        <f>Styrkeberegning_G[[#This Row],[X base venstre]]*-1</f>
        <v>2.8015817870135784</v>
      </c>
      <c r="DG166" s="54">
        <f t="shared" si="277"/>
        <v>156</v>
      </c>
      <c r="DH166" s="54">
        <f t="shared" si="278"/>
        <v>157</v>
      </c>
      <c r="DI166" s="54">
        <f t="shared" si="279"/>
        <v>19.628906265705847</v>
      </c>
      <c r="DJ166" s="54" t="e">
        <f t="shared" si="280"/>
        <v>#N/A</v>
      </c>
      <c r="DK166" s="54" t="e">
        <f t="shared" si="281"/>
        <v>#N/A</v>
      </c>
      <c r="DL166" s="54">
        <f t="shared" si="282"/>
        <v>1.5175669992566221E-2</v>
      </c>
      <c r="DM166" s="54" t="e">
        <f t="shared" si="283"/>
        <v>#N/A</v>
      </c>
      <c r="DN166" s="54" t="b">
        <f t="shared" si="284"/>
        <v>0</v>
      </c>
      <c r="DO166" s="54" t="b">
        <f t="shared" si="285"/>
        <v>1</v>
      </c>
      <c r="DP166" s="54" t="b">
        <f t="shared" si="286"/>
        <v>0</v>
      </c>
      <c r="DQ166" s="54" t="b">
        <f t="shared" si="287"/>
        <v>1</v>
      </c>
      <c r="DR166" s="54">
        <f t="shared" si="288"/>
        <v>1.5175669992566221E-2</v>
      </c>
      <c r="DS166" s="54" t="e">
        <f t="shared" si="289"/>
        <v>#N/A</v>
      </c>
      <c r="DT166" s="54">
        <f t="shared" si="290"/>
        <v>1.5175669992566221E-2</v>
      </c>
      <c r="DU166" s="72" t="str">
        <f t="shared" si="291"/>
        <v/>
      </c>
      <c r="DZ166" s="54">
        <f t="shared" si="292"/>
        <v>156</v>
      </c>
      <c r="EA166" s="54">
        <f t="shared" si="293"/>
        <v>157</v>
      </c>
      <c r="EB166" s="54">
        <f t="shared" si="294"/>
        <v>0.64679280826768171</v>
      </c>
      <c r="EC166" s="54">
        <f t="shared" si="295"/>
        <v>0.32364468971493993</v>
      </c>
      <c r="ED166" s="54" t="e">
        <f t="shared" si="296"/>
        <v>#N/A</v>
      </c>
      <c r="EE166" s="54" t="e">
        <f t="shared" si="297"/>
        <v>#N/A</v>
      </c>
      <c r="EF166" s="54" t="e">
        <f t="shared" si="298"/>
        <v>#N/A</v>
      </c>
      <c r="EG166" s="54" t="b">
        <f t="shared" si="299"/>
        <v>0</v>
      </c>
      <c r="EH166" s="54" t="b">
        <f t="shared" si="300"/>
        <v>1</v>
      </c>
      <c r="EI166" s="54" t="b">
        <f t="shared" si="301"/>
        <v>0</v>
      </c>
      <c r="EJ166" s="54" t="b">
        <f t="shared" si="302"/>
        <v>1</v>
      </c>
      <c r="EK166" s="54">
        <f t="shared" si="303"/>
        <v>0.32364468971493993</v>
      </c>
      <c r="EL166" s="54" t="e">
        <f t="shared" si="304"/>
        <v>#N/A</v>
      </c>
      <c r="EM166" s="54">
        <f t="shared" si="305"/>
        <v>0.32364468971493993</v>
      </c>
      <c r="EN166" s="72" t="str">
        <f t="shared" si="306"/>
        <v/>
      </c>
      <c r="EO16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6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6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66" s="54" t="e" cm="1">
        <f t="array" ref="ER166">IF($CK$3,INDEX(Eu_tabel_a[[#This Row],[Styrke venstre]:[Styrke tosidet]],ER$7),NA())</f>
        <v>#N/A</v>
      </c>
      <c r="ES166" s="54" t="e">
        <f>IF(ER$3,IF(CHOOSE(ER$7,Eu_tabel_a[[#This Row],[x base]]&gt;0,Eu_tabel_a[[#This Row],[x base]]&lt;0,Eu_tabel_a[[#This Row],[x base]]=0),1,NA()),NA())</f>
        <v>#N/A</v>
      </c>
      <c r="ET166" s="54" t="e">
        <f>IF(CHOOSE(ER$7,Eu_tabel_a[[#This Row],[x base]]&gt;0,Eu_tabel_a[[#This Row],[x base]]&lt;0,Eu_tabel_a[[#This Row],[x base]]=0),Eu_tabel_a[[#This Row],[Styrke, aktiv]],NA())</f>
        <v>#N/A</v>
      </c>
      <c r="EU166" s="54" t="e">
        <f>IFERROR(IF($ER$3,Eu_tabel_a[[#This Row],[Styrke, aktiv]],NA()),NA())</f>
        <v>#N/A</v>
      </c>
      <c r="EV166" s="54" t="e">
        <f>IF(ISNA(Eu_tabel_a[[#This Row],[Sand negativ
Nulhypotese afvises
Korrekt]]),NA(),IF(ER$3,1,NA()))</f>
        <v>#N/A</v>
      </c>
      <c r="EW166" s="55" t="str" cm="1">
        <f t="array" ref="EW166">IFERROR(_xlfn.SWITCH(Eu_tabel_a[[#This Row],[Indeks]],_xlfn.IFNA(EU$2,-99),EU$5,_xlfn.IFNA(EU$3,-99),EU$6,_xlfn.IFNA(EU$4,-99),EU$7,""),"")</f>
        <v/>
      </c>
      <c r="EX166" s="54">
        <f>Eu_tabel_a[[#This Row],[x base]]*SQRT(Eu_a_h0_x*(1-Eu_a_h0_x)/Eu_a_n_x)+Eu_a_h0_x</f>
        <v>0</v>
      </c>
      <c r="FC166" s="161" t="e">
        <f t="shared" si="250"/>
        <v>#N/A</v>
      </c>
      <c r="FD166" s="169" t="e">
        <f t="shared" si="338"/>
        <v>#DIV/0!</v>
      </c>
      <c r="FE166" s="7" t="e">
        <f t="shared" si="244"/>
        <v>#DIV/0!</v>
      </c>
      <c r="FF166" t="e">
        <f t="shared" si="339"/>
        <v>#DIV/0!</v>
      </c>
      <c r="FG166" s="8" t="e">
        <f t="shared" si="340"/>
        <v>#DIV/0!</v>
      </c>
      <c r="FH166" s="8" t="e">
        <f t="shared" si="341"/>
        <v>#DIV/0!</v>
      </c>
      <c r="FI166" s="168" t="e">
        <f t="shared" si="342"/>
        <v>#DIV/0!</v>
      </c>
      <c r="FJ166" s="161" t="e">
        <f t="shared" ca="1" si="245"/>
        <v>#N/A</v>
      </c>
      <c r="FK166" s="169" t="e" vm="3">
        <f t="shared" ca="1" si="251"/>
        <v>#VALUE!</v>
      </c>
      <c r="FL166" s="7" t="e" vm="3">
        <f t="shared" ca="1" si="246"/>
        <v>#VALUE!</v>
      </c>
      <c r="FM166" t="e" vm="3">
        <f t="shared" ca="1" si="240"/>
        <v>#VALUE!</v>
      </c>
      <c r="FN166" s="8" t="e" vm="3">
        <f t="shared" ca="1" si="241"/>
        <v>#VALUE!</v>
      </c>
      <c r="FO166" s="8" t="e" vm="3">
        <f t="shared" ca="1" si="242"/>
        <v>#VALUE!</v>
      </c>
      <c r="FP166" s="168" t="e" vm="3">
        <f t="shared" ca="1" si="243"/>
        <v>#VALUE!</v>
      </c>
      <c r="FQ166" s="161" t="e">
        <f t="shared" si="247"/>
        <v>#N/A</v>
      </c>
      <c r="FR166" s="169" t="e">
        <f t="shared" si="252"/>
        <v>#N/A</v>
      </c>
      <c r="FS166" s="7" t="e">
        <f t="shared" si="248"/>
        <v>#N/A</v>
      </c>
      <c r="FT166" t="e">
        <f t="shared" si="253"/>
        <v>#N/A</v>
      </c>
      <c r="FU166" s="8" t="e">
        <f t="shared" si="254"/>
        <v>#N/A</v>
      </c>
      <c r="FV166" s="8" t="e">
        <f t="shared" si="255"/>
        <v>#N/A</v>
      </c>
      <c r="FW166" s="168" t="e">
        <f t="shared" si="256"/>
        <v>#N/A</v>
      </c>
      <c r="FX166" s="161" t="e">
        <f t="shared" si="257"/>
        <v>#N/A</v>
      </c>
      <c r="FY166" s="169" t="e">
        <f t="shared" si="258"/>
        <v>#N/A</v>
      </c>
      <c r="FZ166" s="7" t="e">
        <f t="shared" si="249"/>
        <v>#N/A</v>
      </c>
      <c r="GA166" t="e">
        <f t="shared" si="259"/>
        <v>#N/A</v>
      </c>
      <c r="GB166" s="8" t="e">
        <f t="shared" si="260"/>
        <v>#N/A</v>
      </c>
      <c r="GC166" s="8" t="e">
        <f t="shared" si="261"/>
        <v>#N/A</v>
      </c>
      <c r="GD166" s="168" t="e">
        <f t="shared" si="262"/>
        <v>#N/A</v>
      </c>
      <c r="GE166" s="168"/>
      <c r="GF166" s="168"/>
      <c r="GI166" s="54">
        <f t="shared" si="307"/>
        <v>156</v>
      </c>
      <c r="GJ166" s="54">
        <f t="shared" si="308"/>
        <v>157</v>
      </c>
      <c r="GK166" s="54">
        <f t="shared" si="309"/>
        <v>0.64679280826768171</v>
      </c>
      <c r="GL166" s="54">
        <f t="shared" si="310"/>
        <v>0.32364468971493993</v>
      </c>
      <c r="GM166" s="54" t="e">
        <f t="shared" si="311"/>
        <v>#N/A</v>
      </c>
      <c r="GN166" s="54" t="e">
        <f t="shared" si="312"/>
        <v>#N/A</v>
      </c>
      <c r="GO166" s="54" t="e">
        <f t="shared" si="313"/>
        <v>#N/A</v>
      </c>
      <c r="GP166" s="54" t="b">
        <f t="shared" si="314"/>
        <v>0</v>
      </c>
      <c r="GQ166" s="54" t="b">
        <f t="shared" si="315"/>
        <v>1</v>
      </c>
      <c r="GR166" s="54" t="b">
        <f t="shared" si="316"/>
        <v>0</v>
      </c>
      <c r="GS166" s="54" t="b">
        <f t="shared" si="317"/>
        <v>1</v>
      </c>
      <c r="GT166" s="54">
        <f t="shared" si="318"/>
        <v>0.32364468971493993</v>
      </c>
      <c r="GU166" s="54" t="e">
        <f t="shared" si="319"/>
        <v>#N/A</v>
      </c>
      <c r="GV166" s="54">
        <f t="shared" si="320"/>
        <v>0.32364468971493993</v>
      </c>
      <c r="GW166" s="72" t="str">
        <f t="shared" si="321"/>
        <v/>
      </c>
      <c r="HC166" s="54">
        <f t="shared" si="322"/>
        <v>156</v>
      </c>
      <c r="HD166" s="54">
        <f t="shared" si="323"/>
        <v>157</v>
      </c>
      <c r="HE166" s="54">
        <f t="shared" si="324"/>
        <v>1.0015722478545355</v>
      </c>
      <c r="HF166" s="54" t="e">
        <f t="shared" si="325"/>
        <v>#N/A</v>
      </c>
      <c r="HG166" s="54">
        <f t="shared" si="326"/>
        <v>0.2253201733725971</v>
      </c>
      <c r="HH166" s="54" t="e">
        <f t="shared" si="327"/>
        <v>#N/A</v>
      </c>
      <c r="HI166" s="54" t="e">
        <f t="shared" si="328"/>
        <v>#N/A</v>
      </c>
      <c r="HJ166" s="54" t="b">
        <f t="shared" si="329"/>
        <v>1</v>
      </c>
      <c r="HK166" s="54" t="b">
        <f t="shared" si="330"/>
        <v>0</v>
      </c>
      <c r="HL166" s="54" t="b">
        <f t="shared" si="331"/>
        <v>0</v>
      </c>
      <c r="HM166" s="54" t="b">
        <f t="shared" si="332"/>
        <v>1</v>
      </c>
      <c r="HN166" s="54">
        <f t="shared" si="333"/>
        <v>0.2253201733725971</v>
      </c>
      <c r="HO166" s="54">
        <f t="shared" si="334"/>
        <v>0.2253201733725971</v>
      </c>
      <c r="HP166" s="54" t="e">
        <f t="shared" si="335"/>
        <v>#N/A</v>
      </c>
      <c r="HQ166" s="72" t="str">
        <f t="shared" si="336"/>
        <v/>
      </c>
    </row>
    <row r="167" spans="71:225" x14ac:dyDescent="0.2">
      <c r="BS167" s="54">
        <f t="shared" si="263"/>
        <v>157</v>
      </c>
      <c r="BT167" s="54">
        <f>Eu_tabel_g[[#This Row],[Indeks]]+1</f>
        <v>158</v>
      </c>
      <c r="BU167" s="54">
        <f t="shared" si="264"/>
        <v>0.67074809746278108</v>
      </c>
      <c r="BV167" s="54">
        <f t="shared" si="265"/>
        <v>0.31857733024261109</v>
      </c>
      <c r="BW167" s="54" t="e">
        <f t="shared" si="266"/>
        <v>#N/A</v>
      </c>
      <c r="BX167" s="54" t="e">
        <f t="shared" si="267"/>
        <v>#N/A</v>
      </c>
      <c r="BY167" s="54" t="e">
        <f t="shared" si="268"/>
        <v>#N/A</v>
      </c>
      <c r="BZ167" s="54" t="b">
        <f t="shared" si="269"/>
        <v>0</v>
      </c>
      <c r="CA167" s="54" t="b">
        <f t="shared" si="270"/>
        <v>1</v>
      </c>
      <c r="CB167" s="54" t="b">
        <f t="shared" si="271"/>
        <v>0</v>
      </c>
      <c r="CC167" s="54" t="b">
        <f t="shared" si="272"/>
        <v>1</v>
      </c>
      <c r="CD167" s="54">
        <f t="shared" si="337"/>
        <v>0.31857733024261109</v>
      </c>
      <c r="CE167" s="54" t="e">
        <f t="shared" si="273"/>
        <v>#N/A</v>
      </c>
      <c r="CF167" s="54">
        <f t="shared" si="274"/>
        <v>0.31857733024261109</v>
      </c>
      <c r="CG167" s="72" t="str">
        <f t="shared" si="275"/>
        <v/>
      </c>
      <c r="CH167" s="54">
        <f>_xlfn.NORM.DIST(_xlfn.NORM.INV(1-Eu_g_konfidensniveau,0,1)-Eu_tabel_g[[#This Row],[x base]],0,1,TRUE)</f>
        <v>1.0290012307210827E-2</v>
      </c>
      <c r="CI167" s="54">
        <f>1-_xlfn.NORM.DIST(_xlfn.NORM.INV(Eu_g_konfidensniveau,0,1)-Eu_tabel_g[[#This Row],[x base]],0,1,TRUE)</f>
        <v>0.16500207215092599</v>
      </c>
      <c r="CJ167" s="54">
        <f>_xlfn.NORM.DIST(_xlfn.NORM.INV((1-Eu_g_konfidensniveau)/2,0,1)-Eu_tabel_g[[#This Row],[x base]],0,1,TRUE)+1-_xlfn.NORM.DIST(_xlfn.NORM.INV(1-(1-Eu_g_konfidensniveau)/2,0,1)-Eu_tabel_g[[#This Row],[x base]],0,1,TRUE)</f>
        <v>0.10292183104268371</v>
      </c>
      <c r="CK167" s="54" t="e" cm="1">
        <f t="array" ref="CK167">IF($CK$3,INDEX(Eu_tabel_g[[#This Row],[Styrke venstre]:[Styrke tosidet]],CK$7),NA())</f>
        <v>#N/A</v>
      </c>
      <c r="CL167" s="99" t="e">
        <f>Eu_tabel_g[[#This Row],[Falsk positiv
Nulhypotese accepteres
Fejltype 1]]</f>
        <v>#N/A</v>
      </c>
      <c r="CM167" s="99" t="e">
        <f>IF(CHOOSE(CK$7,Eu_tabel_g[[#This Row],[x base]]&gt;0,Eu_tabel_g[[#This Row],[x base]]&lt;0,Eu_tabel_g[[#This Row],[x base]]=0),Eu_tabel_g[[#This Row],[Styrke, aktiv]],NA())</f>
        <v>#N/A</v>
      </c>
      <c r="CN167" s="99" t="e">
        <f>IFERROR(IF($CK$3,Eu_tabel_g[[#This Row],[Styrke, aktiv]],NA()),NA())</f>
        <v>#N/A</v>
      </c>
      <c r="CO167" s="99" t="e">
        <f>IF(ISNA(Eu_tabel_g[[#This Row],[Sand negativ
Nulhypotese afvises
Korrekt]]),NA(),IF($CK$3,1,NA()))</f>
        <v>#N/A</v>
      </c>
      <c r="CP167" s="56" t="str" cm="1">
        <f t="array" ref="CP167">_xlfn.SWITCH(BS167,_xlfn.IFNA(CN$2,-99),CN$5,_xlfn.IFNA(CN$3,-99),CN$6,_xlfn.IFNA(CN$4,-99),CN$7,"")</f>
        <v/>
      </c>
      <c r="CT167" s="7">
        <f t="shared" si="276"/>
        <v>0.8</v>
      </c>
      <c r="CU167">
        <f>IF(ROW(Styrkeberegning_G[[#This Row],[X base venstre]])=ROW(Styrkeberegning_G[[#Headers],[X base venstre]])+1,CU$7/(CT$7/$B$67),CU166/(CT166/$B$67))</f>
        <v>-2.8015817870135784</v>
      </c>
      <c r="CV167">
        <f>Styrkeberegning_G[[#This Row],[X base venstre]]*-1</f>
        <v>2.8015817870135784</v>
      </c>
      <c r="DG167" s="54">
        <f t="shared" si="277"/>
        <v>157</v>
      </c>
      <c r="DH167" s="54">
        <f t="shared" si="278"/>
        <v>158</v>
      </c>
      <c r="DI167" s="54">
        <f t="shared" si="279"/>
        <v>19.742977122122848</v>
      </c>
      <c r="DJ167" s="54" t="e">
        <f t="shared" si="280"/>
        <v>#N/A</v>
      </c>
      <c r="DK167" s="54" t="e">
        <f t="shared" si="281"/>
        <v>#N/A</v>
      </c>
      <c r="DL167" s="54">
        <f t="shared" si="282"/>
        <v>1.4713030567963909E-2</v>
      </c>
      <c r="DM167" s="54" t="e">
        <f t="shared" si="283"/>
        <v>#N/A</v>
      </c>
      <c r="DN167" s="54" t="b">
        <f t="shared" si="284"/>
        <v>0</v>
      </c>
      <c r="DO167" s="54" t="b">
        <f t="shared" si="285"/>
        <v>1</v>
      </c>
      <c r="DP167" s="54" t="b">
        <f t="shared" si="286"/>
        <v>0</v>
      </c>
      <c r="DQ167" s="54" t="b">
        <f t="shared" si="287"/>
        <v>1</v>
      </c>
      <c r="DR167" s="54">
        <f t="shared" si="288"/>
        <v>1.4713030567963909E-2</v>
      </c>
      <c r="DS167" s="54" t="e">
        <f t="shared" si="289"/>
        <v>#N/A</v>
      </c>
      <c r="DT167" s="54">
        <f t="shared" si="290"/>
        <v>1.4713030567963909E-2</v>
      </c>
      <c r="DU167" s="72" t="str">
        <f t="shared" si="291"/>
        <v/>
      </c>
      <c r="DZ167" s="54">
        <f t="shared" si="292"/>
        <v>157</v>
      </c>
      <c r="EA167" s="54">
        <f t="shared" si="293"/>
        <v>158</v>
      </c>
      <c r="EB167" s="54">
        <f t="shared" si="294"/>
        <v>0.67074809746278108</v>
      </c>
      <c r="EC167" s="54">
        <f t="shared" si="295"/>
        <v>0.31857733024261109</v>
      </c>
      <c r="ED167" s="54" t="e">
        <f t="shared" si="296"/>
        <v>#N/A</v>
      </c>
      <c r="EE167" s="54" t="e">
        <f t="shared" si="297"/>
        <v>#N/A</v>
      </c>
      <c r="EF167" s="54" t="e">
        <f t="shared" si="298"/>
        <v>#N/A</v>
      </c>
      <c r="EG167" s="54" t="b">
        <f t="shared" si="299"/>
        <v>0</v>
      </c>
      <c r="EH167" s="54" t="b">
        <f t="shared" si="300"/>
        <v>1</v>
      </c>
      <c r="EI167" s="54" t="b">
        <f t="shared" si="301"/>
        <v>0</v>
      </c>
      <c r="EJ167" s="54" t="b">
        <f t="shared" si="302"/>
        <v>1</v>
      </c>
      <c r="EK167" s="54">
        <f t="shared" si="303"/>
        <v>0.31857733024261109</v>
      </c>
      <c r="EL167" s="54" t="e">
        <f t="shared" si="304"/>
        <v>#N/A</v>
      </c>
      <c r="EM167" s="54">
        <f t="shared" si="305"/>
        <v>0.31857733024261109</v>
      </c>
      <c r="EN167" s="72" t="str">
        <f t="shared" si="306"/>
        <v/>
      </c>
      <c r="EO16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6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6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67" s="54" t="e" cm="1">
        <f t="array" ref="ER167">IF($CK$3,INDEX(Eu_tabel_a[[#This Row],[Styrke venstre]:[Styrke tosidet]],ER$7),NA())</f>
        <v>#N/A</v>
      </c>
      <c r="ES167" s="54" t="e">
        <f>IF(ER$3,IF(CHOOSE(ER$7,Eu_tabel_a[[#This Row],[x base]]&gt;0,Eu_tabel_a[[#This Row],[x base]]&lt;0,Eu_tabel_a[[#This Row],[x base]]=0),1,NA()),NA())</f>
        <v>#N/A</v>
      </c>
      <c r="ET167" s="54" t="e">
        <f>IF(CHOOSE(ER$7,Eu_tabel_a[[#This Row],[x base]]&gt;0,Eu_tabel_a[[#This Row],[x base]]&lt;0,Eu_tabel_a[[#This Row],[x base]]=0),Eu_tabel_a[[#This Row],[Styrke, aktiv]],NA())</f>
        <v>#N/A</v>
      </c>
      <c r="EU167" s="54" t="e">
        <f>IFERROR(IF($ER$3,Eu_tabel_a[[#This Row],[Styrke, aktiv]],NA()),NA())</f>
        <v>#N/A</v>
      </c>
      <c r="EV167" s="54" t="e">
        <f>IF(ISNA(Eu_tabel_a[[#This Row],[Sand negativ
Nulhypotese afvises
Korrekt]]),NA(),IF(ER$3,1,NA()))</f>
        <v>#N/A</v>
      </c>
      <c r="EW167" s="55" t="str" cm="1">
        <f t="array" ref="EW167">IFERROR(_xlfn.SWITCH(Eu_tabel_a[[#This Row],[Indeks]],_xlfn.IFNA(EU$2,-99),EU$5,_xlfn.IFNA(EU$3,-99),EU$6,_xlfn.IFNA(EU$4,-99),EU$7,""),"")</f>
        <v/>
      </c>
      <c r="EX167" s="54">
        <f>Eu_tabel_a[[#This Row],[x base]]*SQRT(Eu_a_h0_x*(1-Eu_a_h0_x)/Eu_a_n_x)+Eu_a_h0_x</f>
        <v>0</v>
      </c>
      <c r="FC167" s="161" t="e">
        <f t="shared" si="250"/>
        <v>#N/A</v>
      </c>
      <c r="FD167" s="169" t="e">
        <f t="shared" si="338"/>
        <v>#DIV/0!</v>
      </c>
      <c r="FE167" s="7" t="e">
        <f t="shared" si="244"/>
        <v>#DIV/0!</v>
      </c>
      <c r="FF167" t="e">
        <f t="shared" si="339"/>
        <v>#DIV/0!</v>
      </c>
      <c r="FG167" s="8" t="e">
        <f t="shared" si="340"/>
        <v>#DIV/0!</v>
      </c>
      <c r="FH167" s="8" t="e">
        <f t="shared" si="341"/>
        <v>#DIV/0!</v>
      </c>
      <c r="FI167" s="168" t="e">
        <f t="shared" si="342"/>
        <v>#DIV/0!</v>
      </c>
      <c r="FJ167" s="161" t="e">
        <f t="shared" ca="1" si="245"/>
        <v>#N/A</v>
      </c>
      <c r="FK167" s="169" t="e" vm="3">
        <f t="shared" ca="1" si="251"/>
        <v>#VALUE!</v>
      </c>
      <c r="FL167" s="7" t="e" vm="3">
        <f t="shared" ca="1" si="246"/>
        <v>#VALUE!</v>
      </c>
      <c r="FM167" t="e" vm="3">
        <f t="shared" ca="1" si="240"/>
        <v>#VALUE!</v>
      </c>
      <c r="FN167" s="8" t="e" vm="3">
        <f t="shared" ca="1" si="241"/>
        <v>#VALUE!</v>
      </c>
      <c r="FO167" s="8" t="e" vm="3">
        <f t="shared" ca="1" si="242"/>
        <v>#VALUE!</v>
      </c>
      <c r="FP167" s="168" t="e" vm="3">
        <f t="shared" ca="1" si="243"/>
        <v>#VALUE!</v>
      </c>
      <c r="FQ167" s="161" t="e">
        <f t="shared" si="247"/>
        <v>#N/A</v>
      </c>
      <c r="FR167" s="169" t="e">
        <f t="shared" si="252"/>
        <v>#N/A</v>
      </c>
      <c r="FS167" s="7" t="e">
        <f t="shared" si="248"/>
        <v>#N/A</v>
      </c>
      <c r="FT167" t="e">
        <f t="shared" si="253"/>
        <v>#N/A</v>
      </c>
      <c r="FU167" s="8" t="e">
        <f t="shared" si="254"/>
        <v>#N/A</v>
      </c>
      <c r="FV167" s="8" t="e">
        <f t="shared" si="255"/>
        <v>#N/A</v>
      </c>
      <c r="FW167" s="168" t="e">
        <f t="shared" si="256"/>
        <v>#N/A</v>
      </c>
      <c r="FX167" s="161" t="e">
        <f t="shared" si="257"/>
        <v>#N/A</v>
      </c>
      <c r="FY167" s="169" t="e">
        <f t="shared" si="258"/>
        <v>#N/A</v>
      </c>
      <c r="FZ167" s="7" t="e">
        <f t="shared" si="249"/>
        <v>#N/A</v>
      </c>
      <c r="GA167" t="e">
        <f t="shared" si="259"/>
        <v>#N/A</v>
      </c>
      <c r="GB167" s="8" t="e">
        <f t="shared" si="260"/>
        <v>#N/A</v>
      </c>
      <c r="GC167" s="8" t="e">
        <f t="shared" si="261"/>
        <v>#N/A</v>
      </c>
      <c r="GD167" s="168" t="e">
        <f t="shared" si="262"/>
        <v>#N/A</v>
      </c>
      <c r="GE167" s="168"/>
      <c r="GF167" s="168"/>
      <c r="GI167" s="54">
        <f t="shared" si="307"/>
        <v>157</v>
      </c>
      <c r="GJ167" s="54">
        <f t="shared" si="308"/>
        <v>158</v>
      </c>
      <c r="GK167" s="54">
        <f t="shared" si="309"/>
        <v>0.67074809746278108</v>
      </c>
      <c r="GL167" s="54">
        <f t="shared" si="310"/>
        <v>0.31857733024261109</v>
      </c>
      <c r="GM167" s="54" t="e">
        <f t="shared" si="311"/>
        <v>#N/A</v>
      </c>
      <c r="GN167" s="54" t="e">
        <f t="shared" si="312"/>
        <v>#N/A</v>
      </c>
      <c r="GO167" s="54" t="e">
        <f t="shared" si="313"/>
        <v>#N/A</v>
      </c>
      <c r="GP167" s="54" t="b">
        <f t="shared" si="314"/>
        <v>0</v>
      </c>
      <c r="GQ167" s="54" t="b">
        <f t="shared" si="315"/>
        <v>1</v>
      </c>
      <c r="GR167" s="54" t="b">
        <f t="shared" si="316"/>
        <v>0</v>
      </c>
      <c r="GS167" s="54" t="b">
        <f t="shared" si="317"/>
        <v>1</v>
      </c>
      <c r="GT167" s="54">
        <f t="shared" si="318"/>
        <v>0.31857733024261109</v>
      </c>
      <c r="GU167" s="54" t="e">
        <f t="shared" si="319"/>
        <v>#N/A</v>
      </c>
      <c r="GV167" s="54">
        <f t="shared" si="320"/>
        <v>0.31857733024261109</v>
      </c>
      <c r="GW167" s="72" t="str">
        <f t="shared" si="321"/>
        <v/>
      </c>
      <c r="HC167" s="54">
        <f t="shared" si="322"/>
        <v>157</v>
      </c>
      <c r="HD167" s="54">
        <f t="shared" si="323"/>
        <v>158</v>
      </c>
      <c r="HE167" s="54">
        <f t="shared" si="324"/>
        <v>1.0386675162935921</v>
      </c>
      <c r="HF167" s="54" t="e">
        <f t="shared" si="325"/>
        <v>#N/A</v>
      </c>
      <c r="HG167" s="54">
        <f t="shared" si="326"/>
        <v>0.21699479795162491</v>
      </c>
      <c r="HH167" s="54" t="e">
        <f t="shared" si="327"/>
        <v>#N/A</v>
      </c>
      <c r="HI167" s="54" t="e">
        <f t="shared" si="328"/>
        <v>#N/A</v>
      </c>
      <c r="HJ167" s="54" t="b">
        <f t="shared" si="329"/>
        <v>1</v>
      </c>
      <c r="HK167" s="54" t="b">
        <f t="shared" si="330"/>
        <v>0</v>
      </c>
      <c r="HL167" s="54" t="b">
        <f t="shared" si="331"/>
        <v>0</v>
      </c>
      <c r="HM167" s="54" t="b">
        <f t="shared" si="332"/>
        <v>1</v>
      </c>
      <c r="HN167" s="54">
        <f t="shared" si="333"/>
        <v>0.21699479795162491</v>
      </c>
      <c r="HO167" s="54">
        <f t="shared" si="334"/>
        <v>0.21699479795162491</v>
      </c>
      <c r="HP167" s="54" t="e">
        <f t="shared" si="335"/>
        <v>#N/A</v>
      </c>
      <c r="HQ167" s="72" t="str">
        <f t="shared" si="336"/>
        <v/>
      </c>
    </row>
    <row r="168" spans="71:225" x14ac:dyDescent="0.2">
      <c r="BS168" s="54">
        <f t="shared" si="263"/>
        <v>158</v>
      </c>
      <c r="BT168" s="54">
        <f>Eu_tabel_g[[#This Row],[Indeks]]+1</f>
        <v>159</v>
      </c>
      <c r="BU168" s="54">
        <f t="shared" si="264"/>
        <v>0.69470338665788045</v>
      </c>
      <c r="BV168" s="54">
        <f t="shared" si="265"/>
        <v>0.31340940782583288</v>
      </c>
      <c r="BW168" s="54" t="e">
        <f t="shared" si="266"/>
        <v>#N/A</v>
      </c>
      <c r="BX168" s="54" t="e">
        <f t="shared" si="267"/>
        <v>#N/A</v>
      </c>
      <c r="BY168" s="54" t="e">
        <f t="shared" si="268"/>
        <v>#N/A</v>
      </c>
      <c r="BZ168" s="54" t="b">
        <f t="shared" si="269"/>
        <v>0</v>
      </c>
      <c r="CA168" s="54" t="b">
        <f t="shared" si="270"/>
        <v>1</v>
      </c>
      <c r="CB168" s="54" t="b">
        <f t="shared" si="271"/>
        <v>0</v>
      </c>
      <c r="CC168" s="54" t="b">
        <f t="shared" si="272"/>
        <v>1</v>
      </c>
      <c r="CD168" s="54">
        <f t="shared" si="337"/>
        <v>0.31340940782583288</v>
      </c>
      <c r="CE168" s="54" t="e">
        <f t="shared" si="273"/>
        <v>#N/A</v>
      </c>
      <c r="CF168" s="54">
        <f t="shared" si="274"/>
        <v>0.31340940782583288</v>
      </c>
      <c r="CG168" s="72" t="str">
        <f t="shared" si="275"/>
        <v/>
      </c>
      <c r="CH168" s="54">
        <f>_xlfn.NORM.DIST(_xlfn.NORM.INV(1-Eu_g_konfidensniveau,0,1)-Eu_tabel_g[[#This Row],[x base]],0,1,TRUE)</f>
        <v>9.6533122660336992E-3</v>
      </c>
      <c r="CI168" s="54">
        <f>1-_xlfn.NORM.DIST(_xlfn.NORM.INV(Eu_g_konfidensniveau,0,1)-Eu_tabel_g[[#This Row],[x base]],0,1,TRUE)</f>
        <v>0.17101795912522499</v>
      </c>
      <c r="CJ168" s="54">
        <f>_xlfn.NORM.DIST(_xlfn.NORM.INV((1-Eu_g_konfidensniveau)/2,0,1)-Eu_tabel_g[[#This Row],[x base]],0,1,TRUE)+1-_xlfn.NORM.DIST(_xlfn.NORM.INV(1-(1-Eu_g_konfidensniveau)/2,0,1)-Eu_tabel_g[[#This Row],[x base]],0,1,TRUE)</f>
        <v>0.10685829537543157</v>
      </c>
      <c r="CK168" s="54" t="e" cm="1">
        <f t="array" ref="CK168">IF($CK$3,INDEX(Eu_tabel_g[[#This Row],[Styrke venstre]:[Styrke tosidet]],CK$7),NA())</f>
        <v>#N/A</v>
      </c>
      <c r="CL168" s="99" t="e">
        <f>Eu_tabel_g[[#This Row],[Falsk positiv
Nulhypotese accepteres
Fejltype 1]]</f>
        <v>#N/A</v>
      </c>
      <c r="CM168" s="99" t="e">
        <f>IF(CHOOSE(CK$7,Eu_tabel_g[[#This Row],[x base]]&gt;0,Eu_tabel_g[[#This Row],[x base]]&lt;0,Eu_tabel_g[[#This Row],[x base]]=0),Eu_tabel_g[[#This Row],[Styrke, aktiv]],NA())</f>
        <v>#N/A</v>
      </c>
      <c r="CN168" s="99" t="e">
        <f>IFERROR(IF($CK$3,Eu_tabel_g[[#This Row],[Styrke, aktiv]],NA()),NA())</f>
        <v>#N/A</v>
      </c>
      <c r="CO168" s="99" t="e">
        <f>IF(ISNA(Eu_tabel_g[[#This Row],[Sand negativ
Nulhypotese afvises
Korrekt]]),NA(),IF($CK$3,1,NA()))</f>
        <v>#N/A</v>
      </c>
      <c r="CP168" s="56" t="str" cm="1">
        <f t="array" ref="CP168">_xlfn.SWITCH(BS168,_xlfn.IFNA(CN$2,-99),CN$5,_xlfn.IFNA(CN$3,-99),CN$6,_xlfn.IFNA(CN$4,-99),CN$7,"")</f>
        <v/>
      </c>
      <c r="CT168" s="7">
        <f t="shared" si="276"/>
        <v>0.8</v>
      </c>
      <c r="CU168">
        <f>IF(ROW(Styrkeberegning_G[[#This Row],[X base venstre]])=ROW(Styrkeberegning_G[[#Headers],[X base venstre]])+1,CU$7/(CT$7/$B$67),CU167/(CT167/$B$67))</f>
        <v>-2.8015817870135784</v>
      </c>
      <c r="CV168">
        <f>Styrkeberegning_G[[#This Row],[X base venstre]]*-1</f>
        <v>2.8015817870135784</v>
      </c>
      <c r="DG168" s="54">
        <f t="shared" si="277"/>
        <v>158</v>
      </c>
      <c r="DH168" s="54">
        <f t="shared" si="278"/>
        <v>159</v>
      </c>
      <c r="DI168" s="54">
        <f t="shared" si="279"/>
        <v>19.85704797853985</v>
      </c>
      <c r="DJ168" s="54" t="e">
        <f t="shared" si="280"/>
        <v>#N/A</v>
      </c>
      <c r="DK168" s="54" t="e">
        <f t="shared" si="281"/>
        <v>#N/A</v>
      </c>
      <c r="DL168" s="54">
        <f t="shared" si="282"/>
        <v>1.4262352253349727E-2</v>
      </c>
      <c r="DM168" s="54" t="e">
        <f t="shared" si="283"/>
        <v>#N/A</v>
      </c>
      <c r="DN168" s="54" t="b">
        <f t="shared" si="284"/>
        <v>0</v>
      </c>
      <c r="DO168" s="54" t="b">
        <f t="shared" si="285"/>
        <v>1</v>
      </c>
      <c r="DP168" s="54" t="b">
        <f t="shared" si="286"/>
        <v>0</v>
      </c>
      <c r="DQ168" s="54" t="b">
        <f t="shared" si="287"/>
        <v>1</v>
      </c>
      <c r="DR168" s="54">
        <f t="shared" si="288"/>
        <v>1.4262352253349727E-2</v>
      </c>
      <c r="DS168" s="54" t="e">
        <f t="shared" si="289"/>
        <v>#N/A</v>
      </c>
      <c r="DT168" s="54">
        <f t="shared" si="290"/>
        <v>1.4262352253349727E-2</v>
      </c>
      <c r="DU168" s="72" t="str">
        <f t="shared" si="291"/>
        <v/>
      </c>
      <c r="DZ168" s="54">
        <f t="shared" si="292"/>
        <v>158</v>
      </c>
      <c r="EA168" s="54">
        <f t="shared" si="293"/>
        <v>159</v>
      </c>
      <c r="EB168" s="54">
        <f t="shared" si="294"/>
        <v>0.69470338665788045</v>
      </c>
      <c r="EC168" s="54">
        <f t="shared" si="295"/>
        <v>0.31340940782583288</v>
      </c>
      <c r="ED168" s="54" t="e">
        <f t="shared" si="296"/>
        <v>#N/A</v>
      </c>
      <c r="EE168" s="54" t="e">
        <f t="shared" si="297"/>
        <v>#N/A</v>
      </c>
      <c r="EF168" s="54" t="e">
        <f t="shared" si="298"/>
        <v>#N/A</v>
      </c>
      <c r="EG168" s="54" t="b">
        <f t="shared" si="299"/>
        <v>0</v>
      </c>
      <c r="EH168" s="54" t="b">
        <f t="shared" si="300"/>
        <v>1</v>
      </c>
      <c r="EI168" s="54" t="b">
        <f t="shared" si="301"/>
        <v>0</v>
      </c>
      <c r="EJ168" s="54" t="b">
        <f t="shared" si="302"/>
        <v>1</v>
      </c>
      <c r="EK168" s="54">
        <f t="shared" si="303"/>
        <v>0.31340940782583288</v>
      </c>
      <c r="EL168" s="54" t="e">
        <f t="shared" si="304"/>
        <v>#N/A</v>
      </c>
      <c r="EM168" s="54">
        <f t="shared" si="305"/>
        <v>0.31340940782583288</v>
      </c>
      <c r="EN168" s="72" t="str">
        <f t="shared" si="306"/>
        <v/>
      </c>
      <c r="EO16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6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6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68" s="54" t="e" cm="1">
        <f t="array" ref="ER168">IF($CK$3,INDEX(Eu_tabel_a[[#This Row],[Styrke venstre]:[Styrke tosidet]],ER$7),NA())</f>
        <v>#N/A</v>
      </c>
      <c r="ES168" s="54" t="e">
        <f>IF(ER$3,IF(CHOOSE(ER$7,Eu_tabel_a[[#This Row],[x base]]&gt;0,Eu_tabel_a[[#This Row],[x base]]&lt;0,Eu_tabel_a[[#This Row],[x base]]=0),1,NA()),NA())</f>
        <v>#N/A</v>
      </c>
      <c r="ET168" s="54" t="e">
        <f>IF(CHOOSE(ER$7,Eu_tabel_a[[#This Row],[x base]]&gt;0,Eu_tabel_a[[#This Row],[x base]]&lt;0,Eu_tabel_a[[#This Row],[x base]]=0),Eu_tabel_a[[#This Row],[Styrke, aktiv]],NA())</f>
        <v>#N/A</v>
      </c>
      <c r="EU168" s="54" t="e">
        <f>IFERROR(IF($ER$3,Eu_tabel_a[[#This Row],[Styrke, aktiv]],NA()),NA())</f>
        <v>#N/A</v>
      </c>
      <c r="EV168" s="54" t="e">
        <f>IF(ISNA(Eu_tabel_a[[#This Row],[Sand negativ
Nulhypotese afvises
Korrekt]]),NA(),IF(ER$3,1,NA()))</f>
        <v>#N/A</v>
      </c>
      <c r="EW168" s="55" t="str" cm="1">
        <f t="array" ref="EW168">IFERROR(_xlfn.SWITCH(Eu_tabel_a[[#This Row],[Indeks]],_xlfn.IFNA(EU$2,-99),EU$5,_xlfn.IFNA(EU$3,-99),EU$6,_xlfn.IFNA(EU$4,-99),EU$7,""),"")</f>
        <v/>
      </c>
      <c r="EX168" s="54">
        <f>Eu_tabel_a[[#This Row],[x base]]*SQRT(Eu_a_h0_x*(1-Eu_a_h0_x)/Eu_a_n_x)+Eu_a_h0_x</f>
        <v>0</v>
      </c>
      <c r="FC168" s="161" t="e">
        <f t="shared" si="250"/>
        <v>#N/A</v>
      </c>
      <c r="FD168" s="169" t="e">
        <f t="shared" si="338"/>
        <v>#DIV/0!</v>
      </c>
      <c r="FE168" s="7" t="e">
        <f t="shared" si="244"/>
        <v>#DIV/0!</v>
      </c>
      <c r="FF168" t="e">
        <f t="shared" si="339"/>
        <v>#DIV/0!</v>
      </c>
      <c r="FG168" s="8" t="e">
        <f t="shared" si="340"/>
        <v>#DIV/0!</v>
      </c>
      <c r="FH168" s="8" t="e">
        <f t="shared" si="341"/>
        <v>#DIV/0!</v>
      </c>
      <c r="FI168" s="168" t="e">
        <f t="shared" si="342"/>
        <v>#DIV/0!</v>
      </c>
      <c r="FJ168" s="161" t="e">
        <f t="shared" ca="1" si="245"/>
        <v>#N/A</v>
      </c>
      <c r="FK168" s="169" t="e" vm="3">
        <f t="shared" ca="1" si="251"/>
        <v>#VALUE!</v>
      </c>
      <c r="FL168" s="7" t="e" vm="3">
        <f t="shared" ca="1" si="246"/>
        <v>#VALUE!</v>
      </c>
      <c r="FM168" t="e" vm="3">
        <f t="shared" ca="1" si="240"/>
        <v>#VALUE!</v>
      </c>
      <c r="FN168" s="8" t="e" vm="3">
        <f t="shared" ca="1" si="241"/>
        <v>#VALUE!</v>
      </c>
      <c r="FO168" s="8" t="e" vm="3">
        <f t="shared" ca="1" si="242"/>
        <v>#VALUE!</v>
      </c>
      <c r="FP168" s="168" t="e" vm="3">
        <f t="shared" ca="1" si="243"/>
        <v>#VALUE!</v>
      </c>
      <c r="FQ168" s="161" t="e">
        <f t="shared" si="247"/>
        <v>#N/A</v>
      </c>
      <c r="FR168" s="169" t="e">
        <f t="shared" si="252"/>
        <v>#N/A</v>
      </c>
      <c r="FS168" s="7" t="e">
        <f t="shared" si="248"/>
        <v>#N/A</v>
      </c>
      <c r="FT168" t="e">
        <f t="shared" si="253"/>
        <v>#N/A</v>
      </c>
      <c r="FU168" s="8" t="e">
        <f t="shared" si="254"/>
        <v>#N/A</v>
      </c>
      <c r="FV168" s="8" t="e">
        <f t="shared" si="255"/>
        <v>#N/A</v>
      </c>
      <c r="FW168" s="168" t="e">
        <f t="shared" si="256"/>
        <v>#N/A</v>
      </c>
      <c r="FX168" s="161" t="e">
        <f t="shared" si="257"/>
        <v>#N/A</v>
      </c>
      <c r="FY168" s="169" t="e">
        <f t="shared" si="258"/>
        <v>#N/A</v>
      </c>
      <c r="FZ168" s="7" t="e">
        <f t="shared" si="249"/>
        <v>#N/A</v>
      </c>
      <c r="GA168" t="e">
        <f t="shared" si="259"/>
        <v>#N/A</v>
      </c>
      <c r="GB168" s="8" t="e">
        <f t="shared" si="260"/>
        <v>#N/A</v>
      </c>
      <c r="GC168" s="8" t="e">
        <f t="shared" si="261"/>
        <v>#N/A</v>
      </c>
      <c r="GD168" s="168" t="e">
        <f t="shared" si="262"/>
        <v>#N/A</v>
      </c>
      <c r="GE168" s="168"/>
      <c r="GF168" s="168"/>
      <c r="GI168" s="54">
        <f t="shared" si="307"/>
        <v>158</v>
      </c>
      <c r="GJ168" s="54">
        <f t="shared" si="308"/>
        <v>159</v>
      </c>
      <c r="GK168" s="54">
        <f t="shared" si="309"/>
        <v>0.69470338665788045</v>
      </c>
      <c r="GL168" s="54">
        <f t="shared" si="310"/>
        <v>0.31340940782583288</v>
      </c>
      <c r="GM168" s="54" t="e">
        <f t="shared" si="311"/>
        <v>#N/A</v>
      </c>
      <c r="GN168" s="54" t="e">
        <f t="shared" si="312"/>
        <v>#N/A</v>
      </c>
      <c r="GO168" s="54" t="e">
        <f t="shared" si="313"/>
        <v>#N/A</v>
      </c>
      <c r="GP168" s="54" t="b">
        <f t="shared" si="314"/>
        <v>0</v>
      </c>
      <c r="GQ168" s="54" t="b">
        <f t="shared" si="315"/>
        <v>1</v>
      </c>
      <c r="GR168" s="54" t="b">
        <f t="shared" si="316"/>
        <v>0</v>
      </c>
      <c r="GS168" s="54" t="b">
        <f t="shared" si="317"/>
        <v>1</v>
      </c>
      <c r="GT168" s="54">
        <f t="shared" si="318"/>
        <v>0.31340940782583288</v>
      </c>
      <c r="GU168" s="54" t="e">
        <f t="shared" si="319"/>
        <v>#N/A</v>
      </c>
      <c r="GV168" s="54">
        <f t="shared" si="320"/>
        <v>0.31340940782583288</v>
      </c>
      <c r="GW168" s="72" t="str">
        <f t="shared" si="321"/>
        <v/>
      </c>
      <c r="HC168" s="54">
        <f t="shared" si="322"/>
        <v>158</v>
      </c>
      <c r="HD168" s="54">
        <f t="shared" si="323"/>
        <v>159</v>
      </c>
      <c r="HE168" s="54">
        <f t="shared" si="324"/>
        <v>1.0757627847326487</v>
      </c>
      <c r="HF168" s="54" t="e">
        <f t="shared" si="325"/>
        <v>#N/A</v>
      </c>
      <c r="HG168" s="54">
        <f t="shared" si="326"/>
        <v>0.20876843698347805</v>
      </c>
      <c r="HH168" s="54" t="e">
        <f t="shared" si="327"/>
        <v>#N/A</v>
      </c>
      <c r="HI168" s="54" t="e">
        <f t="shared" si="328"/>
        <v>#N/A</v>
      </c>
      <c r="HJ168" s="54" t="b">
        <f t="shared" si="329"/>
        <v>1</v>
      </c>
      <c r="HK168" s="54" t="b">
        <f t="shared" si="330"/>
        <v>0</v>
      </c>
      <c r="HL168" s="54" t="b">
        <f t="shared" si="331"/>
        <v>0</v>
      </c>
      <c r="HM168" s="54" t="b">
        <f t="shared" si="332"/>
        <v>1</v>
      </c>
      <c r="HN168" s="54">
        <f t="shared" si="333"/>
        <v>0.20876843698347805</v>
      </c>
      <c r="HO168" s="54">
        <f t="shared" si="334"/>
        <v>0.20876843698347805</v>
      </c>
      <c r="HP168" s="54" t="e">
        <f t="shared" si="335"/>
        <v>#N/A</v>
      </c>
      <c r="HQ168" s="72" t="str">
        <f t="shared" si="336"/>
        <v/>
      </c>
    </row>
    <row r="169" spans="71:225" x14ac:dyDescent="0.2">
      <c r="BS169" s="54">
        <f t="shared" si="263"/>
        <v>159</v>
      </c>
      <c r="BT169" s="54">
        <f>Eu_tabel_g[[#This Row],[Indeks]]+1</f>
        <v>160</v>
      </c>
      <c r="BU169" s="54">
        <f t="shared" si="264"/>
        <v>0.71865867585297982</v>
      </c>
      <c r="BV169" s="54">
        <f t="shared" si="265"/>
        <v>0.30814843527368829</v>
      </c>
      <c r="BW169" s="54" t="e">
        <f t="shared" si="266"/>
        <v>#N/A</v>
      </c>
      <c r="BX169" s="54" t="e">
        <f t="shared" si="267"/>
        <v>#N/A</v>
      </c>
      <c r="BY169" s="54" t="e">
        <f t="shared" si="268"/>
        <v>#N/A</v>
      </c>
      <c r="BZ169" s="54" t="b">
        <f t="shared" si="269"/>
        <v>0</v>
      </c>
      <c r="CA169" s="54" t="b">
        <f t="shared" si="270"/>
        <v>1</v>
      </c>
      <c r="CB169" s="54" t="b">
        <f t="shared" si="271"/>
        <v>0</v>
      </c>
      <c r="CC169" s="54" t="b">
        <f t="shared" si="272"/>
        <v>1</v>
      </c>
      <c r="CD169" s="54">
        <f t="shared" si="337"/>
        <v>0.30814843527368829</v>
      </c>
      <c r="CE169" s="54" t="e">
        <f t="shared" si="273"/>
        <v>#N/A</v>
      </c>
      <c r="CF169" s="54">
        <f t="shared" si="274"/>
        <v>0.30814843527368829</v>
      </c>
      <c r="CG169" s="72" t="str">
        <f t="shared" si="275"/>
        <v/>
      </c>
      <c r="CH169" s="54">
        <f>_xlfn.NORM.DIST(_xlfn.NORM.INV(1-Eu_g_konfidensniveau,0,1)-Eu_tabel_g[[#This Row],[x base]],0,1,TRUE)</f>
        <v>9.0513127949020684E-3</v>
      </c>
      <c r="CI169" s="54">
        <f>1-_xlfn.NORM.DIST(_xlfn.NORM.INV(Eu_g_konfidensniveau,0,1)-Eu_tabel_g[[#This Row],[x base]],0,1,TRUE)</f>
        <v>0.17717233796114051</v>
      </c>
      <c r="CJ169" s="54">
        <f>_xlfn.NORM.DIST(_xlfn.NORM.INV((1-Eu_g_konfidensniveau)/2,0,1)-Eu_tabel_g[[#This Row],[x base]],0,1,TRUE)+1-_xlfn.NORM.DIST(_xlfn.NORM.INV(1-(1-Eu_g_konfidensniveau)/2,0,1)-Eu_tabel_g[[#This Row],[x base]],0,1,TRUE)</f>
        <v>0.11094277467154023</v>
      </c>
      <c r="CK169" s="54" t="e" cm="1">
        <f t="array" ref="CK169">IF($CK$3,INDEX(Eu_tabel_g[[#This Row],[Styrke venstre]:[Styrke tosidet]],CK$7),NA())</f>
        <v>#N/A</v>
      </c>
      <c r="CL169" s="99" t="e">
        <f>Eu_tabel_g[[#This Row],[Falsk positiv
Nulhypotese accepteres
Fejltype 1]]</f>
        <v>#N/A</v>
      </c>
      <c r="CM169" s="99" t="e">
        <f>IF(CHOOSE(CK$7,Eu_tabel_g[[#This Row],[x base]]&gt;0,Eu_tabel_g[[#This Row],[x base]]&lt;0,Eu_tabel_g[[#This Row],[x base]]=0),Eu_tabel_g[[#This Row],[Styrke, aktiv]],NA())</f>
        <v>#N/A</v>
      </c>
      <c r="CN169" s="99" t="e">
        <f>IFERROR(IF($CK$3,Eu_tabel_g[[#This Row],[Styrke, aktiv]],NA()),NA())</f>
        <v>#N/A</v>
      </c>
      <c r="CO169" s="99" t="e">
        <f>IF(ISNA(Eu_tabel_g[[#This Row],[Sand negativ
Nulhypotese afvises
Korrekt]]),NA(),IF($CK$3,1,NA()))</f>
        <v>#N/A</v>
      </c>
      <c r="CP169" s="56" t="str" cm="1">
        <f t="array" ref="CP169">_xlfn.SWITCH(BS169,_xlfn.IFNA(CN$2,-99),CN$5,_xlfn.IFNA(CN$3,-99),CN$6,_xlfn.IFNA(CN$4,-99),CN$7,"")</f>
        <v/>
      </c>
      <c r="CT169" s="7">
        <f t="shared" si="276"/>
        <v>0.8</v>
      </c>
      <c r="CU169">
        <f>IF(ROW(Styrkeberegning_G[[#This Row],[X base venstre]])=ROW(Styrkeberegning_G[[#Headers],[X base venstre]])+1,CU$7/(CT$7/$B$67),CU168/(CT168/$B$67))</f>
        <v>-2.8015817870135784</v>
      </c>
      <c r="CV169">
        <f>Styrkeberegning_G[[#This Row],[X base venstre]]*-1</f>
        <v>2.8015817870135784</v>
      </c>
      <c r="DG169" s="54">
        <f t="shared" si="277"/>
        <v>159</v>
      </c>
      <c r="DH169" s="54">
        <f t="shared" si="278"/>
        <v>160</v>
      </c>
      <c r="DI169" s="54">
        <f t="shared" si="279"/>
        <v>19.971118834956851</v>
      </c>
      <c r="DJ169" s="54" t="e">
        <f t="shared" si="280"/>
        <v>#N/A</v>
      </c>
      <c r="DK169" s="54" t="e">
        <f t="shared" si="281"/>
        <v>#N/A</v>
      </c>
      <c r="DL169" s="54">
        <f t="shared" si="282"/>
        <v>1.3823425778801282E-2</v>
      </c>
      <c r="DM169" s="54" t="e">
        <f t="shared" si="283"/>
        <v>#N/A</v>
      </c>
      <c r="DN169" s="54" t="b">
        <f t="shared" si="284"/>
        <v>0</v>
      </c>
      <c r="DO169" s="54" t="b">
        <f t="shared" si="285"/>
        <v>1</v>
      </c>
      <c r="DP169" s="54" t="b">
        <f t="shared" si="286"/>
        <v>0</v>
      </c>
      <c r="DQ169" s="54" t="b">
        <f t="shared" si="287"/>
        <v>1</v>
      </c>
      <c r="DR169" s="54">
        <f t="shared" si="288"/>
        <v>1.3823425778801282E-2</v>
      </c>
      <c r="DS169" s="54" t="e">
        <f t="shared" si="289"/>
        <v>#N/A</v>
      </c>
      <c r="DT169" s="54">
        <f t="shared" si="290"/>
        <v>1.3823425778801282E-2</v>
      </c>
      <c r="DU169" s="72" t="str">
        <f t="shared" si="291"/>
        <v/>
      </c>
      <c r="DZ169" s="54">
        <f t="shared" si="292"/>
        <v>159</v>
      </c>
      <c r="EA169" s="54">
        <f t="shared" si="293"/>
        <v>160</v>
      </c>
      <c r="EB169" s="54">
        <f t="shared" si="294"/>
        <v>0.71865867585297982</v>
      </c>
      <c r="EC169" s="54">
        <f t="shared" si="295"/>
        <v>0.30814843527368829</v>
      </c>
      <c r="ED169" s="54" t="e">
        <f t="shared" si="296"/>
        <v>#N/A</v>
      </c>
      <c r="EE169" s="54" t="e">
        <f t="shared" si="297"/>
        <v>#N/A</v>
      </c>
      <c r="EF169" s="54" t="e">
        <f t="shared" si="298"/>
        <v>#N/A</v>
      </c>
      <c r="EG169" s="54" t="b">
        <f t="shared" si="299"/>
        <v>0</v>
      </c>
      <c r="EH169" s="54" t="b">
        <f t="shared" si="300"/>
        <v>1</v>
      </c>
      <c r="EI169" s="54" t="b">
        <f t="shared" si="301"/>
        <v>0</v>
      </c>
      <c r="EJ169" s="54" t="b">
        <f t="shared" si="302"/>
        <v>1</v>
      </c>
      <c r="EK169" s="54">
        <f t="shared" si="303"/>
        <v>0.30814843527368829</v>
      </c>
      <c r="EL169" s="54" t="e">
        <f t="shared" si="304"/>
        <v>#N/A</v>
      </c>
      <c r="EM169" s="54">
        <f t="shared" si="305"/>
        <v>0.30814843527368829</v>
      </c>
      <c r="EN169" s="72" t="str">
        <f t="shared" si="306"/>
        <v/>
      </c>
      <c r="EO16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6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6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69" s="54" t="e" cm="1">
        <f t="array" ref="ER169">IF($CK$3,INDEX(Eu_tabel_a[[#This Row],[Styrke venstre]:[Styrke tosidet]],ER$7),NA())</f>
        <v>#N/A</v>
      </c>
      <c r="ES169" s="54" t="e">
        <f>IF(ER$3,IF(CHOOSE(ER$7,Eu_tabel_a[[#This Row],[x base]]&gt;0,Eu_tabel_a[[#This Row],[x base]]&lt;0,Eu_tabel_a[[#This Row],[x base]]=0),1,NA()),NA())</f>
        <v>#N/A</v>
      </c>
      <c r="ET169" s="54" t="e">
        <f>IF(CHOOSE(ER$7,Eu_tabel_a[[#This Row],[x base]]&gt;0,Eu_tabel_a[[#This Row],[x base]]&lt;0,Eu_tabel_a[[#This Row],[x base]]=0),Eu_tabel_a[[#This Row],[Styrke, aktiv]],NA())</f>
        <v>#N/A</v>
      </c>
      <c r="EU169" s="54" t="e">
        <f>IFERROR(IF($ER$3,Eu_tabel_a[[#This Row],[Styrke, aktiv]],NA()),NA())</f>
        <v>#N/A</v>
      </c>
      <c r="EV169" s="54" t="e">
        <f>IF(ISNA(Eu_tabel_a[[#This Row],[Sand negativ
Nulhypotese afvises
Korrekt]]),NA(),IF(ER$3,1,NA()))</f>
        <v>#N/A</v>
      </c>
      <c r="EW169" s="55" t="str" cm="1">
        <f t="array" ref="EW169">IFERROR(_xlfn.SWITCH(Eu_tabel_a[[#This Row],[Indeks]],_xlfn.IFNA(EU$2,-99),EU$5,_xlfn.IFNA(EU$3,-99),EU$6,_xlfn.IFNA(EU$4,-99),EU$7,""),"")</f>
        <v/>
      </c>
      <c r="EX169" s="54">
        <f>Eu_tabel_a[[#This Row],[x base]]*SQRT(Eu_a_h0_x*(1-Eu_a_h0_x)/Eu_a_n_x)+Eu_a_h0_x</f>
        <v>0</v>
      </c>
      <c r="FC169" s="161" t="e">
        <f t="shared" si="250"/>
        <v>#N/A</v>
      </c>
      <c r="FD169" s="169" t="e">
        <f t="shared" si="338"/>
        <v>#DIV/0!</v>
      </c>
      <c r="FE169" s="7" t="e">
        <f t="shared" si="244"/>
        <v>#DIV/0!</v>
      </c>
      <c r="FF169" t="e">
        <f t="shared" si="339"/>
        <v>#DIV/0!</v>
      </c>
      <c r="FG169" s="8" t="e">
        <f t="shared" si="340"/>
        <v>#DIV/0!</v>
      </c>
      <c r="FH169" s="8" t="e">
        <f t="shared" si="341"/>
        <v>#DIV/0!</v>
      </c>
      <c r="FI169" s="168" t="e">
        <f t="shared" si="342"/>
        <v>#DIV/0!</v>
      </c>
      <c r="FJ169" s="161" t="e">
        <f t="shared" ca="1" si="245"/>
        <v>#N/A</v>
      </c>
      <c r="FK169" s="169" t="e" vm="3">
        <f t="shared" ca="1" si="251"/>
        <v>#VALUE!</v>
      </c>
      <c r="FL169" s="7" t="e" vm="3">
        <f t="shared" ca="1" si="246"/>
        <v>#VALUE!</v>
      </c>
      <c r="FM169" t="e" vm="3">
        <f t="shared" ca="1" si="240"/>
        <v>#VALUE!</v>
      </c>
      <c r="FN169" s="8" t="e" vm="3">
        <f t="shared" ca="1" si="241"/>
        <v>#VALUE!</v>
      </c>
      <c r="FO169" s="8" t="e" vm="3">
        <f t="shared" ca="1" si="242"/>
        <v>#VALUE!</v>
      </c>
      <c r="FP169" s="168" t="e" vm="3">
        <f t="shared" ca="1" si="243"/>
        <v>#VALUE!</v>
      </c>
      <c r="FQ169" s="161" t="e">
        <f t="shared" si="247"/>
        <v>#N/A</v>
      </c>
      <c r="FR169" s="169" t="e">
        <f t="shared" si="252"/>
        <v>#N/A</v>
      </c>
      <c r="FS169" s="7" t="e">
        <f t="shared" si="248"/>
        <v>#N/A</v>
      </c>
      <c r="FT169" t="e">
        <f t="shared" si="253"/>
        <v>#N/A</v>
      </c>
      <c r="FU169" s="8" t="e">
        <f t="shared" si="254"/>
        <v>#N/A</v>
      </c>
      <c r="FV169" s="8" t="e">
        <f t="shared" si="255"/>
        <v>#N/A</v>
      </c>
      <c r="FW169" s="168" t="e">
        <f t="shared" si="256"/>
        <v>#N/A</v>
      </c>
      <c r="FX169" s="161" t="e">
        <f t="shared" si="257"/>
        <v>#N/A</v>
      </c>
      <c r="FY169" s="169" t="e">
        <f t="shared" si="258"/>
        <v>#N/A</v>
      </c>
      <c r="FZ169" s="7" t="e">
        <f t="shared" si="249"/>
        <v>#N/A</v>
      </c>
      <c r="GA169" t="e">
        <f t="shared" si="259"/>
        <v>#N/A</v>
      </c>
      <c r="GB169" s="8" t="e">
        <f t="shared" si="260"/>
        <v>#N/A</v>
      </c>
      <c r="GC169" s="8" t="e">
        <f t="shared" si="261"/>
        <v>#N/A</v>
      </c>
      <c r="GD169" s="168" t="e">
        <f t="shared" si="262"/>
        <v>#N/A</v>
      </c>
      <c r="GE169" s="168"/>
      <c r="GF169" s="168"/>
      <c r="GI169" s="54">
        <f t="shared" si="307"/>
        <v>159</v>
      </c>
      <c r="GJ169" s="54">
        <f t="shared" si="308"/>
        <v>160</v>
      </c>
      <c r="GK169" s="54">
        <f t="shared" si="309"/>
        <v>0.71865867585297982</v>
      </c>
      <c r="GL169" s="54">
        <f t="shared" si="310"/>
        <v>0.30814843527368829</v>
      </c>
      <c r="GM169" s="54" t="e">
        <f t="shared" si="311"/>
        <v>#N/A</v>
      </c>
      <c r="GN169" s="54" t="e">
        <f t="shared" si="312"/>
        <v>#N/A</v>
      </c>
      <c r="GO169" s="54" t="e">
        <f t="shared" si="313"/>
        <v>#N/A</v>
      </c>
      <c r="GP169" s="54" t="b">
        <f t="shared" si="314"/>
        <v>0</v>
      </c>
      <c r="GQ169" s="54" t="b">
        <f t="shared" si="315"/>
        <v>1</v>
      </c>
      <c r="GR169" s="54" t="b">
        <f t="shared" si="316"/>
        <v>0</v>
      </c>
      <c r="GS169" s="54" t="b">
        <f t="shared" si="317"/>
        <v>1</v>
      </c>
      <c r="GT169" s="54">
        <f t="shared" si="318"/>
        <v>0.30814843527368829</v>
      </c>
      <c r="GU169" s="54" t="e">
        <f t="shared" si="319"/>
        <v>#N/A</v>
      </c>
      <c r="GV169" s="54">
        <f t="shared" si="320"/>
        <v>0.30814843527368829</v>
      </c>
      <c r="GW169" s="72" t="str">
        <f t="shared" si="321"/>
        <v/>
      </c>
      <c r="HC169" s="54">
        <f t="shared" si="322"/>
        <v>159</v>
      </c>
      <c r="HD169" s="54">
        <f t="shared" si="323"/>
        <v>160</v>
      </c>
      <c r="HE169" s="54">
        <f t="shared" si="324"/>
        <v>1.1128580531717054</v>
      </c>
      <c r="HF169" s="54" t="e">
        <f t="shared" si="325"/>
        <v>#N/A</v>
      </c>
      <c r="HG169" s="54">
        <f t="shared" si="326"/>
        <v>0.20065988647559618</v>
      </c>
      <c r="HH169" s="54" t="e">
        <f t="shared" si="327"/>
        <v>#N/A</v>
      </c>
      <c r="HI169" s="54" t="e">
        <f t="shared" si="328"/>
        <v>#N/A</v>
      </c>
      <c r="HJ169" s="54" t="b">
        <f t="shared" si="329"/>
        <v>1</v>
      </c>
      <c r="HK169" s="54" t="b">
        <f t="shared" si="330"/>
        <v>0</v>
      </c>
      <c r="HL169" s="54" t="b">
        <f t="shared" si="331"/>
        <v>0</v>
      </c>
      <c r="HM169" s="54" t="b">
        <f t="shared" si="332"/>
        <v>1</v>
      </c>
      <c r="HN169" s="54">
        <f t="shared" si="333"/>
        <v>0.20065988647559618</v>
      </c>
      <c r="HO169" s="54">
        <f t="shared" si="334"/>
        <v>0.20065988647559618</v>
      </c>
      <c r="HP169" s="54" t="e">
        <f t="shared" si="335"/>
        <v>#N/A</v>
      </c>
      <c r="HQ169" s="72" t="str">
        <f t="shared" si="336"/>
        <v/>
      </c>
    </row>
    <row r="170" spans="71:225" x14ac:dyDescent="0.2">
      <c r="BS170" s="54">
        <f t="shared" si="263"/>
        <v>160</v>
      </c>
      <c r="BT170" s="54">
        <f>Eu_tabel_g[[#This Row],[Indeks]]+1</f>
        <v>161</v>
      </c>
      <c r="BU170" s="54">
        <f t="shared" si="264"/>
        <v>0.74261396504807919</v>
      </c>
      <c r="BV170" s="54">
        <f t="shared" si="265"/>
        <v>0.30280196023421319</v>
      </c>
      <c r="BW170" s="54" t="e">
        <f t="shared" si="266"/>
        <v>#N/A</v>
      </c>
      <c r="BX170" s="54" t="e">
        <f t="shared" si="267"/>
        <v>#N/A</v>
      </c>
      <c r="BY170" s="54" t="e">
        <f t="shared" si="268"/>
        <v>#N/A</v>
      </c>
      <c r="BZ170" s="54" t="b">
        <f t="shared" si="269"/>
        <v>0</v>
      </c>
      <c r="CA170" s="54" t="b">
        <f t="shared" si="270"/>
        <v>1</v>
      </c>
      <c r="CB170" s="54" t="b">
        <f t="shared" si="271"/>
        <v>0</v>
      </c>
      <c r="CC170" s="54" t="b">
        <f t="shared" si="272"/>
        <v>1</v>
      </c>
      <c r="CD170" s="54">
        <f t="shared" si="337"/>
        <v>0.30280196023421319</v>
      </c>
      <c r="CE170" s="54" t="e">
        <f t="shared" si="273"/>
        <v>#N/A</v>
      </c>
      <c r="CF170" s="54">
        <f t="shared" si="274"/>
        <v>0.30280196023421319</v>
      </c>
      <c r="CG170" s="72" t="str">
        <f t="shared" si="275"/>
        <v/>
      </c>
      <c r="CH170" s="54">
        <f>_xlfn.NORM.DIST(_xlfn.NORM.INV(1-Eu_g_konfidensniveau,0,1)-Eu_tabel_g[[#This Row],[x base]],0,1,TRUE)</f>
        <v>8.4824492137562831E-3</v>
      </c>
      <c r="CI170" s="54">
        <f>1-_xlfn.NORM.DIST(_xlfn.NORM.INV(Eu_g_konfidensniveau,0,1)-Eu_tabel_g[[#This Row],[x base]],0,1,TRUE)</f>
        <v>0.18346478506147446</v>
      </c>
      <c r="CJ170" s="54">
        <f>_xlfn.NORM.DIST(_xlfn.NORM.INV((1-Eu_g_konfidensniveau)/2,0,1)-Eu_tabel_g[[#This Row],[x base]],0,1,TRUE)+1-_xlfn.NORM.DIST(_xlfn.NORM.INV(1-(1-Eu_g_konfidensniveau)/2,0,1)-Eu_tabel_g[[#This Row],[x base]],0,1,TRUE)</f>
        <v>0.11517573781410362</v>
      </c>
      <c r="CK170" s="54" t="e" cm="1">
        <f t="array" ref="CK170">IF($CK$3,INDEX(Eu_tabel_g[[#This Row],[Styrke venstre]:[Styrke tosidet]],CK$7),NA())</f>
        <v>#N/A</v>
      </c>
      <c r="CL170" s="99" t="e">
        <f>Eu_tabel_g[[#This Row],[Falsk positiv
Nulhypotese accepteres
Fejltype 1]]</f>
        <v>#N/A</v>
      </c>
      <c r="CM170" s="99" t="e">
        <f>IF(CHOOSE(CK$7,Eu_tabel_g[[#This Row],[x base]]&gt;0,Eu_tabel_g[[#This Row],[x base]]&lt;0,Eu_tabel_g[[#This Row],[x base]]=0),Eu_tabel_g[[#This Row],[Styrke, aktiv]],NA())</f>
        <v>#N/A</v>
      </c>
      <c r="CN170" s="99" t="e">
        <f>IFERROR(IF($CK$3,Eu_tabel_g[[#This Row],[Styrke, aktiv]],NA()),NA())</f>
        <v>#N/A</v>
      </c>
      <c r="CO170" s="99" t="e">
        <f>IF(ISNA(Eu_tabel_g[[#This Row],[Sand negativ
Nulhypotese afvises
Korrekt]]),NA(),IF($CK$3,1,NA()))</f>
        <v>#N/A</v>
      </c>
      <c r="CP170" s="56" t="str" cm="1">
        <f t="array" ref="CP170">_xlfn.SWITCH(BS170,_xlfn.IFNA(CN$2,-99),CN$5,_xlfn.IFNA(CN$3,-99),CN$6,_xlfn.IFNA(CN$4,-99),CN$7,"")</f>
        <v/>
      </c>
      <c r="CT170" s="7">
        <f t="shared" si="276"/>
        <v>0.8</v>
      </c>
      <c r="CU170">
        <f>IF(ROW(Styrkeberegning_G[[#This Row],[X base venstre]])=ROW(Styrkeberegning_G[[#Headers],[X base venstre]])+1,CU$7/(CT$7/$B$67),CU169/(CT169/$B$67))</f>
        <v>-2.8015817870135784</v>
      </c>
      <c r="CV170">
        <f>Styrkeberegning_G[[#This Row],[X base venstre]]*-1</f>
        <v>2.8015817870135784</v>
      </c>
      <c r="DG170" s="54">
        <f t="shared" si="277"/>
        <v>160</v>
      </c>
      <c r="DH170" s="54">
        <f t="shared" si="278"/>
        <v>161</v>
      </c>
      <c r="DI170" s="54">
        <f t="shared" si="279"/>
        <v>20.085189691373852</v>
      </c>
      <c r="DJ170" s="54" t="e">
        <f t="shared" si="280"/>
        <v>#N/A</v>
      </c>
      <c r="DK170" s="54" t="e">
        <f t="shared" si="281"/>
        <v>#N/A</v>
      </c>
      <c r="DL170" s="54">
        <f t="shared" si="282"/>
        <v>1.3396040490129536E-2</v>
      </c>
      <c r="DM170" s="54" t="e">
        <f t="shared" si="283"/>
        <v>#N/A</v>
      </c>
      <c r="DN170" s="54" t="b">
        <f t="shared" si="284"/>
        <v>0</v>
      </c>
      <c r="DO170" s="54" t="b">
        <f t="shared" si="285"/>
        <v>1</v>
      </c>
      <c r="DP170" s="54" t="b">
        <f t="shared" si="286"/>
        <v>0</v>
      </c>
      <c r="DQ170" s="54" t="b">
        <f t="shared" si="287"/>
        <v>1</v>
      </c>
      <c r="DR170" s="54">
        <f t="shared" si="288"/>
        <v>1.3396040490129536E-2</v>
      </c>
      <c r="DS170" s="54" t="e">
        <f t="shared" si="289"/>
        <v>#N/A</v>
      </c>
      <c r="DT170" s="54">
        <f t="shared" si="290"/>
        <v>1.3396040490129536E-2</v>
      </c>
      <c r="DU170" s="72" t="str">
        <f t="shared" si="291"/>
        <v/>
      </c>
      <c r="DZ170" s="54">
        <f t="shared" si="292"/>
        <v>160</v>
      </c>
      <c r="EA170" s="54">
        <f t="shared" si="293"/>
        <v>161</v>
      </c>
      <c r="EB170" s="54">
        <f t="shared" si="294"/>
        <v>0.74261396504807919</v>
      </c>
      <c r="EC170" s="54">
        <f t="shared" si="295"/>
        <v>0.30280196023421319</v>
      </c>
      <c r="ED170" s="54" t="e">
        <f t="shared" si="296"/>
        <v>#N/A</v>
      </c>
      <c r="EE170" s="54" t="e">
        <f t="shared" si="297"/>
        <v>#N/A</v>
      </c>
      <c r="EF170" s="54" t="e">
        <f t="shared" si="298"/>
        <v>#N/A</v>
      </c>
      <c r="EG170" s="54" t="b">
        <f t="shared" si="299"/>
        <v>0</v>
      </c>
      <c r="EH170" s="54" t="b">
        <f t="shared" si="300"/>
        <v>1</v>
      </c>
      <c r="EI170" s="54" t="b">
        <f t="shared" si="301"/>
        <v>0</v>
      </c>
      <c r="EJ170" s="54" t="b">
        <f t="shared" si="302"/>
        <v>1</v>
      </c>
      <c r="EK170" s="54">
        <f t="shared" si="303"/>
        <v>0.30280196023421319</v>
      </c>
      <c r="EL170" s="54" t="e">
        <f t="shared" si="304"/>
        <v>#N/A</v>
      </c>
      <c r="EM170" s="54">
        <f t="shared" si="305"/>
        <v>0.30280196023421319</v>
      </c>
      <c r="EN170" s="72" t="str">
        <f t="shared" si="306"/>
        <v/>
      </c>
      <c r="EO17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7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7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70" s="54" t="e" cm="1">
        <f t="array" ref="ER170">IF($CK$3,INDEX(Eu_tabel_a[[#This Row],[Styrke venstre]:[Styrke tosidet]],ER$7),NA())</f>
        <v>#N/A</v>
      </c>
      <c r="ES170" s="54" t="e">
        <f>IF(ER$3,IF(CHOOSE(ER$7,Eu_tabel_a[[#This Row],[x base]]&gt;0,Eu_tabel_a[[#This Row],[x base]]&lt;0,Eu_tabel_a[[#This Row],[x base]]=0),1,NA()),NA())</f>
        <v>#N/A</v>
      </c>
      <c r="ET170" s="54" t="e">
        <f>IF(CHOOSE(ER$7,Eu_tabel_a[[#This Row],[x base]]&gt;0,Eu_tabel_a[[#This Row],[x base]]&lt;0,Eu_tabel_a[[#This Row],[x base]]=0),Eu_tabel_a[[#This Row],[Styrke, aktiv]],NA())</f>
        <v>#N/A</v>
      </c>
      <c r="EU170" s="54" t="e">
        <f>IFERROR(IF($ER$3,Eu_tabel_a[[#This Row],[Styrke, aktiv]],NA()),NA())</f>
        <v>#N/A</v>
      </c>
      <c r="EV170" s="54" t="e">
        <f>IF(ISNA(Eu_tabel_a[[#This Row],[Sand negativ
Nulhypotese afvises
Korrekt]]),NA(),IF(ER$3,1,NA()))</f>
        <v>#N/A</v>
      </c>
      <c r="EW170" s="55" t="str" cm="1">
        <f t="array" ref="EW170">IFERROR(_xlfn.SWITCH(Eu_tabel_a[[#This Row],[Indeks]],_xlfn.IFNA(EU$2,-99),EU$5,_xlfn.IFNA(EU$3,-99),EU$6,_xlfn.IFNA(EU$4,-99),EU$7,""),"")</f>
        <v/>
      </c>
      <c r="EX170" s="54">
        <f>Eu_tabel_a[[#This Row],[x base]]*SQRT(Eu_a_h0_x*(1-Eu_a_h0_x)/Eu_a_n_x)+Eu_a_h0_x</f>
        <v>0</v>
      </c>
      <c r="FC170" s="161" t="e">
        <f t="shared" si="250"/>
        <v>#N/A</v>
      </c>
      <c r="FD170" s="169" t="e">
        <f t="shared" si="338"/>
        <v>#DIV/0!</v>
      </c>
      <c r="FE170" s="7" t="e">
        <f t="shared" si="244"/>
        <v>#DIV/0!</v>
      </c>
      <c r="FF170" t="e">
        <f t="shared" si="339"/>
        <v>#DIV/0!</v>
      </c>
      <c r="FG170" s="8" t="e">
        <f t="shared" si="340"/>
        <v>#DIV/0!</v>
      </c>
      <c r="FH170" s="8" t="e">
        <f t="shared" si="341"/>
        <v>#DIV/0!</v>
      </c>
      <c r="FI170" s="168" t="e">
        <f t="shared" si="342"/>
        <v>#DIV/0!</v>
      </c>
      <c r="FJ170" s="161" t="e">
        <f t="shared" ca="1" si="245"/>
        <v>#N/A</v>
      </c>
      <c r="FK170" s="169" t="e" vm="3">
        <f t="shared" ca="1" si="251"/>
        <v>#VALUE!</v>
      </c>
      <c r="FL170" s="7" t="e" vm="3">
        <f t="shared" ca="1" si="246"/>
        <v>#VALUE!</v>
      </c>
      <c r="FM170" t="e" vm="3">
        <f t="shared" ca="1" si="240"/>
        <v>#VALUE!</v>
      </c>
      <c r="FN170" s="8" t="e" vm="3">
        <f t="shared" ca="1" si="241"/>
        <v>#VALUE!</v>
      </c>
      <c r="FO170" s="8" t="e" vm="3">
        <f t="shared" ca="1" si="242"/>
        <v>#VALUE!</v>
      </c>
      <c r="FP170" s="168" t="e" vm="3">
        <f t="shared" ca="1" si="243"/>
        <v>#VALUE!</v>
      </c>
      <c r="FQ170" s="161" t="e">
        <f t="shared" si="247"/>
        <v>#N/A</v>
      </c>
      <c r="FR170" s="169" t="e">
        <f t="shared" si="252"/>
        <v>#N/A</v>
      </c>
      <c r="FS170" s="7" t="e">
        <f t="shared" si="248"/>
        <v>#N/A</v>
      </c>
      <c r="FT170" t="e">
        <f t="shared" si="253"/>
        <v>#N/A</v>
      </c>
      <c r="FU170" s="8" t="e">
        <f t="shared" si="254"/>
        <v>#N/A</v>
      </c>
      <c r="FV170" s="8" t="e">
        <f t="shared" si="255"/>
        <v>#N/A</v>
      </c>
      <c r="FW170" s="168" t="e">
        <f t="shared" si="256"/>
        <v>#N/A</v>
      </c>
      <c r="FX170" s="161" t="e">
        <f t="shared" si="257"/>
        <v>#N/A</v>
      </c>
      <c r="FY170" s="169" t="e">
        <f t="shared" si="258"/>
        <v>#N/A</v>
      </c>
      <c r="FZ170" s="7" t="e">
        <f t="shared" si="249"/>
        <v>#N/A</v>
      </c>
      <c r="GA170" t="e">
        <f t="shared" si="259"/>
        <v>#N/A</v>
      </c>
      <c r="GB170" s="8" t="e">
        <f t="shared" si="260"/>
        <v>#N/A</v>
      </c>
      <c r="GC170" s="8" t="e">
        <f t="shared" si="261"/>
        <v>#N/A</v>
      </c>
      <c r="GD170" s="168" t="e">
        <f t="shared" si="262"/>
        <v>#N/A</v>
      </c>
      <c r="GE170" s="168"/>
      <c r="GF170" s="168"/>
      <c r="GI170" s="54">
        <f t="shared" si="307"/>
        <v>160</v>
      </c>
      <c r="GJ170" s="54">
        <f t="shared" si="308"/>
        <v>161</v>
      </c>
      <c r="GK170" s="54">
        <f t="shared" si="309"/>
        <v>0.74261396504807919</v>
      </c>
      <c r="GL170" s="54">
        <f t="shared" si="310"/>
        <v>0.30280196023421319</v>
      </c>
      <c r="GM170" s="54" t="e">
        <f t="shared" si="311"/>
        <v>#N/A</v>
      </c>
      <c r="GN170" s="54" t="e">
        <f t="shared" si="312"/>
        <v>#N/A</v>
      </c>
      <c r="GO170" s="54" t="e">
        <f t="shared" si="313"/>
        <v>#N/A</v>
      </c>
      <c r="GP170" s="54" t="b">
        <f t="shared" si="314"/>
        <v>0</v>
      </c>
      <c r="GQ170" s="54" t="b">
        <f t="shared" si="315"/>
        <v>1</v>
      </c>
      <c r="GR170" s="54" t="b">
        <f t="shared" si="316"/>
        <v>0</v>
      </c>
      <c r="GS170" s="54" t="b">
        <f t="shared" si="317"/>
        <v>1</v>
      </c>
      <c r="GT170" s="54">
        <f t="shared" si="318"/>
        <v>0.30280196023421319</v>
      </c>
      <c r="GU170" s="54" t="e">
        <f t="shared" si="319"/>
        <v>#N/A</v>
      </c>
      <c r="GV170" s="54">
        <f t="shared" si="320"/>
        <v>0.30280196023421319</v>
      </c>
      <c r="GW170" s="72" t="str">
        <f t="shared" si="321"/>
        <v/>
      </c>
      <c r="HC170" s="54">
        <f t="shared" si="322"/>
        <v>160</v>
      </c>
      <c r="HD170" s="54">
        <f t="shared" si="323"/>
        <v>161</v>
      </c>
      <c r="HE170" s="54">
        <f t="shared" si="324"/>
        <v>1.1499533216107629</v>
      </c>
      <c r="HF170" s="54" t="e">
        <f t="shared" si="325"/>
        <v>#N/A</v>
      </c>
      <c r="HG170" s="54">
        <f t="shared" si="326"/>
        <v>0.19268612352727185</v>
      </c>
      <c r="HH170" s="54" t="e">
        <f t="shared" si="327"/>
        <v>#N/A</v>
      </c>
      <c r="HI170" s="54" t="e">
        <f t="shared" si="328"/>
        <v>#N/A</v>
      </c>
      <c r="HJ170" s="54" t="b">
        <f t="shared" si="329"/>
        <v>1</v>
      </c>
      <c r="HK170" s="54" t="b">
        <f t="shared" si="330"/>
        <v>0</v>
      </c>
      <c r="HL170" s="54" t="b">
        <f t="shared" si="331"/>
        <v>0</v>
      </c>
      <c r="HM170" s="54" t="b">
        <f t="shared" si="332"/>
        <v>1</v>
      </c>
      <c r="HN170" s="54">
        <f t="shared" si="333"/>
        <v>0.19268612352727185</v>
      </c>
      <c r="HO170" s="54">
        <f t="shared" si="334"/>
        <v>0.19268612352727185</v>
      </c>
      <c r="HP170" s="54" t="e">
        <f t="shared" si="335"/>
        <v>#N/A</v>
      </c>
      <c r="HQ170" s="72" t="str">
        <f t="shared" si="336"/>
        <v/>
      </c>
    </row>
    <row r="171" spans="71:225" x14ac:dyDescent="0.2">
      <c r="BS171" s="54">
        <f t="shared" si="263"/>
        <v>161</v>
      </c>
      <c r="BT171" s="54">
        <f>Eu_tabel_g[[#This Row],[Indeks]]+1</f>
        <v>162</v>
      </c>
      <c r="BU171" s="54">
        <f t="shared" si="264"/>
        <v>0.76656925424317857</v>
      </c>
      <c r="BV171" s="54">
        <f t="shared" si="265"/>
        <v>0.29737754743782796</v>
      </c>
      <c r="BW171" s="54" t="e">
        <f t="shared" si="266"/>
        <v>#N/A</v>
      </c>
      <c r="BX171" s="54" t="e">
        <f t="shared" si="267"/>
        <v>#N/A</v>
      </c>
      <c r="BY171" s="54" t="e">
        <f t="shared" si="268"/>
        <v>#N/A</v>
      </c>
      <c r="BZ171" s="54" t="b">
        <f t="shared" si="269"/>
        <v>0</v>
      </c>
      <c r="CA171" s="54" t="b">
        <f t="shared" si="270"/>
        <v>1</v>
      </c>
      <c r="CB171" s="54" t="b">
        <f t="shared" si="271"/>
        <v>0</v>
      </c>
      <c r="CC171" s="54" t="b">
        <f t="shared" si="272"/>
        <v>1</v>
      </c>
      <c r="CD171" s="54">
        <f t="shared" si="337"/>
        <v>0.29737754743782796</v>
      </c>
      <c r="CE171" s="54" t="e">
        <f t="shared" si="273"/>
        <v>#N/A</v>
      </c>
      <c r="CF171" s="54">
        <f t="shared" si="274"/>
        <v>0.29737754743782796</v>
      </c>
      <c r="CG171" s="72" t="str">
        <f t="shared" si="275"/>
        <v/>
      </c>
      <c r="CH171" s="54">
        <f>_xlfn.NORM.DIST(_xlfn.NORM.INV(1-Eu_g_konfidensniveau,0,1)-Eu_tabel_g[[#This Row],[x base]],0,1,TRUE)</f>
        <v>7.9452059958896593E-3</v>
      </c>
      <c r="CI171" s="54">
        <f>1-_xlfn.NORM.DIST(_xlfn.NORM.INV(Eu_g_konfidensniveau,0,1)-Eu_tabel_g[[#This Row],[x base]],0,1,TRUE)</f>
        <v>0.1898947071395547</v>
      </c>
      <c r="CJ171" s="54">
        <f>_xlfn.NORM.DIST(_xlfn.NORM.INV((1-Eu_g_konfidensniveau)/2,0,1)-Eu_tabel_g[[#This Row],[x base]],0,1,TRUE)+1-_xlfn.NORM.DIST(_xlfn.NORM.INV(1-(1-Eu_g_konfidensniveau)/2,0,1)-Eu_tabel_g[[#This Row],[x base]],0,1,TRUE)</f>
        <v>0.11955758421374829</v>
      </c>
      <c r="CK171" s="54" t="e" cm="1">
        <f t="array" ref="CK171">IF($CK$3,INDEX(Eu_tabel_g[[#This Row],[Styrke venstre]:[Styrke tosidet]],CK$7),NA())</f>
        <v>#N/A</v>
      </c>
      <c r="CL171" s="99" t="e">
        <f>Eu_tabel_g[[#This Row],[Falsk positiv
Nulhypotese accepteres
Fejltype 1]]</f>
        <v>#N/A</v>
      </c>
      <c r="CM171" s="99" t="e">
        <f>IF(CHOOSE(CK$7,Eu_tabel_g[[#This Row],[x base]]&gt;0,Eu_tabel_g[[#This Row],[x base]]&lt;0,Eu_tabel_g[[#This Row],[x base]]=0),Eu_tabel_g[[#This Row],[Styrke, aktiv]],NA())</f>
        <v>#N/A</v>
      </c>
      <c r="CN171" s="99" t="e">
        <f>IFERROR(IF($CK$3,Eu_tabel_g[[#This Row],[Styrke, aktiv]],NA()),NA())</f>
        <v>#N/A</v>
      </c>
      <c r="CO171" s="99" t="e">
        <f>IF(ISNA(Eu_tabel_g[[#This Row],[Sand negativ
Nulhypotese afvises
Korrekt]]),NA(),IF($CK$3,1,NA()))</f>
        <v>#N/A</v>
      </c>
      <c r="CP171" s="56" t="str" cm="1">
        <f t="array" ref="CP171">_xlfn.SWITCH(BS171,_xlfn.IFNA(CN$2,-99),CN$5,_xlfn.IFNA(CN$3,-99),CN$6,_xlfn.IFNA(CN$4,-99),CN$7,"")</f>
        <v/>
      </c>
      <c r="CT171" s="7">
        <f t="shared" si="276"/>
        <v>0.8</v>
      </c>
      <c r="CU171">
        <f>IF(ROW(Styrkeberegning_G[[#This Row],[X base venstre]])=ROW(Styrkeberegning_G[[#Headers],[X base venstre]])+1,CU$7/(CT$7/$B$67),CU170/(CT170/$B$67))</f>
        <v>-2.8015817870135784</v>
      </c>
      <c r="CV171">
        <f>Styrkeberegning_G[[#This Row],[X base venstre]]*-1</f>
        <v>2.8015817870135784</v>
      </c>
      <c r="DG171" s="54">
        <f t="shared" si="277"/>
        <v>161</v>
      </c>
      <c r="DH171" s="54">
        <f t="shared" si="278"/>
        <v>162</v>
      </c>
      <c r="DI171" s="54">
        <f t="shared" si="279"/>
        <v>20.199260547790853</v>
      </c>
      <c r="DJ171" s="54" t="e">
        <f t="shared" si="280"/>
        <v>#N/A</v>
      </c>
      <c r="DK171" s="54" t="e">
        <f t="shared" si="281"/>
        <v>#N/A</v>
      </c>
      <c r="DL171" s="54">
        <f t="shared" si="282"/>
        <v>1.2979984689798841E-2</v>
      </c>
      <c r="DM171" s="54" t="e">
        <f t="shared" si="283"/>
        <v>#N/A</v>
      </c>
      <c r="DN171" s="54" t="b">
        <f t="shared" si="284"/>
        <v>0</v>
      </c>
      <c r="DO171" s="54" t="b">
        <f t="shared" si="285"/>
        <v>1</v>
      </c>
      <c r="DP171" s="54" t="b">
        <f t="shared" si="286"/>
        <v>0</v>
      </c>
      <c r="DQ171" s="54" t="b">
        <f t="shared" si="287"/>
        <v>1</v>
      </c>
      <c r="DR171" s="54">
        <f t="shared" si="288"/>
        <v>1.2979984689798841E-2</v>
      </c>
      <c r="DS171" s="54" t="e">
        <f t="shared" si="289"/>
        <v>#N/A</v>
      </c>
      <c r="DT171" s="54">
        <f t="shared" si="290"/>
        <v>1.2979984689798841E-2</v>
      </c>
      <c r="DU171" s="72" t="str">
        <f t="shared" si="291"/>
        <v/>
      </c>
      <c r="DZ171" s="54">
        <f t="shared" si="292"/>
        <v>161</v>
      </c>
      <c r="EA171" s="54">
        <f t="shared" si="293"/>
        <v>162</v>
      </c>
      <c r="EB171" s="54">
        <f t="shared" si="294"/>
        <v>0.76656925424317857</v>
      </c>
      <c r="EC171" s="54">
        <f t="shared" si="295"/>
        <v>0.29737754743782796</v>
      </c>
      <c r="ED171" s="54" t="e">
        <f t="shared" si="296"/>
        <v>#N/A</v>
      </c>
      <c r="EE171" s="54" t="e">
        <f t="shared" si="297"/>
        <v>#N/A</v>
      </c>
      <c r="EF171" s="54" t="e">
        <f t="shared" si="298"/>
        <v>#N/A</v>
      </c>
      <c r="EG171" s="54" t="b">
        <f t="shared" si="299"/>
        <v>0</v>
      </c>
      <c r="EH171" s="54" t="b">
        <f t="shared" si="300"/>
        <v>1</v>
      </c>
      <c r="EI171" s="54" t="b">
        <f t="shared" si="301"/>
        <v>0</v>
      </c>
      <c r="EJ171" s="54" t="b">
        <f t="shared" si="302"/>
        <v>1</v>
      </c>
      <c r="EK171" s="54">
        <f t="shared" si="303"/>
        <v>0.29737754743782796</v>
      </c>
      <c r="EL171" s="54" t="e">
        <f t="shared" si="304"/>
        <v>#N/A</v>
      </c>
      <c r="EM171" s="54">
        <f t="shared" si="305"/>
        <v>0.29737754743782796</v>
      </c>
      <c r="EN171" s="72" t="str">
        <f t="shared" si="306"/>
        <v/>
      </c>
      <c r="EO17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7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7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71" s="54" t="e" cm="1">
        <f t="array" ref="ER171">IF($CK$3,INDEX(Eu_tabel_a[[#This Row],[Styrke venstre]:[Styrke tosidet]],ER$7),NA())</f>
        <v>#N/A</v>
      </c>
      <c r="ES171" s="54" t="e">
        <f>IF(ER$3,IF(CHOOSE(ER$7,Eu_tabel_a[[#This Row],[x base]]&gt;0,Eu_tabel_a[[#This Row],[x base]]&lt;0,Eu_tabel_a[[#This Row],[x base]]=0),1,NA()),NA())</f>
        <v>#N/A</v>
      </c>
      <c r="ET171" s="54" t="e">
        <f>IF(CHOOSE(ER$7,Eu_tabel_a[[#This Row],[x base]]&gt;0,Eu_tabel_a[[#This Row],[x base]]&lt;0,Eu_tabel_a[[#This Row],[x base]]=0),Eu_tabel_a[[#This Row],[Styrke, aktiv]],NA())</f>
        <v>#N/A</v>
      </c>
      <c r="EU171" s="54" t="e">
        <f>IFERROR(IF($ER$3,Eu_tabel_a[[#This Row],[Styrke, aktiv]],NA()),NA())</f>
        <v>#N/A</v>
      </c>
      <c r="EV171" s="54" t="e">
        <f>IF(ISNA(Eu_tabel_a[[#This Row],[Sand negativ
Nulhypotese afvises
Korrekt]]),NA(),IF(ER$3,1,NA()))</f>
        <v>#N/A</v>
      </c>
      <c r="EW171" s="55" t="str" cm="1">
        <f t="array" ref="EW171">IFERROR(_xlfn.SWITCH(Eu_tabel_a[[#This Row],[Indeks]],_xlfn.IFNA(EU$2,-99),EU$5,_xlfn.IFNA(EU$3,-99),EU$6,_xlfn.IFNA(EU$4,-99),EU$7,""),"")</f>
        <v/>
      </c>
      <c r="EX171" s="54">
        <f>Eu_tabel_a[[#This Row],[x base]]*SQRT(Eu_a_h0_x*(1-Eu_a_h0_x)/Eu_a_n_x)+Eu_a_h0_x</f>
        <v>0</v>
      </c>
      <c r="FC171" s="161" t="e">
        <f t="shared" si="250"/>
        <v>#N/A</v>
      </c>
      <c r="FD171" s="169" t="e">
        <f t="shared" si="338"/>
        <v>#DIV/0!</v>
      </c>
      <c r="FE171" s="7" t="e">
        <f t="shared" si="244"/>
        <v>#DIV/0!</v>
      </c>
      <c r="FF171" t="e">
        <f t="shared" si="339"/>
        <v>#DIV/0!</v>
      </c>
      <c r="FG171" s="8" t="e">
        <f t="shared" si="340"/>
        <v>#DIV/0!</v>
      </c>
      <c r="FH171" s="8" t="e">
        <f t="shared" si="341"/>
        <v>#DIV/0!</v>
      </c>
      <c r="FI171" s="168" t="e">
        <f t="shared" si="342"/>
        <v>#DIV/0!</v>
      </c>
      <c r="FJ171" s="161" t="e">
        <f t="shared" ca="1" si="245"/>
        <v>#N/A</v>
      </c>
      <c r="FK171" s="169" t="e" vm="3">
        <f t="shared" ca="1" si="251"/>
        <v>#VALUE!</v>
      </c>
      <c r="FL171" s="7" t="e" vm="3">
        <f t="shared" ca="1" si="246"/>
        <v>#VALUE!</v>
      </c>
      <c r="FM171" t="e" vm="3">
        <f t="shared" ca="1" si="240"/>
        <v>#VALUE!</v>
      </c>
      <c r="FN171" s="8" t="e" vm="3">
        <f t="shared" ca="1" si="241"/>
        <v>#VALUE!</v>
      </c>
      <c r="FO171" s="8" t="e" vm="3">
        <f t="shared" ca="1" si="242"/>
        <v>#VALUE!</v>
      </c>
      <c r="FP171" s="168" t="e" vm="3">
        <f t="shared" ca="1" si="243"/>
        <v>#VALUE!</v>
      </c>
      <c r="FQ171" s="161" t="e">
        <f t="shared" si="247"/>
        <v>#N/A</v>
      </c>
      <c r="FR171" s="169" t="e">
        <f t="shared" si="252"/>
        <v>#N/A</v>
      </c>
      <c r="FS171" s="7" t="e">
        <f t="shared" si="248"/>
        <v>#N/A</v>
      </c>
      <c r="FT171" t="e">
        <f t="shared" si="253"/>
        <v>#N/A</v>
      </c>
      <c r="FU171" s="8" t="e">
        <f t="shared" si="254"/>
        <v>#N/A</v>
      </c>
      <c r="FV171" s="8" t="e">
        <f t="shared" si="255"/>
        <v>#N/A</v>
      </c>
      <c r="FW171" s="168" t="e">
        <f t="shared" si="256"/>
        <v>#N/A</v>
      </c>
      <c r="FX171" s="161" t="e">
        <f t="shared" si="257"/>
        <v>#N/A</v>
      </c>
      <c r="FY171" s="169" t="e">
        <f t="shared" si="258"/>
        <v>#N/A</v>
      </c>
      <c r="FZ171" s="7" t="e">
        <f t="shared" si="249"/>
        <v>#N/A</v>
      </c>
      <c r="GA171" t="e">
        <f t="shared" si="259"/>
        <v>#N/A</v>
      </c>
      <c r="GB171" s="8" t="e">
        <f t="shared" si="260"/>
        <v>#N/A</v>
      </c>
      <c r="GC171" s="8" t="e">
        <f t="shared" si="261"/>
        <v>#N/A</v>
      </c>
      <c r="GD171" s="168" t="e">
        <f t="shared" si="262"/>
        <v>#N/A</v>
      </c>
      <c r="GE171" s="168"/>
      <c r="GF171" s="168"/>
      <c r="GI171" s="54">
        <f t="shared" si="307"/>
        <v>161</v>
      </c>
      <c r="GJ171" s="54">
        <f t="shared" si="308"/>
        <v>162</v>
      </c>
      <c r="GK171" s="54">
        <f t="shared" si="309"/>
        <v>0.76656925424317857</v>
      </c>
      <c r="GL171" s="54">
        <f t="shared" si="310"/>
        <v>0.29737754743782796</v>
      </c>
      <c r="GM171" s="54" t="e">
        <f t="shared" si="311"/>
        <v>#N/A</v>
      </c>
      <c r="GN171" s="54" t="e">
        <f t="shared" si="312"/>
        <v>#N/A</v>
      </c>
      <c r="GO171" s="54" t="e">
        <f t="shared" si="313"/>
        <v>#N/A</v>
      </c>
      <c r="GP171" s="54" t="b">
        <f t="shared" si="314"/>
        <v>0</v>
      </c>
      <c r="GQ171" s="54" t="b">
        <f t="shared" si="315"/>
        <v>1</v>
      </c>
      <c r="GR171" s="54" t="b">
        <f t="shared" si="316"/>
        <v>0</v>
      </c>
      <c r="GS171" s="54" t="b">
        <f t="shared" si="317"/>
        <v>1</v>
      </c>
      <c r="GT171" s="54">
        <f t="shared" si="318"/>
        <v>0.29737754743782796</v>
      </c>
      <c r="GU171" s="54" t="e">
        <f t="shared" si="319"/>
        <v>#N/A</v>
      </c>
      <c r="GV171" s="54">
        <f t="shared" si="320"/>
        <v>0.29737754743782796</v>
      </c>
      <c r="GW171" s="72" t="str">
        <f t="shared" si="321"/>
        <v/>
      </c>
      <c r="HC171" s="54">
        <f t="shared" si="322"/>
        <v>161</v>
      </c>
      <c r="HD171" s="54">
        <f t="shared" si="323"/>
        <v>162</v>
      </c>
      <c r="HE171" s="54">
        <f t="shared" si="324"/>
        <v>1.1870485900498196</v>
      </c>
      <c r="HF171" s="54" t="e">
        <f t="shared" si="325"/>
        <v>#N/A</v>
      </c>
      <c r="HG171" s="54">
        <f t="shared" si="326"/>
        <v>0.18486232434663508</v>
      </c>
      <c r="HH171" s="54" t="e">
        <f t="shared" si="327"/>
        <v>#N/A</v>
      </c>
      <c r="HI171" s="54" t="e">
        <f t="shared" si="328"/>
        <v>#N/A</v>
      </c>
      <c r="HJ171" s="54" t="b">
        <f t="shared" si="329"/>
        <v>1</v>
      </c>
      <c r="HK171" s="54" t="b">
        <f t="shared" si="330"/>
        <v>0</v>
      </c>
      <c r="HL171" s="54" t="b">
        <f t="shared" si="331"/>
        <v>0</v>
      </c>
      <c r="HM171" s="54" t="b">
        <f t="shared" si="332"/>
        <v>1</v>
      </c>
      <c r="HN171" s="54">
        <f t="shared" si="333"/>
        <v>0.18486232434663508</v>
      </c>
      <c r="HO171" s="54">
        <f t="shared" si="334"/>
        <v>0.18486232434663508</v>
      </c>
      <c r="HP171" s="54" t="e">
        <f t="shared" si="335"/>
        <v>#N/A</v>
      </c>
      <c r="HQ171" s="72" t="str">
        <f t="shared" si="336"/>
        <v/>
      </c>
    </row>
    <row r="172" spans="71:225" x14ac:dyDescent="0.2">
      <c r="BS172" s="54">
        <f t="shared" si="263"/>
        <v>162</v>
      </c>
      <c r="BT172" s="54">
        <f>Eu_tabel_g[[#This Row],[Indeks]]+1</f>
        <v>163</v>
      </c>
      <c r="BU172" s="54">
        <f t="shared" si="264"/>
        <v>0.79052454343827794</v>
      </c>
      <c r="BV172" s="54">
        <f t="shared" si="265"/>
        <v>0.29188276119520318</v>
      </c>
      <c r="BW172" s="54" t="e">
        <f t="shared" si="266"/>
        <v>#N/A</v>
      </c>
      <c r="BX172" s="54" t="e">
        <f t="shared" si="267"/>
        <v>#N/A</v>
      </c>
      <c r="BY172" s="54" t="e">
        <f t="shared" si="268"/>
        <v>#N/A</v>
      </c>
      <c r="BZ172" s="54" t="b">
        <f t="shared" si="269"/>
        <v>0</v>
      </c>
      <c r="CA172" s="54" t="b">
        <f t="shared" si="270"/>
        <v>1</v>
      </c>
      <c r="CB172" s="54" t="b">
        <f t="shared" si="271"/>
        <v>0</v>
      </c>
      <c r="CC172" s="54" t="b">
        <f t="shared" si="272"/>
        <v>1</v>
      </c>
      <c r="CD172" s="54">
        <f t="shared" si="337"/>
        <v>0.29188276119520318</v>
      </c>
      <c r="CE172" s="54" t="e">
        <f t="shared" si="273"/>
        <v>#N/A</v>
      </c>
      <c r="CF172" s="54">
        <f t="shared" si="274"/>
        <v>0.29188276119520318</v>
      </c>
      <c r="CG172" s="72" t="str">
        <f t="shared" si="275"/>
        <v/>
      </c>
      <c r="CH172" s="54">
        <f>_xlfn.NORM.DIST(_xlfn.NORM.INV(1-Eu_g_konfidensniveau,0,1)-Eu_tabel_g[[#This Row],[x base]],0,1,TRUE)</f>
        <v>7.4381165847303534E-3</v>
      </c>
      <c r="CI172" s="54">
        <f>1-_xlfn.NORM.DIST(_xlfn.NORM.INV(Eu_g_konfidensniveau,0,1)-Eu_tabel_g[[#This Row],[x base]],0,1,TRUE)</f>
        <v>0.1964613384949645</v>
      </c>
      <c r="CJ172" s="54">
        <f>_xlfn.NORM.DIST(_xlfn.NORM.INV((1-Eu_g_konfidensniveau)/2,0,1)-Eu_tabel_g[[#This Row],[x base]],0,1,TRUE)+1-_xlfn.NORM.DIST(_xlfn.NORM.INV(1-(1-Eu_g_konfidensniveau)/2,0,1)-Eu_tabel_g[[#This Row],[x base]],0,1,TRUE)</f>
        <v>0.12408863721087615</v>
      </c>
      <c r="CK172" s="54" t="e" cm="1">
        <f t="array" ref="CK172">IF($CK$3,INDEX(Eu_tabel_g[[#This Row],[Styrke venstre]:[Styrke tosidet]],CK$7),NA())</f>
        <v>#N/A</v>
      </c>
      <c r="CL172" s="99" t="e">
        <f>Eu_tabel_g[[#This Row],[Falsk positiv
Nulhypotese accepteres
Fejltype 1]]</f>
        <v>#N/A</v>
      </c>
      <c r="CM172" s="99" t="e">
        <f>IF(CHOOSE(CK$7,Eu_tabel_g[[#This Row],[x base]]&gt;0,Eu_tabel_g[[#This Row],[x base]]&lt;0,Eu_tabel_g[[#This Row],[x base]]=0),Eu_tabel_g[[#This Row],[Styrke, aktiv]],NA())</f>
        <v>#N/A</v>
      </c>
      <c r="CN172" s="99" t="e">
        <f>IFERROR(IF($CK$3,Eu_tabel_g[[#This Row],[Styrke, aktiv]],NA()),NA())</f>
        <v>#N/A</v>
      </c>
      <c r="CO172" s="99" t="e">
        <f>IF(ISNA(Eu_tabel_g[[#This Row],[Sand negativ
Nulhypotese afvises
Korrekt]]),NA(),IF($CK$3,1,NA()))</f>
        <v>#N/A</v>
      </c>
      <c r="CP172" s="56" t="str" cm="1">
        <f t="array" ref="CP172">_xlfn.SWITCH(BS172,_xlfn.IFNA(CN$2,-99),CN$5,_xlfn.IFNA(CN$3,-99),CN$6,_xlfn.IFNA(CN$4,-99),CN$7,"")</f>
        <v/>
      </c>
      <c r="CT172" s="7">
        <f t="shared" si="276"/>
        <v>0.8</v>
      </c>
      <c r="CU172">
        <f>IF(ROW(Styrkeberegning_G[[#This Row],[X base venstre]])=ROW(Styrkeberegning_G[[#Headers],[X base venstre]])+1,CU$7/(CT$7/$B$67),CU171/(CT171/$B$67))</f>
        <v>-2.8015817870135784</v>
      </c>
      <c r="CV172">
        <f>Styrkeberegning_G[[#This Row],[X base venstre]]*-1</f>
        <v>2.8015817870135784</v>
      </c>
      <c r="DG172" s="54">
        <f t="shared" si="277"/>
        <v>162</v>
      </c>
      <c r="DH172" s="54">
        <f t="shared" si="278"/>
        <v>163</v>
      </c>
      <c r="DI172" s="54">
        <f t="shared" si="279"/>
        <v>20.313331404207855</v>
      </c>
      <c r="DJ172" s="54" t="e">
        <f t="shared" si="280"/>
        <v>#N/A</v>
      </c>
      <c r="DK172" s="54" t="e">
        <f t="shared" si="281"/>
        <v>#N/A</v>
      </c>
      <c r="DL172" s="54">
        <f t="shared" si="282"/>
        <v>1.2575045959678788E-2</v>
      </c>
      <c r="DM172" s="54" t="e">
        <f t="shared" si="283"/>
        <v>#N/A</v>
      </c>
      <c r="DN172" s="54" t="b">
        <f t="shared" si="284"/>
        <v>0</v>
      </c>
      <c r="DO172" s="54" t="b">
        <f t="shared" si="285"/>
        <v>1</v>
      </c>
      <c r="DP172" s="54" t="b">
        <f t="shared" si="286"/>
        <v>0</v>
      </c>
      <c r="DQ172" s="54" t="b">
        <f t="shared" si="287"/>
        <v>1</v>
      </c>
      <c r="DR172" s="54">
        <f t="shared" si="288"/>
        <v>1.2575045959678788E-2</v>
      </c>
      <c r="DS172" s="54" t="e">
        <f t="shared" si="289"/>
        <v>#N/A</v>
      </c>
      <c r="DT172" s="54">
        <f t="shared" si="290"/>
        <v>1.2575045959678788E-2</v>
      </c>
      <c r="DU172" s="72" t="str">
        <f t="shared" si="291"/>
        <v/>
      </c>
      <c r="DZ172" s="54">
        <f t="shared" si="292"/>
        <v>162</v>
      </c>
      <c r="EA172" s="54">
        <f t="shared" si="293"/>
        <v>163</v>
      </c>
      <c r="EB172" s="54">
        <f t="shared" si="294"/>
        <v>0.79052454343827794</v>
      </c>
      <c r="EC172" s="54">
        <f t="shared" si="295"/>
        <v>0.29188276119520318</v>
      </c>
      <c r="ED172" s="54" t="e">
        <f t="shared" si="296"/>
        <v>#N/A</v>
      </c>
      <c r="EE172" s="54" t="e">
        <f t="shared" si="297"/>
        <v>#N/A</v>
      </c>
      <c r="EF172" s="54" t="e">
        <f t="shared" si="298"/>
        <v>#N/A</v>
      </c>
      <c r="EG172" s="54" t="b">
        <f t="shared" si="299"/>
        <v>0</v>
      </c>
      <c r="EH172" s="54" t="b">
        <f t="shared" si="300"/>
        <v>1</v>
      </c>
      <c r="EI172" s="54" t="b">
        <f t="shared" si="301"/>
        <v>0</v>
      </c>
      <c r="EJ172" s="54" t="b">
        <f t="shared" si="302"/>
        <v>1</v>
      </c>
      <c r="EK172" s="54">
        <f t="shared" si="303"/>
        <v>0.29188276119520318</v>
      </c>
      <c r="EL172" s="54" t="e">
        <f t="shared" si="304"/>
        <v>#N/A</v>
      </c>
      <c r="EM172" s="54">
        <f t="shared" si="305"/>
        <v>0.29188276119520318</v>
      </c>
      <c r="EN172" s="72" t="str">
        <f t="shared" si="306"/>
        <v/>
      </c>
      <c r="EO17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7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7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72" s="54" t="e" cm="1">
        <f t="array" ref="ER172">IF($CK$3,INDEX(Eu_tabel_a[[#This Row],[Styrke venstre]:[Styrke tosidet]],ER$7),NA())</f>
        <v>#N/A</v>
      </c>
      <c r="ES172" s="54" t="e">
        <f>IF(ER$3,IF(CHOOSE(ER$7,Eu_tabel_a[[#This Row],[x base]]&gt;0,Eu_tabel_a[[#This Row],[x base]]&lt;0,Eu_tabel_a[[#This Row],[x base]]=0),1,NA()),NA())</f>
        <v>#N/A</v>
      </c>
      <c r="ET172" s="54" t="e">
        <f>IF(CHOOSE(ER$7,Eu_tabel_a[[#This Row],[x base]]&gt;0,Eu_tabel_a[[#This Row],[x base]]&lt;0,Eu_tabel_a[[#This Row],[x base]]=0),Eu_tabel_a[[#This Row],[Styrke, aktiv]],NA())</f>
        <v>#N/A</v>
      </c>
      <c r="EU172" s="54" t="e">
        <f>IFERROR(IF($ER$3,Eu_tabel_a[[#This Row],[Styrke, aktiv]],NA()),NA())</f>
        <v>#N/A</v>
      </c>
      <c r="EV172" s="54" t="e">
        <f>IF(ISNA(Eu_tabel_a[[#This Row],[Sand negativ
Nulhypotese afvises
Korrekt]]),NA(),IF(ER$3,1,NA()))</f>
        <v>#N/A</v>
      </c>
      <c r="EW172" s="55" t="str" cm="1">
        <f t="array" ref="EW172">IFERROR(_xlfn.SWITCH(Eu_tabel_a[[#This Row],[Indeks]],_xlfn.IFNA(EU$2,-99),EU$5,_xlfn.IFNA(EU$3,-99),EU$6,_xlfn.IFNA(EU$4,-99),EU$7,""),"")</f>
        <v/>
      </c>
      <c r="EX172" s="54">
        <f>Eu_tabel_a[[#This Row],[x base]]*SQRT(Eu_a_h0_x*(1-Eu_a_h0_x)/Eu_a_n_x)+Eu_a_h0_x</f>
        <v>0</v>
      </c>
      <c r="FC172" s="161" t="e">
        <f t="shared" si="250"/>
        <v>#N/A</v>
      </c>
      <c r="FD172" s="169" t="e">
        <f t="shared" si="338"/>
        <v>#DIV/0!</v>
      </c>
      <c r="FE172" s="7" t="e">
        <f t="shared" si="244"/>
        <v>#DIV/0!</v>
      </c>
      <c r="FF172" t="e">
        <f t="shared" si="339"/>
        <v>#DIV/0!</v>
      </c>
      <c r="FG172" s="8" t="e">
        <f t="shared" si="340"/>
        <v>#DIV/0!</v>
      </c>
      <c r="FH172" s="8" t="e">
        <f t="shared" si="341"/>
        <v>#DIV/0!</v>
      </c>
      <c r="FI172" s="168" t="e">
        <f t="shared" si="342"/>
        <v>#DIV/0!</v>
      </c>
      <c r="FJ172" s="161" t="e">
        <f t="shared" ca="1" si="245"/>
        <v>#N/A</v>
      </c>
      <c r="FK172" s="169" t="e" vm="3">
        <f t="shared" ca="1" si="251"/>
        <v>#VALUE!</v>
      </c>
      <c r="FL172" s="7" t="e" vm="3">
        <f t="shared" ca="1" si="246"/>
        <v>#VALUE!</v>
      </c>
      <c r="FM172" t="e" vm="3">
        <f t="shared" ca="1" si="240"/>
        <v>#VALUE!</v>
      </c>
      <c r="FN172" s="8" t="e" vm="3">
        <f t="shared" ca="1" si="241"/>
        <v>#VALUE!</v>
      </c>
      <c r="FO172" s="8" t="e" vm="3">
        <f t="shared" ca="1" si="242"/>
        <v>#VALUE!</v>
      </c>
      <c r="FP172" s="168" t="e" vm="3">
        <f t="shared" ca="1" si="243"/>
        <v>#VALUE!</v>
      </c>
      <c r="FQ172" s="161" t="e">
        <f t="shared" si="247"/>
        <v>#N/A</v>
      </c>
      <c r="FR172" s="169" t="e">
        <f t="shared" si="252"/>
        <v>#N/A</v>
      </c>
      <c r="FS172" s="7" t="e">
        <f t="shared" si="248"/>
        <v>#N/A</v>
      </c>
      <c r="FT172" t="e">
        <f t="shared" si="253"/>
        <v>#N/A</v>
      </c>
      <c r="FU172" s="8" t="e">
        <f t="shared" si="254"/>
        <v>#N/A</v>
      </c>
      <c r="FV172" s="8" t="e">
        <f t="shared" si="255"/>
        <v>#N/A</v>
      </c>
      <c r="FW172" s="168" t="e">
        <f t="shared" si="256"/>
        <v>#N/A</v>
      </c>
      <c r="FX172" s="161" t="e">
        <f t="shared" si="257"/>
        <v>#N/A</v>
      </c>
      <c r="FY172" s="169" t="e">
        <f t="shared" si="258"/>
        <v>#N/A</v>
      </c>
      <c r="FZ172" s="7" t="e">
        <f t="shared" si="249"/>
        <v>#N/A</v>
      </c>
      <c r="GA172" t="e">
        <f t="shared" si="259"/>
        <v>#N/A</v>
      </c>
      <c r="GB172" s="8" t="e">
        <f t="shared" si="260"/>
        <v>#N/A</v>
      </c>
      <c r="GC172" s="8" t="e">
        <f t="shared" si="261"/>
        <v>#N/A</v>
      </c>
      <c r="GD172" s="168" t="e">
        <f t="shared" si="262"/>
        <v>#N/A</v>
      </c>
      <c r="GE172" s="168"/>
      <c r="GF172" s="168"/>
      <c r="GI172" s="54">
        <f t="shared" si="307"/>
        <v>162</v>
      </c>
      <c r="GJ172" s="54">
        <f t="shared" si="308"/>
        <v>163</v>
      </c>
      <c r="GK172" s="54">
        <f t="shared" si="309"/>
        <v>0.79052454343827794</v>
      </c>
      <c r="GL172" s="54">
        <f t="shared" si="310"/>
        <v>0.29188276119520318</v>
      </c>
      <c r="GM172" s="54" t="e">
        <f t="shared" si="311"/>
        <v>#N/A</v>
      </c>
      <c r="GN172" s="54" t="e">
        <f t="shared" si="312"/>
        <v>#N/A</v>
      </c>
      <c r="GO172" s="54" t="e">
        <f t="shared" si="313"/>
        <v>#N/A</v>
      </c>
      <c r="GP172" s="54" t="b">
        <f t="shared" si="314"/>
        <v>0</v>
      </c>
      <c r="GQ172" s="54" t="b">
        <f t="shared" si="315"/>
        <v>1</v>
      </c>
      <c r="GR172" s="54" t="b">
        <f t="shared" si="316"/>
        <v>0</v>
      </c>
      <c r="GS172" s="54" t="b">
        <f t="shared" si="317"/>
        <v>1</v>
      </c>
      <c r="GT172" s="54">
        <f t="shared" si="318"/>
        <v>0.29188276119520318</v>
      </c>
      <c r="GU172" s="54" t="e">
        <f t="shared" si="319"/>
        <v>#N/A</v>
      </c>
      <c r="GV172" s="54">
        <f t="shared" si="320"/>
        <v>0.29188276119520318</v>
      </c>
      <c r="GW172" s="72" t="str">
        <f t="shared" si="321"/>
        <v/>
      </c>
      <c r="HC172" s="54">
        <f t="shared" si="322"/>
        <v>162</v>
      </c>
      <c r="HD172" s="54">
        <f t="shared" si="323"/>
        <v>163</v>
      </c>
      <c r="HE172" s="54">
        <f t="shared" si="324"/>
        <v>1.2241438584888762</v>
      </c>
      <c r="HF172" s="54" t="e">
        <f t="shared" si="325"/>
        <v>#N/A</v>
      </c>
      <c r="HG172" s="54">
        <f t="shared" si="326"/>
        <v>0.1772018979410506</v>
      </c>
      <c r="HH172" s="54" t="e">
        <f t="shared" si="327"/>
        <v>#N/A</v>
      </c>
      <c r="HI172" s="54" t="e">
        <f t="shared" si="328"/>
        <v>#N/A</v>
      </c>
      <c r="HJ172" s="54" t="b">
        <f t="shared" si="329"/>
        <v>1</v>
      </c>
      <c r="HK172" s="54" t="b">
        <f t="shared" si="330"/>
        <v>0</v>
      </c>
      <c r="HL172" s="54" t="b">
        <f t="shared" si="331"/>
        <v>0</v>
      </c>
      <c r="HM172" s="54" t="b">
        <f t="shared" si="332"/>
        <v>1</v>
      </c>
      <c r="HN172" s="54">
        <f t="shared" si="333"/>
        <v>0.1772018979410506</v>
      </c>
      <c r="HO172" s="54">
        <f t="shared" si="334"/>
        <v>0.1772018979410506</v>
      </c>
      <c r="HP172" s="54" t="e">
        <f t="shared" si="335"/>
        <v>#N/A</v>
      </c>
      <c r="HQ172" s="72" t="str">
        <f t="shared" si="336"/>
        <v/>
      </c>
    </row>
    <row r="173" spans="71:225" x14ac:dyDescent="0.2">
      <c r="BS173" s="54">
        <f t="shared" si="263"/>
        <v>163</v>
      </c>
      <c r="BT173" s="54">
        <f>Eu_tabel_g[[#This Row],[Indeks]]+1</f>
        <v>164</v>
      </c>
      <c r="BU173" s="54">
        <f t="shared" si="264"/>
        <v>0.81447983263337687</v>
      </c>
      <c r="BV173" s="54">
        <f t="shared" si="265"/>
        <v>0.28632514820484689</v>
      </c>
      <c r="BW173" s="54" t="e">
        <f t="shared" si="266"/>
        <v>#N/A</v>
      </c>
      <c r="BX173" s="54" t="e">
        <f t="shared" si="267"/>
        <v>#N/A</v>
      </c>
      <c r="BY173" s="54" t="e">
        <f t="shared" si="268"/>
        <v>#N/A</v>
      </c>
      <c r="BZ173" s="54" t="b">
        <f t="shared" si="269"/>
        <v>0</v>
      </c>
      <c r="CA173" s="54" t="b">
        <f t="shared" si="270"/>
        <v>1</v>
      </c>
      <c r="CB173" s="54" t="b">
        <f t="shared" si="271"/>
        <v>0</v>
      </c>
      <c r="CC173" s="54" t="b">
        <f t="shared" si="272"/>
        <v>1</v>
      </c>
      <c r="CD173" s="54">
        <f t="shared" si="337"/>
        <v>0.28632514820484689</v>
      </c>
      <c r="CE173" s="54" t="e">
        <f t="shared" si="273"/>
        <v>#N/A</v>
      </c>
      <c r="CF173" s="54">
        <f t="shared" si="274"/>
        <v>0.28632514820484689</v>
      </c>
      <c r="CG173" s="72" t="str">
        <f t="shared" si="275"/>
        <v/>
      </c>
      <c r="CH173" s="54">
        <f>_xlfn.NORM.DIST(_xlfn.NORM.INV(1-Eu_g_konfidensniveau,0,1)-Eu_tabel_g[[#This Row],[x base]],0,1,TRUE)</f>
        <v>6.9597631116038684E-3</v>
      </c>
      <c r="CI173" s="54">
        <f>1-_xlfn.NORM.DIST(_xlfn.NORM.INV(Eu_g_konfidensniveau,0,1)-Eu_tabel_g[[#This Row],[x base]],0,1,TRUE)</f>
        <v>0.20316373862964221</v>
      </c>
      <c r="CJ173" s="54">
        <f>_xlfn.NORM.DIST(_xlfn.NORM.INV((1-Eu_g_konfidensniveau)/2,0,1)-Eu_tabel_g[[#This Row],[x base]],0,1,TRUE)+1-_xlfn.NORM.DIST(_xlfn.NORM.INV(1-(1-Eu_g_konfidensniveau)/2,0,1)-Eu_tabel_g[[#This Row],[x base]],0,1,TRUE)</f>
        <v>0.12876913755707764</v>
      </c>
      <c r="CK173" s="54" t="e" cm="1">
        <f t="array" ref="CK173">IF($CK$3,INDEX(Eu_tabel_g[[#This Row],[Styrke venstre]:[Styrke tosidet]],CK$7),NA())</f>
        <v>#N/A</v>
      </c>
      <c r="CL173" s="99" t="e">
        <f>Eu_tabel_g[[#This Row],[Falsk positiv
Nulhypotese accepteres
Fejltype 1]]</f>
        <v>#N/A</v>
      </c>
      <c r="CM173" s="99" t="e">
        <f>IF(CHOOSE(CK$7,Eu_tabel_g[[#This Row],[x base]]&gt;0,Eu_tabel_g[[#This Row],[x base]]&lt;0,Eu_tabel_g[[#This Row],[x base]]=0),Eu_tabel_g[[#This Row],[Styrke, aktiv]],NA())</f>
        <v>#N/A</v>
      </c>
      <c r="CN173" s="99" t="e">
        <f>IFERROR(IF($CK$3,Eu_tabel_g[[#This Row],[Styrke, aktiv]],NA()),NA())</f>
        <v>#N/A</v>
      </c>
      <c r="CO173" s="99" t="e">
        <f>IF(ISNA(Eu_tabel_g[[#This Row],[Sand negativ
Nulhypotese afvises
Korrekt]]),NA(),IF($CK$3,1,NA()))</f>
        <v>#N/A</v>
      </c>
      <c r="CP173" s="56" t="str" cm="1">
        <f t="array" ref="CP173">_xlfn.SWITCH(BS173,_xlfn.IFNA(CN$2,-99),CN$5,_xlfn.IFNA(CN$3,-99),CN$6,_xlfn.IFNA(CN$4,-99),CN$7,"")</f>
        <v/>
      </c>
      <c r="CT173" s="7">
        <f t="shared" si="276"/>
        <v>0.8</v>
      </c>
      <c r="CU173">
        <f>IF(ROW(Styrkeberegning_G[[#This Row],[X base venstre]])=ROW(Styrkeberegning_G[[#Headers],[X base venstre]])+1,CU$7/(CT$7/$B$67),CU172/(CT172/$B$67))</f>
        <v>-2.8015817870135784</v>
      </c>
      <c r="CV173">
        <f>Styrkeberegning_G[[#This Row],[X base venstre]]*-1</f>
        <v>2.8015817870135784</v>
      </c>
      <c r="DG173" s="54">
        <f t="shared" si="277"/>
        <v>163</v>
      </c>
      <c r="DH173" s="54">
        <f t="shared" si="278"/>
        <v>164</v>
      </c>
      <c r="DI173" s="54">
        <f t="shared" si="279"/>
        <v>20.427402260624852</v>
      </c>
      <c r="DJ173" s="54" t="e">
        <f t="shared" si="280"/>
        <v>#N/A</v>
      </c>
      <c r="DK173" s="54" t="e">
        <f t="shared" si="281"/>
        <v>#N/A</v>
      </c>
      <c r="DL173" s="54">
        <f t="shared" si="282"/>
        <v>1.2181011466172601E-2</v>
      </c>
      <c r="DM173" s="54" t="e">
        <f t="shared" si="283"/>
        <v>#N/A</v>
      </c>
      <c r="DN173" s="54" t="b">
        <f t="shared" si="284"/>
        <v>0</v>
      </c>
      <c r="DO173" s="54" t="b">
        <f t="shared" si="285"/>
        <v>1</v>
      </c>
      <c r="DP173" s="54" t="b">
        <f t="shared" si="286"/>
        <v>0</v>
      </c>
      <c r="DQ173" s="54" t="b">
        <f t="shared" si="287"/>
        <v>1</v>
      </c>
      <c r="DR173" s="54">
        <f t="shared" si="288"/>
        <v>1.2181011466172601E-2</v>
      </c>
      <c r="DS173" s="54" t="e">
        <f t="shared" si="289"/>
        <v>#N/A</v>
      </c>
      <c r="DT173" s="54">
        <f t="shared" si="290"/>
        <v>1.2181011466172601E-2</v>
      </c>
      <c r="DU173" s="72" t="str">
        <f t="shared" si="291"/>
        <v/>
      </c>
      <c r="DZ173" s="54">
        <f t="shared" si="292"/>
        <v>163</v>
      </c>
      <c r="EA173" s="54">
        <f t="shared" si="293"/>
        <v>164</v>
      </c>
      <c r="EB173" s="54">
        <f t="shared" si="294"/>
        <v>0.81447983263337687</v>
      </c>
      <c r="EC173" s="54">
        <f t="shared" si="295"/>
        <v>0.28632514820484689</v>
      </c>
      <c r="ED173" s="54" t="e">
        <f t="shared" si="296"/>
        <v>#N/A</v>
      </c>
      <c r="EE173" s="54" t="e">
        <f t="shared" si="297"/>
        <v>#N/A</v>
      </c>
      <c r="EF173" s="54" t="e">
        <f t="shared" si="298"/>
        <v>#N/A</v>
      </c>
      <c r="EG173" s="54" t="b">
        <f t="shared" si="299"/>
        <v>0</v>
      </c>
      <c r="EH173" s="54" t="b">
        <f t="shared" si="300"/>
        <v>1</v>
      </c>
      <c r="EI173" s="54" t="b">
        <f t="shared" si="301"/>
        <v>0</v>
      </c>
      <c r="EJ173" s="54" t="b">
        <f t="shared" si="302"/>
        <v>1</v>
      </c>
      <c r="EK173" s="54">
        <f t="shared" si="303"/>
        <v>0.28632514820484689</v>
      </c>
      <c r="EL173" s="54" t="e">
        <f t="shared" si="304"/>
        <v>#N/A</v>
      </c>
      <c r="EM173" s="54">
        <f t="shared" si="305"/>
        <v>0.28632514820484689</v>
      </c>
      <c r="EN173" s="72" t="str">
        <f t="shared" si="306"/>
        <v/>
      </c>
      <c r="EO17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7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7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73" s="54" t="e" cm="1">
        <f t="array" ref="ER173">IF($CK$3,INDEX(Eu_tabel_a[[#This Row],[Styrke venstre]:[Styrke tosidet]],ER$7),NA())</f>
        <v>#N/A</v>
      </c>
      <c r="ES173" s="54" t="e">
        <f>IF(ER$3,IF(CHOOSE(ER$7,Eu_tabel_a[[#This Row],[x base]]&gt;0,Eu_tabel_a[[#This Row],[x base]]&lt;0,Eu_tabel_a[[#This Row],[x base]]=0),1,NA()),NA())</f>
        <v>#N/A</v>
      </c>
      <c r="ET173" s="54" t="e">
        <f>IF(CHOOSE(ER$7,Eu_tabel_a[[#This Row],[x base]]&gt;0,Eu_tabel_a[[#This Row],[x base]]&lt;0,Eu_tabel_a[[#This Row],[x base]]=0),Eu_tabel_a[[#This Row],[Styrke, aktiv]],NA())</f>
        <v>#N/A</v>
      </c>
      <c r="EU173" s="54" t="e">
        <f>IFERROR(IF($ER$3,Eu_tabel_a[[#This Row],[Styrke, aktiv]],NA()),NA())</f>
        <v>#N/A</v>
      </c>
      <c r="EV173" s="54" t="e">
        <f>IF(ISNA(Eu_tabel_a[[#This Row],[Sand negativ
Nulhypotese afvises
Korrekt]]),NA(),IF(ER$3,1,NA()))</f>
        <v>#N/A</v>
      </c>
      <c r="EW173" s="55" t="str" cm="1">
        <f t="array" ref="EW173">IFERROR(_xlfn.SWITCH(Eu_tabel_a[[#This Row],[Indeks]],_xlfn.IFNA(EU$2,-99),EU$5,_xlfn.IFNA(EU$3,-99),EU$6,_xlfn.IFNA(EU$4,-99),EU$7,""),"")</f>
        <v/>
      </c>
      <c r="EX173" s="54">
        <f>Eu_tabel_a[[#This Row],[x base]]*SQRT(Eu_a_h0_x*(1-Eu_a_h0_x)/Eu_a_n_x)+Eu_a_h0_x</f>
        <v>0</v>
      </c>
      <c r="FC173" s="161" t="e">
        <f t="shared" si="250"/>
        <v>#N/A</v>
      </c>
      <c r="FD173" s="169" t="e">
        <f t="shared" si="338"/>
        <v>#DIV/0!</v>
      </c>
      <c r="FE173" s="7" t="e">
        <f t="shared" si="244"/>
        <v>#DIV/0!</v>
      </c>
      <c r="FF173" t="e">
        <f t="shared" si="339"/>
        <v>#DIV/0!</v>
      </c>
      <c r="FG173" s="8" t="e">
        <f t="shared" si="340"/>
        <v>#DIV/0!</v>
      </c>
      <c r="FH173" s="8" t="e">
        <f t="shared" si="341"/>
        <v>#DIV/0!</v>
      </c>
      <c r="FI173" s="168" t="e">
        <f t="shared" si="342"/>
        <v>#DIV/0!</v>
      </c>
      <c r="FJ173" s="161" t="e">
        <f t="shared" ca="1" si="245"/>
        <v>#N/A</v>
      </c>
      <c r="FK173" s="169" t="e" vm="3">
        <f t="shared" ca="1" si="251"/>
        <v>#VALUE!</v>
      </c>
      <c r="FL173" s="7" t="e" vm="3">
        <f t="shared" ca="1" si="246"/>
        <v>#VALUE!</v>
      </c>
      <c r="FM173" t="e" vm="3">
        <f t="shared" ca="1" si="240"/>
        <v>#VALUE!</v>
      </c>
      <c r="FN173" s="8" t="e" vm="3">
        <f t="shared" ca="1" si="241"/>
        <v>#VALUE!</v>
      </c>
      <c r="FO173" s="8" t="e" vm="3">
        <f t="shared" ca="1" si="242"/>
        <v>#VALUE!</v>
      </c>
      <c r="FP173" s="168" t="e" vm="3">
        <f t="shared" ca="1" si="243"/>
        <v>#VALUE!</v>
      </c>
      <c r="FQ173" s="161" t="e">
        <f t="shared" si="247"/>
        <v>#N/A</v>
      </c>
      <c r="FR173" s="169" t="e">
        <f t="shared" si="252"/>
        <v>#N/A</v>
      </c>
      <c r="FS173" s="7" t="e">
        <f t="shared" si="248"/>
        <v>#N/A</v>
      </c>
      <c r="FT173" t="e">
        <f t="shared" si="253"/>
        <v>#N/A</v>
      </c>
      <c r="FU173" s="8" t="e">
        <f t="shared" si="254"/>
        <v>#N/A</v>
      </c>
      <c r="FV173" s="8" t="e">
        <f t="shared" si="255"/>
        <v>#N/A</v>
      </c>
      <c r="FW173" s="168" t="e">
        <f t="shared" si="256"/>
        <v>#N/A</v>
      </c>
      <c r="FX173" s="161" t="e">
        <f t="shared" si="257"/>
        <v>#N/A</v>
      </c>
      <c r="FY173" s="169" t="e">
        <f t="shared" si="258"/>
        <v>#N/A</v>
      </c>
      <c r="FZ173" s="7" t="e">
        <f t="shared" si="249"/>
        <v>#N/A</v>
      </c>
      <c r="GA173" t="e">
        <f t="shared" si="259"/>
        <v>#N/A</v>
      </c>
      <c r="GB173" s="8" t="e">
        <f t="shared" si="260"/>
        <v>#N/A</v>
      </c>
      <c r="GC173" s="8" t="e">
        <f t="shared" si="261"/>
        <v>#N/A</v>
      </c>
      <c r="GD173" s="168" t="e">
        <f t="shared" si="262"/>
        <v>#N/A</v>
      </c>
      <c r="GE173" s="168"/>
      <c r="GF173" s="168"/>
      <c r="GI173" s="54">
        <f t="shared" si="307"/>
        <v>163</v>
      </c>
      <c r="GJ173" s="54">
        <f t="shared" si="308"/>
        <v>164</v>
      </c>
      <c r="GK173" s="54">
        <f t="shared" si="309"/>
        <v>0.81447983263337687</v>
      </c>
      <c r="GL173" s="54">
        <f t="shared" si="310"/>
        <v>0.28632514820484689</v>
      </c>
      <c r="GM173" s="54" t="e">
        <f t="shared" si="311"/>
        <v>#N/A</v>
      </c>
      <c r="GN173" s="54" t="e">
        <f t="shared" si="312"/>
        <v>#N/A</v>
      </c>
      <c r="GO173" s="54" t="e">
        <f t="shared" si="313"/>
        <v>#N/A</v>
      </c>
      <c r="GP173" s="54" t="b">
        <f t="shared" si="314"/>
        <v>0</v>
      </c>
      <c r="GQ173" s="54" t="b">
        <f t="shared" si="315"/>
        <v>1</v>
      </c>
      <c r="GR173" s="54" t="b">
        <f t="shared" si="316"/>
        <v>0</v>
      </c>
      <c r="GS173" s="54" t="b">
        <f t="shared" si="317"/>
        <v>1</v>
      </c>
      <c r="GT173" s="54">
        <f t="shared" si="318"/>
        <v>0.28632514820484689</v>
      </c>
      <c r="GU173" s="54" t="e">
        <f t="shared" si="319"/>
        <v>#N/A</v>
      </c>
      <c r="GV173" s="54">
        <f t="shared" si="320"/>
        <v>0.28632514820484689</v>
      </c>
      <c r="GW173" s="72" t="str">
        <f t="shared" si="321"/>
        <v/>
      </c>
      <c r="HC173" s="54">
        <f t="shared" si="322"/>
        <v>163</v>
      </c>
      <c r="HD173" s="54">
        <f t="shared" si="323"/>
        <v>164</v>
      </c>
      <c r="HE173" s="54">
        <f t="shared" si="324"/>
        <v>1.2612391269279328</v>
      </c>
      <c r="HF173" s="54" t="e">
        <f t="shared" si="325"/>
        <v>#N/A</v>
      </c>
      <c r="HG173" s="54">
        <f t="shared" si="326"/>
        <v>0.16971653355867558</v>
      </c>
      <c r="HH173" s="54" t="e">
        <f t="shared" si="327"/>
        <v>#N/A</v>
      </c>
      <c r="HI173" s="54" t="e">
        <f t="shared" si="328"/>
        <v>#N/A</v>
      </c>
      <c r="HJ173" s="54" t="b">
        <f t="shared" si="329"/>
        <v>1</v>
      </c>
      <c r="HK173" s="54" t="b">
        <f t="shared" si="330"/>
        <v>0</v>
      </c>
      <c r="HL173" s="54" t="b">
        <f t="shared" si="331"/>
        <v>0</v>
      </c>
      <c r="HM173" s="54" t="b">
        <f t="shared" si="332"/>
        <v>1</v>
      </c>
      <c r="HN173" s="54">
        <f t="shared" si="333"/>
        <v>0.16971653355867558</v>
      </c>
      <c r="HO173" s="54">
        <f t="shared" si="334"/>
        <v>0.16971653355867558</v>
      </c>
      <c r="HP173" s="54" t="e">
        <f t="shared" si="335"/>
        <v>#N/A</v>
      </c>
      <c r="HQ173" s="72" t="str">
        <f t="shared" si="336"/>
        <v/>
      </c>
    </row>
    <row r="174" spans="71:225" x14ac:dyDescent="0.2">
      <c r="BS174" s="54">
        <f t="shared" si="263"/>
        <v>164</v>
      </c>
      <c r="BT174" s="54">
        <f>Eu_tabel_g[[#This Row],[Indeks]]+1</f>
        <v>165</v>
      </c>
      <c r="BU174" s="54">
        <f t="shared" si="264"/>
        <v>0.83843512182847624</v>
      </c>
      <c r="BV174" s="54">
        <f t="shared" si="265"/>
        <v>0.28071222072349422</v>
      </c>
      <c r="BW174" s="54" t="e">
        <f t="shared" si="266"/>
        <v>#N/A</v>
      </c>
      <c r="BX174" s="54" t="e">
        <f t="shared" si="267"/>
        <v>#N/A</v>
      </c>
      <c r="BY174" s="54" t="e">
        <f t="shared" si="268"/>
        <v>#N/A</v>
      </c>
      <c r="BZ174" s="54" t="b">
        <f t="shared" si="269"/>
        <v>0</v>
      </c>
      <c r="CA174" s="54" t="b">
        <f t="shared" si="270"/>
        <v>1</v>
      </c>
      <c r="CB174" s="54" t="b">
        <f t="shared" si="271"/>
        <v>0</v>
      </c>
      <c r="CC174" s="54" t="b">
        <f t="shared" si="272"/>
        <v>1</v>
      </c>
      <c r="CD174" s="54">
        <f t="shared" si="337"/>
        <v>0.28071222072349422</v>
      </c>
      <c r="CE174" s="54" t="e">
        <f t="shared" si="273"/>
        <v>#N/A</v>
      </c>
      <c r="CF174" s="54">
        <f t="shared" si="274"/>
        <v>0.28071222072349422</v>
      </c>
      <c r="CG174" s="72" t="str">
        <f t="shared" si="275"/>
        <v/>
      </c>
      <c r="CH174" s="54">
        <f>_xlfn.NORM.DIST(_xlfn.NORM.INV(1-Eu_g_konfidensniveau,0,1)-Eu_tabel_g[[#This Row],[x base]],0,1,TRUE)</f>
        <v>6.5087760207921778E-3</v>
      </c>
      <c r="CI174" s="54">
        <f>1-_xlfn.NORM.DIST(_xlfn.NORM.INV(Eu_g_konfidensniveau,0,1)-Eu_tabel_g[[#This Row],[x base]],0,1,TRUE)</f>
        <v>0.21000079021859841</v>
      </c>
      <c r="CJ174" s="54">
        <f>_xlfn.NORM.DIST(_xlfn.NORM.INV((1-Eu_g_konfidensniveau)/2,0,1)-Eu_tabel_g[[#This Row],[x base]],0,1,TRUE)+1-_xlfn.NORM.DIST(_xlfn.NORM.INV(1-(1-Eu_g_konfidensniveau)/2,0,1)-Eu_tabel_g[[#This Row],[x base]],0,1,TRUE)</f>
        <v>0.13359923699915432</v>
      </c>
      <c r="CK174" s="54" t="e" cm="1">
        <f t="array" ref="CK174">IF($CK$3,INDEX(Eu_tabel_g[[#This Row],[Styrke venstre]:[Styrke tosidet]],CK$7),NA())</f>
        <v>#N/A</v>
      </c>
      <c r="CL174" s="99" t="e">
        <f>Eu_tabel_g[[#This Row],[Falsk positiv
Nulhypotese accepteres
Fejltype 1]]</f>
        <v>#N/A</v>
      </c>
      <c r="CM174" s="99" t="e">
        <f>IF(CHOOSE(CK$7,Eu_tabel_g[[#This Row],[x base]]&gt;0,Eu_tabel_g[[#This Row],[x base]]&lt;0,Eu_tabel_g[[#This Row],[x base]]=0),Eu_tabel_g[[#This Row],[Styrke, aktiv]],NA())</f>
        <v>#N/A</v>
      </c>
      <c r="CN174" s="99" t="e">
        <f>IFERROR(IF($CK$3,Eu_tabel_g[[#This Row],[Styrke, aktiv]],NA()),NA())</f>
        <v>#N/A</v>
      </c>
      <c r="CO174" s="99" t="e">
        <f>IF(ISNA(Eu_tabel_g[[#This Row],[Sand negativ
Nulhypotese afvises
Korrekt]]),NA(),IF($CK$3,1,NA()))</f>
        <v>#N/A</v>
      </c>
      <c r="CP174" s="56" t="str" cm="1">
        <f t="array" ref="CP174">_xlfn.SWITCH(BS174,_xlfn.IFNA(CN$2,-99),CN$5,_xlfn.IFNA(CN$3,-99),CN$6,_xlfn.IFNA(CN$4,-99),CN$7,"")</f>
        <v/>
      </c>
      <c r="CT174" s="7">
        <f t="shared" si="276"/>
        <v>0.8</v>
      </c>
      <c r="CU174">
        <f>IF(ROW(Styrkeberegning_G[[#This Row],[X base venstre]])=ROW(Styrkeberegning_G[[#Headers],[X base venstre]])+1,CU$7/(CT$7/$B$67),CU173/(CT173/$B$67))</f>
        <v>-2.8015817870135784</v>
      </c>
      <c r="CV174">
        <f>Styrkeberegning_G[[#This Row],[X base venstre]]*-1</f>
        <v>2.8015817870135784</v>
      </c>
      <c r="DG174" s="54">
        <f t="shared" si="277"/>
        <v>164</v>
      </c>
      <c r="DH174" s="54">
        <f t="shared" si="278"/>
        <v>165</v>
      </c>
      <c r="DI174" s="54">
        <f t="shared" si="279"/>
        <v>20.541473117041853</v>
      </c>
      <c r="DJ174" s="54" t="e">
        <f t="shared" si="280"/>
        <v>#N/A</v>
      </c>
      <c r="DK174" s="54" t="e">
        <f t="shared" si="281"/>
        <v>#N/A</v>
      </c>
      <c r="DL174" s="54">
        <f t="shared" si="282"/>
        <v>1.1797668248267034E-2</v>
      </c>
      <c r="DM174" s="54" t="e">
        <f t="shared" si="283"/>
        <v>#N/A</v>
      </c>
      <c r="DN174" s="54" t="b">
        <f t="shared" si="284"/>
        <v>0</v>
      </c>
      <c r="DO174" s="54" t="b">
        <f t="shared" si="285"/>
        <v>1</v>
      </c>
      <c r="DP174" s="54" t="b">
        <f t="shared" si="286"/>
        <v>0</v>
      </c>
      <c r="DQ174" s="54" t="b">
        <f t="shared" si="287"/>
        <v>1</v>
      </c>
      <c r="DR174" s="54">
        <f t="shared" si="288"/>
        <v>1.1797668248267034E-2</v>
      </c>
      <c r="DS174" s="54" t="e">
        <f t="shared" si="289"/>
        <v>#N/A</v>
      </c>
      <c r="DT174" s="54">
        <f t="shared" si="290"/>
        <v>1.1797668248267034E-2</v>
      </c>
      <c r="DU174" s="72" t="str">
        <f t="shared" si="291"/>
        <v/>
      </c>
      <c r="DZ174" s="54">
        <f t="shared" si="292"/>
        <v>164</v>
      </c>
      <c r="EA174" s="54">
        <f t="shared" si="293"/>
        <v>165</v>
      </c>
      <c r="EB174" s="54">
        <f t="shared" si="294"/>
        <v>0.83843512182847624</v>
      </c>
      <c r="EC174" s="54">
        <f t="shared" si="295"/>
        <v>0.28071222072349422</v>
      </c>
      <c r="ED174" s="54" t="e">
        <f t="shared" si="296"/>
        <v>#N/A</v>
      </c>
      <c r="EE174" s="54" t="e">
        <f t="shared" si="297"/>
        <v>#N/A</v>
      </c>
      <c r="EF174" s="54" t="e">
        <f t="shared" si="298"/>
        <v>#N/A</v>
      </c>
      <c r="EG174" s="54" t="b">
        <f t="shared" si="299"/>
        <v>0</v>
      </c>
      <c r="EH174" s="54" t="b">
        <f t="shared" si="300"/>
        <v>1</v>
      </c>
      <c r="EI174" s="54" t="b">
        <f t="shared" si="301"/>
        <v>0</v>
      </c>
      <c r="EJ174" s="54" t="b">
        <f t="shared" si="302"/>
        <v>1</v>
      </c>
      <c r="EK174" s="54">
        <f t="shared" si="303"/>
        <v>0.28071222072349422</v>
      </c>
      <c r="EL174" s="54" t="e">
        <f t="shared" si="304"/>
        <v>#N/A</v>
      </c>
      <c r="EM174" s="54">
        <f t="shared" si="305"/>
        <v>0.28071222072349422</v>
      </c>
      <c r="EN174" s="72" t="str">
        <f t="shared" si="306"/>
        <v/>
      </c>
      <c r="EO17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7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7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74" s="54" t="e" cm="1">
        <f t="array" ref="ER174">IF($CK$3,INDEX(Eu_tabel_a[[#This Row],[Styrke venstre]:[Styrke tosidet]],ER$7),NA())</f>
        <v>#N/A</v>
      </c>
      <c r="ES174" s="54" t="e">
        <f>IF(ER$3,IF(CHOOSE(ER$7,Eu_tabel_a[[#This Row],[x base]]&gt;0,Eu_tabel_a[[#This Row],[x base]]&lt;0,Eu_tabel_a[[#This Row],[x base]]=0),1,NA()),NA())</f>
        <v>#N/A</v>
      </c>
      <c r="ET174" s="54" t="e">
        <f>IF(CHOOSE(ER$7,Eu_tabel_a[[#This Row],[x base]]&gt;0,Eu_tabel_a[[#This Row],[x base]]&lt;0,Eu_tabel_a[[#This Row],[x base]]=0),Eu_tabel_a[[#This Row],[Styrke, aktiv]],NA())</f>
        <v>#N/A</v>
      </c>
      <c r="EU174" s="54" t="e">
        <f>IFERROR(IF($ER$3,Eu_tabel_a[[#This Row],[Styrke, aktiv]],NA()),NA())</f>
        <v>#N/A</v>
      </c>
      <c r="EV174" s="54" t="e">
        <f>IF(ISNA(Eu_tabel_a[[#This Row],[Sand negativ
Nulhypotese afvises
Korrekt]]),NA(),IF(ER$3,1,NA()))</f>
        <v>#N/A</v>
      </c>
      <c r="EW174" s="55" t="str" cm="1">
        <f t="array" ref="EW174">IFERROR(_xlfn.SWITCH(Eu_tabel_a[[#This Row],[Indeks]],_xlfn.IFNA(EU$2,-99),EU$5,_xlfn.IFNA(EU$3,-99),EU$6,_xlfn.IFNA(EU$4,-99),EU$7,""),"")</f>
        <v/>
      </c>
      <c r="EX174" s="54">
        <f>Eu_tabel_a[[#This Row],[x base]]*SQRT(Eu_a_h0_x*(1-Eu_a_h0_x)/Eu_a_n_x)+Eu_a_h0_x</f>
        <v>0</v>
      </c>
      <c r="FC174" s="161" t="e">
        <f t="shared" si="250"/>
        <v>#N/A</v>
      </c>
      <c r="FD174" s="169" t="e">
        <f t="shared" si="338"/>
        <v>#DIV/0!</v>
      </c>
      <c r="FE174" s="7" t="e">
        <f t="shared" si="244"/>
        <v>#DIV/0!</v>
      </c>
      <c r="FF174" t="e">
        <f t="shared" si="339"/>
        <v>#DIV/0!</v>
      </c>
      <c r="FG174" s="8" t="e">
        <f t="shared" si="340"/>
        <v>#DIV/0!</v>
      </c>
      <c r="FH174" s="8" t="e">
        <f t="shared" si="341"/>
        <v>#DIV/0!</v>
      </c>
      <c r="FI174" s="168" t="e">
        <f t="shared" si="342"/>
        <v>#DIV/0!</v>
      </c>
      <c r="FJ174" s="161" t="e">
        <f t="shared" ca="1" si="245"/>
        <v>#N/A</v>
      </c>
      <c r="FK174" s="169" t="e" vm="3">
        <f t="shared" ca="1" si="251"/>
        <v>#VALUE!</v>
      </c>
      <c r="FL174" s="7" t="e" vm="3">
        <f t="shared" ca="1" si="246"/>
        <v>#VALUE!</v>
      </c>
      <c r="FM174" t="e" vm="3">
        <f t="shared" ca="1" si="240"/>
        <v>#VALUE!</v>
      </c>
      <c r="FN174" s="8" t="e" vm="3">
        <f t="shared" ca="1" si="241"/>
        <v>#VALUE!</v>
      </c>
      <c r="FO174" s="8" t="e" vm="3">
        <f t="shared" ca="1" si="242"/>
        <v>#VALUE!</v>
      </c>
      <c r="FP174" s="168" t="e" vm="3">
        <f t="shared" ca="1" si="243"/>
        <v>#VALUE!</v>
      </c>
      <c r="FQ174" s="161" t="e">
        <f t="shared" si="247"/>
        <v>#N/A</v>
      </c>
      <c r="FR174" s="169" t="e">
        <f t="shared" si="252"/>
        <v>#N/A</v>
      </c>
      <c r="FS174" s="7" t="e">
        <f t="shared" si="248"/>
        <v>#N/A</v>
      </c>
      <c r="FT174" t="e">
        <f t="shared" si="253"/>
        <v>#N/A</v>
      </c>
      <c r="FU174" s="8" t="e">
        <f t="shared" si="254"/>
        <v>#N/A</v>
      </c>
      <c r="FV174" s="8" t="e">
        <f t="shared" si="255"/>
        <v>#N/A</v>
      </c>
      <c r="FW174" s="168" t="e">
        <f t="shared" si="256"/>
        <v>#N/A</v>
      </c>
      <c r="FX174" s="161" t="e">
        <f t="shared" si="257"/>
        <v>#N/A</v>
      </c>
      <c r="FY174" s="169" t="e">
        <f t="shared" si="258"/>
        <v>#N/A</v>
      </c>
      <c r="FZ174" s="7" t="e">
        <f t="shared" si="249"/>
        <v>#N/A</v>
      </c>
      <c r="GA174" t="e">
        <f t="shared" si="259"/>
        <v>#N/A</v>
      </c>
      <c r="GB174" s="8" t="e">
        <f t="shared" si="260"/>
        <v>#N/A</v>
      </c>
      <c r="GC174" s="8" t="e">
        <f t="shared" si="261"/>
        <v>#N/A</v>
      </c>
      <c r="GD174" s="168" t="e">
        <f t="shared" si="262"/>
        <v>#N/A</v>
      </c>
      <c r="GE174" s="168"/>
      <c r="GF174" s="168"/>
      <c r="GI174" s="54">
        <f t="shared" si="307"/>
        <v>164</v>
      </c>
      <c r="GJ174" s="54">
        <f t="shared" si="308"/>
        <v>165</v>
      </c>
      <c r="GK174" s="54">
        <f t="shared" si="309"/>
        <v>0.83843512182847624</v>
      </c>
      <c r="GL174" s="54">
        <f t="shared" si="310"/>
        <v>0.28071222072349422</v>
      </c>
      <c r="GM174" s="54" t="e">
        <f t="shared" si="311"/>
        <v>#N/A</v>
      </c>
      <c r="GN174" s="54" t="e">
        <f t="shared" si="312"/>
        <v>#N/A</v>
      </c>
      <c r="GO174" s="54" t="e">
        <f t="shared" si="313"/>
        <v>#N/A</v>
      </c>
      <c r="GP174" s="54" t="b">
        <f t="shared" si="314"/>
        <v>0</v>
      </c>
      <c r="GQ174" s="54" t="b">
        <f t="shared" si="315"/>
        <v>1</v>
      </c>
      <c r="GR174" s="54" t="b">
        <f t="shared" si="316"/>
        <v>0</v>
      </c>
      <c r="GS174" s="54" t="b">
        <f t="shared" si="317"/>
        <v>1</v>
      </c>
      <c r="GT174" s="54">
        <f t="shared" si="318"/>
        <v>0.28071222072349422</v>
      </c>
      <c r="GU174" s="54" t="e">
        <f t="shared" si="319"/>
        <v>#N/A</v>
      </c>
      <c r="GV174" s="54">
        <f t="shared" si="320"/>
        <v>0.28071222072349422</v>
      </c>
      <c r="GW174" s="72" t="str">
        <f t="shared" si="321"/>
        <v/>
      </c>
      <c r="HC174" s="54">
        <f t="shared" si="322"/>
        <v>164</v>
      </c>
      <c r="HD174" s="54">
        <f t="shared" si="323"/>
        <v>165</v>
      </c>
      <c r="HE174" s="54">
        <f t="shared" si="324"/>
        <v>1.2983343953669895</v>
      </c>
      <c r="HF174" s="54" t="e">
        <f t="shared" si="325"/>
        <v>#N/A</v>
      </c>
      <c r="HG174" s="54">
        <f t="shared" si="326"/>
        <v>0.16241625995329936</v>
      </c>
      <c r="HH174" s="54" t="e">
        <f t="shared" si="327"/>
        <v>#N/A</v>
      </c>
      <c r="HI174" s="54" t="e">
        <f t="shared" si="328"/>
        <v>#N/A</v>
      </c>
      <c r="HJ174" s="54" t="b">
        <f t="shared" si="329"/>
        <v>1</v>
      </c>
      <c r="HK174" s="54" t="b">
        <f t="shared" si="330"/>
        <v>0</v>
      </c>
      <c r="HL174" s="54" t="b">
        <f t="shared" si="331"/>
        <v>0</v>
      </c>
      <c r="HM174" s="54" t="b">
        <f t="shared" si="332"/>
        <v>1</v>
      </c>
      <c r="HN174" s="54">
        <f t="shared" si="333"/>
        <v>0.16241625995329936</v>
      </c>
      <c r="HO174" s="54">
        <f t="shared" si="334"/>
        <v>0.16241625995329936</v>
      </c>
      <c r="HP174" s="54" t="e">
        <f t="shared" si="335"/>
        <v>#N/A</v>
      </c>
      <c r="HQ174" s="72" t="str">
        <f t="shared" si="336"/>
        <v/>
      </c>
    </row>
    <row r="175" spans="71:225" x14ac:dyDescent="0.2">
      <c r="BS175" s="54">
        <f t="shared" si="263"/>
        <v>165</v>
      </c>
      <c r="BT175" s="54">
        <f>Eu_tabel_g[[#This Row],[Indeks]]+1</f>
        <v>166</v>
      </c>
      <c r="BU175" s="54">
        <f t="shared" si="264"/>
        <v>0.86239041102357561</v>
      </c>
      <c r="BV175" s="54">
        <f t="shared" si="265"/>
        <v>0.27505144014997257</v>
      </c>
      <c r="BW175" s="54" t="e">
        <f t="shared" si="266"/>
        <v>#N/A</v>
      </c>
      <c r="BX175" s="54" t="e">
        <f t="shared" si="267"/>
        <v>#N/A</v>
      </c>
      <c r="BY175" s="54" t="e">
        <f t="shared" si="268"/>
        <v>#N/A</v>
      </c>
      <c r="BZ175" s="54" t="b">
        <f t="shared" si="269"/>
        <v>0</v>
      </c>
      <c r="CA175" s="54" t="b">
        <f t="shared" si="270"/>
        <v>1</v>
      </c>
      <c r="CB175" s="54" t="b">
        <f t="shared" si="271"/>
        <v>0</v>
      </c>
      <c r="CC175" s="54" t="b">
        <f t="shared" si="272"/>
        <v>1</v>
      </c>
      <c r="CD175" s="54">
        <f t="shared" si="337"/>
        <v>0.27505144014997257</v>
      </c>
      <c r="CE175" s="54" t="e">
        <f t="shared" si="273"/>
        <v>#N/A</v>
      </c>
      <c r="CF175" s="54">
        <f t="shared" si="274"/>
        <v>0.27505144014997257</v>
      </c>
      <c r="CG175" s="72" t="str">
        <f t="shared" si="275"/>
        <v/>
      </c>
      <c r="CH175" s="54">
        <f>_xlfn.NORM.DIST(_xlfn.NORM.INV(1-Eu_g_konfidensniveau,0,1)-Eu_tabel_g[[#This Row],[x base]],0,1,TRUE)</f>
        <v>6.0838336081612439E-3</v>
      </c>
      <c r="CI175" s="54">
        <f>1-_xlfn.NORM.DIST(_xlfn.NORM.INV(Eu_g_konfidensniveau,0,1)-Eu_tabel_g[[#This Row],[x base]],0,1,TRUE)</f>
        <v>0.2169711974485582</v>
      </c>
      <c r="CJ175" s="54">
        <f>_xlfn.NORM.DIST(_xlfn.NORM.INV((1-Eu_g_konfidensniveau)/2,0,1)-Eu_tabel_g[[#This Row],[x base]],0,1,TRUE)+1-_xlfn.NORM.DIST(_xlfn.NORM.INV(1-(1-Eu_g_konfidensniveau)/2,0,1)-Eu_tabel_g[[#This Row],[x base]],0,1,TRUE)</f>
        <v>0.13857899198909518</v>
      </c>
      <c r="CK175" s="54" t="e" cm="1">
        <f t="array" ref="CK175">IF($CK$3,INDEX(Eu_tabel_g[[#This Row],[Styrke venstre]:[Styrke tosidet]],CK$7),NA())</f>
        <v>#N/A</v>
      </c>
      <c r="CL175" s="99" t="e">
        <f>Eu_tabel_g[[#This Row],[Falsk positiv
Nulhypotese accepteres
Fejltype 1]]</f>
        <v>#N/A</v>
      </c>
      <c r="CM175" s="99" t="e">
        <f>IF(CHOOSE(CK$7,Eu_tabel_g[[#This Row],[x base]]&gt;0,Eu_tabel_g[[#This Row],[x base]]&lt;0,Eu_tabel_g[[#This Row],[x base]]=0),Eu_tabel_g[[#This Row],[Styrke, aktiv]],NA())</f>
        <v>#N/A</v>
      </c>
      <c r="CN175" s="99" t="e">
        <f>IFERROR(IF($CK$3,Eu_tabel_g[[#This Row],[Styrke, aktiv]],NA()),NA())</f>
        <v>#N/A</v>
      </c>
      <c r="CO175" s="99" t="e">
        <f>IF(ISNA(Eu_tabel_g[[#This Row],[Sand negativ
Nulhypotese afvises
Korrekt]]),NA(),IF($CK$3,1,NA()))</f>
        <v>#N/A</v>
      </c>
      <c r="CP175" s="56" t="str" cm="1">
        <f t="array" ref="CP175">_xlfn.SWITCH(BS175,_xlfn.IFNA(CN$2,-99),CN$5,_xlfn.IFNA(CN$3,-99),CN$6,_xlfn.IFNA(CN$4,-99),CN$7,"")</f>
        <v/>
      </c>
      <c r="CT175" s="7">
        <f t="shared" si="276"/>
        <v>0.8</v>
      </c>
      <c r="CU175">
        <f>IF(ROW(Styrkeberegning_G[[#This Row],[X base venstre]])=ROW(Styrkeberegning_G[[#Headers],[X base venstre]])+1,CU$7/(CT$7/$B$67),CU174/(CT174/$B$67))</f>
        <v>-2.8015817870135784</v>
      </c>
      <c r="CV175">
        <f>Styrkeberegning_G[[#This Row],[X base venstre]]*-1</f>
        <v>2.8015817870135784</v>
      </c>
      <c r="DG175" s="54">
        <f t="shared" si="277"/>
        <v>165</v>
      </c>
      <c r="DH175" s="54">
        <f t="shared" si="278"/>
        <v>166</v>
      </c>
      <c r="DI175" s="54">
        <f t="shared" si="279"/>
        <v>20.655543973458855</v>
      </c>
      <c r="DJ175" s="54" t="e">
        <f t="shared" si="280"/>
        <v>#N/A</v>
      </c>
      <c r="DK175" s="54" t="e">
        <f t="shared" si="281"/>
        <v>#N/A</v>
      </c>
      <c r="DL175" s="54">
        <f t="shared" si="282"/>
        <v>1.1424803489049444E-2</v>
      </c>
      <c r="DM175" s="54" t="e">
        <f t="shared" si="283"/>
        <v>#N/A</v>
      </c>
      <c r="DN175" s="54" t="b">
        <f t="shared" si="284"/>
        <v>0</v>
      </c>
      <c r="DO175" s="54" t="b">
        <f t="shared" si="285"/>
        <v>1</v>
      </c>
      <c r="DP175" s="54" t="b">
        <f t="shared" si="286"/>
        <v>0</v>
      </c>
      <c r="DQ175" s="54" t="b">
        <f t="shared" si="287"/>
        <v>1</v>
      </c>
      <c r="DR175" s="54">
        <f t="shared" si="288"/>
        <v>1.1424803489049444E-2</v>
      </c>
      <c r="DS175" s="54" t="e">
        <f t="shared" si="289"/>
        <v>#N/A</v>
      </c>
      <c r="DT175" s="54">
        <f t="shared" si="290"/>
        <v>1.1424803489049444E-2</v>
      </c>
      <c r="DU175" s="72" t="str">
        <f t="shared" si="291"/>
        <v/>
      </c>
      <c r="DZ175" s="54">
        <f t="shared" si="292"/>
        <v>165</v>
      </c>
      <c r="EA175" s="54">
        <f t="shared" si="293"/>
        <v>166</v>
      </c>
      <c r="EB175" s="54">
        <f t="shared" si="294"/>
        <v>0.86239041102357561</v>
      </c>
      <c r="EC175" s="54">
        <f t="shared" si="295"/>
        <v>0.27505144014997257</v>
      </c>
      <c r="ED175" s="54" t="e">
        <f t="shared" si="296"/>
        <v>#N/A</v>
      </c>
      <c r="EE175" s="54" t="e">
        <f t="shared" si="297"/>
        <v>#N/A</v>
      </c>
      <c r="EF175" s="54" t="e">
        <f t="shared" si="298"/>
        <v>#N/A</v>
      </c>
      <c r="EG175" s="54" t="b">
        <f t="shared" si="299"/>
        <v>0</v>
      </c>
      <c r="EH175" s="54" t="b">
        <f t="shared" si="300"/>
        <v>1</v>
      </c>
      <c r="EI175" s="54" t="b">
        <f t="shared" si="301"/>
        <v>0</v>
      </c>
      <c r="EJ175" s="54" t="b">
        <f t="shared" si="302"/>
        <v>1</v>
      </c>
      <c r="EK175" s="54">
        <f t="shared" si="303"/>
        <v>0.27505144014997257</v>
      </c>
      <c r="EL175" s="54" t="e">
        <f t="shared" si="304"/>
        <v>#N/A</v>
      </c>
      <c r="EM175" s="54">
        <f t="shared" si="305"/>
        <v>0.27505144014997257</v>
      </c>
      <c r="EN175" s="72" t="str">
        <f t="shared" si="306"/>
        <v/>
      </c>
      <c r="EO17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7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7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75" s="54" t="e" cm="1">
        <f t="array" ref="ER175">IF($CK$3,INDEX(Eu_tabel_a[[#This Row],[Styrke venstre]:[Styrke tosidet]],ER$7),NA())</f>
        <v>#N/A</v>
      </c>
      <c r="ES175" s="54" t="e">
        <f>IF(ER$3,IF(CHOOSE(ER$7,Eu_tabel_a[[#This Row],[x base]]&gt;0,Eu_tabel_a[[#This Row],[x base]]&lt;0,Eu_tabel_a[[#This Row],[x base]]=0),1,NA()),NA())</f>
        <v>#N/A</v>
      </c>
      <c r="ET175" s="54" t="e">
        <f>IF(CHOOSE(ER$7,Eu_tabel_a[[#This Row],[x base]]&gt;0,Eu_tabel_a[[#This Row],[x base]]&lt;0,Eu_tabel_a[[#This Row],[x base]]=0),Eu_tabel_a[[#This Row],[Styrke, aktiv]],NA())</f>
        <v>#N/A</v>
      </c>
      <c r="EU175" s="54" t="e">
        <f>IFERROR(IF($ER$3,Eu_tabel_a[[#This Row],[Styrke, aktiv]],NA()),NA())</f>
        <v>#N/A</v>
      </c>
      <c r="EV175" s="54" t="e">
        <f>IF(ISNA(Eu_tabel_a[[#This Row],[Sand negativ
Nulhypotese afvises
Korrekt]]),NA(),IF(ER$3,1,NA()))</f>
        <v>#N/A</v>
      </c>
      <c r="EW175" s="55" t="str" cm="1">
        <f t="array" ref="EW175">IFERROR(_xlfn.SWITCH(Eu_tabel_a[[#This Row],[Indeks]],_xlfn.IFNA(EU$2,-99),EU$5,_xlfn.IFNA(EU$3,-99),EU$6,_xlfn.IFNA(EU$4,-99),EU$7,""),"")</f>
        <v/>
      </c>
      <c r="EX175" s="54">
        <f>Eu_tabel_a[[#This Row],[x base]]*SQRT(Eu_a_h0_x*(1-Eu_a_h0_x)/Eu_a_n_x)+Eu_a_h0_x</f>
        <v>0</v>
      </c>
      <c r="FC175" s="161" t="e">
        <f t="shared" si="250"/>
        <v>#N/A</v>
      </c>
      <c r="FD175" s="169" t="e">
        <f t="shared" si="338"/>
        <v>#DIV/0!</v>
      </c>
      <c r="FE175" s="7" t="e">
        <f t="shared" si="244"/>
        <v>#DIV/0!</v>
      </c>
      <c r="FF175" t="e">
        <f t="shared" si="339"/>
        <v>#DIV/0!</v>
      </c>
      <c r="FG175" s="8" t="e">
        <f t="shared" si="340"/>
        <v>#DIV/0!</v>
      </c>
      <c r="FH175" s="8" t="e">
        <f t="shared" si="341"/>
        <v>#DIV/0!</v>
      </c>
      <c r="FI175" s="168" t="e">
        <f t="shared" si="342"/>
        <v>#DIV/0!</v>
      </c>
      <c r="FJ175" s="161" t="e">
        <f t="shared" ca="1" si="245"/>
        <v>#N/A</v>
      </c>
      <c r="FK175" s="169" t="e" vm="3">
        <f t="shared" ca="1" si="251"/>
        <v>#VALUE!</v>
      </c>
      <c r="FL175" s="7" t="e" vm="3">
        <f t="shared" ca="1" si="246"/>
        <v>#VALUE!</v>
      </c>
      <c r="FM175" t="e" vm="3">
        <f t="shared" ca="1" si="240"/>
        <v>#VALUE!</v>
      </c>
      <c r="FN175" s="8" t="e" vm="3">
        <f t="shared" ca="1" si="241"/>
        <v>#VALUE!</v>
      </c>
      <c r="FO175" s="8" t="e" vm="3">
        <f t="shared" ca="1" si="242"/>
        <v>#VALUE!</v>
      </c>
      <c r="FP175" s="168" t="e" vm="3">
        <f t="shared" ca="1" si="243"/>
        <v>#VALUE!</v>
      </c>
      <c r="FQ175" s="161" t="e">
        <f t="shared" si="247"/>
        <v>#N/A</v>
      </c>
      <c r="FR175" s="169" t="e">
        <f t="shared" si="252"/>
        <v>#N/A</v>
      </c>
      <c r="FS175" s="7" t="e">
        <f t="shared" si="248"/>
        <v>#N/A</v>
      </c>
      <c r="FT175" t="e">
        <f t="shared" si="253"/>
        <v>#N/A</v>
      </c>
      <c r="FU175" s="8" t="e">
        <f t="shared" si="254"/>
        <v>#N/A</v>
      </c>
      <c r="FV175" s="8" t="e">
        <f t="shared" si="255"/>
        <v>#N/A</v>
      </c>
      <c r="FW175" s="168" t="e">
        <f t="shared" si="256"/>
        <v>#N/A</v>
      </c>
      <c r="FX175" s="161" t="e">
        <f t="shared" si="257"/>
        <v>#N/A</v>
      </c>
      <c r="FY175" s="169" t="e">
        <f t="shared" si="258"/>
        <v>#N/A</v>
      </c>
      <c r="FZ175" s="7" t="e">
        <f t="shared" si="249"/>
        <v>#N/A</v>
      </c>
      <c r="GA175" t="e">
        <f t="shared" si="259"/>
        <v>#N/A</v>
      </c>
      <c r="GB175" s="8" t="e">
        <f t="shared" si="260"/>
        <v>#N/A</v>
      </c>
      <c r="GC175" s="8" t="e">
        <f t="shared" si="261"/>
        <v>#N/A</v>
      </c>
      <c r="GD175" s="168" t="e">
        <f t="shared" si="262"/>
        <v>#N/A</v>
      </c>
      <c r="GE175" s="168"/>
      <c r="GF175" s="168"/>
      <c r="GI175" s="54">
        <f t="shared" si="307"/>
        <v>165</v>
      </c>
      <c r="GJ175" s="54">
        <f t="shared" si="308"/>
        <v>166</v>
      </c>
      <c r="GK175" s="54">
        <f t="shared" si="309"/>
        <v>0.86239041102357561</v>
      </c>
      <c r="GL175" s="54">
        <f t="shared" si="310"/>
        <v>0.27505144014997257</v>
      </c>
      <c r="GM175" s="54" t="e">
        <f t="shared" si="311"/>
        <v>#N/A</v>
      </c>
      <c r="GN175" s="54" t="e">
        <f t="shared" si="312"/>
        <v>#N/A</v>
      </c>
      <c r="GO175" s="54" t="e">
        <f t="shared" si="313"/>
        <v>#N/A</v>
      </c>
      <c r="GP175" s="54" t="b">
        <f t="shared" si="314"/>
        <v>0</v>
      </c>
      <c r="GQ175" s="54" t="b">
        <f t="shared" si="315"/>
        <v>1</v>
      </c>
      <c r="GR175" s="54" t="b">
        <f t="shared" si="316"/>
        <v>0</v>
      </c>
      <c r="GS175" s="54" t="b">
        <f t="shared" si="317"/>
        <v>1</v>
      </c>
      <c r="GT175" s="54">
        <f t="shared" si="318"/>
        <v>0.27505144014997257</v>
      </c>
      <c r="GU175" s="54" t="e">
        <f t="shared" si="319"/>
        <v>#N/A</v>
      </c>
      <c r="GV175" s="54">
        <f t="shared" si="320"/>
        <v>0.27505144014997257</v>
      </c>
      <c r="GW175" s="72" t="str">
        <f t="shared" si="321"/>
        <v/>
      </c>
      <c r="HC175" s="54">
        <f t="shared" si="322"/>
        <v>165</v>
      </c>
      <c r="HD175" s="54">
        <f t="shared" si="323"/>
        <v>166</v>
      </c>
      <c r="HE175" s="54">
        <f t="shared" si="324"/>
        <v>1.335429663806047</v>
      </c>
      <c r="HF175" s="54" t="e">
        <f t="shared" si="325"/>
        <v>#N/A</v>
      </c>
      <c r="HG175" s="54">
        <f t="shared" si="326"/>
        <v>0.15530951457528139</v>
      </c>
      <c r="HH175" s="54" t="e">
        <f t="shared" si="327"/>
        <v>#N/A</v>
      </c>
      <c r="HI175" s="54" t="e">
        <f t="shared" si="328"/>
        <v>#N/A</v>
      </c>
      <c r="HJ175" s="54" t="b">
        <f t="shared" si="329"/>
        <v>1</v>
      </c>
      <c r="HK175" s="54" t="b">
        <f t="shared" si="330"/>
        <v>0</v>
      </c>
      <c r="HL175" s="54" t="b">
        <f t="shared" si="331"/>
        <v>0</v>
      </c>
      <c r="HM175" s="54" t="b">
        <f t="shared" si="332"/>
        <v>1</v>
      </c>
      <c r="HN175" s="54">
        <f t="shared" si="333"/>
        <v>0.15530951457528139</v>
      </c>
      <c r="HO175" s="54">
        <f t="shared" si="334"/>
        <v>0.15530951457528139</v>
      </c>
      <c r="HP175" s="54" t="e">
        <f t="shared" si="335"/>
        <v>#N/A</v>
      </c>
      <c r="HQ175" s="72" t="str">
        <f t="shared" si="336"/>
        <v/>
      </c>
    </row>
    <row r="176" spans="71:225" x14ac:dyDescent="0.2">
      <c r="BS176" s="54">
        <f t="shared" si="263"/>
        <v>166</v>
      </c>
      <c r="BT176" s="54">
        <f>Eu_tabel_g[[#This Row],[Indeks]]+1</f>
        <v>167</v>
      </c>
      <c r="BU176" s="54">
        <f t="shared" si="264"/>
        <v>0.88634570021867498</v>
      </c>
      <c r="BV176" s="54">
        <f t="shared" si="265"/>
        <v>0.26935020107061902</v>
      </c>
      <c r="BW176" s="54" t="e">
        <f t="shared" si="266"/>
        <v>#N/A</v>
      </c>
      <c r="BX176" s="54" t="e">
        <f t="shared" si="267"/>
        <v>#N/A</v>
      </c>
      <c r="BY176" s="54" t="e">
        <f t="shared" si="268"/>
        <v>#N/A</v>
      </c>
      <c r="BZ176" s="54" t="b">
        <f t="shared" si="269"/>
        <v>0</v>
      </c>
      <c r="CA176" s="54" t="b">
        <f t="shared" si="270"/>
        <v>1</v>
      </c>
      <c r="CB176" s="54" t="b">
        <f t="shared" si="271"/>
        <v>0</v>
      </c>
      <c r="CC176" s="54" t="b">
        <f t="shared" si="272"/>
        <v>1</v>
      </c>
      <c r="CD176" s="54">
        <f t="shared" si="337"/>
        <v>0.26935020107061902</v>
      </c>
      <c r="CE176" s="54" t="e">
        <f t="shared" si="273"/>
        <v>#N/A</v>
      </c>
      <c r="CF176" s="54">
        <f t="shared" si="274"/>
        <v>0.26935020107061902</v>
      </c>
      <c r="CG176" s="72" t="str">
        <f t="shared" si="275"/>
        <v/>
      </c>
      <c r="CH176" s="54">
        <f>_xlfn.NORM.DIST(_xlfn.NORM.INV(1-Eu_g_konfidensniveau,0,1)-Eu_tabel_g[[#This Row],[x base]],0,1,TRUE)</f>
        <v>5.683661479562039E-3</v>
      </c>
      <c r="CI176" s="54">
        <f>1-_xlfn.NORM.DIST(_xlfn.NORM.INV(Eu_g_konfidensniveau,0,1)-Eu_tabel_g[[#This Row],[x base]],0,1,TRUE)</f>
        <v>0.22407348473684652</v>
      </c>
      <c r="CJ176" s="54">
        <f>_xlfn.NORM.DIST(_xlfn.NORM.INV((1-Eu_g_konfidensniveau)/2,0,1)-Eu_tabel_g[[#This Row],[x base]],0,1,TRUE)+1-_xlfn.NORM.DIST(_xlfn.NORM.INV(1-(1-Eu_g_konfidensniveau)/2,0,1)-Eu_tabel_g[[#This Row],[x base]],0,1,TRUE)</f>
        <v>0.14370835754319289</v>
      </c>
      <c r="CK176" s="54" t="e" cm="1">
        <f t="array" ref="CK176">IF($CK$3,INDEX(Eu_tabel_g[[#This Row],[Styrke venstre]:[Styrke tosidet]],CK$7),NA())</f>
        <v>#N/A</v>
      </c>
      <c r="CL176" s="99" t="e">
        <f>Eu_tabel_g[[#This Row],[Falsk positiv
Nulhypotese accepteres
Fejltype 1]]</f>
        <v>#N/A</v>
      </c>
      <c r="CM176" s="99" t="e">
        <f>IF(CHOOSE(CK$7,Eu_tabel_g[[#This Row],[x base]]&gt;0,Eu_tabel_g[[#This Row],[x base]]&lt;0,Eu_tabel_g[[#This Row],[x base]]=0),Eu_tabel_g[[#This Row],[Styrke, aktiv]],NA())</f>
        <v>#N/A</v>
      </c>
      <c r="CN176" s="99" t="e">
        <f>IFERROR(IF($CK$3,Eu_tabel_g[[#This Row],[Styrke, aktiv]],NA()),NA())</f>
        <v>#N/A</v>
      </c>
      <c r="CO176" s="99" t="e">
        <f>IF(ISNA(Eu_tabel_g[[#This Row],[Sand negativ
Nulhypotese afvises
Korrekt]]),NA(),IF($CK$3,1,NA()))</f>
        <v>#N/A</v>
      </c>
      <c r="CP176" s="56" t="str" cm="1">
        <f t="array" ref="CP176">_xlfn.SWITCH(BS176,_xlfn.IFNA(CN$2,-99),CN$5,_xlfn.IFNA(CN$3,-99),CN$6,_xlfn.IFNA(CN$4,-99),CN$7,"")</f>
        <v/>
      </c>
      <c r="CT176" s="7">
        <f t="shared" si="276"/>
        <v>0.8</v>
      </c>
      <c r="CU176">
        <f>IF(ROW(Styrkeberegning_G[[#This Row],[X base venstre]])=ROW(Styrkeberegning_G[[#Headers],[X base venstre]])+1,CU$7/(CT$7/$B$67),CU175/(CT175/$B$67))</f>
        <v>-2.8015817870135784</v>
      </c>
      <c r="CV176">
        <f>Styrkeberegning_G[[#This Row],[X base venstre]]*-1</f>
        <v>2.8015817870135784</v>
      </c>
      <c r="DG176" s="54">
        <f t="shared" si="277"/>
        <v>166</v>
      </c>
      <c r="DH176" s="54">
        <f t="shared" si="278"/>
        <v>167</v>
      </c>
      <c r="DI176" s="54">
        <f t="shared" si="279"/>
        <v>20.769614829875856</v>
      </c>
      <c r="DJ176" s="54" t="e">
        <f t="shared" si="280"/>
        <v>#N/A</v>
      </c>
      <c r="DK176" s="54" t="e">
        <f t="shared" si="281"/>
        <v>#N/A</v>
      </c>
      <c r="DL176" s="54">
        <f t="shared" si="282"/>
        <v>1.1062204771235188E-2</v>
      </c>
      <c r="DM176" s="54" t="e">
        <f t="shared" si="283"/>
        <v>#N/A</v>
      </c>
      <c r="DN176" s="54" t="b">
        <f t="shared" si="284"/>
        <v>0</v>
      </c>
      <c r="DO176" s="54" t="b">
        <f t="shared" si="285"/>
        <v>1</v>
      </c>
      <c r="DP176" s="54" t="b">
        <f t="shared" si="286"/>
        <v>0</v>
      </c>
      <c r="DQ176" s="54" t="b">
        <f t="shared" si="287"/>
        <v>1</v>
      </c>
      <c r="DR176" s="54">
        <f t="shared" si="288"/>
        <v>1.1062204771235188E-2</v>
      </c>
      <c r="DS176" s="54" t="e">
        <f t="shared" si="289"/>
        <v>#N/A</v>
      </c>
      <c r="DT176" s="54">
        <f t="shared" si="290"/>
        <v>1.1062204771235188E-2</v>
      </c>
      <c r="DU176" s="72" t="str">
        <f t="shared" si="291"/>
        <v/>
      </c>
      <c r="DZ176" s="54">
        <f t="shared" si="292"/>
        <v>166</v>
      </c>
      <c r="EA176" s="54">
        <f t="shared" si="293"/>
        <v>167</v>
      </c>
      <c r="EB176" s="54">
        <f t="shared" si="294"/>
        <v>0.88634570021867498</v>
      </c>
      <c r="EC176" s="54">
        <f t="shared" si="295"/>
        <v>0.26935020107061902</v>
      </c>
      <c r="ED176" s="54" t="e">
        <f t="shared" si="296"/>
        <v>#N/A</v>
      </c>
      <c r="EE176" s="54" t="e">
        <f t="shared" si="297"/>
        <v>#N/A</v>
      </c>
      <c r="EF176" s="54" t="e">
        <f t="shared" si="298"/>
        <v>#N/A</v>
      </c>
      <c r="EG176" s="54" t="b">
        <f t="shared" si="299"/>
        <v>0</v>
      </c>
      <c r="EH176" s="54" t="b">
        <f t="shared" si="300"/>
        <v>1</v>
      </c>
      <c r="EI176" s="54" t="b">
        <f t="shared" si="301"/>
        <v>0</v>
      </c>
      <c r="EJ176" s="54" t="b">
        <f t="shared" si="302"/>
        <v>1</v>
      </c>
      <c r="EK176" s="54">
        <f t="shared" si="303"/>
        <v>0.26935020107061902</v>
      </c>
      <c r="EL176" s="54" t="e">
        <f t="shared" si="304"/>
        <v>#N/A</v>
      </c>
      <c r="EM176" s="54">
        <f t="shared" si="305"/>
        <v>0.26935020107061902</v>
      </c>
      <c r="EN176" s="72" t="str">
        <f t="shared" si="306"/>
        <v/>
      </c>
      <c r="EO17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7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7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76" s="54" t="e" cm="1">
        <f t="array" ref="ER176">IF($CK$3,INDEX(Eu_tabel_a[[#This Row],[Styrke venstre]:[Styrke tosidet]],ER$7),NA())</f>
        <v>#N/A</v>
      </c>
      <c r="ES176" s="54" t="e">
        <f>IF(ER$3,IF(CHOOSE(ER$7,Eu_tabel_a[[#This Row],[x base]]&gt;0,Eu_tabel_a[[#This Row],[x base]]&lt;0,Eu_tabel_a[[#This Row],[x base]]=0),1,NA()),NA())</f>
        <v>#N/A</v>
      </c>
      <c r="ET176" s="54" t="e">
        <f>IF(CHOOSE(ER$7,Eu_tabel_a[[#This Row],[x base]]&gt;0,Eu_tabel_a[[#This Row],[x base]]&lt;0,Eu_tabel_a[[#This Row],[x base]]=0),Eu_tabel_a[[#This Row],[Styrke, aktiv]],NA())</f>
        <v>#N/A</v>
      </c>
      <c r="EU176" s="54" t="e">
        <f>IFERROR(IF($ER$3,Eu_tabel_a[[#This Row],[Styrke, aktiv]],NA()),NA())</f>
        <v>#N/A</v>
      </c>
      <c r="EV176" s="54" t="e">
        <f>IF(ISNA(Eu_tabel_a[[#This Row],[Sand negativ
Nulhypotese afvises
Korrekt]]),NA(),IF(ER$3,1,NA()))</f>
        <v>#N/A</v>
      </c>
      <c r="EW176" s="55" t="str" cm="1">
        <f t="array" ref="EW176">IFERROR(_xlfn.SWITCH(Eu_tabel_a[[#This Row],[Indeks]],_xlfn.IFNA(EU$2,-99),EU$5,_xlfn.IFNA(EU$3,-99),EU$6,_xlfn.IFNA(EU$4,-99),EU$7,""),"")</f>
        <v/>
      </c>
      <c r="EX176" s="54">
        <f>Eu_tabel_a[[#This Row],[x base]]*SQRT(Eu_a_h0_x*(1-Eu_a_h0_x)/Eu_a_n_x)+Eu_a_h0_x</f>
        <v>0</v>
      </c>
      <c r="FC176" s="161" t="e">
        <f t="shared" si="250"/>
        <v>#N/A</v>
      </c>
      <c r="FD176" s="169" t="e">
        <f t="shared" si="338"/>
        <v>#DIV/0!</v>
      </c>
      <c r="FE176" s="7" t="e">
        <f t="shared" si="244"/>
        <v>#DIV/0!</v>
      </c>
      <c r="FF176" t="e">
        <f t="shared" si="339"/>
        <v>#DIV/0!</v>
      </c>
      <c r="FG176" s="8" t="e">
        <f t="shared" si="340"/>
        <v>#DIV/0!</v>
      </c>
      <c r="FH176" s="8" t="e">
        <f t="shared" si="341"/>
        <v>#DIV/0!</v>
      </c>
      <c r="FI176" s="168" t="e">
        <f t="shared" si="342"/>
        <v>#DIV/0!</v>
      </c>
      <c r="FJ176" s="161" t="e">
        <f t="shared" ca="1" si="245"/>
        <v>#N/A</v>
      </c>
      <c r="FK176" s="169" t="e" vm="3">
        <f t="shared" ca="1" si="251"/>
        <v>#VALUE!</v>
      </c>
      <c r="FL176" s="7" t="e" vm="3">
        <f t="shared" ca="1" si="246"/>
        <v>#VALUE!</v>
      </c>
      <c r="FM176" t="e" vm="3">
        <f t="shared" ca="1" si="240"/>
        <v>#VALUE!</v>
      </c>
      <c r="FN176" s="8" t="e" vm="3">
        <f t="shared" ca="1" si="241"/>
        <v>#VALUE!</v>
      </c>
      <c r="FO176" s="8" t="e" vm="3">
        <f t="shared" ca="1" si="242"/>
        <v>#VALUE!</v>
      </c>
      <c r="FP176" s="168" t="e" vm="3">
        <f t="shared" ca="1" si="243"/>
        <v>#VALUE!</v>
      </c>
      <c r="FQ176" s="161" t="e">
        <f t="shared" si="247"/>
        <v>#N/A</v>
      </c>
      <c r="FR176" s="169" t="e">
        <f t="shared" si="252"/>
        <v>#N/A</v>
      </c>
      <c r="FS176" s="7" t="e">
        <f t="shared" si="248"/>
        <v>#N/A</v>
      </c>
      <c r="FT176" t="e">
        <f t="shared" si="253"/>
        <v>#N/A</v>
      </c>
      <c r="FU176" s="8" t="e">
        <f t="shared" si="254"/>
        <v>#N/A</v>
      </c>
      <c r="FV176" s="8" t="e">
        <f t="shared" si="255"/>
        <v>#N/A</v>
      </c>
      <c r="FW176" s="168" t="e">
        <f t="shared" si="256"/>
        <v>#N/A</v>
      </c>
      <c r="FX176" s="161" t="e">
        <f t="shared" si="257"/>
        <v>#N/A</v>
      </c>
      <c r="FY176" s="169" t="e">
        <f t="shared" si="258"/>
        <v>#N/A</v>
      </c>
      <c r="FZ176" s="7" t="e">
        <f t="shared" si="249"/>
        <v>#N/A</v>
      </c>
      <c r="GA176" t="e">
        <f t="shared" si="259"/>
        <v>#N/A</v>
      </c>
      <c r="GB176" s="8" t="e">
        <f t="shared" si="260"/>
        <v>#N/A</v>
      </c>
      <c r="GC176" s="8" t="e">
        <f t="shared" si="261"/>
        <v>#N/A</v>
      </c>
      <c r="GD176" s="168" t="e">
        <f t="shared" si="262"/>
        <v>#N/A</v>
      </c>
      <c r="GE176" s="168"/>
      <c r="GF176" s="168"/>
      <c r="GI176" s="54">
        <f t="shared" si="307"/>
        <v>166</v>
      </c>
      <c r="GJ176" s="54">
        <f t="shared" si="308"/>
        <v>167</v>
      </c>
      <c r="GK176" s="54">
        <f t="shared" si="309"/>
        <v>0.88634570021867498</v>
      </c>
      <c r="GL176" s="54">
        <f t="shared" si="310"/>
        <v>0.26935020107061902</v>
      </c>
      <c r="GM176" s="54" t="e">
        <f t="shared" si="311"/>
        <v>#N/A</v>
      </c>
      <c r="GN176" s="54" t="e">
        <f t="shared" si="312"/>
        <v>#N/A</v>
      </c>
      <c r="GO176" s="54" t="e">
        <f t="shared" si="313"/>
        <v>#N/A</v>
      </c>
      <c r="GP176" s="54" t="b">
        <f t="shared" si="314"/>
        <v>0</v>
      </c>
      <c r="GQ176" s="54" t="b">
        <f t="shared" si="315"/>
        <v>1</v>
      </c>
      <c r="GR176" s="54" t="b">
        <f t="shared" si="316"/>
        <v>0</v>
      </c>
      <c r="GS176" s="54" t="b">
        <f t="shared" si="317"/>
        <v>1</v>
      </c>
      <c r="GT176" s="54">
        <f t="shared" si="318"/>
        <v>0.26935020107061902</v>
      </c>
      <c r="GU176" s="54" t="e">
        <f t="shared" si="319"/>
        <v>#N/A</v>
      </c>
      <c r="GV176" s="54">
        <f t="shared" si="320"/>
        <v>0.26935020107061902</v>
      </c>
      <c r="GW176" s="72" t="str">
        <f t="shared" si="321"/>
        <v/>
      </c>
      <c r="HC176" s="54">
        <f t="shared" si="322"/>
        <v>166</v>
      </c>
      <c r="HD176" s="54">
        <f t="shared" si="323"/>
        <v>167</v>
      </c>
      <c r="HE176" s="54">
        <f t="shared" si="324"/>
        <v>1.3725249322451036</v>
      </c>
      <c r="HF176" s="54" t="e">
        <f t="shared" si="325"/>
        <v>#N/A</v>
      </c>
      <c r="HG176" s="54">
        <f t="shared" si="326"/>
        <v>0.14840322085312829</v>
      </c>
      <c r="HH176" s="54" t="e">
        <f t="shared" si="327"/>
        <v>#N/A</v>
      </c>
      <c r="HI176" s="54" t="e">
        <f t="shared" si="328"/>
        <v>#N/A</v>
      </c>
      <c r="HJ176" s="54" t="b">
        <f t="shared" si="329"/>
        <v>1</v>
      </c>
      <c r="HK176" s="54" t="b">
        <f t="shared" si="330"/>
        <v>0</v>
      </c>
      <c r="HL176" s="54" t="b">
        <f t="shared" si="331"/>
        <v>0</v>
      </c>
      <c r="HM176" s="54" t="b">
        <f t="shared" si="332"/>
        <v>1</v>
      </c>
      <c r="HN176" s="54">
        <f t="shared" si="333"/>
        <v>0.14840322085312829</v>
      </c>
      <c r="HO176" s="54">
        <f t="shared" si="334"/>
        <v>0.14840322085312829</v>
      </c>
      <c r="HP176" s="54" t="e">
        <f t="shared" si="335"/>
        <v>#N/A</v>
      </c>
      <c r="HQ176" s="72" t="str">
        <f t="shared" si="336"/>
        <v/>
      </c>
    </row>
    <row r="177" spans="71:225" x14ac:dyDescent="0.2">
      <c r="BS177" s="54">
        <f t="shared" si="263"/>
        <v>167</v>
      </c>
      <c r="BT177" s="54">
        <f>Eu_tabel_g[[#This Row],[Indeks]]+1</f>
        <v>168</v>
      </c>
      <c r="BU177" s="54">
        <f t="shared" si="264"/>
        <v>0.91030098941377435</v>
      </c>
      <c r="BV177" s="54">
        <f t="shared" si="265"/>
        <v>0.26361581581156529</v>
      </c>
      <c r="BW177" s="54" t="e">
        <f t="shared" si="266"/>
        <v>#N/A</v>
      </c>
      <c r="BX177" s="54" t="e">
        <f t="shared" si="267"/>
        <v>#N/A</v>
      </c>
      <c r="BY177" s="54" t="e">
        <f t="shared" si="268"/>
        <v>#N/A</v>
      </c>
      <c r="BZ177" s="54" t="b">
        <f t="shared" si="269"/>
        <v>0</v>
      </c>
      <c r="CA177" s="54" t="b">
        <f t="shared" si="270"/>
        <v>1</v>
      </c>
      <c r="CB177" s="54" t="b">
        <f t="shared" si="271"/>
        <v>0</v>
      </c>
      <c r="CC177" s="54" t="b">
        <f t="shared" si="272"/>
        <v>1</v>
      </c>
      <c r="CD177" s="54">
        <f t="shared" si="337"/>
        <v>0.26361581581156529</v>
      </c>
      <c r="CE177" s="54" t="e">
        <f t="shared" si="273"/>
        <v>#N/A</v>
      </c>
      <c r="CF177" s="54">
        <f t="shared" si="274"/>
        <v>0.26361581581156529</v>
      </c>
      <c r="CG177" s="72" t="str">
        <f t="shared" si="275"/>
        <v/>
      </c>
      <c r="CH177" s="54">
        <f>_xlfn.NORM.DIST(_xlfn.NORM.INV(1-Eu_g_konfidensniveau,0,1)-Eu_tabel_g[[#This Row],[x base]],0,1,TRUE)</f>
        <v>5.3070319351234858E-3</v>
      </c>
      <c r="CI177" s="54">
        <f>1-_xlfn.NORM.DIST(_xlfn.NORM.INV(Eu_g_konfidensniveau,0,1)-Eu_tabel_g[[#This Row],[x base]],0,1,TRUE)</f>
        <v>0.23130599584174627</v>
      </c>
      <c r="CJ177" s="54">
        <f>_xlfn.NORM.DIST(_xlfn.NORM.INV((1-Eu_g_konfidensniveau)/2,0,1)-Eu_tabel_g[[#This Row],[x base]],0,1,TRUE)+1-_xlfn.NORM.DIST(_xlfn.NORM.INV(1-(1-Eu_g_konfidensniveau)/2,0,1)-Eu_tabel_g[[#This Row],[x base]],0,1,TRUE)</f>
        <v>0.1489871812732273</v>
      </c>
      <c r="CK177" s="54" t="e" cm="1">
        <f t="array" ref="CK177">IF($CK$3,INDEX(Eu_tabel_g[[#This Row],[Styrke venstre]:[Styrke tosidet]],CK$7),NA())</f>
        <v>#N/A</v>
      </c>
      <c r="CL177" s="99" t="e">
        <f>Eu_tabel_g[[#This Row],[Falsk positiv
Nulhypotese accepteres
Fejltype 1]]</f>
        <v>#N/A</v>
      </c>
      <c r="CM177" s="99" t="e">
        <f>IF(CHOOSE(CK$7,Eu_tabel_g[[#This Row],[x base]]&gt;0,Eu_tabel_g[[#This Row],[x base]]&lt;0,Eu_tabel_g[[#This Row],[x base]]=0),Eu_tabel_g[[#This Row],[Styrke, aktiv]],NA())</f>
        <v>#N/A</v>
      </c>
      <c r="CN177" s="99" t="e">
        <f>IFERROR(IF($CK$3,Eu_tabel_g[[#This Row],[Styrke, aktiv]],NA()),NA())</f>
        <v>#N/A</v>
      </c>
      <c r="CO177" s="99" t="e">
        <f>IF(ISNA(Eu_tabel_g[[#This Row],[Sand negativ
Nulhypotese afvises
Korrekt]]),NA(),IF($CK$3,1,NA()))</f>
        <v>#N/A</v>
      </c>
      <c r="CP177" s="56" t="str" cm="1">
        <f t="array" ref="CP177">_xlfn.SWITCH(BS177,_xlfn.IFNA(CN$2,-99),CN$5,_xlfn.IFNA(CN$3,-99),CN$6,_xlfn.IFNA(CN$4,-99),CN$7,"")</f>
        <v/>
      </c>
      <c r="CT177" s="7">
        <f t="shared" si="276"/>
        <v>0.8</v>
      </c>
      <c r="CU177">
        <f>IF(ROW(Styrkeberegning_G[[#This Row],[X base venstre]])=ROW(Styrkeberegning_G[[#Headers],[X base venstre]])+1,CU$7/(CT$7/$B$67),CU176/(CT176/$B$67))</f>
        <v>-2.8015817870135784</v>
      </c>
      <c r="CV177">
        <f>Styrkeberegning_G[[#This Row],[X base venstre]]*-1</f>
        <v>2.8015817870135784</v>
      </c>
      <c r="DG177" s="54">
        <f t="shared" si="277"/>
        <v>167</v>
      </c>
      <c r="DH177" s="54">
        <f t="shared" si="278"/>
        <v>168</v>
      </c>
      <c r="DI177" s="54">
        <f t="shared" si="279"/>
        <v>20.883685686292857</v>
      </c>
      <c r="DJ177" s="54" t="e">
        <f t="shared" si="280"/>
        <v>#N/A</v>
      </c>
      <c r="DK177" s="54" t="e">
        <f t="shared" si="281"/>
        <v>#N/A</v>
      </c>
      <c r="DL177" s="54">
        <f t="shared" si="282"/>
        <v>1.0709660317246334E-2</v>
      </c>
      <c r="DM177" s="54" t="e">
        <f t="shared" si="283"/>
        <v>#N/A</v>
      </c>
      <c r="DN177" s="54" t="b">
        <f t="shared" si="284"/>
        <v>0</v>
      </c>
      <c r="DO177" s="54" t="b">
        <f t="shared" si="285"/>
        <v>1</v>
      </c>
      <c r="DP177" s="54" t="b">
        <f t="shared" si="286"/>
        <v>0</v>
      </c>
      <c r="DQ177" s="54" t="b">
        <f t="shared" si="287"/>
        <v>1</v>
      </c>
      <c r="DR177" s="54">
        <f t="shared" si="288"/>
        <v>1.0709660317246334E-2</v>
      </c>
      <c r="DS177" s="54" t="e">
        <f t="shared" si="289"/>
        <v>#N/A</v>
      </c>
      <c r="DT177" s="54">
        <f t="shared" si="290"/>
        <v>1.0709660317246334E-2</v>
      </c>
      <c r="DU177" s="72" t="str">
        <f t="shared" si="291"/>
        <v/>
      </c>
      <c r="DZ177" s="54">
        <f t="shared" si="292"/>
        <v>167</v>
      </c>
      <c r="EA177" s="54">
        <f t="shared" si="293"/>
        <v>168</v>
      </c>
      <c r="EB177" s="54">
        <f t="shared" si="294"/>
        <v>0.91030098941377435</v>
      </c>
      <c r="EC177" s="54">
        <f t="shared" si="295"/>
        <v>0.26361581581156529</v>
      </c>
      <c r="ED177" s="54" t="e">
        <f t="shared" si="296"/>
        <v>#N/A</v>
      </c>
      <c r="EE177" s="54" t="e">
        <f t="shared" si="297"/>
        <v>#N/A</v>
      </c>
      <c r="EF177" s="54" t="e">
        <f t="shared" si="298"/>
        <v>#N/A</v>
      </c>
      <c r="EG177" s="54" t="b">
        <f t="shared" si="299"/>
        <v>0</v>
      </c>
      <c r="EH177" s="54" t="b">
        <f t="shared" si="300"/>
        <v>1</v>
      </c>
      <c r="EI177" s="54" t="b">
        <f t="shared" si="301"/>
        <v>0</v>
      </c>
      <c r="EJ177" s="54" t="b">
        <f t="shared" si="302"/>
        <v>1</v>
      </c>
      <c r="EK177" s="54">
        <f t="shared" si="303"/>
        <v>0.26361581581156529</v>
      </c>
      <c r="EL177" s="54" t="e">
        <f t="shared" si="304"/>
        <v>#N/A</v>
      </c>
      <c r="EM177" s="54">
        <f t="shared" si="305"/>
        <v>0.26361581581156529</v>
      </c>
      <c r="EN177" s="72" t="str">
        <f t="shared" si="306"/>
        <v/>
      </c>
      <c r="EO17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7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7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77" s="54" t="e" cm="1">
        <f t="array" ref="ER177">IF($CK$3,INDEX(Eu_tabel_a[[#This Row],[Styrke venstre]:[Styrke tosidet]],ER$7),NA())</f>
        <v>#N/A</v>
      </c>
      <c r="ES177" s="54" t="e">
        <f>IF(ER$3,IF(CHOOSE(ER$7,Eu_tabel_a[[#This Row],[x base]]&gt;0,Eu_tabel_a[[#This Row],[x base]]&lt;0,Eu_tabel_a[[#This Row],[x base]]=0),1,NA()),NA())</f>
        <v>#N/A</v>
      </c>
      <c r="ET177" s="54" t="e">
        <f>IF(CHOOSE(ER$7,Eu_tabel_a[[#This Row],[x base]]&gt;0,Eu_tabel_a[[#This Row],[x base]]&lt;0,Eu_tabel_a[[#This Row],[x base]]=0),Eu_tabel_a[[#This Row],[Styrke, aktiv]],NA())</f>
        <v>#N/A</v>
      </c>
      <c r="EU177" s="54" t="e">
        <f>IFERROR(IF($ER$3,Eu_tabel_a[[#This Row],[Styrke, aktiv]],NA()),NA())</f>
        <v>#N/A</v>
      </c>
      <c r="EV177" s="54" t="e">
        <f>IF(ISNA(Eu_tabel_a[[#This Row],[Sand negativ
Nulhypotese afvises
Korrekt]]),NA(),IF(ER$3,1,NA()))</f>
        <v>#N/A</v>
      </c>
      <c r="EW177" s="55" t="str" cm="1">
        <f t="array" ref="EW177">IFERROR(_xlfn.SWITCH(Eu_tabel_a[[#This Row],[Indeks]],_xlfn.IFNA(EU$2,-99),EU$5,_xlfn.IFNA(EU$3,-99),EU$6,_xlfn.IFNA(EU$4,-99),EU$7,""),"")</f>
        <v/>
      </c>
      <c r="EX177" s="54">
        <f>Eu_tabel_a[[#This Row],[x base]]*SQRT(Eu_a_h0_x*(1-Eu_a_h0_x)/Eu_a_n_x)+Eu_a_h0_x</f>
        <v>0</v>
      </c>
      <c r="FC177" s="161" t="e">
        <f t="shared" si="250"/>
        <v>#N/A</v>
      </c>
      <c r="FD177" s="169" t="e">
        <f t="shared" si="338"/>
        <v>#DIV/0!</v>
      </c>
      <c r="FE177" s="7" t="e">
        <f t="shared" si="244"/>
        <v>#DIV/0!</v>
      </c>
      <c r="FF177" t="e">
        <f t="shared" si="339"/>
        <v>#DIV/0!</v>
      </c>
      <c r="FG177" s="8" t="e">
        <f t="shared" si="340"/>
        <v>#DIV/0!</v>
      </c>
      <c r="FH177" s="8" t="e">
        <f t="shared" si="341"/>
        <v>#DIV/0!</v>
      </c>
      <c r="FI177" s="168" t="e">
        <f t="shared" si="342"/>
        <v>#DIV/0!</v>
      </c>
      <c r="FJ177" s="161" t="e">
        <f t="shared" ca="1" si="245"/>
        <v>#N/A</v>
      </c>
      <c r="FK177" s="169" t="e" vm="3">
        <f t="shared" ca="1" si="251"/>
        <v>#VALUE!</v>
      </c>
      <c r="FL177" s="7" t="e" vm="3">
        <f t="shared" ca="1" si="246"/>
        <v>#VALUE!</v>
      </c>
      <c r="FM177" t="e" vm="3">
        <f t="shared" ca="1" si="240"/>
        <v>#VALUE!</v>
      </c>
      <c r="FN177" s="8" t="e" vm="3">
        <f t="shared" ca="1" si="241"/>
        <v>#VALUE!</v>
      </c>
      <c r="FO177" s="8" t="e" vm="3">
        <f t="shared" ca="1" si="242"/>
        <v>#VALUE!</v>
      </c>
      <c r="FP177" s="168" t="e" vm="3">
        <f t="shared" ca="1" si="243"/>
        <v>#VALUE!</v>
      </c>
      <c r="FQ177" s="161" t="e">
        <f t="shared" si="247"/>
        <v>#N/A</v>
      </c>
      <c r="FR177" s="169" t="e">
        <f t="shared" si="252"/>
        <v>#N/A</v>
      </c>
      <c r="FS177" s="7" t="e">
        <f t="shared" si="248"/>
        <v>#N/A</v>
      </c>
      <c r="FT177" t="e">
        <f t="shared" si="253"/>
        <v>#N/A</v>
      </c>
      <c r="FU177" s="8" t="e">
        <f t="shared" si="254"/>
        <v>#N/A</v>
      </c>
      <c r="FV177" s="8" t="e">
        <f t="shared" si="255"/>
        <v>#N/A</v>
      </c>
      <c r="FW177" s="168" t="e">
        <f t="shared" si="256"/>
        <v>#N/A</v>
      </c>
      <c r="FX177" s="161" t="e">
        <f t="shared" si="257"/>
        <v>#N/A</v>
      </c>
      <c r="FY177" s="169" t="e">
        <f t="shared" si="258"/>
        <v>#N/A</v>
      </c>
      <c r="FZ177" s="7" t="e">
        <f t="shared" si="249"/>
        <v>#N/A</v>
      </c>
      <c r="GA177" t="e">
        <f t="shared" si="259"/>
        <v>#N/A</v>
      </c>
      <c r="GB177" s="8" t="e">
        <f t="shared" si="260"/>
        <v>#N/A</v>
      </c>
      <c r="GC177" s="8" t="e">
        <f t="shared" si="261"/>
        <v>#N/A</v>
      </c>
      <c r="GD177" s="168" t="e">
        <f t="shared" si="262"/>
        <v>#N/A</v>
      </c>
      <c r="GE177" s="168"/>
      <c r="GF177" s="168"/>
      <c r="GI177" s="54">
        <f t="shared" si="307"/>
        <v>167</v>
      </c>
      <c r="GJ177" s="54">
        <f t="shared" si="308"/>
        <v>168</v>
      </c>
      <c r="GK177" s="54">
        <f t="shared" si="309"/>
        <v>0.91030098941377435</v>
      </c>
      <c r="GL177" s="54">
        <f t="shared" si="310"/>
        <v>0.26361581581156529</v>
      </c>
      <c r="GM177" s="54" t="e">
        <f t="shared" si="311"/>
        <v>#N/A</v>
      </c>
      <c r="GN177" s="54" t="e">
        <f t="shared" si="312"/>
        <v>#N/A</v>
      </c>
      <c r="GO177" s="54" t="e">
        <f t="shared" si="313"/>
        <v>#N/A</v>
      </c>
      <c r="GP177" s="54" t="b">
        <f t="shared" si="314"/>
        <v>0</v>
      </c>
      <c r="GQ177" s="54" t="b">
        <f t="shared" si="315"/>
        <v>1</v>
      </c>
      <c r="GR177" s="54" t="b">
        <f t="shared" si="316"/>
        <v>0</v>
      </c>
      <c r="GS177" s="54" t="b">
        <f t="shared" si="317"/>
        <v>1</v>
      </c>
      <c r="GT177" s="54">
        <f t="shared" si="318"/>
        <v>0.26361581581156529</v>
      </c>
      <c r="GU177" s="54" t="e">
        <f t="shared" si="319"/>
        <v>#N/A</v>
      </c>
      <c r="GV177" s="54">
        <f t="shared" si="320"/>
        <v>0.26361581581156529</v>
      </c>
      <c r="GW177" s="72" t="str">
        <f t="shared" si="321"/>
        <v/>
      </c>
      <c r="HC177" s="54">
        <f t="shared" si="322"/>
        <v>167</v>
      </c>
      <c r="HD177" s="54">
        <f t="shared" si="323"/>
        <v>168</v>
      </c>
      <c r="HE177" s="54">
        <f t="shared" si="324"/>
        <v>1.4096202006841603</v>
      </c>
      <c r="HF177" s="54" t="e">
        <f t="shared" si="325"/>
        <v>#N/A</v>
      </c>
      <c r="HG177" s="54">
        <f t="shared" si="326"/>
        <v>0.14170287181765581</v>
      </c>
      <c r="HH177" s="54" t="e">
        <f t="shared" si="327"/>
        <v>#N/A</v>
      </c>
      <c r="HI177" s="54" t="e">
        <f t="shared" si="328"/>
        <v>#N/A</v>
      </c>
      <c r="HJ177" s="54" t="b">
        <f t="shared" si="329"/>
        <v>1</v>
      </c>
      <c r="HK177" s="54" t="b">
        <f t="shared" si="330"/>
        <v>0</v>
      </c>
      <c r="HL177" s="54" t="b">
        <f t="shared" si="331"/>
        <v>0</v>
      </c>
      <c r="HM177" s="54" t="b">
        <f t="shared" si="332"/>
        <v>1</v>
      </c>
      <c r="HN177" s="54">
        <f t="shared" si="333"/>
        <v>0.14170287181765581</v>
      </c>
      <c r="HO177" s="54">
        <f t="shared" si="334"/>
        <v>0.14170287181765581</v>
      </c>
      <c r="HP177" s="54" t="e">
        <f t="shared" si="335"/>
        <v>#N/A</v>
      </c>
      <c r="HQ177" s="72" t="str">
        <f t="shared" si="336"/>
        <v/>
      </c>
    </row>
    <row r="178" spans="71:225" x14ac:dyDescent="0.2">
      <c r="BS178" s="54">
        <f t="shared" si="263"/>
        <v>168</v>
      </c>
      <c r="BT178" s="54">
        <f>Eu_tabel_g[[#This Row],[Indeks]]+1</f>
        <v>169</v>
      </c>
      <c r="BU178" s="54">
        <f t="shared" si="264"/>
        <v>0.93425627860887328</v>
      </c>
      <c r="BV178" s="54">
        <f t="shared" si="265"/>
        <v>0.25785549954028952</v>
      </c>
      <c r="BW178" s="54" t="e">
        <f t="shared" si="266"/>
        <v>#N/A</v>
      </c>
      <c r="BX178" s="54" t="e">
        <f t="shared" si="267"/>
        <v>#N/A</v>
      </c>
      <c r="BY178" s="54" t="e">
        <f t="shared" si="268"/>
        <v>#N/A</v>
      </c>
      <c r="BZ178" s="54" t="b">
        <f t="shared" si="269"/>
        <v>0</v>
      </c>
      <c r="CA178" s="54" t="b">
        <f t="shared" si="270"/>
        <v>1</v>
      </c>
      <c r="CB178" s="54" t="b">
        <f t="shared" si="271"/>
        <v>0</v>
      </c>
      <c r="CC178" s="54" t="b">
        <f t="shared" si="272"/>
        <v>1</v>
      </c>
      <c r="CD178" s="54">
        <f t="shared" si="337"/>
        <v>0.25785549954028952</v>
      </c>
      <c r="CE178" s="54" t="e">
        <f t="shared" si="273"/>
        <v>#N/A</v>
      </c>
      <c r="CF178" s="54">
        <f t="shared" si="274"/>
        <v>0.25785549954028952</v>
      </c>
      <c r="CG178" s="72" t="str">
        <f t="shared" si="275"/>
        <v/>
      </c>
      <c r="CH178" s="54">
        <f>_xlfn.NORM.DIST(_xlfn.NORM.INV(1-Eu_g_konfidensniveau,0,1)-Eu_tabel_g[[#This Row],[x base]],0,1,TRUE)</f>
        <v>4.9527632854500766E-3</v>
      </c>
      <c r="CI178" s="54">
        <f>1-_xlfn.NORM.DIST(_xlfn.NORM.INV(Eu_g_konfidensniveau,0,1)-Eu_tabel_g[[#This Row],[x base]],0,1,TRUE)</f>
        <v>0.23866689337442759</v>
      </c>
      <c r="CJ178" s="54">
        <f>_xlfn.NORM.DIST(_xlfn.NORM.INV((1-Eu_g_konfidensniveau)/2,0,1)-Eu_tabel_g[[#This Row],[x base]],0,1,TRUE)+1-_xlfn.NORM.DIST(_xlfn.NORM.INV(1-(1-Eu_g_konfidensniveau)/2,0,1)-Eu_tabel_g[[#This Row],[x base]],0,1,TRUE)</f>
        <v>0.15441519761232736</v>
      </c>
      <c r="CK178" s="54" t="e" cm="1">
        <f t="array" ref="CK178">IF($CK$3,INDEX(Eu_tabel_g[[#This Row],[Styrke venstre]:[Styrke tosidet]],CK$7),NA())</f>
        <v>#N/A</v>
      </c>
      <c r="CL178" s="99" t="e">
        <f>Eu_tabel_g[[#This Row],[Falsk positiv
Nulhypotese accepteres
Fejltype 1]]</f>
        <v>#N/A</v>
      </c>
      <c r="CM178" s="99" t="e">
        <f>IF(CHOOSE(CK$7,Eu_tabel_g[[#This Row],[x base]]&gt;0,Eu_tabel_g[[#This Row],[x base]]&lt;0,Eu_tabel_g[[#This Row],[x base]]=0),Eu_tabel_g[[#This Row],[Styrke, aktiv]],NA())</f>
        <v>#N/A</v>
      </c>
      <c r="CN178" s="99" t="e">
        <f>IFERROR(IF($CK$3,Eu_tabel_g[[#This Row],[Styrke, aktiv]],NA()),NA())</f>
        <v>#N/A</v>
      </c>
      <c r="CO178" s="99" t="e">
        <f>IF(ISNA(Eu_tabel_g[[#This Row],[Sand negativ
Nulhypotese afvises
Korrekt]]),NA(),IF($CK$3,1,NA()))</f>
        <v>#N/A</v>
      </c>
      <c r="CP178" s="56" t="str" cm="1">
        <f t="array" ref="CP178">_xlfn.SWITCH(BS178,_xlfn.IFNA(CN$2,-99),CN$5,_xlfn.IFNA(CN$3,-99),CN$6,_xlfn.IFNA(CN$4,-99),CN$7,"")</f>
        <v/>
      </c>
      <c r="CT178" s="7">
        <f t="shared" si="276"/>
        <v>0.8</v>
      </c>
      <c r="CU178">
        <f>IF(ROW(Styrkeberegning_G[[#This Row],[X base venstre]])=ROW(Styrkeberegning_G[[#Headers],[X base venstre]])+1,CU$7/(CT$7/$B$67),CU177/(CT177/$B$67))</f>
        <v>-2.8015817870135784</v>
      </c>
      <c r="CV178">
        <f>Styrkeberegning_G[[#This Row],[X base venstre]]*-1</f>
        <v>2.8015817870135784</v>
      </c>
      <c r="DG178" s="54">
        <f t="shared" si="277"/>
        <v>168</v>
      </c>
      <c r="DH178" s="54">
        <f t="shared" si="278"/>
        <v>169</v>
      </c>
      <c r="DI178" s="54">
        <f t="shared" si="279"/>
        <v>20.997756542709858</v>
      </c>
      <c r="DJ178" s="54" t="e">
        <f t="shared" si="280"/>
        <v>#N/A</v>
      </c>
      <c r="DK178" s="54" t="e">
        <f t="shared" si="281"/>
        <v>#N/A</v>
      </c>
      <c r="DL178" s="54">
        <f t="shared" si="282"/>
        <v>1.0366959214378312E-2</v>
      </c>
      <c r="DM178" s="54" t="e">
        <f t="shared" si="283"/>
        <v>#N/A</v>
      </c>
      <c r="DN178" s="54" t="b">
        <f t="shared" si="284"/>
        <v>0</v>
      </c>
      <c r="DO178" s="54" t="b">
        <f t="shared" si="285"/>
        <v>1</v>
      </c>
      <c r="DP178" s="54" t="b">
        <f t="shared" si="286"/>
        <v>0</v>
      </c>
      <c r="DQ178" s="54" t="b">
        <f t="shared" si="287"/>
        <v>1</v>
      </c>
      <c r="DR178" s="54">
        <f t="shared" si="288"/>
        <v>1.0366959214378312E-2</v>
      </c>
      <c r="DS178" s="54" t="e">
        <f t="shared" si="289"/>
        <v>#N/A</v>
      </c>
      <c r="DT178" s="54">
        <f t="shared" si="290"/>
        <v>1.0366959214378312E-2</v>
      </c>
      <c r="DU178" s="72" t="str">
        <f t="shared" si="291"/>
        <v/>
      </c>
      <c r="DZ178" s="54">
        <f t="shared" si="292"/>
        <v>168</v>
      </c>
      <c r="EA178" s="54">
        <f t="shared" si="293"/>
        <v>169</v>
      </c>
      <c r="EB178" s="54">
        <f t="shared" si="294"/>
        <v>0.93425627860887328</v>
      </c>
      <c r="EC178" s="54">
        <f t="shared" si="295"/>
        <v>0.25785549954028952</v>
      </c>
      <c r="ED178" s="54" t="e">
        <f t="shared" si="296"/>
        <v>#N/A</v>
      </c>
      <c r="EE178" s="54" t="e">
        <f t="shared" si="297"/>
        <v>#N/A</v>
      </c>
      <c r="EF178" s="54" t="e">
        <f t="shared" si="298"/>
        <v>#N/A</v>
      </c>
      <c r="EG178" s="54" t="b">
        <f t="shared" si="299"/>
        <v>0</v>
      </c>
      <c r="EH178" s="54" t="b">
        <f t="shared" si="300"/>
        <v>1</v>
      </c>
      <c r="EI178" s="54" t="b">
        <f t="shared" si="301"/>
        <v>0</v>
      </c>
      <c r="EJ178" s="54" t="b">
        <f t="shared" si="302"/>
        <v>1</v>
      </c>
      <c r="EK178" s="54">
        <f t="shared" si="303"/>
        <v>0.25785549954028952</v>
      </c>
      <c r="EL178" s="54" t="e">
        <f t="shared" si="304"/>
        <v>#N/A</v>
      </c>
      <c r="EM178" s="54">
        <f t="shared" si="305"/>
        <v>0.25785549954028952</v>
      </c>
      <c r="EN178" s="72" t="str">
        <f t="shared" si="306"/>
        <v/>
      </c>
      <c r="EO17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7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7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78" s="54" t="e" cm="1">
        <f t="array" ref="ER178">IF($CK$3,INDEX(Eu_tabel_a[[#This Row],[Styrke venstre]:[Styrke tosidet]],ER$7),NA())</f>
        <v>#N/A</v>
      </c>
      <c r="ES178" s="54" t="e">
        <f>IF(ER$3,IF(CHOOSE(ER$7,Eu_tabel_a[[#This Row],[x base]]&gt;0,Eu_tabel_a[[#This Row],[x base]]&lt;0,Eu_tabel_a[[#This Row],[x base]]=0),1,NA()),NA())</f>
        <v>#N/A</v>
      </c>
      <c r="ET178" s="54" t="e">
        <f>IF(CHOOSE(ER$7,Eu_tabel_a[[#This Row],[x base]]&gt;0,Eu_tabel_a[[#This Row],[x base]]&lt;0,Eu_tabel_a[[#This Row],[x base]]=0),Eu_tabel_a[[#This Row],[Styrke, aktiv]],NA())</f>
        <v>#N/A</v>
      </c>
      <c r="EU178" s="54" t="e">
        <f>IFERROR(IF($ER$3,Eu_tabel_a[[#This Row],[Styrke, aktiv]],NA()),NA())</f>
        <v>#N/A</v>
      </c>
      <c r="EV178" s="54" t="e">
        <f>IF(ISNA(Eu_tabel_a[[#This Row],[Sand negativ
Nulhypotese afvises
Korrekt]]),NA(),IF(ER$3,1,NA()))</f>
        <v>#N/A</v>
      </c>
      <c r="EW178" s="55" t="str" cm="1">
        <f t="array" ref="EW178">IFERROR(_xlfn.SWITCH(Eu_tabel_a[[#This Row],[Indeks]],_xlfn.IFNA(EU$2,-99),EU$5,_xlfn.IFNA(EU$3,-99),EU$6,_xlfn.IFNA(EU$4,-99),EU$7,""),"")</f>
        <v/>
      </c>
      <c r="EX178" s="54">
        <f>Eu_tabel_a[[#This Row],[x base]]*SQRT(Eu_a_h0_x*(1-Eu_a_h0_x)/Eu_a_n_x)+Eu_a_h0_x</f>
        <v>0</v>
      </c>
      <c r="FC178" s="161" t="e">
        <f t="shared" si="250"/>
        <v>#N/A</v>
      </c>
      <c r="FD178" s="169" t="e">
        <f t="shared" si="338"/>
        <v>#DIV/0!</v>
      </c>
      <c r="FE178" s="7" t="e">
        <f t="shared" si="244"/>
        <v>#DIV/0!</v>
      </c>
      <c r="FF178" t="e">
        <f t="shared" si="339"/>
        <v>#DIV/0!</v>
      </c>
      <c r="FG178" s="8" t="e">
        <f t="shared" si="340"/>
        <v>#DIV/0!</v>
      </c>
      <c r="FH178" s="8" t="e">
        <f t="shared" si="341"/>
        <v>#DIV/0!</v>
      </c>
      <c r="FI178" s="168" t="e">
        <f t="shared" si="342"/>
        <v>#DIV/0!</v>
      </c>
      <c r="FJ178" s="161" t="e">
        <f t="shared" ca="1" si="245"/>
        <v>#N/A</v>
      </c>
      <c r="FK178" s="169" t="e" vm="3">
        <f t="shared" ca="1" si="251"/>
        <v>#VALUE!</v>
      </c>
      <c r="FL178" s="7" t="e" vm="3">
        <f t="shared" ca="1" si="246"/>
        <v>#VALUE!</v>
      </c>
      <c r="FM178" t="e" vm="3">
        <f t="shared" ca="1" si="240"/>
        <v>#VALUE!</v>
      </c>
      <c r="FN178" s="8" t="e" vm="3">
        <f t="shared" ca="1" si="241"/>
        <v>#VALUE!</v>
      </c>
      <c r="FO178" s="8" t="e" vm="3">
        <f t="shared" ca="1" si="242"/>
        <v>#VALUE!</v>
      </c>
      <c r="FP178" s="168" t="e" vm="3">
        <f t="shared" ca="1" si="243"/>
        <v>#VALUE!</v>
      </c>
      <c r="FQ178" s="161" t="e">
        <f t="shared" si="247"/>
        <v>#N/A</v>
      </c>
      <c r="FR178" s="169" t="e">
        <f t="shared" si="252"/>
        <v>#N/A</v>
      </c>
      <c r="FS178" s="7" t="e">
        <f t="shared" si="248"/>
        <v>#N/A</v>
      </c>
      <c r="FT178" t="e">
        <f t="shared" si="253"/>
        <v>#N/A</v>
      </c>
      <c r="FU178" s="8" t="e">
        <f t="shared" si="254"/>
        <v>#N/A</v>
      </c>
      <c r="FV178" s="8" t="e">
        <f t="shared" si="255"/>
        <v>#N/A</v>
      </c>
      <c r="FW178" s="168" t="e">
        <f t="shared" si="256"/>
        <v>#N/A</v>
      </c>
      <c r="FX178" s="161" t="e">
        <f t="shared" si="257"/>
        <v>#N/A</v>
      </c>
      <c r="FY178" s="169" t="e">
        <f t="shared" si="258"/>
        <v>#N/A</v>
      </c>
      <c r="FZ178" s="7" t="e">
        <f t="shared" si="249"/>
        <v>#N/A</v>
      </c>
      <c r="GA178" t="e">
        <f t="shared" si="259"/>
        <v>#N/A</v>
      </c>
      <c r="GB178" s="8" t="e">
        <f t="shared" si="260"/>
        <v>#N/A</v>
      </c>
      <c r="GC178" s="8" t="e">
        <f t="shared" si="261"/>
        <v>#N/A</v>
      </c>
      <c r="GD178" s="168" t="e">
        <f t="shared" si="262"/>
        <v>#N/A</v>
      </c>
      <c r="GE178" s="168"/>
      <c r="GF178" s="168"/>
      <c r="GI178" s="54">
        <f t="shared" si="307"/>
        <v>168</v>
      </c>
      <c r="GJ178" s="54">
        <f t="shared" si="308"/>
        <v>169</v>
      </c>
      <c r="GK178" s="54">
        <f t="shared" si="309"/>
        <v>0.93425627860887328</v>
      </c>
      <c r="GL178" s="54">
        <f t="shared" si="310"/>
        <v>0.25785549954028952</v>
      </c>
      <c r="GM178" s="54" t="e">
        <f t="shared" si="311"/>
        <v>#N/A</v>
      </c>
      <c r="GN178" s="54" t="e">
        <f t="shared" si="312"/>
        <v>#N/A</v>
      </c>
      <c r="GO178" s="54" t="e">
        <f t="shared" si="313"/>
        <v>#N/A</v>
      </c>
      <c r="GP178" s="54" t="b">
        <f t="shared" si="314"/>
        <v>0</v>
      </c>
      <c r="GQ178" s="54" t="b">
        <f t="shared" si="315"/>
        <v>1</v>
      </c>
      <c r="GR178" s="54" t="b">
        <f t="shared" si="316"/>
        <v>0</v>
      </c>
      <c r="GS178" s="54" t="b">
        <f t="shared" si="317"/>
        <v>1</v>
      </c>
      <c r="GT178" s="54">
        <f t="shared" si="318"/>
        <v>0.25785549954028952</v>
      </c>
      <c r="GU178" s="54" t="e">
        <f t="shared" si="319"/>
        <v>#N/A</v>
      </c>
      <c r="GV178" s="54">
        <f t="shared" si="320"/>
        <v>0.25785549954028952</v>
      </c>
      <c r="GW178" s="72" t="str">
        <f t="shared" si="321"/>
        <v/>
      </c>
      <c r="HC178" s="54">
        <f t="shared" si="322"/>
        <v>168</v>
      </c>
      <c r="HD178" s="54">
        <f t="shared" si="323"/>
        <v>169</v>
      </c>
      <c r="HE178" s="54">
        <f t="shared" si="324"/>
        <v>1.4467154691232169</v>
      </c>
      <c r="HF178" s="54" t="e">
        <f t="shared" si="325"/>
        <v>#N/A</v>
      </c>
      <c r="HG178" s="54">
        <f t="shared" si="326"/>
        <v>0.13521261842852653</v>
      </c>
      <c r="HH178" s="54" t="e">
        <f t="shared" si="327"/>
        <v>#N/A</v>
      </c>
      <c r="HI178" s="54" t="e">
        <f t="shared" si="328"/>
        <v>#N/A</v>
      </c>
      <c r="HJ178" s="54" t="b">
        <f t="shared" si="329"/>
        <v>1</v>
      </c>
      <c r="HK178" s="54" t="b">
        <f t="shared" si="330"/>
        <v>0</v>
      </c>
      <c r="HL178" s="54" t="b">
        <f t="shared" si="331"/>
        <v>0</v>
      </c>
      <c r="HM178" s="54" t="b">
        <f t="shared" si="332"/>
        <v>1</v>
      </c>
      <c r="HN178" s="54">
        <f t="shared" si="333"/>
        <v>0.13521261842852653</v>
      </c>
      <c r="HO178" s="54">
        <f t="shared" si="334"/>
        <v>0.13521261842852653</v>
      </c>
      <c r="HP178" s="54" t="e">
        <f t="shared" si="335"/>
        <v>#N/A</v>
      </c>
      <c r="HQ178" s="72" t="str">
        <f t="shared" si="336"/>
        <v/>
      </c>
    </row>
    <row r="179" spans="71:225" x14ac:dyDescent="0.2">
      <c r="BS179" s="54">
        <f t="shared" si="263"/>
        <v>169</v>
      </c>
      <c r="BT179" s="54">
        <f>Eu_tabel_g[[#This Row],[Indeks]]+1</f>
        <v>170</v>
      </c>
      <c r="BU179" s="54">
        <f t="shared" si="264"/>
        <v>0.9582115678039731</v>
      </c>
      <c r="BV179" s="54">
        <f t="shared" si="265"/>
        <v>0.25207635595578487</v>
      </c>
      <c r="BW179" s="54" t="e">
        <f t="shared" si="266"/>
        <v>#N/A</v>
      </c>
      <c r="BX179" s="54" t="e">
        <f t="shared" si="267"/>
        <v>#N/A</v>
      </c>
      <c r="BY179" s="54" t="e">
        <f t="shared" si="268"/>
        <v>#N/A</v>
      </c>
      <c r="BZ179" s="54" t="b">
        <f t="shared" si="269"/>
        <v>0</v>
      </c>
      <c r="CA179" s="54" t="b">
        <f t="shared" si="270"/>
        <v>1</v>
      </c>
      <c r="CB179" s="54" t="b">
        <f t="shared" si="271"/>
        <v>0</v>
      </c>
      <c r="CC179" s="54" t="b">
        <f t="shared" si="272"/>
        <v>1</v>
      </c>
      <c r="CD179" s="54">
        <f t="shared" si="337"/>
        <v>0.25207635595578487</v>
      </c>
      <c r="CE179" s="54" t="e">
        <f t="shared" si="273"/>
        <v>#N/A</v>
      </c>
      <c r="CF179" s="54">
        <f t="shared" si="274"/>
        <v>0.25207635595578487</v>
      </c>
      <c r="CG179" s="72" t="str">
        <f t="shared" si="275"/>
        <v/>
      </c>
      <c r="CH179" s="54">
        <f>_xlfn.NORM.DIST(_xlfn.NORM.INV(1-Eu_g_konfidensniveau,0,1)-Eu_tabel_g[[#This Row],[x base]],0,1,TRUE)</f>
        <v>4.6197191056137179E-3</v>
      </c>
      <c r="CI179" s="54">
        <f>1-_xlfn.NORM.DIST(_xlfn.NORM.INV(Eu_g_konfidensniveau,0,1)-Eu_tabel_g[[#This Row],[x base]],0,1,TRUE)</f>
        <v>0.24615415872133872</v>
      </c>
      <c r="CJ179" s="54">
        <f>_xlfn.NORM.DIST(_xlfn.NORM.INV((1-Eu_g_konfidensniveau)/2,0,1)-Eu_tabel_g[[#This Row],[x base]],0,1,TRUE)+1-_xlfn.NORM.DIST(_xlfn.NORM.INV(1-(1-Eu_g_konfidensniveau)/2,0,1)-Eu_tabel_g[[#This Row],[x base]],0,1,TRUE)</f>
        <v>0.15999202225771336</v>
      </c>
      <c r="CK179" s="54" t="e" cm="1">
        <f t="array" ref="CK179">IF($CK$3,INDEX(Eu_tabel_g[[#This Row],[Styrke venstre]:[Styrke tosidet]],CK$7),NA())</f>
        <v>#N/A</v>
      </c>
      <c r="CL179" s="99" t="e">
        <f>Eu_tabel_g[[#This Row],[Falsk positiv
Nulhypotese accepteres
Fejltype 1]]</f>
        <v>#N/A</v>
      </c>
      <c r="CM179" s="99" t="e">
        <f>IF(CHOOSE(CK$7,Eu_tabel_g[[#This Row],[x base]]&gt;0,Eu_tabel_g[[#This Row],[x base]]&lt;0,Eu_tabel_g[[#This Row],[x base]]=0),Eu_tabel_g[[#This Row],[Styrke, aktiv]],NA())</f>
        <v>#N/A</v>
      </c>
      <c r="CN179" s="99" t="e">
        <f>IFERROR(IF($CK$3,Eu_tabel_g[[#This Row],[Styrke, aktiv]],NA()),NA())</f>
        <v>#N/A</v>
      </c>
      <c r="CO179" s="99" t="e">
        <f>IF(ISNA(Eu_tabel_g[[#This Row],[Sand negativ
Nulhypotese afvises
Korrekt]]),NA(),IF($CK$3,1,NA()))</f>
        <v>#N/A</v>
      </c>
      <c r="CP179" s="56" t="str" cm="1">
        <f t="array" ref="CP179">_xlfn.SWITCH(BS179,_xlfn.IFNA(CN$2,-99),CN$5,_xlfn.IFNA(CN$3,-99),CN$6,_xlfn.IFNA(CN$4,-99),CN$7,"")</f>
        <v/>
      </c>
      <c r="CT179" s="7">
        <f t="shared" si="276"/>
        <v>0.8</v>
      </c>
      <c r="CU179">
        <f>IF(ROW(Styrkeberegning_G[[#This Row],[X base venstre]])=ROW(Styrkeberegning_G[[#Headers],[X base venstre]])+1,CU$7/(CT$7/$B$67),CU178/(CT178/$B$67))</f>
        <v>-2.8015817870135784</v>
      </c>
      <c r="CV179">
        <f>Styrkeberegning_G[[#This Row],[X base venstre]]*-1</f>
        <v>2.8015817870135784</v>
      </c>
      <c r="DG179" s="54">
        <f t="shared" si="277"/>
        <v>169</v>
      </c>
      <c r="DH179" s="54">
        <f t="shared" si="278"/>
        <v>170</v>
      </c>
      <c r="DI179" s="54">
        <f t="shared" si="279"/>
        <v>21.111827399126859</v>
      </c>
      <c r="DJ179" s="54" t="e">
        <f t="shared" si="280"/>
        <v>#N/A</v>
      </c>
      <c r="DK179" s="54" t="e">
        <f t="shared" si="281"/>
        <v>#N/A</v>
      </c>
      <c r="DL179" s="54">
        <f t="shared" si="282"/>
        <v>1.0033891625586211E-2</v>
      </c>
      <c r="DM179" s="54" t="e">
        <f t="shared" si="283"/>
        <v>#N/A</v>
      </c>
      <c r="DN179" s="54" t="b">
        <f t="shared" si="284"/>
        <v>0</v>
      </c>
      <c r="DO179" s="54" t="b">
        <f t="shared" si="285"/>
        <v>1</v>
      </c>
      <c r="DP179" s="54" t="b">
        <f t="shared" si="286"/>
        <v>0</v>
      </c>
      <c r="DQ179" s="54" t="b">
        <f t="shared" si="287"/>
        <v>1</v>
      </c>
      <c r="DR179" s="54">
        <f t="shared" si="288"/>
        <v>1.0033891625586211E-2</v>
      </c>
      <c r="DS179" s="54" t="e">
        <f t="shared" si="289"/>
        <v>#N/A</v>
      </c>
      <c r="DT179" s="54">
        <f t="shared" si="290"/>
        <v>1.0033891625586211E-2</v>
      </c>
      <c r="DU179" s="72" t="str">
        <f t="shared" si="291"/>
        <v/>
      </c>
      <c r="DZ179" s="54">
        <f t="shared" si="292"/>
        <v>169</v>
      </c>
      <c r="EA179" s="54">
        <f t="shared" si="293"/>
        <v>170</v>
      </c>
      <c r="EB179" s="54">
        <f t="shared" si="294"/>
        <v>0.9582115678039731</v>
      </c>
      <c r="EC179" s="54">
        <f t="shared" si="295"/>
        <v>0.25207635595578487</v>
      </c>
      <c r="ED179" s="54" t="e">
        <f t="shared" si="296"/>
        <v>#N/A</v>
      </c>
      <c r="EE179" s="54" t="e">
        <f t="shared" si="297"/>
        <v>#N/A</v>
      </c>
      <c r="EF179" s="54" t="e">
        <f t="shared" si="298"/>
        <v>#N/A</v>
      </c>
      <c r="EG179" s="54" t="b">
        <f t="shared" si="299"/>
        <v>0</v>
      </c>
      <c r="EH179" s="54" t="b">
        <f t="shared" si="300"/>
        <v>1</v>
      </c>
      <c r="EI179" s="54" t="b">
        <f t="shared" si="301"/>
        <v>0</v>
      </c>
      <c r="EJ179" s="54" t="b">
        <f t="shared" si="302"/>
        <v>1</v>
      </c>
      <c r="EK179" s="54">
        <f t="shared" si="303"/>
        <v>0.25207635595578487</v>
      </c>
      <c r="EL179" s="54" t="e">
        <f t="shared" si="304"/>
        <v>#N/A</v>
      </c>
      <c r="EM179" s="54">
        <f t="shared" si="305"/>
        <v>0.25207635595578487</v>
      </c>
      <c r="EN179" s="72" t="str">
        <f t="shared" si="306"/>
        <v/>
      </c>
      <c r="EO17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7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7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79" s="54" t="e" cm="1">
        <f t="array" ref="ER179">IF($CK$3,INDEX(Eu_tabel_a[[#This Row],[Styrke venstre]:[Styrke tosidet]],ER$7),NA())</f>
        <v>#N/A</v>
      </c>
      <c r="ES179" s="54" t="e">
        <f>IF(ER$3,IF(CHOOSE(ER$7,Eu_tabel_a[[#This Row],[x base]]&gt;0,Eu_tabel_a[[#This Row],[x base]]&lt;0,Eu_tabel_a[[#This Row],[x base]]=0),1,NA()),NA())</f>
        <v>#N/A</v>
      </c>
      <c r="ET179" s="54" t="e">
        <f>IF(CHOOSE(ER$7,Eu_tabel_a[[#This Row],[x base]]&gt;0,Eu_tabel_a[[#This Row],[x base]]&lt;0,Eu_tabel_a[[#This Row],[x base]]=0),Eu_tabel_a[[#This Row],[Styrke, aktiv]],NA())</f>
        <v>#N/A</v>
      </c>
      <c r="EU179" s="54" t="e">
        <f>IFERROR(IF($ER$3,Eu_tabel_a[[#This Row],[Styrke, aktiv]],NA()),NA())</f>
        <v>#N/A</v>
      </c>
      <c r="EV179" s="54" t="e">
        <f>IF(ISNA(Eu_tabel_a[[#This Row],[Sand negativ
Nulhypotese afvises
Korrekt]]),NA(),IF(ER$3,1,NA()))</f>
        <v>#N/A</v>
      </c>
      <c r="EW179" s="55" t="str" cm="1">
        <f t="array" ref="EW179">IFERROR(_xlfn.SWITCH(Eu_tabel_a[[#This Row],[Indeks]],_xlfn.IFNA(EU$2,-99),EU$5,_xlfn.IFNA(EU$3,-99),EU$6,_xlfn.IFNA(EU$4,-99),EU$7,""),"")</f>
        <v/>
      </c>
      <c r="EX179" s="54">
        <f>Eu_tabel_a[[#This Row],[x base]]*SQRT(Eu_a_h0_x*(1-Eu_a_h0_x)/Eu_a_n_x)+Eu_a_h0_x</f>
        <v>0</v>
      </c>
      <c r="FC179" s="161" t="e">
        <f t="shared" si="250"/>
        <v>#N/A</v>
      </c>
      <c r="FD179" s="169" t="e">
        <f t="shared" si="338"/>
        <v>#DIV/0!</v>
      </c>
      <c r="FE179" s="7" t="e">
        <f t="shared" si="244"/>
        <v>#DIV/0!</v>
      </c>
      <c r="FF179" t="e">
        <f t="shared" si="339"/>
        <v>#DIV/0!</v>
      </c>
      <c r="FG179" s="8" t="e">
        <f t="shared" si="340"/>
        <v>#DIV/0!</v>
      </c>
      <c r="FH179" s="8" t="e">
        <f t="shared" si="341"/>
        <v>#DIV/0!</v>
      </c>
      <c r="FI179" s="168" t="e">
        <f t="shared" si="342"/>
        <v>#DIV/0!</v>
      </c>
      <c r="FJ179" s="161" t="e">
        <f t="shared" ca="1" si="245"/>
        <v>#N/A</v>
      </c>
      <c r="FK179" s="169" t="e" vm="3">
        <f t="shared" ca="1" si="251"/>
        <v>#VALUE!</v>
      </c>
      <c r="FL179" s="7" t="e" vm="3">
        <f t="shared" ca="1" si="246"/>
        <v>#VALUE!</v>
      </c>
      <c r="FM179" t="e" vm="3">
        <f t="shared" ca="1" si="240"/>
        <v>#VALUE!</v>
      </c>
      <c r="FN179" s="8" t="e" vm="3">
        <f t="shared" ca="1" si="241"/>
        <v>#VALUE!</v>
      </c>
      <c r="FO179" s="8" t="e" vm="3">
        <f t="shared" ca="1" si="242"/>
        <v>#VALUE!</v>
      </c>
      <c r="FP179" s="168" t="e" vm="3">
        <f t="shared" ca="1" si="243"/>
        <v>#VALUE!</v>
      </c>
      <c r="FQ179" s="161" t="e">
        <f t="shared" si="247"/>
        <v>#N/A</v>
      </c>
      <c r="FR179" s="169" t="e">
        <f t="shared" si="252"/>
        <v>#N/A</v>
      </c>
      <c r="FS179" s="7" t="e">
        <f t="shared" si="248"/>
        <v>#N/A</v>
      </c>
      <c r="FT179" t="e">
        <f t="shared" si="253"/>
        <v>#N/A</v>
      </c>
      <c r="FU179" s="8" t="e">
        <f t="shared" si="254"/>
        <v>#N/A</v>
      </c>
      <c r="FV179" s="8" t="e">
        <f t="shared" si="255"/>
        <v>#N/A</v>
      </c>
      <c r="FW179" s="168" t="e">
        <f t="shared" si="256"/>
        <v>#N/A</v>
      </c>
      <c r="FX179" s="161" t="e">
        <f t="shared" si="257"/>
        <v>#N/A</v>
      </c>
      <c r="FY179" s="169" t="e">
        <f t="shared" si="258"/>
        <v>#N/A</v>
      </c>
      <c r="FZ179" s="7" t="e">
        <f t="shared" si="249"/>
        <v>#N/A</v>
      </c>
      <c r="GA179" t="e">
        <f t="shared" si="259"/>
        <v>#N/A</v>
      </c>
      <c r="GB179" s="8" t="e">
        <f t="shared" si="260"/>
        <v>#N/A</v>
      </c>
      <c r="GC179" s="8" t="e">
        <f t="shared" si="261"/>
        <v>#N/A</v>
      </c>
      <c r="GD179" s="168" t="e">
        <f t="shared" si="262"/>
        <v>#N/A</v>
      </c>
      <c r="GE179" s="168"/>
      <c r="GF179" s="168"/>
      <c r="GI179" s="54">
        <f t="shared" si="307"/>
        <v>169</v>
      </c>
      <c r="GJ179" s="54">
        <f t="shared" si="308"/>
        <v>170</v>
      </c>
      <c r="GK179" s="54">
        <f t="shared" si="309"/>
        <v>0.9582115678039731</v>
      </c>
      <c r="GL179" s="54">
        <f t="shared" si="310"/>
        <v>0.25207635595578487</v>
      </c>
      <c r="GM179" s="54" t="e">
        <f t="shared" si="311"/>
        <v>#N/A</v>
      </c>
      <c r="GN179" s="54" t="e">
        <f t="shared" si="312"/>
        <v>#N/A</v>
      </c>
      <c r="GO179" s="54" t="e">
        <f t="shared" si="313"/>
        <v>#N/A</v>
      </c>
      <c r="GP179" s="54" t="b">
        <f t="shared" si="314"/>
        <v>0</v>
      </c>
      <c r="GQ179" s="54" t="b">
        <f t="shared" si="315"/>
        <v>1</v>
      </c>
      <c r="GR179" s="54" t="b">
        <f t="shared" si="316"/>
        <v>0</v>
      </c>
      <c r="GS179" s="54" t="b">
        <f t="shared" si="317"/>
        <v>1</v>
      </c>
      <c r="GT179" s="54">
        <f t="shared" si="318"/>
        <v>0.25207635595578487</v>
      </c>
      <c r="GU179" s="54" t="e">
        <f t="shared" si="319"/>
        <v>#N/A</v>
      </c>
      <c r="GV179" s="54">
        <f t="shared" si="320"/>
        <v>0.25207635595578487</v>
      </c>
      <c r="GW179" s="72" t="str">
        <f t="shared" si="321"/>
        <v/>
      </c>
      <c r="HC179" s="54">
        <f t="shared" si="322"/>
        <v>169</v>
      </c>
      <c r="HD179" s="54">
        <f t="shared" si="323"/>
        <v>170</v>
      </c>
      <c r="HE179" s="54">
        <f t="shared" si="324"/>
        <v>1.4838107375622744</v>
      </c>
      <c r="HF179" s="54" t="e">
        <f t="shared" si="325"/>
        <v>#N/A</v>
      </c>
      <c r="HG179" s="54">
        <f t="shared" si="326"/>
        <v>0.12893536108620479</v>
      </c>
      <c r="HH179" s="54" t="e">
        <f t="shared" si="327"/>
        <v>#N/A</v>
      </c>
      <c r="HI179" s="54" t="e">
        <f t="shared" si="328"/>
        <v>#N/A</v>
      </c>
      <c r="HJ179" s="54" t="b">
        <f t="shared" si="329"/>
        <v>1</v>
      </c>
      <c r="HK179" s="54" t="b">
        <f t="shared" si="330"/>
        <v>0</v>
      </c>
      <c r="HL179" s="54" t="b">
        <f t="shared" si="331"/>
        <v>0</v>
      </c>
      <c r="HM179" s="54" t="b">
        <f t="shared" si="332"/>
        <v>1</v>
      </c>
      <c r="HN179" s="54">
        <f t="shared" si="333"/>
        <v>0.12893536108620479</v>
      </c>
      <c r="HO179" s="54">
        <f t="shared" si="334"/>
        <v>0.12893536108620479</v>
      </c>
      <c r="HP179" s="54" t="e">
        <f t="shared" si="335"/>
        <v>#N/A</v>
      </c>
      <c r="HQ179" s="72" t="str">
        <f t="shared" si="336"/>
        <v/>
      </c>
    </row>
    <row r="180" spans="71:225" x14ac:dyDescent="0.2">
      <c r="BS180" s="54">
        <f t="shared" si="263"/>
        <v>170</v>
      </c>
      <c r="BT180" s="54">
        <f>Eu_tabel_g[[#This Row],[Indeks]]+1</f>
        <v>171</v>
      </c>
      <c r="BU180" s="54">
        <f t="shared" si="264"/>
        <v>0.98216685699907202</v>
      </c>
      <c r="BV180" s="54">
        <f t="shared" si="265"/>
        <v>0.24628536360353348</v>
      </c>
      <c r="BW180" s="54" t="e">
        <f t="shared" si="266"/>
        <v>#N/A</v>
      </c>
      <c r="BX180" s="54" t="e">
        <f t="shared" si="267"/>
        <v>#N/A</v>
      </c>
      <c r="BY180" s="54" t="e">
        <f t="shared" si="268"/>
        <v>#N/A</v>
      </c>
      <c r="BZ180" s="54" t="b">
        <f t="shared" si="269"/>
        <v>0</v>
      </c>
      <c r="CA180" s="54" t="b">
        <f t="shared" si="270"/>
        <v>1</v>
      </c>
      <c r="CB180" s="54" t="b">
        <f t="shared" si="271"/>
        <v>0</v>
      </c>
      <c r="CC180" s="54" t="b">
        <f t="shared" si="272"/>
        <v>1</v>
      </c>
      <c r="CD180" s="54">
        <f t="shared" si="337"/>
        <v>0.24628536360353348</v>
      </c>
      <c r="CE180" s="54" t="e">
        <f t="shared" si="273"/>
        <v>#N/A</v>
      </c>
      <c r="CF180" s="54">
        <f t="shared" si="274"/>
        <v>0.24628536360353348</v>
      </c>
      <c r="CG180" s="72" t="str">
        <f t="shared" si="275"/>
        <v/>
      </c>
      <c r="CH180" s="54">
        <f>_xlfn.NORM.DIST(_xlfn.NORM.INV(1-Eu_g_konfidensniveau,0,1)-Eu_tabel_g[[#This Row],[x base]],0,1,TRUE)</f>
        <v>4.3068074326911626E-3</v>
      </c>
      <c r="CI180" s="54">
        <f>1-_xlfn.NORM.DIST(_xlfn.NORM.INV(Eu_g_konfidensniveau,0,1)-Eu_tabel_g[[#This Row],[x base]],0,1,TRUE)</f>
        <v>0.25376559238468421</v>
      </c>
      <c r="CJ180" s="54">
        <f>_xlfn.NORM.DIST(_xlfn.NORM.INV((1-Eu_g_konfidensniveau)/2,0,1)-Eu_tabel_g[[#This Row],[x base]],0,1,TRUE)+1-_xlfn.NORM.DIST(_xlfn.NORM.INV(1-(1-Eu_g_konfidensniveau)/2,0,1)-Eu_tabel_g[[#This Row],[x base]],0,1,TRUE)</f>
        <v>0.16571714685203198</v>
      </c>
      <c r="CK180" s="54" t="e" cm="1">
        <f t="array" ref="CK180">IF($CK$3,INDEX(Eu_tabel_g[[#This Row],[Styrke venstre]:[Styrke tosidet]],CK$7),NA())</f>
        <v>#N/A</v>
      </c>
      <c r="CL180" s="99" t="e">
        <f>Eu_tabel_g[[#This Row],[Falsk positiv
Nulhypotese accepteres
Fejltype 1]]</f>
        <v>#N/A</v>
      </c>
      <c r="CM180" s="99" t="e">
        <f>IF(CHOOSE(CK$7,Eu_tabel_g[[#This Row],[x base]]&gt;0,Eu_tabel_g[[#This Row],[x base]]&lt;0,Eu_tabel_g[[#This Row],[x base]]=0),Eu_tabel_g[[#This Row],[Styrke, aktiv]],NA())</f>
        <v>#N/A</v>
      </c>
      <c r="CN180" s="99" t="e">
        <f>IFERROR(IF($CK$3,Eu_tabel_g[[#This Row],[Styrke, aktiv]],NA()),NA())</f>
        <v>#N/A</v>
      </c>
      <c r="CO180" s="99" t="e">
        <f>IF(ISNA(Eu_tabel_g[[#This Row],[Sand negativ
Nulhypotese afvises
Korrekt]]),NA(),IF($CK$3,1,NA()))</f>
        <v>#N/A</v>
      </c>
      <c r="CP180" s="56" t="str" cm="1">
        <f t="array" ref="CP180">_xlfn.SWITCH(BS180,_xlfn.IFNA(CN$2,-99),CN$5,_xlfn.IFNA(CN$3,-99),CN$6,_xlfn.IFNA(CN$4,-99),CN$7,"")</f>
        <v/>
      </c>
      <c r="CT180" s="7">
        <f t="shared" si="276"/>
        <v>0.8</v>
      </c>
      <c r="CU180">
        <f>IF(ROW(Styrkeberegning_G[[#This Row],[X base venstre]])=ROW(Styrkeberegning_G[[#Headers],[X base venstre]])+1,CU$7/(CT$7/$B$67),CU179/(CT179/$B$67))</f>
        <v>-2.8015817870135784</v>
      </c>
      <c r="CV180">
        <f>Styrkeberegning_G[[#This Row],[X base venstre]]*-1</f>
        <v>2.8015817870135784</v>
      </c>
      <c r="DG180" s="54">
        <f t="shared" si="277"/>
        <v>170</v>
      </c>
      <c r="DH180" s="54">
        <f t="shared" si="278"/>
        <v>171</v>
      </c>
      <c r="DI180" s="54">
        <f t="shared" si="279"/>
        <v>21.225898255543861</v>
      </c>
      <c r="DJ180" s="54" t="e">
        <f t="shared" si="280"/>
        <v>#N/A</v>
      </c>
      <c r="DK180" s="54" t="e">
        <f t="shared" si="281"/>
        <v>#N/A</v>
      </c>
      <c r="DL180" s="54">
        <f t="shared" si="282"/>
        <v>9.7102489864168053E-3</v>
      </c>
      <c r="DM180" s="54" t="e">
        <f t="shared" si="283"/>
        <v>#N/A</v>
      </c>
      <c r="DN180" s="54" t="b">
        <f t="shared" si="284"/>
        <v>0</v>
      </c>
      <c r="DO180" s="54" t="b">
        <f t="shared" si="285"/>
        <v>1</v>
      </c>
      <c r="DP180" s="54" t="b">
        <f t="shared" si="286"/>
        <v>0</v>
      </c>
      <c r="DQ180" s="54" t="b">
        <f t="shared" si="287"/>
        <v>1</v>
      </c>
      <c r="DR180" s="54">
        <f t="shared" si="288"/>
        <v>9.7102489864168053E-3</v>
      </c>
      <c r="DS180" s="54" t="e">
        <f t="shared" si="289"/>
        <v>#N/A</v>
      </c>
      <c r="DT180" s="54">
        <f t="shared" si="290"/>
        <v>9.7102489864168053E-3</v>
      </c>
      <c r="DU180" s="72" t="str">
        <f t="shared" si="291"/>
        <v/>
      </c>
      <c r="DZ180" s="54">
        <f t="shared" si="292"/>
        <v>170</v>
      </c>
      <c r="EA180" s="54">
        <f t="shared" si="293"/>
        <v>171</v>
      </c>
      <c r="EB180" s="54">
        <f t="shared" si="294"/>
        <v>0.98216685699907202</v>
      </c>
      <c r="EC180" s="54">
        <f t="shared" si="295"/>
        <v>0.24628536360353348</v>
      </c>
      <c r="ED180" s="54" t="e">
        <f t="shared" si="296"/>
        <v>#N/A</v>
      </c>
      <c r="EE180" s="54" t="e">
        <f t="shared" si="297"/>
        <v>#N/A</v>
      </c>
      <c r="EF180" s="54" t="e">
        <f t="shared" si="298"/>
        <v>#N/A</v>
      </c>
      <c r="EG180" s="54" t="b">
        <f t="shared" si="299"/>
        <v>0</v>
      </c>
      <c r="EH180" s="54" t="b">
        <f t="shared" si="300"/>
        <v>1</v>
      </c>
      <c r="EI180" s="54" t="b">
        <f t="shared" si="301"/>
        <v>0</v>
      </c>
      <c r="EJ180" s="54" t="b">
        <f t="shared" si="302"/>
        <v>1</v>
      </c>
      <c r="EK180" s="54">
        <f t="shared" si="303"/>
        <v>0.24628536360353348</v>
      </c>
      <c r="EL180" s="54" t="e">
        <f t="shared" si="304"/>
        <v>#N/A</v>
      </c>
      <c r="EM180" s="54">
        <f t="shared" si="305"/>
        <v>0.24628536360353348</v>
      </c>
      <c r="EN180" s="72" t="str">
        <f t="shared" si="306"/>
        <v/>
      </c>
      <c r="EO18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8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8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80" s="54" t="e" cm="1">
        <f t="array" ref="ER180">IF($CK$3,INDEX(Eu_tabel_a[[#This Row],[Styrke venstre]:[Styrke tosidet]],ER$7),NA())</f>
        <v>#N/A</v>
      </c>
      <c r="ES180" s="54" t="e">
        <f>IF(ER$3,IF(CHOOSE(ER$7,Eu_tabel_a[[#This Row],[x base]]&gt;0,Eu_tabel_a[[#This Row],[x base]]&lt;0,Eu_tabel_a[[#This Row],[x base]]=0),1,NA()),NA())</f>
        <v>#N/A</v>
      </c>
      <c r="ET180" s="54" t="e">
        <f>IF(CHOOSE(ER$7,Eu_tabel_a[[#This Row],[x base]]&gt;0,Eu_tabel_a[[#This Row],[x base]]&lt;0,Eu_tabel_a[[#This Row],[x base]]=0),Eu_tabel_a[[#This Row],[Styrke, aktiv]],NA())</f>
        <v>#N/A</v>
      </c>
      <c r="EU180" s="54" t="e">
        <f>IFERROR(IF($ER$3,Eu_tabel_a[[#This Row],[Styrke, aktiv]],NA()),NA())</f>
        <v>#N/A</v>
      </c>
      <c r="EV180" s="54" t="e">
        <f>IF(ISNA(Eu_tabel_a[[#This Row],[Sand negativ
Nulhypotese afvises
Korrekt]]),NA(),IF(ER$3,1,NA()))</f>
        <v>#N/A</v>
      </c>
      <c r="EW180" s="55" t="str" cm="1">
        <f t="array" ref="EW180">IFERROR(_xlfn.SWITCH(Eu_tabel_a[[#This Row],[Indeks]],_xlfn.IFNA(EU$2,-99),EU$5,_xlfn.IFNA(EU$3,-99),EU$6,_xlfn.IFNA(EU$4,-99),EU$7,""),"")</f>
        <v/>
      </c>
      <c r="EX180" s="54">
        <f>Eu_tabel_a[[#This Row],[x base]]*SQRT(Eu_a_h0_x*(1-Eu_a_h0_x)/Eu_a_n_x)+Eu_a_h0_x</f>
        <v>0</v>
      </c>
      <c r="FC180" s="161" t="e">
        <f t="shared" si="250"/>
        <v>#N/A</v>
      </c>
      <c r="FD180" s="169" t="e">
        <f t="shared" si="338"/>
        <v>#DIV/0!</v>
      </c>
      <c r="FE180" s="7" t="e">
        <f t="shared" si="244"/>
        <v>#DIV/0!</v>
      </c>
      <c r="FF180" t="e">
        <f t="shared" si="339"/>
        <v>#DIV/0!</v>
      </c>
      <c r="FG180" s="8" t="e">
        <f t="shared" si="340"/>
        <v>#DIV/0!</v>
      </c>
      <c r="FH180" s="8" t="e">
        <f t="shared" si="341"/>
        <v>#DIV/0!</v>
      </c>
      <c r="FI180" s="168" t="e">
        <f t="shared" si="342"/>
        <v>#DIV/0!</v>
      </c>
      <c r="FJ180" s="161" t="e">
        <f t="shared" ca="1" si="245"/>
        <v>#N/A</v>
      </c>
      <c r="FK180" s="169" t="e" vm="3">
        <f t="shared" ca="1" si="251"/>
        <v>#VALUE!</v>
      </c>
      <c r="FL180" s="7" t="e" vm="3">
        <f t="shared" ca="1" si="246"/>
        <v>#VALUE!</v>
      </c>
      <c r="FM180" t="e" vm="3">
        <f t="shared" ca="1" si="240"/>
        <v>#VALUE!</v>
      </c>
      <c r="FN180" s="8" t="e" vm="3">
        <f t="shared" ca="1" si="241"/>
        <v>#VALUE!</v>
      </c>
      <c r="FO180" s="8" t="e" vm="3">
        <f t="shared" ca="1" si="242"/>
        <v>#VALUE!</v>
      </c>
      <c r="FP180" s="168" t="e" vm="3">
        <f t="shared" ca="1" si="243"/>
        <v>#VALUE!</v>
      </c>
      <c r="FQ180" s="161" t="e">
        <f t="shared" si="247"/>
        <v>#N/A</v>
      </c>
      <c r="FR180" s="169" t="e">
        <f t="shared" si="252"/>
        <v>#N/A</v>
      </c>
      <c r="FS180" s="7" t="e">
        <f t="shared" si="248"/>
        <v>#N/A</v>
      </c>
      <c r="FT180" t="e">
        <f t="shared" si="253"/>
        <v>#N/A</v>
      </c>
      <c r="FU180" s="8" t="e">
        <f t="shared" si="254"/>
        <v>#N/A</v>
      </c>
      <c r="FV180" s="8" t="e">
        <f t="shared" si="255"/>
        <v>#N/A</v>
      </c>
      <c r="FW180" s="168" t="e">
        <f t="shared" si="256"/>
        <v>#N/A</v>
      </c>
      <c r="FX180" s="161" t="e">
        <f t="shared" si="257"/>
        <v>#N/A</v>
      </c>
      <c r="FY180" s="169" t="e">
        <f t="shared" si="258"/>
        <v>#N/A</v>
      </c>
      <c r="FZ180" s="7" t="e">
        <f t="shared" si="249"/>
        <v>#N/A</v>
      </c>
      <c r="GA180" t="e">
        <f t="shared" si="259"/>
        <v>#N/A</v>
      </c>
      <c r="GB180" s="8" t="e">
        <f t="shared" si="260"/>
        <v>#N/A</v>
      </c>
      <c r="GC180" s="8" t="e">
        <f t="shared" si="261"/>
        <v>#N/A</v>
      </c>
      <c r="GD180" s="168" t="e">
        <f t="shared" si="262"/>
        <v>#N/A</v>
      </c>
      <c r="GE180" s="168"/>
      <c r="GF180" s="168"/>
      <c r="GI180" s="54">
        <f t="shared" si="307"/>
        <v>170</v>
      </c>
      <c r="GJ180" s="54">
        <f t="shared" si="308"/>
        <v>171</v>
      </c>
      <c r="GK180" s="54">
        <f t="shared" si="309"/>
        <v>0.98216685699907202</v>
      </c>
      <c r="GL180" s="54">
        <f t="shared" si="310"/>
        <v>0.24628536360353348</v>
      </c>
      <c r="GM180" s="54" t="e">
        <f t="shared" si="311"/>
        <v>#N/A</v>
      </c>
      <c r="GN180" s="54" t="e">
        <f t="shared" si="312"/>
        <v>#N/A</v>
      </c>
      <c r="GO180" s="54" t="e">
        <f t="shared" si="313"/>
        <v>#N/A</v>
      </c>
      <c r="GP180" s="54" t="b">
        <f t="shared" si="314"/>
        <v>0</v>
      </c>
      <c r="GQ180" s="54" t="b">
        <f t="shared" si="315"/>
        <v>1</v>
      </c>
      <c r="GR180" s="54" t="b">
        <f t="shared" si="316"/>
        <v>0</v>
      </c>
      <c r="GS180" s="54" t="b">
        <f t="shared" si="317"/>
        <v>1</v>
      </c>
      <c r="GT180" s="54">
        <f t="shared" si="318"/>
        <v>0.24628536360353348</v>
      </c>
      <c r="GU180" s="54" t="e">
        <f t="shared" si="319"/>
        <v>#N/A</v>
      </c>
      <c r="GV180" s="54">
        <f t="shared" si="320"/>
        <v>0.24628536360353348</v>
      </c>
      <c r="GW180" s="72" t="str">
        <f t="shared" si="321"/>
        <v/>
      </c>
      <c r="HC180" s="54">
        <f t="shared" si="322"/>
        <v>170</v>
      </c>
      <c r="HD180" s="54">
        <f t="shared" si="323"/>
        <v>171</v>
      </c>
      <c r="HE180" s="54">
        <f t="shared" si="324"/>
        <v>1.5209060060013311</v>
      </c>
      <c r="HF180" s="54" t="e">
        <f t="shared" si="325"/>
        <v>#N/A</v>
      </c>
      <c r="HG180" s="54">
        <f t="shared" si="326"/>
        <v>0.1228728429463751</v>
      </c>
      <c r="HH180" s="54" t="e">
        <f t="shared" si="327"/>
        <v>#N/A</v>
      </c>
      <c r="HI180" s="54" t="e">
        <f t="shared" si="328"/>
        <v>#N/A</v>
      </c>
      <c r="HJ180" s="54" t="b">
        <f t="shared" si="329"/>
        <v>1</v>
      </c>
      <c r="HK180" s="54" t="b">
        <f t="shared" si="330"/>
        <v>0</v>
      </c>
      <c r="HL180" s="54" t="b">
        <f t="shared" si="331"/>
        <v>0</v>
      </c>
      <c r="HM180" s="54" t="b">
        <f t="shared" si="332"/>
        <v>1</v>
      </c>
      <c r="HN180" s="54">
        <f t="shared" si="333"/>
        <v>0.1228728429463751</v>
      </c>
      <c r="HO180" s="54">
        <f t="shared" si="334"/>
        <v>0.1228728429463751</v>
      </c>
      <c r="HP180" s="54" t="e">
        <f t="shared" si="335"/>
        <v>#N/A</v>
      </c>
      <c r="HQ180" s="72" t="str">
        <f t="shared" si="336"/>
        <v/>
      </c>
    </row>
    <row r="181" spans="71:225" x14ac:dyDescent="0.2">
      <c r="BS181" s="54">
        <f t="shared" si="263"/>
        <v>171</v>
      </c>
      <c r="BT181" s="54">
        <f>Eu_tabel_g[[#This Row],[Indeks]]+1</f>
        <v>172</v>
      </c>
      <c r="BU181" s="54">
        <f t="shared" si="264"/>
        <v>1.0061221461941718</v>
      </c>
      <c r="BV181" s="54">
        <f t="shared" si="265"/>
        <v>0.24048936284820582</v>
      </c>
      <c r="BW181" s="54" t="e">
        <f t="shared" si="266"/>
        <v>#N/A</v>
      </c>
      <c r="BX181" s="54" t="e">
        <f t="shared" si="267"/>
        <v>#N/A</v>
      </c>
      <c r="BY181" s="54" t="e">
        <f t="shared" si="268"/>
        <v>#N/A</v>
      </c>
      <c r="BZ181" s="54" t="b">
        <f t="shared" si="269"/>
        <v>0</v>
      </c>
      <c r="CA181" s="54" t="b">
        <f t="shared" si="270"/>
        <v>1</v>
      </c>
      <c r="CB181" s="54" t="b">
        <f t="shared" si="271"/>
        <v>0</v>
      </c>
      <c r="CC181" s="54" t="b">
        <f t="shared" si="272"/>
        <v>1</v>
      </c>
      <c r="CD181" s="54">
        <f t="shared" si="337"/>
        <v>0.24048936284820582</v>
      </c>
      <c r="CE181" s="54" t="e">
        <f t="shared" si="273"/>
        <v>#N/A</v>
      </c>
      <c r="CF181" s="54">
        <f t="shared" si="274"/>
        <v>0.24048936284820582</v>
      </c>
      <c r="CG181" s="72" t="str">
        <f t="shared" si="275"/>
        <v/>
      </c>
      <c r="CH181" s="54">
        <f>_xlfn.NORM.DIST(_xlfn.NORM.INV(1-Eu_g_konfidensniveau,0,1)-Eu_tabel_g[[#This Row],[x base]],0,1,TRUE)</f>
        <v>4.0129799124446544E-3</v>
      </c>
      <c r="CI181" s="54">
        <f>1-_xlfn.NORM.DIST(_xlfn.NORM.INV(Eu_g_konfidensniveau,0,1)-Eu_tabel_g[[#This Row],[x base]],0,1,TRUE)</f>
        <v>0.2614988147473114</v>
      </c>
      <c r="CJ181" s="54">
        <f>_xlfn.NORM.DIST(_xlfn.NORM.INV((1-Eu_g_konfidensniveau)/2,0,1)-Eu_tabel_g[[#This Row],[x base]],0,1,TRUE)+1-_xlfn.NORM.DIST(_xlfn.NORM.INV(1-(1-Eu_g_konfidensniveau)/2,0,1)-Eu_tabel_g[[#This Row],[x base]],0,1,TRUE)</f>
        <v>0.171589933924436</v>
      </c>
      <c r="CK181" s="54" t="e" cm="1">
        <f t="array" ref="CK181">IF($CK$3,INDEX(Eu_tabel_g[[#This Row],[Styrke venstre]:[Styrke tosidet]],CK$7),NA())</f>
        <v>#N/A</v>
      </c>
      <c r="CL181" s="99" t="e">
        <f>Eu_tabel_g[[#This Row],[Falsk positiv
Nulhypotese accepteres
Fejltype 1]]</f>
        <v>#N/A</v>
      </c>
      <c r="CM181" s="99" t="e">
        <f>IF(CHOOSE(CK$7,Eu_tabel_g[[#This Row],[x base]]&gt;0,Eu_tabel_g[[#This Row],[x base]]&lt;0,Eu_tabel_g[[#This Row],[x base]]=0),Eu_tabel_g[[#This Row],[Styrke, aktiv]],NA())</f>
        <v>#N/A</v>
      </c>
      <c r="CN181" s="99" t="e">
        <f>IFERROR(IF($CK$3,Eu_tabel_g[[#This Row],[Styrke, aktiv]],NA()),NA())</f>
        <v>#N/A</v>
      </c>
      <c r="CO181" s="99" t="e">
        <f>IF(ISNA(Eu_tabel_g[[#This Row],[Sand negativ
Nulhypotese afvises
Korrekt]]),NA(),IF($CK$3,1,NA()))</f>
        <v>#N/A</v>
      </c>
      <c r="CP181" s="56" t="str" cm="1">
        <f t="array" ref="CP181">_xlfn.SWITCH(BS181,_xlfn.IFNA(CN$2,-99),CN$5,_xlfn.IFNA(CN$3,-99),CN$6,_xlfn.IFNA(CN$4,-99),CN$7,"")</f>
        <v/>
      </c>
      <c r="CT181" s="7">
        <f t="shared" si="276"/>
        <v>0.8</v>
      </c>
      <c r="CU181">
        <f>IF(ROW(Styrkeberegning_G[[#This Row],[X base venstre]])=ROW(Styrkeberegning_G[[#Headers],[X base venstre]])+1,CU$7/(CT$7/$B$67),CU180/(CT180/$B$67))</f>
        <v>-2.8015817870135784</v>
      </c>
      <c r="CV181">
        <f>Styrkeberegning_G[[#This Row],[X base venstre]]*-1</f>
        <v>2.8015817870135784</v>
      </c>
      <c r="DG181" s="54">
        <f t="shared" si="277"/>
        <v>171</v>
      </c>
      <c r="DH181" s="54">
        <f t="shared" si="278"/>
        <v>172</v>
      </c>
      <c r="DI181" s="54">
        <f t="shared" si="279"/>
        <v>21.339969111960862</v>
      </c>
      <c r="DJ181" s="54" t="e">
        <f t="shared" si="280"/>
        <v>#N/A</v>
      </c>
      <c r="DK181" s="54" t="e">
        <f t="shared" si="281"/>
        <v>#N/A</v>
      </c>
      <c r="DL181" s="54">
        <f t="shared" si="282"/>
        <v>9.3958241886053437E-3</v>
      </c>
      <c r="DM181" s="54" t="e">
        <f t="shared" si="283"/>
        <v>#N/A</v>
      </c>
      <c r="DN181" s="54" t="b">
        <f t="shared" si="284"/>
        <v>0</v>
      </c>
      <c r="DO181" s="54" t="b">
        <f t="shared" si="285"/>
        <v>1</v>
      </c>
      <c r="DP181" s="54" t="b">
        <f t="shared" si="286"/>
        <v>0</v>
      </c>
      <c r="DQ181" s="54" t="b">
        <f t="shared" si="287"/>
        <v>1</v>
      </c>
      <c r="DR181" s="54">
        <f t="shared" si="288"/>
        <v>9.3958241886053437E-3</v>
      </c>
      <c r="DS181" s="54" t="e">
        <f t="shared" si="289"/>
        <v>#N/A</v>
      </c>
      <c r="DT181" s="54">
        <f t="shared" si="290"/>
        <v>9.3958241886053437E-3</v>
      </c>
      <c r="DU181" s="72" t="str">
        <f t="shared" si="291"/>
        <v/>
      </c>
      <c r="DZ181" s="54">
        <f t="shared" si="292"/>
        <v>171</v>
      </c>
      <c r="EA181" s="54">
        <f t="shared" si="293"/>
        <v>172</v>
      </c>
      <c r="EB181" s="54">
        <f t="shared" si="294"/>
        <v>1.0061221461941718</v>
      </c>
      <c r="EC181" s="54">
        <f t="shared" si="295"/>
        <v>0.24048936284820582</v>
      </c>
      <c r="ED181" s="54" t="e">
        <f t="shared" si="296"/>
        <v>#N/A</v>
      </c>
      <c r="EE181" s="54" t="e">
        <f t="shared" si="297"/>
        <v>#N/A</v>
      </c>
      <c r="EF181" s="54" t="e">
        <f t="shared" si="298"/>
        <v>#N/A</v>
      </c>
      <c r="EG181" s="54" t="b">
        <f t="shared" si="299"/>
        <v>0</v>
      </c>
      <c r="EH181" s="54" t="b">
        <f t="shared" si="300"/>
        <v>1</v>
      </c>
      <c r="EI181" s="54" t="b">
        <f t="shared" si="301"/>
        <v>0</v>
      </c>
      <c r="EJ181" s="54" t="b">
        <f t="shared" si="302"/>
        <v>1</v>
      </c>
      <c r="EK181" s="54">
        <f t="shared" si="303"/>
        <v>0.24048936284820582</v>
      </c>
      <c r="EL181" s="54" t="e">
        <f t="shared" si="304"/>
        <v>#N/A</v>
      </c>
      <c r="EM181" s="54">
        <f t="shared" si="305"/>
        <v>0.24048936284820582</v>
      </c>
      <c r="EN181" s="72" t="str">
        <f t="shared" si="306"/>
        <v/>
      </c>
      <c r="EO18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8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8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81" s="54" t="e" cm="1">
        <f t="array" ref="ER181">IF($CK$3,INDEX(Eu_tabel_a[[#This Row],[Styrke venstre]:[Styrke tosidet]],ER$7),NA())</f>
        <v>#N/A</v>
      </c>
      <c r="ES181" s="54" t="e">
        <f>IF(ER$3,IF(CHOOSE(ER$7,Eu_tabel_a[[#This Row],[x base]]&gt;0,Eu_tabel_a[[#This Row],[x base]]&lt;0,Eu_tabel_a[[#This Row],[x base]]=0),1,NA()),NA())</f>
        <v>#N/A</v>
      </c>
      <c r="ET181" s="54" t="e">
        <f>IF(CHOOSE(ER$7,Eu_tabel_a[[#This Row],[x base]]&gt;0,Eu_tabel_a[[#This Row],[x base]]&lt;0,Eu_tabel_a[[#This Row],[x base]]=0),Eu_tabel_a[[#This Row],[Styrke, aktiv]],NA())</f>
        <v>#N/A</v>
      </c>
      <c r="EU181" s="54" t="e">
        <f>IFERROR(IF($ER$3,Eu_tabel_a[[#This Row],[Styrke, aktiv]],NA()),NA())</f>
        <v>#N/A</v>
      </c>
      <c r="EV181" s="54" t="e">
        <f>IF(ISNA(Eu_tabel_a[[#This Row],[Sand negativ
Nulhypotese afvises
Korrekt]]),NA(),IF(ER$3,1,NA()))</f>
        <v>#N/A</v>
      </c>
      <c r="EW181" s="55" t="str" cm="1">
        <f t="array" ref="EW181">IFERROR(_xlfn.SWITCH(Eu_tabel_a[[#This Row],[Indeks]],_xlfn.IFNA(EU$2,-99),EU$5,_xlfn.IFNA(EU$3,-99),EU$6,_xlfn.IFNA(EU$4,-99),EU$7,""),"")</f>
        <v/>
      </c>
      <c r="EX181" s="54">
        <f>Eu_tabel_a[[#This Row],[x base]]*SQRT(Eu_a_h0_x*(1-Eu_a_h0_x)/Eu_a_n_x)+Eu_a_h0_x</f>
        <v>0</v>
      </c>
      <c r="FC181" s="161" t="e">
        <f t="shared" si="250"/>
        <v>#N/A</v>
      </c>
      <c r="FD181" s="169" t="e">
        <f t="shared" si="338"/>
        <v>#DIV/0!</v>
      </c>
      <c r="FE181" s="7" t="e">
        <f t="shared" si="244"/>
        <v>#DIV/0!</v>
      </c>
      <c r="FF181" t="e">
        <f t="shared" si="339"/>
        <v>#DIV/0!</v>
      </c>
      <c r="FG181" s="8" t="e">
        <f t="shared" si="340"/>
        <v>#DIV/0!</v>
      </c>
      <c r="FH181" s="8" t="e">
        <f t="shared" si="341"/>
        <v>#DIV/0!</v>
      </c>
      <c r="FI181" s="168" t="e">
        <f t="shared" si="342"/>
        <v>#DIV/0!</v>
      </c>
      <c r="FJ181" s="161" t="e">
        <f t="shared" ca="1" si="245"/>
        <v>#N/A</v>
      </c>
      <c r="FK181" s="169" t="e" vm="3">
        <f t="shared" ca="1" si="251"/>
        <v>#VALUE!</v>
      </c>
      <c r="FL181" s="7" t="e" vm="3">
        <f t="shared" ca="1" si="246"/>
        <v>#VALUE!</v>
      </c>
      <c r="FM181" t="e" vm="3">
        <f t="shared" ca="1" si="240"/>
        <v>#VALUE!</v>
      </c>
      <c r="FN181" s="8" t="e" vm="3">
        <f t="shared" ca="1" si="241"/>
        <v>#VALUE!</v>
      </c>
      <c r="FO181" s="8" t="e" vm="3">
        <f t="shared" ca="1" si="242"/>
        <v>#VALUE!</v>
      </c>
      <c r="FP181" s="168" t="e" vm="3">
        <f t="shared" ca="1" si="243"/>
        <v>#VALUE!</v>
      </c>
      <c r="FQ181" s="161" t="e">
        <f t="shared" si="247"/>
        <v>#N/A</v>
      </c>
      <c r="FR181" s="169" t="e">
        <f t="shared" si="252"/>
        <v>#N/A</v>
      </c>
      <c r="FS181" s="7" t="e">
        <f t="shared" si="248"/>
        <v>#N/A</v>
      </c>
      <c r="FT181" t="e">
        <f t="shared" si="253"/>
        <v>#N/A</v>
      </c>
      <c r="FU181" s="8" t="e">
        <f t="shared" si="254"/>
        <v>#N/A</v>
      </c>
      <c r="FV181" s="8" t="e">
        <f t="shared" si="255"/>
        <v>#N/A</v>
      </c>
      <c r="FW181" s="168" t="e">
        <f t="shared" si="256"/>
        <v>#N/A</v>
      </c>
      <c r="FX181" s="161" t="e">
        <f t="shared" si="257"/>
        <v>#N/A</v>
      </c>
      <c r="FY181" s="169" t="e">
        <f t="shared" si="258"/>
        <v>#N/A</v>
      </c>
      <c r="FZ181" s="7" t="e">
        <f t="shared" si="249"/>
        <v>#N/A</v>
      </c>
      <c r="GA181" t="e">
        <f t="shared" si="259"/>
        <v>#N/A</v>
      </c>
      <c r="GB181" s="8" t="e">
        <f t="shared" si="260"/>
        <v>#N/A</v>
      </c>
      <c r="GC181" s="8" t="e">
        <f t="shared" si="261"/>
        <v>#N/A</v>
      </c>
      <c r="GD181" s="168" t="e">
        <f t="shared" si="262"/>
        <v>#N/A</v>
      </c>
      <c r="GE181" s="168"/>
      <c r="GF181" s="168"/>
      <c r="GI181" s="54">
        <f t="shared" si="307"/>
        <v>171</v>
      </c>
      <c r="GJ181" s="54">
        <f t="shared" si="308"/>
        <v>172</v>
      </c>
      <c r="GK181" s="54">
        <f t="shared" si="309"/>
        <v>1.0061221461941718</v>
      </c>
      <c r="GL181" s="54">
        <f t="shared" si="310"/>
        <v>0.24048936284820582</v>
      </c>
      <c r="GM181" s="54" t="e">
        <f t="shared" si="311"/>
        <v>#N/A</v>
      </c>
      <c r="GN181" s="54" t="e">
        <f t="shared" si="312"/>
        <v>#N/A</v>
      </c>
      <c r="GO181" s="54" t="e">
        <f t="shared" si="313"/>
        <v>#N/A</v>
      </c>
      <c r="GP181" s="54" t="b">
        <f t="shared" si="314"/>
        <v>0</v>
      </c>
      <c r="GQ181" s="54" t="b">
        <f t="shared" si="315"/>
        <v>1</v>
      </c>
      <c r="GR181" s="54" t="b">
        <f t="shared" si="316"/>
        <v>0</v>
      </c>
      <c r="GS181" s="54" t="b">
        <f t="shared" si="317"/>
        <v>1</v>
      </c>
      <c r="GT181" s="54">
        <f t="shared" si="318"/>
        <v>0.24048936284820582</v>
      </c>
      <c r="GU181" s="54" t="e">
        <f t="shared" si="319"/>
        <v>#N/A</v>
      </c>
      <c r="GV181" s="54">
        <f t="shared" si="320"/>
        <v>0.24048936284820582</v>
      </c>
      <c r="GW181" s="72" t="str">
        <f t="shared" si="321"/>
        <v/>
      </c>
      <c r="HC181" s="54">
        <f t="shared" si="322"/>
        <v>171</v>
      </c>
      <c r="HD181" s="54">
        <f t="shared" si="323"/>
        <v>172</v>
      </c>
      <c r="HE181" s="54">
        <f t="shared" si="324"/>
        <v>1.5580012744403877</v>
      </c>
      <c r="HF181" s="54" t="e">
        <f t="shared" si="325"/>
        <v>#N/A</v>
      </c>
      <c r="HG181" s="54">
        <f t="shared" si="326"/>
        <v>0.11702574379435811</v>
      </c>
      <c r="HH181" s="54" t="e">
        <f t="shared" si="327"/>
        <v>#N/A</v>
      </c>
      <c r="HI181" s="54" t="e">
        <f t="shared" si="328"/>
        <v>#N/A</v>
      </c>
      <c r="HJ181" s="54" t="b">
        <f t="shared" si="329"/>
        <v>1</v>
      </c>
      <c r="HK181" s="54" t="b">
        <f t="shared" si="330"/>
        <v>0</v>
      </c>
      <c r="HL181" s="54" t="b">
        <f t="shared" si="331"/>
        <v>0</v>
      </c>
      <c r="HM181" s="54" t="b">
        <f t="shared" si="332"/>
        <v>1</v>
      </c>
      <c r="HN181" s="54">
        <f t="shared" si="333"/>
        <v>0.11702574379435811</v>
      </c>
      <c r="HO181" s="54">
        <f t="shared" si="334"/>
        <v>0.11702574379435811</v>
      </c>
      <c r="HP181" s="54" t="e">
        <f t="shared" si="335"/>
        <v>#N/A</v>
      </c>
      <c r="HQ181" s="72" t="str">
        <f t="shared" si="336"/>
        <v/>
      </c>
    </row>
    <row r="182" spans="71:225" x14ac:dyDescent="0.2">
      <c r="BS182" s="54">
        <f t="shared" si="263"/>
        <v>172</v>
      </c>
      <c r="BT182" s="54">
        <f>Eu_tabel_g[[#This Row],[Indeks]]+1</f>
        <v>173</v>
      </c>
      <c r="BU182" s="54">
        <f t="shared" si="264"/>
        <v>1.0300774353892708</v>
      </c>
      <c r="BV182" s="54">
        <f t="shared" si="265"/>
        <v>0.23469504353367862</v>
      </c>
      <c r="BW182" s="54" t="e">
        <f t="shared" si="266"/>
        <v>#N/A</v>
      </c>
      <c r="BX182" s="54" t="e">
        <f t="shared" si="267"/>
        <v>#N/A</v>
      </c>
      <c r="BY182" s="54" t="e">
        <f t="shared" si="268"/>
        <v>#N/A</v>
      </c>
      <c r="BZ182" s="54" t="b">
        <f t="shared" si="269"/>
        <v>0</v>
      </c>
      <c r="CA182" s="54" t="b">
        <f t="shared" si="270"/>
        <v>1</v>
      </c>
      <c r="CB182" s="54" t="b">
        <f t="shared" si="271"/>
        <v>0</v>
      </c>
      <c r="CC182" s="54" t="b">
        <f t="shared" si="272"/>
        <v>1</v>
      </c>
      <c r="CD182" s="54">
        <f t="shared" si="337"/>
        <v>0.23469504353367862</v>
      </c>
      <c r="CE182" s="54" t="e">
        <f t="shared" si="273"/>
        <v>#N/A</v>
      </c>
      <c r="CF182" s="54">
        <f t="shared" si="274"/>
        <v>0.23469504353367862</v>
      </c>
      <c r="CG182" s="72" t="str">
        <f t="shared" si="275"/>
        <v/>
      </c>
      <c r="CH182" s="54">
        <f>_xlfn.NORM.DIST(_xlfn.NORM.INV(1-Eu_g_konfidensniveau,0,1)-Eu_tabel_g[[#This Row],[x base]],0,1,TRUE)</f>
        <v>3.7372309005786796E-3</v>
      </c>
      <c r="CI182" s="54">
        <f>1-_xlfn.NORM.DIST(_xlfn.NORM.INV(Eu_g_konfidensniveau,0,1)-Eu_tabel_g[[#This Row],[x base]],0,1,TRUE)</f>
        <v>0.26935126726694214</v>
      </c>
      <c r="CJ182" s="54">
        <f>_xlfn.NORM.DIST(_xlfn.NORM.INV((1-Eu_g_konfidensniveau)/2,0,1)-Eu_tabel_g[[#This Row],[x base]],0,1,TRUE)+1-_xlfn.NORM.DIST(_xlfn.NORM.INV(1-(1-Eu_g_konfidensniveau)/2,0,1)-Eu_tabel_g[[#This Row],[x base]],0,1,TRUE)</f>
        <v>0.17760961211190862</v>
      </c>
      <c r="CK182" s="54" t="e" cm="1">
        <f t="array" ref="CK182">IF($CK$3,INDEX(Eu_tabel_g[[#This Row],[Styrke venstre]:[Styrke tosidet]],CK$7),NA())</f>
        <v>#N/A</v>
      </c>
      <c r="CL182" s="99" t="e">
        <f>Eu_tabel_g[[#This Row],[Falsk positiv
Nulhypotese accepteres
Fejltype 1]]</f>
        <v>#N/A</v>
      </c>
      <c r="CM182" s="99" t="e">
        <f>IF(CHOOSE(CK$7,Eu_tabel_g[[#This Row],[x base]]&gt;0,Eu_tabel_g[[#This Row],[x base]]&lt;0,Eu_tabel_g[[#This Row],[x base]]=0),Eu_tabel_g[[#This Row],[Styrke, aktiv]],NA())</f>
        <v>#N/A</v>
      </c>
      <c r="CN182" s="99" t="e">
        <f>IFERROR(IF($CK$3,Eu_tabel_g[[#This Row],[Styrke, aktiv]],NA()),NA())</f>
        <v>#N/A</v>
      </c>
      <c r="CO182" s="99" t="e">
        <f>IF(ISNA(Eu_tabel_g[[#This Row],[Sand negativ
Nulhypotese afvises
Korrekt]]),NA(),IF($CK$3,1,NA()))</f>
        <v>#N/A</v>
      </c>
      <c r="CP182" s="56" t="str" cm="1">
        <f t="array" ref="CP182">_xlfn.SWITCH(BS182,_xlfn.IFNA(CN$2,-99),CN$5,_xlfn.IFNA(CN$3,-99),CN$6,_xlfn.IFNA(CN$4,-99),CN$7,"")</f>
        <v/>
      </c>
      <c r="CT182" s="7">
        <f t="shared" si="276"/>
        <v>0.8</v>
      </c>
      <c r="CU182">
        <f>IF(ROW(Styrkeberegning_G[[#This Row],[X base venstre]])=ROW(Styrkeberegning_G[[#Headers],[X base venstre]])+1,CU$7/(CT$7/$B$67),CU181/(CT181/$B$67))</f>
        <v>-2.8015817870135784</v>
      </c>
      <c r="CV182">
        <f>Styrkeberegning_G[[#This Row],[X base venstre]]*-1</f>
        <v>2.8015817870135784</v>
      </c>
      <c r="DG182" s="54">
        <f t="shared" si="277"/>
        <v>172</v>
      </c>
      <c r="DH182" s="54">
        <f t="shared" si="278"/>
        <v>173</v>
      </c>
      <c r="DI182" s="54">
        <f t="shared" si="279"/>
        <v>21.454039968377863</v>
      </c>
      <c r="DJ182" s="54" t="e">
        <f t="shared" si="280"/>
        <v>#N/A</v>
      </c>
      <c r="DK182" s="54" t="e">
        <f t="shared" si="281"/>
        <v>#N/A</v>
      </c>
      <c r="DL182" s="54">
        <f t="shared" si="282"/>
        <v>9.0904117508488272E-3</v>
      </c>
      <c r="DM182" s="54" t="e">
        <f t="shared" si="283"/>
        <v>#N/A</v>
      </c>
      <c r="DN182" s="54" t="b">
        <f t="shared" si="284"/>
        <v>0</v>
      </c>
      <c r="DO182" s="54" t="b">
        <f t="shared" si="285"/>
        <v>1</v>
      </c>
      <c r="DP182" s="54" t="b">
        <f t="shared" si="286"/>
        <v>0</v>
      </c>
      <c r="DQ182" s="54" t="b">
        <f t="shared" si="287"/>
        <v>1</v>
      </c>
      <c r="DR182" s="54">
        <f t="shared" si="288"/>
        <v>9.0904117508488272E-3</v>
      </c>
      <c r="DS182" s="54" t="e">
        <f t="shared" si="289"/>
        <v>#N/A</v>
      </c>
      <c r="DT182" s="54">
        <f t="shared" si="290"/>
        <v>9.0904117508488272E-3</v>
      </c>
      <c r="DU182" s="72" t="str">
        <f t="shared" si="291"/>
        <v/>
      </c>
      <c r="DZ182" s="54">
        <f t="shared" si="292"/>
        <v>172</v>
      </c>
      <c r="EA182" s="54">
        <f t="shared" si="293"/>
        <v>173</v>
      </c>
      <c r="EB182" s="54">
        <f t="shared" si="294"/>
        <v>1.0300774353892708</v>
      </c>
      <c r="EC182" s="54">
        <f t="shared" si="295"/>
        <v>0.23469504353367862</v>
      </c>
      <c r="ED182" s="54" t="e">
        <f t="shared" si="296"/>
        <v>#N/A</v>
      </c>
      <c r="EE182" s="54" t="e">
        <f t="shared" si="297"/>
        <v>#N/A</v>
      </c>
      <c r="EF182" s="54" t="e">
        <f t="shared" si="298"/>
        <v>#N/A</v>
      </c>
      <c r="EG182" s="54" t="b">
        <f t="shared" si="299"/>
        <v>0</v>
      </c>
      <c r="EH182" s="54" t="b">
        <f t="shared" si="300"/>
        <v>1</v>
      </c>
      <c r="EI182" s="54" t="b">
        <f t="shared" si="301"/>
        <v>0</v>
      </c>
      <c r="EJ182" s="54" t="b">
        <f t="shared" si="302"/>
        <v>1</v>
      </c>
      <c r="EK182" s="54">
        <f t="shared" si="303"/>
        <v>0.23469504353367862</v>
      </c>
      <c r="EL182" s="54" t="e">
        <f t="shared" si="304"/>
        <v>#N/A</v>
      </c>
      <c r="EM182" s="54">
        <f t="shared" si="305"/>
        <v>0.23469504353367862</v>
      </c>
      <c r="EN182" s="72" t="str">
        <f t="shared" si="306"/>
        <v/>
      </c>
      <c r="EO18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8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8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82" s="54" t="e" cm="1">
        <f t="array" ref="ER182">IF($CK$3,INDEX(Eu_tabel_a[[#This Row],[Styrke venstre]:[Styrke tosidet]],ER$7),NA())</f>
        <v>#N/A</v>
      </c>
      <c r="ES182" s="54" t="e">
        <f>IF(ER$3,IF(CHOOSE(ER$7,Eu_tabel_a[[#This Row],[x base]]&gt;0,Eu_tabel_a[[#This Row],[x base]]&lt;0,Eu_tabel_a[[#This Row],[x base]]=0),1,NA()),NA())</f>
        <v>#N/A</v>
      </c>
      <c r="ET182" s="54" t="e">
        <f>IF(CHOOSE(ER$7,Eu_tabel_a[[#This Row],[x base]]&gt;0,Eu_tabel_a[[#This Row],[x base]]&lt;0,Eu_tabel_a[[#This Row],[x base]]=0),Eu_tabel_a[[#This Row],[Styrke, aktiv]],NA())</f>
        <v>#N/A</v>
      </c>
      <c r="EU182" s="54" t="e">
        <f>IFERROR(IF($ER$3,Eu_tabel_a[[#This Row],[Styrke, aktiv]],NA()),NA())</f>
        <v>#N/A</v>
      </c>
      <c r="EV182" s="54" t="e">
        <f>IF(ISNA(Eu_tabel_a[[#This Row],[Sand negativ
Nulhypotese afvises
Korrekt]]),NA(),IF(ER$3,1,NA()))</f>
        <v>#N/A</v>
      </c>
      <c r="EW182" s="55" t="str" cm="1">
        <f t="array" ref="EW182">IFERROR(_xlfn.SWITCH(Eu_tabel_a[[#This Row],[Indeks]],_xlfn.IFNA(EU$2,-99),EU$5,_xlfn.IFNA(EU$3,-99),EU$6,_xlfn.IFNA(EU$4,-99),EU$7,""),"")</f>
        <v/>
      </c>
      <c r="EX182" s="54">
        <f>Eu_tabel_a[[#This Row],[x base]]*SQRT(Eu_a_h0_x*(1-Eu_a_h0_x)/Eu_a_n_x)+Eu_a_h0_x</f>
        <v>0</v>
      </c>
      <c r="FC182" s="161" t="e">
        <f t="shared" si="250"/>
        <v>#N/A</v>
      </c>
      <c r="FD182" s="169" t="e">
        <f t="shared" si="338"/>
        <v>#DIV/0!</v>
      </c>
      <c r="FE182" s="7" t="e">
        <f t="shared" si="244"/>
        <v>#DIV/0!</v>
      </c>
      <c r="FF182" t="e">
        <f t="shared" si="339"/>
        <v>#DIV/0!</v>
      </c>
      <c r="FG182" s="8" t="e">
        <f t="shared" si="340"/>
        <v>#DIV/0!</v>
      </c>
      <c r="FH182" s="8" t="e">
        <f t="shared" si="341"/>
        <v>#DIV/0!</v>
      </c>
      <c r="FI182" s="168" t="e">
        <f t="shared" si="342"/>
        <v>#DIV/0!</v>
      </c>
      <c r="FJ182" s="161" t="e">
        <f t="shared" ca="1" si="245"/>
        <v>#N/A</v>
      </c>
      <c r="FK182" s="169" t="e" vm="3">
        <f t="shared" ca="1" si="251"/>
        <v>#VALUE!</v>
      </c>
      <c r="FL182" s="7" t="e" vm="3">
        <f t="shared" ca="1" si="246"/>
        <v>#VALUE!</v>
      </c>
      <c r="FM182" t="e" vm="3">
        <f t="shared" ca="1" si="240"/>
        <v>#VALUE!</v>
      </c>
      <c r="FN182" s="8" t="e" vm="3">
        <f t="shared" ca="1" si="241"/>
        <v>#VALUE!</v>
      </c>
      <c r="FO182" s="8" t="e" vm="3">
        <f t="shared" ca="1" si="242"/>
        <v>#VALUE!</v>
      </c>
      <c r="FP182" s="168" t="e" vm="3">
        <f t="shared" ca="1" si="243"/>
        <v>#VALUE!</v>
      </c>
      <c r="FQ182" s="161" t="e">
        <f t="shared" si="247"/>
        <v>#N/A</v>
      </c>
      <c r="FR182" s="169" t="e">
        <f t="shared" si="252"/>
        <v>#N/A</v>
      </c>
      <c r="FS182" s="7" t="e">
        <f t="shared" si="248"/>
        <v>#N/A</v>
      </c>
      <c r="FT182" t="e">
        <f t="shared" si="253"/>
        <v>#N/A</v>
      </c>
      <c r="FU182" s="8" t="e">
        <f t="shared" si="254"/>
        <v>#N/A</v>
      </c>
      <c r="FV182" s="8" t="e">
        <f t="shared" si="255"/>
        <v>#N/A</v>
      </c>
      <c r="FW182" s="168" t="e">
        <f t="shared" si="256"/>
        <v>#N/A</v>
      </c>
      <c r="FX182" s="161" t="e">
        <f t="shared" si="257"/>
        <v>#N/A</v>
      </c>
      <c r="FY182" s="169" t="e">
        <f t="shared" si="258"/>
        <v>#N/A</v>
      </c>
      <c r="FZ182" s="7" t="e">
        <f t="shared" si="249"/>
        <v>#N/A</v>
      </c>
      <c r="GA182" t="e">
        <f t="shared" si="259"/>
        <v>#N/A</v>
      </c>
      <c r="GB182" s="8" t="e">
        <f t="shared" si="260"/>
        <v>#N/A</v>
      </c>
      <c r="GC182" s="8" t="e">
        <f t="shared" si="261"/>
        <v>#N/A</v>
      </c>
      <c r="GD182" s="168" t="e">
        <f t="shared" si="262"/>
        <v>#N/A</v>
      </c>
      <c r="GE182" s="168"/>
      <c r="GF182" s="168"/>
      <c r="GI182" s="54">
        <f t="shared" si="307"/>
        <v>172</v>
      </c>
      <c r="GJ182" s="54">
        <f t="shared" si="308"/>
        <v>173</v>
      </c>
      <c r="GK182" s="54">
        <f t="shared" si="309"/>
        <v>1.0300774353892708</v>
      </c>
      <c r="GL182" s="54">
        <f t="shared" si="310"/>
        <v>0.23469504353367862</v>
      </c>
      <c r="GM182" s="54" t="e">
        <f t="shared" si="311"/>
        <v>#N/A</v>
      </c>
      <c r="GN182" s="54" t="e">
        <f t="shared" si="312"/>
        <v>#N/A</v>
      </c>
      <c r="GO182" s="54" t="e">
        <f t="shared" si="313"/>
        <v>#N/A</v>
      </c>
      <c r="GP182" s="54" t="b">
        <f t="shared" si="314"/>
        <v>0</v>
      </c>
      <c r="GQ182" s="54" t="b">
        <f t="shared" si="315"/>
        <v>1</v>
      </c>
      <c r="GR182" s="54" t="b">
        <f t="shared" si="316"/>
        <v>0</v>
      </c>
      <c r="GS182" s="54" t="b">
        <f t="shared" si="317"/>
        <v>1</v>
      </c>
      <c r="GT182" s="54">
        <f t="shared" si="318"/>
        <v>0.23469504353367862</v>
      </c>
      <c r="GU182" s="54" t="e">
        <f t="shared" si="319"/>
        <v>#N/A</v>
      </c>
      <c r="GV182" s="54">
        <f t="shared" si="320"/>
        <v>0.23469504353367862</v>
      </c>
      <c r="GW182" s="72" t="str">
        <f t="shared" si="321"/>
        <v/>
      </c>
      <c r="HC182" s="54">
        <f t="shared" si="322"/>
        <v>172</v>
      </c>
      <c r="HD182" s="54">
        <f t="shared" si="323"/>
        <v>173</v>
      </c>
      <c r="HE182" s="54">
        <f t="shared" si="324"/>
        <v>1.5950965428794444</v>
      </c>
      <c r="HF182" s="54" t="e">
        <f t="shared" si="325"/>
        <v>#N/A</v>
      </c>
      <c r="HG182" s="54">
        <f t="shared" si="326"/>
        <v>0.11139377338028286</v>
      </c>
      <c r="HH182" s="54" t="e">
        <f t="shared" si="327"/>
        <v>#N/A</v>
      </c>
      <c r="HI182" s="54" t="e">
        <f t="shared" si="328"/>
        <v>#N/A</v>
      </c>
      <c r="HJ182" s="54" t="b">
        <f t="shared" si="329"/>
        <v>1</v>
      </c>
      <c r="HK182" s="54" t="b">
        <f t="shared" si="330"/>
        <v>0</v>
      </c>
      <c r="HL182" s="54" t="b">
        <f t="shared" si="331"/>
        <v>0</v>
      </c>
      <c r="HM182" s="54" t="b">
        <f t="shared" si="332"/>
        <v>1</v>
      </c>
      <c r="HN182" s="54">
        <f t="shared" si="333"/>
        <v>0.11139377338028286</v>
      </c>
      <c r="HO182" s="54">
        <f t="shared" si="334"/>
        <v>0.11139377338028286</v>
      </c>
      <c r="HP182" s="54" t="e">
        <f t="shared" si="335"/>
        <v>#N/A</v>
      </c>
      <c r="HQ182" s="72" t="str">
        <f t="shared" si="336"/>
        <v/>
      </c>
    </row>
    <row r="183" spans="71:225" x14ac:dyDescent="0.2">
      <c r="BS183" s="54">
        <f t="shared" si="263"/>
        <v>173</v>
      </c>
      <c r="BT183" s="54">
        <f>Eu_tabel_g[[#This Row],[Indeks]]+1</f>
        <v>174</v>
      </c>
      <c r="BU183" s="54">
        <f t="shared" si="264"/>
        <v>1.0540327245843706</v>
      </c>
      <c r="BV183" s="54">
        <f t="shared" si="265"/>
        <v>0.22890893335654983</v>
      </c>
      <c r="BW183" s="54" t="e">
        <f t="shared" si="266"/>
        <v>#N/A</v>
      </c>
      <c r="BX183" s="54" t="e">
        <f t="shared" si="267"/>
        <v>#N/A</v>
      </c>
      <c r="BY183" s="54" t="e">
        <f t="shared" si="268"/>
        <v>#N/A</v>
      </c>
      <c r="BZ183" s="54" t="b">
        <f t="shared" si="269"/>
        <v>0</v>
      </c>
      <c r="CA183" s="54" t="b">
        <f t="shared" si="270"/>
        <v>1</v>
      </c>
      <c r="CB183" s="54" t="b">
        <f t="shared" si="271"/>
        <v>0</v>
      </c>
      <c r="CC183" s="54" t="b">
        <f t="shared" si="272"/>
        <v>1</v>
      </c>
      <c r="CD183" s="54">
        <f t="shared" si="337"/>
        <v>0.22890893335654983</v>
      </c>
      <c r="CE183" s="54" t="e">
        <f t="shared" si="273"/>
        <v>#N/A</v>
      </c>
      <c r="CF183" s="54">
        <f t="shared" si="274"/>
        <v>0.22890893335654983</v>
      </c>
      <c r="CG183" s="72" t="str">
        <f t="shared" si="275"/>
        <v/>
      </c>
      <c r="CH183" s="54">
        <f>_xlfn.NORM.DIST(_xlfn.NORM.INV(1-Eu_g_konfidensniveau,0,1)-Eu_tabel_g[[#This Row],[x base]],0,1,TRUE)</f>
        <v>3.4785965238282638E-3</v>
      </c>
      <c r="CI183" s="54">
        <f>1-_xlfn.NORM.DIST(_xlfn.NORM.INV(Eu_g_konfidensniveau,0,1)-Eu_tabel_g[[#This Row],[x base]],0,1,TRUE)</f>
        <v>0.27732021410330299</v>
      </c>
      <c r="CJ183" s="54">
        <f>_xlfn.NORM.DIST(_xlfn.NORM.INV((1-Eu_g_konfidensniveau)/2,0,1)-Eu_tabel_g[[#This Row],[x base]],0,1,TRUE)+1-_xlfn.NORM.DIST(_xlfn.NORM.INV(1-(1-Eu_g_konfidensniveau)/2,0,1)-Eu_tabel_g[[#This Row],[x base]],0,1,TRUE)</f>
        <v>0.1837752716806117</v>
      </c>
      <c r="CK183" s="54" t="e" cm="1">
        <f t="array" ref="CK183">IF($CK$3,INDEX(Eu_tabel_g[[#This Row],[Styrke venstre]:[Styrke tosidet]],CK$7),NA())</f>
        <v>#N/A</v>
      </c>
      <c r="CL183" s="99" t="e">
        <f>Eu_tabel_g[[#This Row],[Falsk positiv
Nulhypotese accepteres
Fejltype 1]]</f>
        <v>#N/A</v>
      </c>
      <c r="CM183" s="99" t="e">
        <f>IF(CHOOSE(CK$7,Eu_tabel_g[[#This Row],[x base]]&gt;0,Eu_tabel_g[[#This Row],[x base]]&lt;0,Eu_tabel_g[[#This Row],[x base]]=0),Eu_tabel_g[[#This Row],[Styrke, aktiv]],NA())</f>
        <v>#N/A</v>
      </c>
      <c r="CN183" s="99" t="e">
        <f>IFERROR(IF($CK$3,Eu_tabel_g[[#This Row],[Styrke, aktiv]],NA()),NA())</f>
        <v>#N/A</v>
      </c>
      <c r="CO183" s="99" t="e">
        <f>IF(ISNA(Eu_tabel_g[[#This Row],[Sand negativ
Nulhypotese afvises
Korrekt]]),NA(),IF($CK$3,1,NA()))</f>
        <v>#N/A</v>
      </c>
      <c r="CP183" s="56" t="str" cm="1">
        <f t="array" ref="CP183">_xlfn.SWITCH(BS183,_xlfn.IFNA(CN$2,-99),CN$5,_xlfn.IFNA(CN$3,-99),CN$6,_xlfn.IFNA(CN$4,-99),CN$7,"")</f>
        <v/>
      </c>
      <c r="CT183" s="7">
        <f t="shared" si="276"/>
        <v>0.8</v>
      </c>
      <c r="CU183">
        <f>IF(ROW(Styrkeberegning_G[[#This Row],[X base venstre]])=ROW(Styrkeberegning_G[[#Headers],[X base venstre]])+1,CU$7/(CT$7/$B$67),CU182/(CT182/$B$67))</f>
        <v>-2.8015817870135784</v>
      </c>
      <c r="CV183">
        <f>Styrkeberegning_G[[#This Row],[X base venstre]]*-1</f>
        <v>2.8015817870135784</v>
      </c>
      <c r="DG183" s="54">
        <f t="shared" si="277"/>
        <v>173</v>
      </c>
      <c r="DH183" s="54">
        <f t="shared" si="278"/>
        <v>174</v>
      </c>
      <c r="DI183" s="54">
        <f t="shared" si="279"/>
        <v>21.568110824794864</v>
      </c>
      <c r="DJ183" s="54" t="e">
        <f t="shared" si="280"/>
        <v>#N/A</v>
      </c>
      <c r="DK183" s="54" t="e">
        <f t="shared" si="281"/>
        <v>#N/A</v>
      </c>
      <c r="DL183" s="54">
        <f t="shared" si="282"/>
        <v>8.7938079772592812E-3</v>
      </c>
      <c r="DM183" s="54" t="e">
        <f t="shared" si="283"/>
        <v>#N/A</v>
      </c>
      <c r="DN183" s="54" t="b">
        <f t="shared" si="284"/>
        <v>0</v>
      </c>
      <c r="DO183" s="54" t="b">
        <f t="shared" si="285"/>
        <v>1</v>
      </c>
      <c r="DP183" s="54" t="b">
        <f t="shared" si="286"/>
        <v>0</v>
      </c>
      <c r="DQ183" s="54" t="b">
        <f t="shared" si="287"/>
        <v>1</v>
      </c>
      <c r="DR183" s="54">
        <f t="shared" si="288"/>
        <v>8.7938079772592812E-3</v>
      </c>
      <c r="DS183" s="54" t="e">
        <f t="shared" si="289"/>
        <v>#N/A</v>
      </c>
      <c r="DT183" s="54">
        <f t="shared" si="290"/>
        <v>8.7938079772592812E-3</v>
      </c>
      <c r="DU183" s="72" t="str">
        <f t="shared" si="291"/>
        <v/>
      </c>
      <c r="DZ183" s="54">
        <f t="shared" si="292"/>
        <v>173</v>
      </c>
      <c r="EA183" s="54">
        <f t="shared" si="293"/>
        <v>174</v>
      </c>
      <c r="EB183" s="54">
        <f t="shared" si="294"/>
        <v>1.0540327245843706</v>
      </c>
      <c r="EC183" s="54">
        <f t="shared" si="295"/>
        <v>0.22890893335654983</v>
      </c>
      <c r="ED183" s="54" t="e">
        <f t="shared" si="296"/>
        <v>#N/A</v>
      </c>
      <c r="EE183" s="54" t="e">
        <f t="shared" si="297"/>
        <v>#N/A</v>
      </c>
      <c r="EF183" s="54" t="e">
        <f t="shared" si="298"/>
        <v>#N/A</v>
      </c>
      <c r="EG183" s="54" t="b">
        <f t="shared" si="299"/>
        <v>0</v>
      </c>
      <c r="EH183" s="54" t="b">
        <f t="shared" si="300"/>
        <v>1</v>
      </c>
      <c r="EI183" s="54" t="b">
        <f t="shared" si="301"/>
        <v>0</v>
      </c>
      <c r="EJ183" s="54" t="b">
        <f t="shared" si="302"/>
        <v>1</v>
      </c>
      <c r="EK183" s="54">
        <f t="shared" si="303"/>
        <v>0.22890893335654983</v>
      </c>
      <c r="EL183" s="54" t="e">
        <f t="shared" si="304"/>
        <v>#N/A</v>
      </c>
      <c r="EM183" s="54">
        <f t="shared" si="305"/>
        <v>0.22890893335654983</v>
      </c>
      <c r="EN183" s="72" t="str">
        <f t="shared" si="306"/>
        <v/>
      </c>
      <c r="EO18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8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8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83" s="54" t="e" cm="1">
        <f t="array" ref="ER183">IF($CK$3,INDEX(Eu_tabel_a[[#This Row],[Styrke venstre]:[Styrke tosidet]],ER$7),NA())</f>
        <v>#N/A</v>
      </c>
      <c r="ES183" s="54" t="e">
        <f>IF(ER$3,IF(CHOOSE(ER$7,Eu_tabel_a[[#This Row],[x base]]&gt;0,Eu_tabel_a[[#This Row],[x base]]&lt;0,Eu_tabel_a[[#This Row],[x base]]=0),1,NA()),NA())</f>
        <v>#N/A</v>
      </c>
      <c r="ET183" s="54" t="e">
        <f>IF(CHOOSE(ER$7,Eu_tabel_a[[#This Row],[x base]]&gt;0,Eu_tabel_a[[#This Row],[x base]]&lt;0,Eu_tabel_a[[#This Row],[x base]]=0),Eu_tabel_a[[#This Row],[Styrke, aktiv]],NA())</f>
        <v>#N/A</v>
      </c>
      <c r="EU183" s="54" t="e">
        <f>IFERROR(IF($ER$3,Eu_tabel_a[[#This Row],[Styrke, aktiv]],NA()),NA())</f>
        <v>#N/A</v>
      </c>
      <c r="EV183" s="54" t="e">
        <f>IF(ISNA(Eu_tabel_a[[#This Row],[Sand negativ
Nulhypotese afvises
Korrekt]]),NA(),IF(ER$3,1,NA()))</f>
        <v>#N/A</v>
      </c>
      <c r="EW183" s="55" t="str" cm="1">
        <f t="array" ref="EW183">IFERROR(_xlfn.SWITCH(Eu_tabel_a[[#This Row],[Indeks]],_xlfn.IFNA(EU$2,-99),EU$5,_xlfn.IFNA(EU$3,-99),EU$6,_xlfn.IFNA(EU$4,-99),EU$7,""),"")</f>
        <v/>
      </c>
      <c r="EX183" s="54">
        <f>Eu_tabel_a[[#This Row],[x base]]*SQRT(Eu_a_h0_x*(1-Eu_a_h0_x)/Eu_a_n_x)+Eu_a_h0_x</f>
        <v>0</v>
      </c>
      <c r="FC183" s="161" t="e">
        <f t="shared" si="250"/>
        <v>#N/A</v>
      </c>
      <c r="FD183" s="169" t="e">
        <f t="shared" si="338"/>
        <v>#DIV/0!</v>
      </c>
      <c r="FE183" s="7" t="e">
        <f t="shared" si="244"/>
        <v>#DIV/0!</v>
      </c>
      <c r="FF183" t="e">
        <f t="shared" si="339"/>
        <v>#DIV/0!</v>
      </c>
      <c r="FG183" s="8" t="e">
        <f t="shared" si="340"/>
        <v>#DIV/0!</v>
      </c>
      <c r="FH183" s="8" t="e">
        <f t="shared" si="341"/>
        <v>#DIV/0!</v>
      </c>
      <c r="FI183" s="168" t="e">
        <f t="shared" si="342"/>
        <v>#DIV/0!</v>
      </c>
      <c r="FJ183" s="161" t="e">
        <f t="shared" ca="1" si="245"/>
        <v>#N/A</v>
      </c>
      <c r="FK183" s="169" t="e" vm="3">
        <f t="shared" ca="1" si="251"/>
        <v>#VALUE!</v>
      </c>
      <c r="FL183" s="7" t="e" vm="3">
        <f t="shared" ca="1" si="246"/>
        <v>#VALUE!</v>
      </c>
      <c r="FM183" t="e" vm="3">
        <f t="shared" ca="1" si="240"/>
        <v>#VALUE!</v>
      </c>
      <c r="FN183" s="8" t="e" vm="3">
        <f t="shared" ca="1" si="241"/>
        <v>#VALUE!</v>
      </c>
      <c r="FO183" s="8" t="e" vm="3">
        <f t="shared" ca="1" si="242"/>
        <v>#VALUE!</v>
      </c>
      <c r="FP183" s="168" t="e" vm="3">
        <f t="shared" ca="1" si="243"/>
        <v>#VALUE!</v>
      </c>
      <c r="FQ183" s="161" t="e">
        <f t="shared" si="247"/>
        <v>#N/A</v>
      </c>
      <c r="FR183" s="169" t="e">
        <f t="shared" si="252"/>
        <v>#N/A</v>
      </c>
      <c r="FS183" s="7" t="e">
        <f t="shared" si="248"/>
        <v>#N/A</v>
      </c>
      <c r="FT183" t="e">
        <f t="shared" si="253"/>
        <v>#N/A</v>
      </c>
      <c r="FU183" s="8" t="e">
        <f t="shared" si="254"/>
        <v>#N/A</v>
      </c>
      <c r="FV183" s="8" t="e">
        <f t="shared" si="255"/>
        <v>#N/A</v>
      </c>
      <c r="FW183" s="168" t="e">
        <f t="shared" si="256"/>
        <v>#N/A</v>
      </c>
      <c r="FX183" s="161" t="e">
        <f t="shared" si="257"/>
        <v>#N/A</v>
      </c>
      <c r="FY183" s="169" t="e">
        <f t="shared" si="258"/>
        <v>#N/A</v>
      </c>
      <c r="FZ183" s="7" t="e">
        <f t="shared" si="249"/>
        <v>#N/A</v>
      </c>
      <c r="GA183" t="e">
        <f t="shared" si="259"/>
        <v>#N/A</v>
      </c>
      <c r="GB183" s="8" t="e">
        <f t="shared" si="260"/>
        <v>#N/A</v>
      </c>
      <c r="GC183" s="8" t="e">
        <f t="shared" si="261"/>
        <v>#N/A</v>
      </c>
      <c r="GD183" s="168" t="e">
        <f t="shared" si="262"/>
        <v>#N/A</v>
      </c>
      <c r="GE183" s="168"/>
      <c r="GF183" s="168"/>
      <c r="GI183" s="54">
        <f t="shared" si="307"/>
        <v>173</v>
      </c>
      <c r="GJ183" s="54">
        <f t="shared" si="308"/>
        <v>174</v>
      </c>
      <c r="GK183" s="54">
        <f t="shared" si="309"/>
        <v>1.0540327245843706</v>
      </c>
      <c r="GL183" s="54">
        <f t="shared" si="310"/>
        <v>0.22890893335654983</v>
      </c>
      <c r="GM183" s="54" t="e">
        <f t="shared" si="311"/>
        <v>#N/A</v>
      </c>
      <c r="GN183" s="54" t="e">
        <f t="shared" si="312"/>
        <v>#N/A</v>
      </c>
      <c r="GO183" s="54" t="e">
        <f t="shared" si="313"/>
        <v>#N/A</v>
      </c>
      <c r="GP183" s="54" t="b">
        <f t="shared" si="314"/>
        <v>0</v>
      </c>
      <c r="GQ183" s="54" t="b">
        <f t="shared" si="315"/>
        <v>1</v>
      </c>
      <c r="GR183" s="54" t="b">
        <f t="shared" si="316"/>
        <v>0</v>
      </c>
      <c r="GS183" s="54" t="b">
        <f t="shared" si="317"/>
        <v>1</v>
      </c>
      <c r="GT183" s="54">
        <f t="shared" si="318"/>
        <v>0.22890893335654983</v>
      </c>
      <c r="GU183" s="54" t="e">
        <f t="shared" si="319"/>
        <v>#N/A</v>
      </c>
      <c r="GV183" s="54">
        <f t="shared" si="320"/>
        <v>0.22890893335654983</v>
      </c>
      <c r="GW183" s="72" t="str">
        <f t="shared" si="321"/>
        <v/>
      </c>
      <c r="HC183" s="54">
        <f t="shared" si="322"/>
        <v>173</v>
      </c>
      <c r="HD183" s="54">
        <f t="shared" si="323"/>
        <v>174</v>
      </c>
      <c r="HE183" s="54">
        <f t="shared" si="324"/>
        <v>1.6321918113185019</v>
      </c>
      <c r="HF183" s="54" t="e">
        <f t="shared" si="325"/>
        <v>#N/A</v>
      </c>
      <c r="HG183" s="54">
        <f t="shared" si="326"/>
        <v>0.10597576325843147</v>
      </c>
      <c r="HH183" s="54" t="e">
        <f t="shared" si="327"/>
        <v>#N/A</v>
      </c>
      <c r="HI183" s="54" t="e">
        <f t="shared" si="328"/>
        <v>#N/A</v>
      </c>
      <c r="HJ183" s="54" t="b">
        <f t="shared" si="329"/>
        <v>1</v>
      </c>
      <c r="HK183" s="54" t="b">
        <f t="shared" si="330"/>
        <v>0</v>
      </c>
      <c r="HL183" s="54" t="b">
        <f t="shared" si="331"/>
        <v>0</v>
      </c>
      <c r="HM183" s="54" t="b">
        <f t="shared" si="332"/>
        <v>1</v>
      </c>
      <c r="HN183" s="54">
        <f t="shared" si="333"/>
        <v>0.10597576325843147</v>
      </c>
      <c r="HO183" s="54">
        <f t="shared" si="334"/>
        <v>0.10597576325843147</v>
      </c>
      <c r="HP183" s="54" t="e">
        <f t="shared" si="335"/>
        <v>#N/A</v>
      </c>
      <c r="HQ183" s="72" t="str">
        <f t="shared" si="336"/>
        <v/>
      </c>
    </row>
    <row r="184" spans="71:225" x14ac:dyDescent="0.2">
      <c r="BS184" s="54">
        <f t="shared" si="263"/>
        <v>174</v>
      </c>
      <c r="BT184" s="54">
        <f>Eu_tabel_g[[#This Row],[Indeks]]+1</f>
        <v>175</v>
      </c>
      <c r="BU184" s="54">
        <f t="shared" si="264"/>
        <v>1.0779880137794695</v>
      </c>
      <c r="BV184" s="54">
        <f t="shared" si="265"/>
        <v>0.2231373869759069</v>
      </c>
      <c r="BW184" s="54" t="e">
        <f t="shared" si="266"/>
        <v>#N/A</v>
      </c>
      <c r="BX184" s="54" t="e">
        <f t="shared" si="267"/>
        <v>#N/A</v>
      </c>
      <c r="BY184" s="54" t="e">
        <f t="shared" si="268"/>
        <v>#N/A</v>
      </c>
      <c r="BZ184" s="54" t="b">
        <f t="shared" si="269"/>
        <v>0</v>
      </c>
      <c r="CA184" s="54" t="b">
        <f t="shared" si="270"/>
        <v>1</v>
      </c>
      <c r="CB184" s="54" t="b">
        <f t="shared" si="271"/>
        <v>0</v>
      </c>
      <c r="CC184" s="54" t="b">
        <f t="shared" si="272"/>
        <v>1</v>
      </c>
      <c r="CD184" s="54">
        <f t="shared" si="337"/>
        <v>0.2231373869759069</v>
      </c>
      <c r="CE184" s="54" t="e">
        <f t="shared" si="273"/>
        <v>#N/A</v>
      </c>
      <c r="CF184" s="54">
        <f t="shared" si="274"/>
        <v>0.2231373869759069</v>
      </c>
      <c r="CG184" s="72" t="str">
        <f t="shared" si="275"/>
        <v/>
      </c>
      <c r="CH184" s="54">
        <f>_xlfn.NORM.DIST(_xlfn.NORM.INV(1-Eu_g_konfidensniveau,0,1)-Eu_tabel_g[[#This Row],[x base]],0,1,TRUE)</f>
        <v>3.2361537059482173E-3</v>
      </c>
      <c r="CI184" s="54">
        <f>1-_xlfn.NORM.DIST(_xlfn.NORM.INV(Eu_g_konfidensniveau,0,1)-Eu_tabel_g[[#This Row],[x base]],0,1,TRUE)</f>
        <v>0.28540274418023859</v>
      </c>
      <c r="CJ184" s="54">
        <f>_xlfn.NORM.DIST(_xlfn.NORM.INV((1-Eu_g_konfidensniveau)/2,0,1)-Eu_tabel_g[[#This Row],[x base]],0,1,TRUE)+1-_xlfn.NORM.DIST(_xlfn.NORM.INV(1-(1-Eu_g_konfidensniveau)/2,0,1)-Eu_tabel_g[[#This Row],[x base]],0,1,TRUE)</f>
        <v>0.19008586036622488</v>
      </c>
      <c r="CK184" s="54" t="e" cm="1">
        <f t="array" ref="CK184">IF($CK$3,INDEX(Eu_tabel_g[[#This Row],[Styrke venstre]:[Styrke tosidet]],CK$7),NA())</f>
        <v>#N/A</v>
      </c>
      <c r="CL184" s="99" t="e">
        <f>Eu_tabel_g[[#This Row],[Falsk positiv
Nulhypotese accepteres
Fejltype 1]]</f>
        <v>#N/A</v>
      </c>
      <c r="CM184" s="99" t="e">
        <f>IF(CHOOSE(CK$7,Eu_tabel_g[[#This Row],[x base]]&gt;0,Eu_tabel_g[[#This Row],[x base]]&lt;0,Eu_tabel_g[[#This Row],[x base]]=0),Eu_tabel_g[[#This Row],[Styrke, aktiv]],NA())</f>
        <v>#N/A</v>
      </c>
      <c r="CN184" s="99" t="e">
        <f>IFERROR(IF($CK$3,Eu_tabel_g[[#This Row],[Styrke, aktiv]],NA()),NA())</f>
        <v>#N/A</v>
      </c>
      <c r="CO184" s="99" t="e">
        <f>IF(ISNA(Eu_tabel_g[[#This Row],[Sand negativ
Nulhypotese afvises
Korrekt]]),NA(),IF($CK$3,1,NA()))</f>
        <v>#N/A</v>
      </c>
      <c r="CP184" s="56" t="str" cm="1">
        <f t="array" ref="CP184">_xlfn.SWITCH(BS184,_xlfn.IFNA(CN$2,-99),CN$5,_xlfn.IFNA(CN$3,-99),CN$6,_xlfn.IFNA(CN$4,-99),CN$7,"")</f>
        <v/>
      </c>
      <c r="CT184" s="7">
        <f t="shared" si="276"/>
        <v>0.8</v>
      </c>
      <c r="CU184">
        <f>IF(ROW(Styrkeberegning_G[[#This Row],[X base venstre]])=ROW(Styrkeberegning_G[[#Headers],[X base venstre]])+1,CU$7/(CT$7/$B$67),CU183/(CT183/$B$67))</f>
        <v>-2.8015817870135784</v>
      </c>
      <c r="CV184">
        <f>Styrkeberegning_G[[#This Row],[X base venstre]]*-1</f>
        <v>2.8015817870135784</v>
      </c>
      <c r="DG184" s="54">
        <f t="shared" si="277"/>
        <v>174</v>
      </c>
      <c r="DH184" s="54">
        <f t="shared" si="278"/>
        <v>175</v>
      </c>
      <c r="DI184" s="54">
        <f t="shared" si="279"/>
        <v>21.682181681211866</v>
      </c>
      <c r="DJ184" s="54" t="e">
        <f t="shared" si="280"/>
        <v>#N/A</v>
      </c>
      <c r="DK184" s="54" t="e">
        <f t="shared" si="281"/>
        <v>#N/A</v>
      </c>
      <c r="DL184" s="54">
        <f t="shared" si="282"/>
        <v>8.5058111039919785E-3</v>
      </c>
      <c r="DM184" s="54" t="e">
        <f t="shared" si="283"/>
        <v>#N/A</v>
      </c>
      <c r="DN184" s="54" t="b">
        <f t="shared" si="284"/>
        <v>0</v>
      </c>
      <c r="DO184" s="54" t="b">
        <f t="shared" si="285"/>
        <v>1</v>
      </c>
      <c r="DP184" s="54" t="b">
        <f t="shared" si="286"/>
        <v>0</v>
      </c>
      <c r="DQ184" s="54" t="b">
        <f t="shared" si="287"/>
        <v>1</v>
      </c>
      <c r="DR184" s="54">
        <f t="shared" si="288"/>
        <v>8.5058111039919785E-3</v>
      </c>
      <c r="DS184" s="54" t="e">
        <f t="shared" si="289"/>
        <v>#N/A</v>
      </c>
      <c r="DT184" s="54">
        <f t="shared" si="290"/>
        <v>8.5058111039919785E-3</v>
      </c>
      <c r="DU184" s="72" t="str">
        <f t="shared" si="291"/>
        <v/>
      </c>
      <c r="DZ184" s="54">
        <f t="shared" si="292"/>
        <v>174</v>
      </c>
      <c r="EA184" s="54">
        <f t="shared" si="293"/>
        <v>175</v>
      </c>
      <c r="EB184" s="54">
        <f t="shared" si="294"/>
        <v>1.0779880137794695</v>
      </c>
      <c r="EC184" s="54">
        <f t="shared" si="295"/>
        <v>0.2231373869759069</v>
      </c>
      <c r="ED184" s="54" t="e">
        <f t="shared" si="296"/>
        <v>#N/A</v>
      </c>
      <c r="EE184" s="54" t="e">
        <f t="shared" si="297"/>
        <v>#N/A</v>
      </c>
      <c r="EF184" s="54" t="e">
        <f t="shared" si="298"/>
        <v>#N/A</v>
      </c>
      <c r="EG184" s="54" t="b">
        <f t="shared" si="299"/>
        <v>0</v>
      </c>
      <c r="EH184" s="54" t="b">
        <f t="shared" si="300"/>
        <v>1</v>
      </c>
      <c r="EI184" s="54" t="b">
        <f t="shared" si="301"/>
        <v>0</v>
      </c>
      <c r="EJ184" s="54" t="b">
        <f t="shared" si="302"/>
        <v>1</v>
      </c>
      <c r="EK184" s="54">
        <f t="shared" si="303"/>
        <v>0.2231373869759069</v>
      </c>
      <c r="EL184" s="54" t="e">
        <f t="shared" si="304"/>
        <v>#N/A</v>
      </c>
      <c r="EM184" s="54">
        <f t="shared" si="305"/>
        <v>0.2231373869759069</v>
      </c>
      <c r="EN184" s="72" t="str">
        <f t="shared" si="306"/>
        <v/>
      </c>
      <c r="EO18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8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8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84" s="54" t="e" cm="1">
        <f t="array" ref="ER184">IF($CK$3,INDEX(Eu_tabel_a[[#This Row],[Styrke venstre]:[Styrke tosidet]],ER$7),NA())</f>
        <v>#N/A</v>
      </c>
      <c r="ES184" s="54" t="e">
        <f>IF(ER$3,IF(CHOOSE(ER$7,Eu_tabel_a[[#This Row],[x base]]&gt;0,Eu_tabel_a[[#This Row],[x base]]&lt;0,Eu_tabel_a[[#This Row],[x base]]=0),1,NA()),NA())</f>
        <v>#N/A</v>
      </c>
      <c r="ET184" s="54" t="e">
        <f>IF(CHOOSE(ER$7,Eu_tabel_a[[#This Row],[x base]]&gt;0,Eu_tabel_a[[#This Row],[x base]]&lt;0,Eu_tabel_a[[#This Row],[x base]]=0),Eu_tabel_a[[#This Row],[Styrke, aktiv]],NA())</f>
        <v>#N/A</v>
      </c>
      <c r="EU184" s="54" t="e">
        <f>IFERROR(IF($ER$3,Eu_tabel_a[[#This Row],[Styrke, aktiv]],NA()),NA())</f>
        <v>#N/A</v>
      </c>
      <c r="EV184" s="54" t="e">
        <f>IF(ISNA(Eu_tabel_a[[#This Row],[Sand negativ
Nulhypotese afvises
Korrekt]]),NA(),IF(ER$3,1,NA()))</f>
        <v>#N/A</v>
      </c>
      <c r="EW184" s="55" t="str" cm="1">
        <f t="array" ref="EW184">IFERROR(_xlfn.SWITCH(Eu_tabel_a[[#This Row],[Indeks]],_xlfn.IFNA(EU$2,-99),EU$5,_xlfn.IFNA(EU$3,-99),EU$6,_xlfn.IFNA(EU$4,-99),EU$7,""),"")</f>
        <v/>
      </c>
      <c r="EX184" s="54">
        <f>Eu_tabel_a[[#This Row],[x base]]*SQRT(Eu_a_h0_x*(1-Eu_a_h0_x)/Eu_a_n_x)+Eu_a_h0_x</f>
        <v>0</v>
      </c>
      <c r="FC184" s="161" t="e">
        <f t="shared" si="250"/>
        <v>#N/A</v>
      </c>
      <c r="FD184" s="169" t="e">
        <f t="shared" si="338"/>
        <v>#DIV/0!</v>
      </c>
      <c r="FE184" s="7" t="e">
        <f t="shared" si="244"/>
        <v>#DIV/0!</v>
      </c>
      <c r="FF184" t="e">
        <f t="shared" si="339"/>
        <v>#DIV/0!</v>
      </c>
      <c r="FG184" s="8" t="e">
        <f t="shared" si="340"/>
        <v>#DIV/0!</v>
      </c>
      <c r="FH184" s="8" t="e">
        <f t="shared" si="341"/>
        <v>#DIV/0!</v>
      </c>
      <c r="FI184" s="168" t="e">
        <f t="shared" si="342"/>
        <v>#DIV/0!</v>
      </c>
      <c r="FJ184" s="161" t="e">
        <f t="shared" ca="1" si="245"/>
        <v>#N/A</v>
      </c>
      <c r="FK184" s="169" t="e" vm="3">
        <f t="shared" ca="1" si="251"/>
        <v>#VALUE!</v>
      </c>
      <c r="FL184" s="7" t="e" vm="3">
        <f t="shared" ca="1" si="246"/>
        <v>#VALUE!</v>
      </c>
      <c r="FM184" t="e" vm="3">
        <f t="shared" ca="1" si="240"/>
        <v>#VALUE!</v>
      </c>
      <c r="FN184" s="8" t="e" vm="3">
        <f t="shared" ca="1" si="241"/>
        <v>#VALUE!</v>
      </c>
      <c r="FO184" s="8" t="e" vm="3">
        <f t="shared" ca="1" si="242"/>
        <v>#VALUE!</v>
      </c>
      <c r="FP184" s="168" t="e" vm="3">
        <f t="shared" ca="1" si="243"/>
        <v>#VALUE!</v>
      </c>
      <c r="FQ184" s="161" t="e">
        <f t="shared" si="247"/>
        <v>#N/A</v>
      </c>
      <c r="FR184" s="169" t="e">
        <f t="shared" si="252"/>
        <v>#N/A</v>
      </c>
      <c r="FS184" s="7" t="e">
        <f t="shared" si="248"/>
        <v>#N/A</v>
      </c>
      <c r="FT184" t="e">
        <f t="shared" si="253"/>
        <v>#N/A</v>
      </c>
      <c r="FU184" s="8" t="e">
        <f t="shared" si="254"/>
        <v>#N/A</v>
      </c>
      <c r="FV184" s="8" t="e">
        <f t="shared" si="255"/>
        <v>#N/A</v>
      </c>
      <c r="FW184" s="168" t="e">
        <f t="shared" si="256"/>
        <v>#N/A</v>
      </c>
      <c r="FX184" s="161" t="e">
        <f t="shared" si="257"/>
        <v>#N/A</v>
      </c>
      <c r="FY184" s="169" t="e">
        <f t="shared" si="258"/>
        <v>#N/A</v>
      </c>
      <c r="FZ184" s="7" t="e">
        <f t="shared" si="249"/>
        <v>#N/A</v>
      </c>
      <c r="GA184" t="e">
        <f t="shared" si="259"/>
        <v>#N/A</v>
      </c>
      <c r="GB184" s="8" t="e">
        <f t="shared" si="260"/>
        <v>#N/A</v>
      </c>
      <c r="GC184" s="8" t="e">
        <f t="shared" si="261"/>
        <v>#N/A</v>
      </c>
      <c r="GD184" s="168" t="e">
        <f t="shared" si="262"/>
        <v>#N/A</v>
      </c>
      <c r="GE184" s="168"/>
      <c r="GF184" s="168"/>
      <c r="GI184" s="54">
        <f t="shared" si="307"/>
        <v>174</v>
      </c>
      <c r="GJ184" s="54">
        <f t="shared" si="308"/>
        <v>175</v>
      </c>
      <c r="GK184" s="54">
        <f t="shared" si="309"/>
        <v>1.0779880137794695</v>
      </c>
      <c r="GL184" s="54">
        <f t="shared" si="310"/>
        <v>0.2231373869759069</v>
      </c>
      <c r="GM184" s="54" t="e">
        <f t="shared" si="311"/>
        <v>#N/A</v>
      </c>
      <c r="GN184" s="54" t="e">
        <f t="shared" si="312"/>
        <v>#N/A</v>
      </c>
      <c r="GO184" s="54" t="e">
        <f t="shared" si="313"/>
        <v>#N/A</v>
      </c>
      <c r="GP184" s="54" t="b">
        <f t="shared" si="314"/>
        <v>0</v>
      </c>
      <c r="GQ184" s="54" t="b">
        <f t="shared" si="315"/>
        <v>1</v>
      </c>
      <c r="GR184" s="54" t="b">
        <f t="shared" si="316"/>
        <v>0</v>
      </c>
      <c r="GS184" s="54" t="b">
        <f t="shared" si="317"/>
        <v>1</v>
      </c>
      <c r="GT184" s="54">
        <f t="shared" si="318"/>
        <v>0.2231373869759069</v>
      </c>
      <c r="GU184" s="54" t="e">
        <f t="shared" si="319"/>
        <v>#N/A</v>
      </c>
      <c r="GV184" s="54">
        <f t="shared" si="320"/>
        <v>0.2231373869759069</v>
      </c>
      <c r="GW184" s="72" t="str">
        <f t="shared" si="321"/>
        <v/>
      </c>
      <c r="HC184" s="54">
        <f t="shared" si="322"/>
        <v>174</v>
      </c>
      <c r="HD184" s="54">
        <f t="shared" si="323"/>
        <v>175</v>
      </c>
      <c r="HE184" s="54">
        <f t="shared" si="324"/>
        <v>1.6692870797575585</v>
      </c>
      <c r="HF184" s="54" t="e">
        <f t="shared" si="325"/>
        <v>#N/A</v>
      </c>
      <c r="HG184" s="54">
        <f t="shared" si="326"/>
        <v>0.10076975631354256</v>
      </c>
      <c r="HH184" s="54" t="e">
        <f t="shared" si="327"/>
        <v>#N/A</v>
      </c>
      <c r="HI184" s="54" t="e">
        <f t="shared" si="328"/>
        <v>#N/A</v>
      </c>
      <c r="HJ184" s="54" t="b">
        <f t="shared" si="329"/>
        <v>1</v>
      </c>
      <c r="HK184" s="54" t="b">
        <f t="shared" si="330"/>
        <v>0</v>
      </c>
      <c r="HL184" s="54" t="b">
        <f t="shared" si="331"/>
        <v>0</v>
      </c>
      <c r="HM184" s="54" t="b">
        <f t="shared" si="332"/>
        <v>1</v>
      </c>
      <c r="HN184" s="54">
        <f t="shared" si="333"/>
        <v>0.10076975631354256</v>
      </c>
      <c r="HO184" s="54">
        <f t="shared" si="334"/>
        <v>0.10076975631354256</v>
      </c>
      <c r="HP184" s="54" t="e">
        <f t="shared" si="335"/>
        <v>#N/A</v>
      </c>
      <c r="HQ184" s="72" t="str">
        <f t="shared" si="336"/>
        <v/>
      </c>
    </row>
    <row r="185" spans="71:225" x14ac:dyDescent="0.2">
      <c r="BS185" s="54">
        <f t="shared" si="263"/>
        <v>175</v>
      </c>
      <c r="BT185" s="54">
        <f>Eu_tabel_g[[#This Row],[Indeks]]+1</f>
        <v>176</v>
      </c>
      <c r="BU185" s="54">
        <f t="shared" si="264"/>
        <v>1.1019433029745693</v>
      </c>
      <c r="BV185" s="54">
        <f t="shared" si="265"/>
        <v>0.2173865758786262</v>
      </c>
      <c r="BW185" s="54" t="e">
        <f t="shared" si="266"/>
        <v>#N/A</v>
      </c>
      <c r="BX185" s="54" t="e">
        <f t="shared" si="267"/>
        <v>#N/A</v>
      </c>
      <c r="BY185" s="54" t="e">
        <f t="shared" si="268"/>
        <v>#N/A</v>
      </c>
      <c r="BZ185" s="54" t="b">
        <f t="shared" si="269"/>
        <v>0</v>
      </c>
      <c r="CA185" s="54" t="b">
        <f t="shared" si="270"/>
        <v>1</v>
      </c>
      <c r="CB185" s="54" t="b">
        <f t="shared" si="271"/>
        <v>0</v>
      </c>
      <c r="CC185" s="54" t="b">
        <f t="shared" si="272"/>
        <v>1</v>
      </c>
      <c r="CD185" s="54">
        <f t="shared" si="337"/>
        <v>0.2173865758786262</v>
      </c>
      <c r="CE185" s="54" t="e">
        <f t="shared" si="273"/>
        <v>#N/A</v>
      </c>
      <c r="CF185" s="54">
        <f t="shared" si="274"/>
        <v>0.2173865758786262</v>
      </c>
      <c r="CG185" s="72" t="str">
        <f t="shared" si="275"/>
        <v/>
      </c>
      <c r="CH185" s="54">
        <f>_xlfn.NORM.DIST(_xlfn.NORM.INV(1-Eu_g_konfidensniveau,0,1)-Eu_tabel_g[[#This Row],[x base]],0,1,TRUE)</f>
        <v>3.0090191634775634E-3</v>
      </c>
      <c r="CI185" s="54">
        <f>1-_xlfn.NORM.DIST(_xlfn.NORM.INV(Eu_g_konfidensniveau,0,1)-Eu_tabel_g[[#This Row],[x base]],0,1,TRUE)</f>
        <v>0.29359577368344003</v>
      </c>
      <c r="CJ185" s="54">
        <f>_xlfn.NORM.DIST(_xlfn.NORM.INV((1-Eu_g_konfidensniveau)/2,0,1)-Eu_tabel_g[[#This Row],[x base]],0,1,TRUE)+1-_xlfn.NORM.DIST(_xlfn.NORM.INV(1-(1-Eu_g_konfidensniveau)/2,0,1)-Eu_tabel_g[[#This Row],[x base]],0,1,TRUE)</f>
        <v>0.19654017955137171</v>
      </c>
      <c r="CK185" s="54" t="e" cm="1">
        <f t="array" ref="CK185">IF($CK$3,INDEX(Eu_tabel_g[[#This Row],[Styrke venstre]:[Styrke tosidet]],CK$7),NA())</f>
        <v>#N/A</v>
      </c>
      <c r="CL185" s="99" t="e">
        <f>Eu_tabel_g[[#This Row],[Falsk positiv
Nulhypotese accepteres
Fejltype 1]]</f>
        <v>#N/A</v>
      </c>
      <c r="CM185" s="99" t="e">
        <f>IF(CHOOSE(CK$7,Eu_tabel_g[[#This Row],[x base]]&gt;0,Eu_tabel_g[[#This Row],[x base]]&lt;0,Eu_tabel_g[[#This Row],[x base]]=0),Eu_tabel_g[[#This Row],[Styrke, aktiv]],NA())</f>
        <v>#N/A</v>
      </c>
      <c r="CN185" s="99" t="e">
        <f>IFERROR(IF($CK$3,Eu_tabel_g[[#This Row],[Styrke, aktiv]],NA()),NA())</f>
        <v>#N/A</v>
      </c>
      <c r="CO185" s="99" t="e">
        <f>IF(ISNA(Eu_tabel_g[[#This Row],[Sand negativ
Nulhypotese afvises
Korrekt]]),NA(),IF($CK$3,1,NA()))</f>
        <v>#N/A</v>
      </c>
      <c r="CP185" s="56" t="str" cm="1">
        <f t="array" ref="CP185">_xlfn.SWITCH(BS185,_xlfn.IFNA(CN$2,-99),CN$5,_xlfn.IFNA(CN$3,-99),CN$6,_xlfn.IFNA(CN$4,-99),CN$7,"")</f>
        <v/>
      </c>
      <c r="CT185" s="7">
        <f t="shared" si="276"/>
        <v>0.8</v>
      </c>
      <c r="CU185">
        <f>IF(ROW(Styrkeberegning_G[[#This Row],[X base venstre]])=ROW(Styrkeberegning_G[[#Headers],[X base venstre]])+1,CU$7/(CT$7/$B$67),CU184/(CT184/$B$67))</f>
        <v>-2.8015817870135784</v>
      </c>
      <c r="CV185">
        <f>Styrkeberegning_G[[#This Row],[X base venstre]]*-1</f>
        <v>2.8015817870135784</v>
      </c>
      <c r="DG185" s="54">
        <f t="shared" si="277"/>
        <v>175</v>
      </c>
      <c r="DH185" s="54">
        <f t="shared" si="278"/>
        <v>176</v>
      </c>
      <c r="DI185" s="54">
        <f t="shared" si="279"/>
        <v>21.796252537628867</v>
      </c>
      <c r="DJ185" s="54" t="e">
        <f t="shared" si="280"/>
        <v>#N/A</v>
      </c>
      <c r="DK185" s="54" t="e">
        <f t="shared" si="281"/>
        <v>#N/A</v>
      </c>
      <c r="DL185" s="54">
        <f t="shared" si="282"/>
        <v>8.2262214345339302E-3</v>
      </c>
      <c r="DM185" s="54" t="e">
        <f t="shared" si="283"/>
        <v>#N/A</v>
      </c>
      <c r="DN185" s="54" t="b">
        <f t="shared" si="284"/>
        <v>0</v>
      </c>
      <c r="DO185" s="54" t="b">
        <f t="shared" si="285"/>
        <v>1</v>
      </c>
      <c r="DP185" s="54" t="b">
        <f t="shared" si="286"/>
        <v>0</v>
      </c>
      <c r="DQ185" s="54" t="b">
        <f t="shared" si="287"/>
        <v>1</v>
      </c>
      <c r="DR185" s="54">
        <f t="shared" si="288"/>
        <v>8.2262214345339302E-3</v>
      </c>
      <c r="DS185" s="54" t="e">
        <f t="shared" si="289"/>
        <v>#N/A</v>
      </c>
      <c r="DT185" s="54">
        <f t="shared" si="290"/>
        <v>8.2262214345339302E-3</v>
      </c>
      <c r="DU185" s="72" t="str">
        <f t="shared" si="291"/>
        <v/>
      </c>
      <c r="DZ185" s="54">
        <f t="shared" si="292"/>
        <v>175</v>
      </c>
      <c r="EA185" s="54">
        <f t="shared" si="293"/>
        <v>176</v>
      </c>
      <c r="EB185" s="54">
        <f t="shared" si="294"/>
        <v>1.1019433029745693</v>
      </c>
      <c r="EC185" s="54">
        <f t="shared" si="295"/>
        <v>0.2173865758786262</v>
      </c>
      <c r="ED185" s="54" t="e">
        <f t="shared" si="296"/>
        <v>#N/A</v>
      </c>
      <c r="EE185" s="54" t="e">
        <f t="shared" si="297"/>
        <v>#N/A</v>
      </c>
      <c r="EF185" s="54" t="e">
        <f t="shared" si="298"/>
        <v>#N/A</v>
      </c>
      <c r="EG185" s="54" t="b">
        <f t="shared" si="299"/>
        <v>0</v>
      </c>
      <c r="EH185" s="54" t="b">
        <f t="shared" si="300"/>
        <v>1</v>
      </c>
      <c r="EI185" s="54" t="b">
        <f t="shared" si="301"/>
        <v>0</v>
      </c>
      <c r="EJ185" s="54" t="b">
        <f t="shared" si="302"/>
        <v>1</v>
      </c>
      <c r="EK185" s="54">
        <f t="shared" si="303"/>
        <v>0.2173865758786262</v>
      </c>
      <c r="EL185" s="54" t="e">
        <f t="shared" si="304"/>
        <v>#N/A</v>
      </c>
      <c r="EM185" s="54">
        <f t="shared" si="305"/>
        <v>0.2173865758786262</v>
      </c>
      <c r="EN185" s="72" t="str">
        <f t="shared" si="306"/>
        <v/>
      </c>
      <c r="EO18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8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8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85" s="54" t="e" cm="1">
        <f t="array" ref="ER185">IF($CK$3,INDEX(Eu_tabel_a[[#This Row],[Styrke venstre]:[Styrke tosidet]],ER$7),NA())</f>
        <v>#N/A</v>
      </c>
      <c r="ES185" s="54" t="e">
        <f>IF(ER$3,IF(CHOOSE(ER$7,Eu_tabel_a[[#This Row],[x base]]&gt;0,Eu_tabel_a[[#This Row],[x base]]&lt;0,Eu_tabel_a[[#This Row],[x base]]=0),1,NA()),NA())</f>
        <v>#N/A</v>
      </c>
      <c r="ET185" s="54" t="e">
        <f>IF(CHOOSE(ER$7,Eu_tabel_a[[#This Row],[x base]]&gt;0,Eu_tabel_a[[#This Row],[x base]]&lt;0,Eu_tabel_a[[#This Row],[x base]]=0),Eu_tabel_a[[#This Row],[Styrke, aktiv]],NA())</f>
        <v>#N/A</v>
      </c>
      <c r="EU185" s="54" t="e">
        <f>IFERROR(IF($ER$3,Eu_tabel_a[[#This Row],[Styrke, aktiv]],NA()),NA())</f>
        <v>#N/A</v>
      </c>
      <c r="EV185" s="54" t="e">
        <f>IF(ISNA(Eu_tabel_a[[#This Row],[Sand negativ
Nulhypotese afvises
Korrekt]]),NA(),IF(ER$3,1,NA()))</f>
        <v>#N/A</v>
      </c>
      <c r="EW185" s="55" t="str" cm="1">
        <f t="array" ref="EW185">IFERROR(_xlfn.SWITCH(Eu_tabel_a[[#This Row],[Indeks]],_xlfn.IFNA(EU$2,-99),EU$5,_xlfn.IFNA(EU$3,-99),EU$6,_xlfn.IFNA(EU$4,-99),EU$7,""),"")</f>
        <v/>
      </c>
      <c r="EX185" s="54">
        <f>Eu_tabel_a[[#This Row],[x base]]*SQRT(Eu_a_h0_x*(1-Eu_a_h0_x)/Eu_a_n_x)+Eu_a_h0_x</f>
        <v>0</v>
      </c>
      <c r="FC185" s="161" t="e">
        <f t="shared" si="250"/>
        <v>#N/A</v>
      </c>
      <c r="FD185" s="169" t="e">
        <f t="shared" si="338"/>
        <v>#DIV/0!</v>
      </c>
      <c r="FE185" s="7" t="e">
        <f t="shared" si="244"/>
        <v>#DIV/0!</v>
      </c>
      <c r="FF185" t="e">
        <f t="shared" si="339"/>
        <v>#DIV/0!</v>
      </c>
      <c r="FG185" s="8" t="e">
        <f t="shared" si="340"/>
        <v>#DIV/0!</v>
      </c>
      <c r="FH185" s="8" t="e">
        <f t="shared" si="341"/>
        <v>#DIV/0!</v>
      </c>
      <c r="FI185" s="168" t="e">
        <f t="shared" si="342"/>
        <v>#DIV/0!</v>
      </c>
      <c r="FJ185" s="161" t="e">
        <f t="shared" ca="1" si="245"/>
        <v>#N/A</v>
      </c>
      <c r="FK185" s="169" t="e" vm="3">
        <f t="shared" ca="1" si="251"/>
        <v>#VALUE!</v>
      </c>
      <c r="FL185" s="7" t="e" vm="3">
        <f t="shared" ca="1" si="246"/>
        <v>#VALUE!</v>
      </c>
      <c r="FM185" t="e" vm="3">
        <f t="shared" ca="1" si="240"/>
        <v>#VALUE!</v>
      </c>
      <c r="FN185" s="8" t="e" vm="3">
        <f t="shared" ca="1" si="241"/>
        <v>#VALUE!</v>
      </c>
      <c r="FO185" s="8" t="e" vm="3">
        <f t="shared" ca="1" si="242"/>
        <v>#VALUE!</v>
      </c>
      <c r="FP185" s="168" t="e" vm="3">
        <f t="shared" ca="1" si="243"/>
        <v>#VALUE!</v>
      </c>
      <c r="FQ185" s="161" t="e">
        <f t="shared" si="247"/>
        <v>#N/A</v>
      </c>
      <c r="FR185" s="169" t="e">
        <f t="shared" si="252"/>
        <v>#N/A</v>
      </c>
      <c r="FS185" s="7" t="e">
        <f t="shared" si="248"/>
        <v>#N/A</v>
      </c>
      <c r="FT185" t="e">
        <f t="shared" si="253"/>
        <v>#N/A</v>
      </c>
      <c r="FU185" s="8" t="e">
        <f t="shared" si="254"/>
        <v>#N/A</v>
      </c>
      <c r="FV185" s="8" t="e">
        <f t="shared" si="255"/>
        <v>#N/A</v>
      </c>
      <c r="FW185" s="168" t="e">
        <f t="shared" si="256"/>
        <v>#N/A</v>
      </c>
      <c r="FX185" s="161" t="e">
        <f t="shared" si="257"/>
        <v>#N/A</v>
      </c>
      <c r="FY185" s="169" t="e">
        <f t="shared" si="258"/>
        <v>#N/A</v>
      </c>
      <c r="FZ185" s="7" t="e">
        <f t="shared" si="249"/>
        <v>#N/A</v>
      </c>
      <c r="GA185" t="e">
        <f t="shared" si="259"/>
        <v>#N/A</v>
      </c>
      <c r="GB185" s="8" t="e">
        <f t="shared" si="260"/>
        <v>#N/A</v>
      </c>
      <c r="GC185" s="8" t="e">
        <f t="shared" si="261"/>
        <v>#N/A</v>
      </c>
      <c r="GD185" s="168" t="e">
        <f t="shared" si="262"/>
        <v>#N/A</v>
      </c>
      <c r="GE185" s="168"/>
      <c r="GF185" s="168"/>
      <c r="GI185" s="54">
        <f t="shared" si="307"/>
        <v>175</v>
      </c>
      <c r="GJ185" s="54">
        <f t="shared" si="308"/>
        <v>176</v>
      </c>
      <c r="GK185" s="54">
        <f t="shared" si="309"/>
        <v>1.1019433029745693</v>
      </c>
      <c r="GL185" s="54">
        <f t="shared" si="310"/>
        <v>0.2173865758786262</v>
      </c>
      <c r="GM185" s="54" t="e">
        <f t="shared" si="311"/>
        <v>#N/A</v>
      </c>
      <c r="GN185" s="54" t="e">
        <f t="shared" si="312"/>
        <v>#N/A</v>
      </c>
      <c r="GO185" s="54" t="e">
        <f t="shared" si="313"/>
        <v>#N/A</v>
      </c>
      <c r="GP185" s="54" t="b">
        <f t="shared" si="314"/>
        <v>0</v>
      </c>
      <c r="GQ185" s="54" t="b">
        <f t="shared" si="315"/>
        <v>1</v>
      </c>
      <c r="GR185" s="54" t="b">
        <f t="shared" si="316"/>
        <v>0</v>
      </c>
      <c r="GS185" s="54" t="b">
        <f t="shared" si="317"/>
        <v>1</v>
      </c>
      <c r="GT185" s="54">
        <f t="shared" si="318"/>
        <v>0.2173865758786262</v>
      </c>
      <c r="GU185" s="54" t="e">
        <f t="shared" si="319"/>
        <v>#N/A</v>
      </c>
      <c r="GV185" s="54">
        <f t="shared" si="320"/>
        <v>0.2173865758786262</v>
      </c>
      <c r="GW185" s="72" t="str">
        <f t="shared" si="321"/>
        <v/>
      </c>
      <c r="HC185" s="54">
        <f t="shared" si="322"/>
        <v>175</v>
      </c>
      <c r="HD185" s="54">
        <f t="shared" si="323"/>
        <v>176</v>
      </c>
      <c r="HE185" s="54">
        <f t="shared" si="324"/>
        <v>1.7063823481966152</v>
      </c>
      <c r="HF185" s="54" t="e">
        <f t="shared" si="325"/>
        <v>#N/A</v>
      </c>
      <c r="HG185" s="54">
        <f t="shared" si="326"/>
        <v>9.5773093290658293E-2</v>
      </c>
      <c r="HH185" s="54" t="e">
        <f t="shared" si="327"/>
        <v>#N/A</v>
      </c>
      <c r="HI185" s="54" t="e">
        <f t="shared" si="328"/>
        <v>#N/A</v>
      </c>
      <c r="HJ185" s="54" t="b">
        <f t="shared" si="329"/>
        <v>0</v>
      </c>
      <c r="HK185" s="54" t="b">
        <f t="shared" si="330"/>
        <v>1</v>
      </c>
      <c r="HL185" s="54" t="b">
        <f t="shared" si="331"/>
        <v>1</v>
      </c>
      <c r="HM185" s="54" t="b">
        <f t="shared" si="332"/>
        <v>0</v>
      </c>
      <c r="HN185" s="54">
        <f t="shared" si="333"/>
        <v>9.5773093290658293E-2</v>
      </c>
      <c r="HO185" s="54" t="e">
        <f t="shared" si="334"/>
        <v>#N/A</v>
      </c>
      <c r="HP185" s="54">
        <f t="shared" si="335"/>
        <v>9.5773093290658293E-2</v>
      </c>
      <c r="HQ185" s="72">
        <f t="shared" si="336"/>
        <v>0.34100000000000003</v>
      </c>
    </row>
    <row r="186" spans="71:225" x14ac:dyDescent="0.2">
      <c r="BS186" s="54">
        <f t="shared" si="263"/>
        <v>176</v>
      </c>
      <c r="BT186" s="54">
        <f>Eu_tabel_g[[#This Row],[Indeks]]+1</f>
        <v>177</v>
      </c>
      <c r="BU186" s="54">
        <f t="shared" si="264"/>
        <v>1.1258985921696683</v>
      </c>
      <c r="BV186" s="54">
        <f t="shared" si="265"/>
        <v>0.21166247901603161</v>
      </c>
      <c r="BW186" s="54" t="e">
        <f t="shared" si="266"/>
        <v>#N/A</v>
      </c>
      <c r="BX186" s="54" t="e">
        <f t="shared" si="267"/>
        <v>#N/A</v>
      </c>
      <c r="BY186" s="54" t="e">
        <f t="shared" si="268"/>
        <v>#N/A</v>
      </c>
      <c r="BZ186" s="54" t="b">
        <f t="shared" si="269"/>
        <v>0</v>
      </c>
      <c r="CA186" s="54" t="b">
        <f t="shared" si="270"/>
        <v>1</v>
      </c>
      <c r="CB186" s="54" t="b">
        <f t="shared" si="271"/>
        <v>0</v>
      </c>
      <c r="CC186" s="54" t="b">
        <f t="shared" si="272"/>
        <v>1</v>
      </c>
      <c r="CD186" s="54">
        <f t="shared" si="337"/>
        <v>0.21166247901603161</v>
      </c>
      <c r="CE186" s="54" t="e">
        <f t="shared" si="273"/>
        <v>#N/A</v>
      </c>
      <c r="CF186" s="54">
        <f t="shared" si="274"/>
        <v>0.21166247901603161</v>
      </c>
      <c r="CG186" s="72" t="str">
        <f t="shared" si="275"/>
        <v/>
      </c>
      <c r="CH186" s="54">
        <f>_xlfn.NORM.DIST(_xlfn.NORM.INV(1-Eu_g_konfidensniveau,0,1)-Eu_tabel_g[[#This Row],[x base]],0,1,TRUE)</f>
        <v>2.7963483759520526E-3</v>
      </c>
      <c r="CI186" s="54">
        <f>1-_xlfn.NORM.DIST(_xlfn.NORM.INV(Eu_g_konfidensniveau,0,1)-Eu_tabel_g[[#This Row],[x base]],0,1,TRUE)</f>
        <v>0.30189604899289557</v>
      </c>
      <c r="CJ186" s="54">
        <f>_xlfn.NORM.DIST(_xlfn.NORM.INV((1-Eu_g_konfidensniveau)/2,0,1)-Eu_tabel_g[[#This Row],[x base]],0,1,TRUE)+1-_xlfn.NORM.DIST(_xlfn.NORM.INV(1-(1-Eu_g_konfidensniveau)/2,0,1)-Eu_tabel_g[[#This Row],[x base]],0,1,TRUE)</f>
        <v>0.20313688079726311</v>
      </c>
      <c r="CK186" s="54" t="e" cm="1">
        <f t="array" ref="CK186">IF($CK$3,INDEX(Eu_tabel_g[[#This Row],[Styrke venstre]:[Styrke tosidet]],CK$7),NA())</f>
        <v>#N/A</v>
      </c>
      <c r="CL186" s="99" t="e">
        <f>Eu_tabel_g[[#This Row],[Falsk positiv
Nulhypotese accepteres
Fejltype 1]]</f>
        <v>#N/A</v>
      </c>
      <c r="CM186" s="99" t="e">
        <f>IF(CHOOSE(CK$7,Eu_tabel_g[[#This Row],[x base]]&gt;0,Eu_tabel_g[[#This Row],[x base]]&lt;0,Eu_tabel_g[[#This Row],[x base]]=0),Eu_tabel_g[[#This Row],[Styrke, aktiv]],NA())</f>
        <v>#N/A</v>
      </c>
      <c r="CN186" s="99" t="e">
        <f>IFERROR(IF($CK$3,Eu_tabel_g[[#This Row],[Styrke, aktiv]],NA()),NA())</f>
        <v>#N/A</v>
      </c>
      <c r="CO186" s="99" t="e">
        <f>IF(ISNA(Eu_tabel_g[[#This Row],[Sand negativ
Nulhypotese afvises
Korrekt]]),NA(),IF($CK$3,1,NA()))</f>
        <v>#N/A</v>
      </c>
      <c r="CP186" s="56" t="str" cm="1">
        <f t="array" ref="CP186">_xlfn.SWITCH(BS186,_xlfn.IFNA(CN$2,-99),CN$5,_xlfn.IFNA(CN$3,-99),CN$6,_xlfn.IFNA(CN$4,-99),CN$7,"")</f>
        <v/>
      </c>
      <c r="CT186" s="7">
        <f t="shared" si="276"/>
        <v>0.8</v>
      </c>
      <c r="CU186">
        <f>IF(ROW(Styrkeberegning_G[[#This Row],[X base venstre]])=ROW(Styrkeberegning_G[[#Headers],[X base venstre]])+1,CU$7/(CT$7/$B$67),CU185/(CT185/$B$67))</f>
        <v>-2.8015817870135784</v>
      </c>
      <c r="CV186">
        <f>Styrkeberegning_G[[#This Row],[X base venstre]]*-1</f>
        <v>2.8015817870135784</v>
      </c>
      <c r="DG186" s="54">
        <f t="shared" si="277"/>
        <v>176</v>
      </c>
      <c r="DH186" s="54">
        <f t="shared" si="278"/>
        <v>177</v>
      </c>
      <c r="DI186" s="54">
        <f t="shared" si="279"/>
        <v>21.910323394045868</v>
      </c>
      <c r="DJ186" s="54" t="e">
        <f t="shared" si="280"/>
        <v>#N/A</v>
      </c>
      <c r="DK186" s="54" t="e">
        <f t="shared" si="281"/>
        <v>#N/A</v>
      </c>
      <c r="DL186" s="54">
        <f t="shared" si="282"/>
        <v>7.9548414641286321E-3</v>
      </c>
      <c r="DM186" s="54" t="e">
        <f t="shared" si="283"/>
        <v>#N/A</v>
      </c>
      <c r="DN186" s="54" t="b">
        <f t="shared" si="284"/>
        <v>0</v>
      </c>
      <c r="DO186" s="54" t="b">
        <f t="shared" si="285"/>
        <v>1</v>
      </c>
      <c r="DP186" s="54" t="b">
        <f t="shared" si="286"/>
        <v>0</v>
      </c>
      <c r="DQ186" s="54" t="b">
        <f t="shared" si="287"/>
        <v>1</v>
      </c>
      <c r="DR186" s="54">
        <f t="shared" si="288"/>
        <v>7.9548414641286321E-3</v>
      </c>
      <c r="DS186" s="54" t="e">
        <f t="shared" si="289"/>
        <v>#N/A</v>
      </c>
      <c r="DT186" s="54">
        <f t="shared" si="290"/>
        <v>7.9548414641286321E-3</v>
      </c>
      <c r="DU186" s="72">
        <f t="shared" si="291"/>
        <v>7.3129999999999997</v>
      </c>
      <c r="DZ186" s="54">
        <f t="shared" si="292"/>
        <v>176</v>
      </c>
      <c r="EA186" s="54">
        <f t="shared" si="293"/>
        <v>177</v>
      </c>
      <c r="EB186" s="54">
        <f t="shared" si="294"/>
        <v>1.1258985921696683</v>
      </c>
      <c r="EC186" s="54">
        <f t="shared" si="295"/>
        <v>0.21166247901603161</v>
      </c>
      <c r="ED186" s="54" t="e">
        <f t="shared" si="296"/>
        <v>#N/A</v>
      </c>
      <c r="EE186" s="54" t="e">
        <f t="shared" si="297"/>
        <v>#N/A</v>
      </c>
      <c r="EF186" s="54" t="e">
        <f t="shared" si="298"/>
        <v>#N/A</v>
      </c>
      <c r="EG186" s="54" t="b">
        <f t="shared" si="299"/>
        <v>0</v>
      </c>
      <c r="EH186" s="54" t="b">
        <f t="shared" si="300"/>
        <v>1</v>
      </c>
      <c r="EI186" s="54" t="b">
        <f t="shared" si="301"/>
        <v>0</v>
      </c>
      <c r="EJ186" s="54" t="b">
        <f t="shared" si="302"/>
        <v>1</v>
      </c>
      <c r="EK186" s="54">
        <f t="shared" si="303"/>
        <v>0.21166247901603161</v>
      </c>
      <c r="EL186" s="54" t="e">
        <f t="shared" si="304"/>
        <v>#N/A</v>
      </c>
      <c r="EM186" s="54">
        <f t="shared" si="305"/>
        <v>0.21166247901603161</v>
      </c>
      <c r="EN186" s="72" t="str">
        <f t="shared" si="306"/>
        <v/>
      </c>
      <c r="EO18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8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8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86" s="54" t="e" cm="1">
        <f t="array" ref="ER186">IF($CK$3,INDEX(Eu_tabel_a[[#This Row],[Styrke venstre]:[Styrke tosidet]],ER$7),NA())</f>
        <v>#N/A</v>
      </c>
      <c r="ES186" s="54" t="e">
        <f>IF(ER$3,IF(CHOOSE(ER$7,Eu_tabel_a[[#This Row],[x base]]&gt;0,Eu_tabel_a[[#This Row],[x base]]&lt;0,Eu_tabel_a[[#This Row],[x base]]=0),1,NA()),NA())</f>
        <v>#N/A</v>
      </c>
      <c r="ET186" s="54" t="e">
        <f>IF(CHOOSE(ER$7,Eu_tabel_a[[#This Row],[x base]]&gt;0,Eu_tabel_a[[#This Row],[x base]]&lt;0,Eu_tabel_a[[#This Row],[x base]]=0),Eu_tabel_a[[#This Row],[Styrke, aktiv]],NA())</f>
        <v>#N/A</v>
      </c>
      <c r="EU186" s="54" t="e">
        <f>IFERROR(IF($ER$3,Eu_tabel_a[[#This Row],[Styrke, aktiv]],NA()),NA())</f>
        <v>#N/A</v>
      </c>
      <c r="EV186" s="54" t="e">
        <f>IF(ISNA(Eu_tabel_a[[#This Row],[Sand negativ
Nulhypotese afvises
Korrekt]]),NA(),IF(ER$3,1,NA()))</f>
        <v>#N/A</v>
      </c>
      <c r="EW186" s="55" t="str" cm="1">
        <f t="array" ref="EW186">IFERROR(_xlfn.SWITCH(Eu_tabel_a[[#This Row],[Indeks]],_xlfn.IFNA(EU$2,-99),EU$5,_xlfn.IFNA(EU$3,-99),EU$6,_xlfn.IFNA(EU$4,-99),EU$7,""),"")</f>
        <v/>
      </c>
      <c r="EX186" s="54">
        <f>Eu_tabel_a[[#This Row],[x base]]*SQRT(Eu_a_h0_x*(1-Eu_a_h0_x)/Eu_a_n_x)+Eu_a_h0_x</f>
        <v>0</v>
      </c>
      <c r="FC186" s="161" t="e">
        <f t="shared" si="250"/>
        <v>#N/A</v>
      </c>
      <c r="FD186" s="169" t="e">
        <f t="shared" si="338"/>
        <v>#DIV/0!</v>
      </c>
      <c r="FE186" s="7" t="e">
        <f t="shared" si="244"/>
        <v>#DIV/0!</v>
      </c>
      <c r="FF186" t="e">
        <f t="shared" si="339"/>
        <v>#DIV/0!</v>
      </c>
      <c r="FG186" s="8" t="e">
        <f t="shared" si="340"/>
        <v>#DIV/0!</v>
      </c>
      <c r="FH186" s="8" t="e">
        <f t="shared" si="341"/>
        <v>#DIV/0!</v>
      </c>
      <c r="FI186" s="168" t="e">
        <f t="shared" si="342"/>
        <v>#DIV/0!</v>
      </c>
      <c r="FJ186" s="161" t="e">
        <f t="shared" ca="1" si="245"/>
        <v>#N/A</v>
      </c>
      <c r="FK186" s="169" t="e" vm="3">
        <f t="shared" ca="1" si="251"/>
        <v>#VALUE!</v>
      </c>
      <c r="FL186" s="7" t="e" vm="3">
        <f t="shared" ca="1" si="246"/>
        <v>#VALUE!</v>
      </c>
      <c r="FM186" t="e" vm="3">
        <f t="shared" ca="1" si="240"/>
        <v>#VALUE!</v>
      </c>
      <c r="FN186" s="8" t="e" vm="3">
        <f t="shared" ca="1" si="241"/>
        <v>#VALUE!</v>
      </c>
      <c r="FO186" s="8" t="e" vm="3">
        <f t="shared" ca="1" si="242"/>
        <v>#VALUE!</v>
      </c>
      <c r="FP186" s="168" t="e" vm="3">
        <f t="shared" ca="1" si="243"/>
        <v>#VALUE!</v>
      </c>
      <c r="FQ186" s="161" t="e">
        <f t="shared" si="247"/>
        <v>#N/A</v>
      </c>
      <c r="FR186" s="169" t="e">
        <f t="shared" si="252"/>
        <v>#N/A</v>
      </c>
      <c r="FS186" s="7" t="e">
        <f t="shared" si="248"/>
        <v>#N/A</v>
      </c>
      <c r="FT186" t="e">
        <f t="shared" si="253"/>
        <v>#N/A</v>
      </c>
      <c r="FU186" s="8" t="e">
        <f t="shared" si="254"/>
        <v>#N/A</v>
      </c>
      <c r="FV186" s="8" t="e">
        <f t="shared" si="255"/>
        <v>#N/A</v>
      </c>
      <c r="FW186" s="168" t="e">
        <f t="shared" si="256"/>
        <v>#N/A</v>
      </c>
      <c r="FX186" s="161" t="e">
        <f t="shared" si="257"/>
        <v>#N/A</v>
      </c>
      <c r="FY186" s="169" t="e">
        <f t="shared" si="258"/>
        <v>#N/A</v>
      </c>
      <c r="FZ186" s="7" t="e">
        <f t="shared" si="249"/>
        <v>#N/A</v>
      </c>
      <c r="GA186" t="e">
        <f t="shared" si="259"/>
        <v>#N/A</v>
      </c>
      <c r="GB186" s="8" t="e">
        <f t="shared" si="260"/>
        <v>#N/A</v>
      </c>
      <c r="GC186" s="8" t="e">
        <f t="shared" si="261"/>
        <v>#N/A</v>
      </c>
      <c r="GD186" s="168" t="e">
        <f t="shared" si="262"/>
        <v>#N/A</v>
      </c>
      <c r="GE186" s="168"/>
      <c r="GF186" s="168"/>
      <c r="GI186" s="54">
        <f t="shared" si="307"/>
        <v>176</v>
      </c>
      <c r="GJ186" s="54">
        <f t="shared" si="308"/>
        <v>177</v>
      </c>
      <c r="GK186" s="54">
        <f t="shared" si="309"/>
        <v>1.1258985921696683</v>
      </c>
      <c r="GL186" s="54">
        <f t="shared" si="310"/>
        <v>0.21166247901603161</v>
      </c>
      <c r="GM186" s="54" t="e">
        <f t="shared" si="311"/>
        <v>#N/A</v>
      </c>
      <c r="GN186" s="54" t="e">
        <f t="shared" si="312"/>
        <v>#N/A</v>
      </c>
      <c r="GO186" s="54" t="e">
        <f t="shared" si="313"/>
        <v>#N/A</v>
      </c>
      <c r="GP186" s="54" t="b">
        <f t="shared" si="314"/>
        <v>0</v>
      </c>
      <c r="GQ186" s="54" t="b">
        <f t="shared" si="315"/>
        <v>1</v>
      </c>
      <c r="GR186" s="54" t="b">
        <f t="shared" si="316"/>
        <v>0</v>
      </c>
      <c r="GS186" s="54" t="b">
        <f t="shared" si="317"/>
        <v>1</v>
      </c>
      <c r="GT186" s="54">
        <f t="shared" si="318"/>
        <v>0.21166247901603161</v>
      </c>
      <c r="GU186" s="54" t="e">
        <f t="shared" si="319"/>
        <v>#N/A</v>
      </c>
      <c r="GV186" s="54">
        <f t="shared" si="320"/>
        <v>0.21166247901603161</v>
      </c>
      <c r="GW186" s="72" t="str">
        <f t="shared" si="321"/>
        <v/>
      </c>
      <c r="HC186" s="54">
        <f t="shared" si="322"/>
        <v>176</v>
      </c>
      <c r="HD186" s="54">
        <f t="shared" si="323"/>
        <v>177</v>
      </c>
      <c r="HE186" s="54">
        <f t="shared" si="324"/>
        <v>1.7434776166356718</v>
      </c>
      <c r="HF186" s="54" t="e">
        <f t="shared" si="325"/>
        <v>#N/A</v>
      </c>
      <c r="HG186" s="54">
        <f t="shared" si="326"/>
        <v>9.0982495771573788E-2</v>
      </c>
      <c r="HH186" s="54" t="e">
        <f t="shared" si="327"/>
        <v>#N/A</v>
      </c>
      <c r="HI186" s="54" t="e">
        <f t="shared" si="328"/>
        <v>#N/A</v>
      </c>
      <c r="HJ186" s="54" t="b">
        <f t="shared" si="329"/>
        <v>0</v>
      </c>
      <c r="HK186" s="54" t="b">
        <f t="shared" si="330"/>
        <v>1</v>
      </c>
      <c r="HL186" s="54" t="b">
        <f t="shared" si="331"/>
        <v>1</v>
      </c>
      <c r="HM186" s="54" t="b">
        <f t="shared" si="332"/>
        <v>0</v>
      </c>
      <c r="HN186" s="54">
        <f t="shared" si="333"/>
        <v>9.0982495771573788E-2</v>
      </c>
      <c r="HO186" s="54" t="e">
        <f t="shared" si="334"/>
        <v>#N/A</v>
      </c>
      <c r="HP186" s="54">
        <f t="shared" si="335"/>
        <v>9.0982495771573788E-2</v>
      </c>
      <c r="HQ186" s="72" t="str">
        <f t="shared" si="336"/>
        <v/>
      </c>
    </row>
    <row r="187" spans="71:225" x14ac:dyDescent="0.2">
      <c r="BS187" s="54">
        <f t="shared" si="263"/>
        <v>177</v>
      </c>
      <c r="BT187" s="54">
        <f>Eu_tabel_g[[#This Row],[Indeks]]+1</f>
        <v>178</v>
      </c>
      <c r="BU187" s="54">
        <f t="shared" si="264"/>
        <v>1.1498538813647681</v>
      </c>
      <c r="BV187" s="54">
        <f t="shared" si="265"/>
        <v>0.20597087422427382</v>
      </c>
      <c r="BW187" s="54" t="e">
        <f t="shared" si="266"/>
        <v>#N/A</v>
      </c>
      <c r="BX187" s="54" t="e">
        <f t="shared" si="267"/>
        <v>#N/A</v>
      </c>
      <c r="BY187" s="54" t="e">
        <f t="shared" si="268"/>
        <v>#N/A</v>
      </c>
      <c r="BZ187" s="54" t="b">
        <f t="shared" si="269"/>
        <v>0</v>
      </c>
      <c r="CA187" s="54" t="b">
        <f t="shared" si="270"/>
        <v>1</v>
      </c>
      <c r="CB187" s="54" t="b">
        <f t="shared" si="271"/>
        <v>0</v>
      </c>
      <c r="CC187" s="54" t="b">
        <f t="shared" si="272"/>
        <v>1</v>
      </c>
      <c r="CD187" s="54">
        <f t="shared" si="337"/>
        <v>0.20597087422427382</v>
      </c>
      <c r="CE187" s="54" t="e">
        <f t="shared" si="273"/>
        <v>#N/A</v>
      </c>
      <c r="CF187" s="54">
        <f t="shared" si="274"/>
        <v>0.20597087422427382</v>
      </c>
      <c r="CG187" s="72" t="str">
        <f t="shared" si="275"/>
        <v/>
      </c>
      <c r="CH187" s="54">
        <f>_xlfn.NORM.DIST(_xlfn.NORM.INV(1-Eu_g_konfidensniveau,0,1)-Eu_tabel_g[[#This Row],[x base]],0,1,TRUE)</f>
        <v>2.5973345350299693E-3</v>
      </c>
      <c r="CI187" s="54">
        <f>1-_xlfn.NORM.DIST(_xlfn.NORM.INV(Eu_g_konfidensniveau,0,1)-Eu_tabel_g[[#This Row],[x base]],0,1,TRUE)</f>
        <v>0.31030015004767675</v>
      </c>
      <c r="CJ187" s="54">
        <f>_xlfn.NORM.DIST(_xlfn.NORM.INV((1-Eu_g_konfidensniveau)/2,0,1)-Eu_tabel_g[[#This Row],[x base]],0,1,TRUE)+1-_xlfn.NORM.DIST(_xlfn.NORM.INV(1-(1-Eu_g_konfidensniveau)/2,0,1)-Eu_tabel_g[[#This Row],[x base]],0,1,TRUE)</f>
        <v>0.20987446274566923</v>
      </c>
      <c r="CK187" s="54" t="e" cm="1">
        <f t="array" ref="CK187">IF($CK$3,INDEX(Eu_tabel_g[[#This Row],[Styrke venstre]:[Styrke tosidet]],CK$7),NA())</f>
        <v>#N/A</v>
      </c>
      <c r="CL187" s="99" t="e">
        <f>Eu_tabel_g[[#This Row],[Falsk positiv
Nulhypotese accepteres
Fejltype 1]]</f>
        <v>#N/A</v>
      </c>
      <c r="CM187" s="99" t="e">
        <f>IF(CHOOSE(CK$7,Eu_tabel_g[[#This Row],[x base]]&gt;0,Eu_tabel_g[[#This Row],[x base]]&lt;0,Eu_tabel_g[[#This Row],[x base]]=0),Eu_tabel_g[[#This Row],[Styrke, aktiv]],NA())</f>
        <v>#N/A</v>
      </c>
      <c r="CN187" s="99" t="e">
        <f>IFERROR(IF($CK$3,Eu_tabel_g[[#This Row],[Styrke, aktiv]],NA()),NA())</f>
        <v>#N/A</v>
      </c>
      <c r="CO187" s="99" t="e">
        <f>IF(ISNA(Eu_tabel_g[[#This Row],[Sand negativ
Nulhypotese afvises
Korrekt]]),NA(),IF($CK$3,1,NA()))</f>
        <v>#N/A</v>
      </c>
      <c r="CP187" s="56" t="str" cm="1">
        <f t="array" ref="CP187">_xlfn.SWITCH(BS187,_xlfn.IFNA(CN$2,-99),CN$5,_xlfn.IFNA(CN$3,-99),CN$6,_xlfn.IFNA(CN$4,-99),CN$7,"")</f>
        <v/>
      </c>
      <c r="CT187" s="7">
        <f t="shared" si="276"/>
        <v>0.8</v>
      </c>
      <c r="CU187">
        <f>IF(ROW(Styrkeberegning_G[[#This Row],[X base venstre]])=ROW(Styrkeberegning_G[[#Headers],[X base venstre]])+1,CU$7/(CT$7/$B$67),CU186/(CT186/$B$67))</f>
        <v>-2.8015817870135784</v>
      </c>
      <c r="CV187">
        <f>Styrkeberegning_G[[#This Row],[X base venstre]]*-1</f>
        <v>2.8015817870135784</v>
      </c>
      <c r="DG187" s="54">
        <f t="shared" si="277"/>
        <v>177</v>
      </c>
      <c r="DH187" s="54">
        <f t="shared" si="278"/>
        <v>178</v>
      </c>
      <c r="DI187" s="54">
        <f t="shared" si="279"/>
        <v>22.024394250462869</v>
      </c>
      <c r="DJ187" s="54" t="e">
        <f t="shared" si="280"/>
        <v>#N/A</v>
      </c>
      <c r="DK187" s="54" t="e">
        <f t="shared" si="281"/>
        <v>#N/A</v>
      </c>
      <c r="DL187" s="54">
        <f t="shared" si="282"/>
        <v>7.6914759938026978E-3</v>
      </c>
      <c r="DM187" s="54" t="e">
        <f t="shared" si="283"/>
        <v>#N/A</v>
      </c>
      <c r="DN187" s="54" t="b">
        <f t="shared" si="284"/>
        <v>0</v>
      </c>
      <c r="DO187" s="54" t="b">
        <f t="shared" si="285"/>
        <v>1</v>
      </c>
      <c r="DP187" s="54" t="b">
        <f t="shared" si="286"/>
        <v>1</v>
      </c>
      <c r="DQ187" s="54" t="b">
        <f t="shared" si="287"/>
        <v>0</v>
      </c>
      <c r="DR187" s="54">
        <f t="shared" si="288"/>
        <v>7.6914759938026978E-3</v>
      </c>
      <c r="DS187" s="54">
        <f t="shared" si="289"/>
        <v>7.6914759938026978E-3</v>
      </c>
      <c r="DT187" s="54" t="e">
        <f t="shared" si="290"/>
        <v>#N/A</v>
      </c>
      <c r="DU187" s="72" t="str">
        <f t="shared" si="291"/>
        <v/>
      </c>
      <c r="DZ187" s="54">
        <f t="shared" si="292"/>
        <v>177</v>
      </c>
      <c r="EA187" s="54">
        <f t="shared" si="293"/>
        <v>178</v>
      </c>
      <c r="EB187" s="54">
        <f t="shared" si="294"/>
        <v>1.1498538813647681</v>
      </c>
      <c r="EC187" s="54">
        <f t="shared" si="295"/>
        <v>0.20597087422427382</v>
      </c>
      <c r="ED187" s="54" t="e">
        <f t="shared" si="296"/>
        <v>#N/A</v>
      </c>
      <c r="EE187" s="54" t="e">
        <f t="shared" si="297"/>
        <v>#N/A</v>
      </c>
      <c r="EF187" s="54" t="e">
        <f t="shared" si="298"/>
        <v>#N/A</v>
      </c>
      <c r="EG187" s="54" t="b">
        <f t="shared" si="299"/>
        <v>0</v>
      </c>
      <c r="EH187" s="54" t="b">
        <f t="shared" si="300"/>
        <v>1</v>
      </c>
      <c r="EI187" s="54" t="b">
        <f t="shared" si="301"/>
        <v>0</v>
      </c>
      <c r="EJ187" s="54" t="b">
        <f t="shared" si="302"/>
        <v>1</v>
      </c>
      <c r="EK187" s="54">
        <f t="shared" si="303"/>
        <v>0.20597087422427382</v>
      </c>
      <c r="EL187" s="54" t="e">
        <f t="shared" si="304"/>
        <v>#N/A</v>
      </c>
      <c r="EM187" s="54">
        <f t="shared" si="305"/>
        <v>0.20597087422427382</v>
      </c>
      <c r="EN187" s="72" t="str">
        <f t="shared" si="306"/>
        <v/>
      </c>
      <c r="EO18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8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8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87" s="54" t="e" cm="1">
        <f t="array" ref="ER187">IF($CK$3,INDEX(Eu_tabel_a[[#This Row],[Styrke venstre]:[Styrke tosidet]],ER$7),NA())</f>
        <v>#N/A</v>
      </c>
      <c r="ES187" s="54" t="e">
        <f>IF(ER$3,IF(CHOOSE(ER$7,Eu_tabel_a[[#This Row],[x base]]&gt;0,Eu_tabel_a[[#This Row],[x base]]&lt;0,Eu_tabel_a[[#This Row],[x base]]=0),1,NA()),NA())</f>
        <v>#N/A</v>
      </c>
      <c r="ET187" s="54" t="e">
        <f>IF(CHOOSE(ER$7,Eu_tabel_a[[#This Row],[x base]]&gt;0,Eu_tabel_a[[#This Row],[x base]]&lt;0,Eu_tabel_a[[#This Row],[x base]]=0),Eu_tabel_a[[#This Row],[Styrke, aktiv]],NA())</f>
        <v>#N/A</v>
      </c>
      <c r="EU187" s="54" t="e">
        <f>IFERROR(IF($ER$3,Eu_tabel_a[[#This Row],[Styrke, aktiv]],NA()),NA())</f>
        <v>#N/A</v>
      </c>
      <c r="EV187" s="54" t="e">
        <f>IF(ISNA(Eu_tabel_a[[#This Row],[Sand negativ
Nulhypotese afvises
Korrekt]]),NA(),IF(ER$3,1,NA()))</f>
        <v>#N/A</v>
      </c>
      <c r="EW187" s="55" t="str" cm="1">
        <f t="array" ref="EW187">IFERROR(_xlfn.SWITCH(Eu_tabel_a[[#This Row],[Indeks]],_xlfn.IFNA(EU$2,-99),EU$5,_xlfn.IFNA(EU$3,-99),EU$6,_xlfn.IFNA(EU$4,-99),EU$7,""),"")</f>
        <v/>
      </c>
      <c r="EX187" s="54">
        <f>Eu_tabel_a[[#This Row],[x base]]*SQRT(Eu_a_h0_x*(1-Eu_a_h0_x)/Eu_a_n_x)+Eu_a_h0_x</f>
        <v>0</v>
      </c>
      <c r="FC187" s="161" t="e">
        <f t="shared" si="250"/>
        <v>#N/A</v>
      </c>
      <c r="FD187" s="169" t="e">
        <f t="shared" si="338"/>
        <v>#DIV/0!</v>
      </c>
      <c r="FE187" s="7" t="e">
        <f t="shared" si="244"/>
        <v>#DIV/0!</v>
      </c>
      <c r="FF187" t="e">
        <f t="shared" si="339"/>
        <v>#DIV/0!</v>
      </c>
      <c r="FG187" s="8" t="e">
        <f t="shared" si="340"/>
        <v>#DIV/0!</v>
      </c>
      <c r="FH187" s="8" t="e">
        <f t="shared" si="341"/>
        <v>#DIV/0!</v>
      </c>
      <c r="FI187" s="168" t="e">
        <f t="shared" si="342"/>
        <v>#DIV/0!</v>
      </c>
      <c r="FJ187" s="161" t="e">
        <f t="shared" ca="1" si="245"/>
        <v>#N/A</v>
      </c>
      <c r="FK187" s="169" t="e" vm="3">
        <f t="shared" ca="1" si="251"/>
        <v>#VALUE!</v>
      </c>
      <c r="FL187" s="7" t="e" vm="3">
        <f t="shared" ca="1" si="246"/>
        <v>#VALUE!</v>
      </c>
      <c r="FM187" t="e" vm="3">
        <f t="shared" ca="1" si="240"/>
        <v>#VALUE!</v>
      </c>
      <c r="FN187" s="8" t="e" vm="3">
        <f t="shared" ca="1" si="241"/>
        <v>#VALUE!</v>
      </c>
      <c r="FO187" s="8" t="e" vm="3">
        <f t="shared" ca="1" si="242"/>
        <v>#VALUE!</v>
      </c>
      <c r="FP187" s="168" t="e" vm="3">
        <f t="shared" ca="1" si="243"/>
        <v>#VALUE!</v>
      </c>
      <c r="FQ187" s="161" t="e">
        <f t="shared" si="247"/>
        <v>#N/A</v>
      </c>
      <c r="FR187" s="169" t="e">
        <f t="shared" si="252"/>
        <v>#N/A</v>
      </c>
      <c r="FS187" s="7" t="e">
        <f t="shared" si="248"/>
        <v>#N/A</v>
      </c>
      <c r="FT187" t="e">
        <f t="shared" si="253"/>
        <v>#N/A</v>
      </c>
      <c r="FU187" s="8" t="e">
        <f t="shared" si="254"/>
        <v>#N/A</v>
      </c>
      <c r="FV187" s="8" t="e">
        <f t="shared" si="255"/>
        <v>#N/A</v>
      </c>
      <c r="FW187" s="168" t="e">
        <f t="shared" si="256"/>
        <v>#N/A</v>
      </c>
      <c r="FX187" s="161" t="e">
        <f t="shared" si="257"/>
        <v>#N/A</v>
      </c>
      <c r="FY187" s="169" t="e">
        <f t="shared" si="258"/>
        <v>#N/A</v>
      </c>
      <c r="FZ187" s="7" t="e">
        <f t="shared" si="249"/>
        <v>#N/A</v>
      </c>
      <c r="GA187" t="e">
        <f t="shared" si="259"/>
        <v>#N/A</v>
      </c>
      <c r="GB187" s="8" t="e">
        <f t="shared" si="260"/>
        <v>#N/A</v>
      </c>
      <c r="GC187" s="8" t="e">
        <f t="shared" si="261"/>
        <v>#N/A</v>
      </c>
      <c r="GD187" s="168" t="e">
        <f t="shared" si="262"/>
        <v>#N/A</v>
      </c>
      <c r="GE187" s="168"/>
      <c r="GF187" s="168"/>
      <c r="GI187" s="54">
        <f t="shared" si="307"/>
        <v>177</v>
      </c>
      <c r="GJ187" s="54">
        <f t="shared" si="308"/>
        <v>178</v>
      </c>
      <c r="GK187" s="54">
        <f t="shared" si="309"/>
        <v>1.1498538813647681</v>
      </c>
      <c r="GL187" s="54">
        <f t="shared" si="310"/>
        <v>0.20597087422427382</v>
      </c>
      <c r="GM187" s="54" t="e">
        <f t="shared" si="311"/>
        <v>#N/A</v>
      </c>
      <c r="GN187" s="54" t="e">
        <f t="shared" si="312"/>
        <v>#N/A</v>
      </c>
      <c r="GO187" s="54" t="e">
        <f t="shared" si="313"/>
        <v>#N/A</v>
      </c>
      <c r="GP187" s="54" t="b">
        <f t="shared" si="314"/>
        <v>0</v>
      </c>
      <c r="GQ187" s="54" t="b">
        <f t="shared" si="315"/>
        <v>1</v>
      </c>
      <c r="GR187" s="54" t="b">
        <f t="shared" si="316"/>
        <v>0</v>
      </c>
      <c r="GS187" s="54" t="b">
        <f t="shared" si="317"/>
        <v>1</v>
      </c>
      <c r="GT187" s="54">
        <f t="shared" si="318"/>
        <v>0.20597087422427382</v>
      </c>
      <c r="GU187" s="54" t="e">
        <f t="shared" si="319"/>
        <v>#N/A</v>
      </c>
      <c r="GV187" s="54">
        <f t="shared" si="320"/>
        <v>0.20597087422427382</v>
      </c>
      <c r="GW187" s="72" t="str">
        <f t="shared" si="321"/>
        <v/>
      </c>
      <c r="HC187" s="54">
        <f t="shared" si="322"/>
        <v>177</v>
      </c>
      <c r="HD187" s="54">
        <f t="shared" si="323"/>
        <v>178</v>
      </c>
      <c r="HE187" s="54">
        <f t="shared" si="324"/>
        <v>1.7805728850747284</v>
      </c>
      <c r="HF187" s="54" t="e">
        <f t="shared" si="325"/>
        <v>#N/A</v>
      </c>
      <c r="HG187" s="54">
        <f t="shared" si="326"/>
        <v>8.6394145158752933E-2</v>
      </c>
      <c r="HH187" s="54" t="e">
        <f t="shared" si="327"/>
        <v>#N/A</v>
      </c>
      <c r="HI187" s="54" t="e">
        <f t="shared" si="328"/>
        <v>#N/A</v>
      </c>
      <c r="HJ187" s="54" t="b">
        <f t="shared" si="329"/>
        <v>0</v>
      </c>
      <c r="HK187" s="54" t="b">
        <f t="shared" si="330"/>
        <v>1</v>
      </c>
      <c r="HL187" s="54" t="b">
        <f t="shared" si="331"/>
        <v>1</v>
      </c>
      <c r="HM187" s="54" t="b">
        <f t="shared" si="332"/>
        <v>0</v>
      </c>
      <c r="HN187" s="54">
        <f t="shared" si="333"/>
        <v>8.6394145158752933E-2</v>
      </c>
      <c r="HO187" s="54" t="e">
        <f t="shared" si="334"/>
        <v>#N/A</v>
      </c>
      <c r="HP187" s="54">
        <f t="shared" si="335"/>
        <v>8.6394145158752933E-2</v>
      </c>
      <c r="HQ187" s="72" t="str">
        <f t="shared" si="336"/>
        <v/>
      </c>
    </row>
    <row r="188" spans="71:225" x14ac:dyDescent="0.2">
      <c r="BS188" s="54">
        <f t="shared" si="263"/>
        <v>178</v>
      </c>
      <c r="BT188" s="54">
        <f>Eu_tabel_g[[#This Row],[Indeks]]+1</f>
        <v>179</v>
      </c>
      <c r="BU188" s="54">
        <f t="shared" si="264"/>
        <v>1.173809170559867</v>
      </c>
      <c r="BV188" s="54">
        <f t="shared" si="265"/>
        <v>0.20031733043738451</v>
      </c>
      <c r="BW188" s="54" t="e">
        <f t="shared" si="266"/>
        <v>#N/A</v>
      </c>
      <c r="BX188" s="54" t="e">
        <f t="shared" si="267"/>
        <v>#N/A</v>
      </c>
      <c r="BY188" s="54" t="e">
        <f t="shared" si="268"/>
        <v>#N/A</v>
      </c>
      <c r="BZ188" s="54" t="b">
        <f t="shared" si="269"/>
        <v>0</v>
      </c>
      <c r="CA188" s="54" t="b">
        <f t="shared" si="270"/>
        <v>1</v>
      </c>
      <c r="CB188" s="54" t="b">
        <f t="shared" si="271"/>
        <v>0</v>
      </c>
      <c r="CC188" s="54" t="b">
        <f t="shared" si="272"/>
        <v>1</v>
      </c>
      <c r="CD188" s="54">
        <f t="shared" si="337"/>
        <v>0.20031733043738451</v>
      </c>
      <c r="CE188" s="54" t="e">
        <f t="shared" si="273"/>
        <v>#N/A</v>
      </c>
      <c r="CF188" s="54">
        <f t="shared" si="274"/>
        <v>0.20031733043738451</v>
      </c>
      <c r="CG188" s="72" t="str">
        <f t="shared" si="275"/>
        <v/>
      </c>
      <c r="CH188" s="54">
        <f>_xlfn.NORM.DIST(_xlfn.NORM.INV(1-Eu_g_konfidensniveau,0,1)-Eu_tabel_g[[#This Row],[x base]],0,1,TRUE)</f>
        <v>2.4112074767851824E-3</v>
      </c>
      <c r="CI188" s="54">
        <f>1-_xlfn.NORM.DIST(_xlfn.NORM.INV(Eu_g_konfidensniveau,0,1)-Eu_tabel_g[[#This Row],[x base]],0,1,TRUE)</f>
        <v>0.31880449413911849</v>
      </c>
      <c r="CJ188" s="54">
        <f>_xlfn.NORM.DIST(_xlfn.NORM.INV((1-Eu_g_konfidensniveau)/2,0,1)-Eu_tabel_g[[#This Row],[x base]],0,1,TRUE)+1-_xlfn.NORM.DIST(_xlfn.NORM.INV(1-(1-Eu_g_konfidensniveau)/2,0,1)-Eu_tabel_g[[#This Row],[x base]],0,1,TRUE)</f>
        <v>0.21675126840622105</v>
      </c>
      <c r="CK188" s="54" t="e" cm="1">
        <f t="array" ref="CK188">IF($CK$3,INDEX(Eu_tabel_g[[#This Row],[Styrke venstre]:[Styrke tosidet]],CK$7),NA())</f>
        <v>#N/A</v>
      </c>
      <c r="CL188" s="99" t="e">
        <f>Eu_tabel_g[[#This Row],[Falsk positiv
Nulhypotese accepteres
Fejltype 1]]</f>
        <v>#N/A</v>
      </c>
      <c r="CM188" s="99" t="e">
        <f>IF(CHOOSE(CK$7,Eu_tabel_g[[#This Row],[x base]]&gt;0,Eu_tabel_g[[#This Row],[x base]]&lt;0,Eu_tabel_g[[#This Row],[x base]]=0),Eu_tabel_g[[#This Row],[Styrke, aktiv]],NA())</f>
        <v>#N/A</v>
      </c>
      <c r="CN188" s="99" t="e">
        <f>IFERROR(IF($CK$3,Eu_tabel_g[[#This Row],[Styrke, aktiv]],NA()),NA())</f>
        <v>#N/A</v>
      </c>
      <c r="CO188" s="99" t="e">
        <f>IF(ISNA(Eu_tabel_g[[#This Row],[Sand negativ
Nulhypotese afvises
Korrekt]]),NA(),IF($CK$3,1,NA()))</f>
        <v>#N/A</v>
      </c>
      <c r="CP188" s="56" t="str" cm="1">
        <f t="array" ref="CP188">_xlfn.SWITCH(BS188,_xlfn.IFNA(CN$2,-99),CN$5,_xlfn.IFNA(CN$3,-99),CN$6,_xlfn.IFNA(CN$4,-99),CN$7,"")</f>
        <v/>
      </c>
      <c r="CT188" s="7">
        <f t="shared" si="276"/>
        <v>0.8</v>
      </c>
      <c r="CU188">
        <f>IF(ROW(Styrkeberegning_G[[#This Row],[X base venstre]])=ROW(Styrkeberegning_G[[#Headers],[X base venstre]])+1,CU$7/(CT$7/$B$67),CU187/(CT187/$B$67))</f>
        <v>-2.8015817870135784</v>
      </c>
      <c r="CV188">
        <f>Styrkeberegning_G[[#This Row],[X base venstre]]*-1</f>
        <v>2.8015817870135784</v>
      </c>
      <c r="DG188" s="54">
        <f t="shared" si="277"/>
        <v>178</v>
      </c>
      <c r="DH188" s="54">
        <f t="shared" si="278"/>
        <v>179</v>
      </c>
      <c r="DI188" s="54">
        <f t="shared" si="279"/>
        <v>22.13846510687987</v>
      </c>
      <c r="DJ188" s="54" t="e">
        <f t="shared" si="280"/>
        <v>#N/A</v>
      </c>
      <c r="DK188" s="54" t="e">
        <f t="shared" si="281"/>
        <v>#N/A</v>
      </c>
      <c r="DL188" s="54">
        <f t="shared" si="282"/>
        <v>7.4359322344494704E-3</v>
      </c>
      <c r="DM188" s="54" t="e">
        <f t="shared" si="283"/>
        <v>#N/A</v>
      </c>
      <c r="DN188" s="54" t="b">
        <f t="shared" si="284"/>
        <v>0</v>
      </c>
      <c r="DO188" s="54" t="b">
        <f t="shared" si="285"/>
        <v>1</v>
      </c>
      <c r="DP188" s="54" t="b">
        <f t="shared" si="286"/>
        <v>1</v>
      </c>
      <c r="DQ188" s="54" t="b">
        <f t="shared" si="287"/>
        <v>0</v>
      </c>
      <c r="DR188" s="54">
        <f t="shared" si="288"/>
        <v>7.4359322344494704E-3</v>
      </c>
      <c r="DS188" s="54">
        <f t="shared" si="289"/>
        <v>7.4359322344494704E-3</v>
      </c>
      <c r="DT188" s="54" t="e">
        <f t="shared" si="290"/>
        <v>#N/A</v>
      </c>
      <c r="DU188" s="72" t="str">
        <f t="shared" si="291"/>
        <v/>
      </c>
      <c r="DZ188" s="54">
        <f t="shared" si="292"/>
        <v>178</v>
      </c>
      <c r="EA188" s="54">
        <f t="shared" si="293"/>
        <v>179</v>
      </c>
      <c r="EB188" s="54">
        <f t="shared" si="294"/>
        <v>1.173809170559867</v>
      </c>
      <c r="EC188" s="54">
        <f t="shared" si="295"/>
        <v>0.20031733043738451</v>
      </c>
      <c r="ED188" s="54" t="e">
        <f t="shared" si="296"/>
        <v>#N/A</v>
      </c>
      <c r="EE188" s="54" t="e">
        <f t="shared" si="297"/>
        <v>#N/A</v>
      </c>
      <c r="EF188" s="54" t="e">
        <f t="shared" si="298"/>
        <v>#N/A</v>
      </c>
      <c r="EG188" s="54" t="b">
        <f t="shared" si="299"/>
        <v>0</v>
      </c>
      <c r="EH188" s="54" t="b">
        <f t="shared" si="300"/>
        <v>1</v>
      </c>
      <c r="EI188" s="54" t="b">
        <f t="shared" si="301"/>
        <v>0</v>
      </c>
      <c r="EJ188" s="54" t="b">
        <f t="shared" si="302"/>
        <v>1</v>
      </c>
      <c r="EK188" s="54">
        <f t="shared" si="303"/>
        <v>0.20031733043738451</v>
      </c>
      <c r="EL188" s="54" t="e">
        <f t="shared" si="304"/>
        <v>#N/A</v>
      </c>
      <c r="EM188" s="54">
        <f t="shared" si="305"/>
        <v>0.20031733043738451</v>
      </c>
      <c r="EN188" s="72" t="str">
        <f t="shared" si="306"/>
        <v/>
      </c>
      <c r="EO18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8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8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88" s="54" t="e" cm="1">
        <f t="array" ref="ER188">IF($CK$3,INDEX(Eu_tabel_a[[#This Row],[Styrke venstre]:[Styrke tosidet]],ER$7),NA())</f>
        <v>#N/A</v>
      </c>
      <c r="ES188" s="54" t="e">
        <f>IF(ER$3,IF(CHOOSE(ER$7,Eu_tabel_a[[#This Row],[x base]]&gt;0,Eu_tabel_a[[#This Row],[x base]]&lt;0,Eu_tabel_a[[#This Row],[x base]]=0),1,NA()),NA())</f>
        <v>#N/A</v>
      </c>
      <c r="ET188" s="54" t="e">
        <f>IF(CHOOSE(ER$7,Eu_tabel_a[[#This Row],[x base]]&gt;0,Eu_tabel_a[[#This Row],[x base]]&lt;0,Eu_tabel_a[[#This Row],[x base]]=0),Eu_tabel_a[[#This Row],[Styrke, aktiv]],NA())</f>
        <v>#N/A</v>
      </c>
      <c r="EU188" s="54" t="e">
        <f>IFERROR(IF($ER$3,Eu_tabel_a[[#This Row],[Styrke, aktiv]],NA()),NA())</f>
        <v>#N/A</v>
      </c>
      <c r="EV188" s="54" t="e">
        <f>IF(ISNA(Eu_tabel_a[[#This Row],[Sand negativ
Nulhypotese afvises
Korrekt]]),NA(),IF(ER$3,1,NA()))</f>
        <v>#N/A</v>
      </c>
      <c r="EW188" s="55" t="str" cm="1">
        <f t="array" ref="EW188">IFERROR(_xlfn.SWITCH(Eu_tabel_a[[#This Row],[Indeks]],_xlfn.IFNA(EU$2,-99),EU$5,_xlfn.IFNA(EU$3,-99),EU$6,_xlfn.IFNA(EU$4,-99),EU$7,""),"")</f>
        <v/>
      </c>
      <c r="EX188" s="54">
        <f>Eu_tabel_a[[#This Row],[x base]]*SQRT(Eu_a_h0_x*(1-Eu_a_h0_x)/Eu_a_n_x)+Eu_a_h0_x</f>
        <v>0</v>
      </c>
      <c r="FC188" s="161" t="e">
        <f t="shared" si="250"/>
        <v>#N/A</v>
      </c>
      <c r="FD188" s="169" t="e">
        <f t="shared" si="338"/>
        <v>#DIV/0!</v>
      </c>
      <c r="FE188" s="7" t="e">
        <f t="shared" si="244"/>
        <v>#DIV/0!</v>
      </c>
      <c r="FF188" t="e">
        <f t="shared" si="339"/>
        <v>#DIV/0!</v>
      </c>
      <c r="FG188" s="8" t="e">
        <f t="shared" si="340"/>
        <v>#DIV/0!</v>
      </c>
      <c r="FH188" s="8" t="e">
        <f t="shared" si="341"/>
        <v>#DIV/0!</v>
      </c>
      <c r="FI188" s="168" t="e">
        <f t="shared" si="342"/>
        <v>#DIV/0!</v>
      </c>
      <c r="FJ188" s="161" t="e">
        <f t="shared" ca="1" si="245"/>
        <v>#N/A</v>
      </c>
      <c r="FK188" s="169" t="e" vm="3">
        <f t="shared" ca="1" si="251"/>
        <v>#VALUE!</v>
      </c>
      <c r="FL188" s="7" t="e" vm="3">
        <f t="shared" ca="1" si="246"/>
        <v>#VALUE!</v>
      </c>
      <c r="FM188" t="e" vm="3">
        <f t="shared" ca="1" si="240"/>
        <v>#VALUE!</v>
      </c>
      <c r="FN188" s="8" t="e" vm="3">
        <f t="shared" ca="1" si="241"/>
        <v>#VALUE!</v>
      </c>
      <c r="FO188" s="8" t="e" vm="3">
        <f t="shared" ca="1" si="242"/>
        <v>#VALUE!</v>
      </c>
      <c r="FP188" s="168" t="e" vm="3">
        <f t="shared" ca="1" si="243"/>
        <v>#VALUE!</v>
      </c>
      <c r="FQ188" s="161" t="e">
        <f t="shared" si="247"/>
        <v>#N/A</v>
      </c>
      <c r="FR188" s="169" t="e">
        <f t="shared" si="252"/>
        <v>#N/A</v>
      </c>
      <c r="FS188" s="7" t="e">
        <f t="shared" si="248"/>
        <v>#N/A</v>
      </c>
      <c r="FT188" t="e">
        <f t="shared" si="253"/>
        <v>#N/A</v>
      </c>
      <c r="FU188" s="8" t="e">
        <f t="shared" si="254"/>
        <v>#N/A</v>
      </c>
      <c r="FV188" s="8" t="e">
        <f t="shared" si="255"/>
        <v>#N/A</v>
      </c>
      <c r="FW188" s="168" t="e">
        <f t="shared" si="256"/>
        <v>#N/A</v>
      </c>
      <c r="FX188" s="161" t="e">
        <f t="shared" si="257"/>
        <v>#N/A</v>
      </c>
      <c r="FY188" s="169" t="e">
        <f t="shared" si="258"/>
        <v>#N/A</v>
      </c>
      <c r="FZ188" s="7" t="e">
        <f t="shared" si="249"/>
        <v>#N/A</v>
      </c>
      <c r="GA188" t="e">
        <f t="shared" si="259"/>
        <v>#N/A</v>
      </c>
      <c r="GB188" s="8" t="e">
        <f t="shared" si="260"/>
        <v>#N/A</v>
      </c>
      <c r="GC188" s="8" t="e">
        <f t="shared" si="261"/>
        <v>#N/A</v>
      </c>
      <c r="GD188" s="168" t="e">
        <f t="shared" si="262"/>
        <v>#N/A</v>
      </c>
      <c r="GE188" s="168"/>
      <c r="GF188" s="168"/>
      <c r="GI188" s="54">
        <f t="shared" si="307"/>
        <v>178</v>
      </c>
      <c r="GJ188" s="54">
        <f t="shared" si="308"/>
        <v>179</v>
      </c>
      <c r="GK188" s="54">
        <f t="shared" si="309"/>
        <v>1.173809170559867</v>
      </c>
      <c r="GL188" s="54">
        <f t="shared" si="310"/>
        <v>0.20031733043738451</v>
      </c>
      <c r="GM188" s="54" t="e">
        <f t="shared" si="311"/>
        <v>#N/A</v>
      </c>
      <c r="GN188" s="54" t="e">
        <f t="shared" si="312"/>
        <v>#N/A</v>
      </c>
      <c r="GO188" s="54" t="e">
        <f t="shared" si="313"/>
        <v>#N/A</v>
      </c>
      <c r="GP188" s="54" t="b">
        <f t="shared" si="314"/>
        <v>0</v>
      </c>
      <c r="GQ188" s="54" t="b">
        <f t="shared" si="315"/>
        <v>1</v>
      </c>
      <c r="GR188" s="54" t="b">
        <f t="shared" si="316"/>
        <v>0</v>
      </c>
      <c r="GS188" s="54" t="b">
        <f t="shared" si="317"/>
        <v>1</v>
      </c>
      <c r="GT188" s="54">
        <f t="shared" si="318"/>
        <v>0.20031733043738451</v>
      </c>
      <c r="GU188" s="54" t="e">
        <f t="shared" si="319"/>
        <v>#N/A</v>
      </c>
      <c r="GV188" s="54">
        <f t="shared" si="320"/>
        <v>0.20031733043738451</v>
      </c>
      <c r="GW188" s="72" t="str">
        <f t="shared" si="321"/>
        <v/>
      </c>
      <c r="HC188" s="54">
        <f t="shared" si="322"/>
        <v>178</v>
      </c>
      <c r="HD188" s="54">
        <f t="shared" si="323"/>
        <v>179</v>
      </c>
      <c r="HE188" s="54">
        <f t="shared" si="324"/>
        <v>1.817668153513786</v>
      </c>
      <c r="HF188" s="54" t="e">
        <f t="shared" si="325"/>
        <v>#N/A</v>
      </c>
      <c r="HG188" s="54">
        <f t="shared" si="326"/>
        <v>8.2003757335797123E-2</v>
      </c>
      <c r="HH188" s="54" t="e">
        <f t="shared" si="327"/>
        <v>#N/A</v>
      </c>
      <c r="HI188" s="54" t="e">
        <f t="shared" si="328"/>
        <v>#N/A</v>
      </c>
      <c r="HJ188" s="54" t="b">
        <f t="shared" si="329"/>
        <v>0</v>
      </c>
      <c r="HK188" s="54" t="b">
        <f t="shared" si="330"/>
        <v>1</v>
      </c>
      <c r="HL188" s="54" t="b">
        <f t="shared" si="331"/>
        <v>1</v>
      </c>
      <c r="HM188" s="54" t="b">
        <f t="shared" si="332"/>
        <v>0</v>
      </c>
      <c r="HN188" s="54">
        <f t="shared" si="333"/>
        <v>8.2003757335797123E-2</v>
      </c>
      <c r="HO188" s="54" t="e">
        <f t="shared" si="334"/>
        <v>#N/A</v>
      </c>
      <c r="HP188" s="54">
        <f t="shared" si="335"/>
        <v>8.2003757335797123E-2</v>
      </c>
      <c r="HQ188" s="72" t="str">
        <f t="shared" si="336"/>
        <v/>
      </c>
    </row>
    <row r="189" spans="71:225" x14ac:dyDescent="0.2">
      <c r="BS189" s="54">
        <f t="shared" si="263"/>
        <v>179</v>
      </c>
      <c r="BT189" s="54">
        <f>Eu_tabel_g[[#This Row],[Indeks]]+1</f>
        <v>180</v>
      </c>
      <c r="BU189" s="54">
        <f t="shared" si="264"/>
        <v>1.1977644597549659</v>
      </c>
      <c r="BV189" s="54">
        <f t="shared" si="265"/>
        <v>0.1947072006985737</v>
      </c>
      <c r="BW189" s="54" t="e">
        <f t="shared" si="266"/>
        <v>#N/A</v>
      </c>
      <c r="BX189" s="54" t="e">
        <f t="shared" si="267"/>
        <v>#N/A</v>
      </c>
      <c r="BY189" s="54" t="e">
        <f t="shared" si="268"/>
        <v>#N/A</v>
      </c>
      <c r="BZ189" s="54" t="b">
        <f t="shared" si="269"/>
        <v>0</v>
      </c>
      <c r="CA189" s="54" t="b">
        <f t="shared" si="270"/>
        <v>1</v>
      </c>
      <c r="CB189" s="54" t="b">
        <f t="shared" si="271"/>
        <v>0</v>
      </c>
      <c r="CC189" s="54" t="b">
        <f t="shared" si="272"/>
        <v>1</v>
      </c>
      <c r="CD189" s="54">
        <f t="shared" si="337"/>
        <v>0.1947072006985737</v>
      </c>
      <c r="CE189" s="54" t="e">
        <f t="shared" si="273"/>
        <v>#N/A</v>
      </c>
      <c r="CF189" s="54">
        <f t="shared" si="274"/>
        <v>0.1947072006985737</v>
      </c>
      <c r="CG189" s="72" t="str">
        <f t="shared" si="275"/>
        <v/>
      </c>
      <c r="CH189" s="54">
        <f>_xlfn.NORM.DIST(_xlfn.NORM.INV(1-Eu_g_konfidensniveau,0,1)-Eu_tabel_g[[#This Row],[x base]],0,1,TRUE)</f>
        <v>2.2372326012062415E-3</v>
      </c>
      <c r="CI189" s="54">
        <f>1-_xlfn.NORM.DIST(_xlfn.NORM.INV(Eu_g_konfidensniveau,0,1)-Eu_tabel_g[[#This Row],[x base]],0,1,TRUE)</f>
        <v>0.32740534012693767</v>
      </c>
      <c r="CJ189" s="54">
        <f>_xlfn.NORM.DIST(_xlfn.NORM.INV((1-Eu_g_konfidensniveau)/2,0,1)-Eu_tabel_g[[#This Row],[x base]],0,1,TRUE)+1-_xlfn.NORM.DIST(_xlfn.NORM.INV(1-(1-Eu_g_konfidensniveau)/2,0,1)-Eu_tabel_g[[#This Row],[x base]],0,1,TRUE)</f>
        <v>0.22376548284288722</v>
      </c>
      <c r="CK189" s="54" t="e" cm="1">
        <f t="array" ref="CK189">IF($CK$3,INDEX(Eu_tabel_g[[#This Row],[Styrke venstre]:[Styrke tosidet]],CK$7),NA())</f>
        <v>#N/A</v>
      </c>
      <c r="CL189" s="99" t="e">
        <f>Eu_tabel_g[[#This Row],[Falsk positiv
Nulhypotese accepteres
Fejltype 1]]</f>
        <v>#N/A</v>
      </c>
      <c r="CM189" s="99" t="e">
        <f>IF(CHOOSE(CK$7,Eu_tabel_g[[#This Row],[x base]]&gt;0,Eu_tabel_g[[#This Row],[x base]]&lt;0,Eu_tabel_g[[#This Row],[x base]]=0),Eu_tabel_g[[#This Row],[Styrke, aktiv]],NA())</f>
        <v>#N/A</v>
      </c>
      <c r="CN189" s="99" t="e">
        <f>IFERROR(IF($CK$3,Eu_tabel_g[[#This Row],[Styrke, aktiv]],NA()),NA())</f>
        <v>#N/A</v>
      </c>
      <c r="CO189" s="99" t="e">
        <f>IF(ISNA(Eu_tabel_g[[#This Row],[Sand negativ
Nulhypotese afvises
Korrekt]]),NA(),IF($CK$3,1,NA()))</f>
        <v>#N/A</v>
      </c>
      <c r="CP189" s="56" t="str" cm="1">
        <f t="array" ref="CP189">_xlfn.SWITCH(BS189,_xlfn.IFNA(CN$2,-99),CN$5,_xlfn.IFNA(CN$3,-99),CN$6,_xlfn.IFNA(CN$4,-99),CN$7,"")</f>
        <v/>
      </c>
      <c r="CT189" s="7">
        <f t="shared" si="276"/>
        <v>0.8</v>
      </c>
      <c r="CU189">
        <f>IF(ROW(Styrkeberegning_G[[#This Row],[X base venstre]])=ROW(Styrkeberegning_G[[#Headers],[X base venstre]])+1,CU$7/(CT$7/$B$67),CU188/(CT188/$B$67))</f>
        <v>-2.8015817870135784</v>
      </c>
      <c r="CV189">
        <f>Styrkeberegning_G[[#This Row],[X base venstre]]*-1</f>
        <v>2.8015817870135784</v>
      </c>
      <c r="DG189" s="54">
        <f t="shared" si="277"/>
        <v>179</v>
      </c>
      <c r="DH189" s="54">
        <f t="shared" si="278"/>
        <v>180</v>
      </c>
      <c r="DI189" s="54">
        <f t="shared" si="279"/>
        <v>22.252535963296872</v>
      </c>
      <c r="DJ189" s="54" t="e">
        <f t="shared" si="280"/>
        <v>#N/A</v>
      </c>
      <c r="DK189" s="54" t="e">
        <f t="shared" si="281"/>
        <v>#N/A</v>
      </c>
      <c r="DL189" s="54">
        <f t="shared" si="282"/>
        <v>7.1880199014143151E-3</v>
      </c>
      <c r="DM189" s="54" t="e">
        <f t="shared" si="283"/>
        <v>#N/A</v>
      </c>
      <c r="DN189" s="54" t="b">
        <f t="shared" si="284"/>
        <v>0</v>
      </c>
      <c r="DO189" s="54" t="b">
        <f t="shared" si="285"/>
        <v>1</v>
      </c>
      <c r="DP189" s="54" t="b">
        <f t="shared" si="286"/>
        <v>1</v>
      </c>
      <c r="DQ189" s="54" t="b">
        <f t="shared" si="287"/>
        <v>0</v>
      </c>
      <c r="DR189" s="54">
        <f t="shared" si="288"/>
        <v>7.1880199014143151E-3</v>
      </c>
      <c r="DS189" s="54">
        <f t="shared" si="289"/>
        <v>7.1880199014143151E-3</v>
      </c>
      <c r="DT189" s="54" t="e">
        <f t="shared" si="290"/>
        <v>#N/A</v>
      </c>
      <c r="DU189" s="72" t="str">
        <f t="shared" si="291"/>
        <v/>
      </c>
      <c r="DZ189" s="54">
        <f t="shared" si="292"/>
        <v>179</v>
      </c>
      <c r="EA189" s="54">
        <f t="shared" si="293"/>
        <v>180</v>
      </c>
      <c r="EB189" s="54">
        <f t="shared" si="294"/>
        <v>1.1977644597549659</v>
      </c>
      <c r="EC189" s="54">
        <f t="shared" si="295"/>
        <v>0.1947072006985737</v>
      </c>
      <c r="ED189" s="54" t="e">
        <f t="shared" si="296"/>
        <v>#N/A</v>
      </c>
      <c r="EE189" s="54" t="e">
        <f t="shared" si="297"/>
        <v>#N/A</v>
      </c>
      <c r="EF189" s="54" t="e">
        <f t="shared" si="298"/>
        <v>#N/A</v>
      </c>
      <c r="EG189" s="54" t="b">
        <f t="shared" si="299"/>
        <v>0</v>
      </c>
      <c r="EH189" s="54" t="b">
        <f t="shared" si="300"/>
        <v>1</v>
      </c>
      <c r="EI189" s="54" t="b">
        <f t="shared" si="301"/>
        <v>0</v>
      </c>
      <c r="EJ189" s="54" t="b">
        <f t="shared" si="302"/>
        <v>1</v>
      </c>
      <c r="EK189" s="54">
        <f t="shared" si="303"/>
        <v>0.1947072006985737</v>
      </c>
      <c r="EL189" s="54" t="e">
        <f t="shared" si="304"/>
        <v>#N/A</v>
      </c>
      <c r="EM189" s="54">
        <f t="shared" si="305"/>
        <v>0.1947072006985737</v>
      </c>
      <c r="EN189" s="72" t="str">
        <f t="shared" si="306"/>
        <v/>
      </c>
      <c r="EO18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8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8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89" s="54" t="e" cm="1">
        <f t="array" ref="ER189">IF($CK$3,INDEX(Eu_tabel_a[[#This Row],[Styrke venstre]:[Styrke tosidet]],ER$7),NA())</f>
        <v>#N/A</v>
      </c>
      <c r="ES189" s="54" t="e">
        <f>IF(ER$3,IF(CHOOSE(ER$7,Eu_tabel_a[[#This Row],[x base]]&gt;0,Eu_tabel_a[[#This Row],[x base]]&lt;0,Eu_tabel_a[[#This Row],[x base]]=0),1,NA()),NA())</f>
        <v>#N/A</v>
      </c>
      <c r="ET189" s="54" t="e">
        <f>IF(CHOOSE(ER$7,Eu_tabel_a[[#This Row],[x base]]&gt;0,Eu_tabel_a[[#This Row],[x base]]&lt;0,Eu_tabel_a[[#This Row],[x base]]=0),Eu_tabel_a[[#This Row],[Styrke, aktiv]],NA())</f>
        <v>#N/A</v>
      </c>
      <c r="EU189" s="54" t="e">
        <f>IFERROR(IF($ER$3,Eu_tabel_a[[#This Row],[Styrke, aktiv]],NA()),NA())</f>
        <v>#N/A</v>
      </c>
      <c r="EV189" s="54" t="e">
        <f>IF(ISNA(Eu_tabel_a[[#This Row],[Sand negativ
Nulhypotese afvises
Korrekt]]),NA(),IF(ER$3,1,NA()))</f>
        <v>#N/A</v>
      </c>
      <c r="EW189" s="55" t="str" cm="1">
        <f t="array" ref="EW189">IFERROR(_xlfn.SWITCH(Eu_tabel_a[[#This Row],[Indeks]],_xlfn.IFNA(EU$2,-99),EU$5,_xlfn.IFNA(EU$3,-99),EU$6,_xlfn.IFNA(EU$4,-99),EU$7,""),"")</f>
        <v/>
      </c>
      <c r="EX189" s="54">
        <f>Eu_tabel_a[[#This Row],[x base]]*SQRT(Eu_a_h0_x*(1-Eu_a_h0_x)/Eu_a_n_x)+Eu_a_h0_x</f>
        <v>0</v>
      </c>
      <c r="FC189" s="161" t="e">
        <f t="shared" si="250"/>
        <v>#N/A</v>
      </c>
      <c r="FD189" s="169" t="e">
        <f t="shared" si="338"/>
        <v>#DIV/0!</v>
      </c>
      <c r="FE189" s="7" t="e">
        <f t="shared" si="244"/>
        <v>#DIV/0!</v>
      </c>
      <c r="FF189" t="e">
        <f t="shared" si="339"/>
        <v>#DIV/0!</v>
      </c>
      <c r="FG189" s="8" t="e">
        <f t="shared" si="340"/>
        <v>#DIV/0!</v>
      </c>
      <c r="FH189" s="8" t="e">
        <f t="shared" si="341"/>
        <v>#DIV/0!</v>
      </c>
      <c r="FI189" s="168" t="e">
        <f t="shared" si="342"/>
        <v>#DIV/0!</v>
      </c>
      <c r="FJ189" s="161" t="e">
        <f t="shared" ca="1" si="245"/>
        <v>#N/A</v>
      </c>
      <c r="FK189" s="169" t="e" vm="3">
        <f t="shared" ca="1" si="251"/>
        <v>#VALUE!</v>
      </c>
      <c r="FL189" s="7" t="e" vm="3">
        <f t="shared" ca="1" si="246"/>
        <v>#VALUE!</v>
      </c>
      <c r="FM189" t="e" vm="3">
        <f t="shared" ca="1" si="240"/>
        <v>#VALUE!</v>
      </c>
      <c r="FN189" s="8" t="e" vm="3">
        <f t="shared" ca="1" si="241"/>
        <v>#VALUE!</v>
      </c>
      <c r="FO189" s="8" t="e" vm="3">
        <f t="shared" ca="1" si="242"/>
        <v>#VALUE!</v>
      </c>
      <c r="FP189" s="168" t="e" vm="3">
        <f t="shared" ca="1" si="243"/>
        <v>#VALUE!</v>
      </c>
      <c r="FQ189" s="161" t="e">
        <f t="shared" si="247"/>
        <v>#N/A</v>
      </c>
      <c r="FR189" s="169" t="e">
        <f t="shared" si="252"/>
        <v>#N/A</v>
      </c>
      <c r="FS189" s="7" t="e">
        <f t="shared" si="248"/>
        <v>#N/A</v>
      </c>
      <c r="FT189" t="e">
        <f t="shared" si="253"/>
        <v>#N/A</v>
      </c>
      <c r="FU189" s="8" t="e">
        <f t="shared" si="254"/>
        <v>#N/A</v>
      </c>
      <c r="FV189" s="8" t="e">
        <f t="shared" si="255"/>
        <v>#N/A</v>
      </c>
      <c r="FW189" s="168" t="e">
        <f t="shared" si="256"/>
        <v>#N/A</v>
      </c>
      <c r="FX189" s="161" t="e">
        <f t="shared" si="257"/>
        <v>#N/A</v>
      </c>
      <c r="FY189" s="169" t="e">
        <f t="shared" si="258"/>
        <v>#N/A</v>
      </c>
      <c r="FZ189" s="7" t="e">
        <f t="shared" si="249"/>
        <v>#N/A</v>
      </c>
      <c r="GA189" t="e">
        <f t="shared" si="259"/>
        <v>#N/A</v>
      </c>
      <c r="GB189" s="8" t="e">
        <f t="shared" si="260"/>
        <v>#N/A</v>
      </c>
      <c r="GC189" s="8" t="e">
        <f t="shared" si="261"/>
        <v>#N/A</v>
      </c>
      <c r="GD189" s="168" t="e">
        <f t="shared" si="262"/>
        <v>#N/A</v>
      </c>
      <c r="GE189" s="168"/>
      <c r="GF189" s="168"/>
      <c r="GI189" s="54">
        <f t="shared" si="307"/>
        <v>179</v>
      </c>
      <c r="GJ189" s="54">
        <f t="shared" si="308"/>
        <v>180</v>
      </c>
      <c r="GK189" s="54">
        <f t="shared" si="309"/>
        <v>1.1977644597549659</v>
      </c>
      <c r="GL189" s="54">
        <f t="shared" si="310"/>
        <v>0.1947072006985737</v>
      </c>
      <c r="GM189" s="54" t="e">
        <f t="shared" si="311"/>
        <v>#N/A</v>
      </c>
      <c r="GN189" s="54" t="e">
        <f t="shared" si="312"/>
        <v>#N/A</v>
      </c>
      <c r="GO189" s="54" t="e">
        <f t="shared" si="313"/>
        <v>#N/A</v>
      </c>
      <c r="GP189" s="54" t="b">
        <f t="shared" si="314"/>
        <v>0</v>
      </c>
      <c r="GQ189" s="54" t="b">
        <f t="shared" si="315"/>
        <v>1</v>
      </c>
      <c r="GR189" s="54" t="b">
        <f t="shared" si="316"/>
        <v>0</v>
      </c>
      <c r="GS189" s="54" t="b">
        <f t="shared" si="317"/>
        <v>1</v>
      </c>
      <c r="GT189" s="54">
        <f t="shared" si="318"/>
        <v>0.1947072006985737</v>
      </c>
      <c r="GU189" s="54" t="e">
        <f t="shared" si="319"/>
        <v>#N/A</v>
      </c>
      <c r="GV189" s="54">
        <f t="shared" si="320"/>
        <v>0.1947072006985737</v>
      </c>
      <c r="GW189" s="72" t="str">
        <f t="shared" si="321"/>
        <v/>
      </c>
      <c r="HC189" s="54">
        <f t="shared" si="322"/>
        <v>179</v>
      </c>
      <c r="HD189" s="54">
        <f t="shared" si="323"/>
        <v>180</v>
      </c>
      <c r="HE189" s="54">
        <f t="shared" si="324"/>
        <v>1.8547634219528426</v>
      </c>
      <c r="HF189" s="54" t="e">
        <f t="shared" si="325"/>
        <v>#N/A</v>
      </c>
      <c r="HG189" s="54">
        <f t="shared" si="326"/>
        <v>7.7806652771627752E-2</v>
      </c>
      <c r="HH189" s="54" t="e">
        <f t="shared" si="327"/>
        <v>#N/A</v>
      </c>
      <c r="HI189" s="54" t="e">
        <f t="shared" si="328"/>
        <v>#N/A</v>
      </c>
      <c r="HJ189" s="54" t="b">
        <f t="shared" si="329"/>
        <v>0</v>
      </c>
      <c r="HK189" s="54" t="b">
        <f t="shared" si="330"/>
        <v>1</v>
      </c>
      <c r="HL189" s="54" t="b">
        <f t="shared" si="331"/>
        <v>1</v>
      </c>
      <c r="HM189" s="54" t="b">
        <f t="shared" si="332"/>
        <v>0</v>
      </c>
      <c r="HN189" s="54">
        <f t="shared" si="333"/>
        <v>7.7806652771627752E-2</v>
      </c>
      <c r="HO189" s="54" t="e">
        <f t="shared" si="334"/>
        <v>#N/A</v>
      </c>
      <c r="HP189" s="54">
        <f t="shared" si="335"/>
        <v>7.7806652771627752E-2</v>
      </c>
      <c r="HQ189" s="72" t="str">
        <f t="shared" si="336"/>
        <v/>
      </c>
    </row>
    <row r="190" spans="71:225" x14ac:dyDescent="0.2">
      <c r="BS190" s="54">
        <f t="shared" si="263"/>
        <v>180</v>
      </c>
      <c r="BT190" s="54">
        <f>Eu_tabel_g[[#This Row],[Indeks]]+1</f>
        <v>181</v>
      </c>
      <c r="BU190" s="54">
        <f t="shared" si="264"/>
        <v>1.2217197489500657</v>
      </c>
      <c r="BV190" s="54">
        <f t="shared" si="265"/>
        <v>0.18914561597203963</v>
      </c>
      <c r="BW190" s="54" t="e">
        <f t="shared" si="266"/>
        <v>#N/A</v>
      </c>
      <c r="BX190" s="54" t="e">
        <f t="shared" si="267"/>
        <v>#N/A</v>
      </c>
      <c r="BY190" s="54" t="e">
        <f t="shared" si="268"/>
        <v>#N/A</v>
      </c>
      <c r="BZ190" s="54" t="b">
        <f t="shared" si="269"/>
        <v>0</v>
      </c>
      <c r="CA190" s="54" t="b">
        <f t="shared" si="270"/>
        <v>1</v>
      </c>
      <c r="CB190" s="54" t="b">
        <f t="shared" si="271"/>
        <v>0</v>
      </c>
      <c r="CC190" s="54" t="b">
        <f t="shared" si="272"/>
        <v>1</v>
      </c>
      <c r="CD190" s="54">
        <f t="shared" ref="CD190:CD221" si="343">_xlfn.AGGREGATE(9,6,BV190:BY190)</f>
        <v>0.18914561597203963</v>
      </c>
      <c r="CE190" s="54" t="e">
        <f t="shared" si="273"/>
        <v>#N/A</v>
      </c>
      <c r="CF190" s="54">
        <f t="shared" si="274"/>
        <v>0.18914561597203963</v>
      </c>
      <c r="CG190" s="72" t="str">
        <f t="shared" si="275"/>
        <v/>
      </c>
      <c r="CH190" s="54">
        <f>_xlfn.NORM.DIST(_xlfn.NORM.INV(1-Eu_g_konfidensniveau,0,1)-Eu_tabel_g[[#This Row],[x base]],0,1,TRUE)</f>
        <v>2.0747097827240502E-3</v>
      </c>
      <c r="CI190" s="54">
        <f>1-_xlfn.NORM.DIST(_xlfn.NORM.INV(Eu_g_konfidensniveau,0,1)-Eu_tabel_g[[#This Row],[x base]],0,1,TRUE)</f>
        <v>0.33609879307128609</v>
      </c>
      <c r="CJ190" s="54">
        <f>_xlfn.NORM.DIST(_xlfn.NORM.INV((1-Eu_g_konfidensniveau)/2,0,1)-Eu_tabel_g[[#This Row],[x base]],0,1,TRUE)+1-_xlfn.NORM.DIST(_xlfn.NORM.INV(1-(1-Eu_g_konfidensniveau)/2,0,1)-Eu_tabel_g[[#This Row],[x base]],0,1,TRUE)</f>
        <v>0.23091513127223462</v>
      </c>
      <c r="CK190" s="54" t="e" cm="1">
        <f t="array" ref="CK190">IF($CK$3,INDEX(Eu_tabel_g[[#This Row],[Styrke venstre]:[Styrke tosidet]],CK$7),NA())</f>
        <v>#N/A</v>
      </c>
      <c r="CL190" s="99" t="e">
        <f>Eu_tabel_g[[#This Row],[Falsk positiv
Nulhypotese accepteres
Fejltype 1]]</f>
        <v>#N/A</v>
      </c>
      <c r="CM190" s="99" t="e">
        <f>IF(CHOOSE(CK$7,Eu_tabel_g[[#This Row],[x base]]&gt;0,Eu_tabel_g[[#This Row],[x base]]&lt;0,Eu_tabel_g[[#This Row],[x base]]=0),Eu_tabel_g[[#This Row],[Styrke, aktiv]],NA())</f>
        <v>#N/A</v>
      </c>
      <c r="CN190" s="99" t="e">
        <f>IFERROR(IF($CK$3,Eu_tabel_g[[#This Row],[Styrke, aktiv]],NA()),NA())</f>
        <v>#N/A</v>
      </c>
      <c r="CO190" s="99" t="e">
        <f>IF(ISNA(Eu_tabel_g[[#This Row],[Sand negativ
Nulhypotese afvises
Korrekt]]),NA(),IF($CK$3,1,NA()))</f>
        <v>#N/A</v>
      </c>
      <c r="CP190" s="56" t="str" cm="1">
        <f t="array" ref="CP190">_xlfn.SWITCH(BS190,_xlfn.IFNA(CN$2,-99),CN$5,_xlfn.IFNA(CN$3,-99),CN$6,_xlfn.IFNA(CN$4,-99),CN$7,"")</f>
        <v/>
      </c>
      <c r="CT190" s="7">
        <f t="shared" si="276"/>
        <v>0.8</v>
      </c>
      <c r="CU190">
        <f>IF(ROW(Styrkeberegning_G[[#This Row],[X base venstre]])=ROW(Styrkeberegning_G[[#Headers],[X base venstre]])+1,CU$7/(CT$7/$B$67),CU189/(CT189/$B$67))</f>
        <v>-2.8015817870135784</v>
      </c>
      <c r="CV190">
        <f>Styrkeberegning_G[[#This Row],[X base venstre]]*-1</f>
        <v>2.8015817870135784</v>
      </c>
      <c r="DG190" s="54">
        <f t="shared" si="277"/>
        <v>180</v>
      </c>
      <c r="DH190" s="54">
        <f t="shared" si="278"/>
        <v>181</v>
      </c>
      <c r="DI190" s="54">
        <f t="shared" si="279"/>
        <v>22.366606819713869</v>
      </c>
      <c r="DJ190" s="54" t="e">
        <f t="shared" si="280"/>
        <v>#N/A</v>
      </c>
      <c r="DK190" s="54" t="e">
        <f t="shared" si="281"/>
        <v>#N/A</v>
      </c>
      <c r="DL190" s="54">
        <f t="shared" si="282"/>
        <v>6.9475513000146864E-3</v>
      </c>
      <c r="DM190" s="54" t="e">
        <f t="shared" si="283"/>
        <v>#N/A</v>
      </c>
      <c r="DN190" s="54" t="b">
        <f t="shared" si="284"/>
        <v>0</v>
      </c>
      <c r="DO190" s="54" t="b">
        <f t="shared" si="285"/>
        <v>1</v>
      </c>
      <c r="DP190" s="54" t="b">
        <f t="shared" si="286"/>
        <v>1</v>
      </c>
      <c r="DQ190" s="54" t="b">
        <f t="shared" si="287"/>
        <v>0</v>
      </c>
      <c r="DR190" s="54">
        <f t="shared" si="288"/>
        <v>6.9475513000146864E-3</v>
      </c>
      <c r="DS190" s="54">
        <f t="shared" si="289"/>
        <v>6.9475513000146864E-3</v>
      </c>
      <c r="DT190" s="54" t="e">
        <f t="shared" si="290"/>
        <v>#N/A</v>
      </c>
      <c r="DU190" s="72" t="str">
        <f t="shared" si="291"/>
        <v/>
      </c>
      <c r="DZ190" s="54">
        <f t="shared" si="292"/>
        <v>180</v>
      </c>
      <c r="EA190" s="54">
        <f t="shared" si="293"/>
        <v>181</v>
      </c>
      <c r="EB190" s="54">
        <f t="shared" si="294"/>
        <v>1.2217197489500657</v>
      </c>
      <c r="EC190" s="54">
        <f t="shared" si="295"/>
        <v>0.18914561597203963</v>
      </c>
      <c r="ED190" s="54" t="e">
        <f t="shared" si="296"/>
        <v>#N/A</v>
      </c>
      <c r="EE190" s="54" t="e">
        <f t="shared" si="297"/>
        <v>#N/A</v>
      </c>
      <c r="EF190" s="54" t="e">
        <f t="shared" si="298"/>
        <v>#N/A</v>
      </c>
      <c r="EG190" s="54" t="b">
        <f t="shared" si="299"/>
        <v>0</v>
      </c>
      <c r="EH190" s="54" t="b">
        <f t="shared" si="300"/>
        <v>1</v>
      </c>
      <c r="EI190" s="54" t="b">
        <f t="shared" si="301"/>
        <v>0</v>
      </c>
      <c r="EJ190" s="54" t="b">
        <f t="shared" si="302"/>
        <v>1</v>
      </c>
      <c r="EK190" s="54">
        <f t="shared" si="303"/>
        <v>0.18914561597203963</v>
      </c>
      <c r="EL190" s="54" t="e">
        <f t="shared" si="304"/>
        <v>#N/A</v>
      </c>
      <c r="EM190" s="54">
        <f t="shared" si="305"/>
        <v>0.18914561597203963</v>
      </c>
      <c r="EN190" s="72" t="str">
        <f t="shared" si="306"/>
        <v/>
      </c>
      <c r="EO19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9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9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90" s="54" t="e" cm="1">
        <f t="array" ref="ER190">IF($CK$3,INDEX(Eu_tabel_a[[#This Row],[Styrke venstre]:[Styrke tosidet]],ER$7),NA())</f>
        <v>#N/A</v>
      </c>
      <c r="ES190" s="54" t="e">
        <f>IF(ER$3,IF(CHOOSE(ER$7,Eu_tabel_a[[#This Row],[x base]]&gt;0,Eu_tabel_a[[#This Row],[x base]]&lt;0,Eu_tabel_a[[#This Row],[x base]]=0),1,NA()),NA())</f>
        <v>#N/A</v>
      </c>
      <c r="ET190" s="54" t="e">
        <f>IF(CHOOSE(ER$7,Eu_tabel_a[[#This Row],[x base]]&gt;0,Eu_tabel_a[[#This Row],[x base]]&lt;0,Eu_tabel_a[[#This Row],[x base]]=0),Eu_tabel_a[[#This Row],[Styrke, aktiv]],NA())</f>
        <v>#N/A</v>
      </c>
      <c r="EU190" s="54" t="e">
        <f>IFERROR(IF($ER$3,Eu_tabel_a[[#This Row],[Styrke, aktiv]],NA()),NA())</f>
        <v>#N/A</v>
      </c>
      <c r="EV190" s="54" t="e">
        <f>IF(ISNA(Eu_tabel_a[[#This Row],[Sand negativ
Nulhypotese afvises
Korrekt]]),NA(),IF(ER$3,1,NA()))</f>
        <v>#N/A</v>
      </c>
      <c r="EW190" s="55" t="str" cm="1">
        <f t="array" ref="EW190">IFERROR(_xlfn.SWITCH(Eu_tabel_a[[#This Row],[Indeks]],_xlfn.IFNA(EU$2,-99),EU$5,_xlfn.IFNA(EU$3,-99),EU$6,_xlfn.IFNA(EU$4,-99),EU$7,""),"")</f>
        <v/>
      </c>
      <c r="EX190" s="54">
        <f>Eu_tabel_a[[#This Row],[x base]]*SQRT(Eu_a_h0_x*(1-Eu_a_h0_x)/Eu_a_n_x)+Eu_a_h0_x</f>
        <v>0</v>
      </c>
      <c r="FC190" s="161" t="e">
        <f t="shared" si="250"/>
        <v>#N/A</v>
      </c>
      <c r="FD190" s="169" t="e">
        <f t="shared" si="338"/>
        <v>#DIV/0!</v>
      </c>
      <c r="FE190" s="7" t="e">
        <f t="shared" si="244"/>
        <v>#DIV/0!</v>
      </c>
      <c r="FF190" t="e">
        <f t="shared" si="339"/>
        <v>#DIV/0!</v>
      </c>
      <c r="FG190" s="8" t="e">
        <f t="shared" si="340"/>
        <v>#DIV/0!</v>
      </c>
      <c r="FH190" s="8" t="e">
        <f t="shared" si="341"/>
        <v>#DIV/0!</v>
      </c>
      <c r="FI190" s="168" t="e">
        <f t="shared" si="342"/>
        <v>#DIV/0!</v>
      </c>
      <c r="FJ190" s="161" t="e">
        <f t="shared" ca="1" si="245"/>
        <v>#N/A</v>
      </c>
      <c r="FK190" s="169" t="e" vm="3">
        <f t="shared" ca="1" si="251"/>
        <v>#VALUE!</v>
      </c>
      <c r="FL190" s="7" t="e" vm="3">
        <f t="shared" ca="1" si="246"/>
        <v>#VALUE!</v>
      </c>
      <c r="FM190" t="e" vm="3">
        <f t="shared" ca="1" si="240"/>
        <v>#VALUE!</v>
      </c>
      <c r="FN190" s="8" t="e" vm="3">
        <f t="shared" ca="1" si="241"/>
        <v>#VALUE!</v>
      </c>
      <c r="FO190" s="8" t="e" vm="3">
        <f t="shared" ca="1" si="242"/>
        <v>#VALUE!</v>
      </c>
      <c r="FP190" s="168" t="e" vm="3">
        <f t="shared" ca="1" si="243"/>
        <v>#VALUE!</v>
      </c>
      <c r="FQ190" s="161" t="e">
        <f t="shared" si="247"/>
        <v>#N/A</v>
      </c>
      <c r="FR190" s="169" t="e">
        <f t="shared" si="252"/>
        <v>#N/A</v>
      </c>
      <c r="FS190" s="7" t="e">
        <f t="shared" si="248"/>
        <v>#N/A</v>
      </c>
      <c r="FT190" t="e">
        <f t="shared" si="253"/>
        <v>#N/A</v>
      </c>
      <c r="FU190" s="8" t="e">
        <f t="shared" si="254"/>
        <v>#N/A</v>
      </c>
      <c r="FV190" s="8" t="e">
        <f t="shared" si="255"/>
        <v>#N/A</v>
      </c>
      <c r="FW190" s="168" t="e">
        <f t="shared" si="256"/>
        <v>#N/A</v>
      </c>
      <c r="FX190" s="161" t="e">
        <f t="shared" si="257"/>
        <v>#N/A</v>
      </c>
      <c r="FY190" s="169" t="e">
        <f t="shared" si="258"/>
        <v>#N/A</v>
      </c>
      <c r="FZ190" s="7" t="e">
        <f t="shared" si="249"/>
        <v>#N/A</v>
      </c>
      <c r="GA190" t="e">
        <f t="shared" si="259"/>
        <v>#N/A</v>
      </c>
      <c r="GB190" s="8" t="e">
        <f t="shared" si="260"/>
        <v>#N/A</v>
      </c>
      <c r="GC190" s="8" t="e">
        <f t="shared" si="261"/>
        <v>#N/A</v>
      </c>
      <c r="GD190" s="168" t="e">
        <f t="shared" si="262"/>
        <v>#N/A</v>
      </c>
      <c r="GE190" s="168"/>
      <c r="GF190" s="168"/>
      <c r="GI190" s="54">
        <f t="shared" si="307"/>
        <v>180</v>
      </c>
      <c r="GJ190" s="54">
        <f t="shared" si="308"/>
        <v>181</v>
      </c>
      <c r="GK190" s="54">
        <f t="shared" si="309"/>
        <v>1.2217197489500657</v>
      </c>
      <c r="GL190" s="54">
        <f t="shared" si="310"/>
        <v>0.18914561597203963</v>
      </c>
      <c r="GM190" s="54" t="e">
        <f t="shared" si="311"/>
        <v>#N/A</v>
      </c>
      <c r="GN190" s="54" t="e">
        <f t="shared" si="312"/>
        <v>#N/A</v>
      </c>
      <c r="GO190" s="54" t="e">
        <f t="shared" si="313"/>
        <v>#N/A</v>
      </c>
      <c r="GP190" s="54" t="b">
        <f t="shared" si="314"/>
        <v>0</v>
      </c>
      <c r="GQ190" s="54" t="b">
        <f t="shared" si="315"/>
        <v>1</v>
      </c>
      <c r="GR190" s="54" t="b">
        <f t="shared" si="316"/>
        <v>0</v>
      </c>
      <c r="GS190" s="54" t="b">
        <f t="shared" si="317"/>
        <v>1</v>
      </c>
      <c r="GT190" s="54">
        <f t="shared" si="318"/>
        <v>0.18914561597203963</v>
      </c>
      <c r="GU190" s="54" t="e">
        <f t="shared" si="319"/>
        <v>#N/A</v>
      </c>
      <c r="GV190" s="54">
        <f t="shared" si="320"/>
        <v>0.18914561597203963</v>
      </c>
      <c r="GW190" s="72" t="str">
        <f t="shared" si="321"/>
        <v/>
      </c>
      <c r="HC190" s="54">
        <f t="shared" si="322"/>
        <v>180</v>
      </c>
      <c r="HD190" s="54">
        <f t="shared" si="323"/>
        <v>181</v>
      </c>
      <c r="HE190" s="54">
        <f t="shared" si="324"/>
        <v>1.8918586903918992</v>
      </c>
      <c r="HF190" s="54" t="e">
        <f t="shared" si="325"/>
        <v>#N/A</v>
      </c>
      <c r="HG190" s="54">
        <f t="shared" si="326"/>
        <v>7.3797821923210966E-2</v>
      </c>
      <c r="HH190" s="54" t="e">
        <f t="shared" si="327"/>
        <v>#N/A</v>
      </c>
      <c r="HI190" s="54" t="e">
        <f t="shared" si="328"/>
        <v>#N/A</v>
      </c>
      <c r="HJ190" s="54" t="b">
        <f t="shared" si="329"/>
        <v>0</v>
      </c>
      <c r="HK190" s="54" t="b">
        <f t="shared" si="330"/>
        <v>1</v>
      </c>
      <c r="HL190" s="54" t="b">
        <f t="shared" si="331"/>
        <v>1</v>
      </c>
      <c r="HM190" s="54" t="b">
        <f t="shared" si="332"/>
        <v>0</v>
      </c>
      <c r="HN190" s="54">
        <f t="shared" si="333"/>
        <v>7.3797821923210966E-2</v>
      </c>
      <c r="HO190" s="54" t="e">
        <f t="shared" si="334"/>
        <v>#N/A</v>
      </c>
      <c r="HP190" s="54">
        <f t="shared" si="335"/>
        <v>7.3797821923210966E-2</v>
      </c>
      <c r="HQ190" s="72" t="str">
        <f t="shared" si="336"/>
        <v/>
      </c>
    </row>
    <row r="191" spans="71:225" x14ac:dyDescent="0.2">
      <c r="BS191" s="54">
        <f t="shared" si="263"/>
        <v>181</v>
      </c>
      <c r="BT191" s="54">
        <f>Eu_tabel_g[[#This Row],[Indeks]]+1</f>
        <v>182</v>
      </c>
      <c r="BU191" s="54">
        <f t="shared" si="264"/>
        <v>1.2456750381451647</v>
      </c>
      <c r="BV191" s="54">
        <f t="shared" si="265"/>
        <v>0.18363747975432304</v>
      </c>
      <c r="BW191" s="54" t="e">
        <f t="shared" si="266"/>
        <v>#N/A</v>
      </c>
      <c r="BX191" s="54" t="e">
        <f t="shared" si="267"/>
        <v>#N/A</v>
      </c>
      <c r="BY191" s="54" t="e">
        <f t="shared" si="268"/>
        <v>#N/A</v>
      </c>
      <c r="BZ191" s="54" t="b">
        <f t="shared" si="269"/>
        <v>0</v>
      </c>
      <c r="CA191" s="54" t="b">
        <f t="shared" si="270"/>
        <v>1</v>
      </c>
      <c r="CB191" s="54" t="b">
        <f t="shared" si="271"/>
        <v>0</v>
      </c>
      <c r="CC191" s="54" t="b">
        <f t="shared" si="272"/>
        <v>1</v>
      </c>
      <c r="CD191" s="54">
        <f t="shared" si="343"/>
        <v>0.18363747975432304</v>
      </c>
      <c r="CE191" s="54" t="e">
        <f t="shared" si="273"/>
        <v>#N/A</v>
      </c>
      <c r="CF191" s="54">
        <f t="shared" si="274"/>
        <v>0.18363747975432304</v>
      </c>
      <c r="CG191" s="72" t="str">
        <f t="shared" si="275"/>
        <v/>
      </c>
      <c r="CH191" s="54">
        <f>_xlfn.NORM.DIST(_xlfn.NORM.INV(1-Eu_g_konfidensniveau,0,1)-Eu_tabel_g[[#This Row],[x base]],0,1,TRUE)</f>
        <v>1.9229722753726902E-3</v>
      </c>
      <c r="CI191" s="54">
        <f>1-_xlfn.NORM.DIST(_xlfn.NORM.INV(Eu_g_konfidensniveau,0,1)-Eu_tabel_g[[#This Row],[x base]],0,1,TRUE)</f>
        <v>0.34488080927221854</v>
      </c>
      <c r="CJ191" s="54">
        <f>_xlfn.NORM.DIST(_xlfn.NORM.INV((1-Eu_g_konfidensniveau)/2,0,1)-Eu_tabel_g[[#This Row],[x base]],0,1,TRUE)+1-_xlfn.NORM.DIST(_xlfn.NORM.INV(1-(1-Eu_g_konfidensniveau)/2,0,1)-Eu_tabel_g[[#This Row],[x base]],0,1,TRUE)</f>
        <v>0.23819807758479283</v>
      </c>
      <c r="CK191" s="54" t="e" cm="1">
        <f t="array" ref="CK191">IF($CK$3,INDEX(Eu_tabel_g[[#This Row],[Styrke venstre]:[Styrke tosidet]],CK$7),NA())</f>
        <v>#N/A</v>
      </c>
      <c r="CL191" s="99" t="e">
        <f>Eu_tabel_g[[#This Row],[Falsk positiv
Nulhypotese accepteres
Fejltype 1]]</f>
        <v>#N/A</v>
      </c>
      <c r="CM191" s="99" t="e">
        <f>IF(CHOOSE(CK$7,Eu_tabel_g[[#This Row],[x base]]&gt;0,Eu_tabel_g[[#This Row],[x base]]&lt;0,Eu_tabel_g[[#This Row],[x base]]=0),Eu_tabel_g[[#This Row],[Styrke, aktiv]],NA())</f>
        <v>#N/A</v>
      </c>
      <c r="CN191" s="99" t="e">
        <f>IFERROR(IF($CK$3,Eu_tabel_g[[#This Row],[Styrke, aktiv]],NA()),NA())</f>
        <v>#N/A</v>
      </c>
      <c r="CO191" s="99" t="e">
        <f>IF(ISNA(Eu_tabel_g[[#This Row],[Sand negativ
Nulhypotese afvises
Korrekt]]),NA(),IF($CK$3,1,NA()))</f>
        <v>#N/A</v>
      </c>
      <c r="CP191" s="56" t="str" cm="1">
        <f t="array" ref="CP191">_xlfn.SWITCH(BS191,_xlfn.IFNA(CN$2,-99),CN$5,_xlfn.IFNA(CN$3,-99),CN$6,_xlfn.IFNA(CN$4,-99),CN$7,"")</f>
        <v/>
      </c>
      <c r="CT191" s="7">
        <f t="shared" si="276"/>
        <v>0.8</v>
      </c>
      <c r="CU191">
        <f>IF(ROW(Styrkeberegning_G[[#This Row],[X base venstre]])=ROW(Styrkeberegning_G[[#Headers],[X base venstre]])+1,CU$7/(CT$7/$B$67),CU190/(CT190/$B$67))</f>
        <v>-2.8015817870135784</v>
      </c>
      <c r="CV191">
        <f>Styrkeberegning_G[[#This Row],[X base venstre]]*-1</f>
        <v>2.8015817870135784</v>
      </c>
      <c r="DG191" s="54">
        <f t="shared" si="277"/>
        <v>181</v>
      </c>
      <c r="DH191" s="54">
        <f t="shared" si="278"/>
        <v>182</v>
      </c>
      <c r="DI191" s="54">
        <f t="shared" si="279"/>
        <v>22.48067767613087</v>
      </c>
      <c r="DJ191" s="54" t="e">
        <f t="shared" si="280"/>
        <v>#N/A</v>
      </c>
      <c r="DK191" s="54" t="e">
        <f t="shared" si="281"/>
        <v>#N/A</v>
      </c>
      <c r="DL191" s="54">
        <f t="shared" si="282"/>
        <v>6.7143414024175164E-3</v>
      </c>
      <c r="DM191" s="54" t="e">
        <f t="shared" si="283"/>
        <v>#N/A</v>
      </c>
      <c r="DN191" s="54" t="b">
        <f t="shared" si="284"/>
        <v>0</v>
      </c>
      <c r="DO191" s="54" t="b">
        <f t="shared" si="285"/>
        <v>1</v>
      </c>
      <c r="DP191" s="54" t="b">
        <f t="shared" si="286"/>
        <v>1</v>
      </c>
      <c r="DQ191" s="54" t="b">
        <f t="shared" si="287"/>
        <v>0</v>
      </c>
      <c r="DR191" s="54">
        <f t="shared" si="288"/>
        <v>6.7143414024175164E-3</v>
      </c>
      <c r="DS191" s="54">
        <f t="shared" si="289"/>
        <v>6.7143414024175164E-3</v>
      </c>
      <c r="DT191" s="54" t="e">
        <f t="shared" si="290"/>
        <v>#N/A</v>
      </c>
      <c r="DU191" s="72" t="str">
        <f t="shared" si="291"/>
        <v/>
      </c>
      <c r="DZ191" s="54">
        <f t="shared" si="292"/>
        <v>181</v>
      </c>
      <c r="EA191" s="54">
        <f t="shared" si="293"/>
        <v>182</v>
      </c>
      <c r="EB191" s="54">
        <f t="shared" si="294"/>
        <v>1.2456750381451647</v>
      </c>
      <c r="EC191" s="54">
        <f t="shared" si="295"/>
        <v>0.18363747975432304</v>
      </c>
      <c r="ED191" s="54" t="e">
        <f t="shared" si="296"/>
        <v>#N/A</v>
      </c>
      <c r="EE191" s="54" t="e">
        <f t="shared" si="297"/>
        <v>#N/A</v>
      </c>
      <c r="EF191" s="54" t="e">
        <f t="shared" si="298"/>
        <v>#N/A</v>
      </c>
      <c r="EG191" s="54" t="b">
        <f t="shared" si="299"/>
        <v>0</v>
      </c>
      <c r="EH191" s="54" t="b">
        <f t="shared" si="300"/>
        <v>1</v>
      </c>
      <c r="EI191" s="54" t="b">
        <f t="shared" si="301"/>
        <v>0</v>
      </c>
      <c r="EJ191" s="54" t="b">
        <f t="shared" si="302"/>
        <v>1</v>
      </c>
      <c r="EK191" s="54">
        <f t="shared" si="303"/>
        <v>0.18363747975432304</v>
      </c>
      <c r="EL191" s="54" t="e">
        <f t="shared" si="304"/>
        <v>#N/A</v>
      </c>
      <c r="EM191" s="54">
        <f t="shared" si="305"/>
        <v>0.18363747975432304</v>
      </c>
      <c r="EN191" s="72" t="str">
        <f t="shared" si="306"/>
        <v/>
      </c>
      <c r="EO19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9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9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91" s="54" t="e" cm="1">
        <f t="array" ref="ER191">IF($CK$3,INDEX(Eu_tabel_a[[#This Row],[Styrke venstre]:[Styrke tosidet]],ER$7),NA())</f>
        <v>#N/A</v>
      </c>
      <c r="ES191" s="54" t="e">
        <f>IF(ER$3,IF(CHOOSE(ER$7,Eu_tabel_a[[#This Row],[x base]]&gt;0,Eu_tabel_a[[#This Row],[x base]]&lt;0,Eu_tabel_a[[#This Row],[x base]]=0),1,NA()),NA())</f>
        <v>#N/A</v>
      </c>
      <c r="ET191" s="54" t="e">
        <f>IF(CHOOSE(ER$7,Eu_tabel_a[[#This Row],[x base]]&gt;0,Eu_tabel_a[[#This Row],[x base]]&lt;0,Eu_tabel_a[[#This Row],[x base]]=0),Eu_tabel_a[[#This Row],[Styrke, aktiv]],NA())</f>
        <v>#N/A</v>
      </c>
      <c r="EU191" s="54" t="e">
        <f>IFERROR(IF($ER$3,Eu_tabel_a[[#This Row],[Styrke, aktiv]],NA()),NA())</f>
        <v>#N/A</v>
      </c>
      <c r="EV191" s="54" t="e">
        <f>IF(ISNA(Eu_tabel_a[[#This Row],[Sand negativ
Nulhypotese afvises
Korrekt]]),NA(),IF(ER$3,1,NA()))</f>
        <v>#N/A</v>
      </c>
      <c r="EW191" s="55" t="str" cm="1">
        <f t="array" ref="EW191">IFERROR(_xlfn.SWITCH(Eu_tabel_a[[#This Row],[Indeks]],_xlfn.IFNA(EU$2,-99),EU$5,_xlfn.IFNA(EU$3,-99),EU$6,_xlfn.IFNA(EU$4,-99),EU$7,""),"")</f>
        <v/>
      </c>
      <c r="EX191" s="54">
        <f>Eu_tabel_a[[#This Row],[x base]]*SQRT(Eu_a_h0_x*(1-Eu_a_h0_x)/Eu_a_n_x)+Eu_a_h0_x</f>
        <v>0</v>
      </c>
      <c r="FC191" s="161" t="e">
        <f t="shared" si="250"/>
        <v>#N/A</v>
      </c>
      <c r="FD191" s="169" t="e">
        <f t="shared" si="338"/>
        <v>#DIV/0!</v>
      </c>
      <c r="FE191" s="7" t="e">
        <f t="shared" si="244"/>
        <v>#DIV/0!</v>
      </c>
      <c r="FF191" t="e">
        <f t="shared" si="339"/>
        <v>#DIV/0!</v>
      </c>
      <c r="FG191" s="8" t="e">
        <f t="shared" si="340"/>
        <v>#DIV/0!</v>
      </c>
      <c r="FH191" s="8" t="e">
        <f t="shared" si="341"/>
        <v>#DIV/0!</v>
      </c>
      <c r="FI191" s="168" t="e">
        <f t="shared" si="342"/>
        <v>#DIV/0!</v>
      </c>
      <c r="FJ191" s="161" t="e">
        <f t="shared" ca="1" si="245"/>
        <v>#N/A</v>
      </c>
      <c r="FK191" s="169" t="e" vm="3">
        <f t="shared" ca="1" si="251"/>
        <v>#VALUE!</v>
      </c>
      <c r="FL191" s="7" t="e" vm="3">
        <f t="shared" ca="1" si="246"/>
        <v>#VALUE!</v>
      </c>
      <c r="FM191" t="e" vm="3">
        <f t="shared" ca="1" si="240"/>
        <v>#VALUE!</v>
      </c>
      <c r="FN191" s="8" t="e" vm="3">
        <f t="shared" ca="1" si="241"/>
        <v>#VALUE!</v>
      </c>
      <c r="FO191" s="8" t="e" vm="3">
        <f t="shared" ca="1" si="242"/>
        <v>#VALUE!</v>
      </c>
      <c r="FP191" s="168" t="e" vm="3">
        <f t="shared" ca="1" si="243"/>
        <v>#VALUE!</v>
      </c>
      <c r="FQ191" s="161" t="e">
        <f t="shared" si="247"/>
        <v>#N/A</v>
      </c>
      <c r="FR191" s="169" t="e">
        <f t="shared" si="252"/>
        <v>#N/A</v>
      </c>
      <c r="FS191" s="7" t="e">
        <f t="shared" si="248"/>
        <v>#N/A</v>
      </c>
      <c r="FT191" t="e">
        <f t="shared" si="253"/>
        <v>#N/A</v>
      </c>
      <c r="FU191" s="8" t="e">
        <f t="shared" si="254"/>
        <v>#N/A</v>
      </c>
      <c r="FV191" s="8" t="e">
        <f t="shared" si="255"/>
        <v>#N/A</v>
      </c>
      <c r="FW191" s="168" t="e">
        <f t="shared" si="256"/>
        <v>#N/A</v>
      </c>
      <c r="FX191" s="161" t="e">
        <f t="shared" si="257"/>
        <v>#N/A</v>
      </c>
      <c r="FY191" s="169" t="e">
        <f t="shared" si="258"/>
        <v>#N/A</v>
      </c>
      <c r="FZ191" s="7" t="e">
        <f t="shared" si="249"/>
        <v>#N/A</v>
      </c>
      <c r="GA191" t="e">
        <f t="shared" si="259"/>
        <v>#N/A</v>
      </c>
      <c r="GB191" s="8" t="e">
        <f t="shared" si="260"/>
        <v>#N/A</v>
      </c>
      <c r="GC191" s="8" t="e">
        <f t="shared" si="261"/>
        <v>#N/A</v>
      </c>
      <c r="GD191" s="168" t="e">
        <f t="shared" si="262"/>
        <v>#N/A</v>
      </c>
      <c r="GE191" s="168"/>
      <c r="GF191" s="168"/>
      <c r="GI191" s="54">
        <f t="shared" si="307"/>
        <v>181</v>
      </c>
      <c r="GJ191" s="54">
        <f t="shared" si="308"/>
        <v>182</v>
      </c>
      <c r="GK191" s="54">
        <f t="shared" si="309"/>
        <v>1.2456750381451647</v>
      </c>
      <c r="GL191" s="54">
        <f t="shared" si="310"/>
        <v>0.18363747975432304</v>
      </c>
      <c r="GM191" s="54" t="e">
        <f t="shared" si="311"/>
        <v>#N/A</v>
      </c>
      <c r="GN191" s="54" t="e">
        <f t="shared" si="312"/>
        <v>#N/A</v>
      </c>
      <c r="GO191" s="54" t="e">
        <f t="shared" si="313"/>
        <v>#N/A</v>
      </c>
      <c r="GP191" s="54" t="b">
        <f t="shared" si="314"/>
        <v>0</v>
      </c>
      <c r="GQ191" s="54" t="b">
        <f t="shared" si="315"/>
        <v>1</v>
      </c>
      <c r="GR191" s="54" t="b">
        <f t="shared" si="316"/>
        <v>0</v>
      </c>
      <c r="GS191" s="54" t="b">
        <f t="shared" si="317"/>
        <v>1</v>
      </c>
      <c r="GT191" s="54">
        <f t="shared" si="318"/>
        <v>0.18363747975432304</v>
      </c>
      <c r="GU191" s="54" t="e">
        <f t="shared" si="319"/>
        <v>#N/A</v>
      </c>
      <c r="GV191" s="54">
        <f t="shared" si="320"/>
        <v>0.18363747975432304</v>
      </c>
      <c r="GW191" s="72" t="str">
        <f t="shared" si="321"/>
        <v/>
      </c>
      <c r="HC191" s="54">
        <f t="shared" si="322"/>
        <v>181</v>
      </c>
      <c r="HD191" s="54">
        <f t="shared" si="323"/>
        <v>182</v>
      </c>
      <c r="HE191" s="54">
        <f t="shared" si="324"/>
        <v>1.9289539588309559</v>
      </c>
      <c r="HF191" s="54" t="e">
        <f t="shared" si="325"/>
        <v>#N/A</v>
      </c>
      <c r="HG191" s="54">
        <f t="shared" si="326"/>
        <v>6.9971985868934911E-2</v>
      </c>
      <c r="HH191" s="54" t="e">
        <f t="shared" si="327"/>
        <v>#N/A</v>
      </c>
      <c r="HI191" s="54" t="e">
        <f t="shared" si="328"/>
        <v>#N/A</v>
      </c>
      <c r="HJ191" s="54" t="b">
        <f t="shared" si="329"/>
        <v>0</v>
      </c>
      <c r="HK191" s="54" t="b">
        <f t="shared" si="330"/>
        <v>1</v>
      </c>
      <c r="HL191" s="54" t="b">
        <f t="shared" si="331"/>
        <v>1</v>
      </c>
      <c r="HM191" s="54" t="b">
        <f t="shared" si="332"/>
        <v>0</v>
      </c>
      <c r="HN191" s="54">
        <f t="shared" si="333"/>
        <v>6.9971985868934911E-2</v>
      </c>
      <c r="HO191" s="54" t="e">
        <f t="shared" si="334"/>
        <v>#N/A</v>
      </c>
      <c r="HP191" s="54">
        <f t="shared" si="335"/>
        <v>6.9971985868934911E-2</v>
      </c>
      <c r="HQ191" s="72" t="str">
        <f t="shared" si="336"/>
        <v/>
      </c>
    </row>
    <row r="192" spans="71:225" x14ac:dyDescent="0.2">
      <c r="BS192" s="54">
        <f t="shared" si="263"/>
        <v>182</v>
      </c>
      <c r="BT192" s="54">
        <f>Eu_tabel_g[[#This Row],[Indeks]]+1</f>
        <v>183</v>
      </c>
      <c r="BU192" s="54">
        <f t="shared" si="264"/>
        <v>1.2696303273402645</v>
      </c>
      <c r="BV192" s="54">
        <f t="shared" si="265"/>
        <v>0.17818746348109929</v>
      </c>
      <c r="BW192" s="54" t="e">
        <f t="shared" si="266"/>
        <v>#N/A</v>
      </c>
      <c r="BX192" s="54" t="e">
        <f t="shared" si="267"/>
        <v>#N/A</v>
      </c>
      <c r="BY192" s="54" t="e">
        <f t="shared" si="268"/>
        <v>#N/A</v>
      </c>
      <c r="BZ192" s="54" t="b">
        <f t="shared" si="269"/>
        <v>0</v>
      </c>
      <c r="CA192" s="54" t="b">
        <f t="shared" si="270"/>
        <v>1</v>
      </c>
      <c r="CB192" s="54" t="b">
        <f t="shared" si="271"/>
        <v>0</v>
      </c>
      <c r="CC192" s="54" t="b">
        <f t="shared" si="272"/>
        <v>1</v>
      </c>
      <c r="CD192" s="54">
        <f t="shared" si="343"/>
        <v>0.17818746348109929</v>
      </c>
      <c r="CE192" s="54" t="e">
        <f t="shared" si="273"/>
        <v>#N/A</v>
      </c>
      <c r="CF192" s="54">
        <f t="shared" si="274"/>
        <v>0.17818746348109929</v>
      </c>
      <c r="CG192" s="72" t="str">
        <f t="shared" si="275"/>
        <v/>
      </c>
      <c r="CH192" s="54">
        <f>_xlfn.NORM.DIST(_xlfn.NORM.INV(1-Eu_g_konfidensniveau,0,1)-Eu_tabel_g[[#This Row],[x base]],0,1,TRUE)</f>
        <v>1.7813856159707405E-3</v>
      </c>
      <c r="CI192" s="54">
        <f>1-_xlfn.NORM.DIST(_xlfn.NORM.INV(Eu_g_konfidensniveau,0,1)-Eu_tabel_g[[#This Row],[x base]],0,1,TRUE)</f>
        <v>0.35374720170655238</v>
      </c>
      <c r="CJ192" s="54">
        <f>_xlfn.NORM.DIST(_xlfn.NORM.INV((1-Eu_g_konfidensniveau)/2,0,1)-Eu_tabel_g[[#This Row],[x base]],0,1,TRUE)+1-_xlfn.NORM.DIST(_xlfn.NORM.INV(1-(1-Eu_g_konfidensniveau)/2,0,1)-Eu_tabel_g[[#This Row],[x base]],0,1,TRUE)</f>
        <v>0.24561202329949894</v>
      </c>
      <c r="CK192" s="54" t="e" cm="1">
        <f t="array" ref="CK192">IF($CK$3,INDEX(Eu_tabel_g[[#This Row],[Styrke venstre]:[Styrke tosidet]],CK$7),NA())</f>
        <v>#N/A</v>
      </c>
      <c r="CL192" s="99" t="e">
        <f>Eu_tabel_g[[#This Row],[Falsk positiv
Nulhypotese accepteres
Fejltype 1]]</f>
        <v>#N/A</v>
      </c>
      <c r="CM192" s="99" t="e">
        <f>IF(CHOOSE(CK$7,Eu_tabel_g[[#This Row],[x base]]&gt;0,Eu_tabel_g[[#This Row],[x base]]&lt;0,Eu_tabel_g[[#This Row],[x base]]=0),Eu_tabel_g[[#This Row],[Styrke, aktiv]],NA())</f>
        <v>#N/A</v>
      </c>
      <c r="CN192" s="99" t="e">
        <f>IFERROR(IF($CK$3,Eu_tabel_g[[#This Row],[Styrke, aktiv]],NA()),NA())</f>
        <v>#N/A</v>
      </c>
      <c r="CO192" s="99" t="e">
        <f>IF(ISNA(Eu_tabel_g[[#This Row],[Sand negativ
Nulhypotese afvises
Korrekt]]),NA(),IF($CK$3,1,NA()))</f>
        <v>#N/A</v>
      </c>
      <c r="CP192" s="56" t="str" cm="1">
        <f t="array" ref="CP192">_xlfn.SWITCH(BS192,_xlfn.IFNA(CN$2,-99),CN$5,_xlfn.IFNA(CN$3,-99),CN$6,_xlfn.IFNA(CN$4,-99),CN$7,"")</f>
        <v/>
      </c>
      <c r="CT192" s="7">
        <f t="shared" si="276"/>
        <v>0.8</v>
      </c>
      <c r="CU192">
        <f>IF(ROW(Styrkeberegning_G[[#This Row],[X base venstre]])=ROW(Styrkeberegning_G[[#Headers],[X base venstre]])+1,CU$7/(CT$7/$B$67),CU191/(CT191/$B$67))</f>
        <v>-2.8015817870135784</v>
      </c>
      <c r="CV192">
        <f>Styrkeberegning_G[[#This Row],[X base venstre]]*-1</f>
        <v>2.8015817870135784</v>
      </c>
      <c r="DG192" s="54">
        <f t="shared" si="277"/>
        <v>182</v>
      </c>
      <c r="DH192" s="54">
        <f t="shared" si="278"/>
        <v>183</v>
      </c>
      <c r="DI192" s="54">
        <f t="shared" si="279"/>
        <v>22.594748532547872</v>
      </c>
      <c r="DJ192" s="54" t="e">
        <f t="shared" si="280"/>
        <v>#N/A</v>
      </c>
      <c r="DK192" s="54" t="e">
        <f t="shared" si="281"/>
        <v>#N/A</v>
      </c>
      <c r="DL192" s="54">
        <f t="shared" si="282"/>
        <v>6.4882079162847089E-3</v>
      </c>
      <c r="DM192" s="54" t="e">
        <f t="shared" si="283"/>
        <v>#N/A</v>
      </c>
      <c r="DN192" s="54" t="b">
        <f t="shared" si="284"/>
        <v>0</v>
      </c>
      <c r="DO192" s="54" t="b">
        <f t="shared" si="285"/>
        <v>1</v>
      </c>
      <c r="DP192" s="54" t="b">
        <f t="shared" si="286"/>
        <v>1</v>
      </c>
      <c r="DQ192" s="54" t="b">
        <f t="shared" si="287"/>
        <v>0</v>
      </c>
      <c r="DR192" s="54">
        <f t="shared" si="288"/>
        <v>6.4882079162847089E-3</v>
      </c>
      <c r="DS192" s="54">
        <f t="shared" si="289"/>
        <v>6.4882079162847089E-3</v>
      </c>
      <c r="DT192" s="54" t="e">
        <f t="shared" si="290"/>
        <v>#N/A</v>
      </c>
      <c r="DU192" s="72" t="str">
        <f t="shared" si="291"/>
        <v/>
      </c>
      <c r="DZ192" s="54">
        <f t="shared" si="292"/>
        <v>182</v>
      </c>
      <c r="EA192" s="54">
        <f t="shared" si="293"/>
        <v>183</v>
      </c>
      <c r="EB192" s="54">
        <f t="shared" si="294"/>
        <v>1.2696303273402645</v>
      </c>
      <c r="EC192" s="54">
        <f t="shared" si="295"/>
        <v>0.17818746348109929</v>
      </c>
      <c r="ED192" s="54" t="e">
        <f t="shared" si="296"/>
        <v>#N/A</v>
      </c>
      <c r="EE192" s="54" t="e">
        <f t="shared" si="297"/>
        <v>#N/A</v>
      </c>
      <c r="EF192" s="54" t="e">
        <f t="shared" si="298"/>
        <v>#N/A</v>
      </c>
      <c r="EG192" s="54" t="b">
        <f t="shared" si="299"/>
        <v>0</v>
      </c>
      <c r="EH192" s="54" t="b">
        <f t="shared" si="300"/>
        <v>1</v>
      </c>
      <c r="EI192" s="54" t="b">
        <f t="shared" si="301"/>
        <v>0</v>
      </c>
      <c r="EJ192" s="54" t="b">
        <f t="shared" si="302"/>
        <v>1</v>
      </c>
      <c r="EK192" s="54">
        <f t="shared" si="303"/>
        <v>0.17818746348109929</v>
      </c>
      <c r="EL192" s="54" t="e">
        <f t="shared" si="304"/>
        <v>#N/A</v>
      </c>
      <c r="EM192" s="54">
        <f t="shared" si="305"/>
        <v>0.17818746348109929</v>
      </c>
      <c r="EN192" s="72" t="str">
        <f t="shared" si="306"/>
        <v/>
      </c>
      <c r="EO19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9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9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92" s="54" t="e" cm="1">
        <f t="array" ref="ER192">IF($CK$3,INDEX(Eu_tabel_a[[#This Row],[Styrke venstre]:[Styrke tosidet]],ER$7),NA())</f>
        <v>#N/A</v>
      </c>
      <c r="ES192" s="54" t="e">
        <f>IF(ER$3,IF(CHOOSE(ER$7,Eu_tabel_a[[#This Row],[x base]]&gt;0,Eu_tabel_a[[#This Row],[x base]]&lt;0,Eu_tabel_a[[#This Row],[x base]]=0),1,NA()),NA())</f>
        <v>#N/A</v>
      </c>
      <c r="ET192" s="54" t="e">
        <f>IF(CHOOSE(ER$7,Eu_tabel_a[[#This Row],[x base]]&gt;0,Eu_tabel_a[[#This Row],[x base]]&lt;0,Eu_tabel_a[[#This Row],[x base]]=0),Eu_tabel_a[[#This Row],[Styrke, aktiv]],NA())</f>
        <v>#N/A</v>
      </c>
      <c r="EU192" s="54" t="e">
        <f>IFERROR(IF($ER$3,Eu_tabel_a[[#This Row],[Styrke, aktiv]],NA()),NA())</f>
        <v>#N/A</v>
      </c>
      <c r="EV192" s="54" t="e">
        <f>IF(ISNA(Eu_tabel_a[[#This Row],[Sand negativ
Nulhypotese afvises
Korrekt]]),NA(),IF(ER$3,1,NA()))</f>
        <v>#N/A</v>
      </c>
      <c r="EW192" s="55" t="str" cm="1">
        <f t="array" ref="EW192">IFERROR(_xlfn.SWITCH(Eu_tabel_a[[#This Row],[Indeks]],_xlfn.IFNA(EU$2,-99),EU$5,_xlfn.IFNA(EU$3,-99),EU$6,_xlfn.IFNA(EU$4,-99),EU$7,""),"")</f>
        <v/>
      </c>
      <c r="EX192" s="54">
        <f>Eu_tabel_a[[#This Row],[x base]]*SQRT(Eu_a_h0_x*(1-Eu_a_h0_x)/Eu_a_n_x)+Eu_a_h0_x</f>
        <v>0</v>
      </c>
      <c r="FC192" s="161" t="e">
        <f t="shared" si="250"/>
        <v>#N/A</v>
      </c>
      <c r="FD192" s="169" t="e">
        <f t="shared" si="338"/>
        <v>#DIV/0!</v>
      </c>
      <c r="FE192" s="7" t="e">
        <f t="shared" si="244"/>
        <v>#DIV/0!</v>
      </c>
      <c r="FF192" t="e">
        <f t="shared" si="339"/>
        <v>#DIV/0!</v>
      </c>
      <c r="FG192" s="8" t="e">
        <f t="shared" si="340"/>
        <v>#DIV/0!</v>
      </c>
      <c r="FH192" s="8" t="e">
        <f t="shared" si="341"/>
        <v>#DIV/0!</v>
      </c>
      <c r="FI192" s="168" t="e">
        <f t="shared" si="342"/>
        <v>#DIV/0!</v>
      </c>
      <c r="FJ192" s="161" t="e">
        <f t="shared" ca="1" si="245"/>
        <v>#N/A</v>
      </c>
      <c r="FK192" s="169" t="e" vm="3">
        <f t="shared" ca="1" si="251"/>
        <v>#VALUE!</v>
      </c>
      <c r="FL192" s="7" t="e" vm="3">
        <f t="shared" ca="1" si="246"/>
        <v>#VALUE!</v>
      </c>
      <c r="FM192" t="e" vm="3">
        <f t="shared" ca="1" si="240"/>
        <v>#VALUE!</v>
      </c>
      <c r="FN192" s="8" t="e" vm="3">
        <f t="shared" ca="1" si="241"/>
        <v>#VALUE!</v>
      </c>
      <c r="FO192" s="8" t="e" vm="3">
        <f t="shared" ca="1" si="242"/>
        <v>#VALUE!</v>
      </c>
      <c r="FP192" s="168" t="e" vm="3">
        <f t="shared" ca="1" si="243"/>
        <v>#VALUE!</v>
      </c>
      <c r="FQ192" s="161" t="e">
        <f t="shared" si="247"/>
        <v>#N/A</v>
      </c>
      <c r="FR192" s="169" t="e">
        <f t="shared" si="252"/>
        <v>#N/A</v>
      </c>
      <c r="FS192" s="7" t="e">
        <f t="shared" si="248"/>
        <v>#N/A</v>
      </c>
      <c r="FT192" t="e">
        <f t="shared" si="253"/>
        <v>#N/A</v>
      </c>
      <c r="FU192" s="8" t="e">
        <f t="shared" si="254"/>
        <v>#N/A</v>
      </c>
      <c r="FV192" s="8" t="e">
        <f t="shared" si="255"/>
        <v>#N/A</v>
      </c>
      <c r="FW192" s="168" t="e">
        <f t="shared" si="256"/>
        <v>#N/A</v>
      </c>
      <c r="FX192" s="161" t="e">
        <f t="shared" si="257"/>
        <v>#N/A</v>
      </c>
      <c r="FY192" s="169" t="e">
        <f t="shared" si="258"/>
        <v>#N/A</v>
      </c>
      <c r="FZ192" s="7" t="e">
        <f t="shared" si="249"/>
        <v>#N/A</v>
      </c>
      <c r="GA192" t="e">
        <f t="shared" si="259"/>
        <v>#N/A</v>
      </c>
      <c r="GB192" s="8" t="e">
        <f t="shared" si="260"/>
        <v>#N/A</v>
      </c>
      <c r="GC192" s="8" t="e">
        <f t="shared" si="261"/>
        <v>#N/A</v>
      </c>
      <c r="GD192" s="168" t="e">
        <f t="shared" si="262"/>
        <v>#N/A</v>
      </c>
      <c r="GE192" s="168"/>
      <c r="GF192" s="168"/>
      <c r="GI192" s="54">
        <f t="shared" si="307"/>
        <v>182</v>
      </c>
      <c r="GJ192" s="54">
        <f t="shared" si="308"/>
        <v>183</v>
      </c>
      <c r="GK192" s="54">
        <f t="shared" si="309"/>
        <v>1.2696303273402645</v>
      </c>
      <c r="GL192" s="54">
        <f t="shared" si="310"/>
        <v>0.17818746348109929</v>
      </c>
      <c r="GM192" s="54" t="e">
        <f t="shared" si="311"/>
        <v>#N/A</v>
      </c>
      <c r="GN192" s="54" t="e">
        <f t="shared" si="312"/>
        <v>#N/A</v>
      </c>
      <c r="GO192" s="54" t="e">
        <f t="shared" si="313"/>
        <v>#N/A</v>
      </c>
      <c r="GP192" s="54" t="b">
        <f t="shared" si="314"/>
        <v>0</v>
      </c>
      <c r="GQ192" s="54" t="b">
        <f t="shared" si="315"/>
        <v>1</v>
      </c>
      <c r="GR192" s="54" t="b">
        <f t="shared" si="316"/>
        <v>0</v>
      </c>
      <c r="GS192" s="54" t="b">
        <f t="shared" si="317"/>
        <v>1</v>
      </c>
      <c r="GT192" s="54">
        <f t="shared" si="318"/>
        <v>0.17818746348109929</v>
      </c>
      <c r="GU192" s="54" t="e">
        <f t="shared" si="319"/>
        <v>#N/A</v>
      </c>
      <c r="GV192" s="54">
        <f t="shared" si="320"/>
        <v>0.17818746348109929</v>
      </c>
      <c r="GW192" s="72" t="str">
        <f t="shared" si="321"/>
        <v/>
      </c>
      <c r="HC192" s="54">
        <f t="shared" si="322"/>
        <v>182</v>
      </c>
      <c r="HD192" s="54">
        <f t="shared" si="323"/>
        <v>183</v>
      </c>
      <c r="HE192" s="54">
        <f t="shared" si="324"/>
        <v>1.9660492272700134</v>
      </c>
      <c r="HF192" s="54" t="e">
        <f t="shared" si="325"/>
        <v>#N/A</v>
      </c>
      <c r="HG192" s="54">
        <f t="shared" si="326"/>
        <v>6.6323652171868239E-2</v>
      </c>
      <c r="HH192" s="54" t="e">
        <f t="shared" si="327"/>
        <v>#N/A</v>
      </c>
      <c r="HI192" s="54" t="e">
        <f t="shared" si="328"/>
        <v>#N/A</v>
      </c>
      <c r="HJ192" s="54" t="b">
        <f t="shared" si="329"/>
        <v>0</v>
      </c>
      <c r="HK192" s="54" t="b">
        <f t="shared" si="330"/>
        <v>1</v>
      </c>
      <c r="HL192" s="54" t="b">
        <f t="shared" si="331"/>
        <v>1</v>
      </c>
      <c r="HM192" s="54" t="b">
        <f t="shared" si="332"/>
        <v>0</v>
      </c>
      <c r="HN192" s="54">
        <f t="shared" si="333"/>
        <v>6.6323652171868239E-2</v>
      </c>
      <c r="HO192" s="54" t="e">
        <f t="shared" si="334"/>
        <v>#N/A</v>
      </c>
      <c r="HP192" s="54">
        <f t="shared" si="335"/>
        <v>6.6323652171868239E-2</v>
      </c>
      <c r="HQ192" s="72" t="str">
        <f t="shared" si="336"/>
        <v/>
      </c>
    </row>
    <row r="193" spans="71:225" x14ac:dyDescent="0.2">
      <c r="BS193" s="54">
        <f t="shared" si="263"/>
        <v>183</v>
      </c>
      <c r="BT193" s="54">
        <f>Eu_tabel_g[[#This Row],[Indeks]]+1</f>
        <v>184</v>
      </c>
      <c r="BU193" s="54">
        <f t="shared" si="264"/>
        <v>1.2935856165353634</v>
      </c>
      <c r="BV193" s="54">
        <f t="shared" si="265"/>
        <v>0.17280000272227755</v>
      </c>
      <c r="BW193" s="54" t="e">
        <f t="shared" si="266"/>
        <v>#N/A</v>
      </c>
      <c r="BX193" s="54" t="e">
        <f t="shared" si="267"/>
        <v>#N/A</v>
      </c>
      <c r="BY193" s="54" t="e">
        <f t="shared" si="268"/>
        <v>#N/A</v>
      </c>
      <c r="BZ193" s="54" t="b">
        <f t="shared" si="269"/>
        <v>0</v>
      </c>
      <c r="CA193" s="54" t="b">
        <f t="shared" si="270"/>
        <v>1</v>
      </c>
      <c r="CB193" s="54" t="b">
        <f t="shared" si="271"/>
        <v>0</v>
      </c>
      <c r="CC193" s="54" t="b">
        <f t="shared" si="272"/>
        <v>1</v>
      </c>
      <c r="CD193" s="54">
        <f t="shared" si="343"/>
        <v>0.17280000272227755</v>
      </c>
      <c r="CE193" s="54" t="e">
        <f t="shared" si="273"/>
        <v>#N/A</v>
      </c>
      <c r="CF193" s="54">
        <f t="shared" si="274"/>
        <v>0.17280000272227755</v>
      </c>
      <c r="CG193" s="72" t="str">
        <f t="shared" si="275"/>
        <v/>
      </c>
      <c r="CH193" s="54">
        <f>_xlfn.NORM.DIST(_xlfn.NORM.INV(1-Eu_g_konfidensniveau,0,1)-Eu_tabel_g[[#This Row],[x base]],0,1,TRUE)</f>
        <v>1.6493465284941056E-3</v>
      </c>
      <c r="CI193" s="54">
        <f>1-_xlfn.NORM.DIST(_xlfn.NORM.INV(Eu_g_konfidensniveau,0,1)-Eu_tabel_g[[#This Row],[x base]],0,1,TRUE)</f>
        <v>0.36269364585060182</v>
      </c>
      <c r="CJ193" s="54">
        <f>_xlfn.NORM.DIST(_xlfn.NORM.INV((1-Eu_g_konfidensniveau)/2,0,1)-Eu_tabel_g[[#This Row],[x base]],0,1,TRUE)+1-_xlfn.NORM.DIST(_xlfn.NORM.INV(1-(1-Eu_g_konfidensniveau)/2,0,1)-Eu_tabel_g[[#This Row],[x base]],0,1,TRUE)</f>
        <v>0.25315450695979325</v>
      </c>
      <c r="CK193" s="54" t="e" cm="1">
        <f t="array" ref="CK193">IF($CK$3,INDEX(Eu_tabel_g[[#This Row],[Styrke venstre]:[Styrke tosidet]],CK$7),NA())</f>
        <v>#N/A</v>
      </c>
      <c r="CL193" s="99" t="e">
        <f>Eu_tabel_g[[#This Row],[Falsk positiv
Nulhypotese accepteres
Fejltype 1]]</f>
        <v>#N/A</v>
      </c>
      <c r="CM193" s="99" t="e">
        <f>IF(CHOOSE(CK$7,Eu_tabel_g[[#This Row],[x base]]&gt;0,Eu_tabel_g[[#This Row],[x base]]&lt;0,Eu_tabel_g[[#This Row],[x base]]=0),Eu_tabel_g[[#This Row],[Styrke, aktiv]],NA())</f>
        <v>#N/A</v>
      </c>
      <c r="CN193" s="99" t="e">
        <f>IFERROR(IF($CK$3,Eu_tabel_g[[#This Row],[Styrke, aktiv]],NA()),NA())</f>
        <v>#N/A</v>
      </c>
      <c r="CO193" s="99" t="e">
        <f>IF(ISNA(Eu_tabel_g[[#This Row],[Sand negativ
Nulhypotese afvises
Korrekt]]),NA(),IF($CK$3,1,NA()))</f>
        <v>#N/A</v>
      </c>
      <c r="CP193" s="56" t="str" cm="1">
        <f t="array" ref="CP193">_xlfn.SWITCH(BS193,_xlfn.IFNA(CN$2,-99),CN$5,_xlfn.IFNA(CN$3,-99),CN$6,_xlfn.IFNA(CN$4,-99),CN$7,"")</f>
        <v/>
      </c>
      <c r="CT193" s="7">
        <f t="shared" si="276"/>
        <v>0.8</v>
      </c>
      <c r="CU193">
        <f>IF(ROW(Styrkeberegning_G[[#This Row],[X base venstre]])=ROW(Styrkeberegning_G[[#Headers],[X base venstre]])+1,CU$7/(CT$7/$B$67),CU192/(CT192/$B$67))</f>
        <v>-2.8015817870135784</v>
      </c>
      <c r="CV193">
        <f>Styrkeberegning_G[[#This Row],[X base venstre]]*-1</f>
        <v>2.8015817870135784</v>
      </c>
      <c r="DG193" s="54">
        <f t="shared" si="277"/>
        <v>183</v>
      </c>
      <c r="DH193" s="54">
        <f t="shared" si="278"/>
        <v>184</v>
      </c>
      <c r="DI193" s="54">
        <f t="shared" si="279"/>
        <v>22.708819388964873</v>
      </c>
      <c r="DJ193" s="54" t="e">
        <f t="shared" si="280"/>
        <v>#N/A</v>
      </c>
      <c r="DK193" s="54" t="e">
        <f t="shared" si="281"/>
        <v>#N/A</v>
      </c>
      <c r="DL193" s="54">
        <f t="shared" si="282"/>
        <v>6.2689713455861351E-3</v>
      </c>
      <c r="DM193" s="54" t="e">
        <f t="shared" si="283"/>
        <v>#N/A</v>
      </c>
      <c r="DN193" s="54" t="b">
        <f t="shared" si="284"/>
        <v>0</v>
      </c>
      <c r="DO193" s="54" t="b">
        <f t="shared" si="285"/>
        <v>1</v>
      </c>
      <c r="DP193" s="54" t="b">
        <f t="shared" si="286"/>
        <v>1</v>
      </c>
      <c r="DQ193" s="54" t="b">
        <f t="shared" si="287"/>
        <v>0</v>
      </c>
      <c r="DR193" s="54">
        <f t="shared" si="288"/>
        <v>6.2689713455861351E-3</v>
      </c>
      <c r="DS193" s="54">
        <f t="shared" si="289"/>
        <v>6.2689713455861351E-3</v>
      </c>
      <c r="DT193" s="54" t="e">
        <f t="shared" si="290"/>
        <v>#N/A</v>
      </c>
      <c r="DU193" s="72" t="str">
        <f t="shared" si="291"/>
        <v/>
      </c>
      <c r="DZ193" s="54">
        <f t="shared" si="292"/>
        <v>183</v>
      </c>
      <c r="EA193" s="54">
        <f t="shared" si="293"/>
        <v>184</v>
      </c>
      <c r="EB193" s="54">
        <f t="shared" si="294"/>
        <v>1.2935856165353634</v>
      </c>
      <c r="EC193" s="54">
        <f t="shared" si="295"/>
        <v>0.17280000272227755</v>
      </c>
      <c r="ED193" s="54" t="e">
        <f t="shared" si="296"/>
        <v>#N/A</v>
      </c>
      <c r="EE193" s="54" t="e">
        <f t="shared" si="297"/>
        <v>#N/A</v>
      </c>
      <c r="EF193" s="54" t="e">
        <f t="shared" si="298"/>
        <v>#N/A</v>
      </c>
      <c r="EG193" s="54" t="b">
        <f t="shared" si="299"/>
        <v>0</v>
      </c>
      <c r="EH193" s="54" t="b">
        <f t="shared" si="300"/>
        <v>1</v>
      </c>
      <c r="EI193" s="54" t="b">
        <f t="shared" si="301"/>
        <v>0</v>
      </c>
      <c r="EJ193" s="54" t="b">
        <f t="shared" si="302"/>
        <v>1</v>
      </c>
      <c r="EK193" s="54">
        <f t="shared" si="303"/>
        <v>0.17280000272227755</v>
      </c>
      <c r="EL193" s="54" t="e">
        <f t="shared" si="304"/>
        <v>#N/A</v>
      </c>
      <c r="EM193" s="54">
        <f t="shared" si="305"/>
        <v>0.17280000272227755</v>
      </c>
      <c r="EN193" s="72" t="str">
        <f t="shared" si="306"/>
        <v/>
      </c>
      <c r="EO19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9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9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93" s="54" t="e" cm="1">
        <f t="array" ref="ER193">IF($CK$3,INDEX(Eu_tabel_a[[#This Row],[Styrke venstre]:[Styrke tosidet]],ER$7),NA())</f>
        <v>#N/A</v>
      </c>
      <c r="ES193" s="54" t="e">
        <f>IF(ER$3,IF(CHOOSE(ER$7,Eu_tabel_a[[#This Row],[x base]]&gt;0,Eu_tabel_a[[#This Row],[x base]]&lt;0,Eu_tabel_a[[#This Row],[x base]]=0),1,NA()),NA())</f>
        <v>#N/A</v>
      </c>
      <c r="ET193" s="54" t="e">
        <f>IF(CHOOSE(ER$7,Eu_tabel_a[[#This Row],[x base]]&gt;0,Eu_tabel_a[[#This Row],[x base]]&lt;0,Eu_tabel_a[[#This Row],[x base]]=0),Eu_tabel_a[[#This Row],[Styrke, aktiv]],NA())</f>
        <v>#N/A</v>
      </c>
      <c r="EU193" s="54" t="e">
        <f>IFERROR(IF($ER$3,Eu_tabel_a[[#This Row],[Styrke, aktiv]],NA()),NA())</f>
        <v>#N/A</v>
      </c>
      <c r="EV193" s="54" t="e">
        <f>IF(ISNA(Eu_tabel_a[[#This Row],[Sand negativ
Nulhypotese afvises
Korrekt]]),NA(),IF(ER$3,1,NA()))</f>
        <v>#N/A</v>
      </c>
      <c r="EW193" s="55" t="str" cm="1">
        <f t="array" ref="EW193">IFERROR(_xlfn.SWITCH(Eu_tabel_a[[#This Row],[Indeks]],_xlfn.IFNA(EU$2,-99),EU$5,_xlfn.IFNA(EU$3,-99),EU$6,_xlfn.IFNA(EU$4,-99),EU$7,""),"")</f>
        <v/>
      </c>
      <c r="EX193" s="54">
        <f>Eu_tabel_a[[#This Row],[x base]]*SQRT(Eu_a_h0_x*(1-Eu_a_h0_x)/Eu_a_n_x)+Eu_a_h0_x</f>
        <v>0</v>
      </c>
      <c r="FC193" s="161" t="e">
        <f t="shared" si="250"/>
        <v>#N/A</v>
      </c>
      <c r="FD193" s="169" t="e">
        <f t="shared" si="338"/>
        <v>#DIV/0!</v>
      </c>
      <c r="FE193" s="7" t="e">
        <f t="shared" si="244"/>
        <v>#DIV/0!</v>
      </c>
      <c r="FF193" t="e">
        <f t="shared" si="339"/>
        <v>#DIV/0!</v>
      </c>
      <c r="FG193" s="8" t="e">
        <f t="shared" si="340"/>
        <v>#DIV/0!</v>
      </c>
      <c r="FH193" s="8" t="e">
        <f t="shared" si="341"/>
        <v>#DIV/0!</v>
      </c>
      <c r="FI193" s="168" t="e">
        <f t="shared" si="342"/>
        <v>#DIV/0!</v>
      </c>
      <c r="FJ193" s="161" t="e">
        <f t="shared" ca="1" si="245"/>
        <v>#N/A</v>
      </c>
      <c r="FK193" s="169" t="e" vm="3">
        <f t="shared" ca="1" si="251"/>
        <v>#VALUE!</v>
      </c>
      <c r="FL193" s="7" t="e" vm="3">
        <f t="shared" ca="1" si="246"/>
        <v>#VALUE!</v>
      </c>
      <c r="FM193" t="e" vm="3">
        <f t="shared" ca="1" si="240"/>
        <v>#VALUE!</v>
      </c>
      <c r="FN193" s="8" t="e" vm="3">
        <f t="shared" ca="1" si="241"/>
        <v>#VALUE!</v>
      </c>
      <c r="FO193" s="8" t="e" vm="3">
        <f t="shared" ca="1" si="242"/>
        <v>#VALUE!</v>
      </c>
      <c r="FP193" s="168" t="e" vm="3">
        <f t="shared" ca="1" si="243"/>
        <v>#VALUE!</v>
      </c>
      <c r="FQ193" s="161" t="e">
        <f t="shared" si="247"/>
        <v>#N/A</v>
      </c>
      <c r="FR193" s="169" t="e">
        <f t="shared" si="252"/>
        <v>#N/A</v>
      </c>
      <c r="FS193" s="7" t="e">
        <f t="shared" si="248"/>
        <v>#N/A</v>
      </c>
      <c r="FT193" t="e">
        <f t="shared" si="253"/>
        <v>#N/A</v>
      </c>
      <c r="FU193" s="8" t="e">
        <f t="shared" si="254"/>
        <v>#N/A</v>
      </c>
      <c r="FV193" s="8" t="e">
        <f t="shared" si="255"/>
        <v>#N/A</v>
      </c>
      <c r="FW193" s="168" t="e">
        <f t="shared" si="256"/>
        <v>#N/A</v>
      </c>
      <c r="FX193" s="161" t="e">
        <f t="shared" si="257"/>
        <v>#N/A</v>
      </c>
      <c r="FY193" s="169" t="e">
        <f t="shared" si="258"/>
        <v>#N/A</v>
      </c>
      <c r="FZ193" s="7" t="e">
        <f t="shared" si="249"/>
        <v>#N/A</v>
      </c>
      <c r="GA193" t="e">
        <f t="shared" si="259"/>
        <v>#N/A</v>
      </c>
      <c r="GB193" s="8" t="e">
        <f t="shared" si="260"/>
        <v>#N/A</v>
      </c>
      <c r="GC193" s="8" t="e">
        <f t="shared" si="261"/>
        <v>#N/A</v>
      </c>
      <c r="GD193" s="168" t="e">
        <f t="shared" si="262"/>
        <v>#N/A</v>
      </c>
      <c r="GE193" s="168"/>
      <c r="GF193" s="168"/>
      <c r="GI193" s="54">
        <f t="shared" si="307"/>
        <v>183</v>
      </c>
      <c r="GJ193" s="54">
        <f t="shared" si="308"/>
        <v>184</v>
      </c>
      <c r="GK193" s="54">
        <f t="shared" si="309"/>
        <v>1.2935856165353634</v>
      </c>
      <c r="GL193" s="54">
        <f t="shared" si="310"/>
        <v>0.17280000272227755</v>
      </c>
      <c r="GM193" s="54" t="e">
        <f t="shared" si="311"/>
        <v>#N/A</v>
      </c>
      <c r="GN193" s="54" t="e">
        <f t="shared" si="312"/>
        <v>#N/A</v>
      </c>
      <c r="GO193" s="54" t="e">
        <f t="shared" si="313"/>
        <v>#N/A</v>
      </c>
      <c r="GP193" s="54" t="b">
        <f t="shared" si="314"/>
        <v>0</v>
      </c>
      <c r="GQ193" s="54" t="b">
        <f t="shared" si="315"/>
        <v>1</v>
      </c>
      <c r="GR193" s="54" t="b">
        <f t="shared" si="316"/>
        <v>0</v>
      </c>
      <c r="GS193" s="54" t="b">
        <f t="shared" si="317"/>
        <v>1</v>
      </c>
      <c r="GT193" s="54">
        <f t="shared" si="318"/>
        <v>0.17280000272227755</v>
      </c>
      <c r="GU193" s="54" t="e">
        <f t="shared" si="319"/>
        <v>#N/A</v>
      </c>
      <c r="GV193" s="54">
        <f t="shared" si="320"/>
        <v>0.17280000272227755</v>
      </c>
      <c r="GW193" s="72" t="str">
        <f t="shared" si="321"/>
        <v/>
      </c>
      <c r="HC193" s="54">
        <f t="shared" si="322"/>
        <v>183</v>
      </c>
      <c r="HD193" s="54">
        <f t="shared" si="323"/>
        <v>184</v>
      </c>
      <c r="HE193" s="54">
        <f t="shared" si="324"/>
        <v>2.00314449570907</v>
      </c>
      <c r="HF193" s="54" t="e">
        <f t="shared" si="325"/>
        <v>#N/A</v>
      </c>
      <c r="HG193" s="54">
        <f t="shared" si="326"/>
        <v>6.2847166029487422E-2</v>
      </c>
      <c r="HH193" s="54" t="e">
        <f t="shared" si="327"/>
        <v>#N/A</v>
      </c>
      <c r="HI193" s="54" t="e">
        <f t="shared" si="328"/>
        <v>#N/A</v>
      </c>
      <c r="HJ193" s="54" t="b">
        <f t="shared" si="329"/>
        <v>0</v>
      </c>
      <c r="HK193" s="54" t="b">
        <f t="shared" si="330"/>
        <v>1</v>
      </c>
      <c r="HL193" s="54" t="b">
        <f t="shared" si="331"/>
        <v>1</v>
      </c>
      <c r="HM193" s="54" t="b">
        <f t="shared" si="332"/>
        <v>0</v>
      </c>
      <c r="HN193" s="54">
        <f t="shared" si="333"/>
        <v>6.2847166029487422E-2</v>
      </c>
      <c r="HO193" s="54" t="e">
        <f t="shared" si="334"/>
        <v>#N/A</v>
      </c>
      <c r="HP193" s="54">
        <f t="shared" si="335"/>
        <v>6.2847166029487422E-2</v>
      </c>
      <c r="HQ193" s="72" t="str">
        <f t="shared" si="336"/>
        <v/>
      </c>
    </row>
    <row r="194" spans="71:225" x14ac:dyDescent="0.2">
      <c r="BS194" s="54">
        <f t="shared" si="263"/>
        <v>184</v>
      </c>
      <c r="BT194" s="54">
        <f>Eu_tabel_g[[#This Row],[Indeks]]+1</f>
        <v>185</v>
      </c>
      <c r="BU194" s="54">
        <f t="shared" si="264"/>
        <v>1.3175409057304632</v>
      </c>
      <c r="BV194" s="54">
        <f t="shared" si="265"/>
        <v>0.16747929415535212</v>
      </c>
      <c r="BW194" s="54" t="e">
        <f t="shared" si="266"/>
        <v>#N/A</v>
      </c>
      <c r="BX194" s="54" t="e">
        <f t="shared" si="267"/>
        <v>#N/A</v>
      </c>
      <c r="BY194" s="54" t="e">
        <f t="shared" si="268"/>
        <v>#N/A</v>
      </c>
      <c r="BZ194" s="54" t="b">
        <f t="shared" si="269"/>
        <v>0</v>
      </c>
      <c r="CA194" s="54" t="b">
        <f t="shared" si="270"/>
        <v>1</v>
      </c>
      <c r="CB194" s="54" t="b">
        <f t="shared" si="271"/>
        <v>0</v>
      </c>
      <c r="CC194" s="54" t="b">
        <f t="shared" si="272"/>
        <v>1</v>
      </c>
      <c r="CD194" s="54">
        <f t="shared" si="343"/>
        <v>0.16747929415535212</v>
      </c>
      <c r="CE194" s="54" t="e">
        <f t="shared" si="273"/>
        <v>#N/A</v>
      </c>
      <c r="CF194" s="54">
        <f t="shared" si="274"/>
        <v>0.16747929415535212</v>
      </c>
      <c r="CG194" s="72" t="str">
        <f t="shared" si="275"/>
        <v/>
      </c>
      <c r="CH194" s="54">
        <f>_xlfn.NORM.DIST(_xlfn.NORM.INV(1-Eu_g_konfidensniveau,0,1)-Eu_tabel_g[[#This Row],[x base]],0,1,TRUE)</f>
        <v>1.5262818325969226E-3</v>
      </c>
      <c r="CI194" s="54">
        <f>1-_xlfn.NORM.DIST(_xlfn.NORM.INV(Eu_g_konfidensniveau,0,1)-Eu_tabel_g[[#This Row],[x base]],0,1,TRUE)</f>
        <v>0.37171568587583348</v>
      </c>
      <c r="CJ194" s="54">
        <f>_xlfn.NORM.DIST(_xlfn.NORM.INV((1-Eu_g_konfidensniveau)/2,0,1)-Eu_tabel_g[[#This Row],[x base]],0,1,TRUE)+1-_xlfn.NORM.DIST(_xlfn.NORM.INV(1-(1-Eu_g_konfidensniveau)/2,0,1)-Eu_tabel_g[[#This Row],[x base]],0,1,TRUE)</f>
        <v>0.26082290397850783</v>
      </c>
      <c r="CK194" s="54" t="e" cm="1">
        <f t="array" ref="CK194">IF($CK$3,INDEX(Eu_tabel_g[[#This Row],[Styrke venstre]:[Styrke tosidet]],CK$7),NA())</f>
        <v>#N/A</v>
      </c>
      <c r="CL194" s="99" t="e">
        <f>Eu_tabel_g[[#This Row],[Falsk positiv
Nulhypotese accepteres
Fejltype 1]]</f>
        <v>#N/A</v>
      </c>
      <c r="CM194" s="99" t="e">
        <f>IF(CHOOSE(CK$7,Eu_tabel_g[[#This Row],[x base]]&gt;0,Eu_tabel_g[[#This Row],[x base]]&lt;0,Eu_tabel_g[[#This Row],[x base]]=0),Eu_tabel_g[[#This Row],[Styrke, aktiv]],NA())</f>
        <v>#N/A</v>
      </c>
      <c r="CN194" s="99" t="e">
        <f>IFERROR(IF($CK$3,Eu_tabel_g[[#This Row],[Styrke, aktiv]],NA()),NA())</f>
        <v>#N/A</v>
      </c>
      <c r="CO194" s="99" t="e">
        <f>IF(ISNA(Eu_tabel_g[[#This Row],[Sand negativ
Nulhypotese afvises
Korrekt]]),NA(),IF($CK$3,1,NA()))</f>
        <v>#N/A</v>
      </c>
      <c r="CP194" s="56" t="str" cm="1">
        <f t="array" ref="CP194">_xlfn.SWITCH(BS194,_xlfn.IFNA(CN$2,-99),CN$5,_xlfn.IFNA(CN$3,-99),CN$6,_xlfn.IFNA(CN$4,-99),CN$7,"")</f>
        <v/>
      </c>
      <c r="CT194" s="7">
        <f t="shared" si="276"/>
        <v>0.8</v>
      </c>
      <c r="CU194">
        <f>IF(ROW(Styrkeberegning_G[[#This Row],[X base venstre]])=ROW(Styrkeberegning_G[[#Headers],[X base venstre]])+1,CU$7/(CT$7/$B$67),CU193/(CT193/$B$67))</f>
        <v>-2.8015817870135784</v>
      </c>
      <c r="CV194">
        <f>Styrkeberegning_G[[#This Row],[X base venstre]]*-1</f>
        <v>2.8015817870135784</v>
      </c>
      <c r="DG194" s="54">
        <f t="shared" si="277"/>
        <v>184</v>
      </c>
      <c r="DH194" s="54">
        <f t="shared" si="278"/>
        <v>185</v>
      </c>
      <c r="DI194" s="54">
        <f t="shared" si="279"/>
        <v>22.822890245381874</v>
      </c>
      <c r="DJ194" s="54" t="e">
        <f t="shared" si="280"/>
        <v>#N/A</v>
      </c>
      <c r="DK194" s="54" t="e">
        <f t="shared" si="281"/>
        <v>#N/A</v>
      </c>
      <c r="DL194" s="54">
        <f t="shared" si="282"/>
        <v>6.0564550439681829E-3</v>
      </c>
      <c r="DM194" s="54" t="e">
        <f t="shared" si="283"/>
        <v>#N/A</v>
      </c>
      <c r="DN194" s="54" t="b">
        <f t="shared" si="284"/>
        <v>0</v>
      </c>
      <c r="DO194" s="54" t="b">
        <f t="shared" si="285"/>
        <v>1</v>
      </c>
      <c r="DP194" s="54" t="b">
        <f t="shared" si="286"/>
        <v>1</v>
      </c>
      <c r="DQ194" s="54" t="b">
        <f t="shared" si="287"/>
        <v>0</v>
      </c>
      <c r="DR194" s="54">
        <f t="shared" si="288"/>
        <v>6.0564550439681829E-3</v>
      </c>
      <c r="DS194" s="54">
        <f t="shared" si="289"/>
        <v>6.0564550439681829E-3</v>
      </c>
      <c r="DT194" s="54" t="e">
        <f t="shared" si="290"/>
        <v>#N/A</v>
      </c>
      <c r="DU194" s="72" t="str">
        <f t="shared" si="291"/>
        <v/>
      </c>
      <c r="DZ194" s="54">
        <f t="shared" si="292"/>
        <v>184</v>
      </c>
      <c r="EA194" s="54">
        <f t="shared" si="293"/>
        <v>185</v>
      </c>
      <c r="EB194" s="54">
        <f t="shared" si="294"/>
        <v>1.3175409057304632</v>
      </c>
      <c r="EC194" s="54">
        <f t="shared" si="295"/>
        <v>0.16747929415535212</v>
      </c>
      <c r="ED194" s="54" t="e">
        <f t="shared" si="296"/>
        <v>#N/A</v>
      </c>
      <c r="EE194" s="54" t="e">
        <f t="shared" si="297"/>
        <v>#N/A</v>
      </c>
      <c r="EF194" s="54" t="e">
        <f t="shared" si="298"/>
        <v>#N/A</v>
      </c>
      <c r="EG194" s="54" t="b">
        <f t="shared" si="299"/>
        <v>0</v>
      </c>
      <c r="EH194" s="54" t="b">
        <f t="shared" si="300"/>
        <v>1</v>
      </c>
      <c r="EI194" s="54" t="b">
        <f t="shared" si="301"/>
        <v>0</v>
      </c>
      <c r="EJ194" s="54" t="b">
        <f t="shared" si="302"/>
        <v>1</v>
      </c>
      <c r="EK194" s="54">
        <f t="shared" si="303"/>
        <v>0.16747929415535212</v>
      </c>
      <c r="EL194" s="54" t="e">
        <f t="shared" si="304"/>
        <v>#N/A</v>
      </c>
      <c r="EM194" s="54">
        <f t="shared" si="305"/>
        <v>0.16747929415535212</v>
      </c>
      <c r="EN194" s="72" t="str">
        <f t="shared" si="306"/>
        <v/>
      </c>
      <c r="EO19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9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9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94" s="54" t="e" cm="1">
        <f t="array" ref="ER194">IF($CK$3,INDEX(Eu_tabel_a[[#This Row],[Styrke venstre]:[Styrke tosidet]],ER$7),NA())</f>
        <v>#N/A</v>
      </c>
      <c r="ES194" s="54" t="e">
        <f>IF(ER$3,IF(CHOOSE(ER$7,Eu_tabel_a[[#This Row],[x base]]&gt;0,Eu_tabel_a[[#This Row],[x base]]&lt;0,Eu_tabel_a[[#This Row],[x base]]=0),1,NA()),NA())</f>
        <v>#N/A</v>
      </c>
      <c r="ET194" s="54" t="e">
        <f>IF(CHOOSE(ER$7,Eu_tabel_a[[#This Row],[x base]]&gt;0,Eu_tabel_a[[#This Row],[x base]]&lt;0,Eu_tabel_a[[#This Row],[x base]]=0),Eu_tabel_a[[#This Row],[Styrke, aktiv]],NA())</f>
        <v>#N/A</v>
      </c>
      <c r="EU194" s="54" t="e">
        <f>IFERROR(IF($ER$3,Eu_tabel_a[[#This Row],[Styrke, aktiv]],NA()),NA())</f>
        <v>#N/A</v>
      </c>
      <c r="EV194" s="54" t="e">
        <f>IF(ISNA(Eu_tabel_a[[#This Row],[Sand negativ
Nulhypotese afvises
Korrekt]]),NA(),IF(ER$3,1,NA()))</f>
        <v>#N/A</v>
      </c>
      <c r="EW194" s="55" t="str" cm="1">
        <f t="array" ref="EW194">IFERROR(_xlfn.SWITCH(Eu_tabel_a[[#This Row],[Indeks]],_xlfn.IFNA(EU$2,-99),EU$5,_xlfn.IFNA(EU$3,-99),EU$6,_xlfn.IFNA(EU$4,-99),EU$7,""),"")</f>
        <v/>
      </c>
      <c r="EX194" s="54">
        <f>Eu_tabel_a[[#This Row],[x base]]*SQRT(Eu_a_h0_x*(1-Eu_a_h0_x)/Eu_a_n_x)+Eu_a_h0_x</f>
        <v>0</v>
      </c>
      <c r="FC194" s="161" t="e">
        <f t="shared" si="250"/>
        <v>#N/A</v>
      </c>
      <c r="FD194" s="169" t="e">
        <f t="shared" si="338"/>
        <v>#DIV/0!</v>
      </c>
      <c r="FE194" s="7" t="e">
        <f t="shared" si="244"/>
        <v>#DIV/0!</v>
      </c>
      <c r="FF194" t="e">
        <f t="shared" si="339"/>
        <v>#DIV/0!</v>
      </c>
      <c r="FG194" s="8" t="e">
        <f t="shared" si="340"/>
        <v>#DIV/0!</v>
      </c>
      <c r="FH194" s="8" t="e">
        <f t="shared" si="341"/>
        <v>#DIV/0!</v>
      </c>
      <c r="FI194" s="168" t="e">
        <f t="shared" si="342"/>
        <v>#DIV/0!</v>
      </c>
      <c r="FJ194" s="161" t="e">
        <f t="shared" ca="1" si="245"/>
        <v>#N/A</v>
      </c>
      <c r="FK194" s="169" t="e" vm="3">
        <f t="shared" ca="1" si="251"/>
        <v>#VALUE!</v>
      </c>
      <c r="FL194" s="7" t="e" vm="3">
        <f t="shared" ca="1" si="246"/>
        <v>#VALUE!</v>
      </c>
      <c r="FM194" t="e" vm="3">
        <f t="shared" ca="1" si="240"/>
        <v>#VALUE!</v>
      </c>
      <c r="FN194" s="8" t="e" vm="3">
        <f t="shared" ca="1" si="241"/>
        <v>#VALUE!</v>
      </c>
      <c r="FO194" s="8" t="e" vm="3">
        <f t="shared" ca="1" si="242"/>
        <v>#VALUE!</v>
      </c>
      <c r="FP194" s="168" t="e" vm="3">
        <f t="shared" ca="1" si="243"/>
        <v>#VALUE!</v>
      </c>
      <c r="FQ194" s="161" t="e">
        <f t="shared" si="247"/>
        <v>#N/A</v>
      </c>
      <c r="FR194" s="169" t="e">
        <f t="shared" si="252"/>
        <v>#N/A</v>
      </c>
      <c r="FS194" s="7" t="e">
        <f t="shared" si="248"/>
        <v>#N/A</v>
      </c>
      <c r="FT194" t="e">
        <f t="shared" si="253"/>
        <v>#N/A</v>
      </c>
      <c r="FU194" s="8" t="e">
        <f t="shared" si="254"/>
        <v>#N/A</v>
      </c>
      <c r="FV194" s="8" t="e">
        <f t="shared" si="255"/>
        <v>#N/A</v>
      </c>
      <c r="FW194" s="168" t="e">
        <f t="shared" si="256"/>
        <v>#N/A</v>
      </c>
      <c r="FX194" s="161" t="e">
        <f t="shared" si="257"/>
        <v>#N/A</v>
      </c>
      <c r="FY194" s="169" t="e">
        <f t="shared" si="258"/>
        <v>#N/A</v>
      </c>
      <c r="FZ194" s="7" t="e">
        <f t="shared" si="249"/>
        <v>#N/A</v>
      </c>
      <c r="GA194" t="e">
        <f t="shared" si="259"/>
        <v>#N/A</v>
      </c>
      <c r="GB194" s="8" t="e">
        <f t="shared" si="260"/>
        <v>#N/A</v>
      </c>
      <c r="GC194" s="8" t="e">
        <f t="shared" si="261"/>
        <v>#N/A</v>
      </c>
      <c r="GD194" s="168" t="e">
        <f t="shared" si="262"/>
        <v>#N/A</v>
      </c>
      <c r="GE194" s="168"/>
      <c r="GF194" s="168"/>
      <c r="GI194" s="54">
        <f t="shared" si="307"/>
        <v>184</v>
      </c>
      <c r="GJ194" s="54">
        <f t="shared" si="308"/>
        <v>185</v>
      </c>
      <c r="GK194" s="54">
        <f t="shared" si="309"/>
        <v>1.3175409057304632</v>
      </c>
      <c r="GL194" s="54">
        <f t="shared" si="310"/>
        <v>0.16747929415535212</v>
      </c>
      <c r="GM194" s="54" t="e">
        <f t="shared" si="311"/>
        <v>#N/A</v>
      </c>
      <c r="GN194" s="54" t="e">
        <f t="shared" si="312"/>
        <v>#N/A</v>
      </c>
      <c r="GO194" s="54" t="e">
        <f t="shared" si="313"/>
        <v>#N/A</v>
      </c>
      <c r="GP194" s="54" t="b">
        <f t="shared" si="314"/>
        <v>0</v>
      </c>
      <c r="GQ194" s="54" t="b">
        <f t="shared" si="315"/>
        <v>1</v>
      </c>
      <c r="GR194" s="54" t="b">
        <f t="shared" si="316"/>
        <v>0</v>
      </c>
      <c r="GS194" s="54" t="b">
        <f t="shared" si="317"/>
        <v>1</v>
      </c>
      <c r="GT194" s="54">
        <f t="shared" si="318"/>
        <v>0.16747929415535212</v>
      </c>
      <c r="GU194" s="54" t="e">
        <f t="shared" si="319"/>
        <v>#N/A</v>
      </c>
      <c r="GV194" s="54">
        <f t="shared" si="320"/>
        <v>0.16747929415535212</v>
      </c>
      <c r="GW194" s="72" t="str">
        <f t="shared" si="321"/>
        <v/>
      </c>
      <c r="HC194" s="54">
        <f t="shared" si="322"/>
        <v>184</v>
      </c>
      <c r="HD194" s="54">
        <f t="shared" si="323"/>
        <v>185</v>
      </c>
      <c r="HE194" s="54">
        <f t="shared" si="324"/>
        <v>2.0402397641481267</v>
      </c>
      <c r="HF194" s="54" t="e">
        <f t="shared" si="325"/>
        <v>#N/A</v>
      </c>
      <c r="HG194" s="54">
        <f t="shared" si="326"/>
        <v>5.9536756814595783E-2</v>
      </c>
      <c r="HH194" s="54" t="e">
        <f t="shared" si="327"/>
        <v>#N/A</v>
      </c>
      <c r="HI194" s="54" t="e">
        <f t="shared" si="328"/>
        <v>#N/A</v>
      </c>
      <c r="HJ194" s="54" t="b">
        <f t="shared" si="329"/>
        <v>0</v>
      </c>
      <c r="HK194" s="54" t="b">
        <f t="shared" si="330"/>
        <v>1</v>
      </c>
      <c r="HL194" s="54" t="b">
        <f t="shared" si="331"/>
        <v>1</v>
      </c>
      <c r="HM194" s="54" t="b">
        <f t="shared" si="332"/>
        <v>0</v>
      </c>
      <c r="HN194" s="54">
        <f t="shared" si="333"/>
        <v>5.9536756814595783E-2</v>
      </c>
      <c r="HO194" s="54" t="e">
        <f t="shared" si="334"/>
        <v>#N/A</v>
      </c>
      <c r="HP194" s="54">
        <f t="shared" si="335"/>
        <v>5.9536756814595783E-2</v>
      </c>
      <c r="HQ194" s="72" t="str">
        <f t="shared" si="336"/>
        <v/>
      </c>
    </row>
    <row r="195" spans="71:225" x14ac:dyDescent="0.2">
      <c r="BS195" s="54">
        <f t="shared" si="263"/>
        <v>185</v>
      </c>
      <c r="BT195" s="54">
        <f>Eu_tabel_g[[#This Row],[Indeks]]+1</f>
        <v>186</v>
      </c>
      <c r="BU195" s="54">
        <f t="shared" si="264"/>
        <v>1.3414961949255622</v>
      </c>
      <c r="BV195" s="54">
        <f t="shared" si="265"/>
        <v>0.16222929330418065</v>
      </c>
      <c r="BW195" s="54" t="e">
        <f t="shared" si="266"/>
        <v>#N/A</v>
      </c>
      <c r="BX195" s="54" t="e">
        <f t="shared" si="267"/>
        <v>#N/A</v>
      </c>
      <c r="BY195" s="54" t="e">
        <f t="shared" si="268"/>
        <v>#N/A</v>
      </c>
      <c r="BZ195" s="54" t="b">
        <f t="shared" si="269"/>
        <v>0</v>
      </c>
      <c r="CA195" s="54" t="b">
        <f t="shared" si="270"/>
        <v>1</v>
      </c>
      <c r="CB195" s="54" t="b">
        <f t="shared" si="271"/>
        <v>0</v>
      </c>
      <c r="CC195" s="54" t="b">
        <f t="shared" si="272"/>
        <v>1</v>
      </c>
      <c r="CD195" s="54">
        <f t="shared" si="343"/>
        <v>0.16222929330418065</v>
      </c>
      <c r="CE195" s="54" t="e">
        <f t="shared" si="273"/>
        <v>#N/A</v>
      </c>
      <c r="CF195" s="54">
        <f t="shared" si="274"/>
        <v>0.16222929330418065</v>
      </c>
      <c r="CG195" s="72" t="str">
        <f t="shared" si="275"/>
        <v/>
      </c>
      <c r="CH195" s="54">
        <f>_xlfn.NORM.DIST(_xlfn.NORM.INV(1-Eu_g_konfidensniveau,0,1)-Eu_tabel_g[[#This Row],[x base]],0,1,TRUE)</f>
        <v>1.4116473590257601E-3</v>
      </c>
      <c r="CI195" s="54">
        <f>1-_xlfn.NORM.DIST(_xlfn.NORM.INV(Eu_g_konfidensniveau,0,1)-Eu_tabel_g[[#This Row],[x base]],0,1,TRUE)</f>
        <v>0.38080874120305852</v>
      </c>
      <c r="CJ195" s="54">
        <f>_xlfn.NORM.DIST(_xlfn.NORM.INV((1-Eu_g_konfidensniveau)/2,0,1)-Eu_tabel_g[[#This Row],[x base]],0,1,TRUE)+1-_xlfn.NORM.DIST(_xlfn.NORM.INV(1-(1-Eu_g_konfidensniveau)/2,0,1)-Eu_tabel_g[[#This Row],[x base]],0,1,TRUE)</f>
        <v>0.26861442693718096</v>
      </c>
      <c r="CK195" s="54" t="e" cm="1">
        <f t="array" ref="CK195">IF($CK$3,INDEX(Eu_tabel_g[[#This Row],[Styrke venstre]:[Styrke tosidet]],CK$7),NA())</f>
        <v>#N/A</v>
      </c>
      <c r="CL195" s="99" t="e">
        <f>Eu_tabel_g[[#This Row],[Falsk positiv
Nulhypotese accepteres
Fejltype 1]]</f>
        <v>#N/A</v>
      </c>
      <c r="CM195" s="99" t="e">
        <f>IF(CHOOSE(CK$7,Eu_tabel_g[[#This Row],[x base]]&gt;0,Eu_tabel_g[[#This Row],[x base]]&lt;0,Eu_tabel_g[[#This Row],[x base]]=0),Eu_tabel_g[[#This Row],[Styrke, aktiv]],NA())</f>
        <v>#N/A</v>
      </c>
      <c r="CN195" s="99" t="e">
        <f>IFERROR(IF($CK$3,Eu_tabel_g[[#This Row],[Styrke, aktiv]],NA()),NA())</f>
        <v>#N/A</v>
      </c>
      <c r="CO195" s="99" t="e">
        <f>IF(ISNA(Eu_tabel_g[[#This Row],[Sand negativ
Nulhypotese afvises
Korrekt]]),NA(),IF($CK$3,1,NA()))</f>
        <v>#N/A</v>
      </c>
      <c r="CP195" s="56" t="str" cm="1">
        <f t="array" ref="CP195">_xlfn.SWITCH(BS195,_xlfn.IFNA(CN$2,-99),CN$5,_xlfn.IFNA(CN$3,-99),CN$6,_xlfn.IFNA(CN$4,-99),CN$7,"")</f>
        <v/>
      </c>
      <c r="CT195" s="7">
        <f t="shared" si="276"/>
        <v>0.8</v>
      </c>
      <c r="CU195">
        <f>IF(ROW(Styrkeberegning_G[[#This Row],[X base venstre]])=ROW(Styrkeberegning_G[[#Headers],[X base venstre]])+1,CU$7/(CT$7/$B$67),CU194/(CT194/$B$67))</f>
        <v>-2.8015817870135784</v>
      </c>
      <c r="CV195">
        <f>Styrkeberegning_G[[#This Row],[X base venstre]]*-1</f>
        <v>2.8015817870135784</v>
      </c>
      <c r="DG195" s="54">
        <f t="shared" si="277"/>
        <v>185</v>
      </c>
      <c r="DH195" s="54">
        <f t="shared" si="278"/>
        <v>186</v>
      </c>
      <c r="DI195" s="54">
        <f t="shared" si="279"/>
        <v>22.936961101798875</v>
      </c>
      <c r="DJ195" s="54" t="e">
        <f t="shared" si="280"/>
        <v>#N/A</v>
      </c>
      <c r="DK195" s="54" t="e">
        <f t="shared" si="281"/>
        <v>#N/A</v>
      </c>
      <c r="DL195" s="54">
        <f t="shared" si="282"/>
        <v>5.8504852610541331E-3</v>
      </c>
      <c r="DM195" s="54" t="e">
        <f t="shared" si="283"/>
        <v>#N/A</v>
      </c>
      <c r="DN195" s="54" t="b">
        <f t="shared" si="284"/>
        <v>0</v>
      </c>
      <c r="DO195" s="54" t="b">
        <f t="shared" si="285"/>
        <v>1</v>
      </c>
      <c r="DP195" s="54" t="b">
        <f t="shared" si="286"/>
        <v>1</v>
      </c>
      <c r="DQ195" s="54" t="b">
        <f t="shared" si="287"/>
        <v>0</v>
      </c>
      <c r="DR195" s="54">
        <f t="shared" si="288"/>
        <v>5.8504852610541331E-3</v>
      </c>
      <c r="DS195" s="54">
        <f t="shared" si="289"/>
        <v>5.8504852610541331E-3</v>
      </c>
      <c r="DT195" s="54" t="e">
        <f t="shared" si="290"/>
        <v>#N/A</v>
      </c>
      <c r="DU195" s="72" t="str">
        <f t="shared" si="291"/>
        <v/>
      </c>
      <c r="DZ195" s="54">
        <f t="shared" si="292"/>
        <v>185</v>
      </c>
      <c r="EA195" s="54">
        <f t="shared" si="293"/>
        <v>186</v>
      </c>
      <c r="EB195" s="54">
        <f t="shared" si="294"/>
        <v>1.3414961949255622</v>
      </c>
      <c r="EC195" s="54">
        <f t="shared" si="295"/>
        <v>0.16222929330418065</v>
      </c>
      <c r="ED195" s="54" t="e">
        <f t="shared" si="296"/>
        <v>#N/A</v>
      </c>
      <c r="EE195" s="54" t="e">
        <f t="shared" si="297"/>
        <v>#N/A</v>
      </c>
      <c r="EF195" s="54" t="e">
        <f t="shared" si="298"/>
        <v>#N/A</v>
      </c>
      <c r="EG195" s="54" t="b">
        <f t="shared" si="299"/>
        <v>0</v>
      </c>
      <c r="EH195" s="54" t="b">
        <f t="shared" si="300"/>
        <v>1</v>
      </c>
      <c r="EI195" s="54" t="b">
        <f t="shared" si="301"/>
        <v>0</v>
      </c>
      <c r="EJ195" s="54" t="b">
        <f t="shared" si="302"/>
        <v>1</v>
      </c>
      <c r="EK195" s="54">
        <f t="shared" si="303"/>
        <v>0.16222929330418065</v>
      </c>
      <c r="EL195" s="54" t="e">
        <f t="shared" si="304"/>
        <v>#N/A</v>
      </c>
      <c r="EM195" s="54">
        <f t="shared" si="305"/>
        <v>0.16222929330418065</v>
      </c>
      <c r="EN195" s="72" t="str">
        <f t="shared" si="306"/>
        <v/>
      </c>
      <c r="EO19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9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9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95" s="54" t="e" cm="1">
        <f t="array" ref="ER195">IF($CK$3,INDEX(Eu_tabel_a[[#This Row],[Styrke venstre]:[Styrke tosidet]],ER$7),NA())</f>
        <v>#N/A</v>
      </c>
      <c r="ES195" s="54" t="e">
        <f>IF(ER$3,IF(CHOOSE(ER$7,Eu_tabel_a[[#This Row],[x base]]&gt;0,Eu_tabel_a[[#This Row],[x base]]&lt;0,Eu_tabel_a[[#This Row],[x base]]=0),1,NA()),NA())</f>
        <v>#N/A</v>
      </c>
      <c r="ET195" s="54" t="e">
        <f>IF(CHOOSE(ER$7,Eu_tabel_a[[#This Row],[x base]]&gt;0,Eu_tabel_a[[#This Row],[x base]]&lt;0,Eu_tabel_a[[#This Row],[x base]]=0),Eu_tabel_a[[#This Row],[Styrke, aktiv]],NA())</f>
        <v>#N/A</v>
      </c>
      <c r="EU195" s="54" t="e">
        <f>IFERROR(IF($ER$3,Eu_tabel_a[[#This Row],[Styrke, aktiv]],NA()),NA())</f>
        <v>#N/A</v>
      </c>
      <c r="EV195" s="54" t="e">
        <f>IF(ISNA(Eu_tabel_a[[#This Row],[Sand negativ
Nulhypotese afvises
Korrekt]]),NA(),IF(ER$3,1,NA()))</f>
        <v>#N/A</v>
      </c>
      <c r="EW195" s="55" t="str" cm="1">
        <f t="array" ref="EW195">IFERROR(_xlfn.SWITCH(Eu_tabel_a[[#This Row],[Indeks]],_xlfn.IFNA(EU$2,-99),EU$5,_xlfn.IFNA(EU$3,-99),EU$6,_xlfn.IFNA(EU$4,-99),EU$7,""),"")</f>
        <v/>
      </c>
      <c r="EX195" s="54">
        <f>Eu_tabel_a[[#This Row],[x base]]*SQRT(Eu_a_h0_x*(1-Eu_a_h0_x)/Eu_a_n_x)+Eu_a_h0_x</f>
        <v>0</v>
      </c>
      <c r="FC195" s="161" t="e">
        <f t="shared" si="250"/>
        <v>#N/A</v>
      </c>
      <c r="FD195" s="169" t="e">
        <f t="shared" si="338"/>
        <v>#DIV/0!</v>
      </c>
      <c r="FE195" s="7" t="e">
        <f t="shared" si="244"/>
        <v>#DIV/0!</v>
      </c>
      <c r="FF195" t="e">
        <f t="shared" si="339"/>
        <v>#DIV/0!</v>
      </c>
      <c r="FG195" s="8" t="e">
        <f t="shared" si="340"/>
        <v>#DIV/0!</v>
      </c>
      <c r="FH195" s="8" t="e">
        <f t="shared" si="341"/>
        <v>#DIV/0!</v>
      </c>
      <c r="FI195" s="168" t="e">
        <f t="shared" si="342"/>
        <v>#DIV/0!</v>
      </c>
      <c r="FJ195" s="161" t="e">
        <f t="shared" ca="1" si="245"/>
        <v>#N/A</v>
      </c>
      <c r="FK195" s="169" t="e" vm="3">
        <f t="shared" ca="1" si="251"/>
        <v>#VALUE!</v>
      </c>
      <c r="FL195" s="7" t="e" vm="3">
        <f t="shared" ca="1" si="246"/>
        <v>#VALUE!</v>
      </c>
      <c r="FM195" t="e" vm="3">
        <f t="shared" ca="1" si="240"/>
        <v>#VALUE!</v>
      </c>
      <c r="FN195" s="8" t="e" vm="3">
        <f t="shared" ca="1" si="241"/>
        <v>#VALUE!</v>
      </c>
      <c r="FO195" s="8" t="e" vm="3">
        <f t="shared" ca="1" si="242"/>
        <v>#VALUE!</v>
      </c>
      <c r="FP195" s="168" t="e" vm="3">
        <f t="shared" ca="1" si="243"/>
        <v>#VALUE!</v>
      </c>
      <c r="FQ195" s="161" t="e">
        <f t="shared" si="247"/>
        <v>#N/A</v>
      </c>
      <c r="FR195" s="169" t="e">
        <f t="shared" si="252"/>
        <v>#N/A</v>
      </c>
      <c r="FS195" s="7" t="e">
        <f t="shared" si="248"/>
        <v>#N/A</v>
      </c>
      <c r="FT195" t="e">
        <f t="shared" si="253"/>
        <v>#N/A</v>
      </c>
      <c r="FU195" s="8" t="e">
        <f t="shared" si="254"/>
        <v>#N/A</v>
      </c>
      <c r="FV195" s="8" t="e">
        <f t="shared" si="255"/>
        <v>#N/A</v>
      </c>
      <c r="FW195" s="168" t="e">
        <f t="shared" si="256"/>
        <v>#N/A</v>
      </c>
      <c r="FX195" s="161" t="e">
        <f t="shared" si="257"/>
        <v>#N/A</v>
      </c>
      <c r="FY195" s="169" t="e">
        <f t="shared" si="258"/>
        <v>#N/A</v>
      </c>
      <c r="FZ195" s="7" t="e">
        <f t="shared" si="249"/>
        <v>#N/A</v>
      </c>
      <c r="GA195" t="e">
        <f t="shared" si="259"/>
        <v>#N/A</v>
      </c>
      <c r="GB195" s="8" t="e">
        <f t="shared" si="260"/>
        <v>#N/A</v>
      </c>
      <c r="GC195" s="8" t="e">
        <f t="shared" si="261"/>
        <v>#N/A</v>
      </c>
      <c r="GD195" s="168" t="e">
        <f t="shared" si="262"/>
        <v>#N/A</v>
      </c>
      <c r="GE195" s="168"/>
      <c r="GF195" s="168"/>
      <c r="GI195" s="54">
        <f t="shared" si="307"/>
        <v>185</v>
      </c>
      <c r="GJ195" s="54">
        <f t="shared" si="308"/>
        <v>186</v>
      </c>
      <c r="GK195" s="54">
        <f t="shared" si="309"/>
        <v>1.3414961949255622</v>
      </c>
      <c r="GL195" s="54">
        <f t="shared" si="310"/>
        <v>0.16222929330418065</v>
      </c>
      <c r="GM195" s="54" t="e">
        <f t="shared" si="311"/>
        <v>#N/A</v>
      </c>
      <c r="GN195" s="54" t="e">
        <f t="shared" si="312"/>
        <v>#N/A</v>
      </c>
      <c r="GO195" s="54" t="e">
        <f t="shared" si="313"/>
        <v>#N/A</v>
      </c>
      <c r="GP195" s="54" t="b">
        <f t="shared" si="314"/>
        <v>0</v>
      </c>
      <c r="GQ195" s="54" t="b">
        <f t="shared" si="315"/>
        <v>1</v>
      </c>
      <c r="GR195" s="54" t="b">
        <f t="shared" si="316"/>
        <v>0</v>
      </c>
      <c r="GS195" s="54" t="b">
        <f t="shared" si="317"/>
        <v>1</v>
      </c>
      <c r="GT195" s="54">
        <f t="shared" si="318"/>
        <v>0.16222929330418065</v>
      </c>
      <c r="GU195" s="54" t="e">
        <f t="shared" si="319"/>
        <v>#N/A</v>
      </c>
      <c r="GV195" s="54">
        <f t="shared" si="320"/>
        <v>0.16222929330418065</v>
      </c>
      <c r="GW195" s="72" t="str">
        <f t="shared" si="321"/>
        <v/>
      </c>
      <c r="HC195" s="54">
        <f t="shared" si="322"/>
        <v>185</v>
      </c>
      <c r="HD195" s="54">
        <f t="shared" si="323"/>
        <v>186</v>
      </c>
      <c r="HE195" s="54">
        <f t="shared" si="324"/>
        <v>2.0773350325871833</v>
      </c>
      <c r="HF195" s="54" t="e">
        <f t="shared" si="325"/>
        <v>#N/A</v>
      </c>
      <c r="HG195" s="54">
        <f t="shared" si="326"/>
        <v>5.6386580151706368E-2</v>
      </c>
      <c r="HH195" s="54" t="e">
        <f t="shared" si="327"/>
        <v>#N/A</v>
      </c>
      <c r="HI195" s="54" t="e">
        <f t="shared" si="328"/>
        <v>#N/A</v>
      </c>
      <c r="HJ195" s="54" t="b">
        <f t="shared" si="329"/>
        <v>0</v>
      </c>
      <c r="HK195" s="54" t="b">
        <f t="shared" si="330"/>
        <v>1</v>
      </c>
      <c r="HL195" s="54" t="b">
        <f t="shared" si="331"/>
        <v>1</v>
      </c>
      <c r="HM195" s="54" t="b">
        <f t="shared" si="332"/>
        <v>0</v>
      </c>
      <c r="HN195" s="54">
        <f t="shared" si="333"/>
        <v>5.6386580151706368E-2</v>
      </c>
      <c r="HO195" s="54" t="e">
        <f t="shared" si="334"/>
        <v>#N/A</v>
      </c>
      <c r="HP195" s="54">
        <f t="shared" si="335"/>
        <v>5.6386580151706368E-2</v>
      </c>
      <c r="HQ195" s="72" t="str">
        <f t="shared" si="336"/>
        <v/>
      </c>
    </row>
    <row r="196" spans="71:225" x14ac:dyDescent="0.2">
      <c r="BS196" s="54">
        <f t="shared" si="263"/>
        <v>186</v>
      </c>
      <c r="BT196" s="54">
        <f>Eu_tabel_g[[#This Row],[Indeks]]+1</f>
        <v>187</v>
      </c>
      <c r="BU196" s="54">
        <f t="shared" si="264"/>
        <v>1.365451484120662</v>
      </c>
      <c r="BV196" s="54">
        <f t="shared" si="265"/>
        <v>0.1570537130277106</v>
      </c>
      <c r="BW196" s="54" t="e">
        <f t="shared" si="266"/>
        <v>#N/A</v>
      </c>
      <c r="BX196" s="54" t="e">
        <f t="shared" si="267"/>
        <v>#N/A</v>
      </c>
      <c r="BY196" s="54" t="e">
        <f t="shared" si="268"/>
        <v>#N/A</v>
      </c>
      <c r="BZ196" s="54" t="b">
        <f t="shared" si="269"/>
        <v>0</v>
      </c>
      <c r="CA196" s="54" t="b">
        <f t="shared" si="270"/>
        <v>1</v>
      </c>
      <c r="CB196" s="54" t="b">
        <f t="shared" si="271"/>
        <v>0</v>
      </c>
      <c r="CC196" s="54" t="b">
        <f t="shared" si="272"/>
        <v>1</v>
      </c>
      <c r="CD196" s="54">
        <f t="shared" si="343"/>
        <v>0.1570537130277106</v>
      </c>
      <c r="CE196" s="54" t="e">
        <f t="shared" si="273"/>
        <v>#N/A</v>
      </c>
      <c r="CF196" s="54">
        <f t="shared" si="274"/>
        <v>0.1570537130277106</v>
      </c>
      <c r="CG196" s="72" t="str">
        <f t="shared" si="275"/>
        <v/>
      </c>
      <c r="CH196" s="54">
        <f>_xlfn.NORM.DIST(_xlfn.NORM.INV(1-Eu_g_konfidensniveau,0,1)-Eu_tabel_g[[#This Row],[x base]],0,1,TRUE)</f>
        <v>1.3049268744640917E-3</v>
      </c>
      <c r="CI196" s="54">
        <f>1-_xlfn.NORM.DIST(_xlfn.NORM.INV(Eu_g_konfidensniveau,0,1)-Eu_tabel_g[[#This Row],[x base]],0,1,TRUE)</f>
        <v>0.3899681133994275</v>
      </c>
      <c r="CJ196" s="54">
        <f>_xlfn.NORM.DIST(_xlfn.NORM.INV((1-Eu_g_konfidensniveau)/2,0,1)-Eu_tabel_g[[#This Row],[x base]],0,1,TRUE)+1-_xlfn.NORM.DIST(_xlfn.NORM.INV(1-(1-Eu_g_konfidensniveau)/2,0,1)-Eu_tabel_g[[#This Row],[x base]],0,1,TRUE)</f>
        <v>0.27652612634393015</v>
      </c>
      <c r="CK196" s="54" t="e" cm="1">
        <f t="array" ref="CK196">IF($CK$3,INDEX(Eu_tabel_g[[#This Row],[Styrke venstre]:[Styrke tosidet]],CK$7),NA())</f>
        <v>#N/A</v>
      </c>
      <c r="CL196" s="99" t="e">
        <f>Eu_tabel_g[[#This Row],[Falsk positiv
Nulhypotese accepteres
Fejltype 1]]</f>
        <v>#N/A</v>
      </c>
      <c r="CM196" s="99" t="e">
        <f>IF(CHOOSE(CK$7,Eu_tabel_g[[#This Row],[x base]]&gt;0,Eu_tabel_g[[#This Row],[x base]]&lt;0,Eu_tabel_g[[#This Row],[x base]]=0),Eu_tabel_g[[#This Row],[Styrke, aktiv]],NA())</f>
        <v>#N/A</v>
      </c>
      <c r="CN196" s="99" t="e">
        <f>IFERROR(IF($CK$3,Eu_tabel_g[[#This Row],[Styrke, aktiv]],NA()),NA())</f>
        <v>#N/A</v>
      </c>
      <c r="CO196" s="99" t="e">
        <f>IF(ISNA(Eu_tabel_g[[#This Row],[Sand negativ
Nulhypotese afvises
Korrekt]]),NA(),IF($CK$3,1,NA()))</f>
        <v>#N/A</v>
      </c>
      <c r="CP196" s="56" t="str" cm="1">
        <f t="array" ref="CP196">_xlfn.SWITCH(BS196,_xlfn.IFNA(CN$2,-99),CN$5,_xlfn.IFNA(CN$3,-99),CN$6,_xlfn.IFNA(CN$4,-99),CN$7,"")</f>
        <v/>
      </c>
      <c r="CT196" s="7">
        <f t="shared" si="276"/>
        <v>0.8</v>
      </c>
      <c r="CU196">
        <f>IF(ROW(Styrkeberegning_G[[#This Row],[X base venstre]])=ROW(Styrkeberegning_G[[#Headers],[X base venstre]])+1,CU$7/(CT$7/$B$67),CU195/(CT195/$B$67))</f>
        <v>-2.8015817870135784</v>
      </c>
      <c r="CV196">
        <f>Styrkeberegning_G[[#This Row],[X base venstre]]*-1</f>
        <v>2.8015817870135784</v>
      </c>
      <c r="DG196" s="54">
        <f t="shared" si="277"/>
        <v>186</v>
      </c>
      <c r="DH196" s="54">
        <f t="shared" si="278"/>
        <v>187</v>
      </c>
      <c r="DI196" s="54">
        <f t="shared" si="279"/>
        <v>23.051031958215876</v>
      </c>
      <c r="DJ196" s="54" t="e">
        <f t="shared" si="280"/>
        <v>#N/A</v>
      </c>
      <c r="DK196" s="54" t="e">
        <f t="shared" si="281"/>
        <v>#N/A</v>
      </c>
      <c r="DL196" s="54">
        <f t="shared" si="282"/>
        <v>5.6508911820412622E-3</v>
      </c>
      <c r="DM196" s="54" t="e">
        <f t="shared" si="283"/>
        <v>#N/A</v>
      </c>
      <c r="DN196" s="54" t="b">
        <f t="shared" si="284"/>
        <v>0</v>
      </c>
      <c r="DO196" s="54" t="b">
        <f t="shared" si="285"/>
        <v>1</v>
      </c>
      <c r="DP196" s="54" t="b">
        <f t="shared" si="286"/>
        <v>1</v>
      </c>
      <c r="DQ196" s="54" t="b">
        <f t="shared" si="287"/>
        <v>0</v>
      </c>
      <c r="DR196" s="54">
        <f t="shared" si="288"/>
        <v>5.6508911820412622E-3</v>
      </c>
      <c r="DS196" s="54">
        <f t="shared" si="289"/>
        <v>5.6508911820412622E-3</v>
      </c>
      <c r="DT196" s="54" t="e">
        <f t="shared" si="290"/>
        <v>#N/A</v>
      </c>
      <c r="DU196" s="72" t="str">
        <f t="shared" si="291"/>
        <v/>
      </c>
      <c r="DZ196" s="54">
        <f t="shared" si="292"/>
        <v>186</v>
      </c>
      <c r="EA196" s="54">
        <f t="shared" si="293"/>
        <v>187</v>
      </c>
      <c r="EB196" s="54">
        <f t="shared" si="294"/>
        <v>1.365451484120662</v>
      </c>
      <c r="EC196" s="54">
        <f t="shared" si="295"/>
        <v>0.1570537130277106</v>
      </c>
      <c r="ED196" s="54" t="e">
        <f t="shared" si="296"/>
        <v>#N/A</v>
      </c>
      <c r="EE196" s="54" t="e">
        <f t="shared" si="297"/>
        <v>#N/A</v>
      </c>
      <c r="EF196" s="54" t="e">
        <f t="shared" si="298"/>
        <v>#N/A</v>
      </c>
      <c r="EG196" s="54" t="b">
        <f t="shared" si="299"/>
        <v>0</v>
      </c>
      <c r="EH196" s="54" t="b">
        <f t="shared" si="300"/>
        <v>1</v>
      </c>
      <c r="EI196" s="54" t="b">
        <f t="shared" si="301"/>
        <v>0</v>
      </c>
      <c r="EJ196" s="54" t="b">
        <f t="shared" si="302"/>
        <v>1</v>
      </c>
      <c r="EK196" s="54">
        <f t="shared" si="303"/>
        <v>0.1570537130277106</v>
      </c>
      <c r="EL196" s="54" t="e">
        <f t="shared" si="304"/>
        <v>#N/A</v>
      </c>
      <c r="EM196" s="54">
        <f t="shared" si="305"/>
        <v>0.1570537130277106</v>
      </c>
      <c r="EN196" s="72" t="str">
        <f t="shared" si="306"/>
        <v/>
      </c>
      <c r="EO19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9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9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96" s="54" t="e" cm="1">
        <f t="array" ref="ER196">IF($CK$3,INDEX(Eu_tabel_a[[#This Row],[Styrke venstre]:[Styrke tosidet]],ER$7),NA())</f>
        <v>#N/A</v>
      </c>
      <c r="ES196" s="54" t="e">
        <f>IF(ER$3,IF(CHOOSE(ER$7,Eu_tabel_a[[#This Row],[x base]]&gt;0,Eu_tabel_a[[#This Row],[x base]]&lt;0,Eu_tabel_a[[#This Row],[x base]]=0),1,NA()),NA())</f>
        <v>#N/A</v>
      </c>
      <c r="ET196" s="54" t="e">
        <f>IF(CHOOSE(ER$7,Eu_tabel_a[[#This Row],[x base]]&gt;0,Eu_tabel_a[[#This Row],[x base]]&lt;0,Eu_tabel_a[[#This Row],[x base]]=0),Eu_tabel_a[[#This Row],[Styrke, aktiv]],NA())</f>
        <v>#N/A</v>
      </c>
      <c r="EU196" s="54" t="e">
        <f>IFERROR(IF($ER$3,Eu_tabel_a[[#This Row],[Styrke, aktiv]],NA()),NA())</f>
        <v>#N/A</v>
      </c>
      <c r="EV196" s="54" t="e">
        <f>IF(ISNA(Eu_tabel_a[[#This Row],[Sand negativ
Nulhypotese afvises
Korrekt]]),NA(),IF(ER$3,1,NA()))</f>
        <v>#N/A</v>
      </c>
      <c r="EW196" s="55" t="str" cm="1">
        <f t="array" ref="EW196">IFERROR(_xlfn.SWITCH(Eu_tabel_a[[#This Row],[Indeks]],_xlfn.IFNA(EU$2,-99),EU$5,_xlfn.IFNA(EU$3,-99),EU$6,_xlfn.IFNA(EU$4,-99),EU$7,""),"")</f>
        <v/>
      </c>
      <c r="EX196" s="54">
        <f>Eu_tabel_a[[#This Row],[x base]]*SQRT(Eu_a_h0_x*(1-Eu_a_h0_x)/Eu_a_n_x)+Eu_a_h0_x</f>
        <v>0</v>
      </c>
      <c r="FC196" s="161" t="e">
        <f t="shared" si="250"/>
        <v>#N/A</v>
      </c>
      <c r="FD196" s="169" t="e">
        <f t="shared" si="338"/>
        <v>#DIV/0!</v>
      </c>
      <c r="FE196" s="7" t="e">
        <f t="shared" si="244"/>
        <v>#DIV/0!</v>
      </c>
      <c r="FF196" t="e">
        <f t="shared" si="339"/>
        <v>#DIV/0!</v>
      </c>
      <c r="FG196" s="8" t="e">
        <f t="shared" si="340"/>
        <v>#DIV/0!</v>
      </c>
      <c r="FH196" s="8" t="e">
        <f t="shared" si="341"/>
        <v>#DIV/0!</v>
      </c>
      <c r="FI196" s="168" t="e">
        <f t="shared" si="342"/>
        <v>#DIV/0!</v>
      </c>
      <c r="FJ196" s="161" t="e">
        <f t="shared" ca="1" si="245"/>
        <v>#N/A</v>
      </c>
      <c r="FK196" s="169" t="e" vm="3">
        <f t="shared" ca="1" si="251"/>
        <v>#VALUE!</v>
      </c>
      <c r="FL196" s="7" t="e" vm="3">
        <f t="shared" ca="1" si="246"/>
        <v>#VALUE!</v>
      </c>
      <c r="FM196" t="e" vm="3">
        <f t="shared" ca="1" si="240"/>
        <v>#VALUE!</v>
      </c>
      <c r="FN196" s="8" t="e" vm="3">
        <f t="shared" ca="1" si="241"/>
        <v>#VALUE!</v>
      </c>
      <c r="FO196" s="8" t="e" vm="3">
        <f t="shared" ca="1" si="242"/>
        <v>#VALUE!</v>
      </c>
      <c r="FP196" s="168" t="e" vm="3">
        <f t="shared" ca="1" si="243"/>
        <v>#VALUE!</v>
      </c>
      <c r="FQ196" s="161" t="e">
        <f t="shared" si="247"/>
        <v>#N/A</v>
      </c>
      <c r="FR196" s="169" t="e">
        <f t="shared" si="252"/>
        <v>#N/A</v>
      </c>
      <c r="FS196" s="7" t="e">
        <f t="shared" si="248"/>
        <v>#N/A</v>
      </c>
      <c r="FT196" t="e">
        <f t="shared" si="253"/>
        <v>#N/A</v>
      </c>
      <c r="FU196" s="8" t="e">
        <f t="shared" si="254"/>
        <v>#N/A</v>
      </c>
      <c r="FV196" s="8" t="e">
        <f t="shared" si="255"/>
        <v>#N/A</v>
      </c>
      <c r="FW196" s="168" t="e">
        <f t="shared" si="256"/>
        <v>#N/A</v>
      </c>
      <c r="FX196" s="161" t="e">
        <f t="shared" si="257"/>
        <v>#N/A</v>
      </c>
      <c r="FY196" s="169" t="e">
        <f t="shared" si="258"/>
        <v>#N/A</v>
      </c>
      <c r="FZ196" s="7" t="e">
        <f t="shared" si="249"/>
        <v>#N/A</v>
      </c>
      <c r="GA196" t="e">
        <f t="shared" si="259"/>
        <v>#N/A</v>
      </c>
      <c r="GB196" s="8" t="e">
        <f t="shared" si="260"/>
        <v>#N/A</v>
      </c>
      <c r="GC196" s="8" t="e">
        <f t="shared" si="261"/>
        <v>#N/A</v>
      </c>
      <c r="GD196" s="168" t="e">
        <f t="shared" si="262"/>
        <v>#N/A</v>
      </c>
      <c r="GE196" s="168"/>
      <c r="GF196" s="168"/>
      <c r="GI196" s="54">
        <f t="shared" si="307"/>
        <v>186</v>
      </c>
      <c r="GJ196" s="54">
        <f t="shared" si="308"/>
        <v>187</v>
      </c>
      <c r="GK196" s="54">
        <f t="shared" si="309"/>
        <v>1.365451484120662</v>
      </c>
      <c r="GL196" s="54">
        <f t="shared" si="310"/>
        <v>0.1570537130277106</v>
      </c>
      <c r="GM196" s="54" t="e">
        <f t="shared" si="311"/>
        <v>#N/A</v>
      </c>
      <c r="GN196" s="54" t="e">
        <f t="shared" si="312"/>
        <v>#N/A</v>
      </c>
      <c r="GO196" s="54" t="e">
        <f t="shared" si="313"/>
        <v>#N/A</v>
      </c>
      <c r="GP196" s="54" t="b">
        <f t="shared" si="314"/>
        <v>0</v>
      </c>
      <c r="GQ196" s="54" t="b">
        <f t="shared" si="315"/>
        <v>1</v>
      </c>
      <c r="GR196" s="54" t="b">
        <f t="shared" si="316"/>
        <v>0</v>
      </c>
      <c r="GS196" s="54" t="b">
        <f t="shared" si="317"/>
        <v>1</v>
      </c>
      <c r="GT196" s="54">
        <f t="shared" si="318"/>
        <v>0.1570537130277106</v>
      </c>
      <c r="GU196" s="54" t="e">
        <f t="shared" si="319"/>
        <v>#N/A</v>
      </c>
      <c r="GV196" s="54">
        <f t="shared" si="320"/>
        <v>0.1570537130277106</v>
      </c>
      <c r="GW196" s="72" t="str">
        <f t="shared" si="321"/>
        <v/>
      </c>
      <c r="HC196" s="54">
        <f t="shared" si="322"/>
        <v>186</v>
      </c>
      <c r="HD196" s="54">
        <f t="shared" si="323"/>
        <v>187</v>
      </c>
      <c r="HE196" s="54">
        <f t="shared" si="324"/>
        <v>2.1144303010262409</v>
      </c>
      <c r="HF196" s="54" t="e">
        <f t="shared" si="325"/>
        <v>#N/A</v>
      </c>
      <c r="HG196" s="54">
        <f t="shared" si="326"/>
        <v>5.3390755704805351E-2</v>
      </c>
      <c r="HH196" s="54" t="e">
        <f t="shared" si="327"/>
        <v>#N/A</v>
      </c>
      <c r="HI196" s="54" t="e">
        <f t="shared" si="328"/>
        <v>#N/A</v>
      </c>
      <c r="HJ196" s="54" t="b">
        <f t="shared" si="329"/>
        <v>0</v>
      </c>
      <c r="HK196" s="54" t="b">
        <f t="shared" si="330"/>
        <v>1</v>
      </c>
      <c r="HL196" s="54" t="b">
        <f t="shared" si="331"/>
        <v>1</v>
      </c>
      <c r="HM196" s="54" t="b">
        <f t="shared" si="332"/>
        <v>0</v>
      </c>
      <c r="HN196" s="54">
        <f t="shared" si="333"/>
        <v>5.3390755704805351E-2</v>
      </c>
      <c r="HO196" s="54" t="e">
        <f t="shared" si="334"/>
        <v>#N/A</v>
      </c>
      <c r="HP196" s="54">
        <f t="shared" si="335"/>
        <v>5.3390755704805351E-2</v>
      </c>
      <c r="HQ196" s="72" t="str">
        <f t="shared" si="336"/>
        <v/>
      </c>
    </row>
    <row r="197" spans="71:225" x14ac:dyDescent="0.2">
      <c r="BS197" s="54">
        <f t="shared" si="263"/>
        <v>187</v>
      </c>
      <c r="BT197" s="54">
        <f>Eu_tabel_g[[#This Row],[Indeks]]+1</f>
        <v>188</v>
      </c>
      <c r="BU197" s="54">
        <f t="shared" si="264"/>
        <v>1.3894067733157609</v>
      </c>
      <c r="BV197" s="54">
        <f t="shared" si="265"/>
        <v>0.15195602274069356</v>
      </c>
      <c r="BW197" s="54" t="e">
        <f t="shared" si="266"/>
        <v>#N/A</v>
      </c>
      <c r="BX197" s="54" t="e">
        <f t="shared" si="267"/>
        <v>#N/A</v>
      </c>
      <c r="BY197" s="54" t="e">
        <f t="shared" si="268"/>
        <v>#N/A</v>
      </c>
      <c r="BZ197" s="54" t="b">
        <f t="shared" si="269"/>
        <v>0</v>
      </c>
      <c r="CA197" s="54" t="b">
        <f t="shared" si="270"/>
        <v>1</v>
      </c>
      <c r="CB197" s="54" t="b">
        <f t="shared" si="271"/>
        <v>0</v>
      </c>
      <c r="CC197" s="54" t="b">
        <f t="shared" si="272"/>
        <v>1</v>
      </c>
      <c r="CD197" s="54">
        <f t="shared" si="343"/>
        <v>0.15195602274069356</v>
      </c>
      <c r="CE197" s="54" t="e">
        <f t="shared" si="273"/>
        <v>#N/A</v>
      </c>
      <c r="CF197" s="54">
        <f t="shared" si="274"/>
        <v>0.15195602274069356</v>
      </c>
      <c r="CG197" s="72" t="str">
        <f t="shared" si="275"/>
        <v/>
      </c>
      <c r="CH197" s="54">
        <f>_xlfn.NORM.DIST(_xlfn.NORM.INV(1-Eu_g_konfidensniveau,0,1)-Eu_tabel_g[[#This Row],[x base]],0,1,TRUE)</f>
        <v>1.2056310181406801E-3</v>
      </c>
      <c r="CI197" s="54">
        <f>1-_xlfn.NORM.DIST(_xlfn.NORM.INV(Eu_g_konfidensniveau,0,1)-Eu_tabel_g[[#This Row],[x base]],0,1,TRUE)</f>
        <v>0.39918899340115521</v>
      </c>
      <c r="CJ197" s="54">
        <f>_xlfn.NORM.DIST(_xlfn.NORM.INV((1-Eu_g_konfidensniveau)/2,0,1)-Eu_tabel_g[[#This Row],[x base]],0,1,TRUE)+1-_xlfn.NORM.DIST(_xlfn.NORM.INV(1-(1-Eu_g_konfidensniveau)/2,0,1)-Eu_tabel_g[[#This Row],[x base]],0,1,TRUE)</f>
        <v>0.28455489185244731</v>
      </c>
      <c r="CK197" s="54" t="e" cm="1">
        <f t="array" ref="CK197">IF($CK$3,INDEX(Eu_tabel_g[[#This Row],[Styrke venstre]:[Styrke tosidet]],CK$7),NA())</f>
        <v>#N/A</v>
      </c>
      <c r="CL197" s="99" t="e">
        <f>Eu_tabel_g[[#This Row],[Falsk positiv
Nulhypotese accepteres
Fejltype 1]]</f>
        <v>#N/A</v>
      </c>
      <c r="CM197" s="99" t="e">
        <f>IF(CHOOSE(CK$7,Eu_tabel_g[[#This Row],[x base]]&gt;0,Eu_tabel_g[[#This Row],[x base]]&lt;0,Eu_tabel_g[[#This Row],[x base]]=0),Eu_tabel_g[[#This Row],[Styrke, aktiv]],NA())</f>
        <v>#N/A</v>
      </c>
      <c r="CN197" s="99" t="e">
        <f>IFERROR(IF($CK$3,Eu_tabel_g[[#This Row],[Styrke, aktiv]],NA()),NA())</f>
        <v>#N/A</v>
      </c>
      <c r="CO197" s="99" t="e">
        <f>IF(ISNA(Eu_tabel_g[[#This Row],[Sand negativ
Nulhypotese afvises
Korrekt]]),NA(),IF($CK$3,1,NA()))</f>
        <v>#N/A</v>
      </c>
      <c r="CP197" s="56" t="str" cm="1">
        <f t="array" ref="CP197">_xlfn.SWITCH(BS197,_xlfn.IFNA(CN$2,-99),CN$5,_xlfn.IFNA(CN$3,-99),CN$6,_xlfn.IFNA(CN$4,-99),CN$7,"")</f>
        <v/>
      </c>
      <c r="CT197" s="7">
        <f t="shared" si="276"/>
        <v>0.8</v>
      </c>
      <c r="CU197">
        <f>IF(ROW(Styrkeberegning_G[[#This Row],[X base venstre]])=ROW(Styrkeberegning_G[[#Headers],[X base venstre]])+1,CU$7/(CT$7/$B$67),CU196/(CT196/$B$67))</f>
        <v>-2.8015817870135784</v>
      </c>
      <c r="CV197">
        <f>Styrkeberegning_G[[#This Row],[X base venstre]]*-1</f>
        <v>2.8015817870135784</v>
      </c>
      <c r="DG197" s="54">
        <f t="shared" si="277"/>
        <v>187</v>
      </c>
      <c r="DH197" s="54">
        <f t="shared" si="278"/>
        <v>188</v>
      </c>
      <c r="DI197" s="54">
        <f t="shared" si="279"/>
        <v>23.165102814632878</v>
      </c>
      <c r="DJ197" s="54" t="e">
        <f t="shared" si="280"/>
        <v>#N/A</v>
      </c>
      <c r="DK197" s="54" t="e">
        <f t="shared" si="281"/>
        <v>#N/A</v>
      </c>
      <c r="DL197" s="54">
        <f t="shared" si="282"/>
        <v>5.4575049609478614E-3</v>
      </c>
      <c r="DM197" s="54" t="e">
        <f t="shared" si="283"/>
        <v>#N/A</v>
      </c>
      <c r="DN197" s="54" t="b">
        <f t="shared" si="284"/>
        <v>0</v>
      </c>
      <c r="DO197" s="54" t="b">
        <f t="shared" si="285"/>
        <v>1</v>
      </c>
      <c r="DP197" s="54" t="b">
        <f t="shared" si="286"/>
        <v>1</v>
      </c>
      <c r="DQ197" s="54" t="b">
        <f t="shared" si="287"/>
        <v>0</v>
      </c>
      <c r="DR197" s="54">
        <f t="shared" si="288"/>
        <v>5.4575049609478614E-3</v>
      </c>
      <c r="DS197" s="54">
        <f t="shared" si="289"/>
        <v>5.4575049609478614E-3</v>
      </c>
      <c r="DT197" s="54" t="e">
        <f t="shared" si="290"/>
        <v>#N/A</v>
      </c>
      <c r="DU197" s="72" t="str">
        <f t="shared" si="291"/>
        <v/>
      </c>
      <c r="DZ197" s="54">
        <f t="shared" si="292"/>
        <v>187</v>
      </c>
      <c r="EA197" s="54">
        <f t="shared" si="293"/>
        <v>188</v>
      </c>
      <c r="EB197" s="54">
        <f t="shared" si="294"/>
        <v>1.3894067733157609</v>
      </c>
      <c r="EC197" s="54">
        <f t="shared" si="295"/>
        <v>0.15195602274069356</v>
      </c>
      <c r="ED197" s="54" t="e">
        <f t="shared" si="296"/>
        <v>#N/A</v>
      </c>
      <c r="EE197" s="54" t="e">
        <f t="shared" si="297"/>
        <v>#N/A</v>
      </c>
      <c r="EF197" s="54" t="e">
        <f t="shared" si="298"/>
        <v>#N/A</v>
      </c>
      <c r="EG197" s="54" t="b">
        <f t="shared" si="299"/>
        <v>0</v>
      </c>
      <c r="EH197" s="54" t="b">
        <f t="shared" si="300"/>
        <v>1</v>
      </c>
      <c r="EI197" s="54" t="b">
        <f t="shared" si="301"/>
        <v>0</v>
      </c>
      <c r="EJ197" s="54" t="b">
        <f t="shared" si="302"/>
        <v>1</v>
      </c>
      <c r="EK197" s="54">
        <f t="shared" si="303"/>
        <v>0.15195602274069356</v>
      </c>
      <c r="EL197" s="54" t="e">
        <f t="shared" si="304"/>
        <v>#N/A</v>
      </c>
      <c r="EM197" s="54">
        <f t="shared" si="305"/>
        <v>0.15195602274069356</v>
      </c>
      <c r="EN197" s="72" t="str">
        <f t="shared" si="306"/>
        <v/>
      </c>
      <c r="EO19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9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9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97" s="54" t="e" cm="1">
        <f t="array" ref="ER197">IF($CK$3,INDEX(Eu_tabel_a[[#This Row],[Styrke venstre]:[Styrke tosidet]],ER$7),NA())</f>
        <v>#N/A</v>
      </c>
      <c r="ES197" s="54" t="e">
        <f>IF(ER$3,IF(CHOOSE(ER$7,Eu_tabel_a[[#This Row],[x base]]&gt;0,Eu_tabel_a[[#This Row],[x base]]&lt;0,Eu_tabel_a[[#This Row],[x base]]=0),1,NA()),NA())</f>
        <v>#N/A</v>
      </c>
      <c r="ET197" s="54" t="e">
        <f>IF(CHOOSE(ER$7,Eu_tabel_a[[#This Row],[x base]]&gt;0,Eu_tabel_a[[#This Row],[x base]]&lt;0,Eu_tabel_a[[#This Row],[x base]]=0),Eu_tabel_a[[#This Row],[Styrke, aktiv]],NA())</f>
        <v>#N/A</v>
      </c>
      <c r="EU197" s="54" t="e">
        <f>IFERROR(IF($ER$3,Eu_tabel_a[[#This Row],[Styrke, aktiv]],NA()),NA())</f>
        <v>#N/A</v>
      </c>
      <c r="EV197" s="54" t="e">
        <f>IF(ISNA(Eu_tabel_a[[#This Row],[Sand negativ
Nulhypotese afvises
Korrekt]]),NA(),IF(ER$3,1,NA()))</f>
        <v>#N/A</v>
      </c>
      <c r="EW197" s="55" t="str" cm="1">
        <f t="array" ref="EW197">IFERROR(_xlfn.SWITCH(Eu_tabel_a[[#This Row],[Indeks]],_xlfn.IFNA(EU$2,-99),EU$5,_xlfn.IFNA(EU$3,-99),EU$6,_xlfn.IFNA(EU$4,-99),EU$7,""),"")</f>
        <v/>
      </c>
      <c r="EX197" s="54">
        <f>Eu_tabel_a[[#This Row],[x base]]*SQRT(Eu_a_h0_x*(1-Eu_a_h0_x)/Eu_a_n_x)+Eu_a_h0_x</f>
        <v>0</v>
      </c>
      <c r="FC197" s="161" t="e">
        <f t="shared" si="250"/>
        <v>#N/A</v>
      </c>
      <c r="FD197" s="169" t="e">
        <f t="shared" si="338"/>
        <v>#DIV/0!</v>
      </c>
      <c r="FE197" s="7" t="e">
        <f t="shared" si="244"/>
        <v>#DIV/0!</v>
      </c>
      <c r="FF197" t="e">
        <f t="shared" si="339"/>
        <v>#DIV/0!</v>
      </c>
      <c r="FG197" s="8" t="e">
        <f t="shared" si="340"/>
        <v>#DIV/0!</v>
      </c>
      <c r="FH197" s="8" t="e">
        <f t="shared" si="341"/>
        <v>#DIV/0!</v>
      </c>
      <c r="FI197" s="168" t="e">
        <f t="shared" si="342"/>
        <v>#DIV/0!</v>
      </c>
      <c r="FJ197" s="161" t="e">
        <f t="shared" ca="1" si="245"/>
        <v>#N/A</v>
      </c>
      <c r="FK197" s="169" t="e" vm="3">
        <f t="shared" ca="1" si="251"/>
        <v>#VALUE!</v>
      </c>
      <c r="FL197" s="7" t="e" vm="3">
        <f t="shared" ca="1" si="246"/>
        <v>#VALUE!</v>
      </c>
      <c r="FM197" t="e" vm="3">
        <f t="shared" ref="FM197:FM260" ca="1" si="344">FK197-FK196</f>
        <v>#VALUE!</v>
      </c>
      <c r="FN197" s="8" t="e" vm="3">
        <f t="shared" ref="FN197:FN260" ca="1" si="345">FL197-FL196</f>
        <v>#VALUE!</v>
      </c>
      <c r="FO197" s="8" t="e" vm="3">
        <f t="shared" ref="FO197:FO260" ca="1" si="346">$P$67-FL196</f>
        <v>#VALUE!</v>
      </c>
      <c r="FP197" s="168" t="e" vm="3">
        <f t="shared" ref="FP197:FP260" ca="1" si="347">FM197/(FN197/FO197)</f>
        <v>#VALUE!</v>
      </c>
      <c r="FQ197" s="161" t="e">
        <f t="shared" si="247"/>
        <v>#N/A</v>
      </c>
      <c r="FR197" s="169" t="e">
        <f t="shared" si="252"/>
        <v>#N/A</v>
      </c>
      <c r="FS197" s="7" t="e">
        <f t="shared" si="248"/>
        <v>#N/A</v>
      </c>
      <c r="FT197" t="e">
        <f t="shared" si="253"/>
        <v>#N/A</v>
      </c>
      <c r="FU197" s="8" t="e">
        <f t="shared" si="254"/>
        <v>#N/A</v>
      </c>
      <c r="FV197" s="8" t="e">
        <f t="shared" si="255"/>
        <v>#N/A</v>
      </c>
      <c r="FW197" s="168" t="e">
        <f t="shared" si="256"/>
        <v>#N/A</v>
      </c>
      <c r="FX197" s="161" t="e">
        <f t="shared" si="257"/>
        <v>#N/A</v>
      </c>
      <c r="FY197" s="169" t="e">
        <f t="shared" si="258"/>
        <v>#N/A</v>
      </c>
      <c r="FZ197" s="7" t="e">
        <f t="shared" si="249"/>
        <v>#N/A</v>
      </c>
      <c r="GA197" t="e">
        <f t="shared" si="259"/>
        <v>#N/A</v>
      </c>
      <c r="GB197" s="8" t="e">
        <f t="shared" si="260"/>
        <v>#N/A</v>
      </c>
      <c r="GC197" s="8" t="e">
        <f t="shared" si="261"/>
        <v>#N/A</v>
      </c>
      <c r="GD197" s="168" t="e">
        <f t="shared" si="262"/>
        <v>#N/A</v>
      </c>
      <c r="GE197" s="168"/>
      <c r="GF197" s="168"/>
      <c r="GI197" s="54">
        <f t="shared" si="307"/>
        <v>187</v>
      </c>
      <c r="GJ197" s="54">
        <f t="shared" si="308"/>
        <v>188</v>
      </c>
      <c r="GK197" s="54">
        <f t="shared" si="309"/>
        <v>1.3894067733157609</v>
      </c>
      <c r="GL197" s="54">
        <f t="shared" si="310"/>
        <v>0.15195602274069356</v>
      </c>
      <c r="GM197" s="54" t="e">
        <f t="shared" si="311"/>
        <v>#N/A</v>
      </c>
      <c r="GN197" s="54" t="e">
        <f t="shared" si="312"/>
        <v>#N/A</v>
      </c>
      <c r="GO197" s="54" t="e">
        <f t="shared" si="313"/>
        <v>#N/A</v>
      </c>
      <c r="GP197" s="54" t="b">
        <f t="shared" si="314"/>
        <v>0</v>
      </c>
      <c r="GQ197" s="54" t="b">
        <f t="shared" si="315"/>
        <v>1</v>
      </c>
      <c r="GR197" s="54" t="b">
        <f t="shared" si="316"/>
        <v>0</v>
      </c>
      <c r="GS197" s="54" t="b">
        <f t="shared" si="317"/>
        <v>1</v>
      </c>
      <c r="GT197" s="54">
        <f t="shared" si="318"/>
        <v>0.15195602274069356</v>
      </c>
      <c r="GU197" s="54" t="e">
        <f t="shared" si="319"/>
        <v>#N/A</v>
      </c>
      <c r="GV197" s="54">
        <f t="shared" si="320"/>
        <v>0.15195602274069356</v>
      </c>
      <c r="GW197" s="72" t="str">
        <f t="shared" si="321"/>
        <v/>
      </c>
      <c r="HC197" s="54">
        <f t="shared" si="322"/>
        <v>187</v>
      </c>
      <c r="HD197" s="54">
        <f t="shared" si="323"/>
        <v>188</v>
      </c>
      <c r="HE197" s="54">
        <f t="shared" si="324"/>
        <v>2.1515255694652975</v>
      </c>
      <c r="HF197" s="54" t="e">
        <f t="shared" si="325"/>
        <v>#N/A</v>
      </c>
      <c r="HG197" s="54">
        <f t="shared" si="326"/>
        <v>5.0543400876907167E-2</v>
      </c>
      <c r="HH197" s="54" t="e">
        <f t="shared" si="327"/>
        <v>#N/A</v>
      </c>
      <c r="HI197" s="54" t="e">
        <f t="shared" si="328"/>
        <v>#N/A</v>
      </c>
      <c r="HJ197" s="54" t="b">
        <f t="shared" si="329"/>
        <v>0</v>
      </c>
      <c r="HK197" s="54" t="b">
        <f t="shared" si="330"/>
        <v>1</v>
      </c>
      <c r="HL197" s="54" t="b">
        <f t="shared" si="331"/>
        <v>1</v>
      </c>
      <c r="HM197" s="54" t="b">
        <f t="shared" si="332"/>
        <v>0</v>
      </c>
      <c r="HN197" s="54">
        <f t="shared" si="333"/>
        <v>5.0543400876907167E-2</v>
      </c>
      <c r="HO197" s="54" t="e">
        <f t="shared" si="334"/>
        <v>#N/A</v>
      </c>
      <c r="HP197" s="54">
        <f t="shared" si="335"/>
        <v>5.0543400876907167E-2</v>
      </c>
      <c r="HQ197" s="72" t="str">
        <f t="shared" si="336"/>
        <v/>
      </c>
    </row>
    <row r="198" spans="71:225" x14ac:dyDescent="0.2">
      <c r="BS198" s="54">
        <f t="shared" si="263"/>
        <v>188</v>
      </c>
      <c r="BT198" s="54">
        <f>Eu_tabel_g[[#This Row],[Indeks]]+1</f>
        <v>189</v>
      </c>
      <c r="BU198" s="54">
        <f t="shared" si="264"/>
        <v>1.4133620625108598</v>
      </c>
      <c r="BV198" s="54">
        <f t="shared" si="265"/>
        <v>0.14693944834608277</v>
      </c>
      <c r="BW198" s="54" t="e">
        <f t="shared" si="266"/>
        <v>#N/A</v>
      </c>
      <c r="BX198" s="54" t="e">
        <f t="shared" si="267"/>
        <v>#N/A</v>
      </c>
      <c r="BY198" s="54" t="e">
        <f t="shared" si="268"/>
        <v>#N/A</v>
      </c>
      <c r="BZ198" s="54" t="b">
        <f t="shared" si="269"/>
        <v>0</v>
      </c>
      <c r="CA198" s="54" t="b">
        <f t="shared" si="270"/>
        <v>1</v>
      </c>
      <c r="CB198" s="54" t="b">
        <f t="shared" si="271"/>
        <v>0</v>
      </c>
      <c r="CC198" s="54" t="b">
        <f t="shared" si="272"/>
        <v>1</v>
      </c>
      <c r="CD198" s="54">
        <f t="shared" si="343"/>
        <v>0.14693944834608277</v>
      </c>
      <c r="CE198" s="54" t="e">
        <f t="shared" si="273"/>
        <v>#N/A</v>
      </c>
      <c r="CF198" s="54">
        <f t="shared" si="274"/>
        <v>0.14693944834608277</v>
      </c>
      <c r="CG198" s="72" t="str">
        <f t="shared" si="275"/>
        <v/>
      </c>
      <c r="CH198" s="54">
        <f>_xlfn.NORM.DIST(_xlfn.NORM.INV(1-Eu_g_konfidensniveau,0,1)-Eu_tabel_g[[#This Row],[x base]],0,1,TRUE)</f>
        <v>1.1132962523361838E-3</v>
      </c>
      <c r="CI198" s="54">
        <f>1-_xlfn.NORM.DIST(_xlfn.NORM.INV(Eu_g_konfidensniveau,0,1)-Eu_tabel_g[[#This Row],[x base]],0,1,TRUE)</f>
        <v>0.40846646904366368</v>
      </c>
      <c r="CJ198" s="54">
        <f>_xlfn.NORM.DIST(_xlfn.NORM.INV((1-Eu_g_konfidensniveau)/2,0,1)-Eu_tabel_g[[#This Row],[x base]],0,1,TRUE)+1-_xlfn.NORM.DIST(_xlfn.NORM.INV(1-(1-Eu_g_konfidensniveau)/2,0,1)-Eu_tabel_g[[#This Row],[x base]],0,1,TRUE)</f>
        <v>0.29269745394311308</v>
      </c>
      <c r="CK198" s="54" t="e" cm="1">
        <f t="array" ref="CK198">IF($CK$3,INDEX(Eu_tabel_g[[#This Row],[Styrke venstre]:[Styrke tosidet]],CK$7),NA())</f>
        <v>#N/A</v>
      </c>
      <c r="CL198" s="99" t="e">
        <f>Eu_tabel_g[[#This Row],[Falsk positiv
Nulhypotese accepteres
Fejltype 1]]</f>
        <v>#N/A</v>
      </c>
      <c r="CM198" s="99" t="e">
        <f>IF(CHOOSE(CK$7,Eu_tabel_g[[#This Row],[x base]]&gt;0,Eu_tabel_g[[#This Row],[x base]]&lt;0,Eu_tabel_g[[#This Row],[x base]]=0),Eu_tabel_g[[#This Row],[Styrke, aktiv]],NA())</f>
        <v>#N/A</v>
      </c>
      <c r="CN198" s="99" t="e">
        <f>IFERROR(IF($CK$3,Eu_tabel_g[[#This Row],[Styrke, aktiv]],NA()),NA())</f>
        <v>#N/A</v>
      </c>
      <c r="CO198" s="99" t="e">
        <f>IF(ISNA(Eu_tabel_g[[#This Row],[Sand negativ
Nulhypotese afvises
Korrekt]]),NA(),IF($CK$3,1,NA()))</f>
        <v>#N/A</v>
      </c>
      <c r="CP198" s="56" t="str" cm="1">
        <f t="array" ref="CP198">_xlfn.SWITCH(BS198,_xlfn.IFNA(CN$2,-99),CN$5,_xlfn.IFNA(CN$3,-99),CN$6,_xlfn.IFNA(CN$4,-99),CN$7,"")</f>
        <v/>
      </c>
      <c r="CT198" s="7">
        <f t="shared" si="276"/>
        <v>0.8</v>
      </c>
      <c r="CU198">
        <f>IF(ROW(Styrkeberegning_G[[#This Row],[X base venstre]])=ROW(Styrkeberegning_G[[#Headers],[X base venstre]])+1,CU$7/(CT$7/$B$67),CU197/(CT197/$B$67))</f>
        <v>-2.8015817870135784</v>
      </c>
      <c r="CV198">
        <f>Styrkeberegning_G[[#This Row],[X base venstre]]*-1</f>
        <v>2.8015817870135784</v>
      </c>
      <c r="DG198" s="54">
        <f t="shared" si="277"/>
        <v>188</v>
      </c>
      <c r="DH198" s="54">
        <f t="shared" si="278"/>
        <v>189</v>
      </c>
      <c r="DI198" s="54">
        <f t="shared" si="279"/>
        <v>23.279173671049879</v>
      </c>
      <c r="DJ198" s="54" t="e">
        <f t="shared" si="280"/>
        <v>#N/A</v>
      </c>
      <c r="DK198" s="54" t="e">
        <f t="shared" si="281"/>
        <v>#N/A</v>
      </c>
      <c r="DL198" s="54">
        <f t="shared" si="282"/>
        <v>5.2701617478520162E-3</v>
      </c>
      <c r="DM198" s="54" t="e">
        <f t="shared" si="283"/>
        <v>#N/A</v>
      </c>
      <c r="DN198" s="54" t="b">
        <f t="shared" si="284"/>
        <v>0</v>
      </c>
      <c r="DO198" s="54" t="b">
        <f t="shared" si="285"/>
        <v>1</v>
      </c>
      <c r="DP198" s="54" t="b">
        <f t="shared" si="286"/>
        <v>1</v>
      </c>
      <c r="DQ198" s="54" t="b">
        <f t="shared" si="287"/>
        <v>0</v>
      </c>
      <c r="DR198" s="54">
        <f t="shared" si="288"/>
        <v>5.2701617478520162E-3</v>
      </c>
      <c r="DS198" s="54">
        <f t="shared" si="289"/>
        <v>5.2701617478520162E-3</v>
      </c>
      <c r="DT198" s="54" t="e">
        <f t="shared" si="290"/>
        <v>#N/A</v>
      </c>
      <c r="DU198" s="72" t="str">
        <f t="shared" si="291"/>
        <v/>
      </c>
      <c r="DZ198" s="54">
        <f t="shared" si="292"/>
        <v>188</v>
      </c>
      <c r="EA198" s="54">
        <f t="shared" si="293"/>
        <v>189</v>
      </c>
      <c r="EB198" s="54">
        <f t="shared" si="294"/>
        <v>1.4133620625108598</v>
      </c>
      <c r="EC198" s="54">
        <f t="shared" si="295"/>
        <v>0.14693944834608277</v>
      </c>
      <c r="ED198" s="54" t="e">
        <f t="shared" si="296"/>
        <v>#N/A</v>
      </c>
      <c r="EE198" s="54" t="e">
        <f t="shared" si="297"/>
        <v>#N/A</v>
      </c>
      <c r="EF198" s="54" t="e">
        <f t="shared" si="298"/>
        <v>#N/A</v>
      </c>
      <c r="EG198" s="54" t="b">
        <f t="shared" si="299"/>
        <v>0</v>
      </c>
      <c r="EH198" s="54" t="b">
        <f t="shared" si="300"/>
        <v>1</v>
      </c>
      <c r="EI198" s="54" t="b">
        <f t="shared" si="301"/>
        <v>0</v>
      </c>
      <c r="EJ198" s="54" t="b">
        <f t="shared" si="302"/>
        <v>1</v>
      </c>
      <c r="EK198" s="54">
        <f t="shared" si="303"/>
        <v>0.14693944834608277</v>
      </c>
      <c r="EL198" s="54" t="e">
        <f t="shared" si="304"/>
        <v>#N/A</v>
      </c>
      <c r="EM198" s="54">
        <f t="shared" si="305"/>
        <v>0.14693944834608277</v>
      </c>
      <c r="EN198" s="72" t="str">
        <f t="shared" si="306"/>
        <v/>
      </c>
      <c r="EO19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9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9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98" s="54" t="e" cm="1">
        <f t="array" ref="ER198">IF($CK$3,INDEX(Eu_tabel_a[[#This Row],[Styrke venstre]:[Styrke tosidet]],ER$7),NA())</f>
        <v>#N/A</v>
      </c>
      <c r="ES198" s="54" t="e">
        <f>IF(ER$3,IF(CHOOSE(ER$7,Eu_tabel_a[[#This Row],[x base]]&gt;0,Eu_tabel_a[[#This Row],[x base]]&lt;0,Eu_tabel_a[[#This Row],[x base]]=0),1,NA()),NA())</f>
        <v>#N/A</v>
      </c>
      <c r="ET198" s="54" t="e">
        <f>IF(CHOOSE(ER$7,Eu_tabel_a[[#This Row],[x base]]&gt;0,Eu_tabel_a[[#This Row],[x base]]&lt;0,Eu_tabel_a[[#This Row],[x base]]=0),Eu_tabel_a[[#This Row],[Styrke, aktiv]],NA())</f>
        <v>#N/A</v>
      </c>
      <c r="EU198" s="54" t="e">
        <f>IFERROR(IF($ER$3,Eu_tabel_a[[#This Row],[Styrke, aktiv]],NA()),NA())</f>
        <v>#N/A</v>
      </c>
      <c r="EV198" s="54" t="e">
        <f>IF(ISNA(Eu_tabel_a[[#This Row],[Sand negativ
Nulhypotese afvises
Korrekt]]),NA(),IF(ER$3,1,NA()))</f>
        <v>#N/A</v>
      </c>
      <c r="EW198" s="55" t="str" cm="1">
        <f t="array" ref="EW198">IFERROR(_xlfn.SWITCH(Eu_tabel_a[[#This Row],[Indeks]],_xlfn.IFNA(EU$2,-99),EU$5,_xlfn.IFNA(EU$3,-99),EU$6,_xlfn.IFNA(EU$4,-99),EU$7,""),"")</f>
        <v/>
      </c>
      <c r="EX198" s="54">
        <f>Eu_tabel_a[[#This Row],[x base]]*SQRT(Eu_a_h0_x*(1-Eu_a_h0_x)/Eu_a_n_x)+Eu_a_h0_x</f>
        <v>0</v>
      </c>
      <c r="FC198" s="161" t="e">
        <f t="shared" si="250"/>
        <v>#N/A</v>
      </c>
      <c r="FD198" s="169" t="e">
        <f t="shared" si="338"/>
        <v>#DIV/0!</v>
      </c>
      <c r="FE198" s="7" t="e">
        <f t="shared" ref="FE198:FE261" si="348">_xlfn.NORM.DIST(-(SQRT(Eu_a_n_x)*(FD198-Eu_a_h0_x)/SQRT(FD198*(1-FD198)))-(_xlfn.NORM.INV(Eu_a_konfidensniveau,0,1)*SQRT((Eu_a_h0_x*(1-Eu_a_h0_x))/(FD198*(1-FD198)))),0,1,TRUE)</f>
        <v>#DIV/0!</v>
      </c>
      <c r="FF198" t="e">
        <f t="shared" si="339"/>
        <v>#DIV/0!</v>
      </c>
      <c r="FG198" s="8" t="e">
        <f t="shared" si="340"/>
        <v>#DIV/0!</v>
      </c>
      <c r="FH198" s="8" t="e">
        <f t="shared" si="341"/>
        <v>#DIV/0!</v>
      </c>
      <c r="FI198" s="168" t="e">
        <f t="shared" si="342"/>
        <v>#DIV/0!</v>
      </c>
      <c r="FJ198" s="161" t="e">
        <f t="shared" ref="FJ198:FJ261" ca="1" si="349">IF(ISERROR(FK198),NA(),ROW(FJ198)-ROW(FJ$5))</f>
        <v>#N/A</v>
      </c>
      <c r="FK198" s="169" t="e" vm="3">
        <f t="shared" ca="1" si="251"/>
        <v>#VALUE!</v>
      </c>
      <c r="FL198" s="7" t="e" vm="3">
        <f t="shared" ref="FL198:FL261" ca="1" si="350">_xlfn.NORM.DIST((SQRT(Eu_a_n_x)*(FK198-Eu_a_h0_x)/SQRT(FK198*(1-FK198)))-(_xlfn.NORM.INV(Eu_a_konfidensniveau,0,1)*SQRT((Eu_a_h0_x*(1-Eu_a_h0_x))/(FK198*(1-FK198)))),0,1,TRUE)</f>
        <v>#VALUE!</v>
      </c>
      <c r="FM198" t="e" vm="3">
        <f t="shared" ca="1" si="344"/>
        <v>#VALUE!</v>
      </c>
      <c r="FN198" s="8" t="e" vm="3">
        <f t="shared" ca="1" si="345"/>
        <v>#VALUE!</v>
      </c>
      <c r="FO198" s="8" t="e" vm="3">
        <f t="shared" ca="1" si="346"/>
        <v>#VALUE!</v>
      </c>
      <c r="FP198" s="168" t="e" vm="3">
        <f t="shared" ca="1" si="347"/>
        <v>#VALUE!</v>
      </c>
      <c r="FQ198" s="161" t="e">
        <f t="shared" ref="FQ198:FQ261" si="351">IF(ISERROR(FR198),NA(),ROW(FQ198)-ROW(FQ$5))</f>
        <v>#N/A</v>
      </c>
      <c r="FR198" s="169" t="e">
        <f t="shared" si="252"/>
        <v>#N/A</v>
      </c>
      <c r="FS198" s="7" t="e">
        <f t="shared" ref="FS198:FS261" si="352">_xlfn.NORM.DIST(-(SQRT(Eu_a_n_x)*(FR198-Eu_a_h0_x)/SQRT(FR198*(1-FR198)))-(_xlfn.NORM.INV(1-(1-Eu_a_konfidensniveau)/2,0,1)*SQRT((Eu_a_h0_x*(1-Eu_a_h0_x))/(FR198*(1-FR198)))),0,1,TRUE)+_xlfn.NORM.DIST((SQRT(Eu_a_n_x)*(FR198-Eu_a_h0_x)/SQRT(FR198*(1-FR198)))-(_xlfn.NORM.INV(1-(1-Eu_a_konfidensniveau)/2,0,1)*SQRT((Eu_a_h0_x*(1-Eu_a_h0_x))/(FR198*(1-FR198)))),0,1,TRUE)</f>
        <v>#N/A</v>
      </c>
      <c r="FT198" t="e">
        <f t="shared" si="253"/>
        <v>#N/A</v>
      </c>
      <c r="FU198" s="8" t="e">
        <f t="shared" si="254"/>
        <v>#N/A</v>
      </c>
      <c r="FV198" s="8" t="e">
        <f t="shared" si="255"/>
        <v>#N/A</v>
      </c>
      <c r="FW198" s="168" t="e">
        <f t="shared" si="256"/>
        <v>#N/A</v>
      </c>
      <c r="FX198" s="161" t="e">
        <f t="shared" si="257"/>
        <v>#N/A</v>
      </c>
      <c r="FY198" s="169" t="e">
        <f t="shared" si="258"/>
        <v>#N/A</v>
      </c>
      <c r="FZ198" s="7" t="e">
        <f t="shared" ref="FZ198:FZ261" si="353">_xlfn.NORM.DIST(-(SQRT(Eu_a_n_x)*(FY198-Eu_a_h0_x)/SQRT(FY198*(1-FY198)))-(_xlfn.NORM.INV(1-(1-Eu_a_konfidensniveau)/2,0,1)*SQRT((Eu_a_h0_x*(1-Eu_a_h0_x))/(FY198*(1-FY198)))),0,1,TRUE)+_xlfn.NORM.DIST((SQRT(Eu_a_n_x)*(FY198-Eu_a_h0_x)/SQRT(FY198*(1-FY198)))-(_xlfn.NORM.INV(1-(1-Eu_a_konfidensniveau)/2,0,1)*SQRT((Eu_a_h0_x*(1-Eu_a_h0_x))/(FY198*(1-FY198)))),0,1,TRUE)</f>
        <v>#N/A</v>
      </c>
      <c r="GA198" t="e">
        <f t="shared" si="259"/>
        <v>#N/A</v>
      </c>
      <c r="GB198" s="8" t="e">
        <f t="shared" si="260"/>
        <v>#N/A</v>
      </c>
      <c r="GC198" s="8" t="e">
        <f t="shared" si="261"/>
        <v>#N/A</v>
      </c>
      <c r="GD198" s="168" t="e">
        <f t="shared" si="262"/>
        <v>#N/A</v>
      </c>
      <c r="GE198" s="168"/>
      <c r="GF198" s="168"/>
      <c r="GI198" s="54">
        <f t="shared" si="307"/>
        <v>188</v>
      </c>
      <c r="GJ198" s="54">
        <f t="shared" si="308"/>
        <v>189</v>
      </c>
      <c r="GK198" s="54">
        <f t="shared" si="309"/>
        <v>1.4133620625108598</v>
      </c>
      <c r="GL198" s="54">
        <f t="shared" si="310"/>
        <v>0.14693944834608277</v>
      </c>
      <c r="GM198" s="54" t="e">
        <f t="shared" si="311"/>
        <v>#N/A</v>
      </c>
      <c r="GN198" s="54" t="e">
        <f t="shared" si="312"/>
        <v>#N/A</v>
      </c>
      <c r="GO198" s="54" t="e">
        <f t="shared" si="313"/>
        <v>#N/A</v>
      </c>
      <c r="GP198" s="54" t="b">
        <f t="shared" si="314"/>
        <v>0</v>
      </c>
      <c r="GQ198" s="54" t="b">
        <f t="shared" si="315"/>
        <v>1</v>
      </c>
      <c r="GR198" s="54" t="b">
        <f t="shared" si="316"/>
        <v>0</v>
      </c>
      <c r="GS198" s="54" t="b">
        <f t="shared" si="317"/>
        <v>1</v>
      </c>
      <c r="GT198" s="54">
        <f t="shared" si="318"/>
        <v>0.14693944834608277</v>
      </c>
      <c r="GU198" s="54" t="e">
        <f t="shared" si="319"/>
        <v>#N/A</v>
      </c>
      <c r="GV198" s="54">
        <f t="shared" si="320"/>
        <v>0.14693944834608277</v>
      </c>
      <c r="GW198" s="72" t="str">
        <f t="shared" si="321"/>
        <v/>
      </c>
      <c r="HC198" s="54">
        <f t="shared" si="322"/>
        <v>188</v>
      </c>
      <c r="HD198" s="54">
        <f t="shared" si="323"/>
        <v>189</v>
      </c>
      <c r="HE198" s="54">
        <f t="shared" si="324"/>
        <v>2.1886208379043541</v>
      </c>
      <c r="HF198" s="54" t="e">
        <f t="shared" si="325"/>
        <v>#N/A</v>
      </c>
      <c r="HG198" s="54">
        <f t="shared" si="326"/>
        <v>4.7838660639883096E-2</v>
      </c>
      <c r="HH198" s="54" t="e">
        <f t="shared" si="327"/>
        <v>#N/A</v>
      </c>
      <c r="HI198" s="54" t="e">
        <f t="shared" si="328"/>
        <v>#N/A</v>
      </c>
      <c r="HJ198" s="54" t="b">
        <f t="shared" si="329"/>
        <v>0</v>
      </c>
      <c r="HK198" s="54" t="b">
        <f t="shared" si="330"/>
        <v>1</v>
      </c>
      <c r="HL198" s="54" t="b">
        <f t="shared" si="331"/>
        <v>1</v>
      </c>
      <c r="HM198" s="54" t="b">
        <f t="shared" si="332"/>
        <v>0</v>
      </c>
      <c r="HN198" s="54">
        <f t="shared" si="333"/>
        <v>4.7838660639883096E-2</v>
      </c>
      <c r="HO198" s="54" t="e">
        <f t="shared" si="334"/>
        <v>#N/A</v>
      </c>
      <c r="HP198" s="54">
        <f t="shared" si="335"/>
        <v>4.7838660639883096E-2</v>
      </c>
      <c r="HQ198" s="72" t="str">
        <f t="shared" si="336"/>
        <v/>
      </c>
    </row>
    <row r="199" spans="71:225" x14ac:dyDescent="0.2">
      <c r="BS199" s="54">
        <f t="shared" si="263"/>
        <v>189</v>
      </c>
      <c r="BT199" s="54">
        <f>Eu_tabel_g[[#This Row],[Indeks]]+1</f>
        <v>190</v>
      </c>
      <c r="BU199" s="54">
        <f t="shared" si="264"/>
        <v>1.4373173517059596</v>
      </c>
      <c r="BV199" s="54">
        <f t="shared" si="265"/>
        <v>0.14200697285664771</v>
      </c>
      <c r="BW199" s="54" t="e">
        <f t="shared" si="266"/>
        <v>#N/A</v>
      </c>
      <c r="BX199" s="54" t="e">
        <f t="shared" si="267"/>
        <v>#N/A</v>
      </c>
      <c r="BY199" s="54" t="e">
        <f t="shared" si="268"/>
        <v>#N/A</v>
      </c>
      <c r="BZ199" s="54" t="b">
        <f t="shared" si="269"/>
        <v>0</v>
      </c>
      <c r="CA199" s="54" t="b">
        <f t="shared" si="270"/>
        <v>1</v>
      </c>
      <c r="CB199" s="54" t="b">
        <f t="shared" si="271"/>
        <v>0</v>
      </c>
      <c r="CC199" s="54" t="b">
        <f t="shared" si="272"/>
        <v>1</v>
      </c>
      <c r="CD199" s="54">
        <f t="shared" si="343"/>
        <v>0.14200697285664771</v>
      </c>
      <c r="CE199" s="54" t="e">
        <f t="shared" si="273"/>
        <v>#N/A</v>
      </c>
      <c r="CF199" s="54">
        <f t="shared" si="274"/>
        <v>0.14200697285664771</v>
      </c>
      <c r="CG199" s="72" t="str">
        <f t="shared" si="275"/>
        <v/>
      </c>
      <c r="CH199" s="54">
        <f>_xlfn.NORM.DIST(_xlfn.NORM.INV(1-Eu_g_konfidensniveau,0,1)-Eu_tabel_g[[#This Row],[x base]],0,1,TRUE)</f>
        <v>1.0274838287292051E-3</v>
      </c>
      <c r="CI199" s="54">
        <f>1-_xlfn.NORM.DIST(_xlfn.NORM.INV(Eu_g_konfidensniveau,0,1)-Eu_tabel_g[[#This Row],[x base]],0,1,TRUE)</f>
        <v>0.41779553287962068</v>
      </c>
      <c r="CJ199" s="54">
        <f>_xlfn.NORM.DIST(_xlfn.NORM.INV((1-Eu_g_konfidensniveau)/2,0,1)-Eu_tabel_g[[#This Row],[x base]],0,1,TRUE)+1-_xlfn.NORM.DIST(_xlfn.NORM.INV(1-(1-Eu_g_konfidensniveau)/2,0,1)-Eu_tabel_g[[#This Row],[x base]],0,1,TRUE)</f>
        <v>0.30095038606562374</v>
      </c>
      <c r="CK199" s="54" t="e" cm="1">
        <f t="array" ref="CK199">IF($CK$3,INDEX(Eu_tabel_g[[#This Row],[Styrke venstre]:[Styrke tosidet]],CK$7),NA())</f>
        <v>#N/A</v>
      </c>
      <c r="CL199" s="99" t="e">
        <f>Eu_tabel_g[[#This Row],[Falsk positiv
Nulhypotese accepteres
Fejltype 1]]</f>
        <v>#N/A</v>
      </c>
      <c r="CM199" s="99" t="e">
        <f>IF(CHOOSE(CK$7,Eu_tabel_g[[#This Row],[x base]]&gt;0,Eu_tabel_g[[#This Row],[x base]]&lt;0,Eu_tabel_g[[#This Row],[x base]]=0),Eu_tabel_g[[#This Row],[Styrke, aktiv]],NA())</f>
        <v>#N/A</v>
      </c>
      <c r="CN199" s="99" t="e">
        <f>IFERROR(IF($CK$3,Eu_tabel_g[[#This Row],[Styrke, aktiv]],NA()),NA())</f>
        <v>#N/A</v>
      </c>
      <c r="CO199" s="99" t="e">
        <f>IF(ISNA(Eu_tabel_g[[#This Row],[Sand negativ
Nulhypotese afvises
Korrekt]]),NA(),IF($CK$3,1,NA()))</f>
        <v>#N/A</v>
      </c>
      <c r="CP199" s="56" t="str" cm="1">
        <f t="array" ref="CP199">_xlfn.SWITCH(BS199,_xlfn.IFNA(CN$2,-99),CN$5,_xlfn.IFNA(CN$3,-99),CN$6,_xlfn.IFNA(CN$4,-99),CN$7,"")</f>
        <v/>
      </c>
      <c r="CT199" s="7">
        <f t="shared" si="276"/>
        <v>0.8</v>
      </c>
      <c r="CU199">
        <f>IF(ROW(Styrkeberegning_G[[#This Row],[X base venstre]])=ROW(Styrkeberegning_G[[#Headers],[X base venstre]])+1,CU$7/(CT$7/$B$67),CU198/(CT198/$B$67))</f>
        <v>-2.8015817870135784</v>
      </c>
      <c r="CV199">
        <f>Styrkeberegning_G[[#This Row],[X base venstre]]*-1</f>
        <v>2.8015817870135784</v>
      </c>
      <c r="DG199" s="54">
        <f t="shared" si="277"/>
        <v>189</v>
      </c>
      <c r="DH199" s="54">
        <f t="shared" si="278"/>
        <v>190</v>
      </c>
      <c r="DI199" s="54">
        <f t="shared" si="279"/>
        <v>23.39324452746688</v>
      </c>
      <c r="DJ199" s="54" t="e">
        <f t="shared" si="280"/>
        <v>#N/A</v>
      </c>
      <c r="DK199" s="54" t="e">
        <f t="shared" si="281"/>
        <v>#N/A</v>
      </c>
      <c r="DL199" s="54">
        <f t="shared" si="282"/>
        <v>5.0886997104524724E-3</v>
      </c>
      <c r="DM199" s="54" t="e">
        <f t="shared" si="283"/>
        <v>#N/A</v>
      </c>
      <c r="DN199" s="54" t="b">
        <f t="shared" si="284"/>
        <v>0</v>
      </c>
      <c r="DO199" s="54" t="b">
        <f t="shared" si="285"/>
        <v>1</v>
      </c>
      <c r="DP199" s="54" t="b">
        <f t="shared" si="286"/>
        <v>1</v>
      </c>
      <c r="DQ199" s="54" t="b">
        <f t="shared" si="287"/>
        <v>0</v>
      </c>
      <c r="DR199" s="54">
        <f t="shared" si="288"/>
        <v>5.0886997104524724E-3</v>
      </c>
      <c r="DS199" s="54">
        <f t="shared" si="289"/>
        <v>5.0886997104524724E-3</v>
      </c>
      <c r="DT199" s="54" t="e">
        <f t="shared" si="290"/>
        <v>#N/A</v>
      </c>
      <c r="DU199" s="72" t="str">
        <f t="shared" si="291"/>
        <v/>
      </c>
      <c r="DZ199" s="54">
        <f t="shared" si="292"/>
        <v>189</v>
      </c>
      <c r="EA199" s="54">
        <f t="shared" si="293"/>
        <v>190</v>
      </c>
      <c r="EB199" s="54">
        <f t="shared" si="294"/>
        <v>1.4373173517059596</v>
      </c>
      <c r="EC199" s="54">
        <f t="shared" si="295"/>
        <v>0.14200697285664771</v>
      </c>
      <c r="ED199" s="54" t="e">
        <f t="shared" si="296"/>
        <v>#N/A</v>
      </c>
      <c r="EE199" s="54" t="e">
        <f t="shared" si="297"/>
        <v>#N/A</v>
      </c>
      <c r="EF199" s="54" t="e">
        <f t="shared" si="298"/>
        <v>#N/A</v>
      </c>
      <c r="EG199" s="54" t="b">
        <f t="shared" si="299"/>
        <v>0</v>
      </c>
      <c r="EH199" s="54" t="b">
        <f t="shared" si="300"/>
        <v>1</v>
      </c>
      <c r="EI199" s="54" t="b">
        <f t="shared" si="301"/>
        <v>0</v>
      </c>
      <c r="EJ199" s="54" t="b">
        <f t="shared" si="302"/>
        <v>1</v>
      </c>
      <c r="EK199" s="54">
        <f t="shared" si="303"/>
        <v>0.14200697285664771</v>
      </c>
      <c r="EL199" s="54" t="e">
        <f t="shared" si="304"/>
        <v>#N/A</v>
      </c>
      <c r="EM199" s="54">
        <f t="shared" si="305"/>
        <v>0.14200697285664771</v>
      </c>
      <c r="EN199" s="72" t="str">
        <f t="shared" si="306"/>
        <v/>
      </c>
      <c r="EO19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19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19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199" s="54" t="e" cm="1">
        <f t="array" ref="ER199">IF($CK$3,INDEX(Eu_tabel_a[[#This Row],[Styrke venstre]:[Styrke tosidet]],ER$7),NA())</f>
        <v>#N/A</v>
      </c>
      <c r="ES199" s="54" t="e">
        <f>IF(ER$3,IF(CHOOSE(ER$7,Eu_tabel_a[[#This Row],[x base]]&gt;0,Eu_tabel_a[[#This Row],[x base]]&lt;0,Eu_tabel_a[[#This Row],[x base]]=0),1,NA()),NA())</f>
        <v>#N/A</v>
      </c>
      <c r="ET199" s="54" t="e">
        <f>IF(CHOOSE(ER$7,Eu_tabel_a[[#This Row],[x base]]&gt;0,Eu_tabel_a[[#This Row],[x base]]&lt;0,Eu_tabel_a[[#This Row],[x base]]=0),Eu_tabel_a[[#This Row],[Styrke, aktiv]],NA())</f>
        <v>#N/A</v>
      </c>
      <c r="EU199" s="54" t="e">
        <f>IFERROR(IF($ER$3,Eu_tabel_a[[#This Row],[Styrke, aktiv]],NA()),NA())</f>
        <v>#N/A</v>
      </c>
      <c r="EV199" s="54" t="e">
        <f>IF(ISNA(Eu_tabel_a[[#This Row],[Sand negativ
Nulhypotese afvises
Korrekt]]),NA(),IF(ER$3,1,NA()))</f>
        <v>#N/A</v>
      </c>
      <c r="EW199" s="55" t="str" cm="1">
        <f t="array" ref="EW199">IFERROR(_xlfn.SWITCH(Eu_tabel_a[[#This Row],[Indeks]],_xlfn.IFNA(EU$2,-99),EU$5,_xlfn.IFNA(EU$3,-99),EU$6,_xlfn.IFNA(EU$4,-99),EU$7,""),"")</f>
        <v/>
      </c>
      <c r="EX199" s="54">
        <f>Eu_tabel_a[[#This Row],[x base]]*SQRT(Eu_a_h0_x*(1-Eu_a_h0_x)/Eu_a_n_x)+Eu_a_h0_x</f>
        <v>0</v>
      </c>
      <c r="FC199" s="161" t="e">
        <f t="shared" ref="FC199:FC262" si="354">IF(ISERROR(FD199),NA(),ROW(FC199)-ROW(FC$5))</f>
        <v>#N/A</v>
      </c>
      <c r="FD199" s="169" t="e">
        <f t="shared" si="338"/>
        <v>#DIV/0!</v>
      </c>
      <c r="FE199" s="7" t="e">
        <f t="shared" si="348"/>
        <v>#DIV/0!</v>
      </c>
      <c r="FF199" t="e">
        <f t="shared" si="339"/>
        <v>#DIV/0!</v>
      </c>
      <c r="FG199" s="8" t="e">
        <f t="shared" si="340"/>
        <v>#DIV/0!</v>
      </c>
      <c r="FH199" s="8" t="e">
        <f t="shared" si="341"/>
        <v>#DIV/0!</v>
      </c>
      <c r="FI199" s="168" t="e">
        <f t="shared" si="342"/>
        <v>#DIV/0!</v>
      </c>
      <c r="FJ199" s="161" t="e">
        <f t="shared" ca="1" si="349"/>
        <v>#N/A</v>
      </c>
      <c r="FK199" s="169" t="e" vm="3">
        <f t="shared" ref="FK199:FK262" ca="1" si="355">FK197+FP198</f>
        <v>#VALUE!</v>
      </c>
      <c r="FL199" s="7" t="e" vm="3">
        <f t="shared" ca="1" si="350"/>
        <v>#VALUE!</v>
      </c>
      <c r="FM199" t="e" vm="3">
        <f t="shared" ca="1" si="344"/>
        <v>#VALUE!</v>
      </c>
      <c r="FN199" s="8" t="e" vm="3">
        <f t="shared" ca="1" si="345"/>
        <v>#VALUE!</v>
      </c>
      <c r="FO199" s="8" t="e" vm="3">
        <f t="shared" ca="1" si="346"/>
        <v>#VALUE!</v>
      </c>
      <c r="FP199" s="168" t="e" vm="3">
        <f t="shared" ca="1" si="347"/>
        <v>#VALUE!</v>
      </c>
      <c r="FQ199" s="161" t="e">
        <f t="shared" si="351"/>
        <v>#N/A</v>
      </c>
      <c r="FR199" s="169" t="e">
        <f t="shared" ref="FR199:FR262" si="356">FR197+FW198</f>
        <v>#N/A</v>
      </c>
      <c r="FS199" s="7" t="e">
        <f t="shared" si="352"/>
        <v>#N/A</v>
      </c>
      <c r="FT199" t="e">
        <f t="shared" ref="FT199:FT262" si="357">FR199-FR198</f>
        <v>#N/A</v>
      </c>
      <c r="FU199" s="8" t="e">
        <f t="shared" ref="FU199:FU262" si="358">FS199-FS198</f>
        <v>#N/A</v>
      </c>
      <c r="FV199" s="8" t="e">
        <f t="shared" ref="FV199:FV262" si="359">$P$67-FS198</f>
        <v>#N/A</v>
      </c>
      <c r="FW199" s="168" t="e">
        <f t="shared" ref="FW199:FW262" si="360">FT199/(FU199/FV199)</f>
        <v>#N/A</v>
      </c>
      <c r="FX199" s="161" t="e">
        <f t="shared" ref="FX199:FX262" si="361">IF(ISERROR(FY199),NA(),ROW(FX199)-ROW(FX$5))</f>
        <v>#N/A</v>
      </c>
      <c r="FY199" s="169" t="e">
        <f t="shared" ref="FY199:FY262" si="362">FY197+GD198</f>
        <v>#N/A</v>
      </c>
      <c r="FZ199" s="7" t="e">
        <f t="shared" si="353"/>
        <v>#N/A</v>
      </c>
      <c r="GA199" t="e">
        <f t="shared" ref="GA199:GA262" si="363">FY199-FY198</f>
        <v>#N/A</v>
      </c>
      <c r="GB199" s="8" t="e">
        <f t="shared" ref="GB199:GB262" si="364">FZ199-FZ198</f>
        <v>#N/A</v>
      </c>
      <c r="GC199" s="8" t="e">
        <f t="shared" ref="GC199:GC262" si="365">$P$67-FZ198</f>
        <v>#N/A</v>
      </c>
      <c r="GD199" s="168" t="e">
        <f t="shared" ref="GD199:GD262" si="366">GA199/(GB199/GC199)</f>
        <v>#N/A</v>
      </c>
      <c r="GE199" s="168"/>
      <c r="GF199" s="168"/>
      <c r="GI199" s="54">
        <f t="shared" si="307"/>
        <v>189</v>
      </c>
      <c r="GJ199" s="54">
        <f t="shared" si="308"/>
        <v>190</v>
      </c>
      <c r="GK199" s="54">
        <f t="shared" si="309"/>
        <v>1.4373173517059596</v>
      </c>
      <c r="GL199" s="54">
        <f t="shared" si="310"/>
        <v>0.14200697285664771</v>
      </c>
      <c r="GM199" s="54" t="e">
        <f t="shared" si="311"/>
        <v>#N/A</v>
      </c>
      <c r="GN199" s="54" t="e">
        <f t="shared" si="312"/>
        <v>#N/A</v>
      </c>
      <c r="GO199" s="54" t="e">
        <f t="shared" si="313"/>
        <v>#N/A</v>
      </c>
      <c r="GP199" s="54" t="b">
        <f t="shared" si="314"/>
        <v>0</v>
      </c>
      <c r="GQ199" s="54" t="b">
        <f t="shared" si="315"/>
        <v>1</v>
      </c>
      <c r="GR199" s="54" t="b">
        <f t="shared" si="316"/>
        <v>0</v>
      </c>
      <c r="GS199" s="54" t="b">
        <f t="shared" si="317"/>
        <v>1</v>
      </c>
      <c r="GT199" s="54">
        <f t="shared" si="318"/>
        <v>0.14200697285664771</v>
      </c>
      <c r="GU199" s="54" t="e">
        <f t="shared" si="319"/>
        <v>#N/A</v>
      </c>
      <c r="GV199" s="54">
        <f t="shared" si="320"/>
        <v>0.14200697285664771</v>
      </c>
      <c r="GW199" s="72" t="str">
        <f t="shared" si="321"/>
        <v/>
      </c>
      <c r="HC199" s="54">
        <f t="shared" si="322"/>
        <v>189</v>
      </c>
      <c r="HD199" s="54">
        <f t="shared" si="323"/>
        <v>190</v>
      </c>
      <c r="HE199" s="54">
        <f t="shared" si="324"/>
        <v>2.2257161063434108</v>
      </c>
      <c r="HF199" s="54" t="e">
        <f t="shared" si="325"/>
        <v>#N/A</v>
      </c>
      <c r="HG199" s="54">
        <f t="shared" si="326"/>
        <v>4.5270733725450971E-2</v>
      </c>
      <c r="HH199" s="54" t="e">
        <f t="shared" si="327"/>
        <v>#N/A</v>
      </c>
      <c r="HI199" s="54" t="e">
        <f t="shared" si="328"/>
        <v>#N/A</v>
      </c>
      <c r="HJ199" s="54" t="b">
        <f t="shared" si="329"/>
        <v>0</v>
      </c>
      <c r="HK199" s="54" t="b">
        <f t="shared" si="330"/>
        <v>1</v>
      </c>
      <c r="HL199" s="54" t="b">
        <f t="shared" si="331"/>
        <v>1</v>
      </c>
      <c r="HM199" s="54" t="b">
        <f t="shared" si="332"/>
        <v>0</v>
      </c>
      <c r="HN199" s="54">
        <f t="shared" si="333"/>
        <v>4.5270733725450971E-2</v>
      </c>
      <c r="HO199" s="54" t="e">
        <f t="shared" si="334"/>
        <v>#N/A</v>
      </c>
      <c r="HP199" s="54">
        <f t="shared" si="335"/>
        <v>4.5270733725450971E-2</v>
      </c>
      <c r="HQ199" s="72" t="str">
        <f t="shared" si="336"/>
        <v/>
      </c>
    </row>
    <row r="200" spans="71:225" x14ac:dyDescent="0.2">
      <c r="BS200" s="54">
        <f t="shared" si="263"/>
        <v>190</v>
      </c>
      <c r="BT200" s="54">
        <f>Eu_tabel_g[[#This Row],[Indeks]]+1</f>
        <v>191</v>
      </c>
      <c r="BU200" s="54">
        <f t="shared" si="264"/>
        <v>1.4612726409010586</v>
      </c>
      <c r="BV200" s="54">
        <f t="shared" si="265"/>
        <v>0.1371613376813367</v>
      </c>
      <c r="BW200" s="54" t="e">
        <f t="shared" si="266"/>
        <v>#N/A</v>
      </c>
      <c r="BX200" s="54" t="e">
        <f t="shared" si="267"/>
        <v>#N/A</v>
      </c>
      <c r="BY200" s="54" t="e">
        <f t="shared" si="268"/>
        <v>#N/A</v>
      </c>
      <c r="BZ200" s="54" t="b">
        <f t="shared" si="269"/>
        <v>0</v>
      </c>
      <c r="CA200" s="54" t="b">
        <f t="shared" si="270"/>
        <v>1</v>
      </c>
      <c r="CB200" s="54" t="b">
        <f t="shared" si="271"/>
        <v>0</v>
      </c>
      <c r="CC200" s="54" t="b">
        <f t="shared" si="272"/>
        <v>1</v>
      </c>
      <c r="CD200" s="54">
        <f t="shared" si="343"/>
        <v>0.1371613376813367</v>
      </c>
      <c r="CE200" s="54" t="e">
        <f t="shared" si="273"/>
        <v>#N/A</v>
      </c>
      <c r="CF200" s="54">
        <f t="shared" si="274"/>
        <v>0.1371613376813367</v>
      </c>
      <c r="CG200" s="72" t="str">
        <f t="shared" si="275"/>
        <v/>
      </c>
      <c r="CH200" s="54">
        <f>_xlfn.NORM.DIST(_xlfn.NORM.INV(1-Eu_g_konfidensniveau,0,1)-Eu_tabel_g[[#This Row],[x base]],0,1,TRUE)</f>
        <v>9.4777877233524625E-4</v>
      </c>
      <c r="CI200" s="54">
        <f>1-_xlfn.NORM.DIST(_xlfn.NORM.INV(Eu_g_konfidensniveau,0,1)-Eu_tabel_g[[#This Row],[x base]],0,1,TRUE)</f>
        <v>0.4271710902642325</v>
      </c>
      <c r="CJ200" s="54">
        <f>_xlfn.NORM.DIST(_xlfn.NORM.INV((1-Eu_g_konfidensniveau)/2,0,1)-Eu_tabel_g[[#This Row],[x base]],0,1,TRUE)+1-_xlfn.NORM.DIST(_xlfn.NORM.INV(1-(1-Eu_g_konfidensniveau)/2,0,1)-Eu_tabel_g[[#This Row],[x base]],0,1,TRUE)</f>
        <v>0.30931010724091756</v>
      </c>
      <c r="CK200" s="54" t="e" cm="1">
        <f t="array" ref="CK200">IF($CK$3,INDEX(Eu_tabel_g[[#This Row],[Styrke venstre]:[Styrke tosidet]],CK$7),NA())</f>
        <v>#N/A</v>
      </c>
      <c r="CL200" s="99" t="e">
        <f>Eu_tabel_g[[#This Row],[Falsk positiv
Nulhypotese accepteres
Fejltype 1]]</f>
        <v>#N/A</v>
      </c>
      <c r="CM200" s="99" t="e">
        <f>IF(CHOOSE(CK$7,Eu_tabel_g[[#This Row],[x base]]&gt;0,Eu_tabel_g[[#This Row],[x base]]&lt;0,Eu_tabel_g[[#This Row],[x base]]=0),Eu_tabel_g[[#This Row],[Styrke, aktiv]],NA())</f>
        <v>#N/A</v>
      </c>
      <c r="CN200" s="99" t="e">
        <f>IFERROR(IF($CK$3,Eu_tabel_g[[#This Row],[Styrke, aktiv]],NA()),NA())</f>
        <v>#N/A</v>
      </c>
      <c r="CO200" s="99" t="e">
        <f>IF(ISNA(Eu_tabel_g[[#This Row],[Sand negativ
Nulhypotese afvises
Korrekt]]),NA(),IF($CK$3,1,NA()))</f>
        <v>#N/A</v>
      </c>
      <c r="CP200" s="56" t="str" cm="1">
        <f t="array" ref="CP200">_xlfn.SWITCH(BS200,_xlfn.IFNA(CN$2,-99),CN$5,_xlfn.IFNA(CN$3,-99),CN$6,_xlfn.IFNA(CN$4,-99),CN$7,"")</f>
        <v/>
      </c>
      <c r="CT200" s="7">
        <f t="shared" si="276"/>
        <v>0.8</v>
      </c>
      <c r="CU200">
        <f>IF(ROW(Styrkeberegning_G[[#This Row],[X base venstre]])=ROW(Styrkeberegning_G[[#Headers],[X base venstre]])+1,CU$7/(CT$7/$B$67),CU199/(CT199/$B$67))</f>
        <v>-2.8015817870135784</v>
      </c>
      <c r="CV200">
        <f>Styrkeberegning_G[[#This Row],[X base venstre]]*-1</f>
        <v>2.8015817870135784</v>
      </c>
      <c r="DG200" s="54">
        <f t="shared" si="277"/>
        <v>190</v>
      </c>
      <c r="DH200" s="54">
        <f t="shared" si="278"/>
        <v>191</v>
      </c>
      <c r="DI200" s="54">
        <f t="shared" si="279"/>
        <v>23.507315383883881</v>
      </c>
      <c r="DJ200" s="54" t="e">
        <f t="shared" si="280"/>
        <v>#N/A</v>
      </c>
      <c r="DK200" s="54" t="e">
        <f t="shared" si="281"/>
        <v>#N/A</v>
      </c>
      <c r="DL200" s="54">
        <f t="shared" si="282"/>
        <v>4.9129600502706896E-3</v>
      </c>
      <c r="DM200" s="54" t="e">
        <f t="shared" si="283"/>
        <v>#N/A</v>
      </c>
      <c r="DN200" s="54" t="b">
        <f t="shared" si="284"/>
        <v>0</v>
      </c>
      <c r="DO200" s="54" t="b">
        <f t="shared" si="285"/>
        <v>1</v>
      </c>
      <c r="DP200" s="54" t="b">
        <f t="shared" si="286"/>
        <v>1</v>
      </c>
      <c r="DQ200" s="54" t="b">
        <f t="shared" si="287"/>
        <v>0</v>
      </c>
      <c r="DR200" s="54">
        <f t="shared" si="288"/>
        <v>4.9129600502706896E-3</v>
      </c>
      <c r="DS200" s="54">
        <f t="shared" si="289"/>
        <v>4.9129600502706896E-3</v>
      </c>
      <c r="DT200" s="54" t="e">
        <f t="shared" si="290"/>
        <v>#N/A</v>
      </c>
      <c r="DU200" s="72" t="str">
        <f t="shared" si="291"/>
        <v/>
      </c>
      <c r="DZ200" s="54">
        <f t="shared" si="292"/>
        <v>190</v>
      </c>
      <c r="EA200" s="54">
        <f t="shared" si="293"/>
        <v>191</v>
      </c>
      <c r="EB200" s="54">
        <f t="shared" si="294"/>
        <v>1.4612726409010586</v>
      </c>
      <c r="EC200" s="54">
        <f t="shared" si="295"/>
        <v>0.1371613376813367</v>
      </c>
      <c r="ED200" s="54" t="e">
        <f t="shared" si="296"/>
        <v>#N/A</v>
      </c>
      <c r="EE200" s="54" t="e">
        <f t="shared" si="297"/>
        <v>#N/A</v>
      </c>
      <c r="EF200" s="54" t="e">
        <f t="shared" si="298"/>
        <v>#N/A</v>
      </c>
      <c r="EG200" s="54" t="b">
        <f t="shared" si="299"/>
        <v>0</v>
      </c>
      <c r="EH200" s="54" t="b">
        <f t="shared" si="300"/>
        <v>1</v>
      </c>
      <c r="EI200" s="54" t="b">
        <f t="shared" si="301"/>
        <v>0</v>
      </c>
      <c r="EJ200" s="54" t="b">
        <f t="shared" si="302"/>
        <v>1</v>
      </c>
      <c r="EK200" s="54">
        <f t="shared" si="303"/>
        <v>0.1371613376813367</v>
      </c>
      <c r="EL200" s="54" t="e">
        <f t="shared" si="304"/>
        <v>#N/A</v>
      </c>
      <c r="EM200" s="54">
        <f t="shared" si="305"/>
        <v>0.1371613376813367</v>
      </c>
      <c r="EN200" s="72" t="str">
        <f t="shared" si="306"/>
        <v/>
      </c>
      <c r="EO20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0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0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00" s="54" t="e" cm="1">
        <f t="array" ref="ER200">IF($CK$3,INDEX(Eu_tabel_a[[#This Row],[Styrke venstre]:[Styrke tosidet]],ER$7),NA())</f>
        <v>#N/A</v>
      </c>
      <c r="ES200" s="54" t="e">
        <f>IF(ER$3,IF(CHOOSE(ER$7,Eu_tabel_a[[#This Row],[x base]]&gt;0,Eu_tabel_a[[#This Row],[x base]]&lt;0,Eu_tabel_a[[#This Row],[x base]]=0),1,NA()),NA())</f>
        <v>#N/A</v>
      </c>
      <c r="ET200" s="54" t="e">
        <f>IF(CHOOSE(ER$7,Eu_tabel_a[[#This Row],[x base]]&gt;0,Eu_tabel_a[[#This Row],[x base]]&lt;0,Eu_tabel_a[[#This Row],[x base]]=0),Eu_tabel_a[[#This Row],[Styrke, aktiv]],NA())</f>
        <v>#N/A</v>
      </c>
      <c r="EU200" s="54" t="e">
        <f>IFERROR(IF($ER$3,Eu_tabel_a[[#This Row],[Styrke, aktiv]],NA()),NA())</f>
        <v>#N/A</v>
      </c>
      <c r="EV200" s="54" t="e">
        <f>IF(ISNA(Eu_tabel_a[[#This Row],[Sand negativ
Nulhypotese afvises
Korrekt]]),NA(),IF(ER$3,1,NA()))</f>
        <v>#N/A</v>
      </c>
      <c r="EW200" s="55" t="str" cm="1">
        <f t="array" ref="EW200">IFERROR(_xlfn.SWITCH(Eu_tabel_a[[#This Row],[Indeks]],_xlfn.IFNA(EU$2,-99),EU$5,_xlfn.IFNA(EU$3,-99),EU$6,_xlfn.IFNA(EU$4,-99),EU$7,""),"")</f>
        <v/>
      </c>
      <c r="EX200" s="54">
        <f>Eu_tabel_a[[#This Row],[x base]]*SQRT(Eu_a_h0_x*(1-Eu_a_h0_x)/Eu_a_n_x)+Eu_a_h0_x</f>
        <v>0</v>
      </c>
      <c r="FC200" s="161" t="e">
        <f t="shared" si="354"/>
        <v>#N/A</v>
      </c>
      <c r="FD200" s="169" t="e">
        <f t="shared" si="338"/>
        <v>#DIV/0!</v>
      </c>
      <c r="FE200" s="7" t="e">
        <f t="shared" si="348"/>
        <v>#DIV/0!</v>
      </c>
      <c r="FF200" t="e">
        <f t="shared" si="339"/>
        <v>#DIV/0!</v>
      </c>
      <c r="FG200" s="8" t="e">
        <f t="shared" si="340"/>
        <v>#DIV/0!</v>
      </c>
      <c r="FH200" s="8" t="e">
        <f t="shared" si="341"/>
        <v>#DIV/0!</v>
      </c>
      <c r="FI200" s="168" t="e">
        <f t="shared" si="342"/>
        <v>#DIV/0!</v>
      </c>
      <c r="FJ200" s="161" t="e">
        <f t="shared" ca="1" si="349"/>
        <v>#N/A</v>
      </c>
      <c r="FK200" s="169" t="e" vm="3">
        <f t="shared" ca="1" si="355"/>
        <v>#VALUE!</v>
      </c>
      <c r="FL200" s="7" t="e" vm="3">
        <f t="shared" ca="1" si="350"/>
        <v>#VALUE!</v>
      </c>
      <c r="FM200" t="e" vm="3">
        <f t="shared" ca="1" si="344"/>
        <v>#VALUE!</v>
      </c>
      <c r="FN200" s="8" t="e" vm="3">
        <f t="shared" ca="1" si="345"/>
        <v>#VALUE!</v>
      </c>
      <c r="FO200" s="8" t="e" vm="3">
        <f t="shared" ca="1" si="346"/>
        <v>#VALUE!</v>
      </c>
      <c r="FP200" s="168" t="e" vm="3">
        <f t="shared" ca="1" si="347"/>
        <v>#VALUE!</v>
      </c>
      <c r="FQ200" s="161" t="e">
        <f t="shared" si="351"/>
        <v>#N/A</v>
      </c>
      <c r="FR200" s="169" t="e">
        <f t="shared" si="356"/>
        <v>#N/A</v>
      </c>
      <c r="FS200" s="7" t="e">
        <f t="shared" si="352"/>
        <v>#N/A</v>
      </c>
      <c r="FT200" t="e">
        <f t="shared" si="357"/>
        <v>#N/A</v>
      </c>
      <c r="FU200" s="8" t="e">
        <f t="shared" si="358"/>
        <v>#N/A</v>
      </c>
      <c r="FV200" s="8" t="e">
        <f t="shared" si="359"/>
        <v>#N/A</v>
      </c>
      <c r="FW200" s="168" t="e">
        <f t="shared" si="360"/>
        <v>#N/A</v>
      </c>
      <c r="FX200" s="161" t="e">
        <f t="shared" si="361"/>
        <v>#N/A</v>
      </c>
      <c r="FY200" s="169" t="e">
        <f t="shared" si="362"/>
        <v>#N/A</v>
      </c>
      <c r="FZ200" s="7" t="e">
        <f t="shared" si="353"/>
        <v>#N/A</v>
      </c>
      <c r="GA200" t="e">
        <f t="shared" si="363"/>
        <v>#N/A</v>
      </c>
      <c r="GB200" s="8" t="e">
        <f t="shared" si="364"/>
        <v>#N/A</v>
      </c>
      <c r="GC200" s="8" t="e">
        <f t="shared" si="365"/>
        <v>#N/A</v>
      </c>
      <c r="GD200" s="168" t="e">
        <f t="shared" si="366"/>
        <v>#N/A</v>
      </c>
      <c r="GE200" s="168"/>
      <c r="GF200" s="168"/>
      <c r="GI200" s="54">
        <f t="shared" si="307"/>
        <v>190</v>
      </c>
      <c r="GJ200" s="54">
        <f t="shared" si="308"/>
        <v>191</v>
      </c>
      <c r="GK200" s="54">
        <f t="shared" si="309"/>
        <v>1.4612726409010586</v>
      </c>
      <c r="GL200" s="54">
        <f t="shared" si="310"/>
        <v>0.1371613376813367</v>
      </c>
      <c r="GM200" s="54" t="e">
        <f t="shared" si="311"/>
        <v>#N/A</v>
      </c>
      <c r="GN200" s="54" t="e">
        <f t="shared" si="312"/>
        <v>#N/A</v>
      </c>
      <c r="GO200" s="54" t="e">
        <f t="shared" si="313"/>
        <v>#N/A</v>
      </c>
      <c r="GP200" s="54" t="b">
        <f t="shared" si="314"/>
        <v>0</v>
      </c>
      <c r="GQ200" s="54" t="b">
        <f t="shared" si="315"/>
        <v>1</v>
      </c>
      <c r="GR200" s="54" t="b">
        <f t="shared" si="316"/>
        <v>0</v>
      </c>
      <c r="GS200" s="54" t="b">
        <f t="shared" si="317"/>
        <v>1</v>
      </c>
      <c r="GT200" s="54">
        <f t="shared" si="318"/>
        <v>0.1371613376813367</v>
      </c>
      <c r="GU200" s="54" t="e">
        <f t="shared" si="319"/>
        <v>#N/A</v>
      </c>
      <c r="GV200" s="54">
        <f t="shared" si="320"/>
        <v>0.1371613376813367</v>
      </c>
      <c r="GW200" s="72" t="str">
        <f t="shared" si="321"/>
        <v/>
      </c>
      <c r="HC200" s="54">
        <f t="shared" si="322"/>
        <v>190</v>
      </c>
      <c r="HD200" s="54">
        <f t="shared" si="323"/>
        <v>191</v>
      </c>
      <c r="HE200" s="54">
        <f t="shared" si="324"/>
        <v>2.2628113747824683</v>
      </c>
      <c r="HF200" s="54" t="e">
        <f t="shared" si="325"/>
        <v>#N/A</v>
      </c>
      <c r="HG200" s="54">
        <f t="shared" si="326"/>
        <v>4.2833895415660177E-2</v>
      </c>
      <c r="HH200" s="54" t="e">
        <f t="shared" si="327"/>
        <v>#N/A</v>
      </c>
      <c r="HI200" s="54" t="e">
        <f t="shared" si="328"/>
        <v>#N/A</v>
      </c>
      <c r="HJ200" s="54" t="b">
        <f t="shared" si="329"/>
        <v>0</v>
      </c>
      <c r="HK200" s="54" t="b">
        <f t="shared" si="330"/>
        <v>1</v>
      </c>
      <c r="HL200" s="54" t="b">
        <f t="shared" si="331"/>
        <v>1</v>
      </c>
      <c r="HM200" s="54" t="b">
        <f t="shared" si="332"/>
        <v>0</v>
      </c>
      <c r="HN200" s="54">
        <f t="shared" si="333"/>
        <v>4.2833895415660177E-2</v>
      </c>
      <c r="HO200" s="54" t="e">
        <f t="shared" si="334"/>
        <v>#N/A</v>
      </c>
      <c r="HP200" s="54">
        <f t="shared" si="335"/>
        <v>4.2833895415660177E-2</v>
      </c>
      <c r="HQ200" s="72" t="str">
        <f t="shared" si="336"/>
        <v/>
      </c>
    </row>
    <row r="201" spans="71:225" x14ac:dyDescent="0.2">
      <c r="BS201" s="54">
        <f t="shared" si="263"/>
        <v>191</v>
      </c>
      <c r="BT201" s="54">
        <f>Eu_tabel_g[[#This Row],[Indeks]]+1</f>
        <v>192</v>
      </c>
      <c r="BU201" s="54">
        <f t="shared" si="264"/>
        <v>1.4852279300961584</v>
      </c>
      <c r="BV201" s="54">
        <f t="shared" si="265"/>
        <v>0.13240504455009261</v>
      </c>
      <c r="BW201" s="54" t="e">
        <f t="shared" si="266"/>
        <v>#N/A</v>
      </c>
      <c r="BX201" s="54" t="e">
        <f t="shared" si="267"/>
        <v>#N/A</v>
      </c>
      <c r="BY201" s="54" t="e">
        <f t="shared" si="268"/>
        <v>#N/A</v>
      </c>
      <c r="BZ201" s="54" t="b">
        <f t="shared" si="269"/>
        <v>0</v>
      </c>
      <c r="CA201" s="54" t="b">
        <f t="shared" si="270"/>
        <v>1</v>
      </c>
      <c r="CB201" s="54" t="b">
        <f t="shared" si="271"/>
        <v>0</v>
      </c>
      <c r="CC201" s="54" t="b">
        <f t="shared" si="272"/>
        <v>1</v>
      </c>
      <c r="CD201" s="54">
        <f t="shared" si="343"/>
        <v>0.13240504455009261</v>
      </c>
      <c r="CE201" s="54" t="e">
        <f t="shared" si="273"/>
        <v>#N/A</v>
      </c>
      <c r="CF201" s="54">
        <f t="shared" si="274"/>
        <v>0.13240504455009261</v>
      </c>
      <c r="CG201" s="72" t="str">
        <f t="shared" si="275"/>
        <v/>
      </c>
      <c r="CH201" s="54">
        <f>_xlfn.NORM.DIST(_xlfn.NORM.INV(1-Eu_g_konfidensniveau,0,1)-Eu_tabel_g[[#This Row],[x base]],0,1,TRUE)</f>
        <v>8.7378888461065081E-4</v>
      </c>
      <c r="CI201" s="54">
        <f>1-_xlfn.NORM.DIST(_xlfn.NORM.INV(Eu_g_konfidensniveau,0,1)-Eu_tabel_g[[#This Row],[x base]],0,1,TRUE)</f>
        <v>0.43658796768610664</v>
      </c>
      <c r="CJ201" s="54">
        <f>_xlfn.NORM.DIST(_xlfn.NORM.INV((1-Eu_g_konfidensniveau)/2,0,1)-Eu_tabel_g[[#This Row],[x base]],0,1,TRUE)+1-_xlfn.NORM.DIST(_xlfn.NORM.INV(1-(1-Eu_g_konfidensniveau)/2,0,1)-Eu_tabel_g[[#This Row],[x base]],0,1,TRUE)</f>
        <v>0.31777288511858404</v>
      </c>
      <c r="CK201" s="54" t="e" cm="1">
        <f t="array" ref="CK201">IF($CK$3,INDEX(Eu_tabel_g[[#This Row],[Styrke venstre]:[Styrke tosidet]],CK$7),NA())</f>
        <v>#N/A</v>
      </c>
      <c r="CL201" s="99" t="e">
        <f>Eu_tabel_g[[#This Row],[Falsk positiv
Nulhypotese accepteres
Fejltype 1]]</f>
        <v>#N/A</v>
      </c>
      <c r="CM201" s="99" t="e">
        <f>IF(CHOOSE(CK$7,Eu_tabel_g[[#This Row],[x base]]&gt;0,Eu_tabel_g[[#This Row],[x base]]&lt;0,Eu_tabel_g[[#This Row],[x base]]=0),Eu_tabel_g[[#This Row],[Styrke, aktiv]],NA())</f>
        <v>#N/A</v>
      </c>
      <c r="CN201" s="99" t="e">
        <f>IFERROR(IF($CK$3,Eu_tabel_g[[#This Row],[Styrke, aktiv]],NA()),NA())</f>
        <v>#N/A</v>
      </c>
      <c r="CO201" s="99" t="e">
        <f>IF(ISNA(Eu_tabel_g[[#This Row],[Sand negativ
Nulhypotese afvises
Korrekt]]),NA(),IF($CK$3,1,NA()))</f>
        <v>#N/A</v>
      </c>
      <c r="CP201" s="56" t="str" cm="1">
        <f t="array" ref="CP201">_xlfn.SWITCH(BS201,_xlfn.IFNA(CN$2,-99),CN$5,_xlfn.IFNA(CN$3,-99),CN$6,_xlfn.IFNA(CN$4,-99),CN$7,"")</f>
        <v/>
      </c>
      <c r="CT201" s="7">
        <f t="shared" si="276"/>
        <v>0.8</v>
      </c>
      <c r="CU201">
        <f>IF(ROW(Styrkeberegning_G[[#This Row],[X base venstre]])=ROW(Styrkeberegning_G[[#Headers],[X base venstre]])+1,CU$7/(CT$7/$B$67),CU200/(CT200/$B$67))</f>
        <v>-2.8015817870135784</v>
      </c>
      <c r="CV201">
        <f>Styrkeberegning_G[[#This Row],[X base venstre]]*-1</f>
        <v>2.8015817870135784</v>
      </c>
      <c r="DG201" s="54">
        <f t="shared" si="277"/>
        <v>191</v>
      </c>
      <c r="DH201" s="54">
        <f t="shared" si="278"/>
        <v>192</v>
      </c>
      <c r="DI201" s="54">
        <f t="shared" si="279"/>
        <v>23.621386240300883</v>
      </c>
      <c r="DJ201" s="54" t="e">
        <f t="shared" si="280"/>
        <v>#N/A</v>
      </c>
      <c r="DK201" s="54" t="e">
        <f t="shared" si="281"/>
        <v>#N/A</v>
      </c>
      <c r="DL201" s="54">
        <f t="shared" si="282"/>
        <v>4.742787013801879E-3</v>
      </c>
      <c r="DM201" s="54" t="e">
        <f t="shared" si="283"/>
        <v>#N/A</v>
      </c>
      <c r="DN201" s="54" t="b">
        <f t="shared" si="284"/>
        <v>0</v>
      </c>
      <c r="DO201" s="54" t="b">
        <f t="shared" si="285"/>
        <v>1</v>
      </c>
      <c r="DP201" s="54" t="b">
        <f t="shared" si="286"/>
        <v>1</v>
      </c>
      <c r="DQ201" s="54" t="b">
        <f t="shared" si="287"/>
        <v>0</v>
      </c>
      <c r="DR201" s="54">
        <f t="shared" si="288"/>
        <v>4.742787013801879E-3</v>
      </c>
      <c r="DS201" s="54">
        <f t="shared" si="289"/>
        <v>4.742787013801879E-3</v>
      </c>
      <c r="DT201" s="54" t="e">
        <f t="shared" si="290"/>
        <v>#N/A</v>
      </c>
      <c r="DU201" s="72" t="str">
        <f t="shared" si="291"/>
        <v/>
      </c>
      <c r="DZ201" s="54">
        <f t="shared" si="292"/>
        <v>191</v>
      </c>
      <c r="EA201" s="54">
        <f t="shared" si="293"/>
        <v>192</v>
      </c>
      <c r="EB201" s="54">
        <f t="shared" si="294"/>
        <v>1.4852279300961584</v>
      </c>
      <c r="EC201" s="54">
        <f t="shared" si="295"/>
        <v>0.13240504455009261</v>
      </c>
      <c r="ED201" s="54" t="e">
        <f t="shared" si="296"/>
        <v>#N/A</v>
      </c>
      <c r="EE201" s="54" t="e">
        <f t="shared" si="297"/>
        <v>#N/A</v>
      </c>
      <c r="EF201" s="54" t="e">
        <f t="shared" si="298"/>
        <v>#N/A</v>
      </c>
      <c r="EG201" s="54" t="b">
        <f t="shared" si="299"/>
        <v>0</v>
      </c>
      <c r="EH201" s="54" t="b">
        <f t="shared" si="300"/>
        <v>1</v>
      </c>
      <c r="EI201" s="54" t="b">
        <f t="shared" si="301"/>
        <v>0</v>
      </c>
      <c r="EJ201" s="54" t="b">
        <f t="shared" si="302"/>
        <v>1</v>
      </c>
      <c r="EK201" s="54">
        <f t="shared" si="303"/>
        <v>0.13240504455009261</v>
      </c>
      <c r="EL201" s="54" t="e">
        <f t="shared" si="304"/>
        <v>#N/A</v>
      </c>
      <c r="EM201" s="54">
        <f t="shared" si="305"/>
        <v>0.13240504455009261</v>
      </c>
      <c r="EN201" s="72" t="str">
        <f t="shared" si="306"/>
        <v/>
      </c>
      <c r="EO20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0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0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01" s="54" t="e" cm="1">
        <f t="array" ref="ER201">IF($CK$3,INDEX(Eu_tabel_a[[#This Row],[Styrke venstre]:[Styrke tosidet]],ER$7),NA())</f>
        <v>#N/A</v>
      </c>
      <c r="ES201" s="54" t="e">
        <f>IF(ER$3,IF(CHOOSE(ER$7,Eu_tabel_a[[#This Row],[x base]]&gt;0,Eu_tabel_a[[#This Row],[x base]]&lt;0,Eu_tabel_a[[#This Row],[x base]]=0),1,NA()),NA())</f>
        <v>#N/A</v>
      </c>
      <c r="ET201" s="54" t="e">
        <f>IF(CHOOSE(ER$7,Eu_tabel_a[[#This Row],[x base]]&gt;0,Eu_tabel_a[[#This Row],[x base]]&lt;0,Eu_tabel_a[[#This Row],[x base]]=0),Eu_tabel_a[[#This Row],[Styrke, aktiv]],NA())</f>
        <v>#N/A</v>
      </c>
      <c r="EU201" s="54" t="e">
        <f>IFERROR(IF($ER$3,Eu_tabel_a[[#This Row],[Styrke, aktiv]],NA()),NA())</f>
        <v>#N/A</v>
      </c>
      <c r="EV201" s="54" t="e">
        <f>IF(ISNA(Eu_tabel_a[[#This Row],[Sand negativ
Nulhypotese afvises
Korrekt]]),NA(),IF(ER$3,1,NA()))</f>
        <v>#N/A</v>
      </c>
      <c r="EW201" s="55" t="str" cm="1">
        <f t="array" ref="EW201">IFERROR(_xlfn.SWITCH(Eu_tabel_a[[#This Row],[Indeks]],_xlfn.IFNA(EU$2,-99),EU$5,_xlfn.IFNA(EU$3,-99),EU$6,_xlfn.IFNA(EU$4,-99),EU$7,""),"")</f>
        <v/>
      </c>
      <c r="EX201" s="54">
        <f>Eu_tabel_a[[#This Row],[x base]]*SQRT(Eu_a_h0_x*(1-Eu_a_h0_x)/Eu_a_n_x)+Eu_a_h0_x</f>
        <v>0</v>
      </c>
      <c r="FC201" s="161" t="e">
        <f t="shared" si="354"/>
        <v>#N/A</v>
      </c>
      <c r="FD201" s="169" t="e">
        <f t="shared" si="338"/>
        <v>#DIV/0!</v>
      </c>
      <c r="FE201" s="7" t="e">
        <f t="shared" si="348"/>
        <v>#DIV/0!</v>
      </c>
      <c r="FF201" t="e">
        <f t="shared" si="339"/>
        <v>#DIV/0!</v>
      </c>
      <c r="FG201" s="8" t="e">
        <f t="shared" si="340"/>
        <v>#DIV/0!</v>
      </c>
      <c r="FH201" s="8" t="e">
        <f t="shared" si="341"/>
        <v>#DIV/0!</v>
      </c>
      <c r="FI201" s="168" t="e">
        <f t="shared" si="342"/>
        <v>#DIV/0!</v>
      </c>
      <c r="FJ201" s="161" t="e">
        <f t="shared" ca="1" si="349"/>
        <v>#N/A</v>
      </c>
      <c r="FK201" s="169" t="e" vm="3">
        <f t="shared" ca="1" si="355"/>
        <v>#VALUE!</v>
      </c>
      <c r="FL201" s="7" t="e" vm="3">
        <f t="shared" ca="1" si="350"/>
        <v>#VALUE!</v>
      </c>
      <c r="FM201" t="e" vm="3">
        <f t="shared" ca="1" si="344"/>
        <v>#VALUE!</v>
      </c>
      <c r="FN201" s="8" t="e" vm="3">
        <f t="shared" ca="1" si="345"/>
        <v>#VALUE!</v>
      </c>
      <c r="FO201" s="8" t="e" vm="3">
        <f t="shared" ca="1" si="346"/>
        <v>#VALUE!</v>
      </c>
      <c r="FP201" s="168" t="e" vm="3">
        <f t="shared" ca="1" si="347"/>
        <v>#VALUE!</v>
      </c>
      <c r="FQ201" s="161" t="e">
        <f t="shared" si="351"/>
        <v>#N/A</v>
      </c>
      <c r="FR201" s="169" t="e">
        <f t="shared" si="356"/>
        <v>#N/A</v>
      </c>
      <c r="FS201" s="7" t="e">
        <f t="shared" si="352"/>
        <v>#N/A</v>
      </c>
      <c r="FT201" t="e">
        <f t="shared" si="357"/>
        <v>#N/A</v>
      </c>
      <c r="FU201" s="8" t="e">
        <f t="shared" si="358"/>
        <v>#N/A</v>
      </c>
      <c r="FV201" s="8" t="e">
        <f t="shared" si="359"/>
        <v>#N/A</v>
      </c>
      <c r="FW201" s="168" t="e">
        <f t="shared" si="360"/>
        <v>#N/A</v>
      </c>
      <c r="FX201" s="161" t="e">
        <f t="shared" si="361"/>
        <v>#N/A</v>
      </c>
      <c r="FY201" s="169" t="e">
        <f t="shared" si="362"/>
        <v>#N/A</v>
      </c>
      <c r="FZ201" s="7" t="e">
        <f t="shared" si="353"/>
        <v>#N/A</v>
      </c>
      <c r="GA201" t="e">
        <f t="shared" si="363"/>
        <v>#N/A</v>
      </c>
      <c r="GB201" s="8" t="e">
        <f t="shared" si="364"/>
        <v>#N/A</v>
      </c>
      <c r="GC201" s="8" t="e">
        <f t="shared" si="365"/>
        <v>#N/A</v>
      </c>
      <c r="GD201" s="168" t="e">
        <f t="shared" si="366"/>
        <v>#N/A</v>
      </c>
      <c r="GE201" s="168"/>
      <c r="GF201" s="168"/>
      <c r="GI201" s="54">
        <f t="shared" si="307"/>
        <v>191</v>
      </c>
      <c r="GJ201" s="54">
        <f t="shared" si="308"/>
        <v>192</v>
      </c>
      <c r="GK201" s="54">
        <f t="shared" si="309"/>
        <v>1.4852279300961584</v>
      </c>
      <c r="GL201" s="54">
        <f t="shared" si="310"/>
        <v>0.13240504455009261</v>
      </c>
      <c r="GM201" s="54" t="e">
        <f t="shared" si="311"/>
        <v>#N/A</v>
      </c>
      <c r="GN201" s="54" t="e">
        <f t="shared" si="312"/>
        <v>#N/A</v>
      </c>
      <c r="GO201" s="54" t="e">
        <f t="shared" si="313"/>
        <v>#N/A</v>
      </c>
      <c r="GP201" s="54" t="b">
        <f t="shared" si="314"/>
        <v>0</v>
      </c>
      <c r="GQ201" s="54" t="b">
        <f t="shared" si="315"/>
        <v>1</v>
      </c>
      <c r="GR201" s="54" t="b">
        <f t="shared" si="316"/>
        <v>0</v>
      </c>
      <c r="GS201" s="54" t="b">
        <f t="shared" si="317"/>
        <v>1</v>
      </c>
      <c r="GT201" s="54">
        <f t="shared" si="318"/>
        <v>0.13240504455009261</v>
      </c>
      <c r="GU201" s="54" t="e">
        <f t="shared" si="319"/>
        <v>#N/A</v>
      </c>
      <c r="GV201" s="54">
        <f t="shared" si="320"/>
        <v>0.13240504455009261</v>
      </c>
      <c r="GW201" s="72" t="str">
        <f t="shared" si="321"/>
        <v/>
      </c>
      <c r="HC201" s="54">
        <f t="shared" si="322"/>
        <v>191</v>
      </c>
      <c r="HD201" s="54">
        <f t="shared" si="323"/>
        <v>192</v>
      </c>
      <c r="HE201" s="54">
        <f t="shared" si="324"/>
        <v>2.2999066432215249</v>
      </c>
      <c r="HF201" s="54" t="e">
        <f t="shared" si="325"/>
        <v>#N/A</v>
      </c>
      <c r="HG201" s="54">
        <f t="shared" si="326"/>
        <v>4.0522517174392161E-2</v>
      </c>
      <c r="HH201" s="54" t="e">
        <f t="shared" si="327"/>
        <v>#N/A</v>
      </c>
      <c r="HI201" s="54" t="e">
        <f t="shared" si="328"/>
        <v>#N/A</v>
      </c>
      <c r="HJ201" s="54" t="b">
        <f t="shared" si="329"/>
        <v>0</v>
      </c>
      <c r="HK201" s="54" t="b">
        <f t="shared" si="330"/>
        <v>1</v>
      </c>
      <c r="HL201" s="54" t="b">
        <f t="shared" si="331"/>
        <v>1</v>
      </c>
      <c r="HM201" s="54" t="b">
        <f t="shared" si="332"/>
        <v>0</v>
      </c>
      <c r="HN201" s="54">
        <f t="shared" si="333"/>
        <v>4.0522517174392161E-2</v>
      </c>
      <c r="HO201" s="54" t="e">
        <f t="shared" si="334"/>
        <v>#N/A</v>
      </c>
      <c r="HP201" s="54">
        <f t="shared" si="335"/>
        <v>4.0522517174392161E-2</v>
      </c>
      <c r="HQ201" s="72" t="str">
        <f t="shared" si="336"/>
        <v/>
      </c>
    </row>
    <row r="202" spans="71:225" x14ac:dyDescent="0.2">
      <c r="BS202" s="54">
        <f t="shared" ref="BS202:BS268" si="367">ROW(BS202)-ROW(BS$10)</f>
        <v>192</v>
      </c>
      <c r="BT202" s="54">
        <f>Eu_tabel_g[[#This Row],[Indeks]]+1</f>
        <v>193</v>
      </c>
      <c r="BU202" s="54">
        <f t="shared" ref="BU202:BU268" si="368">BU$5+(BU$7-BU$5)/BU$3*BS202</f>
        <v>1.5091832192912573</v>
      </c>
      <c r="BV202" s="54">
        <f t="shared" ref="BV202:BV265" si="369">IF(BV$3,_xlfn.NORM.DIST(BU202,BV$5,BV$7,FALSE),NA())</f>
        <v>0.12774035804918912</v>
      </c>
      <c r="BW202" s="54" t="e">
        <f t="shared" ref="BW202:BW268" si="370">IF(BW$3,_xlfn.T.DIST(BU202,BW$5,FALSE),NA())</f>
        <v>#N/A</v>
      </c>
      <c r="BX202" s="54" t="e">
        <f t="shared" ref="BX202:BX268" si="371">IF(BX$3,_xlfn.CHISQ.DIST(BU202,BX$5,FALSE),NA())</f>
        <v>#N/A</v>
      </c>
      <c r="BY202" s="54" t="e">
        <f t="shared" ref="BY202:BY268" si="372">IF(BY$3,_xlfn.F.DIST(BU202,BY$5,BY$7,FALSE),NA())</f>
        <v>#N/A</v>
      </c>
      <c r="BZ202" s="54" t="b">
        <f t="shared" ref="BZ202:BZ268" si="373">BU202&lt;BZ$3</f>
        <v>0</v>
      </c>
      <c r="CA202" s="54" t="b">
        <f t="shared" ref="CA202:CA265" si="374">BU202&gt;BZ$3</f>
        <v>1</v>
      </c>
      <c r="CB202" s="54" t="b">
        <f t="shared" ref="CB202:CB268" si="375">OR(BU202&lt;CB$3,BU202&gt;CB$5)</f>
        <v>0</v>
      </c>
      <c r="CC202" s="54" t="b">
        <f t="shared" ref="CC202:CC265" si="376">AND(BU202&gt;CB$3,BU202&lt;CB$5)</f>
        <v>1</v>
      </c>
      <c r="CD202" s="54">
        <f t="shared" si="343"/>
        <v>0.12774035804918912</v>
      </c>
      <c r="CE202" s="54" t="e">
        <f t="shared" ref="CE202:CE265" si="377">IF(INDEX(BZ202:CC202,CD$7),CD202,NA())</f>
        <v>#N/A</v>
      </c>
      <c r="CF202" s="54">
        <f t="shared" ref="CF202:CF265" si="378">IF(INDEX(BZ202:CC202,CE$7),CD202,NA())</f>
        <v>0.12774035804918912</v>
      </c>
      <c r="CG202" s="72" t="str">
        <f t="shared" ref="CG202:CG268" si="379">_xlfn.SWITCH(BS202,CG$2,CG$5,CG$3,CG$6,CG$4,CG$7,"")</f>
        <v/>
      </c>
      <c r="CH202" s="54">
        <f>_xlfn.NORM.DIST(_xlfn.NORM.INV(1-Eu_g_konfidensniveau,0,1)-Eu_tabel_g[[#This Row],[x base]],0,1,TRUE)</f>
        <v>8.0514376711931569E-4</v>
      </c>
      <c r="CI202" s="54">
        <f>1-_xlfn.NORM.DIST(_xlfn.NORM.INV(Eu_g_konfidensniveau,0,1)-Eu_tabel_g[[#This Row],[x base]],0,1,TRUE)</f>
        <v>0.44604092132101625</v>
      </c>
      <c r="CJ202" s="54">
        <f>_xlfn.NORM.DIST(_xlfn.NORM.INV((1-Eu_g_konfidensniveau)/2,0,1)-Eu_tabel_g[[#This Row],[x base]],0,1,TRUE)+1-_xlfn.NORM.DIST(_xlfn.NORM.INV(1-(1-Eu_g_konfidensniveau)/2,0,1)-Eu_tabel_g[[#This Row],[x base]],0,1,TRUE)</f>
        <v>0.32633483948430786</v>
      </c>
      <c r="CK202" s="54" t="e" cm="1">
        <f t="array" ref="CK202">IF($CK$3,INDEX(Eu_tabel_g[[#This Row],[Styrke venstre]:[Styrke tosidet]],CK$7),NA())</f>
        <v>#N/A</v>
      </c>
      <c r="CL202" s="99" t="e">
        <f>Eu_tabel_g[[#This Row],[Falsk positiv
Nulhypotese accepteres
Fejltype 1]]</f>
        <v>#N/A</v>
      </c>
      <c r="CM202" s="99" t="e">
        <f>IF(CHOOSE(CK$7,Eu_tabel_g[[#This Row],[x base]]&gt;0,Eu_tabel_g[[#This Row],[x base]]&lt;0,Eu_tabel_g[[#This Row],[x base]]=0),Eu_tabel_g[[#This Row],[Styrke, aktiv]],NA())</f>
        <v>#N/A</v>
      </c>
      <c r="CN202" s="99" t="e">
        <f>IFERROR(IF($CK$3,Eu_tabel_g[[#This Row],[Styrke, aktiv]],NA()),NA())</f>
        <v>#N/A</v>
      </c>
      <c r="CO202" s="99" t="e">
        <f>IF(ISNA(Eu_tabel_g[[#This Row],[Sand negativ
Nulhypotese afvises
Korrekt]]),NA(),IF($CK$3,1,NA()))</f>
        <v>#N/A</v>
      </c>
      <c r="CP202" s="56" t="str" cm="1">
        <f t="array" ref="CP202">_xlfn.SWITCH(BS202,_xlfn.IFNA(CN$2,-99),CN$5,_xlfn.IFNA(CN$3,-99),CN$6,_xlfn.IFNA(CN$4,-99),CN$7,"")</f>
        <v/>
      </c>
      <c r="CT202" s="7">
        <f t="shared" ref="CT202:CT265" si="380">_xlfn.NORM.DIST(_xlfn.NORM.INV((1-Eu_g_konfidensniveau)/2,0,1)-CU202,0,1,TRUE)+1-_xlfn.NORM.DIST(_xlfn.NORM.INV(1-(1-Eu_g_konfidensniveau)/2,0,1)-CU202,0,1,TRUE)</f>
        <v>0.8</v>
      </c>
      <c r="CU202">
        <f>IF(ROW(Styrkeberegning_G[[#This Row],[X base venstre]])=ROW(Styrkeberegning_G[[#Headers],[X base venstre]])+1,CU$7/(CT$7/$B$67),CU201/(CT201/$B$67))</f>
        <v>-2.8015817870135784</v>
      </c>
      <c r="CV202">
        <f>Styrkeberegning_G[[#This Row],[X base venstre]]*-1</f>
        <v>2.8015817870135784</v>
      </c>
      <c r="DG202" s="54">
        <f t="shared" ref="DG202:DG268" si="381">ROW(DG202)-ROW(DG$10)</f>
        <v>192</v>
      </c>
      <c r="DH202" s="54">
        <f t="shared" ref="DH202:DH265" si="382">DG202+1</f>
        <v>193</v>
      </c>
      <c r="DI202" s="54">
        <f t="shared" ref="DI202:DI268" si="383">DI$5+(DI$7-DI$5)/DI$3*DG202</f>
        <v>23.735457096717884</v>
      </c>
      <c r="DJ202" s="54" t="e">
        <f t="shared" ref="DJ202:DJ265" si="384">IF(DJ$3,_xlfn.NORM.DIST(DI202,DJ$5,DJ$7,FALSE),NA())</f>
        <v>#N/A</v>
      </c>
      <c r="DK202" s="54" t="e">
        <f t="shared" ref="DK202:DK268" si="385">IF(DK$3,_xlfn.T.DIST(DI202,DK$5,FALSE),NA())</f>
        <v>#N/A</v>
      </c>
      <c r="DL202" s="54">
        <f t="shared" ref="DL202:DL268" si="386">IF(DL$3,_xlfn.CHISQ.DIST(DI202,DL$5,FALSE),NA())</f>
        <v>4.5780278989119051E-3</v>
      </c>
      <c r="DM202" s="54" t="e">
        <f t="shared" ref="DM202:DM268" si="387">IF(DM$3,_xlfn.F.DIST(DI202,DM$5,DM$7,FALSE),NA())</f>
        <v>#N/A</v>
      </c>
      <c r="DN202" s="54" t="b">
        <f t="shared" ref="DN202:DN268" si="388">DI202&lt;DN$3</f>
        <v>0</v>
      </c>
      <c r="DO202" s="54" t="b">
        <f t="shared" ref="DO202:DO265" si="389">DI202&gt;DN$3</f>
        <v>1</v>
      </c>
      <c r="DP202" s="54" t="b">
        <f t="shared" ref="DP202:DP268" si="390">OR(DI202&lt;DP$3,DI202&gt;DP$5)</f>
        <v>1</v>
      </c>
      <c r="DQ202" s="54" t="b">
        <f t="shared" ref="DQ202:DQ265" si="391">AND(DI202&gt;DP$3,DI202&lt;DP$5)</f>
        <v>0</v>
      </c>
      <c r="DR202" s="54">
        <f t="shared" ref="DR202:DR265" si="392">_xlfn.AGGREGATE(9,6,DJ202:DM202)</f>
        <v>4.5780278989119051E-3</v>
      </c>
      <c r="DS202" s="54">
        <f t="shared" ref="DS202:DS265" si="393">IF(INDEX(DN202:DQ202,DR$7),DR202,NA())</f>
        <v>4.5780278989119051E-3</v>
      </c>
      <c r="DT202" s="54" t="e">
        <f t="shared" ref="DT202:DT265" si="394">IF(INDEX(DN202:DQ202,DS$7),DR202,NA())</f>
        <v>#N/A</v>
      </c>
      <c r="DU202" s="72" t="str">
        <f t="shared" ref="DU202:DU268" si="395">_xlfn.SWITCH(DG202,DU$2,DU$5,DU$3,DU$6,DU$4,DU$7,"")</f>
        <v/>
      </c>
      <c r="DZ202" s="54">
        <f t="shared" ref="DZ202:DZ268" si="396">ROW(DZ202)-ROW(DZ$10)</f>
        <v>192</v>
      </c>
      <c r="EA202" s="54">
        <f t="shared" ref="EA202:EA265" si="397">DZ202+1</f>
        <v>193</v>
      </c>
      <c r="EB202" s="54">
        <f t="shared" ref="EB202:EB268" si="398">EB$5+(EB$7-EB$5)/EB$3*DZ202</f>
        <v>1.5091832192912573</v>
      </c>
      <c r="EC202" s="54">
        <f t="shared" ref="EC202:EC265" si="399">IF(EC$3,_xlfn.NORM.DIST(EB202,EC$5,EC$7,FALSE),NA())</f>
        <v>0.12774035804918912</v>
      </c>
      <c r="ED202" s="54" t="e">
        <f t="shared" ref="ED202:ED268" si="400">IF(ED$3,_xlfn.T.DIST(EB202,ED$5,FALSE),NA())</f>
        <v>#N/A</v>
      </c>
      <c r="EE202" s="54" t="e">
        <f t="shared" ref="EE202:EE268" si="401">IF(EE$3,_xlfn.CHISQ.DIST(EB202,EE$5,FALSE),NA())</f>
        <v>#N/A</v>
      </c>
      <c r="EF202" s="54" t="e">
        <f t="shared" ref="EF202:EF268" si="402">IF(EF$3,_xlfn.F.DIST(EB202,EF$5,EF$7,FALSE),NA())</f>
        <v>#N/A</v>
      </c>
      <c r="EG202" s="54" t="b">
        <f t="shared" ref="EG202:EG268" si="403">EB202&lt;EG$3</f>
        <v>0</v>
      </c>
      <c r="EH202" s="54" t="b">
        <f t="shared" ref="EH202:EH265" si="404">EB202&gt;EG$3</f>
        <v>1</v>
      </c>
      <c r="EI202" s="54" t="b">
        <f t="shared" ref="EI202:EI268" si="405">OR(EB202&lt;EI$3,EB202&gt;EI$5)</f>
        <v>0</v>
      </c>
      <c r="EJ202" s="54" t="b">
        <f t="shared" ref="EJ202:EJ265" si="406">AND(EB202&gt;EI$3,EB202&lt;EI$5)</f>
        <v>1</v>
      </c>
      <c r="EK202" s="54">
        <f t="shared" ref="EK202:EK265" si="407">_xlfn.AGGREGATE(9,6,EC202:EF202)</f>
        <v>0.12774035804918912</v>
      </c>
      <c r="EL202" s="54" t="e">
        <f t="shared" ref="EL202:EL265" si="408">IF(INDEX(EG202:EJ202,EK$7),EK202,NA())</f>
        <v>#N/A</v>
      </c>
      <c r="EM202" s="54">
        <f t="shared" ref="EM202:EM265" si="409">IF(INDEX(EG202:EJ202,EL$7),EK202,NA())</f>
        <v>0.12774035804918912</v>
      </c>
      <c r="EN202" s="72" t="str">
        <f t="shared" ref="EN202:EN268" si="410">_xlfn.SWITCH(DZ202,EN$2,EN$5,EN$3,EN$6,EN$4,EN$7,"")</f>
        <v/>
      </c>
      <c r="EO20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0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0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02" s="54" t="e" cm="1">
        <f t="array" ref="ER202">IF($CK$3,INDEX(Eu_tabel_a[[#This Row],[Styrke venstre]:[Styrke tosidet]],ER$7),NA())</f>
        <v>#N/A</v>
      </c>
      <c r="ES202" s="54" t="e">
        <f>IF(ER$3,IF(CHOOSE(ER$7,Eu_tabel_a[[#This Row],[x base]]&gt;0,Eu_tabel_a[[#This Row],[x base]]&lt;0,Eu_tabel_a[[#This Row],[x base]]=0),1,NA()),NA())</f>
        <v>#N/A</v>
      </c>
      <c r="ET202" s="54" t="e">
        <f>IF(CHOOSE(ER$7,Eu_tabel_a[[#This Row],[x base]]&gt;0,Eu_tabel_a[[#This Row],[x base]]&lt;0,Eu_tabel_a[[#This Row],[x base]]=0),Eu_tabel_a[[#This Row],[Styrke, aktiv]],NA())</f>
        <v>#N/A</v>
      </c>
      <c r="EU202" s="54" t="e">
        <f>IFERROR(IF($ER$3,Eu_tabel_a[[#This Row],[Styrke, aktiv]],NA()),NA())</f>
        <v>#N/A</v>
      </c>
      <c r="EV202" s="54" t="e">
        <f>IF(ISNA(Eu_tabel_a[[#This Row],[Sand negativ
Nulhypotese afvises
Korrekt]]),NA(),IF(ER$3,1,NA()))</f>
        <v>#N/A</v>
      </c>
      <c r="EW202" s="55" t="str" cm="1">
        <f t="array" ref="EW202">IFERROR(_xlfn.SWITCH(Eu_tabel_a[[#This Row],[Indeks]],_xlfn.IFNA(EU$2,-99),EU$5,_xlfn.IFNA(EU$3,-99),EU$6,_xlfn.IFNA(EU$4,-99),EU$7,""),"")</f>
        <v/>
      </c>
      <c r="EX202" s="54">
        <f>Eu_tabel_a[[#This Row],[x base]]*SQRT(Eu_a_h0_x*(1-Eu_a_h0_x)/Eu_a_n_x)+Eu_a_h0_x</f>
        <v>0</v>
      </c>
      <c r="FC202" s="161" t="e">
        <f t="shared" si="354"/>
        <v>#N/A</v>
      </c>
      <c r="FD202" s="169" t="e">
        <f t="shared" si="338"/>
        <v>#DIV/0!</v>
      </c>
      <c r="FE202" s="7" t="e">
        <f t="shared" si="348"/>
        <v>#DIV/0!</v>
      </c>
      <c r="FF202" t="e">
        <f t="shared" si="339"/>
        <v>#DIV/0!</v>
      </c>
      <c r="FG202" s="8" t="e">
        <f t="shared" si="340"/>
        <v>#DIV/0!</v>
      </c>
      <c r="FH202" s="8" t="e">
        <f t="shared" si="341"/>
        <v>#DIV/0!</v>
      </c>
      <c r="FI202" s="168" t="e">
        <f t="shared" si="342"/>
        <v>#DIV/0!</v>
      </c>
      <c r="FJ202" s="161" t="e">
        <f t="shared" ca="1" si="349"/>
        <v>#N/A</v>
      </c>
      <c r="FK202" s="169" t="e" vm="3">
        <f t="shared" ca="1" si="355"/>
        <v>#VALUE!</v>
      </c>
      <c r="FL202" s="7" t="e" vm="3">
        <f t="shared" ca="1" si="350"/>
        <v>#VALUE!</v>
      </c>
      <c r="FM202" t="e" vm="3">
        <f t="shared" ca="1" si="344"/>
        <v>#VALUE!</v>
      </c>
      <c r="FN202" s="8" t="e" vm="3">
        <f t="shared" ca="1" si="345"/>
        <v>#VALUE!</v>
      </c>
      <c r="FO202" s="8" t="e" vm="3">
        <f t="shared" ca="1" si="346"/>
        <v>#VALUE!</v>
      </c>
      <c r="FP202" s="168" t="e" vm="3">
        <f t="shared" ca="1" si="347"/>
        <v>#VALUE!</v>
      </c>
      <c r="FQ202" s="161" t="e">
        <f t="shared" si="351"/>
        <v>#N/A</v>
      </c>
      <c r="FR202" s="169" t="e">
        <f t="shared" si="356"/>
        <v>#N/A</v>
      </c>
      <c r="FS202" s="7" t="e">
        <f t="shared" si="352"/>
        <v>#N/A</v>
      </c>
      <c r="FT202" t="e">
        <f t="shared" si="357"/>
        <v>#N/A</v>
      </c>
      <c r="FU202" s="8" t="e">
        <f t="shared" si="358"/>
        <v>#N/A</v>
      </c>
      <c r="FV202" s="8" t="e">
        <f t="shared" si="359"/>
        <v>#N/A</v>
      </c>
      <c r="FW202" s="168" t="e">
        <f t="shared" si="360"/>
        <v>#N/A</v>
      </c>
      <c r="FX202" s="161" t="e">
        <f t="shared" si="361"/>
        <v>#N/A</v>
      </c>
      <c r="FY202" s="169" t="e">
        <f t="shared" si="362"/>
        <v>#N/A</v>
      </c>
      <c r="FZ202" s="7" t="e">
        <f t="shared" si="353"/>
        <v>#N/A</v>
      </c>
      <c r="GA202" t="e">
        <f t="shared" si="363"/>
        <v>#N/A</v>
      </c>
      <c r="GB202" s="8" t="e">
        <f t="shared" si="364"/>
        <v>#N/A</v>
      </c>
      <c r="GC202" s="8" t="e">
        <f t="shared" si="365"/>
        <v>#N/A</v>
      </c>
      <c r="GD202" s="168" t="e">
        <f t="shared" si="366"/>
        <v>#N/A</v>
      </c>
      <c r="GE202" s="168"/>
      <c r="GF202" s="168"/>
      <c r="GI202" s="54">
        <f t="shared" ref="GI202:GI268" si="411">ROW(GI202)-ROW(GI$10)</f>
        <v>192</v>
      </c>
      <c r="GJ202" s="54">
        <f t="shared" ref="GJ202:GJ265" si="412">GI202+1</f>
        <v>193</v>
      </c>
      <c r="GK202" s="54">
        <f t="shared" ref="GK202:GK268" si="413">GK$5+(GK$7-GK$5)/GK$3*GI202</f>
        <v>1.5091832192912573</v>
      </c>
      <c r="GL202" s="54">
        <f t="shared" ref="GL202:GL265" si="414">IF(GL$3,_xlfn.NORM.DIST(GK202,GL$5,GL$7,FALSE),NA())</f>
        <v>0.12774035804918912</v>
      </c>
      <c r="GM202" s="54" t="e">
        <f t="shared" ref="GM202:GM268" si="415">IF(GM$3,_xlfn.T.DIST(GK202,GM$5,FALSE),NA())</f>
        <v>#N/A</v>
      </c>
      <c r="GN202" s="54" t="e">
        <f t="shared" ref="GN202:GN268" si="416">IF(GN$3,_xlfn.CHISQ.DIST(GK202,GN$5,FALSE),NA())</f>
        <v>#N/A</v>
      </c>
      <c r="GO202" s="54" t="e">
        <f t="shared" ref="GO202:GO268" si="417">IF(GO$3,_xlfn.F.DIST(GK202,GO$5,GO$7,FALSE),NA())</f>
        <v>#N/A</v>
      </c>
      <c r="GP202" s="54" t="b">
        <f t="shared" ref="GP202:GP268" si="418">GK202&lt;GP$3</f>
        <v>0</v>
      </c>
      <c r="GQ202" s="54" t="b">
        <f t="shared" ref="GQ202:GQ265" si="419">GK202&gt;GP$3</f>
        <v>1</v>
      </c>
      <c r="GR202" s="54" t="b">
        <f t="shared" ref="GR202:GR268" si="420">OR(GK202&lt;GR$3,GK202&gt;GR$5)</f>
        <v>0</v>
      </c>
      <c r="GS202" s="54" t="b">
        <f t="shared" ref="GS202:GS265" si="421">AND(GK202&gt;GR$3,GK202&lt;GR$5)</f>
        <v>1</v>
      </c>
      <c r="GT202" s="54">
        <f t="shared" ref="GT202:GT265" si="422">_xlfn.AGGREGATE(9,6,GL202:GO202)</f>
        <v>0.12774035804918912</v>
      </c>
      <c r="GU202" s="54" t="e">
        <f t="shared" ref="GU202:GU265" si="423">IF(INDEX(GP202:GS202,GT$7),GT202,NA())</f>
        <v>#N/A</v>
      </c>
      <c r="GV202" s="54">
        <f t="shared" ref="GV202:GV265" si="424">IF(INDEX(GP202:GS202,GU$7),GT202,NA())</f>
        <v>0.12774035804918912</v>
      </c>
      <c r="GW202" s="72" t="str">
        <f t="shared" ref="GW202:GW268" si="425">_xlfn.SWITCH(GI202,GW$2,GW$5,GW$3,GW$6,GW$4,GW$7,"")</f>
        <v/>
      </c>
      <c r="HC202" s="54">
        <f t="shared" ref="HC202:HC268" si="426">ROW(HC202)-ROW(HC$10)</f>
        <v>192</v>
      </c>
      <c r="HD202" s="54">
        <f t="shared" ref="HD202:HD265" si="427">HC202+1</f>
        <v>193</v>
      </c>
      <c r="HE202" s="54">
        <f t="shared" ref="HE202:HE268" si="428">HE$5+(HE$7-HE$5)/HE$3*HC202</f>
        <v>2.3370019116605816</v>
      </c>
      <c r="HF202" s="54" t="e">
        <f t="shared" ref="HF202:HF265" si="429">IF(HF$3,_xlfn.NORM.DIST(HE202,HF$5,HF$7,FALSE),NA())</f>
        <v>#N/A</v>
      </c>
      <c r="HG202" s="54">
        <f t="shared" ref="HG202:HG268" si="430">IF(HG$3,_xlfn.T.DIST(HE202,HG$5,FALSE),NA())</f>
        <v>3.8331083360961776E-2</v>
      </c>
      <c r="HH202" s="54" t="e">
        <f t="shared" ref="HH202:HH268" si="431">IF(HH$3,_xlfn.CHISQ.DIST(HE202,HH$5,FALSE),NA())</f>
        <v>#N/A</v>
      </c>
      <c r="HI202" s="54" t="e">
        <f t="shared" ref="HI202:HI268" si="432">IF(HI$3,_xlfn.F.DIST(HE202,HI$5,HI$7,FALSE),NA())</f>
        <v>#N/A</v>
      </c>
      <c r="HJ202" s="54" t="b">
        <f t="shared" ref="HJ202:HJ268" si="433">HE202&lt;HJ$3</f>
        <v>0</v>
      </c>
      <c r="HK202" s="54" t="b">
        <f t="shared" ref="HK202:HK265" si="434">HE202&gt;HJ$3</f>
        <v>1</v>
      </c>
      <c r="HL202" s="54" t="b">
        <f t="shared" ref="HL202:HL268" si="435">OR(HE202&lt;HL$3,HE202&gt;HL$5)</f>
        <v>1</v>
      </c>
      <c r="HM202" s="54" t="b">
        <f t="shared" ref="HM202:HM265" si="436">AND(HE202&gt;HL$3,HE202&lt;HL$5)</f>
        <v>0</v>
      </c>
      <c r="HN202" s="54">
        <f t="shared" ref="HN202:HN265" si="437">_xlfn.AGGREGATE(9,6,HF202:HI202)</f>
        <v>3.8331083360961776E-2</v>
      </c>
      <c r="HO202" s="54" t="e">
        <f t="shared" ref="HO202:HO265" si="438">IF(INDEX(HJ202:HM202,HN$7),HN202,NA())</f>
        <v>#N/A</v>
      </c>
      <c r="HP202" s="54">
        <f t="shared" ref="HP202:HP265" si="439">IF(INDEX(HJ202:HM202,HO$7),HN202,NA())</f>
        <v>3.8331083360961776E-2</v>
      </c>
      <c r="HQ202" s="72" t="str">
        <f t="shared" ref="HQ202:HQ268" si="440">_xlfn.SWITCH(HC202,HQ$2,HQ$5,HQ$3,HQ$6,HQ$4,HQ$7,"")</f>
        <v/>
      </c>
    </row>
    <row r="203" spans="71:225" x14ac:dyDescent="0.2">
      <c r="BS203" s="54">
        <f t="shared" si="367"/>
        <v>193</v>
      </c>
      <c r="BT203" s="54">
        <f>Eu_tabel_g[[#This Row],[Indeks]]+1</f>
        <v>194</v>
      </c>
      <c r="BU203" s="54">
        <f t="shared" si="368"/>
        <v>1.5331385084863571</v>
      </c>
      <c r="BV203" s="54">
        <f t="shared" si="369"/>
        <v>0.12316930873768138</v>
      </c>
      <c r="BW203" s="54" t="e">
        <f t="shared" si="370"/>
        <v>#N/A</v>
      </c>
      <c r="BX203" s="54" t="e">
        <f t="shared" si="371"/>
        <v>#N/A</v>
      </c>
      <c r="BY203" s="54" t="e">
        <f t="shared" si="372"/>
        <v>#N/A</v>
      </c>
      <c r="BZ203" s="54" t="b">
        <f t="shared" si="373"/>
        <v>0</v>
      </c>
      <c r="CA203" s="54" t="b">
        <f t="shared" si="374"/>
        <v>1</v>
      </c>
      <c r="CB203" s="54" t="b">
        <f t="shared" si="375"/>
        <v>0</v>
      </c>
      <c r="CC203" s="54" t="b">
        <f t="shared" si="376"/>
        <v>1</v>
      </c>
      <c r="CD203" s="54">
        <f t="shared" si="343"/>
        <v>0.12316930873768138</v>
      </c>
      <c r="CE203" s="54" t="e">
        <f t="shared" si="377"/>
        <v>#N/A</v>
      </c>
      <c r="CF203" s="54">
        <f t="shared" si="378"/>
        <v>0.12316930873768138</v>
      </c>
      <c r="CG203" s="72" t="str">
        <f t="shared" si="379"/>
        <v/>
      </c>
      <c r="CH203" s="54">
        <f>_xlfn.NORM.DIST(_xlfn.NORM.INV(1-Eu_g_konfidensniveau,0,1)-Eu_tabel_g[[#This Row],[x base]],0,1,TRUE)</f>
        <v>7.4149386699190977E-4</v>
      </c>
      <c r="CI203" s="54">
        <f>1-_xlfn.NORM.DIST(_xlfn.NORM.INV(Eu_g_konfidensniveau,0,1)-Eu_tabel_g[[#This Row],[x base]],0,1,TRUE)</f>
        <v>0.45552464578503604</v>
      </c>
      <c r="CJ203" s="54">
        <f>_xlfn.NORM.DIST(_xlfn.NORM.INV((1-Eu_g_konfidensniveau)/2,0,1)-Eu_tabel_g[[#This Row],[x base]],0,1,TRUE)+1-_xlfn.NORM.DIST(_xlfn.NORM.INV(1-(1-Eu_g_konfidensniveau)/2,0,1)-Eu_tabel_g[[#This Row],[x base]],0,1,TRUE)</f>
        <v>0.33499194621031891</v>
      </c>
      <c r="CK203" s="54" t="e" cm="1">
        <f t="array" ref="CK203">IF($CK$3,INDEX(Eu_tabel_g[[#This Row],[Styrke venstre]:[Styrke tosidet]],CK$7),NA())</f>
        <v>#N/A</v>
      </c>
      <c r="CL203" s="99" t="e">
        <f>Eu_tabel_g[[#This Row],[Falsk positiv
Nulhypotese accepteres
Fejltype 1]]</f>
        <v>#N/A</v>
      </c>
      <c r="CM203" s="99" t="e">
        <f>IF(CHOOSE(CK$7,Eu_tabel_g[[#This Row],[x base]]&gt;0,Eu_tabel_g[[#This Row],[x base]]&lt;0,Eu_tabel_g[[#This Row],[x base]]=0),Eu_tabel_g[[#This Row],[Styrke, aktiv]],NA())</f>
        <v>#N/A</v>
      </c>
      <c r="CN203" s="99" t="e">
        <f>IFERROR(IF($CK$3,Eu_tabel_g[[#This Row],[Styrke, aktiv]],NA()),NA())</f>
        <v>#N/A</v>
      </c>
      <c r="CO203" s="99" t="e">
        <f>IF(ISNA(Eu_tabel_g[[#This Row],[Sand negativ
Nulhypotese afvises
Korrekt]]),NA(),IF($CK$3,1,NA()))</f>
        <v>#N/A</v>
      </c>
      <c r="CP203" s="56" t="str" cm="1">
        <f t="array" ref="CP203">_xlfn.SWITCH(BS203,_xlfn.IFNA(CN$2,-99),CN$5,_xlfn.IFNA(CN$3,-99),CN$6,_xlfn.IFNA(CN$4,-99),CN$7,"")</f>
        <v/>
      </c>
      <c r="CT203" s="7">
        <f t="shared" si="380"/>
        <v>0.8</v>
      </c>
      <c r="CU203">
        <f>IF(ROW(Styrkeberegning_G[[#This Row],[X base venstre]])=ROW(Styrkeberegning_G[[#Headers],[X base venstre]])+1,CU$7/(CT$7/$B$67),CU202/(CT202/$B$67))</f>
        <v>-2.8015817870135784</v>
      </c>
      <c r="CV203">
        <f>Styrkeberegning_G[[#This Row],[X base venstre]]*-1</f>
        <v>2.8015817870135784</v>
      </c>
      <c r="DG203" s="54">
        <f t="shared" si="381"/>
        <v>193</v>
      </c>
      <c r="DH203" s="54">
        <f t="shared" si="382"/>
        <v>194</v>
      </c>
      <c r="DI203" s="54">
        <f t="shared" si="383"/>
        <v>23.849527953134885</v>
      </c>
      <c r="DJ203" s="54" t="e">
        <f t="shared" si="384"/>
        <v>#N/A</v>
      </c>
      <c r="DK203" s="54" t="e">
        <f t="shared" si="385"/>
        <v>#N/A</v>
      </c>
      <c r="DL203" s="54">
        <f t="shared" si="386"/>
        <v>4.4185330567658521E-3</v>
      </c>
      <c r="DM203" s="54" t="e">
        <f t="shared" si="387"/>
        <v>#N/A</v>
      </c>
      <c r="DN203" s="54" t="b">
        <f t="shared" si="388"/>
        <v>0</v>
      </c>
      <c r="DO203" s="54" t="b">
        <f t="shared" si="389"/>
        <v>1</v>
      </c>
      <c r="DP203" s="54" t="b">
        <f t="shared" si="390"/>
        <v>1</v>
      </c>
      <c r="DQ203" s="54" t="b">
        <f t="shared" si="391"/>
        <v>0</v>
      </c>
      <c r="DR203" s="54">
        <f t="shared" si="392"/>
        <v>4.4185330567658521E-3</v>
      </c>
      <c r="DS203" s="54">
        <f t="shared" si="393"/>
        <v>4.4185330567658521E-3</v>
      </c>
      <c r="DT203" s="54" t="e">
        <f t="shared" si="394"/>
        <v>#N/A</v>
      </c>
      <c r="DU203" s="72" t="str">
        <f t="shared" si="395"/>
        <v/>
      </c>
      <c r="DZ203" s="54">
        <f t="shared" si="396"/>
        <v>193</v>
      </c>
      <c r="EA203" s="54">
        <f t="shared" si="397"/>
        <v>194</v>
      </c>
      <c r="EB203" s="54">
        <f t="shared" si="398"/>
        <v>1.5331385084863571</v>
      </c>
      <c r="EC203" s="54">
        <f t="shared" si="399"/>
        <v>0.12316930873768138</v>
      </c>
      <c r="ED203" s="54" t="e">
        <f t="shared" si="400"/>
        <v>#N/A</v>
      </c>
      <c r="EE203" s="54" t="e">
        <f t="shared" si="401"/>
        <v>#N/A</v>
      </c>
      <c r="EF203" s="54" t="e">
        <f t="shared" si="402"/>
        <v>#N/A</v>
      </c>
      <c r="EG203" s="54" t="b">
        <f t="shared" si="403"/>
        <v>0</v>
      </c>
      <c r="EH203" s="54" t="b">
        <f t="shared" si="404"/>
        <v>1</v>
      </c>
      <c r="EI203" s="54" t="b">
        <f t="shared" si="405"/>
        <v>0</v>
      </c>
      <c r="EJ203" s="54" t="b">
        <f t="shared" si="406"/>
        <v>1</v>
      </c>
      <c r="EK203" s="54">
        <f t="shared" si="407"/>
        <v>0.12316930873768138</v>
      </c>
      <c r="EL203" s="54" t="e">
        <f t="shared" si="408"/>
        <v>#N/A</v>
      </c>
      <c r="EM203" s="54">
        <f t="shared" si="409"/>
        <v>0.12316930873768138</v>
      </c>
      <c r="EN203" s="72" t="str">
        <f t="shared" si="410"/>
        <v/>
      </c>
      <c r="EO20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0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0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03" s="54" t="e" cm="1">
        <f t="array" ref="ER203">IF($CK$3,INDEX(Eu_tabel_a[[#This Row],[Styrke venstre]:[Styrke tosidet]],ER$7),NA())</f>
        <v>#N/A</v>
      </c>
      <c r="ES203" s="54" t="e">
        <f>IF(ER$3,IF(CHOOSE(ER$7,Eu_tabel_a[[#This Row],[x base]]&gt;0,Eu_tabel_a[[#This Row],[x base]]&lt;0,Eu_tabel_a[[#This Row],[x base]]=0),1,NA()),NA())</f>
        <v>#N/A</v>
      </c>
      <c r="ET203" s="54" t="e">
        <f>IF(CHOOSE(ER$7,Eu_tabel_a[[#This Row],[x base]]&gt;0,Eu_tabel_a[[#This Row],[x base]]&lt;0,Eu_tabel_a[[#This Row],[x base]]=0),Eu_tabel_a[[#This Row],[Styrke, aktiv]],NA())</f>
        <v>#N/A</v>
      </c>
      <c r="EU203" s="54" t="e">
        <f>IFERROR(IF($ER$3,Eu_tabel_a[[#This Row],[Styrke, aktiv]],NA()),NA())</f>
        <v>#N/A</v>
      </c>
      <c r="EV203" s="54" t="e">
        <f>IF(ISNA(Eu_tabel_a[[#This Row],[Sand negativ
Nulhypotese afvises
Korrekt]]),NA(),IF(ER$3,1,NA()))</f>
        <v>#N/A</v>
      </c>
      <c r="EW203" s="55" t="str" cm="1">
        <f t="array" ref="EW203">IFERROR(_xlfn.SWITCH(Eu_tabel_a[[#This Row],[Indeks]],_xlfn.IFNA(EU$2,-99),EU$5,_xlfn.IFNA(EU$3,-99),EU$6,_xlfn.IFNA(EU$4,-99),EU$7,""),"")</f>
        <v/>
      </c>
      <c r="EX203" s="54">
        <f>Eu_tabel_a[[#This Row],[x base]]*SQRT(Eu_a_h0_x*(1-Eu_a_h0_x)/Eu_a_n_x)+Eu_a_h0_x</f>
        <v>0</v>
      </c>
      <c r="FC203" s="161" t="e">
        <f t="shared" si="354"/>
        <v>#N/A</v>
      </c>
      <c r="FD203" s="169" t="e">
        <f t="shared" si="338"/>
        <v>#DIV/0!</v>
      </c>
      <c r="FE203" s="7" t="e">
        <f t="shared" si="348"/>
        <v>#DIV/0!</v>
      </c>
      <c r="FF203" t="e">
        <f t="shared" si="339"/>
        <v>#DIV/0!</v>
      </c>
      <c r="FG203" s="8" t="e">
        <f t="shared" si="340"/>
        <v>#DIV/0!</v>
      </c>
      <c r="FH203" s="8" t="e">
        <f t="shared" si="341"/>
        <v>#DIV/0!</v>
      </c>
      <c r="FI203" s="168" t="e">
        <f t="shared" si="342"/>
        <v>#DIV/0!</v>
      </c>
      <c r="FJ203" s="161" t="e">
        <f t="shared" ca="1" si="349"/>
        <v>#N/A</v>
      </c>
      <c r="FK203" s="169" t="e" vm="3">
        <f t="shared" ca="1" si="355"/>
        <v>#VALUE!</v>
      </c>
      <c r="FL203" s="7" t="e" vm="3">
        <f t="shared" ca="1" si="350"/>
        <v>#VALUE!</v>
      </c>
      <c r="FM203" t="e" vm="3">
        <f t="shared" ca="1" si="344"/>
        <v>#VALUE!</v>
      </c>
      <c r="FN203" s="8" t="e" vm="3">
        <f t="shared" ca="1" si="345"/>
        <v>#VALUE!</v>
      </c>
      <c r="FO203" s="8" t="e" vm="3">
        <f t="shared" ca="1" si="346"/>
        <v>#VALUE!</v>
      </c>
      <c r="FP203" s="168" t="e" vm="3">
        <f t="shared" ca="1" si="347"/>
        <v>#VALUE!</v>
      </c>
      <c r="FQ203" s="161" t="e">
        <f t="shared" si="351"/>
        <v>#N/A</v>
      </c>
      <c r="FR203" s="169" t="e">
        <f t="shared" si="356"/>
        <v>#N/A</v>
      </c>
      <c r="FS203" s="7" t="e">
        <f t="shared" si="352"/>
        <v>#N/A</v>
      </c>
      <c r="FT203" t="e">
        <f t="shared" si="357"/>
        <v>#N/A</v>
      </c>
      <c r="FU203" s="8" t="e">
        <f t="shared" si="358"/>
        <v>#N/A</v>
      </c>
      <c r="FV203" s="8" t="e">
        <f t="shared" si="359"/>
        <v>#N/A</v>
      </c>
      <c r="FW203" s="168" t="e">
        <f t="shared" si="360"/>
        <v>#N/A</v>
      </c>
      <c r="FX203" s="161" t="e">
        <f t="shared" si="361"/>
        <v>#N/A</v>
      </c>
      <c r="FY203" s="169" t="e">
        <f t="shared" si="362"/>
        <v>#N/A</v>
      </c>
      <c r="FZ203" s="7" t="e">
        <f t="shared" si="353"/>
        <v>#N/A</v>
      </c>
      <c r="GA203" t="e">
        <f t="shared" si="363"/>
        <v>#N/A</v>
      </c>
      <c r="GB203" s="8" t="e">
        <f t="shared" si="364"/>
        <v>#N/A</v>
      </c>
      <c r="GC203" s="8" t="e">
        <f t="shared" si="365"/>
        <v>#N/A</v>
      </c>
      <c r="GD203" s="168" t="e">
        <f t="shared" si="366"/>
        <v>#N/A</v>
      </c>
      <c r="GE203" s="168"/>
      <c r="GF203" s="168"/>
      <c r="GI203" s="54">
        <f t="shared" si="411"/>
        <v>193</v>
      </c>
      <c r="GJ203" s="54">
        <f t="shared" si="412"/>
        <v>194</v>
      </c>
      <c r="GK203" s="54">
        <f t="shared" si="413"/>
        <v>1.5331385084863571</v>
      </c>
      <c r="GL203" s="54">
        <f t="shared" si="414"/>
        <v>0.12316930873768138</v>
      </c>
      <c r="GM203" s="54" t="e">
        <f t="shared" si="415"/>
        <v>#N/A</v>
      </c>
      <c r="GN203" s="54" t="e">
        <f t="shared" si="416"/>
        <v>#N/A</v>
      </c>
      <c r="GO203" s="54" t="e">
        <f t="shared" si="417"/>
        <v>#N/A</v>
      </c>
      <c r="GP203" s="54" t="b">
        <f t="shared" si="418"/>
        <v>0</v>
      </c>
      <c r="GQ203" s="54" t="b">
        <f t="shared" si="419"/>
        <v>1</v>
      </c>
      <c r="GR203" s="54" t="b">
        <f t="shared" si="420"/>
        <v>0</v>
      </c>
      <c r="GS203" s="54" t="b">
        <f t="shared" si="421"/>
        <v>1</v>
      </c>
      <c r="GT203" s="54">
        <f t="shared" si="422"/>
        <v>0.12316930873768138</v>
      </c>
      <c r="GU203" s="54" t="e">
        <f t="shared" si="423"/>
        <v>#N/A</v>
      </c>
      <c r="GV203" s="54">
        <f t="shared" si="424"/>
        <v>0.12316930873768138</v>
      </c>
      <c r="GW203" s="72" t="str">
        <f t="shared" si="425"/>
        <v/>
      </c>
      <c r="HC203" s="54">
        <f t="shared" si="426"/>
        <v>193</v>
      </c>
      <c r="HD203" s="54">
        <f t="shared" si="427"/>
        <v>194</v>
      </c>
      <c r="HE203" s="54">
        <f t="shared" si="428"/>
        <v>2.3740971800996382</v>
      </c>
      <c r="HF203" s="54" t="e">
        <f t="shared" si="429"/>
        <v>#N/A</v>
      </c>
      <c r="HG203" s="54">
        <f t="shared" si="430"/>
        <v>3.6254205263453354E-2</v>
      </c>
      <c r="HH203" s="54" t="e">
        <f t="shared" si="431"/>
        <v>#N/A</v>
      </c>
      <c r="HI203" s="54" t="e">
        <f t="shared" si="432"/>
        <v>#N/A</v>
      </c>
      <c r="HJ203" s="54" t="b">
        <f t="shared" si="433"/>
        <v>0</v>
      </c>
      <c r="HK203" s="54" t="b">
        <f t="shared" si="434"/>
        <v>1</v>
      </c>
      <c r="HL203" s="54" t="b">
        <f t="shared" si="435"/>
        <v>1</v>
      </c>
      <c r="HM203" s="54" t="b">
        <f t="shared" si="436"/>
        <v>0</v>
      </c>
      <c r="HN203" s="54">
        <f t="shared" si="437"/>
        <v>3.6254205263453354E-2</v>
      </c>
      <c r="HO203" s="54" t="e">
        <f t="shared" si="438"/>
        <v>#N/A</v>
      </c>
      <c r="HP203" s="54">
        <f t="shared" si="439"/>
        <v>3.6254205263453354E-2</v>
      </c>
      <c r="HQ203" s="72" t="str">
        <f t="shared" si="440"/>
        <v/>
      </c>
    </row>
    <row r="204" spans="71:225" x14ac:dyDescent="0.2">
      <c r="BS204" s="54">
        <f t="shared" si="367"/>
        <v>194</v>
      </c>
      <c r="BT204" s="54">
        <f>Eu_tabel_g[[#This Row],[Indeks]]+1</f>
        <v>195</v>
      </c>
      <c r="BU204" s="54">
        <f t="shared" si="368"/>
        <v>1.5570937976814561</v>
      </c>
      <c r="BV204" s="54">
        <f t="shared" si="369"/>
        <v>0.11869369681429406</v>
      </c>
      <c r="BW204" s="54" t="e">
        <f t="shared" si="370"/>
        <v>#N/A</v>
      </c>
      <c r="BX204" s="54" t="e">
        <f t="shared" si="371"/>
        <v>#N/A</v>
      </c>
      <c r="BY204" s="54" t="e">
        <f t="shared" si="372"/>
        <v>#N/A</v>
      </c>
      <c r="BZ204" s="54" t="b">
        <f t="shared" si="373"/>
        <v>0</v>
      </c>
      <c r="CA204" s="54" t="b">
        <f t="shared" si="374"/>
        <v>1</v>
      </c>
      <c r="CB204" s="54" t="b">
        <f t="shared" si="375"/>
        <v>0</v>
      </c>
      <c r="CC204" s="54" t="b">
        <f t="shared" si="376"/>
        <v>1</v>
      </c>
      <c r="CD204" s="54">
        <f t="shared" si="343"/>
        <v>0.11869369681429406</v>
      </c>
      <c r="CE204" s="54" t="e">
        <f t="shared" si="377"/>
        <v>#N/A</v>
      </c>
      <c r="CF204" s="54">
        <f t="shared" si="378"/>
        <v>0.11869369681429406</v>
      </c>
      <c r="CG204" s="72" t="str">
        <f t="shared" si="379"/>
        <v/>
      </c>
      <c r="CH204" s="54">
        <f>_xlfn.NORM.DIST(_xlfn.NORM.INV(1-Eu_g_konfidensniveau,0,1)-Eu_tabel_g[[#This Row],[x base]],0,1,TRUE)</f>
        <v>6.8250954524728383E-4</v>
      </c>
      <c r="CI204" s="54">
        <f>1-_xlfn.NORM.DIST(_xlfn.NORM.INV(Eu_g_konfidensniveau,0,1)-Eu_tabel_g[[#This Row],[x base]],0,1,TRUE)</f>
        <v>0.46503378306270893</v>
      </c>
      <c r="CJ204" s="54">
        <f>_xlfn.NORM.DIST(_xlfn.NORM.INV((1-Eu_g_konfidensniveau)/2,0,1)-Eu_tabel_g[[#This Row],[x base]],0,1,TRUE)+1-_xlfn.NORM.DIST(_xlfn.NORM.INV(1-(1-Eu_g_konfidensniveau)/2,0,1)-Eu_tabel_g[[#This Row],[x base]],0,1,TRUE)</f>
        <v>0.34374004164020977</v>
      </c>
      <c r="CK204" s="54" t="e" cm="1">
        <f t="array" ref="CK204">IF($CK$3,INDEX(Eu_tabel_g[[#This Row],[Styrke venstre]:[Styrke tosidet]],CK$7),NA())</f>
        <v>#N/A</v>
      </c>
      <c r="CL204" s="99" t="e">
        <f>Eu_tabel_g[[#This Row],[Falsk positiv
Nulhypotese accepteres
Fejltype 1]]</f>
        <v>#N/A</v>
      </c>
      <c r="CM204" s="99" t="e">
        <f>IF(CHOOSE(CK$7,Eu_tabel_g[[#This Row],[x base]]&gt;0,Eu_tabel_g[[#This Row],[x base]]&lt;0,Eu_tabel_g[[#This Row],[x base]]=0),Eu_tabel_g[[#This Row],[Styrke, aktiv]],NA())</f>
        <v>#N/A</v>
      </c>
      <c r="CN204" s="99" t="e">
        <f>IFERROR(IF($CK$3,Eu_tabel_g[[#This Row],[Styrke, aktiv]],NA()),NA())</f>
        <v>#N/A</v>
      </c>
      <c r="CO204" s="99" t="e">
        <f>IF(ISNA(Eu_tabel_g[[#This Row],[Sand negativ
Nulhypotese afvises
Korrekt]]),NA(),IF($CK$3,1,NA()))</f>
        <v>#N/A</v>
      </c>
      <c r="CP204" s="56" t="str" cm="1">
        <f t="array" ref="CP204">_xlfn.SWITCH(BS204,_xlfn.IFNA(CN$2,-99),CN$5,_xlfn.IFNA(CN$3,-99),CN$6,_xlfn.IFNA(CN$4,-99),CN$7,"")</f>
        <v/>
      </c>
      <c r="CT204" s="7">
        <f t="shared" si="380"/>
        <v>0.8</v>
      </c>
      <c r="CU204">
        <f>IF(ROW(Styrkeberegning_G[[#This Row],[X base venstre]])=ROW(Styrkeberegning_G[[#Headers],[X base venstre]])+1,CU$7/(CT$7/$B$67),CU203/(CT203/$B$67))</f>
        <v>-2.8015817870135784</v>
      </c>
      <c r="CV204">
        <f>Styrkeberegning_G[[#This Row],[X base venstre]]*-1</f>
        <v>2.8015817870135784</v>
      </c>
      <c r="DG204" s="54">
        <f t="shared" si="381"/>
        <v>194</v>
      </c>
      <c r="DH204" s="54">
        <f t="shared" si="382"/>
        <v>195</v>
      </c>
      <c r="DI204" s="54">
        <f t="shared" si="383"/>
        <v>23.963598809551886</v>
      </c>
      <c r="DJ204" s="54" t="e">
        <f t="shared" si="384"/>
        <v>#N/A</v>
      </c>
      <c r="DK204" s="54" t="e">
        <f t="shared" si="385"/>
        <v>#N/A</v>
      </c>
      <c r="DL204" s="54">
        <f t="shared" si="386"/>
        <v>4.2641558895634693E-3</v>
      </c>
      <c r="DM204" s="54" t="e">
        <f t="shared" si="387"/>
        <v>#N/A</v>
      </c>
      <c r="DN204" s="54" t="b">
        <f t="shared" si="388"/>
        <v>0</v>
      </c>
      <c r="DO204" s="54" t="b">
        <f t="shared" si="389"/>
        <v>1</v>
      </c>
      <c r="DP204" s="54" t="b">
        <f t="shared" si="390"/>
        <v>1</v>
      </c>
      <c r="DQ204" s="54" t="b">
        <f t="shared" si="391"/>
        <v>0</v>
      </c>
      <c r="DR204" s="54">
        <f t="shared" si="392"/>
        <v>4.2641558895634693E-3</v>
      </c>
      <c r="DS204" s="54">
        <f t="shared" si="393"/>
        <v>4.2641558895634693E-3</v>
      </c>
      <c r="DT204" s="54" t="e">
        <f t="shared" si="394"/>
        <v>#N/A</v>
      </c>
      <c r="DU204" s="72" t="str">
        <f t="shared" si="395"/>
        <v/>
      </c>
      <c r="DZ204" s="54">
        <f t="shared" si="396"/>
        <v>194</v>
      </c>
      <c r="EA204" s="54">
        <f t="shared" si="397"/>
        <v>195</v>
      </c>
      <c r="EB204" s="54">
        <f t="shared" si="398"/>
        <v>1.5570937976814561</v>
      </c>
      <c r="EC204" s="54">
        <f t="shared" si="399"/>
        <v>0.11869369681429406</v>
      </c>
      <c r="ED204" s="54" t="e">
        <f t="shared" si="400"/>
        <v>#N/A</v>
      </c>
      <c r="EE204" s="54" t="e">
        <f t="shared" si="401"/>
        <v>#N/A</v>
      </c>
      <c r="EF204" s="54" t="e">
        <f t="shared" si="402"/>
        <v>#N/A</v>
      </c>
      <c r="EG204" s="54" t="b">
        <f t="shared" si="403"/>
        <v>0</v>
      </c>
      <c r="EH204" s="54" t="b">
        <f t="shared" si="404"/>
        <v>1</v>
      </c>
      <c r="EI204" s="54" t="b">
        <f t="shared" si="405"/>
        <v>0</v>
      </c>
      <c r="EJ204" s="54" t="b">
        <f t="shared" si="406"/>
        <v>1</v>
      </c>
      <c r="EK204" s="54">
        <f t="shared" si="407"/>
        <v>0.11869369681429406</v>
      </c>
      <c r="EL204" s="54" t="e">
        <f t="shared" si="408"/>
        <v>#N/A</v>
      </c>
      <c r="EM204" s="54">
        <f t="shared" si="409"/>
        <v>0.11869369681429406</v>
      </c>
      <c r="EN204" s="72" t="str">
        <f t="shared" si="410"/>
        <v/>
      </c>
      <c r="EO20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0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0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04" s="54" t="e" cm="1">
        <f t="array" ref="ER204">IF($CK$3,INDEX(Eu_tabel_a[[#This Row],[Styrke venstre]:[Styrke tosidet]],ER$7),NA())</f>
        <v>#N/A</v>
      </c>
      <c r="ES204" s="54" t="e">
        <f>IF(ER$3,IF(CHOOSE(ER$7,Eu_tabel_a[[#This Row],[x base]]&gt;0,Eu_tabel_a[[#This Row],[x base]]&lt;0,Eu_tabel_a[[#This Row],[x base]]=0),1,NA()),NA())</f>
        <v>#N/A</v>
      </c>
      <c r="ET204" s="54" t="e">
        <f>IF(CHOOSE(ER$7,Eu_tabel_a[[#This Row],[x base]]&gt;0,Eu_tabel_a[[#This Row],[x base]]&lt;0,Eu_tabel_a[[#This Row],[x base]]=0),Eu_tabel_a[[#This Row],[Styrke, aktiv]],NA())</f>
        <v>#N/A</v>
      </c>
      <c r="EU204" s="54" t="e">
        <f>IFERROR(IF($ER$3,Eu_tabel_a[[#This Row],[Styrke, aktiv]],NA()),NA())</f>
        <v>#N/A</v>
      </c>
      <c r="EV204" s="54" t="e">
        <f>IF(ISNA(Eu_tabel_a[[#This Row],[Sand negativ
Nulhypotese afvises
Korrekt]]),NA(),IF(ER$3,1,NA()))</f>
        <v>#N/A</v>
      </c>
      <c r="EW204" s="55" t="str" cm="1">
        <f t="array" ref="EW204">IFERROR(_xlfn.SWITCH(Eu_tabel_a[[#This Row],[Indeks]],_xlfn.IFNA(EU$2,-99),EU$5,_xlfn.IFNA(EU$3,-99),EU$6,_xlfn.IFNA(EU$4,-99),EU$7,""),"")</f>
        <v/>
      </c>
      <c r="EX204" s="54">
        <f>Eu_tabel_a[[#This Row],[x base]]*SQRT(Eu_a_h0_x*(1-Eu_a_h0_x)/Eu_a_n_x)+Eu_a_h0_x</f>
        <v>0</v>
      </c>
      <c r="FC204" s="161" t="e">
        <f t="shared" si="354"/>
        <v>#N/A</v>
      </c>
      <c r="FD204" s="169" t="e">
        <f t="shared" si="338"/>
        <v>#DIV/0!</v>
      </c>
      <c r="FE204" s="7" t="e">
        <f t="shared" si="348"/>
        <v>#DIV/0!</v>
      </c>
      <c r="FF204" t="e">
        <f t="shared" si="339"/>
        <v>#DIV/0!</v>
      </c>
      <c r="FG204" s="8" t="e">
        <f t="shared" si="340"/>
        <v>#DIV/0!</v>
      </c>
      <c r="FH204" s="8" t="e">
        <f t="shared" si="341"/>
        <v>#DIV/0!</v>
      </c>
      <c r="FI204" s="168" t="e">
        <f t="shared" si="342"/>
        <v>#DIV/0!</v>
      </c>
      <c r="FJ204" s="161" t="e">
        <f t="shared" ca="1" si="349"/>
        <v>#N/A</v>
      </c>
      <c r="FK204" s="169" t="e" vm="3">
        <f t="shared" ca="1" si="355"/>
        <v>#VALUE!</v>
      </c>
      <c r="FL204" s="7" t="e" vm="3">
        <f t="shared" ca="1" si="350"/>
        <v>#VALUE!</v>
      </c>
      <c r="FM204" t="e" vm="3">
        <f t="shared" ca="1" si="344"/>
        <v>#VALUE!</v>
      </c>
      <c r="FN204" s="8" t="e" vm="3">
        <f t="shared" ca="1" si="345"/>
        <v>#VALUE!</v>
      </c>
      <c r="FO204" s="8" t="e" vm="3">
        <f t="shared" ca="1" si="346"/>
        <v>#VALUE!</v>
      </c>
      <c r="FP204" s="168" t="e" vm="3">
        <f t="shared" ca="1" si="347"/>
        <v>#VALUE!</v>
      </c>
      <c r="FQ204" s="161" t="e">
        <f t="shared" si="351"/>
        <v>#N/A</v>
      </c>
      <c r="FR204" s="169" t="e">
        <f t="shared" si="356"/>
        <v>#N/A</v>
      </c>
      <c r="FS204" s="7" t="e">
        <f t="shared" si="352"/>
        <v>#N/A</v>
      </c>
      <c r="FT204" t="e">
        <f t="shared" si="357"/>
        <v>#N/A</v>
      </c>
      <c r="FU204" s="8" t="e">
        <f t="shared" si="358"/>
        <v>#N/A</v>
      </c>
      <c r="FV204" s="8" t="e">
        <f t="shared" si="359"/>
        <v>#N/A</v>
      </c>
      <c r="FW204" s="168" t="e">
        <f t="shared" si="360"/>
        <v>#N/A</v>
      </c>
      <c r="FX204" s="161" t="e">
        <f t="shared" si="361"/>
        <v>#N/A</v>
      </c>
      <c r="FY204" s="169" t="e">
        <f t="shared" si="362"/>
        <v>#N/A</v>
      </c>
      <c r="FZ204" s="7" t="e">
        <f t="shared" si="353"/>
        <v>#N/A</v>
      </c>
      <c r="GA204" t="e">
        <f t="shared" si="363"/>
        <v>#N/A</v>
      </c>
      <c r="GB204" s="8" t="e">
        <f t="shared" si="364"/>
        <v>#N/A</v>
      </c>
      <c r="GC204" s="8" t="e">
        <f t="shared" si="365"/>
        <v>#N/A</v>
      </c>
      <c r="GD204" s="168" t="e">
        <f t="shared" si="366"/>
        <v>#N/A</v>
      </c>
      <c r="GE204" s="168"/>
      <c r="GF204" s="168"/>
      <c r="GI204" s="54">
        <f t="shared" si="411"/>
        <v>194</v>
      </c>
      <c r="GJ204" s="54">
        <f t="shared" si="412"/>
        <v>195</v>
      </c>
      <c r="GK204" s="54">
        <f t="shared" si="413"/>
        <v>1.5570937976814561</v>
      </c>
      <c r="GL204" s="54">
        <f t="shared" si="414"/>
        <v>0.11869369681429406</v>
      </c>
      <c r="GM204" s="54" t="e">
        <f t="shared" si="415"/>
        <v>#N/A</v>
      </c>
      <c r="GN204" s="54" t="e">
        <f t="shared" si="416"/>
        <v>#N/A</v>
      </c>
      <c r="GO204" s="54" t="e">
        <f t="shared" si="417"/>
        <v>#N/A</v>
      </c>
      <c r="GP204" s="54" t="b">
        <f t="shared" si="418"/>
        <v>0</v>
      </c>
      <c r="GQ204" s="54" t="b">
        <f t="shared" si="419"/>
        <v>1</v>
      </c>
      <c r="GR204" s="54" t="b">
        <f t="shared" si="420"/>
        <v>0</v>
      </c>
      <c r="GS204" s="54" t="b">
        <f t="shared" si="421"/>
        <v>1</v>
      </c>
      <c r="GT204" s="54">
        <f t="shared" si="422"/>
        <v>0.11869369681429406</v>
      </c>
      <c r="GU204" s="54" t="e">
        <f t="shared" si="423"/>
        <v>#N/A</v>
      </c>
      <c r="GV204" s="54">
        <f t="shared" si="424"/>
        <v>0.11869369681429406</v>
      </c>
      <c r="GW204" s="72" t="str">
        <f t="shared" si="425"/>
        <v/>
      </c>
      <c r="HC204" s="54">
        <f t="shared" si="426"/>
        <v>194</v>
      </c>
      <c r="HD204" s="54">
        <f t="shared" si="427"/>
        <v>195</v>
      </c>
      <c r="HE204" s="54">
        <f t="shared" si="428"/>
        <v>2.4111924485386949</v>
      </c>
      <c r="HF204" s="54" t="e">
        <f t="shared" si="429"/>
        <v>#N/A</v>
      </c>
      <c r="HG204" s="54">
        <f t="shared" si="430"/>
        <v>3.428663268349693E-2</v>
      </c>
      <c r="HH204" s="54" t="e">
        <f t="shared" si="431"/>
        <v>#N/A</v>
      </c>
      <c r="HI204" s="54" t="e">
        <f t="shared" si="432"/>
        <v>#N/A</v>
      </c>
      <c r="HJ204" s="54" t="b">
        <f t="shared" si="433"/>
        <v>0</v>
      </c>
      <c r="HK204" s="54" t="b">
        <f t="shared" si="434"/>
        <v>1</v>
      </c>
      <c r="HL204" s="54" t="b">
        <f t="shared" si="435"/>
        <v>1</v>
      </c>
      <c r="HM204" s="54" t="b">
        <f t="shared" si="436"/>
        <v>0</v>
      </c>
      <c r="HN204" s="54">
        <f t="shared" si="437"/>
        <v>3.428663268349693E-2</v>
      </c>
      <c r="HO204" s="54" t="e">
        <f t="shared" si="438"/>
        <v>#N/A</v>
      </c>
      <c r="HP204" s="54">
        <f t="shared" si="439"/>
        <v>3.428663268349693E-2</v>
      </c>
      <c r="HQ204" s="72" t="str">
        <f t="shared" si="440"/>
        <v/>
      </c>
    </row>
    <row r="205" spans="71:225" x14ac:dyDescent="0.2">
      <c r="BS205" s="54">
        <f t="shared" si="367"/>
        <v>195</v>
      </c>
      <c r="BT205" s="54">
        <f>Eu_tabel_g[[#This Row],[Indeks]]+1</f>
        <v>196</v>
      </c>
      <c r="BU205" s="54">
        <f t="shared" si="368"/>
        <v>1.5810490868765559</v>
      </c>
      <c r="BV205" s="54">
        <f t="shared" si="369"/>
        <v>0.11431509630296083</v>
      </c>
      <c r="BW205" s="54" t="e">
        <f t="shared" si="370"/>
        <v>#N/A</v>
      </c>
      <c r="BX205" s="54" t="e">
        <f t="shared" si="371"/>
        <v>#N/A</v>
      </c>
      <c r="BY205" s="54" t="e">
        <f t="shared" si="372"/>
        <v>#N/A</v>
      </c>
      <c r="BZ205" s="54" t="b">
        <f t="shared" si="373"/>
        <v>0</v>
      </c>
      <c r="CA205" s="54" t="b">
        <f t="shared" si="374"/>
        <v>1</v>
      </c>
      <c r="CB205" s="54" t="b">
        <f t="shared" si="375"/>
        <v>0</v>
      </c>
      <c r="CC205" s="54" t="b">
        <f t="shared" si="376"/>
        <v>1</v>
      </c>
      <c r="CD205" s="54">
        <f t="shared" si="343"/>
        <v>0.11431509630296083</v>
      </c>
      <c r="CE205" s="54" t="e">
        <f t="shared" si="377"/>
        <v>#N/A</v>
      </c>
      <c r="CF205" s="54">
        <f t="shared" si="378"/>
        <v>0.11431509630296083</v>
      </c>
      <c r="CG205" s="72" t="str">
        <f t="shared" si="379"/>
        <v/>
      </c>
      <c r="CH205" s="54">
        <f>_xlfn.NORM.DIST(_xlfn.NORM.INV(1-Eu_g_konfidensniveau,0,1)-Eu_tabel_g[[#This Row],[x base]],0,1,TRUE)</f>
        <v>6.2788016889242634E-4</v>
      </c>
      <c r="CI205" s="54">
        <f>1-_xlfn.NORM.DIST(_xlfn.NORM.INV(Eu_g_konfidensniveau,0,1)-Eu_tabel_g[[#This Row],[x base]],0,1,TRUE)</f>
        <v>0.47456293158522467</v>
      </c>
      <c r="CJ205" s="54">
        <f>_xlfn.NORM.DIST(_xlfn.NORM.INV((1-Eu_g_konfidensniveau)/2,0,1)-Eu_tabel_g[[#This Row],[x base]],0,1,TRUE)+1-_xlfn.NORM.DIST(_xlfn.NORM.INV(1-(1-Eu_g_konfidensniveau)/2,0,1)-Eu_tabel_g[[#This Row],[x base]],0,1,TRUE)</f>
        <v>0.35257482739793311</v>
      </c>
      <c r="CK205" s="54" t="e" cm="1">
        <f t="array" ref="CK205">IF($CK$3,INDEX(Eu_tabel_g[[#This Row],[Styrke venstre]:[Styrke tosidet]],CK$7),NA())</f>
        <v>#N/A</v>
      </c>
      <c r="CL205" s="99" t="e">
        <f>Eu_tabel_g[[#This Row],[Falsk positiv
Nulhypotese accepteres
Fejltype 1]]</f>
        <v>#N/A</v>
      </c>
      <c r="CM205" s="99" t="e">
        <f>IF(CHOOSE(CK$7,Eu_tabel_g[[#This Row],[x base]]&gt;0,Eu_tabel_g[[#This Row],[x base]]&lt;0,Eu_tabel_g[[#This Row],[x base]]=0),Eu_tabel_g[[#This Row],[Styrke, aktiv]],NA())</f>
        <v>#N/A</v>
      </c>
      <c r="CN205" s="99" t="e">
        <f>IFERROR(IF($CK$3,Eu_tabel_g[[#This Row],[Styrke, aktiv]],NA()),NA())</f>
        <v>#N/A</v>
      </c>
      <c r="CO205" s="99" t="e">
        <f>IF(ISNA(Eu_tabel_g[[#This Row],[Sand negativ
Nulhypotese afvises
Korrekt]]),NA(),IF($CK$3,1,NA()))</f>
        <v>#N/A</v>
      </c>
      <c r="CP205" s="56" t="str" cm="1">
        <f t="array" ref="CP205">_xlfn.SWITCH(BS205,_xlfn.IFNA(CN$2,-99),CN$5,_xlfn.IFNA(CN$3,-99),CN$6,_xlfn.IFNA(CN$4,-99),CN$7,"")</f>
        <v/>
      </c>
      <c r="CT205" s="7">
        <f t="shared" si="380"/>
        <v>0.8</v>
      </c>
      <c r="CU205">
        <f>IF(ROW(Styrkeberegning_G[[#This Row],[X base venstre]])=ROW(Styrkeberegning_G[[#Headers],[X base venstre]])+1,CU$7/(CT$7/$B$67),CU204/(CT204/$B$67))</f>
        <v>-2.8015817870135784</v>
      </c>
      <c r="CV205">
        <f>Styrkeberegning_G[[#This Row],[X base venstre]]*-1</f>
        <v>2.8015817870135784</v>
      </c>
      <c r="DG205" s="54">
        <f t="shared" si="381"/>
        <v>195</v>
      </c>
      <c r="DH205" s="54">
        <f t="shared" si="382"/>
        <v>196</v>
      </c>
      <c r="DI205" s="54">
        <f t="shared" si="383"/>
        <v>24.077669665968887</v>
      </c>
      <c r="DJ205" s="54" t="e">
        <f t="shared" si="384"/>
        <v>#N/A</v>
      </c>
      <c r="DK205" s="54" t="e">
        <f t="shared" si="385"/>
        <v>#N/A</v>
      </c>
      <c r="DL205" s="54">
        <f t="shared" si="386"/>
        <v>4.1147528443460516E-3</v>
      </c>
      <c r="DM205" s="54" t="e">
        <f t="shared" si="387"/>
        <v>#N/A</v>
      </c>
      <c r="DN205" s="54" t="b">
        <f t="shared" si="388"/>
        <v>0</v>
      </c>
      <c r="DO205" s="54" t="b">
        <f t="shared" si="389"/>
        <v>1</v>
      </c>
      <c r="DP205" s="54" t="b">
        <f t="shared" si="390"/>
        <v>1</v>
      </c>
      <c r="DQ205" s="54" t="b">
        <f t="shared" si="391"/>
        <v>0</v>
      </c>
      <c r="DR205" s="54">
        <f t="shared" si="392"/>
        <v>4.1147528443460516E-3</v>
      </c>
      <c r="DS205" s="54">
        <f t="shared" si="393"/>
        <v>4.1147528443460516E-3</v>
      </c>
      <c r="DT205" s="54" t="e">
        <f t="shared" si="394"/>
        <v>#N/A</v>
      </c>
      <c r="DU205" s="72" t="str">
        <f t="shared" si="395"/>
        <v/>
      </c>
      <c r="DZ205" s="54">
        <f t="shared" si="396"/>
        <v>195</v>
      </c>
      <c r="EA205" s="54">
        <f t="shared" si="397"/>
        <v>196</v>
      </c>
      <c r="EB205" s="54">
        <f t="shared" si="398"/>
        <v>1.5810490868765559</v>
      </c>
      <c r="EC205" s="54">
        <f t="shared" si="399"/>
        <v>0.11431509630296083</v>
      </c>
      <c r="ED205" s="54" t="e">
        <f t="shared" si="400"/>
        <v>#N/A</v>
      </c>
      <c r="EE205" s="54" t="e">
        <f t="shared" si="401"/>
        <v>#N/A</v>
      </c>
      <c r="EF205" s="54" t="e">
        <f t="shared" si="402"/>
        <v>#N/A</v>
      </c>
      <c r="EG205" s="54" t="b">
        <f t="shared" si="403"/>
        <v>0</v>
      </c>
      <c r="EH205" s="54" t="b">
        <f t="shared" si="404"/>
        <v>1</v>
      </c>
      <c r="EI205" s="54" t="b">
        <f t="shared" si="405"/>
        <v>0</v>
      </c>
      <c r="EJ205" s="54" t="b">
        <f t="shared" si="406"/>
        <v>1</v>
      </c>
      <c r="EK205" s="54">
        <f t="shared" si="407"/>
        <v>0.11431509630296083</v>
      </c>
      <c r="EL205" s="54" t="e">
        <f t="shared" si="408"/>
        <v>#N/A</v>
      </c>
      <c r="EM205" s="54">
        <f t="shared" si="409"/>
        <v>0.11431509630296083</v>
      </c>
      <c r="EN205" s="72" t="str">
        <f t="shared" si="410"/>
        <v/>
      </c>
      <c r="EO20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0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0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05" s="54" t="e" cm="1">
        <f t="array" ref="ER205">IF($CK$3,INDEX(Eu_tabel_a[[#This Row],[Styrke venstre]:[Styrke tosidet]],ER$7),NA())</f>
        <v>#N/A</v>
      </c>
      <c r="ES205" s="54" t="e">
        <f>IF(ER$3,IF(CHOOSE(ER$7,Eu_tabel_a[[#This Row],[x base]]&gt;0,Eu_tabel_a[[#This Row],[x base]]&lt;0,Eu_tabel_a[[#This Row],[x base]]=0),1,NA()),NA())</f>
        <v>#N/A</v>
      </c>
      <c r="ET205" s="54" t="e">
        <f>IF(CHOOSE(ER$7,Eu_tabel_a[[#This Row],[x base]]&gt;0,Eu_tabel_a[[#This Row],[x base]]&lt;0,Eu_tabel_a[[#This Row],[x base]]=0),Eu_tabel_a[[#This Row],[Styrke, aktiv]],NA())</f>
        <v>#N/A</v>
      </c>
      <c r="EU205" s="54" t="e">
        <f>IFERROR(IF($ER$3,Eu_tabel_a[[#This Row],[Styrke, aktiv]],NA()),NA())</f>
        <v>#N/A</v>
      </c>
      <c r="EV205" s="54" t="e">
        <f>IF(ISNA(Eu_tabel_a[[#This Row],[Sand negativ
Nulhypotese afvises
Korrekt]]),NA(),IF(ER$3,1,NA()))</f>
        <v>#N/A</v>
      </c>
      <c r="EW205" s="55" t="str" cm="1">
        <f t="array" ref="EW205">IFERROR(_xlfn.SWITCH(Eu_tabel_a[[#This Row],[Indeks]],_xlfn.IFNA(EU$2,-99),EU$5,_xlfn.IFNA(EU$3,-99),EU$6,_xlfn.IFNA(EU$4,-99),EU$7,""),"")</f>
        <v/>
      </c>
      <c r="EX205" s="54">
        <f>Eu_tabel_a[[#This Row],[x base]]*SQRT(Eu_a_h0_x*(1-Eu_a_h0_x)/Eu_a_n_x)+Eu_a_h0_x</f>
        <v>0</v>
      </c>
      <c r="FC205" s="161" t="e">
        <f t="shared" si="354"/>
        <v>#N/A</v>
      </c>
      <c r="FD205" s="169" t="e">
        <f t="shared" si="338"/>
        <v>#DIV/0!</v>
      </c>
      <c r="FE205" s="7" t="e">
        <f t="shared" si="348"/>
        <v>#DIV/0!</v>
      </c>
      <c r="FF205" t="e">
        <f t="shared" si="339"/>
        <v>#DIV/0!</v>
      </c>
      <c r="FG205" s="8" t="e">
        <f t="shared" si="340"/>
        <v>#DIV/0!</v>
      </c>
      <c r="FH205" s="8" t="e">
        <f t="shared" si="341"/>
        <v>#DIV/0!</v>
      </c>
      <c r="FI205" s="168" t="e">
        <f t="shared" si="342"/>
        <v>#DIV/0!</v>
      </c>
      <c r="FJ205" s="161" t="e">
        <f t="shared" ca="1" si="349"/>
        <v>#N/A</v>
      </c>
      <c r="FK205" s="169" t="e" vm="3">
        <f t="shared" ca="1" si="355"/>
        <v>#VALUE!</v>
      </c>
      <c r="FL205" s="7" t="e" vm="3">
        <f t="shared" ca="1" si="350"/>
        <v>#VALUE!</v>
      </c>
      <c r="FM205" t="e" vm="3">
        <f t="shared" ca="1" si="344"/>
        <v>#VALUE!</v>
      </c>
      <c r="FN205" s="8" t="e" vm="3">
        <f t="shared" ca="1" si="345"/>
        <v>#VALUE!</v>
      </c>
      <c r="FO205" s="8" t="e" vm="3">
        <f t="shared" ca="1" si="346"/>
        <v>#VALUE!</v>
      </c>
      <c r="FP205" s="168" t="e" vm="3">
        <f t="shared" ca="1" si="347"/>
        <v>#VALUE!</v>
      </c>
      <c r="FQ205" s="161" t="e">
        <f t="shared" si="351"/>
        <v>#N/A</v>
      </c>
      <c r="FR205" s="169" t="e">
        <f t="shared" si="356"/>
        <v>#N/A</v>
      </c>
      <c r="FS205" s="7" t="e">
        <f t="shared" si="352"/>
        <v>#N/A</v>
      </c>
      <c r="FT205" t="e">
        <f t="shared" si="357"/>
        <v>#N/A</v>
      </c>
      <c r="FU205" s="8" t="e">
        <f t="shared" si="358"/>
        <v>#N/A</v>
      </c>
      <c r="FV205" s="8" t="e">
        <f t="shared" si="359"/>
        <v>#N/A</v>
      </c>
      <c r="FW205" s="168" t="e">
        <f t="shared" si="360"/>
        <v>#N/A</v>
      </c>
      <c r="FX205" s="161" t="e">
        <f t="shared" si="361"/>
        <v>#N/A</v>
      </c>
      <c r="FY205" s="169" t="e">
        <f t="shared" si="362"/>
        <v>#N/A</v>
      </c>
      <c r="FZ205" s="7" t="e">
        <f t="shared" si="353"/>
        <v>#N/A</v>
      </c>
      <c r="GA205" t="e">
        <f t="shared" si="363"/>
        <v>#N/A</v>
      </c>
      <c r="GB205" s="8" t="e">
        <f t="shared" si="364"/>
        <v>#N/A</v>
      </c>
      <c r="GC205" s="8" t="e">
        <f t="shared" si="365"/>
        <v>#N/A</v>
      </c>
      <c r="GD205" s="168" t="e">
        <f t="shared" si="366"/>
        <v>#N/A</v>
      </c>
      <c r="GE205" s="168"/>
      <c r="GF205" s="168"/>
      <c r="GI205" s="54">
        <f t="shared" si="411"/>
        <v>195</v>
      </c>
      <c r="GJ205" s="54">
        <f t="shared" si="412"/>
        <v>196</v>
      </c>
      <c r="GK205" s="54">
        <f t="shared" si="413"/>
        <v>1.5810490868765559</v>
      </c>
      <c r="GL205" s="54">
        <f t="shared" si="414"/>
        <v>0.11431509630296083</v>
      </c>
      <c r="GM205" s="54" t="e">
        <f t="shared" si="415"/>
        <v>#N/A</v>
      </c>
      <c r="GN205" s="54" t="e">
        <f t="shared" si="416"/>
        <v>#N/A</v>
      </c>
      <c r="GO205" s="54" t="e">
        <f t="shared" si="417"/>
        <v>#N/A</v>
      </c>
      <c r="GP205" s="54" t="b">
        <f t="shared" si="418"/>
        <v>0</v>
      </c>
      <c r="GQ205" s="54" t="b">
        <f t="shared" si="419"/>
        <v>1</v>
      </c>
      <c r="GR205" s="54" t="b">
        <f t="shared" si="420"/>
        <v>0</v>
      </c>
      <c r="GS205" s="54" t="b">
        <f t="shared" si="421"/>
        <v>1</v>
      </c>
      <c r="GT205" s="54">
        <f t="shared" si="422"/>
        <v>0.11431509630296083</v>
      </c>
      <c r="GU205" s="54" t="e">
        <f t="shared" si="423"/>
        <v>#N/A</v>
      </c>
      <c r="GV205" s="54">
        <f t="shared" si="424"/>
        <v>0.11431509630296083</v>
      </c>
      <c r="GW205" s="72" t="str">
        <f t="shared" si="425"/>
        <v/>
      </c>
      <c r="HC205" s="54">
        <f t="shared" si="426"/>
        <v>195</v>
      </c>
      <c r="HD205" s="54">
        <f t="shared" si="427"/>
        <v>196</v>
      </c>
      <c r="HE205" s="54">
        <f t="shared" si="428"/>
        <v>2.4482877169777524</v>
      </c>
      <c r="HF205" s="54" t="e">
        <f t="shared" si="429"/>
        <v>#N/A</v>
      </c>
      <c r="HG205" s="54">
        <f t="shared" si="430"/>
        <v>3.2423263296291346E-2</v>
      </c>
      <c r="HH205" s="54" t="e">
        <f t="shared" si="431"/>
        <v>#N/A</v>
      </c>
      <c r="HI205" s="54" t="e">
        <f t="shared" si="432"/>
        <v>#N/A</v>
      </c>
      <c r="HJ205" s="54" t="b">
        <f t="shared" si="433"/>
        <v>0</v>
      </c>
      <c r="HK205" s="54" t="b">
        <f t="shared" si="434"/>
        <v>1</v>
      </c>
      <c r="HL205" s="54" t="b">
        <f t="shared" si="435"/>
        <v>1</v>
      </c>
      <c r="HM205" s="54" t="b">
        <f t="shared" si="436"/>
        <v>0</v>
      </c>
      <c r="HN205" s="54">
        <f t="shared" si="437"/>
        <v>3.2423263296291346E-2</v>
      </c>
      <c r="HO205" s="54" t="e">
        <f t="shared" si="438"/>
        <v>#N/A</v>
      </c>
      <c r="HP205" s="54">
        <f t="shared" si="439"/>
        <v>3.2423263296291346E-2</v>
      </c>
      <c r="HQ205" s="72" t="str">
        <f t="shared" si="440"/>
        <v/>
      </c>
    </row>
    <row r="206" spans="71:225" x14ac:dyDescent="0.2">
      <c r="BS206" s="54">
        <f t="shared" si="367"/>
        <v>196</v>
      </c>
      <c r="BT206" s="54">
        <f>Eu_tabel_g[[#This Row],[Indeks]]+1</f>
        <v>197</v>
      </c>
      <c r="BU206" s="54">
        <f t="shared" si="368"/>
        <v>1.6050043760716548</v>
      </c>
      <c r="BV206" s="54">
        <f t="shared" si="369"/>
        <v>0.11003485972432277</v>
      </c>
      <c r="BW206" s="54" t="e">
        <f t="shared" si="370"/>
        <v>#N/A</v>
      </c>
      <c r="BX206" s="54" t="e">
        <f t="shared" si="371"/>
        <v>#N/A</v>
      </c>
      <c r="BY206" s="54" t="e">
        <f t="shared" si="372"/>
        <v>#N/A</v>
      </c>
      <c r="BZ206" s="54" t="b">
        <f t="shared" si="373"/>
        <v>0</v>
      </c>
      <c r="CA206" s="54" t="b">
        <f t="shared" si="374"/>
        <v>1</v>
      </c>
      <c r="CB206" s="54" t="b">
        <f t="shared" si="375"/>
        <v>0</v>
      </c>
      <c r="CC206" s="54" t="b">
        <f t="shared" si="376"/>
        <v>1</v>
      </c>
      <c r="CD206" s="54">
        <f t="shared" si="343"/>
        <v>0.11003485972432277</v>
      </c>
      <c r="CE206" s="54" t="e">
        <f t="shared" si="377"/>
        <v>#N/A</v>
      </c>
      <c r="CF206" s="54">
        <f t="shared" si="378"/>
        <v>0.11003485972432277</v>
      </c>
      <c r="CG206" s="72" t="str">
        <f t="shared" si="379"/>
        <v/>
      </c>
      <c r="CH206" s="54">
        <f>_xlfn.NORM.DIST(_xlfn.NORM.INV(1-Eu_g_konfidensniveau,0,1)-Eu_tabel_g[[#This Row],[x base]],0,1,TRUE)</f>
        <v>5.7731322757206653E-4</v>
      </c>
      <c r="CI206" s="54">
        <f>1-_xlfn.NORM.DIST(_xlfn.NORM.INV(Eu_g_konfidensniveau,0,1)-Eu_tabel_g[[#This Row],[x base]],0,1,TRUE)</f>
        <v>0.4841066554329746</v>
      </c>
      <c r="CJ206" s="54">
        <f>_xlfn.NORM.DIST(_xlfn.NORM.INV((1-Eu_g_konfidensniveau)/2,0,1)-Eu_tabel_g[[#This Row],[x base]],0,1,TRUE)+1-_xlfn.NORM.DIST(_xlfn.NORM.INV(1-(1-Eu_g_konfidensniveau)/2,0,1)-Eu_tabel_g[[#This Row],[x base]],0,1,TRUE)</f>
        <v>0.3614918756092389</v>
      </c>
      <c r="CK206" s="54" t="e" cm="1">
        <f t="array" ref="CK206">IF($CK$3,INDEX(Eu_tabel_g[[#This Row],[Styrke venstre]:[Styrke tosidet]],CK$7),NA())</f>
        <v>#N/A</v>
      </c>
      <c r="CL206" s="99" t="e">
        <f>Eu_tabel_g[[#This Row],[Falsk positiv
Nulhypotese accepteres
Fejltype 1]]</f>
        <v>#N/A</v>
      </c>
      <c r="CM206" s="99" t="e">
        <f>IF(CHOOSE(CK$7,Eu_tabel_g[[#This Row],[x base]]&gt;0,Eu_tabel_g[[#This Row],[x base]]&lt;0,Eu_tabel_g[[#This Row],[x base]]=0),Eu_tabel_g[[#This Row],[Styrke, aktiv]],NA())</f>
        <v>#N/A</v>
      </c>
      <c r="CN206" s="99" t="e">
        <f>IFERROR(IF($CK$3,Eu_tabel_g[[#This Row],[Styrke, aktiv]],NA()),NA())</f>
        <v>#N/A</v>
      </c>
      <c r="CO206" s="99" t="e">
        <f>IF(ISNA(Eu_tabel_g[[#This Row],[Sand negativ
Nulhypotese afvises
Korrekt]]),NA(),IF($CK$3,1,NA()))</f>
        <v>#N/A</v>
      </c>
      <c r="CP206" s="56" t="str" cm="1">
        <f t="array" ref="CP206">_xlfn.SWITCH(BS206,_xlfn.IFNA(CN$2,-99),CN$5,_xlfn.IFNA(CN$3,-99),CN$6,_xlfn.IFNA(CN$4,-99),CN$7,"")</f>
        <v/>
      </c>
      <c r="CT206" s="7">
        <f t="shared" si="380"/>
        <v>0.8</v>
      </c>
      <c r="CU206">
        <f>IF(ROW(Styrkeberegning_G[[#This Row],[X base venstre]])=ROW(Styrkeberegning_G[[#Headers],[X base venstre]])+1,CU$7/(CT$7/$B$67),CU205/(CT205/$B$67))</f>
        <v>-2.8015817870135784</v>
      </c>
      <c r="CV206">
        <f>Styrkeberegning_G[[#This Row],[X base venstre]]*-1</f>
        <v>2.8015817870135784</v>
      </c>
      <c r="DG206" s="54">
        <f t="shared" si="381"/>
        <v>196</v>
      </c>
      <c r="DH206" s="54">
        <f t="shared" si="382"/>
        <v>197</v>
      </c>
      <c r="DI206" s="54">
        <f t="shared" si="383"/>
        <v>24.191740522385889</v>
      </c>
      <c r="DJ206" s="54" t="e">
        <f t="shared" si="384"/>
        <v>#N/A</v>
      </c>
      <c r="DK206" s="54" t="e">
        <f t="shared" si="385"/>
        <v>#N/A</v>
      </c>
      <c r="DL206" s="54">
        <f t="shared" si="386"/>
        <v>3.9701834031289508E-3</v>
      </c>
      <c r="DM206" s="54" t="e">
        <f t="shared" si="387"/>
        <v>#N/A</v>
      </c>
      <c r="DN206" s="54" t="b">
        <f t="shared" si="388"/>
        <v>0</v>
      </c>
      <c r="DO206" s="54" t="b">
        <f t="shared" si="389"/>
        <v>1</v>
      </c>
      <c r="DP206" s="54" t="b">
        <f t="shared" si="390"/>
        <v>1</v>
      </c>
      <c r="DQ206" s="54" t="b">
        <f t="shared" si="391"/>
        <v>0</v>
      </c>
      <c r="DR206" s="54">
        <f t="shared" si="392"/>
        <v>3.9701834031289508E-3</v>
      </c>
      <c r="DS206" s="54">
        <f t="shared" si="393"/>
        <v>3.9701834031289508E-3</v>
      </c>
      <c r="DT206" s="54" t="e">
        <f t="shared" si="394"/>
        <v>#N/A</v>
      </c>
      <c r="DU206" s="72" t="str">
        <f t="shared" si="395"/>
        <v/>
      </c>
      <c r="DZ206" s="54">
        <f t="shared" si="396"/>
        <v>196</v>
      </c>
      <c r="EA206" s="54">
        <f t="shared" si="397"/>
        <v>197</v>
      </c>
      <c r="EB206" s="54">
        <f t="shared" si="398"/>
        <v>1.6050043760716548</v>
      </c>
      <c r="EC206" s="54">
        <f t="shared" si="399"/>
        <v>0.11003485972432277</v>
      </c>
      <c r="ED206" s="54" t="e">
        <f t="shared" si="400"/>
        <v>#N/A</v>
      </c>
      <c r="EE206" s="54" t="e">
        <f t="shared" si="401"/>
        <v>#N/A</v>
      </c>
      <c r="EF206" s="54" t="e">
        <f t="shared" si="402"/>
        <v>#N/A</v>
      </c>
      <c r="EG206" s="54" t="b">
        <f t="shared" si="403"/>
        <v>0</v>
      </c>
      <c r="EH206" s="54" t="b">
        <f t="shared" si="404"/>
        <v>1</v>
      </c>
      <c r="EI206" s="54" t="b">
        <f t="shared" si="405"/>
        <v>0</v>
      </c>
      <c r="EJ206" s="54" t="b">
        <f t="shared" si="406"/>
        <v>1</v>
      </c>
      <c r="EK206" s="54">
        <f t="shared" si="407"/>
        <v>0.11003485972432277</v>
      </c>
      <c r="EL206" s="54" t="e">
        <f t="shared" si="408"/>
        <v>#N/A</v>
      </c>
      <c r="EM206" s="54">
        <f t="shared" si="409"/>
        <v>0.11003485972432277</v>
      </c>
      <c r="EN206" s="72" t="str">
        <f t="shared" si="410"/>
        <v/>
      </c>
      <c r="EO20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0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0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06" s="54" t="e" cm="1">
        <f t="array" ref="ER206">IF($CK$3,INDEX(Eu_tabel_a[[#This Row],[Styrke venstre]:[Styrke tosidet]],ER$7),NA())</f>
        <v>#N/A</v>
      </c>
      <c r="ES206" s="54" t="e">
        <f>IF(ER$3,IF(CHOOSE(ER$7,Eu_tabel_a[[#This Row],[x base]]&gt;0,Eu_tabel_a[[#This Row],[x base]]&lt;0,Eu_tabel_a[[#This Row],[x base]]=0),1,NA()),NA())</f>
        <v>#N/A</v>
      </c>
      <c r="ET206" s="54" t="e">
        <f>IF(CHOOSE(ER$7,Eu_tabel_a[[#This Row],[x base]]&gt;0,Eu_tabel_a[[#This Row],[x base]]&lt;0,Eu_tabel_a[[#This Row],[x base]]=0),Eu_tabel_a[[#This Row],[Styrke, aktiv]],NA())</f>
        <v>#N/A</v>
      </c>
      <c r="EU206" s="54" t="e">
        <f>IFERROR(IF($ER$3,Eu_tabel_a[[#This Row],[Styrke, aktiv]],NA()),NA())</f>
        <v>#N/A</v>
      </c>
      <c r="EV206" s="54" t="e">
        <f>IF(ISNA(Eu_tabel_a[[#This Row],[Sand negativ
Nulhypotese afvises
Korrekt]]),NA(),IF(ER$3,1,NA()))</f>
        <v>#N/A</v>
      </c>
      <c r="EW206" s="55" t="str" cm="1">
        <f t="array" ref="EW206">IFERROR(_xlfn.SWITCH(Eu_tabel_a[[#This Row],[Indeks]],_xlfn.IFNA(EU$2,-99),EU$5,_xlfn.IFNA(EU$3,-99),EU$6,_xlfn.IFNA(EU$4,-99),EU$7,""),"")</f>
        <v/>
      </c>
      <c r="EX206" s="54">
        <f>Eu_tabel_a[[#This Row],[x base]]*SQRT(Eu_a_h0_x*(1-Eu_a_h0_x)/Eu_a_n_x)+Eu_a_h0_x</f>
        <v>0</v>
      </c>
      <c r="FC206" s="161" t="e">
        <f t="shared" si="354"/>
        <v>#N/A</v>
      </c>
      <c r="FD206" s="169" t="e">
        <f t="shared" si="338"/>
        <v>#DIV/0!</v>
      </c>
      <c r="FE206" s="7" t="e">
        <f t="shared" si="348"/>
        <v>#DIV/0!</v>
      </c>
      <c r="FF206" t="e">
        <f t="shared" si="339"/>
        <v>#DIV/0!</v>
      </c>
      <c r="FG206" s="8" t="e">
        <f t="shared" si="340"/>
        <v>#DIV/0!</v>
      </c>
      <c r="FH206" s="8" t="e">
        <f t="shared" si="341"/>
        <v>#DIV/0!</v>
      </c>
      <c r="FI206" s="168" t="e">
        <f t="shared" si="342"/>
        <v>#DIV/0!</v>
      </c>
      <c r="FJ206" s="161" t="e">
        <f t="shared" ca="1" si="349"/>
        <v>#N/A</v>
      </c>
      <c r="FK206" s="169" t="e" vm="3">
        <f t="shared" ca="1" si="355"/>
        <v>#VALUE!</v>
      </c>
      <c r="FL206" s="7" t="e" vm="3">
        <f t="shared" ca="1" si="350"/>
        <v>#VALUE!</v>
      </c>
      <c r="FM206" t="e" vm="3">
        <f t="shared" ca="1" si="344"/>
        <v>#VALUE!</v>
      </c>
      <c r="FN206" s="8" t="e" vm="3">
        <f t="shared" ca="1" si="345"/>
        <v>#VALUE!</v>
      </c>
      <c r="FO206" s="8" t="e" vm="3">
        <f t="shared" ca="1" si="346"/>
        <v>#VALUE!</v>
      </c>
      <c r="FP206" s="168" t="e" vm="3">
        <f t="shared" ca="1" si="347"/>
        <v>#VALUE!</v>
      </c>
      <c r="FQ206" s="161" t="e">
        <f t="shared" si="351"/>
        <v>#N/A</v>
      </c>
      <c r="FR206" s="169" t="e">
        <f t="shared" si="356"/>
        <v>#N/A</v>
      </c>
      <c r="FS206" s="7" t="e">
        <f t="shared" si="352"/>
        <v>#N/A</v>
      </c>
      <c r="FT206" t="e">
        <f t="shared" si="357"/>
        <v>#N/A</v>
      </c>
      <c r="FU206" s="8" t="e">
        <f t="shared" si="358"/>
        <v>#N/A</v>
      </c>
      <c r="FV206" s="8" t="e">
        <f t="shared" si="359"/>
        <v>#N/A</v>
      </c>
      <c r="FW206" s="168" t="e">
        <f t="shared" si="360"/>
        <v>#N/A</v>
      </c>
      <c r="FX206" s="161" t="e">
        <f t="shared" si="361"/>
        <v>#N/A</v>
      </c>
      <c r="FY206" s="169" t="e">
        <f t="shared" si="362"/>
        <v>#N/A</v>
      </c>
      <c r="FZ206" s="7" t="e">
        <f t="shared" si="353"/>
        <v>#N/A</v>
      </c>
      <c r="GA206" t="e">
        <f t="shared" si="363"/>
        <v>#N/A</v>
      </c>
      <c r="GB206" s="8" t="e">
        <f t="shared" si="364"/>
        <v>#N/A</v>
      </c>
      <c r="GC206" s="8" t="e">
        <f t="shared" si="365"/>
        <v>#N/A</v>
      </c>
      <c r="GD206" s="168" t="e">
        <f t="shared" si="366"/>
        <v>#N/A</v>
      </c>
      <c r="GE206" s="168"/>
      <c r="GF206" s="168"/>
      <c r="GI206" s="54">
        <f t="shared" si="411"/>
        <v>196</v>
      </c>
      <c r="GJ206" s="54">
        <f t="shared" si="412"/>
        <v>197</v>
      </c>
      <c r="GK206" s="54">
        <f t="shared" si="413"/>
        <v>1.6050043760716548</v>
      </c>
      <c r="GL206" s="54">
        <f t="shared" si="414"/>
        <v>0.11003485972432277</v>
      </c>
      <c r="GM206" s="54" t="e">
        <f t="shared" si="415"/>
        <v>#N/A</v>
      </c>
      <c r="GN206" s="54" t="e">
        <f t="shared" si="416"/>
        <v>#N/A</v>
      </c>
      <c r="GO206" s="54" t="e">
        <f t="shared" si="417"/>
        <v>#N/A</v>
      </c>
      <c r="GP206" s="54" t="b">
        <f t="shared" si="418"/>
        <v>0</v>
      </c>
      <c r="GQ206" s="54" t="b">
        <f t="shared" si="419"/>
        <v>1</v>
      </c>
      <c r="GR206" s="54" t="b">
        <f t="shared" si="420"/>
        <v>0</v>
      </c>
      <c r="GS206" s="54" t="b">
        <f t="shared" si="421"/>
        <v>1</v>
      </c>
      <c r="GT206" s="54">
        <f t="shared" si="422"/>
        <v>0.11003485972432277</v>
      </c>
      <c r="GU206" s="54" t="e">
        <f t="shared" si="423"/>
        <v>#N/A</v>
      </c>
      <c r="GV206" s="54">
        <f t="shared" si="424"/>
        <v>0.11003485972432277</v>
      </c>
      <c r="GW206" s="72" t="str">
        <f t="shared" si="425"/>
        <v/>
      </c>
      <c r="HC206" s="54">
        <f t="shared" si="426"/>
        <v>196</v>
      </c>
      <c r="HD206" s="54">
        <f t="shared" si="427"/>
        <v>197</v>
      </c>
      <c r="HE206" s="54">
        <f t="shared" si="428"/>
        <v>2.485382985416809</v>
      </c>
      <c r="HF206" s="54" t="e">
        <f t="shared" si="429"/>
        <v>#N/A</v>
      </c>
      <c r="HG206" s="54">
        <f t="shared" si="430"/>
        <v>3.0659150000243988E-2</v>
      </c>
      <c r="HH206" s="54" t="e">
        <f t="shared" si="431"/>
        <v>#N/A</v>
      </c>
      <c r="HI206" s="54" t="e">
        <f t="shared" si="432"/>
        <v>#N/A</v>
      </c>
      <c r="HJ206" s="54" t="b">
        <f t="shared" si="433"/>
        <v>0</v>
      </c>
      <c r="HK206" s="54" t="b">
        <f t="shared" si="434"/>
        <v>1</v>
      </c>
      <c r="HL206" s="54" t="b">
        <f t="shared" si="435"/>
        <v>1</v>
      </c>
      <c r="HM206" s="54" t="b">
        <f t="shared" si="436"/>
        <v>0</v>
      </c>
      <c r="HN206" s="54">
        <f t="shared" si="437"/>
        <v>3.0659150000243988E-2</v>
      </c>
      <c r="HO206" s="54" t="e">
        <f t="shared" si="438"/>
        <v>#N/A</v>
      </c>
      <c r="HP206" s="54">
        <f t="shared" si="439"/>
        <v>3.0659150000243988E-2</v>
      </c>
      <c r="HQ206" s="72" t="str">
        <f t="shared" si="440"/>
        <v/>
      </c>
    </row>
    <row r="207" spans="71:225" x14ac:dyDescent="0.2">
      <c r="BS207" s="54">
        <f t="shared" si="367"/>
        <v>197</v>
      </c>
      <c r="BT207" s="54">
        <f>Eu_tabel_g[[#This Row],[Indeks]]+1</f>
        <v>198</v>
      </c>
      <c r="BU207" s="54">
        <f t="shared" si="368"/>
        <v>1.6289596652667537</v>
      </c>
      <c r="BV207" s="54">
        <f t="shared" si="369"/>
        <v>0.10585412321974706</v>
      </c>
      <c r="BW207" s="54" t="e">
        <f t="shared" si="370"/>
        <v>#N/A</v>
      </c>
      <c r="BX207" s="54" t="e">
        <f t="shared" si="371"/>
        <v>#N/A</v>
      </c>
      <c r="BY207" s="54" t="e">
        <f t="shared" si="372"/>
        <v>#N/A</v>
      </c>
      <c r="BZ207" s="54" t="b">
        <f t="shared" si="373"/>
        <v>0</v>
      </c>
      <c r="CA207" s="54" t="b">
        <f t="shared" si="374"/>
        <v>1</v>
      </c>
      <c r="CB207" s="54" t="b">
        <f t="shared" si="375"/>
        <v>0</v>
      </c>
      <c r="CC207" s="54" t="b">
        <f t="shared" si="376"/>
        <v>1</v>
      </c>
      <c r="CD207" s="54">
        <f t="shared" si="343"/>
        <v>0.10585412321974706</v>
      </c>
      <c r="CE207" s="54" t="e">
        <f t="shared" si="377"/>
        <v>#N/A</v>
      </c>
      <c r="CF207" s="54">
        <f t="shared" si="378"/>
        <v>0.10585412321974706</v>
      </c>
      <c r="CG207" s="72" t="str">
        <f t="shared" si="379"/>
        <v/>
      </c>
      <c r="CH207" s="54">
        <f>_xlfn.NORM.DIST(_xlfn.NORM.INV(1-Eu_g_konfidensniveau,0,1)-Eu_tabel_g[[#This Row],[x base]],0,1,TRUE)</f>
        <v>5.3053347540103161E-4</v>
      </c>
      <c r="CI207" s="54">
        <f>1-_xlfn.NORM.DIST(_xlfn.NORM.INV(Eu_g_konfidensniveau,0,1)-Eu_tabel_g[[#This Row],[x base]],0,1,TRUE)</f>
        <v>0.49365949363636807</v>
      </c>
      <c r="CJ207" s="54">
        <f>_xlfn.NORM.DIST(_xlfn.NORM.INV((1-Eu_g_konfidensniveau)/2,0,1)-Eu_tabel_g[[#This Row],[x base]],0,1,TRUE)+1-_xlfn.NORM.DIST(_xlfn.NORM.INV(1-(1-Eu_g_konfidensniveau)/2,0,1)-Eu_tabel_g[[#This Row],[x base]],0,1,TRUE)</f>
        <v>0.370486634522321</v>
      </c>
      <c r="CK207" s="54" t="e" cm="1">
        <f t="array" ref="CK207">IF($CK$3,INDEX(Eu_tabel_g[[#This Row],[Styrke venstre]:[Styrke tosidet]],CK$7),NA())</f>
        <v>#N/A</v>
      </c>
      <c r="CL207" s="99" t="e">
        <f>Eu_tabel_g[[#This Row],[Falsk positiv
Nulhypotese accepteres
Fejltype 1]]</f>
        <v>#N/A</v>
      </c>
      <c r="CM207" s="99" t="e">
        <f>IF(CHOOSE(CK$7,Eu_tabel_g[[#This Row],[x base]]&gt;0,Eu_tabel_g[[#This Row],[x base]]&lt;0,Eu_tabel_g[[#This Row],[x base]]=0),Eu_tabel_g[[#This Row],[Styrke, aktiv]],NA())</f>
        <v>#N/A</v>
      </c>
      <c r="CN207" s="99" t="e">
        <f>IFERROR(IF($CK$3,Eu_tabel_g[[#This Row],[Styrke, aktiv]],NA()),NA())</f>
        <v>#N/A</v>
      </c>
      <c r="CO207" s="99" t="e">
        <f>IF(ISNA(Eu_tabel_g[[#This Row],[Sand negativ
Nulhypotese afvises
Korrekt]]),NA(),IF($CK$3,1,NA()))</f>
        <v>#N/A</v>
      </c>
      <c r="CP207" s="56" t="str" cm="1">
        <f t="array" ref="CP207">_xlfn.SWITCH(BS207,_xlfn.IFNA(CN$2,-99),CN$5,_xlfn.IFNA(CN$3,-99),CN$6,_xlfn.IFNA(CN$4,-99),CN$7,"")</f>
        <v/>
      </c>
      <c r="CT207" s="7">
        <f t="shared" si="380"/>
        <v>0.8</v>
      </c>
      <c r="CU207">
        <f>IF(ROW(Styrkeberegning_G[[#This Row],[X base venstre]])=ROW(Styrkeberegning_G[[#Headers],[X base venstre]])+1,CU$7/(CT$7/$B$67),CU206/(CT206/$B$67))</f>
        <v>-2.8015817870135784</v>
      </c>
      <c r="CV207">
        <f>Styrkeberegning_G[[#This Row],[X base venstre]]*-1</f>
        <v>2.8015817870135784</v>
      </c>
      <c r="DG207" s="54">
        <f t="shared" si="381"/>
        <v>197</v>
      </c>
      <c r="DH207" s="54">
        <f t="shared" si="382"/>
        <v>198</v>
      </c>
      <c r="DI207" s="54">
        <f t="shared" si="383"/>
        <v>24.305811378802886</v>
      </c>
      <c r="DJ207" s="54" t="e">
        <f t="shared" si="384"/>
        <v>#N/A</v>
      </c>
      <c r="DK207" s="54" t="e">
        <f t="shared" si="385"/>
        <v>#N/A</v>
      </c>
      <c r="DL207" s="54">
        <f t="shared" si="386"/>
        <v>3.8303100696038244E-3</v>
      </c>
      <c r="DM207" s="54" t="e">
        <f t="shared" si="387"/>
        <v>#N/A</v>
      </c>
      <c r="DN207" s="54" t="b">
        <f t="shared" si="388"/>
        <v>0</v>
      </c>
      <c r="DO207" s="54" t="b">
        <f t="shared" si="389"/>
        <v>1</v>
      </c>
      <c r="DP207" s="54" t="b">
        <f t="shared" si="390"/>
        <v>1</v>
      </c>
      <c r="DQ207" s="54" t="b">
        <f t="shared" si="391"/>
        <v>0</v>
      </c>
      <c r="DR207" s="54">
        <f t="shared" si="392"/>
        <v>3.8303100696038244E-3</v>
      </c>
      <c r="DS207" s="54">
        <f t="shared" si="393"/>
        <v>3.8303100696038244E-3</v>
      </c>
      <c r="DT207" s="54" t="e">
        <f t="shared" si="394"/>
        <v>#N/A</v>
      </c>
      <c r="DU207" s="72" t="str">
        <f t="shared" si="395"/>
        <v/>
      </c>
      <c r="DZ207" s="54">
        <f t="shared" si="396"/>
        <v>197</v>
      </c>
      <c r="EA207" s="54">
        <f t="shared" si="397"/>
        <v>198</v>
      </c>
      <c r="EB207" s="54">
        <f t="shared" si="398"/>
        <v>1.6289596652667537</v>
      </c>
      <c r="EC207" s="54">
        <f t="shared" si="399"/>
        <v>0.10585412321974706</v>
      </c>
      <c r="ED207" s="54" t="e">
        <f t="shared" si="400"/>
        <v>#N/A</v>
      </c>
      <c r="EE207" s="54" t="e">
        <f t="shared" si="401"/>
        <v>#N/A</v>
      </c>
      <c r="EF207" s="54" t="e">
        <f t="shared" si="402"/>
        <v>#N/A</v>
      </c>
      <c r="EG207" s="54" t="b">
        <f t="shared" si="403"/>
        <v>0</v>
      </c>
      <c r="EH207" s="54" t="b">
        <f t="shared" si="404"/>
        <v>1</v>
      </c>
      <c r="EI207" s="54" t="b">
        <f t="shared" si="405"/>
        <v>0</v>
      </c>
      <c r="EJ207" s="54" t="b">
        <f t="shared" si="406"/>
        <v>1</v>
      </c>
      <c r="EK207" s="54">
        <f t="shared" si="407"/>
        <v>0.10585412321974706</v>
      </c>
      <c r="EL207" s="54" t="e">
        <f t="shared" si="408"/>
        <v>#N/A</v>
      </c>
      <c r="EM207" s="54">
        <f t="shared" si="409"/>
        <v>0.10585412321974706</v>
      </c>
      <c r="EN207" s="72" t="str">
        <f t="shared" si="410"/>
        <v/>
      </c>
      <c r="EO20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0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0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07" s="54" t="e" cm="1">
        <f t="array" ref="ER207">IF($CK$3,INDEX(Eu_tabel_a[[#This Row],[Styrke venstre]:[Styrke tosidet]],ER$7),NA())</f>
        <v>#N/A</v>
      </c>
      <c r="ES207" s="54" t="e">
        <f>IF(ER$3,IF(CHOOSE(ER$7,Eu_tabel_a[[#This Row],[x base]]&gt;0,Eu_tabel_a[[#This Row],[x base]]&lt;0,Eu_tabel_a[[#This Row],[x base]]=0),1,NA()),NA())</f>
        <v>#N/A</v>
      </c>
      <c r="ET207" s="54" t="e">
        <f>IF(CHOOSE(ER$7,Eu_tabel_a[[#This Row],[x base]]&gt;0,Eu_tabel_a[[#This Row],[x base]]&lt;0,Eu_tabel_a[[#This Row],[x base]]=0),Eu_tabel_a[[#This Row],[Styrke, aktiv]],NA())</f>
        <v>#N/A</v>
      </c>
      <c r="EU207" s="54" t="e">
        <f>IFERROR(IF($ER$3,Eu_tabel_a[[#This Row],[Styrke, aktiv]],NA()),NA())</f>
        <v>#N/A</v>
      </c>
      <c r="EV207" s="54" t="e">
        <f>IF(ISNA(Eu_tabel_a[[#This Row],[Sand negativ
Nulhypotese afvises
Korrekt]]),NA(),IF(ER$3,1,NA()))</f>
        <v>#N/A</v>
      </c>
      <c r="EW207" s="55" t="str" cm="1">
        <f t="array" ref="EW207">IFERROR(_xlfn.SWITCH(Eu_tabel_a[[#This Row],[Indeks]],_xlfn.IFNA(EU$2,-99),EU$5,_xlfn.IFNA(EU$3,-99),EU$6,_xlfn.IFNA(EU$4,-99),EU$7,""),"")</f>
        <v/>
      </c>
      <c r="EX207" s="54">
        <f>Eu_tabel_a[[#This Row],[x base]]*SQRT(Eu_a_h0_x*(1-Eu_a_h0_x)/Eu_a_n_x)+Eu_a_h0_x</f>
        <v>0</v>
      </c>
      <c r="FC207" s="161" t="e">
        <f t="shared" si="354"/>
        <v>#N/A</v>
      </c>
      <c r="FD207" s="169" t="e">
        <f t="shared" si="338"/>
        <v>#DIV/0!</v>
      </c>
      <c r="FE207" s="7" t="e">
        <f t="shared" si="348"/>
        <v>#DIV/0!</v>
      </c>
      <c r="FF207" t="e">
        <f t="shared" si="339"/>
        <v>#DIV/0!</v>
      </c>
      <c r="FG207" s="8" t="e">
        <f t="shared" si="340"/>
        <v>#DIV/0!</v>
      </c>
      <c r="FH207" s="8" t="e">
        <f t="shared" si="341"/>
        <v>#DIV/0!</v>
      </c>
      <c r="FI207" s="168" t="e">
        <f t="shared" si="342"/>
        <v>#DIV/0!</v>
      </c>
      <c r="FJ207" s="161" t="e">
        <f t="shared" ca="1" si="349"/>
        <v>#N/A</v>
      </c>
      <c r="FK207" s="169" t="e" vm="3">
        <f t="shared" ca="1" si="355"/>
        <v>#VALUE!</v>
      </c>
      <c r="FL207" s="7" t="e" vm="3">
        <f t="shared" ca="1" si="350"/>
        <v>#VALUE!</v>
      </c>
      <c r="FM207" t="e" vm="3">
        <f t="shared" ca="1" si="344"/>
        <v>#VALUE!</v>
      </c>
      <c r="FN207" s="8" t="e" vm="3">
        <f t="shared" ca="1" si="345"/>
        <v>#VALUE!</v>
      </c>
      <c r="FO207" s="8" t="e" vm="3">
        <f t="shared" ca="1" si="346"/>
        <v>#VALUE!</v>
      </c>
      <c r="FP207" s="168" t="e" vm="3">
        <f t="shared" ca="1" si="347"/>
        <v>#VALUE!</v>
      </c>
      <c r="FQ207" s="161" t="e">
        <f t="shared" si="351"/>
        <v>#N/A</v>
      </c>
      <c r="FR207" s="169" t="e">
        <f t="shared" si="356"/>
        <v>#N/A</v>
      </c>
      <c r="FS207" s="7" t="e">
        <f t="shared" si="352"/>
        <v>#N/A</v>
      </c>
      <c r="FT207" t="e">
        <f t="shared" si="357"/>
        <v>#N/A</v>
      </c>
      <c r="FU207" s="8" t="e">
        <f t="shared" si="358"/>
        <v>#N/A</v>
      </c>
      <c r="FV207" s="8" t="e">
        <f t="shared" si="359"/>
        <v>#N/A</v>
      </c>
      <c r="FW207" s="168" t="e">
        <f t="shared" si="360"/>
        <v>#N/A</v>
      </c>
      <c r="FX207" s="161" t="e">
        <f t="shared" si="361"/>
        <v>#N/A</v>
      </c>
      <c r="FY207" s="169" t="e">
        <f t="shared" si="362"/>
        <v>#N/A</v>
      </c>
      <c r="FZ207" s="7" t="e">
        <f t="shared" si="353"/>
        <v>#N/A</v>
      </c>
      <c r="GA207" t="e">
        <f t="shared" si="363"/>
        <v>#N/A</v>
      </c>
      <c r="GB207" s="8" t="e">
        <f t="shared" si="364"/>
        <v>#N/A</v>
      </c>
      <c r="GC207" s="8" t="e">
        <f t="shared" si="365"/>
        <v>#N/A</v>
      </c>
      <c r="GD207" s="168" t="e">
        <f t="shared" si="366"/>
        <v>#N/A</v>
      </c>
      <c r="GE207" s="168"/>
      <c r="GF207" s="168"/>
      <c r="GI207" s="54">
        <f t="shared" si="411"/>
        <v>197</v>
      </c>
      <c r="GJ207" s="54">
        <f t="shared" si="412"/>
        <v>198</v>
      </c>
      <c r="GK207" s="54">
        <f t="shared" si="413"/>
        <v>1.6289596652667537</v>
      </c>
      <c r="GL207" s="54">
        <f t="shared" si="414"/>
        <v>0.10585412321974706</v>
      </c>
      <c r="GM207" s="54" t="e">
        <f t="shared" si="415"/>
        <v>#N/A</v>
      </c>
      <c r="GN207" s="54" t="e">
        <f t="shared" si="416"/>
        <v>#N/A</v>
      </c>
      <c r="GO207" s="54" t="e">
        <f t="shared" si="417"/>
        <v>#N/A</v>
      </c>
      <c r="GP207" s="54" t="b">
        <f t="shared" si="418"/>
        <v>0</v>
      </c>
      <c r="GQ207" s="54" t="b">
        <f t="shared" si="419"/>
        <v>1</v>
      </c>
      <c r="GR207" s="54" t="b">
        <f t="shared" si="420"/>
        <v>0</v>
      </c>
      <c r="GS207" s="54" t="b">
        <f t="shared" si="421"/>
        <v>1</v>
      </c>
      <c r="GT207" s="54">
        <f t="shared" si="422"/>
        <v>0.10585412321974706</v>
      </c>
      <c r="GU207" s="54" t="e">
        <f t="shared" si="423"/>
        <v>#N/A</v>
      </c>
      <c r="GV207" s="54">
        <f t="shared" si="424"/>
        <v>0.10585412321974706</v>
      </c>
      <c r="GW207" s="72" t="str">
        <f t="shared" si="425"/>
        <v/>
      </c>
      <c r="HC207" s="54">
        <f t="shared" si="426"/>
        <v>197</v>
      </c>
      <c r="HD207" s="54">
        <f t="shared" si="427"/>
        <v>198</v>
      </c>
      <c r="HE207" s="54">
        <f t="shared" si="428"/>
        <v>2.5224782538558657</v>
      </c>
      <c r="HF207" s="54" t="e">
        <f t="shared" si="429"/>
        <v>#N/A</v>
      </c>
      <c r="HG207" s="54">
        <f t="shared" si="430"/>
        <v>2.8989506460017054E-2</v>
      </c>
      <c r="HH207" s="54" t="e">
        <f t="shared" si="431"/>
        <v>#N/A</v>
      </c>
      <c r="HI207" s="54" t="e">
        <f t="shared" si="432"/>
        <v>#N/A</v>
      </c>
      <c r="HJ207" s="54" t="b">
        <f t="shared" si="433"/>
        <v>0</v>
      </c>
      <c r="HK207" s="54" t="b">
        <f t="shared" si="434"/>
        <v>1</v>
      </c>
      <c r="HL207" s="54" t="b">
        <f t="shared" si="435"/>
        <v>1</v>
      </c>
      <c r="HM207" s="54" t="b">
        <f t="shared" si="436"/>
        <v>0</v>
      </c>
      <c r="HN207" s="54">
        <f t="shared" si="437"/>
        <v>2.8989506460017054E-2</v>
      </c>
      <c r="HO207" s="54" t="e">
        <f t="shared" si="438"/>
        <v>#N/A</v>
      </c>
      <c r="HP207" s="54">
        <f t="shared" si="439"/>
        <v>2.8989506460017054E-2</v>
      </c>
      <c r="HQ207" s="72" t="str">
        <f t="shared" si="440"/>
        <v/>
      </c>
    </row>
    <row r="208" spans="71:225" x14ac:dyDescent="0.2">
      <c r="BS208" s="54">
        <f t="shared" si="367"/>
        <v>198</v>
      </c>
      <c r="BT208" s="54">
        <f>Eu_tabel_g[[#This Row],[Indeks]]+1</f>
        <v>199</v>
      </c>
      <c r="BU208" s="54">
        <f t="shared" si="368"/>
        <v>1.6529149544618535</v>
      </c>
      <c r="BV208" s="54">
        <f t="shared" si="369"/>
        <v>0.10177381209387595</v>
      </c>
      <c r="BW208" s="54" t="e">
        <f t="shared" si="370"/>
        <v>#N/A</v>
      </c>
      <c r="BX208" s="54" t="e">
        <f t="shared" si="371"/>
        <v>#N/A</v>
      </c>
      <c r="BY208" s="54" t="e">
        <f t="shared" si="372"/>
        <v>#N/A</v>
      </c>
      <c r="BZ208" s="54" t="b">
        <f t="shared" si="373"/>
        <v>0</v>
      </c>
      <c r="CA208" s="54" t="b">
        <f t="shared" si="374"/>
        <v>1</v>
      </c>
      <c r="CB208" s="54" t="b">
        <f t="shared" si="375"/>
        <v>0</v>
      </c>
      <c r="CC208" s="54" t="b">
        <f t="shared" si="376"/>
        <v>1</v>
      </c>
      <c r="CD208" s="54">
        <f t="shared" si="343"/>
        <v>0.10177381209387595</v>
      </c>
      <c r="CE208" s="54" t="e">
        <f t="shared" si="377"/>
        <v>#N/A</v>
      </c>
      <c r="CF208" s="54">
        <f t="shared" si="378"/>
        <v>0.10177381209387595</v>
      </c>
      <c r="CG208" s="72" t="str">
        <f t="shared" si="379"/>
        <v/>
      </c>
      <c r="CH208" s="54">
        <f>_xlfn.NORM.DIST(_xlfn.NORM.INV(1-Eu_g_konfidensniveau,0,1)-Eu_tabel_g[[#This Row],[x base]],0,1,TRUE)</f>
        <v>4.8728209848242275E-4</v>
      </c>
      <c r="CI208" s="54">
        <f>1-_xlfn.NORM.DIST(_xlfn.NORM.INV(Eu_g_konfidensniveau,0,1)-Eu_tabel_g[[#This Row],[x base]],0,1,TRUE)</f>
        <v>0.50321596954838599</v>
      </c>
      <c r="CJ208" s="54">
        <f>_xlfn.NORM.DIST(_xlfn.NORM.INV((1-Eu_g_konfidensniveau)/2,0,1)-Eu_tabel_g[[#This Row],[x base]],0,1,TRUE)+1-_xlfn.NORM.DIST(_xlfn.NORM.INV(1-(1-Eu_g_konfidensniveau)/2,0,1)-Eu_tabel_g[[#This Row],[x base]],0,1,TRUE)</f>
        <v>0.37955443451297199</v>
      </c>
      <c r="CK208" s="54" t="e" cm="1">
        <f t="array" ref="CK208">IF($CK$3,INDEX(Eu_tabel_g[[#This Row],[Styrke venstre]:[Styrke tosidet]],CK$7),NA())</f>
        <v>#N/A</v>
      </c>
      <c r="CL208" s="99" t="e">
        <f>Eu_tabel_g[[#This Row],[Falsk positiv
Nulhypotese accepteres
Fejltype 1]]</f>
        <v>#N/A</v>
      </c>
      <c r="CM208" s="99" t="e">
        <f>IF(CHOOSE(CK$7,Eu_tabel_g[[#This Row],[x base]]&gt;0,Eu_tabel_g[[#This Row],[x base]]&lt;0,Eu_tabel_g[[#This Row],[x base]]=0),Eu_tabel_g[[#This Row],[Styrke, aktiv]],NA())</f>
        <v>#N/A</v>
      </c>
      <c r="CN208" s="99" t="e">
        <f>IFERROR(IF($CK$3,Eu_tabel_g[[#This Row],[Styrke, aktiv]],NA()),NA())</f>
        <v>#N/A</v>
      </c>
      <c r="CO208" s="99" t="e">
        <f>IF(ISNA(Eu_tabel_g[[#This Row],[Sand negativ
Nulhypotese afvises
Korrekt]]),NA(),IF($CK$3,1,NA()))</f>
        <v>#N/A</v>
      </c>
      <c r="CP208" s="56" t="str" cm="1">
        <f t="array" ref="CP208">_xlfn.SWITCH(BS208,_xlfn.IFNA(CN$2,-99),CN$5,_xlfn.IFNA(CN$3,-99),CN$6,_xlfn.IFNA(CN$4,-99),CN$7,"")</f>
        <v/>
      </c>
      <c r="CT208" s="7">
        <f t="shared" si="380"/>
        <v>0.8</v>
      </c>
      <c r="CU208">
        <f>IF(ROW(Styrkeberegning_G[[#This Row],[X base venstre]])=ROW(Styrkeberegning_G[[#Headers],[X base venstre]])+1,CU$7/(CT$7/$B$67),CU207/(CT207/$B$67))</f>
        <v>-2.8015817870135784</v>
      </c>
      <c r="CV208">
        <f>Styrkeberegning_G[[#This Row],[X base venstre]]*-1</f>
        <v>2.8015817870135784</v>
      </c>
      <c r="DG208" s="54">
        <f t="shared" si="381"/>
        <v>198</v>
      </c>
      <c r="DH208" s="54">
        <f t="shared" si="382"/>
        <v>199</v>
      </c>
      <c r="DI208" s="54">
        <f t="shared" si="383"/>
        <v>24.419882235219887</v>
      </c>
      <c r="DJ208" s="54" t="e">
        <f t="shared" si="384"/>
        <v>#N/A</v>
      </c>
      <c r="DK208" s="54" t="e">
        <f t="shared" si="385"/>
        <v>#N/A</v>
      </c>
      <c r="DL208" s="54">
        <f t="shared" si="386"/>
        <v>3.6949983526446363E-3</v>
      </c>
      <c r="DM208" s="54" t="e">
        <f t="shared" si="387"/>
        <v>#N/A</v>
      </c>
      <c r="DN208" s="54" t="b">
        <f t="shared" si="388"/>
        <v>0</v>
      </c>
      <c r="DO208" s="54" t="b">
        <f t="shared" si="389"/>
        <v>1</v>
      </c>
      <c r="DP208" s="54" t="b">
        <f t="shared" si="390"/>
        <v>1</v>
      </c>
      <c r="DQ208" s="54" t="b">
        <f t="shared" si="391"/>
        <v>0</v>
      </c>
      <c r="DR208" s="54">
        <f t="shared" si="392"/>
        <v>3.6949983526446363E-3</v>
      </c>
      <c r="DS208" s="54">
        <f t="shared" si="393"/>
        <v>3.6949983526446363E-3</v>
      </c>
      <c r="DT208" s="54" t="e">
        <f t="shared" si="394"/>
        <v>#N/A</v>
      </c>
      <c r="DU208" s="72" t="str">
        <f t="shared" si="395"/>
        <v/>
      </c>
      <c r="DZ208" s="54">
        <f t="shared" si="396"/>
        <v>198</v>
      </c>
      <c r="EA208" s="54">
        <f t="shared" si="397"/>
        <v>199</v>
      </c>
      <c r="EB208" s="54">
        <f t="shared" si="398"/>
        <v>1.6529149544618535</v>
      </c>
      <c r="EC208" s="54">
        <f t="shared" si="399"/>
        <v>0.10177381209387595</v>
      </c>
      <c r="ED208" s="54" t="e">
        <f t="shared" si="400"/>
        <v>#N/A</v>
      </c>
      <c r="EE208" s="54" t="e">
        <f t="shared" si="401"/>
        <v>#N/A</v>
      </c>
      <c r="EF208" s="54" t="e">
        <f t="shared" si="402"/>
        <v>#N/A</v>
      </c>
      <c r="EG208" s="54" t="b">
        <f t="shared" si="403"/>
        <v>0</v>
      </c>
      <c r="EH208" s="54" t="b">
        <f t="shared" si="404"/>
        <v>1</v>
      </c>
      <c r="EI208" s="54" t="b">
        <f t="shared" si="405"/>
        <v>0</v>
      </c>
      <c r="EJ208" s="54" t="b">
        <f t="shared" si="406"/>
        <v>1</v>
      </c>
      <c r="EK208" s="54">
        <f t="shared" si="407"/>
        <v>0.10177381209387595</v>
      </c>
      <c r="EL208" s="54" t="e">
        <f t="shared" si="408"/>
        <v>#N/A</v>
      </c>
      <c r="EM208" s="54">
        <f t="shared" si="409"/>
        <v>0.10177381209387595</v>
      </c>
      <c r="EN208" s="72" t="str">
        <f t="shared" si="410"/>
        <v/>
      </c>
      <c r="EO20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0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0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08" s="54" t="e" cm="1">
        <f t="array" ref="ER208">IF($CK$3,INDEX(Eu_tabel_a[[#This Row],[Styrke venstre]:[Styrke tosidet]],ER$7),NA())</f>
        <v>#N/A</v>
      </c>
      <c r="ES208" s="54" t="e">
        <f>IF(ER$3,IF(CHOOSE(ER$7,Eu_tabel_a[[#This Row],[x base]]&gt;0,Eu_tabel_a[[#This Row],[x base]]&lt;0,Eu_tabel_a[[#This Row],[x base]]=0),1,NA()),NA())</f>
        <v>#N/A</v>
      </c>
      <c r="ET208" s="54" t="e">
        <f>IF(CHOOSE(ER$7,Eu_tabel_a[[#This Row],[x base]]&gt;0,Eu_tabel_a[[#This Row],[x base]]&lt;0,Eu_tabel_a[[#This Row],[x base]]=0),Eu_tabel_a[[#This Row],[Styrke, aktiv]],NA())</f>
        <v>#N/A</v>
      </c>
      <c r="EU208" s="54" t="e">
        <f>IFERROR(IF($ER$3,Eu_tabel_a[[#This Row],[Styrke, aktiv]],NA()),NA())</f>
        <v>#N/A</v>
      </c>
      <c r="EV208" s="54" t="e">
        <f>IF(ISNA(Eu_tabel_a[[#This Row],[Sand negativ
Nulhypotese afvises
Korrekt]]),NA(),IF(ER$3,1,NA()))</f>
        <v>#N/A</v>
      </c>
      <c r="EW208" s="55" t="str" cm="1">
        <f t="array" ref="EW208">IFERROR(_xlfn.SWITCH(Eu_tabel_a[[#This Row],[Indeks]],_xlfn.IFNA(EU$2,-99),EU$5,_xlfn.IFNA(EU$3,-99),EU$6,_xlfn.IFNA(EU$4,-99),EU$7,""),"")</f>
        <v/>
      </c>
      <c r="EX208" s="54">
        <f>Eu_tabel_a[[#This Row],[x base]]*SQRT(Eu_a_h0_x*(1-Eu_a_h0_x)/Eu_a_n_x)+Eu_a_h0_x</f>
        <v>0</v>
      </c>
      <c r="FC208" s="161" t="e">
        <f t="shared" si="354"/>
        <v>#N/A</v>
      </c>
      <c r="FD208" s="169" t="e">
        <f t="shared" si="338"/>
        <v>#DIV/0!</v>
      </c>
      <c r="FE208" s="7" t="e">
        <f t="shared" si="348"/>
        <v>#DIV/0!</v>
      </c>
      <c r="FF208" t="e">
        <f t="shared" si="339"/>
        <v>#DIV/0!</v>
      </c>
      <c r="FG208" s="8" t="e">
        <f t="shared" si="340"/>
        <v>#DIV/0!</v>
      </c>
      <c r="FH208" s="8" t="e">
        <f t="shared" si="341"/>
        <v>#DIV/0!</v>
      </c>
      <c r="FI208" s="168" t="e">
        <f t="shared" si="342"/>
        <v>#DIV/0!</v>
      </c>
      <c r="FJ208" s="161" t="e">
        <f t="shared" ca="1" si="349"/>
        <v>#N/A</v>
      </c>
      <c r="FK208" s="169" t="e" vm="3">
        <f t="shared" ca="1" si="355"/>
        <v>#VALUE!</v>
      </c>
      <c r="FL208" s="7" t="e" vm="3">
        <f t="shared" ca="1" si="350"/>
        <v>#VALUE!</v>
      </c>
      <c r="FM208" t="e" vm="3">
        <f t="shared" ca="1" si="344"/>
        <v>#VALUE!</v>
      </c>
      <c r="FN208" s="8" t="e" vm="3">
        <f t="shared" ca="1" si="345"/>
        <v>#VALUE!</v>
      </c>
      <c r="FO208" s="8" t="e" vm="3">
        <f t="shared" ca="1" si="346"/>
        <v>#VALUE!</v>
      </c>
      <c r="FP208" s="168" t="e" vm="3">
        <f t="shared" ca="1" si="347"/>
        <v>#VALUE!</v>
      </c>
      <c r="FQ208" s="161" t="e">
        <f t="shared" si="351"/>
        <v>#N/A</v>
      </c>
      <c r="FR208" s="169" t="e">
        <f t="shared" si="356"/>
        <v>#N/A</v>
      </c>
      <c r="FS208" s="7" t="e">
        <f t="shared" si="352"/>
        <v>#N/A</v>
      </c>
      <c r="FT208" t="e">
        <f t="shared" si="357"/>
        <v>#N/A</v>
      </c>
      <c r="FU208" s="8" t="e">
        <f t="shared" si="358"/>
        <v>#N/A</v>
      </c>
      <c r="FV208" s="8" t="e">
        <f t="shared" si="359"/>
        <v>#N/A</v>
      </c>
      <c r="FW208" s="168" t="e">
        <f t="shared" si="360"/>
        <v>#N/A</v>
      </c>
      <c r="FX208" s="161" t="e">
        <f t="shared" si="361"/>
        <v>#N/A</v>
      </c>
      <c r="FY208" s="169" t="e">
        <f t="shared" si="362"/>
        <v>#N/A</v>
      </c>
      <c r="FZ208" s="7" t="e">
        <f t="shared" si="353"/>
        <v>#N/A</v>
      </c>
      <c r="GA208" t="e">
        <f t="shared" si="363"/>
        <v>#N/A</v>
      </c>
      <c r="GB208" s="8" t="e">
        <f t="shared" si="364"/>
        <v>#N/A</v>
      </c>
      <c r="GC208" s="8" t="e">
        <f t="shared" si="365"/>
        <v>#N/A</v>
      </c>
      <c r="GD208" s="168" t="e">
        <f t="shared" si="366"/>
        <v>#N/A</v>
      </c>
      <c r="GE208" s="168"/>
      <c r="GF208" s="168"/>
      <c r="GI208" s="54">
        <f t="shared" si="411"/>
        <v>198</v>
      </c>
      <c r="GJ208" s="54">
        <f t="shared" si="412"/>
        <v>199</v>
      </c>
      <c r="GK208" s="54">
        <f t="shared" si="413"/>
        <v>1.6529149544618535</v>
      </c>
      <c r="GL208" s="54">
        <f t="shared" si="414"/>
        <v>0.10177381209387595</v>
      </c>
      <c r="GM208" s="54" t="e">
        <f t="shared" si="415"/>
        <v>#N/A</v>
      </c>
      <c r="GN208" s="54" t="e">
        <f t="shared" si="416"/>
        <v>#N/A</v>
      </c>
      <c r="GO208" s="54" t="e">
        <f t="shared" si="417"/>
        <v>#N/A</v>
      </c>
      <c r="GP208" s="54" t="b">
        <f t="shared" si="418"/>
        <v>0</v>
      </c>
      <c r="GQ208" s="54" t="b">
        <f t="shared" si="419"/>
        <v>1</v>
      </c>
      <c r="GR208" s="54" t="b">
        <f t="shared" si="420"/>
        <v>0</v>
      </c>
      <c r="GS208" s="54" t="b">
        <f t="shared" si="421"/>
        <v>1</v>
      </c>
      <c r="GT208" s="54">
        <f t="shared" si="422"/>
        <v>0.10177381209387595</v>
      </c>
      <c r="GU208" s="54" t="e">
        <f t="shared" si="423"/>
        <v>#N/A</v>
      </c>
      <c r="GV208" s="54">
        <f t="shared" si="424"/>
        <v>0.10177381209387595</v>
      </c>
      <c r="GW208" s="72" t="str">
        <f t="shared" si="425"/>
        <v/>
      </c>
      <c r="HC208" s="54">
        <f t="shared" si="426"/>
        <v>198</v>
      </c>
      <c r="HD208" s="54">
        <f t="shared" si="427"/>
        <v>199</v>
      </c>
      <c r="HE208" s="54">
        <f t="shared" si="428"/>
        <v>2.5595735222949223</v>
      </c>
      <c r="HF208" s="54" t="e">
        <f t="shared" si="429"/>
        <v>#N/A</v>
      </c>
      <c r="HG208" s="54">
        <f t="shared" si="430"/>
        <v>2.7409711035389889E-2</v>
      </c>
      <c r="HH208" s="54" t="e">
        <f t="shared" si="431"/>
        <v>#N/A</v>
      </c>
      <c r="HI208" s="54" t="e">
        <f t="shared" si="432"/>
        <v>#N/A</v>
      </c>
      <c r="HJ208" s="54" t="b">
        <f t="shared" si="433"/>
        <v>0</v>
      </c>
      <c r="HK208" s="54" t="b">
        <f t="shared" si="434"/>
        <v>1</v>
      </c>
      <c r="HL208" s="54" t="b">
        <f t="shared" si="435"/>
        <v>1</v>
      </c>
      <c r="HM208" s="54" t="b">
        <f t="shared" si="436"/>
        <v>0</v>
      </c>
      <c r="HN208" s="54">
        <f t="shared" si="437"/>
        <v>2.7409711035389889E-2</v>
      </c>
      <c r="HO208" s="54" t="e">
        <f t="shared" si="438"/>
        <v>#N/A</v>
      </c>
      <c r="HP208" s="54">
        <f t="shared" si="439"/>
        <v>2.7409711035389889E-2</v>
      </c>
      <c r="HQ208" s="72" t="str">
        <f t="shared" si="440"/>
        <v/>
      </c>
    </row>
    <row r="209" spans="71:225" x14ac:dyDescent="0.2">
      <c r="BS209" s="54">
        <f t="shared" si="367"/>
        <v>199</v>
      </c>
      <c r="BT209" s="54">
        <f>Eu_tabel_g[[#This Row],[Indeks]]+1</f>
        <v>200</v>
      </c>
      <c r="BU209" s="54">
        <f t="shared" si="368"/>
        <v>1.6768702436569525</v>
      </c>
      <c r="BV209" s="54">
        <f t="shared" si="369"/>
        <v>9.7794646741326E-2</v>
      </c>
      <c r="BW209" s="54" t="e">
        <f t="shared" si="370"/>
        <v>#N/A</v>
      </c>
      <c r="BX209" s="54" t="e">
        <f t="shared" si="371"/>
        <v>#N/A</v>
      </c>
      <c r="BY209" s="54" t="e">
        <f t="shared" si="372"/>
        <v>#N/A</v>
      </c>
      <c r="BZ209" s="54" t="b">
        <f t="shared" si="373"/>
        <v>0</v>
      </c>
      <c r="CA209" s="54" t="b">
        <f t="shared" si="374"/>
        <v>1</v>
      </c>
      <c r="CB209" s="54" t="b">
        <f t="shared" si="375"/>
        <v>0</v>
      </c>
      <c r="CC209" s="54" t="b">
        <f t="shared" si="376"/>
        <v>1</v>
      </c>
      <c r="CD209" s="54">
        <f t="shared" si="343"/>
        <v>9.7794646741326E-2</v>
      </c>
      <c r="CE209" s="54" t="e">
        <f t="shared" si="377"/>
        <v>#N/A</v>
      </c>
      <c r="CF209" s="54">
        <f t="shared" si="378"/>
        <v>9.7794646741326E-2</v>
      </c>
      <c r="CG209" s="72" t="str">
        <f t="shared" si="379"/>
        <v/>
      </c>
      <c r="CH209" s="54">
        <f>_xlfn.NORM.DIST(_xlfn.NORM.INV(1-Eu_g_konfidensniveau,0,1)-Eu_tabel_g[[#This Row],[x base]],0,1,TRUE)</f>
        <v>4.4731590849217021E-4</v>
      </c>
      <c r="CI209" s="54">
        <f>1-_xlfn.NORM.DIST(_xlfn.NORM.INV(Eu_g_konfidensniveau,0,1)-Eu_tabel_g[[#This Row],[x base]],0,1,TRUE)</f>
        <v>0.51277060026206978</v>
      </c>
      <c r="CJ209" s="54">
        <f>_xlfn.NORM.DIST(_xlfn.NORM.INV((1-Eu_g_konfidensniveau)/2,0,1)-Eu_tabel_g[[#This Row],[x base]],0,1,TRUE)+1-_xlfn.NORM.DIST(_xlfn.NORM.INV(1-(1-Eu_g_konfidensniveau)/2,0,1)-Eu_tabel_g[[#This Row],[x base]],0,1,TRUE)</f>
        <v>0.38869049445814374</v>
      </c>
      <c r="CK209" s="54" t="e" cm="1">
        <f t="array" ref="CK209">IF($CK$3,INDEX(Eu_tabel_g[[#This Row],[Styrke venstre]:[Styrke tosidet]],CK$7),NA())</f>
        <v>#N/A</v>
      </c>
      <c r="CL209" s="99" t="e">
        <f>Eu_tabel_g[[#This Row],[Falsk positiv
Nulhypotese accepteres
Fejltype 1]]</f>
        <v>#N/A</v>
      </c>
      <c r="CM209" s="99" t="e">
        <f>IF(CHOOSE(CK$7,Eu_tabel_g[[#This Row],[x base]]&gt;0,Eu_tabel_g[[#This Row],[x base]]&lt;0,Eu_tabel_g[[#This Row],[x base]]=0),Eu_tabel_g[[#This Row],[Styrke, aktiv]],NA())</f>
        <v>#N/A</v>
      </c>
      <c r="CN209" s="99" t="e">
        <f>IFERROR(IF($CK$3,Eu_tabel_g[[#This Row],[Styrke, aktiv]],NA()),NA())</f>
        <v>#N/A</v>
      </c>
      <c r="CO209" s="99" t="e">
        <f>IF(ISNA(Eu_tabel_g[[#This Row],[Sand negativ
Nulhypotese afvises
Korrekt]]),NA(),IF($CK$3,1,NA()))</f>
        <v>#N/A</v>
      </c>
      <c r="CP209" s="56" t="str" cm="1">
        <f t="array" ref="CP209">_xlfn.SWITCH(BS209,_xlfn.IFNA(CN$2,-99),CN$5,_xlfn.IFNA(CN$3,-99),CN$6,_xlfn.IFNA(CN$4,-99),CN$7,"")</f>
        <v/>
      </c>
      <c r="CT209" s="7">
        <f t="shared" si="380"/>
        <v>0.8</v>
      </c>
      <c r="CU209">
        <f>IF(ROW(Styrkeberegning_G[[#This Row],[X base venstre]])=ROW(Styrkeberegning_G[[#Headers],[X base venstre]])+1,CU$7/(CT$7/$B$67),CU208/(CT208/$B$67))</f>
        <v>-2.8015817870135784</v>
      </c>
      <c r="CV209">
        <f>Styrkeberegning_G[[#This Row],[X base venstre]]*-1</f>
        <v>2.8015817870135784</v>
      </c>
      <c r="DG209" s="54">
        <f t="shared" si="381"/>
        <v>199</v>
      </c>
      <c r="DH209" s="54">
        <f t="shared" si="382"/>
        <v>200</v>
      </c>
      <c r="DI209" s="54">
        <f t="shared" si="383"/>
        <v>24.533953091636889</v>
      </c>
      <c r="DJ209" s="54" t="e">
        <f t="shared" si="384"/>
        <v>#N/A</v>
      </c>
      <c r="DK209" s="54" t="e">
        <f t="shared" si="385"/>
        <v>#N/A</v>
      </c>
      <c r="DL209" s="54">
        <f t="shared" si="386"/>
        <v>3.564116746841857E-3</v>
      </c>
      <c r="DM209" s="54" t="e">
        <f t="shared" si="387"/>
        <v>#N/A</v>
      </c>
      <c r="DN209" s="54" t="b">
        <f t="shared" si="388"/>
        <v>0</v>
      </c>
      <c r="DO209" s="54" t="b">
        <f t="shared" si="389"/>
        <v>1</v>
      </c>
      <c r="DP209" s="54" t="b">
        <f t="shared" si="390"/>
        <v>1</v>
      </c>
      <c r="DQ209" s="54" t="b">
        <f t="shared" si="391"/>
        <v>0</v>
      </c>
      <c r="DR209" s="54">
        <f t="shared" si="392"/>
        <v>3.564116746841857E-3</v>
      </c>
      <c r="DS209" s="54">
        <f t="shared" si="393"/>
        <v>3.564116746841857E-3</v>
      </c>
      <c r="DT209" s="54" t="e">
        <f t="shared" si="394"/>
        <v>#N/A</v>
      </c>
      <c r="DU209" s="72" t="str">
        <f t="shared" si="395"/>
        <v/>
      </c>
      <c r="DZ209" s="54">
        <f t="shared" si="396"/>
        <v>199</v>
      </c>
      <c r="EA209" s="54">
        <f t="shared" si="397"/>
        <v>200</v>
      </c>
      <c r="EB209" s="54">
        <f t="shared" si="398"/>
        <v>1.6768702436569525</v>
      </c>
      <c r="EC209" s="54">
        <f t="shared" si="399"/>
        <v>9.7794646741326E-2</v>
      </c>
      <c r="ED209" s="54" t="e">
        <f t="shared" si="400"/>
        <v>#N/A</v>
      </c>
      <c r="EE209" s="54" t="e">
        <f t="shared" si="401"/>
        <v>#N/A</v>
      </c>
      <c r="EF209" s="54" t="e">
        <f t="shared" si="402"/>
        <v>#N/A</v>
      </c>
      <c r="EG209" s="54" t="b">
        <f t="shared" si="403"/>
        <v>0</v>
      </c>
      <c r="EH209" s="54" t="b">
        <f t="shared" si="404"/>
        <v>1</v>
      </c>
      <c r="EI209" s="54" t="b">
        <f t="shared" si="405"/>
        <v>0</v>
      </c>
      <c r="EJ209" s="54" t="b">
        <f t="shared" si="406"/>
        <v>1</v>
      </c>
      <c r="EK209" s="54">
        <f t="shared" si="407"/>
        <v>9.7794646741326E-2</v>
      </c>
      <c r="EL209" s="54" t="e">
        <f t="shared" si="408"/>
        <v>#N/A</v>
      </c>
      <c r="EM209" s="54">
        <f t="shared" si="409"/>
        <v>9.7794646741326E-2</v>
      </c>
      <c r="EN209" s="72" t="str">
        <f t="shared" si="410"/>
        <v/>
      </c>
      <c r="EO20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0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0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09" s="54" t="e" cm="1">
        <f t="array" ref="ER209">IF($CK$3,INDEX(Eu_tabel_a[[#This Row],[Styrke venstre]:[Styrke tosidet]],ER$7),NA())</f>
        <v>#N/A</v>
      </c>
      <c r="ES209" s="54" t="e">
        <f>IF(ER$3,IF(CHOOSE(ER$7,Eu_tabel_a[[#This Row],[x base]]&gt;0,Eu_tabel_a[[#This Row],[x base]]&lt;0,Eu_tabel_a[[#This Row],[x base]]=0),1,NA()),NA())</f>
        <v>#N/A</v>
      </c>
      <c r="ET209" s="54" t="e">
        <f>IF(CHOOSE(ER$7,Eu_tabel_a[[#This Row],[x base]]&gt;0,Eu_tabel_a[[#This Row],[x base]]&lt;0,Eu_tabel_a[[#This Row],[x base]]=0),Eu_tabel_a[[#This Row],[Styrke, aktiv]],NA())</f>
        <v>#N/A</v>
      </c>
      <c r="EU209" s="54" t="e">
        <f>IFERROR(IF($ER$3,Eu_tabel_a[[#This Row],[Styrke, aktiv]],NA()),NA())</f>
        <v>#N/A</v>
      </c>
      <c r="EV209" s="54" t="e">
        <f>IF(ISNA(Eu_tabel_a[[#This Row],[Sand negativ
Nulhypotese afvises
Korrekt]]),NA(),IF(ER$3,1,NA()))</f>
        <v>#N/A</v>
      </c>
      <c r="EW209" s="55" t="str" cm="1">
        <f t="array" ref="EW209">IFERROR(_xlfn.SWITCH(Eu_tabel_a[[#This Row],[Indeks]],_xlfn.IFNA(EU$2,-99),EU$5,_xlfn.IFNA(EU$3,-99),EU$6,_xlfn.IFNA(EU$4,-99),EU$7,""),"")</f>
        <v/>
      </c>
      <c r="EX209" s="54">
        <f>Eu_tabel_a[[#This Row],[x base]]*SQRT(Eu_a_h0_x*(1-Eu_a_h0_x)/Eu_a_n_x)+Eu_a_h0_x</f>
        <v>0</v>
      </c>
      <c r="FC209" s="161" t="e">
        <f t="shared" si="354"/>
        <v>#N/A</v>
      </c>
      <c r="FD209" s="169" t="e">
        <f t="shared" si="338"/>
        <v>#DIV/0!</v>
      </c>
      <c r="FE209" s="7" t="e">
        <f t="shared" si="348"/>
        <v>#DIV/0!</v>
      </c>
      <c r="FF209" t="e">
        <f t="shared" si="339"/>
        <v>#DIV/0!</v>
      </c>
      <c r="FG209" s="8" t="e">
        <f t="shared" si="340"/>
        <v>#DIV/0!</v>
      </c>
      <c r="FH209" s="8" t="e">
        <f t="shared" si="341"/>
        <v>#DIV/0!</v>
      </c>
      <c r="FI209" s="168" t="e">
        <f t="shared" si="342"/>
        <v>#DIV/0!</v>
      </c>
      <c r="FJ209" s="161" t="e">
        <f t="shared" ca="1" si="349"/>
        <v>#N/A</v>
      </c>
      <c r="FK209" s="169" t="e" vm="3">
        <f t="shared" ca="1" si="355"/>
        <v>#VALUE!</v>
      </c>
      <c r="FL209" s="7" t="e" vm="3">
        <f t="shared" ca="1" si="350"/>
        <v>#VALUE!</v>
      </c>
      <c r="FM209" t="e" vm="3">
        <f t="shared" ca="1" si="344"/>
        <v>#VALUE!</v>
      </c>
      <c r="FN209" s="8" t="e" vm="3">
        <f t="shared" ca="1" si="345"/>
        <v>#VALUE!</v>
      </c>
      <c r="FO209" s="8" t="e" vm="3">
        <f t="shared" ca="1" si="346"/>
        <v>#VALUE!</v>
      </c>
      <c r="FP209" s="168" t="e" vm="3">
        <f t="shared" ca="1" si="347"/>
        <v>#VALUE!</v>
      </c>
      <c r="FQ209" s="161" t="e">
        <f t="shared" si="351"/>
        <v>#N/A</v>
      </c>
      <c r="FR209" s="169" t="e">
        <f t="shared" si="356"/>
        <v>#N/A</v>
      </c>
      <c r="FS209" s="7" t="e">
        <f t="shared" si="352"/>
        <v>#N/A</v>
      </c>
      <c r="FT209" t="e">
        <f t="shared" si="357"/>
        <v>#N/A</v>
      </c>
      <c r="FU209" s="8" t="e">
        <f t="shared" si="358"/>
        <v>#N/A</v>
      </c>
      <c r="FV209" s="8" t="e">
        <f t="shared" si="359"/>
        <v>#N/A</v>
      </c>
      <c r="FW209" s="168" t="e">
        <f t="shared" si="360"/>
        <v>#N/A</v>
      </c>
      <c r="FX209" s="161" t="e">
        <f t="shared" si="361"/>
        <v>#N/A</v>
      </c>
      <c r="FY209" s="169" t="e">
        <f t="shared" si="362"/>
        <v>#N/A</v>
      </c>
      <c r="FZ209" s="7" t="e">
        <f t="shared" si="353"/>
        <v>#N/A</v>
      </c>
      <c r="GA209" t="e">
        <f t="shared" si="363"/>
        <v>#N/A</v>
      </c>
      <c r="GB209" s="8" t="e">
        <f t="shared" si="364"/>
        <v>#N/A</v>
      </c>
      <c r="GC209" s="8" t="e">
        <f t="shared" si="365"/>
        <v>#N/A</v>
      </c>
      <c r="GD209" s="168" t="e">
        <f t="shared" si="366"/>
        <v>#N/A</v>
      </c>
      <c r="GE209" s="168"/>
      <c r="GF209" s="168"/>
      <c r="GI209" s="54">
        <f t="shared" si="411"/>
        <v>199</v>
      </c>
      <c r="GJ209" s="54">
        <f t="shared" si="412"/>
        <v>200</v>
      </c>
      <c r="GK209" s="54">
        <f t="shared" si="413"/>
        <v>1.6768702436569525</v>
      </c>
      <c r="GL209" s="54">
        <f t="shared" si="414"/>
        <v>9.7794646741326E-2</v>
      </c>
      <c r="GM209" s="54" t="e">
        <f t="shared" si="415"/>
        <v>#N/A</v>
      </c>
      <c r="GN209" s="54" t="e">
        <f t="shared" si="416"/>
        <v>#N/A</v>
      </c>
      <c r="GO209" s="54" t="e">
        <f t="shared" si="417"/>
        <v>#N/A</v>
      </c>
      <c r="GP209" s="54" t="b">
        <f t="shared" si="418"/>
        <v>0</v>
      </c>
      <c r="GQ209" s="54" t="b">
        <f t="shared" si="419"/>
        <v>1</v>
      </c>
      <c r="GR209" s="54" t="b">
        <f t="shared" si="420"/>
        <v>0</v>
      </c>
      <c r="GS209" s="54" t="b">
        <f t="shared" si="421"/>
        <v>1</v>
      </c>
      <c r="GT209" s="54">
        <f t="shared" si="422"/>
        <v>9.7794646741326E-2</v>
      </c>
      <c r="GU209" s="54" t="e">
        <f t="shared" si="423"/>
        <v>#N/A</v>
      </c>
      <c r="GV209" s="54">
        <f t="shared" si="424"/>
        <v>9.7794646741326E-2</v>
      </c>
      <c r="GW209" s="72" t="str">
        <f t="shared" si="425"/>
        <v/>
      </c>
      <c r="HC209" s="54">
        <f t="shared" si="426"/>
        <v>199</v>
      </c>
      <c r="HD209" s="54">
        <f t="shared" si="427"/>
        <v>200</v>
      </c>
      <c r="HE209" s="54">
        <f t="shared" si="428"/>
        <v>2.5966687907339798</v>
      </c>
      <c r="HF209" s="54" t="e">
        <f t="shared" si="429"/>
        <v>#N/A</v>
      </c>
      <c r="HG209" s="54">
        <f t="shared" si="430"/>
        <v>2.5915309276453979E-2</v>
      </c>
      <c r="HH209" s="54" t="e">
        <f t="shared" si="431"/>
        <v>#N/A</v>
      </c>
      <c r="HI209" s="54" t="e">
        <f t="shared" si="432"/>
        <v>#N/A</v>
      </c>
      <c r="HJ209" s="54" t="b">
        <f t="shared" si="433"/>
        <v>0</v>
      </c>
      <c r="HK209" s="54" t="b">
        <f t="shared" si="434"/>
        <v>1</v>
      </c>
      <c r="HL209" s="54" t="b">
        <f t="shared" si="435"/>
        <v>1</v>
      </c>
      <c r="HM209" s="54" t="b">
        <f t="shared" si="436"/>
        <v>0</v>
      </c>
      <c r="HN209" s="54">
        <f t="shared" si="437"/>
        <v>2.5915309276453979E-2</v>
      </c>
      <c r="HO209" s="54" t="e">
        <f t="shared" si="438"/>
        <v>#N/A</v>
      </c>
      <c r="HP209" s="54">
        <f t="shared" si="439"/>
        <v>2.5915309276453979E-2</v>
      </c>
      <c r="HQ209" s="72" t="str">
        <f t="shared" si="440"/>
        <v/>
      </c>
    </row>
    <row r="210" spans="71:225" x14ac:dyDescent="0.2">
      <c r="BS210" s="54">
        <f t="shared" si="367"/>
        <v>200</v>
      </c>
      <c r="BT210" s="54">
        <f>Eu_tabel_g[[#This Row],[Indeks]]+1</f>
        <v>201</v>
      </c>
      <c r="BU210" s="54">
        <f t="shared" si="368"/>
        <v>1.7008255328520523</v>
      </c>
      <c r="BV210" s="54">
        <f t="shared" si="369"/>
        <v>9.3917148922940161E-2</v>
      </c>
      <c r="BW210" s="54" t="e">
        <f t="shared" si="370"/>
        <v>#N/A</v>
      </c>
      <c r="BX210" s="54" t="e">
        <f t="shared" si="371"/>
        <v>#N/A</v>
      </c>
      <c r="BY210" s="54" t="e">
        <f t="shared" si="372"/>
        <v>#N/A</v>
      </c>
      <c r="BZ210" s="54" t="b">
        <f t="shared" si="373"/>
        <v>0</v>
      </c>
      <c r="CA210" s="54" t="b">
        <f t="shared" si="374"/>
        <v>1</v>
      </c>
      <c r="CB210" s="54" t="b">
        <f t="shared" si="375"/>
        <v>0</v>
      </c>
      <c r="CC210" s="54" t="b">
        <f t="shared" si="376"/>
        <v>1</v>
      </c>
      <c r="CD210" s="54">
        <f t="shared" si="343"/>
        <v>9.3917148922940161E-2</v>
      </c>
      <c r="CE210" s="54" t="e">
        <f t="shared" si="377"/>
        <v>#N/A</v>
      </c>
      <c r="CF210" s="54">
        <f t="shared" si="378"/>
        <v>9.3917148922940161E-2</v>
      </c>
      <c r="CG210" s="72" t="str">
        <f t="shared" si="379"/>
        <v/>
      </c>
      <c r="CH210" s="54">
        <f>_xlfn.NORM.DIST(_xlfn.NORM.INV(1-Eu_g_konfidensniveau,0,1)-Eu_tabel_g[[#This Row],[x base]],0,1,TRUE)</f>
        <v>4.1040656259575155E-4</v>
      </c>
      <c r="CI210" s="54">
        <f>1-_xlfn.NORM.DIST(_xlfn.NORM.INV(Eu_g_konfidensniveau,0,1)-Eu_tabel_g[[#This Row],[x base]],0,1,TRUE)</f>
        <v>0.52231790604596395</v>
      </c>
      <c r="CJ210" s="54">
        <f>_xlfn.NORM.DIST(_xlfn.NORM.INV((1-Eu_g_konfidensniveau)/2,0,1)-Eu_tabel_g[[#This Row],[x base]],0,1,TRUE)+1-_xlfn.NORM.DIST(_xlfn.NORM.INV(1-(1-Eu_g_konfidensniveau)/2,0,1)-Eu_tabel_g[[#This Row],[x base]],0,1,TRUE)</f>
        <v>0.39788992846045113</v>
      </c>
      <c r="CK210" s="54" t="e" cm="1">
        <f t="array" ref="CK210">IF($CK$3,INDEX(Eu_tabel_g[[#This Row],[Styrke venstre]:[Styrke tosidet]],CK$7),NA())</f>
        <v>#N/A</v>
      </c>
      <c r="CL210" s="99" t="e">
        <f>Eu_tabel_g[[#This Row],[Falsk positiv
Nulhypotese accepteres
Fejltype 1]]</f>
        <v>#N/A</v>
      </c>
      <c r="CM210" s="99" t="e">
        <f>IF(CHOOSE(CK$7,Eu_tabel_g[[#This Row],[x base]]&gt;0,Eu_tabel_g[[#This Row],[x base]]&lt;0,Eu_tabel_g[[#This Row],[x base]]=0),Eu_tabel_g[[#This Row],[Styrke, aktiv]],NA())</f>
        <v>#N/A</v>
      </c>
      <c r="CN210" s="99" t="e">
        <f>IFERROR(IF($CK$3,Eu_tabel_g[[#This Row],[Styrke, aktiv]],NA()),NA())</f>
        <v>#N/A</v>
      </c>
      <c r="CO210" s="99" t="e">
        <f>IF(ISNA(Eu_tabel_g[[#This Row],[Sand negativ
Nulhypotese afvises
Korrekt]]),NA(),IF($CK$3,1,NA()))</f>
        <v>#N/A</v>
      </c>
      <c r="CP210" s="56" t="str" cm="1">
        <f t="array" ref="CP210">_xlfn.SWITCH(BS210,_xlfn.IFNA(CN$2,-99),CN$5,_xlfn.IFNA(CN$3,-99),CN$6,_xlfn.IFNA(CN$4,-99),CN$7,"")</f>
        <v/>
      </c>
      <c r="CT210" s="7">
        <f t="shared" si="380"/>
        <v>0.8</v>
      </c>
      <c r="CU210">
        <f>IF(ROW(Styrkeberegning_G[[#This Row],[X base venstre]])=ROW(Styrkeberegning_G[[#Headers],[X base venstre]])+1,CU$7/(CT$7/$B$67),CU209/(CT209/$B$67))</f>
        <v>-2.8015817870135784</v>
      </c>
      <c r="CV210">
        <f>Styrkeberegning_G[[#This Row],[X base venstre]]*-1</f>
        <v>2.8015817870135784</v>
      </c>
      <c r="DG210" s="54">
        <f t="shared" si="381"/>
        <v>200</v>
      </c>
      <c r="DH210" s="54">
        <f t="shared" si="382"/>
        <v>201</v>
      </c>
      <c r="DI210" s="54">
        <f t="shared" si="383"/>
        <v>24.64802394805389</v>
      </c>
      <c r="DJ210" s="54" t="e">
        <f t="shared" si="384"/>
        <v>#N/A</v>
      </c>
      <c r="DK210" s="54" t="e">
        <f t="shared" si="385"/>
        <v>#N/A</v>
      </c>
      <c r="DL210" s="54">
        <f t="shared" si="386"/>
        <v>3.4375367102795801E-3</v>
      </c>
      <c r="DM210" s="54" t="e">
        <f t="shared" si="387"/>
        <v>#N/A</v>
      </c>
      <c r="DN210" s="54" t="b">
        <f t="shared" si="388"/>
        <v>0</v>
      </c>
      <c r="DO210" s="54" t="b">
        <f t="shared" si="389"/>
        <v>1</v>
      </c>
      <c r="DP210" s="54" t="b">
        <f t="shared" si="390"/>
        <v>1</v>
      </c>
      <c r="DQ210" s="54" t="b">
        <f t="shared" si="391"/>
        <v>0</v>
      </c>
      <c r="DR210" s="54">
        <f t="shared" si="392"/>
        <v>3.4375367102795801E-3</v>
      </c>
      <c r="DS210" s="54">
        <f t="shared" si="393"/>
        <v>3.4375367102795801E-3</v>
      </c>
      <c r="DT210" s="54" t="e">
        <f t="shared" si="394"/>
        <v>#N/A</v>
      </c>
      <c r="DU210" s="72" t="str">
        <f t="shared" si="395"/>
        <v/>
      </c>
      <c r="DZ210" s="54">
        <f t="shared" si="396"/>
        <v>200</v>
      </c>
      <c r="EA210" s="54">
        <f t="shared" si="397"/>
        <v>201</v>
      </c>
      <c r="EB210" s="54">
        <f t="shared" si="398"/>
        <v>1.7008255328520523</v>
      </c>
      <c r="EC210" s="54">
        <f t="shared" si="399"/>
        <v>9.3917148922940161E-2</v>
      </c>
      <c r="ED210" s="54" t="e">
        <f t="shared" si="400"/>
        <v>#N/A</v>
      </c>
      <c r="EE210" s="54" t="e">
        <f t="shared" si="401"/>
        <v>#N/A</v>
      </c>
      <c r="EF210" s="54" t="e">
        <f t="shared" si="402"/>
        <v>#N/A</v>
      </c>
      <c r="EG210" s="54" t="b">
        <f t="shared" si="403"/>
        <v>0</v>
      </c>
      <c r="EH210" s="54" t="b">
        <f t="shared" si="404"/>
        <v>1</v>
      </c>
      <c r="EI210" s="54" t="b">
        <f t="shared" si="405"/>
        <v>0</v>
      </c>
      <c r="EJ210" s="54" t="b">
        <f t="shared" si="406"/>
        <v>1</v>
      </c>
      <c r="EK210" s="54">
        <f t="shared" si="407"/>
        <v>9.3917148922940161E-2</v>
      </c>
      <c r="EL210" s="54" t="e">
        <f t="shared" si="408"/>
        <v>#N/A</v>
      </c>
      <c r="EM210" s="54">
        <f t="shared" si="409"/>
        <v>9.3917148922940161E-2</v>
      </c>
      <c r="EN210" s="72" t="str">
        <f t="shared" si="410"/>
        <v/>
      </c>
      <c r="EO21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1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1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10" s="54" t="e" cm="1">
        <f t="array" ref="ER210">IF($CK$3,INDEX(Eu_tabel_a[[#This Row],[Styrke venstre]:[Styrke tosidet]],ER$7),NA())</f>
        <v>#N/A</v>
      </c>
      <c r="ES210" s="54" t="e">
        <f>IF(ER$3,IF(CHOOSE(ER$7,Eu_tabel_a[[#This Row],[x base]]&gt;0,Eu_tabel_a[[#This Row],[x base]]&lt;0,Eu_tabel_a[[#This Row],[x base]]=0),1,NA()),NA())</f>
        <v>#N/A</v>
      </c>
      <c r="ET210" s="54" t="e">
        <f>IF(CHOOSE(ER$7,Eu_tabel_a[[#This Row],[x base]]&gt;0,Eu_tabel_a[[#This Row],[x base]]&lt;0,Eu_tabel_a[[#This Row],[x base]]=0),Eu_tabel_a[[#This Row],[Styrke, aktiv]],NA())</f>
        <v>#N/A</v>
      </c>
      <c r="EU210" s="54" t="e">
        <f>IFERROR(IF($ER$3,Eu_tabel_a[[#This Row],[Styrke, aktiv]],NA()),NA())</f>
        <v>#N/A</v>
      </c>
      <c r="EV210" s="54" t="e">
        <f>IF(ISNA(Eu_tabel_a[[#This Row],[Sand negativ
Nulhypotese afvises
Korrekt]]),NA(),IF(ER$3,1,NA()))</f>
        <v>#N/A</v>
      </c>
      <c r="EW210" s="55" t="str" cm="1">
        <f t="array" ref="EW210">IFERROR(_xlfn.SWITCH(Eu_tabel_a[[#This Row],[Indeks]],_xlfn.IFNA(EU$2,-99),EU$5,_xlfn.IFNA(EU$3,-99),EU$6,_xlfn.IFNA(EU$4,-99),EU$7,""),"")</f>
        <v/>
      </c>
      <c r="EX210" s="54">
        <f>Eu_tabel_a[[#This Row],[x base]]*SQRT(Eu_a_h0_x*(1-Eu_a_h0_x)/Eu_a_n_x)+Eu_a_h0_x</f>
        <v>0</v>
      </c>
      <c r="FC210" s="161" t="e">
        <f t="shared" si="354"/>
        <v>#N/A</v>
      </c>
      <c r="FD210" s="169" t="e">
        <f t="shared" si="338"/>
        <v>#DIV/0!</v>
      </c>
      <c r="FE210" s="7" t="e">
        <f t="shared" si="348"/>
        <v>#DIV/0!</v>
      </c>
      <c r="FF210" t="e">
        <f t="shared" si="339"/>
        <v>#DIV/0!</v>
      </c>
      <c r="FG210" s="8" t="e">
        <f t="shared" si="340"/>
        <v>#DIV/0!</v>
      </c>
      <c r="FH210" s="8" t="e">
        <f t="shared" si="341"/>
        <v>#DIV/0!</v>
      </c>
      <c r="FI210" s="168" t="e">
        <f t="shared" si="342"/>
        <v>#DIV/0!</v>
      </c>
      <c r="FJ210" s="161" t="e">
        <f t="shared" ca="1" si="349"/>
        <v>#N/A</v>
      </c>
      <c r="FK210" s="169" t="e" vm="3">
        <f t="shared" ca="1" si="355"/>
        <v>#VALUE!</v>
      </c>
      <c r="FL210" s="7" t="e" vm="3">
        <f t="shared" ca="1" si="350"/>
        <v>#VALUE!</v>
      </c>
      <c r="FM210" t="e" vm="3">
        <f t="shared" ca="1" si="344"/>
        <v>#VALUE!</v>
      </c>
      <c r="FN210" s="8" t="e" vm="3">
        <f t="shared" ca="1" si="345"/>
        <v>#VALUE!</v>
      </c>
      <c r="FO210" s="8" t="e" vm="3">
        <f t="shared" ca="1" si="346"/>
        <v>#VALUE!</v>
      </c>
      <c r="FP210" s="168" t="e" vm="3">
        <f t="shared" ca="1" si="347"/>
        <v>#VALUE!</v>
      </c>
      <c r="FQ210" s="161" t="e">
        <f t="shared" si="351"/>
        <v>#N/A</v>
      </c>
      <c r="FR210" s="169" t="e">
        <f t="shared" si="356"/>
        <v>#N/A</v>
      </c>
      <c r="FS210" s="7" t="e">
        <f t="shared" si="352"/>
        <v>#N/A</v>
      </c>
      <c r="FT210" t="e">
        <f t="shared" si="357"/>
        <v>#N/A</v>
      </c>
      <c r="FU210" s="8" t="e">
        <f t="shared" si="358"/>
        <v>#N/A</v>
      </c>
      <c r="FV210" s="8" t="e">
        <f t="shared" si="359"/>
        <v>#N/A</v>
      </c>
      <c r="FW210" s="168" t="e">
        <f t="shared" si="360"/>
        <v>#N/A</v>
      </c>
      <c r="FX210" s="161" t="e">
        <f t="shared" si="361"/>
        <v>#N/A</v>
      </c>
      <c r="FY210" s="169" t="e">
        <f t="shared" si="362"/>
        <v>#N/A</v>
      </c>
      <c r="FZ210" s="7" t="e">
        <f t="shared" si="353"/>
        <v>#N/A</v>
      </c>
      <c r="GA210" t="e">
        <f t="shared" si="363"/>
        <v>#N/A</v>
      </c>
      <c r="GB210" s="8" t="e">
        <f t="shared" si="364"/>
        <v>#N/A</v>
      </c>
      <c r="GC210" s="8" t="e">
        <f t="shared" si="365"/>
        <v>#N/A</v>
      </c>
      <c r="GD210" s="168" t="e">
        <f t="shared" si="366"/>
        <v>#N/A</v>
      </c>
      <c r="GE210" s="168"/>
      <c r="GF210" s="168"/>
      <c r="GI210" s="54">
        <f t="shared" si="411"/>
        <v>200</v>
      </c>
      <c r="GJ210" s="54">
        <f t="shared" si="412"/>
        <v>201</v>
      </c>
      <c r="GK210" s="54">
        <f t="shared" si="413"/>
        <v>1.7008255328520523</v>
      </c>
      <c r="GL210" s="54">
        <f t="shared" si="414"/>
        <v>9.3917148922940161E-2</v>
      </c>
      <c r="GM210" s="54" t="e">
        <f t="shared" si="415"/>
        <v>#N/A</v>
      </c>
      <c r="GN210" s="54" t="e">
        <f t="shared" si="416"/>
        <v>#N/A</v>
      </c>
      <c r="GO210" s="54" t="e">
        <f t="shared" si="417"/>
        <v>#N/A</v>
      </c>
      <c r="GP210" s="54" t="b">
        <f t="shared" si="418"/>
        <v>0</v>
      </c>
      <c r="GQ210" s="54" t="b">
        <f t="shared" si="419"/>
        <v>1</v>
      </c>
      <c r="GR210" s="54" t="b">
        <f t="shared" si="420"/>
        <v>0</v>
      </c>
      <c r="GS210" s="54" t="b">
        <f t="shared" si="421"/>
        <v>1</v>
      </c>
      <c r="GT210" s="54">
        <f t="shared" si="422"/>
        <v>9.3917148922940161E-2</v>
      </c>
      <c r="GU210" s="54" t="e">
        <f t="shared" si="423"/>
        <v>#N/A</v>
      </c>
      <c r="GV210" s="54">
        <f t="shared" si="424"/>
        <v>9.3917148922940161E-2</v>
      </c>
      <c r="GW210" s="72" t="str">
        <f t="shared" si="425"/>
        <v/>
      </c>
      <c r="HC210" s="54">
        <f t="shared" si="426"/>
        <v>200</v>
      </c>
      <c r="HD210" s="54">
        <f t="shared" si="427"/>
        <v>201</v>
      </c>
      <c r="HE210" s="54">
        <f t="shared" si="428"/>
        <v>2.6337640591730365</v>
      </c>
      <c r="HF210" s="54" t="e">
        <f t="shared" si="429"/>
        <v>#N/A</v>
      </c>
      <c r="HG210" s="54">
        <f t="shared" si="430"/>
        <v>2.4502015153508718E-2</v>
      </c>
      <c r="HH210" s="54" t="e">
        <f t="shared" si="431"/>
        <v>#N/A</v>
      </c>
      <c r="HI210" s="54" t="e">
        <f t="shared" si="432"/>
        <v>#N/A</v>
      </c>
      <c r="HJ210" s="54" t="b">
        <f t="shared" si="433"/>
        <v>0</v>
      </c>
      <c r="HK210" s="54" t="b">
        <f t="shared" si="434"/>
        <v>1</v>
      </c>
      <c r="HL210" s="54" t="b">
        <f t="shared" si="435"/>
        <v>1</v>
      </c>
      <c r="HM210" s="54" t="b">
        <f t="shared" si="436"/>
        <v>0</v>
      </c>
      <c r="HN210" s="54">
        <f t="shared" si="437"/>
        <v>2.4502015153508718E-2</v>
      </c>
      <c r="HO210" s="54" t="e">
        <f t="shared" si="438"/>
        <v>#N/A</v>
      </c>
      <c r="HP210" s="54">
        <f t="shared" si="439"/>
        <v>2.4502015153508718E-2</v>
      </c>
      <c r="HQ210" s="72" t="str">
        <f t="shared" si="440"/>
        <v/>
      </c>
    </row>
    <row r="211" spans="71:225" x14ac:dyDescent="0.2">
      <c r="BS211" s="54">
        <f t="shared" si="367"/>
        <v>201</v>
      </c>
      <c r="BT211" s="54">
        <f>Eu_tabel_g[[#This Row],[Indeks]]+1</f>
        <v>202</v>
      </c>
      <c r="BU211" s="54">
        <f t="shared" si="368"/>
        <v>1.7247808220471512</v>
      </c>
      <c r="BV211" s="54">
        <f t="shared" si="369"/>
        <v>9.0141648356948725E-2</v>
      </c>
      <c r="BW211" s="54" t="e">
        <f t="shared" si="370"/>
        <v>#N/A</v>
      </c>
      <c r="BX211" s="54" t="e">
        <f t="shared" si="371"/>
        <v>#N/A</v>
      </c>
      <c r="BY211" s="54" t="e">
        <f t="shared" si="372"/>
        <v>#N/A</v>
      </c>
      <c r="BZ211" s="54" t="b">
        <f t="shared" si="373"/>
        <v>0</v>
      </c>
      <c r="CA211" s="54" t="b">
        <f t="shared" si="374"/>
        <v>1</v>
      </c>
      <c r="CB211" s="54" t="b">
        <f t="shared" si="375"/>
        <v>0</v>
      </c>
      <c r="CC211" s="54" t="b">
        <f t="shared" si="376"/>
        <v>1</v>
      </c>
      <c r="CD211" s="54">
        <f t="shared" si="343"/>
        <v>9.0141648356948725E-2</v>
      </c>
      <c r="CE211" s="54" t="e">
        <f t="shared" si="377"/>
        <v>#N/A</v>
      </c>
      <c r="CF211" s="54">
        <f t="shared" si="378"/>
        <v>9.0141648356948725E-2</v>
      </c>
      <c r="CG211" s="72" t="str">
        <f t="shared" si="379"/>
        <v/>
      </c>
      <c r="CH211" s="54">
        <f>_xlfn.NORM.DIST(_xlfn.NORM.INV(1-Eu_g_konfidensniveau,0,1)-Eu_tabel_g[[#This Row],[x base]],0,1,TRUE)</f>
        <v>3.7633980985570035E-4</v>
      </c>
      <c r="CI211" s="54">
        <f>1-_xlfn.NORM.DIST(_xlfn.NORM.INV(Eu_g_konfidensniveau,0,1)-Eu_tabel_g[[#This Row],[x base]],0,1,TRUE)</f>
        <v>0.53185241977044739</v>
      </c>
      <c r="CJ211" s="54">
        <f>_xlfn.NORM.DIST(_xlfn.NORM.INV((1-Eu_g_konfidensniveau)/2,0,1)-Eu_tabel_g[[#This Row],[x base]],0,1,TRUE)+1-_xlfn.NORM.DIST(_xlfn.NORM.INV(1-(1-Eu_g_konfidensniveau)/2,0,1)-Eu_tabel_g[[#This Row],[x base]],0,1,TRUE)</f>
        <v>0.40714775290485883</v>
      </c>
      <c r="CK211" s="54" t="e" cm="1">
        <f t="array" ref="CK211">IF($CK$3,INDEX(Eu_tabel_g[[#This Row],[Styrke venstre]:[Styrke tosidet]],CK$7),NA())</f>
        <v>#N/A</v>
      </c>
      <c r="CL211" s="99" t="e">
        <f>Eu_tabel_g[[#This Row],[Falsk positiv
Nulhypotese accepteres
Fejltype 1]]</f>
        <v>#N/A</v>
      </c>
      <c r="CM211" s="99" t="e">
        <f>IF(CHOOSE(CK$7,Eu_tabel_g[[#This Row],[x base]]&gt;0,Eu_tabel_g[[#This Row],[x base]]&lt;0,Eu_tabel_g[[#This Row],[x base]]=0),Eu_tabel_g[[#This Row],[Styrke, aktiv]],NA())</f>
        <v>#N/A</v>
      </c>
      <c r="CN211" s="99" t="e">
        <f>IFERROR(IF($CK$3,Eu_tabel_g[[#This Row],[Styrke, aktiv]],NA()),NA())</f>
        <v>#N/A</v>
      </c>
      <c r="CO211" s="99" t="e">
        <f>IF(ISNA(Eu_tabel_g[[#This Row],[Sand negativ
Nulhypotese afvises
Korrekt]]),NA(),IF($CK$3,1,NA()))</f>
        <v>#N/A</v>
      </c>
      <c r="CP211" s="56" t="str" cm="1">
        <f t="array" ref="CP211">_xlfn.SWITCH(BS211,_xlfn.IFNA(CN$2,-99),CN$5,_xlfn.IFNA(CN$3,-99),CN$6,_xlfn.IFNA(CN$4,-99),CN$7,"")</f>
        <v/>
      </c>
      <c r="CT211" s="7">
        <f t="shared" si="380"/>
        <v>0.8</v>
      </c>
      <c r="CU211">
        <f>IF(ROW(Styrkeberegning_G[[#This Row],[X base venstre]])=ROW(Styrkeberegning_G[[#Headers],[X base venstre]])+1,CU$7/(CT$7/$B$67),CU210/(CT210/$B$67))</f>
        <v>-2.8015817870135784</v>
      </c>
      <c r="CV211">
        <f>Styrkeberegning_G[[#This Row],[X base venstre]]*-1</f>
        <v>2.8015817870135784</v>
      </c>
      <c r="DG211" s="54">
        <f t="shared" si="381"/>
        <v>201</v>
      </c>
      <c r="DH211" s="54">
        <f t="shared" si="382"/>
        <v>202</v>
      </c>
      <c r="DI211" s="54">
        <f t="shared" si="383"/>
        <v>24.762094804470891</v>
      </c>
      <c r="DJ211" s="54" t="e">
        <f t="shared" si="384"/>
        <v>#N/A</v>
      </c>
      <c r="DK211" s="54" t="e">
        <f t="shared" si="385"/>
        <v>#N/A</v>
      </c>
      <c r="DL211" s="54">
        <f t="shared" si="386"/>
        <v>3.3151326397612151E-3</v>
      </c>
      <c r="DM211" s="54" t="e">
        <f t="shared" si="387"/>
        <v>#N/A</v>
      </c>
      <c r="DN211" s="54" t="b">
        <f t="shared" si="388"/>
        <v>0</v>
      </c>
      <c r="DO211" s="54" t="b">
        <f t="shared" si="389"/>
        <v>1</v>
      </c>
      <c r="DP211" s="54" t="b">
        <f t="shared" si="390"/>
        <v>1</v>
      </c>
      <c r="DQ211" s="54" t="b">
        <f t="shared" si="391"/>
        <v>0</v>
      </c>
      <c r="DR211" s="54">
        <f t="shared" si="392"/>
        <v>3.3151326397612151E-3</v>
      </c>
      <c r="DS211" s="54">
        <f t="shared" si="393"/>
        <v>3.3151326397612151E-3</v>
      </c>
      <c r="DT211" s="54" t="e">
        <f t="shared" si="394"/>
        <v>#N/A</v>
      </c>
      <c r="DU211" s="72" t="str">
        <f t="shared" si="395"/>
        <v/>
      </c>
      <c r="DZ211" s="54">
        <f t="shared" si="396"/>
        <v>201</v>
      </c>
      <c r="EA211" s="54">
        <f t="shared" si="397"/>
        <v>202</v>
      </c>
      <c r="EB211" s="54">
        <f t="shared" si="398"/>
        <v>1.7247808220471512</v>
      </c>
      <c r="EC211" s="54">
        <f t="shared" si="399"/>
        <v>9.0141648356948725E-2</v>
      </c>
      <c r="ED211" s="54" t="e">
        <f t="shared" si="400"/>
        <v>#N/A</v>
      </c>
      <c r="EE211" s="54" t="e">
        <f t="shared" si="401"/>
        <v>#N/A</v>
      </c>
      <c r="EF211" s="54" t="e">
        <f t="shared" si="402"/>
        <v>#N/A</v>
      </c>
      <c r="EG211" s="54" t="b">
        <f t="shared" si="403"/>
        <v>0</v>
      </c>
      <c r="EH211" s="54" t="b">
        <f t="shared" si="404"/>
        <v>1</v>
      </c>
      <c r="EI211" s="54" t="b">
        <f t="shared" si="405"/>
        <v>0</v>
      </c>
      <c r="EJ211" s="54" t="b">
        <f t="shared" si="406"/>
        <v>1</v>
      </c>
      <c r="EK211" s="54">
        <f t="shared" si="407"/>
        <v>9.0141648356948725E-2</v>
      </c>
      <c r="EL211" s="54" t="e">
        <f t="shared" si="408"/>
        <v>#N/A</v>
      </c>
      <c r="EM211" s="54">
        <f t="shared" si="409"/>
        <v>9.0141648356948725E-2</v>
      </c>
      <c r="EN211" s="72" t="str">
        <f t="shared" si="410"/>
        <v/>
      </c>
      <c r="EO21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1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1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11" s="54" t="e" cm="1">
        <f t="array" ref="ER211">IF($CK$3,INDEX(Eu_tabel_a[[#This Row],[Styrke venstre]:[Styrke tosidet]],ER$7),NA())</f>
        <v>#N/A</v>
      </c>
      <c r="ES211" s="54" t="e">
        <f>IF(ER$3,IF(CHOOSE(ER$7,Eu_tabel_a[[#This Row],[x base]]&gt;0,Eu_tabel_a[[#This Row],[x base]]&lt;0,Eu_tabel_a[[#This Row],[x base]]=0),1,NA()),NA())</f>
        <v>#N/A</v>
      </c>
      <c r="ET211" s="54" t="e">
        <f>IF(CHOOSE(ER$7,Eu_tabel_a[[#This Row],[x base]]&gt;0,Eu_tabel_a[[#This Row],[x base]]&lt;0,Eu_tabel_a[[#This Row],[x base]]=0),Eu_tabel_a[[#This Row],[Styrke, aktiv]],NA())</f>
        <v>#N/A</v>
      </c>
      <c r="EU211" s="54" t="e">
        <f>IFERROR(IF($ER$3,Eu_tabel_a[[#This Row],[Styrke, aktiv]],NA()),NA())</f>
        <v>#N/A</v>
      </c>
      <c r="EV211" s="54" t="e">
        <f>IF(ISNA(Eu_tabel_a[[#This Row],[Sand negativ
Nulhypotese afvises
Korrekt]]),NA(),IF(ER$3,1,NA()))</f>
        <v>#N/A</v>
      </c>
      <c r="EW211" s="55" t="str" cm="1">
        <f t="array" ref="EW211">IFERROR(_xlfn.SWITCH(Eu_tabel_a[[#This Row],[Indeks]],_xlfn.IFNA(EU$2,-99),EU$5,_xlfn.IFNA(EU$3,-99),EU$6,_xlfn.IFNA(EU$4,-99),EU$7,""),"")</f>
        <v/>
      </c>
      <c r="EX211" s="54">
        <f>Eu_tabel_a[[#This Row],[x base]]*SQRT(Eu_a_h0_x*(1-Eu_a_h0_x)/Eu_a_n_x)+Eu_a_h0_x</f>
        <v>0</v>
      </c>
      <c r="FC211" s="161" t="e">
        <f t="shared" si="354"/>
        <v>#N/A</v>
      </c>
      <c r="FD211" s="169" t="e">
        <f t="shared" si="338"/>
        <v>#DIV/0!</v>
      </c>
      <c r="FE211" s="7" t="e">
        <f t="shared" si="348"/>
        <v>#DIV/0!</v>
      </c>
      <c r="FF211" t="e">
        <f t="shared" si="339"/>
        <v>#DIV/0!</v>
      </c>
      <c r="FG211" s="8" t="e">
        <f t="shared" si="340"/>
        <v>#DIV/0!</v>
      </c>
      <c r="FH211" s="8" t="e">
        <f t="shared" si="341"/>
        <v>#DIV/0!</v>
      </c>
      <c r="FI211" s="168" t="e">
        <f t="shared" si="342"/>
        <v>#DIV/0!</v>
      </c>
      <c r="FJ211" s="161" t="e">
        <f t="shared" ca="1" si="349"/>
        <v>#N/A</v>
      </c>
      <c r="FK211" s="169" t="e" vm="3">
        <f t="shared" ca="1" si="355"/>
        <v>#VALUE!</v>
      </c>
      <c r="FL211" s="7" t="e" vm="3">
        <f t="shared" ca="1" si="350"/>
        <v>#VALUE!</v>
      </c>
      <c r="FM211" t="e" vm="3">
        <f t="shared" ca="1" si="344"/>
        <v>#VALUE!</v>
      </c>
      <c r="FN211" s="8" t="e" vm="3">
        <f t="shared" ca="1" si="345"/>
        <v>#VALUE!</v>
      </c>
      <c r="FO211" s="8" t="e" vm="3">
        <f t="shared" ca="1" si="346"/>
        <v>#VALUE!</v>
      </c>
      <c r="FP211" s="168" t="e" vm="3">
        <f t="shared" ca="1" si="347"/>
        <v>#VALUE!</v>
      </c>
      <c r="FQ211" s="161" t="e">
        <f t="shared" si="351"/>
        <v>#N/A</v>
      </c>
      <c r="FR211" s="169" t="e">
        <f t="shared" si="356"/>
        <v>#N/A</v>
      </c>
      <c r="FS211" s="7" t="e">
        <f t="shared" si="352"/>
        <v>#N/A</v>
      </c>
      <c r="FT211" t="e">
        <f t="shared" si="357"/>
        <v>#N/A</v>
      </c>
      <c r="FU211" s="8" t="e">
        <f t="shared" si="358"/>
        <v>#N/A</v>
      </c>
      <c r="FV211" s="8" t="e">
        <f t="shared" si="359"/>
        <v>#N/A</v>
      </c>
      <c r="FW211" s="168" t="e">
        <f t="shared" si="360"/>
        <v>#N/A</v>
      </c>
      <c r="FX211" s="161" t="e">
        <f t="shared" si="361"/>
        <v>#N/A</v>
      </c>
      <c r="FY211" s="169" t="e">
        <f t="shared" si="362"/>
        <v>#N/A</v>
      </c>
      <c r="FZ211" s="7" t="e">
        <f t="shared" si="353"/>
        <v>#N/A</v>
      </c>
      <c r="GA211" t="e">
        <f t="shared" si="363"/>
        <v>#N/A</v>
      </c>
      <c r="GB211" s="8" t="e">
        <f t="shared" si="364"/>
        <v>#N/A</v>
      </c>
      <c r="GC211" s="8" t="e">
        <f t="shared" si="365"/>
        <v>#N/A</v>
      </c>
      <c r="GD211" s="168" t="e">
        <f t="shared" si="366"/>
        <v>#N/A</v>
      </c>
      <c r="GE211" s="168"/>
      <c r="GF211" s="168"/>
      <c r="GI211" s="54">
        <f t="shared" si="411"/>
        <v>201</v>
      </c>
      <c r="GJ211" s="54">
        <f t="shared" si="412"/>
        <v>202</v>
      </c>
      <c r="GK211" s="54">
        <f t="shared" si="413"/>
        <v>1.7247808220471512</v>
      </c>
      <c r="GL211" s="54">
        <f t="shared" si="414"/>
        <v>9.0141648356948725E-2</v>
      </c>
      <c r="GM211" s="54" t="e">
        <f t="shared" si="415"/>
        <v>#N/A</v>
      </c>
      <c r="GN211" s="54" t="e">
        <f t="shared" si="416"/>
        <v>#N/A</v>
      </c>
      <c r="GO211" s="54" t="e">
        <f t="shared" si="417"/>
        <v>#N/A</v>
      </c>
      <c r="GP211" s="54" t="b">
        <f t="shared" si="418"/>
        <v>0</v>
      </c>
      <c r="GQ211" s="54" t="b">
        <f t="shared" si="419"/>
        <v>1</v>
      </c>
      <c r="GR211" s="54" t="b">
        <f t="shared" si="420"/>
        <v>0</v>
      </c>
      <c r="GS211" s="54" t="b">
        <f t="shared" si="421"/>
        <v>1</v>
      </c>
      <c r="GT211" s="54">
        <f t="shared" si="422"/>
        <v>9.0141648356948725E-2</v>
      </c>
      <c r="GU211" s="54" t="e">
        <f t="shared" si="423"/>
        <v>#N/A</v>
      </c>
      <c r="GV211" s="54">
        <f t="shared" si="424"/>
        <v>9.0141648356948725E-2</v>
      </c>
      <c r="GW211" s="72" t="str">
        <f t="shared" si="425"/>
        <v/>
      </c>
      <c r="HC211" s="54">
        <f t="shared" si="426"/>
        <v>201</v>
      </c>
      <c r="HD211" s="54">
        <f t="shared" si="427"/>
        <v>202</v>
      </c>
      <c r="HE211" s="54">
        <f t="shared" si="428"/>
        <v>2.6708593276120931</v>
      </c>
      <c r="HF211" s="54" t="e">
        <f t="shared" si="429"/>
        <v>#N/A</v>
      </c>
      <c r="HG211" s="54">
        <f t="shared" si="430"/>
        <v>2.3165711177825673E-2</v>
      </c>
      <c r="HH211" s="54" t="e">
        <f t="shared" si="431"/>
        <v>#N/A</v>
      </c>
      <c r="HI211" s="54" t="e">
        <f t="shared" si="432"/>
        <v>#N/A</v>
      </c>
      <c r="HJ211" s="54" t="b">
        <f t="shared" si="433"/>
        <v>0</v>
      </c>
      <c r="HK211" s="54" t="b">
        <f t="shared" si="434"/>
        <v>1</v>
      </c>
      <c r="HL211" s="54" t="b">
        <f t="shared" si="435"/>
        <v>1</v>
      </c>
      <c r="HM211" s="54" t="b">
        <f t="shared" si="436"/>
        <v>0</v>
      </c>
      <c r="HN211" s="54">
        <f t="shared" si="437"/>
        <v>2.3165711177825673E-2</v>
      </c>
      <c r="HO211" s="54" t="e">
        <f t="shared" si="438"/>
        <v>#N/A</v>
      </c>
      <c r="HP211" s="54">
        <f t="shared" si="439"/>
        <v>2.3165711177825673E-2</v>
      </c>
      <c r="HQ211" s="72" t="str">
        <f t="shared" si="440"/>
        <v/>
      </c>
    </row>
    <row r="212" spans="71:225" x14ac:dyDescent="0.2">
      <c r="BS212" s="54">
        <f t="shared" si="367"/>
        <v>202</v>
      </c>
      <c r="BT212" s="54">
        <f>Eu_tabel_g[[#This Row],[Indeks]]+1</f>
        <v>203</v>
      </c>
      <c r="BU212" s="54">
        <f t="shared" si="368"/>
        <v>1.748736111242251</v>
      </c>
      <c r="BV212" s="54">
        <f t="shared" si="369"/>
        <v>8.6468289590491632E-2</v>
      </c>
      <c r="BW212" s="54" t="e">
        <f t="shared" si="370"/>
        <v>#N/A</v>
      </c>
      <c r="BX212" s="54" t="e">
        <f t="shared" si="371"/>
        <v>#N/A</v>
      </c>
      <c r="BY212" s="54" t="e">
        <f t="shared" si="372"/>
        <v>#N/A</v>
      </c>
      <c r="BZ212" s="54" t="b">
        <f t="shared" si="373"/>
        <v>0</v>
      </c>
      <c r="CA212" s="54" t="b">
        <f t="shared" si="374"/>
        <v>1</v>
      </c>
      <c r="CB212" s="54" t="b">
        <f t="shared" si="375"/>
        <v>0</v>
      </c>
      <c r="CC212" s="54" t="b">
        <f t="shared" si="376"/>
        <v>1</v>
      </c>
      <c r="CD212" s="54">
        <f t="shared" si="343"/>
        <v>8.6468289590491632E-2</v>
      </c>
      <c r="CE212" s="54" t="e">
        <f t="shared" si="377"/>
        <v>#N/A</v>
      </c>
      <c r="CF212" s="54">
        <f t="shared" si="378"/>
        <v>8.6468289590491632E-2</v>
      </c>
      <c r="CG212" s="72" t="str">
        <f t="shared" si="379"/>
        <v/>
      </c>
      <c r="CH212" s="54">
        <f>_xlfn.NORM.DIST(_xlfn.NORM.INV(1-Eu_g_konfidensniveau,0,1)-Eu_tabel_g[[#This Row],[x base]],0,1,TRUE)</f>
        <v>3.4491476418879784E-4</v>
      </c>
      <c r="CI212" s="54">
        <f>1-_xlfn.NORM.DIST(_xlfn.NORM.INV(Eu_g_konfidensniveau,0,1)-Eu_tabel_g[[#This Row],[x base]],0,1,TRUE)</f>
        <v>0.54136869629794382</v>
      </c>
      <c r="CJ212" s="54">
        <f>_xlfn.NORM.DIST(_xlfn.NORM.INV((1-Eu_g_konfidensniveau)/2,0,1)-Eu_tabel_g[[#This Row],[x base]],0,1,TRUE)+1-_xlfn.NORM.DIST(_xlfn.NORM.INV(1-(1-Eu_g_konfidensniveau)/2,0,1)-Eu_tabel_g[[#This Row],[x base]],0,1,TRUE)</f>
        <v>0.41645889382757795</v>
      </c>
      <c r="CK212" s="54" t="e" cm="1">
        <f t="array" ref="CK212">IF($CK$3,INDEX(Eu_tabel_g[[#This Row],[Styrke venstre]:[Styrke tosidet]],CK$7),NA())</f>
        <v>#N/A</v>
      </c>
      <c r="CL212" s="99" t="e">
        <f>Eu_tabel_g[[#This Row],[Falsk positiv
Nulhypotese accepteres
Fejltype 1]]</f>
        <v>#N/A</v>
      </c>
      <c r="CM212" s="99" t="e">
        <f>IF(CHOOSE(CK$7,Eu_tabel_g[[#This Row],[x base]]&gt;0,Eu_tabel_g[[#This Row],[x base]]&lt;0,Eu_tabel_g[[#This Row],[x base]]=0),Eu_tabel_g[[#This Row],[Styrke, aktiv]],NA())</f>
        <v>#N/A</v>
      </c>
      <c r="CN212" s="99" t="e">
        <f>IFERROR(IF($CK$3,Eu_tabel_g[[#This Row],[Styrke, aktiv]],NA()),NA())</f>
        <v>#N/A</v>
      </c>
      <c r="CO212" s="99" t="e">
        <f>IF(ISNA(Eu_tabel_g[[#This Row],[Sand negativ
Nulhypotese afvises
Korrekt]]),NA(),IF($CK$3,1,NA()))</f>
        <v>#N/A</v>
      </c>
      <c r="CP212" s="56" t="str" cm="1">
        <f t="array" ref="CP212">_xlfn.SWITCH(BS212,_xlfn.IFNA(CN$2,-99),CN$5,_xlfn.IFNA(CN$3,-99),CN$6,_xlfn.IFNA(CN$4,-99),CN$7,"")</f>
        <v/>
      </c>
      <c r="CT212" s="7">
        <f t="shared" si="380"/>
        <v>0.8</v>
      </c>
      <c r="CU212">
        <f>IF(ROW(Styrkeberegning_G[[#This Row],[X base venstre]])=ROW(Styrkeberegning_G[[#Headers],[X base venstre]])+1,CU$7/(CT$7/$B$67),CU211/(CT211/$B$67))</f>
        <v>-2.8015817870135784</v>
      </c>
      <c r="CV212">
        <f>Styrkeberegning_G[[#This Row],[X base venstre]]*-1</f>
        <v>2.8015817870135784</v>
      </c>
      <c r="DG212" s="54">
        <f t="shared" si="381"/>
        <v>202</v>
      </c>
      <c r="DH212" s="54">
        <f t="shared" si="382"/>
        <v>203</v>
      </c>
      <c r="DI212" s="54">
        <f t="shared" si="383"/>
        <v>24.876165660887892</v>
      </c>
      <c r="DJ212" s="54" t="e">
        <f t="shared" si="384"/>
        <v>#N/A</v>
      </c>
      <c r="DK212" s="54" t="e">
        <f t="shared" si="385"/>
        <v>#N/A</v>
      </c>
      <c r="DL212" s="54">
        <f t="shared" si="386"/>
        <v>3.1967818436801831E-3</v>
      </c>
      <c r="DM212" s="54" t="e">
        <f t="shared" si="387"/>
        <v>#N/A</v>
      </c>
      <c r="DN212" s="54" t="b">
        <f t="shared" si="388"/>
        <v>0</v>
      </c>
      <c r="DO212" s="54" t="b">
        <f t="shared" si="389"/>
        <v>1</v>
      </c>
      <c r="DP212" s="54" t="b">
        <f t="shared" si="390"/>
        <v>1</v>
      </c>
      <c r="DQ212" s="54" t="b">
        <f t="shared" si="391"/>
        <v>0</v>
      </c>
      <c r="DR212" s="54">
        <f t="shared" si="392"/>
        <v>3.1967818436801831E-3</v>
      </c>
      <c r="DS212" s="54">
        <f t="shared" si="393"/>
        <v>3.1967818436801831E-3</v>
      </c>
      <c r="DT212" s="54" t="e">
        <f t="shared" si="394"/>
        <v>#N/A</v>
      </c>
      <c r="DU212" s="72" t="str">
        <f t="shared" si="395"/>
        <v/>
      </c>
      <c r="DZ212" s="54">
        <f t="shared" si="396"/>
        <v>202</v>
      </c>
      <c r="EA212" s="54">
        <f t="shared" si="397"/>
        <v>203</v>
      </c>
      <c r="EB212" s="54">
        <f t="shared" si="398"/>
        <v>1.748736111242251</v>
      </c>
      <c r="EC212" s="54">
        <f t="shared" si="399"/>
        <v>8.6468289590491632E-2</v>
      </c>
      <c r="ED212" s="54" t="e">
        <f t="shared" si="400"/>
        <v>#N/A</v>
      </c>
      <c r="EE212" s="54" t="e">
        <f t="shared" si="401"/>
        <v>#N/A</v>
      </c>
      <c r="EF212" s="54" t="e">
        <f t="shared" si="402"/>
        <v>#N/A</v>
      </c>
      <c r="EG212" s="54" t="b">
        <f t="shared" si="403"/>
        <v>0</v>
      </c>
      <c r="EH212" s="54" t="b">
        <f t="shared" si="404"/>
        <v>1</v>
      </c>
      <c r="EI212" s="54" t="b">
        <f t="shared" si="405"/>
        <v>0</v>
      </c>
      <c r="EJ212" s="54" t="b">
        <f t="shared" si="406"/>
        <v>1</v>
      </c>
      <c r="EK212" s="54">
        <f t="shared" si="407"/>
        <v>8.6468289590491632E-2</v>
      </c>
      <c r="EL212" s="54" t="e">
        <f t="shared" si="408"/>
        <v>#N/A</v>
      </c>
      <c r="EM212" s="54">
        <f t="shared" si="409"/>
        <v>8.6468289590491632E-2</v>
      </c>
      <c r="EN212" s="72" t="str">
        <f t="shared" si="410"/>
        <v/>
      </c>
      <c r="EO21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1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1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12" s="54" t="e" cm="1">
        <f t="array" ref="ER212">IF($CK$3,INDEX(Eu_tabel_a[[#This Row],[Styrke venstre]:[Styrke tosidet]],ER$7),NA())</f>
        <v>#N/A</v>
      </c>
      <c r="ES212" s="54" t="e">
        <f>IF(ER$3,IF(CHOOSE(ER$7,Eu_tabel_a[[#This Row],[x base]]&gt;0,Eu_tabel_a[[#This Row],[x base]]&lt;0,Eu_tabel_a[[#This Row],[x base]]=0),1,NA()),NA())</f>
        <v>#N/A</v>
      </c>
      <c r="ET212" s="54" t="e">
        <f>IF(CHOOSE(ER$7,Eu_tabel_a[[#This Row],[x base]]&gt;0,Eu_tabel_a[[#This Row],[x base]]&lt;0,Eu_tabel_a[[#This Row],[x base]]=0),Eu_tabel_a[[#This Row],[Styrke, aktiv]],NA())</f>
        <v>#N/A</v>
      </c>
      <c r="EU212" s="54" t="e">
        <f>IFERROR(IF($ER$3,Eu_tabel_a[[#This Row],[Styrke, aktiv]],NA()),NA())</f>
        <v>#N/A</v>
      </c>
      <c r="EV212" s="54" t="e">
        <f>IF(ISNA(Eu_tabel_a[[#This Row],[Sand negativ
Nulhypotese afvises
Korrekt]]),NA(),IF(ER$3,1,NA()))</f>
        <v>#N/A</v>
      </c>
      <c r="EW212" s="55" t="str" cm="1">
        <f t="array" ref="EW212">IFERROR(_xlfn.SWITCH(Eu_tabel_a[[#This Row],[Indeks]],_xlfn.IFNA(EU$2,-99),EU$5,_xlfn.IFNA(EU$3,-99),EU$6,_xlfn.IFNA(EU$4,-99),EU$7,""),"")</f>
        <v/>
      </c>
      <c r="EX212" s="54">
        <f>Eu_tabel_a[[#This Row],[x base]]*SQRT(Eu_a_h0_x*(1-Eu_a_h0_x)/Eu_a_n_x)+Eu_a_h0_x</f>
        <v>0</v>
      </c>
      <c r="FC212" s="161" t="e">
        <f t="shared" si="354"/>
        <v>#N/A</v>
      </c>
      <c r="FD212" s="169" t="e">
        <f t="shared" si="338"/>
        <v>#DIV/0!</v>
      </c>
      <c r="FE212" s="7" t="e">
        <f t="shared" si="348"/>
        <v>#DIV/0!</v>
      </c>
      <c r="FF212" t="e">
        <f t="shared" si="339"/>
        <v>#DIV/0!</v>
      </c>
      <c r="FG212" s="8" t="e">
        <f t="shared" si="340"/>
        <v>#DIV/0!</v>
      </c>
      <c r="FH212" s="8" t="e">
        <f t="shared" si="341"/>
        <v>#DIV/0!</v>
      </c>
      <c r="FI212" s="168" t="e">
        <f t="shared" si="342"/>
        <v>#DIV/0!</v>
      </c>
      <c r="FJ212" s="161" t="e">
        <f t="shared" ca="1" si="349"/>
        <v>#N/A</v>
      </c>
      <c r="FK212" s="169" t="e" vm="3">
        <f t="shared" ca="1" si="355"/>
        <v>#VALUE!</v>
      </c>
      <c r="FL212" s="7" t="e" vm="3">
        <f t="shared" ca="1" si="350"/>
        <v>#VALUE!</v>
      </c>
      <c r="FM212" t="e" vm="3">
        <f t="shared" ca="1" si="344"/>
        <v>#VALUE!</v>
      </c>
      <c r="FN212" s="8" t="e" vm="3">
        <f t="shared" ca="1" si="345"/>
        <v>#VALUE!</v>
      </c>
      <c r="FO212" s="8" t="e" vm="3">
        <f t="shared" ca="1" si="346"/>
        <v>#VALUE!</v>
      </c>
      <c r="FP212" s="168" t="e" vm="3">
        <f t="shared" ca="1" si="347"/>
        <v>#VALUE!</v>
      </c>
      <c r="FQ212" s="161" t="e">
        <f t="shared" si="351"/>
        <v>#N/A</v>
      </c>
      <c r="FR212" s="169" t="e">
        <f t="shared" si="356"/>
        <v>#N/A</v>
      </c>
      <c r="FS212" s="7" t="e">
        <f t="shared" si="352"/>
        <v>#N/A</v>
      </c>
      <c r="FT212" t="e">
        <f t="shared" si="357"/>
        <v>#N/A</v>
      </c>
      <c r="FU212" s="8" t="e">
        <f t="shared" si="358"/>
        <v>#N/A</v>
      </c>
      <c r="FV212" s="8" t="e">
        <f t="shared" si="359"/>
        <v>#N/A</v>
      </c>
      <c r="FW212" s="168" t="e">
        <f t="shared" si="360"/>
        <v>#N/A</v>
      </c>
      <c r="FX212" s="161" t="e">
        <f t="shared" si="361"/>
        <v>#N/A</v>
      </c>
      <c r="FY212" s="169" t="e">
        <f t="shared" si="362"/>
        <v>#N/A</v>
      </c>
      <c r="FZ212" s="7" t="e">
        <f t="shared" si="353"/>
        <v>#N/A</v>
      </c>
      <c r="GA212" t="e">
        <f t="shared" si="363"/>
        <v>#N/A</v>
      </c>
      <c r="GB212" s="8" t="e">
        <f t="shared" si="364"/>
        <v>#N/A</v>
      </c>
      <c r="GC212" s="8" t="e">
        <f t="shared" si="365"/>
        <v>#N/A</v>
      </c>
      <c r="GD212" s="168" t="e">
        <f t="shared" si="366"/>
        <v>#N/A</v>
      </c>
      <c r="GE212" s="168"/>
      <c r="GF212" s="168"/>
      <c r="GI212" s="54">
        <f t="shared" si="411"/>
        <v>202</v>
      </c>
      <c r="GJ212" s="54">
        <f t="shared" si="412"/>
        <v>203</v>
      </c>
      <c r="GK212" s="54">
        <f t="shared" si="413"/>
        <v>1.748736111242251</v>
      </c>
      <c r="GL212" s="54">
        <f t="shared" si="414"/>
        <v>8.6468289590491632E-2</v>
      </c>
      <c r="GM212" s="54" t="e">
        <f t="shared" si="415"/>
        <v>#N/A</v>
      </c>
      <c r="GN212" s="54" t="e">
        <f t="shared" si="416"/>
        <v>#N/A</v>
      </c>
      <c r="GO212" s="54" t="e">
        <f t="shared" si="417"/>
        <v>#N/A</v>
      </c>
      <c r="GP212" s="54" t="b">
        <f t="shared" si="418"/>
        <v>0</v>
      </c>
      <c r="GQ212" s="54" t="b">
        <f t="shared" si="419"/>
        <v>1</v>
      </c>
      <c r="GR212" s="54" t="b">
        <f t="shared" si="420"/>
        <v>0</v>
      </c>
      <c r="GS212" s="54" t="b">
        <f t="shared" si="421"/>
        <v>1</v>
      </c>
      <c r="GT212" s="54">
        <f t="shared" si="422"/>
        <v>8.6468289590491632E-2</v>
      </c>
      <c r="GU212" s="54" t="e">
        <f t="shared" si="423"/>
        <v>#N/A</v>
      </c>
      <c r="GV212" s="54">
        <f t="shared" si="424"/>
        <v>8.6468289590491632E-2</v>
      </c>
      <c r="GW212" s="72" t="str">
        <f t="shared" si="425"/>
        <v/>
      </c>
      <c r="HC212" s="54">
        <f t="shared" si="426"/>
        <v>202</v>
      </c>
      <c r="HD212" s="54">
        <f t="shared" si="427"/>
        <v>203</v>
      </c>
      <c r="HE212" s="54">
        <f t="shared" si="428"/>
        <v>2.7079545960511497</v>
      </c>
      <c r="HF212" s="54" t="e">
        <f t="shared" si="429"/>
        <v>#N/A</v>
      </c>
      <c r="HG212" s="54">
        <f t="shared" si="430"/>
        <v>2.1902447557375637E-2</v>
      </c>
      <c r="HH212" s="54" t="e">
        <f t="shared" si="431"/>
        <v>#N/A</v>
      </c>
      <c r="HI212" s="54" t="e">
        <f t="shared" si="432"/>
        <v>#N/A</v>
      </c>
      <c r="HJ212" s="54" t="b">
        <f t="shared" si="433"/>
        <v>0</v>
      </c>
      <c r="HK212" s="54" t="b">
        <f t="shared" si="434"/>
        <v>1</v>
      </c>
      <c r="HL212" s="54" t="b">
        <f t="shared" si="435"/>
        <v>1</v>
      </c>
      <c r="HM212" s="54" t="b">
        <f t="shared" si="436"/>
        <v>0</v>
      </c>
      <c r="HN212" s="54">
        <f t="shared" si="437"/>
        <v>2.1902447557375637E-2</v>
      </c>
      <c r="HO212" s="54" t="e">
        <f t="shared" si="438"/>
        <v>#N/A</v>
      </c>
      <c r="HP212" s="54">
        <f t="shared" si="439"/>
        <v>2.1902447557375637E-2</v>
      </c>
      <c r="HQ212" s="72" t="str">
        <f t="shared" si="440"/>
        <v/>
      </c>
    </row>
    <row r="213" spans="71:225" x14ac:dyDescent="0.2">
      <c r="BS213" s="54">
        <f t="shared" si="367"/>
        <v>203</v>
      </c>
      <c r="BT213" s="54">
        <f>Eu_tabel_g[[#This Row],[Indeks]]+1</f>
        <v>204</v>
      </c>
      <c r="BU213" s="54">
        <f t="shared" si="368"/>
        <v>1.77269140043735</v>
      </c>
      <c r="BV213" s="54">
        <f t="shared" si="369"/>
        <v>8.2897039117220503E-2</v>
      </c>
      <c r="BW213" s="54" t="e">
        <f t="shared" si="370"/>
        <v>#N/A</v>
      </c>
      <c r="BX213" s="54" t="e">
        <f t="shared" si="371"/>
        <v>#N/A</v>
      </c>
      <c r="BY213" s="54" t="e">
        <f t="shared" si="372"/>
        <v>#N/A</v>
      </c>
      <c r="BZ213" s="54" t="b">
        <f t="shared" si="373"/>
        <v>0</v>
      </c>
      <c r="CA213" s="54" t="b">
        <f t="shared" si="374"/>
        <v>1</v>
      </c>
      <c r="CB213" s="54" t="b">
        <f t="shared" si="375"/>
        <v>0</v>
      </c>
      <c r="CC213" s="54" t="b">
        <f t="shared" si="376"/>
        <v>1</v>
      </c>
      <c r="CD213" s="54">
        <f t="shared" si="343"/>
        <v>8.2897039117220503E-2</v>
      </c>
      <c r="CE213" s="54" t="e">
        <f t="shared" si="377"/>
        <v>#N/A</v>
      </c>
      <c r="CF213" s="54">
        <f t="shared" si="378"/>
        <v>8.2897039117220503E-2</v>
      </c>
      <c r="CG213" s="72" t="str">
        <f t="shared" si="379"/>
        <v/>
      </c>
      <c r="CH213" s="54">
        <f>_xlfn.NORM.DIST(_xlfn.NORM.INV(1-Eu_g_konfidensniveau,0,1)-Eu_tabel_g[[#This Row],[x base]],0,1,TRUE)</f>
        <v>3.1594320383957267E-4</v>
      </c>
      <c r="CI213" s="54">
        <f>1-_xlfn.NORM.DIST(_xlfn.NORM.INV(Eu_g_konfidensniveau,0,1)-Eu_tabel_g[[#This Row],[x base]],0,1,TRUE)</f>
        <v>0.55086132181012337</v>
      </c>
      <c r="CJ213" s="54">
        <f>_xlfn.NORM.DIST(_xlfn.NORM.INV((1-Eu_g_konfidensniveau)/2,0,1)-Eu_tabel_g[[#This Row],[x base]],0,1,TRUE)+1-_xlfn.NORM.DIST(_xlfn.NORM.INV(1-(1-Eu_g_konfidensniveau)/2,0,1)-Eu_tabel_g[[#This Row],[x base]],0,1,TRUE)</f>
        <v>0.42581819457602854</v>
      </c>
      <c r="CK213" s="54" t="e" cm="1">
        <f t="array" ref="CK213">IF($CK$3,INDEX(Eu_tabel_g[[#This Row],[Styrke venstre]:[Styrke tosidet]],CK$7),NA())</f>
        <v>#N/A</v>
      </c>
      <c r="CL213" s="99" t="e">
        <f>Eu_tabel_g[[#This Row],[Falsk positiv
Nulhypotese accepteres
Fejltype 1]]</f>
        <v>#N/A</v>
      </c>
      <c r="CM213" s="99" t="e">
        <f>IF(CHOOSE(CK$7,Eu_tabel_g[[#This Row],[x base]]&gt;0,Eu_tabel_g[[#This Row],[x base]]&lt;0,Eu_tabel_g[[#This Row],[x base]]=0),Eu_tabel_g[[#This Row],[Styrke, aktiv]],NA())</f>
        <v>#N/A</v>
      </c>
      <c r="CN213" s="99" t="e">
        <f>IFERROR(IF($CK$3,Eu_tabel_g[[#This Row],[Styrke, aktiv]],NA()),NA())</f>
        <v>#N/A</v>
      </c>
      <c r="CO213" s="99" t="e">
        <f>IF(ISNA(Eu_tabel_g[[#This Row],[Sand negativ
Nulhypotese afvises
Korrekt]]),NA(),IF($CK$3,1,NA()))</f>
        <v>#N/A</v>
      </c>
      <c r="CP213" s="56" t="str" cm="1">
        <f t="array" ref="CP213">_xlfn.SWITCH(BS213,_xlfn.IFNA(CN$2,-99),CN$5,_xlfn.IFNA(CN$3,-99),CN$6,_xlfn.IFNA(CN$4,-99),CN$7,"")</f>
        <v/>
      </c>
      <c r="CT213" s="7">
        <f t="shared" si="380"/>
        <v>0.8</v>
      </c>
      <c r="CU213">
        <f>IF(ROW(Styrkeberegning_G[[#This Row],[X base venstre]])=ROW(Styrkeberegning_G[[#Headers],[X base venstre]])+1,CU$7/(CT$7/$B$67),CU212/(CT212/$B$67))</f>
        <v>-2.8015817870135784</v>
      </c>
      <c r="CV213">
        <f>Styrkeberegning_G[[#This Row],[X base venstre]]*-1</f>
        <v>2.8015817870135784</v>
      </c>
      <c r="DG213" s="54">
        <f t="shared" si="381"/>
        <v>203</v>
      </c>
      <c r="DH213" s="54">
        <f t="shared" si="382"/>
        <v>204</v>
      </c>
      <c r="DI213" s="54">
        <f t="shared" si="383"/>
        <v>24.990236517304893</v>
      </c>
      <c r="DJ213" s="54" t="e">
        <f t="shared" si="384"/>
        <v>#N/A</v>
      </c>
      <c r="DK213" s="54" t="e">
        <f t="shared" si="385"/>
        <v>#N/A</v>
      </c>
      <c r="DL213" s="54">
        <f t="shared" si="386"/>
        <v>3.0823645127233709E-3</v>
      </c>
      <c r="DM213" s="54" t="e">
        <f t="shared" si="387"/>
        <v>#N/A</v>
      </c>
      <c r="DN213" s="54" t="b">
        <f t="shared" si="388"/>
        <v>0</v>
      </c>
      <c r="DO213" s="54" t="b">
        <f t="shared" si="389"/>
        <v>1</v>
      </c>
      <c r="DP213" s="54" t="b">
        <f t="shared" si="390"/>
        <v>1</v>
      </c>
      <c r="DQ213" s="54" t="b">
        <f t="shared" si="391"/>
        <v>0</v>
      </c>
      <c r="DR213" s="54">
        <f t="shared" si="392"/>
        <v>3.0823645127233709E-3</v>
      </c>
      <c r="DS213" s="54">
        <f t="shared" si="393"/>
        <v>3.0823645127233709E-3</v>
      </c>
      <c r="DT213" s="54" t="e">
        <f t="shared" si="394"/>
        <v>#N/A</v>
      </c>
      <c r="DU213" s="72" t="str">
        <f t="shared" si="395"/>
        <v/>
      </c>
      <c r="DZ213" s="54">
        <f t="shared" si="396"/>
        <v>203</v>
      </c>
      <c r="EA213" s="54">
        <f t="shared" si="397"/>
        <v>204</v>
      </c>
      <c r="EB213" s="54">
        <f t="shared" si="398"/>
        <v>1.77269140043735</v>
      </c>
      <c r="EC213" s="54">
        <f t="shared" si="399"/>
        <v>8.2897039117220503E-2</v>
      </c>
      <c r="ED213" s="54" t="e">
        <f t="shared" si="400"/>
        <v>#N/A</v>
      </c>
      <c r="EE213" s="54" t="e">
        <f t="shared" si="401"/>
        <v>#N/A</v>
      </c>
      <c r="EF213" s="54" t="e">
        <f t="shared" si="402"/>
        <v>#N/A</v>
      </c>
      <c r="EG213" s="54" t="b">
        <f t="shared" si="403"/>
        <v>0</v>
      </c>
      <c r="EH213" s="54" t="b">
        <f t="shared" si="404"/>
        <v>1</v>
      </c>
      <c r="EI213" s="54" t="b">
        <f t="shared" si="405"/>
        <v>0</v>
      </c>
      <c r="EJ213" s="54" t="b">
        <f t="shared" si="406"/>
        <v>1</v>
      </c>
      <c r="EK213" s="54">
        <f t="shared" si="407"/>
        <v>8.2897039117220503E-2</v>
      </c>
      <c r="EL213" s="54" t="e">
        <f t="shared" si="408"/>
        <v>#N/A</v>
      </c>
      <c r="EM213" s="54">
        <f t="shared" si="409"/>
        <v>8.2897039117220503E-2</v>
      </c>
      <c r="EN213" s="72" t="str">
        <f t="shared" si="410"/>
        <v/>
      </c>
      <c r="EO21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1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1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13" s="54" t="e" cm="1">
        <f t="array" ref="ER213">IF($CK$3,INDEX(Eu_tabel_a[[#This Row],[Styrke venstre]:[Styrke tosidet]],ER$7),NA())</f>
        <v>#N/A</v>
      </c>
      <c r="ES213" s="54" t="e">
        <f>IF(ER$3,IF(CHOOSE(ER$7,Eu_tabel_a[[#This Row],[x base]]&gt;0,Eu_tabel_a[[#This Row],[x base]]&lt;0,Eu_tabel_a[[#This Row],[x base]]=0),1,NA()),NA())</f>
        <v>#N/A</v>
      </c>
      <c r="ET213" s="54" t="e">
        <f>IF(CHOOSE(ER$7,Eu_tabel_a[[#This Row],[x base]]&gt;0,Eu_tabel_a[[#This Row],[x base]]&lt;0,Eu_tabel_a[[#This Row],[x base]]=0),Eu_tabel_a[[#This Row],[Styrke, aktiv]],NA())</f>
        <v>#N/A</v>
      </c>
      <c r="EU213" s="54" t="e">
        <f>IFERROR(IF($ER$3,Eu_tabel_a[[#This Row],[Styrke, aktiv]],NA()),NA())</f>
        <v>#N/A</v>
      </c>
      <c r="EV213" s="54" t="e">
        <f>IF(ISNA(Eu_tabel_a[[#This Row],[Sand negativ
Nulhypotese afvises
Korrekt]]),NA(),IF(ER$3,1,NA()))</f>
        <v>#N/A</v>
      </c>
      <c r="EW213" s="55" t="str" cm="1">
        <f t="array" ref="EW213">IFERROR(_xlfn.SWITCH(Eu_tabel_a[[#This Row],[Indeks]],_xlfn.IFNA(EU$2,-99),EU$5,_xlfn.IFNA(EU$3,-99),EU$6,_xlfn.IFNA(EU$4,-99),EU$7,""),"")</f>
        <v/>
      </c>
      <c r="EX213" s="54">
        <f>Eu_tabel_a[[#This Row],[x base]]*SQRT(Eu_a_h0_x*(1-Eu_a_h0_x)/Eu_a_n_x)+Eu_a_h0_x</f>
        <v>0</v>
      </c>
      <c r="FC213" s="161" t="e">
        <f t="shared" si="354"/>
        <v>#N/A</v>
      </c>
      <c r="FD213" s="169" t="e">
        <f t="shared" si="338"/>
        <v>#DIV/0!</v>
      </c>
      <c r="FE213" s="7" t="e">
        <f t="shared" si="348"/>
        <v>#DIV/0!</v>
      </c>
      <c r="FF213" t="e">
        <f t="shared" si="339"/>
        <v>#DIV/0!</v>
      </c>
      <c r="FG213" s="8" t="e">
        <f t="shared" si="340"/>
        <v>#DIV/0!</v>
      </c>
      <c r="FH213" s="8" t="e">
        <f t="shared" si="341"/>
        <v>#DIV/0!</v>
      </c>
      <c r="FI213" s="168" t="e">
        <f t="shared" si="342"/>
        <v>#DIV/0!</v>
      </c>
      <c r="FJ213" s="161" t="e">
        <f t="shared" ca="1" si="349"/>
        <v>#N/A</v>
      </c>
      <c r="FK213" s="169" t="e" vm="3">
        <f t="shared" ca="1" si="355"/>
        <v>#VALUE!</v>
      </c>
      <c r="FL213" s="7" t="e" vm="3">
        <f t="shared" ca="1" si="350"/>
        <v>#VALUE!</v>
      </c>
      <c r="FM213" t="e" vm="3">
        <f t="shared" ca="1" si="344"/>
        <v>#VALUE!</v>
      </c>
      <c r="FN213" s="8" t="e" vm="3">
        <f t="shared" ca="1" si="345"/>
        <v>#VALUE!</v>
      </c>
      <c r="FO213" s="8" t="e" vm="3">
        <f t="shared" ca="1" si="346"/>
        <v>#VALUE!</v>
      </c>
      <c r="FP213" s="168" t="e" vm="3">
        <f t="shared" ca="1" si="347"/>
        <v>#VALUE!</v>
      </c>
      <c r="FQ213" s="161" t="e">
        <f t="shared" si="351"/>
        <v>#N/A</v>
      </c>
      <c r="FR213" s="169" t="e">
        <f t="shared" si="356"/>
        <v>#N/A</v>
      </c>
      <c r="FS213" s="7" t="e">
        <f t="shared" si="352"/>
        <v>#N/A</v>
      </c>
      <c r="FT213" t="e">
        <f t="shared" si="357"/>
        <v>#N/A</v>
      </c>
      <c r="FU213" s="8" t="e">
        <f t="shared" si="358"/>
        <v>#N/A</v>
      </c>
      <c r="FV213" s="8" t="e">
        <f t="shared" si="359"/>
        <v>#N/A</v>
      </c>
      <c r="FW213" s="168" t="e">
        <f t="shared" si="360"/>
        <v>#N/A</v>
      </c>
      <c r="FX213" s="161" t="e">
        <f t="shared" si="361"/>
        <v>#N/A</v>
      </c>
      <c r="FY213" s="169" t="e">
        <f t="shared" si="362"/>
        <v>#N/A</v>
      </c>
      <c r="FZ213" s="7" t="e">
        <f t="shared" si="353"/>
        <v>#N/A</v>
      </c>
      <c r="GA213" t="e">
        <f t="shared" si="363"/>
        <v>#N/A</v>
      </c>
      <c r="GB213" s="8" t="e">
        <f t="shared" si="364"/>
        <v>#N/A</v>
      </c>
      <c r="GC213" s="8" t="e">
        <f t="shared" si="365"/>
        <v>#N/A</v>
      </c>
      <c r="GD213" s="168" t="e">
        <f t="shared" si="366"/>
        <v>#N/A</v>
      </c>
      <c r="GE213" s="168"/>
      <c r="GF213" s="168"/>
      <c r="GI213" s="54">
        <f t="shared" si="411"/>
        <v>203</v>
      </c>
      <c r="GJ213" s="54">
        <f t="shared" si="412"/>
        <v>204</v>
      </c>
      <c r="GK213" s="54">
        <f t="shared" si="413"/>
        <v>1.77269140043735</v>
      </c>
      <c r="GL213" s="54">
        <f t="shared" si="414"/>
        <v>8.2897039117220503E-2</v>
      </c>
      <c r="GM213" s="54" t="e">
        <f t="shared" si="415"/>
        <v>#N/A</v>
      </c>
      <c r="GN213" s="54" t="e">
        <f t="shared" si="416"/>
        <v>#N/A</v>
      </c>
      <c r="GO213" s="54" t="e">
        <f t="shared" si="417"/>
        <v>#N/A</v>
      </c>
      <c r="GP213" s="54" t="b">
        <f t="shared" si="418"/>
        <v>0</v>
      </c>
      <c r="GQ213" s="54" t="b">
        <f t="shared" si="419"/>
        <v>1</v>
      </c>
      <c r="GR213" s="54" t="b">
        <f t="shared" si="420"/>
        <v>0</v>
      </c>
      <c r="GS213" s="54" t="b">
        <f t="shared" si="421"/>
        <v>1</v>
      </c>
      <c r="GT213" s="54">
        <f t="shared" si="422"/>
        <v>8.2897039117220503E-2</v>
      </c>
      <c r="GU213" s="54" t="e">
        <f t="shared" si="423"/>
        <v>#N/A</v>
      </c>
      <c r="GV213" s="54">
        <f t="shared" si="424"/>
        <v>8.2897039117220503E-2</v>
      </c>
      <c r="GW213" s="72" t="str">
        <f t="shared" si="425"/>
        <v/>
      </c>
      <c r="HC213" s="54">
        <f t="shared" si="426"/>
        <v>203</v>
      </c>
      <c r="HD213" s="54">
        <f t="shared" si="427"/>
        <v>204</v>
      </c>
      <c r="HE213" s="54">
        <f t="shared" si="428"/>
        <v>2.7450498644902073</v>
      </c>
      <c r="HF213" s="54" t="e">
        <f t="shared" si="429"/>
        <v>#N/A</v>
      </c>
      <c r="HG213" s="54">
        <f t="shared" si="430"/>
        <v>2.0708440519801093E-2</v>
      </c>
      <c r="HH213" s="54" t="e">
        <f t="shared" si="431"/>
        <v>#N/A</v>
      </c>
      <c r="HI213" s="54" t="e">
        <f t="shared" si="432"/>
        <v>#N/A</v>
      </c>
      <c r="HJ213" s="54" t="b">
        <f t="shared" si="433"/>
        <v>0</v>
      </c>
      <c r="HK213" s="54" t="b">
        <f t="shared" si="434"/>
        <v>1</v>
      </c>
      <c r="HL213" s="54" t="b">
        <f t="shared" si="435"/>
        <v>1</v>
      </c>
      <c r="HM213" s="54" t="b">
        <f t="shared" si="436"/>
        <v>0</v>
      </c>
      <c r="HN213" s="54">
        <f t="shared" si="437"/>
        <v>2.0708440519801093E-2</v>
      </c>
      <c r="HO213" s="54" t="e">
        <f t="shared" si="438"/>
        <v>#N/A</v>
      </c>
      <c r="HP213" s="54">
        <f t="shared" si="439"/>
        <v>2.0708440519801093E-2</v>
      </c>
      <c r="HQ213" s="72" t="str">
        <f t="shared" si="440"/>
        <v/>
      </c>
    </row>
    <row r="214" spans="71:225" x14ac:dyDescent="0.2">
      <c r="BS214" s="54">
        <f t="shared" si="367"/>
        <v>204</v>
      </c>
      <c r="BT214" s="54">
        <f>Eu_tabel_g[[#This Row],[Indeks]]+1</f>
        <v>205</v>
      </c>
      <c r="BU214" s="54">
        <f t="shared" si="368"/>
        <v>1.7966466896324498</v>
      </c>
      <c r="BV214" s="54">
        <f t="shared" si="369"/>
        <v>7.942769270709038E-2</v>
      </c>
      <c r="BW214" s="54" t="e">
        <f t="shared" si="370"/>
        <v>#N/A</v>
      </c>
      <c r="BX214" s="54" t="e">
        <f t="shared" si="371"/>
        <v>#N/A</v>
      </c>
      <c r="BY214" s="54" t="e">
        <f t="shared" si="372"/>
        <v>#N/A</v>
      </c>
      <c r="BZ214" s="54" t="b">
        <f t="shared" si="373"/>
        <v>0</v>
      </c>
      <c r="CA214" s="54" t="b">
        <f t="shared" si="374"/>
        <v>1</v>
      </c>
      <c r="CB214" s="54" t="b">
        <f t="shared" si="375"/>
        <v>0</v>
      </c>
      <c r="CC214" s="54" t="b">
        <f t="shared" si="376"/>
        <v>1</v>
      </c>
      <c r="CD214" s="54">
        <f t="shared" si="343"/>
        <v>7.942769270709038E-2</v>
      </c>
      <c r="CE214" s="54" t="e">
        <f t="shared" si="377"/>
        <v>#N/A</v>
      </c>
      <c r="CF214" s="54">
        <f t="shared" si="378"/>
        <v>7.942769270709038E-2</v>
      </c>
      <c r="CG214" s="72" t="str">
        <f t="shared" si="379"/>
        <v/>
      </c>
      <c r="CH214" s="54">
        <f>_xlfn.NORM.DIST(_xlfn.NORM.INV(1-Eu_g_konfidensniveau,0,1)-Eu_tabel_g[[#This Row],[x base]],0,1,TRUE)</f>
        <v>2.8924889725157158E-4</v>
      </c>
      <c r="CI214" s="54">
        <f>1-_xlfn.NORM.DIST(_xlfn.NORM.INV(Eu_g_konfidensniveau,0,1)-Eu_tabel_g[[#This Row],[x base]],0,1,TRUE)</f>
        <v>0.56032492304548565</v>
      </c>
      <c r="CJ214" s="54">
        <f>_xlfn.NORM.DIST(_xlfn.NORM.INV((1-Eu_g_konfidensniveau)/2,0,1)-Eu_tabel_g[[#This Row],[x base]],0,1,TRUE)+1-_xlfn.NORM.DIST(_xlfn.NORM.INV(1-(1-Eu_g_konfidensniveau)/2,0,1)-Eu_tabel_g[[#This Row],[x base]],0,1,TRUE)</f>
        <v>0.43522042373767211</v>
      </c>
      <c r="CK214" s="54" t="e" cm="1">
        <f t="array" ref="CK214">IF($CK$3,INDEX(Eu_tabel_g[[#This Row],[Styrke venstre]:[Styrke tosidet]],CK$7),NA())</f>
        <v>#N/A</v>
      </c>
      <c r="CL214" s="99" t="e">
        <f>Eu_tabel_g[[#This Row],[Falsk positiv
Nulhypotese accepteres
Fejltype 1]]</f>
        <v>#N/A</v>
      </c>
      <c r="CM214" s="99" t="e">
        <f>IF(CHOOSE(CK$7,Eu_tabel_g[[#This Row],[x base]]&gt;0,Eu_tabel_g[[#This Row],[x base]]&lt;0,Eu_tabel_g[[#This Row],[x base]]=0),Eu_tabel_g[[#This Row],[Styrke, aktiv]],NA())</f>
        <v>#N/A</v>
      </c>
      <c r="CN214" s="99" t="e">
        <f>IFERROR(IF($CK$3,Eu_tabel_g[[#This Row],[Styrke, aktiv]],NA()),NA())</f>
        <v>#N/A</v>
      </c>
      <c r="CO214" s="99" t="e">
        <f>IF(ISNA(Eu_tabel_g[[#This Row],[Sand negativ
Nulhypotese afvises
Korrekt]]),NA(),IF($CK$3,1,NA()))</f>
        <v>#N/A</v>
      </c>
      <c r="CP214" s="56" t="str" cm="1">
        <f t="array" ref="CP214">_xlfn.SWITCH(BS214,_xlfn.IFNA(CN$2,-99),CN$5,_xlfn.IFNA(CN$3,-99),CN$6,_xlfn.IFNA(CN$4,-99),CN$7,"")</f>
        <v/>
      </c>
      <c r="CT214" s="7">
        <f t="shared" si="380"/>
        <v>0.8</v>
      </c>
      <c r="CU214">
        <f>IF(ROW(Styrkeberegning_G[[#This Row],[X base venstre]])=ROW(Styrkeberegning_G[[#Headers],[X base venstre]])+1,CU$7/(CT$7/$B$67),CU213/(CT213/$B$67))</f>
        <v>-2.8015817870135784</v>
      </c>
      <c r="CV214">
        <f>Styrkeberegning_G[[#This Row],[X base venstre]]*-1</f>
        <v>2.8015817870135784</v>
      </c>
      <c r="DG214" s="54">
        <f t="shared" si="381"/>
        <v>204</v>
      </c>
      <c r="DH214" s="54">
        <f t="shared" si="382"/>
        <v>205</v>
      </c>
      <c r="DI214" s="54">
        <f t="shared" si="383"/>
        <v>25.104307373721895</v>
      </c>
      <c r="DJ214" s="54" t="e">
        <f t="shared" si="384"/>
        <v>#N/A</v>
      </c>
      <c r="DK214" s="54" t="e">
        <f t="shared" si="385"/>
        <v>#N/A</v>
      </c>
      <c r="DL214" s="54">
        <f t="shared" si="386"/>
        <v>2.9717636885863707E-3</v>
      </c>
      <c r="DM214" s="54" t="e">
        <f t="shared" si="387"/>
        <v>#N/A</v>
      </c>
      <c r="DN214" s="54" t="b">
        <f t="shared" si="388"/>
        <v>0</v>
      </c>
      <c r="DO214" s="54" t="b">
        <f t="shared" si="389"/>
        <v>1</v>
      </c>
      <c r="DP214" s="54" t="b">
        <f t="shared" si="390"/>
        <v>1</v>
      </c>
      <c r="DQ214" s="54" t="b">
        <f t="shared" si="391"/>
        <v>0</v>
      </c>
      <c r="DR214" s="54">
        <f t="shared" si="392"/>
        <v>2.9717636885863707E-3</v>
      </c>
      <c r="DS214" s="54">
        <f t="shared" si="393"/>
        <v>2.9717636885863707E-3</v>
      </c>
      <c r="DT214" s="54" t="e">
        <f t="shared" si="394"/>
        <v>#N/A</v>
      </c>
      <c r="DU214" s="72" t="str">
        <f t="shared" si="395"/>
        <v/>
      </c>
      <c r="DZ214" s="54">
        <f t="shared" si="396"/>
        <v>204</v>
      </c>
      <c r="EA214" s="54">
        <f t="shared" si="397"/>
        <v>205</v>
      </c>
      <c r="EB214" s="54">
        <f t="shared" si="398"/>
        <v>1.7966466896324498</v>
      </c>
      <c r="EC214" s="54">
        <f t="shared" si="399"/>
        <v>7.942769270709038E-2</v>
      </c>
      <c r="ED214" s="54" t="e">
        <f t="shared" si="400"/>
        <v>#N/A</v>
      </c>
      <c r="EE214" s="54" t="e">
        <f t="shared" si="401"/>
        <v>#N/A</v>
      </c>
      <c r="EF214" s="54" t="e">
        <f t="shared" si="402"/>
        <v>#N/A</v>
      </c>
      <c r="EG214" s="54" t="b">
        <f t="shared" si="403"/>
        <v>0</v>
      </c>
      <c r="EH214" s="54" t="b">
        <f t="shared" si="404"/>
        <v>1</v>
      </c>
      <c r="EI214" s="54" t="b">
        <f t="shared" si="405"/>
        <v>0</v>
      </c>
      <c r="EJ214" s="54" t="b">
        <f t="shared" si="406"/>
        <v>1</v>
      </c>
      <c r="EK214" s="54">
        <f t="shared" si="407"/>
        <v>7.942769270709038E-2</v>
      </c>
      <c r="EL214" s="54" t="e">
        <f t="shared" si="408"/>
        <v>#N/A</v>
      </c>
      <c r="EM214" s="54">
        <f t="shared" si="409"/>
        <v>7.942769270709038E-2</v>
      </c>
      <c r="EN214" s="72" t="str">
        <f t="shared" si="410"/>
        <v/>
      </c>
      <c r="EO21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1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1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14" s="54" t="e" cm="1">
        <f t="array" ref="ER214">IF($CK$3,INDEX(Eu_tabel_a[[#This Row],[Styrke venstre]:[Styrke tosidet]],ER$7),NA())</f>
        <v>#N/A</v>
      </c>
      <c r="ES214" s="54" t="e">
        <f>IF(ER$3,IF(CHOOSE(ER$7,Eu_tabel_a[[#This Row],[x base]]&gt;0,Eu_tabel_a[[#This Row],[x base]]&lt;0,Eu_tabel_a[[#This Row],[x base]]=0),1,NA()),NA())</f>
        <v>#N/A</v>
      </c>
      <c r="ET214" s="54" t="e">
        <f>IF(CHOOSE(ER$7,Eu_tabel_a[[#This Row],[x base]]&gt;0,Eu_tabel_a[[#This Row],[x base]]&lt;0,Eu_tabel_a[[#This Row],[x base]]=0),Eu_tabel_a[[#This Row],[Styrke, aktiv]],NA())</f>
        <v>#N/A</v>
      </c>
      <c r="EU214" s="54" t="e">
        <f>IFERROR(IF($ER$3,Eu_tabel_a[[#This Row],[Styrke, aktiv]],NA()),NA())</f>
        <v>#N/A</v>
      </c>
      <c r="EV214" s="54" t="e">
        <f>IF(ISNA(Eu_tabel_a[[#This Row],[Sand negativ
Nulhypotese afvises
Korrekt]]),NA(),IF(ER$3,1,NA()))</f>
        <v>#N/A</v>
      </c>
      <c r="EW214" s="55" t="str" cm="1">
        <f t="array" ref="EW214">IFERROR(_xlfn.SWITCH(Eu_tabel_a[[#This Row],[Indeks]],_xlfn.IFNA(EU$2,-99),EU$5,_xlfn.IFNA(EU$3,-99),EU$6,_xlfn.IFNA(EU$4,-99),EU$7,""),"")</f>
        <v/>
      </c>
      <c r="EX214" s="54">
        <f>Eu_tabel_a[[#This Row],[x base]]*SQRT(Eu_a_h0_x*(1-Eu_a_h0_x)/Eu_a_n_x)+Eu_a_h0_x</f>
        <v>0</v>
      </c>
      <c r="FC214" s="161" t="e">
        <f t="shared" si="354"/>
        <v>#N/A</v>
      </c>
      <c r="FD214" s="169" t="e">
        <f t="shared" si="338"/>
        <v>#DIV/0!</v>
      </c>
      <c r="FE214" s="7" t="e">
        <f t="shared" si="348"/>
        <v>#DIV/0!</v>
      </c>
      <c r="FF214" t="e">
        <f t="shared" si="339"/>
        <v>#DIV/0!</v>
      </c>
      <c r="FG214" s="8" t="e">
        <f t="shared" si="340"/>
        <v>#DIV/0!</v>
      </c>
      <c r="FH214" s="8" t="e">
        <f t="shared" si="341"/>
        <v>#DIV/0!</v>
      </c>
      <c r="FI214" s="168" t="e">
        <f t="shared" si="342"/>
        <v>#DIV/0!</v>
      </c>
      <c r="FJ214" s="161" t="e">
        <f t="shared" ca="1" si="349"/>
        <v>#N/A</v>
      </c>
      <c r="FK214" s="169" t="e" vm="3">
        <f t="shared" ca="1" si="355"/>
        <v>#VALUE!</v>
      </c>
      <c r="FL214" s="7" t="e" vm="3">
        <f t="shared" ca="1" si="350"/>
        <v>#VALUE!</v>
      </c>
      <c r="FM214" t="e" vm="3">
        <f t="shared" ca="1" si="344"/>
        <v>#VALUE!</v>
      </c>
      <c r="FN214" s="8" t="e" vm="3">
        <f t="shared" ca="1" si="345"/>
        <v>#VALUE!</v>
      </c>
      <c r="FO214" s="8" t="e" vm="3">
        <f t="shared" ca="1" si="346"/>
        <v>#VALUE!</v>
      </c>
      <c r="FP214" s="168" t="e" vm="3">
        <f t="shared" ca="1" si="347"/>
        <v>#VALUE!</v>
      </c>
      <c r="FQ214" s="161" t="e">
        <f t="shared" si="351"/>
        <v>#N/A</v>
      </c>
      <c r="FR214" s="169" t="e">
        <f t="shared" si="356"/>
        <v>#N/A</v>
      </c>
      <c r="FS214" s="7" t="e">
        <f t="shared" si="352"/>
        <v>#N/A</v>
      </c>
      <c r="FT214" t="e">
        <f t="shared" si="357"/>
        <v>#N/A</v>
      </c>
      <c r="FU214" s="8" t="e">
        <f t="shared" si="358"/>
        <v>#N/A</v>
      </c>
      <c r="FV214" s="8" t="e">
        <f t="shared" si="359"/>
        <v>#N/A</v>
      </c>
      <c r="FW214" s="168" t="e">
        <f t="shared" si="360"/>
        <v>#N/A</v>
      </c>
      <c r="FX214" s="161" t="e">
        <f t="shared" si="361"/>
        <v>#N/A</v>
      </c>
      <c r="FY214" s="169" t="e">
        <f t="shared" si="362"/>
        <v>#N/A</v>
      </c>
      <c r="FZ214" s="7" t="e">
        <f t="shared" si="353"/>
        <v>#N/A</v>
      </c>
      <c r="GA214" t="e">
        <f t="shared" si="363"/>
        <v>#N/A</v>
      </c>
      <c r="GB214" s="8" t="e">
        <f t="shared" si="364"/>
        <v>#N/A</v>
      </c>
      <c r="GC214" s="8" t="e">
        <f t="shared" si="365"/>
        <v>#N/A</v>
      </c>
      <c r="GD214" s="168" t="e">
        <f t="shared" si="366"/>
        <v>#N/A</v>
      </c>
      <c r="GE214" s="168"/>
      <c r="GF214" s="168"/>
      <c r="GI214" s="54">
        <f t="shared" si="411"/>
        <v>204</v>
      </c>
      <c r="GJ214" s="54">
        <f t="shared" si="412"/>
        <v>205</v>
      </c>
      <c r="GK214" s="54">
        <f t="shared" si="413"/>
        <v>1.7966466896324498</v>
      </c>
      <c r="GL214" s="54">
        <f t="shared" si="414"/>
        <v>7.942769270709038E-2</v>
      </c>
      <c r="GM214" s="54" t="e">
        <f t="shared" si="415"/>
        <v>#N/A</v>
      </c>
      <c r="GN214" s="54" t="e">
        <f t="shared" si="416"/>
        <v>#N/A</v>
      </c>
      <c r="GO214" s="54" t="e">
        <f t="shared" si="417"/>
        <v>#N/A</v>
      </c>
      <c r="GP214" s="54" t="b">
        <f t="shared" si="418"/>
        <v>0</v>
      </c>
      <c r="GQ214" s="54" t="b">
        <f t="shared" si="419"/>
        <v>1</v>
      </c>
      <c r="GR214" s="54" t="b">
        <f t="shared" si="420"/>
        <v>0</v>
      </c>
      <c r="GS214" s="54" t="b">
        <f t="shared" si="421"/>
        <v>1</v>
      </c>
      <c r="GT214" s="54">
        <f t="shared" si="422"/>
        <v>7.942769270709038E-2</v>
      </c>
      <c r="GU214" s="54" t="e">
        <f t="shared" si="423"/>
        <v>#N/A</v>
      </c>
      <c r="GV214" s="54">
        <f t="shared" si="424"/>
        <v>7.942769270709038E-2</v>
      </c>
      <c r="GW214" s="72" t="str">
        <f t="shared" si="425"/>
        <v/>
      </c>
      <c r="HC214" s="54">
        <f t="shared" si="426"/>
        <v>204</v>
      </c>
      <c r="HD214" s="54">
        <f t="shared" si="427"/>
        <v>205</v>
      </c>
      <c r="HE214" s="54">
        <f t="shared" si="428"/>
        <v>2.7821451329292639</v>
      </c>
      <c r="HF214" s="54" t="e">
        <f t="shared" si="429"/>
        <v>#N/A</v>
      </c>
      <c r="HG214" s="54">
        <f t="shared" si="430"/>
        <v>1.9580069923484249E-2</v>
      </c>
      <c r="HH214" s="54" t="e">
        <f t="shared" si="431"/>
        <v>#N/A</v>
      </c>
      <c r="HI214" s="54" t="e">
        <f t="shared" si="432"/>
        <v>#N/A</v>
      </c>
      <c r="HJ214" s="54" t="b">
        <f t="shared" si="433"/>
        <v>0</v>
      </c>
      <c r="HK214" s="54" t="b">
        <f t="shared" si="434"/>
        <v>1</v>
      </c>
      <c r="HL214" s="54" t="b">
        <f t="shared" si="435"/>
        <v>1</v>
      </c>
      <c r="HM214" s="54" t="b">
        <f t="shared" si="436"/>
        <v>0</v>
      </c>
      <c r="HN214" s="54">
        <f t="shared" si="437"/>
        <v>1.9580069923484249E-2</v>
      </c>
      <c r="HO214" s="54" t="e">
        <f t="shared" si="438"/>
        <v>#N/A</v>
      </c>
      <c r="HP214" s="54">
        <f t="shared" si="439"/>
        <v>1.9580069923484249E-2</v>
      </c>
      <c r="HQ214" s="72" t="str">
        <f t="shared" si="440"/>
        <v/>
      </c>
    </row>
    <row r="215" spans="71:225" x14ac:dyDescent="0.2">
      <c r="BS215" s="54">
        <f t="shared" si="367"/>
        <v>205</v>
      </c>
      <c r="BT215" s="54">
        <f>Eu_tabel_g[[#This Row],[Indeks]]+1</f>
        <v>206</v>
      </c>
      <c r="BU215" s="54">
        <f t="shared" si="368"/>
        <v>1.8206019788275487</v>
      </c>
      <c r="BV215" s="54">
        <f t="shared" si="369"/>
        <v>7.6059882914996213E-2</v>
      </c>
      <c r="BW215" s="54" t="e">
        <f t="shared" si="370"/>
        <v>#N/A</v>
      </c>
      <c r="BX215" s="54" t="e">
        <f t="shared" si="371"/>
        <v>#N/A</v>
      </c>
      <c r="BY215" s="54" t="e">
        <f t="shared" si="372"/>
        <v>#N/A</v>
      </c>
      <c r="BZ215" s="54" t="b">
        <f t="shared" si="373"/>
        <v>0</v>
      </c>
      <c r="CA215" s="54" t="b">
        <f t="shared" si="374"/>
        <v>1</v>
      </c>
      <c r="CB215" s="54" t="b">
        <f t="shared" si="375"/>
        <v>0</v>
      </c>
      <c r="CC215" s="54" t="b">
        <f t="shared" si="376"/>
        <v>1</v>
      </c>
      <c r="CD215" s="54">
        <f t="shared" si="343"/>
        <v>7.6059882914996213E-2</v>
      </c>
      <c r="CE215" s="54" t="e">
        <f t="shared" si="377"/>
        <v>#N/A</v>
      </c>
      <c r="CF215" s="54">
        <f t="shared" si="378"/>
        <v>7.6059882914996213E-2</v>
      </c>
      <c r="CG215" s="72" t="str">
        <f t="shared" si="379"/>
        <v/>
      </c>
      <c r="CH215" s="54">
        <f>_xlfn.NORM.DIST(_xlfn.NORM.INV(1-Eu_g_konfidensniveau,0,1)-Eu_tabel_g[[#This Row],[x base]],0,1,TRUE)</f>
        <v>2.6466695513984898E-4</v>
      </c>
      <c r="CI215" s="54">
        <f>1-_xlfn.NORM.DIST(_xlfn.NORM.INV(Eu_g_konfidensniveau,0,1)-Eu_tabel_g[[#This Row],[x base]],0,1,TRUE)</f>
        <v>0.56975417642104731</v>
      </c>
      <c r="CJ215" s="54">
        <f>_xlfn.NORM.DIST(_xlfn.NORM.INV((1-Eu_g_konfidensniveau)/2,0,1)-Eu_tabel_g[[#This Row],[x base]],0,1,TRUE)+1-_xlfn.NORM.DIST(_xlfn.NORM.INV(1-(1-Eu_g_konfidensniveau)/2,0,1)-Eu_tabel_g[[#This Row],[x base]],0,1,TRUE)</f>
        <v>0.44466028331450491</v>
      </c>
      <c r="CK215" s="54" t="e" cm="1">
        <f t="array" ref="CK215">IF($CK$3,INDEX(Eu_tabel_g[[#This Row],[Styrke venstre]:[Styrke tosidet]],CK$7),NA())</f>
        <v>#N/A</v>
      </c>
      <c r="CL215" s="99" t="e">
        <f>Eu_tabel_g[[#This Row],[Falsk positiv
Nulhypotese accepteres
Fejltype 1]]</f>
        <v>#N/A</v>
      </c>
      <c r="CM215" s="99" t="e">
        <f>IF(CHOOSE(CK$7,Eu_tabel_g[[#This Row],[x base]]&gt;0,Eu_tabel_g[[#This Row],[x base]]&lt;0,Eu_tabel_g[[#This Row],[x base]]=0),Eu_tabel_g[[#This Row],[Styrke, aktiv]],NA())</f>
        <v>#N/A</v>
      </c>
      <c r="CN215" s="99" t="e">
        <f>IFERROR(IF($CK$3,Eu_tabel_g[[#This Row],[Styrke, aktiv]],NA()),NA())</f>
        <v>#N/A</v>
      </c>
      <c r="CO215" s="99" t="e">
        <f>IF(ISNA(Eu_tabel_g[[#This Row],[Sand negativ
Nulhypotese afvises
Korrekt]]),NA(),IF($CK$3,1,NA()))</f>
        <v>#N/A</v>
      </c>
      <c r="CP215" s="56" t="str" cm="1">
        <f t="array" ref="CP215">_xlfn.SWITCH(BS215,_xlfn.IFNA(CN$2,-99),CN$5,_xlfn.IFNA(CN$3,-99),CN$6,_xlfn.IFNA(CN$4,-99),CN$7,"")</f>
        <v/>
      </c>
      <c r="CT215" s="7">
        <f t="shared" si="380"/>
        <v>0.8</v>
      </c>
      <c r="CU215">
        <f>IF(ROW(Styrkeberegning_G[[#This Row],[X base venstre]])=ROW(Styrkeberegning_G[[#Headers],[X base venstre]])+1,CU$7/(CT$7/$B$67),CU214/(CT214/$B$67))</f>
        <v>-2.8015817870135784</v>
      </c>
      <c r="CV215">
        <f>Styrkeberegning_G[[#This Row],[X base venstre]]*-1</f>
        <v>2.8015817870135784</v>
      </c>
      <c r="DG215" s="54">
        <f t="shared" si="381"/>
        <v>205</v>
      </c>
      <c r="DH215" s="54">
        <f t="shared" si="382"/>
        <v>206</v>
      </c>
      <c r="DI215" s="54">
        <f t="shared" si="383"/>
        <v>25.218378230138896</v>
      </c>
      <c r="DJ215" s="54" t="e">
        <f t="shared" si="384"/>
        <v>#N/A</v>
      </c>
      <c r="DK215" s="54" t="e">
        <f t="shared" si="385"/>
        <v>#N/A</v>
      </c>
      <c r="DL215" s="54">
        <f t="shared" si="386"/>
        <v>2.8648652308713566E-3</v>
      </c>
      <c r="DM215" s="54" t="e">
        <f t="shared" si="387"/>
        <v>#N/A</v>
      </c>
      <c r="DN215" s="54" t="b">
        <f t="shared" si="388"/>
        <v>0</v>
      </c>
      <c r="DO215" s="54" t="b">
        <f t="shared" si="389"/>
        <v>1</v>
      </c>
      <c r="DP215" s="54" t="b">
        <f t="shared" si="390"/>
        <v>1</v>
      </c>
      <c r="DQ215" s="54" t="b">
        <f t="shared" si="391"/>
        <v>0</v>
      </c>
      <c r="DR215" s="54">
        <f t="shared" si="392"/>
        <v>2.8648652308713566E-3</v>
      </c>
      <c r="DS215" s="54">
        <f t="shared" si="393"/>
        <v>2.8648652308713566E-3</v>
      </c>
      <c r="DT215" s="54" t="e">
        <f t="shared" si="394"/>
        <v>#N/A</v>
      </c>
      <c r="DU215" s="72" t="str">
        <f t="shared" si="395"/>
        <v/>
      </c>
      <c r="DZ215" s="54">
        <f t="shared" si="396"/>
        <v>205</v>
      </c>
      <c r="EA215" s="54">
        <f t="shared" si="397"/>
        <v>206</v>
      </c>
      <c r="EB215" s="54">
        <f t="shared" si="398"/>
        <v>1.8206019788275487</v>
      </c>
      <c r="EC215" s="54">
        <f t="shared" si="399"/>
        <v>7.6059882914996213E-2</v>
      </c>
      <c r="ED215" s="54" t="e">
        <f t="shared" si="400"/>
        <v>#N/A</v>
      </c>
      <c r="EE215" s="54" t="e">
        <f t="shared" si="401"/>
        <v>#N/A</v>
      </c>
      <c r="EF215" s="54" t="e">
        <f t="shared" si="402"/>
        <v>#N/A</v>
      </c>
      <c r="EG215" s="54" t="b">
        <f t="shared" si="403"/>
        <v>0</v>
      </c>
      <c r="EH215" s="54" t="b">
        <f t="shared" si="404"/>
        <v>1</v>
      </c>
      <c r="EI215" s="54" t="b">
        <f t="shared" si="405"/>
        <v>0</v>
      </c>
      <c r="EJ215" s="54" t="b">
        <f t="shared" si="406"/>
        <v>1</v>
      </c>
      <c r="EK215" s="54">
        <f t="shared" si="407"/>
        <v>7.6059882914996213E-2</v>
      </c>
      <c r="EL215" s="54" t="e">
        <f t="shared" si="408"/>
        <v>#N/A</v>
      </c>
      <c r="EM215" s="54">
        <f t="shared" si="409"/>
        <v>7.6059882914996213E-2</v>
      </c>
      <c r="EN215" s="72" t="str">
        <f t="shared" si="410"/>
        <v/>
      </c>
      <c r="EO21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1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1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15" s="54" t="e" cm="1">
        <f t="array" ref="ER215">IF($CK$3,INDEX(Eu_tabel_a[[#This Row],[Styrke venstre]:[Styrke tosidet]],ER$7),NA())</f>
        <v>#N/A</v>
      </c>
      <c r="ES215" s="54" t="e">
        <f>IF(ER$3,IF(CHOOSE(ER$7,Eu_tabel_a[[#This Row],[x base]]&gt;0,Eu_tabel_a[[#This Row],[x base]]&lt;0,Eu_tabel_a[[#This Row],[x base]]=0),1,NA()),NA())</f>
        <v>#N/A</v>
      </c>
      <c r="ET215" s="54" t="e">
        <f>IF(CHOOSE(ER$7,Eu_tabel_a[[#This Row],[x base]]&gt;0,Eu_tabel_a[[#This Row],[x base]]&lt;0,Eu_tabel_a[[#This Row],[x base]]=0),Eu_tabel_a[[#This Row],[Styrke, aktiv]],NA())</f>
        <v>#N/A</v>
      </c>
      <c r="EU215" s="54" t="e">
        <f>IFERROR(IF($ER$3,Eu_tabel_a[[#This Row],[Styrke, aktiv]],NA()),NA())</f>
        <v>#N/A</v>
      </c>
      <c r="EV215" s="54" t="e">
        <f>IF(ISNA(Eu_tabel_a[[#This Row],[Sand negativ
Nulhypotese afvises
Korrekt]]),NA(),IF(ER$3,1,NA()))</f>
        <v>#N/A</v>
      </c>
      <c r="EW215" s="55" t="str" cm="1">
        <f t="array" ref="EW215">IFERROR(_xlfn.SWITCH(Eu_tabel_a[[#This Row],[Indeks]],_xlfn.IFNA(EU$2,-99),EU$5,_xlfn.IFNA(EU$3,-99),EU$6,_xlfn.IFNA(EU$4,-99),EU$7,""),"")</f>
        <v/>
      </c>
      <c r="EX215" s="54">
        <f>Eu_tabel_a[[#This Row],[x base]]*SQRT(Eu_a_h0_x*(1-Eu_a_h0_x)/Eu_a_n_x)+Eu_a_h0_x</f>
        <v>0</v>
      </c>
      <c r="FC215" s="161" t="e">
        <f t="shared" si="354"/>
        <v>#N/A</v>
      </c>
      <c r="FD215" s="169" t="e">
        <f t="shared" si="338"/>
        <v>#DIV/0!</v>
      </c>
      <c r="FE215" s="7" t="e">
        <f t="shared" si="348"/>
        <v>#DIV/0!</v>
      </c>
      <c r="FF215" t="e">
        <f t="shared" si="339"/>
        <v>#DIV/0!</v>
      </c>
      <c r="FG215" s="8" t="e">
        <f t="shared" si="340"/>
        <v>#DIV/0!</v>
      </c>
      <c r="FH215" s="8" t="e">
        <f t="shared" si="341"/>
        <v>#DIV/0!</v>
      </c>
      <c r="FI215" s="168" t="e">
        <f t="shared" si="342"/>
        <v>#DIV/0!</v>
      </c>
      <c r="FJ215" s="161" t="e">
        <f t="shared" ca="1" si="349"/>
        <v>#N/A</v>
      </c>
      <c r="FK215" s="169" t="e" vm="3">
        <f t="shared" ca="1" si="355"/>
        <v>#VALUE!</v>
      </c>
      <c r="FL215" s="7" t="e" vm="3">
        <f t="shared" ca="1" si="350"/>
        <v>#VALUE!</v>
      </c>
      <c r="FM215" t="e" vm="3">
        <f t="shared" ca="1" si="344"/>
        <v>#VALUE!</v>
      </c>
      <c r="FN215" s="8" t="e" vm="3">
        <f t="shared" ca="1" si="345"/>
        <v>#VALUE!</v>
      </c>
      <c r="FO215" s="8" t="e" vm="3">
        <f t="shared" ca="1" si="346"/>
        <v>#VALUE!</v>
      </c>
      <c r="FP215" s="168" t="e" vm="3">
        <f t="shared" ca="1" si="347"/>
        <v>#VALUE!</v>
      </c>
      <c r="FQ215" s="161" t="e">
        <f t="shared" si="351"/>
        <v>#N/A</v>
      </c>
      <c r="FR215" s="169" t="e">
        <f t="shared" si="356"/>
        <v>#N/A</v>
      </c>
      <c r="FS215" s="7" t="e">
        <f t="shared" si="352"/>
        <v>#N/A</v>
      </c>
      <c r="FT215" t="e">
        <f t="shared" si="357"/>
        <v>#N/A</v>
      </c>
      <c r="FU215" s="8" t="e">
        <f t="shared" si="358"/>
        <v>#N/A</v>
      </c>
      <c r="FV215" s="8" t="e">
        <f t="shared" si="359"/>
        <v>#N/A</v>
      </c>
      <c r="FW215" s="168" t="e">
        <f t="shared" si="360"/>
        <v>#N/A</v>
      </c>
      <c r="FX215" s="161" t="e">
        <f t="shared" si="361"/>
        <v>#N/A</v>
      </c>
      <c r="FY215" s="169" t="e">
        <f t="shared" si="362"/>
        <v>#N/A</v>
      </c>
      <c r="FZ215" s="7" t="e">
        <f t="shared" si="353"/>
        <v>#N/A</v>
      </c>
      <c r="GA215" t="e">
        <f t="shared" si="363"/>
        <v>#N/A</v>
      </c>
      <c r="GB215" s="8" t="e">
        <f t="shared" si="364"/>
        <v>#N/A</v>
      </c>
      <c r="GC215" s="8" t="e">
        <f t="shared" si="365"/>
        <v>#N/A</v>
      </c>
      <c r="GD215" s="168" t="e">
        <f t="shared" si="366"/>
        <v>#N/A</v>
      </c>
      <c r="GE215" s="168"/>
      <c r="GF215" s="168"/>
      <c r="GI215" s="54">
        <f t="shared" si="411"/>
        <v>205</v>
      </c>
      <c r="GJ215" s="54">
        <f t="shared" si="412"/>
        <v>206</v>
      </c>
      <c r="GK215" s="54">
        <f t="shared" si="413"/>
        <v>1.8206019788275487</v>
      </c>
      <c r="GL215" s="54">
        <f t="shared" si="414"/>
        <v>7.6059882914996213E-2</v>
      </c>
      <c r="GM215" s="54" t="e">
        <f t="shared" si="415"/>
        <v>#N/A</v>
      </c>
      <c r="GN215" s="54" t="e">
        <f t="shared" si="416"/>
        <v>#N/A</v>
      </c>
      <c r="GO215" s="54" t="e">
        <f t="shared" si="417"/>
        <v>#N/A</v>
      </c>
      <c r="GP215" s="54" t="b">
        <f t="shared" si="418"/>
        <v>0</v>
      </c>
      <c r="GQ215" s="54" t="b">
        <f t="shared" si="419"/>
        <v>1</v>
      </c>
      <c r="GR215" s="54" t="b">
        <f t="shared" si="420"/>
        <v>0</v>
      </c>
      <c r="GS215" s="54" t="b">
        <f t="shared" si="421"/>
        <v>1</v>
      </c>
      <c r="GT215" s="54">
        <f t="shared" si="422"/>
        <v>7.6059882914996213E-2</v>
      </c>
      <c r="GU215" s="54" t="e">
        <f t="shared" si="423"/>
        <v>#N/A</v>
      </c>
      <c r="GV215" s="54">
        <f t="shared" si="424"/>
        <v>7.6059882914996213E-2</v>
      </c>
      <c r="GW215" s="72" t="str">
        <f t="shared" si="425"/>
        <v/>
      </c>
      <c r="HC215" s="54">
        <f t="shared" si="426"/>
        <v>205</v>
      </c>
      <c r="HD215" s="54">
        <f t="shared" si="427"/>
        <v>206</v>
      </c>
      <c r="HE215" s="54">
        <f t="shared" si="428"/>
        <v>2.8192404013683205</v>
      </c>
      <c r="HF215" s="54" t="e">
        <f t="shared" si="429"/>
        <v>#N/A</v>
      </c>
      <c r="HG215" s="54">
        <f t="shared" si="430"/>
        <v>1.8513876266587247E-2</v>
      </c>
      <c r="HH215" s="54" t="e">
        <f t="shared" si="431"/>
        <v>#N/A</v>
      </c>
      <c r="HI215" s="54" t="e">
        <f t="shared" si="432"/>
        <v>#N/A</v>
      </c>
      <c r="HJ215" s="54" t="b">
        <f t="shared" si="433"/>
        <v>0</v>
      </c>
      <c r="HK215" s="54" t="b">
        <f t="shared" si="434"/>
        <v>1</v>
      </c>
      <c r="HL215" s="54" t="b">
        <f t="shared" si="435"/>
        <v>1</v>
      </c>
      <c r="HM215" s="54" t="b">
        <f t="shared" si="436"/>
        <v>0</v>
      </c>
      <c r="HN215" s="54">
        <f t="shared" si="437"/>
        <v>1.8513876266587247E-2</v>
      </c>
      <c r="HO215" s="54" t="e">
        <f t="shared" si="438"/>
        <v>#N/A</v>
      </c>
      <c r="HP215" s="54">
        <f t="shared" si="439"/>
        <v>1.8513876266587247E-2</v>
      </c>
      <c r="HQ215" s="72" t="str">
        <f t="shared" si="440"/>
        <v/>
      </c>
    </row>
    <row r="216" spans="71:225" x14ac:dyDescent="0.2">
      <c r="BS216" s="54">
        <f t="shared" si="367"/>
        <v>206</v>
      </c>
      <c r="BT216" s="54">
        <f>Eu_tabel_g[[#This Row],[Indeks]]+1</f>
        <v>207</v>
      </c>
      <c r="BU216" s="54">
        <f t="shared" si="368"/>
        <v>1.8445572680226485</v>
      </c>
      <c r="BV216" s="54">
        <f t="shared" si="369"/>
        <v>7.2793086735565712E-2</v>
      </c>
      <c r="BW216" s="54" t="e">
        <f t="shared" si="370"/>
        <v>#N/A</v>
      </c>
      <c r="BX216" s="54" t="e">
        <f t="shared" si="371"/>
        <v>#N/A</v>
      </c>
      <c r="BY216" s="54" t="e">
        <f t="shared" si="372"/>
        <v>#N/A</v>
      </c>
      <c r="BZ216" s="54" t="b">
        <f t="shared" si="373"/>
        <v>0</v>
      </c>
      <c r="CA216" s="54" t="b">
        <f t="shared" si="374"/>
        <v>1</v>
      </c>
      <c r="CB216" s="54" t="b">
        <f t="shared" si="375"/>
        <v>0</v>
      </c>
      <c r="CC216" s="54" t="b">
        <f t="shared" si="376"/>
        <v>1</v>
      </c>
      <c r="CD216" s="54">
        <f t="shared" si="343"/>
        <v>7.2793086735565712E-2</v>
      </c>
      <c r="CE216" s="54" t="e">
        <f t="shared" si="377"/>
        <v>#N/A</v>
      </c>
      <c r="CF216" s="54">
        <f t="shared" si="378"/>
        <v>7.2793086735565712E-2</v>
      </c>
      <c r="CG216" s="72" t="str">
        <f t="shared" si="379"/>
        <v/>
      </c>
      <c r="CH216" s="54">
        <f>_xlfn.NORM.DIST(_xlfn.NORM.INV(1-Eu_g_konfidensniveau,0,1)-Eu_tabel_g[[#This Row],[x base]],0,1,TRUE)</f>
        <v>2.4204320849681733E-4</v>
      </c>
      <c r="CI216" s="54">
        <f>1-_xlfn.NORM.DIST(_xlfn.NORM.INV(Eu_g_konfidensniveau,0,1)-Eu_tabel_g[[#This Row],[x base]],0,1,TRUE)</f>
        <v>0.57914381701234718</v>
      </c>
      <c r="CJ216" s="54">
        <f>_xlfn.NORM.DIST(_xlfn.NORM.INV((1-Eu_g_konfidensniveau)/2,0,1)-Eu_tabel_g[[#This Row],[x base]],0,1,TRUE)+1-_xlfn.NORM.DIST(_xlfn.NORM.INV(1-(1-Eu_g_konfidensniveau)/2,0,1)-Eu_tabel_g[[#This Row],[x base]],0,1,TRUE)</f>
        <v>0.45413241711912866</v>
      </c>
      <c r="CK216" s="54" t="e" cm="1">
        <f t="array" ref="CK216">IF($CK$3,INDEX(Eu_tabel_g[[#This Row],[Styrke venstre]:[Styrke tosidet]],CK$7),NA())</f>
        <v>#N/A</v>
      </c>
      <c r="CL216" s="99" t="e">
        <f>Eu_tabel_g[[#This Row],[Falsk positiv
Nulhypotese accepteres
Fejltype 1]]</f>
        <v>#N/A</v>
      </c>
      <c r="CM216" s="99" t="e">
        <f>IF(CHOOSE(CK$7,Eu_tabel_g[[#This Row],[x base]]&gt;0,Eu_tabel_g[[#This Row],[x base]]&lt;0,Eu_tabel_g[[#This Row],[x base]]=0),Eu_tabel_g[[#This Row],[Styrke, aktiv]],NA())</f>
        <v>#N/A</v>
      </c>
      <c r="CN216" s="99" t="e">
        <f>IFERROR(IF($CK$3,Eu_tabel_g[[#This Row],[Styrke, aktiv]],NA()),NA())</f>
        <v>#N/A</v>
      </c>
      <c r="CO216" s="99" t="e">
        <f>IF(ISNA(Eu_tabel_g[[#This Row],[Sand negativ
Nulhypotese afvises
Korrekt]]),NA(),IF($CK$3,1,NA()))</f>
        <v>#N/A</v>
      </c>
      <c r="CP216" s="56" t="str" cm="1">
        <f t="array" ref="CP216">_xlfn.SWITCH(BS216,_xlfn.IFNA(CN$2,-99),CN$5,_xlfn.IFNA(CN$3,-99),CN$6,_xlfn.IFNA(CN$4,-99),CN$7,"")</f>
        <v/>
      </c>
      <c r="CT216" s="7">
        <f t="shared" si="380"/>
        <v>0.8</v>
      </c>
      <c r="CU216">
        <f>IF(ROW(Styrkeberegning_G[[#This Row],[X base venstre]])=ROW(Styrkeberegning_G[[#Headers],[X base venstre]])+1,CU$7/(CT$7/$B$67),CU215/(CT215/$B$67))</f>
        <v>-2.8015817870135784</v>
      </c>
      <c r="CV216">
        <f>Styrkeberegning_G[[#This Row],[X base venstre]]*-1</f>
        <v>2.8015817870135784</v>
      </c>
      <c r="DG216" s="54">
        <f t="shared" si="381"/>
        <v>206</v>
      </c>
      <c r="DH216" s="54">
        <f t="shared" si="382"/>
        <v>207</v>
      </c>
      <c r="DI216" s="54">
        <f t="shared" si="383"/>
        <v>25.332449086555897</v>
      </c>
      <c r="DJ216" s="54" t="e">
        <f t="shared" si="384"/>
        <v>#N/A</v>
      </c>
      <c r="DK216" s="54" t="e">
        <f t="shared" si="385"/>
        <v>#N/A</v>
      </c>
      <c r="DL216" s="54">
        <f t="shared" si="386"/>
        <v>2.7615577823302622E-3</v>
      </c>
      <c r="DM216" s="54" t="e">
        <f t="shared" si="387"/>
        <v>#N/A</v>
      </c>
      <c r="DN216" s="54" t="b">
        <f t="shared" si="388"/>
        <v>0</v>
      </c>
      <c r="DO216" s="54" t="b">
        <f t="shared" si="389"/>
        <v>1</v>
      </c>
      <c r="DP216" s="54" t="b">
        <f t="shared" si="390"/>
        <v>1</v>
      </c>
      <c r="DQ216" s="54" t="b">
        <f t="shared" si="391"/>
        <v>0</v>
      </c>
      <c r="DR216" s="54">
        <f t="shared" si="392"/>
        <v>2.7615577823302622E-3</v>
      </c>
      <c r="DS216" s="54">
        <f t="shared" si="393"/>
        <v>2.7615577823302622E-3</v>
      </c>
      <c r="DT216" s="54" t="e">
        <f t="shared" si="394"/>
        <v>#N/A</v>
      </c>
      <c r="DU216" s="72" t="str">
        <f t="shared" si="395"/>
        <v/>
      </c>
      <c r="DZ216" s="54">
        <f t="shared" si="396"/>
        <v>206</v>
      </c>
      <c r="EA216" s="54">
        <f t="shared" si="397"/>
        <v>207</v>
      </c>
      <c r="EB216" s="54">
        <f t="shared" si="398"/>
        <v>1.8445572680226485</v>
      </c>
      <c r="EC216" s="54">
        <f t="shared" si="399"/>
        <v>7.2793086735565712E-2</v>
      </c>
      <c r="ED216" s="54" t="e">
        <f t="shared" si="400"/>
        <v>#N/A</v>
      </c>
      <c r="EE216" s="54" t="e">
        <f t="shared" si="401"/>
        <v>#N/A</v>
      </c>
      <c r="EF216" s="54" t="e">
        <f t="shared" si="402"/>
        <v>#N/A</v>
      </c>
      <c r="EG216" s="54" t="b">
        <f t="shared" si="403"/>
        <v>0</v>
      </c>
      <c r="EH216" s="54" t="b">
        <f t="shared" si="404"/>
        <v>1</v>
      </c>
      <c r="EI216" s="54" t="b">
        <f t="shared" si="405"/>
        <v>0</v>
      </c>
      <c r="EJ216" s="54" t="b">
        <f t="shared" si="406"/>
        <v>1</v>
      </c>
      <c r="EK216" s="54">
        <f t="shared" si="407"/>
        <v>7.2793086735565712E-2</v>
      </c>
      <c r="EL216" s="54" t="e">
        <f t="shared" si="408"/>
        <v>#N/A</v>
      </c>
      <c r="EM216" s="54">
        <f t="shared" si="409"/>
        <v>7.2793086735565712E-2</v>
      </c>
      <c r="EN216" s="72" t="str">
        <f t="shared" si="410"/>
        <v/>
      </c>
      <c r="EO21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1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1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16" s="54" t="e" cm="1">
        <f t="array" ref="ER216">IF($CK$3,INDEX(Eu_tabel_a[[#This Row],[Styrke venstre]:[Styrke tosidet]],ER$7),NA())</f>
        <v>#N/A</v>
      </c>
      <c r="ES216" s="54" t="e">
        <f>IF(ER$3,IF(CHOOSE(ER$7,Eu_tabel_a[[#This Row],[x base]]&gt;0,Eu_tabel_a[[#This Row],[x base]]&lt;0,Eu_tabel_a[[#This Row],[x base]]=0),1,NA()),NA())</f>
        <v>#N/A</v>
      </c>
      <c r="ET216" s="54" t="e">
        <f>IF(CHOOSE(ER$7,Eu_tabel_a[[#This Row],[x base]]&gt;0,Eu_tabel_a[[#This Row],[x base]]&lt;0,Eu_tabel_a[[#This Row],[x base]]=0),Eu_tabel_a[[#This Row],[Styrke, aktiv]],NA())</f>
        <v>#N/A</v>
      </c>
      <c r="EU216" s="54" t="e">
        <f>IFERROR(IF($ER$3,Eu_tabel_a[[#This Row],[Styrke, aktiv]],NA()),NA())</f>
        <v>#N/A</v>
      </c>
      <c r="EV216" s="54" t="e">
        <f>IF(ISNA(Eu_tabel_a[[#This Row],[Sand negativ
Nulhypotese afvises
Korrekt]]),NA(),IF(ER$3,1,NA()))</f>
        <v>#N/A</v>
      </c>
      <c r="EW216" s="55" t="str" cm="1">
        <f t="array" ref="EW216">IFERROR(_xlfn.SWITCH(Eu_tabel_a[[#This Row],[Indeks]],_xlfn.IFNA(EU$2,-99),EU$5,_xlfn.IFNA(EU$3,-99),EU$6,_xlfn.IFNA(EU$4,-99),EU$7,""),"")</f>
        <v/>
      </c>
      <c r="EX216" s="54">
        <f>Eu_tabel_a[[#This Row],[x base]]*SQRT(Eu_a_h0_x*(1-Eu_a_h0_x)/Eu_a_n_x)+Eu_a_h0_x</f>
        <v>0</v>
      </c>
      <c r="FC216" s="161" t="e">
        <f t="shared" si="354"/>
        <v>#N/A</v>
      </c>
      <c r="FD216" s="169" t="e">
        <f t="shared" si="338"/>
        <v>#DIV/0!</v>
      </c>
      <c r="FE216" s="7" t="e">
        <f t="shared" si="348"/>
        <v>#DIV/0!</v>
      </c>
      <c r="FF216" t="e">
        <f t="shared" si="339"/>
        <v>#DIV/0!</v>
      </c>
      <c r="FG216" s="8" t="e">
        <f t="shared" si="340"/>
        <v>#DIV/0!</v>
      </c>
      <c r="FH216" s="8" t="e">
        <f t="shared" si="341"/>
        <v>#DIV/0!</v>
      </c>
      <c r="FI216" s="168" t="e">
        <f t="shared" si="342"/>
        <v>#DIV/0!</v>
      </c>
      <c r="FJ216" s="161" t="e">
        <f t="shared" ca="1" si="349"/>
        <v>#N/A</v>
      </c>
      <c r="FK216" s="169" t="e" vm="3">
        <f t="shared" ca="1" si="355"/>
        <v>#VALUE!</v>
      </c>
      <c r="FL216" s="7" t="e" vm="3">
        <f t="shared" ca="1" si="350"/>
        <v>#VALUE!</v>
      </c>
      <c r="FM216" t="e" vm="3">
        <f t="shared" ca="1" si="344"/>
        <v>#VALUE!</v>
      </c>
      <c r="FN216" s="8" t="e" vm="3">
        <f t="shared" ca="1" si="345"/>
        <v>#VALUE!</v>
      </c>
      <c r="FO216" s="8" t="e" vm="3">
        <f t="shared" ca="1" si="346"/>
        <v>#VALUE!</v>
      </c>
      <c r="FP216" s="168" t="e" vm="3">
        <f t="shared" ca="1" si="347"/>
        <v>#VALUE!</v>
      </c>
      <c r="FQ216" s="161" t="e">
        <f t="shared" si="351"/>
        <v>#N/A</v>
      </c>
      <c r="FR216" s="169" t="e">
        <f t="shared" si="356"/>
        <v>#N/A</v>
      </c>
      <c r="FS216" s="7" t="e">
        <f t="shared" si="352"/>
        <v>#N/A</v>
      </c>
      <c r="FT216" t="e">
        <f t="shared" si="357"/>
        <v>#N/A</v>
      </c>
      <c r="FU216" s="8" t="e">
        <f t="shared" si="358"/>
        <v>#N/A</v>
      </c>
      <c r="FV216" s="8" t="e">
        <f t="shared" si="359"/>
        <v>#N/A</v>
      </c>
      <c r="FW216" s="168" t="e">
        <f t="shared" si="360"/>
        <v>#N/A</v>
      </c>
      <c r="FX216" s="161" t="e">
        <f t="shared" si="361"/>
        <v>#N/A</v>
      </c>
      <c r="FY216" s="169" t="e">
        <f t="shared" si="362"/>
        <v>#N/A</v>
      </c>
      <c r="FZ216" s="7" t="e">
        <f t="shared" si="353"/>
        <v>#N/A</v>
      </c>
      <c r="GA216" t="e">
        <f t="shared" si="363"/>
        <v>#N/A</v>
      </c>
      <c r="GB216" s="8" t="e">
        <f t="shared" si="364"/>
        <v>#N/A</v>
      </c>
      <c r="GC216" s="8" t="e">
        <f t="shared" si="365"/>
        <v>#N/A</v>
      </c>
      <c r="GD216" s="168" t="e">
        <f t="shared" si="366"/>
        <v>#N/A</v>
      </c>
      <c r="GE216" s="168"/>
      <c r="GF216" s="168"/>
      <c r="GI216" s="54">
        <f t="shared" si="411"/>
        <v>206</v>
      </c>
      <c r="GJ216" s="54">
        <f t="shared" si="412"/>
        <v>207</v>
      </c>
      <c r="GK216" s="54">
        <f t="shared" si="413"/>
        <v>1.8445572680226485</v>
      </c>
      <c r="GL216" s="54">
        <f t="shared" si="414"/>
        <v>7.2793086735565712E-2</v>
      </c>
      <c r="GM216" s="54" t="e">
        <f t="shared" si="415"/>
        <v>#N/A</v>
      </c>
      <c r="GN216" s="54" t="e">
        <f t="shared" si="416"/>
        <v>#N/A</v>
      </c>
      <c r="GO216" s="54" t="e">
        <f t="shared" si="417"/>
        <v>#N/A</v>
      </c>
      <c r="GP216" s="54" t="b">
        <f t="shared" si="418"/>
        <v>0</v>
      </c>
      <c r="GQ216" s="54" t="b">
        <f t="shared" si="419"/>
        <v>1</v>
      </c>
      <c r="GR216" s="54" t="b">
        <f t="shared" si="420"/>
        <v>0</v>
      </c>
      <c r="GS216" s="54" t="b">
        <f t="shared" si="421"/>
        <v>1</v>
      </c>
      <c r="GT216" s="54">
        <f t="shared" si="422"/>
        <v>7.2793086735565712E-2</v>
      </c>
      <c r="GU216" s="54" t="e">
        <f t="shared" si="423"/>
        <v>#N/A</v>
      </c>
      <c r="GV216" s="54">
        <f t="shared" si="424"/>
        <v>7.2793086735565712E-2</v>
      </c>
      <c r="GW216" s="72" t="str">
        <f t="shared" si="425"/>
        <v/>
      </c>
      <c r="HC216" s="54">
        <f t="shared" si="426"/>
        <v>206</v>
      </c>
      <c r="HD216" s="54">
        <f t="shared" si="427"/>
        <v>207</v>
      </c>
      <c r="HE216" s="54">
        <f t="shared" si="428"/>
        <v>2.8563356698073772</v>
      </c>
      <c r="HF216" s="54" t="e">
        <f t="shared" si="429"/>
        <v>#N/A</v>
      </c>
      <c r="HG216" s="54">
        <f t="shared" si="430"/>
        <v>1.750655719349652E-2</v>
      </c>
      <c r="HH216" s="54" t="e">
        <f t="shared" si="431"/>
        <v>#N/A</v>
      </c>
      <c r="HI216" s="54" t="e">
        <f t="shared" si="432"/>
        <v>#N/A</v>
      </c>
      <c r="HJ216" s="54" t="b">
        <f t="shared" si="433"/>
        <v>0</v>
      </c>
      <c r="HK216" s="54" t="b">
        <f t="shared" si="434"/>
        <v>1</v>
      </c>
      <c r="HL216" s="54" t="b">
        <f t="shared" si="435"/>
        <v>1</v>
      </c>
      <c r="HM216" s="54" t="b">
        <f t="shared" si="436"/>
        <v>0</v>
      </c>
      <c r="HN216" s="54">
        <f t="shared" si="437"/>
        <v>1.750655719349652E-2</v>
      </c>
      <c r="HO216" s="54" t="e">
        <f t="shared" si="438"/>
        <v>#N/A</v>
      </c>
      <c r="HP216" s="54">
        <f t="shared" si="439"/>
        <v>1.750655719349652E-2</v>
      </c>
      <c r="HQ216" s="72" t="str">
        <f t="shared" si="440"/>
        <v/>
      </c>
    </row>
    <row r="217" spans="71:225" x14ac:dyDescent="0.2">
      <c r="BS217" s="54">
        <f t="shared" si="367"/>
        <v>207</v>
      </c>
      <c r="BT217" s="54">
        <f>Eu_tabel_g[[#This Row],[Indeks]]+1</f>
        <v>208</v>
      </c>
      <c r="BU217" s="54">
        <f t="shared" si="368"/>
        <v>1.8685125572177474</v>
      </c>
      <c r="BV217" s="54">
        <f t="shared" si="369"/>
        <v>6.962663337221206E-2</v>
      </c>
      <c r="BW217" s="54" t="e">
        <f t="shared" si="370"/>
        <v>#N/A</v>
      </c>
      <c r="BX217" s="54" t="e">
        <f t="shared" si="371"/>
        <v>#N/A</v>
      </c>
      <c r="BY217" s="54" t="e">
        <f t="shared" si="372"/>
        <v>#N/A</v>
      </c>
      <c r="BZ217" s="54" t="b">
        <f t="shared" si="373"/>
        <v>0</v>
      </c>
      <c r="CA217" s="54" t="b">
        <f t="shared" si="374"/>
        <v>1</v>
      </c>
      <c r="CB217" s="54" t="b">
        <f t="shared" si="375"/>
        <v>0</v>
      </c>
      <c r="CC217" s="54" t="b">
        <f t="shared" si="376"/>
        <v>1</v>
      </c>
      <c r="CD217" s="54">
        <f t="shared" si="343"/>
        <v>6.962663337221206E-2</v>
      </c>
      <c r="CE217" s="54" t="e">
        <f t="shared" si="377"/>
        <v>#N/A</v>
      </c>
      <c r="CF217" s="54">
        <f t="shared" si="378"/>
        <v>6.962663337221206E-2</v>
      </c>
      <c r="CG217" s="72" t="str">
        <f t="shared" si="379"/>
        <v/>
      </c>
      <c r="CH217" s="54">
        <f>_xlfn.NORM.DIST(_xlfn.NORM.INV(1-Eu_g_konfidensniveau,0,1)-Eu_tabel_g[[#This Row],[x base]],0,1,TRUE)</f>
        <v>2.2123361219902565E-4</v>
      </c>
      <c r="CI217" s="54">
        <f>1-_xlfn.NORM.DIST(_xlfn.NORM.INV(Eu_g_konfidensniveau,0,1)-Eu_tabel_g[[#This Row],[x base]],0,1,TRUE)</f>
        <v>0.58848864736652096</v>
      </c>
      <c r="CJ217" s="54">
        <f>_xlfn.NORM.DIST(_xlfn.NORM.INV((1-Eu_g_konfidensniveau)/2,0,1)-Eu_tabel_g[[#This Row],[x base]],0,1,TRUE)+1-_xlfn.NORM.DIST(_xlfn.NORM.INV(1-(1-Eu_g_konfidensniveau)/2,0,1)-Eu_tabel_g[[#This Row],[x base]],0,1,TRUE)</f>
        <v>0.46363141936747909</v>
      </c>
      <c r="CK217" s="54" t="e" cm="1">
        <f t="array" ref="CK217">IF($CK$3,INDEX(Eu_tabel_g[[#This Row],[Styrke venstre]:[Styrke tosidet]],CK$7),NA())</f>
        <v>#N/A</v>
      </c>
      <c r="CL217" s="99" t="e">
        <f>Eu_tabel_g[[#This Row],[Falsk positiv
Nulhypotese accepteres
Fejltype 1]]</f>
        <v>#N/A</v>
      </c>
      <c r="CM217" s="99" t="e">
        <f>IF(CHOOSE(CK$7,Eu_tabel_g[[#This Row],[x base]]&gt;0,Eu_tabel_g[[#This Row],[x base]]&lt;0,Eu_tabel_g[[#This Row],[x base]]=0),Eu_tabel_g[[#This Row],[Styrke, aktiv]],NA())</f>
        <v>#N/A</v>
      </c>
      <c r="CN217" s="99" t="e">
        <f>IFERROR(IF($CK$3,Eu_tabel_g[[#This Row],[Styrke, aktiv]],NA()),NA())</f>
        <v>#N/A</v>
      </c>
      <c r="CO217" s="99" t="e">
        <f>IF(ISNA(Eu_tabel_g[[#This Row],[Sand negativ
Nulhypotese afvises
Korrekt]]),NA(),IF($CK$3,1,NA()))</f>
        <v>#N/A</v>
      </c>
      <c r="CP217" s="56" t="str" cm="1">
        <f t="array" ref="CP217">_xlfn.SWITCH(BS217,_xlfn.IFNA(CN$2,-99),CN$5,_xlfn.IFNA(CN$3,-99),CN$6,_xlfn.IFNA(CN$4,-99),CN$7,"")</f>
        <v/>
      </c>
      <c r="CT217" s="7">
        <f t="shared" si="380"/>
        <v>0.8</v>
      </c>
      <c r="CU217">
        <f>IF(ROW(Styrkeberegning_G[[#This Row],[X base venstre]])=ROW(Styrkeberegning_G[[#Headers],[X base venstre]])+1,CU$7/(CT$7/$B$67),CU216/(CT216/$B$67))</f>
        <v>-2.8015817870135784</v>
      </c>
      <c r="CV217">
        <f>Styrkeberegning_G[[#This Row],[X base venstre]]*-1</f>
        <v>2.8015817870135784</v>
      </c>
      <c r="DG217" s="54">
        <f t="shared" si="381"/>
        <v>207</v>
      </c>
      <c r="DH217" s="54">
        <f t="shared" si="382"/>
        <v>208</v>
      </c>
      <c r="DI217" s="54">
        <f t="shared" si="383"/>
        <v>25.446519942972898</v>
      </c>
      <c r="DJ217" s="54" t="e">
        <f t="shared" si="384"/>
        <v>#N/A</v>
      </c>
      <c r="DK217" s="54" t="e">
        <f t="shared" si="385"/>
        <v>#N/A</v>
      </c>
      <c r="DL217" s="54">
        <f t="shared" si="386"/>
        <v>2.6617327326080762E-3</v>
      </c>
      <c r="DM217" s="54" t="e">
        <f t="shared" si="387"/>
        <v>#N/A</v>
      </c>
      <c r="DN217" s="54" t="b">
        <f t="shared" si="388"/>
        <v>0</v>
      </c>
      <c r="DO217" s="54" t="b">
        <f t="shared" si="389"/>
        <v>1</v>
      </c>
      <c r="DP217" s="54" t="b">
        <f t="shared" si="390"/>
        <v>1</v>
      </c>
      <c r="DQ217" s="54" t="b">
        <f t="shared" si="391"/>
        <v>0</v>
      </c>
      <c r="DR217" s="54">
        <f t="shared" si="392"/>
        <v>2.6617327326080762E-3</v>
      </c>
      <c r="DS217" s="54">
        <f t="shared" si="393"/>
        <v>2.6617327326080762E-3</v>
      </c>
      <c r="DT217" s="54" t="e">
        <f t="shared" si="394"/>
        <v>#N/A</v>
      </c>
      <c r="DU217" s="72" t="str">
        <f t="shared" si="395"/>
        <v/>
      </c>
      <c r="DZ217" s="54">
        <f t="shared" si="396"/>
        <v>207</v>
      </c>
      <c r="EA217" s="54">
        <f t="shared" si="397"/>
        <v>208</v>
      </c>
      <c r="EB217" s="54">
        <f t="shared" si="398"/>
        <v>1.8685125572177474</v>
      </c>
      <c r="EC217" s="54">
        <f t="shared" si="399"/>
        <v>6.962663337221206E-2</v>
      </c>
      <c r="ED217" s="54" t="e">
        <f t="shared" si="400"/>
        <v>#N/A</v>
      </c>
      <c r="EE217" s="54" t="e">
        <f t="shared" si="401"/>
        <v>#N/A</v>
      </c>
      <c r="EF217" s="54" t="e">
        <f t="shared" si="402"/>
        <v>#N/A</v>
      </c>
      <c r="EG217" s="54" t="b">
        <f t="shared" si="403"/>
        <v>0</v>
      </c>
      <c r="EH217" s="54" t="b">
        <f t="shared" si="404"/>
        <v>1</v>
      </c>
      <c r="EI217" s="54" t="b">
        <f t="shared" si="405"/>
        <v>0</v>
      </c>
      <c r="EJ217" s="54" t="b">
        <f t="shared" si="406"/>
        <v>1</v>
      </c>
      <c r="EK217" s="54">
        <f t="shared" si="407"/>
        <v>6.962663337221206E-2</v>
      </c>
      <c r="EL217" s="54" t="e">
        <f t="shared" si="408"/>
        <v>#N/A</v>
      </c>
      <c r="EM217" s="54">
        <f t="shared" si="409"/>
        <v>6.962663337221206E-2</v>
      </c>
      <c r="EN217" s="72" t="str">
        <f t="shared" si="410"/>
        <v/>
      </c>
      <c r="EO21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1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1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17" s="54" t="e" cm="1">
        <f t="array" ref="ER217">IF($CK$3,INDEX(Eu_tabel_a[[#This Row],[Styrke venstre]:[Styrke tosidet]],ER$7),NA())</f>
        <v>#N/A</v>
      </c>
      <c r="ES217" s="54" t="e">
        <f>IF(ER$3,IF(CHOOSE(ER$7,Eu_tabel_a[[#This Row],[x base]]&gt;0,Eu_tabel_a[[#This Row],[x base]]&lt;0,Eu_tabel_a[[#This Row],[x base]]=0),1,NA()),NA())</f>
        <v>#N/A</v>
      </c>
      <c r="ET217" s="54" t="e">
        <f>IF(CHOOSE(ER$7,Eu_tabel_a[[#This Row],[x base]]&gt;0,Eu_tabel_a[[#This Row],[x base]]&lt;0,Eu_tabel_a[[#This Row],[x base]]=0),Eu_tabel_a[[#This Row],[Styrke, aktiv]],NA())</f>
        <v>#N/A</v>
      </c>
      <c r="EU217" s="54" t="e">
        <f>IFERROR(IF($ER$3,Eu_tabel_a[[#This Row],[Styrke, aktiv]],NA()),NA())</f>
        <v>#N/A</v>
      </c>
      <c r="EV217" s="54" t="e">
        <f>IF(ISNA(Eu_tabel_a[[#This Row],[Sand negativ
Nulhypotese afvises
Korrekt]]),NA(),IF(ER$3,1,NA()))</f>
        <v>#N/A</v>
      </c>
      <c r="EW217" s="55" t="str" cm="1">
        <f t="array" ref="EW217">IFERROR(_xlfn.SWITCH(Eu_tabel_a[[#This Row],[Indeks]],_xlfn.IFNA(EU$2,-99),EU$5,_xlfn.IFNA(EU$3,-99),EU$6,_xlfn.IFNA(EU$4,-99),EU$7,""),"")</f>
        <v/>
      </c>
      <c r="EX217" s="54">
        <f>Eu_tabel_a[[#This Row],[x base]]*SQRT(Eu_a_h0_x*(1-Eu_a_h0_x)/Eu_a_n_x)+Eu_a_h0_x</f>
        <v>0</v>
      </c>
      <c r="FC217" s="161" t="e">
        <f t="shared" si="354"/>
        <v>#N/A</v>
      </c>
      <c r="FD217" s="169" t="e">
        <f t="shared" si="338"/>
        <v>#DIV/0!</v>
      </c>
      <c r="FE217" s="7" t="e">
        <f t="shared" si="348"/>
        <v>#DIV/0!</v>
      </c>
      <c r="FF217" t="e">
        <f t="shared" si="339"/>
        <v>#DIV/0!</v>
      </c>
      <c r="FG217" s="8" t="e">
        <f t="shared" si="340"/>
        <v>#DIV/0!</v>
      </c>
      <c r="FH217" s="8" t="e">
        <f t="shared" si="341"/>
        <v>#DIV/0!</v>
      </c>
      <c r="FI217" s="168" t="e">
        <f t="shared" si="342"/>
        <v>#DIV/0!</v>
      </c>
      <c r="FJ217" s="161" t="e">
        <f t="shared" ca="1" si="349"/>
        <v>#N/A</v>
      </c>
      <c r="FK217" s="169" t="e" vm="3">
        <f t="shared" ca="1" si="355"/>
        <v>#VALUE!</v>
      </c>
      <c r="FL217" s="7" t="e" vm="3">
        <f t="shared" ca="1" si="350"/>
        <v>#VALUE!</v>
      </c>
      <c r="FM217" t="e" vm="3">
        <f t="shared" ca="1" si="344"/>
        <v>#VALUE!</v>
      </c>
      <c r="FN217" s="8" t="e" vm="3">
        <f t="shared" ca="1" si="345"/>
        <v>#VALUE!</v>
      </c>
      <c r="FO217" s="8" t="e" vm="3">
        <f t="shared" ca="1" si="346"/>
        <v>#VALUE!</v>
      </c>
      <c r="FP217" s="168" t="e" vm="3">
        <f t="shared" ca="1" si="347"/>
        <v>#VALUE!</v>
      </c>
      <c r="FQ217" s="161" t="e">
        <f t="shared" si="351"/>
        <v>#N/A</v>
      </c>
      <c r="FR217" s="169" t="e">
        <f t="shared" si="356"/>
        <v>#N/A</v>
      </c>
      <c r="FS217" s="7" t="e">
        <f t="shared" si="352"/>
        <v>#N/A</v>
      </c>
      <c r="FT217" t="e">
        <f t="shared" si="357"/>
        <v>#N/A</v>
      </c>
      <c r="FU217" s="8" t="e">
        <f t="shared" si="358"/>
        <v>#N/A</v>
      </c>
      <c r="FV217" s="8" t="e">
        <f t="shared" si="359"/>
        <v>#N/A</v>
      </c>
      <c r="FW217" s="168" t="e">
        <f t="shared" si="360"/>
        <v>#N/A</v>
      </c>
      <c r="FX217" s="161" t="e">
        <f t="shared" si="361"/>
        <v>#N/A</v>
      </c>
      <c r="FY217" s="169" t="e">
        <f t="shared" si="362"/>
        <v>#N/A</v>
      </c>
      <c r="FZ217" s="7" t="e">
        <f t="shared" si="353"/>
        <v>#N/A</v>
      </c>
      <c r="GA217" t="e">
        <f t="shared" si="363"/>
        <v>#N/A</v>
      </c>
      <c r="GB217" s="8" t="e">
        <f t="shared" si="364"/>
        <v>#N/A</v>
      </c>
      <c r="GC217" s="8" t="e">
        <f t="shared" si="365"/>
        <v>#N/A</v>
      </c>
      <c r="GD217" s="168" t="e">
        <f t="shared" si="366"/>
        <v>#N/A</v>
      </c>
      <c r="GE217" s="168"/>
      <c r="GF217" s="168"/>
      <c r="GI217" s="54">
        <f t="shared" si="411"/>
        <v>207</v>
      </c>
      <c r="GJ217" s="54">
        <f t="shared" si="412"/>
        <v>208</v>
      </c>
      <c r="GK217" s="54">
        <f t="shared" si="413"/>
        <v>1.8685125572177474</v>
      </c>
      <c r="GL217" s="54">
        <f t="shared" si="414"/>
        <v>6.962663337221206E-2</v>
      </c>
      <c r="GM217" s="54" t="e">
        <f t="shared" si="415"/>
        <v>#N/A</v>
      </c>
      <c r="GN217" s="54" t="e">
        <f t="shared" si="416"/>
        <v>#N/A</v>
      </c>
      <c r="GO217" s="54" t="e">
        <f t="shared" si="417"/>
        <v>#N/A</v>
      </c>
      <c r="GP217" s="54" t="b">
        <f t="shared" si="418"/>
        <v>0</v>
      </c>
      <c r="GQ217" s="54" t="b">
        <f t="shared" si="419"/>
        <v>1</v>
      </c>
      <c r="GR217" s="54" t="b">
        <f t="shared" si="420"/>
        <v>0</v>
      </c>
      <c r="GS217" s="54" t="b">
        <f t="shared" si="421"/>
        <v>1</v>
      </c>
      <c r="GT217" s="54">
        <f t="shared" si="422"/>
        <v>6.962663337221206E-2</v>
      </c>
      <c r="GU217" s="54" t="e">
        <f t="shared" si="423"/>
        <v>#N/A</v>
      </c>
      <c r="GV217" s="54">
        <f t="shared" si="424"/>
        <v>6.962663337221206E-2</v>
      </c>
      <c r="GW217" s="72" t="str">
        <f t="shared" si="425"/>
        <v/>
      </c>
      <c r="HC217" s="54">
        <f t="shared" si="426"/>
        <v>207</v>
      </c>
      <c r="HD217" s="54">
        <f t="shared" si="427"/>
        <v>208</v>
      </c>
      <c r="HE217" s="54">
        <f t="shared" si="428"/>
        <v>2.8934309382464347</v>
      </c>
      <c r="HF217" s="54" t="e">
        <f t="shared" si="429"/>
        <v>#N/A</v>
      </c>
      <c r="HG217" s="54">
        <f t="shared" si="430"/>
        <v>1.6554963588224707E-2</v>
      </c>
      <c r="HH217" s="54" t="e">
        <f t="shared" si="431"/>
        <v>#N/A</v>
      </c>
      <c r="HI217" s="54" t="e">
        <f t="shared" si="432"/>
        <v>#N/A</v>
      </c>
      <c r="HJ217" s="54" t="b">
        <f t="shared" si="433"/>
        <v>0</v>
      </c>
      <c r="HK217" s="54" t="b">
        <f t="shared" si="434"/>
        <v>1</v>
      </c>
      <c r="HL217" s="54" t="b">
        <f t="shared" si="435"/>
        <v>1</v>
      </c>
      <c r="HM217" s="54" t="b">
        <f t="shared" si="436"/>
        <v>0</v>
      </c>
      <c r="HN217" s="54">
        <f t="shared" si="437"/>
        <v>1.6554963588224707E-2</v>
      </c>
      <c r="HO217" s="54" t="e">
        <f t="shared" si="438"/>
        <v>#N/A</v>
      </c>
      <c r="HP217" s="54">
        <f t="shared" si="439"/>
        <v>1.6554963588224707E-2</v>
      </c>
      <c r="HQ217" s="72" t="str">
        <f t="shared" si="440"/>
        <v/>
      </c>
    </row>
    <row r="218" spans="71:225" x14ac:dyDescent="0.2">
      <c r="BS218" s="54">
        <f t="shared" si="367"/>
        <v>208</v>
      </c>
      <c r="BT218" s="54">
        <f>Eu_tabel_g[[#This Row],[Indeks]]+1</f>
        <v>209</v>
      </c>
      <c r="BU218" s="54">
        <f t="shared" si="368"/>
        <v>1.8924678464128464</v>
      </c>
      <c r="BV218" s="54">
        <f t="shared" si="369"/>
        <v>6.655971208943702E-2</v>
      </c>
      <c r="BW218" s="54" t="e">
        <f t="shared" si="370"/>
        <v>#N/A</v>
      </c>
      <c r="BX218" s="54" t="e">
        <f t="shared" si="371"/>
        <v>#N/A</v>
      </c>
      <c r="BY218" s="54" t="e">
        <f t="shared" si="372"/>
        <v>#N/A</v>
      </c>
      <c r="BZ218" s="54" t="b">
        <f t="shared" si="373"/>
        <v>0</v>
      </c>
      <c r="CA218" s="54" t="b">
        <f t="shared" si="374"/>
        <v>1</v>
      </c>
      <c r="CB218" s="54" t="b">
        <f t="shared" si="375"/>
        <v>0</v>
      </c>
      <c r="CC218" s="54" t="b">
        <f t="shared" si="376"/>
        <v>1</v>
      </c>
      <c r="CD218" s="54">
        <f t="shared" si="343"/>
        <v>6.655971208943702E-2</v>
      </c>
      <c r="CE218" s="54" t="e">
        <f t="shared" si="377"/>
        <v>#N/A</v>
      </c>
      <c r="CF218" s="54">
        <f t="shared" si="378"/>
        <v>6.655971208943702E-2</v>
      </c>
      <c r="CG218" s="72" t="str">
        <f t="shared" si="379"/>
        <v/>
      </c>
      <c r="CH218" s="54">
        <f>_xlfn.NORM.DIST(_xlfn.NORM.INV(1-Eu_g_konfidensniveau,0,1)-Eu_tabel_g[[#This Row],[x base]],0,1,TRUE)</f>
        <v>2.021036738241286E-4</v>
      </c>
      <c r="CI218" s="54">
        <f>1-_xlfn.NORM.DIST(_xlfn.NORM.INV(Eu_g_konfidensniveau,0,1)-Eu_tabel_g[[#This Row],[x base]],0,1,TRUE)</f>
        <v>0.59778354612388762</v>
      </c>
      <c r="CJ218" s="54">
        <f>_xlfn.NORM.DIST(_xlfn.NORM.INV((1-Eu_g_konfidensniveau)/2,0,1)-Eu_tabel_g[[#This Row],[x base]],0,1,TRUE)+1-_xlfn.NORM.DIST(_xlfn.NORM.INV(1-(1-Eu_g_konfidensniveau)/2,0,1)-Eu_tabel_g[[#This Row],[x base]],0,1,TRUE)</f>
        <v>0.47315184344261074</v>
      </c>
      <c r="CK218" s="54" t="e" cm="1">
        <f t="array" ref="CK218">IF($CK$3,INDEX(Eu_tabel_g[[#This Row],[Styrke venstre]:[Styrke tosidet]],CK$7),NA())</f>
        <v>#N/A</v>
      </c>
      <c r="CL218" s="99" t="e">
        <f>Eu_tabel_g[[#This Row],[Falsk positiv
Nulhypotese accepteres
Fejltype 1]]</f>
        <v>#N/A</v>
      </c>
      <c r="CM218" s="99" t="e">
        <f>IF(CHOOSE(CK$7,Eu_tabel_g[[#This Row],[x base]]&gt;0,Eu_tabel_g[[#This Row],[x base]]&lt;0,Eu_tabel_g[[#This Row],[x base]]=0),Eu_tabel_g[[#This Row],[Styrke, aktiv]],NA())</f>
        <v>#N/A</v>
      </c>
      <c r="CN218" s="99" t="e">
        <f>IFERROR(IF($CK$3,Eu_tabel_g[[#This Row],[Styrke, aktiv]],NA()),NA())</f>
        <v>#N/A</v>
      </c>
      <c r="CO218" s="99" t="e">
        <f>IF(ISNA(Eu_tabel_g[[#This Row],[Sand negativ
Nulhypotese afvises
Korrekt]]),NA(),IF($CK$3,1,NA()))</f>
        <v>#N/A</v>
      </c>
      <c r="CP218" s="56" t="str" cm="1">
        <f t="array" ref="CP218">_xlfn.SWITCH(BS218,_xlfn.IFNA(CN$2,-99),CN$5,_xlfn.IFNA(CN$3,-99),CN$6,_xlfn.IFNA(CN$4,-99),CN$7,"")</f>
        <v/>
      </c>
      <c r="CT218" s="7">
        <f t="shared" si="380"/>
        <v>0.8</v>
      </c>
      <c r="CU218">
        <f>IF(ROW(Styrkeberegning_G[[#This Row],[X base venstre]])=ROW(Styrkeberegning_G[[#Headers],[X base venstre]])+1,CU$7/(CT$7/$B$67),CU217/(CT217/$B$67))</f>
        <v>-2.8015817870135784</v>
      </c>
      <c r="CV218">
        <f>Styrkeberegning_G[[#This Row],[X base venstre]]*-1</f>
        <v>2.8015817870135784</v>
      </c>
      <c r="DG218" s="54">
        <f t="shared" si="381"/>
        <v>208</v>
      </c>
      <c r="DH218" s="54">
        <f t="shared" si="382"/>
        <v>209</v>
      </c>
      <c r="DI218" s="54">
        <f t="shared" si="383"/>
        <v>25.5605907993899</v>
      </c>
      <c r="DJ218" s="54" t="e">
        <f t="shared" si="384"/>
        <v>#N/A</v>
      </c>
      <c r="DK218" s="54" t="e">
        <f t="shared" si="385"/>
        <v>#N/A</v>
      </c>
      <c r="DL218" s="54">
        <f t="shared" si="386"/>
        <v>2.5652841806335465E-3</v>
      </c>
      <c r="DM218" s="54" t="e">
        <f t="shared" si="387"/>
        <v>#N/A</v>
      </c>
      <c r="DN218" s="54" t="b">
        <f t="shared" si="388"/>
        <v>0</v>
      </c>
      <c r="DO218" s="54" t="b">
        <f t="shared" si="389"/>
        <v>1</v>
      </c>
      <c r="DP218" s="54" t="b">
        <f t="shared" si="390"/>
        <v>1</v>
      </c>
      <c r="DQ218" s="54" t="b">
        <f t="shared" si="391"/>
        <v>0</v>
      </c>
      <c r="DR218" s="54">
        <f t="shared" si="392"/>
        <v>2.5652841806335465E-3</v>
      </c>
      <c r="DS218" s="54">
        <f t="shared" si="393"/>
        <v>2.5652841806335465E-3</v>
      </c>
      <c r="DT218" s="54" t="e">
        <f t="shared" si="394"/>
        <v>#N/A</v>
      </c>
      <c r="DU218" s="72" t="str">
        <f t="shared" si="395"/>
        <v/>
      </c>
      <c r="DZ218" s="54">
        <f t="shared" si="396"/>
        <v>208</v>
      </c>
      <c r="EA218" s="54">
        <f t="shared" si="397"/>
        <v>209</v>
      </c>
      <c r="EB218" s="54">
        <f t="shared" si="398"/>
        <v>1.8924678464128464</v>
      </c>
      <c r="EC218" s="54">
        <f t="shared" si="399"/>
        <v>6.655971208943702E-2</v>
      </c>
      <c r="ED218" s="54" t="e">
        <f t="shared" si="400"/>
        <v>#N/A</v>
      </c>
      <c r="EE218" s="54" t="e">
        <f t="shared" si="401"/>
        <v>#N/A</v>
      </c>
      <c r="EF218" s="54" t="e">
        <f t="shared" si="402"/>
        <v>#N/A</v>
      </c>
      <c r="EG218" s="54" t="b">
        <f t="shared" si="403"/>
        <v>0</v>
      </c>
      <c r="EH218" s="54" t="b">
        <f t="shared" si="404"/>
        <v>1</v>
      </c>
      <c r="EI218" s="54" t="b">
        <f t="shared" si="405"/>
        <v>0</v>
      </c>
      <c r="EJ218" s="54" t="b">
        <f t="shared" si="406"/>
        <v>1</v>
      </c>
      <c r="EK218" s="54">
        <f t="shared" si="407"/>
        <v>6.655971208943702E-2</v>
      </c>
      <c r="EL218" s="54" t="e">
        <f t="shared" si="408"/>
        <v>#N/A</v>
      </c>
      <c r="EM218" s="54">
        <f t="shared" si="409"/>
        <v>6.655971208943702E-2</v>
      </c>
      <c r="EN218" s="72" t="str">
        <f t="shared" si="410"/>
        <v/>
      </c>
      <c r="EO21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1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1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18" s="54" t="e" cm="1">
        <f t="array" ref="ER218">IF($CK$3,INDEX(Eu_tabel_a[[#This Row],[Styrke venstre]:[Styrke tosidet]],ER$7),NA())</f>
        <v>#N/A</v>
      </c>
      <c r="ES218" s="54" t="e">
        <f>IF(ER$3,IF(CHOOSE(ER$7,Eu_tabel_a[[#This Row],[x base]]&gt;0,Eu_tabel_a[[#This Row],[x base]]&lt;0,Eu_tabel_a[[#This Row],[x base]]=0),1,NA()),NA())</f>
        <v>#N/A</v>
      </c>
      <c r="ET218" s="54" t="e">
        <f>IF(CHOOSE(ER$7,Eu_tabel_a[[#This Row],[x base]]&gt;0,Eu_tabel_a[[#This Row],[x base]]&lt;0,Eu_tabel_a[[#This Row],[x base]]=0),Eu_tabel_a[[#This Row],[Styrke, aktiv]],NA())</f>
        <v>#N/A</v>
      </c>
      <c r="EU218" s="54" t="e">
        <f>IFERROR(IF($ER$3,Eu_tabel_a[[#This Row],[Styrke, aktiv]],NA()),NA())</f>
        <v>#N/A</v>
      </c>
      <c r="EV218" s="54" t="e">
        <f>IF(ISNA(Eu_tabel_a[[#This Row],[Sand negativ
Nulhypotese afvises
Korrekt]]),NA(),IF(ER$3,1,NA()))</f>
        <v>#N/A</v>
      </c>
      <c r="EW218" s="55" t="str" cm="1">
        <f t="array" ref="EW218">IFERROR(_xlfn.SWITCH(Eu_tabel_a[[#This Row],[Indeks]],_xlfn.IFNA(EU$2,-99),EU$5,_xlfn.IFNA(EU$3,-99),EU$6,_xlfn.IFNA(EU$4,-99),EU$7,""),"")</f>
        <v/>
      </c>
      <c r="EX218" s="54">
        <f>Eu_tabel_a[[#This Row],[x base]]*SQRT(Eu_a_h0_x*(1-Eu_a_h0_x)/Eu_a_n_x)+Eu_a_h0_x</f>
        <v>0</v>
      </c>
      <c r="FC218" s="161" t="e">
        <f t="shared" si="354"/>
        <v>#N/A</v>
      </c>
      <c r="FD218" s="169" t="e">
        <f t="shared" si="338"/>
        <v>#DIV/0!</v>
      </c>
      <c r="FE218" s="7" t="e">
        <f t="shared" si="348"/>
        <v>#DIV/0!</v>
      </c>
      <c r="FF218" t="e">
        <f t="shared" si="339"/>
        <v>#DIV/0!</v>
      </c>
      <c r="FG218" s="8" t="e">
        <f t="shared" si="340"/>
        <v>#DIV/0!</v>
      </c>
      <c r="FH218" s="8" t="e">
        <f t="shared" si="341"/>
        <v>#DIV/0!</v>
      </c>
      <c r="FI218" s="168" t="e">
        <f t="shared" si="342"/>
        <v>#DIV/0!</v>
      </c>
      <c r="FJ218" s="161" t="e">
        <f t="shared" ca="1" si="349"/>
        <v>#N/A</v>
      </c>
      <c r="FK218" s="169" t="e" vm="3">
        <f t="shared" ca="1" si="355"/>
        <v>#VALUE!</v>
      </c>
      <c r="FL218" s="7" t="e" vm="3">
        <f t="shared" ca="1" si="350"/>
        <v>#VALUE!</v>
      </c>
      <c r="FM218" t="e" vm="3">
        <f t="shared" ca="1" si="344"/>
        <v>#VALUE!</v>
      </c>
      <c r="FN218" s="8" t="e" vm="3">
        <f t="shared" ca="1" si="345"/>
        <v>#VALUE!</v>
      </c>
      <c r="FO218" s="8" t="e" vm="3">
        <f t="shared" ca="1" si="346"/>
        <v>#VALUE!</v>
      </c>
      <c r="FP218" s="168" t="e" vm="3">
        <f t="shared" ca="1" si="347"/>
        <v>#VALUE!</v>
      </c>
      <c r="FQ218" s="161" t="e">
        <f t="shared" si="351"/>
        <v>#N/A</v>
      </c>
      <c r="FR218" s="169" t="e">
        <f t="shared" si="356"/>
        <v>#N/A</v>
      </c>
      <c r="FS218" s="7" t="e">
        <f t="shared" si="352"/>
        <v>#N/A</v>
      </c>
      <c r="FT218" t="e">
        <f t="shared" si="357"/>
        <v>#N/A</v>
      </c>
      <c r="FU218" s="8" t="e">
        <f t="shared" si="358"/>
        <v>#N/A</v>
      </c>
      <c r="FV218" s="8" t="e">
        <f t="shared" si="359"/>
        <v>#N/A</v>
      </c>
      <c r="FW218" s="168" t="e">
        <f t="shared" si="360"/>
        <v>#N/A</v>
      </c>
      <c r="FX218" s="161" t="e">
        <f t="shared" si="361"/>
        <v>#N/A</v>
      </c>
      <c r="FY218" s="169" t="e">
        <f t="shared" si="362"/>
        <v>#N/A</v>
      </c>
      <c r="FZ218" s="7" t="e">
        <f t="shared" si="353"/>
        <v>#N/A</v>
      </c>
      <c r="GA218" t="e">
        <f t="shared" si="363"/>
        <v>#N/A</v>
      </c>
      <c r="GB218" s="8" t="e">
        <f t="shared" si="364"/>
        <v>#N/A</v>
      </c>
      <c r="GC218" s="8" t="e">
        <f t="shared" si="365"/>
        <v>#N/A</v>
      </c>
      <c r="GD218" s="168" t="e">
        <f t="shared" si="366"/>
        <v>#N/A</v>
      </c>
      <c r="GE218" s="168"/>
      <c r="GF218" s="168"/>
      <c r="GI218" s="54">
        <f t="shared" si="411"/>
        <v>208</v>
      </c>
      <c r="GJ218" s="54">
        <f t="shared" si="412"/>
        <v>209</v>
      </c>
      <c r="GK218" s="54">
        <f t="shared" si="413"/>
        <v>1.8924678464128464</v>
      </c>
      <c r="GL218" s="54">
        <f t="shared" si="414"/>
        <v>6.655971208943702E-2</v>
      </c>
      <c r="GM218" s="54" t="e">
        <f t="shared" si="415"/>
        <v>#N/A</v>
      </c>
      <c r="GN218" s="54" t="e">
        <f t="shared" si="416"/>
        <v>#N/A</v>
      </c>
      <c r="GO218" s="54" t="e">
        <f t="shared" si="417"/>
        <v>#N/A</v>
      </c>
      <c r="GP218" s="54" t="b">
        <f t="shared" si="418"/>
        <v>0</v>
      </c>
      <c r="GQ218" s="54" t="b">
        <f t="shared" si="419"/>
        <v>1</v>
      </c>
      <c r="GR218" s="54" t="b">
        <f t="shared" si="420"/>
        <v>0</v>
      </c>
      <c r="GS218" s="54" t="b">
        <f t="shared" si="421"/>
        <v>1</v>
      </c>
      <c r="GT218" s="54">
        <f t="shared" si="422"/>
        <v>6.655971208943702E-2</v>
      </c>
      <c r="GU218" s="54" t="e">
        <f t="shared" si="423"/>
        <v>#N/A</v>
      </c>
      <c r="GV218" s="54">
        <f t="shared" si="424"/>
        <v>6.655971208943702E-2</v>
      </c>
      <c r="GW218" s="72" t="str">
        <f t="shared" si="425"/>
        <v/>
      </c>
      <c r="HC218" s="54">
        <f t="shared" si="426"/>
        <v>208</v>
      </c>
      <c r="HD218" s="54">
        <f t="shared" si="427"/>
        <v>209</v>
      </c>
      <c r="HE218" s="54">
        <f t="shared" si="428"/>
        <v>2.9305262066854914</v>
      </c>
      <c r="HF218" s="54" t="e">
        <f t="shared" si="429"/>
        <v>#N/A</v>
      </c>
      <c r="HG218" s="54">
        <f t="shared" si="430"/>
        <v>1.5656095335046905E-2</v>
      </c>
      <c r="HH218" s="54" t="e">
        <f t="shared" si="431"/>
        <v>#N/A</v>
      </c>
      <c r="HI218" s="54" t="e">
        <f t="shared" si="432"/>
        <v>#N/A</v>
      </c>
      <c r="HJ218" s="54" t="b">
        <f t="shared" si="433"/>
        <v>0</v>
      </c>
      <c r="HK218" s="54" t="b">
        <f t="shared" si="434"/>
        <v>1</v>
      </c>
      <c r="HL218" s="54" t="b">
        <f t="shared" si="435"/>
        <v>1</v>
      </c>
      <c r="HM218" s="54" t="b">
        <f t="shared" si="436"/>
        <v>0</v>
      </c>
      <c r="HN218" s="54">
        <f t="shared" si="437"/>
        <v>1.5656095335046905E-2</v>
      </c>
      <c r="HO218" s="54" t="e">
        <f t="shared" si="438"/>
        <v>#N/A</v>
      </c>
      <c r="HP218" s="54">
        <f t="shared" si="439"/>
        <v>1.5656095335046905E-2</v>
      </c>
      <c r="HQ218" s="72" t="str">
        <f t="shared" si="440"/>
        <v/>
      </c>
    </row>
    <row r="219" spans="71:225" x14ac:dyDescent="0.2">
      <c r="BS219" s="54">
        <f t="shared" si="367"/>
        <v>209</v>
      </c>
      <c r="BT219" s="54">
        <f>Eu_tabel_g[[#This Row],[Indeks]]+1</f>
        <v>210</v>
      </c>
      <c r="BU219" s="54">
        <f t="shared" si="368"/>
        <v>1.9164231356079462</v>
      </c>
      <c r="BV219" s="54">
        <f t="shared" si="369"/>
        <v>6.3591380118377214E-2</v>
      </c>
      <c r="BW219" s="54" t="e">
        <f t="shared" si="370"/>
        <v>#N/A</v>
      </c>
      <c r="BX219" s="54" t="e">
        <f t="shared" si="371"/>
        <v>#N/A</v>
      </c>
      <c r="BY219" s="54" t="e">
        <f t="shared" si="372"/>
        <v>#N/A</v>
      </c>
      <c r="BZ219" s="54" t="b">
        <f t="shared" si="373"/>
        <v>0</v>
      </c>
      <c r="CA219" s="54" t="b">
        <f t="shared" si="374"/>
        <v>1</v>
      </c>
      <c r="CB219" s="54" t="b">
        <f t="shared" si="375"/>
        <v>0</v>
      </c>
      <c r="CC219" s="54" t="b">
        <f t="shared" si="376"/>
        <v>1</v>
      </c>
      <c r="CD219" s="54">
        <f t="shared" si="343"/>
        <v>6.3591380118377214E-2</v>
      </c>
      <c r="CE219" s="54" t="e">
        <f t="shared" si="377"/>
        <v>#N/A</v>
      </c>
      <c r="CF219" s="54">
        <f t="shared" si="378"/>
        <v>6.3591380118377214E-2</v>
      </c>
      <c r="CG219" s="72" t="str">
        <f t="shared" si="379"/>
        <v/>
      </c>
      <c r="CH219" s="54">
        <f>_xlfn.NORM.DIST(_xlfn.NORM.INV(1-Eu_g_konfidensniveau,0,1)-Eu_tabel_g[[#This Row],[x base]],0,1,TRUE)</f>
        <v>1.8452790723522174E-4</v>
      </c>
      <c r="CI219" s="54">
        <f>1-_xlfn.NORM.DIST(_xlfn.NORM.INV(Eu_g_konfidensniveau,0,1)-Eu_tabel_g[[#This Row],[x base]],0,1,TRUE)</f>
        <v>0.60702347642423038</v>
      </c>
      <c r="CJ219" s="54">
        <f>_xlfn.NORM.DIST(_xlfn.NORM.INV((1-Eu_g_konfidensniveau)/2,0,1)-Eu_tabel_g[[#This Row],[x base]],0,1,TRUE)+1-_xlfn.NORM.DIST(_xlfn.NORM.INV(1-(1-Eu_g_konfidensniveau)/2,0,1)-Eu_tabel_g[[#This Row],[x base]],0,1,TRUE)</f>
        <v>0.48268821080330215</v>
      </c>
      <c r="CK219" s="54" t="e" cm="1">
        <f t="array" ref="CK219">IF($CK$3,INDEX(Eu_tabel_g[[#This Row],[Styrke venstre]:[Styrke tosidet]],CK$7),NA())</f>
        <v>#N/A</v>
      </c>
      <c r="CL219" s="99" t="e">
        <f>Eu_tabel_g[[#This Row],[Falsk positiv
Nulhypotese accepteres
Fejltype 1]]</f>
        <v>#N/A</v>
      </c>
      <c r="CM219" s="99" t="e">
        <f>IF(CHOOSE(CK$7,Eu_tabel_g[[#This Row],[x base]]&gt;0,Eu_tabel_g[[#This Row],[x base]]&lt;0,Eu_tabel_g[[#This Row],[x base]]=0),Eu_tabel_g[[#This Row],[Styrke, aktiv]],NA())</f>
        <v>#N/A</v>
      </c>
      <c r="CN219" s="99" t="e">
        <f>IFERROR(IF($CK$3,Eu_tabel_g[[#This Row],[Styrke, aktiv]],NA()),NA())</f>
        <v>#N/A</v>
      </c>
      <c r="CO219" s="99" t="e">
        <f>IF(ISNA(Eu_tabel_g[[#This Row],[Sand negativ
Nulhypotese afvises
Korrekt]]),NA(),IF($CK$3,1,NA()))</f>
        <v>#N/A</v>
      </c>
      <c r="CP219" s="56" t="str" cm="1">
        <f t="array" ref="CP219">_xlfn.SWITCH(BS219,_xlfn.IFNA(CN$2,-99),CN$5,_xlfn.IFNA(CN$3,-99),CN$6,_xlfn.IFNA(CN$4,-99),CN$7,"")</f>
        <v/>
      </c>
      <c r="CT219" s="7">
        <f t="shared" si="380"/>
        <v>0.8</v>
      </c>
      <c r="CU219">
        <f>IF(ROW(Styrkeberegning_G[[#This Row],[X base venstre]])=ROW(Styrkeberegning_G[[#Headers],[X base venstre]])+1,CU$7/(CT$7/$B$67),CU218/(CT218/$B$67))</f>
        <v>-2.8015817870135784</v>
      </c>
      <c r="CV219">
        <f>Styrkeberegning_G[[#This Row],[X base venstre]]*-1</f>
        <v>2.8015817870135784</v>
      </c>
      <c r="DG219" s="54">
        <f t="shared" si="381"/>
        <v>209</v>
      </c>
      <c r="DH219" s="54">
        <f t="shared" si="382"/>
        <v>210</v>
      </c>
      <c r="DI219" s="54">
        <f t="shared" si="383"/>
        <v>25.674661655806901</v>
      </c>
      <c r="DJ219" s="54" t="e">
        <f t="shared" si="384"/>
        <v>#N/A</v>
      </c>
      <c r="DK219" s="54" t="e">
        <f t="shared" si="385"/>
        <v>#N/A</v>
      </c>
      <c r="DL219" s="54">
        <f t="shared" si="386"/>
        <v>2.4721088957970891E-3</v>
      </c>
      <c r="DM219" s="54" t="e">
        <f t="shared" si="387"/>
        <v>#N/A</v>
      </c>
      <c r="DN219" s="54" t="b">
        <f t="shared" si="388"/>
        <v>0</v>
      </c>
      <c r="DO219" s="54" t="b">
        <f t="shared" si="389"/>
        <v>1</v>
      </c>
      <c r="DP219" s="54" t="b">
        <f t="shared" si="390"/>
        <v>1</v>
      </c>
      <c r="DQ219" s="54" t="b">
        <f t="shared" si="391"/>
        <v>0</v>
      </c>
      <c r="DR219" s="54">
        <f t="shared" si="392"/>
        <v>2.4721088957970891E-3</v>
      </c>
      <c r="DS219" s="54">
        <f t="shared" si="393"/>
        <v>2.4721088957970891E-3</v>
      </c>
      <c r="DT219" s="54" t="e">
        <f t="shared" si="394"/>
        <v>#N/A</v>
      </c>
      <c r="DU219" s="72" t="str">
        <f t="shared" si="395"/>
        <v/>
      </c>
      <c r="DZ219" s="54">
        <f t="shared" si="396"/>
        <v>209</v>
      </c>
      <c r="EA219" s="54">
        <f t="shared" si="397"/>
        <v>210</v>
      </c>
      <c r="EB219" s="54">
        <f t="shared" si="398"/>
        <v>1.9164231356079462</v>
      </c>
      <c r="EC219" s="54">
        <f t="shared" si="399"/>
        <v>6.3591380118377214E-2</v>
      </c>
      <c r="ED219" s="54" t="e">
        <f t="shared" si="400"/>
        <v>#N/A</v>
      </c>
      <c r="EE219" s="54" t="e">
        <f t="shared" si="401"/>
        <v>#N/A</v>
      </c>
      <c r="EF219" s="54" t="e">
        <f t="shared" si="402"/>
        <v>#N/A</v>
      </c>
      <c r="EG219" s="54" t="b">
        <f t="shared" si="403"/>
        <v>0</v>
      </c>
      <c r="EH219" s="54" t="b">
        <f t="shared" si="404"/>
        <v>1</v>
      </c>
      <c r="EI219" s="54" t="b">
        <f t="shared" si="405"/>
        <v>0</v>
      </c>
      <c r="EJ219" s="54" t="b">
        <f t="shared" si="406"/>
        <v>1</v>
      </c>
      <c r="EK219" s="54">
        <f t="shared" si="407"/>
        <v>6.3591380118377214E-2</v>
      </c>
      <c r="EL219" s="54" t="e">
        <f t="shared" si="408"/>
        <v>#N/A</v>
      </c>
      <c r="EM219" s="54">
        <f t="shared" si="409"/>
        <v>6.3591380118377214E-2</v>
      </c>
      <c r="EN219" s="72" t="str">
        <f t="shared" si="410"/>
        <v/>
      </c>
      <c r="EO21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1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1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19" s="54" t="e" cm="1">
        <f t="array" ref="ER219">IF($CK$3,INDEX(Eu_tabel_a[[#This Row],[Styrke venstre]:[Styrke tosidet]],ER$7),NA())</f>
        <v>#N/A</v>
      </c>
      <c r="ES219" s="54" t="e">
        <f>IF(ER$3,IF(CHOOSE(ER$7,Eu_tabel_a[[#This Row],[x base]]&gt;0,Eu_tabel_a[[#This Row],[x base]]&lt;0,Eu_tabel_a[[#This Row],[x base]]=0),1,NA()),NA())</f>
        <v>#N/A</v>
      </c>
      <c r="ET219" s="54" t="e">
        <f>IF(CHOOSE(ER$7,Eu_tabel_a[[#This Row],[x base]]&gt;0,Eu_tabel_a[[#This Row],[x base]]&lt;0,Eu_tabel_a[[#This Row],[x base]]=0),Eu_tabel_a[[#This Row],[Styrke, aktiv]],NA())</f>
        <v>#N/A</v>
      </c>
      <c r="EU219" s="54" t="e">
        <f>IFERROR(IF($ER$3,Eu_tabel_a[[#This Row],[Styrke, aktiv]],NA()),NA())</f>
        <v>#N/A</v>
      </c>
      <c r="EV219" s="54" t="e">
        <f>IF(ISNA(Eu_tabel_a[[#This Row],[Sand negativ
Nulhypotese afvises
Korrekt]]),NA(),IF(ER$3,1,NA()))</f>
        <v>#N/A</v>
      </c>
      <c r="EW219" s="55" t="str" cm="1">
        <f t="array" ref="EW219">IFERROR(_xlfn.SWITCH(Eu_tabel_a[[#This Row],[Indeks]],_xlfn.IFNA(EU$2,-99),EU$5,_xlfn.IFNA(EU$3,-99),EU$6,_xlfn.IFNA(EU$4,-99),EU$7,""),"")</f>
        <v/>
      </c>
      <c r="EX219" s="54">
        <f>Eu_tabel_a[[#This Row],[x base]]*SQRT(Eu_a_h0_x*(1-Eu_a_h0_x)/Eu_a_n_x)+Eu_a_h0_x</f>
        <v>0</v>
      </c>
      <c r="FC219" s="161" t="e">
        <f t="shared" si="354"/>
        <v>#N/A</v>
      </c>
      <c r="FD219" s="169" t="e">
        <f t="shared" si="338"/>
        <v>#DIV/0!</v>
      </c>
      <c r="FE219" s="7" t="e">
        <f t="shared" si="348"/>
        <v>#DIV/0!</v>
      </c>
      <c r="FF219" t="e">
        <f t="shared" si="339"/>
        <v>#DIV/0!</v>
      </c>
      <c r="FG219" s="8" t="e">
        <f t="shared" si="340"/>
        <v>#DIV/0!</v>
      </c>
      <c r="FH219" s="8" t="e">
        <f t="shared" si="341"/>
        <v>#DIV/0!</v>
      </c>
      <c r="FI219" s="168" t="e">
        <f t="shared" si="342"/>
        <v>#DIV/0!</v>
      </c>
      <c r="FJ219" s="161" t="e">
        <f t="shared" ca="1" si="349"/>
        <v>#N/A</v>
      </c>
      <c r="FK219" s="169" t="e" vm="3">
        <f t="shared" ca="1" si="355"/>
        <v>#VALUE!</v>
      </c>
      <c r="FL219" s="7" t="e" vm="3">
        <f t="shared" ca="1" si="350"/>
        <v>#VALUE!</v>
      </c>
      <c r="FM219" t="e" vm="3">
        <f t="shared" ca="1" si="344"/>
        <v>#VALUE!</v>
      </c>
      <c r="FN219" s="8" t="e" vm="3">
        <f t="shared" ca="1" si="345"/>
        <v>#VALUE!</v>
      </c>
      <c r="FO219" s="8" t="e" vm="3">
        <f t="shared" ca="1" si="346"/>
        <v>#VALUE!</v>
      </c>
      <c r="FP219" s="168" t="e" vm="3">
        <f t="shared" ca="1" si="347"/>
        <v>#VALUE!</v>
      </c>
      <c r="FQ219" s="161" t="e">
        <f t="shared" si="351"/>
        <v>#N/A</v>
      </c>
      <c r="FR219" s="169" t="e">
        <f t="shared" si="356"/>
        <v>#N/A</v>
      </c>
      <c r="FS219" s="7" t="e">
        <f t="shared" si="352"/>
        <v>#N/A</v>
      </c>
      <c r="FT219" t="e">
        <f t="shared" si="357"/>
        <v>#N/A</v>
      </c>
      <c r="FU219" s="8" t="e">
        <f t="shared" si="358"/>
        <v>#N/A</v>
      </c>
      <c r="FV219" s="8" t="e">
        <f t="shared" si="359"/>
        <v>#N/A</v>
      </c>
      <c r="FW219" s="168" t="e">
        <f t="shared" si="360"/>
        <v>#N/A</v>
      </c>
      <c r="FX219" s="161" t="e">
        <f t="shared" si="361"/>
        <v>#N/A</v>
      </c>
      <c r="FY219" s="169" t="e">
        <f t="shared" si="362"/>
        <v>#N/A</v>
      </c>
      <c r="FZ219" s="7" t="e">
        <f t="shared" si="353"/>
        <v>#N/A</v>
      </c>
      <c r="GA219" t="e">
        <f t="shared" si="363"/>
        <v>#N/A</v>
      </c>
      <c r="GB219" s="8" t="e">
        <f t="shared" si="364"/>
        <v>#N/A</v>
      </c>
      <c r="GC219" s="8" t="e">
        <f t="shared" si="365"/>
        <v>#N/A</v>
      </c>
      <c r="GD219" s="168" t="e">
        <f t="shared" si="366"/>
        <v>#N/A</v>
      </c>
      <c r="GE219" s="168"/>
      <c r="GF219" s="168"/>
      <c r="GI219" s="54">
        <f t="shared" si="411"/>
        <v>209</v>
      </c>
      <c r="GJ219" s="54">
        <f t="shared" si="412"/>
        <v>210</v>
      </c>
      <c r="GK219" s="54">
        <f t="shared" si="413"/>
        <v>1.9164231356079462</v>
      </c>
      <c r="GL219" s="54">
        <f t="shared" si="414"/>
        <v>6.3591380118377214E-2</v>
      </c>
      <c r="GM219" s="54" t="e">
        <f t="shared" si="415"/>
        <v>#N/A</v>
      </c>
      <c r="GN219" s="54" t="e">
        <f t="shared" si="416"/>
        <v>#N/A</v>
      </c>
      <c r="GO219" s="54" t="e">
        <f t="shared" si="417"/>
        <v>#N/A</v>
      </c>
      <c r="GP219" s="54" t="b">
        <f t="shared" si="418"/>
        <v>0</v>
      </c>
      <c r="GQ219" s="54" t="b">
        <f t="shared" si="419"/>
        <v>1</v>
      </c>
      <c r="GR219" s="54" t="b">
        <f t="shared" si="420"/>
        <v>0</v>
      </c>
      <c r="GS219" s="54" t="b">
        <f t="shared" si="421"/>
        <v>1</v>
      </c>
      <c r="GT219" s="54">
        <f t="shared" si="422"/>
        <v>6.3591380118377214E-2</v>
      </c>
      <c r="GU219" s="54" t="e">
        <f t="shared" si="423"/>
        <v>#N/A</v>
      </c>
      <c r="GV219" s="54">
        <f t="shared" si="424"/>
        <v>6.3591380118377214E-2</v>
      </c>
      <c r="GW219" s="72" t="str">
        <f t="shared" si="425"/>
        <v/>
      </c>
      <c r="HC219" s="54">
        <f t="shared" si="426"/>
        <v>209</v>
      </c>
      <c r="HD219" s="54">
        <f t="shared" si="427"/>
        <v>210</v>
      </c>
      <c r="HE219" s="54">
        <f t="shared" si="428"/>
        <v>2.967621475124548</v>
      </c>
      <c r="HF219" s="54" t="e">
        <f t="shared" si="429"/>
        <v>#N/A</v>
      </c>
      <c r="HG219" s="54">
        <f t="shared" si="430"/>
        <v>1.4807096817980541E-2</v>
      </c>
      <c r="HH219" s="54" t="e">
        <f t="shared" si="431"/>
        <v>#N/A</v>
      </c>
      <c r="HI219" s="54" t="e">
        <f t="shared" si="432"/>
        <v>#N/A</v>
      </c>
      <c r="HJ219" s="54" t="b">
        <f t="shared" si="433"/>
        <v>0</v>
      </c>
      <c r="HK219" s="54" t="b">
        <f t="shared" si="434"/>
        <v>1</v>
      </c>
      <c r="HL219" s="54" t="b">
        <f t="shared" si="435"/>
        <v>1</v>
      </c>
      <c r="HM219" s="54" t="b">
        <f t="shared" si="436"/>
        <v>0</v>
      </c>
      <c r="HN219" s="54">
        <f t="shared" si="437"/>
        <v>1.4807096817980541E-2</v>
      </c>
      <c r="HO219" s="54" t="e">
        <f t="shared" si="438"/>
        <v>#N/A</v>
      </c>
      <c r="HP219" s="54">
        <f t="shared" si="439"/>
        <v>1.4807096817980541E-2</v>
      </c>
      <c r="HQ219" s="72" t="str">
        <f t="shared" si="440"/>
        <v/>
      </c>
    </row>
    <row r="220" spans="71:225" x14ac:dyDescent="0.2">
      <c r="BS220" s="54">
        <f t="shared" si="367"/>
        <v>210</v>
      </c>
      <c r="BT220" s="54">
        <f>Eu_tabel_g[[#This Row],[Indeks]]+1</f>
        <v>211</v>
      </c>
      <c r="BU220" s="54">
        <f t="shared" si="368"/>
        <v>1.9403784248030451</v>
      </c>
      <c r="BV220" s="54">
        <f t="shared" si="369"/>
        <v>6.0720570586669929E-2</v>
      </c>
      <c r="BW220" s="54" t="e">
        <f t="shared" si="370"/>
        <v>#N/A</v>
      </c>
      <c r="BX220" s="54" t="e">
        <f t="shared" si="371"/>
        <v>#N/A</v>
      </c>
      <c r="BY220" s="54" t="e">
        <f t="shared" si="372"/>
        <v>#N/A</v>
      </c>
      <c r="BZ220" s="54" t="b">
        <f t="shared" si="373"/>
        <v>0</v>
      </c>
      <c r="CA220" s="54" t="b">
        <f t="shared" si="374"/>
        <v>1</v>
      </c>
      <c r="CB220" s="54" t="b">
        <f t="shared" si="375"/>
        <v>0</v>
      </c>
      <c r="CC220" s="54" t="b">
        <f t="shared" si="376"/>
        <v>1</v>
      </c>
      <c r="CD220" s="54">
        <f t="shared" si="343"/>
        <v>6.0720570586669929E-2</v>
      </c>
      <c r="CE220" s="54" t="e">
        <f t="shared" si="377"/>
        <v>#N/A</v>
      </c>
      <c r="CF220" s="54">
        <f t="shared" si="378"/>
        <v>6.0720570586669929E-2</v>
      </c>
      <c r="CG220" s="72" t="str">
        <f t="shared" si="379"/>
        <v/>
      </c>
      <c r="CH220" s="54">
        <f>_xlfn.NORM.DIST(_xlfn.NORM.INV(1-Eu_g_konfidensniveau,0,1)-Eu_tabel_g[[#This Row],[x base]],0,1,TRUE)</f>
        <v>1.6838931044343806E-4</v>
      </c>
      <c r="CI220" s="54">
        <f>1-_xlfn.NORM.DIST(_xlfn.NORM.INV(Eu_g_konfidensniveau,0,1)-Eu_tabel_g[[#This Row],[x base]],0,1,TRUE)</f>
        <v>0.61620349407481689</v>
      </c>
      <c r="CJ220" s="54">
        <f>_xlfn.NORM.DIST(_xlfn.NORM.INV((1-Eu_g_konfidensniveau)/2,0,1)-Eu_tabel_g[[#This Row],[x base]],0,1,TRUE)+1-_xlfn.NORM.DIST(_xlfn.NORM.INV(1-(1-Eu_g_konfidensniveau)/2,0,1)-Eu_tabel_g[[#This Row],[x base]],0,1,TRUE)</f>
        <v>0.49223502001074992</v>
      </c>
      <c r="CK220" s="54" t="e" cm="1">
        <f t="array" ref="CK220">IF($CK$3,INDEX(Eu_tabel_g[[#This Row],[Styrke venstre]:[Styrke tosidet]],CK$7),NA())</f>
        <v>#N/A</v>
      </c>
      <c r="CL220" s="99" t="e">
        <f>Eu_tabel_g[[#This Row],[Falsk positiv
Nulhypotese accepteres
Fejltype 1]]</f>
        <v>#N/A</v>
      </c>
      <c r="CM220" s="99" t="e">
        <f>IF(CHOOSE(CK$7,Eu_tabel_g[[#This Row],[x base]]&gt;0,Eu_tabel_g[[#This Row],[x base]]&lt;0,Eu_tabel_g[[#This Row],[x base]]=0),Eu_tabel_g[[#This Row],[Styrke, aktiv]],NA())</f>
        <v>#N/A</v>
      </c>
      <c r="CN220" s="99" t="e">
        <f>IFERROR(IF($CK$3,Eu_tabel_g[[#This Row],[Styrke, aktiv]],NA()),NA())</f>
        <v>#N/A</v>
      </c>
      <c r="CO220" s="99" t="e">
        <f>IF(ISNA(Eu_tabel_g[[#This Row],[Sand negativ
Nulhypotese afvises
Korrekt]]),NA(),IF($CK$3,1,NA()))</f>
        <v>#N/A</v>
      </c>
      <c r="CP220" s="56" t="str" cm="1">
        <f t="array" ref="CP220">_xlfn.SWITCH(BS220,_xlfn.IFNA(CN$2,-99),CN$5,_xlfn.IFNA(CN$3,-99),CN$6,_xlfn.IFNA(CN$4,-99),CN$7,"")</f>
        <v/>
      </c>
      <c r="CT220" s="7">
        <f t="shared" si="380"/>
        <v>0.8</v>
      </c>
      <c r="CU220">
        <f>IF(ROW(Styrkeberegning_G[[#This Row],[X base venstre]])=ROW(Styrkeberegning_G[[#Headers],[X base venstre]])+1,CU$7/(CT$7/$B$67),CU219/(CT219/$B$67))</f>
        <v>-2.8015817870135784</v>
      </c>
      <c r="CV220">
        <f>Styrkeberegning_G[[#This Row],[X base venstre]]*-1</f>
        <v>2.8015817870135784</v>
      </c>
      <c r="DG220" s="54">
        <f t="shared" si="381"/>
        <v>210</v>
      </c>
      <c r="DH220" s="54">
        <f t="shared" si="382"/>
        <v>211</v>
      </c>
      <c r="DI220" s="54">
        <f t="shared" si="383"/>
        <v>25.788732512223902</v>
      </c>
      <c r="DJ220" s="54" t="e">
        <f t="shared" si="384"/>
        <v>#N/A</v>
      </c>
      <c r="DK220" s="54" t="e">
        <f t="shared" si="385"/>
        <v>#N/A</v>
      </c>
      <c r="DL220" s="54">
        <f t="shared" si="386"/>
        <v>2.3821062780487148E-3</v>
      </c>
      <c r="DM220" s="54" t="e">
        <f t="shared" si="387"/>
        <v>#N/A</v>
      </c>
      <c r="DN220" s="54" t="b">
        <f t="shared" si="388"/>
        <v>0</v>
      </c>
      <c r="DO220" s="54" t="b">
        <f t="shared" si="389"/>
        <v>1</v>
      </c>
      <c r="DP220" s="54" t="b">
        <f t="shared" si="390"/>
        <v>1</v>
      </c>
      <c r="DQ220" s="54" t="b">
        <f t="shared" si="391"/>
        <v>0</v>
      </c>
      <c r="DR220" s="54">
        <f t="shared" si="392"/>
        <v>2.3821062780487148E-3</v>
      </c>
      <c r="DS220" s="54">
        <f t="shared" si="393"/>
        <v>2.3821062780487148E-3</v>
      </c>
      <c r="DT220" s="54" t="e">
        <f t="shared" si="394"/>
        <v>#N/A</v>
      </c>
      <c r="DU220" s="72" t="str">
        <f t="shared" si="395"/>
        <v/>
      </c>
      <c r="DZ220" s="54">
        <f t="shared" si="396"/>
        <v>210</v>
      </c>
      <c r="EA220" s="54">
        <f t="shared" si="397"/>
        <v>211</v>
      </c>
      <c r="EB220" s="54">
        <f t="shared" si="398"/>
        <v>1.9403784248030451</v>
      </c>
      <c r="EC220" s="54">
        <f t="shared" si="399"/>
        <v>6.0720570586669929E-2</v>
      </c>
      <c r="ED220" s="54" t="e">
        <f t="shared" si="400"/>
        <v>#N/A</v>
      </c>
      <c r="EE220" s="54" t="e">
        <f t="shared" si="401"/>
        <v>#N/A</v>
      </c>
      <c r="EF220" s="54" t="e">
        <f t="shared" si="402"/>
        <v>#N/A</v>
      </c>
      <c r="EG220" s="54" t="b">
        <f t="shared" si="403"/>
        <v>0</v>
      </c>
      <c r="EH220" s="54" t="b">
        <f t="shared" si="404"/>
        <v>1</v>
      </c>
      <c r="EI220" s="54" t="b">
        <f t="shared" si="405"/>
        <v>0</v>
      </c>
      <c r="EJ220" s="54" t="b">
        <f t="shared" si="406"/>
        <v>1</v>
      </c>
      <c r="EK220" s="54">
        <f t="shared" si="407"/>
        <v>6.0720570586669929E-2</v>
      </c>
      <c r="EL220" s="54" t="e">
        <f t="shared" si="408"/>
        <v>#N/A</v>
      </c>
      <c r="EM220" s="54">
        <f t="shared" si="409"/>
        <v>6.0720570586669929E-2</v>
      </c>
      <c r="EN220" s="72" t="str">
        <f t="shared" si="410"/>
        <v/>
      </c>
      <c r="EO22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2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2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20" s="54" t="e" cm="1">
        <f t="array" ref="ER220">IF($CK$3,INDEX(Eu_tabel_a[[#This Row],[Styrke venstre]:[Styrke tosidet]],ER$7),NA())</f>
        <v>#N/A</v>
      </c>
      <c r="ES220" s="54" t="e">
        <f>IF(ER$3,IF(CHOOSE(ER$7,Eu_tabel_a[[#This Row],[x base]]&gt;0,Eu_tabel_a[[#This Row],[x base]]&lt;0,Eu_tabel_a[[#This Row],[x base]]=0),1,NA()),NA())</f>
        <v>#N/A</v>
      </c>
      <c r="ET220" s="54" t="e">
        <f>IF(CHOOSE(ER$7,Eu_tabel_a[[#This Row],[x base]]&gt;0,Eu_tabel_a[[#This Row],[x base]]&lt;0,Eu_tabel_a[[#This Row],[x base]]=0),Eu_tabel_a[[#This Row],[Styrke, aktiv]],NA())</f>
        <v>#N/A</v>
      </c>
      <c r="EU220" s="54" t="e">
        <f>IFERROR(IF($ER$3,Eu_tabel_a[[#This Row],[Styrke, aktiv]],NA()),NA())</f>
        <v>#N/A</v>
      </c>
      <c r="EV220" s="54" t="e">
        <f>IF(ISNA(Eu_tabel_a[[#This Row],[Sand negativ
Nulhypotese afvises
Korrekt]]),NA(),IF(ER$3,1,NA()))</f>
        <v>#N/A</v>
      </c>
      <c r="EW220" s="55" t="str" cm="1">
        <f t="array" ref="EW220">IFERROR(_xlfn.SWITCH(Eu_tabel_a[[#This Row],[Indeks]],_xlfn.IFNA(EU$2,-99),EU$5,_xlfn.IFNA(EU$3,-99),EU$6,_xlfn.IFNA(EU$4,-99),EU$7,""),"")</f>
        <v/>
      </c>
      <c r="EX220" s="54">
        <f>Eu_tabel_a[[#This Row],[x base]]*SQRT(Eu_a_h0_x*(1-Eu_a_h0_x)/Eu_a_n_x)+Eu_a_h0_x</f>
        <v>0</v>
      </c>
      <c r="FC220" s="161" t="e">
        <f t="shared" si="354"/>
        <v>#N/A</v>
      </c>
      <c r="FD220" s="169" t="e">
        <f t="shared" si="338"/>
        <v>#DIV/0!</v>
      </c>
      <c r="FE220" s="7" t="e">
        <f t="shared" si="348"/>
        <v>#DIV/0!</v>
      </c>
      <c r="FF220" t="e">
        <f t="shared" si="339"/>
        <v>#DIV/0!</v>
      </c>
      <c r="FG220" s="8" t="e">
        <f t="shared" si="340"/>
        <v>#DIV/0!</v>
      </c>
      <c r="FH220" s="8" t="e">
        <f t="shared" si="341"/>
        <v>#DIV/0!</v>
      </c>
      <c r="FI220" s="168" t="e">
        <f t="shared" si="342"/>
        <v>#DIV/0!</v>
      </c>
      <c r="FJ220" s="161" t="e">
        <f t="shared" ca="1" si="349"/>
        <v>#N/A</v>
      </c>
      <c r="FK220" s="169" t="e" vm="3">
        <f t="shared" ca="1" si="355"/>
        <v>#VALUE!</v>
      </c>
      <c r="FL220" s="7" t="e" vm="3">
        <f t="shared" ca="1" si="350"/>
        <v>#VALUE!</v>
      </c>
      <c r="FM220" t="e" vm="3">
        <f t="shared" ca="1" si="344"/>
        <v>#VALUE!</v>
      </c>
      <c r="FN220" s="8" t="e" vm="3">
        <f t="shared" ca="1" si="345"/>
        <v>#VALUE!</v>
      </c>
      <c r="FO220" s="8" t="e" vm="3">
        <f t="shared" ca="1" si="346"/>
        <v>#VALUE!</v>
      </c>
      <c r="FP220" s="168" t="e" vm="3">
        <f t="shared" ca="1" si="347"/>
        <v>#VALUE!</v>
      </c>
      <c r="FQ220" s="161" t="e">
        <f t="shared" si="351"/>
        <v>#N/A</v>
      </c>
      <c r="FR220" s="169" t="e">
        <f t="shared" si="356"/>
        <v>#N/A</v>
      </c>
      <c r="FS220" s="7" t="e">
        <f t="shared" si="352"/>
        <v>#N/A</v>
      </c>
      <c r="FT220" t="e">
        <f t="shared" si="357"/>
        <v>#N/A</v>
      </c>
      <c r="FU220" s="8" t="e">
        <f t="shared" si="358"/>
        <v>#N/A</v>
      </c>
      <c r="FV220" s="8" t="e">
        <f t="shared" si="359"/>
        <v>#N/A</v>
      </c>
      <c r="FW220" s="168" t="e">
        <f t="shared" si="360"/>
        <v>#N/A</v>
      </c>
      <c r="FX220" s="161" t="e">
        <f t="shared" si="361"/>
        <v>#N/A</v>
      </c>
      <c r="FY220" s="169" t="e">
        <f t="shared" si="362"/>
        <v>#N/A</v>
      </c>
      <c r="FZ220" s="7" t="e">
        <f t="shared" si="353"/>
        <v>#N/A</v>
      </c>
      <c r="GA220" t="e">
        <f t="shared" si="363"/>
        <v>#N/A</v>
      </c>
      <c r="GB220" s="8" t="e">
        <f t="shared" si="364"/>
        <v>#N/A</v>
      </c>
      <c r="GC220" s="8" t="e">
        <f t="shared" si="365"/>
        <v>#N/A</v>
      </c>
      <c r="GD220" s="168" t="e">
        <f t="shared" si="366"/>
        <v>#N/A</v>
      </c>
      <c r="GE220" s="168"/>
      <c r="GF220" s="168"/>
      <c r="GI220" s="54">
        <f t="shared" si="411"/>
        <v>210</v>
      </c>
      <c r="GJ220" s="54">
        <f t="shared" si="412"/>
        <v>211</v>
      </c>
      <c r="GK220" s="54">
        <f t="shared" si="413"/>
        <v>1.9403784248030451</v>
      </c>
      <c r="GL220" s="54">
        <f t="shared" si="414"/>
        <v>6.0720570586669929E-2</v>
      </c>
      <c r="GM220" s="54" t="e">
        <f t="shared" si="415"/>
        <v>#N/A</v>
      </c>
      <c r="GN220" s="54" t="e">
        <f t="shared" si="416"/>
        <v>#N/A</v>
      </c>
      <c r="GO220" s="54" t="e">
        <f t="shared" si="417"/>
        <v>#N/A</v>
      </c>
      <c r="GP220" s="54" t="b">
        <f t="shared" si="418"/>
        <v>0</v>
      </c>
      <c r="GQ220" s="54" t="b">
        <f t="shared" si="419"/>
        <v>1</v>
      </c>
      <c r="GR220" s="54" t="b">
        <f t="shared" si="420"/>
        <v>0</v>
      </c>
      <c r="GS220" s="54" t="b">
        <f t="shared" si="421"/>
        <v>1</v>
      </c>
      <c r="GT220" s="54">
        <f t="shared" si="422"/>
        <v>6.0720570586669929E-2</v>
      </c>
      <c r="GU220" s="54" t="e">
        <f t="shared" si="423"/>
        <v>#N/A</v>
      </c>
      <c r="GV220" s="54">
        <f t="shared" si="424"/>
        <v>6.0720570586669929E-2</v>
      </c>
      <c r="GW220" s="72" t="str">
        <f t="shared" si="425"/>
        <v/>
      </c>
      <c r="HC220" s="54">
        <f t="shared" si="426"/>
        <v>210</v>
      </c>
      <c r="HD220" s="54">
        <f t="shared" si="427"/>
        <v>211</v>
      </c>
      <c r="HE220" s="54">
        <f t="shared" si="428"/>
        <v>3.0047167435636046</v>
      </c>
      <c r="HF220" s="54" t="e">
        <f t="shared" si="429"/>
        <v>#N/A</v>
      </c>
      <c r="HG220" s="54">
        <f t="shared" si="430"/>
        <v>1.4005252222668935E-2</v>
      </c>
      <c r="HH220" s="54" t="e">
        <f t="shared" si="431"/>
        <v>#N/A</v>
      </c>
      <c r="HI220" s="54" t="e">
        <f t="shared" si="432"/>
        <v>#N/A</v>
      </c>
      <c r="HJ220" s="54" t="b">
        <f t="shared" si="433"/>
        <v>0</v>
      </c>
      <c r="HK220" s="54" t="b">
        <f t="shared" si="434"/>
        <v>1</v>
      </c>
      <c r="HL220" s="54" t="b">
        <f t="shared" si="435"/>
        <v>1</v>
      </c>
      <c r="HM220" s="54" t="b">
        <f t="shared" si="436"/>
        <v>0</v>
      </c>
      <c r="HN220" s="54">
        <f t="shared" si="437"/>
        <v>1.4005252222668935E-2</v>
      </c>
      <c r="HO220" s="54" t="e">
        <f t="shared" si="438"/>
        <v>#N/A</v>
      </c>
      <c r="HP220" s="54">
        <f t="shared" si="439"/>
        <v>1.4005252222668935E-2</v>
      </c>
      <c r="HQ220" s="72" t="str">
        <f t="shared" si="440"/>
        <v/>
      </c>
    </row>
    <row r="221" spans="71:225" x14ac:dyDescent="0.2">
      <c r="BS221" s="54">
        <f t="shared" si="367"/>
        <v>211</v>
      </c>
      <c r="BT221" s="54">
        <f>Eu_tabel_g[[#This Row],[Indeks]]+1</f>
        <v>212</v>
      </c>
      <c r="BU221" s="54">
        <f t="shared" si="368"/>
        <v>1.9643337139981449</v>
      </c>
      <c r="BV221" s="54">
        <f t="shared" si="369"/>
        <v>5.7946100444885101E-2</v>
      </c>
      <c r="BW221" s="54" t="e">
        <f t="shared" si="370"/>
        <v>#N/A</v>
      </c>
      <c r="BX221" s="54" t="e">
        <f t="shared" si="371"/>
        <v>#N/A</v>
      </c>
      <c r="BY221" s="54" t="e">
        <f t="shared" si="372"/>
        <v>#N/A</v>
      </c>
      <c r="BZ221" s="54" t="b">
        <f t="shared" si="373"/>
        <v>0</v>
      </c>
      <c r="CA221" s="54" t="b">
        <f t="shared" si="374"/>
        <v>1</v>
      </c>
      <c r="CB221" s="54" t="b">
        <f t="shared" si="375"/>
        <v>1</v>
      </c>
      <c r="CC221" s="54" t="b">
        <f t="shared" si="376"/>
        <v>0</v>
      </c>
      <c r="CD221" s="54">
        <f t="shared" si="343"/>
        <v>5.7946100444885101E-2</v>
      </c>
      <c r="CE221" s="54">
        <f t="shared" si="377"/>
        <v>5.7946100444885101E-2</v>
      </c>
      <c r="CF221" s="54" t="e">
        <f t="shared" si="378"/>
        <v>#N/A</v>
      </c>
      <c r="CG221" s="72">
        <f t="shared" si="379"/>
        <v>4.2910000000000004</v>
      </c>
      <c r="CH221" s="54">
        <f>_xlfn.NORM.DIST(_xlfn.NORM.INV(1-Eu_g_konfidensniveau,0,1)-Eu_tabel_g[[#This Row],[x base]],0,1,TRUE)</f>
        <v>1.5357886721904771E-4</v>
      </c>
      <c r="CI221" s="54">
        <f>1-_xlfn.NORM.DIST(_xlfn.NORM.INV(Eu_g_konfidensniveau,0,1)-Eu_tabel_g[[#This Row],[x base]],0,1,TRUE)</f>
        <v>0.62531875545814997</v>
      </c>
      <c r="CJ221" s="54">
        <f>_xlfn.NORM.DIST(_xlfn.NORM.INV((1-Eu_g_konfidensniveau)/2,0,1)-Eu_tabel_g[[#This Row],[x base]],0,1,TRUE)+1-_xlfn.NORM.DIST(_xlfn.NORM.INV(1-(1-Eu_g_konfidensniveau)/2,0,1)-Eu_tabel_g[[#This Row],[x base]],0,1,TRUE)</f>
        <v>0.50178675584621901</v>
      </c>
      <c r="CK221" s="54" t="e" cm="1">
        <f t="array" ref="CK221">IF($CK$3,INDEX(Eu_tabel_g[[#This Row],[Styrke venstre]:[Styrke tosidet]],CK$7),NA())</f>
        <v>#N/A</v>
      </c>
      <c r="CL221" s="99" t="e">
        <f>Eu_tabel_g[[#This Row],[Falsk positiv
Nulhypotese accepteres
Fejltype 1]]</f>
        <v>#N/A</v>
      </c>
      <c r="CM221" s="99" t="e">
        <f>IF(CHOOSE(CK$7,Eu_tabel_g[[#This Row],[x base]]&gt;0,Eu_tabel_g[[#This Row],[x base]]&lt;0,Eu_tabel_g[[#This Row],[x base]]=0),Eu_tabel_g[[#This Row],[Styrke, aktiv]],NA())</f>
        <v>#N/A</v>
      </c>
      <c r="CN221" s="99" t="e">
        <f>IFERROR(IF($CK$3,Eu_tabel_g[[#This Row],[Styrke, aktiv]],NA()),NA())</f>
        <v>#N/A</v>
      </c>
      <c r="CO221" s="99" t="e">
        <f>IF(ISNA(Eu_tabel_g[[#This Row],[Sand negativ
Nulhypotese afvises
Korrekt]]),NA(),IF($CK$3,1,NA()))</f>
        <v>#N/A</v>
      </c>
      <c r="CP221" s="56" t="str" cm="1">
        <f t="array" ref="CP221">_xlfn.SWITCH(BS221,_xlfn.IFNA(CN$2,-99),CN$5,_xlfn.IFNA(CN$3,-99),CN$6,_xlfn.IFNA(CN$4,-99),CN$7,"")</f>
        <v/>
      </c>
      <c r="CT221" s="7">
        <f t="shared" si="380"/>
        <v>0.8</v>
      </c>
      <c r="CU221">
        <f>IF(ROW(Styrkeberegning_G[[#This Row],[X base venstre]])=ROW(Styrkeberegning_G[[#Headers],[X base venstre]])+1,CU$7/(CT$7/$B$67),CU220/(CT220/$B$67))</f>
        <v>-2.8015817870135784</v>
      </c>
      <c r="CV221">
        <f>Styrkeberegning_G[[#This Row],[X base venstre]]*-1</f>
        <v>2.8015817870135784</v>
      </c>
      <c r="DG221" s="54">
        <f t="shared" si="381"/>
        <v>211</v>
      </c>
      <c r="DH221" s="54">
        <f t="shared" si="382"/>
        <v>212</v>
      </c>
      <c r="DI221" s="54">
        <f t="shared" si="383"/>
        <v>25.902803368640903</v>
      </c>
      <c r="DJ221" s="54" t="e">
        <f t="shared" si="384"/>
        <v>#N/A</v>
      </c>
      <c r="DK221" s="54" t="e">
        <f t="shared" si="385"/>
        <v>#N/A</v>
      </c>
      <c r="DL221" s="54">
        <f t="shared" si="386"/>
        <v>2.2951783170417853E-3</v>
      </c>
      <c r="DM221" s="54" t="e">
        <f t="shared" si="387"/>
        <v>#N/A</v>
      </c>
      <c r="DN221" s="54" t="b">
        <f t="shared" si="388"/>
        <v>0</v>
      </c>
      <c r="DO221" s="54" t="b">
        <f t="shared" si="389"/>
        <v>1</v>
      </c>
      <c r="DP221" s="54" t="b">
        <f t="shared" si="390"/>
        <v>1</v>
      </c>
      <c r="DQ221" s="54" t="b">
        <f t="shared" si="391"/>
        <v>0</v>
      </c>
      <c r="DR221" s="54">
        <f t="shared" si="392"/>
        <v>2.2951783170417853E-3</v>
      </c>
      <c r="DS221" s="54">
        <f t="shared" si="393"/>
        <v>2.2951783170417853E-3</v>
      </c>
      <c r="DT221" s="54" t="e">
        <f t="shared" si="394"/>
        <v>#N/A</v>
      </c>
      <c r="DU221" s="72" t="str">
        <f t="shared" si="395"/>
        <v/>
      </c>
      <c r="DZ221" s="54">
        <f t="shared" si="396"/>
        <v>211</v>
      </c>
      <c r="EA221" s="54">
        <f t="shared" si="397"/>
        <v>212</v>
      </c>
      <c r="EB221" s="54">
        <f t="shared" si="398"/>
        <v>1.9643337139981449</v>
      </c>
      <c r="EC221" s="54">
        <f t="shared" si="399"/>
        <v>5.7946100444885101E-2</v>
      </c>
      <c r="ED221" s="54" t="e">
        <f t="shared" si="400"/>
        <v>#N/A</v>
      </c>
      <c r="EE221" s="54" t="e">
        <f t="shared" si="401"/>
        <v>#N/A</v>
      </c>
      <c r="EF221" s="54" t="e">
        <f t="shared" si="402"/>
        <v>#N/A</v>
      </c>
      <c r="EG221" s="54" t="b">
        <f t="shared" si="403"/>
        <v>0</v>
      </c>
      <c r="EH221" s="54" t="b">
        <f t="shared" si="404"/>
        <v>1</v>
      </c>
      <c r="EI221" s="54" t="b">
        <f t="shared" si="405"/>
        <v>1</v>
      </c>
      <c r="EJ221" s="54" t="b">
        <f t="shared" si="406"/>
        <v>0</v>
      </c>
      <c r="EK221" s="54">
        <f t="shared" si="407"/>
        <v>5.7946100444885101E-2</v>
      </c>
      <c r="EL221" s="54">
        <f t="shared" si="408"/>
        <v>5.7946100444885101E-2</v>
      </c>
      <c r="EM221" s="54" t="e">
        <f t="shared" si="409"/>
        <v>#N/A</v>
      </c>
      <c r="EN221" s="72" t="str">
        <f t="shared" si="410"/>
        <v>63.273%</v>
      </c>
      <c r="EO22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2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2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21" s="54" t="e" cm="1">
        <f t="array" ref="ER221">IF($CK$3,INDEX(Eu_tabel_a[[#This Row],[Styrke venstre]:[Styrke tosidet]],ER$7),NA())</f>
        <v>#N/A</v>
      </c>
      <c r="ES221" s="54" t="e">
        <f>IF(ER$3,IF(CHOOSE(ER$7,Eu_tabel_a[[#This Row],[x base]]&gt;0,Eu_tabel_a[[#This Row],[x base]]&lt;0,Eu_tabel_a[[#This Row],[x base]]=0),1,NA()),NA())</f>
        <v>#N/A</v>
      </c>
      <c r="ET221" s="54" t="e">
        <f>IF(CHOOSE(ER$7,Eu_tabel_a[[#This Row],[x base]]&gt;0,Eu_tabel_a[[#This Row],[x base]]&lt;0,Eu_tabel_a[[#This Row],[x base]]=0),Eu_tabel_a[[#This Row],[Styrke, aktiv]],NA())</f>
        <v>#N/A</v>
      </c>
      <c r="EU221" s="54" t="e">
        <f>IFERROR(IF($ER$3,Eu_tabel_a[[#This Row],[Styrke, aktiv]],NA()),NA())</f>
        <v>#N/A</v>
      </c>
      <c r="EV221" s="54" t="e">
        <f>IF(ISNA(Eu_tabel_a[[#This Row],[Sand negativ
Nulhypotese afvises
Korrekt]]),NA(),IF(ER$3,1,NA()))</f>
        <v>#N/A</v>
      </c>
      <c r="EW221" s="55" t="str" cm="1">
        <f t="array" ref="EW221">IFERROR(_xlfn.SWITCH(Eu_tabel_a[[#This Row],[Indeks]],_xlfn.IFNA(EU$2,-99),EU$5,_xlfn.IFNA(EU$3,-99),EU$6,_xlfn.IFNA(EU$4,-99),EU$7,""),"")</f>
        <v/>
      </c>
      <c r="EX221" s="54">
        <f>Eu_tabel_a[[#This Row],[x base]]*SQRT(Eu_a_h0_x*(1-Eu_a_h0_x)/Eu_a_n_x)+Eu_a_h0_x</f>
        <v>0</v>
      </c>
      <c r="FC221" s="161" t="e">
        <f t="shared" si="354"/>
        <v>#N/A</v>
      </c>
      <c r="FD221" s="169" t="e">
        <f t="shared" si="338"/>
        <v>#DIV/0!</v>
      </c>
      <c r="FE221" s="7" t="e">
        <f t="shared" si="348"/>
        <v>#DIV/0!</v>
      </c>
      <c r="FF221" t="e">
        <f t="shared" si="339"/>
        <v>#DIV/0!</v>
      </c>
      <c r="FG221" s="8" t="e">
        <f t="shared" si="340"/>
        <v>#DIV/0!</v>
      </c>
      <c r="FH221" s="8" t="e">
        <f t="shared" si="341"/>
        <v>#DIV/0!</v>
      </c>
      <c r="FI221" s="168" t="e">
        <f t="shared" si="342"/>
        <v>#DIV/0!</v>
      </c>
      <c r="FJ221" s="161" t="e">
        <f t="shared" ca="1" si="349"/>
        <v>#N/A</v>
      </c>
      <c r="FK221" s="169" t="e" vm="3">
        <f t="shared" ca="1" si="355"/>
        <v>#VALUE!</v>
      </c>
      <c r="FL221" s="7" t="e" vm="3">
        <f t="shared" ca="1" si="350"/>
        <v>#VALUE!</v>
      </c>
      <c r="FM221" t="e" vm="3">
        <f t="shared" ca="1" si="344"/>
        <v>#VALUE!</v>
      </c>
      <c r="FN221" s="8" t="e" vm="3">
        <f t="shared" ca="1" si="345"/>
        <v>#VALUE!</v>
      </c>
      <c r="FO221" s="8" t="e" vm="3">
        <f t="shared" ca="1" si="346"/>
        <v>#VALUE!</v>
      </c>
      <c r="FP221" s="168" t="e" vm="3">
        <f t="shared" ca="1" si="347"/>
        <v>#VALUE!</v>
      </c>
      <c r="FQ221" s="161" t="e">
        <f t="shared" si="351"/>
        <v>#N/A</v>
      </c>
      <c r="FR221" s="169" t="e">
        <f t="shared" si="356"/>
        <v>#N/A</v>
      </c>
      <c r="FS221" s="7" t="e">
        <f t="shared" si="352"/>
        <v>#N/A</v>
      </c>
      <c r="FT221" t="e">
        <f t="shared" si="357"/>
        <v>#N/A</v>
      </c>
      <c r="FU221" s="8" t="e">
        <f t="shared" si="358"/>
        <v>#N/A</v>
      </c>
      <c r="FV221" s="8" t="e">
        <f t="shared" si="359"/>
        <v>#N/A</v>
      </c>
      <c r="FW221" s="168" t="e">
        <f t="shared" si="360"/>
        <v>#N/A</v>
      </c>
      <c r="FX221" s="161" t="e">
        <f t="shared" si="361"/>
        <v>#N/A</v>
      </c>
      <c r="FY221" s="169" t="e">
        <f t="shared" si="362"/>
        <v>#N/A</v>
      </c>
      <c r="FZ221" s="7" t="e">
        <f t="shared" si="353"/>
        <v>#N/A</v>
      </c>
      <c r="GA221" t="e">
        <f t="shared" si="363"/>
        <v>#N/A</v>
      </c>
      <c r="GB221" s="8" t="e">
        <f t="shared" si="364"/>
        <v>#N/A</v>
      </c>
      <c r="GC221" s="8" t="e">
        <f t="shared" si="365"/>
        <v>#N/A</v>
      </c>
      <c r="GD221" s="168" t="e">
        <f t="shared" si="366"/>
        <v>#N/A</v>
      </c>
      <c r="GE221" s="168"/>
      <c r="GF221" s="168"/>
      <c r="GI221" s="54">
        <f t="shared" si="411"/>
        <v>211</v>
      </c>
      <c r="GJ221" s="54">
        <f t="shared" si="412"/>
        <v>212</v>
      </c>
      <c r="GK221" s="54">
        <f t="shared" si="413"/>
        <v>1.9643337139981449</v>
      </c>
      <c r="GL221" s="54">
        <f t="shared" si="414"/>
        <v>5.7946100444885101E-2</v>
      </c>
      <c r="GM221" s="54" t="e">
        <f t="shared" si="415"/>
        <v>#N/A</v>
      </c>
      <c r="GN221" s="54" t="e">
        <f t="shared" si="416"/>
        <v>#N/A</v>
      </c>
      <c r="GO221" s="54" t="e">
        <f t="shared" si="417"/>
        <v>#N/A</v>
      </c>
      <c r="GP221" s="54" t="b">
        <f t="shared" si="418"/>
        <v>0</v>
      </c>
      <c r="GQ221" s="54" t="b">
        <f t="shared" si="419"/>
        <v>1</v>
      </c>
      <c r="GR221" s="54" t="b">
        <f t="shared" si="420"/>
        <v>1</v>
      </c>
      <c r="GS221" s="54" t="b">
        <f t="shared" si="421"/>
        <v>0</v>
      </c>
      <c r="GT221" s="54">
        <f t="shared" si="422"/>
        <v>5.7946100444885101E-2</v>
      </c>
      <c r="GU221" s="54">
        <f t="shared" si="423"/>
        <v>5.7946100444885101E-2</v>
      </c>
      <c r="GV221" s="54" t="e">
        <f t="shared" si="424"/>
        <v>#N/A</v>
      </c>
      <c r="GW221" s="72">
        <f t="shared" si="425"/>
        <v>2.6240000000000001</v>
      </c>
      <c r="HC221" s="54">
        <f t="shared" si="426"/>
        <v>211</v>
      </c>
      <c r="HD221" s="54">
        <f t="shared" si="427"/>
        <v>212</v>
      </c>
      <c r="HE221" s="54">
        <f t="shared" si="428"/>
        <v>3.0418120120026613</v>
      </c>
      <c r="HF221" s="54" t="e">
        <f t="shared" si="429"/>
        <v>#N/A</v>
      </c>
      <c r="HG221" s="54">
        <f t="shared" si="430"/>
        <v>1.3247980696787178E-2</v>
      </c>
      <c r="HH221" s="54" t="e">
        <f t="shared" si="431"/>
        <v>#N/A</v>
      </c>
      <c r="HI221" s="54" t="e">
        <f t="shared" si="432"/>
        <v>#N/A</v>
      </c>
      <c r="HJ221" s="54" t="b">
        <f t="shared" si="433"/>
        <v>0</v>
      </c>
      <c r="HK221" s="54" t="b">
        <f t="shared" si="434"/>
        <v>1</v>
      </c>
      <c r="HL221" s="54" t="b">
        <f t="shared" si="435"/>
        <v>1</v>
      </c>
      <c r="HM221" s="54" t="b">
        <f t="shared" si="436"/>
        <v>0</v>
      </c>
      <c r="HN221" s="54">
        <f t="shared" si="437"/>
        <v>1.3247980696787178E-2</v>
      </c>
      <c r="HO221" s="54" t="e">
        <f t="shared" si="438"/>
        <v>#N/A</v>
      </c>
      <c r="HP221" s="54">
        <f t="shared" si="439"/>
        <v>1.3247980696787178E-2</v>
      </c>
      <c r="HQ221" s="72" t="str">
        <f t="shared" si="440"/>
        <v/>
      </c>
    </row>
    <row r="222" spans="71:225" x14ac:dyDescent="0.2">
      <c r="BS222" s="54">
        <f t="shared" si="367"/>
        <v>212</v>
      </c>
      <c r="BT222" s="54">
        <f>Eu_tabel_g[[#This Row],[Indeks]]+1</f>
        <v>213</v>
      </c>
      <c r="BU222" s="54">
        <f t="shared" si="368"/>
        <v>1.9882890031932439</v>
      </c>
      <c r="BV222" s="54">
        <f t="shared" si="369"/>
        <v>5.5266678363017178E-2</v>
      </c>
      <c r="BW222" s="54" t="e">
        <f t="shared" si="370"/>
        <v>#N/A</v>
      </c>
      <c r="BX222" s="54" t="e">
        <f t="shared" si="371"/>
        <v>#N/A</v>
      </c>
      <c r="BY222" s="54" t="e">
        <f t="shared" si="372"/>
        <v>#N/A</v>
      </c>
      <c r="BZ222" s="54" t="b">
        <f t="shared" si="373"/>
        <v>0</v>
      </c>
      <c r="CA222" s="54" t="b">
        <f t="shared" si="374"/>
        <v>1</v>
      </c>
      <c r="CB222" s="54" t="b">
        <f t="shared" si="375"/>
        <v>1</v>
      </c>
      <c r="CC222" s="54" t="b">
        <f t="shared" si="376"/>
        <v>0</v>
      </c>
      <c r="CD222" s="54">
        <f t="shared" ref="CD222:CD253" si="441">_xlfn.AGGREGATE(9,6,BV222:BY222)</f>
        <v>5.5266678363017178E-2</v>
      </c>
      <c r="CE222" s="54">
        <f t="shared" si="377"/>
        <v>5.5266678363017178E-2</v>
      </c>
      <c r="CF222" s="54" t="e">
        <f t="shared" si="378"/>
        <v>#N/A</v>
      </c>
      <c r="CG222" s="72" t="str">
        <f t="shared" si="379"/>
        <v/>
      </c>
      <c r="CH222" s="54">
        <f>_xlfn.NORM.DIST(_xlfn.NORM.INV(1-Eu_g_konfidensniveau,0,1)-Eu_tabel_g[[#This Row],[x base]],0,1,TRUE)</f>
        <v>1.3999507188600937E-4</v>
      </c>
      <c r="CI222" s="54">
        <f>1-_xlfn.NORM.DIST(_xlfn.NORM.INV(Eu_g_konfidensniveau,0,1)-Eu_tabel_g[[#This Row],[x base]],0,1,TRUE)</f>
        <v>0.63436452515844188</v>
      </c>
      <c r="CJ222" s="54">
        <f>_xlfn.NORM.DIST(_xlfn.NORM.INV((1-Eu_g_konfidensniveau)/2,0,1)-Eu_tabel_g[[#This Row],[x base]],0,1,TRUE)+1-_xlfn.NORM.DIST(_xlfn.NORM.INV(1-(1-Eu_g_konfidensniveau)/2,0,1)-Eu_tabel_g[[#This Row],[x base]],0,1,TRUE)</f>
        <v>0.51133789849221656</v>
      </c>
      <c r="CK222" s="54" t="e" cm="1">
        <f t="array" ref="CK222">IF($CK$3,INDEX(Eu_tabel_g[[#This Row],[Styrke venstre]:[Styrke tosidet]],CK$7),NA())</f>
        <v>#N/A</v>
      </c>
      <c r="CL222" s="99" t="e">
        <f>Eu_tabel_g[[#This Row],[Falsk positiv
Nulhypotese accepteres
Fejltype 1]]</f>
        <v>#N/A</v>
      </c>
      <c r="CM222" s="99" t="e">
        <f>IF(CHOOSE(CK$7,Eu_tabel_g[[#This Row],[x base]]&gt;0,Eu_tabel_g[[#This Row],[x base]]&lt;0,Eu_tabel_g[[#This Row],[x base]]=0),Eu_tabel_g[[#This Row],[Styrke, aktiv]],NA())</f>
        <v>#N/A</v>
      </c>
      <c r="CN222" s="99" t="e">
        <f>IFERROR(IF($CK$3,Eu_tabel_g[[#This Row],[Styrke, aktiv]],NA()),NA())</f>
        <v>#N/A</v>
      </c>
      <c r="CO222" s="99" t="e">
        <f>IF(ISNA(Eu_tabel_g[[#This Row],[Sand negativ
Nulhypotese afvises
Korrekt]]),NA(),IF($CK$3,1,NA()))</f>
        <v>#N/A</v>
      </c>
      <c r="CP222" s="56" t="str" cm="1">
        <f t="array" ref="CP222">_xlfn.SWITCH(BS222,_xlfn.IFNA(CN$2,-99),CN$5,_xlfn.IFNA(CN$3,-99),CN$6,_xlfn.IFNA(CN$4,-99),CN$7,"")</f>
        <v/>
      </c>
      <c r="CT222" s="7">
        <f t="shared" si="380"/>
        <v>0.8</v>
      </c>
      <c r="CU222">
        <f>IF(ROW(Styrkeberegning_G[[#This Row],[X base venstre]])=ROW(Styrkeberegning_G[[#Headers],[X base venstre]])+1,CU$7/(CT$7/$B$67),CU221/(CT221/$B$67))</f>
        <v>-2.8015817870135784</v>
      </c>
      <c r="CV222">
        <f>Styrkeberegning_G[[#This Row],[X base venstre]]*-1</f>
        <v>2.8015817870135784</v>
      </c>
      <c r="DG222" s="54">
        <f t="shared" si="381"/>
        <v>212</v>
      </c>
      <c r="DH222" s="54">
        <f t="shared" si="382"/>
        <v>213</v>
      </c>
      <c r="DI222" s="54">
        <f t="shared" si="383"/>
        <v>26.016874225057904</v>
      </c>
      <c r="DJ222" s="54" t="e">
        <f t="shared" si="384"/>
        <v>#N/A</v>
      </c>
      <c r="DK222" s="54" t="e">
        <f t="shared" si="385"/>
        <v>#N/A</v>
      </c>
      <c r="DL222" s="54">
        <f t="shared" si="386"/>
        <v>2.2112295504418127E-3</v>
      </c>
      <c r="DM222" s="54" t="e">
        <f t="shared" si="387"/>
        <v>#N/A</v>
      </c>
      <c r="DN222" s="54" t="b">
        <f t="shared" si="388"/>
        <v>0</v>
      </c>
      <c r="DO222" s="54" t="b">
        <f t="shared" si="389"/>
        <v>1</v>
      </c>
      <c r="DP222" s="54" t="b">
        <f t="shared" si="390"/>
        <v>1</v>
      </c>
      <c r="DQ222" s="54" t="b">
        <f t="shared" si="391"/>
        <v>0</v>
      </c>
      <c r="DR222" s="54">
        <f t="shared" si="392"/>
        <v>2.2112295504418127E-3</v>
      </c>
      <c r="DS222" s="54">
        <f t="shared" si="393"/>
        <v>2.2112295504418127E-3</v>
      </c>
      <c r="DT222" s="54" t="e">
        <f t="shared" si="394"/>
        <v>#N/A</v>
      </c>
      <c r="DU222" s="72" t="str">
        <f t="shared" si="395"/>
        <v/>
      </c>
      <c r="DZ222" s="54">
        <f t="shared" si="396"/>
        <v>212</v>
      </c>
      <c r="EA222" s="54">
        <f t="shared" si="397"/>
        <v>213</v>
      </c>
      <c r="EB222" s="54">
        <f t="shared" si="398"/>
        <v>1.9882890031932439</v>
      </c>
      <c r="EC222" s="54">
        <f t="shared" si="399"/>
        <v>5.5266678363017178E-2</v>
      </c>
      <c r="ED222" s="54" t="e">
        <f t="shared" si="400"/>
        <v>#N/A</v>
      </c>
      <c r="EE222" s="54" t="e">
        <f t="shared" si="401"/>
        <v>#N/A</v>
      </c>
      <c r="EF222" s="54" t="e">
        <f t="shared" si="402"/>
        <v>#N/A</v>
      </c>
      <c r="EG222" s="54" t="b">
        <f t="shared" si="403"/>
        <v>0</v>
      </c>
      <c r="EH222" s="54" t="b">
        <f t="shared" si="404"/>
        <v>1</v>
      </c>
      <c r="EI222" s="54" t="b">
        <f t="shared" si="405"/>
        <v>1</v>
      </c>
      <c r="EJ222" s="54" t="b">
        <f t="shared" si="406"/>
        <v>0</v>
      </c>
      <c r="EK222" s="54">
        <f t="shared" si="407"/>
        <v>5.5266678363017178E-2</v>
      </c>
      <c r="EL222" s="54">
        <f t="shared" si="408"/>
        <v>5.5266678363017178E-2</v>
      </c>
      <c r="EM222" s="54" t="e">
        <f t="shared" si="409"/>
        <v>#N/A</v>
      </c>
      <c r="EN222" s="72" t="str">
        <f t="shared" si="410"/>
        <v/>
      </c>
      <c r="EO22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2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2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22" s="54" t="e" cm="1">
        <f t="array" ref="ER222">IF($CK$3,INDEX(Eu_tabel_a[[#This Row],[Styrke venstre]:[Styrke tosidet]],ER$7),NA())</f>
        <v>#N/A</v>
      </c>
      <c r="ES222" s="54" t="e">
        <f>IF(ER$3,IF(CHOOSE(ER$7,Eu_tabel_a[[#This Row],[x base]]&gt;0,Eu_tabel_a[[#This Row],[x base]]&lt;0,Eu_tabel_a[[#This Row],[x base]]=0),1,NA()),NA())</f>
        <v>#N/A</v>
      </c>
      <c r="ET222" s="54" t="e">
        <f>IF(CHOOSE(ER$7,Eu_tabel_a[[#This Row],[x base]]&gt;0,Eu_tabel_a[[#This Row],[x base]]&lt;0,Eu_tabel_a[[#This Row],[x base]]=0),Eu_tabel_a[[#This Row],[Styrke, aktiv]],NA())</f>
        <v>#N/A</v>
      </c>
      <c r="EU222" s="54" t="e">
        <f>IFERROR(IF($ER$3,Eu_tabel_a[[#This Row],[Styrke, aktiv]],NA()),NA())</f>
        <v>#N/A</v>
      </c>
      <c r="EV222" s="54" t="e">
        <f>IF(ISNA(Eu_tabel_a[[#This Row],[Sand negativ
Nulhypotese afvises
Korrekt]]),NA(),IF(ER$3,1,NA()))</f>
        <v>#N/A</v>
      </c>
      <c r="EW222" s="55" t="str" cm="1">
        <f t="array" ref="EW222">IFERROR(_xlfn.SWITCH(Eu_tabel_a[[#This Row],[Indeks]],_xlfn.IFNA(EU$2,-99),EU$5,_xlfn.IFNA(EU$3,-99),EU$6,_xlfn.IFNA(EU$4,-99),EU$7,""),"")</f>
        <v/>
      </c>
      <c r="EX222" s="54">
        <f>Eu_tabel_a[[#This Row],[x base]]*SQRT(Eu_a_h0_x*(1-Eu_a_h0_x)/Eu_a_n_x)+Eu_a_h0_x</f>
        <v>0</v>
      </c>
      <c r="FC222" s="161" t="e">
        <f t="shared" si="354"/>
        <v>#N/A</v>
      </c>
      <c r="FD222" s="169" t="e">
        <f t="shared" si="338"/>
        <v>#DIV/0!</v>
      </c>
      <c r="FE222" s="7" t="e">
        <f t="shared" si="348"/>
        <v>#DIV/0!</v>
      </c>
      <c r="FF222" t="e">
        <f t="shared" si="339"/>
        <v>#DIV/0!</v>
      </c>
      <c r="FG222" s="8" t="e">
        <f t="shared" si="340"/>
        <v>#DIV/0!</v>
      </c>
      <c r="FH222" s="8" t="e">
        <f t="shared" si="341"/>
        <v>#DIV/0!</v>
      </c>
      <c r="FI222" s="168" t="e">
        <f t="shared" si="342"/>
        <v>#DIV/0!</v>
      </c>
      <c r="FJ222" s="161" t="e">
        <f t="shared" ca="1" si="349"/>
        <v>#N/A</v>
      </c>
      <c r="FK222" s="169" t="e" vm="3">
        <f t="shared" ca="1" si="355"/>
        <v>#VALUE!</v>
      </c>
      <c r="FL222" s="7" t="e" vm="3">
        <f t="shared" ca="1" si="350"/>
        <v>#VALUE!</v>
      </c>
      <c r="FM222" t="e" vm="3">
        <f t="shared" ca="1" si="344"/>
        <v>#VALUE!</v>
      </c>
      <c r="FN222" s="8" t="e" vm="3">
        <f t="shared" ca="1" si="345"/>
        <v>#VALUE!</v>
      </c>
      <c r="FO222" s="8" t="e" vm="3">
        <f t="shared" ca="1" si="346"/>
        <v>#VALUE!</v>
      </c>
      <c r="FP222" s="168" t="e" vm="3">
        <f t="shared" ca="1" si="347"/>
        <v>#VALUE!</v>
      </c>
      <c r="FQ222" s="161" t="e">
        <f t="shared" si="351"/>
        <v>#N/A</v>
      </c>
      <c r="FR222" s="169" t="e">
        <f t="shared" si="356"/>
        <v>#N/A</v>
      </c>
      <c r="FS222" s="7" t="e">
        <f t="shared" si="352"/>
        <v>#N/A</v>
      </c>
      <c r="FT222" t="e">
        <f t="shared" si="357"/>
        <v>#N/A</v>
      </c>
      <c r="FU222" s="8" t="e">
        <f t="shared" si="358"/>
        <v>#N/A</v>
      </c>
      <c r="FV222" s="8" t="e">
        <f t="shared" si="359"/>
        <v>#N/A</v>
      </c>
      <c r="FW222" s="168" t="e">
        <f t="shared" si="360"/>
        <v>#N/A</v>
      </c>
      <c r="FX222" s="161" t="e">
        <f t="shared" si="361"/>
        <v>#N/A</v>
      </c>
      <c r="FY222" s="169" t="e">
        <f t="shared" si="362"/>
        <v>#N/A</v>
      </c>
      <c r="FZ222" s="7" t="e">
        <f t="shared" si="353"/>
        <v>#N/A</v>
      </c>
      <c r="GA222" t="e">
        <f t="shared" si="363"/>
        <v>#N/A</v>
      </c>
      <c r="GB222" s="8" t="e">
        <f t="shared" si="364"/>
        <v>#N/A</v>
      </c>
      <c r="GC222" s="8" t="e">
        <f t="shared" si="365"/>
        <v>#N/A</v>
      </c>
      <c r="GD222" s="168" t="e">
        <f t="shared" si="366"/>
        <v>#N/A</v>
      </c>
      <c r="GE222" s="168"/>
      <c r="GF222" s="168"/>
      <c r="GI222" s="54">
        <f t="shared" si="411"/>
        <v>212</v>
      </c>
      <c r="GJ222" s="54">
        <f t="shared" si="412"/>
        <v>213</v>
      </c>
      <c r="GK222" s="54">
        <f t="shared" si="413"/>
        <v>1.9882890031932439</v>
      </c>
      <c r="GL222" s="54">
        <f t="shared" si="414"/>
        <v>5.5266678363017178E-2</v>
      </c>
      <c r="GM222" s="54" t="e">
        <f t="shared" si="415"/>
        <v>#N/A</v>
      </c>
      <c r="GN222" s="54" t="e">
        <f t="shared" si="416"/>
        <v>#N/A</v>
      </c>
      <c r="GO222" s="54" t="e">
        <f t="shared" si="417"/>
        <v>#N/A</v>
      </c>
      <c r="GP222" s="54" t="b">
        <f t="shared" si="418"/>
        <v>0</v>
      </c>
      <c r="GQ222" s="54" t="b">
        <f t="shared" si="419"/>
        <v>1</v>
      </c>
      <c r="GR222" s="54" t="b">
        <f t="shared" si="420"/>
        <v>1</v>
      </c>
      <c r="GS222" s="54" t="b">
        <f t="shared" si="421"/>
        <v>0</v>
      </c>
      <c r="GT222" s="54">
        <f t="shared" si="422"/>
        <v>5.5266678363017178E-2</v>
      </c>
      <c r="GU222" s="54">
        <f t="shared" si="423"/>
        <v>5.5266678363017178E-2</v>
      </c>
      <c r="GV222" s="54" t="e">
        <f t="shared" si="424"/>
        <v>#N/A</v>
      </c>
      <c r="GW222" s="72" t="str">
        <f t="shared" si="425"/>
        <v/>
      </c>
      <c r="HC222" s="54">
        <f t="shared" si="426"/>
        <v>212</v>
      </c>
      <c r="HD222" s="54">
        <f t="shared" si="427"/>
        <v>213</v>
      </c>
      <c r="HE222" s="54">
        <f t="shared" si="428"/>
        <v>3.0789072804417188</v>
      </c>
      <c r="HF222" s="54" t="e">
        <f t="shared" si="429"/>
        <v>#N/A</v>
      </c>
      <c r="HG222" s="54">
        <f t="shared" si="430"/>
        <v>1.2532831418244361E-2</v>
      </c>
      <c r="HH222" s="54" t="e">
        <f t="shared" si="431"/>
        <v>#N/A</v>
      </c>
      <c r="HI222" s="54" t="e">
        <f t="shared" si="432"/>
        <v>#N/A</v>
      </c>
      <c r="HJ222" s="54" t="b">
        <f t="shared" si="433"/>
        <v>0</v>
      </c>
      <c r="HK222" s="54" t="b">
        <f t="shared" si="434"/>
        <v>1</v>
      </c>
      <c r="HL222" s="54" t="b">
        <f t="shared" si="435"/>
        <v>1</v>
      </c>
      <c r="HM222" s="54" t="b">
        <f t="shared" si="436"/>
        <v>0</v>
      </c>
      <c r="HN222" s="54">
        <f t="shared" si="437"/>
        <v>1.2532831418244361E-2</v>
      </c>
      <c r="HO222" s="54" t="e">
        <f t="shared" si="438"/>
        <v>#N/A</v>
      </c>
      <c r="HP222" s="54">
        <f t="shared" si="439"/>
        <v>1.2532831418244361E-2</v>
      </c>
      <c r="HQ222" s="72" t="str">
        <f t="shared" si="440"/>
        <v/>
      </c>
    </row>
    <row r="223" spans="71:225" x14ac:dyDescent="0.2">
      <c r="BS223" s="54">
        <f t="shared" si="367"/>
        <v>213</v>
      </c>
      <c r="BT223" s="54">
        <f>Eu_tabel_g[[#This Row],[Indeks]]+1</f>
        <v>214</v>
      </c>
      <c r="BU223" s="54">
        <f t="shared" si="368"/>
        <v>2.0122442923883437</v>
      </c>
      <c r="BV223" s="54">
        <f t="shared" si="369"/>
        <v>5.2680912571830774E-2</v>
      </c>
      <c r="BW223" s="54" t="e">
        <f t="shared" si="370"/>
        <v>#N/A</v>
      </c>
      <c r="BX223" s="54" t="e">
        <f t="shared" si="371"/>
        <v>#N/A</v>
      </c>
      <c r="BY223" s="54" t="e">
        <f t="shared" si="372"/>
        <v>#N/A</v>
      </c>
      <c r="BZ223" s="54" t="b">
        <f t="shared" si="373"/>
        <v>0</v>
      </c>
      <c r="CA223" s="54" t="b">
        <f t="shared" si="374"/>
        <v>1</v>
      </c>
      <c r="CB223" s="54" t="b">
        <f t="shared" si="375"/>
        <v>1</v>
      </c>
      <c r="CC223" s="54" t="b">
        <f t="shared" si="376"/>
        <v>0</v>
      </c>
      <c r="CD223" s="54">
        <f t="shared" si="441"/>
        <v>5.2680912571830774E-2</v>
      </c>
      <c r="CE223" s="54">
        <f t="shared" si="377"/>
        <v>5.2680912571830774E-2</v>
      </c>
      <c r="CF223" s="54" t="e">
        <f t="shared" si="378"/>
        <v>#N/A</v>
      </c>
      <c r="CG223" s="72" t="str">
        <f t="shared" si="379"/>
        <v/>
      </c>
      <c r="CH223" s="54">
        <f>_xlfn.NORM.DIST(_xlfn.NORM.INV(1-Eu_g_konfidensniveau,0,1)-Eu_tabel_g[[#This Row],[x base]],0,1,TRUE)</f>
        <v>1.2754347670460044E-4</v>
      </c>
      <c r="CI223" s="54">
        <f>1-_xlfn.NORM.DIST(_xlfn.NORM.INV(Eu_g_konfidensniveau,0,1)-Eu_tabel_g[[#This Row],[x base]],0,1,TRUE)</f>
        <v>0.64333618328693531</v>
      </c>
      <c r="CJ223" s="54">
        <f>_xlfn.NORM.DIST(_xlfn.NORM.INV((1-Eu_g_konfidensniveau)/2,0,1)-Eu_tabel_g[[#This Row],[x base]],0,1,TRUE)+1-_xlfn.NORM.DIST(_xlfn.NORM.INV(1-(1-Eu_g_konfidensniveau)/2,0,1)-Eu_tabel_g[[#This Row],[x base]],0,1,TRUE)</f>
        <v>0.5208829327495752</v>
      </c>
      <c r="CK223" s="54" t="e" cm="1">
        <f t="array" ref="CK223">IF($CK$3,INDEX(Eu_tabel_g[[#This Row],[Styrke venstre]:[Styrke tosidet]],CK$7),NA())</f>
        <v>#N/A</v>
      </c>
      <c r="CL223" s="99" t="e">
        <f>Eu_tabel_g[[#This Row],[Falsk positiv
Nulhypotese accepteres
Fejltype 1]]</f>
        <v>#N/A</v>
      </c>
      <c r="CM223" s="99" t="e">
        <f>IF(CHOOSE(CK$7,Eu_tabel_g[[#This Row],[x base]]&gt;0,Eu_tabel_g[[#This Row],[x base]]&lt;0,Eu_tabel_g[[#This Row],[x base]]=0),Eu_tabel_g[[#This Row],[Styrke, aktiv]],NA())</f>
        <v>#N/A</v>
      </c>
      <c r="CN223" s="99" t="e">
        <f>IFERROR(IF($CK$3,Eu_tabel_g[[#This Row],[Styrke, aktiv]],NA()),NA())</f>
        <v>#N/A</v>
      </c>
      <c r="CO223" s="99" t="e">
        <f>IF(ISNA(Eu_tabel_g[[#This Row],[Sand negativ
Nulhypotese afvises
Korrekt]]),NA(),IF($CK$3,1,NA()))</f>
        <v>#N/A</v>
      </c>
      <c r="CP223" s="56" t="str" cm="1">
        <f t="array" ref="CP223">_xlfn.SWITCH(BS223,_xlfn.IFNA(CN$2,-99),CN$5,_xlfn.IFNA(CN$3,-99),CN$6,_xlfn.IFNA(CN$4,-99),CN$7,"")</f>
        <v/>
      </c>
      <c r="CT223" s="7">
        <f t="shared" si="380"/>
        <v>0.8</v>
      </c>
      <c r="CU223">
        <f>IF(ROW(Styrkeberegning_G[[#This Row],[X base venstre]])=ROW(Styrkeberegning_G[[#Headers],[X base venstre]])+1,CU$7/(CT$7/$B$67),CU222/(CT222/$B$67))</f>
        <v>-2.8015817870135784</v>
      </c>
      <c r="CV223">
        <f>Styrkeberegning_G[[#This Row],[X base venstre]]*-1</f>
        <v>2.8015817870135784</v>
      </c>
      <c r="DG223" s="54">
        <f t="shared" si="381"/>
        <v>213</v>
      </c>
      <c r="DH223" s="54">
        <f t="shared" si="382"/>
        <v>214</v>
      </c>
      <c r="DI223" s="54">
        <f t="shared" si="383"/>
        <v>26.130945081474906</v>
      </c>
      <c r="DJ223" s="54" t="e">
        <f t="shared" si="384"/>
        <v>#N/A</v>
      </c>
      <c r="DK223" s="54" t="e">
        <f t="shared" si="385"/>
        <v>#N/A</v>
      </c>
      <c r="DL223" s="54">
        <f t="shared" si="386"/>
        <v>2.13016702151311E-3</v>
      </c>
      <c r="DM223" s="54" t="e">
        <f t="shared" si="387"/>
        <v>#N/A</v>
      </c>
      <c r="DN223" s="54" t="b">
        <f t="shared" si="388"/>
        <v>0</v>
      </c>
      <c r="DO223" s="54" t="b">
        <f t="shared" si="389"/>
        <v>1</v>
      </c>
      <c r="DP223" s="54" t="b">
        <f t="shared" si="390"/>
        <v>1</v>
      </c>
      <c r="DQ223" s="54" t="b">
        <f t="shared" si="391"/>
        <v>0</v>
      </c>
      <c r="DR223" s="54">
        <f t="shared" si="392"/>
        <v>2.13016702151311E-3</v>
      </c>
      <c r="DS223" s="54">
        <f t="shared" si="393"/>
        <v>2.13016702151311E-3</v>
      </c>
      <c r="DT223" s="54" t="e">
        <f t="shared" si="394"/>
        <v>#N/A</v>
      </c>
      <c r="DU223" s="72" t="str">
        <f t="shared" si="395"/>
        <v/>
      </c>
      <c r="DZ223" s="54">
        <f t="shared" si="396"/>
        <v>213</v>
      </c>
      <c r="EA223" s="54">
        <f t="shared" si="397"/>
        <v>214</v>
      </c>
      <c r="EB223" s="54">
        <f t="shared" si="398"/>
        <v>2.0122442923883437</v>
      </c>
      <c r="EC223" s="54">
        <f t="shared" si="399"/>
        <v>5.2680912571830774E-2</v>
      </c>
      <c r="ED223" s="54" t="e">
        <f t="shared" si="400"/>
        <v>#N/A</v>
      </c>
      <c r="EE223" s="54" t="e">
        <f t="shared" si="401"/>
        <v>#N/A</v>
      </c>
      <c r="EF223" s="54" t="e">
        <f t="shared" si="402"/>
        <v>#N/A</v>
      </c>
      <c r="EG223" s="54" t="b">
        <f t="shared" si="403"/>
        <v>0</v>
      </c>
      <c r="EH223" s="54" t="b">
        <f t="shared" si="404"/>
        <v>1</v>
      </c>
      <c r="EI223" s="54" t="b">
        <f t="shared" si="405"/>
        <v>1</v>
      </c>
      <c r="EJ223" s="54" t="b">
        <f t="shared" si="406"/>
        <v>0</v>
      </c>
      <c r="EK223" s="54">
        <f t="shared" si="407"/>
        <v>5.2680912571830774E-2</v>
      </c>
      <c r="EL223" s="54">
        <f t="shared" si="408"/>
        <v>5.2680912571830774E-2</v>
      </c>
      <c r="EM223" s="54" t="e">
        <f t="shared" si="409"/>
        <v>#N/A</v>
      </c>
      <c r="EN223" s="72" t="str">
        <f t="shared" si="410"/>
        <v/>
      </c>
      <c r="EO22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2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2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23" s="54" t="e" cm="1">
        <f t="array" ref="ER223">IF($CK$3,INDEX(Eu_tabel_a[[#This Row],[Styrke venstre]:[Styrke tosidet]],ER$7),NA())</f>
        <v>#N/A</v>
      </c>
      <c r="ES223" s="54" t="e">
        <f>IF(ER$3,IF(CHOOSE(ER$7,Eu_tabel_a[[#This Row],[x base]]&gt;0,Eu_tabel_a[[#This Row],[x base]]&lt;0,Eu_tabel_a[[#This Row],[x base]]=0),1,NA()),NA())</f>
        <v>#N/A</v>
      </c>
      <c r="ET223" s="54" t="e">
        <f>IF(CHOOSE(ER$7,Eu_tabel_a[[#This Row],[x base]]&gt;0,Eu_tabel_a[[#This Row],[x base]]&lt;0,Eu_tabel_a[[#This Row],[x base]]=0),Eu_tabel_a[[#This Row],[Styrke, aktiv]],NA())</f>
        <v>#N/A</v>
      </c>
      <c r="EU223" s="54" t="e">
        <f>IFERROR(IF($ER$3,Eu_tabel_a[[#This Row],[Styrke, aktiv]],NA()),NA())</f>
        <v>#N/A</v>
      </c>
      <c r="EV223" s="54" t="e">
        <f>IF(ISNA(Eu_tabel_a[[#This Row],[Sand negativ
Nulhypotese afvises
Korrekt]]),NA(),IF(ER$3,1,NA()))</f>
        <v>#N/A</v>
      </c>
      <c r="EW223" s="55" t="str" cm="1">
        <f t="array" ref="EW223">IFERROR(_xlfn.SWITCH(Eu_tabel_a[[#This Row],[Indeks]],_xlfn.IFNA(EU$2,-99),EU$5,_xlfn.IFNA(EU$3,-99),EU$6,_xlfn.IFNA(EU$4,-99),EU$7,""),"")</f>
        <v/>
      </c>
      <c r="EX223" s="54">
        <f>Eu_tabel_a[[#This Row],[x base]]*SQRT(Eu_a_h0_x*(1-Eu_a_h0_x)/Eu_a_n_x)+Eu_a_h0_x</f>
        <v>0</v>
      </c>
      <c r="FC223" s="161" t="e">
        <f t="shared" si="354"/>
        <v>#N/A</v>
      </c>
      <c r="FD223" s="169" t="e">
        <f t="shared" ref="FD223:FD268" si="442">FD221+FI222</f>
        <v>#DIV/0!</v>
      </c>
      <c r="FE223" s="7" t="e">
        <f t="shared" si="348"/>
        <v>#DIV/0!</v>
      </c>
      <c r="FF223" t="e">
        <f t="shared" ref="FF223:FF268" si="443">FD223-FD222</f>
        <v>#DIV/0!</v>
      </c>
      <c r="FG223" s="8" t="e">
        <f t="shared" ref="FG223:FG268" si="444">FE223-FE222</f>
        <v>#DIV/0!</v>
      </c>
      <c r="FH223" s="8" t="e">
        <f t="shared" ref="FH223:FH268" si="445">$P$67-FE222</f>
        <v>#DIV/0!</v>
      </c>
      <c r="FI223" s="168" t="e">
        <f t="shared" ref="FI223:FI268" si="446">FF223/(FG223/FH223)</f>
        <v>#DIV/0!</v>
      </c>
      <c r="FJ223" s="161" t="e">
        <f t="shared" ca="1" si="349"/>
        <v>#N/A</v>
      </c>
      <c r="FK223" s="169" t="e" vm="3">
        <f t="shared" ca="1" si="355"/>
        <v>#VALUE!</v>
      </c>
      <c r="FL223" s="7" t="e" vm="3">
        <f t="shared" ca="1" si="350"/>
        <v>#VALUE!</v>
      </c>
      <c r="FM223" t="e" vm="3">
        <f t="shared" ca="1" si="344"/>
        <v>#VALUE!</v>
      </c>
      <c r="FN223" s="8" t="e" vm="3">
        <f t="shared" ca="1" si="345"/>
        <v>#VALUE!</v>
      </c>
      <c r="FO223" s="8" t="e" vm="3">
        <f t="shared" ca="1" si="346"/>
        <v>#VALUE!</v>
      </c>
      <c r="FP223" s="168" t="e" vm="3">
        <f t="shared" ca="1" si="347"/>
        <v>#VALUE!</v>
      </c>
      <c r="FQ223" s="161" t="e">
        <f t="shared" si="351"/>
        <v>#N/A</v>
      </c>
      <c r="FR223" s="169" t="e">
        <f t="shared" si="356"/>
        <v>#N/A</v>
      </c>
      <c r="FS223" s="7" t="e">
        <f t="shared" si="352"/>
        <v>#N/A</v>
      </c>
      <c r="FT223" t="e">
        <f t="shared" si="357"/>
        <v>#N/A</v>
      </c>
      <c r="FU223" s="8" t="e">
        <f t="shared" si="358"/>
        <v>#N/A</v>
      </c>
      <c r="FV223" s="8" t="e">
        <f t="shared" si="359"/>
        <v>#N/A</v>
      </c>
      <c r="FW223" s="168" t="e">
        <f t="shared" si="360"/>
        <v>#N/A</v>
      </c>
      <c r="FX223" s="161" t="e">
        <f t="shared" si="361"/>
        <v>#N/A</v>
      </c>
      <c r="FY223" s="169" t="e">
        <f t="shared" si="362"/>
        <v>#N/A</v>
      </c>
      <c r="FZ223" s="7" t="e">
        <f t="shared" si="353"/>
        <v>#N/A</v>
      </c>
      <c r="GA223" t="e">
        <f t="shared" si="363"/>
        <v>#N/A</v>
      </c>
      <c r="GB223" s="8" t="e">
        <f t="shared" si="364"/>
        <v>#N/A</v>
      </c>
      <c r="GC223" s="8" t="e">
        <f t="shared" si="365"/>
        <v>#N/A</v>
      </c>
      <c r="GD223" s="168" t="e">
        <f t="shared" si="366"/>
        <v>#N/A</v>
      </c>
      <c r="GE223" s="168"/>
      <c r="GF223" s="168"/>
      <c r="GI223" s="54">
        <f t="shared" si="411"/>
        <v>213</v>
      </c>
      <c r="GJ223" s="54">
        <f t="shared" si="412"/>
        <v>214</v>
      </c>
      <c r="GK223" s="54">
        <f t="shared" si="413"/>
        <v>2.0122442923883437</v>
      </c>
      <c r="GL223" s="54">
        <f t="shared" si="414"/>
        <v>5.2680912571830774E-2</v>
      </c>
      <c r="GM223" s="54" t="e">
        <f t="shared" si="415"/>
        <v>#N/A</v>
      </c>
      <c r="GN223" s="54" t="e">
        <f t="shared" si="416"/>
        <v>#N/A</v>
      </c>
      <c r="GO223" s="54" t="e">
        <f t="shared" si="417"/>
        <v>#N/A</v>
      </c>
      <c r="GP223" s="54" t="b">
        <f t="shared" si="418"/>
        <v>0</v>
      </c>
      <c r="GQ223" s="54" t="b">
        <f t="shared" si="419"/>
        <v>1</v>
      </c>
      <c r="GR223" s="54" t="b">
        <f t="shared" si="420"/>
        <v>1</v>
      </c>
      <c r="GS223" s="54" t="b">
        <f t="shared" si="421"/>
        <v>0</v>
      </c>
      <c r="GT223" s="54">
        <f t="shared" si="422"/>
        <v>5.2680912571830774E-2</v>
      </c>
      <c r="GU223" s="54">
        <f t="shared" si="423"/>
        <v>5.2680912571830774E-2</v>
      </c>
      <c r="GV223" s="54" t="e">
        <f t="shared" si="424"/>
        <v>#N/A</v>
      </c>
      <c r="GW223" s="72" t="str">
        <f t="shared" si="425"/>
        <v/>
      </c>
      <c r="HC223" s="54">
        <f t="shared" si="426"/>
        <v>213</v>
      </c>
      <c r="HD223" s="54">
        <f t="shared" si="427"/>
        <v>214</v>
      </c>
      <c r="HE223" s="54">
        <f t="shared" si="428"/>
        <v>3.1160025488807754</v>
      </c>
      <c r="HF223" s="54" t="e">
        <f t="shared" si="429"/>
        <v>#N/A</v>
      </c>
      <c r="HG223" s="54">
        <f t="shared" si="430"/>
        <v>1.1857478614188162E-2</v>
      </c>
      <c r="HH223" s="54" t="e">
        <f t="shared" si="431"/>
        <v>#N/A</v>
      </c>
      <c r="HI223" s="54" t="e">
        <f t="shared" si="432"/>
        <v>#N/A</v>
      </c>
      <c r="HJ223" s="54" t="b">
        <f t="shared" si="433"/>
        <v>0</v>
      </c>
      <c r="HK223" s="54" t="b">
        <f t="shared" si="434"/>
        <v>1</v>
      </c>
      <c r="HL223" s="54" t="b">
        <f t="shared" si="435"/>
        <v>1</v>
      </c>
      <c r="HM223" s="54" t="b">
        <f t="shared" si="436"/>
        <v>0</v>
      </c>
      <c r="HN223" s="54">
        <f t="shared" si="437"/>
        <v>1.1857478614188162E-2</v>
      </c>
      <c r="HO223" s="54" t="e">
        <f t="shared" si="438"/>
        <v>#N/A</v>
      </c>
      <c r="HP223" s="54">
        <f t="shared" si="439"/>
        <v>1.1857478614188162E-2</v>
      </c>
      <c r="HQ223" s="72" t="str">
        <f t="shared" si="440"/>
        <v/>
      </c>
    </row>
    <row r="224" spans="71:225" x14ac:dyDescent="0.2">
      <c r="BS224" s="54">
        <f t="shared" si="367"/>
        <v>214</v>
      </c>
      <c r="BT224" s="54">
        <f>Eu_tabel_g[[#This Row],[Indeks]]+1</f>
        <v>215</v>
      </c>
      <c r="BU224" s="54">
        <f t="shared" si="368"/>
        <v>2.0361995815834426</v>
      </c>
      <c r="BV224" s="54">
        <f t="shared" si="369"/>
        <v>5.0187318625221689E-2</v>
      </c>
      <c r="BW224" s="54" t="e">
        <f t="shared" si="370"/>
        <v>#N/A</v>
      </c>
      <c r="BX224" s="54" t="e">
        <f t="shared" si="371"/>
        <v>#N/A</v>
      </c>
      <c r="BY224" s="54" t="e">
        <f t="shared" si="372"/>
        <v>#N/A</v>
      </c>
      <c r="BZ224" s="54" t="b">
        <f t="shared" si="373"/>
        <v>0</v>
      </c>
      <c r="CA224" s="54" t="b">
        <f t="shared" si="374"/>
        <v>1</v>
      </c>
      <c r="CB224" s="54" t="b">
        <f t="shared" si="375"/>
        <v>1</v>
      </c>
      <c r="CC224" s="54" t="b">
        <f t="shared" si="376"/>
        <v>0</v>
      </c>
      <c r="CD224" s="54">
        <f t="shared" si="441"/>
        <v>5.0187318625221689E-2</v>
      </c>
      <c r="CE224" s="54">
        <f t="shared" si="377"/>
        <v>5.0187318625221689E-2</v>
      </c>
      <c r="CF224" s="54" t="e">
        <f t="shared" si="378"/>
        <v>#N/A</v>
      </c>
      <c r="CG224" s="72" t="str">
        <f t="shared" si="379"/>
        <v/>
      </c>
      <c r="CH224" s="54">
        <f>_xlfn.NORM.DIST(_xlfn.NORM.INV(1-Eu_g_konfidensniveau,0,1)-Eu_tabel_g[[#This Row],[x base]],0,1,TRUE)</f>
        <v>1.1613626122131735E-4</v>
      </c>
      <c r="CI224" s="54">
        <f>1-_xlfn.NORM.DIST(_xlfn.NORM.INV(Eu_g_konfidensniveau,0,1)-Eu_tabel_g[[#This Row],[x base]],0,1,TRUE)</f>
        <v>0.65222923248733788</v>
      </c>
      <c r="CJ224" s="54">
        <f>_xlfn.NORM.DIST(_xlfn.NORM.INV((1-Eu_g_konfidensniveau)/2,0,1)-Eu_tabel_g[[#This Row],[x base]],0,1,TRUE)+1-_xlfn.NORM.DIST(_xlfn.NORM.INV(1-(1-Eu_g_konfidensniveau)/2,0,1)-Eu_tabel_g[[#This Row],[x base]],0,1,TRUE)</f>
        <v>0.53041635726275116</v>
      </c>
      <c r="CK224" s="54" t="e" cm="1">
        <f t="array" ref="CK224">IF($CK$3,INDEX(Eu_tabel_g[[#This Row],[Styrke venstre]:[Styrke tosidet]],CK$7),NA())</f>
        <v>#N/A</v>
      </c>
      <c r="CL224" s="99" t="e">
        <f>Eu_tabel_g[[#This Row],[Falsk positiv
Nulhypotese accepteres
Fejltype 1]]</f>
        <v>#N/A</v>
      </c>
      <c r="CM224" s="99" t="e">
        <f>IF(CHOOSE(CK$7,Eu_tabel_g[[#This Row],[x base]]&gt;0,Eu_tabel_g[[#This Row],[x base]]&lt;0,Eu_tabel_g[[#This Row],[x base]]=0),Eu_tabel_g[[#This Row],[Styrke, aktiv]],NA())</f>
        <v>#N/A</v>
      </c>
      <c r="CN224" s="99" t="e">
        <f>IFERROR(IF($CK$3,Eu_tabel_g[[#This Row],[Styrke, aktiv]],NA()),NA())</f>
        <v>#N/A</v>
      </c>
      <c r="CO224" s="99" t="e">
        <f>IF(ISNA(Eu_tabel_g[[#This Row],[Sand negativ
Nulhypotese afvises
Korrekt]]),NA(),IF($CK$3,1,NA()))</f>
        <v>#N/A</v>
      </c>
      <c r="CP224" s="56" t="str" cm="1">
        <f t="array" ref="CP224">_xlfn.SWITCH(BS224,_xlfn.IFNA(CN$2,-99),CN$5,_xlfn.IFNA(CN$3,-99),CN$6,_xlfn.IFNA(CN$4,-99),CN$7,"")</f>
        <v/>
      </c>
      <c r="CT224" s="7">
        <f t="shared" si="380"/>
        <v>0.8</v>
      </c>
      <c r="CU224">
        <f>IF(ROW(Styrkeberegning_G[[#This Row],[X base venstre]])=ROW(Styrkeberegning_G[[#Headers],[X base venstre]])+1,CU$7/(CT$7/$B$67),CU223/(CT223/$B$67))</f>
        <v>-2.8015817870135784</v>
      </c>
      <c r="CV224">
        <f>Styrkeberegning_G[[#This Row],[X base venstre]]*-1</f>
        <v>2.8015817870135784</v>
      </c>
      <c r="DG224" s="54">
        <f t="shared" si="381"/>
        <v>214</v>
      </c>
      <c r="DH224" s="54">
        <f t="shared" si="382"/>
        <v>215</v>
      </c>
      <c r="DI224" s="54">
        <f t="shared" si="383"/>
        <v>26.245015937891903</v>
      </c>
      <c r="DJ224" s="54" t="e">
        <f t="shared" si="384"/>
        <v>#N/A</v>
      </c>
      <c r="DK224" s="54" t="e">
        <f t="shared" si="385"/>
        <v>#N/A</v>
      </c>
      <c r="DL224" s="54">
        <f t="shared" si="386"/>
        <v>2.0519002360898223E-3</v>
      </c>
      <c r="DM224" s="54" t="e">
        <f t="shared" si="387"/>
        <v>#N/A</v>
      </c>
      <c r="DN224" s="54" t="b">
        <f t="shared" si="388"/>
        <v>0</v>
      </c>
      <c r="DO224" s="54" t="b">
        <f t="shared" si="389"/>
        <v>1</v>
      </c>
      <c r="DP224" s="54" t="b">
        <f t="shared" si="390"/>
        <v>1</v>
      </c>
      <c r="DQ224" s="54" t="b">
        <f t="shared" si="391"/>
        <v>0</v>
      </c>
      <c r="DR224" s="54">
        <f t="shared" si="392"/>
        <v>2.0519002360898223E-3</v>
      </c>
      <c r="DS224" s="54">
        <f t="shared" si="393"/>
        <v>2.0519002360898223E-3</v>
      </c>
      <c r="DT224" s="54" t="e">
        <f t="shared" si="394"/>
        <v>#N/A</v>
      </c>
      <c r="DU224" s="72" t="str">
        <f t="shared" si="395"/>
        <v/>
      </c>
      <c r="DZ224" s="54">
        <f t="shared" si="396"/>
        <v>214</v>
      </c>
      <c r="EA224" s="54">
        <f t="shared" si="397"/>
        <v>215</v>
      </c>
      <c r="EB224" s="54">
        <f t="shared" si="398"/>
        <v>2.0361995815834426</v>
      </c>
      <c r="EC224" s="54">
        <f t="shared" si="399"/>
        <v>5.0187318625221689E-2</v>
      </c>
      <c r="ED224" s="54" t="e">
        <f t="shared" si="400"/>
        <v>#N/A</v>
      </c>
      <c r="EE224" s="54" t="e">
        <f t="shared" si="401"/>
        <v>#N/A</v>
      </c>
      <c r="EF224" s="54" t="e">
        <f t="shared" si="402"/>
        <v>#N/A</v>
      </c>
      <c r="EG224" s="54" t="b">
        <f t="shared" si="403"/>
        <v>0</v>
      </c>
      <c r="EH224" s="54" t="b">
        <f t="shared" si="404"/>
        <v>1</v>
      </c>
      <c r="EI224" s="54" t="b">
        <f t="shared" si="405"/>
        <v>1</v>
      </c>
      <c r="EJ224" s="54" t="b">
        <f t="shared" si="406"/>
        <v>0</v>
      </c>
      <c r="EK224" s="54">
        <f t="shared" si="407"/>
        <v>5.0187318625221689E-2</v>
      </c>
      <c r="EL224" s="54">
        <f t="shared" si="408"/>
        <v>5.0187318625221689E-2</v>
      </c>
      <c r="EM224" s="54" t="e">
        <f t="shared" si="409"/>
        <v>#N/A</v>
      </c>
      <c r="EN224" s="72" t="str">
        <f t="shared" si="410"/>
        <v/>
      </c>
      <c r="EO22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2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2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24" s="54" t="e" cm="1">
        <f t="array" ref="ER224">IF($CK$3,INDEX(Eu_tabel_a[[#This Row],[Styrke venstre]:[Styrke tosidet]],ER$7),NA())</f>
        <v>#N/A</v>
      </c>
      <c r="ES224" s="54" t="e">
        <f>IF(ER$3,IF(CHOOSE(ER$7,Eu_tabel_a[[#This Row],[x base]]&gt;0,Eu_tabel_a[[#This Row],[x base]]&lt;0,Eu_tabel_a[[#This Row],[x base]]=0),1,NA()),NA())</f>
        <v>#N/A</v>
      </c>
      <c r="ET224" s="54" t="e">
        <f>IF(CHOOSE(ER$7,Eu_tabel_a[[#This Row],[x base]]&gt;0,Eu_tabel_a[[#This Row],[x base]]&lt;0,Eu_tabel_a[[#This Row],[x base]]=0),Eu_tabel_a[[#This Row],[Styrke, aktiv]],NA())</f>
        <v>#N/A</v>
      </c>
      <c r="EU224" s="54" t="e">
        <f>IFERROR(IF($ER$3,Eu_tabel_a[[#This Row],[Styrke, aktiv]],NA()),NA())</f>
        <v>#N/A</v>
      </c>
      <c r="EV224" s="54" t="e">
        <f>IF(ISNA(Eu_tabel_a[[#This Row],[Sand negativ
Nulhypotese afvises
Korrekt]]),NA(),IF(ER$3,1,NA()))</f>
        <v>#N/A</v>
      </c>
      <c r="EW224" s="55" t="str" cm="1">
        <f t="array" ref="EW224">IFERROR(_xlfn.SWITCH(Eu_tabel_a[[#This Row],[Indeks]],_xlfn.IFNA(EU$2,-99),EU$5,_xlfn.IFNA(EU$3,-99),EU$6,_xlfn.IFNA(EU$4,-99),EU$7,""),"")</f>
        <v/>
      </c>
      <c r="EX224" s="54">
        <f>Eu_tabel_a[[#This Row],[x base]]*SQRT(Eu_a_h0_x*(1-Eu_a_h0_x)/Eu_a_n_x)+Eu_a_h0_x</f>
        <v>0</v>
      </c>
      <c r="FC224" s="161" t="e">
        <f t="shared" si="354"/>
        <v>#N/A</v>
      </c>
      <c r="FD224" s="169" t="e">
        <f t="shared" si="442"/>
        <v>#DIV/0!</v>
      </c>
      <c r="FE224" s="7" t="e">
        <f t="shared" si="348"/>
        <v>#DIV/0!</v>
      </c>
      <c r="FF224" t="e">
        <f t="shared" si="443"/>
        <v>#DIV/0!</v>
      </c>
      <c r="FG224" s="8" t="e">
        <f t="shared" si="444"/>
        <v>#DIV/0!</v>
      </c>
      <c r="FH224" s="8" t="e">
        <f t="shared" si="445"/>
        <v>#DIV/0!</v>
      </c>
      <c r="FI224" s="168" t="e">
        <f t="shared" si="446"/>
        <v>#DIV/0!</v>
      </c>
      <c r="FJ224" s="161" t="e">
        <f t="shared" ca="1" si="349"/>
        <v>#N/A</v>
      </c>
      <c r="FK224" s="169" t="e" vm="3">
        <f t="shared" ca="1" si="355"/>
        <v>#VALUE!</v>
      </c>
      <c r="FL224" s="7" t="e" vm="3">
        <f t="shared" ca="1" si="350"/>
        <v>#VALUE!</v>
      </c>
      <c r="FM224" t="e" vm="3">
        <f t="shared" ca="1" si="344"/>
        <v>#VALUE!</v>
      </c>
      <c r="FN224" s="8" t="e" vm="3">
        <f t="shared" ca="1" si="345"/>
        <v>#VALUE!</v>
      </c>
      <c r="FO224" s="8" t="e" vm="3">
        <f t="shared" ca="1" si="346"/>
        <v>#VALUE!</v>
      </c>
      <c r="FP224" s="168" t="e" vm="3">
        <f t="shared" ca="1" si="347"/>
        <v>#VALUE!</v>
      </c>
      <c r="FQ224" s="161" t="e">
        <f t="shared" si="351"/>
        <v>#N/A</v>
      </c>
      <c r="FR224" s="169" t="e">
        <f t="shared" si="356"/>
        <v>#N/A</v>
      </c>
      <c r="FS224" s="7" t="e">
        <f t="shared" si="352"/>
        <v>#N/A</v>
      </c>
      <c r="FT224" t="e">
        <f t="shared" si="357"/>
        <v>#N/A</v>
      </c>
      <c r="FU224" s="8" t="e">
        <f t="shared" si="358"/>
        <v>#N/A</v>
      </c>
      <c r="FV224" s="8" t="e">
        <f t="shared" si="359"/>
        <v>#N/A</v>
      </c>
      <c r="FW224" s="168" t="e">
        <f t="shared" si="360"/>
        <v>#N/A</v>
      </c>
      <c r="FX224" s="161" t="e">
        <f t="shared" si="361"/>
        <v>#N/A</v>
      </c>
      <c r="FY224" s="169" t="e">
        <f t="shared" si="362"/>
        <v>#N/A</v>
      </c>
      <c r="FZ224" s="7" t="e">
        <f t="shared" si="353"/>
        <v>#N/A</v>
      </c>
      <c r="GA224" t="e">
        <f t="shared" si="363"/>
        <v>#N/A</v>
      </c>
      <c r="GB224" s="8" t="e">
        <f t="shared" si="364"/>
        <v>#N/A</v>
      </c>
      <c r="GC224" s="8" t="e">
        <f t="shared" si="365"/>
        <v>#N/A</v>
      </c>
      <c r="GD224" s="168" t="e">
        <f t="shared" si="366"/>
        <v>#N/A</v>
      </c>
      <c r="GE224" s="168"/>
      <c r="GF224" s="168"/>
      <c r="GI224" s="54">
        <f t="shared" si="411"/>
        <v>214</v>
      </c>
      <c r="GJ224" s="54">
        <f t="shared" si="412"/>
        <v>215</v>
      </c>
      <c r="GK224" s="54">
        <f t="shared" si="413"/>
        <v>2.0361995815834426</v>
      </c>
      <c r="GL224" s="54">
        <f t="shared" si="414"/>
        <v>5.0187318625221689E-2</v>
      </c>
      <c r="GM224" s="54" t="e">
        <f t="shared" si="415"/>
        <v>#N/A</v>
      </c>
      <c r="GN224" s="54" t="e">
        <f t="shared" si="416"/>
        <v>#N/A</v>
      </c>
      <c r="GO224" s="54" t="e">
        <f t="shared" si="417"/>
        <v>#N/A</v>
      </c>
      <c r="GP224" s="54" t="b">
        <f t="shared" si="418"/>
        <v>0</v>
      </c>
      <c r="GQ224" s="54" t="b">
        <f t="shared" si="419"/>
        <v>1</v>
      </c>
      <c r="GR224" s="54" t="b">
        <f t="shared" si="420"/>
        <v>1</v>
      </c>
      <c r="GS224" s="54" t="b">
        <f t="shared" si="421"/>
        <v>0</v>
      </c>
      <c r="GT224" s="54">
        <f t="shared" si="422"/>
        <v>5.0187318625221689E-2</v>
      </c>
      <c r="GU224" s="54">
        <f t="shared" si="423"/>
        <v>5.0187318625221689E-2</v>
      </c>
      <c r="GV224" s="54" t="e">
        <f t="shared" si="424"/>
        <v>#N/A</v>
      </c>
      <c r="GW224" s="72" t="str">
        <f t="shared" si="425"/>
        <v/>
      </c>
      <c r="HC224" s="54">
        <f t="shared" si="426"/>
        <v>214</v>
      </c>
      <c r="HD224" s="54">
        <f t="shared" si="427"/>
        <v>215</v>
      </c>
      <c r="HE224" s="54">
        <f t="shared" si="428"/>
        <v>3.1530978173198321</v>
      </c>
      <c r="HF224" s="54" t="e">
        <f t="shared" si="429"/>
        <v>#N/A</v>
      </c>
      <c r="HG224" s="54">
        <f t="shared" si="430"/>
        <v>1.1219716568102925E-2</v>
      </c>
      <c r="HH224" s="54" t="e">
        <f t="shared" si="431"/>
        <v>#N/A</v>
      </c>
      <c r="HI224" s="54" t="e">
        <f t="shared" si="432"/>
        <v>#N/A</v>
      </c>
      <c r="HJ224" s="54" t="b">
        <f t="shared" si="433"/>
        <v>0</v>
      </c>
      <c r="HK224" s="54" t="b">
        <f t="shared" si="434"/>
        <v>1</v>
      </c>
      <c r="HL224" s="54" t="b">
        <f t="shared" si="435"/>
        <v>1</v>
      </c>
      <c r="HM224" s="54" t="b">
        <f t="shared" si="436"/>
        <v>0</v>
      </c>
      <c r="HN224" s="54">
        <f t="shared" si="437"/>
        <v>1.1219716568102925E-2</v>
      </c>
      <c r="HO224" s="54" t="e">
        <f t="shared" si="438"/>
        <v>#N/A</v>
      </c>
      <c r="HP224" s="54">
        <f t="shared" si="439"/>
        <v>1.1219716568102925E-2</v>
      </c>
      <c r="HQ224" s="72" t="str">
        <f t="shared" si="440"/>
        <v/>
      </c>
    </row>
    <row r="225" spans="71:225" x14ac:dyDescent="0.2">
      <c r="BS225" s="54">
        <f t="shared" si="367"/>
        <v>215</v>
      </c>
      <c r="BT225" s="54">
        <f>Eu_tabel_g[[#This Row],[Indeks]]+1</f>
        <v>216</v>
      </c>
      <c r="BU225" s="54">
        <f t="shared" si="368"/>
        <v>2.0601548707785424</v>
      </c>
      <c r="BV225" s="54">
        <f t="shared" si="369"/>
        <v>4.7784327061153015E-2</v>
      </c>
      <c r="BW225" s="54" t="e">
        <f t="shared" si="370"/>
        <v>#N/A</v>
      </c>
      <c r="BX225" s="54" t="e">
        <f t="shared" si="371"/>
        <v>#N/A</v>
      </c>
      <c r="BY225" s="54" t="e">
        <f t="shared" si="372"/>
        <v>#N/A</v>
      </c>
      <c r="BZ225" s="54" t="b">
        <f t="shared" si="373"/>
        <v>0</v>
      </c>
      <c r="CA225" s="54" t="b">
        <f t="shared" si="374"/>
        <v>1</v>
      </c>
      <c r="CB225" s="54" t="b">
        <f t="shared" si="375"/>
        <v>1</v>
      </c>
      <c r="CC225" s="54" t="b">
        <f t="shared" si="376"/>
        <v>0</v>
      </c>
      <c r="CD225" s="54">
        <f t="shared" si="441"/>
        <v>4.7784327061153015E-2</v>
      </c>
      <c r="CE225" s="54">
        <f t="shared" si="377"/>
        <v>4.7784327061153015E-2</v>
      </c>
      <c r="CF225" s="54" t="e">
        <f t="shared" si="378"/>
        <v>#N/A</v>
      </c>
      <c r="CG225" s="72" t="str">
        <f t="shared" si="379"/>
        <v/>
      </c>
      <c r="CH225" s="54">
        <f>_xlfn.NORM.DIST(_xlfn.NORM.INV(1-Eu_g_konfidensniveau,0,1)-Eu_tabel_g[[#This Row],[x base]],0,1,TRUE)</f>
        <v>1.0569182294416857E-4</v>
      </c>
      <c r="CI225" s="54">
        <f>1-_xlfn.NORM.DIST(_xlfn.NORM.INV(Eu_g_konfidensniveau,0,1)-Eu_tabel_g[[#This Row],[x base]],0,1,TRUE)</f>
        <v>0.66103930460390115</v>
      </c>
      <c r="CJ225" s="54">
        <f>_xlfn.NORM.DIST(_xlfn.NORM.INV((1-Eu_g_konfidensniveau)/2,0,1)-Eu_tabel_g[[#This Row],[x base]],0,1,TRUE)+1-_xlfn.NORM.DIST(_xlfn.NORM.INV(1-(1-Eu_g_konfidensniveau)/2,0,1)-Eu_tabel_g[[#This Row],[x base]],0,1,TRUE)</f>
        <v>0.53993269372568653</v>
      </c>
      <c r="CK225" s="54" t="e" cm="1">
        <f t="array" ref="CK225">IF($CK$3,INDEX(Eu_tabel_g[[#This Row],[Styrke venstre]:[Styrke tosidet]],CK$7),NA())</f>
        <v>#N/A</v>
      </c>
      <c r="CL225" s="99" t="e">
        <f>Eu_tabel_g[[#This Row],[Falsk positiv
Nulhypotese accepteres
Fejltype 1]]</f>
        <v>#N/A</v>
      </c>
      <c r="CM225" s="99" t="e">
        <f>IF(CHOOSE(CK$7,Eu_tabel_g[[#This Row],[x base]]&gt;0,Eu_tabel_g[[#This Row],[x base]]&lt;0,Eu_tabel_g[[#This Row],[x base]]=0),Eu_tabel_g[[#This Row],[Styrke, aktiv]],NA())</f>
        <v>#N/A</v>
      </c>
      <c r="CN225" s="99" t="e">
        <f>IFERROR(IF($CK$3,Eu_tabel_g[[#This Row],[Styrke, aktiv]],NA()),NA())</f>
        <v>#N/A</v>
      </c>
      <c r="CO225" s="99" t="e">
        <f>IF(ISNA(Eu_tabel_g[[#This Row],[Sand negativ
Nulhypotese afvises
Korrekt]]),NA(),IF($CK$3,1,NA()))</f>
        <v>#N/A</v>
      </c>
      <c r="CP225" s="56" t="str" cm="1">
        <f t="array" ref="CP225">_xlfn.SWITCH(BS225,_xlfn.IFNA(CN$2,-99),CN$5,_xlfn.IFNA(CN$3,-99),CN$6,_xlfn.IFNA(CN$4,-99),CN$7,"")</f>
        <v/>
      </c>
      <c r="CT225" s="7">
        <f t="shared" si="380"/>
        <v>0.8</v>
      </c>
      <c r="CU225">
        <f>IF(ROW(Styrkeberegning_G[[#This Row],[X base venstre]])=ROW(Styrkeberegning_G[[#Headers],[X base venstre]])+1,CU$7/(CT$7/$B$67),CU224/(CT224/$B$67))</f>
        <v>-2.8015817870135784</v>
      </c>
      <c r="CV225">
        <f>Styrkeberegning_G[[#This Row],[X base venstre]]*-1</f>
        <v>2.8015817870135784</v>
      </c>
      <c r="DG225" s="54">
        <f t="shared" si="381"/>
        <v>215</v>
      </c>
      <c r="DH225" s="54">
        <f t="shared" si="382"/>
        <v>216</v>
      </c>
      <c r="DI225" s="54">
        <f t="shared" si="383"/>
        <v>26.359086794308904</v>
      </c>
      <c r="DJ225" s="54" t="e">
        <f t="shared" si="384"/>
        <v>#N/A</v>
      </c>
      <c r="DK225" s="54" t="e">
        <f t="shared" si="385"/>
        <v>#N/A</v>
      </c>
      <c r="DL225" s="54">
        <f t="shared" si="386"/>
        <v>1.9763411190320398E-3</v>
      </c>
      <c r="DM225" s="54" t="e">
        <f t="shared" si="387"/>
        <v>#N/A</v>
      </c>
      <c r="DN225" s="54" t="b">
        <f t="shared" si="388"/>
        <v>0</v>
      </c>
      <c r="DO225" s="54" t="b">
        <f t="shared" si="389"/>
        <v>1</v>
      </c>
      <c r="DP225" s="54" t="b">
        <f t="shared" si="390"/>
        <v>1</v>
      </c>
      <c r="DQ225" s="54" t="b">
        <f t="shared" si="391"/>
        <v>0</v>
      </c>
      <c r="DR225" s="54">
        <f t="shared" si="392"/>
        <v>1.9763411190320398E-3</v>
      </c>
      <c r="DS225" s="54">
        <f t="shared" si="393"/>
        <v>1.9763411190320398E-3</v>
      </c>
      <c r="DT225" s="54" t="e">
        <f t="shared" si="394"/>
        <v>#N/A</v>
      </c>
      <c r="DU225" s="72" t="str">
        <f t="shared" si="395"/>
        <v/>
      </c>
      <c r="DZ225" s="54">
        <f t="shared" si="396"/>
        <v>215</v>
      </c>
      <c r="EA225" s="54">
        <f t="shared" si="397"/>
        <v>216</v>
      </c>
      <c r="EB225" s="54">
        <f t="shared" si="398"/>
        <v>2.0601548707785424</v>
      </c>
      <c r="EC225" s="54">
        <f t="shared" si="399"/>
        <v>4.7784327061153015E-2</v>
      </c>
      <c r="ED225" s="54" t="e">
        <f t="shared" si="400"/>
        <v>#N/A</v>
      </c>
      <c r="EE225" s="54" t="e">
        <f t="shared" si="401"/>
        <v>#N/A</v>
      </c>
      <c r="EF225" s="54" t="e">
        <f t="shared" si="402"/>
        <v>#N/A</v>
      </c>
      <c r="EG225" s="54" t="b">
        <f t="shared" si="403"/>
        <v>0</v>
      </c>
      <c r="EH225" s="54" t="b">
        <f t="shared" si="404"/>
        <v>1</v>
      </c>
      <c r="EI225" s="54" t="b">
        <f t="shared" si="405"/>
        <v>1</v>
      </c>
      <c r="EJ225" s="54" t="b">
        <f t="shared" si="406"/>
        <v>0</v>
      </c>
      <c r="EK225" s="54">
        <f t="shared" si="407"/>
        <v>4.7784327061153015E-2</v>
      </c>
      <c r="EL225" s="54">
        <f t="shared" si="408"/>
        <v>4.7784327061153015E-2</v>
      </c>
      <c r="EM225" s="54" t="e">
        <f t="shared" si="409"/>
        <v>#N/A</v>
      </c>
      <c r="EN225" s="72" t="str">
        <f t="shared" si="410"/>
        <v/>
      </c>
      <c r="EO22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2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2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25" s="54" t="e" cm="1">
        <f t="array" ref="ER225">IF($CK$3,INDEX(Eu_tabel_a[[#This Row],[Styrke venstre]:[Styrke tosidet]],ER$7),NA())</f>
        <v>#N/A</v>
      </c>
      <c r="ES225" s="54" t="e">
        <f>IF(ER$3,IF(CHOOSE(ER$7,Eu_tabel_a[[#This Row],[x base]]&gt;0,Eu_tabel_a[[#This Row],[x base]]&lt;0,Eu_tabel_a[[#This Row],[x base]]=0),1,NA()),NA())</f>
        <v>#N/A</v>
      </c>
      <c r="ET225" s="54" t="e">
        <f>IF(CHOOSE(ER$7,Eu_tabel_a[[#This Row],[x base]]&gt;0,Eu_tabel_a[[#This Row],[x base]]&lt;0,Eu_tabel_a[[#This Row],[x base]]=0),Eu_tabel_a[[#This Row],[Styrke, aktiv]],NA())</f>
        <v>#N/A</v>
      </c>
      <c r="EU225" s="54" t="e">
        <f>IFERROR(IF($ER$3,Eu_tabel_a[[#This Row],[Styrke, aktiv]],NA()),NA())</f>
        <v>#N/A</v>
      </c>
      <c r="EV225" s="54" t="e">
        <f>IF(ISNA(Eu_tabel_a[[#This Row],[Sand negativ
Nulhypotese afvises
Korrekt]]),NA(),IF(ER$3,1,NA()))</f>
        <v>#N/A</v>
      </c>
      <c r="EW225" s="55" t="str" cm="1">
        <f t="array" ref="EW225">IFERROR(_xlfn.SWITCH(Eu_tabel_a[[#This Row],[Indeks]],_xlfn.IFNA(EU$2,-99),EU$5,_xlfn.IFNA(EU$3,-99),EU$6,_xlfn.IFNA(EU$4,-99),EU$7,""),"")</f>
        <v/>
      </c>
      <c r="EX225" s="54">
        <f>Eu_tabel_a[[#This Row],[x base]]*SQRT(Eu_a_h0_x*(1-Eu_a_h0_x)/Eu_a_n_x)+Eu_a_h0_x</f>
        <v>0</v>
      </c>
      <c r="FC225" s="161" t="e">
        <f t="shared" si="354"/>
        <v>#N/A</v>
      </c>
      <c r="FD225" s="169" t="e">
        <f t="shared" si="442"/>
        <v>#DIV/0!</v>
      </c>
      <c r="FE225" s="7" t="e">
        <f t="shared" si="348"/>
        <v>#DIV/0!</v>
      </c>
      <c r="FF225" t="e">
        <f t="shared" si="443"/>
        <v>#DIV/0!</v>
      </c>
      <c r="FG225" s="8" t="e">
        <f t="shared" si="444"/>
        <v>#DIV/0!</v>
      </c>
      <c r="FH225" s="8" t="e">
        <f t="shared" si="445"/>
        <v>#DIV/0!</v>
      </c>
      <c r="FI225" s="168" t="e">
        <f t="shared" si="446"/>
        <v>#DIV/0!</v>
      </c>
      <c r="FJ225" s="161" t="e">
        <f t="shared" ca="1" si="349"/>
        <v>#N/A</v>
      </c>
      <c r="FK225" s="169" t="e" vm="3">
        <f t="shared" ca="1" si="355"/>
        <v>#VALUE!</v>
      </c>
      <c r="FL225" s="7" t="e" vm="3">
        <f t="shared" ca="1" si="350"/>
        <v>#VALUE!</v>
      </c>
      <c r="FM225" t="e" vm="3">
        <f t="shared" ca="1" si="344"/>
        <v>#VALUE!</v>
      </c>
      <c r="FN225" s="8" t="e" vm="3">
        <f t="shared" ca="1" si="345"/>
        <v>#VALUE!</v>
      </c>
      <c r="FO225" s="8" t="e" vm="3">
        <f t="shared" ca="1" si="346"/>
        <v>#VALUE!</v>
      </c>
      <c r="FP225" s="168" t="e" vm="3">
        <f t="shared" ca="1" si="347"/>
        <v>#VALUE!</v>
      </c>
      <c r="FQ225" s="161" t="e">
        <f t="shared" si="351"/>
        <v>#N/A</v>
      </c>
      <c r="FR225" s="169" t="e">
        <f t="shared" si="356"/>
        <v>#N/A</v>
      </c>
      <c r="FS225" s="7" t="e">
        <f t="shared" si="352"/>
        <v>#N/A</v>
      </c>
      <c r="FT225" t="e">
        <f t="shared" si="357"/>
        <v>#N/A</v>
      </c>
      <c r="FU225" s="8" t="e">
        <f t="shared" si="358"/>
        <v>#N/A</v>
      </c>
      <c r="FV225" s="8" t="e">
        <f t="shared" si="359"/>
        <v>#N/A</v>
      </c>
      <c r="FW225" s="168" t="e">
        <f t="shared" si="360"/>
        <v>#N/A</v>
      </c>
      <c r="FX225" s="161" t="e">
        <f t="shared" si="361"/>
        <v>#N/A</v>
      </c>
      <c r="FY225" s="169" t="e">
        <f t="shared" si="362"/>
        <v>#N/A</v>
      </c>
      <c r="FZ225" s="7" t="e">
        <f t="shared" si="353"/>
        <v>#N/A</v>
      </c>
      <c r="GA225" t="e">
        <f t="shared" si="363"/>
        <v>#N/A</v>
      </c>
      <c r="GB225" s="8" t="e">
        <f t="shared" si="364"/>
        <v>#N/A</v>
      </c>
      <c r="GC225" s="8" t="e">
        <f t="shared" si="365"/>
        <v>#N/A</v>
      </c>
      <c r="GD225" s="168" t="e">
        <f t="shared" si="366"/>
        <v>#N/A</v>
      </c>
      <c r="GE225" s="168"/>
      <c r="GF225" s="168"/>
      <c r="GI225" s="54">
        <f t="shared" si="411"/>
        <v>215</v>
      </c>
      <c r="GJ225" s="54">
        <f t="shared" si="412"/>
        <v>216</v>
      </c>
      <c r="GK225" s="54">
        <f t="shared" si="413"/>
        <v>2.0601548707785424</v>
      </c>
      <c r="GL225" s="54">
        <f t="shared" si="414"/>
        <v>4.7784327061153015E-2</v>
      </c>
      <c r="GM225" s="54" t="e">
        <f t="shared" si="415"/>
        <v>#N/A</v>
      </c>
      <c r="GN225" s="54" t="e">
        <f t="shared" si="416"/>
        <v>#N/A</v>
      </c>
      <c r="GO225" s="54" t="e">
        <f t="shared" si="417"/>
        <v>#N/A</v>
      </c>
      <c r="GP225" s="54" t="b">
        <f t="shared" si="418"/>
        <v>0</v>
      </c>
      <c r="GQ225" s="54" t="b">
        <f t="shared" si="419"/>
        <v>1</v>
      </c>
      <c r="GR225" s="54" t="b">
        <f t="shared" si="420"/>
        <v>1</v>
      </c>
      <c r="GS225" s="54" t="b">
        <f t="shared" si="421"/>
        <v>0</v>
      </c>
      <c r="GT225" s="54">
        <f t="shared" si="422"/>
        <v>4.7784327061153015E-2</v>
      </c>
      <c r="GU225" s="54">
        <f t="shared" si="423"/>
        <v>4.7784327061153015E-2</v>
      </c>
      <c r="GV225" s="54" t="e">
        <f t="shared" si="424"/>
        <v>#N/A</v>
      </c>
      <c r="GW225" s="72" t="str">
        <f t="shared" si="425"/>
        <v/>
      </c>
      <c r="HC225" s="54">
        <f t="shared" si="426"/>
        <v>215</v>
      </c>
      <c r="HD225" s="54">
        <f t="shared" si="427"/>
        <v>216</v>
      </c>
      <c r="HE225" s="54">
        <f t="shared" si="428"/>
        <v>3.1901930857588887</v>
      </c>
      <c r="HF225" s="54" t="e">
        <f t="shared" si="429"/>
        <v>#N/A</v>
      </c>
      <c r="HG225" s="54">
        <f t="shared" si="430"/>
        <v>1.061745464710373E-2</v>
      </c>
      <c r="HH225" s="54" t="e">
        <f t="shared" si="431"/>
        <v>#N/A</v>
      </c>
      <c r="HI225" s="54" t="e">
        <f t="shared" si="432"/>
        <v>#N/A</v>
      </c>
      <c r="HJ225" s="54" t="b">
        <f t="shared" si="433"/>
        <v>0</v>
      </c>
      <c r="HK225" s="54" t="b">
        <f t="shared" si="434"/>
        <v>1</v>
      </c>
      <c r="HL225" s="54" t="b">
        <f t="shared" si="435"/>
        <v>1</v>
      </c>
      <c r="HM225" s="54" t="b">
        <f t="shared" si="436"/>
        <v>0</v>
      </c>
      <c r="HN225" s="54">
        <f t="shared" si="437"/>
        <v>1.061745464710373E-2</v>
      </c>
      <c r="HO225" s="54" t="e">
        <f t="shared" si="438"/>
        <v>#N/A</v>
      </c>
      <c r="HP225" s="54">
        <f t="shared" si="439"/>
        <v>1.061745464710373E-2</v>
      </c>
      <c r="HQ225" s="72" t="str">
        <f t="shared" si="440"/>
        <v/>
      </c>
    </row>
    <row r="226" spans="71:225" x14ac:dyDescent="0.2">
      <c r="BS226" s="54">
        <f t="shared" si="367"/>
        <v>216</v>
      </c>
      <c r="BT226" s="54">
        <f>Eu_tabel_g[[#This Row],[Indeks]]+1</f>
        <v>217</v>
      </c>
      <c r="BU226" s="54">
        <f t="shared" si="368"/>
        <v>2.0841101599736414</v>
      </c>
      <c r="BV226" s="54">
        <f t="shared" si="369"/>
        <v>4.5470290940174081E-2</v>
      </c>
      <c r="BW226" s="54" t="e">
        <f t="shared" si="370"/>
        <v>#N/A</v>
      </c>
      <c r="BX226" s="54" t="e">
        <f t="shared" si="371"/>
        <v>#N/A</v>
      </c>
      <c r="BY226" s="54" t="e">
        <f t="shared" si="372"/>
        <v>#N/A</v>
      </c>
      <c r="BZ226" s="54" t="b">
        <f t="shared" si="373"/>
        <v>0</v>
      </c>
      <c r="CA226" s="54" t="b">
        <f t="shared" si="374"/>
        <v>1</v>
      </c>
      <c r="CB226" s="54" t="b">
        <f t="shared" si="375"/>
        <v>1</v>
      </c>
      <c r="CC226" s="54" t="b">
        <f t="shared" si="376"/>
        <v>0</v>
      </c>
      <c r="CD226" s="54">
        <f t="shared" si="441"/>
        <v>4.5470290940174081E-2</v>
      </c>
      <c r="CE226" s="54">
        <f t="shared" si="377"/>
        <v>4.5470290940174081E-2</v>
      </c>
      <c r="CF226" s="54" t="e">
        <f t="shared" si="378"/>
        <v>#N/A</v>
      </c>
      <c r="CG226" s="72" t="str">
        <f t="shared" si="379"/>
        <v/>
      </c>
      <c r="CH226" s="54">
        <f>_xlfn.NORM.DIST(_xlfn.NORM.INV(1-Eu_g_konfidensniveau,0,1)-Eu_tabel_g[[#This Row],[x base]],0,1,TRUE)</f>
        <v>9.6134388684750602E-5</v>
      </c>
      <c r="CI226" s="54">
        <f>1-_xlfn.NORM.DIST(_xlfn.NORM.INV(Eu_g_konfidensniveau,0,1)-Eu_tabel_g[[#This Row],[x base]],0,1,TRUE)</f>
        <v>0.66976216699595215</v>
      </c>
      <c r="CJ226" s="54">
        <f>_xlfn.NORM.DIST(_xlfn.NORM.INV((1-Eu_g_konfidensniveau)/2,0,1)-Eu_tabel_g[[#This Row],[x base]],0,1,TRUE)+1-_xlfn.NORM.DIST(_xlfn.NORM.INV(1-(1-Eu_g_konfidensniveau)/2,0,1)-Eu_tabel_g[[#This Row],[x base]],0,1,TRUE)</f>
        <v>0.54942649604071103</v>
      </c>
      <c r="CK226" s="54" t="e" cm="1">
        <f t="array" ref="CK226">IF($CK$3,INDEX(Eu_tabel_g[[#This Row],[Styrke venstre]:[Styrke tosidet]],CK$7),NA())</f>
        <v>#N/A</v>
      </c>
      <c r="CL226" s="99" t="e">
        <f>Eu_tabel_g[[#This Row],[Falsk positiv
Nulhypotese accepteres
Fejltype 1]]</f>
        <v>#N/A</v>
      </c>
      <c r="CM226" s="99" t="e">
        <f>IF(CHOOSE(CK$7,Eu_tabel_g[[#This Row],[x base]]&gt;0,Eu_tabel_g[[#This Row],[x base]]&lt;0,Eu_tabel_g[[#This Row],[x base]]=0),Eu_tabel_g[[#This Row],[Styrke, aktiv]],NA())</f>
        <v>#N/A</v>
      </c>
      <c r="CN226" s="99" t="e">
        <f>IFERROR(IF($CK$3,Eu_tabel_g[[#This Row],[Styrke, aktiv]],NA()),NA())</f>
        <v>#N/A</v>
      </c>
      <c r="CO226" s="99" t="e">
        <f>IF(ISNA(Eu_tabel_g[[#This Row],[Sand negativ
Nulhypotese afvises
Korrekt]]),NA(),IF($CK$3,1,NA()))</f>
        <v>#N/A</v>
      </c>
      <c r="CP226" s="56" t="str" cm="1">
        <f t="array" ref="CP226">_xlfn.SWITCH(BS226,_xlfn.IFNA(CN$2,-99),CN$5,_xlfn.IFNA(CN$3,-99),CN$6,_xlfn.IFNA(CN$4,-99),CN$7,"")</f>
        <v/>
      </c>
      <c r="CT226" s="7">
        <f t="shared" si="380"/>
        <v>0.8</v>
      </c>
      <c r="CU226">
        <f>IF(ROW(Styrkeberegning_G[[#This Row],[X base venstre]])=ROW(Styrkeberegning_G[[#Headers],[X base venstre]])+1,CU$7/(CT$7/$B$67),CU225/(CT225/$B$67))</f>
        <v>-2.8015817870135784</v>
      </c>
      <c r="CV226">
        <f>Styrkeberegning_G[[#This Row],[X base venstre]]*-1</f>
        <v>2.8015817870135784</v>
      </c>
      <c r="DG226" s="54">
        <f t="shared" si="381"/>
        <v>216</v>
      </c>
      <c r="DH226" s="54">
        <f t="shared" si="382"/>
        <v>217</v>
      </c>
      <c r="DI226" s="54">
        <f t="shared" si="383"/>
        <v>26.473157650725906</v>
      </c>
      <c r="DJ226" s="54" t="e">
        <f t="shared" si="384"/>
        <v>#N/A</v>
      </c>
      <c r="DK226" s="54" t="e">
        <f t="shared" si="385"/>
        <v>#N/A</v>
      </c>
      <c r="DL226" s="54">
        <f t="shared" si="386"/>
        <v>1.9034039702618313E-3</v>
      </c>
      <c r="DM226" s="54" t="e">
        <f t="shared" si="387"/>
        <v>#N/A</v>
      </c>
      <c r="DN226" s="54" t="b">
        <f t="shared" si="388"/>
        <v>0</v>
      </c>
      <c r="DO226" s="54" t="b">
        <f t="shared" si="389"/>
        <v>1</v>
      </c>
      <c r="DP226" s="54" t="b">
        <f t="shared" si="390"/>
        <v>1</v>
      </c>
      <c r="DQ226" s="54" t="b">
        <f t="shared" si="391"/>
        <v>0</v>
      </c>
      <c r="DR226" s="54">
        <f t="shared" si="392"/>
        <v>1.9034039702618313E-3</v>
      </c>
      <c r="DS226" s="54">
        <f t="shared" si="393"/>
        <v>1.9034039702618313E-3</v>
      </c>
      <c r="DT226" s="54" t="e">
        <f t="shared" si="394"/>
        <v>#N/A</v>
      </c>
      <c r="DU226" s="72" t="str">
        <f t="shared" si="395"/>
        <v/>
      </c>
      <c r="DZ226" s="54">
        <f t="shared" si="396"/>
        <v>216</v>
      </c>
      <c r="EA226" s="54">
        <f t="shared" si="397"/>
        <v>217</v>
      </c>
      <c r="EB226" s="54">
        <f t="shared" si="398"/>
        <v>2.0841101599736414</v>
      </c>
      <c r="EC226" s="54">
        <f t="shared" si="399"/>
        <v>4.5470290940174081E-2</v>
      </c>
      <c r="ED226" s="54" t="e">
        <f t="shared" si="400"/>
        <v>#N/A</v>
      </c>
      <c r="EE226" s="54" t="e">
        <f t="shared" si="401"/>
        <v>#N/A</v>
      </c>
      <c r="EF226" s="54" t="e">
        <f t="shared" si="402"/>
        <v>#N/A</v>
      </c>
      <c r="EG226" s="54" t="b">
        <f t="shared" si="403"/>
        <v>0</v>
      </c>
      <c r="EH226" s="54" t="b">
        <f t="shared" si="404"/>
        <v>1</v>
      </c>
      <c r="EI226" s="54" t="b">
        <f t="shared" si="405"/>
        <v>1</v>
      </c>
      <c r="EJ226" s="54" t="b">
        <f t="shared" si="406"/>
        <v>0</v>
      </c>
      <c r="EK226" s="54">
        <f t="shared" si="407"/>
        <v>4.5470290940174081E-2</v>
      </c>
      <c r="EL226" s="54">
        <f t="shared" si="408"/>
        <v>4.5470290940174081E-2</v>
      </c>
      <c r="EM226" s="54" t="e">
        <f t="shared" si="409"/>
        <v>#N/A</v>
      </c>
      <c r="EN226" s="72" t="str">
        <f t="shared" si="410"/>
        <v/>
      </c>
      <c r="EO22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2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2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26" s="54" t="e" cm="1">
        <f t="array" ref="ER226">IF($CK$3,INDEX(Eu_tabel_a[[#This Row],[Styrke venstre]:[Styrke tosidet]],ER$7),NA())</f>
        <v>#N/A</v>
      </c>
      <c r="ES226" s="54" t="e">
        <f>IF(ER$3,IF(CHOOSE(ER$7,Eu_tabel_a[[#This Row],[x base]]&gt;0,Eu_tabel_a[[#This Row],[x base]]&lt;0,Eu_tabel_a[[#This Row],[x base]]=0),1,NA()),NA())</f>
        <v>#N/A</v>
      </c>
      <c r="ET226" s="54" t="e">
        <f>IF(CHOOSE(ER$7,Eu_tabel_a[[#This Row],[x base]]&gt;0,Eu_tabel_a[[#This Row],[x base]]&lt;0,Eu_tabel_a[[#This Row],[x base]]=0),Eu_tabel_a[[#This Row],[Styrke, aktiv]],NA())</f>
        <v>#N/A</v>
      </c>
      <c r="EU226" s="54" t="e">
        <f>IFERROR(IF($ER$3,Eu_tabel_a[[#This Row],[Styrke, aktiv]],NA()),NA())</f>
        <v>#N/A</v>
      </c>
      <c r="EV226" s="54" t="e">
        <f>IF(ISNA(Eu_tabel_a[[#This Row],[Sand negativ
Nulhypotese afvises
Korrekt]]),NA(),IF(ER$3,1,NA()))</f>
        <v>#N/A</v>
      </c>
      <c r="EW226" s="55" t="str" cm="1">
        <f t="array" ref="EW226">IFERROR(_xlfn.SWITCH(Eu_tabel_a[[#This Row],[Indeks]],_xlfn.IFNA(EU$2,-99),EU$5,_xlfn.IFNA(EU$3,-99),EU$6,_xlfn.IFNA(EU$4,-99),EU$7,""),"")</f>
        <v/>
      </c>
      <c r="EX226" s="54">
        <f>Eu_tabel_a[[#This Row],[x base]]*SQRT(Eu_a_h0_x*(1-Eu_a_h0_x)/Eu_a_n_x)+Eu_a_h0_x</f>
        <v>0</v>
      </c>
      <c r="FC226" s="161" t="e">
        <f t="shared" si="354"/>
        <v>#N/A</v>
      </c>
      <c r="FD226" s="169" t="e">
        <f t="shared" si="442"/>
        <v>#DIV/0!</v>
      </c>
      <c r="FE226" s="7" t="e">
        <f t="shared" si="348"/>
        <v>#DIV/0!</v>
      </c>
      <c r="FF226" t="e">
        <f t="shared" si="443"/>
        <v>#DIV/0!</v>
      </c>
      <c r="FG226" s="8" t="e">
        <f t="shared" si="444"/>
        <v>#DIV/0!</v>
      </c>
      <c r="FH226" s="8" t="e">
        <f t="shared" si="445"/>
        <v>#DIV/0!</v>
      </c>
      <c r="FI226" s="168" t="e">
        <f t="shared" si="446"/>
        <v>#DIV/0!</v>
      </c>
      <c r="FJ226" s="161" t="e">
        <f t="shared" ca="1" si="349"/>
        <v>#N/A</v>
      </c>
      <c r="FK226" s="169" t="e" vm="3">
        <f t="shared" ca="1" si="355"/>
        <v>#VALUE!</v>
      </c>
      <c r="FL226" s="7" t="e" vm="3">
        <f t="shared" ca="1" si="350"/>
        <v>#VALUE!</v>
      </c>
      <c r="FM226" t="e" vm="3">
        <f t="shared" ca="1" si="344"/>
        <v>#VALUE!</v>
      </c>
      <c r="FN226" s="8" t="e" vm="3">
        <f t="shared" ca="1" si="345"/>
        <v>#VALUE!</v>
      </c>
      <c r="FO226" s="8" t="e" vm="3">
        <f t="shared" ca="1" si="346"/>
        <v>#VALUE!</v>
      </c>
      <c r="FP226" s="168" t="e" vm="3">
        <f t="shared" ca="1" si="347"/>
        <v>#VALUE!</v>
      </c>
      <c r="FQ226" s="161" t="e">
        <f t="shared" si="351"/>
        <v>#N/A</v>
      </c>
      <c r="FR226" s="169" t="e">
        <f t="shared" si="356"/>
        <v>#N/A</v>
      </c>
      <c r="FS226" s="7" t="e">
        <f t="shared" si="352"/>
        <v>#N/A</v>
      </c>
      <c r="FT226" t="e">
        <f t="shared" si="357"/>
        <v>#N/A</v>
      </c>
      <c r="FU226" s="8" t="e">
        <f t="shared" si="358"/>
        <v>#N/A</v>
      </c>
      <c r="FV226" s="8" t="e">
        <f t="shared" si="359"/>
        <v>#N/A</v>
      </c>
      <c r="FW226" s="168" t="e">
        <f t="shared" si="360"/>
        <v>#N/A</v>
      </c>
      <c r="FX226" s="161" t="e">
        <f t="shared" si="361"/>
        <v>#N/A</v>
      </c>
      <c r="FY226" s="169" t="e">
        <f t="shared" si="362"/>
        <v>#N/A</v>
      </c>
      <c r="FZ226" s="7" t="e">
        <f t="shared" si="353"/>
        <v>#N/A</v>
      </c>
      <c r="GA226" t="e">
        <f t="shared" si="363"/>
        <v>#N/A</v>
      </c>
      <c r="GB226" s="8" t="e">
        <f t="shared" si="364"/>
        <v>#N/A</v>
      </c>
      <c r="GC226" s="8" t="e">
        <f t="shared" si="365"/>
        <v>#N/A</v>
      </c>
      <c r="GD226" s="168" t="e">
        <f t="shared" si="366"/>
        <v>#N/A</v>
      </c>
      <c r="GE226" s="168"/>
      <c r="GF226" s="168"/>
      <c r="GI226" s="54">
        <f t="shared" si="411"/>
        <v>216</v>
      </c>
      <c r="GJ226" s="54">
        <f t="shared" si="412"/>
        <v>217</v>
      </c>
      <c r="GK226" s="54">
        <f t="shared" si="413"/>
        <v>2.0841101599736414</v>
      </c>
      <c r="GL226" s="54">
        <f t="shared" si="414"/>
        <v>4.5470290940174081E-2</v>
      </c>
      <c r="GM226" s="54" t="e">
        <f t="shared" si="415"/>
        <v>#N/A</v>
      </c>
      <c r="GN226" s="54" t="e">
        <f t="shared" si="416"/>
        <v>#N/A</v>
      </c>
      <c r="GO226" s="54" t="e">
        <f t="shared" si="417"/>
        <v>#N/A</v>
      </c>
      <c r="GP226" s="54" t="b">
        <f t="shared" si="418"/>
        <v>0</v>
      </c>
      <c r="GQ226" s="54" t="b">
        <f t="shared" si="419"/>
        <v>1</v>
      </c>
      <c r="GR226" s="54" t="b">
        <f t="shared" si="420"/>
        <v>1</v>
      </c>
      <c r="GS226" s="54" t="b">
        <f t="shared" si="421"/>
        <v>0</v>
      </c>
      <c r="GT226" s="54">
        <f t="shared" si="422"/>
        <v>4.5470290940174081E-2</v>
      </c>
      <c r="GU226" s="54">
        <f t="shared" si="423"/>
        <v>4.5470290940174081E-2</v>
      </c>
      <c r="GV226" s="54" t="e">
        <f t="shared" si="424"/>
        <v>#N/A</v>
      </c>
      <c r="GW226" s="72" t="str">
        <f t="shared" si="425"/>
        <v/>
      </c>
      <c r="HC226" s="54">
        <f t="shared" si="426"/>
        <v>216</v>
      </c>
      <c r="HD226" s="54">
        <f t="shared" si="427"/>
        <v>217</v>
      </c>
      <c r="HE226" s="54">
        <f t="shared" si="428"/>
        <v>3.2272883541979454</v>
      </c>
      <c r="HF226" s="54" t="e">
        <f t="shared" si="429"/>
        <v>#N/A</v>
      </c>
      <c r="HG226" s="54">
        <f t="shared" si="430"/>
        <v>1.0048712376837356E-2</v>
      </c>
      <c r="HH226" s="54" t="e">
        <f t="shared" si="431"/>
        <v>#N/A</v>
      </c>
      <c r="HI226" s="54" t="e">
        <f t="shared" si="432"/>
        <v>#N/A</v>
      </c>
      <c r="HJ226" s="54" t="b">
        <f t="shared" si="433"/>
        <v>0</v>
      </c>
      <c r="HK226" s="54" t="b">
        <f t="shared" si="434"/>
        <v>1</v>
      </c>
      <c r="HL226" s="54" t="b">
        <f t="shared" si="435"/>
        <v>1</v>
      </c>
      <c r="HM226" s="54" t="b">
        <f t="shared" si="436"/>
        <v>0</v>
      </c>
      <c r="HN226" s="54">
        <f t="shared" si="437"/>
        <v>1.0048712376837356E-2</v>
      </c>
      <c r="HO226" s="54" t="e">
        <f t="shared" si="438"/>
        <v>#N/A</v>
      </c>
      <c r="HP226" s="54">
        <f t="shared" si="439"/>
        <v>1.0048712376837356E-2</v>
      </c>
      <c r="HQ226" s="72" t="str">
        <f t="shared" si="440"/>
        <v/>
      </c>
    </row>
    <row r="227" spans="71:225" x14ac:dyDescent="0.2">
      <c r="BS227" s="54">
        <f t="shared" si="367"/>
        <v>217</v>
      </c>
      <c r="BT227" s="54">
        <f>Eu_tabel_g[[#This Row],[Indeks]]+1</f>
        <v>218</v>
      </c>
      <c r="BU227" s="54">
        <f t="shared" si="368"/>
        <v>2.1080654491687403</v>
      </c>
      <c r="BV227" s="54">
        <f t="shared" si="369"/>
        <v>4.3243493241990325E-2</v>
      </c>
      <c r="BW227" s="54" t="e">
        <f t="shared" si="370"/>
        <v>#N/A</v>
      </c>
      <c r="BX227" s="54" t="e">
        <f t="shared" si="371"/>
        <v>#N/A</v>
      </c>
      <c r="BY227" s="54" t="e">
        <f t="shared" si="372"/>
        <v>#N/A</v>
      </c>
      <c r="BZ227" s="54" t="b">
        <f t="shared" si="373"/>
        <v>0</v>
      </c>
      <c r="CA227" s="54" t="b">
        <f t="shared" si="374"/>
        <v>1</v>
      </c>
      <c r="CB227" s="54" t="b">
        <f t="shared" si="375"/>
        <v>1</v>
      </c>
      <c r="CC227" s="54" t="b">
        <f t="shared" si="376"/>
        <v>0</v>
      </c>
      <c r="CD227" s="54">
        <f t="shared" si="441"/>
        <v>4.3243493241990325E-2</v>
      </c>
      <c r="CE227" s="54">
        <f t="shared" si="377"/>
        <v>4.3243493241990325E-2</v>
      </c>
      <c r="CF227" s="54" t="e">
        <f t="shared" si="378"/>
        <v>#N/A</v>
      </c>
      <c r="CG227" s="72" t="str">
        <f t="shared" si="379"/>
        <v/>
      </c>
      <c r="CH227" s="54">
        <f>_xlfn.NORM.DIST(_xlfn.NORM.INV(1-Eu_g_konfidensniveau,0,1)-Eu_tabel_g[[#This Row],[x base]],0,1,TRUE)</f>
        <v>8.7393645895583391E-5</v>
      </c>
      <c r="CI227" s="54">
        <f>1-_xlfn.NORM.DIST(_xlfn.NORM.INV(Eu_g_konfidensniveau,0,1)-Eu_tabel_g[[#This Row],[x base]],0,1,TRUE)</f>
        <v>0.6783937284840611</v>
      </c>
      <c r="CJ227" s="54">
        <f>_xlfn.NORM.DIST(_xlfn.NORM.INV((1-Eu_g_konfidensniveau)/2,0,1)-Eu_tabel_g[[#This Row],[x base]],0,1,TRUE)+1-_xlfn.NORM.DIST(_xlfn.NORM.INV(1-(1-Eu_g_konfidensniveau)/2,0,1)-Eu_tabel_g[[#This Row],[x base]],0,1,TRUE)</f>
        <v>0.55889235940323378</v>
      </c>
      <c r="CK227" s="54" t="e" cm="1">
        <f t="array" ref="CK227">IF($CK$3,INDEX(Eu_tabel_g[[#This Row],[Styrke venstre]:[Styrke tosidet]],CK$7),NA())</f>
        <v>#N/A</v>
      </c>
      <c r="CL227" s="99" t="e">
        <f>Eu_tabel_g[[#This Row],[Falsk positiv
Nulhypotese accepteres
Fejltype 1]]</f>
        <v>#N/A</v>
      </c>
      <c r="CM227" s="99" t="e">
        <f>IF(CHOOSE(CK$7,Eu_tabel_g[[#This Row],[x base]]&gt;0,Eu_tabel_g[[#This Row],[x base]]&lt;0,Eu_tabel_g[[#This Row],[x base]]=0),Eu_tabel_g[[#This Row],[Styrke, aktiv]],NA())</f>
        <v>#N/A</v>
      </c>
      <c r="CN227" s="99" t="e">
        <f>IFERROR(IF($CK$3,Eu_tabel_g[[#This Row],[Styrke, aktiv]],NA()),NA())</f>
        <v>#N/A</v>
      </c>
      <c r="CO227" s="99" t="e">
        <f>IF(ISNA(Eu_tabel_g[[#This Row],[Sand negativ
Nulhypotese afvises
Korrekt]]),NA(),IF($CK$3,1,NA()))</f>
        <v>#N/A</v>
      </c>
      <c r="CP227" s="56" t="str" cm="1">
        <f t="array" ref="CP227">_xlfn.SWITCH(BS227,_xlfn.IFNA(CN$2,-99),CN$5,_xlfn.IFNA(CN$3,-99),CN$6,_xlfn.IFNA(CN$4,-99),CN$7,"")</f>
        <v/>
      </c>
      <c r="CT227" s="7">
        <f t="shared" si="380"/>
        <v>0.8</v>
      </c>
      <c r="CU227">
        <f>IF(ROW(Styrkeberegning_G[[#This Row],[X base venstre]])=ROW(Styrkeberegning_G[[#Headers],[X base venstre]])+1,CU$7/(CT$7/$B$67),CU226/(CT226/$B$67))</f>
        <v>-2.8015817870135784</v>
      </c>
      <c r="CV227">
        <f>Styrkeberegning_G[[#This Row],[X base venstre]]*-1</f>
        <v>2.8015817870135784</v>
      </c>
      <c r="DG227" s="54">
        <f t="shared" si="381"/>
        <v>217</v>
      </c>
      <c r="DH227" s="54">
        <f t="shared" si="382"/>
        <v>218</v>
      </c>
      <c r="DI227" s="54">
        <f t="shared" si="383"/>
        <v>26.587228507142907</v>
      </c>
      <c r="DJ227" s="54" t="e">
        <f t="shared" si="384"/>
        <v>#N/A</v>
      </c>
      <c r="DK227" s="54" t="e">
        <f t="shared" si="385"/>
        <v>#N/A</v>
      </c>
      <c r="DL227" s="54">
        <f t="shared" si="386"/>
        <v>1.8330054204685668E-3</v>
      </c>
      <c r="DM227" s="54" t="e">
        <f t="shared" si="387"/>
        <v>#N/A</v>
      </c>
      <c r="DN227" s="54" t="b">
        <f t="shared" si="388"/>
        <v>0</v>
      </c>
      <c r="DO227" s="54" t="b">
        <f t="shared" si="389"/>
        <v>1</v>
      </c>
      <c r="DP227" s="54" t="b">
        <f t="shared" si="390"/>
        <v>1</v>
      </c>
      <c r="DQ227" s="54" t="b">
        <f t="shared" si="391"/>
        <v>0</v>
      </c>
      <c r="DR227" s="54">
        <f t="shared" si="392"/>
        <v>1.8330054204685668E-3</v>
      </c>
      <c r="DS227" s="54">
        <f t="shared" si="393"/>
        <v>1.8330054204685668E-3</v>
      </c>
      <c r="DT227" s="54" t="e">
        <f t="shared" si="394"/>
        <v>#N/A</v>
      </c>
      <c r="DU227" s="72" t="str">
        <f t="shared" si="395"/>
        <v/>
      </c>
      <c r="DZ227" s="54">
        <f t="shared" si="396"/>
        <v>217</v>
      </c>
      <c r="EA227" s="54">
        <f t="shared" si="397"/>
        <v>218</v>
      </c>
      <c r="EB227" s="54">
        <f t="shared" si="398"/>
        <v>2.1080654491687403</v>
      </c>
      <c r="EC227" s="54">
        <f t="shared" si="399"/>
        <v>4.3243493241990325E-2</v>
      </c>
      <c r="ED227" s="54" t="e">
        <f t="shared" si="400"/>
        <v>#N/A</v>
      </c>
      <c r="EE227" s="54" t="e">
        <f t="shared" si="401"/>
        <v>#N/A</v>
      </c>
      <c r="EF227" s="54" t="e">
        <f t="shared" si="402"/>
        <v>#N/A</v>
      </c>
      <c r="EG227" s="54" t="b">
        <f t="shared" si="403"/>
        <v>0</v>
      </c>
      <c r="EH227" s="54" t="b">
        <f t="shared" si="404"/>
        <v>1</v>
      </c>
      <c r="EI227" s="54" t="b">
        <f t="shared" si="405"/>
        <v>1</v>
      </c>
      <c r="EJ227" s="54" t="b">
        <f t="shared" si="406"/>
        <v>0</v>
      </c>
      <c r="EK227" s="54">
        <f t="shared" si="407"/>
        <v>4.3243493241990325E-2</v>
      </c>
      <c r="EL227" s="54">
        <f t="shared" si="408"/>
        <v>4.3243493241990325E-2</v>
      </c>
      <c r="EM227" s="54" t="e">
        <f t="shared" si="409"/>
        <v>#N/A</v>
      </c>
      <c r="EN227" s="72" t="str">
        <f t="shared" si="410"/>
        <v/>
      </c>
      <c r="EO22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2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2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27" s="54" t="e" cm="1">
        <f t="array" ref="ER227">IF($CK$3,INDEX(Eu_tabel_a[[#This Row],[Styrke venstre]:[Styrke tosidet]],ER$7),NA())</f>
        <v>#N/A</v>
      </c>
      <c r="ES227" s="54" t="e">
        <f>IF(ER$3,IF(CHOOSE(ER$7,Eu_tabel_a[[#This Row],[x base]]&gt;0,Eu_tabel_a[[#This Row],[x base]]&lt;0,Eu_tabel_a[[#This Row],[x base]]=0),1,NA()),NA())</f>
        <v>#N/A</v>
      </c>
      <c r="ET227" s="54" t="e">
        <f>IF(CHOOSE(ER$7,Eu_tabel_a[[#This Row],[x base]]&gt;0,Eu_tabel_a[[#This Row],[x base]]&lt;0,Eu_tabel_a[[#This Row],[x base]]=0),Eu_tabel_a[[#This Row],[Styrke, aktiv]],NA())</f>
        <v>#N/A</v>
      </c>
      <c r="EU227" s="54" t="e">
        <f>IFERROR(IF($ER$3,Eu_tabel_a[[#This Row],[Styrke, aktiv]],NA()),NA())</f>
        <v>#N/A</v>
      </c>
      <c r="EV227" s="54" t="e">
        <f>IF(ISNA(Eu_tabel_a[[#This Row],[Sand negativ
Nulhypotese afvises
Korrekt]]),NA(),IF(ER$3,1,NA()))</f>
        <v>#N/A</v>
      </c>
      <c r="EW227" s="55" t="str" cm="1">
        <f t="array" ref="EW227">IFERROR(_xlfn.SWITCH(Eu_tabel_a[[#This Row],[Indeks]],_xlfn.IFNA(EU$2,-99),EU$5,_xlfn.IFNA(EU$3,-99),EU$6,_xlfn.IFNA(EU$4,-99),EU$7,""),"")</f>
        <v/>
      </c>
      <c r="EX227" s="54">
        <f>Eu_tabel_a[[#This Row],[x base]]*SQRT(Eu_a_h0_x*(1-Eu_a_h0_x)/Eu_a_n_x)+Eu_a_h0_x</f>
        <v>0</v>
      </c>
      <c r="FC227" s="161" t="e">
        <f t="shared" si="354"/>
        <v>#N/A</v>
      </c>
      <c r="FD227" s="169" t="e">
        <f t="shared" si="442"/>
        <v>#DIV/0!</v>
      </c>
      <c r="FE227" s="7" t="e">
        <f t="shared" si="348"/>
        <v>#DIV/0!</v>
      </c>
      <c r="FF227" t="e">
        <f t="shared" si="443"/>
        <v>#DIV/0!</v>
      </c>
      <c r="FG227" s="8" t="e">
        <f t="shared" si="444"/>
        <v>#DIV/0!</v>
      </c>
      <c r="FH227" s="8" t="e">
        <f t="shared" si="445"/>
        <v>#DIV/0!</v>
      </c>
      <c r="FI227" s="168" t="e">
        <f t="shared" si="446"/>
        <v>#DIV/0!</v>
      </c>
      <c r="FJ227" s="161" t="e">
        <f t="shared" ca="1" si="349"/>
        <v>#N/A</v>
      </c>
      <c r="FK227" s="169" t="e" vm="3">
        <f t="shared" ca="1" si="355"/>
        <v>#VALUE!</v>
      </c>
      <c r="FL227" s="7" t="e" vm="3">
        <f t="shared" ca="1" si="350"/>
        <v>#VALUE!</v>
      </c>
      <c r="FM227" t="e" vm="3">
        <f t="shared" ca="1" si="344"/>
        <v>#VALUE!</v>
      </c>
      <c r="FN227" s="8" t="e" vm="3">
        <f t="shared" ca="1" si="345"/>
        <v>#VALUE!</v>
      </c>
      <c r="FO227" s="8" t="e" vm="3">
        <f t="shared" ca="1" si="346"/>
        <v>#VALUE!</v>
      </c>
      <c r="FP227" s="168" t="e" vm="3">
        <f t="shared" ca="1" si="347"/>
        <v>#VALUE!</v>
      </c>
      <c r="FQ227" s="161" t="e">
        <f t="shared" si="351"/>
        <v>#N/A</v>
      </c>
      <c r="FR227" s="169" t="e">
        <f t="shared" si="356"/>
        <v>#N/A</v>
      </c>
      <c r="FS227" s="7" t="e">
        <f t="shared" si="352"/>
        <v>#N/A</v>
      </c>
      <c r="FT227" t="e">
        <f t="shared" si="357"/>
        <v>#N/A</v>
      </c>
      <c r="FU227" s="8" t="e">
        <f t="shared" si="358"/>
        <v>#N/A</v>
      </c>
      <c r="FV227" s="8" t="e">
        <f t="shared" si="359"/>
        <v>#N/A</v>
      </c>
      <c r="FW227" s="168" t="e">
        <f t="shared" si="360"/>
        <v>#N/A</v>
      </c>
      <c r="FX227" s="161" t="e">
        <f t="shared" si="361"/>
        <v>#N/A</v>
      </c>
      <c r="FY227" s="169" t="e">
        <f t="shared" si="362"/>
        <v>#N/A</v>
      </c>
      <c r="FZ227" s="7" t="e">
        <f t="shared" si="353"/>
        <v>#N/A</v>
      </c>
      <c r="GA227" t="e">
        <f t="shared" si="363"/>
        <v>#N/A</v>
      </c>
      <c r="GB227" s="8" t="e">
        <f t="shared" si="364"/>
        <v>#N/A</v>
      </c>
      <c r="GC227" s="8" t="e">
        <f t="shared" si="365"/>
        <v>#N/A</v>
      </c>
      <c r="GD227" s="168" t="e">
        <f t="shared" si="366"/>
        <v>#N/A</v>
      </c>
      <c r="GE227" s="168"/>
      <c r="GF227" s="168"/>
      <c r="GI227" s="54">
        <f t="shared" si="411"/>
        <v>217</v>
      </c>
      <c r="GJ227" s="54">
        <f t="shared" si="412"/>
        <v>218</v>
      </c>
      <c r="GK227" s="54">
        <f t="shared" si="413"/>
        <v>2.1080654491687403</v>
      </c>
      <c r="GL227" s="54">
        <f t="shared" si="414"/>
        <v>4.3243493241990325E-2</v>
      </c>
      <c r="GM227" s="54" t="e">
        <f t="shared" si="415"/>
        <v>#N/A</v>
      </c>
      <c r="GN227" s="54" t="e">
        <f t="shared" si="416"/>
        <v>#N/A</v>
      </c>
      <c r="GO227" s="54" t="e">
        <f t="shared" si="417"/>
        <v>#N/A</v>
      </c>
      <c r="GP227" s="54" t="b">
        <f t="shared" si="418"/>
        <v>0</v>
      </c>
      <c r="GQ227" s="54" t="b">
        <f t="shared" si="419"/>
        <v>1</v>
      </c>
      <c r="GR227" s="54" t="b">
        <f t="shared" si="420"/>
        <v>1</v>
      </c>
      <c r="GS227" s="54" t="b">
        <f t="shared" si="421"/>
        <v>0</v>
      </c>
      <c r="GT227" s="54">
        <f t="shared" si="422"/>
        <v>4.3243493241990325E-2</v>
      </c>
      <c r="GU227" s="54">
        <f t="shared" si="423"/>
        <v>4.3243493241990325E-2</v>
      </c>
      <c r="GV227" s="54" t="e">
        <f t="shared" si="424"/>
        <v>#N/A</v>
      </c>
      <c r="GW227" s="72" t="str">
        <f t="shared" si="425"/>
        <v/>
      </c>
      <c r="HC227" s="54">
        <f t="shared" si="426"/>
        <v>217</v>
      </c>
      <c r="HD227" s="54">
        <f t="shared" si="427"/>
        <v>218</v>
      </c>
      <c r="HE227" s="54">
        <f t="shared" si="428"/>
        <v>3.264383622637002</v>
      </c>
      <c r="HF227" s="54" t="e">
        <f t="shared" si="429"/>
        <v>#N/A</v>
      </c>
      <c r="HG227" s="54">
        <f t="shared" si="430"/>
        <v>9.511614587176604E-3</v>
      </c>
      <c r="HH227" s="54" t="e">
        <f t="shared" si="431"/>
        <v>#N/A</v>
      </c>
      <c r="HI227" s="54" t="e">
        <f t="shared" si="432"/>
        <v>#N/A</v>
      </c>
      <c r="HJ227" s="54" t="b">
        <f t="shared" si="433"/>
        <v>0</v>
      </c>
      <c r="HK227" s="54" t="b">
        <f t="shared" si="434"/>
        <v>1</v>
      </c>
      <c r="HL227" s="54" t="b">
        <f t="shared" si="435"/>
        <v>1</v>
      </c>
      <c r="HM227" s="54" t="b">
        <f t="shared" si="436"/>
        <v>0</v>
      </c>
      <c r="HN227" s="54">
        <f t="shared" si="437"/>
        <v>9.511614587176604E-3</v>
      </c>
      <c r="HO227" s="54" t="e">
        <f t="shared" si="438"/>
        <v>#N/A</v>
      </c>
      <c r="HP227" s="54">
        <f t="shared" si="439"/>
        <v>9.511614587176604E-3</v>
      </c>
      <c r="HQ227" s="72" t="str">
        <f t="shared" si="440"/>
        <v/>
      </c>
    </row>
    <row r="228" spans="71:225" x14ac:dyDescent="0.2">
      <c r="BS228" s="54">
        <f t="shared" si="367"/>
        <v>218</v>
      </c>
      <c r="BT228" s="54">
        <f>Eu_tabel_g[[#This Row],[Indeks]]+1</f>
        <v>219</v>
      </c>
      <c r="BU228" s="54">
        <f t="shared" si="368"/>
        <v>2.1320207383638401</v>
      </c>
      <c r="BV228" s="54">
        <f t="shared" si="369"/>
        <v>4.1102154102044132E-2</v>
      </c>
      <c r="BW228" s="54" t="e">
        <f t="shared" si="370"/>
        <v>#N/A</v>
      </c>
      <c r="BX228" s="54" t="e">
        <f t="shared" si="371"/>
        <v>#N/A</v>
      </c>
      <c r="BY228" s="54" t="e">
        <f t="shared" si="372"/>
        <v>#N/A</v>
      </c>
      <c r="BZ228" s="54" t="b">
        <f t="shared" si="373"/>
        <v>0</v>
      </c>
      <c r="CA228" s="54" t="b">
        <f t="shared" si="374"/>
        <v>1</v>
      </c>
      <c r="CB228" s="54" t="b">
        <f t="shared" si="375"/>
        <v>1</v>
      </c>
      <c r="CC228" s="54" t="b">
        <f t="shared" si="376"/>
        <v>0</v>
      </c>
      <c r="CD228" s="54">
        <f t="shared" si="441"/>
        <v>4.1102154102044132E-2</v>
      </c>
      <c r="CE228" s="54">
        <f t="shared" si="377"/>
        <v>4.1102154102044132E-2</v>
      </c>
      <c r="CF228" s="54" t="e">
        <f t="shared" si="378"/>
        <v>#N/A</v>
      </c>
      <c r="CG228" s="72" t="str">
        <f t="shared" si="379"/>
        <v/>
      </c>
      <c r="CH228" s="54">
        <f>_xlfn.NORM.DIST(_xlfn.NORM.INV(1-Eu_g_konfidensniveau,0,1)-Eu_tabel_g[[#This Row],[x base]],0,1,TRUE)</f>
        <v>7.9404393322032754E-5</v>
      </c>
      <c r="CI228" s="54">
        <f>1-_xlfn.NORM.DIST(_xlfn.NORM.INV(Eu_g_konfidensniveau,0,1)-Eu_tabel_g[[#This Row],[x base]],0,1,TRUE)</f>
        <v>0.68693004491440468</v>
      </c>
      <c r="CJ228" s="54">
        <f>_xlfn.NORM.DIST(_xlfn.NORM.INV((1-Eu_g_konfidensniveau)/2,0,1)-Eu_tabel_g[[#This Row],[x base]],0,1,TRUE)+1-_xlfn.NORM.DIST(_xlfn.NORM.INV(1-(1-Eu_g_konfidensniveau)/2,0,1)-Eu_tabel_g[[#This Row],[x base]],0,1,TRUE)</f>
        <v>0.56832492928531297</v>
      </c>
      <c r="CK228" s="54" t="e" cm="1">
        <f t="array" ref="CK228">IF($CK$3,INDEX(Eu_tabel_g[[#This Row],[Styrke venstre]:[Styrke tosidet]],CK$7),NA())</f>
        <v>#N/A</v>
      </c>
      <c r="CL228" s="99" t="e">
        <f>Eu_tabel_g[[#This Row],[Falsk positiv
Nulhypotese accepteres
Fejltype 1]]</f>
        <v>#N/A</v>
      </c>
      <c r="CM228" s="99" t="e">
        <f>IF(CHOOSE(CK$7,Eu_tabel_g[[#This Row],[x base]]&gt;0,Eu_tabel_g[[#This Row],[x base]]&lt;0,Eu_tabel_g[[#This Row],[x base]]=0),Eu_tabel_g[[#This Row],[Styrke, aktiv]],NA())</f>
        <v>#N/A</v>
      </c>
      <c r="CN228" s="99" t="e">
        <f>IFERROR(IF($CK$3,Eu_tabel_g[[#This Row],[Styrke, aktiv]],NA()),NA())</f>
        <v>#N/A</v>
      </c>
      <c r="CO228" s="99" t="e">
        <f>IF(ISNA(Eu_tabel_g[[#This Row],[Sand negativ
Nulhypotese afvises
Korrekt]]),NA(),IF($CK$3,1,NA()))</f>
        <v>#N/A</v>
      </c>
      <c r="CP228" s="56" t="str" cm="1">
        <f t="array" ref="CP228">_xlfn.SWITCH(BS228,_xlfn.IFNA(CN$2,-99),CN$5,_xlfn.IFNA(CN$3,-99),CN$6,_xlfn.IFNA(CN$4,-99),CN$7,"")</f>
        <v/>
      </c>
      <c r="CT228" s="7">
        <f t="shared" si="380"/>
        <v>0.8</v>
      </c>
      <c r="CU228">
        <f>IF(ROW(Styrkeberegning_G[[#This Row],[X base venstre]])=ROW(Styrkeberegning_G[[#Headers],[X base venstre]])+1,CU$7/(CT$7/$B$67),CU227/(CT227/$B$67))</f>
        <v>-2.8015817870135784</v>
      </c>
      <c r="CV228">
        <f>Styrkeberegning_G[[#This Row],[X base venstre]]*-1</f>
        <v>2.8015817870135784</v>
      </c>
      <c r="DG228" s="54">
        <f t="shared" si="381"/>
        <v>218</v>
      </c>
      <c r="DH228" s="54">
        <f t="shared" si="382"/>
        <v>219</v>
      </c>
      <c r="DI228" s="54">
        <f t="shared" si="383"/>
        <v>26.701299363559908</v>
      </c>
      <c r="DJ228" s="54" t="e">
        <f t="shared" si="384"/>
        <v>#N/A</v>
      </c>
      <c r="DK228" s="54" t="e">
        <f t="shared" si="385"/>
        <v>#N/A</v>
      </c>
      <c r="DL228" s="54">
        <f t="shared" si="386"/>
        <v>1.765064386567556E-3</v>
      </c>
      <c r="DM228" s="54" t="e">
        <f t="shared" si="387"/>
        <v>#N/A</v>
      </c>
      <c r="DN228" s="54" t="b">
        <f t="shared" si="388"/>
        <v>0</v>
      </c>
      <c r="DO228" s="54" t="b">
        <f t="shared" si="389"/>
        <v>1</v>
      </c>
      <c r="DP228" s="54" t="b">
        <f t="shared" si="390"/>
        <v>1</v>
      </c>
      <c r="DQ228" s="54" t="b">
        <f t="shared" si="391"/>
        <v>0</v>
      </c>
      <c r="DR228" s="54">
        <f t="shared" si="392"/>
        <v>1.765064386567556E-3</v>
      </c>
      <c r="DS228" s="54">
        <f t="shared" si="393"/>
        <v>1.765064386567556E-3</v>
      </c>
      <c r="DT228" s="54" t="e">
        <f t="shared" si="394"/>
        <v>#N/A</v>
      </c>
      <c r="DU228" s="72" t="str">
        <f t="shared" si="395"/>
        <v/>
      </c>
      <c r="DZ228" s="54">
        <f t="shared" si="396"/>
        <v>218</v>
      </c>
      <c r="EA228" s="54">
        <f t="shared" si="397"/>
        <v>219</v>
      </c>
      <c r="EB228" s="54">
        <f t="shared" si="398"/>
        <v>2.1320207383638401</v>
      </c>
      <c r="EC228" s="54">
        <f t="shared" si="399"/>
        <v>4.1102154102044132E-2</v>
      </c>
      <c r="ED228" s="54" t="e">
        <f t="shared" si="400"/>
        <v>#N/A</v>
      </c>
      <c r="EE228" s="54" t="e">
        <f t="shared" si="401"/>
        <v>#N/A</v>
      </c>
      <c r="EF228" s="54" t="e">
        <f t="shared" si="402"/>
        <v>#N/A</v>
      </c>
      <c r="EG228" s="54" t="b">
        <f t="shared" si="403"/>
        <v>0</v>
      </c>
      <c r="EH228" s="54" t="b">
        <f t="shared" si="404"/>
        <v>1</v>
      </c>
      <c r="EI228" s="54" t="b">
        <f t="shared" si="405"/>
        <v>1</v>
      </c>
      <c r="EJ228" s="54" t="b">
        <f t="shared" si="406"/>
        <v>0</v>
      </c>
      <c r="EK228" s="54">
        <f t="shared" si="407"/>
        <v>4.1102154102044132E-2</v>
      </c>
      <c r="EL228" s="54">
        <f t="shared" si="408"/>
        <v>4.1102154102044132E-2</v>
      </c>
      <c r="EM228" s="54" t="e">
        <f t="shared" si="409"/>
        <v>#N/A</v>
      </c>
      <c r="EN228" s="72" t="str">
        <f t="shared" si="410"/>
        <v/>
      </c>
      <c r="EO22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2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2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28" s="54" t="e" cm="1">
        <f t="array" ref="ER228">IF($CK$3,INDEX(Eu_tabel_a[[#This Row],[Styrke venstre]:[Styrke tosidet]],ER$7),NA())</f>
        <v>#N/A</v>
      </c>
      <c r="ES228" s="54" t="e">
        <f>IF(ER$3,IF(CHOOSE(ER$7,Eu_tabel_a[[#This Row],[x base]]&gt;0,Eu_tabel_a[[#This Row],[x base]]&lt;0,Eu_tabel_a[[#This Row],[x base]]=0),1,NA()),NA())</f>
        <v>#N/A</v>
      </c>
      <c r="ET228" s="54" t="e">
        <f>IF(CHOOSE(ER$7,Eu_tabel_a[[#This Row],[x base]]&gt;0,Eu_tabel_a[[#This Row],[x base]]&lt;0,Eu_tabel_a[[#This Row],[x base]]=0),Eu_tabel_a[[#This Row],[Styrke, aktiv]],NA())</f>
        <v>#N/A</v>
      </c>
      <c r="EU228" s="54" t="e">
        <f>IFERROR(IF($ER$3,Eu_tabel_a[[#This Row],[Styrke, aktiv]],NA()),NA())</f>
        <v>#N/A</v>
      </c>
      <c r="EV228" s="54" t="e">
        <f>IF(ISNA(Eu_tabel_a[[#This Row],[Sand negativ
Nulhypotese afvises
Korrekt]]),NA(),IF(ER$3,1,NA()))</f>
        <v>#N/A</v>
      </c>
      <c r="EW228" s="55" t="str" cm="1">
        <f t="array" ref="EW228">IFERROR(_xlfn.SWITCH(Eu_tabel_a[[#This Row],[Indeks]],_xlfn.IFNA(EU$2,-99),EU$5,_xlfn.IFNA(EU$3,-99),EU$6,_xlfn.IFNA(EU$4,-99),EU$7,""),"")</f>
        <v/>
      </c>
      <c r="EX228" s="54">
        <f>Eu_tabel_a[[#This Row],[x base]]*SQRT(Eu_a_h0_x*(1-Eu_a_h0_x)/Eu_a_n_x)+Eu_a_h0_x</f>
        <v>0</v>
      </c>
      <c r="FC228" s="161" t="e">
        <f t="shared" si="354"/>
        <v>#N/A</v>
      </c>
      <c r="FD228" s="169" t="e">
        <f t="shared" si="442"/>
        <v>#DIV/0!</v>
      </c>
      <c r="FE228" s="7" t="e">
        <f t="shared" si="348"/>
        <v>#DIV/0!</v>
      </c>
      <c r="FF228" t="e">
        <f t="shared" si="443"/>
        <v>#DIV/0!</v>
      </c>
      <c r="FG228" s="8" t="e">
        <f t="shared" si="444"/>
        <v>#DIV/0!</v>
      </c>
      <c r="FH228" s="8" t="e">
        <f t="shared" si="445"/>
        <v>#DIV/0!</v>
      </c>
      <c r="FI228" s="168" t="e">
        <f t="shared" si="446"/>
        <v>#DIV/0!</v>
      </c>
      <c r="FJ228" s="161" t="e">
        <f t="shared" ca="1" si="349"/>
        <v>#N/A</v>
      </c>
      <c r="FK228" s="169" t="e" vm="3">
        <f t="shared" ca="1" si="355"/>
        <v>#VALUE!</v>
      </c>
      <c r="FL228" s="7" t="e" vm="3">
        <f t="shared" ca="1" si="350"/>
        <v>#VALUE!</v>
      </c>
      <c r="FM228" t="e" vm="3">
        <f t="shared" ca="1" si="344"/>
        <v>#VALUE!</v>
      </c>
      <c r="FN228" s="8" t="e" vm="3">
        <f t="shared" ca="1" si="345"/>
        <v>#VALUE!</v>
      </c>
      <c r="FO228" s="8" t="e" vm="3">
        <f t="shared" ca="1" si="346"/>
        <v>#VALUE!</v>
      </c>
      <c r="FP228" s="168" t="e" vm="3">
        <f t="shared" ca="1" si="347"/>
        <v>#VALUE!</v>
      </c>
      <c r="FQ228" s="161" t="e">
        <f t="shared" si="351"/>
        <v>#N/A</v>
      </c>
      <c r="FR228" s="169" t="e">
        <f t="shared" si="356"/>
        <v>#N/A</v>
      </c>
      <c r="FS228" s="7" t="e">
        <f t="shared" si="352"/>
        <v>#N/A</v>
      </c>
      <c r="FT228" t="e">
        <f t="shared" si="357"/>
        <v>#N/A</v>
      </c>
      <c r="FU228" s="8" t="e">
        <f t="shared" si="358"/>
        <v>#N/A</v>
      </c>
      <c r="FV228" s="8" t="e">
        <f t="shared" si="359"/>
        <v>#N/A</v>
      </c>
      <c r="FW228" s="168" t="e">
        <f t="shared" si="360"/>
        <v>#N/A</v>
      </c>
      <c r="FX228" s="161" t="e">
        <f t="shared" si="361"/>
        <v>#N/A</v>
      </c>
      <c r="FY228" s="169" t="e">
        <f t="shared" si="362"/>
        <v>#N/A</v>
      </c>
      <c r="FZ228" s="7" t="e">
        <f t="shared" si="353"/>
        <v>#N/A</v>
      </c>
      <c r="GA228" t="e">
        <f t="shared" si="363"/>
        <v>#N/A</v>
      </c>
      <c r="GB228" s="8" t="e">
        <f t="shared" si="364"/>
        <v>#N/A</v>
      </c>
      <c r="GC228" s="8" t="e">
        <f t="shared" si="365"/>
        <v>#N/A</v>
      </c>
      <c r="GD228" s="168" t="e">
        <f t="shared" si="366"/>
        <v>#N/A</v>
      </c>
      <c r="GE228" s="168"/>
      <c r="GF228" s="168"/>
      <c r="GI228" s="54">
        <f t="shared" si="411"/>
        <v>218</v>
      </c>
      <c r="GJ228" s="54">
        <f t="shared" si="412"/>
        <v>219</v>
      </c>
      <c r="GK228" s="54">
        <f t="shared" si="413"/>
        <v>2.1320207383638401</v>
      </c>
      <c r="GL228" s="54">
        <f t="shared" si="414"/>
        <v>4.1102154102044132E-2</v>
      </c>
      <c r="GM228" s="54" t="e">
        <f t="shared" si="415"/>
        <v>#N/A</v>
      </c>
      <c r="GN228" s="54" t="e">
        <f t="shared" si="416"/>
        <v>#N/A</v>
      </c>
      <c r="GO228" s="54" t="e">
        <f t="shared" si="417"/>
        <v>#N/A</v>
      </c>
      <c r="GP228" s="54" t="b">
        <f t="shared" si="418"/>
        <v>0</v>
      </c>
      <c r="GQ228" s="54" t="b">
        <f t="shared" si="419"/>
        <v>1</v>
      </c>
      <c r="GR228" s="54" t="b">
        <f t="shared" si="420"/>
        <v>1</v>
      </c>
      <c r="GS228" s="54" t="b">
        <f t="shared" si="421"/>
        <v>0</v>
      </c>
      <c r="GT228" s="54">
        <f t="shared" si="422"/>
        <v>4.1102154102044132E-2</v>
      </c>
      <c r="GU228" s="54">
        <f t="shared" si="423"/>
        <v>4.1102154102044132E-2</v>
      </c>
      <c r="GV228" s="54" t="e">
        <f t="shared" si="424"/>
        <v>#N/A</v>
      </c>
      <c r="GW228" s="72" t="str">
        <f t="shared" si="425"/>
        <v/>
      </c>
      <c r="HC228" s="54">
        <f t="shared" si="426"/>
        <v>218</v>
      </c>
      <c r="HD228" s="54">
        <f t="shared" si="427"/>
        <v>219</v>
      </c>
      <c r="HE228" s="54">
        <f t="shared" si="428"/>
        <v>3.3014788910760604</v>
      </c>
      <c r="HF228" s="54" t="e">
        <f t="shared" si="429"/>
        <v>#N/A</v>
      </c>
      <c r="HG228" s="54">
        <f t="shared" si="430"/>
        <v>9.0043866481057076E-3</v>
      </c>
      <c r="HH228" s="54" t="e">
        <f t="shared" si="431"/>
        <v>#N/A</v>
      </c>
      <c r="HI228" s="54" t="e">
        <f t="shared" si="432"/>
        <v>#N/A</v>
      </c>
      <c r="HJ228" s="54" t="b">
        <f t="shared" si="433"/>
        <v>0</v>
      </c>
      <c r="HK228" s="54" t="b">
        <f t="shared" si="434"/>
        <v>1</v>
      </c>
      <c r="HL228" s="54" t="b">
        <f t="shared" si="435"/>
        <v>1</v>
      </c>
      <c r="HM228" s="54" t="b">
        <f t="shared" si="436"/>
        <v>0</v>
      </c>
      <c r="HN228" s="54">
        <f t="shared" si="437"/>
        <v>9.0043866481057076E-3</v>
      </c>
      <c r="HO228" s="54" t="e">
        <f t="shared" si="438"/>
        <v>#N/A</v>
      </c>
      <c r="HP228" s="54">
        <f t="shared" si="439"/>
        <v>9.0043866481057076E-3</v>
      </c>
      <c r="HQ228" s="72" t="str">
        <f t="shared" si="440"/>
        <v/>
      </c>
    </row>
    <row r="229" spans="71:225" x14ac:dyDescent="0.2">
      <c r="BS229" s="54">
        <f t="shared" si="367"/>
        <v>219</v>
      </c>
      <c r="BT229" s="54">
        <f>Eu_tabel_g[[#This Row],[Indeks]]+1</f>
        <v>220</v>
      </c>
      <c r="BU229" s="54">
        <f t="shared" si="368"/>
        <v>2.155976027558939</v>
      </c>
      <c r="BV229" s="54">
        <f t="shared" si="369"/>
        <v>3.9044437871557792E-2</v>
      </c>
      <c r="BW229" s="54" t="e">
        <f t="shared" si="370"/>
        <v>#N/A</v>
      </c>
      <c r="BX229" s="54" t="e">
        <f t="shared" si="371"/>
        <v>#N/A</v>
      </c>
      <c r="BY229" s="54" t="e">
        <f t="shared" si="372"/>
        <v>#N/A</v>
      </c>
      <c r="BZ229" s="54" t="b">
        <f t="shared" si="373"/>
        <v>0</v>
      </c>
      <c r="CA229" s="54" t="b">
        <f t="shared" si="374"/>
        <v>1</v>
      </c>
      <c r="CB229" s="54" t="b">
        <f t="shared" si="375"/>
        <v>1</v>
      </c>
      <c r="CC229" s="54" t="b">
        <f t="shared" si="376"/>
        <v>0</v>
      </c>
      <c r="CD229" s="54">
        <f t="shared" si="441"/>
        <v>3.9044437871557792E-2</v>
      </c>
      <c r="CE229" s="54">
        <f t="shared" si="377"/>
        <v>3.9044437871557792E-2</v>
      </c>
      <c r="CF229" s="54" t="e">
        <f t="shared" si="378"/>
        <v>#N/A</v>
      </c>
      <c r="CG229" s="72" t="str">
        <f t="shared" si="379"/>
        <v/>
      </c>
      <c r="CH229" s="54">
        <f>_xlfn.NORM.DIST(_xlfn.NORM.INV(1-Eu_g_konfidensniveau,0,1)-Eu_tabel_g[[#This Row],[x base]],0,1,TRUE)</f>
        <v>7.2106210282316994E-5</v>
      </c>
      <c r="CI229" s="54">
        <f>1-_xlfn.NORM.DIST(_xlfn.NORM.INV(Eu_g_konfidensniveau,0,1)-Eu_tabel_g[[#This Row],[x base]],0,1,TRUE)</f>
        <v>0.69536732432934523</v>
      </c>
      <c r="CJ229" s="54">
        <f>_xlfn.NORM.DIST(_xlfn.NORM.INV((1-Eu_g_konfidensniveau)/2,0,1)-Eu_tabel_g[[#This Row],[x base]],0,1,TRUE)+1-_xlfn.NORM.DIST(_xlfn.NORM.INV(1-(1-Eu_g_konfidensniveau)/2,0,1)-Eu_tabel_g[[#This Row],[x base]],0,1,TRUE)</f>
        <v>0.57771891029166766</v>
      </c>
      <c r="CK229" s="54" t="e" cm="1">
        <f t="array" ref="CK229">IF($CK$3,INDEX(Eu_tabel_g[[#This Row],[Styrke venstre]:[Styrke tosidet]],CK$7),NA())</f>
        <v>#N/A</v>
      </c>
      <c r="CL229" s="99" t="e">
        <f>Eu_tabel_g[[#This Row],[Falsk positiv
Nulhypotese accepteres
Fejltype 1]]</f>
        <v>#N/A</v>
      </c>
      <c r="CM229" s="99" t="e">
        <f>IF(CHOOSE(CK$7,Eu_tabel_g[[#This Row],[x base]]&gt;0,Eu_tabel_g[[#This Row],[x base]]&lt;0,Eu_tabel_g[[#This Row],[x base]]=0),Eu_tabel_g[[#This Row],[Styrke, aktiv]],NA())</f>
        <v>#N/A</v>
      </c>
      <c r="CN229" s="99" t="e">
        <f>IFERROR(IF($CK$3,Eu_tabel_g[[#This Row],[Styrke, aktiv]],NA()),NA())</f>
        <v>#N/A</v>
      </c>
      <c r="CO229" s="99" t="e">
        <f>IF(ISNA(Eu_tabel_g[[#This Row],[Sand negativ
Nulhypotese afvises
Korrekt]]),NA(),IF($CK$3,1,NA()))</f>
        <v>#N/A</v>
      </c>
      <c r="CP229" s="56" t="str" cm="1">
        <f t="array" ref="CP229">_xlfn.SWITCH(BS229,_xlfn.IFNA(CN$2,-99),CN$5,_xlfn.IFNA(CN$3,-99),CN$6,_xlfn.IFNA(CN$4,-99),CN$7,"")</f>
        <v/>
      </c>
      <c r="CT229" s="7">
        <f t="shared" si="380"/>
        <v>0.8</v>
      </c>
      <c r="CU229">
        <f>IF(ROW(Styrkeberegning_G[[#This Row],[X base venstre]])=ROW(Styrkeberegning_G[[#Headers],[X base venstre]])+1,CU$7/(CT$7/$B$67),CU228/(CT228/$B$67))</f>
        <v>-2.8015817870135784</v>
      </c>
      <c r="CV229">
        <f>Styrkeberegning_G[[#This Row],[X base venstre]]*-1</f>
        <v>2.8015817870135784</v>
      </c>
      <c r="DG229" s="54">
        <f t="shared" si="381"/>
        <v>219</v>
      </c>
      <c r="DH229" s="54">
        <f t="shared" si="382"/>
        <v>220</v>
      </c>
      <c r="DI229" s="54">
        <f t="shared" si="383"/>
        <v>26.815370219976909</v>
      </c>
      <c r="DJ229" s="54" t="e">
        <f t="shared" si="384"/>
        <v>#N/A</v>
      </c>
      <c r="DK229" s="54" t="e">
        <f t="shared" si="385"/>
        <v>#N/A</v>
      </c>
      <c r="DL229" s="54">
        <f t="shared" si="386"/>
        <v>1.6995020269909965E-3</v>
      </c>
      <c r="DM229" s="54" t="e">
        <f t="shared" si="387"/>
        <v>#N/A</v>
      </c>
      <c r="DN229" s="54" t="b">
        <f t="shared" si="388"/>
        <v>0</v>
      </c>
      <c r="DO229" s="54" t="b">
        <f t="shared" si="389"/>
        <v>1</v>
      </c>
      <c r="DP229" s="54" t="b">
        <f t="shared" si="390"/>
        <v>1</v>
      </c>
      <c r="DQ229" s="54" t="b">
        <f t="shared" si="391"/>
        <v>0</v>
      </c>
      <c r="DR229" s="54">
        <f t="shared" si="392"/>
        <v>1.6995020269909965E-3</v>
      </c>
      <c r="DS229" s="54">
        <f t="shared" si="393"/>
        <v>1.6995020269909965E-3</v>
      </c>
      <c r="DT229" s="54" t="e">
        <f t="shared" si="394"/>
        <v>#N/A</v>
      </c>
      <c r="DU229" s="72" t="str">
        <f t="shared" si="395"/>
        <v/>
      </c>
      <c r="DZ229" s="54">
        <f t="shared" si="396"/>
        <v>219</v>
      </c>
      <c r="EA229" s="54">
        <f t="shared" si="397"/>
        <v>220</v>
      </c>
      <c r="EB229" s="54">
        <f t="shared" si="398"/>
        <v>2.155976027558939</v>
      </c>
      <c r="EC229" s="54">
        <f t="shared" si="399"/>
        <v>3.9044437871557792E-2</v>
      </c>
      <c r="ED229" s="54" t="e">
        <f t="shared" si="400"/>
        <v>#N/A</v>
      </c>
      <c r="EE229" s="54" t="e">
        <f t="shared" si="401"/>
        <v>#N/A</v>
      </c>
      <c r="EF229" s="54" t="e">
        <f t="shared" si="402"/>
        <v>#N/A</v>
      </c>
      <c r="EG229" s="54" t="b">
        <f t="shared" si="403"/>
        <v>0</v>
      </c>
      <c r="EH229" s="54" t="b">
        <f t="shared" si="404"/>
        <v>1</v>
      </c>
      <c r="EI229" s="54" t="b">
        <f t="shared" si="405"/>
        <v>1</v>
      </c>
      <c r="EJ229" s="54" t="b">
        <f t="shared" si="406"/>
        <v>0</v>
      </c>
      <c r="EK229" s="54">
        <f t="shared" si="407"/>
        <v>3.9044437871557792E-2</v>
      </c>
      <c r="EL229" s="54">
        <f t="shared" si="408"/>
        <v>3.9044437871557792E-2</v>
      </c>
      <c r="EM229" s="54" t="e">
        <f t="shared" si="409"/>
        <v>#N/A</v>
      </c>
      <c r="EN229" s="72" t="str">
        <f t="shared" si="410"/>
        <v/>
      </c>
      <c r="EO22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2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2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29" s="54" t="e" cm="1">
        <f t="array" ref="ER229">IF($CK$3,INDEX(Eu_tabel_a[[#This Row],[Styrke venstre]:[Styrke tosidet]],ER$7),NA())</f>
        <v>#N/A</v>
      </c>
      <c r="ES229" s="54" t="e">
        <f>IF(ER$3,IF(CHOOSE(ER$7,Eu_tabel_a[[#This Row],[x base]]&gt;0,Eu_tabel_a[[#This Row],[x base]]&lt;0,Eu_tabel_a[[#This Row],[x base]]=0),1,NA()),NA())</f>
        <v>#N/A</v>
      </c>
      <c r="ET229" s="54" t="e">
        <f>IF(CHOOSE(ER$7,Eu_tabel_a[[#This Row],[x base]]&gt;0,Eu_tabel_a[[#This Row],[x base]]&lt;0,Eu_tabel_a[[#This Row],[x base]]=0),Eu_tabel_a[[#This Row],[Styrke, aktiv]],NA())</f>
        <v>#N/A</v>
      </c>
      <c r="EU229" s="54" t="e">
        <f>IFERROR(IF($ER$3,Eu_tabel_a[[#This Row],[Styrke, aktiv]],NA()),NA())</f>
        <v>#N/A</v>
      </c>
      <c r="EV229" s="54" t="e">
        <f>IF(ISNA(Eu_tabel_a[[#This Row],[Sand negativ
Nulhypotese afvises
Korrekt]]),NA(),IF(ER$3,1,NA()))</f>
        <v>#N/A</v>
      </c>
      <c r="EW229" s="55" t="str" cm="1">
        <f t="array" ref="EW229">IFERROR(_xlfn.SWITCH(Eu_tabel_a[[#This Row],[Indeks]],_xlfn.IFNA(EU$2,-99),EU$5,_xlfn.IFNA(EU$3,-99),EU$6,_xlfn.IFNA(EU$4,-99),EU$7,""),"")</f>
        <v/>
      </c>
      <c r="EX229" s="54">
        <f>Eu_tabel_a[[#This Row],[x base]]*SQRT(Eu_a_h0_x*(1-Eu_a_h0_x)/Eu_a_n_x)+Eu_a_h0_x</f>
        <v>0</v>
      </c>
      <c r="FC229" s="161" t="e">
        <f t="shared" si="354"/>
        <v>#N/A</v>
      </c>
      <c r="FD229" s="169" t="e">
        <f t="shared" si="442"/>
        <v>#DIV/0!</v>
      </c>
      <c r="FE229" s="7" t="e">
        <f t="shared" si="348"/>
        <v>#DIV/0!</v>
      </c>
      <c r="FF229" t="e">
        <f t="shared" si="443"/>
        <v>#DIV/0!</v>
      </c>
      <c r="FG229" s="8" t="e">
        <f t="shared" si="444"/>
        <v>#DIV/0!</v>
      </c>
      <c r="FH229" s="8" t="e">
        <f t="shared" si="445"/>
        <v>#DIV/0!</v>
      </c>
      <c r="FI229" s="168" t="e">
        <f t="shared" si="446"/>
        <v>#DIV/0!</v>
      </c>
      <c r="FJ229" s="161" t="e">
        <f t="shared" ca="1" si="349"/>
        <v>#N/A</v>
      </c>
      <c r="FK229" s="169" t="e" vm="3">
        <f t="shared" ca="1" si="355"/>
        <v>#VALUE!</v>
      </c>
      <c r="FL229" s="7" t="e" vm="3">
        <f t="shared" ca="1" si="350"/>
        <v>#VALUE!</v>
      </c>
      <c r="FM229" t="e" vm="3">
        <f t="shared" ca="1" si="344"/>
        <v>#VALUE!</v>
      </c>
      <c r="FN229" s="8" t="e" vm="3">
        <f t="shared" ca="1" si="345"/>
        <v>#VALUE!</v>
      </c>
      <c r="FO229" s="8" t="e" vm="3">
        <f t="shared" ca="1" si="346"/>
        <v>#VALUE!</v>
      </c>
      <c r="FP229" s="168" t="e" vm="3">
        <f t="shared" ca="1" si="347"/>
        <v>#VALUE!</v>
      </c>
      <c r="FQ229" s="161" t="e">
        <f t="shared" si="351"/>
        <v>#N/A</v>
      </c>
      <c r="FR229" s="169" t="e">
        <f t="shared" si="356"/>
        <v>#N/A</v>
      </c>
      <c r="FS229" s="7" t="e">
        <f t="shared" si="352"/>
        <v>#N/A</v>
      </c>
      <c r="FT229" t="e">
        <f t="shared" si="357"/>
        <v>#N/A</v>
      </c>
      <c r="FU229" s="8" t="e">
        <f t="shared" si="358"/>
        <v>#N/A</v>
      </c>
      <c r="FV229" s="8" t="e">
        <f t="shared" si="359"/>
        <v>#N/A</v>
      </c>
      <c r="FW229" s="168" t="e">
        <f t="shared" si="360"/>
        <v>#N/A</v>
      </c>
      <c r="FX229" s="161" t="e">
        <f t="shared" si="361"/>
        <v>#N/A</v>
      </c>
      <c r="FY229" s="169" t="e">
        <f t="shared" si="362"/>
        <v>#N/A</v>
      </c>
      <c r="FZ229" s="7" t="e">
        <f t="shared" si="353"/>
        <v>#N/A</v>
      </c>
      <c r="GA229" t="e">
        <f t="shared" si="363"/>
        <v>#N/A</v>
      </c>
      <c r="GB229" s="8" t="e">
        <f t="shared" si="364"/>
        <v>#N/A</v>
      </c>
      <c r="GC229" s="8" t="e">
        <f t="shared" si="365"/>
        <v>#N/A</v>
      </c>
      <c r="GD229" s="168" t="e">
        <f t="shared" si="366"/>
        <v>#N/A</v>
      </c>
      <c r="GE229" s="168"/>
      <c r="GF229" s="168"/>
      <c r="GI229" s="54">
        <f t="shared" si="411"/>
        <v>219</v>
      </c>
      <c r="GJ229" s="54">
        <f t="shared" si="412"/>
        <v>220</v>
      </c>
      <c r="GK229" s="54">
        <f t="shared" si="413"/>
        <v>2.155976027558939</v>
      </c>
      <c r="GL229" s="54">
        <f t="shared" si="414"/>
        <v>3.9044437871557792E-2</v>
      </c>
      <c r="GM229" s="54" t="e">
        <f t="shared" si="415"/>
        <v>#N/A</v>
      </c>
      <c r="GN229" s="54" t="e">
        <f t="shared" si="416"/>
        <v>#N/A</v>
      </c>
      <c r="GO229" s="54" t="e">
        <f t="shared" si="417"/>
        <v>#N/A</v>
      </c>
      <c r="GP229" s="54" t="b">
        <f t="shared" si="418"/>
        <v>0</v>
      </c>
      <c r="GQ229" s="54" t="b">
        <f t="shared" si="419"/>
        <v>1</v>
      </c>
      <c r="GR229" s="54" t="b">
        <f t="shared" si="420"/>
        <v>1</v>
      </c>
      <c r="GS229" s="54" t="b">
        <f t="shared" si="421"/>
        <v>0</v>
      </c>
      <c r="GT229" s="54">
        <f t="shared" si="422"/>
        <v>3.9044437871557792E-2</v>
      </c>
      <c r="GU229" s="54">
        <f t="shared" si="423"/>
        <v>3.9044437871557792E-2</v>
      </c>
      <c r="GV229" s="54" t="e">
        <f t="shared" si="424"/>
        <v>#N/A</v>
      </c>
      <c r="GW229" s="72" t="str">
        <f t="shared" si="425"/>
        <v/>
      </c>
      <c r="HC229" s="54">
        <f t="shared" si="426"/>
        <v>219</v>
      </c>
      <c r="HD229" s="54">
        <f t="shared" si="427"/>
        <v>220</v>
      </c>
      <c r="HE229" s="54">
        <f t="shared" si="428"/>
        <v>3.338574159515117</v>
      </c>
      <c r="HF229" s="54" t="e">
        <f t="shared" si="429"/>
        <v>#N/A</v>
      </c>
      <c r="HG229" s="54">
        <f t="shared" si="430"/>
        <v>8.5253498118103913E-3</v>
      </c>
      <c r="HH229" s="54" t="e">
        <f t="shared" si="431"/>
        <v>#N/A</v>
      </c>
      <c r="HI229" s="54" t="e">
        <f t="shared" si="432"/>
        <v>#N/A</v>
      </c>
      <c r="HJ229" s="54" t="b">
        <f t="shared" si="433"/>
        <v>0</v>
      </c>
      <c r="HK229" s="54" t="b">
        <f t="shared" si="434"/>
        <v>1</v>
      </c>
      <c r="HL229" s="54" t="b">
        <f t="shared" si="435"/>
        <v>1</v>
      </c>
      <c r="HM229" s="54" t="b">
        <f t="shared" si="436"/>
        <v>0</v>
      </c>
      <c r="HN229" s="54">
        <f t="shared" si="437"/>
        <v>8.5253498118103913E-3</v>
      </c>
      <c r="HO229" s="54" t="e">
        <f t="shared" si="438"/>
        <v>#N/A</v>
      </c>
      <c r="HP229" s="54">
        <f t="shared" si="439"/>
        <v>8.5253498118103913E-3</v>
      </c>
      <c r="HQ229" s="72" t="str">
        <f t="shared" si="440"/>
        <v/>
      </c>
    </row>
    <row r="230" spans="71:225" x14ac:dyDescent="0.2">
      <c r="BS230" s="54">
        <f t="shared" si="367"/>
        <v>220</v>
      </c>
      <c r="BT230" s="54">
        <f>Eu_tabel_g[[#This Row],[Indeks]]+1</f>
        <v>221</v>
      </c>
      <c r="BU230" s="54">
        <f t="shared" si="368"/>
        <v>2.1799313167540388</v>
      </c>
      <c r="BV230" s="54">
        <f t="shared" si="369"/>
        <v>3.706845998598688E-2</v>
      </c>
      <c r="BW230" s="54" t="e">
        <f t="shared" si="370"/>
        <v>#N/A</v>
      </c>
      <c r="BX230" s="54" t="e">
        <f t="shared" si="371"/>
        <v>#N/A</v>
      </c>
      <c r="BY230" s="54" t="e">
        <f t="shared" si="372"/>
        <v>#N/A</v>
      </c>
      <c r="BZ230" s="54" t="b">
        <f t="shared" si="373"/>
        <v>0</v>
      </c>
      <c r="CA230" s="54" t="b">
        <f t="shared" si="374"/>
        <v>1</v>
      </c>
      <c r="CB230" s="54" t="b">
        <f t="shared" si="375"/>
        <v>1</v>
      </c>
      <c r="CC230" s="54" t="b">
        <f t="shared" si="376"/>
        <v>0</v>
      </c>
      <c r="CD230" s="54">
        <f t="shared" si="441"/>
        <v>3.706845998598688E-2</v>
      </c>
      <c r="CE230" s="54">
        <f t="shared" si="377"/>
        <v>3.706845998598688E-2</v>
      </c>
      <c r="CF230" s="54" t="e">
        <f t="shared" si="378"/>
        <v>#N/A</v>
      </c>
      <c r="CG230" s="72" t="str">
        <f t="shared" si="379"/>
        <v/>
      </c>
      <c r="CH230" s="54">
        <f>_xlfn.NORM.DIST(_xlfn.NORM.INV(1-Eu_g_konfidensniveau,0,1)-Eu_tabel_g[[#This Row],[x base]],0,1,TRUE)</f>
        <v>6.5443143886424751E-5</v>
      </c>
      <c r="CI230" s="54">
        <f>1-_xlfn.NORM.DIST(_xlfn.NORM.INV(Eu_g_konfidensniveau,0,1)-Eu_tabel_g[[#This Row],[x base]],0,1,TRUE)</f>
        <v>0.70370193173370943</v>
      </c>
      <c r="CJ230" s="54">
        <f>_xlfn.NORM.DIST(_xlfn.NORM.INV((1-Eu_g_konfidensniveau)/2,0,1)-Eu_tabel_g[[#This Row],[x base]],0,1,TRUE)+1-_xlfn.NORM.DIST(_xlfn.NORM.INV(1-(1-Eu_g_konfidensniveau)/2,0,1)-Eu_tabel_g[[#This Row],[x base]],0,1,TRUE)</f>
        <v>0.58706907486227267</v>
      </c>
      <c r="CK230" s="54" t="e" cm="1">
        <f t="array" ref="CK230">IF($CK$3,INDEX(Eu_tabel_g[[#This Row],[Styrke venstre]:[Styrke tosidet]],CK$7),NA())</f>
        <v>#N/A</v>
      </c>
      <c r="CL230" s="99" t="e">
        <f>Eu_tabel_g[[#This Row],[Falsk positiv
Nulhypotese accepteres
Fejltype 1]]</f>
        <v>#N/A</v>
      </c>
      <c r="CM230" s="99" t="e">
        <f>IF(CHOOSE(CK$7,Eu_tabel_g[[#This Row],[x base]]&gt;0,Eu_tabel_g[[#This Row],[x base]]&lt;0,Eu_tabel_g[[#This Row],[x base]]=0),Eu_tabel_g[[#This Row],[Styrke, aktiv]],NA())</f>
        <v>#N/A</v>
      </c>
      <c r="CN230" s="99" t="e">
        <f>IFERROR(IF($CK$3,Eu_tabel_g[[#This Row],[Styrke, aktiv]],NA()),NA())</f>
        <v>#N/A</v>
      </c>
      <c r="CO230" s="99" t="e">
        <f>IF(ISNA(Eu_tabel_g[[#This Row],[Sand negativ
Nulhypotese afvises
Korrekt]]),NA(),IF($CK$3,1,NA()))</f>
        <v>#N/A</v>
      </c>
      <c r="CP230" s="56" t="str" cm="1">
        <f t="array" ref="CP230">_xlfn.SWITCH(BS230,_xlfn.IFNA(CN$2,-99),CN$5,_xlfn.IFNA(CN$3,-99),CN$6,_xlfn.IFNA(CN$4,-99),CN$7,"")</f>
        <v/>
      </c>
      <c r="CT230" s="7">
        <f t="shared" si="380"/>
        <v>0.8</v>
      </c>
      <c r="CU230">
        <f>IF(ROW(Styrkeberegning_G[[#This Row],[X base venstre]])=ROW(Styrkeberegning_G[[#Headers],[X base venstre]])+1,CU$7/(CT$7/$B$67),CU229/(CT229/$B$67))</f>
        <v>-2.8015817870135784</v>
      </c>
      <c r="CV230">
        <f>Styrkeberegning_G[[#This Row],[X base venstre]]*-1</f>
        <v>2.8015817870135784</v>
      </c>
      <c r="DG230" s="54">
        <f t="shared" si="381"/>
        <v>220</v>
      </c>
      <c r="DH230" s="54">
        <f t="shared" si="382"/>
        <v>221</v>
      </c>
      <c r="DI230" s="54">
        <f t="shared" si="383"/>
        <v>26.92944107639391</v>
      </c>
      <c r="DJ230" s="54" t="e">
        <f t="shared" si="384"/>
        <v>#N/A</v>
      </c>
      <c r="DK230" s="54" t="e">
        <f t="shared" si="385"/>
        <v>#N/A</v>
      </c>
      <c r="DL230" s="54">
        <f t="shared" si="386"/>
        <v>1.6362416968852462E-3</v>
      </c>
      <c r="DM230" s="54" t="e">
        <f t="shared" si="387"/>
        <v>#N/A</v>
      </c>
      <c r="DN230" s="54" t="b">
        <f t="shared" si="388"/>
        <v>0</v>
      </c>
      <c r="DO230" s="54" t="b">
        <f t="shared" si="389"/>
        <v>1</v>
      </c>
      <c r="DP230" s="54" t="b">
        <f t="shared" si="390"/>
        <v>1</v>
      </c>
      <c r="DQ230" s="54" t="b">
        <f t="shared" si="391"/>
        <v>0</v>
      </c>
      <c r="DR230" s="54">
        <f t="shared" si="392"/>
        <v>1.6362416968852462E-3</v>
      </c>
      <c r="DS230" s="54">
        <f t="shared" si="393"/>
        <v>1.6362416968852462E-3</v>
      </c>
      <c r="DT230" s="54" t="e">
        <f t="shared" si="394"/>
        <v>#N/A</v>
      </c>
      <c r="DU230" s="72" t="str">
        <f t="shared" si="395"/>
        <v/>
      </c>
      <c r="DZ230" s="54">
        <f t="shared" si="396"/>
        <v>220</v>
      </c>
      <c r="EA230" s="54">
        <f t="shared" si="397"/>
        <v>221</v>
      </c>
      <c r="EB230" s="54">
        <f t="shared" si="398"/>
        <v>2.1799313167540388</v>
      </c>
      <c r="EC230" s="54">
        <f t="shared" si="399"/>
        <v>3.706845998598688E-2</v>
      </c>
      <c r="ED230" s="54" t="e">
        <f t="shared" si="400"/>
        <v>#N/A</v>
      </c>
      <c r="EE230" s="54" t="e">
        <f t="shared" si="401"/>
        <v>#N/A</v>
      </c>
      <c r="EF230" s="54" t="e">
        <f t="shared" si="402"/>
        <v>#N/A</v>
      </c>
      <c r="EG230" s="54" t="b">
        <f t="shared" si="403"/>
        <v>0</v>
      </c>
      <c r="EH230" s="54" t="b">
        <f t="shared" si="404"/>
        <v>1</v>
      </c>
      <c r="EI230" s="54" t="b">
        <f t="shared" si="405"/>
        <v>1</v>
      </c>
      <c r="EJ230" s="54" t="b">
        <f t="shared" si="406"/>
        <v>0</v>
      </c>
      <c r="EK230" s="54">
        <f t="shared" si="407"/>
        <v>3.706845998598688E-2</v>
      </c>
      <c r="EL230" s="54">
        <f t="shared" si="408"/>
        <v>3.706845998598688E-2</v>
      </c>
      <c r="EM230" s="54" t="e">
        <f t="shared" si="409"/>
        <v>#N/A</v>
      </c>
      <c r="EN230" s="72" t="str">
        <f t="shared" si="410"/>
        <v/>
      </c>
      <c r="EO23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3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3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30" s="54" t="e" cm="1">
        <f t="array" ref="ER230">IF($CK$3,INDEX(Eu_tabel_a[[#This Row],[Styrke venstre]:[Styrke tosidet]],ER$7),NA())</f>
        <v>#N/A</v>
      </c>
      <c r="ES230" s="54" t="e">
        <f>IF(ER$3,IF(CHOOSE(ER$7,Eu_tabel_a[[#This Row],[x base]]&gt;0,Eu_tabel_a[[#This Row],[x base]]&lt;0,Eu_tabel_a[[#This Row],[x base]]=0),1,NA()),NA())</f>
        <v>#N/A</v>
      </c>
      <c r="ET230" s="54" t="e">
        <f>IF(CHOOSE(ER$7,Eu_tabel_a[[#This Row],[x base]]&gt;0,Eu_tabel_a[[#This Row],[x base]]&lt;0,Eu_tabel_a[[#This Row],[x base]]=0),Eu_tabel_a[[#This Row],[Styrke, aktiv]],NA())</f>
        <v>#N/A</v>
      </c>
      <c r="EU230" s="54" t="e">
        <f>IFERROR(IF($ER$3,Eu_tabel_a[[#This Row],[Styrke, aktiv]],NA()),NA())</f>
        <v>#N/A</v>
      </c>
      <c r="EV230" s="54" t="e">
        <f>IF(ISNA(Eu_tabel_a[[#This Row],[Sand negativ
Nulhypotese afvises
Korrekt]]),NA(),IF(ER$3,1,NA()))</f>
        <v>#N/A</v>
      </c>
      <c r="EW230" s="55" t="str" cm="1">
        <f t="array" ref="EW230">IFERROR(_xlfn.SWITCH(Eu_tabel_a[[#This Row],[Indeks]],_xlfn.IFNA(EU$2,-99),EU$5,_xlfn.IFNA(EU$3,-99),EU$6,_xlfn.IFNA(EU$4,-99),EU$7,""),"")</f>
        <v/>
      </c>
      <c r="EX230" s="54">
        <f>Eu_tabel_a[[#This Row],[x base]]*SQRT(Eu_a_h0_x*(1-Eu_a_h0_x)/Eu_a_n_x)+Eu_a_h0_x</f>
        <v>0</v>
      </c>
      <c r="FC230" s="161" t="e">
        <f t="shared" si="354"/>
        <v>#N/A</v>
      </c>
      <c r="FD230" s="169" t="e">
        <f t="shared" si="442"/>
        <v>#DIV/0!</v>
      </c>
      <c r="FE230" s="7" t="e">
        <f t="shared" si="348"/>
        <v>#DIV/0!</v>
      </c>
      <c r="FF230" t="e">
        <f t="shared" si="443"/>
        <v>#DIV/0!</v>
      </c>
      <c r="FG230" s="8" t="e">
        <f t="shared" si="444"/>
        <v>#DIV/0!</v>
      </c>
      <c r="FH230" s="8" t="e">
        <f t="shared" si="445"/>
        <v>#DIV/0!</v>
      </c>
      <c r="FI230" s="168" t="e">
        <f t="shared" si="446"/>
        <v>#DIV/0!</v>
      </c>
      <c r="FJ230" s="161" t="e">
        <f t="shared" ca="1" si="349"/>
        <v>#N/A</v>
      </c>
      <c r="FK230" s="169" t="e" vm="3">
        <f t="shared" ca="1" si="355"/>
        <v>#VALUE!</v>
      </c>
      <c r="FL230" s="7" t="e" vm="3">
        <f t="shared" ca="1" si="350"/>
        <v>#VALUE!</v>
      </c>
      <c r="FM230" t="e" vm="3">
        <f t="shared" ca="1" si="344"/>
        <v>#VALUE!</v>
      </c>
      <c r="FN230" s="8" t="e" vm="3">
        <f t="shared" ca="1" si="345"/>
        <v>#VALUE!</v>
      </c>
      <c r="FO230" s="8" t="e" vm="3">
        <f t="shared" ca="1" si="346"/>
        <v>#VALUE!</v>
      </c>
      <c r="FP230" s="168" t="e" vm="3">
        <f t="shared" ca="1" si="347"/>
        <v>#VALUE!</v>
      </c>
      <c r="FQ230" s="161" t="e">
        <f t="shared" si="351"/>
        <v>#N/A</v>
      </c>
      <c r="FR230" s="169" t="e">
        <f t="shared" si="356"/>
        <v>#N/A</v>
      </c>
      <c r="FS230" s="7" t="e">
        <f t="shared" si="352"/>
        <v>#N/A</v>
      </c>
      <c r="FT230" t="e">
        <f t="shared" si="357"/>
        <v>#N/A</v>
      </c>
      <c r="FU230" s="8" t="e">
        <f t="shared" si="358"/>
        <v>#N/A</v>
      </c>
      <c r="FV230" s="8" t="e">
        <f t="shared" si="359"/>
        <v>#N/A</v>
      </c>
      <c r="FW230" s="168" t="e">
        <f t="shared" si="360"/>
        <v>#N/A</v>
      </c>
      <c r="FX230" s="161" t="e">
        <f t="shared" si="361"/>
        <v>#N/A</v>
      </c>
      <c r="FY230" s="169" t="e">
        <f t="shared" si="362"/>
        <v>#N/A</v>
      </c>
      <c r="FZ230" s="7" t="e">
        <f t="shared" si="353"/>
        <v>#N/A</v>
      </c>
      <c r="GA230" t="e">
        <f t="shared" si="363"/>
        <v>#N/A</v>
      </c>
      <c r="GB230" s="8" t="e">
        <f t="shared" si="364"/>
        <v>#N/A</v>
      </c>
      <c r="GC230" s="8" t="e">
        <f t="shared" si="365"/>
        <v>#N/A</v>
      </c>
      <c r="GD230" s="168" t="e">
        <f t="shared" si="366"/>
        <v>#N/A</v>
      </c>
      <c r="GE230" s="168"/>
      <c r="GF230" s="168"/>
      <c r="GI230" s="54">
        <f t="shared" si="411"/>
        <v>220</v>
      </c>
      <c r="GJ230" s="54">
        <f t="shared" si="412"/>
        <v>221</v>
      </c>
      <c r="GK230" s="54">
        <f t="shared" si="413"/>
        <v>2.1799313167540388</v>
      </c>
      <c r="GL230" s="54">
        <f t="shared" si="414"/>
        <v>3.706845998598688E-2</v>
      </c>
      <c r="GM230" s="54" t="e">
        <f t="shared" si="415"/>
        <v>#N/A</v>
      </c>
      <c r="GN230" s="54" t="e">
        <f t="shared" si="416"/>
        <v>#N/A</v>
      </c>
      <c r="GO230" s="54" t="e">
        <f t="shared" si="417"/>
        <v>#N/A</v>
      </c>
      <c r="GP230" s="54" t="b">
        <f t="shared" si="418"/>
        <v>0</v>
      </c>
      <c r="GQ230" s="54" t="b">
        <f t="shared" si="419"/>
        <v>1</v>
      </c>
      <c r="GR230" s="54" t="b">
        <f t="shared" si="420"/>
        <v>1</v>
      </c>
      <c r="GS230" s="54" t="b">
        <f t="shared" si="421"/>
        <v>0</v>
      </c>
      <c r="GT230" s="54">
        <f t="shared" si="422"/>
        <v>3.706845998598688E-2</v>
      </c>
      <c r="GU230" s="54">
        <f t="shared" si="423"/>
        <v>3.706845998598688E-2</v>
      </c>
      <c r="GV230" s="54" t="e">
        <f t="shared" si="424"/>
        <v>#N/A</v>
      </c>
      <c r="GW230" s="72" t="str">
        <f t="shared" si="425"/>
        <v/>
      </c>
      <c r="HC230" s="54">
        <f t="shared" si="426"/>
        <v>220</v>
      </c>
      <c r="HD230" s="54">
        <f t="shared" si="427"/>
        <v>221</v>
      </c>
      <c r="HE230" s="54">
        <f t="shared" si="428"/>
        <v>3.3756694279541737</v>
      </c>
      <c r="HF230" s="54" t="e">
        <f t="shared" si="429"/>
        <v>#N/A</v>
      </c>
      <c r="HG230" s="54">
        <f t="shared" si="430"/>
        <v>8.0729166739766517E-3</v>
      </c>
      <c r="HH230" s="54" t="e">
        <f t="shared" si="431"/>
        <v>#N/A</v>
      </c>
      <c r="HI230" s="54" t="e">
        <f t="shared" si="432"/>
        <v>#N/A</v>
      </c>
      <c r="HJ230" s="54" t="b">
        <f t="shared" si="433"/>
        <v>0</v>
      </c>
      <c r="HK230" s="54" t="b">
        <f t="shared" si="434"/>
        <v>1</v>
      </c>
      <c r="HL230" s="54" t="b">
        <f t="shared" si="435"/>
        <v>1</v>
      </c>
      <c r="HM230" s="54" t="b">
        <f t="shared" si="436"/>
        <v>0</v>
      </c>
      <c r="HN230" s="54">
        <f t="shared" si="437"/>
        <v>8.0729166739766517E-3</v>
      </c>
      <c r="HO230" s="54" t="e">
        <f t="shared" si="438"/>
        <v>#N/A</v>
      </c>
      <c r="HP230" s="54">
        <f t="shared" si="439"/>
        <v>8.0729166739766517E-3</v>
      </c>
      <c r="HQ230" s="72" t="str">
        <f t="shared" si="440"/>
        <v/>
      </c>
    </row>
    <row r="231" spans="71:225" x14ac:dyDescent="0.2">
      <c r="BS231" s="54">
        <f t="shared" si="367"/>
        <v>221</v>
      </c>
      <c r="BT231" s="54">
        <f>Eu_tabel_g[[#This Row],[Indeks]]+1</f>
        <v>222</v>
      </c>
      <c r="BU231" s="54">
        <f t="shared" si="368"/>
        <v>2.2038866059491378</v>
      </c>
      <c r="BV231" s="54">
        <f t="shared" si="369"/>
        <v>3.5172293628326259E-2</v>
      </c>
      <c r="BW231" s="54" t="e">
        <f t="shared" si="370"/>
        <v>#N/A</v>
      </c>
      <c r="BX231" s="54" t="e">
        <f t="shared" si="371"/>
        <v>#N/A</v>
      </c>
      <c r="BY231" s="54" t="e">
        <f t="shared" si="372"/>
        <v>#N/A</v>
      </c>
      <c r="BZ231" s="54" t="b">
        <f t="shared" si="373"/>
        <v>0</v>
      </c>
      <c r="CA231" s="54" t="b">
        <f t="shared" si="374"/>
        <v>1</v>
      </c>
      <c r="CB231" s="54" t="b">
        <f t="shared" si="375"/>
        <v>1</v>
      </c>
      <c r="CC231" s="54" t="b">
        <f t="shared" si="376"/>
        <v>0</v>
      </c>
      <c r="CD231" s="54">
        <f t="shared" si="441"/>
        <v>3.5172293628326259E-2</v>
      </c>
      <c r="CE231" s="54">
        <f t="shared" si="377"/>
        <v>3.5172293628326259E-2</v>
      </c>
      <c r="CF231" s="54" t="e">
        <f t="shared" si="378"/>
        <v>#N/A</v>
      </c>
      <c r="CG231" s="72" t="str">
        <f t="shared" si="379"/>
        <v/>
      </c>
      <c r="CH231" s="54">
        <f>_xlfn.NORM.DIST(_xlfn.NORM.INV(1-Eu_g_konfidensniveau,0,1)-Eu_tabel_g[[#This Row],[x base]],0,1,TRUE)</f>
        <v>5.9363413504991642E-5</v>
      </c>
      <c r="CI231" s="54">
        <f>1-_xlfn.NORM.DIST(_xlfn.NORM.INV(Eu_g_konfidensniveau,0,1)-Eu_tabel_g[[#This Row],[x base]],0,1,TRUE)</f>
        <v>0.71193039344774489</v>
      </c>
      <c r="CJ231" s="54">
        <f>_xlfn.NORM.DIST(_xlfn.NORM.INV((1-Eu_g_konfidensniveau)/2,0,1)-Eu_tabel_g[[#This Row],[x base]],0,1,TRUE)+1-_xlfn.NORM.DIST(_xlfn.NORM.INV(1-(1-Eu_g_konfidensniveau)/2,0,1)-Eu_tabel_g[[#This Row],[x base]],0,1,TRUE)</f>
        <v>0.59637027179631974</v>
      </c>
      <c r="CK231" s="54" t="e" cm="1">
        <f t="array" ref="CK231">IF($CK$3,INDEX(Eu_tabel_g[[#This Row],[Styrke venstre]:[Styrke tosidet]],CK$7),NA())</f>
        <v>#N/A</v>
      </c>
      <c r="CL231" s="99" t="e">
        <f>Eu_tabel_g[[#This Row],[Falsk positiv
Nulhypotese accepteres
Fejltype 1]]</f>
        <v>#N/A</v>
      </c>
      <c r="CM231" s="99" t="e">
        <f>IF(CHOOSE(CK$7,Eu_tabel_g[[#This Row],[x base]]&gt;0,Eu_tabel_g[[#This Row],[x base]]&lt;0,Eu_tabel_g[[#This Row],[x base]]=0),Eu_tabel_g[[#This Row],[Styrke, aktiv]],NA())</f>
        <v>#N/A</v>
      </c>
      <c r="CN231" s="99" t="e">
        <f>IFERROR(IF($CK$3,Eu_tabel_g[[#This Row],[Styrke, aktiv]],NA()),NA())</f>
        <v>#N/A</v>
      </c>
      <c r="CO231" s="99" t="e">
        <f>IF(ISNA(Eu_tabel_g[[#This Row],[Sand negativ
Nulhypotese afvises
Korrekt]]),NA(),IF($CK$3,1,NA()))</f>
        <v>#N/A</v>
      </c>
      <c r="CP231" s="56" t="str" cm="1">
        <f t="array" ref="CP231">_xlfn.SWITCH(BS231,_xlfn.IFNA(CN$2,-99),CN$5,_xlfn.IFNA(CN$3,-99),CN$6,_xlfn.IFNA(CN$4,-99),CN$7,"")</f>
        <v/>
      </c>
      <c r="CT231" s="7">
        <f t="shared" si="380"/>
        <v>0.8</v>
      </c>
      <c r="CU231">
        <f>IF(ROW(Styrkeberegning_G[[#This Row],[X base venstre]])=ROW(Styrkeberegning_G[[#Headers],[X base venstre]])+1,CU$7/(CT$7/$B$67),CU230/(CT230/$B$67))</f>
        <v>-2.8015817870135784</v>
      </c>
      <c r="CV231">
        <f>Styrkeberegning_G[[#This Row],[X base venstre]]*-1</f>
        <v>2.8015817870135784</v>
      </c>
      <c r="DG231" s="54">
        <f t="shared" si="381"/>
        <v>221</v>
      </c>
      <c r="DH231" s="54">
        <f t="shared" si="382"/>
        <v>222</v>
      </c>
      <c r="DI231" s="54">
        <f t="shared" si="383"/>
        <v>27.043511932810912</v>
      </c>
      <c r="DJ231" s="54" t="e">
        <f t="shared" si="384"/>
        <v>#N/A</v>
      </c>
      <c r="DK231" s="54" t="e">
        <f t="shared" si="385"/>
        <v>#N/A</v>
      </c>
      <c r="DL231" s="54">
        <f t="shared" si="386"/>
        <v>1.5752089032837508E-3</v>
      </c>
      <c r="DM231" s="54" t="e">
        <f t="shared" si="387"/>
        <v>#N/A</v>
      </c>
      <c r="DN231" s="54" t="b">
        <f t="shared" si="388"/>
        <v>0</v>
      </c>
      <c r="DO231" s="54" t="b">
        <f t="shared" si="389"/>
        <v>1</v>
      </c>
      <c r="DP231" s="54" t="b">
        <f t="shared" si="390"/>
        <v>1</v>
      </c>
      <c r="DQ231" s="54" t="b">
        <f t="shared" si="391"/>
        <v>0</v>
      </c>
      <c r="DR231" s="54">
        <f t="shared" si="392"/>
        <v>1.5752089032837508E-3</v>
      </c>
      <c r="DS231" s="54">
        <f t="shared" si="393"/>
        <v>1.5752089032837508E-3</v>
      </c>
      <c r="DT231" s="54" t="e">
        <f t="shared" si="394"/>
        <v>#N/A</v>
      </c>
      <c r="DU231" s="72" t="str">
        <f t="shared" si="395"/>
        <v/>
      </c>
      <c r="DZ231" s="54">
        <f t="shared" si="396"/>
        <v>221</v>
      </c>
      <c r="EA231" s="54">
        <f t="shared" si="397"/>
        <v>222</v>
      </c>
      <c r="EB231" s="54">
        <f t="shared" si="398"/>
        <v>2.2038866059491378</v>
      </c>
      <c r="EC231" s="54">
        <f t="shared" si="399"/>
        <v>3.5172293628326259E-2</v>
      </c>
      <c r="ED231" s="54" t="e">
        <f t="shared" si="400"/>
        <v>#N/A</v>
      </c>
      <c r="EE231" s="54" t="e">
        <f t="shared" si="401"/>
        <v>#N/A</v>
      </c>
      <c r="EF231" s="54" t="e">
        <f t="shared" si="402"/>
        <v>#N/A</v>
      </c>
      <c r="EG231" s="54" t="b">
        <f t="shared" si="403"/>
        <v>0</v>
      </c>
      <c r="EH231" s="54" t="b">
        <f t="shared" si="404"/>
        <v>1</v>
      </c>
      <c r="EI231" s="54" t="b">
        <f t="shared" si="405"/>
        <v>1</v>
      </c>
      <c r="EJ231" s="54" t="b">
        <f t="shared" si="406"/>
        <v>0</v>
      </c>
      <c r="EK231" s="54">
        <f t="shared" si="407"/>
        <v>3.5172293628326259E-2</v>
      </c>
      <c r="EL231" s="54">
        <f t="shared" si="408"/>
        <v>3.5172293628326259E-2</v>
      </c>
      <c r="EM231" s="54" t="e">
        <f t="shared" si="409"/>
        <v>#N/A</v>
      </c>
      <c r="EN231" s="72" t="str">
        <f t="shared" si="410"/>
        <v/>
      </c>
      <c r="EO23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3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3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31" s="54" t="e" cm="1">
        <f t="array" ref="ER231">IF($CK$3,INDEX(Eu_tabel_a[[#This Row],[Styrke venstre]:[Styrke tosidet]],ER$7),NA())</f>
        <v>#N/A</v>
      </c>
      <c r="ES231" s="54" t="e">
        <f>IF(ER$3,IF(CHOOSE(ER$7,Eu_tabel_a[[#This Row],[x base]]&gt;0,Eu_tabel_a[[#This Row],[x base]]&lt;0,Eu_tabel_a[[#This Row],[x base]]=0),1,NA()),NA())</f>
        <v>#N/A</v>
      </c>
      <c r="ET231" s="54" t="e">
        <f>IF(CHOOSE(ER$7,Eu_tabel_a[[#This Row],[x base]]&gt;0,Eu_tabel_a[[#This Row],[x base]]&lt;0,Eu_tabel_a[[#This Row],[x base]]=0),Eu_tabel_a[[#This Row],[Styrke, aktiv]],NA())</f>
        <v>#N/A</v>
      </c>
      <c r="EU231" s="54" t="e">
        <f>IFERROR(IF($ER$3,Eu_tabel_a[[#This Row],[Styrke, aktiv]],NA()),NA())</f>
        <v>#N/A</v>
      </c>
      <c r="EV231" s="54" t="e">
        <f>IF(ISNA(Eu_tabel_a[[#This Row],[Sand negativ
Nulhypotese afvises
Korrekt]]),NA(),IF(ER$3,1,NA()))</f>
        <v>#N/A</v>
      </c>
      <c r="EW231" s="55" t="str" cm="1">
        <f t="array" ref="EW231">IFERROR(_xlfn.SWITCH(Eu_tabel_a[[#This Row],[Indeks]],_xlfn.IFNA(EU$2,-99),EU$5,_xlfn.IFNA(EU$3,-99),EU$6,_xlfn.IFNA(EU$4,-99),EU$7,""),"")</f>
        <v/>
      </c>
      <c r="EX231" s="54">
        <f>Eu_tabel_a[[#This Row],[x base]]*SQRT(Eu_a_h0_x*(1-Eu_a_h0_x)/Eu_a_n_x)+Eu_a_h0_x</f>
        <v>0</v>
      </c>
      <c r="FC231" s="161" t="e">
        <f t="shared" si="354"/>
        <v>#N/A</v>
      </c>
      <c r="FD231" s="169" t="e">
        <f t="shared" si="442"/>
        <v>#DIV/0!</v>
      </c>
      <c r="FE231" s="7" t="e">
        <f t="shared" si="348"/>
        <v>#DIV/0!</v>
      </c>
      <c r="FF231" t="e">
        <f t="shared" si="443"/>
        <v>#DIV/0!</v>
      </c>
      <c r="FG231" s="8" t="e">
        <f t="shared" si="444"/>
        <v>#DIV/0!</v>
      </c>
      <c r="FH231" s="8" t="e">
        <f t="shared" si="445"/>
        <v>#DIV/0!</v>
      </c>
      <c r="FI231" s="168" t="e">
        <f t="shared" si="446"/>
        <v>#DIV/0!</v>
      </c>
      <c r="FJ231" s="161" t="e">
        <f t="shared" ca="1" si="349"/>
        <v>#N/A</v>
      </c>
      <c r="FK231" s="169" t="e" vm="3">
        <f t="shared" ca="1" si="355"/>
        <v>#VALUE!</v>
      </c>
      <c r="FL231" s="7" t="e" vm="3">
        <f t="shared" ca="1" si="350"/>
        <v>#VALUE!</v>
      </c>
      <c r="FM231" t="e" vm="3">
        <f t="shared" ca="1" si="344"/>
        <v>#VALUE!</v>
      </c>
      <c r="FN231" s="8" t="e" vm="3">
        <f t="shared" ca="1" si="345"/>
        <v>#VALUE!</v>
      </c>
      <c r="FO231" s="8" t="e" vm="3">
        <f t="shared" ca="1" si="346"/>
        <v>#VALUE!</v>
      </c>
      <c r="FP231" s="168" t="e" vm="3">
        <f t="shared" ca="1" si="347"/>
        <v>#VALUE!</v>
      </c>
      <c r="FQ231" s="161" t="e">
        <f t="shared" si="351"/>
        <v>#N/A</v>
      </c>
      <c r="FR231" s="169" t="e">
        <f t="shared" si="356"/>
        <v>#N/A</v>
      </c>
      <c r="FS231" s="7" t="e">
        <f t="shared" si="352"/>
        <v>#N/A</v>
      </c>
      <c r="FT231" t="e">
        <f t="shared" si="357"/>
        <v>#N/A</v>
      </c>
      <c r="FU231" s="8" t="e">
        <f t="shared" si="358"/>
        <v>#N/A</v>
      </c>
      <c r="FV231" s="8" t="e">
        <f t="shared" si="359"/>
        <v>#N/A</v>
      </c>
      <c r="FW231" s="168" t="e">
        <f t="shared" si="360"/>
        <v>#N/A</v>
      </c>
      <c r="FX231" s="161" t="e">
        <f t="shared" si="361"/>
        <v>#N/A</v>
      </c>
      <c r="FY231" s="169" t="e">
        <f t="shared" si="362"/>
        <v>#N/A</v>
      </c>
      <c r="FZ231" s="7" t="e">
        <f t="shared" si="353"/>
        <v>#N/A</v>
      </c>
      <c r="GA231" t="e">
        <f t="shared" si="363"/>
        <v>#N/A</v>
      </c>
      <c r="GB231" s="8" t="e">
        <f t="shared" si="364"/>
        <v>#N/A</v>
      </c>
      <c r="GC231" s="8" t="e">
        <f t="shared" si="365"/>
        <v>#N/A</v>
      </c>
      <c r="GD231" s="168" t="e">
        <f t="shared" si="366"/>
        <v>#N/A</v>
      </c>
      <c r="GE231" s="168"/>
      <c r="GF231" s="168"/>
      <c r="GI231" s="54">
        <f t="shared" si="411"/>
        <v>221</v>
      </c>
      <c r="GJ231" s="54">
        <f t="shared" si="412"/>
        <v>222</v>
      </c>
      <c r="GK231" s="54">
        <f t="shared" si="413"/>
        <v>2.2038866059491378</v>
      </c>
      <c r="GL231" s="54">
        <f t="shared" si="414"/>
        <v>3.5172293628326259E-2</v>
      </c>
      <c r="GM231" s="54" t="e">
        <f t="shared" si="415"/>
        <v>#N/A</v>
      </c>
      <c r="GN231" s="54" t="e">
        <f t="shared" si="416"/>
        <v>#N/A</v>
      </c>
      <c r="GO231" s="54" t="e">
        <f t="shared" si="417"/>
        <v>#N/A</v>
      </c>
      <c r="GP231" s="54" t="b">
        <f t="shared" si="418"/>
        <v>0</v>
      </c>
      <c r="GQ231" s="54" t="b">
        <f t="shared" si="419"/>
        <v>1</v>
      </c>
      <c r="GR231" s="54" t="b">
        <f t="shared" si="420"/>
        <v>1</v>
      </c>
      <c r="GS231" s="54" t="b">
        <f t="shared" si="421"/>
        <v>0</v>
      </c>
      <c r="GT231" s="54">
        <f t="shared" si="422"/>
        <v>3.5172293628326259E-2</v>
      </c>
      <c r="GU231" s="54">
        <f t="shared" si="423"/>
        <v>3.5172293628326259E-2</v>
      </c>
      <c r="GV231" s="54" t="e">
        <f t="shared" si="424"/>
        <v>#N/A</v>
      </c>
      <c r="GW231" s="72" t="str">
        <f t="shared" si="425"/>
        <v/>
      </c>
      <c r="HC231" s="54">
        <f t="shared" si="426"/>
        <v>221</v>
      </c>
      <c r="HD231" s="54">
        <f t="shared" si="427"/>
        <v>222</v>
      </c>
      <c r="HE231" s="54">
        <f t="shared" si="428"/>
        <v>3.4127646963932303</v>
      </c>
      <c r="HF231" s="54" t="e">
        <f t="shared" si="429"/>
        <v>#N/A</v>
      </c>
      <c r="HG231" s="54">
        <f t="shared" si="430"/>
        <v>7.645586764636743E-3</v>
      </c>
      <c r="HH231" s="54" t="e">
        <f t="shared" si="431"/>
        <v>#N/A</v>
      </c>
      <c r="HI231" s="54" t="e">
        <f t="shared" si="432"/>
        <v>#N/A</v>
      </c>
      <c r="HJ231" s="54" t="b">
        <f t="shared" si="433"/>
        <v>0</v>
      </c>
      <c r="HK231" s="54" t="b">
        <f t="shared" si="434"/>
        <v>1</v>
      </c>
      <c r="HL231" s="54" t="b">
        <f t="shared" si="435"/>
        <v>1</v>
      </c>
      <c r="HM231" s="54" t="b">
        <f t="shared" si="436"/>
        <v>0</v>
      </c>
      <c r="HN231" s="54">
        <f t="shared" si="437"/>
        <v>7.645586764636743E-3</v>
      </c>
      <c r="HO231" s="54" t="e">
        <f t="shared" si="438"/>
        <v>#N/A</v>
      </c>
      <c r="HP231" s="54">
        <f t="shared" si="439"/>
        <v>7.645586764636743E-3</v>
      </c>
      <c r="HQ231" s="72" t="str">
        <f t="shared" si="440"/>
        <v/>
      </c>
    </row>
    <row r="232" spans="71:225" x14ac:dyDescent="0.2">
      <c r="BS232" s="54">
        <f t="shared" si="367"/>
        <v>222</v>
      </c>
      <c r="BT232" s="54">
        <f>Eu_tabel_g[[#This Row],[Indeks]]+1</f>
        <v>223</v>
      </c>
      <c r="BU232" s="54">
        <f t="shared" si="368"/>
        <v>2.2278418951442376</v>
      </c>
      <c r="BV232" s="54">
        <f t="shared" si="369"/>
        <v>3.3353976175184367E-2</v>
      </c>
      <c r="BW232" s="54" t="e">
        <f t="shared" si="370"/>
        <v>#N/A</v>
      </c>
      <c r="BX232" s="54" t="e">
        <f t="shared" si="371"/>
        <v>#N/A</v>
      </c>
      <c r="BY232" s="54" t="e">
        <f t="shared" si="372"/>
        <v>#N/A</v>
      </c>
      <c r="BZ232" s="54" t="b">
        <f t="shared" si="373"/>
        <v>0</v>
      </c>
      <c r="CA232" s="54" t="b">
        <f t="shared" si="374"/>
        <v>1</v>
      </c>
      <c r="CB232" s="54" t="b">
        <f t="shared" si="375"/>
        <v>1</v>
      </c>
      <c r="CC232" s="54" t="b">
        <f t="shared" si="376"/>
        <v>0</v>
      </c>
      <c r="CD232" s="54">
        <f t="shared" si="441"/>
        <v>3.3353976175184367E-2</v>
      </c>
      <c r="CE232" s="54">
        <f t="shared" si="377"/>
        <v>3.3353976175184367E-2</v>
      </c>
      <c r="CF232" s="54" t="e">
        <f t="shared" si="378"/>
        <v>#N/A</v>
      </c>
      <c r="CG232" s="72" t="str">
        <f t="shared" si="379"/>
        <v/>
      </c>
      <c r="CH232" s="54">
        <f>_xlfn.NORM.DIST(_xlfn.NORM.INV(1-Eu_g_konfidensniveau,0,1)-Eu_tabel_g[[#This Row],[x base]],0,1,TRUE)</f>
        <v>5.3819131801990506E-5</v>
      </c>
      <c r="CI232" s="54">
        <f>1-_xlfn.NORM.DIST(_xlfn.NORM.INV(Eu_g_konfidensniveau,0,1)-Eu_tabel_g[[#This Row],[x base]],0,1,TRUE)</f>
        <v>0.72004940103926862</v>
      </c>
      <c r="CJ232" s="54">
        <f>_xlfn.NORM.DIST(_xlfn.NORM.INV((1-Eu_g_konfidensniveau)/2,0,1)-Eu_tabel_g[[#This Row],[x base]],0,1,TRUE)+1-_xlfn.NORM.DIST(_xlfn.NORM.INV(1-(1-Eu_g_konfidensniveau)/2,0,1)-Eu_tabel_g[[#This Row],[x base]],0,1,TRUE)</f>
        <v>0.60561743457312678</v>
      </c>
      <c r="CK232" s="54" t="e" cm="1">
        <f t="array" ref="CK232">IF($CK$3,INDEX(Eu_tabel_g[[#This Row],[Styrke venstre]:[Styrke tosidet]],CK$7),NA())</f>
        <v>#N/A</v>
      </c>
      <c r="CL232" s="99" t="e">
        <f>Eu_tabel_g[[#This Row],[Falsk positiv
Nulhypotese accepteres
Fejltype 1]]</f>
        <v>#N/A</v>
      </c>
      <c r="CM232" s="99" t="e">
        <f>IF(CHOOSE(CK$7,Eu_tabel_g[[#This Row],[x base]]&gt;0,Eu_tabel_g[[#This Row],[x base]]&lt;0,Eu_tabel_g[[#This Row],[x base]]=0),Eu_tabel_g[[#This Row],[Styrke, aktiv]],NA())</f>
        <v>#N/A</v>
      </c>
      <c r="CN232" s="99" t="e">
        <f>IFERROR(IF($CK$3,Eu_tabel_g[[#This Row],[Styrke, aktiv]],NA()),NA())</f>
        <v>#N/A</v>
      </c>
      <c r="CO232" s="99" t="e">
        <f>IF(ISNA(Eu_tabel_g[[#This Row],[Sand negativ
Nulhypotese afvises
Korrekt]]),NA(),IF($CK$3,1,NA()))</f>
        <v>#N/A</v>
      </c>
      <c r="CP232" s="56" t="str" cm="1">
        <f t="array" ref="CP232">_xlfn.SWITCH(BS232,_xlfn.IFNA(CN$2,-99),CN$5,_xlfn.IFNA(CN$3,-99),CN$6,_xlfn.IFNA(CN$4,-99),CN$7,"")</f>
        <v/>
      </c>
      <c r="CT232" s="7">
        <f t="shared" si="380"/>
        <v>0.8</v>
      </c>
      <c r="CU232">
        <f>IF(ROW(Styrkeberegning_G[[#This Row],[X base venstre]])=ROW(Styrkeberegning_G[[#Headers],[X base venstre]])+1,CU$7/(CT$7/$B$67),CU231/(CT231/$B$67))</f>
        <v>-2.8015817870135784</v>
      </c>
      <c r="CV232">
        <f>Styrkeberegning_G[[#This Row],[X base venstre]]*-1</f>
        <v>2.8015817870135784</v>
      </c>
      <c r="DG232" s="54">
        <f t="shared" si="381"/>
        <v>222</v>
      </c>
      <c r="DH232" s="54">
        <f t="shared" si="382"/>
        <v>223</v>
      </c>
      <c r="DI232" s="54">
        <f t="shared" si="383"/>
        <v>27.157582789227913</v>
      </c>
      <c r="DJ232" s="54" t="e">
        <f t="shared" si="384"/>
        <v>#N/A</v>
      </c>
      <c r="DK232" s="54" t="e">
        <f t="shared" si="385"/>
        <v>#N/A</v>
      </c>
      <c r="DL232" s="54">
        <f t="shared" si="386"/>
        <v>1.5163312603205478E-3</v>
      </c>
      <c r="DM232" s="54" t="e">
        <f t="shared" si="387"/>
        <v>#N/A</v>
      </c>
      <c r="DN232" s="54" t="b">
        <f t="shared" si="388"/>
        <v>0</v>
      </c>
      <c r="DO232" s="54" t="b">
        <f t="shared" si="389"/>
        <v>1</v>
      </c>
      <c r="DP232" s="54" t="b">
        <f t="shared" si="390"/>
        <v>1</v>
      </c>
      <c r="DQ232" s="54" t="b">
        <f t="shared" si="391"/>
        <v>0</v>
      </c>
      <c r="DR232" s="54">
        <f t="shared" si="392"/>
        <v>1.5163312603205478E-3</v>
      </c>
      <c r="DS232" s="54">
        <f t="shared" si="393"/>
        <v>1.5163312603205478E-3</v>
      </c>
      <c r="DT232" s="54" t="e">
        <f t="shared" si="394"/>
        <v>#N/A</v>
      </c>
      <c r="DU232" s="72" t="str">
        <f t="shared" si="395"/>
        <v/>
      </c>
      <c r="DZ232" s="54">
        <f t="shared" si="396"/>
        <v>222</v>
      </c>
      <c r="EA232" s="54">
        <f t="shared" si="397"/>
        <v>223</v>
      </c>
      <c r="EB232" s="54">
        <f t="shared" si="398"/>
        <v>2.2278418951442376</v>
      </c>
      <c r="EC232" s="54">
        <f t="shared" si="399"/>
        <v>3.3353976175184367E-2</v>
      </c>
      <c r="ED232" s="54" t="e">
        <f t="shared" si="400"/>
        <v>#N/A</v>
      </c>
      <c r="EE232" s="54" t="e">
        <f t="shared" si="401"/>
        <v>#N/A</v>
      </c>
      <c r="EF232" s="54" t="e">
        <f t="shared" si="402"/>
        <v>#N/A</v>
      </c>
      <c r="EG232" s="54" t="b">
        <f t="shared" si="403"/>
        <v>0</v>
      </c>
      <c r="EH232" s="54" t="b">
        <f t="shared" si="404"/>
        <v>1</v>
      </c>
      <c r="EI232" s="54" t="b">
        <f t="shared" si="405"/>
        <v>1</v>
      </c>
      <c r="EJ232" s="54" t="b">
        <f t="shared" si="406"/>
        <v>0</v>
      </c>
      <c r="EK232" s="54">
        <f t="shared" si="407"/>
        <v>3.3353976175184367E-2</v>
      </c>
      <c r="EL232" s="54">
        <f t="shared" si="408"/>
        <v>3.3353976175184367E-2</v>
      </c>
      <c r="EM232" s="54" t="e">
        <f t="shared" si="409"/>
        <v>#N/A</v>
      </c>
      <c r="EN232" s="72" t="str">
        <f t="shared" si="410"/>
        <v/>
      </c>
      <c r="EO23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3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3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32" s="54" t="e" cm="1">
        <f t="array" ref="ER232">IF($CK$3,INDEX(Eu_tabel_a[[#This Row],[Styrke venstre]:[Styrke tosidet]],ER$7),NA())</f>
        <v>#N/A</v>
      </c>
      <c r="ES232" s="54" t="e">
        <f>IF(ER$3,IF(CHOOSE(ER$7,Eu_tabel_a[[#This Row],[x base]]&gt;0,Eu_tabel_a[[#This Row],[x base]]&lt;0,Eu_tabel_a[[#This Row],[x base]]=0),1,NA()),NA())</f>
        <v>#N/A</v>
      </c>
      <c r="ET232" s="54" t="e">
        <f>IF(CHOOSE(ER$7,Eu_tabel_a[[#This Row],[x base]]&gt;0,Eu_tabel_a[[#This Row],[x base]]&lt;0,Eu_tabel_a[[#This Row],[x base]]=0),Eu_tabel_a[[#This Row],[Styrke, aktiv]],NA())</f>
        <v>#N/A</v>
      </c>
      <c r="EU232" s="54" t="e">
        <f>IFERROR(IF($ER$3,Eu_tabel_a[[#This Row],[Styrke, aktiv]],NA()),NA())</f>
        <v>#N/A</v>
      </c>
      <c r="EV232" s="54" t="e">
        <f>IF(ISNA(Eu_tabel_a[[#This Row],[Sand negativ
Nulhypotese afvises
Korrekt]]),NA(),IF(ER$3,1,NA()))</f>
        <v>#N/A</v>
      </c>
      <c r="EW232" s="55" t="str" cm="1">
        <f t="array" ref="EW232">IFERROR(_xlfn.SWITCH(Eu_tabel_a[[#This Row],[Indeks]],_xlfn.IFNA(EU$2,-99),EU$5,_xlfn.IFNA(EU$3,-99),EU$6,_xlfn.IFNA(EU$4,-99),EU$7,""),"")</f>
        <v/>
      </c>
      <c r="EX232" s="54">
        <f>Eu_tabel_a[[#This Row],[x base]]*SQRT(Eu_a_h0_x*(1-Eu_a_h0_x)/Eu_a_n_x)+Eu_a_h0_x</f>
        <v>0</v>
      </c>
      <c r="FC232" s="161" t="e">
        <f t="shared" si="354"/>
        <v>#N/A</v>
      </c>
      <c r="FD232" s="169" t="e">
        <f t="shared" si="442"/>
        <v>#DIV/0!</v>
      </c>
      <c r="FE232" s="7" t="e">
        <f t="shared" si="348"/>
        <v>#DIV/0!</v>
      </c>
      <c r="FF232" t="e">
        <f t="shared" si="443"/>
        <v>#DIV/0!</v>
      </c>
      <c r="FG232" s="8" t="e">
        <f t="shared" si="444"/>
        <v>#DIV/0!</v>
      </c>
      <c r="FH232" s="8" t="e">
        <f t="shared" si="445"/>
        <v>#DIV/0!</v>
      </c>
      <c r="FI232" s="168" t="e">
        <f t="shared" si="446"/>
        <v>#DIV/0!</v>
      </c>
      <c r="FJ232" s="161" t="e">
        <f t="shared" ca="1" si="349"/>
        <v>#N/A</v>
      </c>
      <c r="FK232" s="169" t="e" vm="3">
        <f t="shared" ca="1" si="355"/>
        <v>#VALUE!</v>
      </c>
      <c r="FL232" s="7" t="e" vm="3">
        <f t="shared" ca="1" si="350"/>
        <v>#VALUE!</v>
      </c>
      <c r="FM232" t="e" vm="3">
        <f t="shared" ca="1" si="344"/>
        <v>#VALUE!</v>
      </c>
      <c r="FN232" s="8" t="e" vm="3">
        <f t="shared" ca="1" si="345"/>
        <v>#VALUE!</v>
      </c>
      <c r="FO232" s="8" t="e" vm="3">
        <f t="shared" ca="1" si="346"/>
        <v>#VALUE!</v>
      </c>
      <c r="FP232" s="168" t="e" vm="3">
        <f t="shared" ca="1" si="347"/>
        <v>#VALUE!</v>
      </c>
      <c r="FQ232" s="161" t="e">
        <f t="shared" si="351"/>
        <v>#N/A</v>
      </c>
      <c r="FR232" s="169" t="e">
        <f t="shared" si="356"/>
        <v>#N/A</v>
      </c>
      <c r="FS232" s="7" t="e">
        <f t="shared" si="352"/>
        <v>#N/A</v>
      </c>
      <c r="FT232" t="e">
        <f t="shared" si="357"/>
        <v>#N/A</v>
      </c>
      <c r="FU232" s="8" t="e">
        <f t="shared" si="358"/>
        <v>#N/A</v>
      </c>
      <c r="FV232" s="8" t="e">
        <f t="shared" si="359"/>
        <v>#N/A</v>
      </c>
      <c r="FW232" s="168" t="e">
        <f t="shared" si="360"/>
        <v>#N/A</v>
      </c>
      <c r="FX232" s="161" t="e">
        <f t="shared" si="361"/>
        <v>#N/A</v>
      </c>
      <c r="FY232" s="169" t="e">
        <f t="shared" si="362"/>
        <v>#N/A</v>
      </c>
      <c r="FZ232" s="7" t="e">
        <f t="shared" si="353"/>
        <v>#N/A</v>
      </c>
      <c r="GA232" t="e">
        <f t="shared" si="363"/>
        <v>#N/A</v>
      </c>
      <c r="GB232" s="8" t="e">
        <f t="shared" si="364"/>
        <v>#N/A</v>
      </c>
      <c r="GC232" s="8" t="e">
        <f t="shared" si="365"/>
        <v>#N/A</v>
      </c>
      <c r="GD232" s="168" t="e">
        <f t="shared" si="366"/>
        <v>#N/A</v>
      </c>
      <c r="GE232" s="168"/>
      <c r="GF232" s="168"/>
      <c r="GI232" s="54">
        <f t="shared" si="411"/>
        <v>222</v>
      </c>
      <c r="GJ232" s="54">
        <f t="shared" si="412"/>
        <v>223</v>
      </c>
      <c r="GK232" s="54">
        <f t="shared" si="413"/>
        <v>2.2278418951442376</v>
      </c>
      <c r="GL232" s="54">
        <f t="shared" si="414"/>
        <v>3.3353976175184367E-2</v>
      </c>
      <c r="GM232" s="54" t="e">
        <f t="shared" si="415"/>
        <v>#N/A</v>
      </c>
      <c r="GN232" s="54" t="e">
        <f t="shared" si="416"/>
        <v>#N/A</v>
      </c>
      <c r="GO232" s="54" t="e">
        <f t="shared" si="417"/>
        <v>#N/A</v>
      </c>
      <c r="GP232" s="54" t="b">
        <f t="shared" si="418"/>
        <v>0</v>
      </c>
      <c r="GQ232" s="54" t="b">
        <f t="shared" si="419"/>
        <v>1</v>
      </c>
      <c r="GR232" s="54" t="b">
        <f t="shared" si="420"/>
        <v>1</v>
      </c>
      <c r="GS232" s="54" t="b">
        <f t="shared" si="421"/>
        <v>0</v>
      </c>
      <c r="GT232" s="54">
        <f t="shared" si="422"/>
        <v>3.3353976175184367E-2</v>
      </c>
      <c r="GU232" s="54">
        <f t="shared" si="423"/>
        <v>3.3353976175184367E-2</v>
      </c>
      <c r="GV232" s="54" t="e">
        <f t="shared" si="424"/>
        <v>#N/A</v>
      </c>
      <c r="GW232" s="72" t="str">
        <f t="shared" si="425"/>
        <v/>
      </c>
      <c r="HC232" s="54">
        <f t="shared" si="426"/>
        <v>222</v>
      </c>
      <c r="HD232" s="54">
        <f t="shared" si="427"/>
        <v>223</v>
      </c>
      <c r="HE232" s="54">
        <f t="shared" si="428"/>
        <v>3.449859964832287</v>
      </c>
      <c r="HF232" s="54" t="e">
        <f t="shared" si="429"/>
        <v>#N/A</v>
      </c>
      <c r="HG232" s="54">
        <f t="shared" si="430"/>
        <v>7.2419422765507679E-3</v>
      </c>
      <c r="HH232" s="54" t="e">
        <f t="shared" si="431"/>
        <v>#N/A</v>
      </c>
      <c r="HI232" s="54" t="e">
        <f t="shared" si="432"/>
        <v>#N/A</v>
      </c>
      <c r="HJ232" s="54" t="b">
        <f t="shared" si="433"/>
        <v>0</v>
      </c>
      <c r="HK232" s="54" t="b">
        <f t="shared" si="434"/>
        <v>1</v>
      </c>
      <c r="HL232" s="54" t="b">
        <f t="shared" si="435"/>
        <v>1</v>
      </c>
      <c r="HM232" s="54" t="b">
        <f t="shared" si="436"/>
        <v>0</v>
      </c>
      <c r="HN232" s="54">
        <f t="shared" si="437"/>
        <v>7.2419422765507679E-3</v>
      </c>
      <c r="HO232" s="54" t="e">
        <f t="shared" si="438"/>
        <v>#N/A</v>
      </c>
      <c r="HP232" s="54">
        <f t="shared" si="439"/>
        <v>7.2419422765507679E-3</v>
      </c>
      <c r="HQ232" s="72" t="str">
        <f t="shared" si="440"/>
        <v/>
      </c>
    </row>
    <row r="233" spans="71:225" x14ac:dyDescent="0.2">
      <c r="BS233" s="54">
        <f t="shared" si="367"/>
        <v>223</v>
      </c>
      <c r="BT233" s="54">
        <f>Eu_tabel_g[[#This Row],[Indeks]]+1</f>
        <v>224</v>
      </c>
      <c r="BU233" s="54">
        <f t="shared" si="368"/>
        <v>2.2517971843393365</v>
      </c>
      <c r="BV233" s="54">
        <f t="shared" si="369"/>
        <v>3.161151541500333E-2</v>
      </c>
      <c r="BW233" s="54" t="e">
        <f t="shared" si="370"/>
        <v>#N/A</v>
      </c>
      <c r="BX233" s="54" t="e">
        <f t="shared" si="371"/>
        <v>#N/A</v>
      </c>
      <c r="BY233" s="54" t="e">
        <f t="shared" si="372"/>
        <v>#N/A</v>
      </c>
      <c r="BZ233" s="54" t="b">
        <f t="shared" si="373"/>
        <v>0</v>
      </c>
      <c r="CA233" s="54" t="b">
        <f t="shared" si="374"/>
        <v>1</v>
      </c>
      <c r="CB233" s="54" t="b">
        <f t="shared" si="375"/>
        <v>1</v>
      </c>
      <c r="CC233" s="54" t="b">
        <f t="shared" si="376"/>
        <v>0</v>
      </c>
      <c r="CD233" s="54">
        <f t="shared" si="441"/>
        <v>3.161151541500333E-2</v>
      </c>
      <c r="CE233" s="54">
        <f t="shared" si="377"/>
        <v>3.161151541500333E-2</v>
      </c>
      <c r="CF233" s="54" t="e">
        <f t="shared" si="378"/>
        <v>#N/A</v>
      </c>
      <c r="CG233" s="72" t="str">
        <f t="shared" si="379"/>
        <v/>
      </c>
      <c r="CH233" s="54">
        <f>_xlfn.NORM.DIST(_xlfn.NORM.INV(1-Eu_g_konfidensniveau,0,1)-Eu_tabel_g[[#This Row],[x base]],0,1,TRUE)</f>
        <v>4.8766041650325435E-5</v>
      </c>
      <c r="CI233" s="54">
        <f>1-_xlfn.NORM.DIST(_xlfn.NORM.INV(Eu_g_konfidensniveau,0,1)-Eu_tabel_g[[#This Row],[x base]],0,1,TRUE)</f>
        <v>0.72805581482902693</v>
      </c>
      <c r="CJ233" s="54">
        <f>_xlfn.NORM.DIST(_xlfn.NORM.INV((1-Eu_g_konfidensniveau)/2,0,1)-Eu_tabel_g[[#This Row],[x base]],0,1,TRUE)+1-_xlfn.NORM.DIST(_xlfn.NORM.INV(1-(1-Eu_g_konfidensniveau)/2,0,1)-Eu_tabel_g[[#This Row],[x base]],0,1,TRUE)</f>
        <v>0.61480558944640129</v>
      </c>
      <c r="CK233" s="54" t="e" cm="1">
        <f t="array" ref="CK233">IF($CK$3,INDEX(Eu_tabel_g[[#This Row],[Styrke venstre]:[Styrke tosidet]],CK$7),NA())</f>
        <v>#N/A</v>
      </c>
      <c r="CL233" s="99" t="e">
        <f>Eu_tabel_g[[#This Row],[Falsk positiv
Nulhypotese accepteres
Fejltype 1]]</f>
        <v>#N/A</v>
      </c>
      <c r="CM233" s="99" t="e">
        <f>IF(CHOOSE(CK$7,Eu_tabel_g[[#This Row],[x base]]&gt;0,Eu_tabel_g[[#This Row],[x base]]&lt;0,Eu_tabel_g[[#This Row],[x base]]=0),Eu_tabel_g[[#This Row],[Styrke, aktiv]],NA())</f>
        <v>#N/A</v>
      </c>
      <c r="CN233" s="99" t="e">
        <f>IFERROR(IF($CK$3,Eu_tabel_g[[#This Row],[Styrke, aktiv]],NA()),NA())</f>
        <v>#N/A</v>
      </c>
      <c r="CO233" s="99" t="e">
        <f>IF(ISNA(Eu_tabel_g[[#This Row],[Sand negativ
Nulhypotese afvises
Korrekt]]),NA(),IF($CK$3,1,NA()))</f>
        <v>#N/A</v>
      </c>
      <c r="CP233" s="56" t="str" cm="1">
        <f t="array" ref="CP233">_xlfn.SWITCH(BS233,_xlfn.IFNA(CN$2,-99),CN$5,_xlfn.IFNA(CN$3,-99),CN$6,_xlfn.IFNA(CN$4,-99),CN$7,"")</f>
        <v/>
      </c>
      <c r="CT233" s="7">
        <f t="shared" si="380"/>
        <v>0.8</v>
      </c>
      <c r="CU233">
        <f>IF(ROW(Styrkeberegning_G[[#This Row],[X base venstre]])=ROW(Styrkeberegning_G[[#Headers],[X base venstre]])+1,CU$7/(CT$7/$B$67),CU232/(CT232/$B$67))</f>
        <v>-2.8015817870135784</v>
      </c>
      <c r="CV233">
        <f>Styrkeberegning_G[[#This Row],[X base venstre]]*-1</f>
        <v>2.8015817870135784</v>
      </c>
      <c r="DG233" s="54">
        <f t="shared" si="381"/>
        <v>223</v>
      </c>
      <c r="DH233" s="54">
        <f t="shared" si="382"/>
        <v>224</v>
      </c>
      <c r="DI233" s="54">
        <f t="shared" si="383"/>
        <v>27.271653645644914</v>
      </c>
      <c r="DJ233" s="54" t="e">
        <f t="shared" si="384"/>
        <v>#N/A</v>
      </c>
      <c r="DK233" s="54" t="e">
        <f t="shared" si="385"/>
        <v>#N/A</v>
      </c>
      <c r="DL233" s="54">
        <f t="shared" si="386"/>
        <v>1.4595384445448083E-3</v>
      </c>
      <c r="DM233" s="54" t="e">
        <f t="shared" si="387"/>
        <v>#N/A</v>
      </c>
      <c r="DN233" s="54" t="b">
        <f t="shared" si="388"/>
        <v>0</v>
      </c>
      <c r="DO233" s="54" t="b">
        <f t="shared" si="389"/>
        <v>1</v>
      </c>
      <c r="DP233" s="54" t="b">
        <f t="shared" si="390"/>
        <v>1</v>
      </c>
      <c r="DQ233" s="54" t="b">
        <f t="shared" si="391"/>
        <v>0</v>
      </c>
      <c r="DR233" s="54">
        <f t="shared" si="392"/>
        <v>1.4595384445448083E-3</v>
      </c>
      <c r="DS233" s="54">
        <f t="shared" si="393"/>
        <v>1.4595384445448083E-3</v>
      </c>
      <c r="DT233" s="54" t="e">
        <f t="shared" si="394"/>
        <v>#N/A</v>
      </c>
      <c r="DU233" s="72" t="str">
        <f t="shared" si="395"/>
        <v/>
      </c>
      <c r="DZ233" s="54">
        <f t="shared" si="396"/>
        <v>223</v>
      </c>
      <c r="EA233" s="54">
        <f t="shared" si="397"/>
        <v>224</v>
      </c>
      <c r="EB233" s="54">
        <f t="shared" si="398"/>
        <v>2.2517971843393365</v>
      </c>
      <c r="EC233" s="54">
        <f t="shared" si="399"/>
        <v>3.161151541500333E-2</v>
      </c>
      <c r="ED233" s="54" t="e">
        <f t="shared" si="400"/>
        <v>#N/A</v>
      </c>
      <c r="EE233" s="54" t="e">
        <f t="shared" si="401"/>
        <v>#N/A</v>
      </c>
      <c r="EF233" s="54" t="e">
        <f t="shared" si="402"/>
        <v>#N/A</v>
      </c>
      <c r="EG233" s="54" t="b">
        <f t="shared" si="403"/>
        <v>0</v>
      </c>
      <c r="EH233" s="54" t="b">
        <f t="shared" si="404"/>
        <v>1</v>
      </c>
      <c r="EI233" s="54" t="b">
        <f t="shared" si="405"/>
        <v>1</v>
      </c>
      <c r="EJ233" s="54" t="b">
        <f t="shared" si="406"/>
        <v>0</v>
      </c>
      <c r="EK233" s="54">
        <f t="shared" si="407"/>
        <v>3.161151541500333E-2</v>
      </c>
      <c r="EL233" s="54">
        <f t="shared" si="408"/>
        <v>3.161151541500333E-2</v>
      </c>
      <c r="EM233" s="54" t="e">
        <f t="shared" si="409"/>
        <v>#N/A</v>
      </c>
      <c r="EN233" s="72" t="str">
        <f t="shared" si="410"/>
        <v/>
      </c>
      <c r="EO23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3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3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33" s="54" t="e" cm="1">
        <f t="array" ref="ER233">IF($CK$3,INDEX(Eu_tabel_a[[#This Row],[Styrke venstre]:[Styrke tosidet]],ER$7),NA())</f>
        <v>#N/A</v>
      </c>
      <c r="ES233" s="54" t="e">
        <f>IF(ER$3,IF(CHOOSE(ER$7,Eu_tabel_a[[#This Row],[x base]]&gt;0,Eu_tabel_a[[#This Row],[x base]]&lt;0,Eu_tabel_a[[#This Row],[x base]]=0),1,NA()),NA())</f>
        <v>#N/A</v>
      </c>
      <c r="ET233" s="54" t="e">
        <f>IF(CHOOSE(ER$7,Eu_tabel_a[[#This Row],[x base]]&gt;0,Eu_tabel_a[[#This Row],[x base]]&lt;0,Eu_tabel_a[[#This Row],[x base]]=0),Eu_tabel_a[[#This Row],[Styrke, aktiv]],NA())</f>
        <v>#N/A</v>
      </c>
      <c r="EU233" s="54" t="e">
        <f>IFERROR(IF($ER$3,Eu_tabel_a[[#This Row],[Styrke, aktiv]],NA()),NA())</f>
        <v>#N/A</v>
      </c>
      <c r="EV233" s="54" t="e">
        <f>IF(ISNA(Eu_tabel_a[[#This Row],[Sand negativ
Nulhypotese afvises
Korrekt]]),NA(),IF(ER$3,1,NA()))</f>
        <v>#N/A</v>
      </c>
      <c r="EW233" s="55" t="str" cm="1">
        <f t="array" ref="EW233">IFERROR(_xlfn.SWITCH(Eu_tabel_a[[#This Row],[Indeks]],_xlfn.IFNA(EU$2,-99),EU$5,_xlfn.IFNA(EU$3,-99),EU$6,_xlfn.IFNA(EU$4,-99),EU$7,""),"")</f>
        <v/>
      </c>
      <c r="EX233" s="54">
        <f>Eu_tabel_a[[#This Row],[x base]]*SQRT(Eu_a_h0_x*(1-Eu_a_h0_x)/Eu_a_n_x)+Eu_a_h0_x</f>
        <v>0</v>
      </c>
      <c r="FC233" s="161" t="e">
        <f t="shared" si="354"/>
        <v>#N/A</v>
      </c>
      <c r="FD233" s="169" t="e">
        <f t="shared" si="442"/>
        <v>#DIV/0!</v>
      </c>
      <c r="FE233" s="7" t="e">
        <f t="shared" si="348"/>
        <v>#DIV/0!</v>
      </c>
      <c r="FF233" t="e">
        <f t="shared" si="443"/>
        <v>#DIV/0!</v>
      </c>
      <c r="FG233" s="8" t="e">
        <f t="shared" si="444"/>
        <v>#DIV/0!</v>
      </c>
      <c r="FH233" s="8" t="e">
        <f t="shared" si="445"/>
        <v>#DIV/0!</v>
      </c>
      <c r="FI233" s="168" t="e">
        <f t="shared" si="446"/>
        <v>#DIV/0!</v>
      </c>
      <c r="FJ233" s="161" t="e">
        <f t="shared" ca="1" si="349"/>
        <v>#N/A</v>
      </c>
      <c r="FK233" s="169" t="e" vm="3">
        <f t="shared" ca="1" si="355"/>
        <v>#VALUE!</v>
      </c>
      <c r="FL233" s="7" t="e" vm="3">
        <f t="shared" ca="1" si="350"/>
        <v>#VALUE!</v>
      </c>
      <c r="FM233" t="e" vm="3">
        <f t="shared" ca="1" si="344"/>
        <v>#VALUE!</v>
      </c>
      <c r="FN233" s="8" t="e" vm="3">
        <f t="shared" ca="1" si="345"/>
        <v>#VALUE!</v>
      </c>
      <c r="FO233" s="8" t="e" vm="3">
        <f t="shared" ca="1" si="346"/>
        <v>#VALUE!</v>
      </c>
      <c r="FP233" s="168" t="e" vm="3">
        <f t="shared" ca="1" si="347"/>
        <v>#VALUE!</v>
      </c>
      <c r="FQ233" s="161" t="e">
        <f t="shared" si="351"/>
        <v>#N/A</v>
      </c>
      <c r="FR233" s="169" t="e">
        <f t="shared" si="356"/>
        <v>#N/A</v>
      </c>
      <c r="FS233" s="7" t="e">
        <f t="shared" si="352"/>
        <v>#N/A</v>
      </c>
      <c r="FT233" t="e">
        <f t="shared" si="357"/>
        <v>#N/A</v>
      </c>
      <c r="FU233" s="8" t="e">
        <f t="shared" si="358"/>
        <v>#N/A</v>
      </c>
      <c r="FV233" s="8" t="e">
        <f t="shared" si="359"/>
        <v>#N/A</v>
      </c>
      <c r="FW233" s="168" t="e">
        <f t="shared" si="360"/>
        <v>#N/A</v>
      </c>
      <c r="FX233" s="161" t="e">
        <f t="shared" si="361"/>
        <v>#N/A</v>
      </c>
      <c r="FY233" s="169" t="e">
        <f t="shared" si="362"/>
        <v>#N/A</v>
      </c>
      <c r="FZ233" s="7" t="e">
        <f t="shared" si="353"/>
        <v>#N/A</v>
      </c>
      <c r="GA233" t="e">
        <f t="shared" si="363"/>
        <v>#N/A</v>
      </c>
      <c r="GB233" s="8" t="e">
        <f t="shared" si="364"/>
        <v>#N/A</v>
      </c>
      <c r="GC233" s="8" t="e">
        <f t="shared" si="365"/>
        <v>#N/A</v>
      </c>
      <c r="GD233" s="168" t="e">
        <f t="shared" si="366"/>
        <v>#N/A</v>
      </c>
      <c r="GE233" s="168"/>
      <c r="GF233" s="168"/>
      <c r="GI233" s="54">
        <f t="shared" si="411"/>
        <v>223</v>
      </c>
      <c r="GJ233" s="54">
        <f t="shared" si="412"/>
        <v>224</v>
      </c>
      <c r="GK233" s="54">
        <f t="shared" si="413"/>
        <v>2.2517971843393365</v>
      </c>
      <c r="GL233" s="54">
        <f t="shared" si="414"/>
        <v>3.161151541500333E-2</v>
      </c>
      <c r="GM233" s="54" t="e">
        <f t="shared" si="415"/>
        <v>#N/A</v>
      </c>
      <c r="GN233" s="54" t="e">
        <f t="shared" si="416"/>
        <v>#N/A</v>
      </c>
      <c r="GO233" s="54" t="e">
        <f t="shared" si="417"/>
        <v>#N/A</v>
      </c>
      <c r="GP233" s="54" t="b">
        <f t="shared" si="418"/>
        <v>0</v>
      </c>
      <c r="GQ233" s="54" t="b">
        <f t="shared" si="419"/>
        <v>1</v>
      </c>
      <c r="GR233" s="54" t="b">
        <f t="shared" si="420"/>
        <v>1</v>
      </c>
      <c r="GS233" s="54" t="b">
        <f t="shared" si="421"/>
        <v>0</v>
      </c>
      <c r="GT233" s="54">
        <f t="shared" si="422"/>
        <v>3.161151541500333E-2</v>
      </c>
      <c r="GU233" s="54">
        <f t="shared" si="423"/>
        <v>3.161151541500333E-2</v>
      </c>
      <c r="GV233" s="54" t="e">
        <f t="shared" si="424"/>
        <v>#N/A</v>
      </c>
      <c r="GW233" s="72" t="str">
        <f t="shared" si="425"/>
        <v/>
      </c>
      <c r="HC233" s="54">
        <f t="shared" si="426"/>
        <v>223</v>
      </c>
      <c r="HD233" s="54">
        <f t="shared" si="427"/>
        <v>224</v>
      </c>
      <c r="HE233" s="54">
        <f t="shared" si="428"/>
        <v>3.4869552332713436</v>
      </c>
      <c r="HF233" s="54" t="e">
        <f t="shared" si="429"/>
        <v>#N/A</v>
      </c>
      <c r="HG233" s="54">
        <f t="shared" si="430"/>
        <v>6.8606439370502287E-3</v>
      </c>
      <c r="HH233" s="54" t="e">
        <f t="shared" si="431"/>
        <v>#N/A</v>
      </c>
      <c r="HI233" s="54" t="e">
        <f t="shared" si="432"/>
        <v>#N/A</v>
      </c>
      <c r="HJ233" s="54" t="b">
        <f t="shared" si="433"/>
        <v>0</v>
      </c>
      <c r="HK233" s="54" t="b">
        <f t="shared" si="434"/>
        <v>1</v>
      </c>
      <c r="HL233" s="54" t="b">
        <f t="shared" si="435"/>
        <v>1</v>
      </c>
      <c r="HM233" s="54" t="b">
        <f t="shared" si="436"/>
        <v>0</v>
      </c>
      <c r="HN233" s="54">
        <f t="shared" si="437"/>
        <v>6.8606439370502287E-3</v>
      </c>
      <c r="HO233" s="54" t="e">
        <f t="shared" si="438"/>
        <v>#N/A</v>
      </c>
      <c r="HP233" s="54">
        <f t="shared" si="439"/>
        <v>6.8606439370502287E-3</v>
      </c>
      <c r="HQ233" s="72" t="str">
        <f t="shared" si="440"/>
        <v/>
      </c>
    </row>
    <row r="234" spans="71:225" x14ac:dyDescent="0.2">
      <c r="BS234" s="54">
        <f t="shared" si="367"/>
        <v>224</v>
      </c>
      <c r="BT234" s="54">
        <f>Eu_tabel_g[[#This Row],[Indeks]]+1</f>
        <v>225</v>
      </c>
      <c r="BU234" s="54">
        <f t="shared" si="368"/>
        <v>2.2757524735344363</v>
      </c>
      <c r="BV234" s="54">
        <f t="shared" si="369"/>
        <v>2.9942895529230493E-2</v>
      </c>
      <c r="BW234" s="54" t="e">
        <f t="shared" si="370"/>
        <v>#N/A</v>
      </c>
      <c r="BX234" s="54" t="e">
        <f t="shared" si="371"/>
        <v>#N/A</v>
      </c>
      <c r="BY234" s="54" t="e">
        <f t="shared" si="372"/>
        <v>#N/A</v>
      </c>
      <c r="BZ234" s="54" t="b">
        <f t="shared" si="373"/>
        <v>0</v>
      </c>
      <c r="CA234" s="54" t="b">
        <f t="shared" si="374"/>
        <v>1</v>
      </c>
      <c r="CB234" s="54" t="b">
        <f t="shared" si="375"/>
        <v>1</v>
      </c>
      <c r="CC234" s="54" t="b">
        <f t="shared" si="376"/>
        <v>0</v>
      </c>
      <c r="CD234" s="54">
        <f t="shared" si="441"/>
        <v>2.9942895529230493E-2</v>
      </c>
      <c r="CE234" s="54">
        <f t="shared" si="377"/>
        <v>2.9942895529230493E-2</v>
      </c>
      <c r="CF234" s="54" t="e">
        <f t="shared" si="378"/>
        <v>#N/A</v>
      </c>
      <c r="CG234" s="72" t="str">
        <f t="shared" si="379"/>
        <v/>
      </c>
      <c r="CH234" s="54">
        <f>_xlfn.NORM.DIST(_xlfn.NORM.INV(1-Eu_g_konfidensniveau,0,1)-Eu_tabel_g[[#This Row],[x base]],0,1,TRUE)</f>
        <v>4.4163268256781084E-5</v>
      </c>
      <c r="CI234" s="54">
        <f>1-_xlfn.NORM.DIST(_xlfn.NORM.INV(Eu_g_konfidensniveau,0,1)-Eu_tabel_g[[#This Row],[x base]],0,1,TRUE)</f>
        <v>0.73594666696484901</v>
      </c>
      <c r="CJ234" s="54">
        <f>_xlfn.NORM.DIST(_xlfn.NORM.INV((1-Eu_g_konfidensniveau)/2,0,1)-Eu_tabel_g[[#This Row],[x base]],0,1,TRUE)+1-_xlfn.NORM.DIST(_xlfn.NORM.INV(1-(1-Eu_g_konfidensniveau)/2,0,1)-Eu_tabel_g[[#This Row],[x base]],0,1,TRUE)</f>
        <v>0.62392986328924083</v>
      </c>
      <c r="CK234" s="54" t="e" cm="1">
        <f t="array" ref="CK234">IF($CK$3,INDEX(Eu_tabel_g[[#This Row],[Styrke venstre]:[Styrke tosidet]],CK$7),NA())</f>
        <v>#N/A</v>
      </c>
      <c r="CL234" s="99" t="e">
        <f>Eu_tabel_g[[#This Row],[Falsk positiv
Nulhypotese accepteres
Fejltype 1]]</f>
        <v>#N/A</v>
      </c>
      <c r="CM234" s="99" t="e">
        <f>IF(CHOOSE(CK$7,Eu_tabel_g[[#This Row],[x base]]&gt;0,Eu_tabel_g[[#This Row],[x base]]&lt;0,Eu_tabel_g[[#This Row],[x base]]=0),Eu_tabel_g[[#This Row],[Styrke, aktiv]],NA())</f>
        <v>#N/A</v>
      </c>
      <c r="CN234" s="99" t="e">
        <f>IFERROR(IF($CK$3,Eu_tabel_g[[#This Row],[Styrke, aktiv]],NA()),NA())</f>
        <v>#N/A</v>
      </c>
      <c r="CO234" s="99" t="e">
        <f>IF(ISNA(Eu_tabel_g[[#This Row],[Sand negativ
Nulhypotese afvises
Korrekt]]),NA(),IF($CK$3,1,NA()))</f>
        <v>#N/A</v>
      </c>
      <c r="CP234" s="56" t="str" cm="1">
        <f t="array" ref="CP234">_xlfn.SWITCH(BS234,_xlfn.IFNA(CN$2,-99),CN$5,_xlfn.IFNA(CN$3,-99),CN$6,_xlfn.IFNA(CN$4,-99),CN$7,"")</f>
        <v/>
      </c>
      <c r="CT234" s="7">
        <f t="shared" si="380"/>
        <v>0.8</v>
      </c>
      <c r="CU234">
        <f>IF(ROW(Styrkeberegning_G[[#This Row],[X base venstre]])=ROW(Styrkeberegning_G[[#Headers],[X base venstre]])+1,CU$7/(CT$7/$B$67),CU233/(CT233/$B$67))</f>
        <v>-2.8015817870135784</v>
      </c>
      <c r="CV234">
        <f>Styrkeberegning_G[[#This Row],[X base venstre]]*-1</f>
        <v>2.8015817870135784</v>
      </c>
      <c r="DG234" s="54">
        <f t="shared" si="381"/>
        <v>224</v>
      </c>
      <c r="DH234" s="54">
        <f t="shared" si="382"/>
        <v>225</v>
      </c>
      <c r="DI234" s="54">
        <f t="shared" si="383"/>
        <v>27.385724502061915</v>
      </c>
      <c r="DJ234" s="54" t="e">
        <f t="shared" si="384"/>
        <v>#N/A</v>
      </c>
      <c r="DK234" s="54" t="e">
        <f t="shared" si="385"/>
        <v>#N/A</v>
      </c>
      <c r="DL234" s="54">
        <f t="shared" si="386"/>
        <v>1.4047621503929077E-3</v>
      </c>
      <c r="DM234" s="54" t="e">
        <f t="shared" si="387"/>
        <v>#N/A</v>
      </c>
      <c r="DN234" s="54" t="b">
        <f t="shared" si="388"/>
        <v>0</v>
      </c>
      <c r="DO234" s="54" t="b">
        <f t="shared" si="389"/>
        <v>1</v>
      </c>
      <c r="DP234" s="54" t="b">
        <f t="shared" si="390"/>
        <v>1</v>
      </c>
      <c r="DQ234" s="54" t="b">
        <f t="shared" si="391"/>
        <v>0</v>
      </c>
      <c r="DR234" s="54">
        <f t="shared" si="392"/>
        <v>1.4047621503929077E-3</v>
      </c>
      <c r="DS234" s="54">
        <f t="shared" si="393"/>
        <v>1.4047621503929077E-3</v>
      </c>
      <c r="DT234" s="54" t="e">
        <f t="shared" si="394"/>
        <v>#N/A</v>
      </c>
      <c r="DU234" s="72" t="str">
        <f t="shared" si="395"/>
        <v/>
      </c>
      <c r="DZ234" s="54">
        <f t="shared" si="396"/>
        <v>224</v>
      </c>
      <c r="EA234" s="54">
        <f t="shared" si="397"/>
        <v>225</v>
      </c>
      <c r="EB234" s="54">
        <f t="shared" si="398"/>
        <v>2.2757524735344363</v>
      </c>
      <c r="EC234" s="54">
        <f t="shared" si="399"/>
        <v>2.9942895529230493E-2</v>
      </c>
      <c r="ED234" s="54" t="e">
        <f t="shared" si="400"/>
        <v>#N/A</v>
      </c>
      <c r="EE234" s="54" t="e">
        <f t="shared" si="401"/>
        <v>#N/A</v>
      </c>
      <c r="EF234" s="54" t="e">
        <f t="shared" si="402"/>
        <v>#N/A</v>
      </c>
      <c r="EG234" s="54" t="b">
        <f t="shared" si="403"/>
        <v>0</v>
      </c>
      <c r="EH234" s="54" t="b">
        <f t="shared" si="404"/>
        <v>1</v>
      </c>
      <c r="EI234" s="54" t="b">
        <f t="shared" si="405"/>
        <v>1</v>
      </c>
      <c r="EJ234" s="54" t="b">
        <f t="shared" si="406"/>
        <v>0</v>
      </c>
      <c r="EK234" s="54">
        <f t="shared" si="407"/>
        <v>2.9942895529230493E-2</v>
      </c>
      <c r="EL234" s="54">
        <f t="shared" si="408"/>
        <v>2.9942895529230493E-2</v>
      </c>
      <c r="EM234" s="54" t="e">
        <f t="shared" si="409"/>
        <v>#N/A</v>
      </c>
      <c r="EN234" s="72" t="str">
        <f t="shared" si="410"/>
        <v/>
      </c>
      <c r="EO23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3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3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34" s="54" t="e" cm="1">
        <f t="array" ref="ER234">IF($CK$3,INDEX(Eu_tabel_a[[#This Row],[Styrke venstre]:[Styrke tosidet]],ER$7),NA())</f>
        <v>#N/A</v>
      </c>
      <c r="ES234" s="54" t="e">
        <f>IF(ER$3,IF(CHOOSE(ER$7,Eu_tabel_a[[#This Row],[x base]]&gt;0,Eu_tabel_a[[#This Row],[x base]]&lt;0,Eu_tabel_a[[#This Row],[x base]]=0),1,NA()),NA())</f>
        <v>#N/A</v>
      </c>
      <c r="ET234" s="54" t="e">
        <f>IF(CHOOSE(ER$7,Eu_tabel_a[[#This Row],[x base]]&gt;0,Eu_tabel_a[[#This Row],[x base]]&lt;0,Eu_tabel_a[[#This Row],[x base]]=0),Eu_tabel_a[[#This Row],[Styrke, aktiv]],NA())</f>
        <v>#N/A</v>
      </c>
      <c r="EU234" s="54" t="e">
        <f>IFERROR(IF($ER$3,Eu_tabel_a[[#This Row],[Styrke, aktiv]],NA()),NA())</f>
        <v>#N/A</v>
      </c>
      <c r="EV234" s="54" t="e">
        <f>IF(ISNA(Eu_tabel_a[[#This Row],[Sand negativ
Nulhypotese afvises
Korrekt]]),NA(),IF(ER$3,1,NA()))</f>
        <v>#N/A</v>
      </c>
      <c r="EW234" s="55" t="str" cm="1">
        <f t="array" ref="EW234">IFERROR(_xlfn.SWITCH(Eu_tabel_a[[#This Row],[Indeks]],_xlfn.IFNA(EU$2,-99),EU$5,_xlfn.IFNA(EU$3,-99),EU$6,_xlfn.IFNA(EU$4,-99),EU$7,""),"")</f>
        <v/>
      </c>
      <c r="EX234" s="54">
        <f>Eu_tabel_a[[#This Row],[x base]]*SQRT(Eu_a_h0_x*(1-Eu_a_h0_x)/Eu_a_n_x)+Eu_a_h0_x</f>
        <v>0</v>
      </c>
      <c r="FC234" s="161" t="e">
        <f t="shared" si="354"/>
        <v>#N/A</v>
      </c>
      <c r="FD234" s="169" t="e">
        <f t="shared" si="442"/>
        <v>#DIV/0!</v>
      </c>
      <c r="FE234" s="7" t="e">
        <f t="shared" si="348"/>
        <v>#DIV/0!</v>
      </c>
      <c r="FF234" t="e">
        <f t="shared" si="443"/>
        <v>#DIV/0!</v>
      </c>
      <c r="FG234" s="8" t="e">
        <f t="shared" si="444"/>
        <v>#DIV/0!</v>
      </c>
      <c r="FH234" s="8" t="e">
        <f t="shared" si="445"/>
        <v>#DIV/0!</v>
      </c>
      <c r="FI234" s="168" t="e">
        <f t="shared" si="446"/>
        <v>#DIV/0!</v>
      </c>
      <c r="FJ234" s="161" t="e">
        <f t="shared" ca="1" si="349"/>
        <v>#N/A</v>
      </c>
      <c r="FK234" s="169" t="e" vm="3">
        <f t="shared" ca="1" si="355"/>
        <v>#VALUE!</v>
      </c>
      <c r="FL234" s="7" t="e" vm="3">
        <f t="shared" ca="1" si="350"/>
        <v>#VALUE!</v>
      </c>
      <c r="FM234" t="e" vm="3">
        <f t="shared" ca="1" si="344"/>
        <v>#VALUE!</v>
      </c>
      <c r="FN234" s="8" t="e" vm="3">
        <f t="shared" ca="1" si="345"/>
        <v>#VALUE!</v>
      </c>
      <c r="FO234" s="8" t="e" vm="3">
        <f t="shared" ca="1" si="346"/>
        <v>#VALUE!</v>
      </c>
      <c r="FP234" s="168" t="e" vm="3">
        <f t="shared" ca="1" si="347"/>
        <v>#VALUE!</v>
      </c>
      <c r="FQ234" s="161" t="e">
        <f t="shared" si="351"/>
        <v>#N/A</v>
      </c>
      <c r="FR234" s="169" t="e">
        <f t="shared" si="356"/>
        <v>#N/A</v>
      </c>
      <c r="FS234" s="7" t="e">
        <f t="shared" si="352"/>
        <v>#N/A</v>
      </c>
      <c r="FT234" t="e">
        <f t="shared" si="357"/>
        <v>#N/A</v>
      </c>
      <c r="FU234" s="8" t="e">
        <f t="shared" si="358"/>
        <v>#N/A</v>
      </c>
      <c r="FV234" s="8" t="e">
        <f t="shared" si="359"/>
        <v>#N/A</v>
      </c>
      <c r="FW234" s="168" t="e">
        <f t="shared" si="360"/>
        <v>#N/A</v>
      </c>
      <c r="FX234" s="161" t="e">
        <f t="shared" si="361"/>
        <v>#N/A</v>
      </c>
      <c r="FY234" s="169" t="e">
        <f t="shared" si="362"/>
        <v>#N/A</v>
      </c>
      <c r="FZ234" s="7" t="e">
        <f t="shared" si="353"/>
        <v>#N/A</v>
      </c>
      <c r="GA234" t="e">
        <f t="shared" si="363"/>
        <v>#N/A</v>
      </c>
      <c r="GB234" s="8" t="e">
        <f t="shared" si="364"/>
        <v>#N/A</v>
      </c>
      <c r="GC234" s="8" t="e">
        <f t="shared" si="365"/>
        <v>#N/A</v>
      </c>
      <c r="GD234" s="168" t="e">
        <f t="shared" si="366"/>
        <v>#N/A</v>
      </c>
      <c r="GE234" s="168"/>
      <c r="GF234" s="168"/>
      <c r="GI234" s="54">
        <f t="shared" si="411"/>
        <v>224</v>
      </c>
      <c r="GJ234" s="54">
        <f t="shared" si="412"/>
        <v>225</v>
      </c>
      <c r="GK234" s="54">
        <f t="shared" si="413"/>
        <v>2.2757524735344363</v>
      </c>
      <c r="GL234" s="54">
        <f t="shared" si="414"/>
        <v>2.9942895529230493E-2</v>
      </c>
      <c r="GM234" s="54" t="e">
        <f t="shared" si="415"/>
        <v>#N/A</v>
      </c>
      <c r="GN234" s="54" t="e">
        <f t="shared" si="416"/>
        <v>#N/A</v>
      </c>
      <c r="GO234" s="54" t="e">
        <f t="shared" si="417"/>
        <v>#N/A</v>
      </c>
      <c r="GP234" s="54" t="b">
        <f t="shared" si="418"/>
        <v>0</v>
      </c>
      <c r="GQ234" s="54" t="b">
        <f t="shared" si="419"/>
        <v>1</v>
      </c>
      <c r="GR234" s="54" t="b">
        <f t="shared" si="420"/>
        <v>1</v>
      </c>
      <c r="GS234" s="54" t="b">
        <f t="shared" si="421"/>
        <v>0</v>
      </c>
      <c r="GT234" s="54">
        <f t="shared" si="422"/>
        <v>2.9942895529230493E-2</v>
      </c>
      <c r="GU234" s="54">
        <f t="shared" si="423"/>
        <v>2.9942895529230493E-2</v>
      </c>
      <c r="GV234" s="54" t="e">
        <f t="shared" si="424"/>
        <v>#N/A</v>
      </c>
      <c r="GW234" s="72" t="str">
        <f t="shared" si="425"/>
        <v/>
      </c>
      <c r="HC234" s="54">
        <f t="shared" si="426"/>
        <v>224</v>
      </c>
      <c r="HD234" s="54">
        <f t="shared" si="427"/>
        <v>225</v>
      </c>
      <c r="HE234" s="54">
        <f t="shared" si="428"/>
        <v>3.5240505017104002</v>
      </c>
      <c r="HF234" s="54" t="e">
        <f t="shared" si="429"/>
        <v>#N/A</v>
      </c>
      <c r="HG234" s="54">
        <f t="shared" si="430"/>
        <v>6.5004270274693883E-3</v>
      </c>
      <c r="HH234" s="54" t="e">
        <f t="shared" si="431"/>
        <v>#N/A</v>
      </c>
      <c r="HI234" s="54" t="e">
        <f t="shared" si="432"/>
        <v>#N/A</v>
      </c>
      <c r="HJ234" s="54" t="b">
        <f t="shared" si="433"/>
        <v>0</v>
      </c>
      <c r="HK234" s="54" t="b">
        <f t="shared" si="434"/>
        <v>1</v>
      </c>
      <c r="HL234" s="54" t="b">
        <f t="shared" si="435"/>
        <v>1</v>
      </c>
      <c r="HM234" s="54" t="b">
        <f t="shared" si="436"/>
        <v>0</v>
      </c>
      <c r="HN234" s="54">
        <f t="shared" si="437"/>
        <v>6.5004270274693883E-3</v>
      </c>
      <c r="HO234" s="54" t="e">
        <f t="shared" si="438"/>
        <v>#N/A</v>
      </c>
      <c r="HP234" s="54">
        <f t="shared" si="439"/>
        <v>6.5004270274693883E-3</v>
      </c>
      <c r="HQ234" s="72" t="str">
        <f t="shared" si="440"/>
        <v/>
      </c>
    </row>
    <row r="235" spans="71:225" x14ac:dyDescent="0.2">
      <c r="BS235" s="54">
        <f t="shared" si="367"/>
        <v>225</v>
      </c>
      <c r="BT235" s="54">
        <f>Eu_tabel_g[[#This Row],[Indeks]]+1</f>
        <v>226</v>
      </c>
      <c r="BU235" s="54">
        <f t="shared" si="368"/>
        <v>2.2997077627295353</v>
      </c>
      <c r="BV235" s="54">
        <f t="shared" si="369"/>
        <v>2.8346082828649768E-2</v>
      </c>
      <c r="BW235" s="54" t="e">
        <f t="shared" si="370"/>
        <v>#N/A</v>
      </c>
      <c r="BX235" s="54" t="e">
        <f t="shared" si="371"/>
        <v>#N/A</v>
      </c>
      <c r="BY235" s="54" t="e">
        <f t="shared" si="372"/>
        <v>#N/A</v>
      </c>
      <c r="BZ235" s="54" t="b">
        <f t="shared" si="373"/>
        <v>0</v>
      </c>
      <c r="CA235" s="54" t="b">
        <f t="shared" si="374"/>
        <v>1</v>
      </c>
      <c r="CB235" s="54" t="b">
        <f t="shared" si="375"/>
        <v>1</v>
      </c>
      <c r="CC235" s="54" t="b">
        <f t="shared" si="376"/>
        <v>0</v>
      </c>
      <c r="CD235" s="54">
        <f t="shared" si="441"/>
        <v>2.8346082828649768E-2</v>
      </c>
      <c r="CE235" s="54">
        <f t="shared" si="377"/>
        <v>2.8346082828649768E-2</v>
      </c>
      <c r="CF235" s="54" t="e">
        <f t="shared" si="378"/>
        <v>#N/A</v>
      </c>
      <c r="CG235" s="72" t="str">
        <f t="shared" si="379"/>
        <v/>
      </c>
      <c r="CH235" s="54">
        <f>_xlfn.NORM.DIST(_xlfn.NORM.INV(1-Eu_g_konfidensniveau,0,1)-Eu_tabel_g[[#This Row],[x base]],0,1,TRUE)</f>
        <v>3.9973085832098853E-5</v>
      </c>
      <c r="CI235" s="54">
        <f>1-_xlfn.NORM.DIST(_xlfn.NORM.INV(Eu_g_konfidensniveau,0,1)-Eu_tabel_g[[#This Row],[x base]],0,1,TRUE)</f>
        <v>0.74371916406168304</v>
      </c>
      <c r="CJ235" s="54">
        <f>_xlfn.NORM.DIST(_xlfn.NORM.INV((1-Eu_g_konfidensniveau)/2,0,1)-Eu_tabel_g[[#This Row],[x base]],0,1,TRUE)+1-_xlfn.NORM.DIST(_xlfn.NORM.INV(1-(1-Eu_g_konfidensniveau)/2,0,1)-Eu_tabel_g[[#This Row],[x base]],0,1,TRUE)</f>
        <v>0.63298549116825498</v>
      </c>
      <c r="CK235" s="54" t="e" cm="1">
        <f t="array" ref="CK235">IF($CK$3,INDEX(Eu_tabel_g[[#This Row],[Styrke venstre]:[Styrke tosidet]],CK$7),NA())</f>
        <v>#N/A</v>
      </c>
      <c r="CL235" s="99" t="e">
        <f>Eu_tabel_g[[#This Row],[Falsk positiv
Nulhypotese accepteres
Fejltype 1]]</f>
        <v>#N/A</v>
      </c>
      <c r="CM235" s="99" t="e">
        <f>IF(CHOOSE(CK$7,Eu_tabel_g[[#This Row],[x base]]&gt;0,Eu_tabel_g[[#This Row],[x base]]&lt;0,Eu_tabel_g[[#This Row],[x base]]=0),Eu_tabel_g[[#This Row],[Styrke, aktiv]],NA())</f>
        <v>#N/A</v>
      </c>
      <c r="CN235" s="99" t="e">
        <f>IFERROR(IF($CK$3,Eu_tabel_g[[#This Row],[Styrke, aktiv]],NA()),NA())</f>
        <v>#N/A</v>
      </c>
      <c r="CO235" s="99" t="e">
        <f>IF(ISNA(Eu_tabel_g[[#This Row],[Sand negativ
Nulhypotese afvises
Korrekt]]),NA(),IF($CK$3,1,NA()))</f>
        <v>#N/A</v>
      </c>
      <c r="CP235" s="56" t="str" cm="1">
        <f t="array" ref="CP235">_xlfn.SWITCH(BS235,_xlfn.IFNA(CN$2,-99),CN$5,_xlfn.IFNA(CN$3,-99),CN$6,_xlfn.IFNA(CN$4,-99),CN$7,"")</f>
        <v/>
      </c>
      <c r="CT235" s="7">
        <f t="shared" si="380"/>
        <v>0.8</v>
      </c>
      <c r="CU235">
        <f>IF(ROW(Styrkeberegning_G[[#This Row],[X base venstre]])=ROW(Styrkeberegning_G[[#Headers],[X base venstre]])+1,CU$7/(CT$7/$B$67),CU234/(CT234/$B$67))</f>
        <v>-2.8015817870135784</v>
      </c>
      <c r="CV235">
        <f>Styrkeberegning_G[[#This Row],[X base venstre]]*-1</f>
        <v>2.8015817870135784</v>
      </c>
      <c r="DG235" s="54">
        <f t="shared" si="381"/>
        <v>225</v>
      </c>
      <c r="DH235" s="54">
        <f t="shared" si="382"/>
        <v>226</v>
      </c>
      <c r="DI235" s="54">
        <f t="shared" si="383"/>
        <v>27.499795358478917</v>
      </c>
      <c r="DJ235" s="54" t="e">
        <f t="shared" si="384"/>
        <v>#N/A</v>
      </c>
      <c r="DK235" s="54" t="e">
        <f t="shared" si="385"/>
        <v>#N/A</v>
      </c>
      <c r="DL235" s="54">
        <f t="shared" si="386"/>
        <v>1.3519360458704474E-3</v>
      </c>
      <c r="DM235" s="54" t="e">
        <f t="shared" si="387"/>
        <v>#N/A</v>
      </c>
      <c r="DN235" s="54" t="b">
        <f t="shared" si="388"/>
        <v>0</v>
      </c>
      <c r="DO235" s="54" t="b">
        <f t="shared" si="389"/>
        <v>1</v>
      </c>
      <c r="DP235" s="54" t="b">
        <f t="shared" si="390"/>
        <v>1</v>
      </c>
      <c r="DQ235" s="54" t="b">
        <f t="shared" si="391"/>
        <v>0</v>
      </c>
      <c r="DR235" s="54">
        <f t="shared" si="392"/>
        <v>1.3519360458704474E-3</v>
      </c>
      <c r="DS235" s="54">
        <f t="shared" si="393"/>
        <v>1.3519360458704474E-3</v>
      </c>
      <c r="DT235" s="54" t="e">
        <f t="shared" si="394"/>
        <v>#N/A</v>
      </c>
      <c r="DU235" s="72" t="str">
        <f t="shared" si="395"/>
        <v/>
      </c>
      <c r="DZ235" s="54">
        <f t="shared" si="396"/>
        <v>225</v>
      </c>
      <c r="EA235" s="54">
        <f t="shared" si="397"/>
        <v>226</v>
      </c>
      <c r="EB235" s="54">
        <f t="shared" si="398"/>
        <v>2.2997077627295353</v>
      </c>
      <c r="EC235" s="54">
        <f t="shared" si="399"/>
        <v>2.8346082828649768E-2</v>
      </c>
      <c r="ED235" s="54" t="e">
        <f t="shared" si="400"/>
        <v>#N/A</v>
      </c>
      <c r="EE235" s="54" t="e">
        <f t="shared" si="401"/>
        <v>#N/A</v>
      </c>
      <c r="EF235" s="54" t="e">
        <f t="shared" si="402"/>
        <v>#N/A</v>
      </c>
      <c r="EG235" s="54" t="b">
        <f t="shared" si="403"/>
        <v>0</v>
      </c>
      <c r="EH235" s="54" t="b">
        <f t="shared" si="404"/>
        <v>1</v>
      </c>
      <c r="EI235" s="54" t="b">
        <f t="shared" si="405"/>
        <v>1</v>
      </c>
      <c r="EJ235" s="54" t="b">
        <f t="shared" si="406"/>
        <v>0</v>
      </c>
      <c r="EK235" s="54">
        <f t="shared" si="407"/>
        <v>2.8346082828649768E-2</v>
      </c>
      <c r="EL235" s="54">
        <f t="shared" si="408"/>
        <v>2.8346082828649768E-2</v>
      </c>
      <c r="EM235" s="54" t="e">
        <f t="shared" si="409"/>
        <v>#N/A</v>
      </c>
      <c r="EN235" s="72" t="str">
        <f t="shared" si="410"/>
        <v/>
      </c>
      <c r="EO23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3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3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35" s="54" t="e" cm="1">
        <f t="array" ref="ER235">IF($CK$3,INDEX(Eu_tabel_a[[#This Row],[Styrke venstre]:[Styrke tosidet]],ER$7),NA())</f>
        <v>#N/A</v>
      </c>
      <c r="ES235" s="54" t="e">
        <f>IF(ER$3,IF(CHOOSE(ER$7,Eu_tabel_a[[#This Row],[x base]]&gt;0,Eu_tabel_a[[#This Row],[x base]]&lt;0,Eu_tabel_a[[#This Row],[x base]]=0),1,NA()),NA())</f>
        <v>#N/A</v>
      </c>
      <c r="ET235" s="54" t="e">
        <f>IF(CHOOSE(ER$7,Eu_tabel_a[[#This Row],[x base]]&gt;0,Eu_tabel_a[[#This Row],[x base]]&lt;0,Eu_tabel_a[[#This Row],[x base]]=0),Eu_tabel_a[[#This Row],[Styrke, aktiv]],NA())</f>
        <v>#N/A</v>
      </c>
      <c r="EU235" s="54" t="e">
        <f>IFERROR(IF($ER$3,Eu_tabel_a[[#This Row],[Styrke, aktiv]],NA()),NA())</f>
        <v>#N/A</v>
      </c>
      <c r="EV235" s="54" t="e">
        <f>IF(ISNA(Eu_tabel_a[[#This Row],[Sand negativ
Nulhypotese afvises
Korrekt]]),NA(),IF(ER$3,1,NA()))</f>
        <v>#N/A</v>
      </c>
      <c r="EW235" s="55" t="str" cm="1">
        <f t="array" ref="EW235">IFERROR(_xlfn.SWITCH(Eu_tabel_a[[#This Row],[Indeks]],_xlfn.IFNA(EU$2,-99),EU$5,_xlfn.IFNA(EU$3,-99),EU$6,_xlfn.IFNA(EU$4,-99),EU$7,""),"")</f>
        <v/>
      </c>
      <c r="EX235" s="54">
        <f>Eu_tabel_a[[#This Row],[x base]]*SQRT(Eu_a_h0_x*(1-Eu_a_h0_x)/Eu_a_n_x)+Eu_a_h0_x</f>
        <v>0</v>
      </c>
      <c r="FC235" s="161" t="e">
        <f t="shared" si="354"/>
        <v>#N/A</v>
      </c>
      <c r="FD235" s="169" t="e">
        <f t="shared" si="442"/>
        <v>#DIV/0!</v>
      </c>
      <c r="FE235" s="7" t="e">
        <f t="shared" si="348"/>
        <v>#DIV/0!</v>
      </c>
      <c r="FF235" t="e">
        <f t="shared" si="443"/>
        <v>#DIV/0!</v>
      </c>
      <c r="FG235" s="8" t="e">
        <f t="shared" si="444"/>
        <v>#DIV/0!</v>
      </c>
      <c r="FH235" s="8" t="e">
        <f t="shared" si="445"/>
        <v>#DIV/0!</v>
      </c>
      <c r="FI235" s="168" t="e">
        <f t="shared" si="446"/>
        <v>#DIV/0!</v>
      </c>
      <c r="FJ235" s="161" t="e">
        <f t="shared" ca="1" si="349"/>
        <v>#N/A</v>
      </c>
      <c r="FK235" s="169" t="e" vm="3">
        <f t="shared" ca="1" si="355"/>
        <v>#VALUE!</v>
      </c>
      <c r="FL235" s="7" t="e" vm="3">
        <f t="shared" ca="1" si="350"/>
        <v>#VALUE!</v>
      </c>
      <c r="FM235" t="e" vm="3">
        <f t="shared" ca="1" si="344"/>
        <v>#VALUE!</v>
      </c>
      <c r="FN235" s="8" t="e" vm="3">
        <f t="shared" ca="1" si="345"/>
        <v>#VALUE!</v>
      </c>
      <c r="FO235" s="8" t="e" vm="3">
        <f t="shared" ca="1" si="346"/>
        <v>#VALUE!</v>
      </c>
      <c r="FP235" s="168" t="e" vm="3">
        <f t="shared" ca="1" si="347"/>
        <v>#VALUE!</v>
      </c>
      <c r="FQ235" s="161" t="e">
        <f t="shared" si="351"/>
        <v>#N/A</v>
      </c>
      <c r="FR235" s="169" t="e">
        <f t="shared" si="356"/>
        <v>#N/A</v>
      </c>
      <c r="FS235" s="7" t="e">
        <f t="shared" si="352"/>
        <v>#N/A</v>
      </c>
      <c r="FT235" t="e">
        <f t="shared" si="357"/>
        <v>#N/A</v>
      </c>
      <c r="FU235" s="8" t="e">
        <f t="shared" si="358"/>
        <v>#N/A</v>
      </c>
      <c r="FV235" s="8" t="e">
        <f t="shared" si="359"/>
        <v>#N/A</v>
      </c>
      <c r="FW235" s="168" t="e">
        <f t="shared" si="360"/>
        <v>#N/A</v>
      </c>
      <c r="FX235" s="161" t="e">
        <f t="shared" si="361"/>
        <v>#N/A</v>
      </c>
      <c r="FY235" s="169" t="e">
        <f t="shared" si="362"/>
        <v>#N/A</v>
      </c>
      <c r="FZ235" s="7" t="e">
        <f t="shared" si="353"/>
        <v>#N/A</v>
      </c>
      <c r="GA235" t="e">
        <f t="shared" si="363"/>
        <v>#N/A</v>
      </c>
      <c r="GB235" s="8" t="e">
        <f t="shared" si="364"/>
        <v>#N/A</v>
      </c>
      <c r="GC235" s="8" t="e">
        <f t="shared" si="365"/>
        <v>#N/A</v>
      </c>
      <c r="GD235" s="168" t="e">
        <f t="shared" si="366"/>
        <v>#N/A</v>
      </c>
      <c r="GE235" s="168"/>
      <c r="GF235" s="168"/>
      <c r="GI235" s="54">
        <f t="shared" si="411"/>
        <v>225</v>
      </c>
      <c r="GJ235" s="54">
        <f t="shared" si="412"/>
        <v>226</v>
      </c>
      <c r="GK235" s="54">
        <f t="shared" si="413"/>
        <v>2.2997077627295353</v>
      </c>
      <c r="GL235" s="54">
        <f t="shared" si="414"/>
        <v>2.8346082828649768E-2</v>
      </c>
      <c r="GM235" s="54" t="e">
        <f t="shared" si="415"/>
        <v>#N/A</v>
      </c>
      <c r="GN235" s="54" t="e">
        <f t="shared" si="416"/>
        <v>#N/A</v>
      </c>
      <c r="GO235" s="54" t="e">
        <f t="shared" si="417"/>
        <v>#N/A</v>
      </c>
      <c r="GP235" s="54" t="b">
        <f t="shared" si="418"/>
        <v>0</v>
      </c>
      <c r="GQ235" s="54" t="b">
        <f t="shared" si="419"/>
        <v>1</v>
      </c>
      <c r="GR235" s="54" t="b">
        <f t="shared" si="420"/>
        <v>1</v>
      </c>
      <c r="GS235" s="54" t="b">
        <f t="shared" si="421"/>
        <v>0</v>
      </c>
      <c r="GT235" s="54">
        <f t="shared" si="422"/>
        <v>2.8346082828649768E-2</v>
      </c>
      <c r="GU235" s="54">
        <f t="shared" si="423"/>
        <v>2.8346082828649768E-2</v>
      </c>
      <c r="GV235" s="54" t="e">
        <f t="shared" si="424"/>
        <v>#N/A</v>
      </c>
      <c r="GW235" s="72" t="str">
        <f t="shared" si="425"/>
        <v/>
      </c>
      <c r="HC235" s="54">
        <f t="shared" si="426"/>
        <v>225</v>
      </c>
      <c r="HD235" s="54">
        <f t="shared" si="427"/>
        <v>226</v>
      </c>
      <c r="HE235" s="54">
        <f t="shared" si="428"/>
        <v>3.5611457701494569</v>
      </c>
      <c r="HF235" s="54" t="e">
        <f t="shared" si="429"/>
        <v>#N/A</v>
      </c>
      <c r="HG235" s="54">
        <f t="shared" si="430"/>
        <v>6.160097552727048E-3</v>
      </c>
      <c r="HH235" s="54" t="e">
        <f t="shared" si="431"/>
        <v>#N/A</v>
      </c>
      <c r="HI235" s="54" t="e">
        <f t="shared" si="432"/>
        <v>#N/A</v>
      </c>
      <c r="HJ235" s="54" t="b">
        <f t="shared" si="433"/>
        <v>0</v>
      </c>
      <c r="HK235" s="54" t="b">
        <f t="shared" si="434"/>
        <v>1</v>
      </c>
      <c r="HL235" s="54" t="b">
        <f t="shared" si="435"/>
        <v>1</v>
      </c>
      <c r="HM235" s="54" t="b">
        <f t="shared" si="436"/>
        <v>0</v>
      </c>
      <c r="HN235" s="54">
        <f t="shared" si="437"/>
        <v>6.160097552727048E-3</v>
      </c>
      <c r="HO235" s="54" t="e">
        <f t="shared" si="438"/>
        <v>#N/A</v>
      </c>
      <c r="HP235" s="54">
        <f t="shared" si="439"/>
        <v>6.160097552727048E-3</v>
      </c>
      <c r="HQ235" s="72" t="str">
        <f t="shared" si="440"/>
        <v/>
      </c>
    </row>
    <row r="236" spans="71:225" x14ac:dyDescent="0.2">
      <c r="BS236" s="54">
        <f t="shared" si="367"/>
        <v>226</v>
      </c>
      <c r="BT236" s="54">
        <f>Eu_tabel_g[[#This Row],[Indeks]]+1</f>
        <v>227</v>
      </c>
      <c r="BU236" s="54">
        <f t="shared" si="368"/>
        <v>2.3236630519246351</v>
      </c>
      <c r="BV236" s="54">
        <f t="shared" si="369"/>
        <v>2.6819031238439629E-2</v>
      </c>
      <c r="BW236" s="54" t="e">
        <f t="shared" si="370"/>
        <v>#N/A</v>
      </c>
      <c r="BX236" s="54" t="e">
        <f t="shared" si="371"/>
        <v>#N/A</v>
      </c>
      <c r="BY236" s="54" t="e">
        <f t="shared" si="372"/>
        <v>#N/A</v>
      </c>
      <c r="BZ236" s="54" t="b">
        <f t="shared" si="373"/>
        <v>0</v>
      </c>
      <c r="CA236" s="54" t="b">
        <f t="shared" si="374"/>
        <v>1</v>
      </c>
      <c r="CB236" s="54" t="b">
        <f t="shared" si="375"/>
        <v>1</v>
      </c>
      <c r="CC236" s="54" t="b">
        <f t="shared" si="376"/>
        <v>0</v>
      </c>
      <c r="CD236" s="54">
        <f t="shared" si="441"/>
        <v>2.6819031238439629E-2</v>
      </c>
      <c r="CE236" s="54">
        <f t="shared" si="377"/>
        <v>2.6819031238439629E-2</v>
      </c>
      <c r="CF236" s="54" t="e">
        <f t="shared" si="378"/>
        <v>#N/A</v>
      </c>
      <c r="CG236" s="72" t="str">
        <f t="shared" si="379"/>
        <v/>
      </c>
      <c r="CH236" s="54">
        <f>_xlfn.NORM.DIST(_xlfn.NORM.INV(1-Eu_g_konfidensniveau,0,1)-Eu_tabel_g[[#This Row],[x base]],0,1,TRUE)</f>
        <v>3.616069815297626E-5</v>
      </c>
      <c r="CI236" s="54">
        <f>1-_xlfn.NORM.DIST(_xlfn.NORM.INV(Eu_g_konfidensniveau,0,1)-Eu_tabel_g[[#This Row],[x base]],0,1,TRUE)</f>
        <v>0.75137068940614915</v>
      </c>
      <c r="CJ236" s="54">
        <f>_xlfn.NORM.DIST(_xlfn.NORM.INV((1-Eu_g_konfidensniveau)/2,0,1)-Eu_tabel_g[[#This Row],[x base]],0,1,TRUE)+1-_xlfn.NORM.DIST(_xlfn.NORM.INV(1-(1-Eu_g_konfidensniveau)/2,0,1)-Eu_tabel_g[[#This Row],[x base]],0,1,TRUE)</f>
        <v>0.64196782362632787</v>
      </c>
      <c r="CK236" s="54" t="e" cm="1">
        <f t="array" ref="CK236">IF($CK$3,INDEX(Eu_tabel_g[[#This Row],[Styrke venstre]:[Styrke tosidet]],CK$7),NA())</f>
        <v>#N/A</v>
      </c>
      <c r="CL236" s="99" t="e">
        <f>Eu_tabel_g[[#This Row],[Falsk positiv
Nulhypotese accepteres
Fejltype 1]]</f>
        <v>#N/A</v>
      </c>
      <c r="CM236" s="99" t="e">
        <f>IF(CHOOSE(CK$7,Eu_tabel_g[[#This Row],[x base]]&gt;0,Eu_tabel_g[[#This Row],[x base]]&lt;0,Eu_tabel_g[[#This Row],[x base]]=0),Eu_tabel_g[[#This Row],[Styrke, aktiv]],NA())</f>
        <v>#N/A</v>
      </c>
      <c r="CN236" s="99" t="e">
        <f>IFERROR(IF($CK$3,Eu_tabel_g[[#This Row],[Styrke, aktiv]],NA()),NA())</f>
        <v>#N/A</v>
      </c>
      <c r="CO236" s="99" t="e">
        <f>IF(ISNA(Eu_tabel_g[[#This Row],[Sand negativ
Nulhypotese afvises
Korrekt]]),NA(),IF($CK$3,1,NA()))</f>
        <v>#N/A</v>
      </c>
      <c r="CP236" s="56" t="str" cm="1">
        <f t="array" ref="CP236">_xlfn.SWITCH(BS236,_xlfn.IFNA(CN$2,-99),CN$5,_xlfn.IFNA(CN$3,-99),CN$6,_xlfn.IFNA(CN$4,-99),CN$7,"")</f>
        <v/>
      </c>
      <c r="CT236" s="7">
        <f t="shared" si="380"/>
        <v>0.8</v>
      </c>
      <c r="CU236">
        <f>IF(ROW(Styrkeberegning_G[[#This Row],[X base venstre]])=ROW(Styrkeberegning_G[[#Headers],[X base venstre]])+1,CU$7/(CT$7/$B$67),CU235/(CT235/$B$67))</f>
        <v>-2.8015817870135784</v>
      </c>
      <c r="CV236">
        <f>Styrkeberegning_G[[#This Row],[X base venstre]]*-1</f>
        <v>2.8015817870135784</v>
      </c>
      <c r="DG236" s="54">
        <f t="shared" si="381"/>
        <v>226</v>
      </c>
      <c r="DH236" s="54">
        <f t="shared" si="382"/>
        <v>227</v>
      </c>
      <c r="DI236" s="54">
        <f t="shared" si="383"/>
        <v>27.613866214895918</v>
      </c>
      <c r="DJ236" s="54" t="e">
        <f t="shared" si="384"/>
        <v>#N/A</v>
      </c>
      <c r="DK236" s="54" t="e">
        <f t="shared" si="385"/>
        <v>#N/A</v>
      </c>
      <c r="DL236" s="54">
        <f t="shared" si="386"/>
        <v>1.3009957284929644E-3</v>
      </c>
      <c r="DM236" s="54" t="e">
        <f t="shared" si="387"/>
        <v>#N/A</v>
      </c>
      <c r="DN236" s="54" t="b">
        <f t="shared" si="388"/>
        <v>0</v>
      </c>
      <c r="DO236" s="54" t="b">
        <f t="shared" si="389"/>
        <v>1</v>
      </c>
      <c r="DP236" s="54" t="b">
        <f t="shared" si="390"/>
        <v>1</v>
      </c>
      <c r="DQ236" s="54" t="b">
        <f t="shared" si="391"/>
        <v>0</v>
      </c>
      <c r="DR236" s="54">
        <f t="shared" si="392"/>
        <v>1.3009957284929644E-3</v>
      </c>
      <c r="DS236" s="54">
        <f t="shared" si="393"/>
        <v>1.3009957284929644E-3</v>
      </c>
      <c r="DT236" s="54" t="e">
        <f t="shared" si="394"/>
        <v>#N/A</v>
      </c>
      <c r="DU236" s="72" t="str">
        <f t="shared" si="395"/>
        <v/>
      </c>
      <c r="DZ236" s="54">
        <f t="shared" si="396"/>
        <v>226</v>
      </c>
      <c r="EA236" s="54">
        <f t="shared" si="397"/>
        <v>227</v>
      </c>
      <c r="EB236" s="54">
        <f t="shared" si="398"/>
        <v>2.3236630519246351</v>
      </c>
      <c r="EC236" s="54">
        <f t="shared" si="399"/>
        <v>2.6819031238439629E-2</v>
      </c>
      <c r="ED236" s="54" t="e">
        <f t="shared" si="400"/>
        <v>#N/A</v>
      </c>
      <c r="EE236" s="54" t="e">
        <f t="shared" si="401"/>
        <v>#N/A</v>
      </c>
      <c r="EF236" s="54" t="e">
        <f t="shared" si="402"/>
        <v>#N/A</v>
      </c>
      <c r="EG236" s="54" t="b">
        <f t="shared" si="403"/>
        <v>0</v>
      </c>
      <c r="EH236" s="54" t="b">
        <f t="shared" si="404"/>
        <v>1</v>
      </c>
      <c r="EI236" s="54" t="b">
        <f t="shared" si="405"/>
        <v>1</v>
      </c>
      <c r="EJ236" s="54" t="b">
        <f t="shared" si="406"/>
        <v>0</v>
      </c>
      <c r="EK236" s="54">
        <f t="shared" si="407"/>
        <v>2.6819031238439629E-2</v>
      </c>
      <c r="EL236" s="54">
        <f t="shared" si="408"/>
        <v>2.6819031238439629E-2</v>
      </c>
      <c r="EM236" s="54" t="e">
        <f t="shared" si="409"/>
        <v>#N/A</v>
      </c>
      <c r="EN236" s="72" t="str">
        <f t="shared" si="410"/>
        <v/>
      </c>
      <c r="EO23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3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3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36" s="54" t="e" cm="1">
        <f t="array" ref="ER236">IF($CK$3,INDEX(Eu_tabel_a[[#This Row],[Styrke venstre]:[Styrke tosidet]],ER$7),NA())</f>
        <v>#N/A</v>
      </c>
      <c r="ES236" s="54" t="e">
        <f>IF(ER$3,IF(CHOOSE(ER$7,Eu_tabel_a[[#This Row],[x base]]&gt;0,Eu_tabel_a[[#This Row],[x base]]&lt;0,Eu_tabel_a[[#This Row],[x base]]=0),1,NA()),NA())</f>
        <v>#N/A</v>
      </c>
      <c r="ET236" s="54" t="e">
        <f>IF(CHOOSE(ER$7,Eu_tabel_a[[#This Row],[x base]]&gt;0,Eu_tabel_a[[#This Row],[x base]]&lt;0,Eu_tabel_a[[#This Row],[x base]]=0),Eu_tabel_a[[#This Row],[Styrke, aktiv]],NA())</f>
        <v>#N/A</v>
      </c>
      <c r="EU236" s="54" t="e">
        <f>IFERROR(IF($ER$3,Eu_tabel_a[[#This Row],[Styrke, aktiv]],NA()),NA())</f>
        <v>#N/A</v>
      </c>
      <c r="EV236" s="54" t="e">
        <f>IF(ISNA(Eu_tabel_a[[#This Row],[Sand negativ
Nulhypotese afvises
Korrekt]]),NA(),IF(ER$3,1,NA()))</f>
        <v>#N/A</v>
      </c>
      <c r="EW236" s="55" t="str" cm="1">
        <f t="array" ref="EW236">IFERROR(_xlfn.SWITCH(Eu_tabel_a[[#This Row],[Indeks]],_xlfn.IFNA(EU$2,-99),EU$5,_xlfn.IFNA(EU$3,-99),EU$6,_xlfn.IFNA(EU$4,-99),EU$7,""),"")</f>
        <v/>
      </c>
      <c r="EX236" s="54">
        <f>Eu_tabel_a[[#This Row],[x base]]*SQRT(Eu_a_h0_x*(1-Eu_a_h0_x)/Eu_a_n_x)+Eu_a_h0_x</f>
        <v>0</v>
      </c>
      <c r="FC236" s="161" t="e">
        <f t="shared" si="354"/>
        <v>#N/A</v>
      </c>
      <c r="FD236" s="169" t="e">
        <f t="shared" si="442"/>
        <v>#DIV/0!</v>
      </c>
      <c r="FE236" s="7" t="e">
        <f t="shared" si="348"/>
        <v>#DIV/0!</v>
      </c>
      <c r="FF236" t="e">
        <f t="shared" si="443"/>
        <v>#DIV/0!</v>
      </c>
      <c r="FG236" s="8" t="e">
        <f t="shared" si="444"/>
        <v>#DIV/0!</v>
      </c>
      <c r="FH236" s="8" t="e">
        <f t="shared" si="445"/>
        <v>#DIV/0!</v>
      </c>
      <c r="FI236" s="168" t="e">
        <f t="shared" si="446"/>
        <v>#DIV/0!</v>
      </c>
      <c r="FJ236" s="161" t="e">
        <f t="shared" ca="1" si="349"/>
        <v>#N/A</v>
      </c>
      <c r="FK236" s="169" t="e" vm="3">
        <f t="shared" ca="1" si="355"/>
        <v>#VALUE!</v>
      </c>
      <c r="FL236" s="7" t="e" vm="3">
        <f t="shared" ca="1" si="350"/>
        <v>#VALUE!</v>
      </c>
      <c r="FM236" t="e" vm="3">
        <f t="shared" ca="1" si="344"/>
        <v>#VALUE!</v>
      </c>
      <c r="FN236" s="8" t="e" vm="3">
        <f t="shared" ca="1" si="345"/>
        <v>#VALUE!</v>
      </c>
      <c r="FO236" s="8" t="e" vm="3">
        <f t="shared" ca="1" si="346"/>
        <v>#VALUE!</v>
      </c>
      <c r="FP236" s="168" t="e" vm="3">
        <f t="shared" ca="1" si="347"/>
        <v>#VALUE!</v>
      </c>
      <c r="FQ236" s="161" t="e">
        <f t="shared" si="351"/>
        <v>#N/A</v>
      </c>
      <c r="FR236" s="169" t="e">
        <f t="shared" si="356"/>
        <v>#N/A</v>
      </c>
      <c r="FS236" s="7" t="e">
        <f t="shared" si="352"/>
        <v>#N/A</v>
      </c>
      <c r="FT236" t="e">
        <f t="shared" si="357"/>
        <v>#N/A</v>
      </c>
      <c r="FU236" s="8" t="e">
        <f t="shared" si="358"/>
        <v>#N/A</v>
      </c>
      <c r="FV236" s="8" t="e">
        <f t="shared" si="359"/>
        <v>#N/A</v>
      </c>
      <c r="FW236" s="168" t="e">
        <f t="shared" si="360"/>
        <v>#N/A</v>
      </c>
      <c r="FX236" s="161" t="e">
        <f t="shared" si="361"/>
        <v>#N/A</v>
      </c>
      <c r="FY236" s="169" t="e">
        <f t="shared" si="362"/>
        <v>#N/A</v>
      </c>
      <c r="FZ236" s="7" t="e">
        <f t="shared" si="353"/>
        <v>#N/A</v>
      </c>
      <c r="GA236" t="e">
        <f t="shared" si="363"/>
        <v>#N/A</v>
      </c>
      <c r="GB236" s="8" t="e">
        <f t="shared" si="364"/>
        <v>#N/A</v>
      </c>
      <c r="GC236" s="8" t="e">
        <f t="shared" si="365"/>
        <v>#N/A</v>
      </c>
      <c r="GD236" s="168" t="e">
        <f t="shared" si="366"/>
        <v>#N/A</v>
      </c>
      <c r="GE236" s="168"/>
      <c r="GF236" s="168"/>
      <c r="GI236" s="54">
        <f t="shared" si="411"/>
        <v>226</v>
      </c>
      <c r="GJ236" s="54">
        <f t="shared" si="412"/>
        <v>227</v>
      </c>
      <c r="GK236" s="54">
        <f t="shared" si="413"/>
        <v>2.3236630519246351</v>
      </c>
      <c r="GL236" s="54">
        <f t="shared" si="414"/>
        <v>2.6819031238439629E-2</v>
      </c>
      <c r="GM236" s="54" t="e">
        <f t="shared" si="415"/>
        <v>#N/A</v>
      </c>
      <c r="GN236" s="54" t="e">
        <f t="shared" si="416"/>
        <v>#N/A</v>
      </c>
      <c r="GO236" s="54" t="e">
        <f t="shared" si="417"/>
        <v>#N/A</v>
      </c>
      <c r="GP236" s="54" t="b">
        <f t="shared" si="418"/>
        <v>0</v>
      </c>
      <c r="GQ236" s="54" t="b">
        <f t="shared" si="419"/>
        <v>1</v>
      </c>
      <c r="GR236" s="54" t="b">
        <f t="shared" si="420"/>
        <v>1</v>
      </c>
      <c r="GS236" s="54" t="b">
        <f t="shared" si="421"/>
        <v>0</v>
      </c>
      <c r="GT236" s="54">
        <f t="shared" si="422"/>
        <v>2.6819031238439629E-2</v>
      </c>
      <c r="GU236" s="54">
        <f t="shared" si="423"/>
        <v>2.6819031238439629E-2</v>
      </c>
      <c r="GV236" s="54" t="e">
        <f t="shared" si="424"/>
        <v>#N/A</v>
      </c>
      <c r="GW236" s="72" t="str">
        <f t="shared" si="425"/>
        <v/>
      </c>
      <c r="HC236" s="54">
        <f t="shared" si="426"/>
        <v>226</v>
      </c>
      <c r="HD236" s="54">
        <f t="shared" si="427"/>
        <v>227</v>
      </c>
      <c r="HE236" s="54">
        <f t="shared" si="428"/>
        <v>3.5982410385885135</v>
      </c>
      <c r="HF236" s="54" t="e">
        <f t="shared" si="429"/>
        <v>#N/A</v>
      </c>
      <c r="HG236" s="54">
        <f t="shared" si="430"/>
        <v>5.8385285622718358E-3</v>
      </c>
      <c r="HH236" s="54" t="e">
        <f t="shared" si="431"/>
        <v>#N/A</v>
      </c>
      <c r="HI236" s="54" t="e">
        <f t="shared" si="432"/>
        <v>#N/A</v>
      </c>
      <c r="HJ236" s="54" t="b">
        <f t="shared" si="433"/>
        <v>0</v>
      </c>
      <c r="HK236" s="54" t="b">
        <f t="shared" si="434"/>
        <v>1</v>
      </c>
      <c r="HL236" s="54" t="b">
        <f t="shared" si="435"/>
        <v>1</v>
      </c>
      <c r="HM236" s="54" t="b">
        <f t="shared" si="436"/>
        <v>0</v>
      </c>
      <c r="HN236" s="54">
        <f t="shared" si="437"/>
        <v>5.8385285622718358E-3</v>
      </c>
      <c r="HO236" s="54" t="e">
        <f t="shared" si="438"/>
        <v>#N/A</v>
      </c>
      <c r="HP236" s="54">
        <f t="shared" si="439"/>
        <v>5.8385285622718358E-3</v>
      </c>
      <c r="HQ236" s="72" t="str">
        <f t="shared" si="440"/>
        <v/>
      </c>
    </row>
    <row r="237" spans="71:225" x14ac:dyDescent="0.2">
      <c r="BS237" s="54">
        <f t="shared" si="367"/>
        <v>227</v>
      </c>
      <c r="BT237" s="54">
        <f>Eu_tabel_g[[#This Row],[Indeks]]+1</f>
        <v>228</v>
      </c>
      <c r="BU237" s="54">
        <f t="shared" si="368"/>
        <v>2.347618341119734</v>
      </c>
      <c r="BV237" s="54">
        <f t="shared" si="369"/>
        <v>2.5359687526847842E-2</v>
      </c>
      <c r="BW237" s="54" t="e">
        <f t="shared" si="370"/>
        <v>#N/A</v>
      </c>
      <c r="BX237" s="54" t="e">
        <f t="shared" si="371"/>
        <v>#N/A</v>
      </c>
      <c r="BY237" s="54" t="e">
        <f t="shared" si="372"/>
        <v>#N/A</v>
      </c>
      <c r="BZ237" s="54" t="b">
        <f t="shared" si="373"/>
        <v>0</v>
      </c>
      <c r="CA237" s="54" t="b">
        <f t="shared" si="374"/>
        <v>1</v>
      </c>
      <c r="CB237" s="54" t="b">
        <f t="shared" si="375"/>
        <v>1</v>
      </c>
      <c r="CC237" s="54" t="b">
        <f t="shared" si="376"/>
        <v>0</v>
      </c>
      <c r="CD237" s="54">
        <f t="shared" si="441"/>
        <v>2.5359687526847842E-2</v>
      </c>
      <c r="CE237" s="54">
        <f t="shared" si="377"/>
        <v>2.5359687526847842E-2</v>
      </c>
      <c r="CF237" s="54" t="e">
        <f t="shared" si="378"/>
        <v>#N/A</v>
      </c>
      <c r="CG237" s="72" t="str">
        <f t="shared" si="379"/>
        <v/>
      </c>
      <c r="CH237" s="54">
        <f>_xlfn.NORM.DIST(_xlfn.NORM.INV(1-Eu_g_konfidensniveau,0,1)-Eu_tabel_g[[#This Row],[x base]],0,1,TRUE)</f>
        <v>3.2694032375353574E-5</v>
      </c>
      <c r="CI237" s="54">
        <f>1-_xlfn.NORM.DIST(_xlfn.NORM.INV(Eu_g_konfidensniveau,0,1)-Eu_tabel_g[[#This Row],[x base]],0,1,TRUE)</f>
        <v>0.7588988047257339</v>
      </c>
      <c r="CJ237" s="54">
        <f>_xlfn.NORM.DIST(_xlfn.NORM.INV((1-Eu_g_konfidensniveau)/2,0,1)-Eu_tabel_g[[#This Row],[x base]],0,1,TRUE)+1-_xlfn.NORM.DIST(_xlfn.NORM.INV(1-(1-Eu_g_konfidensniveau)/2,0,1)-Eu_tabel_g[[#This Row],[x base]],0,1,TRUE)</f>
        <v>0.6508723336546951</v>
      </c>
      <c r="CK237" s="54" t="e" cm="1">
        <f t="array" ref="CK237">IF($CK$3,INDEX(Eu_tabel_g[[#This Row],[Styrke venstre]:[Styrke tosidet]],CK$7),NA())</f>
        <v>#N/A</v>
      </c>
      <c r="CL237" s="99" t="e">
        <f>Eu_tabel_g[[#This Row],[Falsk positiv
Nulhypotese accepteres
Fejltype 1]]</f>
        <v>#N/A</v>
      </c>
      <c r="CM237" s="99" t="e">
        <f>IF(CHOOSE(CK$7,Eu_tabel_g[[#This Row],[x base]]&gt;0,Eu_tabel_g[[#This Row],[x base]]&lt;0,Eu_tabel_g[[#This Row],[x base]]=0),Eu_tabel_g[[#This Row],[Styrke, aktiv]],NA())</f>
        <v>#N/A</v>
      </c>
      <c r="CN237" s="99" t="e">
        <f>IFERROR(IF($CK$3,Eu_tabel_g[[#This Row],[Styrke, aktiv]],NA()),NA())</f>
        <v>#N/A</v>
      </c>
      <c r="CO237" s="99" t="e">
        <f>IF(ISNA(Eu_tabel_g[[#This Row],[Sand negativ
Nulhypotese afvises
Korrekt]]),NA(),IF($CK$3,1,NA()))</f>
        <v>#N/A</v>
      </c>
      <c r="CP237" s="56" t="str" cm="1">
        <f t="array" ref="CP237">_xlfn.SWITCH(BS237,_xlfn.IFNA(CN$2,-99),CN$5,_xlfn.IFNA(CN$3,-99),CN$6,_xlfn.IFNA(CN$4,-99),CN$7,"")</f>
        <v/>
      </c>
      <c r="CT237" s="7">
        <f t="shared" si="380"/>
        <v>0.8</v>
      </c>
      <c r="CU237">
        <f>IF(ROW(Styrkeberegning_G[[#This Row],[X base venstre]])=ROW(Styrkeberegning_G[[#Headers],[X base venstre]])+1,CU$7/(CT$7/$B$67),CU236/(CT236/$B$67))</f>
        <v>-2.8015817870135784</v>
      </c>
      <c r="CV237">
        <f>Styrkeberegning_G[[#This Row],[X base venstre]]*-1</f>
        <v>2.8015817870135784</v>
      </c>
      <c r="DG237" s="54">
        <f t="shared" si="381"/>
        <v>227</v>
      </c>
      <c r="DH237" s="54">
        <f t="shared" si="382"/>
        <v>228</v>
      </c>
      <c r="DI237" s="54">
        <f t="shared" si="383"/>
        <v>27.727937071312919</v>
      </c>
      <c r="DJ237" s="54" t="e">
        <f t="shared" si="384"/>
        <v>#N/A</v>
      </c>
      <c r="DK237" s="54" t="e">
        <f t="shared" si="385"/>
        <v>#N/A</v>
      </c>
      <c r="DL237" s="54">
        <f t="shared" si="386"/>
        <v>1.2518786815304316E-3</v>
      </c>
      <c r="DM237" s="54" t="e">
        <f t="shared" si="387"/>
        <v>#N/A</v>
      </c>
      <c r="DN237" s="54" t="b">
        <f t="shared" si="388"/>
        <v>0</v>
      </c>
      <c r="DO237" s="54" t="b">
        <f t="shared" si="389"/>
        <v>1</v>
      </c>
      <c r="DP237" s="54" t="b">
        <f t="shared" si="390"/>
        <v>1</v>
      </c>
      <c r="DQ237" s="54" t="b">
        <f t="shared" si="391"/>
        <v>0</v>
      </c>
      <c r="DR237" s="54">
        <f t="shared" si="392"/>
        <v>1.2518786815304316E-3</v>
      </c>
      <c r="DS237" s="54">
        <f t="shared" si="393"/>
        <v>1.2518786815304316E-3</v>
      </c>
      <c r="DT237" s="54" t="e">
        <f t="shared" si="394"/>
        <v>#N/A</v>
      </c>
      <c r="DU237" s="72" t="str">
        <f t="shared" si="395"/>
        <v/>
      </c>
      <c r="DZ237" s="54">
        <f t="shared" si="396"/>
        <v>227</v>
      </c>
      <c r="EA237" s="54">
        <f t="shared" si="397"/>
        <v>228</v>
      </c>
      <c r="EB237" s="54">
        <f t="shared" si="398"/>
        <v>2.347618341119734</v>
      </c>
      <c r="EC237" s="54">
        <f t="shared" si="399"/>
        <v>2.5359687526847842E-2</v>
      </c>
      <c r="ED237" s="54" t="e">
        <f t="shared" si="400"/>
        <v>#N/A</v>
      </c>
      <c r="EE237" s="54" t="e">
        <f t="shared" si="401"/>
        <v>#N/A</v>
      </c>
      <c r="EF237" s="54" t="e">
        <f t="shared" si="402"/>
        <v>#N/A</v>
      </c>
      <c r="EG237" s="54" t="b">
        <f t="shared" si="403"/>
        <v>0</v>
      </c>
      <c r="EH237" s="54" t="b">
        <f t="shared" si="404"/>
        <v>1</v>
      </c>
      <c r="EI237" s="54" t="b">
        <f t="shared" si="405"/>
        <v>1</v>
      </c>
      <c r="EJ237" s="54" t="b">
        <f t="shared" si="406"/>
        <v>0</v>
      </c>
      <c r="EK237" s="54">
        <f t="shared" si="407"/>
        <v>2.5359687526847842E-2</v>
      </c>
      <c r="EL237" s="54">
        <f t="shared" si="408"/>
        <v>2.5359687526847842E-2</v>
      </c>
      <c r="EM237" s="54" t="e">
        <f t="shared" si="409"/>
        <v>#N/A</v>
      </c>
      <c r="EN237" s="72" t="str">
        <f t="shared" si="410"/>
        <v/>
      </c>
      <c r="EO23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3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3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37" s="54" t="e" cm="1">
        <f t="array" ref="ER237">IF($CK$3,INDEX(Eu_tabel_a[[#This Row],[Styrke venstre]:[Styrke tosidet]],ER$7),NA())</f>
        <v>#N/A</v>
      </c>
      <c r="ES237" s="54" t="e">
        <f>IF(ER$3,IF(CHOOSE(ER$7,Eu_tabel_a[[#This Row],[x base]]&gt;0,Eu_tabel_a[[#This Row],[x base]]&lt;0,Eu_tabel_a[[#This Row],[x base]]=0),1,NA()),NA())</f>
        <v>#N/A</v>
      </c>
      <c r="ET237" s="54" t="e">
        <f>IF(CHOOSE(ER$7,Eu_tabel_a[[#This Row],[x base]]&gt;0,Eu_tabel_a[[#This Row],[x base]]&lt;0,Eu_tabel_a[[#This Row],[x base]]=0),Eu_tabel_a[[#This Row],[Styrke, aktiv]],NA())</f>
        <v>#N/A</v>
      </c>
      <c r="EU237" s="54" t="e">
        <f>IFERROR(IF($ER$3,Eu_tabel_a[[#This Row],[Styrke, aktiv]],NA()),NA())</f>
        <v>#N/A</v>
      </c>
      <c r="EV237" s="54" t="e">
        <f>IF(ISNA(Eu_tabel_a[[#This Row],[Sand negativ
Nulhypotese afvises
Korrekt]]),NA(),IF(ER$3,1,NA()))</f>
        <v>#N/A</v>
      </c>
      <c r="EW237" s="55" t="str" cm="1">
        <f t="array" ref="EW237">IFERROR(_xlfn.SWITCH(Eu_tabel_a[[#This Row],[Indeks]],_xlfn.IFNA(EU$2,-99),EU$5,_xlfn.IFNA(EU$3,-99),EU$6,_xlfn.IFNA(EU$4,-99),EU$7,""),"")</f>
        <v/>
      </c>
      <c r="EX237" s="54">
        <f>Eu_tabel_a[[#This Row],[x base]]*SQRT(Eu_a_h0_x*(1-Eu_a_h0_x)/Eu_a_n_x)+Eu_a_h0_x</f>
        <v>0</v>
      </c>
      <c r="FC237" s="161" t="e">
        <f t="shared" si="354"/>
        <v>#N/A</v>
      </c>
      <c r="FD237" s="169" t="e">
        <f t="shared" si="442"/>
        <v>#DIV/0!</v>
      </c>
      <c r="FE237" s="7" t="e">
        <f t="shared" si="348"/>
        <v>#DIV/0!</v>
      </c>
      <c r="FF237" t="e">
        <f t="shared" si="443"/>
        <v>#DIV/0!</v>
      </c>
      <c r="FG237" s="8" t="e">
        <f t="shared" si="444"/>
        <v>#DIV/0!</v>
      </c>
      <c r="FH237" s="8" t="e">
        <f t="shared" si="445"/>
        <v>#DIV/0!</v>
      </c>
      <c r="FI237" s="168" t="e">
        <f t="shared" si="446"/>
        <v>#DIV/0!</v>
      </c>
      <c r="FJ237" s="161" t="e">
        <f t="shared" ca="1" si="349"/>
        <v>#N/A</v>
      </c>
      <c r="FK237" s="169" t="e" vm="3">
        <f t="shared" ca="1" si="355"/>
        <v>#VALUE!</v>
      </c>
      <c r="FL237" s="7" t="e" vm="3">
        <f t="shared" ca="1" si="350"/>
        <v>#VALUE!</v>
      </c>
      <c r="FM237" t="e" vm="3">
        <f t="shared" ca="1" si="344"/>
        <v>#VALUE!</v>
      </c>
      <c r="FN237" s="8" t="e" vm="3">
        <f t="shared" ca="1" si="345"/>
        <v>#VALUE!</v>
      </c>
      <c r="FO237" s="8" t="e" vm="3">
        <f t="shared" ca="1" si="346"/>
        <v>#VALUE!</v>
      </c>
      <c r="FP237" s="168" t="e" vm="3">
        <f t="shared" ca="1" si="347"/>
        <v>#VALUE!</v>
      </c>
      <c r="FQ237" s="161" t="e">
        <f t="shared" si="351"/>
        <v>#N/A</v>
      </c>
      <c r="FR237" s="169" t="e">
        <f t="shared" si="356"/>
        <v>#N/A</v>
      </c>
      <c r="FS237" s="7" t="e">
        <f t="shared" si="352"/>
        <v>#N/A</v>
      </c>
      <c r="FT237" t="e">
        <f t="shared" si="357"/>
        <v>#N/A</v>
      </c>
      <c r="FU237" s="8" t="e">
        <f t="shared" si="358"/>
        <v>#N/A</v>
      </c>
      <c r="FV237" s="8" t="e">
        <f t="shared" si="359"/>
        <v>#N/A</v>
      </c>
      <c r="FW237" s="168" t="e">
        <f t="shared" si="360"/>
        <v>#N/A</v>
      </c>
      <c r="FX237" s="161" t="e">
        <f t="shared" si="361"/>
        <v>#N/A</v>
      </c>
      <c r="FY237" s="169" t="e">
        <f t="shared" si="362"/>
        <v>#N/A</v>
      </c>
      <c r="FZ237" s="7" t="e">
        <f t="shared" si="353"/>
        <v>#N/A</v>
      </c>
      <c r="GA237" t="e">
        <f t="shared" si="363"/>
        <v>#N/A</v>
      </c>
      <c r="GB237" s="8" t="e">
        <f t="shared" si="364"/>
        <v>#N/A</v>
      </c>
      <c r="GC237" s="8" t="e">
        <f t="shared" si="365"/>
        <v>#N/A</v>
      </c>
      <c r="GD237" s="168" t="e">
        <f t="shared" si="366"/>
        <v>#N/A</v>
      </c>
      <c r="GE237" s="168"/>
      <c r="GF237" s="168"/>
      <c r="GI237" s="54">
        <f t="shared" si="411"/>
        <v>227</v>
      </c>
      <c r="GJ237" s="54">
        <f t="shared" si="412"/>
        <v>228</v>
      </c>
      <c r="GK237" s="54">
        <f t="shared" si="413"/>
        <v>2.347618341119734</v>
      </c>
      <c r="GL237" s="54">
        <f t="shared" si="414"/>
        <v>2.5359687526847842E-2</v>
      </c>
      <c r="GM237" s="54" t="e">
        <f t="shared" si="415"/>
        <v>#N/A</v>
      </c>
      <c r="GN237" s="54" t="e">
        <f t="shared" si="416"/>
        <v>#N/A</v>
      </c>
      <c r="GO237" s="54" t="e">
        <f t="shared" si="417"/>
        <v>#N/A</v>
      </c>
      <c r="GP237" s="54" t="b">
        <f t="shared" si="418"/>
        <v>0</v>
      </c>
      <c r="GQ237" s="54" t="b">
        <f t="shared" si="419"/>
        <v>1</v>
      </c>
      <c r="GR237" s="54" t="b">
        <f t="shared" si="420"/>
        <v>1</v>
      </c>
      <c r="GS237" s="54" t="b">
        <f t="shared" si="421"/>
        <v>0</v>
      </c>
      <c r="GT237" s="54">
        <f t="shared" si="422"/>
        <v>2.5359687526847842E-2</v>
      </c>
      <c r="GU237" s="54">
        <f t="shared" si="423"/>
        <v>2.5359687526847842E-2</v>
      </c>
      <c r="GV237" s="54" t="e">
        <f t="shared" si="424"/>
        <v>#N/A</v>
      </c>
      <c r="GW237" s="72" t="str">
        <f t="shared" si="425"/>
        <v/>
      </c>
      <c r="HC237" s="54">
        <f t="shared" si="426"/>
        <v>227</v>
      </c>
      <c r="HD237" s="54">
        <f t="shared" si="427"/>
        <v>228</v>
      </c>
      <c r="HE237" s="54">
        <f t="shared" si="428"/>
        <v>3.6353363070275719</v>
      </c>
      <c r="HF237" s="54" t="e">
        <f t="shared" si="429"/>
        <v>#N/A</v>
      </c>
      <c r="HG237" s="54">
        <f t="shared" si="430"/>
        <v>5.5346566224468846E-3</v>
      </c>
      <c r="HH237" s="54" t="e">
        <f t="shared" si="431"/>
        <v>#N/A</v>
      </c>
      <c r="HI237" s="54" t="e">
        <f t="shared" si="432"/>
        <v>#N/A</v>
      </c>
      <c r="HJ237" s="54" t="b">
        <f t="shared" si="433"/>
        <v>0</v>
      </c>
      <c r="HK237" s="54" t="b">
        <f t="shared" si="434"/>
        <v>1</v>
      </c>
      <c r="HL237" s="54" t="b">
        <f t="shared" si="435"/>
        <v>1</v>
      </c>
      <c r="HM237" s="54" t="b">
        <f t="shared" si="436"/>
        <v>0</v>
      </c>
      <c r="HN237" s="54">
        <f t="shared" si="437"/>
        <v>5.5346566224468846E-3</v>
      </c>
      <c r="HO237" s="54" t="e">
        <f t="shared" si="438"/>
        <v>#N/A</v>
      </c>
      <c r="HP237" s="54">
        <f t="shared" si="439"/>
        <v>5.5346566224468846E-3</v>
      </c>
      <c r="HQ237" s="72" t="str">
        <f t="shared" si="440"/>
        <v/>
      </c>
    </row>
    <row r="238" spans="71:225" x14ac:dyDescent="0.2">
      <c r="BS238" s="54">
        <f t="shared" si="367"/>
        <v>228</v>
      </c>
      <c r="BT238" s="54">
        <f>Eu_tabel_g[[#This Row],[Indeks]]+1</f>
        <v>229</v>
      </c>
      <c r="BU238" s="54">
        <f t="shared" si="368"/>
        <v>2.3715736303148329</v>
      </c>
      <c r="BV238" s="54">
        <f t="shared" si="369"/>
        <v>2.3965996273642022E-2</v>
      </c>
      <c r="BW238" s="54" t="e">
        <f t="shared" si="370"/>
        <v>#N/A</v>
      </c>
      <c r="BX238" s="54" t="e">
        <f t="shared" si="371"/>
        <v>#N/A</v>
      </c>
      <c r="BY238" s="54" t="e">
        <f t="shared" si="372"/>
        <v>#N/A</v>
      </c>
      <c r="BZ238" s="54" t="b">
        <f t="shared" si="373"/>
        <v>0</v>
      </c>
      <c r="CA238" s="54" t="b">
        <f t="shared" si="374"/>
        <v>1</v>
      </c>
      <c r="CB238" s="54" t="b">
        <f t="shared" si="375"/>
        <v>1</v>
      </c>
      <c r="CC238" s="54" t="b">
        <f t="shared" si="376"/>
        <v>0</v>
      </c>
      <c r="CD238" s="54">
        <f t="shared" si="441"/>
        <v>2.3965996273642022E-2</v>
      </c>
      <c r="CE238" s="54">
        <f t="shared" si="377"/>
        <v>2.3965996273642022E-2</v>
      </c>
      <c r="CF238" s="54" t="e">
        <f t="shared" si="378"/>
        <v>#N/A</v>
      </c>
      <c r="CG238" s="72" t="str">
        <f t="shared" si="379"/>
        <v/>
      </c>
      <c r="CH238" s="54">
        <f>_xlfn.NORM.DIST(_xlfn.NORM.INV(1-Eu_g_konfidensniveau,0,1)-Eu_tabel_g[[#This Row],[x base]],0,1,TRUE)</f>
        <v>2.9543545472232729E-5</v>
      </c>
      <c r="CI238" s="54">
        <f>1-_xlfn.NORM.DIST(_xlfn.NORM.INV(Eu_g_konfidensniveau,0,1)-Eu_tabel_g[[#This Row],[x base]],0,1,TRUE)</f>
        <v>0.76630125152424833</v>
      </c>
      <c r="CJ238" s="54">
        <f>_xlfn.NORM.DIST(_xlfn.NORM.INV((1-Eu_g_konfidensniveau)/2,0,1)-Eu_tabel_g[[#This Row],[x base]],0,1,TRUE)+1-_xlfn.NORM.DIST(_xlfn.NORM.INV(1-(1-Eu_g_konfidensniveau)/2,0,1)-Eu_tabel_g[[#This Row],[x base]],0,1,TRUE)</f>
        <v>0.65969462333628104</v>
      </c>
      <c r="CK238" s="54" t="e" cm="1">
        <f t="array" ref="CK238">IF($CK$3,INDEX(Eu_tabel_g[[#This Row],[Styrke venstre]:[Styrke tosidet]],CK$7),NA())</f>
        <v>#N/A</v>
      </c>
      <c r="CL238" s="99" t="e">
        <f>Eu_tabel_g[[#This Row],[Falsk positiv
Nulhypotese accepteres
Fejltype 1]]</f>
        <v>#N/A</v>
      </c>
      <c r="CM238" s="99" t="e">
        <f>IF(CHOOSE(CK$7,Eu_tabel_g[[#This Row],[x base]]&gt;0,Eu_tabel_g[[#This Row],[x base]]&lt;0,Eu_tabel_g[[#This Row],[x base]]=0),Eu_tabel_g[[#This Row],[Styrke, aktiv]],NA())</f>
        <v>#N/A</v>
      </c>
      <c r="CN238" s="99" t="e">
        <f>IFERROR(IF($CK$3,Eu_tabel_g[[#This Row],[Styrke, aktiv]],NA()),NA())</f>
        <v>#N/A</v>
      </c>
      <c r="CO238" s="99" t="e">
        <f>IF(ISNA(Eu_tabel_g[[#This Row],[Sand negativ
Nulhypotese afvises
Korrekt]]),NA(),IF($CK$3,1,NA()))</f>
        <v>#N/A</v>
      </c>
      <c r="CP238" s="56" t="str" cm="1">
        <f t="array" ref="CP238">_xlfn.SWITCH(BS238,_xlfn.IFNA(CN$2,-99),CN$5,_xlfn.IFNA(CN$3,-99),CN$6,_xlfn.IFNA(CN$4,-99),CN$7,"")</f>
        <v/>
      </c>
      <c r="CT238" s="7">
        <f t="shared" si="380"/>
        <v>0.8</v>
      </c>
      <c r="CU238">
        <f>IF(ROW(Styrkeberegning_G[[#This Row],[X base venstre]])=ROW(Styrkeberegning_G[[#Headers],[X base venstre]])+1,CU$7/(CT$7/$B$67),CU237/(CT237/$B$67))</f>
        <v>-2.8015817870135784</v>
      </c>
      <c r="CV238">
        <f>Styrkeberegning_G[[#This Row],[X base venstre]]*-1</f>
        <v>2.8015817870135784</v>
      </c>
      <c r="DG238" s="54">
        <f t="shared" si="381"/>
        <v>228</v>
      </c>
      <c r="DH238" s="54">
        <f t="shared" si="382"/>
        <v>229</v>
      </c>
      <c r="DI238" s="54">
        <f t="shared" si="383"/>
        <v>27.84200792772992</v>
      </c>
      <c r="DJ238" s="54" t="e">
        <f t="shared" si="384"/>
        <v>#N/A</v>
      </c>
      <c r="DK238" s="54" t="e">
        <f t="shared" si="385"/>
        <v>#N/A</v>
      </c>
      <c r="DL238" s="54">
        <f t="shared" si="386"/>
        <v>1.2045242305972269E-3</v>
      </c>
      <c r="DM238" s="54" t="e">
        <f t="shared" si="387"/>
        <v>#N/A</v>
      </c>
      <c r="DN238" s="54" t="b">
        <f t="shared" si="388"/>
        <v>0</v>
      </c>
      <c r="DO238" s="54" t="b">
        <f t="shared" si="389"/>
        <v>1</v>
      </c>
      <c r="DP238" s="54" t="b">
        <f t="shared" si="390"/>
        <v>1</v>
      </c>
      <c r="DQ238" s="54" t="b">
        <f t="shared" si="391"/>
        <v>0</v>
      </c>
      <c r="DR238" s="54">
        <f t="shared" si="392"/>
        <v>1.2045242305972269E-3</v>
      </c>
      <c r="DS238" s="54">
        <f t="shared" si="393"/>
        <v>1.2045242305972269E-3</v>
      </c>
      <c r="DT238" s="54" t="e">
        <f t="shared" si="394"/>
        <v>#N/A</v>
      </c>
      <c r="DU238" s="72" t="str">
        <f t="shared" si="395"/>
        <v/>
      </c>
      <c r="DZ238" s="54">
        <f t="shared" si="396"/>
        <v>228</v>
      </c>
      <c r="EA238" s="54">
        <f t="shared" si="397"/>
        <v>229</v>
      </c>
      <c r="EB238" s="54">
        <f t="shared" si="398"/>
        <v>2.3715736303148329</v>
      </c>
      <c r="EC238" s="54">
        <f t="shared" si="399"/>
        <v>2.3965996273642022E-2</v>
      </c>
      <c r="ED238" s="54" t="e">
        <f t="shared" si="400"/>
        <v>#N/A</v>
      </c>
      <c r="EE238" s="54" t="e">
        <f t="shared" si="401"/>
        <v>#N/A</v>
      </c>
      <c r="EF238" s="54" t="e">
        <f t="shared" si="402"/>
        <v>#N/A</v>
      </c>
      <c r="EG238" s="54" t="b">
        <f t="shared" si="403"/>
        <v>0</v>
      </c>
      <c r="EH238" s="54" t="b">
        <f t="shared" si="404"/>
        <v>1</v>
      </c>
      <c r="EI238" s="54" t="b">
        <f t="shared" si="405"/>
        <v>1</v>
      </c>
      <c r="EJ238" s="54" t="b">
        <f t="shared" si="406"/>
        <v>0</v>
      </c>
      <c r="EK238" s="54">
        <f t="shared" si="407"/>
        <v>2.3965996273642022E-2</v>
      </c>
      <c r="EL238" s="54">
        <f t="shared" si="408"/>
        <v>2.3965996273642022E-2</v>
      </c>
      <c r="EM238" s="54" t="e">
        <f t="shared" si="409"/>
        <v>#N/A</v>
      </c>
      <c r="EN238" s="72" t="str">
        <f t="shared" si="410"/>
        <v/>
      </c>
      <c r="EO23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3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3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38" s="54" t="e" cm="1">
        <f t="array" ref="ER238">IF($CK$3,INDEX(Eu_tabel_a[[#This Row],[Styrke venstre]:[Styrke tosidet]],ER$7),NA())</f>
        <v>#N/A</v>
      </c>
      <c r="ES238" s="54" t="e">
        <f>IF(ER$3,IF(CHOOSE(ER$7,Eu_tabel_a[[#This Row],[x base]]&gt;0,Eu_tabel_a[[#This Row],[x base]]&lt;0,Eu_tabel_a[[#This Row],[x base]]=0),1,NA()),NA())</f>
        <v>#N/A</v>
      </c>
      <c r="ET238" s="54" t="e">
        <f>IF(CHOOSE(ER$7,Eu_tabel_a[[#This Row],[x base]]&gt;0,Eu_tabel_a[[#This Row],[x base]]&lt;0,Eu_tabel_a[[#This Row],[x base]]=0),Eu_tabel_a[[#This Row],[Styrke, aktiv]],NA())</f>
        <v>#N/A</v>
      </c>
      <c r="EU238" s="54" t="e">
        <f>IFERROR(IF($ER$3,Eu_tabel_a[[#This Row],[Styrke, aktiv]],NA()),NA())</f>
        <v>#N/A</v>
      </c>
      <c r="EV238" s="54" t="e">
        <f>IF(ISNA(Eu_tabel_a[[#This Row],[Sand negativ
Nulhypotese afvises
Korrekt]]),NA(),IF(ER$3,1,NA()))</f>
        <v>#N/A</v>
      </c>
      <c r="EW238" s="55" t="str" cm="1">
        <f t="array" ref="EW238">IFERROR(_xlfn.SWITCH(Eu_tabel_a[[#This Row],[Indeks]],_xlfn.IFNA(EU$2,-99),EU$5,_xlfn.IFNA(EU$3,-99),EU$6,_xlfn.IFNA(EU$4,-99),EU$7,""),"")</f>
        <v/>
      </c>
      <c r="EX238" s="54">
        <f>Eu_tabel_a[[#This Row],[x base]]*SQRT(Eu_a_h0_x*(1-Eu_a_h0_x)/Eu_a_n_x)+Eu_a_h0_x</f>
        <v>0</v>
      </c>
      <c r="FC238" s="161" t="e">
        <f t="shared" si="354"/>
        <v>#N/A</v>
      </c>
      <c r="FD238" s="169" t="e">
        <f t="shared" si="442"/>
        <v>#DIV/0!</v>
      </c>
      <c r="FE238" s="7" t="e">
        <f t="shared" si="348"/>
        <v>#DIV/0!</v>
      </c>
      <c r="FF238" t="e">
        <f t="shared" si="443"/>
        <v>#DIV/0!</v>
      </c>
      <c r="FG238" s="8" t="e">
        <f t="shared" si="444"/>
        <v>#DIV/0!</v>
      </c>
      <c r="FH238" s="8" t="e">
        <f t="shared" si="445"/>
        <v>#DIV/0!</v>
      </c>
      <c r="FI238" s="168" t="e">
        <f t="shared" si="446"/>
        <v>#DIV/0!</v>
      </c>
      <c r="FJ238" s="161" t="e">
        <f t="shared" ca="1" si="349"/>
        <v>#N/A</v>
      </c>
      <c r="FK238" s="169" t="e" vm="3">
        <f t="shared" ca="1" si="355"/>
        <v>#VALUE!</v>
      </c>
      <c r="FL238" s="7" t="e" vm="3">
        <f t="shared" ca="1" si="350"/>
        <v>#VALUE!</v>
      </c>
      <c r="FM238" t="e" vm="3">
        <f t="shared" ca="1" si="344"/>
        <v>#VALUE!</v>
      </c>
      <c r="FN238" s="8" t="e" vm="3">
        <f t="shared" ca="1" si="345"/>
        <v>#VALUE!</v>
      </c>
      <c r="FO238" s="8" t="e" vm="3">
        <f t="shared" ca="1" si="346"/>
        <v>#VALUE!</v>
      </c>
      <c r="FP238" s="168" t="e" vm="3">
        <f t="shared" ca="1" si="347"/>
        <v>#VALUE!</v>
      </c>
      <c r="FQ238" s="161" t="e">
        <f t="shared" si="351"/>
        <v>#N/A</v>
      </c>
      <c r="FR238" s="169" t="e">
        <f t="shared" si="356"/>
        <v>#N/A</v>
      </c>
      <c r="FS238" s="7" t="e">
        <f t="shared" si="352"/>
        <v>#N/A</v>
      </c>
      <c r="FT238" t="e">
        <f t="shared" si="357"/>
        <v>#N/A</v>
      </c>
      <c r="FU238" s="8" t="e">
        <f t="shared" si="358"/>
        <v>#N/A</v>
      </c>
      <c r="FV238" s="8" t="e">
        <f t="shared" si="359"/>
        <v>#N/A</v>
      </c>
      <c r="FW238" s="168" t="e">
        <f t="shared" si="360"/>
        <v>#N/A</v>
      </c>
      <c r="FX238" s="161" t="e">
        <f t="shared" si="361"/>
        <v>#N/A</v>
      </c>
      <c r="FY238" s="169" t="e">
        <f t="shared" si="362"/>
        <v>#N/A</v>
      </c>
      <c r="FZ238" s="7" t="e">
        <f t="shared" si="353"/>
        <v>#N/A</v>
      </c>
      <c r="GA238" t="e">
        <f t="shared" si="363"/>
        <v>#N/A</v>
      </c>
      <c r="GB238" s="8" t="e">
        <f t="shared" si="364"/>
        <v>#N/A</v>
      </c>
      <c r="GC238" s="8" t="e">
        <f t="shared" si="365"/>
        <v>#N/A</v>
      </c>
      <c r="GD238" s="168" t="e">
        <f t="shared" si="366"/>
        <v>#N/A</v>
      </c>
      <c r="GE238" s="168"/>
      <c r="GF238" s="168"/>
      <c r="GI238" s="54">
        <f t="shared" si="411"/>
        <v>228</v>
      </c>
      <c r="GJ238" s="54">
        <f t="shared" si="412"/>
        <v>229</v>
      </c>
      <c r="GK238" s="54">
        <f t="shared" si="413"/>
        <v>2.3715736303148329</v>
      </c>
      <c r="GL238" s="54">
        <f t="shared" si="414"/>
        <v>2.3965996273642022E-2</v>
      </c>
      <c r="GM238" s="54" t="e">
        <f t="shared" si="415"/>
        <v>#N/A</v>
      </c>
      <c r="GN238" s="54" t="e">
        <f t="shared" si="416"/>
        <v>#N/A</v>
      </c>
      <c r="GO238" s="54" t="e">
        <f t="shared" si="417"/>
        <v>#N/A</v>
      </c>
      <c r="GP238" s="54" t="b">
        <f t="shared" si="418"/>
        <v>0</v>
      </c>
      <c r="GQ238" s="54" t="b">
        <f t="shared" si="419"/>
        <v>1</v>
      </c>
      <c r="GR238" s="54" t="b">
        <f t="shared" si="420"/>
        <v>1</v>
      </c>
      <c r="GS238" s="54" t="b">
        <f t="shared" si="421"/>
        <v>0</v>
      </c>
      <c r="GT238" s="54">
        <f t="shared" si="422"/>
        <v>2.3965996273642022E-2</v>
      </c>
      <c r="GU238" s="54">
        <f t="shared" si="423"/>
        <v>2.3965996273642022E-2</v>
      </c>
      <c r="GV238" s="54" t="e">
        <f t="shared" si="424"/>
        <v>#N/A</v>
      </c>
      <c r="GW238" s="72" t="str">
        <f t="shared" si="425"/>
        <v/>
      </c>
      <c r="HC238" s="54">
        <f t="shared" si="426"/>
        <v>228</v>
      </c>
      <c r="HD238" s="54">
        <f t="shared" si="427"/>
        <v>229</v>
      </c>
      <c r="HE238" s="54">
        <f t="shared" si="428"/>
        <v>3.6724315754666286</v>
      </c>
      <c r="HF238" s="54" t="e">
        <f t="shared" si="429"/>
        <v>#N/A</v>
      </c>
      <c r="HG238" s="54">
        <f t="shared" si="430"/>
        <v>5.2474784393453577E-3</v>
      </c>
      <c r="HH238" s="54" t="e">
        <f t="shared" si="431"/>
        <v>#N/A</v>
      </c>
      <c r="HI238" s="54" t="e">
        <f t="shared" si="432"/>
        <v>#N/A</v>
      </c>
      <c r="HJ238" s="54" t="b">
        <f t="shared" si="433"/>
        <v>0</v>
      </c>
      <c r="HK238" s="54" t="b">
        <f t="shared" si="434"/>
        <v>1</v>
      </c>
      <c r="HL238" s="54" t="b">
        <f t="shared" si="435"/>
        <v>1</v>
      </c>
      <c r="HM238" s="54" t="b">
        <f t="shared" si="436"/>
        <v>0</v>
      </c>
      <c r="HN238" s="54">
        <f t="shared" si="437"/>
        <v>5.2474784393453577E-3</v>
      </c>
      <c r="HO238" s="54" t="e">
        <f t="shared" si="438"/>
        <v>#N/A</v>
      </c>
      <c r="HP238" s="54">
        <f t="shared" si="439"/>
        <v>5.2474784393453577E-3</v>
      </c>
      <c r="HQ238" s="72" t="str">
        <f t="shared" si="440"/>
        <v/>
      </c>
    </row>
    <row r="239" spans="71:225" x14ac:dyDescent="0.2">
      <c r="BS239" s="54">
        <f t="shared" si="367"/>
        <v>229</v>
      </c>
      <c r="BT239" s="54">
        <f>Eu_tabel_g[[#This Row],[Indeks]]+1</f>
        <v>230</v>
      </c>
      <c r="BU239" s="54">
        <f t="shared" si="368"/>
        <v>2.3955289195099327</v>
      </c>
      <c r="BV239" s="54">
        <f t="shared" si="369"/>
        <v>2.2635904575720501E-2</v>
      </c>
      <c r="BW239" s="54" t="e">
        <f t="shared" si="370"/>
        <v>#N/A</v>
      </c>
      <c r="BX239" s="54" t="e">
        <f t="shared" si="371"/>
        <v>#N/A</v>
      </c>
      <c r="BY239" s="54" t="e">
        <f t="shared" si="372"/>
        <v>#N/A</v>
      </c>
      <c r="BZ239" s="54" t="b">
        <f t="shared" si="373"/>
        <v>0</v>
      </c>
      <c r="CA239" s="54" t="b">
        <f t="shared" si="374"/>
        <v>1</v>
      </c>
      <c r="CB239" s="54" t="b">
        <f t="shared" si="375"/>
        <v>1</v>
      </c>
      <c r="CC239" s="54" t="b">
        <f t="shared" si="376"/>
        <v>0</v>
      </c>
      <c r="CD239" s="54">
        <f t="shared" si="441"/>
        <v>2.2635904575720501E-2</v>
      </c>
      <c r="CE239" s="54">
        <f t="shared" si="377"/>
        <v>2.2635904575720501E-2</v>
      </c>
      <c r="CF239" s="54" t="e">
        <f t="shared" si="378"/>
        <v>#N/A</v>
      </c>
      <c r="CG239" s="72" t="str">
        <f t="shared" si="379"/>
        <v/>
      </c>
      <c r="CH239" s="54">
        <f>_xlfn.NORM.DIST(_xlfn.NORM.INV(1-Eu_g_konfidensniveau,0,1)-Eu_tabel_g[[#This Row],[x base]],0,1,TRUE)</f>
        <v>2.6682042684325417E-5</v>
      </c>
      <c r="CI239" s="54">
        <f>1-_xlfn.NORM.DIST(_xlfn.NORM.INV(Eu_g_konfidensniveau,0,1)-Eu_tabel_g[[#This Row],[x base]],0,1,TRUE)</f>
        <v>0.77357595198661899</v>
      </c>
      <c r="CJ239" s="54">
        <f>_xlfn.NORM.DIST(_xlfn.NORM.INV((1-Eu_g_konfidensniveau)/2,0,1)-Eu_tabel_g[[#This Row],[x base]],0,1,TRUE)+1-_xlfn.NORM.DIST(_xlfn.NORM.INV(1-(1-Eu_g_konfidensniveau)/2,0,1)-Eu_tabel_g[[#This Row],[x base]],0,1,TRUE)</f>
        <v>0.66843043014353232</v>
      </c>
      <c r="CK239" s="54" t="e" cm="1">
        <f t="array" ref="CK239">IF($CK$3,INDEX(Eu_tabel_g[[#This Row],[Styrke venstre]:[Styrke tosidet]],CK$7),NA())</f>
        <v>#N/A</v>
      </c>
      <c r="CL239" s="99" t="e">
        <f>Eu_tabel_g[[#This Row],[Falsk positiv
Nulhypotese accepteres
Fejltype 1]]</f>
        <v>#N/A</v>
      </c>
      <c r="CM239" s="99" t="e">
        <f>IF(CHOOSE(CK$7,Eu_tabel_g[[#This Row],[x base]]&gt;0,Eu_tabel_g[[#This Row],[x base]]&lt;0,Eu_tabel_g[[#This Row],[x base]]=0),Eu_tabel_g[[#This Row],[Styrke, aktiv]],NA())</f>
        <v>#N/A</v>
      </c>
      <c r="CN239" s="99" t="e">
        <f>IFERROR(IF($CK$3,Eu_tabel_g[[#This Row],[Styrke, aktiv]],NA()),NA())</f>
        <v>#N/A</v>
      </c>
      <c r="CO239" s="99" t="e">
        <f>IF(ISNA(Eu_tabel_g[[#This Row],[Sand negativ
Nulhypotese afvises
Korrekt]]),NA(),IF($CK$3,1,NA()))</f>
        <v>#N/A</v>
      </c>
      <c r="CP239" s="56" t="str" cm="1">
        <f t="array" ref="CP239">_xlfn.SWITCH(BS239,_xlfn.IFNA(CN$2,-99),CN$5,_xlfn.IFNA(CN$3,-99),CN$6,_xlfn.IFNA(CN$4,-99),CN$7,"")</f>
        <v/>
      </c>
      <c r="CT239" s="7">
        <f t="shared" si="380"/>
        <v>0.8</v>
      </c>
      <c r="CU239">
        <f>IF(ROW(Styrkeberegning_G[[#This Row],[X base venstre]])=ROW(Styrkeberegning_G[[#Headers],[X base venstre]])+1,CU$7/(CT$7/$B$67),CU238/(CT238/$B$67))</f>
        <v>-2.8015817870135784</v>
      </c>
      <c r="CV239">
        <f>Styrkeberegning_G[[#This Row],[X base venstre]]*-1</f>
        <v>2.8015817870135784</v>
      </c>
      <c r="DG239" s="54">
        <f t="shared" si="381"/>
        <v>229</v>
      </c>
      <c r="DH239" s="54">
        <f t="shared" si="382"/>
        <v>230</v>
      </c>
      <c r="DI239" s="54">
        <f t="shared" si="383"/>
        <v>27.956078784146921</v>
      </c>
      <c r="DJ239" s="54" t="e">
        <f t="shared" si="384"/>
        <v>#N/A</v>
      </c>
      <c r="DK239" s="54" t="e">
        <f t="shared" si="385"/>
        <v>#N/A</v>
      </c>
      <c r="DL239" s="54">
        <f t="shared" si="386"/>
        <v>1.1588735006259946E-3</v>
      </c>
      <c r="DM239" s="54" t="e">
        <f t="shared" si="387"/>
        <v>#N/A</v>
      </c>
      <c r="DN239" s="54" t="b">
        <f t="shared" si="388"/>
        <v>0</v>
      </c>
      <c r="DO239" s="54" t="b">
        <f t="shared" si="389"/>
        <v>1</v>
      </c>
      <c r="DP239" s="54" t="b">
        <f t="shared" si="390"/>
        <v>1</v>
      </c>
      <c r="DQ239" s="54" t="b">
        <f t="shared" si="391"/>
        <v>0</v>
      </c>
      <c r="DR239" s="54">
        <f t="shared" si="392"/>
        <v>1.1588735006259946E-3</v>
      </c>
      <c r="DS239" s="54">
        <f t="shared" si="393"/>
        <v>1.1588735006259946E-3</v>
      </c>
      <c r="DT239" s="54" t="e">
        <f t="shared" si="394"/>
        <v>#N/A</v>
      </c>
      <c r="DU239" s="72" t="str">
        <f t="shared" si="395"/>
        <v/>
      </c>
      <c r="DZ239" s="54">
        <f t="shared" si="396"/>
        <v>229</v>
      </c>
      <c r="EA239" s="54">
        <f t="shared" si="397"/>
        <v>230</v>
      </c>
      <c r="EB239" s="54">
        <f t="shared" si="398"/>
        <v>2.3955289195099327</v>
      </c>
      <c r="EC239" s="54">
        <f t="shared" si="399"/>
        <v>2.2635904575720501E-2</v>
      </c>
      <c r="ED239" s="54" t="e">
        <f t="shared" si="400"/>
        <v>#N/A</v>
      </c>
      <c r="EE239" s="54" t="e">
        <f t="shared" si="401"/>
        <v>#N/A</v>
      </c>
      <c r="EF239" s="54" t="e">
        <f t="shared" si="402"/>
        <v>#N/A</v>
      </c>
      <c r="EG239" s="54" t="b">
        <f t="shared" si="403"/>
        <v>0</v>
      </c>
      <c r="EH239" s="54" t="b">
        <f t="shared" si="404"/>
        <v>1</v>
      </c>
      <c r="EI239" s="54" t="b">
        <f t="shared" si="405"/>
        <v>1</v>
      </c>
      <c r="EJ239" s="54" t="b">
        <f t="shared" si="406"/>
        <v>0</v>
      </c>
      <c r="EK239" s="54">
        <f t="shared" si="407"/>
        <v>2.2635904575720501E-2</v>
      </c>
      <c r="EL239" s="54">
        <f t="shared" si="408"/>
        <v>2.2635904575720501E-2</v>
      </c>
      <c r="EM239" s="54" t="e">
        <f t="shared" si="409"/>
        <v>#N/A</v>
      </c>
      <c r="EN239" s="72" t="str">
        <f t="shared" si="410"/>
        <v/>
      </c>
      <c r="EO23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3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3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39" s="54" t="e" cm="1">
        <f t="array" ref="ER239">IF($CK$3,INDEX(Eu_tabel_a[[#This Row],[Styrke venstre]:[Styrke tosidet]],ER$7),NA())</f>
        <v>#N/A</v>
      </c>
      <c r="ES239" s="54" t="e">
        <f>IF(ER$3,IF(CHOOSE(ER$7,Eu_tabel_a[[#This Row],[x base]]&gt;0,Eu_tabel_a[[#This Row],[x base]]&lt;0,Eu_tabel_a[[#This Row],[x base]]=0),1,NA()),NA())</f>
        <v>#N/A</v>
      </c>
      <c r="ET239" s="54" t="e">
        <f>IF(CHOOSE(ER$7,Eu_tabel_a[[#This Row],[x base]]&gt;0,Eu_tabel_a[[#This Row],[x base]]&lt;0,Eu_tabel_a[[#This Row],[x base]]=0),Eu_tabel_a[[#This Row],[Styrke, aktiv]],NA())</f>
        <v>#N/A</v>
      </c>
      <c r="EU239" s="54" t="e">
        <f>IFERROR(IF($ER$3,Eu_tabel_a[[#This Row],[Styrke, aktiv]],NA()),NA())</f>
        <v>#N/A</v>
      </c>
      <c r="EV239" s="54" t="e">
        <f>IF(ISNA(Eu_tabel_a[[#This Row],[Sand negativ
Nulhypotese afvises
Korrekt]]),NA(),IF(ER$3,1,NA()))</f>
        <v>#N/A</v>
      </c>
      <c r="EW239" s="55" t="str" cm="1">
        <f t="array" ref="EW239">IFERROR(_xlfn.SWITCH(Eu_tabel_a[[#This Row],[Indeks]],_xlfn.IFNA(EU$2,-99),EU$5,_xlfn.IFNA(EU$3,-99),EU$6,_xlfn.IFNA(EU$4,-99),EU$7,""),"")</f>
        <v/>
      </c>
      <c r="EX239" s="54">
        <f>Eu_tabel_a[[#This Row],[x base]]*SQRT(Eu_a_h0_x*(1-Eu_a_h0_x)/Eu_a_n_x)+Eu_a_h0_x</f>
        <v>0</v>
      </c>
      <c r="FC239" s="161" t="e">
        <f t="shared" si="354"/>
        <v>#N/A</v>
      </c>
      <c r="FD239" s="169" t="e">
        <f t="shared" si="442"/>
        <v>#DIV/0!</v>
      </c>
      <c r="FE239" s="7" t="e">
        <f t="shared" si="348"/>
        <v>#DIV/0!</v>
      </c>
      <c r="FF239" t="e">
        <f t="shared" si="443"/>
        <v>#DIV/0!</v>
      </c>
      <c r="FG239" s="8" t="e">
        <f t="shared" si="444"/>
        <v>#DIV/0!</v>
      </c>
      <c r="FH239" s="8" t="e">
        <f t="shared" si="445"/>
        <v>#DIV/0!</v>
      </c>
      <c r="FI239" s="168" t="e">
        <f t="shared" si="446"/>
        <v>#DIV/0!</v>
      </c>
      <c r="FJ239" s="161" t="e">
        <f t="shared" ca="1" si="349"/>
        <v>#N/A</v>
      </c>
      <c r="FK239" s="169" t="e" vm="3">
        <f t="shared" ca="1" si="355"/>
        <v>#VALUE!</v>
      </c>
      <c r="FL239" s="7" t="e" vm="3">
        <f t="shared" ca="1" si="350"/>
        <v>#VALUE!</v>
      </c>
      <c r="FM239" t="e" vm="3">
        <f t="shared" ca="1" si="344"/>
        <v>#VALUE!</v>
      </c>
      <c r="FN239" s="8" t="e" vm="3">
        <f t="shared" ca="1" si="345"/>
        <v>#VALUE!</v>
      </c>
      <c r="FO239" s="8" t="e" vm="3">
        <f t="shared" ca="1" si="346"/>
        <v>#VALUE!</v>
      </c>
      <c r="FP239" s="168" t="e" vm="3">
        <f t="shared" ca="1" si="347"/>
        <v>#VALUE!</v>
      </c>
      <c r="FQ239" s="161" t="e">
        <f t="shared" si="351"/>
        <v>#N/A</v>
      </c>
      <c r="FR239" s="169" t="e">
        <f t="shared" si="356"/>
        <v>#N/A</v>
      </c>
      <c r="FS239" s="7" t="e">
        <f t="shared" si="352"/>
        <v>#N/A</v>
      </c>
      <c r="FT239" t="e">
        <f t="shared" si="357"/>
        <v>#N/A</v>
      </c>
      <c r="FU239" s="8" t="e">
        <f t="shared" si="358"/>
        <v>#N/A</v>
      </c>
      <c r="FV239" s="8" t="e">
        <f t="shared" si="359"/>
        <v>#N/A</v>
      </c>
      <c r="FW239" s="168" t="e">
        <f t="shared" si="360"/>
        <v>#N/A</v>
      </c>
      <c r="FX239" s="161" t="e">
        <f t="shared" si="361"/>
        <v>#N/A</v>
      </c>
      <c r="FY239" s="169" t="e">
        <f t="shared" si="362"/>
        <v>#N/A</v>
      </c>
      <c r="FZ239" s="7" t="e">
        <f t="shared" si="353"/>
        <v>#N/A</v>
      </c>
      <c r="GA239" t="e">
        <f t="shared" si="363"/>
        <v>#N/A</v>
      </c>
      <c r="GB239" s="8" t="e">
        <f t="shared" si="364"/>
        <v>#N/A</v>
      </c>
      <c r="GC239" s="8" t="e">
        <f t="shared" si="365"/>
        <v>#N/A</v>
      </c>
      <c r="GD239" s="168" t="e">
        <f t="shared" si="366"/>
        <v>#N/A</v>
      </c>
      <c r="GE239" s="168"/>
      <c r="GF239" s="168"/>
      <c r="GI239" s="54">
        <f t="shared" si="411"/>
        <v>229</v>
      </c>
      <c r="GJ239" s="54">
        <f t="shared" si="412"/>
        <v>230</v>
      </c>
      <c r="GK239" s="54">
        <f t="shared" si="413"/>
        <v>2.3955289195099327</v>
      </c>
      <c r="GL239" s="54">
        <f t="shared" si="414"/>
        <v>2.2635904575720501E-2</v>
      </c>
      <c r="GM239" s="54" t="e">
        <f t="shared" si="415"/>
        <v>#N/A</v>
      </c>
      <c r="GN239" s="54" t="e">
        <f t="shared" si="416"/>
        <v>#N/A</v>
      </c>
      <c r="GO239" s="54" t="e">
        <f t="shared" si="417"/>
        <v>#N/A</v>
      </c>
      <c r="GP239" s="54" t="b">
        <f t="shared" si="418"/>
        <v>0</v>
      </c>
      <c r="GQ239" s="54" t="b">
        <f t="shared" si="419"/>
        <v>1</v>
      </c>
      <c r="GR239" s="54" t="b">
        <f t="shared" si="420"/>
        <v>1</v>
      </c>
      <c r="GS239" s="54" t="b">
        <f t="shared" si="421"/>
        <v>0</v>
      </c>
      <c r="GT239" s="54">
        <f t="shared" si="422"/>
        <v>2.2635904575720501E-2</v>
      </c>
      <c r="GU239" s="54">
        <f t="shared" si="423"/>
        <v>2.2635904575720501E-2</v>
      </c>
      <c r="GV239" s="54" t="e">
        <f t="shared" si="424"/>
        <v>#N/A</v>
      </c>
      <c r="GW239" s="72" t="str">
        <f t="shared" si="425"/>
        <v/>
      </c>
      <c r="HC239" s="54">
        <f t="shared" si="426"/>
        <v>229</v>
      </c>
      <c r="HD239" s="54">
        <f t="shared" si="427"/>
        <v>230</v>
      </c>
      <c r="HE239" s="54">
        <f t="shared" si="428"/>
        <v>3.7095268439056852</v>
      </c>
      <c r="HF239" s="54" t="e">
        <f t="shared" si="429"/>
        <v>#N/A</v>
      </c>
      <c r="HG239" s="54">
        <f t="shared" si="430"/>
        <v>4.976047630397132E-3</v>
      </c>
      <c r="HH239" s="54" t="e">
        <f t="shared" si="431"/>
        <v>#N/A</v>
      </c>
      <c r="HI239" s="54" t="e">
        <f t="shared" si="432"/>
        <v>#N/A</v>
      </c>
      <c r="HJ239" s="54" t="b">
        <f t="shared" si="433"/>
        <v>0</v>
      </c>
      <c r="HK239" s="54" t="b">
        <f t="shared" si="434"/>
        <v>1</v>
      </c>
      <c r="HL239" s="54" t="b">
        <f t="shared" si="435"/>
        <v>1</v>
      </c>
      <c r="HM239" s="54" t="b">
        <f t="shared" si="436"/>
        <v>0</v>
      </c>
      <c r="HN239" s="54">
        <f t="shared" si="437"/>
        <v>4.976047630397132E-3</v>
      </c>
      <c r="HO239" s="54" t="e">
        <f t="shared" si="438"/>
        <v>#N/A</v>
      </c>
      <c r="HP239" s="54">
        <f t="shared" si="439"/>
        <v>4.976047630397132E-3</v>
      </c>
      <c r="HQ239" s="72" t="str">
        <f t="shared" si="440"/>
        <v/>
      </c>
    </row>
    <row r="240" spans="71:225" x14ac:dyDescent="0.2">
      <c r="BS240" s="54">
        <f t="shared" si="367"/>
        <v>230</v>
      </c>
      <c r="BT240" s="54">
        <f>Eu_tabel_g[[#This Row],[Indeks]]+1</f>
        <v>231</v>
      </c>
      <c r="BU240" s="54">
        <f t="shared" si="368"/>
        <v>2.4194842087050317</v>
      </c>
      <c r="BV240" s="54">
        <f t="shared" si="369"/>
        <v>2.136736648843357E-2</v>
      </c>
      <c r="BW240" s="54" t="e">
        <f t="shared" si="370"/>
        <v>#N/A</v>
      </c>
      <c r="BX240" s="54" t="e">
        <f t="shared" si="371"/>
        <v>#N/A</v>
      </c>
      <c r="BY240" s="54" t="e">
        <f t="shared" si="372"/>
        <v>#N/A</v>
      </c>
      <c r="BZ240" s="54" t="b">
        <f t="shared" si="373"/>
        <v>0</v>
      </c>
      <c r="CA240" s="54" t="b">
        <f t="shared" si="374"/>
        <v>1</v>
      </c>
      <c r="CB240" s="54" t="b">
        <f t="shared" si="375"/>
        <v>1</v>
      </c>
      <c r="CC240" s="54" t="b">
        <f t="shared" si="376"/>
        <v>0</v>
      </c>
      <c r="CD240" s="54">
        <f t="shared" si="441"/>
        <v>2.136736648843357E-2</v>
      </c>
      <c r="CE240" s="54">
        <f t="shared" si="377"/>
        <v>2.136736648843357E-2</v>
      </c>
      <c r="CF240" s="54" t="e">
        <f t="shared" si="378"/>
        <v>#N/A</v>
      </c>
      <c r="CG240" s="72" t="str">
        <f t="shared" si="379"/>
        <v/>
      </c>
      <c r="CH240" s="54">
        <f>_xlfn.NORM.DIST(_xlfn.NORM.INV(1-Eu_g_konfidensniveau,0,1)-Eu_tabel_g[[#This Row],[x base]],0,1,TRUE)</f>
        <v>2.4084507387846644E-5</v>
      </c>
      <c r="CI240" s="54">
        <f>1-_xlfn.NORM.DIST(_xlfn.NORM.INV(Eu_g_konfidensniveau,0,1)-Eu_tabel_g[[#This Row],[x base]],0,1,TRUE)</f>
        <v>0.780721009457505</v>
      </c>
      <c r="CJ240" s="54">
        <f>_xlfn.NORM.DIST(_xlfn.NORM.INV((1-Eu_g_konfidensniveau)/2,0,1)-Eu_tabel_g[[#This Row],[x base]],0,1,TRUE)+1-_xlfn.NORM.DIST(_xlfn.NORM.INV(1-(1-Eu_g_konfidensniveau)/2,0,1)-Eu_tabel_g[[#This Row],[x base]],0,1,TRUE)</f>
        <v>0.677075632875353</v>
      </c>
      <c r="CK240" s="54" t="e" cm="1">
        <f t="array" ref="CK240">IF($CK$3,INDEX(Eu_tabel_g[[#This Row],[Styrke venstre]:[Styrke tosidet]],CK$7),NA())</f>
        <v>#N/A</v>
      </c>
      <c r="CL240" s="99" t="e">
        <f>Eu_tabel_g[[#This Row],[Falsk positiv
Nulhypotese accepteres
Fejltype 1]]</f>
        <v>#N/A</v>
      </c>
      <c r="CM240" s="99" t="e">
        <f>IF(CHOOSE(CK$7,Eu_tabel_g[[#This Row],[x base]]&gt;0,Eu_tabel_g[[#This Row],[x base]]&lt;0,Eu_tabel_g[[#This Row],[x base]]=0),Eu_tabel_g[[#This Row],[Styrke, aktiv]],NA())</f>
        <v>#N/A</v>
      </c>
      <c r="CN240" s="99" t="e">
        <f>IFERROR(IF($CK$3,Eu_tabel_g[[#This Row],[Styrke, aktiv]],NA()),NA())</f>
        <v>#N/A</v>
      </c>
      <c r="CO240" s="99" t="e">
        <f>IF(ISNA(Eu_tabel_g[[#This Row],[Sand negativ
Nulhypotese afvises
Korrekt]]),NA(),IF($CK$3,1,NA()))</f>
        <v>#N/A</v>
      </c>
      <c r="CP240" s="56" t="str" cm="1">
        <f t="array" ref="CP240">_xlfn.SWITCH(BS240,_xlfn.IFNA(CN$2,-99),CN$5,_xlfn.IFNA(CN$3,-99),CN$6,_xlfn.IFNA(CN$4,-99),CN$7,"")</f>
        <v/>
      </c>
      <c r="CT240" s="7">
        <f t="shared" si="380"/>
        <v>0.8</v>
      </c>
      <c r="CU240">
        <f>IF(ROW(Styrkeberegning_G[[#This Row],[X base venstre]])=ROW(Styrkeberegning_G[[#Headers],[X base venstre]])+1,CU$7/(CT$7/$B$67),CU239/(CT239/$B$67))</f>
        <v>-2.8015817870135784</v>
      </c>
      <c r="CV240">
        <f>Styrkeberegning_G[[#This Row],[X base venstre]]*-1</f>
        <v>2.8015817870135784</v>
      </c>
      <c r="DG240" s="54">
        <f t="shared" si="381"/>
        <v>230</v>
      </c>
      <c r="DH240" s="54">
        <f t="shared" si="382"/>
        <v>231</v>
      </c>
      <c r="DI240" s="54">
        <f t="shared" si="383"/>
        <v>28.070149640563923</v>
      </c>
      <c r="DJ240" s="54" t="e">
        <f t="shared" si="384"/>
        <v>#N/A</v>
      </c>
      <c r="DK240" s="54" t="e">
        <f t="shared" si="385"/>
        <v>#N/A</v>
      </c>
      <c r="DL240" s="54">
        <f t="shared" si="386"/>
        <v>1.1148693732606777E-3</v>
      </c>
      <c r="DM240" s="54" t="e">
        <f t="shared" si="387"/>
        <v>#N/A</v>
      </c>
      <c r="DN240" s="54" t="b">
        <f t="shared" si="388"/>
        <v>0</v>
      </c>
      <c r="DO240" s="54" t="b">
        <f t="shared" si="389"/>
        <v>1</v>
      </c>
      <c r="DP240" s="54" t="b">
        <f t="shared" si="390"/>
        <v>1</v>
      </c>
      <c r="DQ240" s="54" t="b">
        <f t="shared" si="391"/>
        <v>0</v>
      </c>
      <c r="DR240" s="54">
        <f t="shared" si="392"/>
        <v>1.1148693732606777E-3</v>
      </c>
      <c r="DS240" s="54">
        <f t="shared" si="393"/>
        <v>1.1148693732606777E-3</v>
      </c>
      <c r="DT240" s="54" t="e">
        <f t="shared" si="394"/>
        <v>#N/A</v>
      </c>
      <c r="DU240" s="72" t="str">
        <f t="shared" si="395"/>
        <v/>
      </c>
      <c r="DZ240" s="54">
        <f t="shared" si="396"/>
        <v>230</v>
      </c>
      <c r="EA240" s="54">
        <f t="shared" si="397"/>
        <v>231</v>
      </c>
      <c r="EB240" s="54">
        <f t="shared" si="398"/>
        <v>2.4194842087050317</v>
      </c>
      <c r="EC240" s="54">
        <f t="shared" si="399"/>
        <v>2.136736648843357E-2</v>
      </c>
      <c r="ED240" s="54" t="e">
        <f t="shared" si="400"/>
        <v>#N/A</v>
      </c>
      <c r="EE240" s="54" t="e">
        <f t="shared" si="401"/>
        <v>#N/A</v>
      </c>
      <c r="EF240" s="54" t="e">
        <f t="shared" si="402"/>
        <v>#N/A</v>
      </c>
      <c r="EG240" s="54" t="b">
        <f t="shared" si="403"/>
        <v>0</v>
      </c>
      <c r="EH240" s="54" t="b">
        <f t="shared" si="404"/>
        <v>1</v>
      </c>
      <c r="EI240" s="54" t="b">
        <f t="shared" si="405"/>
        <v>1</v>
      </c>
      <c r="EJ240" s="54" t="b">
        <f t="shared" si="406"/>
        <v>0</v>
      </c>
      <c r="EK240" s="54">
        <f t="shared" si="407"/>
        <v>2.136736648843357E-2</v>
      </c>
      <c r="EL240" s="54">
        <f t="shared" si="408"/>
        <v>2.136736648843357E-2</v>
      </c>
      <c r="EM240" s="54" t="e">
        <f t="shared" si="409"/>
        <v>#N/A</v>
      </c>
      <c r="EN240" s="72" t="str">
        <f t="shared" si="410"/>
        <v/>
      </c>
      <c r="EO24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4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4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40" s="54" t="e" cm="1">
        <f t="array" ref="ER240">IF($CK$3,INDEX(Eu_tabel_a[[#This Row],[Styrke venstre]:[Styrke tosidet]],ER$7),NA())</f>
        <v>#N/A</v>
      </c>
      <c r="ES240" s="54" t="e">
        <f>IF(ER$3,IF(CHOOSE(ER$7,Eu_tabel_a[[#This Row],[x base]]&gt;0,Eu_tabel_a[[#This Row],[x base]]&lt;0,Eu_tabel_a[[#This Row],[x base]]=0),1,NA()),NA())</f>
        <v>#N/A</v>
      </c>
      <c r="ET240" s="54" t="e">
        <f>IF(CHOOSE(ER$7,Eu_tabel_a[[#This Row],[x base]]&gt;0,Eu_tabel_a[[#This Row],[x base]]&lt;0,Eu_tabel_a[[#This Row],[x base]]=0),Eu_tabel_a[[#This Row],[Styrke, aktiv]],NA())</f>
        <v>#N/A</v>
      </c>
      <c r="EU240" s="54" t="e">
        <f>IFERROR(IF($ER$3,Eu_tabel_a[[#This Row],[Styrke, aktiv]],NA()),NA())</f>
        <v>#N/A</v>
      </c>
      <c r="EV240" s="54" t="e">
        <f>IF(ISNA(Eu_tabel_a[[#This Row],[Sand negativ
Nulhypotese afvises
Korrekt]]),NA(),IF(ER$3,1,NA()))</f>
        <v>#N/A</v>
      </c>
      <c r="EW240" s="55" t="str" cm="1">
        <f t="array" ref="EW240">IFERROR(_xlfn.SWITCH(Eu_tabel_a[[#This Row],[Indeks]],_xlfn.IFNA(EU$2,-99),EU$5,_xlfn.IFNA(EU$3,-99),EU$6,_xlfn.IFNA(EU$4,-99),EU$7,""),"")</f>
        <v/>
      </c>
      <c r="EX240" s="54">
        <f>Eu_tabel_a[[#This Row],[x base]]*SQRT(Eu_a_h0_x*(1-Eu_a_h0_x)/Eu_a_n_x)+Eu_a_h0_x</f>
        <v>0</v>
      </c>
      <c r="FC240" s="161" t="e">
        <f t="shared" si="354"/>
        <v>#N/A</v>
      </c>
      <c r="FD240" s="169" t="e">
        <f t="shared" si="442"/>
        <v>#DIV/0!</v>
      </c>
      <c r="FE240" s="7" t="e">
        <f t="shared" si="348"/>
        <v>#DIV/0!</v>
      </c>
      <c r="FF240" t="e">
        <f t="shared" si="443"/>
        <v>#DIV/0!</v>
      </c>
      <c r="FG240" s="8" t="e">
        <f t="shared" si="444"/>
        <v>#DIV/0!</v>
      </c>
      <c r="FH240" s="8" t="e">
        <f t="shared" si="445"/>
        <v>#DIV/0!</v>
      </c>
      <c r="FI240" s="168" t="e">
        <f t="shared" si="446"/>
        <v>#DIV/0!</v>
      </c>
      <c r="FJ240" s="161" t="e">
        <f t="shared" ca="1" si="349"/>
        <v>#N/A</v>
      </c>
      <c r="FK240" s="169" t="e" vm="3">
        <f t="shared" ca="1" si="355"/>
        <v>#VALUE!</v>
      </c>
      <c r="FL240" s="7" t="e" vm="3">
        <f t="shared" ca="1" si="350"/>
        <v>#VALUE!</v>
      </c>
      <c r="FM240" t="e" vm="3">
        <f t="shared" ca="1" si="344"/>
        <v>#VALUE!</v>
      </c>
      <c r="FN240" s="8" t="e" vm="3">
        <f t="shared" ca="1" si="345"/>
        <v>#VALUE!</v>
      </c>
      <c r="FO240" s="8" t="e" vm="3">
        <f t="shared" ca="1" si="346"/>
        <v>#VALUE!</v>
      </c>
      <c r="FP240" s="168" t="e" vm="3">
        <f t="shared" ca="1" si="347"/>
        <v>#VALUE!</v>
      </c>
      <c r="FQ240" s="161" t="e">
        <f t="shared" si="351"/>
        <v>#N/A</v>
      </c>
      <c r="FR240" s="169" t="e">
        <f t="shared" si="356"/>
        <v>#N/A</v>
      </c>
      <c r="FS240" s="7" t="e">
        <f t="shared" si="352"/>
        <v>#N/A</v>
      </c>
      <c r="FT240" t="e">
        <f t="shared" si="357"/>
        <v>#N/A</v>
      </c>
      <c r="FU240" s="8" t="e">
        <f t="shared" si="358"/>
        <v>#N/A</v>
      </c>
      <c r="FV240" s="8" t="e">
        <f t="shared" si="359"/>
        <v>#N/A</v>
      </c>
      <c r="FW240" s="168" t="e">
        <f t="shared" si="360"/>
        <v>#N/A</v>
      </c>
      <c r="FX240" s="161" t="e">
        <f t="shared" si="361"/>
        <v>#N/A</v>
      </c>
      <c r="FY240" s="169" t="e">
        <f t="shared" si="362"/>
        <v>#N/A</v>
      </c>
      <c r="FZ240" s="7" t="e">
        <f t="shared" si="353"/>
        <v>#N/A</v>
      </c>
      <c r="GA240" t="e">
        <f t="shared" si="363"/>
        <v>#N/A</v>
      </c>
      <c r="GB240" s="8" t="e">
        <f t="shared" si="364"/>
        <v>#N/A</v>
      </c>
      <c r="GC240" s="8" t="e">
        <f t="shared" si="365"/>
        <v>#N/A</v>
      </c>
      <c r="GD240" s="168" t="e">
        <f t="shared" si="366"/>
        <v>#N/A</v>
      </c>
      <c r="GE240" s="168"/>
      <c r="GF240" s="168"/>
      <c r="GI240" s="54">
        <f t="shared" si="411"/>
        <v>230</v>
      </c>
      <c r="GJ240" s="54">
        <f t="shared" si="412"/>
        <v>231</v>
      </c>
      <c r="GK240" s="54">
        <f t="shared" si="413"/>
        <v>2.4194842087050317</v>
      </c>
      <c r="GL240" s="54">
        <f t="shared" si="414"/>
        <v>2.136736648843357E-2</v>
      </c>
      <c r="GM240" s="54" t="e">
        <f t="shared" si="415"/>
        <v>#N/A</v>
      </c>
      <c r="GN240" s="54" t="e">
        <f t="shared" si="416"/>
        <v>#N/A</v>
      </c>
      <c r="GO240" s="54" t="e">
        <f t="shared" si="417"/>
        <v>#N/A</v>
      </c>
      <c r="GP240" s="54" t="b">
        <f t="shared" si="418"/>
        <v>0</v>
      </c>
      <c r="GQ240" s="54" t="b">
        <f t="shared" si="419"/>
        <v>1</v>
      </c>
      <c r="GR240" s="54" t="b">
        <f t="shared" si="420"/>
        <v>1</v>
      </c>
      <c r="GS240" s="54" t="b">
        <f t="shared" si="421"/>
        <v>0</v>
      </c>
      <c r="GT240" s="54">
        <f t="shared" si="422"/>
        <v>2.136736648843357E-2</v>
      </c>
      <c r="GU240" s="54">
        <f t="shared" si="423"/>
        <v>2.136736648843357E-2</v>
      </c>
      <c r="GV240" s="54" t="e">
        <f t="shared" si="424"/>
        <v>#N/A</v>
      </c>
      <c r="GW240" s="72" t="str">
        <f t="shared" si="425"/>
        <v/>
      </c>
      <c r="HC240" s="54">
        <f t="shared" si="426"/>
        <v>230</v>
      </c>
      <c r="HD240" s="54">
        <f t="shared" si="427"/>
        <v>231</v>
      </c>
      <c r="HE240" s="54">
        <f t="shared" si="428"/>
        <v>3.7466221123447419</v>
      </c>
      <c r="HF240" s="54" t="e">
        <f t="shared" si="429"/>
        <v>#N/A</v>
      </c>
      <c r="HG240" s="54">
        <f t="shared" si="430"/>
        <v>4.7194716422334559E-3</v>
      </c>
      <c r="HH240" s="54" t="e">
        <f t="shared" si="431"/>
        <v>#N/A</v>
      </c>
      <c r="HI240" s="54" t="e">
        <f t="shared" si="432"/>
        <v>#N/A</v>
      </c>
      <c r="HJ240" s="54" t="b">
        <f t="shared" si="433"/>
        <v>0</v>
      </c>
      <c r="HK240" s="54" t="b">
        <f t="shared" si="434"/>
        <v>1</v>
      </c>
      <c r="HL240" s="54" t="b">
        <f t="shared" si="435"/>
        <v>1</v>
      </c>
      <c r="HM240" s="54" t="b">
        <f t="shared" si="436"/>
        <v>0</v>
      </c>
      <c r="HN240" s="54">
        <f t="shared" si="437"/>
        <v>4.7194716422334559E-3</v>
      </c>
      <c r="HO240" s="54" t="e">
        <f t="shared" si="438"/>
        <v>#N/A</v>
      </c>
      <c r="HP240" s="54">
        <f t="shared" si="439"/>
        <v>4.7194716422334559E-3</v>
      </c>
      <c r="HQ240" s="72" t="str">
        <f t="shared" si="440"/>
        <v/>
      </c>
    </row>
    <row r="241" spans="71:225" x14ac:dyDescent="0.2">
      <c r="BS241" s="54">
        <f t="shared" si="367"/>
        <v>231</v>
      </c>
      <c r="BT241" s="54">
        <f>Eu_tabel_g[[#This Row],[Indeks]]+1</f>
        <v>232</v>
      </c>
      <c r="BU241" s="54">
        <f t="shared" si="368"/>
        <v>2.4434394979001315</v>
      </c>
      <c r="BV241" s="54">
        <f t="shared" si="369"/>
        <v>2.0158347202276675E-2</v>
      </c>
      <c r="BW241" s="54" t="e">
        <f t="shared" si="370"/>
        <v>#N/A</v>
      </c>
      <c r="BX241" s="54" t="e">
        <f t="shared" si="371"/>
        <v>#N/A</v>
      </c>
      <c r="BY241" s="54" t="e">
        <f t="shared" si="372"/>
        <v>#N/A</v>
      </c>
      <c r="BZ241" s="54" t="b">
        <f t="shared" si="373"/>
        <v>0</v>
      </c>
      <c r="CA241" s="54" t="b">
        <f t="shared" si="374"/>
        <v>1</v>
      </c>
      <c r="CB241" s="54" t="b">
        <f t="shared" si="375"/>
        <v>1</v>
      </c>
      <c r="CC241" s="54" t="b">
        <f t="shared" si="376"/>
        <v>0</v>
      </c>
      <c r="CD241" s="54">
        <f t="shared" si="441"/>
        <v>2.0158347202276675E-2</v>
      </c>
      <c r="CE241" s="54">
        <f t="shared" si="377"/>
        <v>2.0158347202276675E-2</v>
      </c>
      <c r="CF241" s="54" t="e">
        <f t="shared" si="378"/>
        <v>#N/A</v>
      </c>
      <c r="CG241" s="72" t="str">
        <f t="shared" si="379"/>
        <v/>
      </c>
      <c r="CH241" s="54">
        <f>_xlfn.NORM.DIST(_xlfn.NORM.INV(1-Eu_g_konfidensniveau,0,1)-Eu_tabel_g[[#This Row],[x base]],0,1,TRUE)</f>
        <v>2.1727941800622994E-5</v>
      </c>
      <c r="CI241" s="54">
        <f>1-_xlfn.NORM.DIST(_xlfn.NORM.INV(Eu_g_konfidensniveau,0,1)-Eu_tabel_g[[#This Row],[x base]],0,1,TRUE)</f>
        <v>0.78773470849961547</v>
      </c>
      <c r="CJ241" s="54">
        <f>_xlfn.NORM.DIST(_xlfn.NORM.INV((1-Eu_g_konfidensniveau)/2,0,1)-Eu_tabel_g[[#This Row],[x base]],0,1,TRUE)+1-_xlfn.NORM.DIST(_xlfn.NORM.INV(1-(1-Eu_g_konfidensniveau)/2,0,1)-Eu_tabel_g[[#This Row],[x base]],0,1,TRUE)</f>
        <v>0.68562625721916726</v>
      </c>
      <c r="CK241" s="54" t="e" cm="1">
        <f t="array" ref="CK241">IF($CK$3,INDEX(Eu_tabel_g[[#This Row],[Styrke venstre]:[Styrke tosidet]],CK$7),NA())</f>
        <v>#N/A</v>
      </c>
      <c r="CL241" s="99" t="e">
        <f>Eu_tabel_g[[#This Row],[Falsk positiv
Nulhypotese accepteres
Fejltype 1]]</f>
        <v>#N/A</v>
      </c>
      <c r="CM241" s="99" t="e">
        <f>IF(CHOOSE(CK$7,Eu_tabel_g[[#This Row],[x base]]&gt;0,Eu_tabel_g[[#This Row],[x base]]&lt;0,Eu_tabel_g[[#This Row],[x base]]=0),Eu_tabel_g[[#This Row],[Styrke, aktiv]],NA())</f>
        <v>#N/A</v>
      </c>
      <c r="CN241" s="99" t="e">
        <f>IFERROR(IF($CK$3,Eu_tabel_g[[#This Row],[Styrke, aktiv]],NA()),NA())</f>
        <v>#N/A</v>
      </c>
      <c r="CO241" s="99" t="e">
        <f>IF(ISNA(Eu_tabel_g[[#This Row],[Sand negativ
Nulhypotese afvises
Korrekt]]),NA(),IF($CK$3,1,NA()))</f>
        <v>#N/A</v>
      </c>
      <c r="CP241" s="56" t="str" cm="1">
        <f t="array" ref="CP241">_xlfn.SWITCH(BS241,_xlfn.IFNA(CN$2,-99),CN$5,_xlfn.IFNA(CN$3,-99),CN$6,_xlfn.IFNA(CN$4,-99),CN$7,"")</f>
        <v/>
      </c>
      <c r="CT241" s="7">
        <f t="shared" si="380"/>
        <v>0.8</v>
      </c>
      <c r="CU241">
        <f>IF(ROW(Styrkeberegning_G[[#This Row],[X base venstre]])=ROW(Styrkeberegning_G[[#Headers],[X base venstre]])+1,CU$7/(CT$7/$B$67),CU240/(CT240/$B$67))</f>
        <v>-2.8015817870135784</v>
      </c>
      <c r="CV241">
        <f>Styrkeberegning_G[[#This Row],[X base venstre]]*-1</f>
        <v>2.8015817870135784</v>
      </c>
      <c r="DG241" s="54">
        <f t="shared" si="381"/>
        <v>231</v>
      </c>
      <c r="DH241" s="54">
        <f t="shared" si="382"/>
        <v>232</v>
      </c>
      <c r="DI241" s="54">
        <f t="shared" si="383"/>
        <v>28.18422049698092</v>
      </c>
      <c r="DJ241" s="54" t="e">
        <f t="shared" si="384"/>
        <v>#N/A</v>
      </c>
      <c r="DK241" s="54" t="e">
        <f t="shared" si="385"/>
        <v>#N/A</v>
      </c>
      <c r="DL241" s="54">
        <f t="shared" si="386"/>
        <v>1.072456444701067E-3</v>
      </c>
      <c r="DM241" s="54" t="e">
        <f t="shared" si="387"/>
        <v>#N/A</v>
      </c>
      <c r="DN241" s="54" t="b">
        <f t="shared" si="388"/>
        <v>0</v>
      </c>
      <c r="DO241" s="54" t="b">
        <f t="shared" si="389"/>
        <v>1</v>
      </c>
      <c r="DP241" s="54" t="b">
        <f t="shared" si="390"/>
        <v>1</v>
      </c>
      <c r="DQ241" s="54" t="b">
        <f t="shared" si="391"/>
        <v>0</v>
      </c>
      <c r="DR241" s="54">
        <f t="shared" si="392"/>
        <v>1.072456444701067E-3</v>
      </c>
      <c r="DS241" s="54">
        <f t="shared" si="393"/>
        <v>1.072456444701067E-3</v>
      </c>
      <c r="DT241" s="54" t="e">
        <f t="shared" si="394"/>
        <v>#N/A</v>
      </c>
      <c r="DU241" s="72" t="str">
        <f t="shared" si="395"/>
        <v/>
      </c>
      <c r="DZ241" s="54">
        <f t="shared" si="396"/>
        <v>231</v>
      </c>
      <c r="EA241" s="54">
        <f t="shared" si="397"/>
        <v>232</v>
      </c>
      <c r="EB241" s="54">
        <f t="shared" si="398"/>
        <v>2.4434394979001315</v>
      </c>
      <c r="EC241" s="54">
        <f t="shared" si="399"/>
        <v>2.0158347202276675E-2</v>
      </c>
      <c r="ED241" s="54" t="e">
        <f t="shared" si="400"/>
        <v>#N/A</v>
      </c>
      <c r="EE241" s="54" t="e">
        <f t="shared" si="401"/>
        <v>#N/A</v>
      </c>
      <c r="EF241" s="54" t="e">
        <f t="shared" si="402"/>
        <v>#N/A</v>
      </c>
      <c r="EG241" s="54" t="b">
        <f t="shared" si="403"/>
        <v>0</v>
      </c>
      <c r="EH241" s="54" t="b">
        <f t="shared" si="404"/>
        <v>1</v>
      </c>
      <c r="EI241" s="54" t="b">
        <f t="shared" si="405"/>
        <v>1</v>
      </c>
      <c r="EJ241" s="54" t="b">
        <f t="shared" si="406"/>
        <v>0</v>
      </c>
      <c r="EK241" s="54">
        <f t="shared" si="407"/>
        <v>2.0158347202276675E-2</v>
      </c>
      <c r="EL241" s="54">
        <f t="shared" si="408"/>
        <v>2.0158347202276675E-2</v>
      </c>
      <c r="EM241" s="54" t="e">
        <f t="shared" si="409"/>
        <v>#N/A</v>
      </c>
      <c r="EN241" s="72" t="str">
        <f t="shared" si="410"/>
        <v/>
      </c>
      <c r="EO24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4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4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41" s="54" t="e" cm="1">
        <f t="array" ref="ER241">IF($CK$3,INDEX(Eu_tabel_a[[#This Row],[Styrke venstre]:[Styrke tosidet]],ER$7),NA())</f>
        <v>#N/A</v>
      </c>
      <c r="ES241" s="54" t="e">
        <f>IF(ER$3,IF(CHOOSE(ER$7,Eu_tabel_a[[#This Row],[x base]]&gt;0,Eu_tabel_a[[#This Row],[x base]]&lt;0,Eu_tabel_a[[#This Row],[x base]]=0),1,NA()),NA())</f>
        <v>#N/A</v>
      </c>
      <c r="ET241" s="54" t="e">
        <f>IF(CHOOSE(ER$7,Eu_tabel_a[[#This Row],[x base]]&gt;0,Eu_tabel_a[[#This Row],[x base]]&lt;0,Eu_tabel_a[[#This Row],[x base]]=0),Eu_tabel_a[[#This Row],[Styrke, aktiv]],NA())</f>
        <v>#N/A</v>
      </c>
      <c r="EU241" s="54" t="e">
        <f>IFERROR(IF($ER$3,Eu_tabel_a[[#This Row],[Styrke, aktiv]],NA()),NA())</f>
        <v>#N/A</v>
      </c>
      <c r="EV241" s="54" t="e">
        <f>IF(ISNA(Eu_tabel_a[[#This Row],[Sand negativ
Nulhypotese afvises
Korrekt]]),NA(),IF(ER$3,1,NA()))</f>
        <v>#N/A</v>
      </c>
      <c r="EW241" s="55" t="str" cm="1">
        <f t="array" ref="EW241">IFERROR(_xlfn.SWITCH(Eu_tabel_a[[#This Row],[Indeks]],_xlfn.IFNA(EU$2,-99),EU$5,_xlfn.IFNA(EU$3,-99),EU$6,_xlfn.IFNA(EU$4,-99),EU$7,""),"")</f>
        <v/>
      </c>
      <c r="EX241" s="54">
        <f>Eu_tabel_a[[#This Row],[x base]]*SQRT(Eu_a_h0_x*(1-Eu_a_h0_x)/Eu_a_n_x)+Eu_a_h0_x</f>
        <v>0</v>
      </c>
      <c r="FC241" s="161" t="e">
        <f t="shared" si="354"/>
        <v>#N/A</v>
      </c>
      <c r="FD241" s="169" t="e">
        <f t="shared" si="442"/>
        <v>#DIV/0!</v>
      </c>
      <c r="FE241" s="7" t="e">
        <f t="shared" si="348"/>
        <v>#DIV/0!</v>
      </c>
      <c r="FF241" t="e">
        <f t="shared" si="443"/>
        <v>#DIV/0!</v>
      </c>
      <c r="FG241" s="8" t="e">
        <f t="shared" si="444"/>
        <v>#DIV/0!</v>
      </c>
      <c r="FH241" s="8" t="e">
        <f t="shared" si="445"/>
        <v>#DIV/0!</v>
      </c>
      <c r="FI241" s="168" t="e">
        <f t="shared" si="446"/>
        <v>#DIV/0!</v>
      </c>
      <c r="FJ241" s="161" t="e">
        <f t="shared" ca="1" si="349"/>
        <v>#N/A</v>
      </c>
      <c r="FK241" s="169" t="e" vm="3">
        <f t="shared" ca="1" si="355"/>
        <v>#VALUE!</v>
      </c>
      <c r="FL241" s="7" t="e" vm="3">
        <f t="shared" ca="1" si="350"/>
        <v>#VALUE!</v>
      </c>
      <c r="FM241" t="e" vm="3">
        <f t="shared" ca="1" si="344"/>
        <v>#VALUE!</v>
      </c>
      <c r="FN241" s="8" t="e" vm="3">
        <f t="shared" ca="1" si="345"/>
        <v>#VALUE!</v>
      </c>
      <c r="FO241" s="8" t="e" vm="3">
        <f t="shared" ca="1" si="346"/>
        <v>#VALUE!</v>
      </c>
      <c r="FP241" s="168" t="e" vm="3">
        <f t="shared" ca="1" si="347"/>
        <v>#VALUE!</v>
      </c>
      <c r="FQ241" s="161" t="e">
        <f t="shared" si="351"/>
        <v>#N/A</v>
      </c>
      <c r="FR241" s="169" t="e">
        <f t="shared" si="356"/>
        <v>#N/A</v>
      </c>
      <c r="FS241" s="7" t="e">
        <f t="shared" si="352"/>
        <v>#N/A</v>
      </c>
      <c r="FT241" t="e">
        <f t="shared" si="357"/>
        <v>#N/A</v>
      </c>
      <c r="FU241" s="8" t="e">
        <f t="shared" si="358"/>
        <v>#N/A</v>
      </c>
      <c r="FV241" s="8" t="e">
        <f t="shared" si="359"/>
        <v>#N/A</v>
      </c>
      <c r="FW241" s="168" t="e">
        <f t="shared" si="360"/>
        <v>#N/A</v>
      </c>
      <c r="FX241" s="161" t="e">
        <f t="shared" si="361"/>
        <v>#N/A</v>
      </c>
      <c r="FY241" s="169" t="e">
        <f t="shared" si="362"/>
        <v>#N/A</v>
      </c>
      <c r="FZ241" s="7" t="e">
        <f t="shared" si="353"/>
        <v>#N/A</v>
      </c>
      <c r="GA241" t="e">
        <f t="shared" si="363"/>
        <v>#N/A</v>
      </c>
      <c r="GB241" s="8" t="e">
        <f t="shared" si="364"/>
        <v>#N/A</v>
      </c>
      <c r="GC241" s="8" t="e">
        <f t="shared" si="365"/>
        <v>#N/A</v>
      </c>
      <c r="GD241" s="168" t="e">
        <f t="shared" si="366"/>
        <v>#N/A</v>
      </c>
      <c r="GE241" s="168"/>
      <c r="GF241" s="168"/>
      <c r="GI241" s="54">
        <f t="shared" si="411"/>
        <v>231</v>
      </c>
      <c r="GJ241" s="54">
        <f t="shared" si="412"/>
        <v>232</v>
      </c>
      <c r="GK241" s="54">
        <f t="shared" si="413"/>
        <v>2.4434394979001315</v>
      </c>
      <c r="GL241" s="54">
        <f t="shared" si="414"/>
        <v>2.0158347202276675E-2</v>
      </c>
      <c r="GM241" s="54" t="e">
        <f t="shared" si="415"/>
        <v>#N/A</v>
      </c>
      <c r="GN241" s="54" t="e">
        <f t="shared" si="416"/>
        <v>#N/A</v>
      </c>
      <c r="GO241" s="54" t="e">
        <f t="shared" si="417"/>
        <v>#N/A</v>
      </c>
      <c r="GP241" s="54" t="b">
        <f t="shared" si="418"/>
        <v>0</v>
      </c>
      <c r="GQ241" s="54" t="b">
        <f t="shared" si="419"/>
        <v>1</v>
      </c>
      <c r="GR241" s="54" t="b">
        <f t="shared" si="420"/>
        <v>1</v>
      </c>
      <c r="GS241" s="54" t="b">
        <f t="shared" si="421"/>
        <v>0</v>
      </c>
      <c r="GT241" s="54">
        <f t="shared" si="422"/>
        <v>2.0158347202276675E-2</v>
      </c>
      <c r="GU241" s="54">
        <f t="shared" si="423"/>
        <v>2.0158347202276675E-2</v>
      </c>
      <c r="GV241" s="54" t="e">
        <f t="shared" si="424"/>
        <v>#N/A</v>
      </c>
      <c r="GW241" s="72" t="str">
        <f t="shared" si="425"/>
        <v/>
      </c>
      <c r="HC241" s="54">
        <f t="shared" si="426"/>
        <v>231</v>
      </c>
      <c r="HD241" s="54">
        <f t="shared" si="427"/>
        <v>232</v>
      </c>
      <c r="HE241" s="54">
        <f t="shared" si="428"/>
        <v>3.7837173807837985</v>
      </c>
      <c r="HF241" s="54" t="e">
        <f t="shared" si="429"/>
        <v>#N/A</v>
      </c>
      <c r="HG241" s="54">
        <f t="shared" si="430"/>
        <v>4.4769088118036685E-3</v>
      </c>
      <c r="HH241" s="54" t="e">
        <f t="shared" si="431"/>
        <v>#N/A</v>
      </c>
      <c r="HI241" s="54" t="e">
        <f t="shared" si="432"/>
        <v>#N/A</v>
      </c>
      <c r="HJ241" s="54" t="b">
        <f t="shared" si="433"/>
        <v>0</v>
      </c>
      <c r="HK241" s="54" t="b">
        <f t="shared" si="434"/>
        <v>1</v>
      </c>
      <c r="HL241" s="54" t="b">
        <f t="shared" si="435"/>
        <v>1</v>
      </c>
      <c r="HM241" s="54" t="b">
        <f t="shared" si="436"/>
        <v>0</v>
      </c>
      <c r="HN241" s="54">
        <f t="shared" si="437"/>
        <v>4.4769088118036685E-3</v>
      </c>
      <c r="HO241" s="54" t="e">
        <f t="shared" si="438"/>
        <v>#N/A</v>
      </c>
      <c r="HP241" s="54">
        <f t="shared" si="439"/>
        <v>4.4769088118036685E-3</v>
      </c>
      <c r="HQ241" s="72" t="str">
        <f t="shared" si="440"/>
        <v/>
      </c>
    </row>
    <row r="242" spans="71:225" x14ac:dyDescent="0.2">
      <c r="BS242" s="54">
        <f t="shared" si="367"/>
        <v>232</v>
      </c>
      <c r="BT242" s="54">
        <f>Eu_tabel_g[[#This Row],[Indeks]]+1</f>
        <v>233</v>
      </c>
      <c r="BU242" s="54">
        <f t="shared" si="368"/>
        <v>2.4673947870952304</v>
      </c>
      <c r="BV242" s="54">
        <f t="shared" si="369"/>
        <v>1.9006826955669437E-2</v>
      </c>
      <c r="BW242" s="54" t="e">
        <f t="shared" si="370"/>
        <v>#N/A</v>
      </c>
      <c r="BX242" s="54" t="e">
        <f t="shared" si="371"/>
        <v>#N/A</v>
      </c>
      <c r="BY242" s="54" t="e">
        <f t="shared" si="372"/>
        <v>#N/A</v>
      </c>
      <c r="BZ242" s="54" t="b">
        <f t="shared" si="373"/>
        <v>0</v>
      </c>
      <c r="CA242" s="54" t="b">
        <f t="shared" si="374"/>
        <v>1</v>
      </c>
      <c r="CB242" s="54" t="b">
        <f t="shared" si="375"/>
        <v>1</v>
      </c>
      <c r="CC242" s="54" t="b">
        <f t="shared" si="376"/>
        <v>0</v>
      </c>
      <c r="CD242" s="54">
        <f t="shared" si="441"/>
        <v>1.9006826955669437E-2</v>
      </c>
      <c r="CE242" s="54">
        <f t="shared" si="377"/>
        <v>1.9006826955669437E-2</v>
      </c>
      <c r="CF242" s="54" t="e">
        <f t="shared" si="378"/>
        <v>#N/A</v>
      </c>
      <c r="CG242" s="72" t="str">
        <f t="shared" si="379"/>
        <v/>
      </c>
      <c r="CH242" s="54">
        <f>_xlfn.NORM.DIST(_xlfn.NORM.INV(1-Eu_g_konfidensniveau,0,1)-Eu_tabel_g[[#This Row],[x base]],0,1,TRUE)</f>
        <v>1.9591217965209483E-5</v>
      </c>
      <c r="CI242" s="54">
        <f>1-_xlfn.NORM.DIST(_xlfn.NORM.INV(Eu_g_konfidensniveau,0,1)-Eu_tabel_g[[#This Row],[x base]],0,1,TRUE)</f>
        <v>0.79461551453892709</v>
      </c>
      <c r="CJ242" s="54">
        <f>_xlfn.NORM.DIST(_xlfn.NORM.INV((1-Eu_g_konfidensniveau)/2,0,1)-Eu_tabel_g[[#This Row],[x base]],0,1,TRUE)+1-_xlfn.NORM.DIST(_xlfn.NORM.INV(1-(1-Eu_g_konfidensniveau)/2,0,1)-Eu_tabel_g[[#This Row],[x base]],0,1,TRUE)</f>
        <v>0.69407848092556357</v>
      </c>
      <c r="CK242" s="54" t="e" cm="1">
        <f t="array" ref="CK242">IF($CK$3,INDEX(Eu_tabel_g[[#This Row],[Styrke venstre]:[Styrke tosidet]],CK$7),NA())</f>
        <v>#N/A</v>
      </c>
      <c r="CL242" s="99" t="e">
        <f>Eu_tabel_g[[#This Row],[Falsk positiv
Nulhypotese accepteres
Fejltype 1]]</f>
        <v>#N/A</v>
      </c>
      <c r="CM242" s="99" t="e">
        <f>IF(CHOOSE(CK$7,Eu_tabel_g[[#This Row],[x base]]&gt;0,Eu_tabel_g[[#This Row],[x base]]&lt;0,Eu_tabel_g[[#This Row],[x base]]=0),Eu_tabel_g[[#This Row],[Styrke, aktiv]],NA())</f>
        <v>#N/A</v>
      </c>
      <c r="CN242" s="99" t="e">
        <f>IFERROR(IF($CK$3,Eu_tabel_g[[#This Row],[Styrke, aktiv]],NA()),NA())</f>
        <v>#N/A</v>
      </c>
      <c r="CO242" s="99" t="e">
        <f>IF(ISNA(Eu_tabel_g[[#This Row],[Sand negativ
Nulhypotese afvises
Korrekt]]),NA(),IF($CK$3,1,NA()))</f>
        <v>#N/A</v>
      </c>
      <c r="CP242" s="56" t="str" cm="1">
        <f t="array" ref="CP242">_xlfn.SWITCH(BS242,_xlfn.IFNA(CN$2,-99),CN$5,_xlfn.IFNA(CN$3,-99),CN$6,_xlfn.IFNA(CN$4,-99),CN$7,"")</f>
        <v/>
      </c>
      <c r="CT242" s="7">
        <f t="shared" si="380"/>
        <v>0.8</v>
      </c>
      <c r="CU242">
        <f>IF(ROW(Styrkeberegning_G[[#This Row],[X base venstre]])=ROW(Styrkeberegning_G[[#Headers],[X base venstre]])+1,CU$7/(CT$7/$B$67),CU241/(CT241/$B$67))</f>
        <v>-2.8015817870135784</v>
      </c>
      <c r="CV242">
        <f>Styrkeberegning_G[[#This Row],[X base venstre]]*-1</f>
        <v>2.8015817870135784</v>
      </c>
      <c r="DG242" s="54">
        <f t="shared" si="381"/>
        <v>232</v>
      </c>
      <c r="DH242" s="54">
        <f t="shared" si="382"/>
        <v>233</v>
      </c>
      <c r="DI242" s="54">
        <f t="shared" si="383"/>
        <v>28.298291353397921</v>
      </c>
      <c r="DJ242" s="54" t="e">
        <f t="shared" si="384"/>
        <v>#N/A</v>
      </c>
      <c r="DK242" s="54" t="e">
        <f t="shared" si="385"/>
        <v>#N/A</v>
      </c>
      <c r="DL242" s="54">
        <f t="shared" si="386"/>
        <v>1.0315809840283814E-3</v>
      </c>
      <c r="DM242" s="54" t="e">
        <f t="shared" si="387"/>
        <v>#N/A</v>
      </c>
      <c r="DN242" s="54" t="b">
        <f t="shared" si="388"/>
        <v>0</v>
      </c>
      <c r="DO242" s="54" t="b">
        <f t="shared" si="389"/>
        <v>1</v>
      </c>
      <c r="DP242" s="54" t="b">
        <f t="shared" si="390"/>
        <v>1</v>
      </c>
      <c r="DQ242" s="54" t="b">
        <f t="shared" si="391"/>
        <v>0</v>
      </c>
      <c r="DR242" s="54">
        <f t="shared" si="392"/>
        <v>1.0315809840283814E-3</v>
      </c>
      <c r="DS242" s="54">
        <f t="shared" si="393"/>
        <v>1.0315809840283814E-3</v>
      </c>
      <c r="DT242" s="54" t="e">
        <f t="shared" si="394"/>
        <v>#N/A</v>
      </c>
      <c r="DU242" s="72" t="str">
        <f t="shared" si="395"/>
        <v/>
      </c>
      <c r="DZ242" s="54">
        <f t="shared" si="396"/>
        <v>232</v>
      </c>
      <c r="EA242" s="54">
        <f t="shared" si="397"/>
        <v>233</v>
      </c>
      <c r="EB242" s="54">
        <f t="shared" si="398"/>
        <v>2.4673947870952304</v>
      </c>
      <c r="EC242" s="54">
        <f t="shared" si="399"/>
        <v>1.9006826955669437E-2</v>
      </c>
      <c r="ED242" s="54" t="e">
        <f t="shared" si="400"/>
        <v>#N/A</v>
      </c>
      <c r="EE242" s="54" t="e">
        <f t="shared" si="401"/>
        <v>#N/A</v>
      </c>
      <c r="EF242" s="54" t="e">
        <f t="shared" si="402"/>
        <v>#N/A</v>
      </c>
      <c r="EG242" s="54" t="b">
        <f t="shared" si="403"/>
        <v>0</v>
      </c>
      <c r="EH242" s="54" t="b">
        <f t="shared" si="404"/>
        <v>1</v>
      </c>
      <c r="EI242" s="54" t="b">
        <f t="shared" si="405"/>
        <v>1</v>
      </c>
      <c r="EJ242" s="54" t="b">
        <f t="shared" si="406"/>
        <v>0</v>
      </c>
      <c r="EK242" s="54">
        <f t="shared" si="407"/>
        <v>1.9006826955669437E-2</v>
      </c>
      <c r="EL242" s="54">
        <f t="shared" si="408"/>
        <v>1.9006826955669437E-2</v>
      </c>
      <c r="EM242" s="54" t="e">
        <f t="shared" si="409"/>
        <v>#N/A</v>
      </c>
      <c r="EN242" s="72" t="str">
        <f t="shared" si="410"/>
        <v/>
      </c>
      <c r="EO24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4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4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42" s="54" t="e" cm="1">
        <f t="array" ref="ER242">IF($CK$3,INDEX(Eu_tabel_a[[#This Row],[Styrke venstre]:[Styrke tosidet]],ER$7),NA())</f>
        <v>#N/A</v>
      </c>
      <c r="ES242" s="54" t="e">
        <f>IF(ER$3,IF(CHOOSE(ER$7,Eu_tabel_a[[#This Row],[x base]]&gt;0,Eu_tabel_a[[#This Row],[x base]]&lt;0,Eu_tabel_a[[#This Row],[x base]]=0),1,NA()),NA())</f>
        <v>#N/A</v>
      </c>
      <c r="ET242" s="54" t="e">
        <f>IF(CHOOSE(ER$7,Eu_tabel_a[[#This Row],[x base]]&gt;0,Eu_tabel_a[[#This Row],[x base]]&lt;0,Eu_tabel_a[[#This Row],[x base]]=0),Eu_tabel_a[[#This Row],[Styrke, aktiv]],NA())</f>
        <v>#N/A</v>
      </c>
      <c r="EU242" s="54" t="e">
        <f>IFERROR(IF($ER$3,Eu_tabel_a[[#This Row],[Styrke, aktiv]],NA()),NA())</f>
        <v>#N/A</v>
      </c>
      <c r="EV242" s="54" t="e">
        <f>IF(ISNA(Eu_tabel_a[[#This Row],[Sand negativ
Nulhypotese afvises
Korrekt]]),NA(),IF(ER$3,1,NA()))</f>
        <v>#N/A</v>
      </c>
      <c r="EW242" s="55" t="str" cm="1">
        <f t="array" ref="EW242">IFERROR(_xlfn.SWITCH(Eu_tabel_a[[#This Row],[Indeks]],_xlfn.IFNA(EU$2,-99),EU$5,_xlfn.IFNA(EU$3,-99),EU$6,_xlfn.IFNA(EU$4,-99),EU$7,""),"")</f>
        <v/>
      </c>
      <c r="EX242" s="54">
        <f>Eu_tabel_a[[#This Row],[x base]]*SQRT(Eu_a_h0_x*(1-Eu_a_h0_x)/Eu_a_n_x)+Eu_a_h0_x</f>
        <v>0</v>
      </c>
      <c r="FC242" s="161" t="e">
        <f t="shared" si="354"/>
        <v>#N/A</v>
      </c>
      <c r="FD242" s="169" t="e">
        <f t="shared" si="442"/>
        <v>#DIV/0!</v>
      </c>
      <c r="FE242" s="7" t="e">
        <f t="shared" si="348"/>
        <v>#DIV/0!</v>
      </c>
      <c r="FF242" t="e">
        <f t="shared" si="443"/>
        <v>#DIV/0!</v>
      </c>
      <c r="FG242" s="8" t="e">
        <f t="shared" si="444"/>
        <v>#DIV/0!</v>
      </c>
      <c r="FH242" s="8" t="e">
        <f t="shared" si="445"/>
        <v>#DIV/0!</v>
      </c>
      <c r="FI242" s="168" t="e">
        <f t="shared" si="446"/>
        <v>#DIV/0!</v>
      </c>
      <c r="FJ242" s="161" t="e">
        <f t="shared" ca="1" si="349"/>
        <v>#N/A</v>
      </c>
      <c r="FK242" s="169" t="e" vm="3">
        <f t="shared" ca="1" si="355"/>
        <v>#VALUE!</v>
      </c>
      <c r="FL242" s="7" t="e" vm="3">
        <f t="shared" ca="1" si="350"/>
        <v>#VALUE!</v>
      </c>
      <c r="FM242" t="e" vm="3">
        <f t="shared" ca="1" si="344"/>
        <v>#VALUE!</v>
      </c>
      <c r="FN242" s="8" t="e" vm="3">
        <f t="shared" ca="1" si="345"/>
        <v>#VALUE!</v>
      </c>
      <c r="FO242" s="8" t="e" vm="3">
        <f t="shared" ca="1" si="346"/>
        <v>#VALUE!</v>
      </c>
      <c r="FP242" s="168" t="e" vm="3">
        <f t="shared" ca="1" si="347"/>
        <v>#VALUE!</v>
      </c>
      <c r="FQ242" s="161" t="e">
        <f t="shared" si="351"/>
        <v>#N/A</v>
      </c>
      <c r="FR242" s="169" t="e">
        <f t="shared" si="356"/>
        <v>#N/A</v>
      </c>
      <c r="FS242" s="7" t="e">
        <f t="shared" si="352"/>
        <v>#N/A</v>
      </c>
      <c r="FT242" t="e">
        <f t="shared" si="357"/>
        <v>#N/A</v>
      </c>
      <c r="FU242" s="8" t="e">
        <f t="shared" si="358"/>
        <v>#N/A</v>
      </c>
      <c r="FV242" s="8" t="e">
        <f t="shared" si="359"/>
        <v>#N/A</v>
      </c>
      <c r="FW242" s="168" t="e">
        <f t="shared" si="360"/>
        <v>#N/A</v>
      </c>
      <c r="FX242" s="161" t="e">
        <f t="shared" si="361"/>
        <v>#N/A</v>
      </c>
      <c r="FY242" s="169" t="e">
        <f t="shared" si="362"/>
        <v>#N/A</v>
      </c>
      <c r="FZ242" s="7" t="e">
        <f t="shared" si="353"/>
        <v>#N/A</v>
      </c>
      <c r="GA242" t="e">
        <f t="shared" si="363"/>
        <v>#N/A</v>
      </c>
      <c r="GB242" s="8" t="e">
        <f t="shared" si="364"/>
        <v>#N/A</v>
      </c>
      <c r="GC242" s="8" t="e">
        <f t="shared" si="365"/>
        <v>#N/A</v>
      </c>
      <c r="GD242" s="168" t="e">
        <f t="shared" si="366"/>
        <v>#N/A</v>
      </c>
      <c r="GE242" s="168"/>
      <c r="GF242" s="168"/>
      <c r="GI242" s="54">
        <f t="shared" si="411"/>
        <v>232</v>
      </c>
      <c r="GJ242" s="54">
        <f t="shared" si="412"/>
        <v>233</v>
      </c>
      <c r="GK242" s="54">
        <f t="shared" si="413"/>
        <v>2.4673947870952304</v>
      </c>
      <c r="GL242" s="54">
        <f t="shared" si="414"/>
        <v>1.9006826955669437E-2</v>
      </c>
      <c r="GM242" s="54" t="e">
        <f t="shared" si="415"/>
        <v>#N/A</v>
      </c>
      <c r="GN242" s="54" t="e">
        <f t="shared" si="416"/>
        <v>#N/A</v>
      </c>
      <c r="GO242" s="54" t="e">
        <f t="shared" si="417"/>
        <v>#N/A</v>
      </c>
      <c r="GP242" s="54" t="b">
        <f t="shared" si="418"/>
        <v>0</v>
      </c>
      <c r="GQ242" s="54" t="b">
        <f t="shared" si="419"/>
        <v>1</v>
      </c>
      <c r="GR242" s="54" t="b">
        <f t="shared" si="420"/>
        <v>1</v>
      </c>
      <c r="GS242" s="54" t="b">
        <f t="shared" si="421"/>
        <v>0</v>
      </c>
      <c r="GT242" s="54">
        <f t="shared" si="422"/>
        <v>1.9006826955669437E-2</v>
      </c>
      <c r="GU242" s="54">
        <f t="shared" si="423"/>
        <v>1.9006826955669437E-2</v>
      </c>
      <c r="GV242" s="54" t="e">
        <f t="shared" si="424"/>
        <v>#N/A</v>
      </c>
      <c r="GW242" s="72" t="str">
        <f t="shared" si="425"/>
        <v/>
      </c>
      <c r="HC242" s="54">
        <f t="shared" si="426"/>
        <v>232</v>
      </c>
      <c r="HD242" s="54">
        <f t="shared" si="427"/>
        <v>233</v>
      </c>
      <c r="HE242" s="54">
        <f t="shared" si="428"/>
        <v>3.8208126492228551</v>
      </c>
      <c r="HF242" s="54" t="e">
        <f t="shared" si="429"/>
        <v>#N/A</v>
      </c>
      <c r="HG242" s="54">
        <f t="shared" si="430"/>
        <v>4.2475655672530406E-3</v>
      </c>
      <c r="HH242" s="54" t="e">
        <f t="shared" si="431"/>
        <v>#N/A</v>
      </c>
      <c r="HI242" s="54" t="e">
        <f t="shared" si="432"/>
        <v>#N/A</v>
      </c>
      <c r="HJ242" s="54" t="b">
        <f t="shared" si="433"/>
        <v>0</v>
      </c>
      <c r="HK242" s="54" t="b">
        <f t="shared" si="434"/>
        <v>1</v>
      </c>
      <c r="HL242" s="54" t="b">
        <f t="shared" si="435"/>
        <v>1</v>
      </c>
      <c r="HM242" s="54" t="b">
        <f t="shared" si="436"/>
        <v>0</v>
      </c>
      <c r="HN242" s="54">
        <f t="shared" si="437"/>
        <v>4.2475655672530406E-3</v>
      </c>
      <c r="HO242" s="54" t="e">
        <f t="shared" si="438"/>
        <v>#N/A</v>
      </c>
      <c r="HP242" s="54">
        <f t="shared" si="439"/>
        <v>4.2475655672530406E-3</v>
      </c>
      <c r="HQ242" s="72" t="str">
        <f t="shared" si="440"/>
        <v/>
      </c>
    </row>
    <row r="243" spans="71:225" x14ac:dyDescent="0.2">
      <c r="BS243" s="54">
        <f t="shared" si="367"/>
        <v>233</v>
      </c>
      <c r="BT243" s="54">
        <f>Eu_tabel_g[[#This Row],[Indeks]]+1</f>
        <v>234</v>
      </c>
      <c r="BU243" s="54">
        <f t="shared" si="368"/>
        <v>2.4913500762903302</v>
      </c>
      <c r="BV243" s="54">
        <f t="shared" si="369"/>
        <v>1.7910804685522155E-2</v>
      </c>
      <c r="BW243" s="54" t="e">
        <f t="shared" si="370"/>
        <v>#N/A</v>
      </c>
      <c r="BX243" s="54" t="e">
        <f t="shared" si="371"/>
        <v>#N/A</v>
      </c>
      <c r="BY243" s="54" t="e">
        <f t="shared" si="372"/>
        <v>#N/A</v>
      </c>
      <c r="BZ243" s="54" t="b">
        <f t="shared" si="373"/>
        <v>0</v>
      </c>
      <c r="CA243" s="54" t="b">
        <f t="shared" si="374"/>
        <v>1</v>
      </c>
      <c r="CB243" s="54" t="b">
        <f t="shared" si="375"/>
        <v>1</v>
      </c>
      <c r="CC243" s="54" t="b">
        <f t="shared" si="376"/>
        <v>0</v>
      </c>
      <c r="CD243" s="54">
        <f t="shared" si="441"/>
        <v>1.7910804685522155E-2</v>
      </c>
      <c r="CE243" s="54">
        <f t="shared" si="377"/>
        <v>1.7910804685522155E-2</v>
      </c>
      <c r="CF243" s="54" t="e">
        <f t="shared" si="378"/>
        <v>#N/A</v>
      </c>
      <c r="CG243" s="72" t="str">
        <f t="shared" si="379"/>
        <v/>
      </c>
      <c r="CH243" s="54">
        <f>_xlfn.NORM.DIST(_xlfn.NORM.INV(1-Eu_g_konfidensniveau,0,1)-Eu_tabel_g[[#This Row],[x base]],0,1,TRUE)</f>
        <v>1.7654938465766175E-5</v>
      </c>
      <c r="CI243" s="54">
        <f>1-_xlfn.NORM.DIST(_xlfn.NORM.INV(Eu_g_konfidensniveau,0,1)-Eu_tabel_g[[#This Row],[x base]],0,1,TRUE)</f>
        <v>0.80136207310529262</v>
      </c>
      <c r="CJ243" s="54">
        <f>_xlfn.NORM.DIST(_xlfn.NORM.INV((1-Eu_g_konfidensniveau)/2,0,1)-Eu_tabel_g[[#This Row],[x base]],0,1,TRUE)+1-_xlfn.NORM.DIST(_xlfn.NORM.INV(1-(1-Eu_g_konfidensniveau)/2,0,1)-Eu_tabel_g[[#This Row],[x base]],0,1,TRUE)</f>
        <v>0.7024286385844859</v>
      </c>
      <c r="CK243" s="54" t="e" cm="1">
        <f t="array" ref="CK243">IF($CK$3,INDEX(Eu_tabel_g[[#This Row],[Styrke venstre]:[Styrke tosidet]],CK$7),NA())</f>
        <v>#N/A</v>
      </c>
      <c r="CL243" s="99" t="e">
        <f>Eu_tabel_g[[#This Row],[Falsk positiv
Nulhypotese accepteres
Fejltype 1]]</f>
        <v>#N/A</v>
      </c>
      <c r="CM243" s="99" t="e">
        <f>IF(CHOOSE(CK$7,Eu_tabel_g[[#This Row],[x base]]&gt;0,Eu_tabel_g[[#This Row],[x base]]&lt;0,Eu_tabel_g[[#This Row],[x base]]=0),Eu_tabel_g[[#This Row],[Styrke, aktiv]],NA())</f>
        <v>#N/A</v>
      </c>
      <c r="CN243" s="99" t="e">
        <f>IFERROR(IF($CK$3,Eu_tabel_g[[#This Row],[Styrke, aktiv]],NA()),NA())</f>
        <v>#N/A</v>
      </c>
      <c r="CO243" s="99" t="e">
        <f>IF(ISNA(Eu_tabel_g[[#This Row],[Sand negativ
Nulhypotese afvises
Korrekt]]),NA(),IF($CK$3,1,NA()))</f>
        <v>#N/A</v>
      </c>
      <c r="CP243" s="56" t="str" cm="1">
        <f t="array" ref="CP243">_xlfn.SWITCH(BS243,_xlfn.IFNA(CN$2,-99),CN$5,_xlfn.IFNA(CN$3,-99),CN$6,_xlfn.IFNA(CN$4,-99),CN$7,"")</f>
        <v/>
      </c>
      <c r="CT243" s="7">
        <f t="shared" si="380"/>
        <v>0.8</v>
      </c>
      <c r="CU243">
        <f>IF(ROW(Styrkeberegning_G[[#This Row],[X base venstre]])=ROW(Styrkeberegning_G[[#Headers],[X base venstre]])+1,CU$7/(CT$7/$B$67),CU242/(CT242/$B$67))</f>
        <v>-2.8015817870135784</v>
      </c>
      <c r="CV243">
        <f>Styrkeberegning_G[[#This Row],[X base venstre]]*-1</f>
        <v>2.8015817870135784</v>
      </c>
      <c r="DG243" s="54">
        <f t="shared" si="381"/>
        <v>233</v>
      </c>
      <c r="DH243" s="54">
        <f t="shared" si="382"/>
        <v>234</v>
      </c>
      <c r="DI243" s="54">
        <f t="shared" si="383"/>
        <v>28.412362209814923</v>
      </c>
      <c r="DJ243" s="54" t="e">
        <f t="shared" si="384"/>
        <v>#N/A</v>
      </c>
      <c r="DK243" s="54" t="e">
        <f t="shared" si="385"/>
        <v>#N/A</v>
      </c>
      <c r="DL243" s="54">
        <f t="shared" si="386"/>
        <v>9.9219089203870831E-4</v>
      </c>
      <c r="DM243" s="54" t="e">
        <f t="shared" si="387"/>
        <v>#N/A</v>
      </c>
      <c r="DN243" s="54" t="b">
        <f t="shared" si="388"/>
        <v>0</v>
      </c>
      <c r="DO243" s="54" t="b">
        <f t="shared" si="389"/>
        <v>1</v>
      </c>
      <c r="DP243" s="54" t="b">
        <f t="shared" si="390"/>
        <v>1</v>
      </c>
      <c r="DQ243" s="54" t="b">
        <f t="shared" si="391"/>
        <v>0</v>
      </c>
      <c r="DR243" s="54">
        <f t="shared" si="392"/>
        <v>9.9219089203870831E-4</v>
      </c>
      <c r="DS243" s="54">
        <f t="shared" si="393"/>
        <v>9.9219089203870831E-4</v>
      </c>
      <c r="DT243" s="54" t="e">
        <f t="shared" si="394"/>
        <v>#N/A</v>
      </c>
      <c r="DU243" s="72" t="str">
        <f t="shared" si="395"/>
        <v/>
      </c>
      <c r="DZ243" s="54">
        <f t="shared" si="396"/>
        <v>233</v>
      </c>
      <c r="EA243" s="54">
        <f t="shared" si="397"/>
        <v>234</v>
      </c>
      <c r="EB243" s="54">
        <f t="shared" si="398"/>
        <v>2.4913500762903302</v>
      </c>
      <c r="EC243" s="54">
        <f t="shared" si="399"/>
        <v>1.7910804685522155E-2</v>
      </c>
      <c r="ED243" s="54" t="e">
        <f t="shared" si="400"/>
        <v>#N/A</v>
      </c>
      <c r="EE243" s="54" t="e">
        <f t="shared" si="401"/>
        <v>#N/A</v>
      </c>
      <c r="EF243" s="54" t="e">
        <f t="shared" si="402"/>
        <v>#N/A</v>
      </c>
      <c r="EG243" s="54" t="b">
        <f t="shared" si="403"/>
        <v>0</v>
      </c>
      <c r="EH243" s="54" t="b">
        <f t="shared" si="404"/>
        <v>1</v>
      </c>
      <c r="EI243" s="54" t="b">
        <f t="shared" si="405"/>
        <v>1</v>
      </c>
      <c r="EJ243" s="54" t="b">
        <f t="shared" si="406"/>
        <v>0</v>
      </c>
      <c r="EK243" s="54">
        <f t="shared" si="407"/>
        <v>1.7910804685522155E-2</v>
      </c>
      <c r="EL243" s="54">
        <f t="shared" si="408"/>
        <v>1.7910804685522155E-2</v>
      </c>
      <c r="EM243" s="54" t="e">
        <f t="shared" si="409"/>
        <v>#N/A</v>
      </c>
      <c r="EN243" s="72" t="str">
        <f t="shared" si="410"/>
        <v/>
      </c>
      <c r="EO24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4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4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43" s="54" t="e" cm="1">
        <f t="array" ref="ER243">IF($CK$3,INDEX(Eu_tabel_a[[#This Row],[Styrke venstre]:[Styrke tosidet]],ER$7),NA())</f>
        <v>#N/A</v>
      </c>
      <c r="ES243" s="54" t="e">
        <f>IF(ER$3,IF(CHOOSE(ER$7,Eu_tabel_a[[#This Row],[x base]]&gt;0,Eu_tabel_a[[#This Row],[x base]]&lt;0,Eu_tabel_a[[#This Row],[x base]]=0),1,NA()),NA())</f>
        <v>#N/A</v>
      </c>
      <c r="ET243" s="54" t="e">
        <f>IF(CHOOSE(ER$7,Eu_tabel_a[[#This Row],[x base]]&gt;0,Eu_tabel_a[[#This Row],[x base]]&lt;0,Eu_tabel_a[[#This Row],[x base]]=0),Eu_tabel_a[[#This Row],[Styrke, aktiv]],NA())</f>
        <v>#N/A</v>
      </c>
      <c r="EU243" s="54" t="e">
        <f>IFERROR(IF($ER$3,Eu_tabel_a[[#This Row],[Styrke, aktiv]],NA()),NA())</f>
        <v>#N/A</v>
      </c>
      <c r="EV243" s="54" t="e">
        <f>IF(ISNA(Eu_tabel_a[[#This Row],[Sand negativ
Nulhypotese afvises
Korrekt]]),NA(),IF(ER$3,1,NA()))</f>
        <v>#N/A</v>
      </c>
      <c r="EW243" s="55" t="str" cm="1">
        <f t="array" ref="EW243">IFERROR(_xlfn.SWITCH(Eu_tabel_a[[#This Row],[Indeks]],_xlfn.IFNA(EU$2,-99),EU$5,_xlfn.IFNA(EU$3,-99),EU$6,_xlfn.IFNA(EU$4,-99),EU$7,""),"")</f>
        <v/>
      </c>
      <c r="EX243" s="54">
        <f>Eu_tabel_a[[#This Row],[x base]]*SQRT(Eu_a_h0_x*(1-Eu_a_h0_x)/Eu_a_n_x)+Eu_a_h0_x</f>
        <v>0</v>
      </c>
      <c r="FC243" s="161" t="e">
        <f t="shared" si="354"/>
        <v>#N/A</v>
      </c>
      <c r="FD243" s="169" t="e">
        <f t="shared" si="442"/>
        <v>#DIV/0!</v>
      </c>
      <c r="FE243" s="7" t="e">
        <f t="shared" si="348"/>
        <v>#DIV/0!</v>
      </c>
      <c r="FF243" t="e">
        <f t="shared" si="443"/>
        <v>#DIV/0!</v>
      </c>
      <c r="FG243" s="8" t="e">
        <f t="shared" si="444"/>
        <v>#DIV/0!</v>
      </c>
      <c r="FH243" s="8" t="e">
        <f t="shared" si="445"/>
        <v>#DIV/0!</v>
      </c>
      <c r="FI243" s="168" t="e">
        <f t="shared" si="446"/>
        <v>#DIV/0!</v>
      </c>
      <c r="FJ243" s="161" t="e">
        <f t="shared" ca="1" si="349"/>
        <v>#N/A</v>
      </c>
      <c r="FK243" s="169" t="e" vm="3">
        <f t="shared" ca="1" si="355"/>
        <v>#VALUE!</v>
      </c>
      <c r="FL243" s="7" t="e" vm="3">
        <f t="shared" ca="1" si="350"/>
        <v>#VALUE!</v>
      </c>
      <c r="FM243" t="e" vm="3">
        <f t="shared" ca="1" si="344"/>
        <v>#VALUE!</v>
      </c>
      <c r="FN243" s="8" t="e" vm="3">
        <f t="shared" ca="1" si="345"/>
        <v>#VALUE!</v>
      </c>
      <c r="FO243" s="8" t="e" vm="3">
        <f t="shared" ca="1" si="346"/>
        <v>#VALUE!</v>
      </c>
      <c r="FP243" s="168" t="e" vm="3">
        <f t="shared" ca="1" si="347"/>
        <v>#VALUE!</v>
      </c>
      <c r="FQ243" s="161" t="e">
        <f t="shared" si="351"/>
        <v>#N/A</v>
      </c>
      <c r="FR243" s="169" t="e">
        <f t="shared" si="356"/>
        <v>#N/A</v>
      </c>
      <c r="FS243" s="7" t="e">
        <f t="shared" si="352"/>
        <v>#N/A</v>
      </c>
      <c r="FT243" t="e">
        <f t="shared" si="357"/>
        <v>#N/A</v>
      </c>
      <c r="FU243" s="8" t="e">
        <f t="shared" si="358"/>
        <v>#N/A</v>
      </c>
      <c r="FV243" s="8" t="e">
        <f t="shared" si="359"/>
        <v>#N/A</v>
      </c>
      <c r="FW243" s="168" t="e">
        <f t="shared" si="360"/>
        <v>#N/A</v>
      </c>
      <c r="FX243" s="161" t="e">
        <f t="shared" si="361"/>
        <v>#N/A</v>
      </c>
      <c r="FY243" s="169" t="e">
        <f t="shared" si="362"/>
        <v>#N/A</v>
      </c>
      <c r="FZ243" s="7" t="e">
        <f t="shared" si="353"/>
        <v>#N/A</v>
      </c>
      <c r="GA243" t="e">
        <f t="shared" si="363"/>
        <v>#N/A</v>
      </c>
      <c r="GB243" s="8" t="e">
        <f t="shared" si="364"/>
        <v>#N/A</v>
      </c>
      <c r="GC243" s="8" t="e">
        <f t="shared" si="365"/>
        <v>#N/A</v>
      </c>
      <c r="GD243" s="168" t="e">
        <f t="shared" si="366"/>
        <v>#N/A</v>
      </c>
      <c r="GE243" s="168"/>
      <c r="GF243" s="168"/>
      <c r="GI243" s="54">
        <f t="shared" si="411"/>
        <v>233</v>
      </c>
      <c r="GJ243" s="54">
        <f t="shared" si="412"/>
        <v>234</v>
      </c>
      <c r="GK243" s="54">
        <f t="shared" si="413"/>
        <v>2.4913500762903302</v>
      </c>
      <c r="GL243" s="54">
        <f t="shared" si="414"/>
        <v>1.7910804685522155E-2</v>
      </c>
      <c r="GM243" s="54" t="e">
        <f t="shared" si="415"/>
        <v>#N/A</v>
      </c>
      <c r="GN243" s="54" t="e">
        <f t="shared" si="416"/>
        <v>#N/A</v>
      </c>
      <c r="GO243" s="54" t="e">
        <f t="shared" si="417"/>
        <v>#N/A</v>
      </c>
      <c r="GP243" s="54" t="b">
        <f t="shared" si="418"/>
        <v>0</v>
      </c>
      <c r="GQ243" s="54" t="b">
        <f t="shared" si="419"/>
        <v>1</v>
      </c>
      <c r="GR243" s="54" t="b">
        <f t="shared" si="420"/>
        <v>1</v>
      </c>
      <c r="GS243" s="54" t="b">
        <f t="shared" si="421"/>
        <v>0</v>
      </c>
      <c r="GT243" s="54">
        <f t="shared" si="422"/>
        <v>1.7910804685522155E-2</v>
      </c>
      <c r="GU243" s="54">
        <f t="shared" si="423"/>
        <v>1.7910804685522155E-2</v>
      </c>
      <c r="GV243" s="54" t="e">
        <f t="shared" si="424"/>
        <v>#N/A</v>
      </c>
      <c r="GW243" s="72" t="str">
        <f t="shared" si="425"/>
        <v/>
      </c>
      <c r="HC243" s="54">
        <f t="shared" si="426"/>
        <v>233</v>
      </c>
      <c r="HD243" s="54">
        <f t="shared" si="427"/>
        <v>234</v>
      </c>
      <c r="HE243" s="54">
        <f t="shared" si="428"/>
        <v>3.8579079176619118</v>
      </c>
      <c r="HF243" s="54" t="e">
        <f t="shared" si="429"/>
        <v>#N/A</v>
      </c>
      <c r="HG243" s="54">
        <f t="shared" si="430"/>
        <v>4.0306937646998392E-3</v>
      </c>
      <c r="HH243" s="54" t="e">
        <f t="shared" si="431"/>
        <v>#N/A</v>
      </c>
      <c r="HI243" s="54" t="e">
        <f t="shared" si="432"/>
        <v>#N/A</v>
      </c>
      <c r="HJ243" s="54" t="b">
        <f t="shared" si="433"/>
        <v>0</v>
      </c>
      <c r="HK243" s="54" t="b">
        <f t="shared" si="434"/>
        <v>1</v>
      </c>
      <c r="HL243" s="54" t="b">
        <f t="shared" si="435"/>
        <v>1</v>
      </c>
      <c r="HM243" s="54" t="b">
        <f t="shared" si="436"/>
        <v>0</v>
      </c>
      <c r="HN243" s="54">
        <f t="shared" si="437"/>
        <v>4.0306937646998392E-3</v>
      </c>
      <c r="HO243" s="54" t="e">
        <f t="shared" si="438"/>
        <v>#N/A</v>
      </c>
      <c r="HP243" s="54">
        <f t="shared" si="439"/>
        <v>4.0306937646998392E-3</v>
      </c>
      <c r="HQ243" s="72" t="str">
        <f t="shared" si="440"/>
        <v/>
      </c>
    </row>
    <row r="244" spans="71:225" x14ac:dyDescent="0.2">
      <c r="BS244" s="54">
        <f t="shared" si="367"/>
        <v>234</v>
      </c>
      <c r="BT244" s="54">
        <f>Eu_tabel_g[[#This Row],[Indeks]]+1</f>
        <v>235</v>
      </c>
      <c r="BU244" s="54">
        <f t="shared" si="368"/>
        <v>2.5153053654854292</v>
      </c>
      <c r="BV244" s="54">
        <f t="shared" si="369"/>
        <v>1.6868301418220717E-2</v>
      </c>
      <c r="BW244" s="54" t="e">
        <f t="shared" si="370"/>
        <v>#N/A</v>
      </c>
      <c r="BX244" s="54" t="e">
        <f t="shared" si="371"/>
        <v>#N/A</v>
      </c>
      <c r="BY244" s="54" t="e">
        <f t="shared" si="372"/>
        <v>#N/A</v>
      </c>
      <c r="BZ244" s="54" t="b">
        <f t="shared" si="373"/>
        <v>0</v>
      </c>
      <c r="CA244" s="54" t="b">
        <f t="shared" si="374"/>
        <v>1</v>
      </c>
      <c r="CB244" s="54" t="b">
        <f t="shared" si="375"/>
        <v>1</v>
      </c>
      <c r="CC244" s="54" t="b">
        <f t="shared" si="376"/>
        <v>0</v>
      </c>
      <c r="CD244" s="54">
        <f t="shared" si="441"/>
        <v>1.6868301418220717E-2</v>
      </c>
      <c r="CE244" s="54">
        <f t="shared" si="377"/>
        <v>1.6868301418220717E-2</v>
      </c>
      <c r="CF244" s="54" t="e">
        <f t="shared" si="378"/>
        <v>#N/A</v>
      </c>
      <c r="CG244" s="72" t="str">
        <f t="shared" si="379"/>
        <v/>
      </c>
      <c r="CH244" s="54">
        <f>_xlfn.NORM.DIST(_xlfn.NORM.INV(1-Eu_g_konfidensniveau,0,1)-Eu_tabel_g[[#This Row],[x base]],0,1,TRUE)</f>
        <v>1.5901306353919218E-5</v>
      </c>
      <c r="CI244" s="54">
        <f>1-_xlfn.NORM.DIST(_xlfn.NORM.INV(Eu_g_konfidensniveau,0,1)-Eu_tabel_g[[#This Row],[x base]],0,1,TRUE)</f>
        <v>0.80797320867814038</v>
      </c>
      <c r="CJ244" s="54">
        <f>_xlfn.NORM.DIST(_xlfn.NORM.INV((1-Eu_g_konfidensniveau)/2,0,1)-Eu_tabel_g[[#This Row],[x base]],0,1,TRUE)+1-_xlfn.NORM.DIST(_xlfn.NORM.INV(1-(1-Eu_g_konfidensniveau)/2,0,1)-Eu_tabel_g[[#This Row],[x base]],0,1,TRUE)</f>
        <v>0.71067322599342742</v>
      </c>
      <c r="CK244" s="54" t="e" cm="1">
        <f t="array" ref="CK244">IF($CK$3,INDEX(Eu_tabel_g[[#This Row],[Styrke venstre]:[Styrke tosidet]],CK$7),NA())</f>
        <v>#N/A</v>
      </c>
      <c r="CL244" s="99" t="e">
        <f>Eu_tabel_g[[#This Row],[Falsk positiv
Nulhypotese accepteres
Fejltype 1]]</f>
        <v>#N/A</v>
      </c>
      <c r="CM244" s="99" t="e">
        <f>IF(CHOOSE(CK$7,Eu_tabel_g[[#This Row],[x base]]&gt;0,Eu_tabel_g[[#This Row],[x base]]&lt;0,Eu_tabel_g[[#This Row],[x base]]=0),Eu_tabel_g[[#This Row],[Styrke, aktiv]],NA())</f>
        <v>#N/A</v>
      </c>
      <c r="CN244" s="99" t="e">
        <f>IFERROR(IF($CK$3,Eu_tabel_g[[#This Row],[Styrke, aktiv]],NA()),NA())</f>
        <v>#N/A</v>
      </c>
      <c r="CO244" s="99" t="e">
        <f>IF(ISNA(Eu_tabel_g[[#This Row],[Sand negativ
Nulhypotese afvises
Korrekt]]),NA(),IF($CK$3,1,NA()))</f>
        <v>#N/A</v>
      </c>
      <c r="CP244" s="56" t="str" cm="1">
        <f t="array" ref="CP244">_xlfn.SWITCH(BS244,_xlfn.IFNA(CN$2,-99),CN$5,_xlfn.IFNA(CN$3,-99),CN$6,_xlfn.IFNA(CN$4,-99),CN$7,"")</f>
        <v/>
      </c>
      <c r="CT244" s="7">
        <f t="shared" si="380"/>
        <v>0.8</v>
      </c>
      <c r="CU244">
        <f>IF(ROW(Styrkeberegning_G[[#This Row],[X base venstre]])=ROW(Styrkeberegning_G[[#Headers],[X base venstre]])+1,CU$7/(CT$7/$B$67),CU243/(CT243/$B$67))</f>
        <v>-2.8015817870135784</v>
      </c>
      <c r="CV244">
        <f>Styrkeberegning_G[[#This Row],[X base venstre]]*-1</f>
        <v>2.8015817870135784</v>
      </c>
      <c r="DG244" s="54">
        <f t="shared" si="381"/>
        <v>234</v>
      </c>
      <c r="DH244" s="54">
        <f t="shared" si="382"/>
        <v>235</v>
      </c>
      <c r="DI244" s="54">
        <f t="shared" si="383"/>
        <v>28.526433066231924</v>
      </c>
      <c r="DJ244" s="54" t="e">
        <f t="shared" si="384"/>
        <v>#N/A</v>
      </c>
      <c r="DK244" s="54" t="e">
        <f t="shared" si="385"/>
        <v>#N/A</v>
      </c>
      <c r="DL244" s="54">
        <f t="shared" si="386"/>
        <v>9.5423566060861794E-4</v>
      </c>
      <c r="DM244" s="54" t="e">
        <f t="shared" si="387"/>
        <v>#N/A</v>
      </c>
      <c r="DN244" s="54" t="b">
        <f t="shared" si="388"/>
        <v>0</v>
      </c>
      <c r="DO244" s="54" t="b">
        <f t="shared" si="389"/>
        <v>1</v>
      </c>
      <c r="DP244" s="54" t="b">
        <f t="shared" si="390"/>
        <v>1</v>
      </c>
      <c r="DQ244" s="54" t="b">
        <f t="shared" si="391"/>
        <v>0</v>
      </c>
      <c r="DR244" s="54">
        <f t="shared" si="392"/>
        <v>9.5423566060861794E-4</v>
      </c>
      <c r="DS244" s="54">
        <f t="shared" si="393"/>
        <v>9.5423566060861794E-4</v>
      </c>
      <c r="DT244" s="54" t="e">
        <f t="shared" si="394"/>
        <v>#N/A</v>
      </c>
      <c r="DU244" s="72" t="str">
        <f t="shared" si="395"/>
        <v/>
      </c>
      <c r="DZ244" s="54">
        <f t="shared" si="396"/>
        <v>234</v>
      </c>
      <c r="EA244" s="54">
        <f t="shared" si="397"/>
        <v>235</v>
      </c>
      <c r="EB244" s="54">
        <f t="shared" si="398"/>
        <v>2.5153053654854292</v>
      </c>
      <c r="EC244" s="54">
        <f t="shared" si="399"/>
        <v>1.6868301418220717E-2</v>
      </c>
      <c r="ED244" s="54" t="e">
        <f t="shared" si="400"/>
        <v>#N/A</v>
      </c>
      <c r="EE244" s="54" t="e">
        <f t="shared" si="401"/>
        <v>#N/A</v>
      </c>
      <c r="EF244" s="54" t="e">
        <f t="shared" si="402"/>
        <v>#N/A</v>
      </c>
      <c r="EG244" s="54" t="b">
        <f t="shared" si="403"/>
        <v>0</v>
      </c>
      <c r="EH244" s="54" t="b">
        <f t="shared" si="404"/>
        <v>1</v>
      </c>
      <c r="EI244" s="54" t="b">
        <f t="shared" si="405"/>
        <v>1</v>
      </c>
      <c r="EJ244" s="54" t="b">
        <f t="shared" si="406"/>
        <v>0</v>
      </c>
      <c r="EK244" s="54">
        <f t="shared" si="407"/>
        <v>1.6868301418220717E-2</v>
      </c>
      <c r="EL244" s="54">
        <f t="shared" si="408"/>
        <v>1.6868301418220717E-2</v>
      </c>
      <c r="EM244" s="54" t="e">
        <f t="shared" si="409"/>
        <v>#N/A</v>
      </c>
      <c r="EN244" s="72" t="str">
        <f t="shared" si="410"/>
        <v/>
      </c>
      <c r="EO24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4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4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44" s="54" t="e" cm="1">
        <f t="array" ref="ER244">IF($CK$3,INDEX(Eu_tabel_a[[#This Row],[Styrke venstre]:[Styrke tosidet]],ER$7),NA())</f>
        <v>#N/A</v>
      </c>
      <c r="ES244" s="54" t="e">
        <f>IF(ER$3,IF(CHOOSE(ER$7,Eu_tabel_a[[#This Row],[x base]]&gt;0,Eu_tabel_a[[#This Row],[x base]]&lt;0,Eu_tabel_a[[#This Row],[x base]]=0),1,NA()),NA())</f>
        <v>#N/A</v>
      </c>
      <c r="ET244" s="54" t="e">
        <f>IF(CHOOSE(ER$7,Eu_tabel_a[[#This Row],[x base]]&gt;0,Eu_tabel_a[[#This Row],[x base]]&lt;0,Eu_tabel_a[[#This Row],[x base]]=0),Eu_tabel_a[[#This Row],[Styrke, aktiv]],NA())</f>
        <v>#N/A</v>
      </c>
      <c r="EU244" s="54" t="e">
        <f>IFERROR(IF($ER$3,Eu_tabel_a[[#This Row],[Styrke, aktiv]],NA()),NA())</f>
        <v>#N/A</v>
      </c>
      <c r="EV244" s="54" t="e">
        <f>IF(ISNA(Eu_tabel_a[[#This Row],[Sand negativ
Nulhypotese afvises
Korrekt]]),NA(),IF(ER$3,1,NA()))</f>
        <v>#N/A</v>
      </c>
      <c r="EW244" s="55" t="str" cm="1">
        <f t="array" ref="EW244">IFERROR(_xlfn.SWITCH(Eu_tabel_a[[#This Row],[Indeks]],_xlfn.IFNA(EU$2,-99),EU$5,_xlfn.IFNA(EU$3,-99),EU$6,_xlfn.IFNA(EU$4,-99),EU$7,""),"")</f>
        <v/>
      </c>
      <c r="EX244" s="54">
        <f>Eu_tabel_a[[#This Row],[x base]]*SQRT(Eu_a_h0_x*(1-Eu_a_h0_x)/Eu_a_n_x)+Eu_a_h0_x</f>
        <v>0</v>
      </c>
      <c r="FC244" s="161" t="e">
        <f t="shared" si="354"/>
        <v>#N/A</v>
      </c>
      <c r="FD244" s="169" t="e">
        <f t="shared" si="442"/>
        <v>#DIV/0!</v>
      </c>
      <c r="FE244" s="7" t="e">
        <f t="shared" si="348"/>
        <v>#DIV/0!</v>
      </c>
      <c r="FF244" t="e">
        <f t="shared" si="443"/>
        <v>#DIV/0!</v>
      </c>
      <c r="FG244" s="8" t="e">
        <f t="shared" si="444"/>
        <v>#DIV/0!</v>
      </c>
      <c r="FH244" s="8" t="e">
        <f t="shared" si="445"/>
        <v>#DIV/0!</v>
      </c>
      <c r="FI244" s="168" t="e">
        <f t="shared" si="446"/>
        <v>#DIV/0!</v>
      </c>
      <c r="FJ244" s="161" t="e">
        <f t="shared" ca="1" si="349"/>
        <v>#N/A</v>
      </c>
      <c r="FK244" s="169" t="e" vm="3">
        <f t="shared" ca="1" si="355"/>
        <v>#VALUE!</v>
      </c>
      <c r="FL244" s="7" t="e" vm="3">
        <f t="shared" ca="1" si="350"/>
        <v>#VALUE!</v>
      </c>
      <c r="FM244" t="e" vm="3">
        <f t="shared" ca="1" si="344"/>
        <v>#VALUE!</v>
      </c>
      <c r="FN244" s="8" t="e" vm="3">
        <f t="shared" ca="1" si="345"/>
        <v>#VALUE!</v>
      </c>
      <c r="FO244" s="8" t="e" vm="3">
        <f t="shared" ca="1" si="346"/>
        <v>#VALUE!</v>
      </c>
      <c r="FP244" s="168" t="e" vm="3">
        <f t="shared" ca="1" si="347"/>
        <v>#VALUE!</v>
      </c>
      <c r="FQ244" s="161" t="e">
        <f t="shared" si="351"/>
        <v>#N/A</v>
      </c>
      <c r="FR244" s="169" t="e">
        <f t="shared" si="356"/>
        <v>#N/A</v>
      </c>
      <c r="FS244" s="7" t="e">
        <f t="shared" si="352"/>
        <v>#N/A</v>
      </c>
      <c r="FT244" t="e">
        <f t="shared" si="357"/>
        <v>#N/A</v>
      </c>
      <c r="FU244" s="8" t="e">
        <f t="shared" si="358"/>
        <v>#N/A</v>
      </c>
      <c r="FV244" s="8" t="e">
        <f t="shared" si="359"/>
        <v>#N/A</v>
      </c>
      <c r="FW244" s="168" t="e">
        <f t="shared" si="360"/>
        <v>#N/A</v>
      </c>
      <c r="FX244" s="161" t="e">
        <f t="shared" si="361"/>
        <v>#N/A</v>
      </c>
      <c r="FY244" s="169" t="e">
        <f t="shared" si="362"/>
        <v>#N/A</v>
      </c>
      <c r="FZ244" s="7" t="e">
        <f t="shared" si="353"/>
        <v>#N/A</v>
      </c>
      <c r="GA244" t="e">
        <f t="shared" si="363"/>
        <v>#N/A</v>
      </c>
      <c r="GB244" s="8" t="e">
        <f t="shared" si="364"/>
        <v>#N/A</v>
      </c>
      <c r="GC244" s="8" t="e">
        <f t="shared" si="365"/>
        <v>#N/A</v>
      </c>
      <c r="GD244" s="168" t="e">
        <f t="shared" si="366"/>
        <v>#N/A</v>
      </c>
      <c r="GE244" s="168"/>
      <c r="GF244" s="168"/>
      <c r="GI244" s="54">
        <f t="shared" si="411"/>
        <v>234</v>
      </c>
      <c r="GJ244" s="54">
        <f t="shared" si="412"/>
        <v>235</v>
      </c>
      <c r="GK244" s="54">
        <f t="shared" si="413"/>
        <v>2.5153053654854292</v>
      </c>
      <c r="GL244" s="54">
        <f t="shared" si="414"/>
        <v>1.6868301418220717E-2</v>
      </c>
      <c r="GM244" s="54" t="e">
        <f t="shared" si="415"/>
        <v>#N/A</v>
      </c>
      <c r="GN244" s="54" t="e">
        <f t="shared" si="416"/>
        <v>#N/A</v>
      </c>
      <c r="GO244" s="54" t="e">
        <f t="shared" si="417"/>
        <v>#N/A</v>
      </c>
      <c r="GP244" s="54" t="b">
        <f t="shared" si="418"/>
        <v>0</v>
      </c>
      <c r="GQ244" s="54" t="b">
        <f t="shared" si="419"/>
        <v>1</v>
      </c>
      <c r="GR244" s="54" t="b">
        <f t="shared" si="420"/>
        <v>1</v>
      </c>
      <c r="GS244" s="54" t="b">
        <f t="shared" si="421"/>
        <v>0</v>
      </c>
      <c r="GT244" s="54">
        <f t="shared" si="422"/>
        <v>1.6868301418220717E-2</v>
      </c>
      <c r="GU244" s="54">
        <f t="shared" si="423"/>
        <v>1.6868301418220717E-2</v>
      </c>
      <c r="GV244" s="54" t="e">
        <f t="shared" si="424"/>
        <v>#N/A</v>
      </c>
      <c r="GW244" s="72" t="str">
        <f t="shared" si="425"/>
        <v/>
      </c>
      <c r="HC244" s="54">
        <f t="shared" si="426"/>
        <v>234</v>
      </c>
      <c r="HD244" s="54">
        <f t="shared" si="427"/>
        <v>235</v>
      </c>
      <c r="HE244" s="54">
        <f t="shared" si="428"/>
        <v>3.8950031861009684</v>
      </c>
      <c r="HF244" s="54" t="e">
        <f t="shared" si="429"/>
        <v>#N/A</v>
      </c>
      <c r="HG244" s="54">
        <f t="shared" si="430"/>
        <v>3.8255881567615399E-3</v>
      </c>
      <c r="HH244" s="54" t="e">
        <f t="shared" si="431"/>
        <v>#N/A</v>
      </c>
      <c r="HI244" s="54" t="e">
        <f t="shared" si="432"/>
        <v>#N/A</v>
      </c>
      <c r="HJ244" s="54" t="b">
        <f t="shared" si="433"/>
        <v>0</v>
      </c>
      <c r="HK244" s="54" t="b">
        <f t="shared" si="434"/>
        <v>1</v>
      </c>
      <c r="HL244" s="54" t="b">
        <f t="shared" si="435"/>
        <v>1</v>
      </c>
      <c r="HM244" s="54" t="b">
        <f t="shared" si="436"/>
        <v>0</v>
      </c>
      <c r="HN244" s="54">
        <f t="shared" si="437"/>
        <v>3.8255881567615399E-3</v>
      </c>
      <c r="HO244" s="54" t="e">
        <f t="shared" si="438"/>
        <v>#N/A</v>
      </c>
      <c r="HP244" s="54">
        <f t="shared" si="439"/>
        <v>3.8255881567615399E-3</v>
      </c>
      <c r="HQ244" s="72" t="str">
        <f t="shared" si="440"/>
        <v/>
      </c>
    </row>
    <row r="245" spans="71:225" x14ac:dyDescent="0.2">
      <c r="BS245" s="54">
        <f t="shared" si="367"/>
        <v>235</v>
      </c>
      <c r="BT245" s="54">
        <f>Eu_tabel_g[[#This Row],[Indeks]]+1</f>
        <v>236</v>
      </c>
      <c r="BU245" s="54">
        <f t="shared" si="368"/>
        <v>2.539260654680529</v>
      </c>
      <c r="BV245" s="54">
        <f t="shared" si="369"/>
        <v>1.5877363404520835E-2</v>
      </c>
      <c r="BW245" s="54" t="e">
        <f t="shared" si="370"/>
        <v>#N/A</v>
      </c>
      <c r="BX245" s="54" t="e">
        <f t="shared" si="371"/>
        <v>#N/A</v>
      </c>
      <c r="BY245" s="54" t="e">
        <f t="shared" si="372"/>
        <v>#N/A</v>
      </c>
      <c r="BZ245" s="54" t="b">
        <f t="shared" si="373"/>
        <v>0</v>
      </c>
      <c r="CA245" s="54" t="b">
        <f t="shared" si="374"/>
        <v>1</v>
      </c>
      <c r="CB245" s="54" t="b">
        <f t="shared" si="375"/>
        <v>1</v>
      </c>
      <c r="CC245" s="54" t="b">
        <f t="shared" si="376"/>
        <v>0</v>
      </c>
      <c r="CD245" s="54">
        <f t="shared" si="441"/>
        <v>1.5877363404520835E-2</v>
      </c>
      <c r="CE245" s="54">
        <f t="shared" si="377"/>
        <v>1.5877363404520835E-2</v>
      </c>
      <c r="CF245" s="54" t="e">
        <f t="shared" si="378"/>
        <v>#N/A</v>
      </c>
      <c r="CG245" s="72" t="str">
        <f t="shared" si="379"/>
        <v/>
      </c>
      <c r="CH245" s="54">
        <f>_xlfn.NORM.DIST(_xlfn.NORM.INV(1-Eu_g_konfidensniveau,0,1)-Eu_tabel_g[[#This Row],[x base]],0,1,TRUE)</f>
        <v>1.4314003777583852E-5</v>
      </c>
      <c r="CI245" s="54">
        <f>1-_xlfn.NORM.DIST(_xlfn.NORM.INV(Eu_g_konfidensniveau,0,1)-Eu_tabel_g[[#This Row],[x base]],0,1,TRUE)</f>
        <v>0.8144479231481434</v>
      </c>
      <c r="CJ245" s="54">
        <f>_xlfn.NORM.DIST(_xlfn.NORM.INV((1-Eu_g_konfidensniveau)/2,0,1)-Eu_tabel_g[[#This Row],[x base]],0,1,TRUE)+1-_xlfn.NORM.DIST(_xlfn.NORM.INV(1-(1-Eu_g_konfidensniveau)/2,0,1)-Eu_tabel_g[[#This Row],[x base]],0,1,TRUE)</f>
        <v>0.71880890410963227</v>
      </c>
      <c r="CK245" s="54" t="e" cm="1">
        <f t="array" ref="CK245">IF($CK$3,INDEX(Eu_tabel_g[[#This Row],[Styrke venstre]:[Styrke tosidet]],CK$7),NA())</f>
        <v>#N/A</v>
      </c>
      <c r="CL245" s="99" t="e">
        <f>Eu_tabel_g[[#This Row],[Falsk positiv
Nulhypotese accepteres
Fejltype 1]]</f>
        <v>#N/A</v>
      </c>
      <c r="CM245" s="99" t="e">
        <f>IF(CHOOSE(CK$7,Eu_tabel_g[[#This Row],[x base]]&gt;0,Eu_tabel_g[[#This Row],[x base]]&lt;0,Eu_tabel_g[[#This Row],[x base]]=0),Eu_tabel_g[[#This Row],[Styrke, aktiv]],NA())</f>
        <v>#N/A</v>
      </c>
      <c r="CN245" s="99" t="e">
        <f>IFERROR(IF($CK$3,Eu_tabel_g[[#This Row],[Styrke, aktiv]],NA()),NA())</f>
        <v>#N/A</v>
      </c>
      <c r="CO245" s="99" t="e">
        <f>IF(ISNA(Eu_tabel_g[[#This Row],[Sand negativ
Nulhypotese afvises
Korrekt]]),NA(),IF($CK$3,1,NA()))</f>
        <v>#N/A</v>
      </c>
      <c r="CP245" s="56" t="str" cm="1">
        <f t="array" ref="CP245">_xlfn.SWITCH(BS245,_xlfn.IFNA(CN$2,-99),CN$5,_xlfn.IFNA(CN$3,-99),CN$6,_xlfn.IFNA(CN$4,-99),CN$7,"")</f>
        <v/>
      </c>
      <c r="CT245" s="7">
        <f t="shared" si="380"/>
        <v>0.8</v>
      </c>
      <c r="CU245">
        <f>IF(ROW(Styrkeberegning_G[[#This Row],[X base venstre]])=ROW(Styrkeberegning_G[[#Headers],[X base venstre]])+1,CU$7/(CT$7/$B$67),CU244/(CT244/$B$67))</f>
        <v>-2.8015817870135784</v>
      </c>
      <c r="CV245">
        <f>Styrkeberegning_G[[#This Row],[X base venstre]]*-1</f>
        <v>2.8015817870135784</v>
      </c>
      <c r="DG245" s="54">
        <f t="shared" si="381"/>
        <v>235</v>
      </c>
      <c r="DH245" s="54">
        <f t="shared" si="382"/>
        <v>236</v>
      </c>
      <c r="DI245" s="54">
        <f t="shared" si="383"/>
        <v>28.640503922648925</v>
      </c>
      <c r="DJ245" s="54" t="e">
        <f t="shared" si="384"/>
        <v>#N/A</v>
      </c>
      <c r="DK245" s="54" t="e">
        <f t="shared" si="385"/>
        <v>#N/A</v>
      </c>
      <c r="DL245" s="54">
        <f t="shared" si="386"/>
        <v>9.1766633261481496E-4</v>
      </c>
      <c r="DM245" s="54" t="e">
        <f t="shared" si="387"/>
        <v>#N/A</v>
      </c>
      <c r="DN245" s="54" t="b">
        <f t="shared" si="388"/>
        <v>0</v>
      </c>
      <c r="DO245" s="54" t="b">
        <f t="shared" si="389"/>
        <v>1</v>
      </c>
      <c r="DP245" s="54" t="b">
        <f t="shared" si="390"/>
        <v>1</v>
      </c>
      <c r="DQ245" s="54" t="b">
        <f t="shared" si="391"/>
        <v>0</v>
      </c>
      <c r="DR245" s="54">
        <f t="shared" si="392"/>
        <v>9.1766633261481496E-4</v>
      </c>
      <c r="DS245" s="54">
        <f t="shared" si="393"/>
        <v>9.1766633261481496E-4</v>
      </c>
      <c r="DT245" s="54" t="e">
        <f t="shared" si="394"/>
        <v>#N/A</v>
      </c>
      <c r="DU245" s="72" t="str">
        <f t="shared" si="395"/>
        <v/>
      </c>
      <c r="DZ245" s="54">
        <f t="shared" si="396"/>
        <v>235</v>
      </c>
      <c r="EA245" s="54">
        <f t="shared" si="397"/>
        <v>236</v>
      </c>
      <c r="EB245" s="54">
        <f t="shared" si="398"/>
        <v>2.539260654680529</v>
      </c>
      <c r="EC245" s="54">
        <f t="shared" si="399"/>
        <v>1.5877363404520835E-2</v>
      </c>
      <c r="ED245" s="54" t="e">
        <f t="shared" si="400"/>
        <v>#N/A</v>
      </c>
      <c r="EE245" s="54" t="e">
        <f t="shared" si="401"/>
        <v>#N/A</v>
      </c>
      <c r="EF245" s="54" t="e">
        <f t="shared" si="402"/>
        <v>#N/A</v>
      </c>
      <c r="EG245" s="54" t="b">
        <f t="shared" si="403"/>
        <v>0</v>
      </c>
      <c r="EH245" s="54" t="b">
        <f t="shared" si="404"/>
        <v>1</v>
      </c>
      <c r="EI245" s="54" t="b">
        <f t="shared" si="405"/>
        <v>1</v>
      </c>
      <c r="EJ245" s="54" t="b">
        <f t="shared" si="406"/>
        <v>0</v>
      </c>
      <c r="EK245" s="54">
        <f t="shared" si="407"/>
        <v>1.5877363404520835E-2</v>
      </c>
      <c r="EL245" s="54">
        <f t="shared" si="408"/>
        <v>1.5877363404520835E-2</v>
      </c>
      <c r="EM245" s="54" t="e">
        <f t="shared" si="409"/>
        <v>#N/A</v>
      </c>
      <c r="EN245" s="72" t="str">
        <f t="shared" si="410"/>
        <v/>
      </c>
      <c r="EO24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4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4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45" s="54" t="e" cm="1">
        <f t="array" ref="ER245">IF($CK$3,INDEX(Eu_tabel_a[[#This Row],[Styrke venstre]:[Styrke tosidet]],ER$7),NA())</f>
        <v>#N/A</v>
      </c>
      <c r="ES245" s="54" t="e">
        <f>IF(ER$3,IF(CHOOSE(ER$7,Eu_tabel_a[[#This Row],[x base]]&gt;0,Eu_tabel_a[[#This Row],[x base]]&lt;0,Eu_tabel_a[[#This Row],[x base]]=0),1,NA()),NA())</f>
        <v>#N/A</v>
      </c>
      <c r="ET245" s="54" t="e">
        <f>IF(CHOOSE(ER$7,Eu_tabel_a[[#This Row],[x base]]&gt;0,Eu_tabel_a[[#This Row],[x base]]&lt;0,Eu_tabel_a[[#This Row],[x base]]=0),Eu_tabel_a[[#This Row],[Styrke, aktiv]],NA())</f>
        <v>#N/A</v>
      </c>
      <c r="EU245" s="54" t="e">
        <f>IFERROR(IF($ER$3,Eu_tabel_a[[#This Row],[Styrke, aktiv]],NA()),NA())</f>
        <v>#N/A</v>
      </c>
      <c r="EV245" s="54" t="e">
        <f>IF(ISNA(Eu_tabel_a[[#This Row],[Sand negativ
Nulhypotese afvises
Korrekt]]),NA(),IF(ER$3,1,NA()))</f>
        <v>#N/A</v>
      </c>
      <c r="EW245" s="55" t="str" cm="1">
        <f t="array" ref="EW245">IFERROR(_xlfn.SWITCH(Eu_tabel_a[[#This Row],[Indeks]],_xlfn.IFNA(EU$2,-99),EU$5,_xlfn.IFNA(EU$3,-99),EU$6,_xlfn.IFNA(EU$4,-99),EU$7,""),"")</f>
        <v/>
      </c>
      <c r="EX245" s="54">
        <f>Eu_tabel_a[[#This Row],[x base]]*SQRT(Eu_a_h0_x*(1-Eu_a_h0_x)/Eu_a_n_x)+Eu_a_h0_x</f>
        <v>0</v>
      </c>
      <c r="FC245" s="161" t="e">
        <f t="shared" si="354"/>
        <v>#N/A</v>
      </c>
      <c r="FD245" s="169" t="e">
        <f t="shared" si="442"/>
        <v>#DIV/0!</v>
      </c>
      <c r="FE245" s="7" t="e">
        <f t="shared" si="348"/>
        <v>#DIV/0!</v>
      </c>
      <c r="FF245" t="e">
        <f t="shared" si="443"/>
        <v>#DIV/0!</v>
      </c>
      <c r="FG245" s="8" t="e">
        <f t="shared" si="444"/>
        <v>#DIV/0!</v>
      </c>
      <c r="FH245" s="8" t="e">
        <f t="shared" si="445"/>
        <v>#DIV/0!</v>
      </c>
      <c r="FI245" s="168" t="e">
        <f t="shared" si="446"/>
        <v>#DIV/0!</v>
      </c>
      <c r="FJ245" s="161" t="e">
        <f t="shared" ca="1" si="349"/>
        <v>#N/A</v>
      </c>
      <c r="FK245" s="169" t="e" vm="3">
        <f t="shared" ca="1" si="355"/>
        <v>#VALUE!</v>
      </c>
      <c r="FL245" s="7" t="e" vm="3">
        <f t="shared" ca="1" si="350"/>
        <v>#VALUE!</v>
      </c>
      <c r="FM245" t="e" vm="3">
        <f t="shared" ca="1" si="344"/>
        <v>#VALUE!</v>
      </c>
      <c r="FN245" s="8" t="e" vm="3">
        <f t="shared" ca="1" si="345"/>
        <v>#VALUE!</v>
      </c>
      <c r="FO245" s="8" t="e" vm="3">
        <f t="shared" ca="1" si="346"/>
        <v>#VALUE!</v>
      </c>
      <c r="FP245" s="168" t="e" vm="3">
        <f t="shared" ca="1" si="347"/>
        <v>#VALUE!</v>
      </c>
      <c r="FQ245" s="161" t="e">
        <f t="shared" si="351"/>
        <v>#N/A</v>
      </c>
      <c r="FR245" s="169" t="e">
        <f t="shared" si="356"/>
        <v>#N/A</v>
      </c>
      <c r="FS245" s="7" t="e">
        <f t="shared" si="352"/>
        <v>#N/A</v>
      </c>
      <c r="FT245" t="e">
        <f t="shared" si="357"/>
        <v>#N/A</v>
      </c>
      <c r="FU245" s="8" t="e">
        <f t="shared" si="358"/>
        <v>#N/A</v>
      </c>
      <c r="FV245" s="8" t="e">
        <f t="shared" si="359"/>
        <v>#N/A</v>
      </c>
      <c r="FW245" s="168" t="e">
        <f t="shared" si="360"/>
        <v>#N/A</v>
      </c>
      <c r="FX245" s="161" t="e">
        <f t="shared" si="361"/>
        <v>#N/A</v>
      </c>
      <c r="FY245" s="169" t="e">
        <f t="shared" si="362"/>
        <v>#N/A</v>
      </c>
      <c r="FZ245" s="7" t="e">
        <f t="shared" si="353"/>
        <v>#N/A</v>
      </c>
      <c r="GA245" t="e">
        <f t="shared" si="363"/>
        <v>#N/A</v>
      </c>
      <c r="GB245" s="8" t="e">
        <f t="shared" si="364"/>
        <v>#N/A</v>
      </c>
      <c r="GC245" s="8" t="e">
        <f t="shared" si="365"/>
        <v>#N/A</v>
      </c>
      <c r="GD245" s="168" t="e">
        <f t="shared" si="366"/>
        <v>#N/A</v>
      </c>
      <c r="GE245" s="168"/>
      <c r="GF245" s="168"/>
      <c r="GI245" s="54">
        <f t="shared" si="411"/>
        <v>235</v>
      </c>
      <c r="GJ245" s="54">
        <f t="shared" si="412"/>
        <v>236</v>
      </c>
      <c r="GK245" s="54">
        <f t="shared" si="413"/>
        <v>2.539260654680529</v>
      </c>
      <c r="GL245" s="54">
        <f t="shared" si="414"/>
        <v>1.5877363404520835E-2</v>
      </c>
      <c r="GM245" s="54" t="e">
        <f t="shared" si="415"/>
        <v>#N/A</v>
      </c>
      <c r="GN245" s="54" t="e">
        <f t="shared" si="416"/>
        <v>#N/A</v>
      </c>
      <c r="GO245" s="54" t="e">
        <f t="shared" si="417"/>
        <v>#N/A</v>
      </c>
      <c r="GP245" s="54" t="b">
        <f t="shared" si="418"/>
        <v>0</v>
      </c>
      <c r="GQ245" s="54" t="b">
        <f t="shared" si="419"/>
        <v>1</v>
      </c>
      <c r="GR245" s="54" t="b">
        <f t="shared" si="420"/>
        <v>1</v>
      </c>
      <c r="GS245" s="54" t="b">
        <f t="shared" si="421"/>
        <v>0</v>
      </c>
      <c r="GT245" s="54">
        <f t="shared" si="422"/>
        <v>1.5877363404520835E-2</v>
      </c>
      <c r="GU245" s="54">
        <f t="shared" si="423"/>
        <v>1.5877363404520835E-2</v>
      </c>
      <c r="GV245" s="54" t="e">
        <f t="shared" si="424"/>
        <v>#N/A</v>
      </c>
      <c r="GW245" s="72" t="str">
        <f t="shared" si="425"/>
        <v/>
      </c>
      <c r="HC245" s="54">
        <f t="shared" si="426"/>
        <v>235</v>
      </c>
      <c r="HD245" s="54">
        <f t="shared" si="427"/>
        <v>236</v>
      </c>
      <c r="HE245" s="54">
        <f t="shared" si="428"/>
        <v>3.9320984545400268</v>
      </c>
      <c r="HF245" s="54" t="e">
        <f t="shared" si="429"/>
        <v>#N/A</v>
      </c>
      <c r="HG245" s="54">
        <f t="shared" si="430"/>
        <v>3.6315839884640327E-3</v>
      </c>
      <c r="HH245" s="54" t="e">
        <f t="shared" si="431"/>
        <v>#N/A</v>
      </c>
      <c r="HI245" s="54" t="e">
        <f t="shared" si="432"/>
        <v>#N/A</v>
      </c>
      <c r="HJ245" s="54" t="b">
        <f t="shared" si="433"/>
        <v>0</v>
      </c>
      <c r="HK245" s="54" t="b">
        <f t="shared" si="434"/>
        <v>1</v>
      </c>
      <c r="HL245" s="54" t="b">
        <f t="shared" si="435"/>
        <v>1</v>
      </c>
      <c r="HM245" s="54" t="b">
        <f t="shared" si="436"/>
        <v>0</v>
      </c>
      <c r="HN245" s="54">
        <f t="shared" si="437"/>
        <v>3.6315839884640327E-3</v>
      </c>
      <c r="HO245" s="54" t="e">
        <f t="shared" si="438"/>
        <v>#N/A</v>
      </c>
      <c r="HP245" s="54">
        <f t="shared" si="439"/>
        <v>3.6315839884640327E-3</v>
      </c>
      <c r="HQ245" s="72" t="str">
        <f t="shared" si="440"/>
        <v/>
      </c>
    </row>
    <row r="246" spans="71:225" x14ac:dyDescent="0.2">
      <c r="BS246" s="54">
        <f t="shared" si="367"/>
        <v>236</v>
      </c>
      <c r="BT246" s="54">
        <f>Eu_tabel_g[[#This Row],[Indeks]]+1</f>
        <v>237</v>
      </c>
      <c r="BU246" s="54">
        <f t="shared" si="368"/>
        <v>2.5632159438756279</v>
      </c>
      <c r="BV246" s="54">
        <f t="shared" si="369"/>
        <v>1.4936065002642981E-2</v>
      </c>
      <c r="BW246" s="54" t="e">
        <f t="shared" si="370"/>
        <v>#N/A</v>
      </c>
      <c r="BX246" s="54" t="e">
        <f t="shared" si="371"/>
        <v>#N/A</v>
      </c>
      <c r="BY246" s="54" t="e">
        <f t="shared" si="372"/>
        <v>#N/A</v>
      </c>
      <c r="BZ246" s="54" t="b">
        <f t="shared" si="373"/>
        <v>0</v>
      </c>
      <c r="CA246" s="54" t="b">
        <f t="shared" si="374"/>
        <v>1</v>
      </c>
      <c r="CB246" s="54" t="b">
        <f t="shared" si="375"/>
        <v>1</v>
      </c>
      <c r="CC246" s="54" t="b">
        <f t="shared" si="376"/>
        <v>0</v>
      </c>
      <c r="CD246" s="54">
        <f t="shared" si="441"/>
        <v>1.4936065002642981E-2</v>
      </c>
      <c r="CE246" s="54">
        <f t="shared" si="377"/>
        <v>1.4936065002642981E-2</v>
      </c>
      <c r="CF246" s="54" t="e">
        <f t="shared" si="378"/>
        <v>#N/A</v>
      </c>
      <c r="CG246" s="72" t="str">
        <f t="shared" si="379"/>
        <v/>
      </c>
      <c r="CH246" s="54">
        <f>_xlfn.NORM.DIST(_xlfn.NORM.INV(1-Eu_g_konfidensniveau,0,1)-Eu_tabel_g[[#This Row],[x base]],0,1,TRUE)</f>
        <v>1.2878078825668795E-5</v>
      </c>
      <c r="CI246" s="54">
        <f>1-_xlfn.NORM.DIST(_xlfn.NORM.INV(Eu_g_konfidensniveau,0,1)-Eu_tabel_g[[#This Row],[x base]],0,1,TRUE)</f>
        <v>0.82078539390681737</v>
      </c>
      <c r="CJ246" s="54">
        <f>_xlfn.NORM.DIST(_xlfn.NORM.INV((1-Eu_g_konfidensniveau)/2,0,1)-Eu_tabel_g[[#This Row],[x base]],0,1,TRUE)+1-_xlfn.NORM.DIST(_xlfn.NORM.INV(1-(1-Eu_g_konfidensniveau)/2,0,1)-Eu_tabel_g[[#This Row],[x base]],0,1,TRUE)</f>
        <v>0.72683250257983512</v>
      </c>
      <c r="CK246" s="54" t="e" cm="1">
        <f t="array" ref="CK246">IF($CK$3,INDEX(Eu_tabel_g[[#This Row],[Styrke venstre]:[Styrke tosidet]],CK$7),NA())</f>
        <v>#N/A</v>
      </c>
      <c r="CL246" s="99" t="e">
        <f>Eu_tabel_g[[#This Row],[Falsk positiv
Nulhypotese accepteres
Fejltype 1]]</f>
        <v>#N/A</v>
      </c>
      <c r="CM246" s="99" t="e">
        <f>IF(CHOOSE(CK$7,Eu_tabel_g[[#This Row],[x base]]&gt;0,Eu_tabel_g[[#This Row],[x base]]&lt;0,Eu_tabel_g[[#This Row],[x base]]=0),Eu_tabel_g[[#This Row],[Styrke, aktiv]],NA())</f>
        <v>#N/A</v>
      </c>
      <c r="CN246" s="99" t="e">
        <f>IFERROR(IF($CK$3,Eu_tabel_g[[#This Row],[Styrke, aktiv]],NA()),NA())</f>
        <v>#N/A</v>
      </c>
      <c r="CO246" s="99" t="e">
        <f>IF(ISNA(Eu_tabel_g[[#This Row],[Sand negativ
Nulhypotese afvises
Korrekt]]),NA(),IF($CK$3,1,NA()))</f>
        <v>#N/A</v>
      </c>
      <c r="CP246" s="56" t="str" cm="1">
        <f t="array" ref="CP246">_xlfn.SWITCH(BS246,_xlfn.IFNA(CN$2,-99),CN$5,_xlfn.IFNA(CN$3,-99),CN$6,_xlfn.IFNA(CN$4,-99),CN$7,"")</f>
        <v/>
      </c>
      <c r="CT246" s="7">
        <f t="shared" si="380"/>
        <v>0.8</v>
      </c>
      <c r="CU246">
        <f>IF(ROW(Styrkeberegning_G[[#This Row],[X base venstre]])=ROW(Styrkeberegning_G[[#Headers],[X base venstre]])+1,CU$7/(CT$7/$B$67),CU245/(CT245/$B$67))</f>
        <v>-2.8015817870135784</v>
      </c>
      <c r="CV246">
        <f>Styrkeberegning_G[[#This Row],[X base venstre]]*-1</f>
        <v>2.8015817870135784</v>
      </c>
      <c r="DG246" s="54">
        <f t="shared" si="381"/>
        <v>236</v>
      </c>
      <c r="DH246" s="54">
        <f t="shared" si="382"/>
        <v>237</v>
      </c>
      <c r="DI246" s="54">
        <f t="shared" si="383"/>
        <v>28.754574779065926</v>
      </c>
      <c r="DJ246" s="54" t="e">
        <f t="shared" si="384"/>
        <v>#N/A</v>
      </c>
      <c r="DK246" s="54" t="e">
        <f t="shared" si="385"/>
        <v>#N/A</v>
      </c>
      <c r="DL246" s="54">
        <f t="shared" si="386"/>
        <v>8.8243546242745981E-4</v>
      </c>
      <c r="DM246" s="54" t="e">
        <f t="shared" si="387"/>
        <v>#N/A</v>
      </c>
      <c r="DN246" s="54" t="b">
        <f t="shared" si="388"/>
        <v>0</v>
      </c>
      <c r="DO246" s="54" t="b">
        <f t="shared" si="389"/>
        <v>1</v>
      </c>
      <c r="DP246" s="54" t="b">
        <f t="shared" si="390"/>
        <v>1</v>
      </c>
      <c r="DQ246" s="54" t="b">
        <f t="shared" si="391"/>
        <v>0</v>
      </c>
      <c r="DR246" s="54">
        <f t="shared" si="392"/>
        <v>8.8243546242745981E-4</v>
      </c>
      <c r="DS246" s="54">
        <f t="shared" si="393"/>
        <v>8.8243546242745981E-4</v>
      </c>
      <c r="DT246" s="54" t="e">
        <f t="shared" si="394"/>
        <v>#N/A</v>
      </c>
      <c r="DU246" s="72" t="str">
        <f t="shared" si="395"/>
        <v/>
      </c>
      <c r="DZ246" s="54">
        <f t="shared" si="396"/>
        <v>236</v>
      </c>
      <c r="EA246" s="54">
        <f t="shared" si="397"/>
        <v>237</v>
      </c>
      <c r="EB246" s="54">
        <f t="shared" si="398"/>
        <v>2.5632159438756279</v>
      </c>
      <c r="EC246" s="54">
        <f t="shared" si="399"/>
        <v>1.4936065002642981E-2</v>
      </c>
      <c r="ED246" s="54" t="e">
        <f t="shared" si="400"/>
        <v>#N/A</v>
      </c>
      <c r="EE246" s="54" t="e">
        <f t="shared" si="401"/>
        <v>#N/A</v>
      </c>
      <c r="EF246" s="54" t="e">
        <f t="shared" si="402"/>
        <v>#N/A</v>
      </c>
      <c r="EG246" s="54" t="b">
        <f t="shared" si="403"/>
        <v>0</v>
      </c>
      <c r="EH246" s="54" t="b">
        <f t="shared" si="404"/>
        <v>1</v>
      </c>
      <c r="EI246" s="54" t="b">
        <f t="shared" si="405"/>
        <v>1</v>
      </c>
      <c r="EJ246" s="54" t="b">
        <f t="shared" si="406"/>
        <v>0</v>
      </c>
      <c r="EK246" s="54">
        <f t="shared" si="407"/>
        <v>1.4936065002642981E-2</v>
      </c>
      <c r="EL246" s="54">
        <f t="shared" si="408"/>
        <v>1.4936065002642981E-2</v>
      </c>
      <c r="EM246" s="54" t="e">
        <f t="shared" si="409"/>
        <v>#N/A</v>
      </c>
      <c r="EN246" s="72" t="str">
        <f t="shared" si="410"/>
        <v/>
      </c>
      <c r="EO24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4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4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46" s="54" t="e" cm="1">
        <f t="array" ref="ER246">IF($CK$3,INDEX(Eu_tabel_a[[#This Row],[Styrke venstre]:[Styrke tosidet]],ER$7),NA())</f>
        <v>#N/A</v>
      </c>
      <c r="ES246" s="54" t="e">
        <f>IF(ER$3,IF(CHOOSE(ER$7,Eu_tabel_a[[#This Row],[x base]]&gt;0,Eu_tabel_a[[#This Row],[x base]]&lt;0,Eu_tabel_a[[#This Row],[x base]]=0),1,NA()),NA())</f>
        <v>#N/A</v>
      </c>
      <c r="ET246" s="54" t="e">
        <f>IF(CHOOSE(ER$7,Eu_tabel_a[[#This Row],[x base]]&gt;0,Eu_tabel_a[[#This Row],[x base]]&lt;0,Eu_tabel_a[[#This Row],[x base]]=0),Eu_tabel_a[[#This Row],[Styrke, aktiv]],NA())</f>
        <v>#N/A</v>
      </c>
      <c r="EU246" s="54" t="e">
        <f>IFERROR(IF($ER$3,Eu_tabel_a[[#This Row],[Styrke, aktiv]],NA()),NA())</f>
        <v>#N/A</v>
      </c>
      <c r="EV246" s="54" t="e">
        <f>IF(ISNA(Eu_tabel_a[[#This Row],[Sand negativ
Nulhypotese afvises
Korrekt]]),NA(),IF(ER$3,1,NA()))</f>
        <v>#N/A</v>
      </c>
      <c r="EW246" s="55" t="str" cm="1">
        <f t="array" ref="EW246">IFERROR(_xlfn.SWITCH(Eu_tabel_a[[#This Row],[Indeks]],_xlfn.IFNA(EU$2,-99),EU$5,_xlfn.IFNA(EU$3,-99),EU$6,_xlfn.IFNA(EU$4,-99),EU$7,""),"")</f>
        <v/>
      </c>
      <c r="EX246" s="54">
        <f>Eu_tabel_a[[#This Row],[x base]]*SQRT(Eu_a_h0_x*(1-Eu_a_h0_x)/Eu_a_n_x)+Eu_a_h0_x</f>
        <v>0</v>
      </c>
      <c r="FC246" s="161" t="e">
        <f t="shared" si="354"/>
        <v>#N/A</v>
      </c>
      <c r="FD246" s="169" t="e">
        <f t="shared" si="442"/>
        <v>#DIV/0!</v>
      </c>
      <c r="FE246" s="7" t="e">
        <f t="shared" si="348"/>
        <v>#DIV/0!</v>
      </c>
      <c r="FF246" t="e">
        <f t="shared" si="443"/>
        <v>#DIV/0!</v>
      </c>
      <c r="FG246" s="8" t="e">
        <f t="shared" si="444"/>
        <v>#DIV/0!</v>
      </c>
      <c r="FH246" s="8" t="e">
        <f t="shared" si="445"/>
        <v>#DIV/0!</v>
      </c>
      <c r="FI246" s="168" t="e">
        <f t="shared" si="446"/>
        <v>#DIV/0!</v>
      </c>
      <c r="FJ246" s="161" t="e">
        <f t="shared" ca="1" si="349"/>
        <v>#N/A</v>
      </c>
      <c r="FK246" s="169" t="e" vm="3">
        <f t="shared" ca="1" si="355"/>
        <v>#VALUE!</v>
      </c>
      <c r="FL246" s="7" t="e" vm="3">
        <f t="shared" ca="1" si="350"/>
        <v>#VALUE!</v>
      </c>
      <c r="FM246" t="e" vm="3">
        <f t="shared" ca="1" si="344"/>
        <v>#VALUE!</v>
      </c>
      <c r="FN246" s="8" t="e" vm="3">
        <f t="shared" ca="1" si="345"/>
        <v>#VALUE!</v>
      </c>
      <c r="FO246" s="8" t="e" vm="3">
        <f t="shared" ca="1" si="346"/>
        <v>#VALUE!</v>
      </c>
      <c r="FP246" s="168" t="e" vm="3">
        <f t="shared" ca="1" si="347"/>
        <v>#VALUE!</v>
      </c>
      <c r="FQ246" s="161" t="e">
        <f t="shared" si="351"/>
        <v>#N/A</v>
      </c>
      <c r="FR246" s="169" t="e">
        <f t="shared" si="356"/>
        <v>#N/A</v>
      </c>
      <c r="FS246" s="7" t="e">
        <f t="shared" si="352"/>
        <v>#N/A</v>
      </c>
      <c r="FT246" t="e">
        <f t="shared" si="357"/>
        <v>#N/A</v>
      </c>
      <c r="FU246" s="8" t="e">
        <f t="shared" si="358"/>
        <v>#N/A</v>
      </c>
      <c r="FV246" s="8" t="e">
        <f t="shared" si="359"/>
        <v>#N/A</v>
      </c>
      <c r="FW246" s="168" t="e">
        <f t="shared" si="360"/>
        <v>#N/A</v>
      </c>
      <c r="FX246" s="161" t="e">
        <f t="shared" si="361"/>
        <v>#N/A</v>
      </c>
      <c r="FY246" s="169" t="e">
        <f t="shared" si="362"/>
        <v>#N/A</v>
      </c>
      <c r="FZ246" s="7" t="e">
        <f t="shared" si="353"/>
        <v>#N/A</v>
      </c>
      <c r="GA246" t="e">
        <f t="shared" si="363"/>
        <v>#N/A</v>
      </c>
      <c r="GB246" s="8" t="e">
        <f t="shared" si="364"/>
        <v>#N/A</v>
      </c>
      <c r="GC246" s="8" t="e">
        <f t="shared" si="365"/>
        <v>#N/A</v>
      </c>
      <c r="GD246" s="168" t="e">
        <f t="shared" si="366"/>
        <v>#N/A</v>
      </c>
      <c r="GE246" s="168"/>
      <c r="GF246" s="168"/>
      <c r="GI246" s="54">
        <f t="shared" si="411"/>
        <v>236</v>
      </c>
      <c r="GJ246" s="54">
        <f t="shared" si="412"/>
        <v>237</v>
      </c>
      <c r="GK246" s="54">
        <f t="shared" si="413"/>
        <v>2.5632159438756279</v>
      </c>
      <c r="GL246" s="54">
        <f t="shared" si="414"/>
        <v>1.4936065002642981E-2</v>
      </c>
      <c r="GM246" s="54" t="e">
        <f t="shared" si="415"/>
        <v>#N/A</v>
      </c>
      <c r="GN246" s="54" t="e">
        <f t="shared" si="416"/>
        <v>#N/A</v>
      </c>
      <c r="GO246" s="54" t="e">
        <f t="shared" si="417"/>
        <v>#N/A</v>
      </c>
      <c r="GP246" s="54" t="b">
        <f t="shared" si="418"/>
        <v>0</v>
      </c>
      <c r="GQ246" s="54" t="b">
        <f t="shared" si="419"/>
        <v>1</v>
      </c>
      <c r="GR246" s="54" t="b">
        <f t="shared" si="420"/>
        <v>1</v>
      </c>
      <c r="GS246" s="54" t="b">
        <f t="shared" si="421"/>
        <v>0</v>
      </c>
      <c r="GT246" s="54">
        <f t="shared" si="422"/>
        <v>1.4936065002642981E-2</v>
      </c>
      <c r="GU246" s="54">
        <f t="shared" si="423"/>
        <v>1.4936065002642981E-2</v>
      </c>
      <c r="GV246" s="54" t="e">
        <f t="shared" si="424"/>
        <v>#N/A</v>
      </c>
      <c r="GW246" s="72" t="str">
        <f t="shared" si="425"/>
        <v/>
      </c>
      <c r="HC246" s="54">
        <f t="shared" si="426"/>
        <v>236</v>
      </c>
      <c r="HD246" s="54">
        <f t="shared" si="427"/>
        <v>237</v>
      </c>
      <c r="HE246" s="54">
        <f t="shared" si="428"/>
        <v>3.9691937229790835</v>
      </c>
      <c r="HF246" s="54" t="e">
        <f t="shared" si="429"/>
        <v>#N/A</v>
      </c>
      <c r="HG246" s="54">
        <f t="shared" si="430"/>
        <v>3.4480547160141203E-3</v>
      </c>
      <c r="HH246" s="54" t="e">
        <f t="shared" si="431"/>
        <v>#N/A</v>
      </c>
      <c r="HI246" s="54" t="e">
        <f t="shared" si="432"/>
        <v>#N/A</v>
      </c>
      <c r="HJ246" s="54" t="b">
        <f t="shared" si="433"/>
        <v>0</v>
      </c>
      <c r="HK246" s="54" t="b">
        <f t="shared" si="434"/>
        <v>1</v>
      </c>
      <c r="HL246" s="54" t="b">
        <f t="shared" si="435"/>
        <v>1</v>
      </c>
      <c r="HM246" s="54" t="b">
        <f t="shared" si="436"/>
        <v>0</v>
      </c>
      <c r="HN246" s="54">
        <f t="shared" si="437"/>
        <v>3.4480547160141203E-3</v>
      </c>
      <c r="HO246" s="54" t="e">
        <f t="shared" si="438"/>
        <v>#N/A</v>
      </c>
      <c r="HP246" s="54">
        <f t="shared" si="439"/>
        <v>3.4480547160141203E-3</v>
      </c>
      <c r="HQ246" s="72" t="str">
        <f t="shared" si="440"/>
        <v/>
      </c>
    </row>
    <row r="247" spans="71:225" x14ac:dyDescent="0.2">
      <c r="BS247" s="54">
        <f t="shared" si="367"/>
        <v>237</v>
      </c>
      <c r="BT247" s="54">
        <f>Eu_tabel_g[[#This Row],[Indeks]]+1</f>
        <v>238</v>
      </c>
      <c r="BU247" s="54">
        <f t="shared" si="368"/>
        <v>2.5871712330707268</v>
      </c>
      <c r="BV247" s="54">
        <f t="shared" si="369"/>
        <v>1.4042511314589706E-2</v>
      </c>
      <c r="BW247" s="54" t="e">
        <f t="shared" si="370"/>
        <v>#N/A</v>
      </c>
      <c r="BX247" s="54" t="e">
        <f t="shared" si="371"/>
        <v>#N/A</v>
      </c>
      <c r="BY247" s="54" t="e">
        <f t="shared" si="372"/>
        <v>#N/A</v>
      </c>
      <c r="BZ247" s="54" t="b">
        <f t="shared" si="373"/>
        <v>0</v>
      </c>
      <c r="CA247" s="54" t="b">
        <f t="shared" si="374"/>
        <v>1</v>
      </c>
      <c r="CB247" s="54" t="b">
        <f t="shared" si="375"/>
        <v>1</v>
      </c>
      <c r="CC247" s="54" t="b">
        <f t="shared" si="376"/>
        <v>0</v>
      </c>
      <c r="CD247" s="54">
        <f t="shared" si="441"/>
        <v>1.4042511314589706E-2</v>
      </c>
      <c r="CE247" s="54">
        <f t="shared" si="377"/>
        <v>1.4042511314589706E-2</v>
      </c>
      <c r="CF247" s="54" t="e">
        <f t="shared" si="378"/>
        <v>#N/A</v>
      </c>
      <c r="CG247" s="72" t="str">
        <f t="shared" si="379"/>
        <v/>
      </c>
      <c r="CH247" s="54">
        <f>_xlfn.NORM.DIST(_xlfn.NORM.INV(1-Eu_g_konfidensniveau,0,1)-Eu_tabel_g[[#This Row],[x base]],0,1,TRUE)</f>
        <v>1.1579840120598073E-5</v>
      </c>
      <c r="CI247" s="54">
        <f>1-_xlfn.NORM.DIST(_xlfn.NORM.INV(Eu_g_konfidensniveau,0,1)-Eu_tabel_g[[#This Row],[x base]],0,1,TRUE)</f>
        <v>0.82698497157704665</v>
      </c>
      <c r="CJ247" s="54">
        <f>_xlfn.NORM.DIST(_xlfn.NORM.INV((1-Eu_g_konfidensniveau)/2,0,1)-Eu_tabel_g[[#This Row],[x base]],0,1,TRUE)+1-_xlfn.NORM.DIST(_xlfn.NORM.INV(1-(1-Eu_g_konfidensniveau)/2,0,1)-Eu_tabel_g[[#This Row],[x base]],0,1,TRUE)</f>
        <v>0.73474102284264009</v>
      </c>
      <c r="CK247" s="54" t="e" cm="1">
        <f t="array" ref="CK247">IF($CK$3,INDEX(Eu_tabel_g[[#This Row],[Styrke venstre]:[Styrke tosidet]],CK$7),NA())</f>
        <v>#N/A</v>
      </c>
      <c r="CL247" s="99" t="e">
        <f>Eu_tabel_g[[#This Row],[Falsk positiv
Nulhypotese accepteres
Fejltype 1]]</f>
        <v>#N/A</v>
      </c>
      <c r="CM247" s="99" t="e">
        <f>IF(CHOOSE(CK$7,Eu_tabel_g[[#This Row],[x base]]&gt;0,Eu_tabel_g[[#This Row],[x base]]&lt;0,Eu_tabel_g[[#This Row],[x base]]=0),Eu_tabel_g[[#This Row],[Styrke, aktiv]],NA())</f>
        <v>#N/A</v>
      </c>
      <c r="CN247" s="99" t="e">
        <f>IFERROR(IF($CK$3,Eu_tabel_g[[#This Row],[Styrke, aktiv]],NA()),NA())</f>
        <v>#N/A</v>
      </c>
      <c r="CO247" s="99" t="e">
        <f>IF(ISNA(Eu_tabel_g[[#This Row],[Sand negativ
Nulhypotese afvises
Korrekt]]),NA(),IF($CK$3,1,NA()))</f>
        <v>#N/A</v>
      </c>
      <c r="CP247" s="56" t="str" cm="1">
        <f t="array" ref="CP247">_xlfn.SWITCH(BS247,_xlfn.IFNA(CN$2,-99),CN$5,_xlfn.IFNA(CN$3,-99),CN$6,_xlfn.IFNA(CN$4,-99),CN$7,"")</f>
        <v/>
      </c>
      <c r="CT247" s="7">
        <f t="shared" si="380"/>
        <v>0.8</v>
      </c>
      <c r="CU247">
        <f>IF(ROW(Styrkeberegning_G[[#This Row],[X base venstre]])=ROW(Styrkeberegning_G[[#Headers],[X base venstre]])+1,CU$7/(CT$7/$B$67),CU246/(CT246/$B$67))</f>
        <v>-2.8015817870135784</v>
      </c>
      <c r="CV247">
        <f>Styrkeberegning_G[[#This Row],[X base venstre]]*-1</f>
        <v>2.8015817870135784</v>
      </c>
      <c r="DG247" s="54">
        <f t="shared" si="381"/>
        <v>237</v>
      </c>
      <c r="DH247" s="54">
        <f t="shared" si="382"/>
        <v>238</v>
      </c>
      <c r="DI247" s="54">
        <f t="shared" si="383"/>
        <v>28.868645635482928</v>
      </c>
      <c r="DJ247" s="54" t="e">
        <f t="shared" si="384"/>
        <v>#N/A</v>
      </c>
      <c r="DK247" s="54" t="e">
        <f t="shared" si="385"/>
        <v>#N/A</v>
      </c>
      <c r="DL247" s="54">
        <f t="shared" si="386"/>
        <v>8.4849707699458045E-4</v>
      </c>
      <c r="DM247" s="54" t="e">
        <f t="shared" si="387"/>
        <v>#N/A</v>
      </c>
      <c r="DN247" s="54" t="b">
        <f t="shared" si="388"/>
        <v>0</v>
      </c>
      <c r="DO247" s="54" t="b">
        <f t="shared" si="389"/>
        <v>1</v>
      </c>
      <c r="DP247" s="54" t="b">
        <f t="shared" si="390"/>
        <v>1</v>
      </c>
      <c r="DQ247" s="54" t="b">
        <f t="shared" si="391"/>
        <v>0</v>
      </c>
      <c r="DR247" s="54">
        <f t="shared" si="392"/>
        <v>8.4849707699458045E-4</v>
      </c>
      <c r="DS247" s="54">
        <f t="shared" si="393"/>
        <v>8.4849707699458045E-4</v>
      </c>
      <c r="DT247" s="54" t="e">
        <f t="shared" si="394"/>
        <v>#N/A</v>
      </c>
      <c r="DU247" s="72" t="str">
        <f t="shared" si="395"/>
        <v/>
      </c>
      <c r="DZ247" s="54">
        <f t="shared" si="396"/>
        <v>237</v>
      </c>
      <c r="EA247" s="54">
        <f t="shared" si="397"/>
        <v>238</v>
      </c>
      <c r="EB247" s="54">
        <f t="shared" si="398"/>
        <v>2.5871712330707268</v>
      </c>
      <c r="EC247" s="54">
        <f t="shared" si="399"/>
        <v>1.4042511314589706E-2</v>
      </c>
      <c r="ED247" s="54" t="e">
        <f t="shared" si="400"/>
        <v>#N/A</v>
      </c>
      <c r="EE247" s="54" t="e">
        <f t="shared" si="401"/>
        <v>#N/A</v>
      </c>
      <c r="EF247" s="54" t="e">
        <f t="shared" si="402"/>
        <v>#N/A</v>
      </c>
      <c r="EG247" s="54" t="b">
        <f t="shared" si="403"/>
        <v>0</v>
      </c>
      <c r="EH247" s="54" t="b">
        <f t="shared" si="404"/>
        <v>1</v>
      </c>
      <c r="EI247" s="54" t="b">
        <f t="shared" si="405"/>
        <v>1</v>
      </c>
      <c r="EJ247" s="54" t="b">
        <f t="shared" si="406"/>
        <v>0</v>
      </c>
      <c r="EK247" s="54">
        <f t="shared" si="407"/>
        <v>1.4042511314589706E-2</v>
      </c>
      <c r="EL247" s="54">
        <f t="shared" si="408"/>
        <v>1.4042511314589706E-2</v>
      </c>
      <c r="EM247" s="54" t="e">
        <f t="shared" si="409"/>
        <v>#N/A</v>
      </c>
      <c r="EN247" s="72" t="str">
        <f t="shared" si="410"/>
        <v/>
      </c>
      <c r="EO24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4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4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47" s="54" t="e" cm="1">
        <f t="array" ref="ER247">IF($CK$3,INDEX(Eu_tabel_a[[#This Row],[Styrke venstre]:[Styrke tosidet]],ER$7),NA())</f>
        <v>#N/A</v>
      </c>
      <c r="ES247" s="54" t="e">
        <f>IF(ER$3,IF(CHOOSE(ER$7,Eu_tabel_a[[#This Row],[x base]]&gt;0,Eu_tabel_a[[#This Row],[x base]]&lt;0,Eu_tabel_a[[#This Row],[x base]]=0),1,NA()),NA())</f>
        <v>#N/A</v>
      </c>
      <c r="ET247" s="54" t="e">
        <f>IF(CHOOSE(ER$7,Eu_tabel_a[[#This Row],[x base]]&gt;0,Eu_tabel_a[[#This Row],[x base]]&lt;0,Eu_tabel_a[[#This Row],[x base]]=0),Eu_tabel_a[[#This Row],[Styrke, aktiv]],NA())</f>
        <v>#N/A</v>
      </c>
      <c r="EU247" s="54" t="e">
        <f>IFERROR(IF($ER$3,Eu_tabel_a[[#This Row],[Styrke, aktiv]],NA()),NA())</f>
        <v>#N/A</v>
      </c>
      <c r="EV247" s="54" t="e">
        <f>IF(ISNA(Eu_tabel_a[[#This Row],[Sand negativ
Nulhypotese afvises
Korrekt]]),NA(),IF(ER$3,1,NA()))</f>
        <v>#N/A</v>
      </c>
      <c r="EW247" s="55" t="str" cm="1">
        <f t="array" ref="EW247">IFERROR(_xlfn.SWITCH(Eu_tabel_a[[#This Row],[Indeks]],_xlfn.IFNA(EU$2,-99),EU$5,_xlfn.IFNA(EU$3,-99),EU$6,_xlfn.IFNA(EU$4,-99),EU$7,""),"")</f>
        <v/>
      </c>
      <c r="EX247" s="54">
        <f>Eu_tabel_a[[#This Row],[x base]]*SQRT(Eu_a_h0_x*(1-Eu_a_h0_x)/Eu_a_n_x)+Eu_a_h0_x</f>
        <v>0</v>
      </c>
      <c r="FC247" s="161" t="e">
        <f t="shared" si="354"/>
        <v>#N/A</v>
      </c>
      <c r="FD247" s="169" t="e">
        <f t="shared" si="442"/>
        <v>#DIV/0!</v>
      </c>
      <c r="FE247" s="7" t="e">
        <f t="shared" si="348"/>
        <v>#DIV/0!</v>
      </c>
      <c r="FF247" t="e">
        <f t="shared" si="443"/>
        <v>#DIV/0!</v>
      </c>
      <c r="FG247" s="8" t="e">
        <f t="shared" si="444"/>
        <v>#DIV/0!</v>
      </c>
      <c r="FH247" s="8" t="e">
        <f t="shared" si="445"/>
        <v>#DIV/0!</v>
      </c>
      <c r="FI247" s="168" t="e">
        <f t="shared" si="446"/>
        <v>#DIV/0!</v>
      </c>
      <c r="FJ247" s="161" t="e">
        <f t="shared" ca="1" si="349"/>
        <v>#N/A</v>
      </c>
      <c r="FK247" s="169" t="e" vm="3">
        <f t="shared" ca="1" si="355"/>
        <v>#VALUE!</v>
      </c>
      <c r="FL247" s="7" t="e" vm="3">
        <f t="shared" ca="1" si="350"/>
        <v>#VALUE!</v>
      </c>
      <c r="FM247" t="e" vm="3">
        <f t="shared" ca="1" si="344"/>
        <v>#VALUE!</v>
      </c>
      <c r="FN247" s="8" t="e" vm="3">
        <f t="shared" ca="1" si="345"/>
        <v>#VALUE!</v>
      </c>
      <c r="FO247" s="8" t="e" vm="3">
        <f t="shared" ca="1" si="346"/>
        <v>#VALUE!</v>
      </c>
      <c r="FP247" s="168" t="e" vm="3">
        <f t="shared" ca="1" si="347"/>
        <v>#VALUE!</v>
      </c>
      <c r="FQ247" s="161" t="e">
        <f t="shared" si="351"/>
        <v>#N/A</v>
      </c>
      <c r="FR247" s="169" t="e">
        <f t="shared" si="356"/>
        <v>#N/A</v>
      </c>
      <c r="FS247" s="7" t="e">
        <f t="shared" si="352"/>
        <v>#N/A</v>
      </c>
      <c r="FT247" t="e">
        <f t="shared" si="357"/>
        <v>#N/A</v>
      </c>
      <c r="FU247" s="8" t="e">
        <f t="shared" si="358"/>
        <v>#N/A</v>
      </c>
      <c r="FV247" s="8" t="e">
        <f t="shared" si="359"/>
        <v>#N/A</v>
      </c>
      <c r="FW247" s="168" t="e">
        <f t="shared" si="360"/>
        <v>#N/A</v>
      </c>
      <c r="FX247" s="161" t="e">
        <f t="shared" si="361"/>
        <v>#N/A</v>
      </c>
      <c r="FY247" s="169" t="e">
        <f t="shared" si="362"/>
        <v>#N/A</v>
      </c>
      <c r="FZ247" s="7" t="e">
        <f t="shared" si="353"/>
        <v>#N/A</v>
      </c>
      <c r="GA247" t="e">
        <f t="shared" si="363"/>
        <v>#N/A</v>
      </c>
      <c r="GB247" s="8" t="e">
        <f t="shared" si="364"/>
        <v>#N/A</v>
      </c>
      <c r="GC247" s="8" t="e">
        <f t="shared" si="365"/>
        <v>#N/A</v>
      </c>
      <c r="GD247" s="168" t="e">
        <f t="shared" si="366"/>
        <v>#N/A</v>
      </c>
      <c r="GE247" s="168"/>
      <c r="GF247" s="168"/>
      <c r="GI247" s="54">
        <f t="shared" si="411"/>
        <v>237</v>
      </c>
      <c r="GJ247" s="54">
        <f t="shared" si="412"/>
        <v>238</v>
      </c>
      <c r="GK247" s="54">
        <f t="shared" si="413"/>
        <v>2.5871712330707268</v>
      </c>
      <c r="GL247" s="54">
        <f t="shared" si="414"/>
        <v>1.4042511314589706E-2</v>
      </c>
      <c r="GM247" s="54" t="e">
        <f t="shared" si="415"/>
        <v>#N/A</v>
      </c>
      <c r="GN247" s="54" t="e">
        <f t="shared" si="416"/>
        <v>#N/A</v>
      </c>
      <c r="GO247" s="54" t="e">
        <f t="shared" si="417"/>
        <v>#N/A</v>
      </c>
      <c r="GP247" s="54" t="b">
        <f t="shared" si="418"/>
        <v>0</v>
      </c>
      <c r="GQ247" s="54" t="b">
        <f t="shared" si="419"/>
        <v>1</v>
      </c>
      <c r="GR247" s="54" t="b">
        <f t="shared" si="420"/>
        <v>1</v>
      </c>
      <c r="GS247" s="54" t="b">
        <f t="shared" si="421"/>
        <v>0</v>
      </c>
      <c r="GT247" s="54">
        <f t="shared" si="422"/>
        <v>1.4042511314589706E-2</v>
      </c>
      <c r="GU247" s="54">
        <f t="shared" si="423"/>
        <v>1.4042511314589706E-2</v>
      </c>
      <c r="GV247" s="54" t="e">
        <f t="shared" si="424"/>
        <v>#N/A</v>
      </c>
      <c r="GW247" s="72" t="str">
        <f t="shared" si="425"/>
        <v/>
      </c>
      <c r="HC247" s="54">
        <f t="shared" si="426"/>
        <v>237</v>
      </c>
      <c r="HD247" s="54">
        <f t="shared" si="427"/>
        <v>238</v>
      </c>
      <c r="HE247" s="54">
        <f t="shared" si="428"/>
        <v>4.0062889914181401</v>
      </c>
      <c r="HF247" s="54" t="e">
        <f t="shared" si="429"/>
        <v>#N/A</v>
      </c>
      <c r="HG247" s="54">
        <f t="shared" si="430"/>
        <v>3.2744098438161427E-3</v>
      </c>
      <c r="HH247" s="54" t="e">
        <f t="shared" si="431"/>
        <v>#N/A</v>
      </c>
      <c r="HI247" s="54" t="e">
        <f t="shared" si="432"/>
        <v>#N/A</v>
      </c>
      <c r="HJ247" s="54" t="b">
        <f t="shared" si="433"/>
        <v>0</v>
      </c>
      <c r="HK247" s="54" t="b">
        <f t="shared" si="434"/>
        <v>1</v>
      </c>
      <c r="HL247" s="54" t="b">
        <f t="shared" si="435"/>
        <v>1</v>
      </c>
      <c r="HM247" s="54" t="b">
        <f t="shared" si="436"/>
        <v>0</v>
      </c>
      <c r="HN247" s="54">
        <f t="shared" si="437"/>
        <v>3.2744098438161427E-3</v>
      </c>
      <c r="HO247" s="54" t="e">
        <f t="shared" si="438"/>
        <v>#N/A</v>
      </c>
      <c r="HP247" s="54">
        <f t="shared" si="439"/>
        <v>3.2744098438161427E-3</v>
      </c>
      <c r="HQ247" s="72" t="str">
        <f t="shared" si="440"/>
        <v/>
      </c>
    </row>
    <row r="248" spans="71:225" x14ac:dyDescent="0.2">
      <c r="BS248" s="54">
        <f t="shared" si="367"/>
        <v>238</v>
      </c>
      <c r="BT248" s="54">
        <f>Eu_tabel_g[[#This Row],[Indeks]]+1</f>
        <v>239</v>
      </c>
      <c r="BU248" s="54">
        <f t="shared" si="368"/>
        <v>2.6111265222658266</v>
      </c>
      <c r="BV248" s="54">
        <f t="shared" si="369"/>
        <v>1.319484058137666E-2</v>
      </c>
      <c r="BW248" s="54" t="e">
        <f t="shared" si="370"/>
        <v>#N/A</v>
      </c>
      <c r="BX248" s="54" t="e">
        <f t="shared" si="371"/>
        <v>#N/A</v>
      </c>
      <c r="BY248" s="54" t="e">
        <f t="shared" si="372"/>
        <v>#N/A</v>
      </c>
      <c r="BZ248" s="54" t="b">
        <f t="shared" si="373"/>
        <v>0</v>
      </c>
      <c r="CA248" s="54" t="b">
        <f t="shared" si="374"/>
        <v>1</v>
      </c>
      <c r="CB248" s="54" t="b">
        <f t="shared" si="375"/>
        <v>1</v>
      </c>
      <c r="CC248" s="54" t="b">
        <f t="shared" si="376"/>
        <v>0</v>
      </c>
      <c r="CD248" s="54">
        <f t="shared" si="441"/>
        <v>1.319484058137666E-2</v>
      </c>
      <c r="CE248" s="54">
        <f t="shared" si="377"/>
        <v>1.319484058137666E-2</v>
      </c>
      <c r="CF248" s="54" t="e">
        <f t="shared" si="378"/>
        <v>#N/A</v>
      </c>
      <c r="CG248" s="72" t="str">
        <f t="shared" si="379"/>
        <v/>
      </c>
      <c r="CH248" s="54">
        <f>_xlfn.NORM.DIST(_xlfn.NORM.INV(1-Eu_g_konfidensniveau,0,1)-Eu_tabel_g[[#This Row],[x base]],0,1,TRUE)</f>
        <v>1.0406758709596886E-5</v>
      </c>
      <c r="CI248" s="54">
        <f>1-_xlfn.NORM.DIST(_xlfn.NORM.INV(Eu_g_konfidensniveau,0,1)-Eu_tabel_g[[#This Row],[x base]],0,1,TRUE)</f>
        <v>0.83304617739848219</v>
      </c>
      <c r="CJ248" s="54">
        <f>_xlfn.NORM.DIST(_xlfn.NORM.INV((1-Eu_g_konfidensniveau)/2,0,1)-Eu_tabel_g[[#This Row],[x base]],0,1,TRUE)+1-_xlfn.NORM.DIST(_xlfn.NORM.INV(1-(1-Eu_g_konfidensniveau)/2,0,1)-Eu_tabel_g[[#This Row],[x base]],0,1,TRUE)</f>
        <v>0.74253164080016687</v>
      </c>
      <c r="CK248" s="54" t="e" cm="1">
        <f t="array" ref="CK248">IF($CK$3,INDEX(Eu_tabel_g[[#This Row],[Styrke venstre]:[Styrke tosidet]],CK$7),NA())</f>
        <v>#N/A</v>
      </c>
      <c r="CL248" s="99" t="e">
        <f>Eu_tabel_g[[#This Row],[Falsk positiv
Nulhypotese accepteres
Fejltype 1]]</f>
        <v>#N/A</v>
      </c>
      <c r="CM248" s="99" t="e">
        <f>IF(CHOOSE(CK$7,Eu_tabel_g[[#This Row],[x base]]&gt;0,Eu_tabel_g[[#This Row],[x base]]&lt;0,Eu_tabel_g[[#This Row],[x base]]=0),Eu_tabel_g[[#This Row],[Styrke, aktiv]],NA())</f>
        <v>#N/A</v>
      </c>
      <c r="CN248" s="99" t="e">
        <f>IFERROR(IF($CK$3,Eu_tabel_g[[#This Row],[Styrke, aktiv]],NA()),NA())</f>
        <v>#N/A</v>
      </c>
      <c r="CO248" s="99" t="e">
        <f>IF(ISNA(Eu_tabel_g[[#This Row],[Sand negativ
Nulhypotese afvises
Korrekt]]),NA(),IF($CK$3,1,NA()))</f>
        <v>#N/A</v>
      </c>
      <c r="CP248" s="56" t="str" cm="1">
        <f t="array" ref="CP248">_xlfn.SWITCH(BS248,_xlfn.IFNA(CN$2,-99),CN$5,_xlfn.IFNA(CN$3,-99),CN$6,_xlfn.IFNA(CN$4,-99),CN$7,"")</f>
        <v/>
      </c>
      <c r="CT248" s="7">
        <f t="shared" si="380"/>
        <v>0.8</v>
      </c>
      <c r="CU248">
        <f>IF(ROW(Styrkeberegning_G[[#This Row],[X base venstre]])=ROW(Styrkeberegning_G[[#Headers],[X base venstre]])+1,CU$7/(CT$7/$B$67),CU247/(CT247/$B$67))</f>
        <v>-2.8015817870135784</v>
      </c>
      <c r="CV248">
        <f>Styrkeberegning_G[[#This Row],[X base venstre]]*-1</f>
        <v>2.8015817870135784</v>
      </c>
      <c r="DG248" s="54">
        <f t="shared" si="381"/>
        <v>238</v>
      </c>
      <c r="DH248" s="54">
        <f t="shared" si="382"/>
        <v>239</v>
      </c>
      <c r="DI248" s="54">
        <f t="shared" si="383"/>
        <v>28.982716491899929</v>
      </c>
      <c r="DJ248" s="54" t="e">
        <f t="shared" si="384"/>
        <v>#N/A</v>
      </c>
      <c r="DK248" s="54" t="e">
        <f t="shared" si="385"/>
        <v>#N/A</v>
      </c>
      <c r="DL248" s="54">
        <f t="shared" si="386"/>
        <v>8.1580663753299219E-4</v>
      </c>
      <c r="DM248" s="54" t="e">
        <f t="shared" si="387"/>
        <v>#N/A</v>
      </c>
      <c r="DN248" s="54" t="b">
        <f t="shared" si="388"/>
        <v>0</v>
      </c>
      <c r="DO248" s="54" t="b">
        <f t="shared" si="389"/>
        <v>1</v>
      </c>
      <c r="DP248" s="54" t="b">
        <f t="shared" si="390"/>
        <v>1</v>
      </c>
      <c r="DQ248" s="54" t="b">
        <f t="shared" si="391"/>
        <v>0</v>
      </c>
      <c r="DR248" s="54">
        <f t="shared" si="392"/>
        <v>8.1580663753299219E-4</v>
      </c>
      <c r="DS248" s="54">
        <f t="shared" si="393"/>
        <v>8.1580663753299219E-4</v>
      </c>
      <c r="DT248" s="54" t="e">
        <f t="shared" si="394"/>
        <v>#N/A</v>
      </c>
      <c r="DU248" s="72" t="str">
        <f t="shared" si="395"/>
        <v/>
      </c>
      <c r="DZ248" s="54">
        <f t="shared" si="396"/>
        <v>238</v>
      </c>
      <c r="EA248" s="54">
        <f t="shared" si="397"/>
        <v>239</v>
      </c>
      <c r="EB248" s="54">
        <f t="shared" si="398"/>
        <v>2.6111265222658266</v>
      </c>
      <c r="EC248" s="54">
        <f t="shared" si="399"/>
        <v>1.319484058137666E-2</v>
      </c>
      <c r="ED248" s="54" t="e">
        <f t="shared" si="400"/>
        <v>#N/A</v>
      </c>
      <c r="EE248" s="54" t="e">
        <f t="shared" si="401"/>
        <v>#N/A</v>
      </c>
      <c r="EF248" s="54" t="e">
        <f t="shared" si="402"/>
        <v>#N/A</v>
      </c>
      <c r="EG248" s="54" t="b">
        <f t="shared" si="403"/>
        <v>0</v>
      </c>
      <c r="EH248" s="54" t="b">
        <f t="shared" si="404"/>
        <v>1</v>
      </c>
      <c r="EI248" s="54" t="b">
        <f t="shared" si="405"/>
        <v>1</v>
      </c>
      <c r="EJ248" s="54" t="b">
        <f t="shared" si="406"/>
        <v>0</v>
      </c>
      <c r="EK248" s="54">
        <f t="shared" si="407"/>
        <v>1.319484058137666E-2</v>
      </c>
      <c r="EL248" s="54">
        <f t="shared" si="408"/>
        <v>1.319484058137666E-2</v>
      </c>
      <c r="EM248" s="54" t="e">
        <f t="shared" si="409"/>
        <v>#N/A</v>
      </c>
      <c r="EN248" s="72" t="str">
        <f t="shared" si="410"/>
        <v/>
      </c>
      <c r="EO24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4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4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48" s="54" t="e" cm="1">
        <f t="array" ref="ER248">IF($CK$3,INDEX(Eu_tabel_a[[#This Row],[Styrke venstre]:[Styrke tosidet]],ER$7),NA())</f>
        <v>#N/A</v>
      </c>
      <c r="ES248" s="54" t="e">
        <f>IF(ER$3,IF(CHOOSE(ER$7,Eu_tabel_a[[#This Row],[x base]]&gt;0,Eu_tabel_a[[#This Row],[x base]]&lt;0,Eu_tabel_a[[#This Row],[x base]]=0),1,NA()),NA())</f>
        <v>#N/A</v>
      </c>
      <c r="ET248" s="54" t="e">
        <f>IF(CHOOSE(ER$7,Eu_tabel_a[[#This Row],[x base]]&gt;0,Eu_tabel_a[[#This Row],[x base]]&lt;0,Eu_tabel_a[[#This Row],[x base]]=0),Eu_tabel_a[[#This Row],[Styrke, aktiv]],NA())</f>
        <v>#N/A</v>
      </c>
      <c r="EU248" s="54" t="e">
        <f>IFERROR(IF($ER$3,Eu_tabel_a[[#This Row],[Styrke, aktiv]],NA()),NA())</f>
        <v>#N/A</v>
      </c>
      <c r="EV248" s="54" t="e">
        <f>IF(ISNA(Eu_tabel_a[[#This Row],[Sand negativ
Nulhypotese afvises
Korrekt]]),NA(),IF(ER$3,1,NA()))</f>
        <v>#N/A</v>
      </c>
      <c r="EW248" s="55" t="str" cm="1">
        <f t="array" ref="EW248">IFERROR(_xlfn.SWITCH(Eu_tabel_a[[#This Row],[Indeks]],_xlfn.IFNA(EU$2,-99),EU$5,_xlfn.IFNA(EU$3,-99),EU$6,_xlfn.IFNA(EU$4,-99),EU$7,""),"")</f>
        <v/>
      </c>
      <c r="EX248" s="54">
        <f>Eu_tabel_a[[#This Row],[x base]]*SQRT(Eu_a_h0_x*(1-Eu_a_h0_x)/Eu_a_n_x)+Eu_a_h0_x</f>
        <v>0</v>
      </c>
      <c r="FC248" s="161" t="e">
        <f t="shared" si="354"/>
        <v>#N/A</v>
      </c>
      <c r="FD248" s="169" t="e">
        <f t="shared" si="442"/>
        <v>#DIV/0!</v>
      </c>
      <c r="FE248" s="7" t="e">
        <f t="shared" si="348"/>
        <v>#DIV/0!</v>
      </c>
      <c r="FF248" t="e">
        <f t="shared" si="443"/>
        <v>#DIV/0!</v>
      </c>
      <c r="FG248" s="8" t="e">
        <f t="shared" si="444"/>
        <v>#DIV/0!</v>
      </c>
      <c r="FH248" s="8" t="e">
        <f t="shared" si="445"/>
        <v>#DIV/0!</v>
      </c>
      <c r="FI248" s="168" t="e">
        <f t="shared" si="446"/>
        <v>#DIV/0!</v>
      </c>
      <c r="FJ248" s="161" t="e">
        <f t="shared" ca="1" si="349"/>
        <v>#N/A</v>
      </c>
      <c r="FK248" s="169" t="e" vm="3">
        <f t="shared" ca="1" si="355"/>
        <v>#VALUE!</v>
      </c>
      <c r="FL248" s="7" t="e" vm="3">
        <f t="shared" ca="1" si="350"/>
        <v>#VALUE!</v>
      </c>
      <c r="FM248" t="e" vm="3">
        <f t="shared" ca="1" si="344"/>
        <v>#VALUE!</v>
      </c>
      <c r="FN248" s="8" t="e" vm="3">
        <f t="shared" ca="1" si="345"/>
        <v>#VALUE!</v>
      </c>
      <c r="FO248" s="8" t="e" vm="3">
        <f t="shared" ca="1" si="346"/>
        <v>#VALUE!</v>
      </c>
      <c r="FP248" s="168" t="e" vm="3">
        <f t="shared" ca="1" si="347"/>
        <v>#VALUE!</v>
      </c>
      <c r="FQ248" s="161" t="e">
        <f t="shared" si="351"/>
        <v>#N/A</v>
      </c>
      <c r="FR248" s="169" t="e">
        <f t="shared" si="356"/>
        <v>#N/A</v>
      </c>
      <c r="FS248" s="7" t="e">
        <f t="shared" si="352"/>
        <v>#N/A</v>
      </c>
      <c r="FT248" t="e">
        <f t="shared" si="357"/>
        <v>#N/A</v>
      </c>
      <c r="FU248" s="8" t="e">
        <f t="shared" si="358"/>
        <v>#N/A</v>
      </c>
      <c r="FV248" s="8" t="e">
        <f t="shared" si="359"/>
        <v>#N/A</v>
      </c>
      <c r="FW248" s="168" t="e">
        <f t="shared" si="360"/>
        <v>#N/A</v>
      </c>
      <c r="FX248" s="161" t="e">
        <f t="shared" si="361"/>
        <v>#N/A</v>
      </c>
      <c r="FY248" s="169" t="e">
        <f t="shared" si="362"/>
        <v>#N/A</v>
      </c>
      <c r="FZ248" s="7" t="e">
        <f t="shared" si="353"/>
        <v>#N/A</v>
      </c>
      <c r="GA248" t="e">
        <f t="shared" si="363"/>
        <v>#N/A</v>
      </c>
      <c r="GB248" s="8" t="e">
        <f t="shared" si="364"/>
        <v>#N/A</v>
      </c>
      <c r="GC248" s="8" t="e">
        <f t="shared" si="365"/>
        <v>#N/A</v>
      </c>
      <c r="GD248" s="168" t="e">
        <f t="shared" si="366"/>
        <v>#N/A</v>
      </c>
      <c r="GE248" s="168"/>
      <c r="GF248" s="168"/>
      <c r="GI248" s="54">
        <f t="shared" si="411"/>
        <v>238</v>
      </c>
      <c r="GJ248" s="54">
        <f t="shared" si="412"/>
        <v>239</v>
      </c>
      <c r="GK248" s="54">
        <f t="shared" si="413"/>
        <v>2.6111265222658266</v>
      </c>
      <c r="GL248" s="54">
        <f t="shared" si="414"/>
        <v>1.319484058137666E-2</v>
      </c>
      <c r="GM248" s="54" t="e">
        <f t="shared" si="415"/>
        <v>#N/A</v>
      </c>
      <c r="GN248" s="54" t="e">
        <f t="shared" si="416"/>
        <v>#N/A</v>
      </c>
      <c r="GO248" s="54" t="e">
        <f t="shared" si="417"/>
        <v>#N/A</v>
      </c>
      <c r="GP248" s="54" t="b">
        <f t="shared" si="418"/>
        <v>0</v>
      </c>
      <c r="GQ248" s="54" t="b">
        <f t="shared" si="419"/>
        <v>1</v>
      </c>
      <c r="GR248" s="54" t="b">
        <f t="shared" si="420"/>
        <v>1</v>
      </c>
      <c r="GS248" s="54" t="b">
        <f t="shared" si="421"/>
        <v>0</v>
      </c>
      <c r="GT248" s="54">
        <f t="shared" si="422"/>
        <v>1.319484058137666E-2</v>
      </c>
      <c r="GU248" s="54">
        <f t="shared" si="423"/>
        <v>1.319484058137666E-2</v>
      </c>
      <c r="GV248" s="54" t="e">
        <f t="shared" si="424"/>
        <v>#N/A</v>
      </c>
      <c r="GW248" s="72" t="str">
        <f t="shared" si="425"/>
        <v/>
      </c>
      <c r="HC248" s="54">
        <f t="shared" si="426"/>
        <v>238</v>
      </c>
      <c r="HD248" s="54">
        <f t="shared" si="427"/>
        <v>239</v>
      </c>
      <c r="HE248" s="54">
        <f t="shared" si="428"/>
        <v>4.0433842598571967</v>
      </c>
      <c r="HF248" s="54" t="e">
        <f t="shared" si="429"/>
        <v>#N/A</v>
      </c>
      <c r="HG248" s="54">
        <f t="shared" si="430"/>
        <v>3.1100928750608632E-3</v>
      </c>
      <c r="HH248" s="54" t="e">
        <f t="shared" si="431"/>
        <v>#N/A</v>
      </c>
      <c r="HI248" s="54" t="e">
        <f t="shared" si="432"/>
        <v>#N/A</v>
      </c>
      <c r="HJ248" s="54" t="b">
        <f t="shared" si="433"/>
        <v>0</v>
      </c>
      <c r="HK248" s="54" t="b">
        <f t="shared" si="434"/>
        <v>1</v>
      </c>
      <c r="HL248" s="54" t="b">
        <f t="shared" si="435"/>
        <v>1</v>
      </c>
      <c r="HM248" s="54" t="b">
        <f t="shared" si="436"/>
        <v>0</v>
      </c>
      <c r="HN248" s="54">
        <f t="shared" si="437"/>
        <v>3.1100928750608632E-3</v>
      </c>
      <c r="HO248" s="54" t="e">
        <f t="shared" si="438"/>
        <v>#N/A</v>
      </c>
      <c r="HP248" s="54">
        <f t="shared" si="439"/>
        <v>3.1100928750608632E-3</v>
      </c>
      <c r="HQ248" s="72" t="str">
        <f t="shared" si="440"/>
        <v/>
      </c>
    </row>
    <row r="249" spans="71:225" x14ac:dyDescent="0.2">
      <c r="BS249" s="54">
        <f t="shared" si="367"/>
        <v>239</v>
      </c>
      <c r="BT249" s="54">
        <f>Eu_tabel_g[[#This Row],[Indeks]]+1</f>
        <v>240</v>
      </c>
      <c r="BU249" s="54">
        <f t="shared" si="368"/>
        <v>2.6350818114609256</v>
      </c>
      <c r="BV249" s="54">
        <f t="shared" si="369"/>
        <v>1.2391226343470832E-2</v>
      </c>
      <c r="BW249" s="54" t="e">
        <f t="shared" si="370"/>
        <v>#N/A</v>
      </c>
      <c r="BX249" s="54" t="e">
        <f t="shared" si="371"/>
        <v>#N/A</v>
      </c>
      <c r="BY249" s="54" t="e">
        <f t="shared" si="372"/>
        <v>#N/A</v>
      </c>
      <c r="BZ249" s="54" t="b">
        <f t="shared" si="373"/>
        <v>0</v>
      </c>
      <c r="CA249" s="54" t="b">
        <f t="shared" si="374"/>
        <v>1</v>
      </c>
      <c r="CB249" s="54" t="b">
        <f t="shared" si="375"/>
        <v>1</v>
      </c>
      <c r="CC249" s="54" t="b">
        <f t="shared" si="376"/>
        <v>0</v>
      </c>
      <c r="CD249" s="54">
        <f t="shared" si="441"/>
        <v>1.2391226343470832E-2</v>
      </c>
      <c r="CE249" s="54">
        <f t="shared" si="377"/>
        <v>1.2391226343470832E-2</v>
      </c>
      <c r="CF249" s="54" t="e">
        <f t="shared" si="378"/>
        <v>#N/A</v>
      </c>
      <c r="CG249" s="72" t="str">
        <f t="shared" si="379"/>
        <v/>
      </c>
      <c r="CH249" s="54">
        <f>_xlfn.NORM.DIST(_xlfn.NORM.INV(1-Eu_g_konfidensniveau,0,1)-Eu_tabel_g[[#This Row],[x base]],0,1,TRUE)</f>
        <v>9.3473768246039475E-6</v>
      </c>
      <c r="CI249" s="54">
        <f>1-_xlfn.NORM.DIST(_xlfn.NORM.INV(Eu_g_konfidensniveau,0,1)-Eu_tabel_g[[#This Row],[x base]],0,1,TRUE)</f>
        <v>0.83896870028264203</v>
      </c>
      <c r="CJ249" s="54">
        <f>_xlfn.NORM.DIST(_xlfn.NORM.INV((1-Eu_g_konfidensniveau)/2,0,1)-Eu_tabel_g[[#This Row],[x base]],0,1,TRUE)+1-_xlfn.NORM.DIST(_xlfn.NORM.INV(1-(1-Eu_g_konfidensniveau)/2,0,1)-Eu_tabel_g[[#This Row],[x base]],0,1,TRUE)</f>
        <v>0.75020170905714301</v>
      </c>
      <c r="CK249" s="54" t="e" cm="1">
        <f t="array" ref="CK249">IF($CK$3,INDEX(Eu_tabel_g[[#This Row],[Styrke venstre]:[Styrke tosidet]],CK$7),NA())</f>
        <v>#N/A</v>
      </c>
      <c r="CL249" s="99" t="e">
        <f>Eu_tabel_g[[#This Row],[Falsk positiv
Nulhypotese accepteres
Fejltype 1]]</f>
        <v>#N/A</v>
      </c>
      <c r="CM249" s="99" t="e">
        <f>IF(CHOOSE(CK$7,Eu_tabel_g[[#This Row],[x base]]&gt;0,Eu_tabel_g[[#This Row],[x base]]&lt;0,Eu_tabel_g[[#This Row],[x base]]=0),Eu_tabel_g[[#This Row],[Styrke, aktiv]],NA())</f>
        <v>#N/A</v>
      </c>
      <c r="CN249" s="99" t="e">
        <f>IFERROR(IF($CK$3,Eu_tabel_g[[#This Row],[Styrke, aktiv]],NA()),NA())</f>
        <v>#N/A</v>
      </c>
      <c r="CO249" s="99" t="e">
        <f>IF(ISNA(Eu_tabel_g[[#This Row],[Sand negativ
Nulhypotese afvises
Korrekt]]),NA(),IF($CK$3,1,NA()))</f>
        <v>#N/A</v>
      </c>
      <c r="CP249" s="56" t="str" cm="1">
        <f t="array" ref="CP249">_xlfn.SWITCH(BS249,_xlfn.IFNA(CN$2,-99),CN$5,_xlfn.IFNA(CN$3,-99),CN$6,_xlfn.IFNA(CN$4,-99),CN$7,"")</f>
        <v/>
      </c>
      <c r="CT249" s="7">
        <f t="shared" si="380"/>
        <v>0.8</v>
      </c>
      <c r="CU249">
        <f>IF(ROW(Styrkeberegning_G[[#This Row],[X base venstre]])=ROW(Styrkeberegning_G[[#Headers],[X base venstre]])+1,CU$7/(CT$7/$B$67),CU248/(CT248/$B$67))</f>
        <v>-2.8015817870135784</v>
      </c>
      <c r="CV249">
        <f>Styrkeberegning_G[[#This Row],[X base venstre]]*-1</f>
        <v>2.8015817870135784</v>
      </c>
      <c r="DG249" s="54">
        <f t="shared" si="381"/>
        <v>239</v>
      </c>
      <c r="DH249" s="54">
        <f t="shared" si="382"/>
        <v>240</v>
      </c>
      <c r="DI249" s="54">
        <f t="shared" si="383"/>
        <v>29.09678734831693</v>
      </c>
      <c r="DJ249" s="54" t="e">
        <f t="shared" si="384"/>
        <v>#N/A</v>
      </c>
      <c r="DK249" s="54" t="e">
        <f t="shared" si="385"/>
        <v>#N/A</v>
      </c>
      <c r="DL249" s="54">
        <f t="shared" si="386"/>
        <v>7.8432100183917892E-4</v>
      </c>
      <c r="DM249" s="54" t="e">
        <f t="shared" si="387"/>
        <v>#N/A</v>
      </c>
      <c r="DN249" s="54" t="b">
        <f t="shared" si="388"/>
        <v>0</v>
      </c>
      <c r="DO249" s="54" t="b">
        <f t="shared" si="389"/>
        <v>1</v>
      </c>
      <c r="DP249" s="54" t="b">
        <f t="shared" si="390"/>
        <v>1</v>
      </c>
      <c r="DQ249" s="54" t="b">
        <f t="shared" si="391"/>
        <v>0</v>
      </c>
      <c r="DR249" s="54">
        <f t="shared" si="392"/>
        <v>7.8432100183917892E-4</v>
      </c>
      <c r="DS249" s="54">
        <f t="shared" si="393"/>
        <v>7.8432100183917892E-4</v>
      </c>
      <c r="DT249" s="54" t="e">
        <f t="shared" si="394"/>
        <v>#N/A</v>
      </c>
      <c r="DU249" s="72" t="str">
        <f t="shared" si="395"/>
        <v/>
      </c>
      <c r="DZ249" s="54">
        <f t="shared" si="396"/>
        <v>239</v>
      </c>
      <c r="EA249" s="54">
        <f t="shared" si="397"/>
        <v>240</v>
      </c>
      <c r="EB249" s="54">
        <f t="shared" si="398"/>
        <v>2.6350818114609256</v>
      </c>
      <c r="EC249" s="54">
        <f t="shared" si="399"/>
        <v>1.2391226343470832E-2</v>
      </c>
      <c r="ED249" s="54" t="e">
        <f t="shared" si="400"/>
        <v>#N/A</v>
      </c>
      <c r="EE249" s="54" t="e">
        <f t="shared" si="401"/>
        <v>#N/A</v>
      </c>
      <c r="EF249" s="54" t="e">
        <f t="shared" si="402"/>
        <v>#N/A</v>
      </c>
      <c r="EG249" s="54" t="b">
        <f t="shared" si="403"/>
        <v>0</v>
      </c>
      <c r="EH249" s="54" t="b">
        <f t="shared" si="404"/>
        <v>1</v>
      </c>
      <c r="EI249" s="54" t="b">
        <f t="shared" si="405"/>
        <v>1</v>
      </c>
      <c r="EJ249" s="54" t="b">
        <f t="shared" si="406"/>
        <v>0</v>
      </c>
      <c r="EK249" s="54">
        <f t="shared" si="407"/>
        <v>1.2391226343470832E-2</v>
      </c>
      <c r="EL249" s="54">
        <f t="shared" si="408"/>
        <v>1.2391226343470832E-2</v>
      </c>
      <c r="EM249" s="54" t="e">
        <f t="shared" si="409"/>
        <v>#N/A</v>
      </c>
      <c r="EN249" s="72" t="str">
        <f t="shared" si="410"/>
        <v/>
      </c>
      <c r="EO24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4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4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49" s="54" t="e" cm="1">
        <f t="array" ref="ER249">IF($CK$3,INDEX(Eu_tabel_a[[#This Row],[Styrke venstre]:[Styrke tosidet]],ER$7),NA())</f>
        <v>#N/A</v>
      </c>
      <c r="ES249" s="54" t="e">
        <f>IF(ER$3,IF(CHOOSE(ER$7,Eu_tabel_a[[#This Row],[x base]]&gt;0,Eu_tabel_a[[#This Row],[x base]]&lt;0,Eu_tabel_a[[#This Row],[x base]]=0),1,NA()),NA())</f>
        <v>#N/A</v>
      </c>
      <c r="ET249" s="54" t="e">
        <f>IF(CHOOSE(ER$7,Eu_tabel_a[[#This Row],[x base]]&gt;0,Eu_tabel_a[[#This Row],[x base]]&lt;0,Eu_tabel_a[[#This Row],[x base]]=0),Eu_tabel_a[[#This Row],[Styrke, aktiv]],NA())</f>
        <v>#N/A</v>
      </c>
      <c r="EU249" s="54" t="e">
        <f>IFERROR(IF($ER$3,Eu_tabel_a[[#This Row],[Styrke, aktiv]],NA()),NA())</f>
        <v>#N/A</v>
      </c>
      <c r="EV249" s="54" t="e">
        <f>IF(ISNA(Eu_tabel_a[[#This Row],[Sand negativ
Nulhypotese afvises
Korrekt]]),NA(),IF(ER$3,1,NA()))</f>
        <v>#N/A</v>
      </c>
      <c r="EW249" s="55" t="str" cm="1">
        <f t="array" ref="EW249">IFERROR(_xlfn.SWITCH(Eu_tabel_a[[#This Row],[Indeks]],_xlfn.IFNA(EU$2,-99),EU$5,_xlfn.IFNA(EU$3,-99),EU$6,_xlfn.IFNA(EU$4,-99),EU$7,""),"")</f>
        <v/>
      </c>
      <c r="EX249" s="54">
        <f>Eu_tabel_a[[#This Row],[x base]]*SQRT(Eu_a_h0_x*(1-Eu_a_h0_x)/Eu_a_n_x)+Eu_a_h0_x</f>
        <v>0</v>
      </c>
      <c r="FC249" s="161" t="e">
        <f t="shared" si="354"/>
        <v>#N/A</v>
      </c>
      <c r="FD249" s="169" t="e">
        <f t="shared" si="442"/>
        <v>#DIV/0!</v>
      </c>
      <c r="FE249" s="7" t="e">
        <f t="shared" si="348"/>
        <v>#DIV/0!</v>
      </c>
      <c r="FF249" t="e">
        <f t="shared" si="443"/>
        <v>#DIV/0!</v>
      </c>
      <c r="FG249" s="8" t="e">
        <f t="shared" si="444"/>
        <v>#DIV/0!</v>
      </c>
      <c r="FH249" s="8" t="e">
        <f t="shared" si="445"/>
        <v>#DIV/0!</v>
      </c>
      <c r="FI249" s="168" t="e">
        <f t="shared" si="446"/>
        <v>#DIV/0!</v>
      </c>
      <c r="FJ249" s="161" t="e">
        <f t="shared" ca="1" si="349"/>
        <v>#N/A</v>
      </c>
      <c r="FK249" s="169" t="e" vm="3">
        <f t="shared" ca="1" si="355"/>
        <v>#VALUE!</v>
      </c>
      <c r="FL249" s="7" t="e" vm="3">
        <f t="shared" ca="1" si="350"/>
        <v>#VALUE!</v>
      </c>
      <c r="FM249" t="e" vm="3">
        <f t="shared" ca="1" si="344"/>
        <v>#VALUE!</v>
      </c>
      <c r="FN249" s="8" t="e" vm="3">
        <f t="shared" ca="1" si="345"/>
        <v>#VALUE!</v>
      </c>
      <c r="FO249" s="8" t="e" vm="3">
        <f t="shared" ca="1" si="346"/>
        <v>#VALUE!</v>
      </c>
      <c r="FP249" s="168" t="e" vm="3">
        <f t="shared" ca="1" si="347"/>
        <v>#VALUE!</v>
      </c>
      <c r="FQ249" s="161" t="e">
        <f t="shared" si="351"/>
        <v>#N/A</v>
      </c>
      <c r="FR249" s="169" t="e">
        <f t="shared" si="356"/>
        <v>#N/A</v>
      </c>
      <c r="FS249" s="7" t="e">
        <f t="shared" si="352"/>
        <v>#N/A</v>
      </c>
      <c r="FT249" t="e">
        <f t="shared" si="357"/>
        <v>#N/A</v>
      </c>
      <c r="FU249" s="8" t="e">
        <f t="shared" si="358"/>
        <v>#N/A</v>
      </c>
      <c r="FV249" s="8" t="e">
        <f t="shared" si="359"/>
        <v>#N/A</v>
      </c>
      <c r="FW249" s="168" t="e">
        <f t="shared" si="360"/>
        <v>#N/A</v>
      </c>
      <c r="FX249" s="161" t="e">
        <f t="shared" si="361"/>
        <v>#N/A</v>
      </c>
      <c r="FY249" s="169" t="e">
        <f t="shared" si="362"/>
        <v>#N/A</v>
      </c>
      <c r="FZ249" s="7" t="e">
        <f t="shared" si="353"/>
        <v>#N/A</v>
      </c>
      <c r="GA249" t="e">
        <f t="shared" si="363"/>
        <v>#N/A</v>
      </c>
      <c r="GB249" s="8" t="e">
        <f t="shared" si="364"/>
        <v>#N/A</v>
      </c>
      <c r="GC249" s="8" t="e">
        <f t="shared" si="365"/>
        <v>#N/A</v>
      </c>
      <c r="GD249" s="168" t="e">
        <f t="shared" si="366"/>
        <v>#N/A</v>
      </c>
      <c r="GE249" s="168"/>
      <c r="GF249" s="168"/>
      <c r="GI249" s="54">
        <f t="shared" si="411"/>
        <v>239</v>
      </c>
      <c r="GJ249" s="54">
        <f t="shared" si="412"/>
        <v>240</v>
      </c>
      <c r="GK249" s="54">
        <f t="shared" si="413"/>
        <v>2.6350818114609256</v>
      </c>
      <c r="GL249" s="54">
        <f t="shared" si="414"/>
        <v>1.2391226343470832E-2</v>
      </c>
      <c r="GM249" s="54" t="e">
        <f t="shared" si="415"/>
        <v>#N/A</v>
      </c>
      <c r="GN249" s="54" t="e">
        <f t="shared" si="416"/>
        <v>#N/A</v>
      </c>
      <c r="GO249" s="54" t="e">
        <f t="shared" si="417"/>
        <v>#N/A</v>
      </c>
      <c r="GP249" s="54" t="b">
        <f t="shared" si="418"/>
        <v>0</v>
      </c>
      <c r="GQ249" s="54" t="b">
        <f t="shared" si="419"/>
        <v>1</v>
      </c>
      <c r="GR249" s="54" t="b">
        <f t="shared" si="420"/>
        <v>1</v>
      </c>
      <c r="GS249" s="54" t="b">
        <f t="shared" si="421"/>
        <v>0</v>
      </c>
      <c r="GT249" s="54">
        <f t="shared" si="422"/>
        <v>1.2391226343470832E-2</v>
      </c>
      <c r="GU249" s="54">
        <f t="shared" si="423"/>
        <v>1.2391226343470832E-2</v>
      </c>
      <c r="GV249" s="54" t="e">
        <f t="shared" si="424"/>
        <v>#N/A</v>
      </c>
      <c r="GW249" s="72" t="str">
        <f t="shared" si="425"/>
        <v/>
      </c>
      <c r="HC249" s="54">
        <f t="shared" si="426"/>
        <v>239</v>
      </c>
      <c r="HD249" s="54">
        <f t="shared" si="427"/>
        <v>240</v>
      </c>
      <c r="HE249" s="54">
        <f t="shared" si="428"/>
        <v>4.0804795282962534</v>
      </c>
      <c r="HF249" s="54" t="e">
        <f t="shared" si="429"/>
        <v>#N/A</v>
      </c>
      <c r="HG249" s="54">
        <f t="shared" si="430"/>
        <v>2.9545793712011021E-3</v>
      </c>
      <c r="HH249" s="54" t="e">
        <f t="shared" si="431"/>
        <v>#N/A</v>
      </c>
      <c r="HI249" s="54" t="e">
        <f t="shared" si="432"/>
        <v>#N/A</v>
      </c>
      <c r="HJ249" s="54" t="b">
        <f t="shared" si="433"/>
        <v>0</v>
      </c>
      <c r="HK249" s="54" t="b">
        <f t="shared" si="434"/>
        <v>1</v>
      </c>
      <c r="HL249" s="54" t="b">
        <f t="shared" si="435"/>
        <v>1</v>
      </c>
      <c r="HM249" s="54" t="b">
        <f t="shared" si="436"/>
        <v>0</v>
      </c>
      <c r="HN249" s="54">
        <f t="shared" si="437"/>
        <v>2.9545793712011021E-3</v>
      </c>
      <c r="HO249" s="54" t="e">
        <f t="shared" si="438"/>
        <v>#N/A</v>
      </c>
      <c r="HP249" s="54">
        <f t="shared" si="439"/>
        <v>2.9545793712011021E-3</v>
      </c>
      <c r="HQ249" s="72" t="str">
        <f t="shared" si="440"/>
        <v/>
      </c>
    </row>
    <row r="250" spans="71:225" x14ac:dyDescent="0.2">
      <c r="BS250" s="54">
        <f t="shared" si="367"/>
        <v>240</v>
      </c>
      <c r="BT250" s="54">
        <f>Eu_tabel_g[[#This Row],[Indeks]]+1</f>
        <v>241</v>
      </c>
      <c r="BU250" s="54">
        <f t="shared" si="368"/>
        <v>2.6590371006560254</v>
      </c>
      <c r="BV250" s="54">
        <f t="shared" si="369"/>
        <v>1.1629879373268774E-2</v>
      </c>
      <c r="BW250" s="54" t="e">
        <f t="shared" si="370"/>
        <v>#N/A</v>
      </c>
      <c r="BX250" s="54" t="e">
        <f t="shared" si="371"/>
        <v>#N/A</v>
      </c>
      <c r="BY250" s="54" t="e">
        <f t="shared" si="372"/>
        <v>#N/A</v>
      </c>
      <c r="BZ250" s="54" t="b">
        <f t="shared" si="373"/>
        <v>0</v>
      </c>
      <c r="CA250" s="54" t="b">
        <f t="shared" si="374"/>
        <v>1</v>
      </c>
      <c r="CB250" s="54" t="b">
        <f t="shared" si="375"/>
        <v>1</v>
      </c>
      <c r="CC250" s="54" t="b">
        <f t="shared" si="376"/>
        <v>0</v>
      </c>
      <c r="CD250" s="54">
        <f t="shared" si="441"/>
        <v>1.1629879373268774E-2</v>
      </c>
      <c r="CE250" s="54">
        <f t="shared" si="377"/>
        <v>1.1629879373268774E-2</v>
      </c>
      <c r="CF250" s="54" t="e">
        <f t="shared" si="378"/>
        <v>#N/A</v>
      </c>
      <c r="CG250" s="72" t="str">
        <f t="shared" si="379"/>
        <v/>
      </c>
      <c r="CH250" s="54">
        <f>_xlfn.NORM.DIST(_xlfn.NORM.INV(1-Eu_g_konfidensniveau,0,1)-Eu_tabel_g[[#This Row],[x base]],0,1,TRUE)</f>
        <v>8.3912230994245577E-6</v>
      </c>
      <c r="CI250" s="54">
        <f>1-_xlfn.NORM.DIST(_xlfn.NORM.INV(Eu_g_konfidensniveau,0,1)-Eu_tabel_g[[#This Row],[x base]],0,1,TRUE)</f>
        <v>0.84475239355334408</v>
      </c>
      <c r="CJ250" s="54">
        <f>_xlfn.NORM.DIST(_xlfn.NORM.INV((1-Eu_g_konfidensniveau)/2,0,1)-Eu_tabel_g[[#This Row],[x base]],0,1,TRUE)+1-_xlfn.NORM.DIST(_xlfn.NORM.INV(1-(1-Eu_g_konfidensniveau)/2,0,1)-Eu_tabel_g[[#This Row],[x base]],0,1,TRUE)</f>
        <v>0.75774875872714709</v>
      </c>
      <c r="CK250" s="54" t="e" cm="1">
        <f t="array" ref="CK250">IF($CK$3,INDEX(Eu_tabel_g[[#This Row],[Styrke venstre]:[Styrke tosidet]],CK$7),NA())</f>
        <v>#N/A</v>
      </c>
      <c r="CL250" s="99" t="e">
        <f>Eu_tabel_g[[#This Row],[Falsk positiv
Nulhypotese accepteres
Fejltype 1]]</f>
        <v>#N/A</v>
      </c>
      <c r="CM250" s="99" t="e">
        <f>IF(CHOOSE(CK$7,Eu_tabel_g[[#This Row],[x base]]&gt;0,Eu_tabel_g[[#This Row],[x base]]&lt;0,Eu_tabel_g[[#This Row],[x base]]=0),Eu_tabel_g[[#This Row],[Styrke, aktiv]],NA())</f>
        <v>#N/A</v>
      </c>
      <c r="CN250" s="99" t="e">
        <f>IFERROR(IF($CK$3,Eu_tabel_g[[#This Row],[Styrke, aktiv]],NA()),NA())</f>
        <v>#N/A</v>
      </c>
      <c r="CO250" s="99" t="e">
        <f>IF(ISNA(Eu_tabel_g[[#This Row],[Sand negativ
Nulhypotese afvises
Korrekt]]),NA(),IF($CK$3,1,NA()))</f>
        <v>#N/A</v>
      </c>
      <c r="CP250" s="56" t="str" cm="1">
        <f t="array" ref="CP250">_xlfn.SWITCH(BS250,_xlfn.IFNA(CN$2,-99),CN$5,_xlfn.IFNA(CN$3,-99),CN$6,_xlfn.IFNA(CN$4,-99),CN$7,"")</f>
        <v/>
      </c>
      <c r="CT250" s="7">
        <f t="shared" si="380"/>
        <v>0.8</v>
      </c>
      <c r="CU250">
        <f>IF(ROW(Styrkeberegning_G[[#This Row],[X base venstre]])=ROW(Styrkeberegning_G[[#Headers],[X base venstre]])+1,CU$7/(CT$7/$B$67),CU249/(CT249/$B$67))</f>
        <v>-2.8015817870135784</v>
      </c>
      <c r="CV250">
        <f>Styrkeberegning_G[[#This Row],[X base venstre]]*-1</f>
        <v>2.8015817870135784</v>
      </c>
      <c r="DG250" s="54">
        <f t="shared" si="381"/>
        <v>240</v>
      </c>
      <c r="DH250" s="54">
        <f t="shared" si="382"/>
        <v>241</v>
      </c>
      <c r="DI250" s="54">
        <f t="shared" si="383"/>
        <v>29.210858204733931</v>
      </c>
      <c r="DJ250" s="54" t="e">
        <f t="shared" si="384"/>
        <v>#N/A</v>
      </c>
      <c r="DK250" s="54" t="e">
        <f t="shared" si="385"/>
        <v>#N/A</v>
      </c>
      <c r="DL250" s="54">
        <f t="shared" si="386"/>
        <v>7.539983872317963E-4</v>
      </c>
      <c r="DM250" s="54" t="e">
        <f t="shared" si="387"/>
        <v>#N/A</v>
      </c>
      <c r="DN250" s="54" t="b">
        <f t="shared" si="388"/>
        <v>0</v>
      </c>
      <c r="DO250" s="54" t="b">
        <f t="shared" si="389"/>
        <v>1</v>
      </c>
      <c r="DP250" s="54" t="b">
        <f t="shared" si="390"/>
        <v>1</v>
      </c>
      <c r="DQ250" s="54" t="b">
        <f t="shared" si="391"/>
        <v>0</v>
      </c>
      <c r="DR250" s="54">
        <f t="shared" si="392"/>
        <v>7.539983872317963E-4</v>
      </c>
      <c r="DS250" s="54">
        <f t="shared" si="393"/>
        <v>7.539983872317963E-4</v>
      </c>
      <c r="DT250" s="54" t="e">
        <f t="shared" si="394"/>
        <v>#N/A</v>
      </c>
      <c r="DU250" s="72" t="str">
        <f t="shared" si="395"/>
        <v/>
      </c>
      <c r="DZ250" s="54">
        <f t="shared" si="396"/>
        <v>240</v>
      </c>
      <c r="EA250" s="54">
        <f t="shared" si="397"/>
        <v>241</v>
      </c>
      <c r="EB250" s="54">
        <f t="shared" si="398"/>
        <v>2.6590371006560254</v>
      </c>
      <c r="EC250" s="54">
        <f t="shared" si="399"/>
        <v>1.1629879373268774E-2</v>
      </c>
      <c r="ED250" s="54" t="e">
        <f t="shared" si="400"/>
        <v>#N/A</v>
      </c>
      <c r="EE250" s="54" t="e">
        <f t="shared" si="401"/>
        <v>#N/A</v>
      </c>
      <c r="EF250" s="54" t="e">
        <f t="shared" si="402"/>
        <v>#N/A</v>
      </c>
      <c r="EG250" s="54" t="b">
        <f t="shared" si="403"/>
        <v>0</v>
      </c>
      <c r="EH250" s="54" t="b">
        <f t="shared" si="404"/>
        <v>1</v>
      </c>
      <c r="EI250" s="54" t="b">
        <f t="shared" si="405"/>
        <v>1</v>
      </c>
      <c r="EJ250" s="54" t="b">
        <f t="shared" si="406"/>
        <v>0</v>
      </c>
      <c r="EK250" s="54">
        <f t="shared" si="407"/>
        <v>1.1629879373268774E-2</v>
      </c>
      <c r="EL250" s="54">
        <f t="shared" si="408"/>
        <v>1.1629879373268774E-2</v>
      </c>
      <c r="EM250" s="54" t="e">
        <f t="shared" si="409"/>
        <v>#N/A</v>
      </c>
      <c r="EN250" s="72" t="str">
        <f t="shared" si="410"/>
        <v/>
      </c>
      <c r="EO25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5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5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50" s="54" t="e" cm="1">
        <f t="array" ref="ER250">IF($CK$3,INDEX(Eu_tabel_a[[#This Row],[Styrke venstre]:[Styrke tosidet]],ER$7),NA())</f>
        <v>#N/A</v>
      </c>
      <c r="ES250" s="54" t="e">
        <f>IF(ER$3,IF(CHOOSE(ER$7,Eu_tabel_a[[#This Row],[x base]]&gt;0,Eu_tabel_a[[#This Row],[x base]]&lt;0,Eu_tabel_a[[#This Row],[x base]]=0),1,NA()),NA())</f>
        <v>#N/A</v>
      </c>
      <c r="ET250" s="54" t="e">
        <f>IF(CHOOSE(ER$7,Eu_tabel_a[[#This Row],[x base]]&gt;0,Eu_tabel_a[[#This Row],[x base]]&lt;0,Eu_tabel_a[[#This Row],[x base]]=0),Eu_tabel_a[[#This Row],[Styrke, aktiv]],NA())</f>
        <v>#N/A</v>
      </c>
      <c r="EU250" s="54" t="e">
        <f>IFERROR(IF($ER$3,Eu_tabel_a[[#This Row],[Styrke, aktiv]],NA()),NA())</f>
        <v>#N/A</v>
      </c>
      <c r="EV250" s="54" t="e">
        <f>IF(ISNA(Eu_tabel_a[[#This Row],[Sand negativ
Nulhypotese afvises
Korrekt]]),NA(),IF(ER$3,1,NA()))</f>
        <v>#N/A</v>
      </c>
      <c r="EW250" s="55" t="str" cm="1">
        <f t="array" ref="EW250">IFERROR(_xlfn.SWITCH(Eu_tabel_a[[#This Row],[Indeks]],_xlfn.IFNA(EU$2,-99),EU$5,_xlfn.IFNA(EU$3,-99),EU$6,_xlfn.IFNA(EU$4,-99),EU$7,""),"")</f>
        <v/>
      </c>
      <c r="EX250" s="54">
        <f>Eu_tabel_a[[#This Row],[x base]]*SQRT(Eu_a_h0_x*(1-Eu_a_h0_x)/Eu_a_n_x)+Eu_a_h0_x</f>
        <v>0</v>
      </c>
      <c r="FC250" s="161" t="e">
        <f t="shared" si="354"/>
        <v>#N/A</v>
      </c>
      <c r="FD250" s="169" t="e">
        <f t="shared" si="442"/>
        <v>#DIV/0!</v>
      </c>
      <c r="FE250" s="7" t="e">
        <f t="shared" si="348"/>
        <v>#DIV/0!</v>
      </c>
      <c r="FF250" t="e">
        <f t="shared" si="443"/>
        <v>#DIV/0!</v>
      </c>
      <c r="FG250" s="8" t="e">
        <f t="shared" si="444"/>
        <v>#DIV/0!</v>
      </c>
      <c r="FH250" s="8" t="e">
        <f t="shared" si="445"/>
        <v>#DIV/0!</v>
      </c>
      <c r="FI250" s="168" t="e">
        <f t="shared" si="446"/>
        <v>#DIV/0!</v>
      </c>
      <c r="FJ250" s="161" t="e">
        <f t="shared" ca="1" si="349"/>
        <v>#N/A</v>
      </c>
      <c r="FK250" s="169" t="e" vm="3">
        <f t="shared" ca="1" si="355"/>
        <v>#VALUE!</v>
      </c>
      <c r="FL250" s="7" t="e" vm="3">
        <f t="shared" ca="1" si="350"/>
        <v>#VALUE!</v>
      </c>
      <c r="FM250" t="e" vm="3">
        <f t="shared" ca="1" si="344"/>
        <v>#VALUE!</v>
      </c>
      <c r="FN250" s="8" t="e" vm="3">
        <f t="shared" ca="1" si="345"/>
        <v>#VALUE!</v>
      </c>
      <c r="FO250" s="8" t="e" vm="3">
        <f t="shared" ca="1" si="346"/>
        <v>#VALUE!</v>
      </c>
      <c r="FP250" s="168" t="e" vm="3">
        <f t="shared" ca="1" si="347"/>
        <v>#VALUE!</v>
      </c>
      <c r="FQ250" s="161" t="e">
        <f t="shared" si="351"/>
        <v>#N/A</v>
      </c>
      <c r="FR250" s="169" t="e">
        <f t="shared" si="356"/>
        <v>#N/A</v>
      </c>
      <c r="FS250" s="7" t="e">
        <f t="shared" si="352"/>
        <v>#N/A</v>
      </c>
      <c r="FT250" t="e">
        <f t="shared" si="357"/>
        <v>#N/A</v>
      </c>
      <c r="FU250" s="8" t="e">
        <f t="shared" si="358"/>
        <v>#N/A</v>
      </c>
      <c r="FV250" s="8" t="e">
        <f t="shared" si="359"/>
        <v>#N/A</v>
      </c>
      <c r="FW250" s="168" t="e">
        <f t="shared" si="360"/>
        <v>#N/A</v>
      </c>
      <c r="FX250" s="161" t="e">
        <f t="shared" si="361"/>
        <v>#N/A</v>
      </c>
      <c r="FY250" s="169" t="e">
        <f t="shared" si="362"/>
        <v>#N/A</v>
      </c>
      <c r="FZ250" s="7" t="e">
        <f t="shared" si="353"/>
        <v>#N/A</v>
      </c>
      <c r="GA250" t="e">
        <f t="shared" si="363"/>
        <v>#N/A</v>
      </c>
      <c r="GB250" s="8" t="e">
        <f t="shared" si="364"/>
        <v>#N/A</v>
      </c>
      <c r="GC250" s="8" t="e">
        <f t="shared" si="365"/>
        <v>#N/A</v>
      </c>
      <c r="GD250" s="168" t="e">
        <f t="shared" si="366"/>
        <v>#N/A</v>
      </c>
      <c r="GE250" s="168"/>
      <c r="GF250" s="168"/>
      <c r="GI250" s="54">
        <f t="shared" si="411"/>
        <v>240</v>
      </c>
      <c r="GJ250" s="54">
        <f t="shared" si="412"/>
        <v>241</v>
      </c>
      <c r="GK250" s="54">
        <f t="shared" si="413"/>
        <v>2.6590371006560254</v>
      </c>
      <c r="GL250" s="54">
        <f t="shared" si="414"/>
        <v>1.1629879373268774E-2</v>
      </c>
      <c r="GM250" s="54" t="e">
        <f t="shared" si="415"/>
        <v>#N/A</v>
      </c>
      <c r="GN250" s="54" t="e">
        <f t="shared" si="416"/>
        <v>#N/A</v>
      </c>
      <c r="GO250" s="54" t="e">
        <f t="shared" si="417"/>
        <v>#N/A</v>
      </c>
      <c r="GP250" s="54" t="b">
        <f t="shared" si="418"/>
        <v>0</v>
      </c>
      <c r="GQ250" s="54" t="b">
        <f t="shared" si="419"/>
        <v>1</v>
      </c>
      <c r="GR250" s="54" t="b">
        <f t="shared" si="420"/>
        <v>1</v>
      </c>
      <c r="GS250" s="54" t="b">
        <f t="shared" si="421"/>
        <v>0</v>
      </c>
      <c r="GT250" s="54">
        <f t="shared" si="422"/>
        <v>1.1629879373268774E-2</v>
      </c>
      <c r="GU250" s="54">
        <f t="shared" si="423"/>
        <v>1.1629879373268774E-2</v>
      </c>
      <c r="GV250" s="54" t="e">
        <f t="shared" si="424"/>
        <v>#N/A</v>
      </c>
      <c r="GW250" s="72" t="str">
        <f t="shared" si="425"/>
        <v/>
      </c>
      <c r="HC250" s="54">
        <f t="shared" si="426"/>
        <v>240</v>
      </c>
      <c r="HD250" s="54">
        <f t="shared" si="427"/>
        <v>241</v>
      </c>
      <c r="HE250" s="54">
        <f t="shared" si="428"/>
        <v>4.11757479673531</v>
      </c>
      <c r="HF250" s="54" t="e">
        <f t="shared" si="429"/>
        <v>#N/A</v>
      </c>
      <c r="HG250" s="54">
        <f t="shared" si="430"/>
        <v>2.8073751156491695E-3</v>
      </c>
      <c r="HH250" s="54" t="e">
        <f t="shared" si="431"/>
        <v>#N/A</v>
      </c>
      <c r="HI250" s="54" t="e">
        <f t="shared" si="432"/>
        <v>#N/A</v>
      </c>
      <c r="HJ250" s="54" t="b">
        <f t="shared" si="433"/>
        <v>0</v>
      </c>
      <c r="HK250" s="54" t="b">
        <f t="shared" si="434"/>
        <v>1</v>
      </c>
      <c r="HL250" s="54" t="b">
        <f t="shared" si="435"/>
        <v>1</v>
      </c>
      <c r="HM250" s="54" t="b">
        <f t="shared" si="436"/>
        <v>0</v>
      </c>
      <c r="HN250" s="54">
        <f t="shared" si="437"/>
        <v>2.8073751156491695E-3</v>
      </c>
      <c r="HO250" s="54" t="e">
        <f t="shared" si="438"/>
        <v>#N/A</v>
      </c>
      <c r="HP250" s="54">
        <f t="shared" si="439"/>
        <v>2.8073751156491695E-3</v>
      </c>
      <c r="HQ250" s="72" t="str">
        <f t="shared" si="440"/>
        <v/>
      </c>
    </row>
    <row r="251" spans="71:225" x14ac:dyDescent="0.2">
      <c r="BS251" s="54">
        <f t="shared" si="367"/>
        <v>241</v>
      </c>
      <c r="BT251" s="54">
        <f>Eu_tabel_g[[#This Row],[Indeks]]+1</f>
        <v>242</v>
      </c>
      <c r="BU251" s="54">
        <f t="shared" si="368"/>
        <v>2.6829923898511243</v>
      </c>
      <c r="BV251" s="54">
        <f t="shared" si="369"/>
        <v>1.0909049386925553E-2</v>
      </c>
      <c r="BW251" s="54" t="e">
        <f t="shared" si="370"/>
        <v>#N/A</v>
      </c>
      <c r="BX251" s="54" t="e">
        <f t="shared" si="371"/>
        <v>#N/A</v>
      </c>
      <c r="BY251" s="54" t="e">
        <f t="shared" si="372"/>
        <v>#N/A</v>
      </c>
      <c r="BZ251" s="54" t="b">
        <f t="shared" si="373"/>
        <v>0</v>
      </c>
      <c r="CA251" s="54" t="b">
        <f t="shared" si="374"/>
        <v>1</v>
      </c>
      <c r="CB251" s="54" t="b">
        <f t="shared" si="375"/>
        <v>1</v>
      </c>
      <c r="CC251" s="54" t="b">
        <f t="shared" si="376"/>
        <v>0</v>
      </c>
      <c r="CD251" s="54">
        <f t="shared" si="441"/>
        <v>1.0909049386925553E-2</v>
      </c>
      <c r="CE251" s="54">
        <f t="shared" si="377"/>
        <v>1.0909049386925553E-2</v>
      </c>
      <c r="CF251" s="54" t="e">
        <f t="shared" si="378"/>
        <v>#N/A</v>
      </c>
      <c r="CG251" s="72" t="str">
        <f t="shared" si="379"/>
        <v/>
      </c>
      <c r="CH251" s="54">
        <f>_xlfn.NORM.DIST(_xlfn.NORM.INV(1-Eu_g_konfidensniveau,0,1)-Eu_tabel_g[[#This Row],[x base]],0,1,TRUE)</f>
        <v>7.5287338512584709E-6</v>
      </c>
      <c r="CI251" s="54">
        <f>1-_xlfn.NORM.DIST(_xlfn.NORM.INV(Eu_g_konfidensniveau,0,1)-Eu_tabel_g[[#This Row],[x base]],0,1,TRUE)</f>
        <v>0.85039727138881704</v>
      </c>
      <c r="CJ251" s="54">
        <f>_xlfn.NORM.DIST(_xlfn.NORM.INV((1-Eu_g_konfidensniveau)/2,0,1)-Eu_tabel_g[[#This Row],[x base]],0,1,TRUE)+1-_xlfn.NORM.DIST(_xlfn.NORM.INV(1-(1-Eu_g_konfidensniveau)/2,0,1)-Eu_tabel_g[[#This Row],[x base]],0,1,TRUE)</f>
        <v>0.76517050080719207</v>
      </c>
      <c r="CK251" s="54" t="e" cm="1">
        <f t="array" ref="CK251">IF($CK$3,INDEX(Eu_tabel_g[[#This Row],[Styrke venstre]:[Styrke tosidet]],CK$7),NA())</f>
        <v>#N/A</v>
      </c>
      <c r="CL251" s="99" t="e">
        <f>Eu_tabel_g[[#This Row],[Falsk positiv
Nulhypotese accepteres
Fejltype 1]]</f>
        <v>#N/A</v>
      </c>
      <c r="CM251" s="99" t="e">
        <f>IF(CHOOSE(CK$7,Eu_tabel_g[[#This Row],[x base]]&gt;0,Eu_tabel_g[[#This Row],[x base]]&lt;0,Eu_tabel_g[[#This Row],[x base]]=0),Eu_tabel_g[[#This Row],[Styrke, aktiv]],NA())</f>
        <v>#N/A</v>
      </c>
      <c r="CN251" s="99" t="e">
        <f>IFERROR(IF($CK$3,Eu_tabel_g[[#This Row],[Styrke, aktiv]],NA()),NA())</f>
        <v>#N/A</v>
      </c>
      <c r="CO251" s="99" t="e">
        <f>IF(ISNA(Eu_tabel_g[[#This Row],[Sand negativ
Nulhypotese afvises
Korrekt]]),NA(),IF($CK$3,1,NA()))</f>
        <v>#N/A</v>
      </c>
      <c r="CP251" s="56" t="str" cm="1">
        <f t="array" ref="CP251">_xlfn.SWITCH(BS251,_xlfn.IFNA(CN$2,-99),CN$5,_xlfn.IFNA(CN$3,-99),CN$6,_xlfn.IFNA(CN$4,-99),CN$7,"")</f>
        <v/>
      </c>
      <c r="CT251" s="7">
        <f t="shared" si="380"/>
        <v>0.8</v>
      </c>
      <c r="CU251">
        <f>IF(ROW(Styrkeberegning_G[[#This Row],[X base venstre]])=ROW(Styrkeberegning_G[[#Headers],[X base venstre]])+1,CU$7/(CT$7/$B$67),CU250/(CT250/$B$67))</f>
        <v>-2.8015817870135784</v>
      </c>
      <c r="CV251">
        <f>Styrkeberegning_G[[#This Row],[X base venstre]]*-1</f>
        <v>2.8015817870135784</v>
      </c>
      <c r="DG251" s="54">
        <f t="shared" si="381"/>
        <v>241</v>
      </c>
      <c r="DH251" s="54">
        <f t="shared" si="382"/>
        <v>242</v>
      </c>
      <c r="DI251" s="54">
        <f t="shared" si="383"/>
        <v>29.324929061150932</v>
      </c>
      <c r="DJ251" s="54" t="e">
        <f t="shared" si="384"/>
        <v>#N/A</v>
      </c>
      <c r="DK251" s="54" t="e">
        <f t="shared" si="385"/>
        <v>#N/A</v>
      </c>
      <c r="DL251" s="54">
        <f t="shared" si="386"/>
        <v>7.2479833413572193E-4</v>
      </c>
      <c r="DM251" s="54" t="e">
        <f t="shared" si="387"/>
        <v>#N/A</v>
      </c>
      <c r="DN251" s="54" t="b">
        <f t="shared" si="388"/>
        <v>0</v>
      </c>
      <c r="DO251" s="54" t="b">
        <f t="shared" si="389"/>
        <v>1</v>
      </c>
      <c r="DP251" s="54" t="b">
        <f t="shared" si="390"/>
        <v>1</v>
      </c>
      <c r="DQ251" s="54" t="b">
        <f t="shared" si="391"/>
        <v>0</v>
      </c>
      <c r="DR251" s="54">
        <f t="shared" si="392"/>
        <v>7.2479833413572193E-4</v>
      </c>
      <c r="DS251" s="54">
        <f t="shared" si="393"/>
        <v>7.2479833413572193E-4</v>
      </c>
      <c r="DT251" s="54" t="e">
        <f t="shared" si="394"/>
        <v>#N/A</v>
      </c>
      <c r="DU251" s="72" t="str">
        <f t="shared" si="395"/>
        <v/>
      </c>
      <c r="DZ251" s="54">
        <f t="shared" si="396"/>
        <v>241</v>
      </c>
      <c r="EA251" s="54">
        <f t="shared" si="397"/>
        <v>242</v>
      </c>
      <c r="EB251" s="54">
        <f t="shared" si="398"/>
        <v>2.6829923898511243</v>
      </c>
      <c r="EC251" s="54">
        <f t="shared" si="399"/>
        <v>1.0909049386925553E-2</v>
      </c>
      <c r="ED251" s="54" t="e">
        <f t="shared" si="400"/>
        <v>#N/A</v>
      </c>
      <c r="EE251" s="54" t="e">
        <f t="shared" si="401"/>
        <v>#N/A</v>
      </c>
      <c r="EF251" s="54" t="e">
        <f t="shared" si="402"/>
        <v>#N/A</v>
      </c>
      <c r="EG251" s="54" t="b">
        <f t="shared" si="403"/>
        <v>0</v>
      </c>
      <c r="EH251" s="54" t="b">
        <f t="shared" si="404"/>
        <v>1</v>
      </c>
      <c r="EI251" s="54" t="b">
        <f t="shared" si="405"/>
        <v>1</v>
      </c>
      <c r="EJ251" s="54" t="b">
        <f t="shared" si="406"/>
        <v>0</v>
      </c>
      <c r="EK251" s="54">
        <f t="shared" si="407"/>
        <v>1.0909049386925553E-2</v>
      </c>
      <c r="EL251" s="54">
        <f t="shared" si="408"/>
        <v>1.0909049386925553E-2</v>
      </c>
      <c r="EM251" s="54" t="e">
        <f t="shared" si="409"/>
        <v>#N/A</v>
      </c>
      <c r="EN251" s="72" t="str">
        <f t="shared" si="410"/>
        <v/>
      </c>
      <c r="EO25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5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5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51" s="54" t="e" cm="1">
        <f t="array" ref="ER251">IF($CK$3,INDEX(Eu_tabel_a[[#This Row],[Styrke venstre]:[Styrke tosidet]],ER$7),NA())</f>
        <v>#N/A</v>
      </c>
      <c r="ES251" s="54" t="e">
        <f>IF(ER$3,IF(CHOOSE(ER$7,Eu_tabel_a[[#This Row],[x base]]&gt;0,Eu_tabel_a[[#This Row],[x base]]&lt;0,Eu_tabel_a[[#This Row],[x base]]=0),1,NA()),NA())</f>
        <v>#N/A</v>
      </c>
      <c r="ET251" s="54" t="e">
        <f>IF(CHOOSE(ER$7,Eu_tabel_a[[#This Row],[x base]]&gt;0,Eu_tabel_a[[#This Row],[x base]]&lt;0,Eu_tabel_a[[#This Row],[x base]]=0),Eu_tabel_a[[#This Row],[Styrke, aktiv]],NA())</f>
        <v>#N/A</v>
      </c>
      <c r="EU251" s="54" t="e">
        <f>IFERROR(IF($ER$3,Eu_tabel_a[[#This Row],[Styrke, aktiv]],NA()),NA())</f>
        <v>#N/A</v>
      </c>
      <c r="EV251" s="54" t="e">
        <f>IF(ISNA(Eu_tabel_a[[#This Row],[Sand negativ
Nulhypotese afvises
Korrekt]]),NA(),IF(ER$3,1,NA()))</f>
        <v>#N/A</v>
      </c>
      <c r="EW251" s="55" t="str" cm="1">
        <f t="array" ref="EW251">IFERROR(_xlfn.SWITCH(Eu_tabel_a[[#This Row],[Indeks]],_xlfn.IFNA(EU$2,-99),EU$5,_xlfn.IFNA(EU$3,-99),EU$6,_xlfn.IFNA(EU$4,-99),EU$7,""),"")</f>
        <v/>
      </c>
      <c r="EX251" s="54">
        <f>Eu_tabel_a[[#This Row],[x base]]*SQRT(Eu_a_h0_x*(1-Eu_a_h0_x)/Eu_a_n_x)+Eu_a_h0_x</f>
        <v>0</v>
      </c>
      <c r="FC251" s="161" t="e">
        <f t="shared" si="354"/>
        <v>#N/A</v>
      </c>
      <c r="FD251" s="169" t="e">
        <f t="shared" si="442"/>
        <v>#DIV/0!</v>
      </c>
      <c r="FE251" s="7" t="e">
        <f t="shared" si="348"/>
        <v>#DIV/0!</v>
      </c>
      <c r="FF251" t="e">
        <f t="shared" si="443"/>
        <v>#DIV/0!</v>
      </c>
      <c r="FG251" s="8" t="e">
        <f t="shared" si="444"/>
        <v>#DIV/0!</v>
      </c>
      <c r="FH251" s="8" t="e">
        <f t="shared" si="445"/>
        <v>#DIV/0!</v>
      </c>
      <c r="FI251" s="168" t="e">
        <f t="shared" si="446"/>
        <v>#DIV/0!</v>
      </c>
      <c r="FJ251" s="161" t="e">
        <f t="shared" ca="1" si="349"/>
        <v>#N/A</v>
      </c>
      <c r="FK251" s="169" t="e" vm="3">
        <f t="shared" ca="1" si="355"/>
        <v>#VALUE!</v>
      </c>
      <c r="FL251" s="7" t="e" vm="3">
        <f t="shared" ca="1" si="350"/>
        <v>#VALUE!</v>
      </c>
      <c r="FM251" t="e" vm="3">
        <f t="shared" ca="1" si="344"/>
        <v>#VALUE!</v>
      </c>
      <c r="FN251" s="8" t="e" vm="3">
        <f t="shared" ca="1" si="345"/>
        <v>#VALUE!</v>
      </c>
      <c r="FO251" s="8" t="e" vm="3">
        <f t="shared" ca="1" si="346"/>
        <v>#VALUE!</v>
      </c>
      <c r="FP251" s="168" t="e" vm="3">
        <f t="shared" ca="1" si="347"/>
        <v>#VALUE!</v>
      </c>
      <c r="FQ251" s="161" t="e">
        <f t="shared" si="351"/>
        <v>#N/A</v>
      </c>
      <c r="FR251" s="169" t="e">
        <f t="shared" si="356"/>
        <v>#N/A</v>
      </c>
      <c r="FS251" s="7" t="e">
        <f t="shared" si="352"/>
        <v>#N/A</v>
      </c>
      <c r="FT251" t="e">
        <f t="shared" si="357"/>
        <v>#N/A</v>
      </c>
      <c r="FU251" s="8" t="e">
        <f t="shared" si="358"/>
        <v>#N/A</v>
      </c>
      <c r="FV251" s="8" t="e">
        <f t="shared" si="359"/>
        <v>#N/A</v>
      </c>
      <c r="FW251" s="168" t="e">
        <f t="shared" si="360"/>
        <v>#N/A</v>
      </c>
      <c r="FX251" s="161" t="e">
        <f t="shared" si="361"/>
        <v>#N/A</v>
      </c>
      <c r="FY251" s="169" t="e">
        <f t="shared" si="362"/>
        <v>#N/A</v>
      </c>
      <c r="FZ251" s="7" t="e">
        <f t="shared" si="353"/>
        <v>#N/A</v>
      </c>
      <c r="GA251" t="e">
        <f t="shared" si="363"/>
        <v>#N/A</v>
      </c>
      <c r="GB251" s="8" t="e">
        <f t="shared" si="364"/>
        <v>#N/A</v>
      </c>
      <c r="GC251" s="8" t="e">
        <f t="shared" si="365"/>
        <v>#N/A</v>
      </c>
      <c r="GD251" s="168" t="e">
        <f t="shared" si="366"/>
        <v>#N/A</v>
      </c>
      <c r="GE251" s="168"/>
      <c r="GF251" s="168"/>
      <c r="GI251" s="54">
        <f t="shared" si="411"/>
        <v>241</v>
      </c>
      <c r="GJ251" s="54">
        <f t="shared" si="412"/>
        <v>242</v>
      </c>
      <c r="GK251" s="54">
        <f t="shared" si="413"/>
        <v>2.6829923898511243</v>
      </c>
      <c r="GL251" s="54">
        <f t="shared" si="414"/>
        <v>1.0909049386925553E-2</v>
      </c>
      <c r="GM251" s="54" t="e">
        <f t="shared" si="415"/>
        <v>#N/A</v>
      </c>
      <c r="GN251" s="54" t="e">
        <f t="shared" si="416"/>
        <v>#N/A</v>
      </c>
      <c r="GO251" s="54" t="e">
        <f t="shared" si="417"/>
        <v>#N/A</v>
      </c>
      <c r="GP251" s="54" t="b">
        <f t="shared" si="418"/>
        <v>0</v>
      </c>
      <c r="GQ251" s="54" t="b">
        <f t="shared" si="419"/>
        <v>1</v>
      </c>
      <c r="GR251" s="54" t="b">
        <f t="shared" si="420"/>
        <v>1</v>
      </c>
      <c r="GS251" s="54" t="b">
        <f t="shared" si="421"/>
        <v>0</v>
      </c>
      <c r="GT251" s="54">
        <f t="shared" si="422"/>
        <v>1.0909049386925553E-2</v>
      </c>
      <c r="GU251" s="54">
        <f t="shared" si="423"/>
        <v>1.0909049386925553E-2</v>
      </c>
      <c r="GV251" s="54" t="e">
        <f t="shared" si="424"/>
        <v>#N/A</v>
      </c>
      <c r="GW251" s="72" t="str">
        <f t="shared" si="425"/>
        <v/>
      </c>
      <c r="HC251" s="54">
        <f t="shared" si="426"/>
        <v>241</v>
      </c>
      <c r="HD251" s="54">
        <f t="shared" si="427"/>
        <v>242</v>
      </c>
      <c r="HE251" s="54">
        <f t="shared" si="428"/>
        <v>4.1546700651743667</v>
      </c>
      <c r="HF251" s="54" t="e">
        <f t="shared" si="429"/>
        <v>#N/A</v>
      </c>
      <c r="HG251" s="54">
        <f t="shared" si="430"/>
        <v>2.6680143770795384E-3</v>
      </c>
      <c r="HH251" s="54" t="e">
        <f t="shared" si="431"/>
        <v>#N/A</v>
      </c>
      <c r="HI251" s="54" t="e">
        <f t="shared" si="432"/>
        <v>#N/A</v>
      </c>
      <c r="HJ251" s="54" t="b">
        <f t="shared" si="433"/>
        <v>0</v>
      </c>
      <c r="HK251" s="54" t="b">
        <f t="shared" si="434"/>
        <v>1</v>
      </c>
      <c r="HL251" s="54" t="b">
        <f t="shared" si="435"/>
        <v>1</v>
      </c>
      <c r="HM251" s="54" t="b">
        <f t="shared" si="436"/>
        <v>0</v>
      </c>
      <c r="HN251" s="54">
        <f t="shared" si="437"/>
        <v>2.6680143770795384E-3</v>
      </c>
      <c r="HO251" s="54" t="e">
        <f t="shared" si="438"/>
        <v>#N/A</v>
      </c>
      <c r="HP251" s="54">
        <f t="shared" si="439"/>
        <v>2.6680143770795384E-3</v>
      </c>
      <c r="HQ251" s="72" t="str">
        <f t="shared" si="440"/>
        <v/>
      </c>
    </row>
    <row r="252" spans="71:225" x14ac:dyDescent="0.2">
      <c r="BS252" s="54">
        <f t="shared" si="367"/>
        <v>242</v>
      </c>
      <c r="BT252" s="54">
        <f>Eu_tabel_g[[#This Row],[Indeks]]+1</f>
        <v>243</v>
      </c>
      <c r="BU252" s="54">
        <f t="shared" si="368"/>
        <v>2.7069476790462241</v>
      </c>
      <c r="BV252" s="54">
        <f t="shared" si="369"/>
        <v>1.0227026543258957E-2</v>
      </c>
      <c r="BW252" s="54" t="e">
        <f t="shared" si="370"/>
        <v>#N/A</v>
      </c>
      <c r="BX252" s="54" t="e">
        <f t="shared" si="371"/>
        <v>#N/A</v>
      </c>
      <c r="BY252" s="54" t="e">
        <f t="shared" si="372"/>
        <v>#N/A</v>
      </c>
      <c r="BZ252" s="54" t="b">
        <f t="shared" si="373"/>
        <v>0</v>
      </c>
      <c r="CA252" s="54" t="b">
        <f t="shared" si="374"/>
        <v>1</v>
      </c>
      <c r="CB252" s="54" t="b">
        <f t="shared" si="375"/>
        <v>1</v>
      </c>
      <c r="CC252" s="54" t="b">
        <f t="shared" si="376"/>
        <v>0</v>
      </c>
      <c r="CD252" s="54">
        <f t="shared" si="441"/>
        <v>1.0227026543258957E-2</v>
      </c>
      <c r="CE252" s="54">
        <f t="shared" si="377"/>
        <v>1.0227026543258957E-2</v>
      </c>
      <c r="CF252" s="54" t="e">
        <f t="shared" si="378"/>
        <v>#N/A</v>
      </c>
      <c r="CG252" s="72" t="str">
        <f t="shared" si="379"/>
        <v/>
      </c>
      <c r="CH252" s="54">
        <f>_xlfn.NORM.DIST(_xlfn.NORM.INV(1-Eu_g_konfidensniveau,0,1)-Eu_tabel_g[[#This Row],[x base]],0,1,TRUE)</f>
        <v>6.7511800519646735E-6</v>
      </c>
      <c r="CI252" s="54">
        <f>1-_xlfn.NORM.DIST(_xlfn.NORM.INV(Eu_g_konfidensniveau,0,1)-Eu_tabel_g[[#This Row],[x base]],0,1,TRUE)</f>
        <v>0.85590350498249024</v>
      </c>
      <c r="CJ252" s="54">
        <f>_xlfn.NORM.DIST(_xlfn.NORM.INV((1-Eu_g_konfidensniveau)/2,0,1)-Eu_tabel_g[[#This Row],[x base]],0,1,TRUE)+1-_xlfn.NORM.DIST(_xlfn.NORM.INV(1-(1-Eu_g_konfidensniveau)/2,0,1)-Eu_tabel_g[[#This Row],[x base]],0,1,TRUE)</f>
        <v>0.77246482712333397</v>
      </c>
      <c r="CK252" s="54" t="e" cm="1">
        <f t="array" ref="CK252">IF($CK$3,INDEX(Eu_tabel_g[[#This Row],[Styrke venstre]:[Styrke tosidet]],CK$7),NA())</f>
        <v>#N/A</v>
      </c>
      <c r="CL252" s="99" t="e">
        <f>Eu_tabel_g[[#This Row],[Falsk positiv
Nulhypotese accepteres
Fejltype 1]]</f>
        <v>#N/A</v>
      </c>
      <c r="CM252" s="99" t="e">
        <f>IF(CHOOSE(CK$7,Eu_tabel_g[[#This Row],[x base]]&gt;0,Eu_tabel_g[[#This Row],[x base]]&lt;0,Eu_tabel_g[[#This Row],[x base]]=0),Eu_tabel_g[[#This Row],[Styrke, aktiv]],NA())</f>
        <v>#N/A</v>
      </c>
      <c r="CN252" s="99" t="e">
        <f>IFERROR(IF($CK$3,Eu_tabel_g[[#This Row],[Styrke, aktiv]],NA()),NA())</f>
        <v>#N/A</v>
      </c>
      <c r="CO252" s="99" t="e">
        <f>IF(ISNA(Eu_tabel_g[[#This Row],[Sand negativ
Nulhypotese afvises
Korrekt]]),NA(),IF($CK$3,1,NA()))</f>
        <v>#N/A</v>
      </c>
      <c r="CP252" s="56" t="str" cm="1">
        <f t="array" ref="CP252">_xlfn.SWITCH(BS252,_xlfn.IFNA(CN$2,-99),CN$5,_xlfn.IFNA(CN$3,-99),CN$6,_xlfn.IFNA(CN$4,-99),CN$7,"")</f>
        <v/>
      </c>
      <c r="CT252" s="7">
        <f t="shared" si="380"/>
        <v>0.8</v>
      </c>
      <c r="CU252">
        <f>IF(ROW(Styrkeberegning_G[[#This Row],[X base venstre]])=ROW(Styrkeberegning_G[[#Headers],[X base venstre]])+1,CU$7/(CT$7/$B$67),CU251/(CT251/$B$67))</f>
        <v>-2.8015817870135784</v>
      </c>
      <c r="CV252">
        <f>Styrkeberegning_G[[#This Row],[X base venstre]]*-1</f>
        <v>2.8015817870135784</v>
      </c>
      <c r="DG252" s="54">
        <f t="shared" si="381"/>
        <v>242</v>
      </c>
      <c r="DH252" s="54">
        <f t="shared" si="382"/>
        <v>243</v>
      </c>
      <c r="DI252" s="54">
        <f t="shared" si="383"/>
        <v>29.438999917567934</v>
      </c>
      <c r="DJ252" s="54" t="e">
        <f t="shared" si="384"/>
        <v>#N/A</v>
      </c>
      <c r="DK252" s="54" t="e">
        <f t="shared" si="385"/>
        <v>#N/A</v>
      </c>
      <c r="DL252" s="54">
        <f t="shared" si="386"/>
        <v>6.966816703159669E-4</v>
      </c>
      <c r="DM252" s="54" t="e">
        <f t="shared" si="387"/>
        <v>#N/A</v>
      </c>
      <c r="DN252" s="54" t="b">
        <f t="shared" si="388"/>
        <v>0</v>
      </c>
      <c r="DO252" s="54" t="b">
        <f t="shared" si="389"/>
        <v>1</v>
      </c>
      <c r="DP252" s="54" t="b">
        <f t="shared" si="390"/>
        <v>1</v>
      </c>
      <c r="DQ252" s="54" t="b">
        <f t="shared" si="391"/>
        <v>0</v>
      </c>
      <c r="DR252" s="54">
        <f t="shared" si="392"/>
        <v>6.966816703159669E-4</v>
      </c>
      <c r="DS252" s="54">
        <f t="shared" si="393"/>
        <v>6.966816703159669E-4</v>
      </c>
      <c r="DT252" s="54" t="e">
        <f t="shared" si="394"/>
        <v>#N/A</v>
      </c>
      <c r="DU252" s="72" t="str">
        <f t="shared" si="395"/>
        <v/>
      </c>
      <c r="DZ252" s="54">
        <f t="shared" si="396"/>
        <v>242</v>
      </c>
      <c r="EA252" s="54">
        <f t="shared" si="397"/>
        <v>243</v>
      </c>
      <c r="EB252" s="54">
        <f t="shared" si="398"/>
        <v>2.7069476790462241</v>
      </c>
      <c r="EC252" s="54">
        <f t="shared" si="399"/>
        <v>1.0227026543258957E-2</v>
      </c>
      <c r="ED252" s="54" t="e">
        <f t="shared" si="400"/>
        <v>#N/A</v>
      </c>
      <c r="EE252" s="54" t="e">
        <f t="shared" si="401"/>
        <v>#N/A</v>
      </c>
      <c r="EF252" s="54" t="e">
        <f t="shared" si="402"/>
        <v>#N/A</v>
      </c>
      <c r="EG252" s="54" t="b">
        <f t="shared" si="403"/>
        <v>0</v>
      </c>
      <c r="EH252" s="54" t="b">
        <f t="shared" si="404"/>
        <v>1</v>
      </c>
      <c r="EI252" s="54" t="b">
        <f t="shared" si="405"/>
        <v>1</v>
      </c>
      <c r="EJ252" s="54" t="b">
        <f t="shared" si="406"/>
        <v>0</v>
      </c>
      <c r="EK252" s="54">
        <f t="shared" si="407"/>
        <v>1.0227026543258957E-2</v>
      </c>
      <c r="EL252" s="54">
        <f t="shared" si="408"/>
        <v>1.0227026543258957E-2</v>
      </c>
      <c r="EM252" s="54" t="e">
        <f t="shared" si="409"/>
        <v>#N/A</v>
      </c>
      <c r="EN252" s="72" t="str">
        <f t="shared" si="410"/>
        <v/>
      </c>
      <c r="EO25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5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5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52" s="54" t="e" cm="1">
        <f t="array" ref="ER252">IF($CK$3,INDEX(Eu_tabel_a[[#This Row],[Styrke venstre]:[Styrke tosidet]],ER$7),NA())</f>
        <v>#N/A</v>
      </c>
      <c r="ES252" s="54" t="e">
        <f>IF(ER$3,IF(CHOOSE(ER$7,Eu_tabel_a[[#This Row],[x base]]&gt;0,Eu_tabel_a[[#This Row],[x base]]&lt;0,Eu_tabel_a[[#This Row],[x base]]=0),1,NA()),NA())</f>
        <v>#N/A</v>
      </c>
      <c r="ET252" s="54" t="e">
        <f>IF(CHOOSE(ER$7,Eu_tabel_a[[#This Row],[x base]]&gt;0,Eu_tabel_a[[#This Row],[x base]]&lt;0,Eu_tabel_a[[#This Row],[x base]]=0),Eu_tabel_a[[#This Row],[Styrke, aktiv]],NA())</f>
        <v>#N/A</v>
      </c>
      <c r="EU252" s="54" t="e">
        <f>IFERROR(IF($ER$3,Eu_tabel_a[[#This Row],[Styrke, aktiv]],NA()),NA())</f>
        <v>#N/A</v>
      </c>
      <c r="EV252" s="54" t="e">
        <f>IF(ISNA(Eu_tabel_a[[#This Row],[Sand negativ
Nulhypotese afvises
Korrekt]]),NA(),IF(ER$3,1,NA()))</f>
        <v>#N/A</v>
      </c>
      <c r="EW252" s="55" t="str" cm="1">
        <f t="array" ref="EW252">IFERROR(_xlfn.SWITCH(Eu_tabel_a[[#This Row],[Indeks]],_xlfn.IFNA(EU$2,-99),EU$5,_xlfn.IFNA(EU$3,-99),EU$6,_xlfn.IFNA(EU$4,-99),EU$7,""),"")</f>
        <v/>
      </c>
      <c r="EX252" s="54">
        <f>Eu_tabel_a[[#This Row],[x base]]*SQRT(Eu_a_h0_x*(1-Eu_a_h0_x)/Eu_a_n_x)+Eu_a_h0_x</f>
        <v>0</v>
      </c>
      <c r="FC252" s="161" t="e">
        <f t="shared" si="354"/>
        <v>#N/A</v>
      </c>
      <c r="FD252" s="169" t="e">
        <f t="shared" si="442"/>
        <v>#DIV/0!</v>
      </c>
      <c r="FE252" s="7" t="e">
        <f t="shared" si="348"/>
        <v>#DIV/0!</v>
      </c>
      <c r="FF252" t="e">
        <f t="shared" si="443"/>
        <v>#DIV/0!</v>
      </c>
      <c r="FG252" s="8" t="e">
        <f t="shared" si="444"/>
        <v>#DIV/0!</v>
      </c>
      <c r="FH252" s="8" t="e">
        <f t="shared" si="445"/>
        <v>#DIV/0!</v>
      </c>
      <c r="FI252" s="168" t="e">
        <f t="shared" si="446"/>
        <v>#DIV/0!</v>
      </c>
      <c r="FJ252" s="161" t="e">
        <f t="shared" ca="1" si="349"/>
        <v>#N/A</v>
      </c>
      <c r="FK252" s="169" t="e" vm="3">
        <f t="shared" ca="1" si="355"/>
        <v>#VALUE!</v>
      </c>
      <c r="FL252" s="7" t="e" vm="3">
        <f t="shared" ca="1" si="350"/>
        <v>#VALUE!</v>
      </c>
      <c r="FM252" t="e" vm="3">
        <f t="shared" ca="1" si="344"/>
        <v>#VALUE!</v>
      </c>
      <c r="FN252" s="8" t="e" vm="3">
        <f t="shared" ca="1" si="345"/>
        <v>#VALUE!</v>
      </c>
      <c r="FO252" s="8" t="e" vm="3">
        <f t="shared" ca="1" si="346"/>
        <v>#VALUE!</v>
      </c>
      <c r="FP252" s="168" t="e" vm="3">
        <f t="shared" ca="1" si="347"/>
        <v>#VALUE!</v>
      </c>
      <c r="FQ252" s="161" t="e">
        <f t="shared" si="351"/>
        <v>#N/A</v>
      </c>
      <c r="FR252" s="169" t="e">
        <f t="shared" si="356"/>
        <v>#N/A</v>
      </c>
      <c r="FS252" s="7" t="e">
        <f t="shared" si="352"/>
        <v>#N/A</v>
      </c>
      <c r="FT252" t="e">
        <f t="shared" si="357"/>
        <v>#N/A</v>
      </c>
      <c r="FU252" s="8" t="e">
        <f t="shared" si="358"/>
        <v>#N/A</v>
      </c>
      <c r="FV252" s="8" t="e">
        <f t="shared" si="359"/>
        <v>#N/A</v>
      </c>
      <c r="FW252" s="168" t="e">
        <f t="shared" si="360"/>
        <v>#N/A</v>
      </c>
      <c r="FX252" s="161" t="e">
        <f t="shared" si="361"/>
        <v>#N/A</v>
      </c>
      <c r="FY252" s="169" t="e">
        <f t="shared" si="362"/>
        <v>#N/A</v>
      </c>
      <c r="FZ252" s="7" t="e">
        <f t="shared" si="353"/>
        <v>#N/A</v>
      </c>
      <c r="GA252" t="e">
        <f t="shared" si="363"/>
        <v>#N/A</v>
      </c>
      <c r="GB252" s="8" t="e">
        <f t="shared" si="364"/>
        <v>#N/A</v>
      </c>
      <c r="GC252" s="8" t="e">
        <f t="shared" si="365"/>
        <v>#N/A</v>
      </c>
      <c r="GD252" s="168" t="e">
        <f t="shared" si="366"/>
        <v>#N/A</v>
      </c>
      <c r="GE252" s="168"/>
      <c r="GF252" s="168"/>
      <c r="GI252" s="54">
        <f t="shared" si="411"/>
        <v>242</v>
      </c>
      <c r="GJ252" s="54">
        <f t="shared" si="412"/>
        <v>243</v>
      </c>
      <c r="GK252" s="54">
        <f t="shared" si="413"/>
        <v>2.7069476790462241</v>
      </c>
      <c r="GL252" s="54">
        <f t="shared" si="414"/>
        <v>1.0227026543258957E-2</v>
      </c>
      <c r="GM252" s="54" t="e">
        <f t="shared" si="415"/>
        <v>#N/A</v>
      </c>
      <c r="GN252" s="54" t="e">
        <f t="shared" si="416"/>
        <v>#N/A</v>
      </c>
      <c r="GO252" s="54" t="e">
        <f t="shared" si="417"/>
        <v>#N/A</v>
      </c>
      <c r="GP252" s="54" t="b">
        <f t="shared" si="418"/>
        <v>0</v>
      </c>
      <c r="GQ252" s="54" t="b">
        <f t="shared" si="419"/>
        <v>1</v>
      </c>
      <c r="GR252" s="54" t="b">
        <f t="shared" si="420"/>
        <v>1</v>
      </c>
      <c r="GS252" s="54" t="b">
        <f t="shared" si="421"/>
        <v>0</v>
      </c>
      <c r="GT252" s="54">
        <f t="shared" si="422"/>
        <v>1.0227026543258957E-2</v>
      </c>
      <c r="GU252" s="54">
        <f t="shared" si="423"/>
        <v>1.0227026543258957E-2</v>
      </c>
      <c r="GV252" s="54" t="e">
        <f t="shared" si="424"/>
        <v>#N/A</v>
      </c>
      <c r="GW252" s="72" t="str">
        <f t="shared" si="425"/>
        <v/>
      </c>
      <c r="HC252" s="54">
        <f t="shared" si="426"/>
        <v>242</v>
      </c>
      <c r="HD252" s="54">
        <f t="shared" si="427"/>
        <v>243</v>
      </c>
      <c r="HE252" s="54">
        <f t="shared" si="428"/>
        <v>4.1917653336134233</v>
      </c>
      <c r="HF252" s="54" t="e">
        <f t="shared" si="429"/>
        <v>#N/A</v>
      </c>
      <c r="HG252" s="54">
        <f t="shared" si="430"/>
        <v>2.5360582677923203E-3</v>
      </c>
      <c r="HH252" s="54" t="e">
        <f t="shared" si="431"/>
        <v>#N/A</v>
      </c>
      <c r="HI252" s="54" t="e">
        <f t="shared" si="432"/>
        <v>#N/A</v>
      </c>
      <c r="HJ252" s="54" t="b">
        <f t="shared" si="433"/>
        <v>0</v>
      </c>
      <c r="HK252" s="54" t="b">
        <f t="shared" si="434"/>
        <v>1</v>
      </c>
      <c r="HL252" s="54" t="b">
        <f t="shared" si="435"/>
        <v>1</v>
      </c>
      <c r="HM252" s="54" t="b">
        <f t="shared" si="436"/>
        <v>0</v>
      </c>
      <c r="HN252" s="54">
        <f t="shared" si="437"/>
        <v>2.5360582677923203E-3</v>
      </c>
      <c r="HO252" s="54" t="e">
        <f t="shared" si="438"/>
        <v>#N/A</v>
      </c>
      <c r="HP252" s="54">
        <f t="shared" si="439"/>
        <v>2.5360582677923203E-3</v>
      </c>
      <c r="HQ252" s="72" t="str">
        <f t="shared" si="440"/>
        <v/>
      </c>
    </row>
    <row r="253" spans="71:225" x14ac:dyDescent="0.2">
      <c r="BS253" s="54">
        <f t="shared" si="367"/>
        <v>243</v>
      </c>
      <c r="BT253" s="54">
        <f>Eu_tabel_g[[#This Row],[Indeks]]+1</f>
        <v>244</v>
      </c>
      <c r="BU253" s="54">
        <f t="shared" si="368"/>
        <v>2.7309029682413231</v>
      </c>
      <c r="BV253" s="54">
        <f t="shared" si="369"/>
        <v>9.582142737811215E-3</v>
      </c>
      <c r="BW253" s="54" t="e">
        <f t="shared" si="370"/>
        <v>#N/A</v>
      </c>
      <c r="BX253" s="54" t="e">
        <f t="shared" si="371"/>
        <v>#N/A</v>
      </c>
      <c r="BY253" s="54" t="e">
        <f t="shared" si="372"/>
        <v>#N/A</v>
      </c>
      <c r="BZ253" s="54" t="b">
        <f t="shared" si="373"/>
        <v>0</v>
      </c>
      <c r="CA253" s="54" t="b">
        <f t="shared" si="374"/>
        <v>1</v>
      </c>
      <c r="CB253" s="54" t="b">
        <f t="shared" si="375"/>
        <v>1</v>
      </c>
      <c r="CC253" s="54" t="b">
        <f t="shared" si="376"/>
        <v>0</v>
      </c>
      <c r="CD253" s="54">
        <f t="shared" si="441"/>
        <v>9.582142737811215E-3</v>
      </c>
      <c r="CE253" s="54">
        <f t="shared" si="377"/>
        <v>9.582142737811215E-3</v>
      </c>
      <c r="CF253" s="54" t="e">
        <f t="shared" si="378"/>
        <v>#N/A</v>
      </c>
      <c r="CG253" s="72" t="str">
        <f t="shared" si="379"/>
        <v/>
      </c>
      <c r="CH253" s="54">
        <f>_xlfn.NORM.DIST(_xlfn.NORM.INV(1-Eu_g_konfidensniveau,0,1)-Eu_tabel_g[[#This Row],[x base]],0,1,TRUE)</f>
        <v>6.0505996323154279E-6</v>
      </c>
      <c r="CI253" s="54">
        <f>1-_xlfn.NORM.DIST(_xlfn.NORM.INV(Eu_g_konfidensniveau,0,1)-Eu_tabel_g[[#This Row],[x base]],0,1,TRUE)</f>
        <v>0.86127141844000243</v>
      </c>
      <c r="CJ253" s="54">
        <f>_xlfn.NORM.DIST(_xlfn.NORM.INV((1-Eu_g_konfidensniveau)/2,0,1)-Eu_tabel_g[[#This Row],[x base]],0,1,TRUE)+1-_xlfn.NORM.DIST(_xlfn.NORM.INV(1-(1-Eu_g_konfidensniveau)/2,0,1)-Eu_tabel_g[[#This Row],[x base]],0,1,TRUE)</f>
        <v>0.77962981085140359</v>
      </c>
      <c r="CK253" s="54" t="e" cm="1">
        <f t="array" ref="CK253">IF($CK$3,INDEX(Eu_tabel_g[[#This Row],[Styrke venstre]:[Styrke tosidet]],CK$7),NA())</f>
        <v>#N/A</v>
      </c>
      <c r="CL253" s="99" t="e">
        <f>Eu_tabel_g[[#This Row],[Falsk positiv
Nulhypotese accepteres
Fejltype 1]]</f>
        <v>#N/A</v>
      </c>
      <c r="CM253" s="99" t="e">
        <f>IF(CHOOSE(CK$7,Eu_tabel_g[[#This Row],[x base]]&gt;0,Eu_tabel_g[[#This Row],[x base]]&lt;0,Eu_tabel_g[[#This Row],[x base]]=0),Eu_tabel_g[[#This Row],[Styrke, aktiv]],NA())</f>
        <v>#N/A</v>
      </c>
      <c r="CN253" s="99" t="e">
        <f>IFERROR(IF($CK$3,Eu_tabel_g[[#This Row],[Styrke, aktiv]],NA()),NA())</f>
        <v>#N/A</v>
      </c>
      <c r="CO253" s="99" t="e">
        <f>IF(ISNA(Eu_tabel_g[[#This Row],[Sand negativ
Nulhypotese afvises
Korrekt]]),NA(),IF($CK$3,1,NA()))</f>
        <v>#N/A</v>
      </c>
      <c r="CP253" s="56" t="str" cm="1">
        <f t="array" ref="CP253">_xlfn.SWITCH(BS253,_xlfn.IFNA(CN$2,-99),CN$5,_xlfn.IFNA(CN$3,-99),CN$6,_xlfn.IFNA(CN$4,-99),CN$7,"")</f>
        <v/>
      </c>
      <c r="CT253" s="7">
        <f t="shared" si="380"/>
        <v>0.8</v>
      </c>
      <c r="CU253">
        <f>IF(ROW(Styrkeberegning_G[[#This Row],[X base venstre]])=ROW(Styrkeberegning_G[[#Headers],[X base venstre]])+1,CU$7/(CT$7/$B$67),CU252/(CT252/$B$67))</f>
        <v>-2.8015817870135784</v>
      </c>
      <c r="CV253">
        <f>Styrkeberegning_G[[#This Row],[X base venstre]]*-1</f>
        <v>2.8015817870135784</v>
      </c>
      <c r="DG253" s="54">
        <f t="shared" si="381"/>
        <v>243</v>
      </c>
      <c r="DH253" s="54">
        <f t="shared" si="382"/>
        <v>244</v>
      </c>
      <c r="DI253" s="54">
        <f t="shared" si="383"/>
        <v>29.553070773984935</v>
      </c>
      <c r="DJ253" s="54" t="e">
        <f t="shared" si="384"/>
        <v>#N/A</v>
      </c>
      <c r="DK253" s="54" t="e">
        <f t="shared" si="385"/>
        <v>#N/A</v>
      </c>
      <c r="DL253" s="54">
        <f t="shared" si="386"/>
        <v>6.696104757682301E-4</v>
      </c>
      <c r="DM253" s="54" t="e">
        <f t="shared" si="387"/>
        <v>#N/A</v>
      </c>
      <c r="DN253" s="54" t="b">
        <f t="shared" si="388"/>
        <v>0</v>
      </c>
      <c r="DO253" s="54" t="b">
        <f t="shared" si="389"/>
        <v>1</v>
      </c>
      <c r="DP253" s="54" t="b">
        <f t="shared" si="390"/>
        <v>1</v>
      </c>
      <c r="DQ253" s="54" t="b">
        <f t="shared" si="391"/>
        <v>0</v>
      </c>
      <c r="DR253" s="54">
        <f t="shared" si="392"/>
        <v>6.696104757682301E-4</v>
      </c>
      <c r="DS253" s="54">
        <f t="shared" si="393"/>
        <v>6.696104757682301E-4</v>
      </c>
      <c r="DT253" s="54" t="e">
        <f t="shared" si="394"/>
        <v>#N/A</v>
      </c>
      <c r="DU253" s="72" t="str">
        <f t="shared" si="395"/>
        <v/>
      </c>
      <c r="DZ253" s="54">
        <f t="shared" si="396"/>
        <v>243</v>
      </c>
      <c r="EA253" s="54">
        <f t="shared" si="397"/>
        <v>244</v>
      </c>
      <c r="EB253" s="54">
        <f t="shared" si="398"/>
        <v>2.7309029682413231</v>
      </c>
      <c r="EC253" s="54">
        <f t="shared" si="399"/>
        <v>9.582142737811215E-3</v>
      </c>
      <c r="ED253" s="54" t="e">
        <f t="shared" si="400"/>
        <v>#N/A</v>
      </c>
      <c r="EE253" s="54" t="e">
        <f t="shared" si="401"/>
        <v>#N/A</v>
      </c>
      <c r="EF253" s="54" t="e">
        <f t="shared" si="402"/>
        <v>#N/A</v>
      </c>
      <c r="EG253" s="54" t="b">
        <f t="shared" si="403"/>
        <v>0</v>
      </c>
      <c r="EH253" s="54" t="b">
        <f t="shared" si="404"/>
        <v>1</v>
      </c>
      <c r="EI253" s="54" t="b">
        <f t="shared" si="405"/>
        <v>1</v>
      </c>
      <c r="EJ253" s="54" t="b">
        <f t="shared" si="406"/>
        <v>0</v>
      </c>
      <c r="EK253" s="54">
        <f t="shared" si="407"/>
        <v>9.582142737811215E-3</v>
      </c>
      <c r="EL253" s="54">
        <f t="shared" si="408"/>
        <v>9.582142737811215E-3</v>
      </c>
      <c r="EM253" s="54" t="e">
        <f t="shared" si="409"/>
        <v>#N/A</v>
      </c>
      <c r="EN253" s="72" t="str">
        <f t="shared" si="410"/>
        <v/>
      </c>
      <c r="EO25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5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5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53" s="54" t="e" cm="1">
        <f t="array" ref="ER253">IF($CK$3,INDEX(Eu_tabel_a[[#This Row],[Styrke venstre]:[Styrke tosidet]],ER$7),NA())</f>
        <v>#N/A</v>
      </c>
      <c r="ES253" s="54" t="e">
        <f>IF(ER$3,IF(CHOOSE(ER$7,Eu_tabel_a[[#This Row],[x base]]&gt;0,Eu_tabel_a[[#This Row],[x base]]&lt;0,Eu_tabel_a[[#This Row],[x base]]=0),1,NA()),NA())</f>
        <v>#N/A</v>
      </c>
      <c r="ET253" s="54" t="e">
        <f>IF(CHOOSE(ER$7,Eu_tabel_a[[#This Row],[x base]]&gt;0,Eu_tabel_a[[#This Row],[x base]]&lt;0,Eu_tabel_a[[#This Row],[x base]]=0),Eu_tabel_a[[#This Row],[Styrke, aktiv]],NA())</f>
        <v>#N/A</v>
      </c>
      <c r="EU253" s="54" t="e">
        <f>IFERROR(IF($ER$3,Eu_tabel_a[[#This Row],[Styrke, aktiv]],NA()),NA())</f>
        <v>#N/A</v>
      </c>
      <c r="EV253" s="54" t="e">
        <f>IF(ISNA(Eu_tabel_a[[#This Row],[Sand negativ
Nulhypotese afvises
Korrekt]]),NA(),IF(ER$3,1,NA()))</f>
        <v>#N/A</v>
      </c>
      <c r="EW253" s="55" t="str" cm="1">
        <f t="array" ref="EW253">IFERROR(_xlfn.SWITCH(Eu_tabel_a[[#This Row],[Indeks]],_xlfn.IFNA(EU$2,-99),EU$5,_xlfn.IFNA(EU$3,-99),EU$6,_xlfn.IFNA(EU$4,-99),EU$7,""),"")</f>
        <v/>
      </c>
      <c r="EX253" s="54">
        <f>Eu_tabel_a[[#This Row],[x base]]*SQRT(Eu_a_h0_x*(1-Eu_a_h0_x)/Eu_a_n_x)+Eu_a_h0_x</f>
        <v>0</v>
      </c>
      <c r="FC253" s="161" t="e">
        <f t="shared" si="354"/>
        <v>#N/A</v>
      </c>
      <c r="FD253" s="169" t="e">
        <f t="shared" si="442"/>
        <v>#DIV/0!</v>
      </c>
      <c r="FE253" s="7" t="e">
        <f t="shared" si="348"/>
        <v>#DIV/0!</v>
      </c>
      <c r="FF253" t="e">
        <f t="shared" si="443"/>
        <v>#DIV/0!</v>
      </c>
      <c r="FG253" s="8" t="e">
        <f t="shared" si="444"/>
        <v>#DIV/0!</v>
      </c>
      <c r="FH253" s="8" t="e">
        <f t="shared" si="445"/>
        <v>#DIV/0!</v>
      </c>
      <c r="FI253" s="168" t="e">
        <f t="shared" si="446"/>
        <v>#DIV/0!</v>
      </c>
      <c r="FJ253" s="161" t="e">
        <f t="shared" ca="1" si="349"/>
        <v>#N/A</v>
      </c>
      <c r="FK253" s="169" t="e" vm="3">
        <f t="shared" ca="1" si="355"/>
        <v>#VALUE!</v>
      </c>
      <c r="FL253" s="7" t="e" vm="3">
        <f t="shared" ca="1" si="350"/>
        <v>#VALUE!</v>
      </c>
      <c r="FM253" t="e" vm="3">
        <f t="shared" ca="1" si="344"/>
        <v>#VALUE!</v>
      </c>
      <c r="FN253" s="8" t="e" vm="3">
        <f t="shared" ca="1" si="345"/>
        <v>#VALUE!</v>
      </c>
      <c r="FO253" s="8" t="e" vm="3">
        <f t="shared" ca="1" si="346"/>
        <v>#VALUE!</v>
      </c>
      <c r="FP253" s="168" t="e" vm="3">
        <f t="shared" ca="1" si="347"/>
        <v>#VALUE!</v>
      </c>
      <c r="FQ253" s="161" t="e">
        <f t="shared" si="351"/>
        <v>#N/A</v>
      </c>
      <c r="FR253" s="169" t="e">
        <f t="shared" si="356"/>
        <v>#N/A</v>
      </c>
      <c r="FS253" s="7" t="e">
        <f t="shared" si="352"/>
        <v>#N/A</v>
      </c>
      <c r="FT253" t="e">
        <f t="shared" si="357"/>
        <v>#N/A</v>
      </c>
      <c r="FU253" s="8" t="e">
        <f t="shared" si="358"/>
        <v>#N/A</v>
      </c>
      <c r="FV253" s="8" t="e">
        <f t="shared" si="359"/>
        <v>#N/A</v>
      </c>
      <c r="FW253" s="168" t="e">
        <f t="shared" si="360"/>
        <v>#N/A</v>
      </c>
      <c r="FX253" s="161" t="e">
        <f t="shared" si="361"/>
        <v>#N/A</v>
      </c>
      <c r="FY253" s="169" t="e">
        <f t="shared" si="362"/>
        <v>#N/A</v>
      </c>
      <c r="FZ253" s="7" t="e">
        <f t="shared" si="353"/>
        <v>#N/A</v>
      </c>
      <c r="GA253" t="e">
        <f t="shared" si="363"/>
        <v>#N/A</v>
      </c>
      <c r="GB253" s="8" t="e">
        <f t="shared" si="364"/>
        <v>#N/A</v>
      </c>
      <c r="GC253" s="8" t="e">
        <f t="shared" si="365"/>
        <v>#N/A</v>
      </c>
      <c r="GD253" s="168" t="e">
        <f t="shared" si="366"/>
        <v>#N/A</v>
      </c>
      <c r="GE253" s="168"/>
      <c r="GF253" s="168"/>
      <c r="GI253" s="54">
        <f t="shared" si="411"/>
        <v>243</v>
      </c>
      <c r="GJ253" s="54">
        <f t="shared" si="412"/>
        <v>244</v>
      </c>
      <c r="GK253" s="54">
        <f t="shared" si="413"/>
        <v>2.7309029682413231</v>
      </c>
      <c r="GL253" s="54">
        <f t="shared" si="414"/>
        <v>9.582142737811215E-3</v>
      </c>
      <c r="GM253" s="54" t="e">
        <f t="shared" si="415"/>
        <v>#N/A</v>
      </c>
      <c r="GN253" s="54" t="e">
        <f t="shared" si="416"/>
        <v>#N/A</v>
      </c>
      <c r="GO253" s="54" t="e">
        <f t="shared" si="417"/>
        <v>#N/A</v>
      </c>
      <c r="GP253" s="54" t="b">
        <f t="shared" si="418"/>
        <v>0</v>
      </c>
      <c r="GQ253" s="54" t="b">
        <f t="shared" si="419"/>
        <v>1</v>
      </c>
      <c r="GR253" s="54" t="b">
        <f t="shared" si="420"/>
        <v>1</v>
      </c>
      <c r="GS253" s="54" t="b">
        <f t="shared" si="421"/>
        <v>0</v>
      </c>
      <c r="GT253" s="54">
        <f t="shared" si="422"/>
        <v>9.582142737811215E-3</v>
      </c>
      <c r="GU253" s="54">
        <f t="shared" si="423"/>
        <v>9.582142737811215E-3</v>
      </c>
      <c r="GV253" s="54" t="e">
        <f t="shared" si="424"/>
        <v>#N/A</v>
      </c>
      <c r="GW253" s="72" t="str">
        <f t="shared" si="425"/>
        <v/>
      </c>
      <c r="HC253" s="54">
        <f t="shared" si="426"/>
        <v>243</v>
      </c>
      <c r="HD253" s="54">
        <f t="shared" si="427"/>
        <v>244</v>
      </c>
      <c r="HE253" s="54">
        <f t="shared" si="428"/>
        <v>4.2288606020524799</v>
      </c>
      <c r="HF253" s="54" t="e">
        <f t="shared" si="429"/>
        <v>#N/A</v>
      </c>
      <c r="HG253" s="54">
        <f t="shared" si="430"/>
        <v>2.4110931926843594E-3</v>
      </c>
      <c r="HH253" s="54" t="e">
        <f t="shared" si="431"/>
        <v>#N/A</v>
      </c>
      <c r="HI253" s="54" t="e">
        <f t="shared" si="432"/>
        <v>#N/A</v>
      </c>
      <c r="HJ253" s="54" t="b">
        <f t="shared" si="433"/>
        <v>0</v>
      </c>
      <c r="HK253" s="54" t="b">
        <f t="shared" si="434"/>
        <v>1</v>
      </c>
      <c r="HL253" s="54" t="b">
        <f t="shared" si="435"/>
        <v>1</v>
      </c>
      <c r="HM253" s="54" t="b">
        <f t="shared" si="436"/>
        <v>0</v>
      </c>
      <c r="HN253" s="54">
        <f t="shared" si="437"/>
        <v>2.4110931926843594E-3</v>
      </c>
      <c r="HO253" s="54" t="e">
        <f t="shared" si="438"/>
        <v>#N/A</v>
      </c>
      <c r="HP253" s="54">
        <f t="shared" si="439"/>
        <v>2.4110931926843594E-3</v>
      </c>
      <c r="HQ253" s="72" t="str">
        <f t="shared" si="440"/>
        <v/>
      </c>
    </row>
    <row r="254" spans="71:225" x14ac:dyDescent="0.2">
      <c r="BS254" s="54">
        <f t="shared" si="367"/>
        <v>244</v>
      </c>
      <c r="BT254" s="54">
        <f>Eu_tabel_g[[#This Row],[Indeks]]+1</f>
        <v>245</v>
      </c>
      <c r="BU254" s="54">
        <f t="shared" si="368"/>
        <v>2.7548582574364229</v>
      </c>
      <c r="BV254" s="54">
        <f t="shared" si="369"/>
        <v>8.9727727004466386E-3</v>
      </c>
      <c r="BW254" s="54" t="e">
        <f t="shared" si="370"/>
        <v>#N/A</v>
      </c>
      <c r="BX254" s="54" t="e">
        <f t="shared" si="371"/>
        <v>#N/A</v>
      </c>
      <c r="BY254" s="54" t="e">
        <f t="shared" si="372"/>
        <v>#N/A</v>
      </c>
      <c r="BZ254" s="54" t="b">
        <f t="shared" si="373"/>
        <v>0</v>
      </c>
      <c r="CA254" s="54" t="b">
        <f t="shared" si="374"/>
        <v>1</v>
      </c>
      <c r="CB254" s="54" t="b">
        <f t="shared" si="375"/>
        <v>1</v>
      </c>
      <c r="CC254" s="54" t="b">
        <f t="shared" si="376"/>
        <v>0</v>
      </c>
      <c r="CD254" s="54">
        <f t="shared" ref="CD254:CD260" si="447">_xlfn.AGGREGATE(9,6,BV254:BY254)</f>
        <v>8.9727727004466386E-3</v>
      </c>
      <c r="CE254" s="54">
        <f t="shared" si="377"/>
        <v>8.9727727004466386E-3</v>
      </c>
      <c r="CF254" s="54" t="e">
        <f t="shared" si="378"/>
        <v>#N/A</v>
      </c>
      <c r="CG254" s="72" t="str">
        <f t="shared" si="379"/>
        <v/>
      </c>
      <c r="CH254" s="54">
        <f>_xlfn.NORM.DIST(_xlfn.NORM.INV(1-Eu_g_konfidensniveau,0,1)-Eu_tabel_g[[#This Row],[x base]],0,1,TRUE)</f>
        <v>5.4197347799901849E-6</v>
      </c>
      <c r="CI254" s="54">
        <f>1-_xlfn.NORM.DIST(_xlfn.NORM.INV(Eu_g_konfidensniveau,0,1)-Eu_tabel_g[[#This Row],[x base]],0,1,TRUE)</f>
        <v>0.8665014844304646</v>
      </c>
      <c r="CJ254" s="54">
        <f>_xlfn.NORM.DIST(_xlfn.NORM.INV((1-Eu_g_konfidensniveau)/2,0,1)-Eu_tabel_g[[#This Row],[x base]],0,1,TRUE)+1-_xlfn.NORM.DIST(_xlfn.NORM.INV(1-(1-Eu_g_konfidensniveau)/2,0,1)-Eu_tabel_g[[#This Row],[x base]],0,1,TRUE)</f>
        <v>0.78666370661837792</v>
      </c>
      <c r="CK254" s="54" t="e" cm="1">
        <f t="array" ref="CK254">IF($CK$3,INDEX(Eu_tabel_g[[#This Row],[Styrke venstre]:[Styrke tosidet]],CK$7),NA())</f>
        <v>#N/A</v>
      </c>
      <c r="CL254" s="99" t="e">
        <f>Eu_tabel_g[[#This Row],[Falsk positiv
Nulhypotese accepteres
Fejltype 1]]</f>
        <v>#N/A</v>
      </c>
      <c r="CM254" s="99" t="e">
        <f>IF(CHOOSE(CK$7,Eu_tabel_g[[#This Row],[x base]]&gt;0,Eu_tabel_g[[#This Row],[x base]]&lt;0,Eu_tabel_g[[#This Row],[x base]]=0),Eu_tabel_g[[#This Row],[Styrke, aktiv]],NA())</f>
        <v>#N/A</v>
      </c>
      <c r="CN254" s="99" t="e">
        <f>IFERROR(IF($CK$3,Eu_tabel_g[[#This Row],[Styrke, aktiv]],NA()),NA())</f>
        <v>#N/A</v>
      </c>
      <c r="CO254" s="99" t="e">
        <f>IF(ISNA(Eu_tabel_g[[#This Row],[Sand negativ
Nulhypotese afvises
Korrekt]]),NA(),IF($CK$3,1,NA()))</f>
        <v>#N/A</v>
      </c>
      <c r="CP254" s="56" t="str" cm="1">
        <f t="array" ref="CP254">_xlfn.SWITCH(BS254,_xlfn.IFNA(CN$2,-99),CN$5,_xlfn.IFNA(CN$3,-99),CN$6,_xlfn.IFNA(CN$4,-99),CN$7,"")</f>
        <v/>
      </c>
      <c r="CT254" s="7">
        <f t="shared" si="380"/>
        <v>0.8</v>
      </c>
      <c r="CU254">
        <f>IF(ROW(Styrkeberegning_G[[#This Row],[X base venstre]])=ROW(Styrkeberegning_G[[#Headers],[X base venstre]])+1,CU$7/(CT$7/$B$67),CU253/(CT253/$B$67))</f>
        <v>-2.8015817870135784</v>
      </c>
      <c r="CV254">
        <f>Styrkeberegning_G[[#This Row],[X base venstre]]*-1</f>
        <v>2.8015817870135784</v>
      </c>
      <c r="DG254" s="54">
        <f t="shared" si="381"/>
        <v>244</v>
      </c>
      <c r="DH254" s="54">
        <f t="shared" si="382"/>
        <v>245</v>
      </c>
      <c r="DI254" s="54">
        <f t="shared" si="383"/>
        <v>29.667141630401936</v>
      </c>
      <c r="DJ254" s="54" t="e">
        <f t="shared" si="384"/>
        <v>#N/A</v>
      </c>
      <c r="DK254" s="54" t="e">
        <f t="shared" si="385"/>
        <v>#N/A</v>
      </c>
      <c r="DL254" s="54">
        <f t="shared" si="386"/>
        <v>6.4354804827147945E-4</v>
      </c>
      <c r="DM254" s="54" t="e">
        <f t="shared" si="387"/>
        <v>#N/A</v>
      </c>
      <c r="DN254" s="54" t="b">
        <f t="shared" si="388"/>
        <v>0</v>
      </c>
      <c r="DO254" s="54" t="b">
        <f t="shared" si="389"/>
        <v>1</v>
      </c>
      <c r="DP254" s="54" t="b">
        <f t="shared" si="390"/>
        <v>1</v>
      </c>
      <c r="DQ254" s="54" t="b">
        <f t="shared" si="391"/>
        <v>0</v>
      </c>
      <c r="DR254" s="54">
        <f t="shared" si="392"/>
        <v>6.4354804827147945E-4</v>
      </c>
      <c r="DS254" s="54">
        <f t="shared" si="393"/>
        <v>6.4354804827147945E-4</v>
      </c>
      <c r="DT254" s="54" t="e">
        <f t="shared" si="394"/>
        <v>#N/A</v>
      </c>
      <c r="DU254" s="72" t="str">
        <f t="shared" si="395"/>
        <v/>
      </c>
      <c r="DZ254" s="54">
        <f t="shared" si="396"/>
        <v>244</v>
      </c>
      <c r="EA254" s="54">
        <f t="shared" si="397"/>
        <v>245</v>
      </c>
      <c r="EB254" s="54">
        <f t="shared" si="398"/>
        <v>2.7548582574364229</v>
      </c>
      <c r="EC254" s="54">
        <f t="shared" si="399"/>
        <v>8.9727727004466386E-3</v>
      </c>
      <c r="ED254" s="54" t="e">
        <f t="shared" si="400"/>
        <v>#N/A</v>
      </c>
      <c r="EE254" s="54" t="e">
        <f t="shared" si="401"/>
        <v>#N/A</v>
      </c>
      <c r="EF254" s="54" t="e">
        <f t="shared" si="402"/>
        <v>#N/A</v>
      </c>
      <c r="EG254" s="54" t="b">
        <f t="shared" si="403"/>
        <v>0</v>
      </c>
      <c r="EH254" s="54" t="b">
        <f t="shared" si="404"/>
        <v>1</v>
      </c>
      <c r="EI254" s="54" t="b">
        <f t="shared" si="405"/>
        <v>1</v>
      </c>
      <c r="EJ254" s="54" t="b">
        <f t="shared" si="406"/>
        <v>0</v>
      </c>
      <c r="EK254" s="54">
        <f t="shared" si="407"/>
        <v>8.9727727004466386E-3</v>
      </c>
      <c r="EL254" s="54">
        <f t="shared" si="408"/>
        <v>8.9727727004466386E-3</v>
      </c>
      <c r="EM254" s="54" t="e">
        <f t="shared" si="409"/>
        <v>#N/A</v>
      </c>
      <c r="EN254" s="72" t="str">
        <f t="shared" si="410"/>
        <v/>
      </c>
      <c r="EO25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5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5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54" s="54" t="e" cm="1">
        <f t="array" ref="ER254">IF($CK$3,INDEX(Eu_tabel_a[[#This Row],[Styrke venstre]:[Styrke tosidet]],ER$7),NA())</f>
        <v>#N/A</v>
      </c>
      <c r="ES254" s="54" t="e">
        <f>IF(ER$3,IF(CHOOSE(ER$7,Eu_tabel_a[[#This Row],[x base]]&gt;0,Eu_tabel_a[[#This Row],[x base]]&lt;0,Eu_tabel_a[[#This Row],[x base]]=0),1,NA()),NA())</f>
        <v>#N/A</v>
      </c>
      <c r="ET254" s="54" t="e">
        <f>IF(CHOOSE(ER$7,Eu_tabel_a[[#This Row],[x base]]&gt;0,Eu_tabel_a[[#This Row],[x base]]&lt;0,Eu_tabel_a[[#This Row],[x base]]=0),Eu_tabel_a[[#This Row],[Styrke, aktiv]],NA())</f>
        <v>#N/A</v>
      </c>
      <c r="EU254" s="54" t="e">
        <f>IFERROR(IF($ER$3,Eu_tabel_a[[#This Row],[Styrke, aktiv]],NA()),NA())</f>
        <v>#N/A</v>
      </c>
      <c r="EV254" s="54" t="e">
        <f>IF(ISNA(Eu_tabel_a[[#This Row],[Sand negativ
Nulhypotese afvises
Korrekt]]),NA(),IF(ER$3,1,NA()))</f>
        <v>#N/A</v>
      </c>
      <c r="EW254" s="55" t="str" cm="1">
        <f t="array" ref="EW254">IFERROR(_xlfn.SWITCH(Eu_tabel_a[[#This Row],[Indeks]],_xlfn.IFNA(EU$2,-99),EU$5,_xlfn.IFNA(EU$3,-99),EU$6,_xlfn.IFNA(EU$4,-99),EU$7,""),"")</f>
        <v/>
      </c>
      <c r="EX254" s="54">
        <f>Eu_tabel_a[[#This Row],[x base]]*SQRT(Eu_a_h0_x*(1-Eu_a_h0_x)/Eu_a_n_x)+Eu_a_h0_x</f>
        <v>0</v>
      </c>
      <c r="FC254" s="161" t="e">
        <f t="shared" si="354"/>
        <v>#N/A</v>
      </c>
      <c r="FD254" s="169" t="e">
        <f t="shared" si="442"/>
        <v>#DIV/0!</v>
      </c>
      <c r="FE254" s="7" t="e">
        <f t="shared" si="348"/>
        <v>#DIV/0!</v>
      </c>
      <c r="FF254" t="e">
        <f t="shared" si="443"/>
        <v>#DIV/0!</v>
      </c>
      <c r="FG254" s="8" t="e">
        <f t="shared" si="444"/>
        <v>#DIV/0!</v>
      </c>
      <c r="FH254" s="8" t="e">
        <f t="shared" si="445"/>
        <v>#DIV/0!</v>
      </c>
      <c r="FI254" s="168" t="e">
        <f t="shared" si="446"/>
        <v>#DIV/0!</v>
      </c>
      <c r="FJ254" s="161" t="e">
        <f t="shared" ca="1" si="349"/>
        <v>#N/A</v>
      </c>
      <c r="FK254" s="169" t="e" vm="3">
        <f t="shared" ca="1" si="355"/>
        <v>#VALUE!</v>
      </c>
      <c r="FL254" s="7" t="e" vm="3">
        <f t="shared" ca="1" si="350"/>
        <v>#VALUE!</v>
      </c>
      <c r="FM254" t="e" vm="3">
        <f t="shared" ca="1" si="344"/>
        <v>#VALUE!</v>
      </c>
      <c r="FN254" s="8" t="e" vm="3">
        <f t="shared" ca="1" si="345"/>
        <v>#VALUE!</v>
      </c>
      <c r="FO254" s="8" t="e" vm="3">
        <f t="shared" ca="1" si="346"/>
        <v>#VALUE!</v>
      </c>
      <c r="FP254" s="168" t="e" vm="3">
        <f t="shared" ca="1" si="347"/>
        <v>#VALUE!</v>
      </c>
      <c r="FQ254" s="161" t="e">
        <f t="shared" si="351"/>
        <v>#N/A</v>
      </c>
      <c r="FR254" s="169" t="e">
        <f t="shared" si="356"/>
        <v>#N/A</v>
      </c>
      <c r="FS254" s="7" t="e">
        <f t="shared" si="352"/>
        <v>#N/A</v>
      </c>
      <c r="FT254" t="e">
        <f t="shared" si="357"/>
        <v>#N/A</v>
      </c>
      <c r="FU254" s="8" t="e">
        <f t="shared" si="358"/>
        <v>#N/A</v>
      </c>
      <c r="FV254" s="8" t="e">
        <f t="shared" si="359"/>
        <v>#N/A</v>
      </c>
      <c r="FW254" s="168" t="e">
        <f t="shared" si="360"/>
        <v>#N/A</v>
      </c>
      <c r="FX254" s="161" t="e">
        <f t="shared" si="361"/>
        <v>#N/A</v>
      </c>
      <c r="FY254" s="169" t="e">
        <f t="shared" si="362"/>
        <v>#N/A</v>
      </c>
      <c r="FZ254" s="7" t="e">
        <f t="shared" si="353"/>
        <v>#N/A</v>
      </c>
      <c r="GA254" t="e">
        <f t="shared" si="363"/>
        <v>#N/A</v>
      </c>
      <c r="GB254" s="8" t="e">
        <f t="shared" si="364"/>
        <v>#N/A</v>
      </c>
      <c r="GC254" s="8" t="e">
        <f t="shared" si="365"/>
        <v>#N/A</v>
      </c>
      <c r="GD254" s="168" t="e">
        <f t="shared" si="366"/>
        <v>#N/A</v>
      </c>
      <c r="GE254" s="168"/>
      <c r="GF254" s="168"/>
      <c r="GI254" s="54">
        <f t="shared" si="411"/>
        <v>244</v>
      </c>
      <c r="GJ254" s="54">
        <f t="shared" si="412"/>
        <v>245</v>
      </c>
      <c r="GK254" s="54">
        <f t="shared" si="413"/>
        <v>2.7548582574364229</v>
      </c>
      <c r="GL254" s="54">
        <f t="shared" si="414"/>
        <v>8.9727727004466386E-3</v>
      </c>
      <c r="GM254" s="54" t="e">
        <f t="shared" si="415"/>
        <v>#N/A</v>
      </c>
      <c r="GN254" s="54" t="e">
        <f t="shared" si="416"/>
        <v>#N/A</v>
      </c>
      <c r="GO254" s="54" t="e">
        <f t="shared" si="417"/>
        <v>#N/A</v>
      </c>
      <c r="GP254" s="54" t="b">
        <f t="shared" si="418"/>
        <v>0</v>
      </c>
      <c r="GQ254" s="54" t="b">
        <f t="shared" si="419"/>
        <v>1</v>
      </c>
      <c r="GR254" s="54" t="b">
        <f t="shared" si="420"/>
        <v>1</v>
      </c>
      <c r="GS254" s="54" t="b">
        <f t="shared" si="421"/>
        <v>0</v>
      </c>
      <c r="GT254" s="54">
        <f t="shared" si="422"/>
        <v>8.9727727004466386E-3</v>
      </c>
      <c r="GU254" s="54">
        <f t="shared" si="423"/>
        <v>8.9727727004466386E-3</v>
      </c>
      <c r="GV254" s="54" t="e">
        <f t="shared" si="424"/>
        <v>#N/A</v>
      </c>
      <c r="GW254" s="72" t="str">
        <f t="shared" si="425"/>
        <v/>
      </c>
      <c r="HC254" s="54">
        <f t="shared" si="426"/>
        <v>244</v>
      </c>
      <c r="HD254" s="54">
        <f t="shared" si="427"/>
        <v>245</v>
      </c>
      <c r="HE254" s="54">
        <f t="shared" si="428"/>
        <v>4.2659558704915383</v>
      </c>
      <c r="HF254" s="54" t="e">
        <f t="shared" si="429"/>
        <v>#N/A</v>
      </c>
      <c r="HG254" s="54">
        <f t="shared" si="430"/>
        <v>2.2927293844818694E-3</v>
      </c>
      <c r="HH254" s="54" t="e">
        <f t="shared" si="431"/>
        <v>#N/A</v>
      </c>
      <c r="HI254" s="54" t="e">
        <f t="shared" si="432"/>
        <v>#N/A</v>
      </c>
      <c r="HJ254" s="54" t="b">
        <f t="shared" si="433"/>
        <v>0</v>
      </c>
      <c r="HK254" s="54" t="b">
        <f t="shared" si="434"/>
        <v>1</v>
      </c>
      <c r="HL254" s="54" t="b">
        <f t="shared" si="435"/>
        <v>1</v>
      </c>
      <c r="HM254" s="54" t="b">
        <f t="shared" si="436"/>
        <v>0</v>
      </c>
      <c r="HN254" s="54">
        <f t="shared" si="437"/>
        <v>2.2927293844818694E-3</v>
      </c>
      <c r="HO254" s="54" t="e">
        <f t="shared" si="438"/>
        <v>#N/A</v>
      </c>
      <c r="HP254" s="54">
        <f t="shared" si="439"/>
        <v>2.2927293844818694E-3</v>
      </c>
      <c r="HQ254" s="72" t="str">
        <f t="shared" si="440"/>
        <v/>
      </c>
    </row>
    <row r="255" spans="71:225" x14ac:dyDescent="0.2">
      <c r="BS255" s="54">
        <f t="shared" si="367"/>
        <v>245</v>
      </c>
      <c r="BT255" s="54">
        <f>Eu_tabel_g[[#This Row],[Indeks]]+1</f>
        <v>246</v>
      </c>
      <c r="BU255" s="54">
        <f t="shared" si="368"/>
        <v>2.7788135466315218</v>
      </c>
      <c r="BV255" s="54">
        <f t="shared" si="369"/>
        <v>8.3973349051078925E-3</v>
      </c>
      <c r="BW255" s="54" t="e">
        <f t="shared" si="370"/>
        <v>#N/A</v>
      </c>
      <c r="BX255" s="54" t="e">
        <f t="shared" si="371"/>
        <v>#N/A</v>
      </c>
      <c r="BY255" s="54" t="e">
        <f t="shared" si="372"/>
        <v>#N/A</v>
      </c>
      <c r="BZ255" s="54" t="b">
        <f t="shared" si="373"/>
        <v>0</v>
      </c>
      <c r="CA255" s="54" t="b">
        <f t="shared" si="374"/>
        <v>1</v>
      </c>
      <c r="CB255" s="54" t="b">
        <f t="shared" si="375"/>
        <v>1</v>
      </c>
      <c r="CC255" s="54" t="b">
        <f t="shared" si="376"/>
        <v>0</v>
      </c>
      <c r="CD255" s="54">
        <f t="shared" si="447"/>
        <v>8.3973349051078925E-3</v>
      </c>
      <c r="CE255" s="54">
        <f t="shared" si="377"/>
        <v>8.3973349051078925E-3</v>
      </c>
      <c r="CF255" s="54" t="e">
        <f t="shared" si="378"/>
        <v>#N/A</v>
      </c>
      <c r="CG255" s="72" t="str">
        <f t="shared" si="379"/>
        <v/>
      </c>
      <c r="CH255" s="54">
        <f>_xlfn.NORM.DIST(_xlfn.NORM.INV(1-Eu_g_konfidensniveau,0,1)-Eu_tabel_g[[#This Row],[x base]],0,1,TRUE)</f>
        <v>4.8519739091402132E-6</v>
      </c>
      <c r="CI255" s="54">
        <f>1-_xlfn.NORM.DIST(_xlfn.NORM.INV(Eu_g_konfidensniveau,0,1)-Eu_tabel_g[[#This Row],[x base]],0,1,TRUE)</f>
        <v>0.87159431961038669</v>
      </c>
      <c r="CJ255" s="54">
        <f>_xlfn.NORM.DIST(_xlfn.NORM.INV((1-Eu_g_konfidensniveau)/2,0,1)-Eu_tabel_g[[#This Row],[x base]],0,1,TRUE)+1-_xlfn.NORM.DIST(_xlfn.NORM.INV(1-(1-Eu_g_konfidensniveau)/2,0,1)-Eu_tabel_g[[#This Row],[x base]],0,1,TRUE)</f>
        <v>0.79356495019123918</v>
      </c>
      <c r="CK255" s="54" t="e" cm="1">
        <f t="array" ref="CK255">IF($CK$3,INDEX(Eu_tabel_g[[#This Row],[Styrke venstre]:[Styrke tosidet]],CK$7),NA())</f>
        <v>#N/A</v>
      </c>
      <c r="CL255" s="99" t="e">
        <f>Eu_tabel_g[[#This Row],[Falsk positiv
Nulhypotese accepteres
Fejltype 1]]</f>
        <v>#N/A</v>
      </c>
      <c r="CM255" s="99" t="e">
        <f>IF(CHOOSE(CK$7,Eu_tabel_g[[#This Row],[x base]]&gt;0,Eu_tabel_g[[#This Row],[x base]]&lt;0,Eu_tabel_g[[#This Row],[x base]]=0),Eu_tabel_g[[#This Row],[Styrke, aktiv]],NA())</f>
        <v>#N/A</v>
      </c>
      <c r="CN255" s="99" t="e">
        <f>IFERROR(IF($CK$3,Eu_tabel_g[[#This Row],[Styrke, aktiv]],NA()),NA())</f>
        <v>#N/A</v>
      </c>
      <c r="CO255" s="99" t="e">
        <f>IF(ISNA(Eu_tabel_g[[#This Row],[Sand negativ
Nulhypotese afvises
Korrekt]]),NA(),IF($CK$3,1,NA()))</f>
        <v>#N/A</v>
      </c>
      <c r="CP255" s="56" t="str" cm="1">
        <f t="array" ref="CP255">_xlfn.SWITCH(BS255,_xlfn.IFNA(CN$2,-99),CN$5,_xlfn.IFNA(CN$3,-99),CN$6,_xlfn.IFNA(CN$4,-99),CN$7,"")</f>
        <v/>
      </c>
      <c r="CT255" s="7">
        <f t="shared" si="380"/>
        <v>0.8</v>
      </c>
      <c r="CU255">
        <f>IF(ROW(Styrkeberegning_G[[#This Row],[X base venstre]])=ROW(Styrkeberegning_G[[#Headers],[X base venstre]])+1,CU$7/(CT$7/$B$67),CU254/(CT254/$B$67))</f>
        <v>-2.8015817870135784</v>
      </c>
      <c r="CV255">
        <f>Styrkeberegning_G[[#This Row],[X base venstre]]*-1</f>
        <v>2.8015817870135784</v>
      </c>
      <c r="DG255" s="54">
        <f t="shared" si="381"/>
        <v>245</v>
      </c>
      <c r="DH255" s="54">
        <f t="shared" si="382"/>
        <v>246</v>
      </c>
      <c r="DI255" s="54">
        <f t="shared" si="383"/>
        <v>29.781212486818937</v>
      </c>
      <c r="DJ255" s="54" t="e">
        <f t="shared" si="384"/>
        <v>#N/A</v>
      </c>
      <c r="DK255" s="54" t="e">
        <f t="shared" si="385"/>
        <v>#N/A</v>
      </c>
      <c r="DL255" s="54">
        <f t="shared" si="386"/>
        <v>6.1845886960655789E-4</v>
      </c>
      <c r="DM255" s="54" t="e">
        <f t="shared" si="387"/>
        <v>#N/A</v>
      </c>
      <c r="DN255" s="54" t="b">
        <f t="shared" si="388"/>
        <v>0</v>
      </c>
      <c r="DO255" s="54" t="b">
        <f t="shared" si="389"/>
        <v>1</v>
      </c>
      <c r="DP255" s="54" t="b">
        <f t="shared" si="390"/>
        <v>1</v>
      </c>
      <c r="DQ255" s="54" t="b">
        <f t="shared" si="391"/>
        <v>0</v>
      </c>
      <c r="DR255" s="54">
        <f t="shared" si="392"/>
        <v>6.1845886960655789E-4</v>
      </c>
      <c r="DS255" s="54">
        <f t="shared" si="393"/>
        <v>6.1845886960655789E-4</v>
      </c>
      <c r="DT255" s="54" t="e">
        <f t="shared" si="394"/>
        <v>#N/A</v>
      </c>
      <c r="DU255" s="72" t="str">
        <f t="shared" si="395"/>
        <v/>
      </c>
      <c r="DZ255" s="54">
        <f t="shared" si="396"/>
        <v>245</v>
      </c>
      <c r="EA255" s="54">
        <f t="shared" si="397"/>
        <v>246</v>
      </c>
      <c r="EB255" s="54">
        <f t="shared" si="398"/>
        <v>2.7788135466315218</v>
      </c>
      <c r="EC255" s="54">
        <f t="shared" si="399"/>
        <v>8.3973349051078925E-3</v>
      </c>
      <c r="ED255" s="54" t="e">
        <f t="shared" si="400"/>
        <v>#N/A</v>
      </c>
      <c r="EE255" s="54" t="e">
        <f t="shared" si="401"/>
        <v>#N/A</v>
      </c>
      <c r="EF255" s="54" t="e">
        <f t="shared" si="402"/>
        <v>#N/A</v>
      </c>
      <c r="EG255" s="54" t="b">
        <f t="shared" si="403"/>
        <v>0</v>
      </c>
      <c r="EH255" s="54" t="b">
        <f t="shared" si="404"/>
        <v>1</v>
      </c>
      <c r="EI255" s="54" t="b">
        <f t="shared" si="405"/>
        <v>1</v>
      </c>
      <c r="EJ255" s="54" t="b">
        <f t="shared" si="406"/>
        <v>0</v>
      </c>
      <c r="EK255" s="54">
        <f t="shared" si="407"/>
        <v>8.3973349051078925E-3</v>
      </c>
      <c r="EL255" s="54">
        <f t="shared" si="408"/>
        <v>8.3973349051078925E-3</v>
      </c>
      <c r="EM255" s="54" t="e">
        <f t="shared" si="409"/>
        <v>#N/A</v>
      </c>
      <c r="EN255" s="72" t="str">
        <f t="shared" si="410"/>
        <v/>
      </c>
      <c r="EO25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5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5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55" s="54" t="e" cm="1">
        <f t="array" ref="ER255">IF($CK$3,INDEX(Eu_tabel_a[[#This Row],[Styrke venstre]:[Styrke tosidet]],ER$7),NA())</f>
        <v>#N/A</v>
      </c>
      <c r="ES255" s="54" t="e">
        <f>IF(ER$3,IF(CHOOSE(ER$7,Eu_tabel_a[[#This Row],[x base]]&gt;0,Eu_tabel_a[[#This Row],[x base]]&lt;0,Eu_tabel_a[[#This Row],[x base]]=0),1,NA()),NA())</f>
        <v>#N/A</v>
      </c>
      <c r="ET255" s="54" t="e">
        <f>IF(CHOOSE(ER$7,Eu_tabel_a[[#This Row],[x base]]&gt;0,Eu_tabel_a[[#This Row],[x base]]&lt;0,Eu_tabel_a[[#This Row],[x base]]=0),Eu_tabel_a[[#This Row],[Styrke, aktiv]],NA())</f>
        <v>#N/A</v>
      </c>
      <c r="EU255" s="54" t="e">
        <f>IFERROR(IF($ER$3,Eu_tabel_a[[#This Row],[Styrke, aktiv]],NA()),NA())</f>
        <v>#N/A</v>
      </c>
      <c r="EV255" s="54" t="e">
        <f>IF(ISNA(Eu_tabel_a[[#This Row],[Sand negativ
Nulhypotese afvises
Korrekt]]),NA(),IF(ER$3,1,NA()))</f>
        <v>#N/A</v>
      </c>
      <c r="EW255" s="55" t="str" cm="1">
        <f t="array" ref="EW255">IFERROR(_xlfn.SWITCH(Eu_tabel_a[[#This Row],[Indeks]],_xlfn.IFNA(EU$2,-99),EU$5,_xlfn.IFNA(EU$3,-99),EU$6,_xlfn.IFNA(EU$4,-99),EU$7,""),"")</f>
        <v/>
      </c>
      <c r="EX255" s="54">
        <f>Eu_tabel_a[[#This Row],[x base]]*SQRT(Eu_a_h0_x*(1-Eu_a_h0_x)/Eu_a_n_x)+Eu_a_h0_x</f>
        <v>0</v>
      </c>
      <c r="FC255" s="161" t="e">
        <f t="shared" si="354"/>
        <v>#N/A</v>
      </c>
      <c r="FD255" s="169" t="e">
        <f t="shared" si="442"/>
        <v>#DIV/0!</v>
      </c>
      <c r="FE255" s="7" t="e">
        <f t="shared" si="348"/>
        <v>#DIV/0!</v>
      </c>
      <c r="FF255" t="e">
        <f t="shared" si="443"/>
        <v>#DIV/0!</v>
      </c>
      <c r="FG255" s="8" t="e">
        <f t="shared" si="444"/>
        <v>#DIV/0!</v>
      </c>
      <c r="FH255" s="8" t="e">
        <f t="shared" si="445"/>
        <v>#DIV/0!</v>
      </c>
      <c r="FI255" s="168" t="e">
        <f t="shared" si="446"/>
        <v>#DIV/0!</v>
      </c>
      <c r="FJ255" s="161" t="e">
        <f t="shared" ca="1" si="349"/>
        <v>#N/A</v>
      </c>
      <c r="FK255" s="169" t="e" vm="3">
        <f t="shared" ca="1" si="355"/>
        <v>#VALUE!</v>
      </c>
      <c r="FL255" s="7" t="e" vm="3">
        <f t="shared" ca="1" si="350"/>
        <v>#VALUE!</v>
      </c>
      <c r="FM255" t="e" vm="3">
        <f t="shared" ca="1" si="344"/>
        <v>#VALUE!</v>
      </c>
      <c r="FN255" s="8" t="e" vm="3">
        <f t="shared" ca="1" si="345"/>
        <v>#VALUE!</v>
      </c>
      <c r="FO255" s="8" t="e" vm="3">
        <f t="shared" ca="1" si="346"/>
        <v>#VALUE!</v>
      </c>
      <c r="FP255" s="168" t="e" vm="3">
        <f t="shared" ca="1" si="347"/>
        <v>#VALUE!</v>
      </c>
      <c r="FQ255" s="161" t="e">
        <f t="shared" si="351"/>
        <v>#N/A</v>
      </c>
      <c r="FR255" s="169" t="e">
        <f t="shared" si="356"/>
        <v>#N/A</v>
      </c>
      <c r="FS255" s="7" t="e">
        <f t="shared" si="352"/>
        <v>#N/A</v>
      </c>
      <c r="FT255" t="e">
        <f t="shared" si="357"/>
        <v>#N/A</v>
      </c>
      <c r="FU255" s="8" t="e">
        <f t="shared" si="358"/>
        <v>#N/A</v>
      </c>
      <c r="FV255" s="8" t="e">
        <f t="shared" si="359"/>
        <v>#N/A</v>
      </c>
      <c r="FW255" s="168" t="e">
        <f t="shared" si="360"/>
        <v>#N/A</v>
      </c>
      <c r="FX255" s="161" t="e">
        <f t="shared" si="361"/>
        <v>#N/A</v>
      </c>
      <c r="FY255" s="169" t="e">
        <f t="shared" si="362"/>
        <v>#N/A</v>
      </c>
      <c r="FZ255" s="7" t="e">
        <f t="shared" si="353"/>
        <v>#N/A</v>
      </c>
      <c r="GA255" t="e">
        <f t="shared" si="363"/>
        <v>#N/A</v>
      </c>
      <c r="GB255" s="8" t="e">
        <f t="shared" si="364"/>
        <v>#N/A</v>
      </c>
      <c r="GC255" s="8" t="e">
        <f t="shared" si="365"/>
        <v>#N/A</v>
      </c>
      <c r="GD255" s="168" t="e">
        <f t="shared" si="366"/>
        <v>#N/A</v>
      </c>
      <c r="GE255" s="168"/>
      <c r="GF255" s="168"/>
      <c r="GI255" s="54">
        <f t="shared" si="411"/>
        <v>245</v>
      </c>
      <c r="GJ255" s="54">
        <f t="shared" si="412"/>
        <v>246</v>
      </c>
      <c r="GK255" s="54">
        <f t="shared" si="413"/>
        <v>2.7788135466315218</v>
      </c>
      <c r="GL255" s="54">
        <f t="shared" si="414"/>
        <v>8.3973349051078925E-3</v>
      </c>
      <c r="GM255" s="54" t="e">
        <f t="shared" si="415"/>
        <v>#N/A</v>
      </c>
      <c r="GN255" s="54" t="e">
        <f t="shared" si="416"/>
        <v>#N/A</v>
      </c>
      <c r="GO255" s="54" t="e">
        <f t="shared" si="417"/>
        <v>#N/A</v>
      </c>
      <c r="GP255" s="54" t="b">
        <f t="shared" si="418"/>
        <v>0</v>
      </c>
      <c r="GQ255" s="54" t="b">
        <f t="shared" si="419"/>
        <v>1</v>
      </c>
      <c r="GR255" s="54" t="b">
        <f t="shared" si="420"/>
        <v>1</v>
      </c>
      <c r="GS255" s="54" t="b">
        <f t="shared" si="421"/>
        <v>0</v>
      </c>
      <c r="GT255" s="54">
        <f t="shared" si="422"/>
        <v>8.3973349051078925E-3</v>
      </c>
      <c r="GU255" s="54">
        <f t="shared" si="423"/>
        <v>8.3973349051078925E-3</v>
      </c>
      <c r="GV255" s="54" t="e">
        <f t="shared" si="424"/>
        <v>#N/A</v>
      </c>
      <c r="GW255" s="72" t="str">
        <f t="shared" si="425"/>
        <v/>
      </c>
      <c r="HC255" s="54">
        <f t="shared" si="426"/>
        <v>245</v>
      </c>
      <c r="HD255" s="54">
        <f t="shared" si="427"/>
        <v>246</v>
      </c>
      <c r="HE255" s="54">
        <f t="shared" si="428"/>
        <v>4.303051138930595</v>
      </c>
      <c r="HF255" s="54" t="e">
        <f t="shared" si="429"/>
        <v>#N/A</v>
      </c>
      <c r="HG255" s="54">
        <f t="shared" si="430"/>
        <v>2.1805995210078624E-3</v>
      </c>
      <c r="HH255" s="54" t="e">
        <f t="shared" si="431"/>
        <v>#N/A</v>
      </c>
      <c r="HI255" s="54" t="e">
        <f t="shared" si="432"/>
        <v>#N/A</v>
      </c>
      <c r="HJ255" s="54" t="b">
        <f t="shared" si="433"/>
        <v>0</v>
      </c>
      <c r="HK255" s="54" t="b">
        <f t="shared" si="434"/>
        <v>1</v>
      </c>
      <c r="HL255" s="54" t="b">
        <f t="shared" si="435"/>
        <v>1</v>
      </c>
      <c r="HM255" s="54" t="b">
        <f t="shared" si="436"/>
        <v>0</v>
      </c>
      <c r="HN255" s="54">
        <f t="shared" si="437"/>
        <v>2.1805995210078624E-3</v>
      </c>
      <c r="HO255" s="54" t="e">
        <f t="shared" si="438"/>
        <v>#N/A</v>
      </c>
      <c r="HP255" s="54">
        <f t="shared" si="439"/>
        <v>2.1805995210078624E-3</v>
      </c>
      <c r="HQ255" s="72" t="str">
        <f t="shared" si="440"/>
        <v/>
      </c>
    </row>
    <row r="256" spans="71:225" x14ac:dyDescent="0.2">
      <c r="BS256" s="54">
        <f t="shared" si="367"/>
        <v>246</v>
      </c>
      <c r="BT256" s="54">
        <f>Eu_tabel_g[[#This Row],[Indeks]]+1</f>
        <v>247</v>
      </c>
      <c r="BU256" s="54">
        <f t="shared" si="368"/>
        <v>2.8027688358266216</v>
      </c>
      <c r="BV256" s="54">
        <f t="shared" si="369"/>
        <v>7.8542923005407612E-3</v>
      </c>
      <c r="BW256" s="54" t="e">
        <f t="shared" si="370"/>
        <v>#N/A</v>
      </c>
      <c r="BX256" s="54" t="e">
        <f t="shared" si="371"/>
        <v>#N/A</v>
      </c>
      <c r="BY256" s="54" t="e">
        <f t="shared" si="372"/>
        <v>#N/A</v>
      </c>
      <c r="BZ256" s="54" t="b">
        <f t="shared" si="373"/>
        <v>0</v>
      </c>
      <c r="CA256" s="54" t="b">
        <f t="shared" si="374"/>
        <v>1</v>
      </c>
      <c r="CB256" s="54" t="b">
        <f t="shared" si="375"/>
        <v>1</v>
      </c>
      <c r="CC256" s="54" t="b">
        <f t="shared" si="376"/>
        <v>0</v>
      </c>
      <c r="CD256" s="54">
        <f t="shared" si="447"/>
        <v>7.8542923005407612E-3</v>
      </c>
      <c r="CE256" s="54">
        <f t="shared" si="377"/>
        <v>7.8542923005407612E-3</v>
      </c>
      <c r="CF256" s="54" t="e">
        <f t="shared" si="378"/>
        <v>#N/A</v>
      </c>
      <c r="CG256" s="72" t="str">
        <f t="shared" si="379"/>
        <v/>
      </c>
      <c r="CH256" s="54">
        <f>_xlfn.NORM.DIST(_xlfn.NORM.INV(1-Eu_g_konfidensniveau,0,1)-Eu_tabel_g[[#This Row],[x base]],0,1,TRUE)</f>
        <v>4.3412979959716034E-6</v>
      </c>
      <c r="CI256" s="54">
        <f>1-_xlfn.NORM.DIST(_xlfn.NORM.INV(Eu_g_konfidensniveau,0,1)-Eu_tabel_g[[#This Row],[x base]],0,1,TRUE)</f>
        <v>0.87655067983900459</v>
      </c>
      <c r="CJ256" s="54">
        <f>_xlfn.NORM.DIST(_xlfn.NORM.INV((1-Eu_g_konfidensniveau)/2,0,1)-Eu_tabel_g[[#This Row],[x base]],0,1,TRUE)+1-_xlfn.NORM.DIST(_xlfn.NORM.INV(1-(1-Eu_g_konfidensniveau)/2,0,1)-Eu_tabel_g[[#This Row],[x base]],0,1,TRUE)</f>
        <v>0.80033215776148392</v>
      </c>
      <c r="CK256" s="54" t="e" cm="1">
        <f t="array" ref="CK256">IF($CK$3,INDEX(Eu_tabel_g[[#This Row],[Styrke venstre]:[Styrke tosidet]],CK$7),NA())</f>
        <v>#N/A</v>
      </c>
      <c r="CL256" s="99" t="e">
        <f>Eu_tabel_g[[#This Row],[Falsk positiv
Nulhypotese accepteres
Fejltype 1]]</f>
        <v>#N/A</v>
      </c>
      <c r="CM256" s="99" t="e">
        <f>IF(CHOOSE(CK$7,Eu_tabel_g[[#This Row],[x base]]&gt;0,Eu_tabel_g[[#This Row],[x base]]&lt;0,Eu_tabel_g[[#This Row],[x base]]=0),Eu_tabel_g[[#This Row],[Styrke, aktiv]],NA())</f>
        <v>#N/A</v>
      </c>
      <c r="CN256" s="99" t="e">
        <f>IFERROR(IF($CK$3,Eu_tabel_g[[#This Row],[Styrke, aktiv]],NA()),NA())</f>
        <v>#N/A</v>
      </c>
      <c r="CO256" s="99" t="e">
        <f>IF(ISNA(Eu_tabel_g[[#This Row],[Sand negativ
Nulhypotese afvises
Korrekt]]),NA(),IF($CK$3,1,NA()))</f>
        <v>#N/A</v>
      </c>
      <c r="CP256" s="56" t="str" cm="1">
        <f t="array" ref="CP256">_xlfn.SWITCH(BS256,_xlfn.IFNA(CN$2,-99),CN$5,_xlfn.IFNA(CN$3,-99),CN$6,_xlfn.IFNA(CN$4,-99),CN$7,"")</f>
        <v/>
      </c>
      <c r="CT256" s="7">
        <f t="shared" si="380"/>
        <v>0.8</v>
      </c>
      <c r="CU256">
        <f>IF(ROW(Styrkeberegning_G[[#This Row],[X base venstre]])=ROW(Styrkeberegning_G[[#Headers],[X base venstre]])+1,CU$7/(CT$7/$B$67),CU255/(CT255/$B$67))</f>
        <v>-2.8015817870135784</v>
      </c>
      <c r="CV256">
        <f>Styrkeberegning_G[[#This Row],[X base venstre]]*-1</f>
        <v>2.8015817870135784</v>
      </c>
      <c r="DG256" s="54">
        <f t="shared" si="381"/>
        <v>246</v>
      </c>
      <c r="DH256" s="54">
        <f t="shared" si="382"/>
        <v>247</v>
      </c>
      <c r="DI256" s="54">
        <f t="shared" si="383"/>
        <v>29.895283343235938</v>
      </c>
      <c r="DJ256" s="54" t="e">
        <f t="shared" si="384"/>
        <v>#N/A</v>
      </c>
      <c r="DK256" s="54" t="e">
        <f t="shared" si="385"/>
        <v>#N/A</v>
      </c>
      <c r="DL256" s="54">
        <f t="shared" si="386"/>
        <v>5.9430857244359425E-4</v>
      </c>
      <c r="DM256" s="54" t="e">
        <f t="shared" si="387"/>
        <v>#N/A</v>
      </c>
      <c r="DN256" s="54" t="b">
        <f t="shared" si="388"/>
        <v>0</v>
      </c>
      <c r="DO256" s="54" t="b">
        <f t="shared" si="389"/>
        <v>1</v>
      </c>
      <c r="DP256" s="54" t="b">
        <f t="shared" si="390"/>
        <v>1</v>
      </c>
      <c r="DQ256" s="54" t="b">
        <f t="shared" si="391"/>
        <v>0</v>
      </c>
      <c r="DR256" s="54">
        <f t="shared" si="392"/>
        <v>5.9430857244359425E-4</v>
      </c>
      <c r="DS256" s="54">
        <f t="shared" si="393"/>
        <v>5.9430857244359425E-4</v>
      </c>
      <c r="DT256" s="54" t="e">
        <f t="shared" si="394"/>
        <v>#N/A</v>
      </c>
      <c r="DU256" s="72" t="str">
        <f t="shared" si="395"/>
        <v/>
      </c>
      <c r="DZ256" s="54">
        <f t="shared" si="396"/>
        <v>246</v>
      </c>
      <c r="EA256" s="54">
        <f t="shared" si="397"/>
        <v>247</v>
      </c>
      <c r="EB256" s="54">
        <f t="shared" si="398"/>
        <v>2.8027688358266216</v>
      </c>
      <c r="EC256" s="54">
        <f t="shared" si="399"/>
        <v>7.8542923005407612E-3</v>
      </c>
      <c r="ED256" s="54" t="e">
        <f t="shared" si="400"/>
        <v>#N/A</v>
      </c>
      <c r="EE256" s="54" t="e">
        <f t="shared" si="401"/>
        <v>#N/A</v>
      </c>
      <c r="EF256" s="54" t="e">
        <f t="shared" si="402"/>
        <v>#N/A</v>
      </c>
      <c r="EG256" s="54" t="b">
        <f t="shared" si="403"/>
        <v>0</v>
      </c>
      <c r="EH256" s="54" t="b">
        <f t="shared" si="404"/>
        <v>1</v>
      </c>
      <c r="EI256" s="54" t="b">
        <f t="shared" si="405"/>
        <v>1</v>
      </c>
      <c r="EJ256" s="54" t="b">
        <f t="shared" si="406"/>
        <v>0</v>
      </c>
      <c r="EK256" s="54">
        <f t="shared" si="407"/>
        <v>7.8542923005407612E-3</v>
      </c>
      <c r="EL256" s="54">
        <f t="shared" si="408"/>
        <v>7.8542923005407612E-3</v>
      </c>
      <c r="EM256" s="54" t="e">
        <f t="shared" si="409"/>
        <v>#N/A</v>
      </c>
      <c r="EN256" s="72" t="str">
        <f t="shared" si="410"/>
        <v/>
      </c>
      <c r="EO25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5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5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56" s="54" t="e" cm="1">
        <f t="array" ref="ER256">IF($CK$3,INDEX(Eu_tabel_a[[#This Row],[Styrke venstre]:[Styrke tosidet]],ER$7),NA())</f>
        <v>#N/A</v>
      </c>
      <c r="ES256" s="54" t="e">
        <f>IF(ER$3,IF(CHOOSE(ER$7,Eu_tabel_a[[#This Row],[x base]]&gt;0,Eu_tabel_a[[#This Row],[x base]]&lt;0,Eu_tabel_a[[#This Row],[x base]]=0),1,NA()),NA())</f>
        <v>#N/A</v>
      </c>
      <c r="ET256" s="54" t="e">
        <f>IF(CHOOSE(ER$7,Eu_tabel_a[[#This Row],[x base]]&gt;0,Eu_tabel_a[[#This Row],[x base]]&lt;0,Eu_tabel_a[[#This Row],[x base]]=0),Eu_tabel_a[[#This Row],[Styrke, aktiv]],NA())</f>
        <v>#N/A</v>
      </c>
      <c r="EU256" s="54" t="e">
        <f>IFERROR(IF($ER$3,Eu_tabel_a[[#This Row],[Styrke, aktiv]],NA()),NA())</f>
        <v>#N/A</v>
      </c>
      <c r="EV256" s="54" t="e">
        <f>IF(ISNA(Eu_tabel_a[[#This Row],[Sand negativ
Nulhypotese afvises
Korrekt]]),NA(),IF(ER$3,1,NA()))</f>
        <v>#N/A</v>
      </c>
      <c r="EW256" s="55" t="str" cm="1">
        <f t="array" ref="EW256">IFERROR(_xlfn.SWITCH(Eu_tabel_a[[#This Row],[Indeks]],_xlfn.IFNA(EU$2,-99),EU$5,_xlfn.IFNA(EU$3,-99),EU$6,_xlfn.IFNA(EU$4,-99),EU$7,""),"")</f>
        <v/>
      </c>
      <c r="EX256" s="54">
        <f>Eu_tabel_a[[#This Row],[x base]]*SQRT(Eu_a_h0_x*(1-Eu_a_h0_x)/Eu_a_n_x)+Eu_a_h0_x</f>
        <v>0</v>
      </c>
      <c r="FC256" s="161" t="e">
        <f t="shared" si="354"/>
        <v>#N/A</v>
      </c>
      <c r="FD256" s="169" t="e">
        <f t="shared" si="442"/>
        <v>#DIV/0!</v>
      </c>
      <c r="FE256" s="7" t="e">
        <f t="shared" si="348"/>
        <v>#DIV/0!</v>
      </c>
      <c r="FF256" t="e">
        <f t="shared" si="443"/>
        <v>#DIV/0!</v>
      </c>
      <c r="FG256" s="8" t="e">
        <f t="shared" si="444"/>
        <v>#DIV/0!</v>
      </c>
      <c r="FH256" s="8" t="e">
        <f t="shared" si="445"/>
        <v>#DIV/0!</v>
      </c>
      <c r="FI256" s="168" t="e">
        <f t="shared" si="446"/>
        <v>#DIV/0!</v>
      </c>
      <c r="FJ256" s="161" t="e">
        <f t="shared" ca="1" si="349"/>
        <v>#N/A</v>
      </c>
      <c r="FK256" s="169" t="e" vm="3">
        <f t="shared" ca="1" si="355"/>
        <v>#VALUE!</v>
      </c>
      <c r="FL256" s="7" t="e" vm="3">
        <f t="shared" ca="1" si="350"/>
        <v>#VALUE!</v>
      </c>
      <c r="FM256" t="e" vm="3">
        <f t="shared" ca="1" si="344"/>
        <v>#VALUE!</v>
      </c>
      <c r="FN256" s="8" t="e" vm="3">
        <f t="shared" ca="1" si="345"/>
        <v>#VALUE!</v>
      </c>
      <c r="FO256" s="8" t="e" vm="3">
        <f t="shared" ca="1" si="346"/>
        <v>#VALUE!</v>
      </c>
      <c r="FP256" s="168" t="e" vm="3">
        <f t="shared" ca="1" si="347"/>
        <v>#VALUE!</v>
      </c>
      <c r="FQ256" s="161" t="e">
        <f t="shared" si="351"/>
        <v>#N/A</v>
      </c>
      <c r="FR256" s="169" t="e">
        <f t="shared" si="356"/>
        <v>#N/A</v>
      </c>
      <c r="FS256" s="7" t="e">
        <f t="shared" si="352"/>
        <v>#N/A</v>
      </c>
      <c r="FT256" t="e">
        <f t="shared" si="357"/>
        <v>#N/A</v>
      </c>
      <c r="FU256" s="8" t="e">
        <f t="shared" si="358"/>
        <v>#N/A</v>
      </c>
      <c r="FV256" s="8" t="e">
        <f t="shared" si="359"/>
        <v>#N/A</v>
      </c>
      <c r="FW256" s="168" t="e">
        <f t="shared" si="360"/>
        <v>#N/A</v>
      </c>
      <c r="FX256" s="161" t="e">
        <f t="shared" si="361"/>
        <v>#N/A</v>
      </c>
      <c r="FY256" s="169" t="e">
        <f t="shared" si="362"/>
        <v>#N/A</v>
      </c>
      <c r="FZ256" s="7" t="e">
        <f t="shared" si="353"/>
        <v>#N/A</v>
      </c>
      <c r="GA256" t="e">
        <f t="shared" si="363"/>
        <v>#N/A</v>
      </c>
      <c r="GB256" s="8" t="e">
        <f t="shared" si="364"/>
        <v>#N/A</v>
      </c>
      <c r="GC256" s="8" t="e">
        <f t="shared" si="365"/>
        <v>#N/A</v>
      </c>
      <c r="GD256" s="168" t="e">
        <f t="shared" si="366"/>
        <v>#N/A</v>
      </c>
      <c r="GE256" s="168"/>
      <c r="GF256" s="168"/>
      <c r="GI256" s="54">
        <f t="shared" si="411"/>
        <v>246</v>
      </c>
      <c r="GJ256" s="54">
        <f t="shared" si="412"/>
        <v>247</v>
      </c>
      <c r="GK256" s="54">
        <f t="shared" si="413"/>
        <v>2.8027688358266216</v>
      </c>
      <c r="GL256" s="54">
        <f t="shared" si="414"/>
        <v>7.8542923005407612E-3</v>
      </c>
      <c r="GM256" s="54" t="e">
        <f t="shared" si="415"/>
        <v>#N/A</v>
      </c>
      <c r="GN256" s="54" t="e">
        <f t="shared" si="416"/>
        <v>#N/A</v>
      </c>
      <c r="GO256" s="54" t="e">
        <f t="shared" si="417"/>
        <v>#N/A</v>
      </c>
      <c r="GP256" s="54" t="b">
        <f t="shared" si="418"/>
        <v>0</v>
      </c>
      <c r="GQ256" s="54" t="b">
        <f t="shared" si="419"/>
        <v>1</v>
      </c>
      <c r="GR256" s="54" t="b">
        <f t="shared" si="420"/>
        <v>1</v>
      </c>
      <c r="GS256" s="54" t="b">
        <f t="shared" si="421"/>
        <v>0</v>
      </c>
      <c r="GT256" s="54">
        <f t="shared" si="422"/>
        <v>7.8542923005407612E-3</v>
      </c>
      <c r="GU256" s="54">
        <f t="shared" si="423"/>
        <v>7.8542923005407612E-3</v>
      </c>
      <c r="GV256" s="54" t="e">
        <f t="shared" si="424"/>
        <v>#N/A</v>
      </c>
      <c r="GW256" s="72" t="str">
        <f t="shared" si="425"/>
        <v/>
      </c>
      <c r="HC256" s="54">
        <f t="shared" si="426"/>
        <v>246</v>
      </c>
      <c r="HD256" s="54">
        <f t="shared" si="427"/>
        <v>247</v>
      </c>
      <c r="HE256" s="54">
        <f t="shared" si="428"/>
        <v>4.3401464073696516</v>
      </c>
      <c r="HF256" s="54" t="e">
        <f t="shared" si="429"/>
        <v>#N/A</v>
      </c>
      <c r="HG256" s="54">
        <f t="shared" si="430"/>
        <v>2.0743574203867855E-3</v>
      </c>
      <c r="HH256" s="54" t="e">
        <f t="shared" si="431"/>
        <v>#N/A</v>
      </c>
      <c r="HI256" s="54" t="e">
        <f t="shared" si="432"/>
        <v>#N/A</v>
      </c>
      <c r="HJ256" s="54" t="b">
        <f t="shared" si="433"/>
        <v>0</v>
      </c>
      <c r="HK256" s="54" t="b">
        <f t="shared" si="434"/>
        <v>1</v>
      </c>
      <c r="HL256" s="54" t="b">
        <f t="shared" si="435"/>
        <v>1</v>
      </c>
      <c r="HM256" s="54" t="b">
        <f t="shared" si="436"/>
        <v>0</v>
      </c>
      <c r="HN256" s="54">
        <f t="shared" si="437"/>
        <v>2.0743574203867855E-3</v>
      </c>
      <c r="HO256" s="54" t="e">
        <f t="shared" si="438"/>
        <v>#N/A</v>
      </c>
      <c r="HP256" s="54">
        <f t="shared" si="439"/>
        <v>2.0743574203867855E-3</v>
      </c>
      <c r="HQ256" s="72" t="str">
        <f t="shared" si="440"/>
        <v/>
      </c>
    </row>
    <row r="257" spans="71:225" x14ac:dyDescent="0.2">
      <c r="BS257" s="54">
        <f t="shared" si="367"/>
        <v>247</v>
      </c>
      <c r="BT257" s="54">
        <f>Eu_tabel_g[[#This Row],[Indeks]]+1</f>
        <v>248</v>
      </c>
      <c r="BU257" s="54">
        <f t="shared" si="368"/>
        <v>2.8267241250217205</v>
      </c>
      <c r="BV257" s="54">
        <f t="shared" si="369"/>
        <v>7.3421528709367023E-3</v>
      </c>
      <c r="BW257" s="54" t="e">
        <f t="shared" si="370"/>
        <v>#N/A</v>
      </c>
      <c r="BX257" s="54" t="e">
        <f t="shared" si="371"/>
        <v>#N/A</v>
      </c>
      <c r="BY257" s="54" t="e">
        <f t="shared" si="372"/>
        <v>#N/A</v>
      </c>
      <c r="BZ257" s="54" t="b">
        <f t="shared" si="373"/>
        <v>0</v>
      </c>
      <c r="CA257" s="54" t="b">
        <f t="shared" si="374"/>
        <v>1</v>
      </c>
      <c r="CB257" s="54" t="b">
        <f t="shared" si="375"/>
        <v>1</v>
      </c>
      <c r="CC257" s="54" t="b">
        <f t="shared" si="376"/>
        <v>0</v>
      </c>
      <c r="CD257" s="54">
        <f t="shared" si="447"/>
        <v>7.3421528709367023E-3</v>
      </c>
      <c r="CE257" s="54">
        <f t="shared" si="377"/>
        <v>7.3421528709367023E-3</v>
      </c>
      <c r="CF257" s="54" t="e">
        <f t="shared" si="378"/>
        <v>#N/A</v>
      </c>
      <c r="CG257" s="72" t="str">
        <f t="shared" si="379"/>
        <v/>
      </c>
      <c r="CH257" s="54">
        <f>_xlfn.NORM.DIST(_xlfn.NORM.INV(1-Eu_g_konfidensniveau,0,1)-Eu_tabel_g[[#This Row],[x base]],0,1,TRUE)</f>
        <v>3.8822309909310449E-6</v>
      </c>
      <c r="CI257" s="54">
        <f>1-_xlfn.NORM.DIST(_xlfn.NORM.INV(Eu_g_konfidensniveau,0,1)-Eu_tabel_g[[#This Row],[x base]],0,1,TRUE)</f>
        <v>0.88137145520395488</v>
      </c>
      <c r="CJ257" s="54">
        <f>_xlfn.NORM.DIST(_xlfn.NORM.INV((1-Eu_g_konfidensniveau)/2,0,1)-Eu_tabel_g[[#This Row],[x base]],0,1,TRUE)+1-_xlfn.NORM.DIST(_xlfn.NORM.INV(1-(1-Eu_g_konfidensniveau)/2,0,1)-Eu_tabel_g[[#This Row],[x base]],0,1,TRUE)</f>
        <v>0.80696412483467084</v>
      </c>
      <c r="CK257" s="54" t="e" cm="1">
        <f t="array" ref="CK257">IF($CK$3,INDEX(Eu_tabel_g[[#This Row],[Styrke venstre]:[Styrke tosidet]],CK$7),NA())</f>
        <v>#N/A</v>
      </c>
      <c r="CL257" s="99" t="e">
        <f>Eu_tabel_g[[#This Row],[Falsk positiv
Nulhypotese accepteres
Fejltype 1]]</f>
        <v>#N/A</v>
      </c>
      <c r="CM257" s="99" t="e">
        <f>IF(CHOOSE(CK$7,Eu_tabel_g[[#This Row],[x base]]&gt;0,Eu_tabel_g[[#This Row],[x base]]&lt;0,Eu_tabel_g[[#This Row],[x base]]=0),Eu_tabel_g[[#This Row],[Styrke, aktiv]],NA())</f>
        <v>#N/A</v>
      </c>
      <c r="CN257" s="99" t="e">
        <f>IFERROR(IF($CK$3,Eu_tabel_g[[#This Row],[Styrke, aktiv]],NA()),NA())</f>
        <v>#N/A</v>
      </c>
      <c r="CO257" s="99" t="e">
        <f>IF(ISNA(Eu_tabel_g[[#This Row],[Sand negativ
Nulhypotese afvises
Korrekt]]),NA(),IF($CK$3,1,NA()))</f>
        <v>#N/A</v>
      </c>
      <c r="CP257" s="56" t="str" cm="1">
        <f t="array" ref="CP257">_xlfn.SWITCH(BS257,_xlfn.IFNA(CN$2,-99),CN$5,_xlfn.IFNA(CN$3,-99),CN$6,_xlfn.IFNA(CN$4,-99),CN$7,"")</f>
        <v/>
      </c>
      <c r="CT257" s="7">
        <f t="shared" si="380"/>
        <v>0.8</v>
      </c>
      <c r="CU257">
        <f>IF(ROW(Styrkeberegning_G[[#This Row],[X base venstre]])=ROW(Styrkeberegning_G[[#Headers],[X base venstre]])+1,CU$7/(CT$7/$B$67),CU256/(CT256/$B$67))</f>
        <v>-2.8015817870135784</v>
      </c>
      <c r="CV257">
        <f>Styrkeberegning_G[[#This Row],[X base venstre]]*-1</f>
        <v>2.8015817870135784</v>
      </c>
      <c r="DG257" s="54">
        <f t="shared" si="381"/>
        <v>247</v>
      </c>
      <c r="DH257" s="54">
        <f t="shared" si="382"/>
        <v>248</v>
      </c>
      <c r="DI257" s="54">
        <f t="shared" si="383"/>
        <v>30.00935419965294</v>
      </c>
      <c r="DJ257" s="54" t="e">
        <f t="shared" si="384"/>
        <v>#N/A</v>
      </c>
      <c r="DK257" s="54" t="e">
        <f t="shared" si="385"/>
        <v>#N/A</v>
      </c>
      <c r="DL257" s="54">
        <f t="shared" si="386"/>
        <v>5.7106390789980711E-4</v>
      </c>
      <c r="DM257" s="54" t="e">
        <f t="shared" si="387"/>
        <v>#N/A</v>
      </c>
      <c r="DN257" s="54" t="b">
        <f t="shared" si="388"/>
        <v>0</v>
      </c>
      <c r="DO257" s="54" t="b">
        <f t="shared" si="389"/>
        <v>1</v>
      </c>
      <c r="DP257" s="54" t="b">
        <f t="shared" si="390"/>
        <v>1</v>
      </c>
      <c r="DQ257" s="54" t="b">
        <f t="shared" si="391"/>
        <v>0</v>
      </c>
      <c r="DR257" s="54">
        <f t="shared" si="392"/>
        <v>5.7106390789980711E-4</v>
      </c>
      <c r="DS257" s="54">
        <f t="shared" si="393"/>
        <v>5.7106390789980711E-4</v>
      </c>
      <c r="DT257" s="54" t="e">
        <f t="shared" si="394"/>
        <v>#N/A</v>
      </c>
      <c r="DU257" s="72" t="str">
        <f t="shared" si="395"/>
        <v/>
      </c>
      <c r="DZ257" s="54">
        <f t="shared" si="396"/>
        <v>247</v>
      </c>
      <c r="EA257" s="54">
        <f t="shared" si="397"/>
        <v>248</v>
      </c>
      <c r="EB257" s="54">
        <f t="shared" si="398"/>
        <v>2.8267241250217205</v>
      </c>
      <c r="EC257" s="54">
        <f t="shared" si="399"/>
        <v>7.3421528709367023E-3</v>
      </c>
      <c r="ED257" s="54" t="e">
        <f t="shared" si="400"/>
        <v>#N/A</v>
      </c>
      <c r="EE257" s="54" t="e">
        <f t="shared" si="401"/>
        <v>#N/A</v>
      </c>
      <c r="EF257" s="54" t="e">
        <f t="shared" si="402"/>
        <v>#N/A</v>
      </c>
      <c r="EG257" s="54" t="b">
        <f t="shared" si="403"/>
        <v>0</v>
      </c>
      <c r="EH257" s="54" t="b">
        <f t="shared" si="404"/>
        <v>1</v>
      </c>
      <c r="EI257" s="54" t="b">
        <f t="shared" si="405"/>
        <v>1</v>
      </c>
      <c r="EJ257" s="54" t="b">
        <f t="shared" si="406"/>
        <v>0</v>
      </c>
      <c r="EK257" s="54">
        <f t="shared" si="407"/>
        <v>7.3421528709367023E-3</v>
      </c>
      <c r="EL257" s="54">
        <f t="shared" si="408"/>
        <v>7.3421528709367023E-3</v>
      </c>
      <c r="EM257" s="54" t="e">
        <f t="shared" si="409"/>
        <v>#N/A</v>
      </c>
      <c r="EN257" s="72" t="str">
        <f t="shared" si="410"/>
        <v/>
      </c>
      <c r="EO25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5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5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57" s="54" t="e" cm="1">
        <f t="array" ref="ER257">IF($CK$3,INDEX(Eu_tabel_a[[#This Row],[Styrke venstre]:[Styrke tosidet]],ER$7),NA())</f>
        <v>#N/A</v>
      </c>
      <c r="ES257" s="54" t="e">
        <f>IF(ER$3,IF(CHOOSE(ER$7,Eu_tabel_a[[#This Row],[x base]]&gt;0,Eu_tabel_a[[#This Row],[x base]]&lt;0,Eu_tabel_a[[#This Row],[x base]]=0),1,NA()),NA())</f>
        <v>#N/A</v>
      </c>
      <c r="ET257" s="54" t="e">
        <f>IF(CHOOSE(ER$7,Eu_tabel_a[[#This Row],[x base]]&gt;0,Eu_tabel_a[[#This Row],[x base]]&lt;0,Eu_tabel_a[[#This Row],[x base]]=0),Eu_tabel_a[[#This Row],[Styrke, aktiv]],NA())</f>
        <v>#N/A</v>
      </c>
      <c r="EU257" s="54" t="e">
        <f>IFERROR(IF($ER$3,Eu_tabel_a[[#This Row],[Styrke, aktiv]],NA()),NA())</f>
        <v>#N/A</v>
      </c>
      <c r="EV257" s="54" t="e">
        <f>IF(ISNA(Eu_tabel_a[[#This Row],[Sand negativ
Nulhypotese afvises
Korrekt]]),NA(),IF(ER$3,1,NA()))</f>
        <v>#N/A</v>
      </c>
      <c r="EW257" s="55" t="str" cm="1">
        <f t="array" ref="EW257">IFERROR(_xlfn.SWITCH(Eu_tabel_a[[#This Row],[Indeks]],_xlfn.IFNA(EU$2,-99),EU$5,_xlfn.IFNA(EU$3,-99),EU$6,_xlfn.IFNA(EU$4,-99),EU$7,""),"")</f>
        <v/>
      </c>
      <c r="EX257" s="54">
        <f>Eu_tabel_a[[#This Row],[x base]]*SQRT(Eu_a_h0_x*(1-Eu_a_h0_x)/Eu_a_n_x)+Eu_a_h0_x</f>
        <v>0</v>
      </c>
      <c r="FC257" s="161" t="e">
        <f t="shared" si="354"/>
        <v>#N/A</v>
      </c>
      <c r="FD257" s="169" t="e">
        <f t="shared" si="442"/>
        <v>#DIV/0!</v>
      </c>
      <c r="FE257" s="7" t="e">
        <f t="shared" si="348"/>
        <v>#DIV/0!</v>
      </c>
      <c r="FF257" t="e">
        <f t="shared" si="443"/>
        <v>#DIV/0!</v>
      </c>
      <c r="FG257" s="8" t="e">
        <f t="shared" si="444"/>
        <v>#DIV/0!</v>
      </c>
      <c r="FH257" s="8" t="e">
        <f t="shared" si="445"/>
        <v>#DIV/0!</v>
      </c>
      <c r="FI257" s="168" t="e">
        <f t="shared" si="446"/>
        <v>#DIV/0!</v>
      </c>
      <c r="FJ257" s="161" t="e">
        <f t="shared" ca="1" si="349"/>
        <v>#N/A</v>
      </c>
      <c r="FK257" s="169" t="e" vm="3">
        <f t="shared" ca="1" si="355"/>
        <v>#VALUE!</v>
      </c>
      <c r="FL257" s="7" t="e" vm="3">
        <f t="shared" ca="1" si="350"/>
        <v>#VALUE!</v>
      </c>
      <c r="FM257" t="e" vm="3">
        <f t="shared" ca="1" si="344"/>
        <v>#VALUE!</v>
      </c>
      <c r="FN257" s="8" t="e" vm="3">
        <f t="shared" ca="1" si="345"/>
        <v>#VALUE!</v>
      </c>
      <c r="FO257" s="8" t="e" vm="3">
        <f t="shared" ca="1" si="346"/>
        <v>#VALUE!</v>
      </c>
      <c r="FP257" s="168" t="e" vm="3">
        <f t="shared" ca="1" si="347"/>
        <v>#VALUE!</v>
      </c>
      <c r="FQ257" s="161" t="e">
        <f t="shared" si="351"/>
        <v>#N/A</v>
      </c>
      <c r="FR257" s="169" t="e">
        <f t="shared" si="356"/>
        <v>#N/A</v>
      </c>
      <c r="FS257" s="7" t="e">
        <f t="shared" si="352"/>
        <v>#N/A</v>
      </c>
      <c r="FT257" t="e">
        <f t="shared" si="357"/>
        <v>#N/A</v>
      </c>
      <c r="FU257" s="8" t="e">
        <f t="shared" si="358"/>
        <v>#N/A</v>
      </c>
      <c r="FV257" s="8" t="e">
        <f t="shared" si="359"/>
        <v>#N/A</v>
      </c>
      <c r="FW257" s="168" t="e">
        <f t="shared" si="360"/>
        <v>#N/A</v>
      </c>
      <c r="FX257" s="161" t="e">
        <f t="shared" si="361"/>
        <v>#N/A</v>
      </c>
      <c r="FY257" s="169" t="e">
        <f t="shared" si="362"/>
        <v>#N/A</v>
      </c>
      <c r="FZ257" s="7" t="e">
        <f t="shared" si="353"/>
        <v>#N/A</v>
      </c>
      <c r="GA257" t="e">
        <f t="shared" si="363"/>
        <v>#N/A</v>
      </c>
      <c r="GB257" s="8" t="e">
        <f t="shared" si="364"/>
        <v>#N/A</v>
      </c>
      <c r="GC257" s="8" t="e">
        <f t="shared" si="365"/>
        <v>#N/A</v>
      </c>
      <c r="GD257" s="168" t="e">
        <f t="shared" si="366"/>
        <v>#N/A</v>
      </c>
      <c r="GE257" s="168"/>
      <c r="GF257" s="168"/>
      <c r="GI257" s="54">
        <f t="shared" si="411"/>
        <v>247</v>
      </c>
      <c r="GJ257" s="54">
        <f t="shared" si="412"/>
        <v>248</v>
      </c>
      <c r="GK257" s="54">
        <f t="shared" si="413"/>
        <v>2.8267241250217205</v>
      </c>
      <c r="GL257" s="54">
        <f t="shared" si="414"/>
        <v>7.3421528709367023E-3</v>
      </c>
      <c r="GM257" s="54" t="e">
        <f t="shared" si="415"/>
        <v>#N/A</v>
      </c>
      <c r="GN257" s="54" t="e">
        <f t="shared" si="416"/>
        <v>#N/A</v>
      </c>
      <c r="GO257" s="54" t="e">
        <f t="shared" si="417"/>
        <v>#N/A</v>
      </c>
      <c r="GP257" s="54" t="b">
        <f t="shared" si="418"/>
        <v>0</v>
      </c>
      <c r="GQ257" s="54" t="b">
        <f t="shared" si="419"/>
        <v>1</v>
      </c>
      <c r="GR257" s="54" t="b">
        <f t="shared" si="420"/>
        <v>1</v>
      </c>
      <c r="GS257" s="54" t="b">
        <f t="shared" si="421"/>
        <v>0</v>
      </c>
      <c r="GT257" s="54">
        <f t="shared" si="422"/>
        <v>7.3421528709367023E-3</v>
      </c>
      <c r="GU257" s="54">
        <f t="shared" si="423"/>
        <v>7.3421528709367023E-3</v>
      </c>
      <c r="GV257" s="54" t="e">
        <f t="shared" si="424"/>
        <v>#N/A</v>
      </c>
      <c r="GW257" s="72" t="str">
        <f t="shared" si="425"/>
        <v/>
      </c>
      <c r="HC257" s="54">
        <f t="shared" si="426"/>
        <v>247</v>
      </c>
      <c r="HD257" s="54">
        <f t="shared" si="427"/>
        <v>248</v>
      </c>
      <c r="HE257" s="54">
        <f t="shared" si="428"/>
        <v>4.3772416758087083</v>
      </c>
      <c r="HF257" s="54" t="e">
        <f t="shared" si="429"/>
        <v>#N/A</v>
      </c>
      <c r="HG257" s="54">
        <f t="shared" si="430"/>
        <v>1.9736768102251228E-3</v>
      </c>
      <c r="HH257" s="54" t="e">
        <f t="shared" si="431"/>
        <v>#N/A</v>
      </c>
      <c r="HI257" s="54" t="e">
        <f t="shared" si="432"/>
        <v>#N/A</v>
      </c>
      <c r="HJ257" s="54" t="b">
        <f t="shared" si="433"/>
        <v>0</v>
      </c>
      <c r="HK257" s="54" t="b">
        <f t="shared" si="434"/>
        <v>1</v>
      </c>
      <c r="HL257" s="54" t="b">
        <f t="shared" si="435"/>
        <v>1</v>
      </c>
      <c r="HM257" s="54" t="b">
        <f t="shared" si="436"/>
        <v>0</v>
      </c>
      <c r="HN257" s="54">
        <f t="shared" si="437"/>
        <v>1.9736768102251228E-3</v>
      </c>
      <c r="HO257" s="54" t="e">
        <f t="shared" si="438"/>
        <v>#N/A</v>
      </c>
      <c r="HP257" s="54">
        <f t="shared" si="439"/>
        <v>1.9736768102251228E-3</v>
      </c>
      <c r="HQ257" s="72" t="str">
        <f t="shared" si="440"/>
        <v/>
      </c>
    </row>
    <row r="258" spans="71:225" x14ac:dyDescent="0.2">
      <c r="BS258" s="54">
        <f t="shared" si="367"/>
        <v>248</v>
      </c>
      <c r="BT258" s="54">
        <f>Eu_tabel_g[[#This Row],[Indeks]]+1</f>
        <v>249</v>
      </c>
      <c r="BU258" s="54">
        <f t="shared" si="368"/>
        <v>2.8506794142168195</v>
      </c>
      <c r="BV258" s="54">
        <f t="shared" si="369"/>
        <v>6.8594700355305563E-3</v>
      </c>
      <c r="BW258" s="54" t="e">
        <f t="shared" si="370"/>
        <v>#N/A</v>
      </c>
      <c r="BX258" s="54" t="e">
        <f t="shared" si="371"/>
        <v>#N/A</v>
      </c>
      <c r="BY258" s="54" t="e">
        <f t="shared" si="372"/>
        <v>#N/A</v>
      </c>
      <c r="BZ258" s="54" t="b">
        <f t="shared" si="373"/>
        <v>0</v>
      </c>
      <c r="CA258" s="54" t="b">
        <f t="shared" si="374"/>
        <v>1</v>
      </c>
      <c r="CB258" s="54" t="b">
        <f t="shared" si="375"/>
        <v>1</v>
      </c>
      <c r="CC258" s="54" t="b">
        <f t="shared" si="376"/>
        <v>0</v>
      </c>
      <c r="CD258" s="54">
        <f t="shared" si="447"/>
        <v>6.8594700355305563E-3</v>
      </c>
      <c r="CE258" s="54">
        <f t="shared" si="377"/>
        <v>6.8594700355305563E-3</v>
      </c>
      <c r="CF258" s="54" t="e">
        <f t="shared" si="378"/>
        <v>#N/A</v>
      </c>
      <c r="CG258" s="72" t="str">
        <f t="shared" si="379"/>
        <v/>
      </c>
      <c r="CH258" s="54">
        <f>_xlfn.NORM.DIST(_xlfn.NORM.INV(1-Eu_g_konfidensniveau,0,1)-Eu_tabel_g[[#This Row],[x base]],0,1,TRUE)</f>
        <v>3.4697940337063963E-6</v>
      </c>
      <c r="CI258" s="54">
        <f>1-_xlfn.NORM.DIST(_xlfn.NORM.INV(Eu_g_konfidensniveau,0,1)-Eu_tabel_g[[#This Row],[x base]],0,1,TRUE)</f>
        <v>0.8860576648764078</v>
      </c>
      <c r="CJ258" s="54">
        <f>_xlfn.NORM.DIST(_xlfn.NORM.INV((1-Eu_g_konfidensniveau)/2,0,1)-Eu_tabel_g[[#This Row],[x base]],0,1,TRUE)+1-_xlfn.NORM.DIST(_xlfn.NORM.INV(1-(1-Eu_g_konfidensniveau)/2,0,1)-Eu_tabel_g[[#This Row],[x base]],0,1,TRUE)</f>
        <v>0.81345982473559109</v>
      </c>
      <c r="CK258" s="54" t="e" cm="1">
        <f t="array" ref="CK258">IF($CK$3,INDEX(Eu_tabel_g[[#This Row],[Styrke venstre]:[Styrke tosidet]],CK$7),NA())</f>
        <v>#N/A</v>
      </c>
      <c r="CL258" s="99" t="e">
        <f>Eu_tabel_g[[#This Row],[Falsk positiv
Nulhypotese accepteres
Fejltype 1]]</f>
        <v>#N/A</v>
      </c>
      <c r="CM258" s="99" t="e">
        <f>IF(CHOOSE(CK$7,Eu_tabel_g[[#This Row],[x base]]&gt;0,Eu_tabel_g[[#This Row],[x base]]&lt;0,Eu_tabel_g[[#This Row],[x base]]=0),Eu_tabel_g[[#This Row],[Styrke, aktiv]],NA())</f>
        <v>#N/A</v>
      </c>
      <c r="CN258" s="99" t="e">
        <f>IFERROR(IF($CK$3,Eu_tabel_g[[#This Row],[Styrke, aktiv]],NA()),NA())</f>
        <v>#N/A</v>
      </c>
      <c r="CO258" s="99" t="e">
        <f>IF(ISNA(Eu_tabel_g[[#This Row],[Sand negativ
Nulhypotese afvises
Korrekt]]),NA(),IF($CK$3,1,NA()))</f>
        <v>#N/A</v>
      </c>
      <c r="CP258" s="56" t="str" cm="1">
        <f t="array" ref="CP258">_xlfn.SWITCH(BS258,_xlfn.IFNA(CN$2,-99),CN$5,_xlfn.IFNA(CN$3,-99),CN$6,_xlfn.IFNA(CN$4,-99),CN$7,"")</f>
        <v/>
      </c>
      <c r="CT258" s="7">
        <f t="shared" si="380"/>
        <v>0.8</v>
      </c>
      <c r="CU258">
        <f>IF(ROW(Styrkeberegning_G[[#This Row],[X base venstre]])=ROW(Styrkeberegning_G[[#Headers],[X base venstre]])+1,CU$7/(CT$7/$B$67),CU257/(CT257/$B$67))</f>
        <v>-2.8015817870135784</v>
      </c>
      <c r="CV258">
        <f>Styrkeberegning_G[[#This Row],[X base venstre]]*-1</f>
        <v>2.8015817870135784</v>
      </c>
      <c r="DG258" s="54">
        <f t="shared" si="381"/>
        <v>248</v>
      </c>
      <c r="DH258" s="54">
        <f t="shared" si="382"/>
        <v>249</v>
      </c>
      <c r="DI258" s="54">
        <f t="shared" si="383"/>
        <v>30.123425056069937</v>
      </c>
      <c r="DJ258" s="54" t="e">
        <f t="shared" si="384"/>
        <v>#N/A</v>
      </c>
      <c r="DK258" s="54" t="e">
        <f t="shared" si="385"/>
        <v>#N/A</v>
      </c>
      <c r="DL258" s="54">
        <f t="shared" si="386"/>
        <v>5.4869271376819053E-4</v>
      </c>
      <c r="DM258" s="54" t="e">
        <f t="shared" si="387"/>
        <v>#N/A</v>
      </c>
      <c r="DN258" s="54" t="b">
        <f t="shared" si="388"/>
        <v>0</v>
      </c>
      <c r="DO258" s="54" t="b">
        <f t="shared" si="389"/>
        <v>1</v>
      </c>
      <c r="DP258" s="54" t="b">
        <f t="shared" si="390"/>
        <v>1</v>
      </c>
      <c r="DQ258" s="54" t="b">
        <f t="shared" si="391"/>
        <v>0</v>
      </c>
      <c r="DR258" s="54">
        <f t="shared" si="392"/>
        <v>5.4869271376819053E-4</v>
      </c>
      <c r="DS258" s="54">
        <f t="shared" si="393"/>
        <v>5.4869271376819053E-4</v>
      </c>
      <c r="DT258" s="54" t="e">
        <f t="shared" si="394"/>
        <v>#N/A</v>
      </c>
      <c r="DU258" s="72" t="str">
        <f t="shared" si="395"/>
        <v/>
      </c>
      <c r="DZ258" s="54">
        <f t="shared" si="396"/>
        <v>248</v>
      </c>
      <c r="EA258" s="54">
        <f t="shared" si="397"/>
        <v>249</v>
      </c>
      <c r="EB258" s="54">
        <f t="shared" si="398"/>
        <v>2.8506794142168195</v>
      </c>
      <c r="EC258" s="54">
        <f t="shared" si="399"/>
        <v>6.8594700355305563E-3</v>
      </c>
      <c r="ED258" s="54" t="e">
        <f t="shared" si="400"/>
        <v>#N/A</v>
      </c>
      <c r="EE258" s="54" t="e">
        <f t="shared" si="401"/>
        <v>#N/A</v>
      </c>
      <c r="EF258" s="54" t="e">
        <f t="shared" si="402"/>
        <v>#N/A</v>
      </c>
      <c r="EG258" s="54" t="b">
        <f t="shared" si="403"/>
        <v>0</v>
      </c>
      <c r="EH258" s="54" t="b">
        <f t="shared" si="404"/>
        <v>1</v>
      </c>
      <c r="EI258" s="54" t="b">
        <f t="shared" si="405"/>
        <v>1</v>
      </c>
      <c r="EJ258" s="54" t="b">
        <f t="shared" si="406"/>
        <v>0</v>
      </c>
      <c r="EK258" s="54">
        <f t="shared" si="407"/>
        <v>6.8594700355305563E-3</v>
      </c>
      <c r="EL258" s="54">
        <f t="shared" si="408"/>
        <v>6.8594700355305563E-3</v>
      </c>
      <c r="EM258" s="54" t="e">
        <f t="shared" si="409"/>
        <v>#N/A</v>
      </c>
      <c r="EN258" s="72" t="str">
        <f t="shared" si="410"/>
        <v/>
      </c>
      <c r="EO25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5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5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58" s="54" t="e" cm="1">
        <f t="array" ref="ER258">IF($CK$3,INDEX(Eu_tabel_a[[#This Row],[Styrke venstre]:[Styrke tosidet]],ER$7),NA())</f>
        <v>#N/A</v>
      </c>
      <c r="ES258" s="54" t="e">
        <f>IF(ER$3,IF(CHOOSE(ER$7,Eu_tabel_a[[#This Row],[x base]]&gt;0,Eu_tabel_a[[#This Row],[x base]]&lt;0,Eu_tabel_a[[#This Row],[x base]]=0),1,NA()),NA())</f>
        <v>#N/A</v>
      </c>
      <c r="ET258" s="54" t="e">
        <f>IF(CHOOSE(ER$7,Eu_tabel_a[[#This Row],[x base]]&gt;0,Eu_tabel_a[[#This Row],[x base]]&lt;0,Eu_tabel_a[[#This Row],[x base]]=0),Eu_tabel_a[[#This Row],[Styrke, aktiv]],NA())</f>
        <v>#N/A</v>
      </c>
      <c r="EU258" s="54" t="e">
        <f>IFERROR(IF($ER$3,Eu_tabel_a[[#This Row],[Styrke, aktiv]],NA()),NA())</f>
        <v>#N/A</v>
      </c>
      <c r="EV258" s="54" t="e">
        <f>IF(ISNA(Eu_tabel_a[[#This Row],[Sand negativ
Nulhypotese afvises
Korrekt]]),NA(),IF(ER$3,1,NA()))</f>
        <v>#N/A</v>
      </c>
      <c r="EW258" s="55" t="str" cm="1">
        <f t="array" ref="EW258">IFERROR(_xlfn.SWITCH(Eu_tabel_a[[#This Row],[Indeks]],_xlfn.IFNA(EU$2,-99),EU$5,_xlfn.IFNA(EU$3,-99),EU$6,_xlfn.IFNA(EU$4,-99),EU$7,""),"")</f>
        <v/>
      </c>
      <c r="EX258" s="54">
        <f>Eu_tabel_a[[#This Row],[x base]]*SQRT(Eu_a_h0_x*(1-Eu_a_h0_x)/Eu_a_n_x)+Eu_a_h0_x</f>
        <v>0</v>
      </c>
      <c r="FC258" s="161" t="e">
        <f t="shared" si="354"/>
        <v>#N/A</v>
      </c>
      <c r="FD258" s="169" t="e">
        <f t="shared" si="442"/>
        <v>#DIV/0!</v>
      </c>
      <c r="FE258" s="7" t="e">
        <f t="shared" si="348"/>
        <v>#DIV/0!</v>
      </c>
      <c r="FF258" t="e">
        <f t="shared" si="443"/>
        <v>#DIV/0!</v>
      </c>
      <c r="FG258" s="8" t="e">
        <f t="shared" si="444"/>
        <v>#DIV/0!</v>
      </c>
      <c r="FH258" s="8" t="e">
        <f t="shared" si="445"/>
        <v>#DIV/0!</v>
      </c>
      <c r="FI258" s="168" t="e">
        <f t="shared" si="446"/>
        <v>#DIV/0!</v>
      </c>
      <c r="FJ258" s="161" t="e">
        <f t="shared" ca="1" si="349"/>
        <v>#N/A</v>
      </c>
      <c r="FK258" s="169" t="e" vm="3">
        <f t="shared" ca="1" si="355"/>
        <v>#VALUE!</v>
      </c>
      <c r="FL258" s="7" t="e" vm="3">
        <f t="shared" ca="1" si="350"/>
        <v>#VALUE!</v>
      </c>
      <c r="FM258" t="e" vm="3">
        <f t="shared" ca="1" si="344"/>
        <v>#VALUE!</v>
      </c>
      <c r="FN258" s="8" t="e" vm="3">
        <f t="shared" ca="1" si="345"/>
        <v>#VALUE!</v>
      </c>
      <c r="FO258" s="8" t="e" vm="3">
        <f t="shared" ca="1" si="346"/>
        <v>#VALUE!</v>
      </c>
      <c r="FP258" s="168" t="e" vm="3">
        <f t="shared" ca="1" si="347"/>
        <v>#VALUE!</v>
      </c>
      <c r="FQ258" s="161" t="e">
        <f t="shared" si="351"/>
        <v>#N/A</v>
      </c>
      <c r="FR258" s="169" t="e">
        <f t="shared" si="356"/>
        <v>#N/A</v>
      </c>
      <c r="FS258" s="7" t="e">
        <f t="shared" si="352"/>
        <v>#N/A</v>
      </c>
      <c r="FT258" t="e">
        <f t="shared" si="357"/>
        <v>#N/A</v>
      </c>
      <c r="FU258" s="8" t="e">
        <f t="shared" si="358"/>
        <v>#N/A</v>
      </c>
      <c r="FV258" s="8" t="e">
        <f t="shared" si="359"/>
        <v>#N/A</v>
      </c>
      <c r="FW258" s="168" t="e">
        <f t="shared" si="360"/>
        <v>#N/A</v>
      </c>
      <c r="FX258" s="161" t="e">
        <f t="shared" si="361"/>
        <v>#N/A</v>
      </c>
      <c r="FY258" s="169" t="e">
        <f t="shared" si="362"/>
        <v>#N/A</v>
      </c>
      <c r="FZ258" s="7" t="e">
        <f t="shared" si="353"/>
        <v>#N/A</v>
      </c>
      <c r="GA258" t="e">
        <f t="shared" si="363"/>
        <v>#N/A</v>
      </c>
      <c r="GB258" s="8" t="e">
        <f t="shared" si="364"/>
        <v>#N/A</v>
      </c>
      <c r="GC258" s="8" t="e">
        <f t="shared" si="365"/>
        <v>#N/A</v>
      </c>
      <c r="GD258" s="168" t="e">
        <f t="shared" si="366"/>
        <v>#N/A</v>
      </c>
      <c r="GE258" s="168"/>
      <c r="GF258" s="168"/>
      <c r="GI258" s="54">
        <f t="shared" si="411"/>
        <v>248</v>
      </c>
      <c r="GJ258" s="54">
        <f t="shared" si="412"/>
        <v>249</v>
      </c>
      <c r="GK258" s="54">
        <f t="shared" si="413"/>
        <v>2.8506794142168195</v>
      </c>
      <c r="GL258" s="54">
        <f t="shared" si="414"/>
        <v>6.8594700355305563E-3</v>
      </c>
      <c r="GM258" s="54" t="e">
        <f t="shared" si="415"/>
        <v>#N/A</v>
      </c>
      <c r="GN258" s="54" t="e">
        <f t="shared" si="416"/>
        <v>#N/A</v>
      </c>
      <c r="GO258" s="54" t="e">
        <f t="shared" si="417"/>
        <v>#N/A</v>
      </c>
      <c r="GP258" s="54" t="b">
        <f t="shared" si="418"/>
        <v>0</v>
      </c>
      <c r="GQ258" s="54" t="b">
        <f t="shared" si="419"/>
        <v>1</v>
      </c>
      <c r="GR258" s="54" t="b">
        <f t="shared" si="420"/>
        <v>1</v>
      </c>
      <c r="GS258" s="54" t="b">
        <f t="shared" si="421"/>
        <v>0</v>
      </c>
      <c r="GT258" s="54">
        <f t="shared" si="422"/>
        <v>6.8594700355305563E-3</v>
      </c>
      <c r="GU258" s="54">
        <f t="shared" si="423"/>
        <v>6.8594700355305563E-3</v>
      </c>
      <c r="GV258" s="54" t="e">
        <f t="shared" si="424"/>
        <v>#N/A</v>
      </c>
      <c r="GW258" s="72" t="str">
        <f t="shared" si="425"/>
        <v/>
      </c>
      <c r="HC258" s="54">
        <f t="shared" si="426"/>
        <v>248</v>
      </c>
      <c r="HD258" s="54">
        <f t="shared" si="427"/>
        <v>249</v>
      </c>
      <c r="HE258" s="54">
        <f t="shared" si="428"/>
        <v>4.4143369442477649</v>
      </c>
      <c r="HF258" s="54" t="e">
        <f t="shared" si="429"/>
        <v>#N/A</v>
      </c>
      <c r="HG258" s="54">
        <f t="shared" si="430"/>
        <v>1.8782501669481135E-3</v>
      </c>
      <c r="HH258" s="54" t="e">
        <f t="shared" si="431"/>
        <v>#N/A</v>
      </c>
      <c r="HI258" s="54" t="e">
        <f t="shared" si="432"/>
        <v>#N/A</v>
      </c>
      <c r="HJ258" s="54" t="b">
        <f t="shared" si="433"/>
        <v>0</v>
      </c>
      <c r="HK258" s="54" t="b">
        <f t="shared" si="434"/>
        <v>1</v>
      </c>
      <c r="HL258" s="54" t="b">
        <f t="shared" si="435"/>
        <v>1</v>
      </c>
      <c r="HM258" s="54" t="b">
        <f t="shared" si="436"/>
        <v>0</v>
      </c>
      <c r="HN258" s="54">
        <f t="shared" si="437"/>
        <v>1.8782501669481135E-3</v>
      </c>
      <c r="HO258" s="54" t="e">
        <f t="shared" si="438"/>
        <v>#N/A</v>
      </c>
      <c r="HP258" s="54">
        <f t="shared" si="439"/>
        <v>1.8782501669481135E-3</v>
      </c>
      <c r="HQ258" s="72" t="str">
        <f t="shared" si="440"/>
        <v/>
      </c>
    </row>
    <row r="259" spans="71:225" x14ac:dyDescent="0.2">
      <c r="BS259" s="54">
        <f t="shared" si="367"/>
        <v>249</v>
      </c>
      <c r="BT259" s="54">
        <f>Eu_tabel_g[[#This Row],[Indeks]]+1</f>
        <v>250</v>
      </c>
      <c r="BU259" s="54">
        <f t="shared" si="368"/>
        <v>2.8746347034119193</v>
      </c>
      <c r="BV259" s="54">
        <f t="shared" si="369"/>
        <v>6.4048428962354522E-3</v>
      </c>
      <c r="BW259" s="54" t="e">
        <f t="shared" si="370"/>
        <v>#N/A</v>
      </c>
      <c r="BX259" s="54" t="e">
        <f t="shared" si="371"/>
        <v>#N/A</v>
      </c>
      <c r="BY259" s="54" t="e">
        <f t="shared" si="372"/>
        <v>#N/A</v>
      </c>
      <c r="BZ259" s="54" t="b">
        <f t="shared" si="373"/>
        <v>0</v>
      </c>
      <c r="CA259" s="54" t="b">
        <f t="shared" si="374"/>
        <v>1</v>
      </c>
      <c r="CB259" s="54" t="b">
        <f t="shared" si="375"/>
        <v>1</v>
      </c>
      <c r="CC259" s="54" t="b">
        <f t="shared" si="376"/>
        <v>0</v>
      </c>
      <c r="CD259" s="54">
        <f t="shared" si="447"/>
        <v>6.4048428962354522E-3</v>
      </c>
      <c r="CE259" s="54">
        <f t="shared" si="377"/>
        <v>6.4048428962354522E-3</v>
      </c>
      <c r="CF259" s="54" t="e">
        <f t="shared" si="378"/>
        <v>#N/A</v>
      </c>
      <c r="CG259" s="72" t="str">
        <f t="shared" si="379"/>
        <v/>
      </c>
      <c r="CH259" s="54">
        <f>_xlfn.NORM.DIST(_xlfn.NORM.INV(1-Eu_g_konfidensniveau,0,1)-Eu_tabel_g[[#This Row],[x base]],0,1,TRUE)</f>
        <v>3.0994632123592412E-6</v>
      </c>
      <c r="CI259" s="54">
        <f>1-_xlfn.NORM.DIST(_xlfn.NORM.INV(Eu_g_konfidensniveau,0,1)-Eu_tabel_g[[#This Row],[x base]],0,1,TRUE)</f>
        <v>0.89061045181482168</v>
      </c>
      <c r="CJ259" s="54">
        <f>_xlfn.NORM.DIST(_xlfn.NORM.INV((1-Eu_g_konfidensniveau)/2,0,1)-Eu_tabel_g[[#This Row],[x base]],0,1,TRUE)+1-_xlfn.NORM.DIST(_xlfn.NORM.INV(1-(1-Eu_g_konfidensniveau)/2,0,1)-Eu_tabel_g[[#This Row],[x base]],0,1,TRUE)</f>
        <v>0.81981840674074768</v>
      </c>
      <c r="CK259" s="54" t="e" cm="1">
        <f t="array" ref="CK259">IF($CK$3,INDEX(Eu_tabel_g[[#This Row],[Styrke venstre]:[Styrke tosidet]],CK$7),NA())</f>
        <v>#N/A</v>
      </c>
      <c r="CL259" s="99" t="e">
        <f>Eu_tabel_g[[#This Row],[Falsk positiv
Nulhypotese accepteres
Fejltype 1]]</f>
        <v>#N/A</v>
      </c>
      <c r="CM259" s="99" t="e">
        <f>IF(CHOOSE(CK$7,Eu_tabel_g[[#This Row],[x base]]&gt;0,Eu_tabel_g[[#This Row],[x base]]&lt;0,Eu_tabel_g[[#This Row],[x base]]=0),Eu_tabel_g[[#This Row],[Styrke, aktiv]],NA())</f>
        <v>#N/A</v>
      </c>
      <c r="CN259" s="99" t="e">
        <f>IFERROR(IF($CK$3,Eu_tabel_g[[#This Row],[Styrke, aktiv]],NA()),NA())</f>
        <v>#N/A</v>
      </c>
      <c r="CO259" s="99" t="e">
        <f>IF(ISNA(Eu_tabel_g[[#This Row],[Sand negativ
Nulhypotese afvises
Korrekt]]),NA(),IF($CK$3,1,NA()))</f>
        <v>#N/A</v>
      </c>
      <c r="CP259" s="56" t="str" cm="1">
        <f t="array" ref="CP259">_xlfn.SWITCH(BS259,_xlfn.IFNA(CN$2,-99),CN$5,_xlfn.IFNA(CN$3,-99),CN$6,_xlfn.IFNA(CN$4,-99),CN$7,"")</f>
        <v/>
      </c>
      <c r="CT259" s="7">
        <f t="shared" si="380"/>
        <v>0.8</v>
      </c>
      <c r="CU259">
        <f>IF(ROW(Styrkeberegning_G[[#This Row],[X base venstre]])=ROW(Styrkeberegning_G[[#Headers],[X base venstre]])+1,CU$7/(CT$7/$B$67),CU258/(CT258/$B$67))</f>
        <v>-2.8015817870135784</v>
      </c>
      <c r="CV259">
        <f>Styrkeberegning_G[[#This Row],[X base venstre]]*-1</f>
        <v>2.8015817870135784</v>
      </c>
      <c r="DG259" s="54">
        <f t="shared" si="381"/>
        <v>249</v>
      </c>
      <c r="DH259" s="54">
        <f t="shared" si="382"/>
        <v>250</v>
      </c>
      <c r="DI259" s="54">
        <f t="shared" si="383"/>
        <v>30.237495912486938</v>
      </c>
      <c r="DJ259" s="54" t="e">
        <f t="shared" si="384"/>
        <v>#N/A</v>
      </c>
      <c r="DK259" s="54" t="e">
        <f t="shared" si="385"/>
        <v>#N/A</v>
      </c>
      <c r="DL259" s="54">
        <f t="shared" si="386"/>
        <v>5.2716388341654432E-4</v>
      </c>
      <c r="DM259" s="54" t="e">
        <f t="shared" si="387"/>
        <v>#N/A</v>
      </c>
      <c r="DN259" s="54" t="b">
        <f t="shared" si="388"/>
        <v>0</v>
      </c>
      <c r="DO259" s="54" t="b">
        <f t="shared" si="389"/>
        <v>1</v>
      </c>
      <c r="DP259" s="54" t="b">
        <f t="shared" si="390"/>
        <v>1</v>
      </c>
      <c r="DQ259" s="54" t="b">
        <f t="shared" si="391"/>
        <v>0</v>
      </c>
      <c r="DR259" s="54">
        <f t="shared" si="392"/>
        <v>5.2716388341654432E-4</v>
      </c>
      <c r="DS259" s="54">
        <f t="shared" si="393"/>
        <v>5.2716388341654432E-4</v>
      </c>
      <c r="DT259" s="54" t="e">
        <f t="shared" si="394"/>
        <v>#N/A</v>
      </c>
      <c r="DU259" s="72" t="str">
        <f t="shared" si="395"/>
        <v/>
      </c>
      <c r="DZ259" s="54">
        <f t="shared" si="396"/>
        <v>249</v>
      </c>
      <c r="EA259" s="54">
        <f t="shared" si="397"/>
        <v>250</v>
      </c>
      <c r="EB259" s="54">
        <f t="shared" si="398"/>
        <v>2.8746347034119193</v>
      </c>
      <c r="EC259" s="54">
        <f t="shared" si="399"/>
        <v>6.4048428962354522E-3</v>
      </c>
      <c r="ED259" s="54" t="e">
        <f t="shared" si="400"/>
        <v>#N/A</v>
      </c>
      <c r="EE259" s="54" t="e">
        <f t="shared" si="401"/>
        <v>#N/A</v>
      </c>
      <c r="EF259" s="54" t="e">
        <f t="shared" si="402"/>
        <v>#N/A</v>
      </c>
      <c r="EG259" s="54" t="b">
        <f t="shared" si="403"/>
        <v>0</v>
      </c>
      <c r="EH259" s="54" t="b">
        <f t="shared" si="404"/>
        <v>1</v>
      </c>
      <c r="EI259" s="54" t="b">
        <f t="shared" si="405"/>
        <v>1</v>
      </c>
      <c r="EJ259" s="54" t="b">
        <f t="shared" si="406"/>
        <v>0</v>
      </c>
      <c r="EK259" s="54">
        <f t="shared" si="407"/>
        <v>6.4048428962354522E-3</v>
      </c>
      <c r="EL259" s="54">
        <f t="shared" si="408"/>
        <v>6.4048428962354522E-3</v>
      </c>
      <c r="EM259" s="54" t="e">
        <f t="shared" si="409"/>
        <v>#N/A</v>
      </c>
      <c r="EN259" s="72" t="str">
        <f t="shared" si="410"/>
        <v/>
      </c>
      <c r="EO25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59"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59"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59" s="54" t="e" cm="1">
        <f t="array" ref="ER259">IF($CK$3,INDEX(Eu_tabel_a[[#This Row],[Styrke venstre]:[Styrke tosidet]],ER$7),NA())</f>
        <v>#N/A</v>
      </c>
      <c r="ES259" s="54" t="e">
        <f>IF(ER$3,IF(CHOOSE(ER$7,Eu_tabel_a[[#This Row],[x base]]&gt;0,Eu_tabel_a[[#This Row],[x base]]&lt;0,Eu_tabel_a[[#This Row],[x base]]=0),1,NA()),NA())</f>
        <v>#N/A</v>
      </c>
      <c r="ET259" s="54" t="e">
        <f>IF(CHOOSE(ER$7,Eu_tabel_a[[#This Row],[x base]]&gt;0,Eu_tabel_a[[#This Row],[x base]]&lt;0,Eu_tabel_a[[#This Row],[x base]]=0),Eu_tabel_a[[#This Row],[Styrke, aktiv]],NA())</f>
        <v>#N/A</v>
      </c>
      <c r="EU259" s="54" t="e">
        <f>IFERROR(IF($ER$3,Eu_tabel_a[[#This Row],[Styrke, aktiv]],NA()),NA())</f>
        <v>#N/A</v>
      </c>
      <c r="EV259" s="54" t="e">
        <f>IF(ISNA(Eu_tabel_a[[#This Row],[Sand negativ
Nulhypotese afvises
Korrekt]]),NA(),IF(ER$3,1,NA()))</f>
        <v>#N/A</v>
      </c>
      <c r="EW259" s="55" t="str" cm="1">
        <f t="array" ref="EW259">IFERROR(_xlfn.SWITCH(Eu_tabel_a[[#This Row],[Indeks]],_xlfn.IFNA(EU$2,-99),EU$5,_xlfn.IFNA(EU$3,-99),EU$6,_xlfn.IFNA(EU$4,-99),EU$7,""),"")</f>
        <v/>
      </c>
      <c r="EX259" s="54">
        <f>Eu_tabel_a[[#This Row],[x base]]*SQRT(Eu_a_h0_x*(1-Eu_a_h0_x)/Eu_a_n_x)+Eu_a_h0_x</f>
        <v>0</v>
      </c>
      <c r="FC259" s="161" t="e">
        <f t="shared" si="354"/>
        <v>#N/A</v>
      </c>
      <c r="FD259" s="169" t="e">
        <f t="shared" si="442"/>
        <v>#DIV/0!</v>
      </c>
      <c r="FE259" s="7" t="e">
        <f t="shared" si="348"/>
        <v>#DIV/0!</v>
      </c>
      <c r="FF259" t="e">
        <f t="shared" si="443"/>
        <v>#DIV/0!</v>
      </c>
      <c r="FG259" s="8" t="e">
        <f t="shared" si="444"/>
        <v>#DIV/0!</v>
      </c>
      <c r="FH259" s="8" t="e">
        <f t="shared" si="445"/>
        <v>#DIV/0!</v>
      </c>
      <c r="FI259" s="168" t="e">
        <f t="shared" si="446"/>
        <v>#DIV/0!</v>
      </c>
      <c r="FJ259" s="161" t="e">
        <f t="shared" ca="1" si="349"/>
        <v>#N/A</v>
      </c>
      <c r="FK259" s="169" t="e" vm="3">
        <f t="shared" ca="1" si="355"/>
        <v>#VALUE!</v>
      </c>
      <c r="FL259" s="7" t="e" vm="3">
        <f t="shared" ca="1" si="350"/>
        <v>#VALUE!</v>
      </c>
      <c r="FM259" t="e" vm="3">
        <f t="shared" ca="1" si="344"/>
        <v>#VALUE!</v>
      </c>
      <c r="FN259" s="8" t="e" vm="3">
        <f t="shared" ca="1" si="345"/>
        <v>#VALUE!</v>
      </c>
      <c r="FO259" s="8" t="e" vm="3">
        <f t="shared" ca="1" si="346"/>
        <v>#VALUE!</v>
      </c>
      <c r="FP259" s="168" t="e" vm="3">
        <f t="shared" ca="1" si="347"/>
        <v>#VALUE!</v>
      </c>
      <c r="FQ259" s="161" t="e">
        <f t="shared" si="351"/>
        <v>#N/A</v>
      </c>
      <c r="FR259" s="169" t="e">
        <f t="shared" si="356"/>
        <v>#N/A</v>
      </c>
      <c r="FS259" s="7" t="e">
        <f t="shared" si="352"/>
        <v>#N/A</v>
      </c>
      <c r="FT259" t="e">
        <f t="shared" si="357"/>
        <v>#N/A</v>
      </c>
      <c r="FU259" s="8" t="e">
        <f t="shared" si="358"/>
        <v>#N/A</v>
      </c>
      <c r="FV259" s="8" t="e">
        <f t="shared" si="359"/>
        <v>#N/A</v>
      </c>
      <c r="FW259" s="168" t="e">
        <f t="shared" si="360"/>
        <v>#N/A</v>
      </c>
      <c r="FX259" s="161" t="e">
        <f t="shared" si="361"/>
        <v>#N/A</v>
      </c>
      <c r="FY259" s="169" t="e">
        <f t="shared" si="362"/>
        <v>#N/A</v>
      </c>
      <c r="FZ259" s="7" t="e">
        <f t="shared" si="353"/>
        <v>#N/A</v>
      </c>
      <c r="GA259" t="e">
        <f t="shared" si="363"/>
        <v>#N/A</v>
      </c>
      <c r="GB259" s="8" t="e">
        <f t="shared" si="364"/>
        <v>#N/A</v>
      </c>
      <c r="GC259" s="8" t="e">
        <f t="shared" si="365"/>
        <v>#N/A</v>
      </c>
      <c r="GD259" s="168" t="e">
        <f t="shared" si="366"/>
        <v>#N/A</v>
      </c>
      <c r="GE259" s="168"/>
      <c r="GF259" s="168"/>
      <c r="GI259" s="54">
        <f t="shared" si="411"/>
        <v>249</v>
      </c>
      <c r="GJ259" s="54">
        <f t="shared" si="412"/>
        <v>250</v>
      </c>
      <c r="GK259" s="54">
        <f t="shared" si="413"/>
        <v>2.8746347034119193</v>
      </c>
      <c r="GL259" s="54">
        <f t="shared" si="414"/>
        <v>6.4048428962354522E-3</v>
      </c>
      <c r="GM259" s="54" t="e">
        <f t="shared" si="415"/>
        <v>#N/A</v>
      </c>
      <c r="GN259" s="54" t="e">
        <f t="shared" si="416"/>
        <v>#N/A</v>
      </c>
      <c r="GO259" s="54" t="e">
        <f t="shared" si="417"/>
        <v>#N/A</v>
      </c>
      <c r="GP259" s="54" t="b">
        <f t="shared" si="418"/>
        <v>0</v>
      </c>
      <c r="GQ259" s="54" t="b">
        <f t="shared" si="419"/>
        <v>1</v>
      </c>
      <c r="GR259" s="54" t="b">
        <f t="shared" si="420"/>
        <v>1</v>
      </c>
      <c r="GS259" s="54" t="b">
        <f t="shared" si="421"/>
        <v>0</v>
      </c>
      <c r="GT259" s="54">
        <f t="shared" si="422"/>
        <v>6.4048428962354522E-3</v>
      </c>
      <c r="GU259" s="54">
        <f t="shared" si="423"/>
        <v>6.4048428962354522E-3</v>
      </c>
      <c r="GV259" s="54" t="e">
        <f t="shared" si="424"/>
        <v>#N/A</v>
      </c>
      <c r="GW259" s="72" t="str">
        <f t="shared" si="425"/>
        <v/>
      </c>
      <c r="HC259" s="54">
        <f t="shared" si="426"/>
        <v>249</v>
      </c>
      <c r="HD259" s="54">
        <f t="shared" si="427"/>
        <v>250</v>
      </c>
      <c r="HE259" s="54">
        <f t="shared" si="428"/>
        <v>4.4514322126868215</v>
      </c>
      <c r="HF259" s="54" t="e">
        <f t="shared" si="429"/>
        <v>#N/A</v>
      </c>
      <c r="HG259" s="54">
        <f t="shared" si="430"/>
        <v>1.7877876216175568E-3</v>
      </c>
      <c r="HH259" s="54" t="e">
        <f t="shared" si="431"/>
        <v>#N/A</v>
      </c>
      <c r="HI259" s="54" t="e">
        <f t="shared" si="432"/>
        <v>#N/A</v>
      </c>
      <c r="HJ259" s="54" t="b">
        <f t="shared" si="433"/>
        <v>0</v>
      </c>
      <c r="HK259" s="54" t="b">
        <f t="shared" si="434"/>
        <v>1</v>
      </c>
      <c r="HL259" s="54" t="b">
        <f t="shared" si="435"/>
        <v>1</v>
      </c>
      <c r="HM259" s="54" t="b">
        <f t="shared" si="436"/>
        <v>0</v>
      </c>
      <c r="HN259" s="54">
        <f t="shared" si="437"/>
        <v>1.7877876216175568E-3</v>
      </c>
      <c r="HO259" s="54" t="e">
        <f t="shared" si="438"/>
        <v>#N/A</v>
      </c>
      <c r="HP259" s="54">
        <f t="shared" si="439"/>
        <v>1.7877876216175568E-3</v>
      </c>
      <c r="HQ259" s="72" t="str">
        <f t="shared" si="440"/>
        <v/>
      </c>
    </row>
    <row r="260" spans="71:225" x14ac:dyDescent="0.2">
      <c r="BS260" s="139">
        <f t="shared" si="367"/>
        <v>250</v>
      </c>
      <c r="BT260" s="54">
        <f>Eu_tabel_g[[#This Row],[Indeks]]+1</f>
        <v>251</v>
      </c>
      <c r="BU260" s="139">
        <f t="shared" si="368"/>
        <v>2.8985899926070182</v>
      </c>
      <c r="BV260" s="139">
        <f t="shared" si="369"/>
        <v>5.9769163423966497E-3</v>
      </c>
      <c r="BW260" s="139" t="e">
        <f t="shared" si="370"/>
        <v>#N/A</v>
      </c>
      <c r="BX260" s="139" t="e">
        <f t="shared" si="371"/>
        <v>#N/A</v>
      </c>
      <c r="BY260" s="139" t="e">
        <f t="shared" si="372"/>
        <v>#N/A</v>
      </c>
      <c r="BZ260" s="139" t="b">
        <f t="shared" si="373"/>
        <v>0</v>
      </c>
      <c r="CA260" s="139" t="b">
        <f t="shared" si="374"/>
        <v>1</v>
      </c>
      <c r="CB260" s="139" t="b">
        <f t="shared" si="375"/>
        <v>1</v>
      </c>
      <c r="CC260" s="139" t="b">
        <f t="shared" si="376"/>
        <v>0</v>
      </c>
      <c r="CD260" s="139">
        <f t="shared" si="447"/>
        <v>5.9769163423966497E-3</v>
      </c>
      <c r="CE260" s="139">
        <f t="shared" si="377"/>
        <v>5.9769163423966497E-3</v>
      </c>
      <c r="CF260" s="139" t="e">
        <f t="shared" si="378"/>
        <v>#N/A</v>
      </c>
      <c r="CG260" s="140" t="str">
        <f t="shared" si="379"/>
        <v/>
      </c>
      <c r="CH260" s="54">
        <f>_xlfn.NORM.DIST(_xlfn.NORM.INV(1-Eu_g_konfidensniveau,0,1)-Eu_tabel_g[[#This Row],[x base]],0,1,TRUE)</f>
        <v>2.7671306224738396E-6</v>
      </c>
      <c r="CI260" s="54">
        <f>1-_xlfn.NORM.DIST(_xlfn.NORM.INV(Eu_g_konfidensniveau,0,1)-Eu_tabel_g[[#This Row],[x base]],0,1,TRUE)</f>
        <v>0.89503107733648157</v>
      </c>
      <c r="CJ260" s="54">
        <f>_xlfn.NORM.DIST(_xlfn.NORM.INV((1-Eu_g_konfidensniveau)/2,0,1)-Eu_tabel_g[[#This Row],[x base]],0,1,TRUE)+1-_xlfn.NORM.DIST(_xlfn.NORM.INV(1-(1-Eu_g_konfidensniveau)/2,0,1)-Eu_tabel_g[[#This Row],[x base]],0,1,TRUE)</f>
        <v>0.82603919385088265</v>
      </c>
      <c r="CK260" s="54" t="e" cm="1">
        <f t="array" ref="CK260">IF($CK$3,INDEX(Eu_tabel_g[[#This Row],[Styrke venstre]:[Styrke tosidet]],CK$7),NA())</f>
        <v>#N/A</v>
      </c>
      <c r="CL260" s="99" t="e">
        <f>Eu_tabel_g[[#This Row],[Falsk positiv
Nulhypotese accepteres
Fejltype 1]]</f>
        <v>#N/A</v>
      </c>
      <c r="CM260" s="99" t="e">
        <f>IF(CHOOSE(CK$7,Eu_tabel_g[[#This Row],[x base]]&gt;0,Eu_tabel_g[[#This Row],[x base]]&lt;0,Eu_tabel_g[[#This Row],[x base]]=0),Eu_tabel_g[[#This Row],[Styrke, aktiv]],NA())</f>
        <v>#N/A</v>
      </c>
      <c r="CN260" s="99" t="e">
        <f>IFERROR(IF($CK$3,Eu_tabel_g[[#This Row],[Styrke, aktiv]],NA()),NA())</f>
        <v>#N/A</v>
      </c>
      <c r="CO260" s="99" t="e">
        <f>IF(ISNA(Eu_tabel_g[[#This Row],[Sand negativ
Nulhypotese afvises
Korrekt]]),NA(),IF($CK$3,1,NA()))</f>
        <v>#N/A</v>
      </c>
      <c r="CP260" s="56" t="str" cm="1">
        <f t="array" ref="CP260">_xlfn.SWITCH(BS260,_xlfn.IFNA(CN$2,-99),CN$5,_xlfn.IFNA(CN$3,-99),CN$6,_xlfn.IFNA(CN$4,-99),CN$7,"")</f>
        <v/>
      </c>
      <c r="CT260" s="7">
        <f t="shared" si="380"/>
        <v>0.8</v>
      </c>
      <c r="CU260">
        <f>IF(ROW(Styrkeberegning_G[[#This Row],[X base venstre]])=ROW(Styrkeberegning_G[[#Headers],[X base venstre]])+1,CU$7/(CT$7/$B$67),CU259/(CT259/$B$67))</f>
        <v>-2.8015817870135784</v>
      </c>
      <c r="CV260">
        <f>Styrkeberegning_G[[#This Row],[X base venstre]]*-1</f>
        <v>2.8015817870135784</v>
      </c>
      <c r="DG260" s="139">
        <f t="shared" si="381"/>
        <v>250</v>
      </c>
      <c r="DH260" s="54">
        <f t="shared" si="382"/>
        <v>251</v>
      </c>
      <c r="DI260" s="139">
        <f t="shared" si="383"/>
        <v>30.35156676890394</v>
      </c>
      <c r="DJ260" s="139" t="e">
        <f t="shared" si="384"/>
        <v>#N/A</v>
      </c>
      <c r="DK260" s="139" t="e">
        <f t="shared" si="385"/>
        <v>#N/A</v>
      </c>
      <c r="DL260" s="139">
        <f t="shared" si="386"/>
        <v>5.0644733535538239E-4</v>
      </c>
      <c r="DM260" s="139" t="e">
        <f t="shared" si="387"/>
        <v>#N/A</v>
      </c>
      <c r="DN260" s="139" t="b">
        <f t="shared" si="388"/>
        <v>0</v>
      </c>
      <c r="DO260" s="139" t="b">
        <f t="shared" si="389"/>
        <v>1</v>
      </c>
      <c r="DP260" s="139" t="b">
        <f t="shared" si="390"/>
        <v>1</v>
      </c>
      <c r="DQ260" s="139" t="b">
        <f t="shared" si="391"/>
        <v>0</v>
      </c>
      <c r="DR260" s="139">
        <f t="shared" si="392"/>
        <v>5.0644733535538239E-4</v>
      </c>
      <c r="DS260" s="139">
        <f t="shared" si="393"/>
        <v>5.0644733535538239E-4</v>
      </c>
      <c r="DT260" s="139" t="e">
        <f t="shared" si="394"/>
        <v>#N/A</v>
      </c>
      <c r="DU260" s="140" t="str">
        <f t="shared" si="395"/>
        <v/>
      </c>
      <c r="DZ260" s="139">
        <f t="shared" si="396"/>
        <v>250</v>
      </c>
      <c r="EA260" s="54">
        <f t="shared" si="397"/>
        <v>251</v>
      </c>
      <c r="EB260" s="139">
        <f t="shared" si="398"/>
        <v>2.8985899926070182</v>
      </c>
      <c r="EC260" s="139">
        <f t="shared" si="399"/>
        <v>5.9769163423966497E-3</v>
      </c>
      <c r="ED260" s="139" t="e">
        <f t="shared" si="400"/>
        <v>#N/A</v>
      </c>
      <c r="EE260" s="139" t="e">
        <f t="shared" si="401"/>
        <v>#N/A</v>
      </c>
      <c r="EF260" s="139" t="e">
        <f t="shared" si="402"/>
        <v>#N/A</v>
      </c>
      <c r="EG260" s="139" t="b">
        <f t="shared" si="403"/>
        <v>0</v>
      </c>
      <c r="EH260" s="139" t="b">
        <f t="shared" si="404"/>
        <v>1</v>
      </c>
      <c r="EI260" s="139" t="b">
        <f t="shared" si="405"/>
        <v>1</v>
      </c>
      <c r="EJ260" s="139" t="b">
        <f t="shared" si="406"/>
        <v>0</v>
      </c>
      <c r="EK260" s="139">
        <f t="shared" si="407"/>
        <v>5.9769163423966497E-3</v>
      </c>
      <c r="EL260" s="139">
        <f t="shared" si="408"/>
        <v>5.9769163423966497E-3</v>
      </c>
      <c r="EM260" s="139" t="e">
        <f t="shared" si="409"/>
        <v>#N/A</v>
      </c>
      <c r="EN260" s="140" t="str">
        <f t="shared" si="410"/>
        <v/>
      </c>
      <c r="EO26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60"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60"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60" s="54" t="e" cm="1">
        <f t="array" ref="ER260">IF($CK$3,INDEX(Eu_tabel_a[[#This Row],[Styrke venstre]:[Styrke tosidet]],ER$7),NA())</f>
        <v>#N/A</v>
      </c>
      <c r="ES260" s="54" t="e">
        <f>IF(ER$3,IF(CHOOSE(ER$7,Eu_tabel_a[[#This Row],[x base]]&gt;0,Eu_tabel_a[[#This Row],[x base]]&lt;0,Eu_tabel_a[[#This Row],[x base]]=0),1,NA()),NA())</f>
        <v>#N/A</v>
      </c>
      <c r="ET260" s="54" t="e">
        <f>IF(CHOOSE(ER$7,Eu_tabel_a[[#This Row],[x base]]&gt;0,Eu_tabel_a[[#This Row],[x base]]&lt;0,Eu_tabel_a[[#This Row],[x base]]=0),Eu_tabel_a[[#This Row],[Styrke, aktiv]],NA())</f>
        <v>#N/A</v>
      </c>
      <c r="EU260" s="54" t="e">
        <f>IFERROR(IF($ER$3,Eu_tabel_a[[#This Row],[Styrke, aktiv]],NA()),NA())</f>
        <v>#N/A</v>
      </c>
      <c r="EV260" s="54" t="e">
        <f>IF(ISNA(Eu_tabel_a[[#This Row],[Sand negativ
Nulhypotese afvises
Korrekt]]),NA(),IF(ER$3,1,NA()))</f>
        <v>#N/A</v>
      </c>
      <c r="EW260" s="55" t="str" cm="1">
        <f t="array" ref="EW260">IFERROR(_xlfn.SWITCH(Eu_tabel_a[[#This Row],[Indeks]],_xlfn.IFNA(EU$2,-99),EU$5,_xlfn.IFNA(EU$3,-99),EU$6,_xlfn.IFNA(EU$4,-99),EU$7,""),"")</f>
        <v/>
      </c>
      <c r="EX260" s="54">
        <f>Eu_tabel_a[[#This Row],[x base]]*SQRT(Eu_a_h0_x*(1-Eu_a_h0_x)/Eu_a_n_x)+Eu_a_h0_x</f>
        <v>0</v>
      </c>
      <c r="FC260" s="161" t="e">
        <f t="shared" si="354"/>
        <v>#N/A</v>
      </c>
      <c r="FD260" s="169" t="e">
        <f t="shared" si="442"/>
        <v>#DIV/0!</v>
      </c>
      <c r="FE260" s="7" t="e">
        <f t="shared" si="348"/>
        <v>#DIV/0!</v>
      </c>
      <c r="FF260" t="e">
        <f t="shared" si="443"/>
        <v>#DIV/0!</v>
      </c>
      <c r="FG260" s="8" t="e">
        <f t="shared" si="444"/>
        <v>#DIV/0!</v>
      </c>
      <c r="FH260" s="8" t="e">
        <f t="shared" si="445"/>
        <v>#DIV/0!</v>
      </c>
      <c r="FI260" s="168" t="e">
        <f t="shared" si="446"/>
        <v>#DIV/0!</v>
      </c>
      <c r="FJ260" s="161" t="e">
        <f t="shared" ca="1" si="349"/>
        <v>#N/A</v>
      </c>
      <c r="FK260" s="169" t="e" vm="3">
        <f t="shared" ca="1" si="355"/>
        <v>#VALUE!</v>
      </c>
      <c r="FL260" s="7" t="e" vm="3">
        <f t="shared" ca="1" si="350"/>
        <v>#VALUE!</v>
      </c>
      <c r="FM260" t="e" vm="3">
        <f t="shared" ca="1" si="344"/>
        <v>#VALUE!</v>
      </c>
      <c r="FN260" s="8" t="e" vm="3">
        <f t="shared" ca="1" si="345"/>
        <v>#VALUE!</v>
      </c>
      <c r="FO260" s="8" t="e" vm="3">
        <f t="shared" ca="1" si="346"/>
        <v>#VALUE!</v>
      </c>
      <c r="FP260" s="168" t="e" vm="3">
        <f t="shared" ca="1" si="347"/>
        <v>#VALUE!</v>
      </c>
      <c r="FQ260" s="161" t="e">
        <f t="shared" si="351"/>
        <v>#N/A</v>
      </c>
      <c r="FR260" s="169" t="e">
        <f t="shared" si="356"/>
        <v>#N/A</v>
      </c>
      <c r="FS260" s="7" t="e">
        <f t="shared" si="352"/>
        <v>#N/A</v>
      </c>
      <c r="FT260" t="e">
        <f t="shared" si="357"/>
        <v>#N/A</v>
      </c>
      <c r="FU260" s="8" t="e">
        <f t="shared" si="358"/>
        <v>#N/A</v>
      </c>
      <c r="FV260" s="8" t="e">
        <f t="shared" si="359"/>
        <v>#N/A</v>
      </c>
      <c r="FW260" s="168" t="e">
        <f t="shared" si="360"/>
        <v>#N/A</v>
      </c>
      <c r="FX260" s="161" t="e">
        <f t="shared" si="361"/>
        <v>#N/A</v>
      </c>
      <c r="FY260" s="169" t="e">
        <f t="shared" si="362"/>
        <v>#N/A</v>
      </c>
      <c r="FZ260" s="7" t="e">
        <f t="shared" si="353"/>
        <v>#N/A</v>
      </c>
      <c r="GA260" t="e">
        <f t="shared" si="363"/>
        <v>#N/A</v>
      </c>
      <c r="GB260" s="8" t="e">
        <f t="shared" si="364"/>
        <v>#N/A</v>
      </c>
      <c r="GC260" s="8" t="e">
        <f t="shared" si="365"/>
        <v>#N/A</v>
      </c>
      <c r="GD260" s="168" t="e">
        <f t="shared" si="366"/>
        <v>#N/A</v>
      </c>
      <c r="GE260" s="168"/>
      <c r="GF260" s="168"/>
      <c r="GI260" s="139">
        <f t="shared" si="411"/>
        <v>250</v>
      </c>
      <c r="GJ260" s="54">
        <f t="shared" si="412"/>
        <v>251</v>
      </c>
      <c r="GK260" s="139">
        <f t="shared" si="413"/>
        <v>2.8985899926070182</v>
      </c>
      <c r="GL260" s="139">
        <f t="shared" si="414"/>
        <v>5.9769163423966497E-3</v>
      </c>
      <c r="GM260" s="139" t="e">
        <f t="shared" si="415"/>
        <v>#N/A</v>
      </c>
      <c r="GN260" s="139" t="e">
        <f t="shared" si="416"/>
        <v>#N/A</v>
      </c>
      <c r="GO260" s="139" t="e">
        <f t="shared" si="417"/>
        <v>#N/A</v>
      </c>
      <c r="GP260" s="139" t="b">
        <f t="shared" si="418"/>
        <v>0</v>
      </c>
      <c r="GQ260" s="139" t="b">
        <f t="shared" si="419"/>
        <v>1</v>
      </c>
      <c r="GR260" s="139" t="b">
        <f t="shared" si="420"/>
        <v>1</v>
      </c>
      <c r="GS260" s="139" t="b">
        <f t="shared" si="421"/>
        <v>0</v>
      </c>
      <c r="GT260" s="139">
        <f t="shared" si="422"/>
        <v>5.9769163423966497E-3</v>
      </c>
      <c r="GU260" s="139">
        <f t="shared" si="423"/>
        <v>5.9769163423966497E-3</v>
      </c>
      <c r="GV260" s="139" t="e">
        <f t="shared" si="424"/>
        <v>#N/A</v>
      </c>
      <c r="GW260" s="140" t="str">
        <f t="shared" si="425"/>
        <v/>
      </c>
      <c r="HC260" s="139">
        <f t="shared" si="426"/>
        <v>250</v>
      </c>
      <c r="HD260" s="54">
        <f t="shared" si="427"/>
        <v>251</v>
      </c>
      <c r="HE260" s="139">
        <f t="shared" si="428"/>
        <v>4.4885274811258782</v>
      </c>
      <c r="HF260" s="139" t="e">
        <f t="shared" si="429"/>
        <v>#N/A</v>
      </c>
      <c r="HG260" s="139">
        <f t="shared" si="430"/>
        <v>1.7020159287022905E-3</v>
      </c>
      <c r="HH260" s="139" t="e">
        <f t="shared" si="431"/>
        <v>#N/A</v>
      </c>
      <c r="HI260" s="139" t="e">
        <f t="shared" si="432"/>
        <v>#N/A</v>
      </c>
      <c r="HJ260" s="139" t="b">
        <f t="shared" si="433"/>
        <v>0</v>
      </c>
      <c r="HK260" s="139" t="b">
        <f t="shared" si="434"/>
        <v>1</v>
      </c>
      <c r="HL260" s="139" t="b">
        <f t="shared" si="435"/>
        <v>1</v>
      </c>
      <c r="HM260" s="139" t="b">
        <f t="shared" si="436"/>
        <v>0</v>
      </c>
      <c r="HN260" s="139">
        <f t="shared" si="437"/>
        <v>1.7020159287022905E-3</v>
      </c>
      <c r="HO260" s="139" t="e">
        <f t="shared" si="438"/>
        <v>#N/A</v>
      </c>
      <c r="HP260" s="139">
        <f t="shared" si="439"/>
        <v>1.7020159287022905E-3</v>
      </c>
      <c r="HQ260" s="140" t="str">
        <f t="shared" si="440"/>
        <v/>
      </c>
    </row>
    <row r="261" spans="71:225" x14ac:dyDescent="0.2">
      <c r="BS261" s="139">
        <f t="shared" si="367"/>
        <v>251</v>
      </c>
      <c r="BT261" s="54">
        <f>Eu_tabel_g[[#This Row],[Indeks]]+1</f>
        <v>252</v>
      </c>
      <c r="BU261" s="139">
        <f t="shared" si="368"/>
        <v>2.922545281802118</v>
      </c>
      <c r="BV261" s="139">
        <f t="shared" si="369"/>
        <v>5.5743810217063422E-3</v>
      </c>
      <c r="BW261" s="139" t="e">
        <f t="shared" si="370"/>
        <v>#N/A</v>
      </c>
      <c r="BX261" s="139" t="e">
        <f t="shared" si="371"/>
        <v>#N/A</v>
      </c>
      <c r="BY261" s="139" t="e">
        <f t="shared" si="372"/>
        <v>#N/A</v>
      </c>
      <c r="BZ261" s="139" t="b">
        <f t="shared" si="373"/>
        <v>0</v>
      </c>
      <c r="CA261" s="139" t="b">
        <f t="shared" si="374"/>
        <v>1</v>
      </c>
      <c r="CB261" s="139" t="b">
        <f t="shared" si="375"/>
        <v>1</v>
      </c>
      <c r="CC261" s="139" t="b">
        <f t="shared" si="376"/>
        <v>0</v>
      </c>
      <c r="CD261" s="139">
        <f t="shared" ref="CD261:CD266" si="448">_xlfn.AGGREGATE(9,6,BV261:BY261)</f>
        <v>5.5743810217063422E-3</v>
      </c>
      <c r="CE261" s="139">
        <f t="shared" si="377"/>
        <v>5.5743810217063422E-3</v>
      </c>
      <c r="CF261" s="139" t="e">
        <f t="shared" si="378"/>
        <v>#N/A</v>
      </c>
      <c r="CG261" s="140" t="str">
        <f t="shared" si="379"/>
        <v/>
      </c>
      <c r="CH261" s="54">
        <f>_xlfn.NORM.DIST(_xlfn.NORM.INV(1-Eu_g_konfidensniveau,0,1)-Eu_tabel_g[[#This Row],[x base]],0,1,TRUE)</f>
        <v>2.4690684962284573E-6</v>
      </c>
      <c r="CI261" s="54">
        <f>1-_xlfn.NORM.DIST(_xlfn.NORM.INV(Eu_g_konfidensniveau,0,1)-Eu_tabel_g[[#This Row],[x base]],0,1,TRUE)</f>
        <v>0.89932091557589511</v>
      </c>
      <c r="CJ261" s="54">
        <f>_xlfn.NORM.DIST(_xlfn.NORM.INV((1-Eu_g_konfidensniveau)/2,0,1)-Eu_tabel_g[[#This Row],[x base]],0,1,TRUE)+1-_xlfn.NORM.DIST(_xlfn.NORM.INV(1-(1-Eu_g_konfidensniveau)/2,0,1)-Eu_tabel_g[[#This Row],[x base]],0,1,TRUE)</f>
        <v>0.83212168021726474</v>
      </c>
      <c r="CK261" s="54" t="e" cm="1">
        <f t="array" ref="CK261">IF($CK$3,INDEX(Eu_tabel_g[[#This Row],[Styrke venstre]:[Styrke tosidet]],CK$7),NA())</f>
        <v>#N/A</v>
      </c>
      <c r="CL261" s="99" t="e">
        <f>Eu_tabel_g[[#This Row],[Falsk positiv
Nulhypotese accepteres
Fejltype 1]]</f>
        <v>#N/A</v>
      </c>
      <c r="CM261" s="99" t="e">
        <f>IF(CHOOSE(CK$7,Eu_tabel_g[[#This Row],[x base]]&gt;0,Eu_tabel_g[[#This Row],[x base]]&lt;0,Eu_tabel_g[[#This Row],[x base]]=0),Eu_tabel_g[[#This Row],[Styrke, aktiv]],NA())</f>
        <v>#N/A</v>
      </c>
      <c r="CN261" s="99" t="e">
        <f>IFERROR(IF($CK$3,Eu_tabel_g[[#This Row],[Styrke, aktiv]],NA()),NA())</f>
        <v>#N/A</v>
      </c>
      <c r="CO261" s="99" t="e">
        <f>IF(ISNA(Eu_tabel_g[[#This Row],[Sand negativ
Nulhypotese afvises
Korrekt]]),NA(),IF($CK$3,1,NA()))</f>
        <v>#N/A</v>
      </c>
      <c r="CP261" s="56" t="str" cm="1">
        <f t="array" ref="CP261">_xlfn.SWITCH(BS261,_xlfn.IFNA(CN$2,-99),CN$5,_xlfn.IFNA(CN$3,-99),CN$6,_xlfn.IFNA(CN$4,-99),CN$7,"")</f>
        <v/>
      </c>
      <c r="CT261" s="7">
        <f t="shared" si="380"/>
        <v>0.8</v>
      </c>
      <c r="CU261">
        <f>IF(ROW(Styrkeberegning_G[[#This Row],[X base venstre]])=ROW(Styrkeberegning_G[[#Headers],[X base venstre]])+1,CU$7/(CT$7/$B$67),CU260/(CT260/$B$67))</f>
        <v>-2.8015817870135784</v>
      </c>
      <c r="CV261">
        <f>Styrkeberegning_G[[#This Row],[X base venstre]]*-1</f>
        <v>2.8015817870135784</v>
      </c>
      <c r="DG261" s="139">
        <f t="shared" si="381"/>
        <v>251</v>
      </c>
      <c r="DH261" s="54">
        <f t="shared" si="382"/>
        <v>252</v>
      </c>
      <c r="DI261" s="139">
        <f t="shared" si="383"/>
        <v>30.465637625320941</v>
      </c>
      <c r="DJ261" s="139" t="e">
        <f t="shared" si="384"/>
        <v>#N/A</v>
      </c>
      <c r="DK261" s="139" t="e">
        <f t="shared" si="385"/>
        <v>#N/A</v>
      </c>
      <c r="DL261" s="139">
        <f t="shared" si="386"/>
        <v>4.8651398347232842E-4</v>
      </c>
      <c r="DM261" s="139" t="e">
        <f t="shared" si="387"/>
        <v>#N/A</v>
      </c>
      <c r="DN261" s="139" t="b">
        <f t="shared" si="388"/>
        <v>0</v>
      </c>
      <c r="DO261" s="139" t="b">
        <f t="shared" si="389"/>
        <v>1</v>
      </c>
      <c r="DP261" s="139" t="b">
        <f t="shared" si="390"/>
        <v>1</v>
      </c>
      <c r="DQ261" s="139" t="b">
        <f t="shared" si="391"/>
        <v>0</v>
      </c>
      <c r="DR261" s="139">
        <f t="shared" si="392"/>
        <v>4.8651398347232842E-4</v>
      </c>
      <c r="DS261" s="139">
        <f t="shared" si="393"/>
        <v>4.8651398347232842E-4</v>
      </c>
      <c r="DT261" s="139" t="e">
        <f t="shared" si="394"/>
        <v>#N/A</v>
      </c>
      <c r="DU261" s="140" t="str">
        <f t="shared" si="395"/>
        <v/>
      </c>
      <c r="DZ261" s="139">
        <f t="shared" si="396"/>
        <v>251</v>
      </c>
      <c r="EA261" s="54">
        <f t="shared" si="397"/>
        <v>252</v>
      </c>
      <c r="EB261" s="139">
        <f t="shared" si="398"/>
        <v>2.922545281802118</v>
      </c>
      <c r="EC261" s="139">
        <f t="shared" si="399"/>
        <v>5.5743810217063422E-3</v>
      </c>
      <c r="ED261" s="139" t="e">
        <f t="shared" si="400"/>
        <v>#N/A</v>
      </c>
      <c r="EE261" s="139" t="e">
        <f t="shared" si="401"/>
        <v>#N/A</v>
      </c>
      <c r="EF261" s="139" t="e">
        <f t="shared" si="402"/>
        <v>#N/A</v>
      </c>
      <c r="EG261" s="139" t="b">
        <f t="shared" si="403"/>
        <v>0</v>
      </c>
      <c r="EH261" s="139" t="b">
        <f t="shared" si="404"/>
        <v>1</v>
      </c>
      <c r="EI261" s="139" t="b">
        <f t="shared" si="405"/>
        <v>1</v>
      </c>
      <c r="EJ261" s="139" t="b">
        <f t="shared" si="406"/>
        <v>0</v>
      </c>
      <c r="EK261" s="139">
        <f t="shared" si="407"/>
        <v>5.5743810217063422E-3</v>
      </c>
      <c r="EL261" s="139">
        <f t="shared" si="408"/>
        <v>5.5743810217063422E-3</v>
      </c>
      <c r="EM261" s="139" t="e">
        <f t="shared" si="409"/>
        <v>#N/A</v>
      </c>
      <c r="EN261" s="140" t="str">
        <f t="shared" si="410"/>
        <v/>
      </c>
      <c r="EO26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61"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61"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61" s="54" t="e" cm="1">
        <f t="array" ref="ER261">IF($CK$3,INDEX(Eu_tabel_a[[#This Row],[Styrke venstre]:[Styrke tosidet]],ER$7),NA())</f>
        <v>#N/A</v>
      </c>
      <c r="ES261" s="54" t="e">
        <f>IF(ER$3,IF(CHOOSE(ER$7,Eu_tabel_a[[#This Row],[x base]]&gt;0,Eu_tabel_a[[#This Row],[x base]]&lt;0,Eu_tabel_a[[#This Row],[x base]]=0),1,NA()),NA())</f>
        <v>#N/A</v>
      </c>
      <c r="ET261" s="54" t="e">
        <f>IF(CHOOSE(ER$7,Eu_tabel_a[[#This Row],[x base]]&gt;0,Eu_tabel_a[[#This Row],[x base]]&lt;0,Eu_tabel_a[[#This Row],[x base]]=0),Eu_tabel_a[[#This Row],[Styrke, aktiv]],NA())</f>
        <v>#N/A</v>
      </c>
      <c r="EU261" s="54" t="e">
        <f>IFERROR(IF($ER$3,Eu_tabel_a[[#This Row],[Styrke, aktiv]],NA()),NA())</f>
        <v>#N/A</v>
      </c>
      <c r="EV261" s="54" t="e">
        <f>IF(ISNA(Eu_tabel_a[[#This Row],[Sand negativ
Nulhypotese afvises
Korrekt]]),NA(),IF(ER$3,1,NA()))</f>
        <v>#N/A</v>
      </c>
      <c r="EW261" s="55" t="str" cm="1">
        <f t="array" ref="EW261">IFERROR(_xlfn.SWITCH(Eu_tabel_a[[#This Row],[Indeks]],_xlfn.IFNA(EU$2,-99),EU$5,_xlfn.IFNA(EU$3,-99),EU$6,_xlfn.IFNA(EU$4,-99),EU$7,""),"")</f>
        <v/>
      </c>
      <c r="EX261" s="54">
        <f>Eu_tabel_a[[#This Row],[x base]]*SQRT(Eu_a_h0_x*(1-Eu_a_h0_x)/Eu_a_n_x)+Eu_a_h0_x</f>
        <v>0</v>
      </c>
      <c r="FC261" s="161" t="e">
        <f t="shared" si="354"/>
        <v>#N/A</v>
      </c>
      <c r="FD261" s="169" t="e">
        <f t="shared" si="442"/>
        <v>#DIV/0!</v>
      </c>
      <c r="FE261" s="7" t="e">
        <f t="shared" si="348"/>
        <v>#DIV/0!</v>
      </c>
      <c r="FF261" t="e">
        <f t="shared" si="443"/>
        <v>#DIV/0!</v>
      </c>
      <c r="FG261" s="8" t="e">
        <f t="shared" si="444"/>
        <v>#DIV/0!</v>
      </c>
      <c r="FH261" s="8" t="e">
        <f t="shared" si="445"/>
        <v>#DIV/0!</v>
      </c>
      <c r="FI261" s="168" t="e">
        <f t="shared" si="446"/>
        <v>#DIV/0!</v>
      </c>
      <c r="FJ261" s="161" t="e">
        <f t="shared" ca="1" si="349"/>
        <v>#N/A</v>
      </c>
      <c r="FK261" s="169" t="e" vm="3">
        <f t="shared" ca="1" si="355"/>
        <v>#VALUE!</v>
      </c>
      <c r="FL261" s="7" t="e" vm="3">
        <f t="shared" ca="1" si="350"/>
        <v>#VALUE!</v>
      </c>
      <c r="FM261" t="e" vm="3">
        <f t="shared" ref="FM261:FM268" ca="1" si="449">FK261-FK260</f>
        <v>#VALUE!</v>
      </c>
      <c r="FN261" s="8" t="e" vm="3">
        <f t="shared" ref="FN261:FN268" ca="1" si="450">FL261-FL260</f>
        <v>#VALUE!</v>
      </c>
      <c r="FO261" s="8" t="e" vm="3">
        <f t="shared" ref="FO261:FO268" ca="1" si="451">$P$67-FL260</f>
        <v>#VALUE!</v>
      </c>
      <c r="FP261" s="168" t="e" vm="3">
        <f t="shared" ref="FP261:FP268" ca="1" si="452">FM261/(FN261/FO261)</f>
        <v>#VALUE!</v>
      </c>
      <c r="FQ261" s="161" t="e">
        <f t="shared" si="351"/>
        <v>#N/A</v>
      </c>
      <c r="FR261" s="169" t="e">
        <f t="shared" si="356"/>
        <v>#N/A</v>
      </c>
      <c r="FS261" s="7" t="e">
        <f t="shared" si="352"/>
        <v>#N/A</v>
      </c>
      <c r="FT261" t="e">
        <f t="shared" si="357"/>
        <v>#N/A</v>
      </c>
      <c r="FU261" s="8" t="e">
        <f t="shared" si="358"/>
        <v>#N/A</v>
      </c>
      <c r="FV261" s="8" t="e">
        <f t="shared" si="359"/>
        <v>#N/A</v>
      </c>
      <c r="FW261" s="168" t="e">
        <f t="shared" si="360"/>
        <v>#N/A</v>
      </c>
      <c r="FX261" s="161" t="e">
        <f t="shared" si="361"/>
        <v>#N/A</v>
      </c>
      <c r="FY261" s="169" t="e">
        <f t="shared" si="362"/>
        <v>#N/A</v>
      </c>
      <c r="FZ261" s="7" t="e">
        <f t="shared" si="353"/>
        <v>#N/A</v>
      </c>
      <c r="GA261" t="e">
        <f t="shared" si="363"/>
        <v>#N/A</v>
      </c>
      <c r="GB261" s="8" t="e">
        <f t="shared" si="364"/>
        <v>#N/A</v>
      </c>
      <c r="GC261" s="8" t="e">
        <f t="shared" si="365"/>
        <v>#N/A</v>
      </c>
      <c r="GD261" s="168" t="e">
        <f t="shared" si="366"/>
        <v>#N/A</v>
      </c>
      <c r="GE261" s="168"/>
      <c r="GF261" s="168"/>
      <c r="GI261" s="139">
        <f t="shared" si="411"/>
        <v>251</v>
      </c>
      <c r="GJ261" s="54">
        <f t="shared" si="412"/>
        <v>252</v>
      </c>
      <c r="GK261" s="139">
        <f t="shared" si="413"/>
        <v>2.922545281802118</v>
      </c>
      <c r="GL261" s="139">
        <f t="shared" si="414"/>
        <v>5.5743810217063422E-3</v>
      </c>
      <c r="GM261" s="139" t="e">
        <f t="shared" si="415"/>
        <v>#N/A</v>
      </c>
      <c r="GN261" s="139" t="e">
        <f t="shared" si="416"/>
        <v>#N/A</v>
      </c>
      <c r="GO261" s="139" t="e">
        <f t="shared" si="417"/>
        <v>#N/A</v>
      </c>
      <c r="GP261" s="139" t="b">
        <f t="shared" si="418"/>
        <v>0</v>
      </c>
      <c r="GQ261" s="139" t="b">
        <f t="shared" si="419"/>
        <v>1</v>
      </c>
      <c r="GR261" s="139" t="b">
        <f t="shared" si="420"/>
        <v>1</v>
      </c>
      <c r="GS261" s="139" t="b">
        <f t="shared" si="421"/>
        <v>0</v>
      </c>
      <c r="GT261" s="139">
        <f t="shared" si="422"/>
        <v>5.5743810217063422E-3</v>
      </c>
      <c r="GU261" s="139">
        <f t="shared" si="423"/>
        <v>5.5743810217063422E-3</v>
      </c>
      <c r="GV261" s="139" t="e">
        <f t="shared" si="424"/>
        <v>#N/A</v>
      </c>
      <c r="GW261" s="140" t="str">
        <f t="shared" si="425"/>
        <v/>
      </c>
      <c r="HC261" s="139">
        <f t="shared" si="426"/>
        <v>251</v>
      </c>
      <c r="HD261" s="54">
        <f t="shared" si="427"/>
        <v>252</v>
      </c>
      <c r="HE261" s="139">
        <f t="shared" si="428"/>
        <v>4.5256227495649348</v>
      </c>
      <c r="HF261" s="139" t="e">
        <f t="shared" si="429"/>
        <v>#N/A</v>
      </c>
      <c r="HG261" s="139">
        <f t="shared" si="430"/>
        <v>1.6206774944199514E-3</v>
      </c>
      <c r="HH261" s="139" t="e">
        <f t="shared" si="431"/>
        <v>#N/A</v>
      </c>
      <c r="HI261" s="139" t="e">
        <f t="shared" si="432"/>
        <v>#N/A</v>
      </c>
      <c r="HJ261" s="139" t="b">
        <f t="shared" si="433"/>
        <v>0</v>
      </c>
      <c r="HK261" s="139" t="b">
        <f t="shared" si="434"/>
        <v>1</v>
      </c>
      <c r="HL261" s="139" t="b">
        <f t="shared" si="435"/>
        <v>1</v>
      </c>
      <c r="HM261" s="139" t="b">
        <f t="shared" si="436"/>
        <v>0</v>
      </c>
      <c r="HN261" s="139">
        <f t="shared" si="437"/>
        <v>1.6206774944199514E-3</v>
      </c>
      <c r="HO261" s="139" t="e">
        <f t="shared" si="438"/>
        <v>#N/A</v>
      </c>
      <c r="HP261" s="139">
        <f t="shared" si="439"/>
        <v>1.6206774944199514E-3</v>
      </c>
      <c r="HQ261" s="140" t="str">
        <f t="shared" si="440"/>
        <v/>
      </c>
    </row>
    <row r="262" spans="71:225" x14ac:dyDescent="0.2">
      <c r="BS262" s="139">
        <f t="shared" si="367"/>
        <v>252</v>
      </c>
      <c r="BT262" s="54">
        <f>Eu_tabel_g[[#This Row],[Indeks]]+1</f>
        <v>253</v>
      </c>
      <c r="BU262" s="139">
        <f t="shared" si="368"/>
        <v>2.946500570997217</v>
      </c>
      <c r="BV262" s="139">
        <f t="shared" si="369"/>
        <v>5.1959731862444561E-3</v>
      </c>
      <c r="BW262" s="139" t="e">
        <f t="shared" si="370"/>
        <v>#N/A</v>
      </c>
      <c r="BX262" s="139" t="e">
        <f t="shared" si="371"/>
        <v>#N/A</v>
      </c>
      <c r="BY262" s="139" t="e">
        <f t="shared" si="372"/>
        <v>#N/A</v>
      </c>
      <c r="BZ262" s="139" t="b">
        <f t="shared" si="373"/>
        <v>0</v>
      </c>
      <c r="CA262" s="139" t="b">
        <f t="shared" si="374"/>
        <v>1</v>
      </c>
      <c r="CB262" s="139" t="b">
        <f t="shared" si="375"/>
        <v>1</v>
      </c>
      <c r="CC262" s="139" t="b">
        <f t="shared" si="376"/>
        <v>0</v>
      </c>
      <c r="CD262" s="139">
        <f t="shared" si="448"/>
        <v>5.1959731862444561E-3</v>
      </c>
      <c r="CE262" s="139">
        <f t="shared" si="377"/>
        <v>5.1959731862444561E-3</v>
      </c>
      <c r="CF262" s="139" t="e">
        <f t="shared" si="378"/>
        <v>#N/A</v>
      </c>
      <c r="CG262" s="140" t="str">
        <f t="shared" si="379"/>
        <v/>
      </c>
      <c r="CH262" s="54">
        <f>_xlfn.NORM.DIST(_xlfn.NORM.INV(1-Eu_g_konfidensniveau,0,1)-Eu_tabel_g[[#This Row],[x base]],0,1,TRUE)</f>
        <v>2.2018961847651585E-6</v>
      </c>
      <c r="CI262" s="54">
        <f>1-_xlfn.NORM.DIST(_xlfn.NORM.INV(Eu_g_konfidensniveau,0,1)-Eu_tabel_g[[#This Row],[x base]],0,1,TRUE)</f>
        <v>0.90348144784895701</v>
      </c>
      <c r="CJ262" s="54">
        <f>_xlfn.NORM.DIST(_xlfn.NORM.INV((1-Eu_g_konfidensniveau)/2,0,1)-Eu_tabel_g[[#This Row],[x base]],0,1,TRUE)+1-_xlfn.NORM.DIST(_xlfn.NORM.INV(1-(1-Eu_g_konfidensniveau)/2,0,1)-Eu_tabel_g[[#This Row],[x base]],0,1,TRUE)</f>
        <v>0.83806552823634339</v>
      </c>
      <c r="CK262" s="54" t="e" cm="1">
        <f t="array" ref="CK262">IF($CK$3,INDEX(Eu_tabel_g[[#This Row],[Styrke venstre]:[Styrke tosidet]],CK$7),NA())</f>
        <v>#N/A</v>
      </c>
      <c r="CL262" s="99" t="e">
        <f>Eu_tabel_g[[#This Row],[Falsk positiv
Nulhypotese accepteres
Fejltype 1]]</f>
        <v>#N/A</v>
      </c>
      <c r="CM262" s="99" t="e">
        <f>IF(CHOOSE(CK$7,Eu_tabel_g[[#This Row],[x base]]&gt;0,Eu_tabel_g[[#This Row],[x base]]&lt;0,Eu_tabel_g[[#This Row],[x base]]=0),Eu_tabel_g[[#This Row],[Styrke, aktiv]],NA())</f>
        <v>#N/A</v>
      </c>
      <c r="CN262" s="99" t="e">
        <f>IFERROR(IF($CK$3,Eu_tabel_g[[#This Row],[Styrke, aktiv]],NA()),NA())</f>
        <v>#N/A</v>
      </c>
      <c r="CO262" s="99" t="e">
        <f>IF(ISNA(Eu_tabel_g[[#This Row],[Sand negativ
Nulhypotese afvises
Korrekt]]),NA(),IF($CK$3,1,NA()))</f>
        <v>#N/A</v>
      </c>
      <c r="CP262" s="56" t="str" cm="1">
        <f t="array" ref="CP262">_xlfn.SWITCH(BS262,_xlfn.IFNA(CN$2,-99),CN$5,_xlfn.IFNA(CN$3,-99),CN$6,_xlfn.IFNA(CN$4,-99),CN$7,"")</f>
        <v/>
      </c>
      <c r="CT262" s="7">
        <f t="shared" si="380"/>
        <v>0.8</v>
      </c>
      <c r="CU262">
        <f>IF(ROW(Styrkeberegning_G[[#This Row],[X base venstre]])=ROW(Styrkeberegning_G[[#Headers],[X base venstre]])+1,CU$7/(CT$7/$B$67),CU261/(CT261/$B$67))</f>
        <v>-2.8015817870135784</v>
      </c>
      <c r="CV262">
        <f>Styrkeberegning_G[[#This Row],[X base venstre]]*-1</f>
        <v>2.8015817870135784</v>
      </c>
      <c r="DG262" s="139">
        <f t="shared" si="381"/>
        <v>252</v>
      </c>
      <c r="DH262" s="54">
        <f t="shared" si="382"/>
        <v>253</v>
      </c>
      <c r="DI262" s="139">
        <f t="shared" si="383"/>
        <v>30.579708481737942</v>
      </c>
      <c r="DJ262" s="139" t="e">
        <f t="shared" si="384"/>
        <v>#N/A</v>
      </c>
      <c r="DK262" s="139" t="e">
        <f t="shared" si="385"/>
        <v>#N/A</v>
      </c>
      <c r="DL262" s="139">
        <f t="shared" si="386"/>
        <v>4.6733570792980748E-4</v>
      </c>
      <c r="DM262" s="139" t="e">
        <f t="shared" si="387"/>
        <v>#N/A</v>
      </c>
      <c r="DN262" s="139" t="b">
        <f t="shared" si="388"/>
        <v>0</v>
      </c>
      <c r="DO262" s="139" t="b">
        <f t="shared" si="389"/>
        <v>1</v>
      </c>
      <c r="DP262" s="139" t="b">
        <f t="shared" si="390"/>
        <v>1</v>
      </c>
      <c r="DQ262" s="139" t="b">
        <f t="shared" si="391"/>
        <v>0</v>
      </c>
      <c r="DR262" s="139">
        <f t="shared" si="392"/>
        <v>4.6733570792980748E-4</v>
      </c>
      <c r="DS262" s="139">
        <f t="shared" si="393"/>
        <v>4.6733570792980748E-4</v>
      </c>
      <c r="DT262" s="139" t="e">
        <f t="shared" si="394"/>
        <v>#N/A</v>
      </c>
      <c r="DU262" s="140" t="str">
        <f t="shared" si="395"/>
        <v/>
      </c>
      <c r="DZ262" s="139">
        <f t="shared" si="396"/>
        <v>252</v>
      </c>
      <c r="EA262" s="54">
        <f t="shared" si="397"/>
        <v>253</v>
      </c>
      <c r="EB262" s="139">
        <f t="shared" si="398"/>
        <v>2.946500570997217</v>
      </c>
      <c r="EC262" s="139">
        <f t="shared" si="399"/>
        <v>5.1959731862444561E-3</v>
      </c>
      <c r="ED262" s="139" t="e">
        <f t="shared" si="400"/>
        <v>#N/A</v>
      </c>
      <c r="EE262" s="139" t="e">
        <f t="shared" si="401"/>
        <v>#N/A</v>
      </c>
      <c r="EF262" s="139" t="e">
        <f t="shared" si="402"/>
        <v>#N/A</v>
      </c>
      <c r="EG262" s="139" t="b">
        <f t="shared" si="403"/>
        <v>0</v>
      </c>
      <c r="EH262" s="139" t="b">
        <f t="shared" si="404"/>
        <v>1</v>
      </c>
      <c r="EI262" s="139" t="b">
        <f t="shared" si="405"/>
        <v>1</v>
      </c>
      <c r="EJ262" s="139" t="b">
        <f t="shared" si="406"/>
        <v>0</v>
      </c>
      <c r="EK262" s="139">
        <f t="shared" si="407"/>
        <v>5.1959731862444561E-3</v>
      </c>
      <c r="EL262" s="139">
        <f t="shared" si="408"/>
        <v>5.1959731862444561E-3</v>
      </c>
      <c r="EM262" s="139" t="e">
        <f t="shared" si="409"/>
        <v>#N/A</v>
      </c>
      <c r="EN262" s="140" t="str">
        <f t="shared" si="410"/>
        <v/>
      </c>
      <c r="EO26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62"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62"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62" s="54" t="e" cm="1">
        <f t="array" ref="ER262">IF($CK$3,INDEX(Eu_tabel_a[[#This Row],[Styrke venstre]:[Styrke tosidet]],ER$7),NA())</f>
        <v>#N/A</v>
      </c>
      <c r="ES262" s="54" t="e">
        <f>IF(ER$3,IF(CHOOSE(ER$7,Eu_tabel_a[[#This Row],[x base]]&gt;0,Eu_tabel_a[[#This Row],[x base]]&lt;0,Eu_tabel_a[[#This Row],[x base]]=0),1,NA()),NA())</f>
        <v>#N/A</v>
      </c>
      <c r="ET262" s="54" t="e">
        <f>IF(CHOOSE(ER$7,Eu_tabel_a[[#This Row],[x base]]&gt;0,Eu_tabel_a[[#This Row],[x base]]&lt;0,Eu_tabel_a[[#This Row],[x base]]=0),Eu_tabel_a[[#This Row],[Styrke, aktiv]],NA())</f>
        <v>#N/A</v>
      </c>
      <c r="EU262" s="54" t="e">
        <f>IFERROR(IF($ER$3,Eu_tabel_a[[#This Row],[Styrke, aktiv]],NA()),NA())</f>
        <v>#N/A</v>
      </c>
      <c r="EV262" s="54" t="e">
        <f>IF(ISNA(Eu_tabel_a[[#This Row],[Sand negativ
Nulhypotese afvises
Korrekt]]),NA(),IF(ER$3,1,NA()))</f>
        <v>#N/A</v>
      </c>
      <c r="EW262" s="55" t="str" cm="1">
        <f t="array" ref="EW262">IFERROR(_xlfn.SWITCH(Eu_tabel_a[[#This Row],[Indeks]],_xlfn.IFNA(EU$2,-99),EU$5,_xlfn.IFNA(EU$3,-99),EU$6,_xlfn.IFNA(EU$4,-99),EU$7,""),"")</f>
        <v/>
      </c>
      <c r="EX262" s="54">
        <f>Eu_tabel_a[[#This Row],[x base]]*SQRT(Eu_a_h0_x*(1-Eu_a_h0_x)/Eu_a_n_x)+Eu_a_h0_x</f>
        <v>0</v>
      </c>
      <c r="FC262" s="161" t="e">
        <f t="shared" si="354"/>
        <v>#N/A</v>
      </c>
      <c r="FD262" s="169" t="e">
        <f t="shared" si="442"/>
        <v>#DIV/0!</v>
      </c>
      <c r="FE262" s="7" t="e">
        <f t="shared" ref="FE262:FE268" si="453">_xlfn.NORM.DIST(-(SQRT(Eu_a_n_x)*(FD262-Eu_a_h0_x)/SQRT(FD262*(1-FD262)))-(_xlfn.NORM.INV(Eu_a_konfidensniveau,0,1)*SQRT((Eu_a_h0_x*(1-Eu_a_h0_x))/(FD262*(1-FD262)))),0,1,TRUE)</f>
        <v>#DIV/0!</v>
      </c>
      <c r="FF262" t="e">
        <f t="shared" si="443"/>
        <v>#DIV/0!</v>
      </c>
      <c r="FG262" s="8" t="e">
        <f t="shared" si="444"/>
        <v>#DIV/0!</v>
      </c>
      <c r="FH262" s="8" t="e">
        <f t="shared" si="445"/>
        <v>#DIV/0!</v>
      </c>
      <c r="FI262" s="168" t="e">
        <f t="shared" si="446"/>
        <v>#DIV/0!</v>
      </c>
      <c r="FJ262" s="161" t="e">
        <f t="shared" ref="FJ262:FJ268" ca="1" si="454">IF(ISERROR(FK262),NA(),ROW(FJ262)-ROW(FJ$5))</f>
        <v>#N/A</v>
      </c>
      <c r="FK262" s="169" t="e" vm="3">
        <f t="shared" ca="1" si="355"/>
        <v>#VALUE!</v>
      </c>
      <c r="FL262" s="7" t="e" vm="3">
        <f t="shared" ref="FL262:FL268" ca="1" si="455">_xlfn.NORM.DIST((SQRT(Eu_a_n_x)*(FK262-Eu_a_h0_x)/SQRT(FK262*(1-FK262)))-(_xlfn.NORM.INV(Eu_a_konfidensniveau,0,1)*SQRT((Eu_a_h0_x*(1-Eu_a_h0_x))/(FK262*(1-FK262)))),0,1,TRUE)</f>
        <v>#VALUE!</v>
      </c>
      <c r="FM262" t="e" vm="3">
        <f t="shared" ca="1" si="449"/>
        <v>#VALUE!</v>
      </c>
      <c r="FN262" s="8" t="e" vm="3">
        <f t="shared" ca="1" si="450"/>
        <v>#VALUE!</v>
      </c>
      <c r="FO262" s="8" t="e" vm="3">
        <f t="shared" ca="1" si="451"/>
        <v>#VALUE!</v>
      </c>
      <c r="FP262" s="168" t="e" vm="3">
        <f t="shared" ca="1" si="452"/>
        <v>#VALUE!</v>
      </c>
      <c r="FQ262" s="161" t="e">
        <f t="shared" ref="FQ262:FQ268" si="456">IF(ISERROR(FR262),NA(),ROW(FQ262)-ROW(FQ$5))</f>
        <v>#N/A</v>
      </c>
      <c r="FR262" s="169" t="e">
        <f t="shared" si="356"/>
        <v>#N/A</v>
      </c>
      <c r="FS262" s="7" t="e">
        <f t="shared" ref="FS262:FS268" si="457">_xlfn.NORM.DIST(-(SQRT(Eu_a_n_x)*(FR262-Eu_a_h0_x)/SQRT(FR262*(1-FR262)))-(_xlfn.NORM.INV(1-(1-Eu_a_konfidensniveau)/2,0,1)*SQRT((Eu_a_h0_x*(1-Eu_a_h0_x))/(FR262*(1-FR262)))),0,1,TRUE)+_xlfn.NORM.DIST((SQRT(Eu_a_n_x)*(FR262-Eu_a_h0_x)/SQRT(FR262*(1-FR262)))-(_xlfn.NORM.INV(1-(1-Eu_a_konfidensniveau)/2,0,1)*SQRT((Eu_a_h0_x*(1-Eu_a_h0_x))/(FR262*(1-FR262)))),0,1,TRUE)</f>
        <v>#N/A</v>
      </c>
      <c r="FT262" t="e">
        <f t="shared" si="357"/>
        <v>#N/A</v>
      </c>
      <c r="FU262" s="8" t="e">
        <f t="shared" si="358"/>
        <v>#N/A</v>
      </c>
      <c r="FV262" s="8" t="e">
        <f t="shared" si="359"/>
        <v>#N/A</v>
      </c>
      <c r="FW262" s="168" t="e">
        <f t="shared" si="360"/>
        <v>#N/A</v>
      </c>
      <c r="FX262" s="161" t="e">
        <f t="shared" si="361"/>
        <v>#N/A</v>
      </c>
      <c r="FY262" s="169" t="e">
        <f t="shared" si="362"/>
        <v>#N/A</v>
      </c>
      <c r="FZ262" s="7" t="e">
        <f t="shared" ref="FZ262:FZ268" si="458">_xlfn.NORM.DIST(-(SQRT(Eu_a_n_x)*(FY262-Eu_a_h0_x)/SQRT(FY262*(1-FY262)))-(_xlfn.NORM.INV(1-(1-Eu_a_konfidensniveau)/2,0,1)*SQRT((Eu_a_h0_x*(1-Eu_a_h0_x))/(FY262*(1-FY262)))),0,1,TRUE)+_xlfn.NORM.DIST((SQRT(Eu_a_n_x)*(FY262-Eu_a_h0_x)/SQRT(FY262*(1-FY262)))-(_xlfn.NORM.INV(1-(1-Eu_a_konfidensniveau)/2,0,1)*SQRT((Eu_a_h0_x*(1-Eu_a_h0_x))/(FY262*(1-FY262)))),0,1,TRUE)</f>
        <v>#N/A</v>
      </c>
      <c r="GA262" t="e">
        <f t="shared" si="363"/>
        <v>#N/A</v>
      </c>
      <c r="GB262" s="8" t="e">
        <f t="shared" si="364"/>
        <v>#N/A</v>
      </c>
      <c r="GC262" s="8" t="e">
        <f t="shared" si="365"/>
        <v>#N/A</v>
      </c>
      <c r="GD262" s="168" t="e">
        <f t="shared" si="366"/>
        <v>#N/A</v>
      </c>
      <c r="GE262" s="168"/>
      <c r="GF262" s="168"/>
      <c r="GI262" s="139">
        <f t="shared" si="411"/>
        <v>252</v>
      </c>
      <c r="GJ262" s="54">
        <f t="shared" si="412"/>
        <v>253</v>
      </c>
      <c r="GK262" s="139">
        <f t="shared" si="413"/>
        <v>2.946500570997217</v>
      </c>
      <c r="GL262" s="139">
        <f t="shared" si="414"/>
        <v>5.1959731862444561E-3</v>
      </c>
      <c r="GM262" s="139" t="e">
        <f t="shared" si="415"/>
        <v>#N/A</v>
      </c>
      <c r="GN262" s="139" t="e">
        <f t="shared" si="416"/>
        <v>#N/A</v>
      </c>
      <c r="GO262" s="139" t="e">
        <f t="shared" si="417"/>
        <v>#N/A</v>
      </c>
      <c r="GP262" s="139" t="b">
        <f t="shared" si="418"/>
        <v>0</v>
      </c>
      <c r="GQ262" s="139" t="b">
        <f t="shared" si="419"/>
        <v>1</v>
      </c>
      <c r="GR262" s="139" t="b">
        <f t="shared" si="420"/>
        <v>1</v>
      </c>
      <c r="GS262" s="139" t="b">
        <f t="shared" si="421"/>
        <v>0</v>
      </c>
      <c r="GT262" s="139">
        <f t="shared" si="422"/>
        <v>5.1959731862444561E-3</v>
      </c>
      <c r="GU262" s="139">
        <f t="shared" si="423"/>
        <v>5.1959731862444561E-3</v>
      </c>
      <c r="GV262" s="139" t="e">
        <f t="shared" si="424"/>
        <v>#N/A</v>
      </c>
      <c r="GW262" s="140" t="str">
        <f t="shared" si="425"/>
        <v/>
      </c>
      <c r="HC262" s="139">
        <f t="shared" si="426"/>
        <v>252</v>
      </c>
      <c r="HD262" s="54">
        <f t="shared" si="427"/>
        <v>253</v>
      </c>
      <c r="HE262" s="139">
        <f t="shared" si="428"/>
        <v>4.5627180180039932</v>
      </c>
      <c r="HF262" s="139" t="e">
        <f t="shared" si="429"/>
        <v>#N/A</v>
      </c>
      <c r="HG262" s="139">
        <f t="shared" si="430"/>
        <v>1.5435294614151295E-3</v>
      </c>
      <c r="HH262" s="139" t="e">
        <f t="shared" si="431"/>
        <v>#N/A</v>
      </c>
      <c r="HI262" s="139" t="e">
        <f t="shared" si="432"/>
        <v>#N/A</v>
      </c>
      <c r="HJ262" s="139" t="b">
        <f t="shared" si="433"/>
        <v>0</v>
      </c>
      <c r="HK262" s="139" t="b">
        <f t="shared" si="434"/>
        <v>1</v>
      </c>
      <c r="HL262" s="139" t="b">
        <f t="shared" si="435"/>
        <v>1</v>
      </c>
      <c r="HM262" s="139" t="b">
        <f t="shared" si="436"/>
        <v>0</v>
      </c>
      <c r="HN262" s="139">
        <f t="shared" si="437"/>
        <v>1.5435294614151295E-3</v>
      </c>
      <c r="HO262" s="139" t="e">
        <f t="shared" si="438"/>
        <v>#N/A</v>
      </c>
      <c r="HP262" s="139">
        <f t="shared" si="439"/>
        <v>1.5435294614151295E-3</v>
      </c>
      <c r="HQ262" s="140" t="str">
        <f t="shared" si="440"/>
        <v/>
      </c>
    </row>
    <row r="263" spans="71:225" x14ac:dyDescent="0.2">
      <c r="BS263" s="139">
        <f t="shared" si="367"/>
        <v>253</v>
      </c>
      <c r="BT263" s="54">
        <f>Eu_tabel_g[[#This Row],[Indeks]]+1</f>
        <v>254</v>
      </c>
      <c r="BU263" s="139">
        <f t="shared" si="368"/>
        <v>2.9704558601923168</v>
      </c>
      <c r="BV263" s="139">
        <f t="shared" si="369"/>
        <v>4.8404744224978778E-3</v>
      </c>
      <c r="BW263" s="139" t="e">
        <f t="shared" si="370"/>
        <v>#N/A</v>
      </c>
      <c r="BX263" s="139" t="e">
        <f t="shared" si="371"/>
        <v>#N/A</v>
      </c>
      <c r="BY263" s="139" t="e">
        <f t="shared" si="372"/>
        <v>#N/A</v>
      </c>
      <c r="BZ263" s="139" t="b">
        <f t="shared" si="373"/>
        <v>0</v>
      </c>
      <c r="CA263" s="139" t="b">
        <f t="shared" si="374"/>
        <v>1</v>
      </c>
      <c r="CB263" s="139" t="b">
        <f t="shared" si="375"/>
        <v>1</v>
      </c>
      <c r="CC263" s="139" t="b">
        <f t="shared" si="376"/>
        <v>0</v>
      </c>
      <c r="CD263" s="139">
        <f t="shared" si="448"/>
        <v>4.8404744224978778E-3</v>
      </c>
      <c r="CE263" s="139">
        <f t="shared" si="377"/>
        <v>4.8404744224978778E-3</v>
      </c>
      <c r="CF263" s="139" t="e">
        <f t="shared" si="378"/>
        <v>#N/A</v>
      </c>
      <c r="CG263" s="140" t="str">
        <f t="shared" si="379"/>
        <v/>
      </c>
      <c r="CH263" s="54">
        <f>_xlfn.NORM.DIST(_xlfn.NORM.INV(1-Eu_g_konfidensniveau,0,1)-Eu_tabel_g[[#This Row],[x base]],0,1,TRUE)</f>
        <v>1.9625497901493715E-6</v>
      </c>
      <c r="CI263" s="54">
        <f>1-_xlfn.NORM.DIST(_xlfn.NORM.INV(Eu_g_konfidensniveau,0,1)-Eu_tabel_g[[#This Row],[x base]],0,1,TRUE)</f>
        <v>0.90751425694156995</v>
      </c>
      <c r="CJ263" s="54">
        <f>_xlfn.NORM.DIST(_xlfn.NORM.INV((1-Eu_g_konfidensniveau)/2,0,1)-Eu_tabel_g[[#This Row],[x base]],0,1,TRUE)+1-_xlfn.NORM.DIST(_xlfn.NORM.INV(1-(1-Eu_g_konfidensniveau)/2,0,1)-Eu_tabel_g[[#This Row],[x base]],0,1,TRUE)</f>
        <v>0.84387056532820115</v>
      </c>
      <c r="CK263" s="54" t="e" cm="1">
        <f t="array" ref="CK263">IF($CK$3,INDEX(Eu_tabel_g[[#This Row],[Styrke venstre]:[Styrke tosidet]],CK$7),NA())</f>
        <v>#N/A</v>
      </c>
      <c r="CL263" s="99" t="e">
        <f>Eu_tabel_g[[#This Row],[Falsk positiv
Nulhypotese accepteres
Fejltype 1]]</f>
        <v>#N/A</v>
      </c>
      <c r="CM263" s="99" t="e">
        <f>IF(CHOOSE(CK$7,Eu_tabel_g[[#This Row],[x base]]&gt;0,Eu_tabel_g[[#This Row],[x base]]&lt;0,Eu_tabel_g[[#This Row],[x base]]=0),Eu_tabel_g[[#This Row],[Styrke, aktiv]],NA())</f>
        <v>#N/A</v>
      </c>
      <c r="CN263" s="99" t="e">
        <f>IFERROR(IF($CK$3,Eu_tabel_g[[#This Row],[Styrke, aktiv]],NA()),NA())</f>
        <v>#N/A</v>
      </c>
      <c r="CO263" s="99" t="e">
        <f>IF(ISNA(Eu_tabel_g[[#This Row],[Sand negativ
Nulhypotese afvises
Korrekt]]),NA(),IF($CK$3,1,NA()))</f>
        <v>#N/A</v>
      </c>
      <c r="CP263" s="56" t="str" cm="1">
        <f t="array" ref="CP263">_xlfn.SWITCH(BS263,_xlfn.IFNA(CN$2,-99),CN$5,_xlfn.IFNA(CN$3,-99),CN$6,_xlfn.IFNA(CN$4,-99),CN$7,"")</f>
        <v/>
      </c>
      <c r="CT263" s="7">
        <f t="shared" si="380"/>
        <v>0.8</v>
      </c>
      <c r="CU263">
        <f>IF(ROW(Styrkeberegning_G[[#This Row],[X base venstre]])=ROW(Styrkeberegning_G[[#Headers],[X base venstre]])+1,CU$7/(CT$7/$B$67),CU262/(CT262/$B$67))</f>
        <v>-2.8015817870135784</v>
      </c>
      <c r="CV263">
        <f>Styrkeberegning_G[[#This Row],[X base venstre]]*-1</f>
        <v>2.8015817870135784</v>
      </c>
      <c r="DG263" s="139">
        <f t="shared" si="381"/>
        <v>253</v>
      </c>
      <c r="DH263" s="54">
        <f t="shared" si="382"/>
        <v>254</v>
      </c>
      <c r="DI263" s="139">
        <f t="shared" si="383"/>
        <v>30.693779338154943</v>
      </c>
      <c r="DJ263" s="139" t="e">
        <f t="shared" si="384"/>
        <v>#N/A</v>
      </c>
      <c r="DK263" s="139" t="e">
        <f t="shared" si="385"/>
        <v>#N/A</v>
      </c>
      <c r="DL263" s="139">
        <f t="shared" si="386"/>
        <v>4.4888532672208905E-4</v>
      </c>
      <c r="DM263" s="139" t="e">
        <f t="shared" si="387"/>
        <v>#N/A</v>
      </c>
      <c r="DN263" s="139" t="b">
        <f t="shared" si="388"/>
        <v>0</v>
      </c>
      <c r="DO263" s="139" t="b">
        <f t="shared" si="389"/>
        <v>1</v>
      </c>
      <c r="DP263" s="139" t="b">
        <f t="shared" si="390"/>
        <v>1</v>
      </c>
      <c r="DQ263" s="139" t="b">
        <f t="shared" si="391"/>
        <v>0</v>
      </c>
      <c r="DR263" s="139">
        <f t="shared" si="392"/>
        <v>4.4888532672208905E-4</v>
      </c>
      <c r="DS263" s="139">
        <f t="shared" si="393"/>
        <v>4.4888532672208905E-4</v>
      </c>
      <c r="DT263" s="139" t="e">
        <f t="shared" si="394"/>
        <v>#N/A</v>
      </c>
      <c r="DU263" s="140" t="str">
        <f t="shared" si="395"/>
        <v/>
      </c>
      <c r="DZ263" s="139">
        <f t="shared" si="396"/>
        <v>253</v>
      </c>
      <c r="EA263" s="54">
        <f t="shared" si="397"/>
        <v>254</v>
      </c>
      <c r="EB263" s="139">
        <f t="shared" si="398"/>
        <v>2.9704558601923168</v>
      </c>
      <c r="EC263" s="139">
        <f t="shared" si="399"/>
        <v>4.8404744224978778E-3</v>
      </c>
      <c r="ED263" s="139" t="e">
        <f t="shared" si="400"/>
        <v>#N/A</v>
      </c>
      <c r="EE263" s="139" t="e">
        <f t="shared" si="401"/>
        <v>#N/A</v>
      </c>
      <c r="EF263" s="139" t="e">
        <f t="shared" si="402"/>
        <v>#N/A</v>
      </c>
      <c r="EG263" s="139" t="b">
        <f t="shared" si="403"/>
        <v>0</v>
      </c>
      <c r="EH263" s="139" t="b">
        <f t="shared" si="404"/>
        <v>1</v>
      </c>
      <c r="EI263" s="139" t="b">
        <f t="shared" si="405"/>
        <v>1</v>
      </c>
      <c r="EJ263" s="139" t="b">
        <f t="shared" si="406"/>
        <v>0</v>
      </c>
      <c r="EK263" s="139">
        <f t="shared" si="407"/>
        <v>4.8404744224978778E-3</v>
      </c>
      <c r="EL263" s="139">
        <f t="shared" si="408"/>
        <v>4.8404744224978778E-3</v>
      </c>
      <c r="EM263" s="139" t="e">
        <f t="shared" si="409"/>
        <v>#N/A</v>
      </c>
      <c r="EN263" s="140" t="str">
        <f t="shared" si="410"/>
        <v/>
      </c>
      <c r="EO26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63"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63"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63" s="54" t="e" cm="1">
        <f t="array" ref="ER263">IF($CK$3,INDEX(Eu_tabel_a[[#This Row],[Styrke venstre]:[Styrke tosidet]],ER$7),NA())</f>
        <v>#N/A</v>
      </c>
      <c r="ES263" s="54" t="e">
        <f>IF(ER$3,IF(CHOOSE(ER$7,Eu_tabel_a[[#This Row],[x base]]&gt;0,Eu_tabel_a[[#This Row],[x base]]&lt;0,Eu_tabel_a[[#This Row],[x base]]=0),1,NA()),NA())</f>
        <v>#N/A</v>
      </c>
      <c r="ET263" s="54" t="e">
        <f>IF(CHOOSE(ER$7,Eu_tabel_a[[#This Row],[x base]]&gt;0,Eu_tabel_a[[#This Row],[x base]]&lt;0,Eu_tabel_a[[#This Row],[x base]]=0),Eu_tabel_a[[#This Row],[Styrke, aktiv]],NA())</f>
        <v>#N/A</v>
      </c>
      <c r="EU263" s="54" t="e">
        <f>IFERROR(IF($ER$3,Eu_tabel_a[[#This Row],[Styrke, aktiv]],NA()),NA())</f>
        <v>#N/A</v>
      </c>
      <c r="EV263" s="54" t="e">
        <f>IF(ISNA(Eu_tabel_a[[#This Row],[Sand negativ
Nulhypotese afvises
Korrekt]]),NA(),IF(ER$3,1,NA()))</f>
        <v>#N/A</v>
      </c>
      <c r="EW263" s="55" t="str" cm="1">
        <f t="array" ref="EW263">IFERROR(_xlfn.SWITCH(Eu_tabel_a[[#This Row],[Indeks]],_xlfn.IFNA(EU$2,-99),EU$5,_xlfn.IFNA(EU$3,-99),EU$6,_xlfn.IFNA(EU$4,-99),EU$7,""),"")</f>
        <v/>
      </c>
      <c r="EX263" s="54">
        <f>Eu_tabel_a[[#This Row],[x base]]*SQRT(Eu_a_h0_x*(1-Eu_a_h0_x)/Eu_a_n_x)+Eu_a_h0_x</f>
        <v>0</v>
      </c>
      <c r="FC263" s="161" t="e">
        <f t="shared" ref="FC263:FC268" si="459">IF(ISERROR(FD263),NA(),ROW(FC263)-ROW(FC$5))</f>
        <v>#N/A</v>
      </c>
      <c r="FD263" s="169" t="e">
        <f t="shared" si="442"/>
        <v>#DIV/0!</v>
      </c>
      <c r="FE263" s="7" t="e">
        <f t="shared" si="453"/>
        <v>#DIV/0!</v>
      </c>
      <c r="FF263" t="e">
        <f t="shared" si="443"/>
        <v>#DIV/0!</v>
      </c>
      <c r="FG263" s="8" t="e">
        <f t="shared" si="444"/>
        <v>#DIV/0!</v>
      </c>
      <c r="FH263" s="8" t="e">
        <f t="shared" si="445"/>
        <v>#DIV/0!</v>
      </c>
      <c r="FI263" s="168" t="e">
        <f t="shared" si="446"/>
        <v>#DIV/0!</v>
      </c>
      <c r="FJ263" s="161" t="e">
        <f t="shared" ca="1" si="454"/>
        <v>#N/A</v>
      </c>
      <c r="FK263" s="169" t="e" vm="3">
        <f t="shared" ref="FK263:FK268" ca="1" si="460">FK261+FP262</f>
        <v>#VALUE!</v>
      </c>
      <c r="FL263" s="7" t="e" vm="3">
        <f t="shared" ca="1" si="455"/>
        <v>#VALUE!</v>
      </c>
      <c r="FM263" t="e" vm="3">
        <f t="shared" ca="1" si="449"/>
        <v>#VALUE!</v>
      </c>
      <c r="FN263" s="8" t="e" vm="3">
        <f t="shared" ca="1" si="450"/>
        <v>#VALUE!</v>
      </c>
      <c r="FO263" s="8" t="e" vm="3">
        <f t="shared" ca="1" si="451"/>
        <v>#VALUE!</v>
      </c>
      <c r="FP263" s="168" t="e" vm="3">
        <f t="shared" ca="1" si="452"/>
        <v>#VALUE!</v>
      </c>
      <c r="FQ263" s="161" t="e">
        <f t="shared" si="456"/>
        <v>#N/A</v>
      </c>
      <c r="FR263" s="169" t="e">
        <f t="shared" ref="FR263:FR268" si="461">FR261+FW262</f>
        <v>#N/A</v>
      </c>
      <c r="FS263" s="7" t="e">
        <f t="shared" si="457"/>
        <v>#N/A</v>
      </c>
      <c r="FT263" t="e">
        <f t="shared" ref="FT263:FT268" si="462">FR263-FR262</f>
        <v>#N/A</v>
      </c>
      <c r="FU263" s="8" t="e">
        <f t="shared" ref="FU263:FU268" si="463">FS263-FS262</f>
        <v>#N/A</v>
      </c>
      <c r="FV263" s="8" t="e">
        <f t="shared" ref="FV263:FV268" si="464">$P$67-FS262</f>
        <v>#N/A</v>
      </c>
      <c r="FW263" s="168" t="e">
        <f t="shared" ref="FW263:FW268" si="465">FT263/(FU263/FV263)</f>
        <v>#N/A</v>
      </c>
      <c r="FX263" s="161" t="e">
        <f t="shared" ref="FX263:FX268" si="466">IF(ISERROR(FY263),NA(),ROW(FX263)-ROW(FX$5))</f>
        <v>#N/A</v>
      </c>
      <c r="FY263" s="169" t="e">
        <f t="shared" ref="FY263:FY268" si="467">FY261+GD262</f>
        <v>#N/A</v>
      </c>
      <c r="FZ263" s="7" t="e">
        <f t="shared" si="458"/>
        <v>#N/A</v>
      </c>
      <c r="GA263" t="e">
        <f t="shared" ref="GA263:GA268" si="468">FY263-FY262</f>
        <v>#N/A</v>
      </c>
      <c r="GB263" s="8" t="e">
        <f t="shared" ref="GB263:GB268" si="469">FZ263-FZ262</f>
        <v>#N/A</v>
      </c>
      <c r="GC263" s="8" t="e">
        <f t="shared" ref="GC263:GC268" si="470">$P$67-FZ262</f>
        <v>#N/A</v>
      </c>
      <c r="GD263" s="168" t="e">
        <f t="shared" ref="GD263:GD268" si="471">GA263/(GB263/GC263)</f>
        <v>#N/A</v>
      </c>
      <c r="GE263" s="168"/>
      <c r="GF263" s="168"/>
      <c r="GI263" s="139">
        <f t="shared" si="411"/>
        <v>253</v>
      </c>
      <c r="GJ263" s="54">
        <f t="shared" si="412"/>
        <v>254</v>
      </c>
      <c r="GK263" s="139">
        <f t="shared" si="413"/>
        <v>2.9704558601923168</v>
      </c>
      <c r="GL263" s="139">
        <f t="shared" si="414"/>
        <v>4.8404744224978778E-3</v>
      </c>
      <c r="GM263" s="139" t="e">
        <f t="shared" si="415"/>
        <v>#N/A</v>
      </c>
      <c r="GN263" s="139" t="e">
        <f t="shared" si="416"/>
        <v>#N/A</v>
      </c>
      <c r="GO263" s="139" t="e">
        <f t="shared" si="417"/>
        <v>#N/A</v>
      </c>
      <c r="GP263" s="139" t="b">
        <f t="shared" si="418"/>
        <v>0</v>
      </c>
      <c r="GQ263" s="139" t="b">
        <f t="shared" si="419"/>
        <v>1</v>
      </c>
      <c r="GR263" s="139" t="b">
        <f t="shared" si="420"/>
        <v>1</v>
      </c>
      <c r="GS263" s="139" t="b">
        <f t="shared" si="421"/>
        <v>0</v>
      </c>
      <c r="GT263" s="139">
        <f t="shared" si="422"/>
        <v>4.8404744224978778E-3</v>
      </c>
      <c r="GU263" s="139">
        <f t="shared" si="423"/>
        <v>4.8404744224978778E-3</v>
      </c>
      <c r="GV263" s="139" t="e">
        <f t="shared" si="424"/>
        <v>#N/A</v>
      </c>
      <c r="GW263" s="140" t="str">
        <f t="shared" si="425"/>
        <v/>
      </c>
      <c r="HC263" s="139">
        <f t="shared" si="426"/>
        <v>253</v>
      </c>
      <c r="HD263" s="54">
        <f t="shared" si="427"/>
        <v>254</v>
      </c>
      <c r="HE263" s="139">
        <f t="shared" si="428"/>
        <v>4.5998132864430499</v>
      </c>
      <c r="HF263" s="139" t="e">
        <f t="shared" si="429"/>
        <v>#N/A</v>
      </c>
      <c r="HG263" s="139">
        <f t="shared" si="430"/>
        <v>1.4703428466840082E-3</v>
      </c>
      <c r="HH263" s="139" t="e">
        <f t="shared" si="431"/>
        <v>#N/A</v>
      </c>
      <c r="HI263" s="139" t="e">
        <f t="shared" si="432"/>
        <v>#N/A</v>
      </c>
      <c r="HJ263" s="139" t="b">
        <f t="shared" si="433"/>
        <v>0</v>
      </c>
      <c r="HK263" s="139" t="b">
        <f t="shared" si="434"/>
        <v>1</v>
      </c>
      <c r="HL263" s="139" t="b">
        <f t="shared" si="435"/>
        <v>1</v>
      </c>
      <c r="HM263" s="139" t="b">
        <f t="shared" si="436"/>
        <v>0</v>
      </c>
      <c r="HN263" s="139">
        <f t="shared" si="437"/>
        <v>1.4703428466840082E-3</v>
      </c>
      <c r="HO263" s="139" t="e">
        <f t="shared" si="438"/>
        <v>#N/A</v>
      </c>
      <c r="HP263" s="139">
        <f t="shared" si="439"/>
        <v>1.4703428466840082E-3</v>
      </c>
      <c r="HQ263" s="140" t="str">
        <f t="shared" si="440"/>
        <v/>
      </c>
    </row>
    <row r="264" spans="71:225" x14ac:dyDescent="0.2">
      <c r="BS264" s="139">
        <f t="shared" si="367"/>
        <v>254</v>
      </c>
      <c r="BT264" s="54">
        <f>Eu_tabel_g[[#This Row],[Indeks]]+1</f>
        <v>255</v>
      </c>
      <c r="BU264" s="139">
        <f t="shared" si="368"/>
        <v>2.9944111493874157</v>
      </c>
      <c r="BV264" s="139">
        <f t="shared" si="369"/>
        <v>4.5067112740675413E-3</v>
      </c>
      <c r="BW264" s="139" t="e">
        <f t="shared" si="370"/>
        <v>#N/A</v>
      </c>
      <c r="BX264" s="139" t="e">
        <f t="shared" si="371"/>
        <v>#N/A</v>
      </c>
      <c r="BY264" s="139" t="e">
        <f t="shared" si="372"/>
        <v>#N/A</v>
      </c>
      <c r="BZ264" s="139" t="b">
        <f t="shared" si="373"/>
        <v>0</v>
      </c>
      <c r="CA264" s="139" t="b">
        <f t="shared" si="374"/>
        <v>1</v>
      </c>
      <c r="CB264" s="139" t="b">
        <f t="shared" si="375"/>
        <v>1</v>
      </c>
      <c r="CC264" s="139" t="b">
        <f t="shared" si="376"/>
        <v>0</v>
      </c>
      <c r="CD264" s="139">
        <f t="shared" si="448"/>
        <v>4.5067112740675413E-3</v>
      </c>
      <c r="CE264" s="139">
        <f t="shared" si="377"/>
        <v>4.5067112740675413E-3</v>
      </c>
      <c r="CF264" s="139" t="e">
        <f t="shared" si="378"/>
        <v>#N/A</v>
      </c>
      <c r="CG264" s="140" t="str">
        <f t="shared" si="379"/>
        <v/>
      </c>
      <c r="CH264" s="54">
        <f>_xlfn.NORM.DIST(_xlfn.NORM.INV(1-Eu_g_konfidensniveau,0,1)-Eu_tabel_g[[#This Row],[x base]],0,1,TRUE)</f>
        <v>1.7482542555738399E-6</v>
      </c>
      <c r="CI264" s="54">
        <f>1-_xlfn.NORM.DIST(_xlfn.NORM.INV(Eu_g_konfidensniveau,0,1)-Eu_tabel_g[[#This Row],[x base]],0,1,TRUE)</f>
        <v>0.91142102134110681</v>
      </c>
      <c r="CJ264" s="54">
        <f>_xlfn.NORM.DIST(_xlfn.NORM.INV((1-Eu_g_konfidensniveau)/2,0,1)-Eu_tabel_g[[#This Row],[x base]],0,1,TRUE)+1-_xlfn.NORM.DIST(_xlfn.NORM.INV(1-(1-Eu_g_konfidensniveau)/2,0,1)-Eu_tabel_g[[#This Row],[x base]],0,1,TRUE)</f>
        <v>0.84953678041496683</v>
      </c>
      <c r="CK264" s="54" t="e" cm="1">
        <f t="array" ref="CK264">IF($CK$3,INDEX(Eu_tabel_g[[#This Row],[Styrke venstre]:[Styrke tosidet]],CK$7),NA())</f>
        <v>#N/A</v>
      </c>
      <c r="CL264" s="99" t="e">
        <f>Eu_tabel_g[[#This Row],[Falsk positiv
Nulhypotese accepteres
Fejltype 1]]</f>
        <v>#N/A</v>
      </c>
      <c r="CM264" s="99" t="e">
        <f>IF(CHOOSE(CK$7,Eu_tabel_g[[#This Row],[x base]]&gt;0,Eu_tabel_g[[#This Row],[x base]]&lt;0,Eu_tabel_g[[#This Row],[x base]]=0),Eu_tabel_g[[#This Row],[Styrke, aktiv]],NA())</f>
        <v>#N/A</v>
      </c>
      <c r="CN264" s="99" t="e">
        <f>IFERROR(IF($CK$3,Eu_tabel_g[[#This Row],[Styrke, aktiv]],NA()),NA())</f>
        <v>#N/A</v>
      </c>
      <c r="CO264" s="99" t="e">
        <f>IF(ISNA(Eu_tabel_g[[#This Row],[Sand negativ
Nulhypotese afvises
Korrekt]]),NA(),IF($CK$3,1,NA()))</f>
        <v>#N/A</v>
      </c>
      <c r="CP264" s="56" t="str" cm="1">
        <f t="array" ref="CP264">_xlfn.SWITCH(BS264,_xlfn.IFNA(CN$2,-99),CN$5,_xlfn.IFNA(CN$3,-99),CN$6,_xlfn.IFNA(CN$4,-99),CN$7,"")</f>
        <v/>
      </c>
      <c r="CT264" s="7">
        <f t="shared" si="380"/>
        <v>0.8</v>
      </c>
      <c r="CU264">
        <f>IF(ROW(Styrkeberegning_G[[#This Row],[X base venstre]])=ROW(Styrkeberegning_G[[#Headers],[X base venstre]])+1,CU$7/(CT$7/$B$67),CU263/(CT263/$B$67))</f>
        <v>-2.8015817870135784</v>
      </c>
      <c r="CV264">
        <f>Styrkeberegning_G[[#This Row],[X base venstre]]*-1</f>
        <v>2.8015817870135784</v>
      </c>
      <c r="DG264" s="139">
        <f t="shared" si="381"/>
        <v>254</v>
      </c>
      <c r="DH264" s="54">
        <f t="shared" si="382"/>
        <v>255</v>
      </c>
      <c r="DI264" s="139">
        <f t="shared" si="383"/>
        <v>30.807850194571945</v>
      </c>
      <c r="DJ264" s="139" t="e">
        <f t="shared" si="384"/>
        <v>#N/A</v>
      </c>
      <c r="DK264" s="139" t="e">
        <f t="shared" si="385"/>
        <v>#N/A</v>
      </c>
      <c r="DL264" s="139">
        <f t="shared" si="386"/>
        <v>4.3113656788701659E-4</v>
      </c>
      <c r="DM264" s="139" t="e">
        <f t="shared" si="387"/>
        <v>#N/A</v>
      </c>
      <c r="DN264" s="139" t="b">
        <f t="shared" si="388"/>
        <v>0</v>
      </c>
      <c r="DO264" s="139" t="b">
        <f t="shared" si="389"/>
        <v>1</v>
      </c>
      <c r="DP264" s="139" t="b">
        <f t="shared" si="390"/>
        <v>1</v>
      </c>
      <c r="DQ264" s="139" t="b">
        <f t="shared" si="391"/>
        <v>0</v>
      </c>
      <c r="DR264" s="139">
        <f t="shared" si="392"/>
        <v>4.3113656788701659E-4</v>
      </c>
      <c r="DS264" s="139">
        <f t="shared" si="393"/>
        <v>4.3113656788701659E-4</v>
      </c>
      <c r="DT264" s="139" t="e">
        <f t="shared" si="394"/>
        <v>#N/A</v>
      </c>
      <c r="DU264" s="140" t="str">
        <f t="shared" si="395"/>
        <v/>
      </c>
      <c r="DZ264" s="139">
        <f t="shared" si="396"/>
        <v>254</v>
      </c>
      <c r="EA264" s="54">
        <f t="shared" si="397"/>
        <v>255</v>
      </c>
      <c r="EB264" s="139">
        <f t="shared" si="398"/>
        <v>2.9944111493874157</v>
      </c>
      <c r="EC264" s="139">
        <f t="shared" si="399"/>
        <v>4.5067112740675413E-3</v>
      </c>
      <c r="ED264" s="139" t="e">
        <f t="shared" si="400"/>
        <v>#N/A</v>
      </c>
      <c r="EE264" s="139" t="e">
        <f t="shared" si="401"/>
        <v>#N/A</v>
      </c>
      <c r="EF264" s="139" t="e">
        <f t="shared" si="402"/>
        <v>#N/A</v>
      </c>
      <c r="EG264" s="139" t="b">
        <f t="shared" si="403"/>
        <v>0</v>
      </c>
      <c r="EH264" s="139" t="b">
        <f t="shared" si="404"/>
        <v>1</v>
      </c>
      <c r="EI264" s="139" t="b">
        <f t="shared" si="405"/>
        <v>1</v>
      </c>
      <c r="EJ264" s="139" t="b">
        <f t="shared" si="406"/>
        <v>0</v>
      </c>
      <c r="EK264" s="139">
        <f t="shared" si="407"/>
        <v>4.5067112740675413E-3</v>
      </c>
      <c r="EL264" s="139">
        <f t="shared" si="408"/>
        <v>4.5067112740675413E-3</v>
      </c>
      <c r="EM264" s="139" t="e">
        <f t="shared" si="409"/>
        <v>#N/A</v>
      </c>
      <c r="EN264" s="140" t="str">
        <f t="shared" si="410"/>
        <v/>
      </c>
      <c r="EO26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64"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64"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64" s="54" t="e" cm="1">
        <f t="array" ref="ER264">IF($CK$3,INDEX(Eu_tabel_a[[#This Row],[Styrke venstre]:[Styrke tosidet]],ER$7),NA())</f>
        <v>#N/A</v>
      </c>
      <c r="ES264" s="54" t="e">
        <f>IF(ER$3,IF(CHOOSE(ER$7,Eu_tabel_a[[#This Row],[x base]]&gt;0,Eu_tabel_a[[#This Row],[x base]]&lt;0,Eu_tabel_a[[#This Row],[x base]]=0),1,NA()),NA())</f>
        <v>#N/A</v>
      </c>
      <c r="ET264" s="54" t="e">
        <f>IF(CHOOSE(ER$7,Eu_tabel_a[[#This Row],[x base]]&gt;0,Eu_tabel_a[[#This Row],[x base]]&lt;0,Eu_tabel_a[[#This Row],[x base]]=0),Eu_tabel_a[[#This Row],[Styrke, aktiv]],NA())</f>
        <v>#N/A</v>
      </c>
      <c r="EU264" s="54" t="e">
        <f>IFERROR(IF($ER$3,Eu_tabel_a[[#This Row],[Styrke, aktiv]],NA()),NA())</f>
        <v>#N/A</v>
      </c>
      <c r="EV264" s="54" t="e">
        <f>IF(ISNA(Eu_tabel_a[[#This Row],[Sand negativ
Nulhypotese afvises
Korrekt]]),NA(),IF(ER$3,1,NA()))</f>
        <v>#N/A</v>
      </c>
      <c r="EW264" s="55" t="str" cm="1">
        <f t="array" ref="EW264">IFERROR(_xlfn.SWITCH(Eu_tabel_a[[#This Row],[Indeks]],_xlfn.IFNA(EU$2,-99),EU$5,_xlfn.IFNA(EU$3,-99),EU$6,_xlfn.IFNA(EU$4,-99),EU$7,""),"")</f>
        <v/>
      </c>
      <c r="EX264" s="54">
        <f>Eu_tabel_a[[#This Row],[x base]]*SQRT(Eu_a_h0_x*(1-Eu_a_h0_x)/Eu_a_n_x)+Eu_a_h0_x</f>
        <v>0</v>
      </c>
      <c r="FC264" s="161" t="e">
        <f t="shared" si="459"/>
        <v>#N/A</v>
      </c>
      <c r="FD264" s="169" t="e">
        <f t="shared" si="442"/>
        <v>#DIV/0!</v>
      </c>
      <c r="FE264" s="7" t="e">
        <f t="shared" si="453"/>
        <v>#DIV/0!</v>
      </c>
      <c r="FF264" t="e">
        <f t="shared" si="443"/>
        <v>#DIV/0!</v>
      </c>
      <c r="FG264" s="8" t="e">
        <f t="shared" si="444"/>
        <v>#DIV/0!</v>
      </c>
      <c r="FH264" s="8" t="e">
        <f t="shared" si="445"/>
        <v>#DIV/0!</v>
      </c>
      <c r="FI264" s="168" t="e">
        <f t="shared" si="446"/>
        <v>#DIV/0!</v>
      </c>
      <c r="FJ264" s="161" t="e">
        <f t="shared" ca="1" si="454"/>
        <v>#N/A</v>
      </c>
      <c r="FK264" s="169" t="e" vm="3">
        <f t="shared" ca="1" si="460"/>
        <v>#VALUE!</v>
      </c>
      <c r="FL264" s="7" t="e" vm="3">
        <f t="shared" ca="1" si="455"/>
        <v>#VALUE!</v>
      </c>
      <c r="FM264" t="e" vm="3">
        <f t="shared" ca="1" si="449"/>
        <v>#VALUE!</v>
      </c>
      <c r="FN264" s="8" t="e" vm="3">
        <f t="shared" ca="1" si="450"/>
        <v>#VALUE!</v>
      </c>
      <c r="FO264" s="8" t="e" vm="3">
        <f t="shared" ca="1" si="451"/>
        <v>#VALUE!</v>
      </c>
      <c r="FP264" s="168" t="e" vm="3">
        <f t="shared" ca="1" si="452"/>
        <v>#VALUE!</v>
      </c>
      <c r="FQ264" s="161" t="e">
        <f t="shared" si="456"/>
        <v>#N/A</v>
      </c>
      <c r="FR264" s="169" t="e">
        <f t="shared" si="461"/>
        <v>#N/A</v>
      </c>
      <c r="FS264" s="7" t="e">
        <f t="shared" si="457"/>
        <v>#N/A</v>
      </c>
      <c r="FT264" t="e">
        <f t="shared" si="462"/>
        <v>#N/A</v>
      </c>
      <c r="FU264" s="8" t="e">
        <f t="shared" si="463"/>
        <v>#N/A</v>
      </c>
      <c r="FV264" s="8" t="e">
        <f t="shared" si="464"/>
        <v>#N/A</v>
      </c>
      <c r="FW264" s="168" t="e">
        <f t="shared" si="465"/>
        <v>#N/A</v>
      </c>
      <c r="FX264" s="161" t="e">
        <f t="shared" si="466"/>
        <v>#N/A</v>
      </c>
      <c r="FY264" s="169" t="e">
        <f t="shared" si="467"/>
        <v>#N/A</v>
      </c>
      <c r="FZ264" s="7" t="e">
        <f t="shared" si="458"/>
        <v>#N/A</v>
      </c>
      <c r="GA264" t="e">
        <f t="shared" si="468"/>
        <v>#N/A</v>
      </c>
      <c r="GB264" s="8" t="e">
        <f t="shared" si="469"/>
        <v>#N/A</v>
      </c>
      <c r="GC264" s="8" t="e">
        <f t="shared" si="470"/>
        <v>#N/A</v>
      </c>
      <c r="GD264" s="168" t="e">
        <f t="shared" si="471"/>
        <v>#N/A</v>
      </c>
      <c r="GE264" s="168"/>
      <c r="GF264" s="168"/>
      <c r="GI264" s="139">
        <f t="shared" si="411"/>
        <v>254</v>
      </c>
      <c r="GJ264" s="54">
        <f t="shared" si="412"/>
        <v>255</v>
      </c>
      <c r="GK264" s="139">
        <f t="shared" si="413"/>
        <v>2.9944111493874157</v>
      </c>
      <c r="GL264" s="139">
        <f t="shared" si="414"/>
        <v>4.5067112740675413E-3</v>
      </c>
      <c r="GM264" s="139" t="e">
        <f t="shared" si="415"/>
        <v>#N/A</v>
      </c>
      <c r="GN264" s="139" t="e">
        <f t="shared" si="416"/>
        <v>#N/A</v>
      </c>
      <c r="GO264" s="139" t="e">
        <f t="shared" si="417"/>
        <v>#N/A</v>
      </c>
      <c r="GP264" s="139" t="b">
        <f t="shared" si="418"/>
        <v>0</v>
      </c>
      <c r="GQ264" s="139" t="b">
        <f t="shared" si="419"/>
        <v>1</v>
      </c>
      <c r="GR264" s="139" t="b">
        <f t="shared" si="420"/>
        <v>1</v>
      </c>
      <c r="GS264" s="139" t="b">
        <f t="shared" si="421"/>
        <v>0</v>
      </c>
      <c r="GT264" s="139">
        <f t="shared" si="422"/>
        <v>4.5067112740675413E-3</v>
      </c>
      <c r="GU264" s="139">
        <f t="shared" si="423"/>
        <v>4.5067112740675413E-3</v>
      </c>
      <c r="GV264" s="139" t="e">
        <f t="shared" si="424"/>
        <v>#N/A</v>
      </c>
      <c r="GW264" s="140" t="str">
        <f t="shared" si="425"/>
        <v/>
      </c>
      <c r="HC264" s="139">
        <f t="shared" si="426"/>
        <v>254</v>
      </c>
      <c r="HD264" s="54">
        <f t="shared" si="427"/>
        <v>255</v>
      </c>
      <c r="HE264" s="139">
        <f t="shared" si="428"/>
        <v>4.6369085548821065</v>
      </c>
      <c r="HF264" s="139" t="e">
        <f t="shared" si="429"/>
        <v>#N/A</v>
      </c>
      <c r="HG264" s="139">
        <f t="shared" si="430"/>
        <v>1.4009017297980497E-3</v>
      </c>
      <c r="HH264" s="139" t="e">
        <f t="shared" si="431"/>
        <v>#N/A</v>
      </c>
      <c r="HI264" s="139" t="e">
        <f t="shared" si="432"/>
        <v>#N/A</v>
      </c>
      <c r="HJ264" s="139" t="b">
        <f t="shared" si="433"/>
        <v>0</v>
      </c>
      <c r="HK264" s="139" t="b">
        <f t="shared" si="434"/>
        <v>1</v>
      </c>
      <c r="HL264" s="139" t="b">
        <f t="shared" si="435"/>
        <v>1</v>
      </c>
      <c r="HM264" s="139" t="b">
        <f t="shared" si="436"/>
        <v>0</v>
      </c>
      <c r="HN264" s="139">
        <f t="shared" si="437"/>
        <v>1.4009017297980497E-3</v>
      </c>
      <c r="HO264" s="139" t="e">
        <f t="shared" si="438"/>
        <v>#N/A</v>
      </c>
      <c r="HP264" s="139">
        <f t="shared" si="439"/>
        <v>1.4009017297980497E-3</v>
      </c>
      <c r="HQ264" s="140" t="str">
        <f t="shared" si="440"/>
        <v/>
      </c>
    </row>
    <row r="265" spans="71:225" x14ac:dyDescent="0.2">
      <c r="BS265" s="139">
        <f t="shared" si="367"/>
        <v>255</v>
      </c>
      <c r="BT265" s="54">
        <f>Eu_tabel_g[[#This Row],[Indeks]]+1</f>
        <v>256</v>
      </c>
      <c r="BU265" s="139">
        <f t="shared" si="368"/>
        <v>3.0183664385825155</v>
      </c>
      <c r="BV265" s="139">
        <f t="shared" si="369"/>
        <v>4.1935547655993438E-3</v>
      </c>
      <c r="BW265" s="139" t="e">
        <f t="shared" si="370"/>
        <v>#N/A</v>
      </c>
      <c r="BX265" s="139" t="e">
        <f t="shared" si="371"/>
        <v>#N/A</v>
      </c>
      <c r="BY265" s="139" t="e">
        <f t="shared" si="372"/>
        <v>#N/A</v>
      </c>
      <c r="BZ265" s="139" t="b">
        <f t="shared" si="373"/>
        <v>0</v>
      </c>
      <c r="CA265" s="139" t="b">
        <f t="shared" si="374"/>
        <v>1</v>
      </c>
      <c r="CB265" s="139" t="b">
        <f t="shared" si="375"/>
        <v>1</v>
      </c>
      <c r="CC265" s="139" t="b">
        <f t="shared" si="376"/>
        <v>0</v>
      </c>
      <c r="CD265" s="139">
        <f t="shared" si="448"/>
        <v>4.1935547655993438E-3</v>
      </c>
      <c r="CE265" s="139">
        <f t="shared" si="377"/>
        <v>4.1935547655993438E-3</v>
      </c>
      <c r="CF265" s="139" t="e">
        <f t="shared" si="378"/>
        <v>#N/A</v>
      </c>
      <c r="CG265" s="140" t="str">
        <f t="shared" si="379"/>
        <v/>
      </c>
      <c r="CH265" s="54">
        <f>_xlfn.NORM.DIST(_xlfn.NORM.INV(1-Eu_g_konfidensniveau,0,1)-Eu_tabel_g[[#This Row],[x base]],0,1,TRUE)</f>
        <v>1.5564977342734397E-6</v>
      </c>
      <c r="CI265" s="54">
        <f>1-_xlfn.NORM.DIST(_xlfn.NORM.INV(Eu_g_konfidensniveau,0,1)-Eu_tabel_g[[#This Row],[x base]],0,1,TRUE)</f>
        <v>0.91520350942874473</v>
      </c>
      <c r="CJ265" s="54">
        <f>_xlfn.NORM.DIST(_xlfn.NORM.INV((1-Eu_g_konfidensniveau)/2,0,1)-Eu_tabel_g[[#This Row],[x base]],0,1,TRUE)+1-_xlfn.NORM.DIST(_xlfn.NORM.INV(1-(1-Eu_g_konfidensniveau)/2,0,1)-Eu_tabel_g[[#This Row],[x base]],0,1,TRUE)</f>
        <v>0.85506432011602818</v>
      </c>
      <c r="CK265" s="54" t="e" cm="1">
        <f t="array" ref="CK265">IF($CK$3,INDEX(Eu_tabel_g[[#This Row],[Styrke venstre]:[Styrke tosidet]],CK$7),NA())</f>
        <v>#N/A</v>
      </c>
      <c r="CL265" s="99" t="e">
        <f>Eu_tabel_g[[#This Row],[Falsk positiv
Nulhypotese accepteres
Fejltype 1]]</f>
        <v>#N/A</v>
      </c>
      <c r="CM265" s="99" t="e">
        <f>IF(CHOOSE(CK$7,Eu_tabel_g[[#This Row],[x base]]&gt;0,Eu_tabel_g[[#This Row],[x base]]&lt;0,Eu_tabel_g[[#This Row],[x base]]=0),Eu_tabel_g[[#This Row],[Styrke, aktiv]],NA())</f>
        <v>#N/A</v>
      </c>
      <c r="CN265" s="99" t="e">
        <f>IFERROR(IF($CK$3,Eu_tabel_g[[#This Row],[Styrke, aktiv]],NA()),NA())</f>
        <v>#N/A</v>
      </c>
      <c r="CO265" s="99" t="e">
        <f>IF(ISNA(Eu_tabel_g[[#This Row],[Sand negativ
Nulhypotese afvises
Korrekt]]),NA(),IF($CK$3,1,NA()))</f>
        <v>#N/A</v>
      </c>
      <c r="CP265" s="56" t="str" cm="1">
        <f t="array" ref="CP265">_xlfn.SWITCH(BS265,_xlfn.IFNA(CN$2,-99),CN$5,_xlfn.IFNA(CN$3,-99),CN$6,_xlfn.IFNA(CN$4,-99),CN$7,"")</f>
        <v/>
      </c>
      <c r="CT265" s="7">
        <f t="shared" si="380"/>
        <v>0.8</v>
      </c>
      <c r="CU265">
        <f>IF(ROW(Styrkeberegning_G[[#This Row],[X base venstre]])=ROW(Styrkeberegning_G[[#Headers],[X base venstre]])+1,CU$7/(CT$7/$B$67),CU264/(CT264/$B$67))</f>
        <v>-2.8015817870135784</v>
      </c>
      <c r="CV265">
        <f>Styrkeberegning_G[[#This Row],[X base venstre]]*-1</f>
        <v>2.8015817870135784</v>
      </c>
      <c r="DG265" s="139">
        <f t="shared" si="381"/>
        <v>255</v>
      </c>
      <c r="DH265" s="54">
        <f t="shared" si="382"/>
        <v>256</v>
      </c>
      <c r="DI265" s="139">
        <f t="shared" si="383"/>
        <v>30.921921050988946</v>
      </c>
      <c r="DJ265" s="139" t="e">
        <f t="shared" si="384"/>
        <v>#N/A</v>
      </c>
      <c r="DK265" s="139" t="e">
        <f t="shared" si="385"/>
        <v>#N/A</v>
      </c>
      <c r="DL265" s="139">
        <f t="shared" si="386"/>
        <v>4.1406404236711146E-4</v>
      </c>
      <c r="DM265" s="139" t="e">
        <f t="shared" si="387"/>
        <v>#N/A</v>
      </c>
      <c r="DN265" s="139" t="b">
        <f t="shared" si="388"/>
        <v>0</v>
      </c>
      <c r="DO265" s="139" t="b">
        <f t="shared" si="389"/>
        <v>1</v>
      </c>
      <c r="DP265" s="139" t="b">
        <f t="shared" si="390"/>
        <v>1</v>
      </c>
      <c r="DQ265" s="139" t="b">
        <f t="shared" si="391"/>
        <v>0</v>
      </c>
      <c r="DR265" s="139">
        <f t="shared" si="392"/>
        <v>4.1406404236711146E-4</v>
      </c>
      <c r="DS265" s="139">
        <f t="shared" si="393"/>
        <v>4.1406404236711146E-4</v>
      </c>
      <c r="DT265" s="139" t="e">
        <f t="shared" si="394"/>
        <v>#N/A</v>
      </c>
      <c r="DU265" s="140" t="str">
        <f t="shared" si="395"/>
        <v/>
      </c>
      <c r="DZ265" s="139">
        <f t="shared" si="396"/>
        <v>255</v>
      </c>
      <c r="EA265" s="54">
        <f t="shared" si="397"/>
        <v>256</v>
      </c>
      <c r="EB265" s="139">
        <f t="shared" si="398"/>
        <v>3.0183664385825155</v>
      </c>
      <c r="EC265" s="139">
        <f t="shared" si="399"/>
        <v>4.1935547655993438E-3</v>
      </c>
      <c r="ED265" s="139" t="e">
        <f t="shared" si="400"/>
        <v>#N/A</v>
      </c>
      <c r="EE265" s="139" t="e">
        <f t="shared" si="401"/>
        <v>#N/A</v>
      </c>
      <c r="EF265" s="139" t="e">
        <f t="shared" si="402"/>
        <v>#N/A</v>
      </c>
      <c r="EG265" s="139" t="b">
        <f t="shared" si="403"/>
        <v>0</v>
      </c>
      <c r="EH265" s="139" t="b">
        <f t="shared" si="404"/>
        <v>1</v>
      </c>
      <c r="EI265" s="139" t="b">
        <f t="shared" si="405"/>
        <v>1</v>
      </c>
      <c r="EJ265" s="139" t="b">
        <f t="shared" si="406"/>
        <v>0</v>
      </c>
      <c r="EK265" s="139">
        <f t="shared" si="407"/>
        <v>4.1935547655993438E-3</v>
      </c>
      <c r="EL265" s="139">
        <f t="shared" si="408"/>
        <v>4.1935547655993438E-3</v>
      </c>
      <c r="EM265" s="139" t="e">
        <f t="shared" si="409"/>
        <v>#N/A</v>
      </c>
      <c r="EN265" s="140" t="str">
        <f t="shared" si="410"/>
        <v/>
      </c>
      <c r="EO26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65"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65"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65" s="54" t="e" cm="1">
        <f t="array" ref="ER265">IF($CK$3,INDEX(Eu_tabel_a[[#This Row],[Styrke venstre]:[Styrke tosidet]],ER$7),NA())</f>
        <v>#N/A</v>
      </c>
      <c r="ES265" s="54" t="e">
        <f>IF(ER$3,IF(CHOOSE(ER$7,Eu_tabel_a[[#This Row],[x base]]&gt;0,Eu_tabel_a[[#This Row],[x base]]&lt;0,Eu_tabel_a[[#This Row],[x base]]=0),1,NA()),NA())</f>
        <v>#N/A</v>
      </c>
      <c r="ET265" s="54" t="e">
        <f>IF(CHOOSE(ER$7,Eu_tabel_a[[#This Row],[x base]]&gt;0,Eu_tabel_a[[#This Row],[x base]]&lt;0,Eu_tabel_a[[#This Row],[x base]]=0),Eu_tabel_a[[#This Row],[Styrke, aktiv]],NA())</f>
        <v>#N/A</v>
      </c>
      <c r="EU265" s="54" t="e">
        <f>IFERROR(IF($ER$3,Eu_tabel_a[[#This Row],[Styrke, aktiv]],NA()),NA())</f>
        <v>#N/A</v>
      </c>
      <c r="EV265" s="54" t="e">
        <f>IF(ISNA(Eu_tabel_a[[#This Row],[Sand negativ
Nulhypotese afvises
Korrekt]]),NA(),IF(ER$3,1,NA()))</f>
        <v>#N/A</v>
      </c>
      <c r="EW265" s="55" t="str" cm="1">
        <f t="array" ref="EW265">IFERROR(_xlfn.SWITCH(Eu_tabel_a[[#This Row],[Indeks]],_xlfn.IFNA(EU$2,-99),EU$5,_xlfn.IFNA(EU$3,-99),EU$6,_xlfn.IFNA(EU$4,-99),EU$7,""),"")</f>
        <v/>
      </c>
      <c r="EX265" s="54">
        <f>Eu_tabel_a[[#This Row],[x base]]*SQRT(Eu_a_h0_x*(1-Eu_a_h0_x)/Eu_a_n_x)+Eu_a_h0_x</f>
        <v>0</v>
      </c>
      <c r="FC265" s="161" t="e">
        <f t="shared" si="459"/>
        <v>#N/A</v>
      </c>
      <c r="FD265" s="169" t="e">
        <f t="shared" si="442"/>
        <v>#DIV/0!</v>
      </c>
      <c r="FE265" s="7" t="e">
        <f t="shared" si="453"/>
        <v>#DIV/0!</v>
      </c>
      <c r="FF265" t="e">
        <f t="shared" si="443"/>
        <v>#DIV/0!</v>
      </c>
      <c r="FG265" s="8" t="e">
        <f t="shared" si="444"/>
        <v>#DIV/0!</v>
      </c>
      <c r="FH265" s="8" t="e">
        <f t="shared" si="445"/>
        <v>#DIV/0!</v>
      </c>
      <c r="FI265" s="168" t="e">
        <f t="shared" si="446"/>
        <v>#DIV/0!</v>
      </c>
      <c r="FJ265" s="161" t="e">
        <f t="shared" ca="1" si="454"/>
        <v>#N/A</v>
      </c>
      <c r="FK265" s="169" t="e" vm="3">
        <f t="shared" ca="1" si="460"/>
        <v>#VALUE!</v>
      </c>
      <c r="FL265" s="7" t="e" vm="3">
        <f t="shared" ca="1" si="455"/>
        <v>#VALUE!</v>
      </c>
      <c r="FM265" t="e" vm="3">
        <f t="shared" ca="1" si="449"/>
        <v>#VALUE!</v>
      </c>
      <c r="FN265" s="8" t="e" vm="3">
        <f t="shared" ca="1" si="450"/>
        <v>#VALUE!</v>
      </c>
      <c r="FO265" s="8" t="e" vm="3">
        <f t="shared" ca="1" si="451"/>
        <v>#VALUE!</v>
      </c>
      <c r="FP265" s="168" t="e" vm="3">
        <f t="shared" ca="1" si="452"/>
        <v>#VALUE!</v>
      </c>
      <c r="FQ265" s="161" t="e">
        <f t="shared" si="456"/>
        <v>#N/A</v>
      </c>
      <c r="FR265" s="169" t="e">
        <f t="shared" si="461"/>
        <v>#N/A</v>
      </c>
      <c r="FS265" s="7" t="e">
        <f t="shared" si="457"/>
        <v>#N/A</v>
      </c>
      <c r="FT265" t="e">
        <f t="shared" si="462"/>
        <v>#N/A</v>
      </c>
      <c r="FU265" s="8" t="e">
        <f t="shared" si="463"/>
        <v>#N/A</v>
      </c>
      <c r="FV265" s="8" t="e">
        <f t="shared" si="464"/>
        <v>#N/A</v>
      </c>
      <c r="FW265" s="168" t="e">
        <f t="shared" si="465"/>
        <v>#N/A</v>
      </c>
      <c r="FX265" s="161" t="e">
        <f t="shared" si="466"/>
        <v>#N/A</v>
      </c>
      <c r="FY265" s="169" t="e">
        <f t="shared" si="467"/>
        <v>#N/A</v>
      </c>
      <c r="FZ265" s="7" t="e">
        <f t="shared" si="458"/>
        <v>#N/A</v>
      </c>
      <c r="GA265" t="e">
        <f t="shared" si="468"/>
        <v>#N/A</v>
      </c>
      <c r="GB265" s="8" t="e">
        <f t="shared" si="469"/>
        <v>#N/A</v>
      </c>
      <c r="GC265" s="8" t="e">
        <f t="shared" si="470"/>
        <v>#N/A</v>
      </c>
      <c r="GD265" s="168" t="e">
        <f t="shared" si="471"/>
        <v>#N/A</v>
      </c>
      <c r="GE265" s="168"/>
      <c r="GF265" s="168"/>
      <c r="GI265" s="139">
        <f t="shared" si="411"/>
        <v>255</v>
      </c>
      <c r="GJ265" s="54">
        <f t="shared" si="412"/>
        <v>256</v>
      </c>
      <c r="GK265" s="139">
        <f t="shared" si="413"/>
        <v>3.0183664385825155</v>
      </c>
      <c r="GL265" s="139">
        <f t="shared" si="414"/>
        <v>4.1935547655993438E-3</v>
      </c>
      <c r="GM265" s="139" t="e">
        <f t="shared" si="415"/>
        <v>#N/A</v>
      </c>
      <c r="GN265" s="139" t="e">
        <f t="shared" si="416"/>
        <v>#N/A</v>
      </c>
      <c r="GO265" s="139" t="e">
        <f t="shared" si="417"/>
        <v>#N/A</v>
      </c>
      <c r="GP265" s="139" t="b">
        <f t="shared" si="418"/>
        <v>0</v>
      </c>
      <c r="GQ265" s="139" t="b">
        <f t="shared" si="419"/>
        <v>1</v>
      </c>
      <c r="GR265" s="139" t="b">
        <f t="shared" si="420"/>
        <v>1</v>
      </c>
      <c r="GS265" s="139" t="b">
        <f t="shared" si="421"/>
        <v>0</v>
      </c>
      <c r="GT265" s="139">
        <f t="shared" si="422"/>
        <v>4.1935547655993438E-3</v>
      </c>
      <c r="GU265" s="139">
        <f t="shared" si="423"/>
        <v>4.1935547655993438E-3</v>
      </c>
      <c r="GV265" s="139" t="e">
        <f t="shared" si="424"/>
        <v>#N/A</v>
      </c>
      <c r="GW265" s="140" t="str">
        <f t="shared" si="425"/>
        <v/>
      </c>
      <c r="HC265" s="139">
        <f t="shared" si="426"/>
        <v>255</v>
      </c>
      <c r="HD265" s="54">
        <f t="shared" si="427"/>
        <v>256</v>
      </c>
      <c r="HE265" s="139">
        <f t="shared" si="428"/>
        <v>4.6740038233211632</v>
      </c>
      <c r="HF265" s="139" t="e">
        <f t="shared" si="429"/>
        <v>#N/A</v>
      </c>
      <c r="HG265" s="139">
        <f t="shared" si="430"/>
        <v>1.3350024886192543E-3</v>
      </c>
      <c r="HH265" s="139" t="e">
        <f t="shared" si="431"/>
        <v>#N/A</v>
      </c>
      <c r="HI265" s="139" t="e">
        <f t="shared" si="432"/>
        <v>#N/A</v>
      </c>
      <c r="HJ265" s="139" t="b">
        <f t="shared" si="433"/>
        <v>0</v>
      </c>
      <c r="HK265" s="139" t="b">
        <f t="shared" si="434"/>
        <v>1</v>
      </c>
      <c r="HL265" s="139" t="b">
        <f t="shared" si="435"/>
        <v>1</v>
      </c>
      <c r="HM265" s="139" t="b">
        <f t="shared" si="436"/>
        <v>0</v>
      </c>
      <c r="HN265" s="139">
        <f t="shared" si="437"/>
        <v>1.3350024886192543E-3</v>
      </c>
      <c r="HO265" s="139" t="e">
        <f t="shared" si="438"/>
        <v>#N/A</v>
      </c>
      <c r="HP265" s="139">
        <f t="shared" si="439"/>
        <v>1.3350024886192543E-3</v>
      </c>
      <c r="HQ265" s="140" t="str">
        <f t="shared" si="440"/>
        <v/>
      </c>
    </row>
    <row r="266" spans="71:225" x14ac:dyDescent="0.2">
      <c r="BS266" s="139">
        <f t="shared" si="367"/>
        <v>256</v>
      </c>
      <c r="BT266" s="54">
        <f>Eu_tabel_g[[#This Row],[Indeks]]+1</f>
        <v>257</v>
      </c>
      <c r="BU266" s="139">
        <f t="shared" si="368"/>
        <v>3.0423217277776144</v>
      </c>
      <c r="BV266" s="139">
        <f t="shared" ref="BV266:BV268" si="472">IF(BV$3,_xlfn.NORM.DIST(BU266,BV$5,BV$7,FALSE),NA())</f>
        <v>3.8999198362770038E-3</v>
      </c>
      <c r="BW266" s="139" t="e">
        <f t="shared" si="370"/>
        <v>#N/A</v>
      </c>
      <c r="BX266" s="139" t="e">
        <f t="shared" si="371"/>
        <v>#N/A</v>
      </c>
      <c r="BY266" s="139" t="e">
        <f t="shared" si="372"/>
        <v>#N/A</v>
      </c>
      <c r="BZ266" s="139" t="b">
        <f t="shared" si="373"/>
        <v>0</v>
      </c>
      <c r="CA266" s="139" t="b">
        <f t="shared" ref="CA266:CA268" si="473">BU266&gt;BZ$3</f>
        <v>1</v>
      </c>
      <c r="CB266" s="139" t="b">
        <f t="shared" si="375"/>
        <v>1</v>
      </c>
      <c r="CC266" s="139" t="b">
        <f t="shared" ref="CC266:CC268" si="474">AND(BU266&gt;CB$3,BU266&lt;CB$5)</f>
        <v>0</v>
      </c>
      <c r="CD266" s="139">
        <f t="shared" si="448"/>
        <v>3.8999198362770038E-3</v>
      </c>
      <c r="CE266" s="139">
        <f t="shared" ref="CE266:CE268" si="475">IF(INDEX(BZ266:CC266,CD$7),CD266,NA())</f>
        <v>3.8999198362770038E-3</v>
      </c>
      <c r="CF266" s="139" t="e">
        <f t="shared" ref="CF266:CF268" si="476">IF(INDEX(BZ266:CC266,CE$7),CD266,NA())</f>
        <v>#N/A</v>
      </c>
      <c r="CG266" s="140" t="str">
        <f t="shared" si="379"/>
        <v/>
      </c>
      <c r="CH266" s="54">
        <f>_xlfn.NORM.DIST(_xlfn.NORM.INV(1-Eu_g_konfidensniveau,0,1)-Eu_tabel_g[[#This Row],[x base]],0,1,TRUE)</f>
        <v>1.3850080688862689E-6</v>
      </c>
      <c r="CI266" s="54">
        <f>1-_xlfn.NORM.DIST(_xlfn.NORM.INV(Eu_g_konfidensniveau,0,1)-Eu_tabel_g[[#This Row],[x base]],0,1,TRUE)</f>
        <v>0.91886357365027505</v>
      </c>
      <c r="CJ266" s="54">
        <f>_xlfn.NORM.DIST(_xlfn.NORM.INV((1-Eu_g_konfidensniveau)/2,0,1)-Eu_tabel_g[[#This Row],[x base]],0,1,TRUE)+1-_xlfn.NORM.DIST(_xlfn.NORM.INV(1-(1-Eu_g_konfidensniveau)/2,0,1)-Eu_tabel_g[[#This Row],[x base]],0,1,TRUE)</f>
        <v>0.8604534846774361</v>
      </c>
      <c r="CK266" s="54" t="e" cm="1">
        <f t="array" ref="CK266">IF($CK$3,INDEX(Eu_tabel_g[[#This Row],[Styrke venstre]:[Styrke tosidet]],CK$7),NA())</f>
        <v>#N/A</v>
      </c>
      <c r="CL266" s="99" t="e">
        <f>Eu_tabel_g[[#This Row],[Falsk positiv
Nulhypotese accepteres
Fejltype 1]]</f>
        <v>#N/A</v>
      </c>
      <c r="CM266" s="99" t="e">
        <f>IF(CHOOSE(CK$7,Eu_tabel_g[[#This Row],[x base]]&gt;0,Eu_tabel_g[[#This Row],[x base]]&lt;0,Eu_tabel_g[[#This Row],[x base]]=0),Eu_tabel_g[[#This Row],[Styrke, aktiv]],NA())</f>
        <v>#N/A</v>
      </c>
      <c r="CN266" s="99" t="e">
        <f>IFERROR(IF($CK$3,Eu_tabel_g[[#This Row],[Styrke, aktiv]],NA()),NA())</f>
        <v>#N/A</v>
      </c>
      <c r="CO266" s="99" t="e">
        <f>IF(ISNA(Eu_tabel_g[[#This Row],[Sand negativ
Nulhypotese afvises
Korrekt]]),NA(),IF($CK$3,1,NA()))</f>
        <v>#N/A</v>
      </c>
      <c r="CP266" s="56" t="str" cm="1">
        <f t="array" ref="CP266">_xlfn.SWITCH(BS266,_xlfn.IFNA(CN$2,-99),CN$5,_xlfn.IFNA(CN$3,-99),CN$6,_xlfn.IFNA(CN$4,-99),CN$7,"")</f>
        <v/>
      </c>
      <c r="CT266" s="7">
        <f t="shared" ref="CT266:CT268" si="477">_xlfn.NORM.DIST(_xlfn.NORM.INV((1-Eu_g_konfidensniveau)/2,0,1)-CU266,0,1,TRUE)+1-_xlfn.NORM.DIST(_xlfn.NORM.INV(1-(1-Eu_g_konfidensniveau)/2,0,1)-CU266,0,1,TRUE)</f>
        <v>0.8</v>
      </c>
      <c r="CU266">
        <f>IF(ROW(Styrkeberegning_G[[#This Row],[X base venstre]])=ROW(Styrkeberegning_G[[#Headers],[X base venstre]])+1,CU$7/(CT$7/$B$67),CU265/(CT265/$B$67))</f>
        <v>-2.8015817870135784</v>
      </c>
      <c r="CV266">
        <f>Styrkeberegning_G[[#This Row],[X base venstre]]*-1</f>
        <v>2.8015817870135784</v>
      </c>
      <c r="DG266" s="139">
        <f t="shared" si="381"/>
        <v>256</v>
      </c>
      <c r="DH266" s="54">
        <f t="shared" ref="DH266:DH268" si="478">DG266+1</f>
        <v>257</v>
      </c>
      <c r="DI266" s="139">
        <f t="shared" si="383"/>
        <v>31.035991907405947</v>
      </c>
      <c r="DJ266" s="139" t="e">
        <f t="shared" ref="DJ266:DJ268" si="479">IF(DJ$3,_xlfn.NORM.DIST(DI266,DJ$5,DJ$7,FALSE),NA())</f>
        <v>#N/A</v>
      </c>
      <c r="DK266" s="139" t="e">
        <f t="shared" si="385"/>
        <v>#N/A</v>
      </c>
      <c r="DL266" s="139">
        <f t="shared" si="386"/>
        <v>3.9764321751416568E-4</v>
      </c>
      <c r="DM266" s="139" t="e">
        <f t="shared" si="387"/>
        <v>#N/A</v>
      </c>
      <c r="DN266" s="139" t="b">
        <f t="shared" si="388"/>
        <v>0</v>
      </c>
      <c r="DO266" s="139" t="b">
        <f t="shared" ref="DO266:DO268" si="480">DI266&gt;DN$3</f>
        <v>1</v>
      </c>
      <c r="DP266" s="139" t="b">
        <f t="shared" si="390"/>
        <v>1</v>
      </c>
      <c r="DQ266" s="139" t="b">
        <f t="shared" ref="DQ266:DQ268" si="481">AND(DI266&gt;DP$3,DI266&lt;DP$5)</f>
        <v>0</v>
      </c>
      <c r="DR266" s="139">
        <f t="shared" ref="DR266:DR268" si="482">_xlfn.AGGREGATE(9,6,DJ266:DM266)</f>
        <v>3.9764321751416568E-4</v>
      </c>
      <c r="DS266" s="139">
        <f t="shared" ref="DS266:DS268" si="483">IF(INDEX(DN266:DQ266,DR$7),DR266,NA())</f>
        <v>3.9764321751416568E-4</v>
      </c>
      <c r="DT266" s="139" t="e">
        <f t="shared" ref="DT266:DT268" si="484">IF(INDEX(DN266:DQ266,DS$7),DR266,NA())</f>
        <v>#N/A</v>
      </c>
      <c r="DU266" s="140" t="str">
        <f t="shared" si="395"/>
        <v/>
      </c>
      <c r="DZ266" s="139">
        <f t="shared" si="396"/>
        <v>256</v>
      </c>
      <c r="EA266" s="54">
        <f t="shared" ref="EA266:EA268" si="485">DZ266+1</f>
        <v>257</v>
      </c>
      <c r="EB266" s="139">
        <f t="shared" si="398"/>
        <v>3.0423217277776144</v>
      </c>
      <c r="EC266" s="139">
        <f t="shared" ref="EC266:EC268" si="486">IF(EC$3,_xlfn.NORM.DIST(EB266,EC$5,EC$7,FALSE),NA())</f>
        <v>3.8999198362770038E-3</v>
      </c>
      <c r="ED266" s="139" t="e">
        <f t="shared" si="400"/>
        <v>#N/A</v>
      </c>
      <c r="EE266" s="139" t="e">
        <f t="shared" si="401"/>
        <v>#N/A</v>
      </c>
      <c r="EF266" s="139" t="e">
        <f t="shared" si="402"/>
        <v>#N/A</v>
      </c>
      <c r="EG266" s="139" t="b">
        <f t="shared" si="403"/>
        <v>0</v>
      </c>
      <c r="EH266" s="139" t="b">
        <f t="shared" ref="EH266:EH268" si="487">EB266&gt;EG$3</f>
        <v>1</v>
      </c>
      <c r="EI266" s="139" t="b">
        <f t="shared" si="405"/>
        <v>1</v>
      </c>
      <c r="EJ266" s="139" t="b">
        <f t="shared" ref="EJ266:EJ268" si="488">AND(EB266&gt;EI$3,EB266&lt;EI$5)</f>
        <v>0</v>
      </c>
      <c r="EK266" s="139">
        <f t="shared" ref="EK266:EK268" si="489">_xlfn.AGGREGATE(9,6,EC266:EF266)</f>
        <v>3.8999198362770038E-3</v>
      </c>
      <c r="EL266" s="139">
        <f t="shared" ref="EL266:EL268" si="490">IF(INDEX(EG266:EJ266,EK$7),EK266,NA())</f>
        <v>3.8999198362770038E-3</v>
      </c>
      <c r="EM266" s="139" t="e">
        <f t="shared" ref="EM266:EM268" si="491">IF(INDEX(EG266:EJ266,EL$7),EK266,NA())</f>
        <v>#N/A</v>
      </c>
      <c r="EN266" s="140" t="str">
        <f t="shared" si="410"/>
        <v/>
      </c>
      <c r="EO26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66"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66"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66" s="54" t="e" cm="1">
        <f t="array" ref="ER266">IF($CK$3,INDEX(Eu_tabel_a[[#This Row],[Styrke venstre]:[Styrke tosidet]],ER$7),NA())</f>
        <v>#N/A</v>
      </c>
      <c r="ES266" s="54" t="e">
        <f>IF(ER$3,IF(CHOOSE(ER$7,Eu_tabel_a[[#This Row],[x base]]&gt;0,Eu_tabel_a[[#This Row],[x base]]&lt;0,Eu_tabel_a[[#This Row],[x base]]=0),1,NA()),NA())</f>
        <v>#N/A</v>
      </c>
      <c r="ET266" s="54" t="e">
        <f>IF(CHOOSE(ER$7,Eu_tabel_a[[#This Row],[x base]]&gt;0,Eu_tabel_a[[#This Row],[x base]]&lt;0,Eu_tabel_a[[#This Row],[x base]]=0),Eu_tabel_a[[#This Row],[Styrke, aktiv]],NA())</f>
        <v>#N/A</v>
      </c>
      <c r="EU266" s="54" t="e">
        <f>IFERROR(IF($ER$3,Eu_tabel_a[[#This Row],[Styrke, aktiv]],NA()),NA())</f>
        <v>#N/A</v>
      </c>
      <c r="EV266" s="54" t="e">
        <f>IF(ISNA(Eu_tabel_a[[#This Row],[Sand negativ
Nulhypotese afvises
Korrekt]]),NA(),IF(ER$3,1,NA()))</f>
        <v>#N/A</v>
      </c>
      <c r="EW266" s="55" t="str" cm="1">
        <f t="array" ref="EW266">IFERROR(_xlfn.SWITCH(Eu_tabel_a[[#This Row],[Indeks]],_xlfn.IFNA(EU$2,-99),EU$5,_xlfn.IFNA(EU$3,-99),EU$6,_xlfn.IFNA(EU$4,-99),EU$7,""),"")</f>
        <v/>
      </c>
      <c r="EX266" s="54">
        <f>Eu_tabel_a[[#This Row],[x base]]*SQRT(Eu_a_h0_x*(1-Eu_a_h0_x)/Eu_a_n_x)+Eu_a_h0_x</f>
        <v>0</v>
      </c>
      <c r="FC266" s="161" t="e">
        <f t="shared" si="459"/>
        <v>#N/A</v>
      </c>
      <c r="FD266" s="169" t="e">
        <f t="shared" si="442"/>
        <v>#DIV/0!</v>
      </c>
      <c r="FE266" s="7" t="e">
        <f t="shared" si="453"/>
        <v>#DIV/0!</v>
      </c>
      <c r="FF266" t="e">
        <f t="shared" si="443"/>
        <v>#DIV/0!</v>
      </c>
      <c r="FG266" s="8" t="e">
        <f t="shared" si="444"/>
        <v>#DIV/0!</v>
      </c>
      <c r="FH266" s="8" t="e">
        <f t="shared" si="445"/>
        <v>#DIV/0!</v>
      </c>
      <c r="FI266" s="168" t="e">
        <f t="shared" si="446"/>
        <v>#DIV/0!</v>
      </c>
      <c r="FJ266" s="161" t="e">
        <f t="shared" ca="1" si="454"/>
        <v>#N/A</v>
      </c>
      <c r="FK266" s="169" t="e" vm="3">
        <f t="shared" ca="1" si="460"/>
        <v>#VALUE!</v>
      </c>
      <c r="FL266" s="7" t="e" vm="3">
        <f t="shared" ca="1" si="455"/>
        <v>#VALUE!</v>
      </c>
      <c r="FM266" t="e" vm="3">
        <f t="shared" ca="1" si="449"/>
        <v>#VALUE!</v>
      </c>
      <c r="FN266" s="8" t="e" vm="3">
        <f t="shared" ca="1" si="450"/>
        <v>#VALUE!</v>
      </c>
      <c r="FO266" s="8" t="e" vm="3">
        <f t="shared" ca="1" si="451"/>
        <v>#VALUE!</v>
      </c>
      <c r="FP266" s="168" t="e" vm="3">
        <f t="shared" ca="1" si="452"/>
        <v>#VALUE!</v>
      </c>
      <c r="FQ266" s="161" t="e">
        <f t="shared" si="456"/>
        <v>#N/A</v>
      </c>
      <c r="FR266" s="169" t="e">
        <f t="shared" si="461"/>
        <v>#N/A</v>
      </c>
      <c r="FS266" s="7" t="e">
        <f t="shared" si="457"/>
        <v>#N/A</v>
      </c>
      <c r="FT266" t="e">
        <f t="shared" si="462"/>
        <v>#N/A</v>
      </c>
      <c r="FU266" s="8" t="e">
        <f t="shared" si="463"/>
        <v>#N/A</v>
      </c>
      <c r="FV266" s="8" t="e">
        <f t="shared" si="464"/>
        <v>#N/A</v>
      </c>
      <c r="FW266" s="168" t="e">
        <f t="shared" si="465"/>
        <v>#N/A</v>
      </c>
      <c r="FX266" s="161" t="e">
        <f t="shared" si="466"/>
        <v>#N/A</v>
      </c>
      <c r="FY266" s="169" t="e">
        <f t="shared" si="467"/>
        <v>#N/A</v>
      </c>
      <c r="FZ266" s="7" t="e">
        <f t="shared" si="458"/>
        <v>#N/A</v>
      </c>
      <c r="GA266" t="e">
        <f t="shared" si="468"/>
        <v>#N/A</v>
      </c>
      <c r="GB266" s="8" t="e">
        <f t="shared" si="469"/>
        <v>#N/A</v>
      </c>
      <c r="GC266" s="8" t="e">
        <f t="shared" si="470"/>
        <v>#N/A</v>
      </c>
      <c r="GD266" s="168" t="e">
        <f t="shared" si="471"/>
        <v>#N/A</v>
      </c>
      <c r="GE266" s="168"/>
      <c r="GF266" s="168"/>
      <c r="GI266" s="139">
        <f t="shared" si="411"/>
        <v>256</v>
      </c>
      <c r="GJ266" s="54">
        <f t="shared" ref="GJ266:GJ268" si="492">GI266+1</f>
        <v>257</v>
      </c>
      <c r="GK266" s="139">
        <f t="shared" si="413"/>
        <v>3.0423217277776144</v>
      </c>
      <c r="GL266" s="139">
        <f t="shared" ref="GL266:GL268" si="493">IF(GL$3,_xlfn.NORM.DIST(GK266,GL$5,GL$7,FALSE),NA())</f>
        <v>3.8999198362770038E-3</v>
      </c>
      <c r="GM266" s="139" t="e">
        <f t="shared" si="415"/>
        <v>#N/A</v>
      </c>
      <c r="GN266" s="139" t="e">
        <f t="shared" si="416"/>
        <v>#N/A</v>
      </c>
      <c r="GO266" s="139" t="e">
        <f t="shared" si="417"/>
        <v>#N/A</v>
      </c>
      <c r="GP266" s="139" t="b">
        <f t="shared" si="418"/>
        <v>0</v>
      </c>
      <c r="GQ266" s="139" t="b">
        <f t="shared" ref="GQ266:GQ268" si="494">GK266&gt;GP$3</f>
        <v>1</v>
      </c>
      <c r="GR266" s="139" t="b">
        <f t="shared" si="420"/>
        <v>1</v>
      </c>
      <c r="GS266" s="139" t="b">
        <f t="shared" ref="GS266:GS268" si="495">AND(GK266&gt;GR$3,GK266&lt;GR$5)</f>
        <v>0</v>
      </c>
      <c r="GT266" s="139">
        <f t="shared" ref="GT266:GT268" si="496">_xlfn.AGGREGATE(9,6,GL266:GO266)</f>
        <v>3.8999198362770038E-3</v>
      </c>
      <c r="GU266" s="139">
        <f t="shared" ref="GU266:GU268" si="497">IF(INDEX(GP266:GS266,GT$7),GT266,NA())</f>
        <v>3.8999198362770038E-3</v>
      </c>
      <c r="GV266" s="139" t="e">
        <f t="shared" ref="GV266:GV268" si="498">IF(INDEX(GP266:GS266,GU$7),GT266,NA())</f>
        <v>#N/A</v>
      </c>
      <c r="GW266" s="140" t="str">
        <f t="shared" si="425"/>
        <v/>
      </c>
      <c r="HC266" s="139">
        <f t="shared" si="426"/>
        <v>256</v>
      </c>
      <c r="HD266" s="54">
        <f t="shared" ref="HD266:HD268" si="499">HC266+1</f>
        <v>257</v>
      </c>
      <c r="HE266" s="139">
        <f t="shared" si="428"/>
        <v>4.7110990917602198</v>
      </c>
      <c r="HF266" s="139" t="e">
        <f t="shared" ref="HF266:HF268" si="500">IF(HF$3,_xlfn.NORM.DIST(HE266,HF$5,HF$7,FALSE),NA())</f>
        <v>#N/A</v>
      </c>
      <c r="HG266" s="139">
        <f t="shared" si="430"/>
        <v>1.2724530798355995E-3</v>
      </c>
      <c r="HH266" s="139" t="e">
        <f t="shared" si="431"/>
        <v>#N/A</v>
      </c>
      <c r="HI266" s="139" t="e">
        <f t="shared" si="432"/>
        <v>#N/A</v>
      </c>
      <c r="HJ266" s="139" t="b">
        <f t="shared" si="433"/>
        <v>0</v>
      </c>
      <c r="HK266" s="139" t="b">
        <f t="shared" ref="HK266:HK268" si="501">HE266&gt;HJ$3</f>
        <v>1</v>
      </c>
      <c r="HL266" s="139" t="b">
        <f t="shared" si="435"/>
        <v>1</v>
      </c>
      <c r="HM266" s="139" t="b">
        <f t="shared" ref="HM266:HM268" si="502">AND(HE266&gt;HL$3,HE266&lt;HL$5)</f>
        <v>0</v>
      </c>
      <c r="HN266" s="139">
        <f t="shared" ref="HN266:HN268" si="503">_xlfn.AGGREGATE(9,6,HF266:HI266)</f>
        <v>1.2724530798355995E-3</v>
      </c>
      <c r="HO266" s="139" t="e">
        <f t="shared" ref="HO266:HO268" si="504">IF(INDEX(HJ266:HM266,HN$7),HN266,NA())</f>
        <v>#N/A</v>
      </c>
      <c r="HP266" s="139">
        <f t="shared" ref="HP266:HP268" si="505">IF(INDEX(HJ266:HM266,HO$7),HN266,NA())</f>
        <v>1.2724530798355995E-3</v>
      </c>
      <c r="HQ266" s="140" t="str">
        <f t="shared" si="440"/>
        <v/>
      </c>
    </row>
    <row r="267" spans="71:225" x14ac:dyDescent="0.2">
      <c r="BS267" s="139">
        <f t="shared" si="367"/>
        <v>257</v>
      </c>
      <c r="BT267" s="54">
        <f>Eu_tabel_g[[#This Row],[Indeks]]+1</f>
        <v>258</v>
      </c>
      <c r="BU267" s="139">
        <f t="shared" si="368"/>
        <v>3.0662770169727134</v>
      </c>
      <c r="BV267" s="139">
        <f t="shared" si="472"/>
        <v>3.6247646909920261E-3</v>
      </c>
      <c r="BW267" s="139" t="e">
        <f t="shared" si="370"/>
        <v>#N/A</v>
      </c>
      <c r="BX267" s="139" t="e">
        <f t="shared" si="371"/>
        <v>#N/A</v>
      </c>
      <c r="BY267" s="139" t="e">
        <f t="shared" si="372"/>
        <v>#N/A</v>
      </c>
      <c r="BZ267" s="139" t="b">
        <f t="shared" si="373"/>
        <v>0</v>
      </c>
      <c r="CA267" s="139" t="b">
        <f t="shared" si="473"/>
        <v>1</v>
      </c>
      <c r="CB267" s="139" t="b">
        <f t="shared" si="375"/>
        <v>1</v>
      </c>
      <c r="CC267" s="139" t="b">
        <f t="shared" si="474"/>
        <v>0</v>
      </c>
      <c r="CD267" s="139">
        <f t="shared" ref="CD267:CD268" si="506">_xlfn.AGGREGATE(9,6,BV267:BY267)</f>
        <v>3.6247646909920261E-3</v>
      </c>
      <c r="CE267" s="139">
        <f t="shared" si="475"/>
        <v>3.6247646909920261E-3</v>
      </c>
      <c r="CF267" s="139" t="e">
        <f t="shared" si="476"/>
        <v>#N/A</v>
      </c>
      <c r="CG267" s="140" t="str">
        <f t="shared" si="379"/>
        <v/>
      </c>
      <c r="CH267" s="54">
        <f>_xlfn.NORM.DIST(_xlfn.NORM.INV(1-Eu_g_konfidensniveau,0,1)-Eu_tabel_g[[#This Row],[x base]],0,1,TRUE)</f>
        <v>1.2317312237274667E-6</v>
      </c>
      <c r="CI267" s="54">
        <f>1-_xlfn.NORM.DIST(_xlfn.NORM.INV(Eu_g_konfidensniveau,0,1)-Eu_tabel_g[[#This Row],[x base]],0,1,TRUE)</f>
        <v>0.92240314468252083</v>
      </c>
      <c r="CJ267" s="54">
        <f>_xlfn.NORM.DIST(_xlfn.NORM.INV((1-Eu_g_konfidensniveau)/2,0,1)-Eu_tabel_g[[#This Row],[x base]],0,1,TRUE)+1-_xlfn.NORM.DIST(_xlfn.NORM.INV(1-(1-Eu_g_konfidensniveau)/2,0,1)-Eu_tabel_g[[#This Row],[x base]],0,1,TRUE)</f>
        <v>0.86570472365340967</v>
      </c>
      <c r="CK267" s="54" t="e" cm="1">
        <f t="array" ref="CK267">IF($CK$3,INDEX(Eu_tabel_g[[#This Row],[Styrke venstre]:[Styrke tosidet]],CK$7),NA())</f>
        <v>#N/A</v>
      </c>
      <c r="CL267" s="99" t="e">
        <f>Eu_tabel_g[[#This Row],[Falsk positiv
Nulhypotese accepteres
Fejltype 1]]</f>
        <v>#N/A</v>
      </c>
      <c r="CM267" s="99" t="e">
        <f>IF(CHOOSE(CK$7,Eu_tabel_g[[#This Row],[x base]]&gt;0,Eu_tabel_g[[#This Row],[x base]]&lt;0,Eu_tabel_g[[#This Row],[x base]]=0),Eu_tabel_g[[#This Row],[Styrke, aktiv]],NA())</f>
        <v>#N/A</v>
      </c>
      <c r="CN267" s="99" t="e">
        <f>IFERROR(IF($CK$3,Eu_tabel_g[[#This Row],[Styrke, aktiv]],NA()),NA())</f>
        <v>#N/A</v>
      </c>
      <c r="CO267" s="99" t="e">
        <f>IF(ISNA(Eu_tabel_g[[#This Row],[Sand negativ
Nulhypotese afvises
Korrekt]]),NA(),IF($CK$3,1,NA()))</f>
        <v>#N/A</v>
      </c>
      <c r="CP267" s="56" t="str" cm="1">
        <f t="array" ref="CP267">_xlfn.SWITCH(BS267,_xlfn.IFNA(CN$2,-99),CN$5,_xlfn.IFNA(CN$3,-99),CN$6,_xlfn.IFNA(CN$4,-99),CN$7,"")</f>
        <v/>
      </c>
      <c r="CT267" s="7">
        <f t="shared" si="477"/>
        <v>0.8</v>
      </c>
      <c r="CU267">
        <f>IF(ROW(Styrkeberegning_G[[#This Row],[X base venstre]])=ROW(Styrkeberegning_G[[#Headers],[X base venstre]])+1,CU$7/(CT$7/$B$67),CU266/(CT266/$B$67))</f>
        <v>-2.8015817870135784</v>
      </c>
      <c r="CV267">
        <f>Styrkeberegning_G[[#This Row],[X base venstre]]*-1</f>
        <v>2.8015817870135784</v>
      </c>
      <c r="DG267" s="139">
        <f t="shared" si="381"/>
        <v>257</v>
      </c>
      <c r="DH267" s="54">
        <f t="shared" si="478"/>
        <v>258</v>
      </c>
      <c r="DI267" s="139">
        <f t="shared" si="383"/>
        <v>31.150062763822948</v>
      </c>
      <c r="DJ267" s="139" t="e">
        <f t="shared" si="479"/>
        <v>#N/A</v>
      </c>
      <c r="DK267" s="139" t="e">
        <f t="shared" si="385"/>
        <v>#N/A</v>
      </c>
      <c r="DL267" s="139">
        <f t="shared" si="386"/>
        <v>3.8185039123086372E-4</v>
      </c>
      <c r="DM267" s="139" t="e">
        <f t="shared" si="387"/>
        <v>#N/A</v>
      </c>
      <c r="DN267" s="139" t="b">
        <f t="shared" si="388"/>
        <v>0</v>
      </c>
      <c r="DO267" s="139" t="b">
        <f t="shared" si="480"/>
        <v>1</v>
      </c>
      <c r="DP267" s="139" t="b">
        <f t="shared" si="390"/>
        <v>1</v>
      </c>
      <c r="DQ267" s="139" t="b">
        <f t="shared" si="481"/>
        <v>0</v>
      </c>
      <c r="DR267" s="139">
        <f t="shared" si="482"/>
        <v>3.8185039123086372E-4</v>
      </c>
      <c r="DS267" s="139">
        <f t="shared" si="483"/>
        <v>3.8185039123086372E-4</v>
      </c>
      <c r="DT267" s="139" t="e">
        <f t="shared" si="484"/>
        <v>#N/A</v>
      </c>
      <c r="DU267" s="140" t="str">
        <f t="shared" si="395"/>
        <v/>
      </c>
      <c r="DZ267" s="139">
        <f t="shared" si="396"/>
        <v>257</v>
      </c>
      <c r="EA267" s="54">
        <f t="shared" si="485"/>
        <v>258</v>
      </c>
      <c r="EB267" s="139">
        <f t="shared" si="398"/>
        <v>3.0662770169727134</v>
      </c>
      <c r="EC267" s="139">
        <f t="shared" si="486"/>
        <v>3.6247646909920261E-3</v>
      </c>
      <c r="ED267" s="139" t="e">
        <f t="shared" si="400"/>
        <v>#N/A</v>
      </c>
      <c r="EE267" s="139" t="e">
        <f t="shared" si="401"/>
        <v>#N/A</v>
      </c>
      <c r="EF267" s="139" t="e">
        <f t="shared" si="402"/>
        <v>#N/A</v>
      </c>
      <c r="EG267" s="139" t="b">
        <f t="shared" si="403"/>
        <v>0</v>
      </c>
      <c r="EH267" s="139" t="b">
        <f t="shared" si="487"/>
        <v>1</v>
      </c>
      <c r="EI267" s="139" t="b">
        <f t="shared" si="405"/>
        <v>1</v>
      </c>
      <c r="EJ267" s="139" t="b">
        <f t="shared" si="488"/>
        <v>0</v>
      </c>
      <c r="EK267" s="139">
        <f t="shared" si="489"/>
        <v>3.6247646909920261E-3</v>
      </c>
      <c r="EL267" s="139">
        <f t="shared" si="490"/>
        <v>3.6247646909920261E-3</v>
      </c>
      <c r="EM267" s="139" t="e">
        <f t="shared" si="491"/>
        <v>#N/A</v>
      </c>
      <c r="EN267" s="140" t="str">
        <f t="shared" si="410"/>
        <v/>
      </c>
      <c r="EO26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67"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67"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67" s="54" t="e" cm="1">
        <f t="array" ref="ER267">IF($CK$3,INDEX(Eu_tabel_a[[#This Row],[Styrke venstre]:[Styrke tosidet]],ER$7),NA())</f>
        <v>#N/A</v>
      </c>
      <c r="ES267" s="54" t="e">
        <f>IF(ER$3,IF(CHOOSE(ER$7,Eu_tabel_a[[#This Row],[x base]]&gt;0,Eu_tabel_a[[#This Row],[x base]]&lt;0,Eu_tabel_a[[#This Row],[x base]]=0),1,NA()),NA())</f>
        <v>#N/A</v>
      </c>
      <c r="ET267" s="54" t="e">
        <f>IF(CHOOSE(ER$7,Eu_tabel_a[[#This Row],[x base]]&gt;0,Eu_tabel_a[[#This Row],[x base]]&lt;0,Eu_tabel_a[[#This Row],[x base]]=0),Eu_tabel_a[[#This Row],[Styrke, aktiv]],NA())</f>
        <v>#N/A</v>
      </c>
      <c r="EU267" s="54" t="e">
        <f>IFERROR(IF($ER$3,Eu_tabel_a[[#This Row],[Styrke, aktiv]],NA()),NA())</f>
        <v>#N/A</v>
      </c>
      <c r="EV267" s="54" t="e">
        <f>IF(ISNA(Eu_tabel_a[[#This Row],[Sand negativ
Nulhypotese afvises
Korrekt]]),NA(),IF(ER$3,1,NA()))</f>
        <v>#N/A</v>
      </c>
      <c r="EW267" s="55" t="str" cm="1">
        <f t="array" ref="EW267">IFERROR(_xlfn.SWITCH(Eu_tabel_a[[#This Row],[Indeks]],_xlfn.IFNA(EU$2,-99),EU$5,_xlfn.IFNA(EU$3,-99),EU$6,_xlfn.IFNA(EU$4,-99),EU$7,""),"")</f>
        <v/>
      </c>
      <c r="EX267" s="54">
        <f>Eu_tabel_a[[#This Row],[x base]]*SQRT(Eu_a_h0_x*(1-Eu_a_h0_x)/Eu_a_n_x)+Eu_a_h0_x</f>
        <v>0</v>
      </c>
      <c r="FC267" s="161" t="e">
        <f t="shared" si="459"/>
        <v>#N/A</v>
      </c>
      <c r="FD267" s="169" t="e">
        <f t="shared" si="442"/>
        <v>#DIV/0!</v>
      </c>
      <c r="FE267" s="7" t="e">
        <f t="shared" si="453"/>
        <v>#DIV/0!</v>
      </c>
      <c r="FF267" t="e">
        <f t="shared" si="443"/>
        <v>#DIV/0!</v>
      </c>
      <c r="FG267" s="8" t="e">
        <f t="shared" si="444"/>
        <v>#DIV/0!</v>
      </c>
      <c r="FH267" s="8" t="e">
        <f t="shared" si="445"/>
        <v>#DIV/0!</v>
      </c>
      <c r="FI267" s="168" t="e">
        <f t="shared" si="446"/>
        <v>#DIV/0!</v>
      </c>
      <c r="FJ267" s="161" t="e">
        <f t="shared" ca="1" si="454"/>
        <v>#N/A</v>
      </c>
      <c r="FK267" s="169" t="e" vm="3">
        <f t="shared" ca="1" si="460"/>
        <v>#VALUE!</v>
      </c>
      <c r="FL267" s="7" t="e" vm="3">
        <f t="shared" ca="1" si="455"/>
        <v>#VALUE!</v>
      </c>
      <c r="FM267" t="e" vm="3">
        <f t="shared" ca="1" si="449"/>
        <v>#VALUE!</v>
      </c>
      <c r="FN267" s="8" t="e" vm="3">
        <f t="shared" ca="1" si="450"/>
        <v>#VALUE!</v>
      </c>
      <c r="FO267" s="8" t="e" vm="3">
        <f t="shared" ca="1" si="451"/>
        <v>#VALUE!</v>
      </c>
      <c r="FP267" s="168" t="e" vm="3">
        <f t="shared" ca="1" si="452"/>
        <v>#VALUE!</v>
      </c>
      <c r="FQ267" s="161" t="e">
        <f t="shared" si="456"/>
        <v>#N/A</v>
      </c>
      <c r="FR267" s="169" t="e">
        <f t="shared" si="461"/>
        <v>#N/A</v>
      </c>
      <c r="FS267" s="7" t="e">
        <f t="shared" si="457"/>
        <v>#N/A</v>
      </c>
      <c r="FT267" t="e">
        <f t="shared" si="462"/>
        <v>#N/A</v>
      </c>
      <c r="FU267" s="8" t="e">
        <f t="shared" si="463"/>
        <v>#N/A</v>
      </c>
      <c r="FV267" s="8" t="e">
        <f t="shared" si="464"/>
        <v>#N/A</v>
      </c>
      <c r="FW267" s="168" t="e">
        <f t="shared" si="465"/>
        <v>#N/A</v>
      </c>
      <c r="FX267" s="161" t="e">
        <f t="shared" si="466"/>
        <v>#N/A</v>
      </c>
      <c r="FY267" s="169" t="e">
        <f t="shared" si="467"/>
        <v>#N/A</v>
      </c>
      <c r="FZ267" s="7" t="e">
        <f t="shared" si="458"/>
        <v>#N/A</v>
      </c>
      <c r="GA267" t="e">
        <f t="shared" si="468"/>
        <v>#N/A</v>
      </c>
      <c r="GB267" s="8" t="e">
        <f t="shared" si="469"/>
        <v>#N/A</v>
      </c>
      <c r="GC267" s="8" t="e">
        <f t="shared" si="470"/>
        <v>#N/A</v>
      </c>
      <c r="GD267" s="168" t="e">
        <f t="shared" si="471"/>
        <v>#N/A</v>
      </c>
      <c r="GE267" s="168"/>
      <c r="GF267" s="168"/>
      <c r="GI267" s="139">
        <f t="shared" si="411"/>
        <v>257</v>
      </c>
      <c r="GJ267" s="54">
        <f t="shared" si="492"/>
        <v>258</v>
      </c>
      <c r="GK267" s="139">
        <f t="shared" si="413"/>
        <v>3.0662770169727134</v>
      </c>
      <c r="GL267" s="139">
        <f t="shared" si="493"/>
        <v>3.6247646909920261E-3</v>
      </c>
      <c r="GM267" s="139" t="e">
        <f t="shared" si="415"/>
        <v>#N/A</v>
      </c>
      <c r="GN267" s="139" t="e">
        <f t="shared" si="416"/>
        <v>#N/A</v>
      </c>
      <c r="GO267" s="139" t="e">
        <f t="shared" si="417"/>
        <v>#N/A</v>
      </c>
      <c r="GP267" s="139" t="b">
        <f t="shared" si="418"/>
        <v>0</v>
      </c>
      <c r="GQ267" s="139" t="b">
        <f t="shared" si="494"/>
        <v>1</v>
      </c>
      <c r="GR267" s="139" t="b">
        <f t="shared" si="420"/>
        <v>1</v>
      </c>
      <c r="GS267" s="139" t="b">
        <f t="shared" si="495"/>
        <v>0</v>
      </c>
      <c r="GT267" s="139">
        <f t="shared" si="496"/>
        <v>3.6247646909920261E-3</v>
      </c>
      <c r="GU267" s="139">
        <f t="shared" si="497"/>
        <v>3.6247646909920261E-3</v>
      </c>
      <c r="GV267" s="139" t="e">
        <f t="shared" si="498"/>
        <v>#N/A</v>
      </c>
      <c r="GW267" s="140" t="str">
        <f t="shared" si="425"/>
        <v/>
      </c>
      <c r="HC267" s="139">
        <f t="shared" si="426"/>
        <v>257</v>
      </c>
      <c r="HD267" s="54">
        <f t="shared" si="499"/>
        <v>258</v>
      </c>
      <c r="HE267" s="139">
        <f t="shared" si="428"/>
        <v>4.7481943601992764</v>
      </c>
      <c r="HF267" s="139" t="e">
        <f t="shared" si="500"/>
        <v>#N/A</v>
      </c>
      <c r="HG267" s="139">
        <f t="shared" si="430"/>
        <v>1.2130723617778491E-3</v>
      </c>
      <c r="HH267" s="139" t="e">
        <f t="shared" si="431"/>
        <v>#N/A</v>
      </c>
      <c r="HI267" s="139" t="e">
        <f t="shared" si="432"/>
        <v>#N/A</v>
      </c>
      <c r="HJ267" s="139" t="b">
        <f t="shared" si="433"/>
        <v>0</v>
      </c>
      <c r="HK267" s="139" t="b">
        <f t="shared" si="501"/>
        <v>1</v>
      </c>
      <c r="HL267" s="139" t="b">
        <f t="shared" si="435"/>
        <v>1</v>
      </c>
      <c r="HM267" s="139" t="b">
        <f t="shared" si="502"/>
        <v>0</v>
      </c>
      <c r="HN267" s="139">
        <f t="shared" si="503"/>
        <v>1.2130723617778491E-3</v>
      </c>
      <c r="HO267" s="139" t="e">
        <f t="shared" si="504"/>
        <v>#N/A</v>
      </c>
      <c r="HP267" s="139">
        <f t="shared" si="505"/>
        <v>1.2130723617778491E-3</v>
      </c>
      <c r="HQ267" s="140" t="str">
        <f t="shared" si="440"/>
        <v/>
      </c>
    </row>
    <row r="268" spans="71:225" x14ac:dyDescent="0.2">
      <c r="BS268" s="139">
        <f t="shared" si="367"/>
        <v>258</v>
      </c>
      <c r="BT268" s="54">
        <f>Eu_tabel_g[[#This Row],[Indeks]]+1</f>
        <v>259</v>
      </c>
      <c r="BU268" s="139">
        <f t="shared" si="368"/>
        <v>3.0902323061678132</v>
      </c>
      <c r="BV268" s="139">
        <f t="shared" si="472"/>
        <v>3.3670900770639959E-3</v>
      </c>
      <c r="BW268" s="139" t="e">
        <f t="shared" si="370"/>
        <v>#N/A</v>
      </c>
      <c r="BX268" s="139" t="e">
        <f t="shared" si="371"/>
        <v>#N/A</v>
      </c>
      <c r="BY268" s="139" t="e">
        <f t="shared" si="372"/>
        <v>#N/A</v>
      </c>
      <c r="BZ268" s="139" t="b">
        <f t="shared" si="373"/>
        <v>0</v>
      </c>
      <c r="CA268" s="139" t="b">
        <f t="shared" si="473"/>
        <v>1</v>
      </c>
      <c r="CB268" s="139" t="b">
        <f t="shared" si="375"/>
        <v>1</v>
      </c>
      <c r="CC268" s="139" t="b">
        <f t="shared" si="474"/>
        <v>0</v>
      </c>
      <c r="CD268" s="139">
        <f t="shared" si="506"/>
        <v>3.3670900770639959E-3</v>
      </c>
      <c r="CE268" s="139">
        <f t="shared" si="475"/>
        <v>3.3670900770639959E-3</v>
      </c>
      <c r="CF268" s="139" t="e">
        <f t="shared" si="476"/>
        <v>#N/A</v>
      </c>
      <c r="CG268" s="140" t="str">
        <f t="shared" si="379"/>
        <v/>
      </c>
      <c r="CH268" s="54">
        <f>_xlfn.NORM.DIST(_xlfn.NORM.INV(1-Eu_g_konfidensniveau,0,1)-Eu_tabel_g[[#This Row],[x base]],0,1,TRUE)</f>
        <v>1.0948115226473381E-6</v>
      </c>
      <c r="CI268" s="54">
        <f>1-_xlfn.NORM.DIST(_xlfn.NORM.INV(Eu_g_konfidensniveau,0,1)-Eu_tabel_g[[#This Row],[x base]],0,1,TRUE)</f>
        <v>0.92582422561196043</v>
      </c>
      <c r="CJ268" s="54">
        <f>_xlfn.NORM.DIST(_xlfn.NORM.INV((1-Eu_g_konfidensniveau)/2,0,1)-Eu_tabel_g[[#This Row],[x base]],0,1,TRUE)+1-_xlfn.NORM.DIST(_xlfn.NORM.INV(1-(1-Eu_g_konfidensniveau)/2,0,1)-Eu_tabel_g[[#This Row],[x base]],0,1,TRUE)</f>
        <v>0.870818631358238</v>
      </c>
      <c r="CK268" s="54" t="e" cm="1">
        <f t="array" ref="CK268">IF($CK$3,INDEX(Eu_tabel_g[[#This Row],[Styrke venstre]:[Styrke tosidet]],CK$7),NA())</f>
        <v>#N/A</v>
      </c>
      <c r="CL268" s="99" t="e">
        <f>Eu_tabel_g[[#This Row],[Falsk positiv
Nulhypotese accepteres
Fejltype 1]]</f>
        <v>#N/A</v>
      </c>
      <c r="CM268" s="99" t="e">
        <f>IF(CHOOSE(CK$7,Eu_tabel_g[[#This Row],[x base]]&gt;0,Eu_tabel_g[[#This Row],[x base]]&lt;0,Eu_tabel_g[[#This Row],[x base]]=0),Eu_tabel_g[[#This Row],[Styrke, aktiv]],NA())</f>
        <v>#N/A</v>
      </c>
      <c r="CN268" s="99" t="e">
        <f>IFERROR(IF($CK$3,Eu_tabel_g[[#This Row],[Styrke, aktiv]],NA()),NA())</f>
        <v>#N/A</v>
      </c>
      <c r="CO268" s="99" t="e">
        <f>IF(ISNA(Eu_tabel_g[[#This Row],[Sand negativ
Nulhypotese afvises
Korrekt]]),NA(),IF($CK$3,1,NA()))</f>
        <v>#N/A</v>
      </c>
      <c r="CP268" s="56" t="str" cm="1">
        <f t="array" ref="CP268">_xlfn.SWITCH(BS268,_xlfn.IFNA(CN$2,-99),CN$5,_xlfn.IFNA(CN$3,-99),CN$6,_xlfn.IFNA(CN$4,-99),CN$7,"")</f>
        <v/>
      </c>
      <c r="CT268" s="7">
        <f t="shared" si="477"/>
        <v>0.8</v>
      </c>
      <c r="CU268">
        <f>IF(ROW(Styrkeberegning_G[[#This Row],[X base venstre]])=ROW(Styrkeberegning_G[[#Headers],[X base venstre]])+1,CU$7/(CT$7/$B$67),CU267/(CT267/$B$67))</f>
        <v>-2.8015817870135784</v>
      </c>
      <c r="CV268">
        <f>Styrkeberegning_G[[#This Row],[X base venstre]]*-1</f>
        <v>2.8015817870135784</v>
      </c>
      <c r="DG268" s="139">
        <f t="shared" si="381"/>
        <v>258</v>
      </c>
      <c r="DH268" s="54">
        <f t="shared" si="478"/>
        <v>259</v>
      </c>
      <c r="DI268" s="139">
        <f t="shared" si="383"/>
        <v>31.264133620239949</v>
      </c>
      <c r="DJ268" s="139" t="e">
        <f t="shared" si="479"/>
        <v>#N/A</v>
      </c>
      <c r="DK268" s="139" t="e">
        <f t="shared" si="385"/>
        <v>#N/A</v>
      </c>
      <c r="DL268" s="139">
        <f t="shared" si="386"/>
        <v>3.6666266674250183E-4</v>
      </c>
      <c r="DM268" s="139" t="e">
        <f t="shared" si="387"/>
        <v>#N/A</v>
      </c>
      <c r="DN268" s="139" t="b">
        <f t="shared" si="388"/>
        <v>0</v>
      </c>
      <c r="DO268" s="139" t="b">
        <f t="shared" si="480"/>
        <v>1</v>
      </c>
      <c r="DP268" s="139" t="b">
        <f t="shared" si="390"/>
        <v>1</v>
      </c>
      <c r="DQ268" s="139" t="b">
        <f t="shared" si="481"/>
        <v>0</v>
      </c>
      <c r="DR268" s="139">
        <f t="shared" si="482"/>
        <v>3.6666266674250183E-4</v>
      </c>
      <c r="DS268" s="139">
        <f t="shared" si="483"/>
        <v>3.6666266674250183E-4</v>
      </c>
      <c r="DT268" s="139" t="e">
        <f t="shared" si="484"/>
        <v>#N/A</v>
      </c>
      <c r="DU268" s="140" t="str">
        <f t="shared" si="395"/>
        <v/>
      </c>
      <c r="DZ268" s="139">
        <f t="shared" si="396"/>
        <v>258</v>
      </c>
      <c r="EA268" s="54">
        <f t="shared" si="485"/>
        <v>259</v>
      </c>
      <c r="EB268" s="139">
        <f t="shared" si="398"/>
        <v>3.0902323061678132</v>
      </c>
      <c r="EC268" s="139">
        <f t="shared" si="486"/>
        <v>3.3670900770639959E-3</v>
      </c>
      <c r="ED268" s="139" t="e">
        <f t="shared" si="400"/>
        <v>#N/A</v>
      </c>
      <c r="EE268" s="139" t="e">
        <f t="shared" si="401"/>
        <v>#N/A</v>
      </c>
      <c r="EF268" s="139" t="e">
        <f t="shared" si="402"/>
        <v>#N/A</v>
      </c>
      <c r="EG268" s="139" t="b">
        <f t="shared" si="403"/>
        <v>0</v>
      </c>
      <c r="EH268" s="139" t="b">
        <f t="shared" si="487"/>
        <v>1</v>
      </c>
      <c r="EI268" s="139" t="b">
        <f t="shared" si="405"/>
        <v>1</v>
      </c>
      <c r="EJ268" s="139" t="b">
        <f t="shared" si="488"/>
        <v>0</v>
      </c>
      <c r="EK268" s="139">
        <f t="shared" si="489"/>
        <v>3.3670900770639959E-3</v>
      </c>
      <c r="EL268" s="139">
        <f t="shared" si="490"/>
        <v>3.3670900770639959E-3</v>
      </c>
      <c r="EM268" s="139" t="e">
        <f t="shared" si="491"/>
        <v>#N/A</v>
      </c>
      <c r="EN268" s="140" t="str">
        <f t="shared" si="410"/>
        <v/>
      </c>
      <c r="EO26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P268" s="54" t="e">
        <f>_xlfn.NORM.DIST((SQRT(Eu_a_n_x)*(Eu_tabel_a[[#This Row],[X base som procent]]-Eu_a_h0_x)/SQRT(Eu_tabel_a[[#This Row],[X base som procent]]*(1-Eu_tabel_a[[#This Row],[X base som procent]])))-(_xlfn.NORM.INV(Eu_a_konfidensniveau,0,1)*SQRT((Eu_a_h0_x*(1-Eu_a_h0_x))/(Eu_tabel_a[[#This Row],[X base som procent]]*(1-Eu_tabel_a[[#This Row],[X base som procent]])))),0,1,TRUE)</f>
        <v>#DIV/0!</v>
      </c>
      <c r="EQ268" s="54">
        <f>IFERROR(_xlfn.NORM.DIST(-(SQRT(Eu_a_n_x)*(Eu_tabel_a[[#This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procent]])))),0,1,TRUE)+_xlfn.NORM.DIST((SQRT(Eu_a_n_x)*(Eu_tabel_a[[#This Row],[X base som procent]]-Eu_a_h0_x)/SQRT(Eu_tabel_a[[#This Row],[X base som procent]]*(1-Eu_tabel_a[[#This Row],[X base som procent]])))-(_xlfn.NORM.INV(1-(1-Eu_a_konfidensniveau)/2,0,1)*SQRT((Eu_a_h0_x*(1-Eu_a_h0_x))/(Eu_tabel_a[[#This Row],[X base som procent]]*(1-Eu_tabel_a[[#This Row],[X base som procent]])))),0,1,TRUE),0)</f>
        <v>0</v>
      </c>
      <c r="ER268" s="54" t="e" cm="1">
        <f t="array" ref="ER268">IF($CK$3,INDEX(Eu_tabel_a[[#This Row],[Styrke venstre]:[Styrke tosidet]],ER$7),NA())</f>
        <v>#N/A</v>
      </c>
      <c r="ES268" s="54" t="e">
        <f>IF(ER$3,IF(CHOOSE(ER$7,Eu_tabel_a[[#This Row],[x base]]&gt;0,Eu_tabel_a[[#This Row],[x base]]&lt;0,Eu_tabel_a[[#This Row],[x base]]=0),1,NA()),NA())</f>
        <v>#N/A</v>
      </c>
      <c r="ET268" s="54" t="e">
        <f>IF(CHOOSE(ER$7,Eu_tabel_a[[#This Row],[x base]]&gt;0,Eu_tabel_a[[#This Row],[x base]]&lt;0,Eu_tabel_a[[#This Row],[x base]]=0),Eu_tabel_a[[#This Row],[Styrke, aktiv]],NA())</f>
        <v>#N/A</v>
      </c>
      <c r="EU268" s="54" t="e">
        <f>IFERROR(IF($ER$3,Eu_tabel_a[[#This Row],[Styrke, aktiv]],NA()),NA())</f>
        <v>#N/A</v>
      </c>
      <c r="EV268" s="54" t="e">
        <f>IF(ISNA(Eu_tabel_a[[#This Row],[Sand negativ
Nulhypotese afvises
Korrekt]]),NA(),IF(ER$3,1,NA()))</f>
        <v>#N/A</v>
      </c>
      <c r="EW268" s="55" t="str" cm="1">
        <f t="array" ref="EW268">IFERROR(_xlfn.SWITCH(Eu_tabel_a[[#This Row],[Indeks]],_xlfn.IFNA(EU$2,-99),EU$5,_xlfn.IFNA(EU$3,-99),EU$6,_xlfn.IFNA(EU$4,-99),EU$7,""),"")</f>
        <v/>
      </c>
      <c r="EX268" s="54">
        <f>Eu_tabel_a[[#This Row],[x base]]*SQRT(Eu_a_h0_x*(1-Eu_a_h0_x)/Eu_a_n_x)+Eu_a_h0_x</f>
        <v>0</v>
      </c>
      <c r="FC268" s="161" t="e">
        <f t="shared" si="459"/>
        <v>#N/A</v>
      </c>
      <c r="FD268" s="169" t="e">
        <f t="shared" si="442"/>
        <v>#DIV/0!</v>
      </c>
      <c r="FE268" s="7" t="e">
        <f t="shared" si="453"/>
        <v>#DIV/0!</v>
      </c>
      <c r="FF268" t="e">
        <f t="shared" si="443"/>
        <v>#DIV/0!</v>
      </c>
      <c r="FG268" s="8" t="e">
        <f t="shared" si="444"/>
        <v>#DIV/0!</v>
      </c>
      <c r="FH268" s="8" t="e">
        <f t="shared" si="445"/>
        <v>#DIV/0!</v>
      </c>
      <c r="FI268" s="168" t="e">
        <f t="shared" si="446"/>
        <v>#DIV/0!</v>
      </c>
      <c r="FJ268" s="161" t="e">
        <f t="shared" ca="1" si="454"/>
        <v>#N/A</v>
      </c>
      <c r="FK268" s="169" t="e" vm="3">
        <f t="shared" ca="1" si="460"/>
        <v>#VALUE!</v>
      </c>
      <c r="FL268" s="7" t="e" vm="3">
        <f t="shared" ca="1" si="455"/>
        <v>#VALUE!</v>
      </c>
      <c r="FM268" t="e" vm="3">
        <f t="shared" ca="1" si="449"/>
        <v>#VALUE!</v>
      </c>
      <c r="FN268" s="8" t="e" vm="3">
        <f t="shared" ca="1" si="450"/>
        <v>#VALUE!</v>
      </c>
      <c r="FO268" s="8" t="e" vm="3">
        <f t="shared" ca="1" si="451"/>
        <v>#VALUE!</v>
      </c>
      <c r="FP268" s="168" t="e" vm="3">
        <f t="shared" ca="1" si="452"/>
        <v>#VALUE!</v>
      </c>
      <c r="FQ268" s="161" t="e">
        <f t="shared" si="456"/>
        <v>#N/A</v>
      </c>
      <c r="FR268" s="169" t="e">
        <f t="shared" si="461"/>
        <v>#N/A</v>
      </c>
      <c r="FS268" s="7" t="e">
        <f t="shared" si="457"/>
        <v>#N/A</v>
      </c>
      <c r="FT268" t="e">
        <f t="shared" si="462"/>
        <v>#N/A</v>
      </c>
      <c r="FU268" s="8" t="e">
        <f t="shared" si="463"/>
        <v>#N/A</v>
      </c>
      <c r="FV268" s="8" t="e">
        <f t="shared" si="464"/>
        <v>#N/A</v>
      </c>
      <c r="FW268" s="168" t="e">
        <f t="shared" si="465"/>
        <v>#N/A</v>
      </c>
      <c r="FX268" s="161" t="e">
        <f t="shared" si="466"/>
        <v>#N/A</v>
      </c>
      <c r="FY268" s="169" t="e">
        <f t="shared" si="467"/>
        <v>#N/A</v>
      </c>
      <c r="FZ268" s="7" t="e">
        <f t="shared" si="458"/>
        <v>#N/A</v>
      </c>
      <c r="GA268" t="e">
        <f t="shared" si="468"/>
        <v>#N/A</v>
      </c>
      <c r="GB268" s="8" t="e">
        <f t="shared" si="469"/>
        <v>#N/A</v>
      </c>
      <c r="GC268" s="8" t="e">
        <f t="shared" si="470"/>
        <v>#N/A</v>
      </c>
      <c r="GD268" s="168" t="e">
        <f t="shared" si="471"/>
        <v>#N/A</v>
      </c>
      <c r="GE268" s="168"/>
      <c r="GF268" s="168"/>
      <c r="GI268" s="139">
        <f t="shared" si="411"/>
        <v>258</v>
      </c>
      <c r="GJ268" s="54">
        <f t="shared" si="492"/>
        <v>259</v>
      </c>
      <c r="GK268" s="139">
        <f t="shared" si="413"/>
        <v>3.0902323061678132</v>
      </c>
      <c r="GL268" s="139">
        <f t="shared" si="493"/>
        <v>3.3670900770639959E-3</v>
      </c>
      <c r="GM268" s="139" t="e">
        <f t="shared" si="415"/>
        <v>#N/A</v>
      </c>
      <c r="GN268" s="139" t="e">
        <f t="shared" si="416"/>
        <v>#N/A</v>
      </c>
      <c r="GO268" s="139" t="e">
        <f t="shared" si="417"/>
        <v>#N/A</v>
      </c>
      <c r="GP268" s="139" t="b">
        <f t="shared" si="418"/>
        <v>0</v>
      </c>
      <c r="GQ268" s="139" t="b">
        <f t="shared" si="494"/>
        <v>1</v>
      </c>
      <c r="GR268" s="139" t="b">
        <f t="shared" si="420"/>
        <v>1</v>
      </c>
      <c r="GS268" s="139" t="b">
        <f t="shared" si="495"/>
        <v>0</v>
      </c>
      <c r="GT268" s="139">
        <f t="shared" si="496"/>
        <v>3.3670900770639959E-3</v>
      </c>
      <c r="GU268" s="139">
        <f t="shared" si="497"/>
        <v>3.3670900770639959E-3</v>
      </c>
      <c r="GV268" s="139" t="e">
        <f t="shared" si="498"/>
        <v>#N/A</v>
      </c>
      <c r="GW268" s="140" t="str">
        <f t="shared" si="425"/>
        <v/>
      </c>
      <c r="HC268" s="139">
        <f t="shared" si="426"/>
        <v>258</v>
      </c>
      <c r="HD268" s="54">
        <f t="shared" si="499"/>
        <v>259</v>
      </c>
      <c r="HE268" s="139">
        <f t="shared" si="428"/>
        <v>4.7852896286383331</v>
      </c>
      <c r="HF268" s="139" t="e">
        <f t="shared" si="500"/>
        <v>#N/A</v>
      </c>
      <c r="HG268" s="139">
        <f t="shared" si="430"/>
        <v>1.1566894571072798E-3</v>
      </c>
      <c r="HH268" s="139" t="e">
        <f t="shared" si="431"/>
        <v>#N/A</v>
      </c>
      <c r="HI268" s="139" t="e">
        <f t="shared" si="432"/>
        <v>#N/A</v>
      </c>
      <c r="HJ268" s="139" t="b">
        <f t="shared" si="433"/>
        <v>0</v>
      </c>
      <c r="HK268" s="139" t="b">
        <f t="shared" si="501"/>
        <v>1</v>
      </c>
      <c r="HL268" s="139" t="b">
        <f t="shared" si="435"/>
        <v>1</v>
      </c>
      <c r="HM268" s="139" t="b">
        <f t="shared" si="502"/>
        <v>0</v>
      </c>
      <c r="HN268" s="139">
        <f t="shared" si="503"/>
        <v>1.1566894571072798E-3</v>
      </c>
      <c r="HO268" s="139" t="e">
        <f t="shared" si="504"/>
        <v>#N/A</v>
      </c>
      <c r="HP268" s="139">
        <f t="shared" si="505"/>
        <v>1.1566894571072798E-3</v>
      </c>
      <c r="HQ268" s="140" t="str">
        <f t="shared" si="440"/>
        <v/>
      </c>
    </row>
  </sheetData>
  <phoneticPr fontId="15" type="noConversion"/>
  <conditionalFormatting sqref="C35:C38">
    <cfRule type="cellIs" dxfId="23" priority="24" operator="equal">
      <formula>"Ikke opfyldt"</formula>
    </cfRule>
  </conditionalFormatting>
  <conditionalFormatting sqref="J35:J38">
    <cfRule type="cellIs" dxfId="22" priority="22" operator="equal">
      <formula>"Ikke opfyldt"</formula>
    </cfRule>
  </conditionalFormatting>
  <conditionalFormatting sqref="Q35:Q38">
    <cfRule type="cellIs" dxfId="21" priority="20" operator="equal">
      <formula>"Ikke opfyldt"</formula>
    </cfRule>
  </conditionalFormatting>
  <conditionalFormatting sqref="X35:X38">
    <cfRule type="cellIs" dxfId="20" priority="16" operator="equal">
      <formula>"Ikke opfyldt"</formula>
    </cfRule>
  </conditionalFormatting>
  <conditionalFormatting sqref="AE35:AE38">
    <cfRule type="cellIs" dxfId="19" priority="10" operator="equal">
      <formula>"Ikke opfyldt"</formula>
    </cfRule>
  </conditionalFormatting>
  <conditionalFormatting sqref="C6:C11">
    <cfRule type="expression" dxfId="18" priority="179">
      <formula>NOT($BE$4)</formula>
    </cfRule>
  </conditionalFormatting>
  <conditionalFormatting sqref="J6:J9 X8">
    <cfRule type="expression" dxfId="17" priority="180">
      <formula>NOT($BF$4)</formula>
    </cfRule>
  </conditionalFormatting>
  <conditionalFormatting sqref="Q6:Q9">
    <cfRule type="expression" dxfId="16" priority="182">
      <formula>NOT($BG$4)</formula>
    </cfRule>
  </conditionalFormatting>
  <conditionalFormatting sqref="B16">
    <cfRule type="expression" dxfId="15" priority="183">
      <formula>NOT($BE$2)</formula>
    </cfRule>
  </conditionalFormatting>
  <conditionalFormatting sqref="P16">
    <cfRule type="expression" dxfId="14" priority="184">
      <formula>NOT($BG$2)</formula>
    </cfRule>
  </conditionalFormatting>
  <conditionalFormatting sqref="X6:X7 X9">
    <cfRule type="expression" dxfId="13" priority="185">
      <formula>NOT($BH$4)</formula>
    </cfRule>
  </conditionalFormatting>
  <conditionalFormatting sqref="W16">
    <cfRule type="expression" dxfId="12" priority="187">
      <formula>NOT($BH$2)</formula>
    </cfRule>
  </conditionalFormatting>
  <conditionalFormatting sqref="B8">
    <cfRule type="expression" dxfId="11" priority="188">
      <formula>$BE$2</formula>
    </cfRule>
  </conditionalFormatting>
  <conditionalFormatting sqref="B9:C9">
    <cfRule type="expression" dxfId="10" priority="6">
      <formula>$BE$5</formula>
    </cfRule>
  </conditionalFormatting>
  <conditionalFormatting sqref="B10:C10">
    <cfRule type="expression" dxfId="9" priority="5">
      <formula>NOT($BE$5)</formula>
    </cfRule>
  </conditionalFormatting>
  <conditionalFormatting sqref="I8">
    <cfRule type="expression" dxfId="8" priority="4">
      <formula>NOT($BF$3)</formula>
    </cfRule>
  </conditionalFormatting>
  <conditionalFormatting sqref="P8">
    <cfRule type="expression" dxfId="7" priority="3">
      <formula>$BG$2</formula>
    </cfRule>
  </conditionalFormatting>
  <conditionalFormatting sqref="W8">
    <cfRule type="expression" dxfId="6" priority="2">
      <formula>NOT($BH$3)</formula>
    </cfRule>
  </conditionalFormatting>
  <dataValidations xWindow="1058" yWindow="952" count="39">
    <dataValidation type="custom" allowBlank="1" showInputMessage="1" showErrorMessage="1" errorTitle="Vælg et tal" error="Indtast et tal." promptTitle="Vælg et gennemsnit" prompt="Indtast et tal." sqref="B7" xr:uid="{2EAC87B4-B724-4413-99C5-B998ADF8669A}">
      <formula1>ISNUMBER(B7)</formula1>
    </dataValidation>
    <dataValidation type="decimal" allowBlank="1" showInputMessage="1" showErrorMessage="1" errorTitle="Vælg et konfidensniveau" error="Indtast et procenttal mellem 50% og 100%" promptTitle="Vælg et konfidensniveau" prompt="Indtast et procenttal mellem 50% og 100%" sqref="B15 I16 P15 W15 AD16" xr:uid="{C3BF607E-C741-48C2-87BD-17BAD7458F3E}">
      <formula1>0.5</formula1>
      <formula2>1</formula2>
    </dataValidation>
    <dataValidation type="custom" allowBlank="1" showInputMessage="1" showErrorMessage="1" errorTitle="Vælg et positivt tal" error="Indtast et tal, der er større end 0." promptTitle="Vælg en intensitet" prompt="Indtast et tal, der er større end 0." sqref="W7" xr:uid="{FB50DC0C-2850-4102-A665-39067D4FAF4B}">
      <formula1>AND(ISNUMBER(W7),W7&gt;0)</formula1>
    </dataValidation>
    <dataValidation type="custom" allowBlank="1" showInputMessage="1" showErrorMessage="1" errorTitle="Vælg et naturligt antal" error="Indtast et heltal som er større end 0." promptTitle="Vælg en stikprøvestørrelse" prompt="Indtast et heltal som er større end 0." sqref="B11 I9 P9 W9 AD10" xr:uid="{FC5F1998-9D40-4054-BC90-06F86DB8F86A}">
      <formula1>AND(MOD(B9,1)=0,B9&gt;0)</formula1>
    </dataValidation>
    <dataValidation allowBlank="1" showInputMessage="1" showErrorMessage="1" promptTitle="Vælg en titel" prompt="Indtast en titel." sqref="B6 I6 P6 W6 AD6" xr:uid="{273568FC-BBB6-48FF-9A5A-2C72AB793F61}"/>
    <dataValidation allowBlank="1" showInputMessage="1" showErrorMessage="1" promptTitle="Vælg en titel" prompt="Indtast en titel._x000a_Dette valg er kun relevant, hvis den valgte hypotesetype er en hypotese om forskel. Hvis dette felt har hvid baggrund, så er det ikke relevant ved den valgte hypotesetype." sqref="C6" xr:uid="{D610F8C7-90AB-4FFF-B778-016029AB4659}"/>
    <dataValidation type="custom" allowBlank="1" showInputMessage="1" showErrorMessage="1" errorTitle="Vælg et tal" error="Indtast et tal." promptTitle="Vælg et gennemsnit" prompt="Indtast et tal._x000a_Dette valg er kun relevant, hvis den valgte hypotesetype er en hypotese om forskel. Hvis dette felt har hvid baggrund, så er det ikke relevant ved den valgte hypotesetype." sqref="C7" xr:uid="{369FD243-6E1C-4589-9861-84145233BE07}">
      <formula1>ISNUMBER(C7)</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hypotesetype er en hypotese om forskel med kendte standardafvigelser. Hvis dette felt har hvid baggrund, så er det ikke relevant." sqref="C10" xr:uid="{C35E44C4-5A7C-4842-8ADB-6B59C2D5E14D}">
      <formula1>AND(ISNUMBER(C10),C10&gt;=0)</formula1>
    </dataValidation>
    <dataValidation type="custom" allowBlank="1" showInputMessage="1" showErrorMessage="1" errorTitle="Vælg et naturligt antal" error="Indtast et heltal som er større end 0." promptTitle="Vælg en stikprøvestørrelse" prompt="Indtast et heltal som er større end 0._x000a_Dette valg er kun relevant, hvis den valgte hypotesetype er en hypotese om forskel. Hvis dette felt har hvid baggrund, så er det ikke relevant." sqref="X9 C11 J9 Q9" xr:uid="{541300EB-8433-41BA-804C-19E024362902}">
      <formula1>AND(MOD(C9,1)=0,C9&gt;0)</formula1>
    </dataValidation>
    <dataValidation type="custom" allowBlank="1" showInputMessage="1" showErrorMessage="1" errorTitle="Vælg et tal" error="Indtast et tal." promptTitle="Vælg en hypoteseværdi" prompt="Indtast et tal._x000a_Dette valg er kun relevant, hvis den valgte hypotesetype er en hypotese om forskel. Hvis dette felt har hvid baggrund, så er det ikke relevant." sqref="C8" xr:uid="{37201DE3-B25A-4773-AE08-769B3AD4F286}">
      <formula1>ISNUMBER(C8)</formula1>
    </dataValidation>
    <dataValidation type="custom" allowBlank="1" showInputMessage="1" showErrorMessage="1" errorTitle="Vælg et tal" error="Indtast et tal." promptTitle="Vælg et hypoteseværdi" prompt="Indtast et tal._x000a_Dette valg er ikke relevant, hvis den valgte hypotesetype er konfidensinterval. Hvis dette felt har hvid baggrund, så er det ikke relevant." sqref="B8" xr:uid="{59F3161F-D486-43C9-915F-CAF488438077}">
      <formula1>ISNUMBER(B8)</formula1>
    </dataValidation>
    <dataValidation allowBlank="1" showInputMessage="1" showErrorMessage="1" promptTitle="Kontrol af forudsætning" prompt="Viser Ikke opfyldt, hvis kontrollen har identificeret et problem med denne forudsætning. Viser Skal vurderes, hvis kontrollen ikke kan vurdere forudsætningen. Viser Opfyldt, hvis kontrollen ikke har identificeret nogen problemer." sqref="C35:C38 J35:J38 Q35:Q38 X35:X38 AE35 AE37:AE38" xr:uid="{F5017CC7-1DE8-4BEE-A8CD-F0FA4D9FE04E}"/>
    <dataValidation type="decimal" allowBlank="1" showInputMessage="1" showErrorMessage="1" errorTitle="Vælg et procenttal" error="Indtast et procenttal mellem 0% og 100%." promptTitle="Vælg en andel" prompt="Indtast et procenttal mellem 0% og 100%." sqref="P7" xr:uid="{4F39FF3A-1835-4ADB-A4EB-203A3CE61C64}">
      <formula1>0</formula1>
      <formula2>1</formula2>
    </dataValidation>
    <dataValidation type="decimal" allowBlank="1" showInputMessage="1" showErrorMessage="1" errorTitle="Vælg et procenttal" error="Indtast et procenttal mellem 0% og 100%." promptTitle="Vælg en hypoteseværdi" prompt="Indtast et procenttal mellem 0% og 100%._x000a_Dette valg er ikke relevant, hvis den valgte hypotesetype er konfidensinterval. Hvis dette felt har hvid baggrund, så er det ikke relevant." sqref="P8" xr:uid="{52C5B227-54E0-476E-A90D-96248D101F3D}">
      <formula1>0</formula1>
      <formula2>1</formula2>
    </dataValidation>
    <dataValidation allowBlank="1" showInputMessage="1" showErrorMessage="1" promptTitle="Nødvendig stikprøvestørrelse" prompt="Nødvendig stikprøvestørrelse for at opnå den ønskede fejlmargin i et konfidensinterval for det valgte observationssæt. Givet en beregningsmetode og et konfidensniveau. Viser fejl hvis der ikke er valgt en ønsket fejlmargin." sqref="C16 Q16 X16" xr:uid="{BC21140B-A459-4C51-A3A4-DF86BEAB9D43}"/>
    <dataValidation type="decimal" allowBlank="1" showInputMessage="1" showErrorMessage="1" errorTitle="Vælg et procenttal" error="Indtast et procenttal mellem 0% og 100%." promptTitle="Vælg en ønsket fejlmargin" prompt="Indtast et procenttal mellem 0% og 100%._x000a_Dette valg kan kun være relevant, hvis den valgte hypotesetype er et konfidensinterval. Hvis dette felt har hvid baggrund, så er det ikke relevant." sqref="P16" xr:uid="{9C1C3B2B-2AFC-43EF-A527-6F353C68B9D6}">
      <formula1>0</formula1>
      <formula2>1</formula2>
    </dataValidation>
    <dataValidation allowBlank="1" showInputMessage="1" showErrorMessage="1" promptTitle="Hypoteseværdi y er ikke relevant" prompt="Denne værdi er ikke relevant._x000a_Ved hypotesetest om forskel for standardafvigelser anvendes hypoteseværdier ikke." sqref="J8" xr:uid="{5DB18D7F-5FFB-4C94-A7FB-03CE34E9C0CC}"/>
    <dataValidation type="decimal" allowBlank="1" showInputMessage="1" showErrorMessage="1" errorTitle="Vælg et procenttal" error="Indtast et procenttal mellem 0% og 100%." promptTitle="Vælg en hypoteseværdi" prompt="Indtast et procenttal mellem 0% og 100%._x000a_Dette valg er kun relevant, hvis den valgte hypotesetype er en hypotese om forskel. Hvis dette felt har hvid baggrund, så er det ikke relevant." sqref="Q8" xr:uid="{A9EAD364-8B88-4B4D-840D-69E8B1AFD711}">
      <formula1>0</formula1>
      <formula2>1</formula2>
    </dataValidation>
    <dataValidation type="decimal" allowBlank="1" showInputMessage="1" showErrorMessage="1" errorTitle="Vælg et procenttal" error="Indtast et procenttal mellem 0% og 100%." promptTitle="Vælg en andel" prompt="Indtast et procenttal mellem 0% og 100%._x000a_Dette valg er kun relevant, hvis den valgte hypotesetype er en hypotese om forskel. Hvis dette felt har hvid baggrund, så er det ikke relevant." sqref="Q7" xr:uid="{B6113795-73D6-49DB-876E-4334462AD0F2}">
      <formula1>0</formula1>
      <formula2>1</formula2>
    </dataValidation>
    <dataValidation type="custom" allowBlank="1" showInputMessage="1" showErrorMessage="1" errorTitle="Vælg et positivt tal" error="Indtast et tal, der er større end 0." promptTitle="Vælg en ønsket fejlmargin" prompt="Indtast et tal, der er større end 0._x000a_Dette valg kan kun være relevant, hvis den valgte hypotesetype er et konfidensinterval. Hvis dette felt har hvid baggrund, så er det ikke relevant." sqref="W16 B16" xr:uid="{1944D2A3-7C99-410E-8FA4-6684DC23E929}">
      <formula1>AND(B16&gt;0,ISNUMBER(B16))</formula1>
    </dataValidation>
    <dataValidation type="custom" allowBlank="1" showInputMessage="1" showErrorMessage="1" errorTitle="Vælg et positivt tal" error="Indtast et tal, der er større end 0." promptTitle="Vælg en hypoteseværdi" prompt="Indtast et tal, der er større end 0._x000a_Dette valg er kun relevant, hvis den valgte hypotesetype er en hypotese om værdi. Hvis dette felt har hvid baggrund, så er det ikke relevant." sqref="W8 I8" xr:uid="{606F7D6D-3F2F-43FF-BAA3-99569CB8B51F}">
      <formula1>AND(ISNUMBER(I8),I8&gt;0)</formula1>
    </dataValidation>
    <dataValidation type="custom" allowBlank="1" showInputMessage="1" showErrorMessage="1" errorTitle="Vælg et positivt tal" error="Indtast et tal, der er større end 0." promptTitle="Vælg en standardafvigelse" prompt="Indtast et tal, der er større end 0." sqref="I7 AD9" xr:uid="{06B201EA-C630-47DC-ADBF-B0957405C2DE}">
      <formula1>AND(ISNUMBER(I7),I7&gt;0)</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hypotesetype er en hypotese om forskel. Hvis dette felt har hvid baggrund, så er det ikke relevant." sqref="J7" xr:uid="{A0C239B7-E821-40C2-8D33-571333F7FA2E}">
      <formula1>AND(ISNUMBER(J7),J7&gt;0)</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beregningsmetode er med kendte standardafvigelser. Hvis dette felt har hvid baggrund, så er det ikke relevant." sqref="B10" xr:uid="{AD05DCF0-54B3-40E4-9628-1938F24AFAC9}">
      <formula1>AND(ISNUMBER(B10),B10&gt;=0)</formula1>
    </dataValidation>
    <dataValidation type="custom" allowBlank="1" showInputMessage="1" showErrorMessage="1" errorTitle="Vælg et tal" error="Indtast et tal, der er større end 0." promptTitle="Vælg en standardafvigelse" prompt="Indtast et tal, der er større end 0._x000a_Dette valg er kun relevant, hvis den valgte hypotesetype er en hypotese om forskel uden kendte standardafvigelser. Hvis dette felt har hvid baggrund, så er det ikke relevant." sqref="C9" xr:uid="{7AF122F1-786F-47CA-B1EA-060B982C4B2C}">
      <formula1>AND(ISNUMBER(C9),C9&gt;=0)</formula1>
    </dataValidation>
    <dataValidation type="custom" allowBlank="1" showInputMessage="1" showErrorMessage="1" errorTitle="Vælg et positivt tal" error="Indtast et tal, der er større end 0." promptTitle="Vælg en intensitet" prompt="Indtast et tal, der er større end 0._x000a_Dette valg er kun relevant, hvis den valgte hypotesetype er en hypotese om forskel. Hvis dette felt har hvid baggrund, så er det ikke relevant." sqref="X7" xr:uid="{BF8BDC37-DDCA-479C-93BE-28F537B33ABB}">
      <formula1>AND(ISNUMBER(X7),X7&gt;=0)</formula1>
    </dataValidation>
    <dataValidation allowBlank="1" showInputMessage="1" showErrorMessage="1" promptTitle="Hypoteseværdi y er ikke relevant" prompt="Denne værdi er ikke relevant._x000a_Ved hypotesetest om forskel for intensiteter anvendes hypoteseværdier ikke." sqref="X8" xr:uid="{80A41DA8-5081-4C38-9316-4C64A846571D}"/>
    <dataValidation type="custom" allowBlank="1" showInputMessage="1" showErrorMessage="1" errorTitle="Vælg et naturligt antal" error="Indtast et heltal som er større end 0." promptTitle="Vælg et antal koefficienter" prompt="Indtast et heltal som er større end 0._x000a_Antallet af koefficienter i den lineære regressionsmodel er lig antallet af uafhængige variable i modellen + 1 for konstanten, hvis den er inkluderet." sqref="AD11" xr:uid="{4F81DDE2-5E35-47D4-952E-A12BB5ED2D00}">
      <formula1>AND(MOD(AD11,1)=0,AD11&gt;0)</formula1>
    </dataValidation>
    <dataValidation type="custom" allowBlank="1" showInputMessage="1" showErrorMessage="1" errorTitle="Vælg et tal" error="Indtast et tal." promptTitle="Vælg en koefficient" prompt="Indtast et tal." sqref="AD7" xr:uid="{92D4DB1D-A520-41E0-959D-A14A83892C13}">
      <formula1>ISNUMBER(AD7)</formula1>
    </dataValidation>
    <dataValidation type="custom" allowBlank="1" showInputMessage="1" showErrorMessage="1" errorTitle="Vælg et tal" error="Indtast et tal." promptTitle="Vælg en hypoteseværdi" prompt="Indtast et tal." sqref="AD8" xr:uid="{E3AA99E4-0ABB-4744-81B7-AB18FB7971C0}">
      <formula1>ISNUMBER(AD8)</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beregningsmetode er uden kendte standardafvigelser. Hvis dette felt har hvid baggrund, så er det ikke relevant." sqref="B9" xr:uid="{1D4577D5-02AC-46C3-8588-89B9A5BF4232}">
      <formula1>AND(ISNUMBER(B9),B9&gt;=0)</formula1>
    </dataValidation>
    <dataValidation allowBlank="1" showInputMessage="1" showErrorMessage="1" promptTitle="Vælg en titel" prompt="Indtast en titel._x000a_Dette valg er kun relevant, hvis den valgte hypotesetype er en hypotese om forskel. Hvis dette felt har hvid baggrund, så er det ikke relevant." sqref="J6 Q6 X6" xr:uid="{7BB6A30A-4DF4-4C44-A8B7-79D6103DE117}"/>
    <dataValidation type="list" allowBlank="1" showInputMessage="1" showErrorMessage="1" errorTitle="Vælg fra listen" error="Vælg et observationssæt fra listen (baseret på overskrifterne i datatabellen)" promptTitle="Vælg et observationssæt" prompt="Vælg et observationssæt fra listen i drop-down menuen (baseret på overskrifterne i data arket)." sqref="W42 P42 I42 B42 AD42" xr:uid="{9CC49157-6AB2-46A2-ABF4-5B3B88EBEE5C}">
      <formula1>DataTitel_liste</formula1>
    </dataValidation>
    <dataValidation allowBlank="1" showInputMessage="1" showErrorMessage="1" promptTitle="Kontrol af forudsætning" prompt="Denne forudsætning skal altid vurderes." sqref="AE36" xr:uid="{F417650B-C485-499F-A54D-62B295E01A35}"/>
    <dataValidation allowBlank="1" showInputMessage="1" showErrorMessage="1" promptTitle="Kontrol af input" prompt="Viser True, hvis observationssættet er inkluderet i den aktive lineære regression. Kun hvis denne celle er True, kan der hentes relevante parameterværdier om dette observationssæt." sqref="AE42" xr:uid="{40372B6F-CAE0-451A-AA8B-25350693B4B6}"/>
    <dataValidation type="decimal" allowBlank="1" showInputMessage="1" showErrorMessage="1" errorTitle="Vælg et styrkeniveau" error="Indtast et procenttal mellem 0% og 100%" promptTitle="Vælg et styrkeniveau" prompt="Indtast et procenttal mellem 0% og 100%" sqref="B67 P67" xr:uid="{08C10ED0-5D83-4A5C-9459-F73D4279E601}">
      <formula1>0</formula1>
      <formula2>1</formula2>
    </dataValidation>
    <dataValidation type="custom" allowBlank="1" showInputMessage="1" showErrorMessage="1" errorTitle="Vælg en ønsket fejlmargin" error="Indtast et tal." promptTitle="Vælg en ønsket fejlmargin" prompt="Indtast et tal." sqref="B68" xr:uid="{8DA01C50-4B8F-4631-886B-9E1A66C458BC}">
      <formula1>ISNUMBER(B68)</formula1>
    </dataValidation>
    <dataValidation type="custom" allowBlank="1" showInputMessage="1" showErrorMessage="1" errorTitle="Vælg en stikprøvestørrelse" error="Indtast et tal, der er større end 0." promptTitle="Vælg en stikprøvestørrelse" prompt="Indtast et tal, der er større end 0." sqref="B69" xr:uid="{37E7D6C6-82B8-4A25-B8D6-4C65E14D0D57}">
      <formula1>AND(B69&gt;0,ISNUMBER(B69))</formula1>
    </dataValidation>
    <dataValidation type="custom" allowBlank="1" showInputMessage="1" showErrorMessage="1" errorTitle="Vælg en ønsket fejlmargin" error="Indtast et procenttal." promptTitle="Vælg en ønsket fejlmargin" prompt="Indtast et procenttal." sqref="P68:P69" xr:uid="{E973F9AD-1B94-46BE-8253-4204A5A98D46}">
      <formula1>ISNUMBER(P68)</formula1>
    </dataValidation>
  </dataValidations>
  <pageMargins left="0.7" right="0.7" top="0.75" bottom="0.75" header="0.3" footer="0.3"/>
  <pageSetup paperSize="9" orientation="portrait" r:id="rId1"/>
  <drawing r:id="rId2"/>
  <tableParts count="6">
    <tablePart r:id="rId3"/>
    <tablePart r:id="rId4"/>
    <tablePart r:id="rId5"/>
    <tablePart r:id="rId6"/>
    <tablePart r:id="rId7"/>
    <tablePart r:id="rId8"/>
  </tableParts>
  <extLst>
    <ext xmlns:x15="http://schemas.microsoft.com/office/spreadsheetml/2010/11/main" uri="{3A4CF648-6AED-40f4-86FF-DC5316D8AED3}">
      <x14:slicerList xmlns:x14="http://schemas.microsoft.com/office/spreadsheetml/2009/9/main">
        <x14:slicer r:id="rId9"/>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2EEFA-D7B4-4C5D-8228-E557056F2350}">
  <sheetPr codeName="Sheet10"/>
  <dimension ref="A1:AX60"/>
  <sheetViews>
    <sheetView showGridLines="0" zoomScaleNormal="100" workbookViewId="0"/>
  </sheetViews>
  <sheetFormatPr defaultRowHeight="14.25" x14ac:dyDescent="0.2"/>
  <cols>
    <col min="1" max="1" width="22.625" bestFit="1" customWidth="1"/>
    <col min="2" max="2" width="26.375" bestFit="1" customWidth="1"/>
    <col min="3" max="3" width="38.375" bestFit="1" customWidth="1"/>
    <col min="4" max="4" width="13.5" bestFit="1" customWidth="1"/>
    <col min="5" max="6" width="12.75" bestFit="1" customWidth="1"/>
    <col min="7" max="7" width="13.375" bestFit="1" customWidth="1"/>
    <col min="8" max="8" width="23" bestFit="1" customWidth="1"/>
    <col min="9" max="9" width="19.25" bestFit="1" customWidth="1"/>
    <col min="10" max="10" width="22" bestFit="1" customWidth="1"/>
    <col min="11" max="11" width="17" bestFit="1" customWidth="1"/>
    <col min="12" max="12" width="14" bestFit="1" customWidth="1"/>
    <col min="13" max="13" width="16.5" bestFit="1" customWidth="1"/>
    <col min="14" max="14" width="11.75" bestFit="1" customWidth="1"/>
    <col min="15" max="15" width="12.125" bestFit="1" customWidth="1"/>
    <col min="16" max="16" width="8.25" bestFit="1" customWidth="1"/>
    <col min="17" max="17" width="12.125" bestFit="1" customWidth="1"/>
    <col min="18" max="18" width="30.5" bestFit="1" customWidth="1"/>
    <col min="19" max="19" width="32.5" bestFit="1" customWidth="1"/>
    <col min="20" max="20" width="12.5" bestFit="1" customWidth="1"/>
    <col min="21" max="21" width="12" bestFit="1" customWidth="1"/>
    <col min="22" max="22" width="20.75" bestFit="1" customWidth="1"/>
    <col min="23" max="23" width="23.5" bestFit="1" customWidth="1"/>
    <col min="24" max="24" width="18.75" bestFit="1" customWidth="1"/>
    <col min="25" max="25" width="23.25" bestFit="1" customWidth="1"/>
    <col min="26" max="26" width="21" bestFit="1" customWidth="1"/>
    <col min="27" max="27" width="12" bestFit="1" customWidth="1"/>
    <col min="28" max="28" width="22" bestFit="1" customWidth="1"/>
    <col min="29" max="29" width="19.75" bestFit="1" customWidth="1"/>
    <col min="30" max="30" width="23.125" bestFit="1" customWidth="1"/>
    <col min="31" max="31" width="29.25" bestFit="1" customWidth="1"/>
    <col min="32" max="32" width="21.5" bestFit="1" customWidth="1"/>
    <col min="33" max="33" width="17.125" bestFit="1" customWidth="1"/>
    <col min="34" max="34" width="19.75" bestFit="1" customWidth="1"/>
    <col min="35" max="35" width="15" bestFit="1" customWidth="1"/>
    <col min="36" max="36" width="14" bestFit="1" customWidth="1"/>
    <col min="37" max="37" width="7.5" customWidth="1"/>
    <col min="38" max="38" width="15" bestFit="1" customWidth="1"/>
    <col min="39" max="39" width="7.75" bestFit="1" customWidth="1"/>
    <col min="40" max="40" width="158.125" bestFit="1" customWidth="1"/>
    <col min="41" max="41" width="111.75" bestFit="1" customWidth="1"/>
    <col min="42" max="42" width="17.375" bestFit="1" customWidth="1"/>
    <col min="43" max="43" width="26.75" bestFit="1" customWidth="1"/>
    <col min="44" max="44" width="46.75" bestFit="1" customWidth="1"/>
    <col min="45" max="45" width="26.75" bestFit="1" customWidth="1"/>
    <col min="46" max="46" width="52.75" bestFit="1" customWidth="1"/>
    <col min="47" max="47" width="26.75" bestFit="1" customWidth="1"/>
    <col min="48" max="48" width="67.25" bestFit="1" customWidth="1"/>
    <col min="49" max="49" width="26.75" bestFit="1" customWidth="1"/>
    <col min="50" max="50" width="40.125" bestFit="1" customWidth="1"/>
  </cols>
  <sheetData>
    <row r="1" spans="1:50" x14ac:dyDescent="0.2">
      <c r="A1" t="s">
        <v>138</v>
      </c>
      <c r="B1" t="s">
        <v>145</v>
      </c>
      <c r="C1" t="s">
        <v>222</v>
      </c>
      <c r="D1" t="s">
        <v>149</v>
      </c>
      <c r="E1" t="s">
        <v>291</v>
      </c>
      <c r="F1" t="s">
        <v>292</v>
      </c>
      <c r="G1" t="s">
        <v>125</v>
      </c>
      <c r="H1" t="s">
        <v>307</v>
      </c>
      <c r="I1" t="s">
        <v>329</v>
      </c>
      <c r="J1" t="s">
        <v>330</v>
      </c>
      <c r="K1" t="s">
        <v>331</v>
      </c>
      <c r="L1" t="s">
        <v>308</v>
      </c>
      <c r="M1" t="s">
        <v>305</v>
      </c>
      <c r="N1" t="s">
        <v>317</v>
      </c>
      <c r="O1" t="s">
        <v>332</v>
      </c>
      <c r="P1" t="s">
        <v>126</v>
      </c>
      <c r="Q1" t="s">
        <v>336</v>
      </c>
      <c r="R1" t="s">
        <v>335</v>
      </c>
      <c r="S1" t="s">
        <v>328</v>
      </c>
      <c r="T1" t="s">
        <v>36</v>
      </c>
      <c r="U1" t="s">
        <v>37</v>
      </c>
      <c r="V1" t="s">
        <v>310</v>
      </c>
      <c r="W1" t="s">
        <v>319</v>
      </c>
      <c r="X1" t="s">
        <v>311</v>
      </c>
      <c r="Y1" t="s">
        <v>312</v>
      </c>
      <c r="Z1" t="s">
        <v>314</v>
      </c>
      <c r="AA1" t="s">
        <v>315</v>
      </c>
      <c r="AB1" t="s">
        <v>313</v>
      </c>
      <c r="AC1" t="s">
        <v>316</v>
      </c>
      <c r="AD1" t="s">
        <v>322</v>
      </c>
      <c r="AE1" t="s">
        <v>323</v>
      </c>
      <c r="AF1" t="s">
        <v>324</v>
      </c>
      <c r="AG1" t="s">
        <v>309</v>
      </c>
      <c r="AH1" t="s">
        <v>306</v>
      </c>
      <c r="AI1" t="s">
        <v>318</v>
      </c>
      <c r="AJ1" t="s">
        <v>304</v>
      </c>
      <c r="AK1" t="s">
        <v>146</v>
      </c>
      <c r="AL1" t="s">
        <v>283</v>
      </c>
      <c r="AM1" t="s">
        <v>16</v>
      </c>
      <c r="AN1" t="s">
        <v>153</v>
      </c>
      <c r="AO1" t="s">
        <v>151</v>
      </c>
      <c r="AP1" t="s">
        <v>155</v>
      </c>
      <c r="AQ1" t="s">
        <v>172</v>
      </c>
      <c r="AR1" t="s">
        <v>156</v>
      </c>
      <c r="AS1" t="s">
        <v>173</v>
      </c>
      <c r="AT1" t="s">
        <v>160</v>
      </c>
      <c r="AU1" t="s">
        <v>176</v>
      </c>
      <c r="AV1" t="s">
        <v>165</v>
      </c>
      <c r="AW1" t="s">
        <v>187</v>
      </c>
      <c r="AX1" t="s">
        <v>433</v>
      </c>
    </row>
    <row r="2" spans="1:50" x14ac:dyDescent="0.2">
      <c r="A2" t="s">
        <v>0</v>
      </c>
      <c r="B2" t="s">
        <v>44</v>
      </c>
      <c r="C2" t="s">
        <v>128</v>
      </c>
      <c r="D2" t="s">
        <v>128</v>
      </c>
      <c r="E2" s="29">
        <v>0</v>
      </c>
      <c r="F2">
        <v>1</v>
      </c>
      <c r="G2">
        <f>IF(ISNUMBER(Eu_g_g_x),_xlfn.NORM.INV((1-Eu_g_konfidensniveau)/2,0,1),NA())</f>
        <v>-1.9599639845400536</v>
      </c>
      <c r="H2">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1.9599639845400536</v>
      </c>
      <c r="I2">
        <f>Eu_g_g_x+E_g_valg[[#This Row],[Venstre teststørrelse]]*Eu_g_s_x/SQRT(Eu_g_n_x)</f>
        <v>-0.58278968089955363</v>
      </c>
      <c r="J2">
        <f>Eu_g_g_x+E_g_valg[[#This Row],[Midtpunkt teststørrelse]]*Eu_g_s_x/SQRT(Eu_g_n_x)</f>
        <v>1.8540044183209705</v>
      </c>
      <c r="K2">
        <f>Eu_g_g_x+E_g_valg[[#This Row],[Højre teststørrelse]]*Eu_g_s_x/SQRT(Eu_g_n_x)</f>
        <v>4.2907985175414947</v>
      </c>
      <c r="L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-0.58299999999999996</v>
      </c>
      <c r="M2">
        <f>IF(E_g_valg[[#This Row],[Parameter]]="andel",ROUND(E_g_valg[[#This Row],[Midtpunkt label base]],5)*100&amp;"%",ROUND(E_g_valg[[#This Row],[Midtpunkt label base]],3))</f>
        <v>1.8540000000000001</v>
      </c>
      <c r="N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4.2910000000000004</v>
      </c>
      <c r="O2" t="b">
        <f>E_g_valg[[#This Row],[Teststørrelse]]=E_g_valg[[#This Row],[Venstre teststørrelse]]</f>
        <v>1</v>
      </c>
      <c r="P2" t="b">
        <f>OR(MATCH(E_g_valg[[#This Row],[Hypotese]],HypoteseRetning_liste,0)=2,MATCH(E_g_valg[[#This Row],[Hypotese]],HypoteseRetning_liste,0)=3)</f>
        <v>0</v>
      </c>
      <c r="Q2"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2" t="e">
        <f>E_g_valg[[#This Row],[p-værdi]]&gt;1-Eu_g_konfidensniveau</f>
        <v>#N/A</v>
      </c>
      <c r="S2">
        <f t="shared" ref="S2:S25" si="0">IF(Eu_g_konfidensniveau&lt;=0.998,0.999,0.99999)</f>
        <v>0.999</v>
      </c>
      <c r="T2">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
        <f>MIN(E_g_valg[[#This Row],[Teststørrelse]],E_g_valg[[#This Row],[Teststørrelse omvendt]])</f>
        <v>-1.9599639845400536</v>
      </c>
      <c r="W2">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
        <f>MAX(E_g_valg[[#This Row],[Teststørrelse]],E_g_valg[[#This Row],[Teststørrelse omvendt]])</f>
        <v>1.9599639845400536</v>
      </c>
      <c r="Y2">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2.500000000000004E-2</v>
      </c>
      <c r="Z2">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2">
        <f>E_g_valg[[#This Row],[Mindre end højre %]]-E_g_valg[[#This Row],[Mindre end venstre %]]</f>
        <v>0.95</v>
      </c>
      <c r="AB2">
        <f>1-E_g_valg[[#This Row],[Mindre end venstre %]]</f>
        <v>0.97499999999999998</v>
      </c>
      <c r="AC2">
        <f>1-E_g_valg[[#This Row],[Mindre end højre %]]</f>
        <v>2.5000000000000022E-2</v>
      </c>
      <c r="AD2"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-0.583</v>
      </c>
      <c r="AE2" t="str">
        <f>IF(OR(MATCH(E_g_valg[[#This Row],[Hypotese]],HypoteseRetning_liste,0)=1,MATCH(E_g_valg[[#This Row],[Hypotese]],HypoteseRetning_liste,0)=4),ROUND(E_g_valg[[#This Row],[Midt %]],5)*100&amp;"% mellem "&amp;E_g_valg[[#This Row],[Venstre label]]&amp;" og "&amp;E_g_valg[[#This Row],[Højre label]]," ")</f>
        <v>95% mellem -0.583 og 4.291</v>
      </c>
      <c r="AF2"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4.291</v>
      </c>
      <c r="AG2">
        <f>IF(AND(NOT(E_g_valg[[#This Row],[Orientering]]),E_g_valg[[#This Row],[Ensidet]]),(E_g_valg[[#This Row],[Højre teststørrelse]]-E_g_valg[[#This Row],[X min]])/(E_g_valg[[#This Row],[X max]]-E_g_valg[[#This Row],[X min]]),(E_g_valg[[#This Row],[Venstre teststørrelse]]-E_g_valg[[#This Row],[X min]])/(E_g_valg[[#This Row],[X max]]-E_g_valg[[#This Row],[X min]]))</f>
        <v>0.18287756544578385</v>
      </c>
      <c r="AH2">
        <f>(E_g_valg[[#This Row],[Midtpunkt teststørrelse]]-E_g_valg[[#This Row],[X min]])/(E_g_valg[[#This Row],[X max]]-E_g_valg[[#This Row],[X min]])</f>
        <v>0.5</v>
      </c>
      <c r="AI2">
        <f>IF(AND(E_g_valg[[#This Row],[Orientering]],E_g_valg[[#This Row],[Ensidet]]),(E_g_valg[[#This Row],[Venstre teststørrelse]]-E_g_valg[[#This Row],[X min]])/(E_g_valg[[#This Row],[X max]]-E_g_valg[[#This Row],[X min]]),(E_g_valg[[#This Row],[Højre teststørrelse]]-E_g_valg[[#This Row],[X min]])/(E_g_valg[[#This Row],[X max]]-E_g_valg[[#This Row],[X min]]))</f>
        <v>0.81712243455421607</v>
      </c>
      <c r="AJ2" t="s">
        <v>44</v>
      </c>
      <c r="AK2">
        <f>_xlfn.AGGREGATE(3,5,E_g_valg[[#This Row],[Parameter]])</f>
        <v>1</v>
      </c>
      <c r="AL2">
        <v>1</v>
      </c>
      <c r="AM2">
        <v>1</v>
      </c>
      <c r="AN2" t="str">
        <f>IF(E_g_valg[[#This Row],[Kontrol af forudsætning 1]],Eu_g_konfidensniveau*100&amp;"% Konfidensinterval for gennemsnit
af "&amp;Eu_g_t_x,"Kan ikke beregne konfidensinterval for gennemsnit")</f>
        <v>95% Konfidensinterval for gennemsnit
af Eksempel 1 (interval)</v>
      </c>
      <c r="AO2" t="str">
        <f>"Populationsestimat for gennemsnit fra stikprøver af størrelsen n = "&amp;Eu_g_n_x&amp;"
fra en population med gennemsnit = "&amp;IFERROR(ROUND(Eu_g_g_x,3),"Kan ikke beregnes")&amp;"
 og standardafvigelse = "&amp;IFERROR(ROUND(Eu_g_s_x,3),"Kan ikke beregnes")</f>
        <v>Populationsestimat for gennemsnit fra stikprøver af størrelsen n = 12
fra en population med gennemsnit = 1.854
 og standardafvigelse = 4.307</v>
      </c>
      <c r="AP2" t="s">
        <v>15</v>
      </c>
      <c r="AQ2" t="b">
        <f t="shared" ref="AQ2:AQ13" si="1">NOT(ISNA(Eu_g_g_x))</f>
        <v>1</v>
      </c>
      <c r="AT2" t="s">
        <v>166</v>
      </c>
      <c r="AU2" t="b">
        <f>Eu_g_n_x&gt;=30</f>
        <v>0</v>
      </c>
      <c r="AV2" t="s">
        <v>158</v>
      </c>
      <c r="AW2" t="s">
        <v>188</v>
      </c>
      <c r="AX2">
        <f>ROUNDUP((_xlfn.NORM.INV((1-Eu_g_konfidensniveau)/2,0,1)*Eu_g_s_x/Eu_g_ønsket_fejlmargin)^2,0)</f>
        <v>72</v>
      </c>
    </row>
    <row r="3" spans="1:50" x14ac:dyDescent="0.2">
      <c r="A3" t="s">
        <v>0</v>
      </c>
      <c r="B3" t="s">
        <v>44</v>
      </c>
      <c r="C3" t="s">
        <v>130</v>
      </c>
      <c r="D3" t="s">
        <v>130</v>
      </c>
      <c r="E3" s="29">
        <f>Eu_g_n_x-1</f>
        <v>11</v>
      </c>
      <c r="G3">
        <f>IF(ISNUMBER(Eu_g_g_x),_xlfn.T.INV((1-Eu_g_konfidensniveau)/2,Eu_g_n_x-1),NA())</f>
        <v>-2.2009851600916384</v>
      </c>
      <c r="H3">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2.2009851600916384</v>
      </c>
      <c r="I3">
        <f>Eu_g_g_x+E_g_valg[[#This Row],[Venstre teststørrelse]]*Eu_g_s_x/SQRT(Eu_g_n_x)</f>
        <v>-0.88244772717182807</v>
      </c>
      <c r="J3">
        <f>Eu_g_g_x+E_g_valg[[#This Row],[Midtpunkt teststørrelse]]*Eu_g_s_x/SQRT(Eu_g_n_x)</f>
        <v>1.8540044183209705</v>
      </c>
      <c r="K3">
        <f>Eu_g_g_x+E_g_valg[[#This Row],[Højre teststørrelse]]*Eu_g_s_x/SQRT(Eu_g_n_x)</f>
        <v>4.5904565638137687</v>
      </c>
      <c r="L3">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-0.88200000000000001</v>
      </c>
      <c r="M3">
        <f>IF(E_g_valg[[#This Row],[Parameter]]="andel",ROUND(E_g_valg[[#This Row],[Midtpunkt label base]],5)*100&amp;"%",ROUND(E_g_valg[[#This Row],[Midtpunkt label base]],3))</f>
        <v>1.8540000000000001</v>
      </c>
      <c r="N3">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4.59</v>
      </c>
      <c r="O3" t="b">
        <f>E_g_valg[[#This Row],[Teststørrelse]]=E_g_valg[[#This Row],[Venstre teststørrelse]]</f>
        <v>1</v>
      </c>
      <c r="P3" t="b">
        <f>OR(MATCH(E_g_valg[[#This Row],[Hypotese]],HypoteseRetning_liste,0)=2,MATCH(E_g_valg[[#This Row],[Hypotese]],HypoteseRetning_liste,0)=3)</f>
        <v>0</v>
      </c>
      <c r="Q3"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3" t="e">
        <f>E_g_valg[[#This Row],[p-værdi]]&gt;1-Eu_g_konfidensniveau</f>
        <v>#N/A</v>
      </c>
      <c r="S3">
        <f t="shared" si="0"/>
        <v>0.999</v>
      </c>
      <c r="T3">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3">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3">
        <f>MIN(E_g_valg[[#This Row],[Teststørrelse]],E_g_valg[[#This Row],[Teststørrelse omvendt]])</f>
        <v>-2.2009851600916384</v>
      </c>
      <c r="W3">
        <f>CHOOSE(MATCH(E_g_valg[[#This Row],[Fordeling]],Fordeling_liste,0),_xlfn.NORM.INV(0.5,E_g_valg[[#This Row],[Parameter 1]],E_g_valg[[#This Row],[Parameter 2]]),_xlfn.T.INV(0.5,E_g_valg[[#This Row],[Parameter 1]]),_xlfn.CHISQ.INV(0.5,E_g_valg[[#This Row],[Parameter 1]]),_xlfn.F.INV(0.5,E_g_valg[[#This Row],[Parameter 1]],E_g_valg[[#This Row],[Parameter 2]]))</f>
        <v>0</v>
      </c>
      <c r="X3">
        <f>MAX(E_g_valg[[#This Row],[Teststørrelse]],E_g_valg[[#This Row],[Teststørrelse omvendt]])</f>
        <v>2.2009851600916384</v>
      </c>
      <c r="Y3">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2.5000000000000046E-2</v>
      </c>
      <c r="Z3">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3">
        <f>E_g_valg[[#This Row],[Mindre end højre %]]-E_g_valg[[#This Row],[Mindre end venstre %]]</f>
        <v>0.95</v>
      </c>
      <c r="AB3">
        <f>1-E_g_valg[[#This Row],[Mindre end venstre %]]</f>
        <v>0.97499999999999998</v>
      </c>
      <c r="AC3">
        <f>1-E_g_valg[[#This Row],[Mindre end højre %]]</f>
        <v>2.5000000000000022E-2</v>
      </c>
      <c r="AD3"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-0.882</v>
      </c>
      <c r="AE3" t="str">
        <f>IF(OR(MATCH(E_g_valg[[#This Row],[Hypotese]],HypoteseRetning_liste,0)=1,MATCH(E_g_valg[[#This Row],[Hypotese]],HypoteseRetning_liste,0)=4),ROUND(E_g_valg[[#This Row],[Midt %]],5)*100&amp;"% mellem "&amp;E_g_valg[[#This Row],[Venstre label]]&amp;" og "&amp;E_g_valg[[#This Row],[Højre label]]," ")</f>
        <v>95% mellem -0.882 og 4.59</v>
      </c>
      <c r="AF3"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4.59</v>
      </c>
      <c r="AG3">
        <f>IF(AND(NOT(E_g_valg[[#This Row],[Orientering]]),E_g_valg[[#This Row],[Ensidet]]),(E_g_valg[[#This Row],[Højre teststørrelse]]-E_g_valg[[#This Row],[X min]])/(E_g_valg[[#This Row],[X max]]-E_g_valg[[#This Row],[X min]]),(E_g_valg[[#This Row],[Venstre teststørrelse]]-E_g_valg[[#This Row],[X min]])/(E_g_valg[[#This Row],[X max]]-E_g_valg[[#This Row],[X min]]))</f>
        <v>0.22656538466925299</v>
      </c>
      <c r="AH3">
        <f>(E_g_valg[[#This Row],[Midtpunkt teststørrelse]]-E_g_valg[[#This Row],[X min]])/(E_g_valg[[#This Row],[X max]]-E_g_valg[[#This Row],[X min]])</f>
        <v>0.5</v>
      </c>
      <c r="AI3">
        <f>IF(AND(E_g_valg[[#This Row],[Orientering]],E_g_valg[[#This Row],[Ensidet]]),(E_g_valg[[#This Row],[Venstre teststørrelse]]-E_g_valg[[#This Row],[X min]])/(E_g_valg[[#This Row],[X max]]-E_g_valg[[#This Row],[X min]]),(E_g_valg[[#This Row],[Højre teststørrelse]]-E_g_valg[[#This Row],[X min]])/(E_g_valg[[#This Row],[X max]]-E_g_valg[[#This Row],[X min]]))</f>
        <v>0.77343461533074709</v>
      </c>
      <c r="AJ3" t="s">
        <v>44</v>
      </c>
      <c r="AK3">
        <f>_xlfn.AGGREGATE(3,5,E_g_valg[[#This Row],[Parameter]])</f>
        <v>1</v>
      </c>
      <c r="AL3">
        <v>1</v>
      </c>
      <c r="AM3">
        <v>2</v>
      </c>
      <c r="AN3" t="str">
        <f>IF(E_g_valg[[#This Row],[Kontrol af forudsætning 1]],Eu_g_konfidensniveau*100&amp;"% Konfidensinterval for gennemsnit
af "&amp;Eu_g_t_x,"Kan ikke beregne konfidensinterval for gennemsnit")</f>
        <v>95% Konfidensinterval for gennemsnit
af Eksempel 1 (interval)</v>
      </c>
      <c r="AO3" t="str">
        <f>"Gennemsnit i stikprøver af størrelsen n = "&amp;Eu_g_n_x&amp;"
fra en population med gennemsnit = "&amp;IFERROR(ROUND(Eu_g_g_x,3),"Kan ikke beregnes")&amp;"
 og standardafvigelse = "&amp;IFERROR(ROUND(Eu_g_s_x,3),"Kan ikke beregnes")</f>
        <v>Gennemsnit i stikprøver af størrelsen n = 12
fra en population med gennemsnit = 1.854
 og standardafvigelse = 4.307</v>
      </c>
      <c r="AP3" t="s">
        <v>15</v>
      </c>
      <c r="AQ3" t="b">
        <f t="shared" si="1"/>
        <v>1</v>
      </c>
      <c r="AT3" t="s">
        <v>167</v>
      </c>
      <c r="AU3" t="b">
        <f>Eu_g_n_x&lt;30</f>
        <v>1</v>
      </c>
      <c r="AV3" t="s">
        <v>158</v>
      </c>
      <c r="AW3" t="s">
        <v>188</v>
      </c>
      <c r="AX3">
        <f>ROUNDUP((_xlfn.T.INV((1-Eu_g_konfidensniveau)/2,Eu_g_n_x-1)*Eu_g_s_x/Eu_g_ønsket_fejlmargin)^2,0)</f>
        <v>90</v>
      </c>
    </row>
    <row r="4" spans="1:50" x14ac:dyDescent="0.2">
      <c r="A4" t="s">
        <v>0</v>
      </c>
      <c r="B4" t="s">
        <v>44</v>
      </c>
      <c r="C4" t="s">
        <v>131</v>
      </c>
      <c r="D4" t="s">
        <v>128</v>
      </c>
      <c r="E4" s="29">
        <v>0</v>
      </c>
      <c r="F4">
        <v>1</v>
      </c>
      <c r="G4">
        <f>IF(ISNUMBER(Eu_g_g_x),_xlfn.NORM.INV((1-Eu_g_konfidensniveau)/2,0,1),NA())</f>
        <v>-1.9599639845400536</v>
      </c>
      <c r="H4">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1.9599639845400536</v>
      </c>
      <c r="I4">
        <f>Eu_g_g_x+E_g_valg[[#This Row],[Venstre teststørrelse]]*Eu_g_s_population_x/SQRT(Eu_g_n_x)</f>
        <v>1.8540044183209705</v>
      </c>
      <c r="J4">
        <f>Eu_g_g_x+E_g_valg[[#This Row],[Midtpunkt teststørrelse]]*Eu_g_s_population_x/SQRT(Eu_g_n_x)</f>
        <v>1.8540044183209705</v>
      </c>
      <c r="K4">
        <f>Eu_g_g_x+E_g_valg[[#This Row],[Højre teststørrelse]]*Eu_g_s_population_x/SQRT(Eu_g_n_x)</f>
        <v>1.8540044183209705</v>
      </c>
      <c r="L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4">
        <f>IF(E_g_valg[[#This Row],[Parameter]]="andel",ROUND(E_g_valg[[#This Row],[Midtpunkt label base]],5)*100&amp;"%",ROUND(E_g_valg[[#This Row],[Midtpunkt label base]],3))</f>
        <v>1.8540000000000001</v>
      </c>
      <c r="N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4" t="b">
        <f>E_g_valg[[#This Row],[Teststørrelse]]=E_g_valg[[#This Row],[Venstre teststørrelse]]</f>
        <v>1</v>
      </c>
      <c r="P4" t="b">
        <f>OR(MATCH(E_g_valg[[#This Row],[Hypotese]],HypoteseRetning_liste,0)=2,MATCH(E_g_valg[[#This Row],[Hypotese]],HypoteseRetning_liste,0)=3)</f>
        <v>0</v>
      </c>
      <c r="Q4"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4" t="e">
        <f>E_g_valg[[#This Row],[p-værdi]]&gt;1-Eu_g_konfidensniveau</f>
        <v>#N/A</v>
      </c>
      <c r="S4">
        <f t="shared" si="0"/>
        <v>0.999</v>
      </c>
      <c r="T4">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4">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4">
        <f>MIN(E_g_valg[[#This Row],[Teststørrelse]],E_g_valg[[#This Row],[Teststørrelse omvendt]])</f>
        <v>-1.9599639845400536</v>
      </c>
      <c r="W4">
        <f>CHOOSE(MATCH(E_g_valg[[#This Row],[Fordeling]],Fordeling_liste,0),_xlfn.NORM.INV(0.5,E_g_valg[[#This Row],[Parameter 1]],E_g_valg[[#This Row],[Parameter 2]]),_xlfn.T.INV(0.5,E_g_valg[[#This Row],[Parameter 1]]),_xlfn.CHISQ.INV(0.5,E_g_valg[[#This Row],[Parameter 1]]),_xlfn.F.INV(0.5,E_g_valg[[#This Row],[Parameter 1]],E_g_valg[[#This Row],[Parameter 2]]))</f>
        <v>0</v>
      </c>
      <c r="X4">
        <f>MAX(E_g_valg[[#This Row],[Teststørrelse]],E_g_valg[[#This Row],[Teststørrelse omvendt]])</f>
        <v>1.9599639845400536</v>
      </c>
      <c r="Y4">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2.500000000000004E-2</v>
      </c>
      <c r="Z4">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4">
        <f>E_g_valg[[#This Row],[Mindre end højre %]]-E_g_valg[[#This Row],[Mindre end venstre %]]</f>
        <v>0.95</v>
      </c>
      <c r="AB4">
        <f>1-E_g_valg[[#This Row],[Mindre end venstre %]]</f>
        <v>0.97499999999999998</v>
      </c>
      <c r="AC4">
        <f>1-E_g_valg[[#This Row],[Mindre end højre %]]</f>
        <v>2.5000000000000022E-2</v>
      </c>
      <c r="AD4"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1.854</v>
      </c>
      <c r="AE4" t="str">
        <f>IF(OR(MATCH(E_g_valg[[#This Row],[Hypotese]],HypoteseRetning_liste,0)=1,MATCH(E_g_valg[[#This Row],[Hypotese]],HypoteseRetning_liste,0)=4),ROUND(E_g_valg[[#This Row],[Midt %]],5)*100&amp;"% mellem "&amp;E_g_valg[[#This Row],[Venstre label]]&amp;" og "&amp;E_g_valg[[#This Row],[Højre label]]," ")</f>
        <v>95% mellem 1.854 og 1.854</v>
      </c>
      <c r="AF4"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1.854</v>
      </c>
      <c r="AG4">
        <f>IF(AND(NOT(E_g_valg[[#This Row],[Orientering]]),E_g_valg[[#This Row],[Ensidet]]),(E_g_valg[[#This Row],[Højre teststørrelse]]-E_g_valg[[#This Row],[X min]])/(E_g_valg[[#This Row],[X max]]-E_g_valg[[#This Row],[X min]]),(E_g_valg[[#This Row],[Venstre teststørrelse]]-E_g_valg[[#This Row],[X min]])/(E_g_valg[[#This Row],[X max]]-E_g_valg[[#This Row],[X min]]))</f>
        <v>0.18287756544578385</v>
      </c>
      <c r="AH4">
        <f>(E_g_valg[[#This Row],[Midtpunkt teststørrelse]]-E_g_valg[[#This Row],[X min]])/(E_g_valg[[#This Row],[X max]]-E_g_valg[[#This Row],[X min]])</f>
        <v>0.5</v>
      </c>
      <c r="AI4">
        <f>IF(AND(E_g_valg[[#This Row],[Orientering]],E_g_valg[[#This Row],[Ensidet]]),(E_g_valg[[#This Row],[Venstre teststørrelse]]-E_g_valg[[#This Row],[X min]])/(E_g_valg[[#This Row],[X max]]-E_g_valg[[#This Row],[X min]]),(E_g_valg[[#This Row],[Højre teststørrelse]]-E_g_valg[[#This Row],[X min]])/(E_g_valg[[#This Row],[X max]]-E_g_valg[[#This Row],[X min]]))</f>
        <v>0.81712243455421607</v>
      </c>
      <c r="AJ4" t="s">
        <v>44</v>
      </c>
      <c r="AK4">
        <f>_xlfn.AGGREGATE(3,5,E_g_valg[[#This Row],[Parameter]])</f>
        <v>1</v>
      </c>
      <c r="AL4">
        <v>1</v>
      </c>
      <c r="AM4">
        <v>3</v>
      </c>
      <c r="AN4" t="str">
        <f>IF(E_g_valg[[#This Row],[Kontrol af forudsætning 1]],Eu_g_konfidensniveau*100&amp;"% Konfidensinterval for gennemsnit
af "&amp;Eu_g_t_x,"Kan ikke beregne konfidensinterval for gennemsnit med angivet standardafvigelse")</f>
        <v>95% Konfidensinterval for gennemsnit
af Eksempel 1 (interval)</v>
      </c>
      <c r="AO4" t="str">
        <f>"Gennemsnit i stikprøver af størrelsen n = "&amp;Eu_g_n_x&amp;"
fra en population med gennemsnit = "&amp;IFERROR(ROUND(Eu_g_g_x,3),"Kan ikke beregnes")&amp;"
 og standardafvigelse = "&amp;IFERROR(ROUND(Eu_g_s_population_x,3),"Hypotese ikke angivet")</f>
        <v>Gennemsnit i stikprøver af størrelsen n = 12
fra en population med gennemsnit = 1.854
 og standardafvigelse = 0</v>
      </c>
      <c r="AP4" t="s">
        <v>15</v>
      </c>
      <c r="AQ4" t="b">
        <f t="shared" si="1"/>
        <v>1</v>
      </c>
      <c r="AT4" t="s">
        <v>177</v>
      </c>
      <c r="AU4" t="b">
        <f>NOT(ISNA(Eu_g_s_population_x))</f>
        <v>1</v>
      </c>
      <c r="AV4" t="s">
        <v>157</v>
      </c>
      <c r="AW4" t="s">
        <v>188</v>
      </c>
      <c r="AX4">
        <f>ROUNDUP((_xlfn.NORM.INV((1-Eu_g_konfidensniveau)/2,0,1)*Eu_g_s_population_x/Eu_g_ønsket_fejlmargin)^2,0)</f>
        <v>0</v>
      </c>
    </row>
    <row r="5" spans="1:50" x14ac:dyDescent="0.2">
      <c r="A5" t="s">
        <v>0</v>
      </c>
      <c r="B5" t="s">
        <v>132</v>
      </c>
      <c r="C5" t="s">
        <v>128</v>
      </c>
      <c r="D5" t="s">
        <v>128</v>
      </c>
      <c r="E5" s="29">
        <v>0</v>
      </c>
      <c r="F5">
        <v>1</v>
      </c>
      <c r="G5">
        <f>IFERROR((Eu_g_g_x-Eu_g_h0_x)/(Eu_g_s_x/SQRT(Eu_g_n_x)),NA())</f>
        <v>1.4912141687513114</v>
      </c>
      <c r="H5">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5">
        <f>E_g_valg[[#This Row],[Venstre teststørrelse]]*Eu_g_s_x/SQRT(Eu_g_n_x)+Eu_g_h0_x</f>
        <v>-1.8540044183209705</v>
      </c>
      <c r="J5">
        <f>(E_g_valg[[#This Row],[Midtpunkt teststørrelse]]*Eu_g_s_x/SQRT(Eu_g_n_x)+Eu_g_h0_x)</f>
        <v>0</v>
      </c>
      <c r="K5">
        <f>(E_g_valg[[#This Row],[Højre teststørrelse]]*Eu_g_s_x/SQRT(Eu_g_n_x)+Eu_g_h0_x)</f>
        <v>1.8540044183209705</v>
      </c>
      <c r="L5">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5">
        <f>IF(E_g_valg[[#This Row],[Parameter]]="andel",ROUND(E_g_valg[[#This Row],[Midtpunkt label base]],5)*100&amp;"%",ROUND(E_g_valg[[#This Row],[Midtpunkt label base]],3))</f>
        <v>0</v>
      </c>
      <c r="N5">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5" t="b">
        <f>E_g_valg[[#This Row],[Teststørrelse]]=E_g_valg[[#This Row],[Venstre teststørrelse]]</f>
        <v>0</v>
      </c>
      <c r="P5" t="b">
        <f>OR(MATCH(E_g_valg[[#This Row],[Hypotese]],HypoteseRetning_liste,0)=2,MATCH(E_g_valg[[#This Row],[Hypotese]],HypoteseRetning_liste,0)=3)</f>
        <v>1</v>
      </c>
      <c r="Q5">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0.93204736255089604</v>
      </c>
      <c r="R5" t="b">
        <f>E_g_valg[[#This Row],[p-værdi]]&gt;1-Eu_g_konfidensniveau</f>
        <v>1</v>
      </c>
      <c r="S5">
        <f t="shared" si="0"/>
        <v>0.999</v>
      </c>
      <c r="T5">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5">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5">
        <f>MIN(E_g_valg[[#This Row],[Teststørrelse]],E_g_valg[[#This Row],[Teststørrelse omvendt]])</f>
        <v>-1.4912141687513114</v>
      </c>
      <c r="W5">
        <f>CHOOSE(MATCH(E_g_valg[[#This Row],[Fordeling]],Fordeling_liste,0),_xlfn.NORM.INV(0.5,E_g_valg[[#This Row],[Parameter 1]],E_g_valg[[#This Row],[Parameter 2]]),_xlfn.T.INV(0.5,E_g_valg[[#This Row],[Parameter 1]]),_xlfn.CHISQ.INV(0.5,E_g_valg[[#This Row],[Parameter 1]]),_xlfn.F.INV(0.5,E_g_valg[[#This Row],[Parameter 1]],E_g_valg[[#This Row],[Parameter 2]]))</f>
        <v>0</v>
      </c>
      <c r="X5">
        <f>MAX(E_g_valg[[#This Row],[Teststørrelse]],E_g_valg[[#This Row],[Teststørrelse omvendt]])</f>
        <v>1.4912141687513114</v>
      </c>
      <c r="Y5">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5">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5">
        <f>E_g_valg[[#This Row],[Mindre end højre %]]-E_g_valg[[#This Row],[Mindre end venstre %]]</f>
        <v>0.86409472510179208</v>
      </c>
      <c r="AB5">
        <f>1-E_g_valg[[#This Row],[Mindre end venstre %]]</f>
        <v>0.93204736255089604</v>
      </c>
      <c r="AC5">
        <f>1-E_g_valg[[#This Row],[Mindre end højre %]]</f>
        <v>6.7952637449103959E-2</v>
      </c>
      <c r="AD5"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93.205% mindre end 1.854</v>
      </c>
      <c r="AE5" t="str">
        <f>IF(OR(MATCH(E_g_valg[[#This Row],[Hypotese]],HypoteseRetning_liste,0)=1,MATCH(E_g_valg[[#This Row],[Hypotese]],HypoteseRetning_liste,0)=4),ROUND(E_g_valg[[#This Row],[Midt %]],5)*100&amp;"% mellem "&amp;E_g_valg[[#This Row],[Venstre label]]&amp;" og "&amp;E_g_valg[[#This Row],[Højre label]]," ")</f>
        <v xml:space="preserve"> </v>
      </c>
      <c r="AF5"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5">
        <f>IF(AND(NOT(E_g_valg[[#This Row],[Orientering]]),E_g_valg[[#This Row],[Ensidet]]),(E_g_valg[[#This Row],[Højre teststørrelse]]-E_g_valg[[#This Row],[X min]])/(E_g_valg[[#This Row],[X max]]-E_g_valg[[#This Row],[X min]]),(E_g_valg[[#This Row],[Venstre teststørrelse]]-E_g_valg[[#This Row],[X min]])/(E_g_valg[[#This Row],[X max]]-E_g_valg[[#This Row],[X min]]))</f>
        <v>0.74127865173355867</v>
      </c>
      <c r="AH5">
        <f>(E_g_valg[[#This Row],[Midtpunkt teststørrelse]]-E_g_valg[[#This Row],[X min]])/(E_g_valg[[#This Row],[X max]]-E_g_valg[[#This Row],[X min]])</f>
        <v>0.5</v>
      </c>
      <c r="AI5">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5" t="s">
        <v>302</v>
      </c>
      <c r="AK5">
        <f>_xlfn.AGGREGATE(3,5,E_g_valg[[#This Row],[Parameter]])</f>
        <v>1</v>
      </c>
      <c r="AL5">
        <v>1</v>
      </c>
      <c r="AM5">
        <v>4</v>
      </c>
      <c r="AN5" t="str">
        <f>IF(AND(E_g_valg[[#This Row],[Kontrol af forudsætning 1]],E_g_valg[[#This Row],[Kontrol af forudsætning 2]]),"Hypotesetest om gennemsnit
Nulhypotesen om at gennemsnittet af "&amp;Eu_g_t_x&amp;" er større end "&amp;ROUND(Eu_g_h0_x,3)&amp;"
"&amp;IF(E_g_valg[[#This Row],[Nulhypotese kan ikke afvises]],"kan ikke ","")&amp;"afvises med "&amp;Eu_g_konfidensniveau*100&amp;"% konfidens","Kan ikke beregne hypotesetest om gennemsnit")</f>
        <v>Hypotesetest om gennemsnit
Nulhypotesen om at gennemsnittet af Eksempel 1 (interval) er større end 0
kan ikke afvises med 95% konfidens</v>
      </c>
      <c r="AO5"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5" t="s">
        <v>15</v>
      </c>
      <c r="AQ5" t="b">
        <f t="shared" si="1"/>
        <v>1</v>
      </c>
      <c r="AR5" t="s">
        <v>174</v>
      </c>
      <c r="AS5" t="b">
        <f t="shared" ref="AS5:AS13" si="2">NOT(ISNA(Eu_g_h0_x))</f>
        <v>1</v>
      </c>
      <c r="AT5" t="s">
        <v>166</v>
      </c>
      <c r="AU5" t="b">
        <f>Eu_g_n_x&gt;=30</f>
        <v>0</v>
      </c>
      <c r="AV5" t="s">
        <v>158</v>
      </c>
      <c r="AW5" t="s">
        <v>188</v>
      </c>
    </row>
    <row r="6" spans="1:50" x14ac:dyDescent="0.2">
      <c r="A6" t="s">
        <v>0</v>
      </c>
      <c r="B6" t="s">
        <v>132</v>
      </c>
      <c r="C6" t="s">
        <v>130</v>
      </c>
      <c r="D6" t="s">
        <v>130</v>
      </c>
      <c r="E6" s="29">
        <f>Eu_g_n_x-1</f>
        <v>11</v>
      </c>
      <c r="G6">
        <f>IFERROR((Eu_g_g_x-Eu_g_h0_x)/(Eu_g_s_x/SQRT(Eu_g_n_x)),NA())</f>
        <v>1.4912141687513114</v>
      </c>
      <c r="H6">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6">
        <f>(E_g_valg[[#This Row],[Venstre teststørrelse]]*Eu_g_s_x/SQRT(Eu_g_n_x)+Eu_g_h0_x)</f>
        <v>-1.8540044183209705</v>
      </c>
      <c r="J6">
        <f>(E_g_valg[[#This Row],[Midtpunkt teststørrelse]]*Eu_g_s_x/SQRT(Eu_g_n_x)+Eu_g_h0_x)</f>
        <v>0</v>
      </c>
      <c r="K6">
        <f>(E_g_valg[[#This Row],[Højre teststørrelse]]*Eu_g_s_x/SQRT(Eu_g_n_x)+Eu_g_h0_x)</f>
        <v>1.8540044183209705</v>
      </c>
      <c r="L6">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6">
        <f>IF(E_g_valg[[#This Row],[Parameter]]="andel",ROUND(E_g_valg[[#This Row],[Midtpunkt label base]],5)*100&amp;"%",ROUND(E_g_valg[[#This Row],[Midtpunkt label base]],3))</f>
        <v>0</v>
      </c>
      <c r="N6">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6" t="b">
        <f>E_g_valg[[#This Row],[Teststørrelse]]=E_g_valg[[#This Row],[Venstre teststørrelse]]</f>
        <v>0</v>
      </c>
      <c r="P6" t="b">
        <f>OR(MATCH(E_g_valg[[#This Row],[Hypotese]],HypoteseRetning_liste,0)=2,MATCH(E_g_valg[[#This Row],[Hypotese]],HypoteseRetning_liste,0)=3)</f>
        <v>1</v>
      </c>
      <c r="Q6">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0.91799252704365397</v>
      </c>
      <c r="R6" t="b">
        <f>E_g_valg[[#This Row],[p-værdi]]&gt;1-Eu_g_konfidensniveau</f>
        <v>1</v>
      </c>
      <c r="S6">
        <f t="shared" si="0"/>
        <v>0.999</v>
      </c>
      <c r="T6">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6">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6">
        <f>MIN(E_g_valg[[#This Row],[Teststørrelse]],E_g_valg[[#This Row],[Teststørrelse omvendt]])</f>
        <v>-1.4912141687513114</v>
      </c>
      <c r="W6">
        <f>CHOOSE(MATCH(E_g_valg[[#This Row],[Fordeling]],Fordeling_liste,0),_xlfn.NORM.INV(0.5,E_g_valg[[#This Row],[Parameter 1]],E_g_valg[[#This Row],[Parameter 2]]),_xlfn.T.INV(0.5,E_g_valg[[#This Row],[Parameter 1]]),_xlfn.CHISQ.INV(0.5,E_g_valg[[#This Row],[Parameter 1]]),_xlfn.F.INV(0.5,E_g_valg[[#This Row],[Parameter 1]],E_g_valg[[#This Row],[Parameter 2]]))</f>
        <v>0</v>
      </c>
      <c r="X6">
        <f>MAX(E_g_valg[[#This Row],[Teststørrelse]],E_g_valg[[#This Row],[Teststørrelse omvendt]])</f>
        <v>1.4912141687513114</v>
      </c>
      <c r="Y6">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6">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6">
        <f>E_g_valg[[#This Row],[Mindre end højre %]]-E_g_valg[[#This Row],[Mindre end venstre %]]</f>
        <v>0.83598505408730794</v>
      </c>
      <c r="AB6">
        <f>1-E_g_valg[[#This Row],[Mindre end venstre %]]</f>
        <v>0.91799252704365397</v>
      </c>
      <c r="AC6">
        <f>1-E_g_valg[[#This Row],[Mindre end højre %]]</f>
        <v>8.2007472956346028E-2</v>
      </c>
      <c r="AD6"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91.799% mindre end 1.854</v>
      </c>
      <c r="AE6" t="str">
        <f>IF(OR(MATCH(E_g_valg[[#This Row],[Hypotese]],HypoteseRetning_liste,0)=1,MATCH(E_g_valg[[#This Row],[Hypotese]],HypoteseRetning_liste,0)=4),ROUND(E_g_valg[[#This Row],[Midt %]],5)*100&amp;"% mellem "&amp;E_g_valg[[#This Row],[Venstre label]]&amp;" og "&amp;E_g_valg[[#This Row],[Højre label]]," ")</f>
        <v xml:space="preserve"> </v>
      </c>
      <c r="AF6"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6">
        <f>IF(AND(NOT(E_g_valg[[#This Row],[Orientering]]),E_g_valg[[#This Row],[Ensidet]]),(E_g_valg[[#This Row],[Højre teststørrelse]]-E_g_valg[[#This Row],[X min]])/(E_g_valg[[#This Row],[X max]]-E_g_valg[[#This Row],[X min]]),(E_g_valg[[#This Row],[Venstre teststørrelse]]-E_g_valg[[#This Row],[X min]])/(E_g_valg[[#This Row],[X max]]-E_g_valg[[#This Row],[X min]]))</f>
        <v>0.68525775639091435</v>
      </c>
      <c r="AH6">
        <f>(E_g_valg[[#This Row],[Midtpunkt teststørrelse]]-E_g_valg[[#This Row],[X min]])/(E_g_valg[[#This Row],[X max]]-E_g_valg[[#This Row],[X min]])</f>
        <v>0.5</v>
      </c>
      <c r="AI6">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6" t="s">
        <v>302</v>
      </c>
      <c r="AK6">
        <f>_xlfn.AGGREGATE(3,5,E_g_valg[[#This Row],[Parameter]])</f>
        <v>1</v>
      </c>
      <c r="AL6">
        <v>1</v>
      </c>
      <c r="AM6">
        <v>5</v>
      </c>
      <c r="AN6" t="str">
        <f>IF(AND(E_g_valg[[#This Row],[Kontrol af forudsætning 1]],E_g_valg[[#This Row],[Kontrol af forudsætning 2]]),"Hypotesetest om gennemsnit
Nulhypotesen om at gennemsnittet af "&amp;Eu_g_t_x&amp;" er større end "&amp;ROUND(Eu_g_h0_x,3)&amp;"
"&amp;IF(E_g_valg[[#This Row],[Nulhypotese kan ikke afvises]],"kan ikke ","")&amp;"afvises med "&amp;Eu_g_konfidensniveau*100&amp;"% konfidens","Kan ikke beregne hypotesetest om gennemsnit")</f>
        <v>Hypotesetest om gennemsnit
Nulhypotesen om at gennemsnittet af Eksempel 1 (interval) er større end 0
kan ikke afvises med 95% konfidens</v>
      </c>
      <c r="AO6"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6" t="s">
        <v>15</v>
      </c>
      <c r="AQ6" t="b">
        <f t="shared" si="1"/>
        <v>1</v>
      </c>
      <c r="AR6" t="s">
        <v>174</v>
      </c>
      <c r="AS6" t="b">
        <f t="shared" si="2"/>
        <v>1</v>
      </c>
      <c r="AT6" t="s">
        <v>167</v>
      </c>
      <c r="AU6" t="b">
        <f>Eu_g_n_x&lt;30</f>
        <v>1</v>
      </c>
      <c r="AV6" t="s">
        <v>158</v>
      </c>
      <c r="AW6" t="s">
        <v>188</v>
      </c>
    </row>
    <row r="7" spans="1:50" x14ac:dyDescent="0.2">
      <c r="A7" t="s">
        <v>0</v>
      </c>
      <c r="B7" t="s">
        <v>132</v>
      </c>
      <c r="C7" t="s">
        <v>131</v>
      </c>
      <c r="D7" t="s">
        <v>128</v>
      </c>
      <c r="E7" s="29">
        <v>0</v>
      </c>
      <c r="F7">
        <v>1</v>
      </c>
      <c r="G7" t="e">
        <f>IFERROR((Eu_g_g_x-Eu_g_h0_x)/(Eu_g_s_population_x/SQRT(Eu_g_n_x)),NA())</f>
        <v>#N/A</v>
      </c>
      <c r="H7"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7" t="e">
        <f>(E_g_valg[[#This Row],[Venstre teststørrelse]]*Eu_g_s_population_x/SQRT(Eu_g_n_x)+Eu_g_h0_x)</f>
        <v>#N/A</v>
      </c>
      <c r="J7">
        <f>(E_g_valg[[#This Row],[Midtpunkt teststørrelse]]*Eu_g_s_population_x/SQRT(Eu_g_n_x)+Eu_g_h0_x)</f>
        <v>0</v>
      </c>
      <c r="K7" t="e">
        <f>(E_g_valg[[#This Row],[Højre teststørrelse]]*Eu_g_s_population_x/SQRT(Eu_g_n_x)+Eu_g_h0_x)</f>
        <v>#N/A</v>
      </c>
      <c r="L7"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7">
        <f>IF(E_g_valg[[#This Row],[Parameter]]="andel",ROUND(E_g_valg[[#This Row],[Midtpunkt label base]],5)*100&amp;"%",ROUND(E_g_valg[[#This Row],[Midtpunkt label base]],3))</f>
        <v>0</v>
      </c>
      <c r="N7"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7" t="e">
        <f>E_g_valg[[#This Row],[Teststørrelse]]=E_g_valg[[#This Row],[Venstre teststørrelse]]</f>
        <v>#N/A</v>
      </c>
      <c r="P7" t="b">
        <f>OR(MATCH(E_g_valg[[#This Row],[Hypotese]],HypoteseRetning_liste,0)=2,MATCH(E_g_valg[[#This Row],[Hypotese]],HypoteseRetning_liste,0)=3)</f>
        <v>1</v>
      </c>
      <c r="Q7"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7" t="e">
        <f>E_g_valg[[#This Row],[p-værdi]]&gt;1-Eu_g_konfidensniveau</f>
        <v>#N/A</v>
      </c>
      <c r="S7">
        <f t="shared" si="0"/>
        <v>0.999</v>
      </c>
      <c r="T7">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7">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7" t="e">
        <f>MIN(E_g_valg[[#This Row],[Teststørrelse]],E_g_valg[[#This Row],[Teststørrelse omvendt]])</f>
        <v>#N/A</v>
      </c>
      <c r="W7">
        <f>CHOOSE(MATCH(E_g_valg[[#This Row],[Fordeling]],Fordeling_liste,0),_xlfn.NORM.INV(0.5,E_g_valg[[#This Row],[Parameter 1]],E_g_valg[[#This Row],[Parameter 2]]),_xlfn.T.INV(0.5,E_g_valg[[#This Row],[Parameter 1]]),_xlfn.CHISQ.INV(0.5,E_g_valg[[#This Row],[Parameter 1]]),_xlfn.F.INV(0.5,E_g_valg[[#This Row],[Parameter 1]],E_g_valg[[#This Row],[Parameter 2]]))</f>
        <v>0</v>
      </c>
      <c r="X7" t="e">
        <f>MAX(E_g_valg[[#This Row],[Teststørrelse]],E_g_valg[[#This Row],[Teststørrelse omvendt]])</f>
        <v>#N/A</v>
      </c>
      <c r="Y7"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7"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7" t="e">
        <f>E_g_valg[[#This Row],[Mindre end højre %]]-E_g_valg[[#This Row],[Mindre end venstre %]]</f>
        <v>#N/A</v>
      </c>
      <c r="AB7" t="e">
        <f>1-E_g_valg[[#This Row],[Mindre end venstre %]]</f>
        <v>#N/A</v>
      </c>
      <c r="AC7" t="e">
        <f>1-E_g_valg[[#This Row],[Mindre end højre %]]</f>
        <v>#N/A</v>
      </c>
      <c r="AD7"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7" t="str">
        <f>IF(OR(MATCH(E_g_valg[[#This Row],[Hypotese]],HypoteseRetning_liste,0)=1,MATCH(E_g_valg[[#This Row],[Hypotese]],HypoteseRetning_liste,0)=4),ROUND(E_g_valg[[#This Row],[Midt %]],5)*100&amp;"% mellem "&amp;E_g_valg[[#This Row],[Venstre label]]&amp;" og "&amp;E_g_valg[[#This Row],[Højre label]]," ")</f>
        <v xml:space="preserve"> </v>
      </c>
      <c r="AF7"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7" t="e">
        <f>IF(AND(NOT(E_g_valg[[#This Row],[Orientering]]),E_g_valg[[#This Row],[Ensidet]]),(E_g_valg[[#This Row],[Højre teststørrelse]]-E_g_valg[[#This Row],[X min]])/(E_g_valg[[#This Row],[X max]]-E_g_valg[[#This Row],[X min]]),(E_g_valg[[#This Row],[Venstre teststørrelse]]-E_g_valg[[#This Row],[X min]])/(E_g_valg[[#This Row],[X max]]-E_g_valg[[#This Row],[X min]]))</f>
        <v>#N/A</v>
      </c>
      <c r="AH7">
        <f>(E_g_valg[[#This Row],[Midtpunkt teststørrelse]]-E_g_valg[[#This Row],[X min]])/(E_g_valg[[#This Row],[X max]]-E_g_valg[[#This Row],[X min]])</f>
        <v>0.5</v>
      </c>
      <c r="AI7" t="e">
        <f>IF(AND(E_g_valg[[#This Row],[Orientering]],E_g_valg[[#This Row],[Ensidet]]),(E_g_valg[[#This Row],[Venstre teststørrelse]]-E_g_valg[[#This Row],[X min]])/(E_g_valg[[#This Row],[X max]]-E_g_valg[[#This Row],[X min]]),(E_g_valg[[#This Row],[Højre teststørrelse]]-E_g_valg[[#This Row],[X min]])/(E_g_valg[[#This Row],[X max]]-E_g_valg[[#This Row],[X min]]))</f>
        <v>#N/A</v>
      </c>
      <c r="AJ7" t="s">
        <v>302</v>
      </c>
      <c r="AK7">
        <f>_xlfn.AGGREGATE(3,5,E_g_valg[[#This Row],[Parameter]])</f>
        <v>1</v>
      </c>
      <c r="AL7">
        <v>1</v>
      </c>
      <c r="AM7">
        <v>6</v>
      </c>
      <c r="AN7" t="e">
        <f>IF(AND(E_g_valg[[#This Row],[Kontrol af forudsætning 1]],E_g_valg[[#This Row],[Kontrol af forudsætning 2]],E_g_valg[[#This Row],[Kontrol af forudsætning 3]]),"Hypotesetest om gennemsnit
Nulhypotesen om at gennemsnittet af "&amp;Eu_g_t_x&amp;" er større end "&amp;ROUND(Eu_g_h0_x,3)&amp;"
"&amp;IF(E_g_valg[[#This Row],[Nulhypotese kan ikke afvises]],"kan ikke ","")&amp;"afvises med "&amp;Eu_g_konfidensniveau*100&amp;"% konfidens","Kan ikke beregne hypotesetest om gennemsnit med angivet standardafvigelse")</f>
        <v>#N/A</v>
      </c>
      <c r="AO7"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7" t="s">
        <v>15</v>
      </c>
      <c r="AQ7" t="b">
        <f t="shared" si="1"/>
        <v>1</v>
      </c>
      <c r="AR7" t="s">
        <v>174</v>
      </c>
      <c r="AS7" t="b">
        <f t="shared" si="2"/>
        <v>1</v>
      </c>
      <c r="AT7" t="s">
        <v>177</v>
      </c>
      <c r="AU7" t="b">
        <f>NOT(ISNA(Eu_g_s_population_x))</f>
        <v>1</v>
      </c>
      <c r="AV7" t="s">
        <v>157</v>
      </c>
      <c r="AW7" t="s">
        <v>188</v>
      </c>
    </row>
    <row r="8" spans="1:50" x14ac:dyDescent="0.2">
      <c r="A8" t="s">
        <v>0</v>
      </c>
      <c r="B8" t="s">
        <v>133</v>
      </c>
      <c r="C8" t="s">
        <v>128</v>
      </c>
      <c r="D8" t="s">
        <v>128</v>
      </c>
      <c r="E8" s="29">
        <v>0</v>
      </c>
      <c r="F8">
        <v>1</v>
      </c>
      <c r="G8">
        <f>IFERROR((Eu_g_g_x-Eu_g_h0_x)/(Eu_g_s_x/SQRT(Eu_g_n_x)),NA())</f>
        <v>1.4912141687513114</v>
      </c>
      <c r="H8">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8">
        <f>(E_g_valg[[#This Row],[Venstre teststørrelse]]*Eu_g_s_x/SQRT(Eu_g_n_x)+Eu_g_h0_x)</f>
        <v>-1.8540044183209705</v>
      </c>
      <c r="J8">
        <f>(E_g_valg[[#This Row],[Midtpunkt teststørrelse]]*Eu_g_s_x/SQRT(Eu_g_n_x)+Eu_g_h0_x)</f>
        <v>0</v>
      </c>
      <c r="K8">
        <f>(E_g_valg[[#This Row],[Højre teststørrelse]]*Eu_g_s_x/SQRT(Eu_g_n_x)+Eu_g_h0_x)</f>
        <v>1.8540044183209705</v>
      </c>
      <c r="L8">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8">
        <f>IF(E_g_valg[[#This Row],[Parameter]]="andel",ROUND(E_g_valg[[#This Row],[Midtpunkt label base]],5)*100&amp;"%",ROUND(E_g_valg[[#This Row],[Midtpunkt label base]],3))</f>
        <v>0</v>
      </c>
      <c r="N8">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8" t="b">
        <f>E_g_valg[[#This Row],[Teststørrelse]]=E_g_valg[[#This Row],[Venstre teststørrelse]]</f>
        <v>0</v>
      </c>
      <c r="P8" t="b">
        <f>OR(MATCH(E_g_valg[[#This Row],[Hypotese]],HypoteseRetning_liste,0)=2,MATCH(E_g_valg[[#This Row],[Hypotese]],HypoteseRetning_liste,0)=3)</f>
        <v>1</v>
      </c>
      <c r="Q8">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6.7952637449103959E-2</v>
      </c>
      <c r="R8" t="b">
        <f>E_g_valg[[#This Row],[p-værdi]]&gt;1-Eu_g_konfidensniveau</f>
        <v>1</v>
      </c>
      <c r="S8">
        <f t="shared" si="0"/>
        <v>0.999</v>
      </c>
      <c r="T8">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8">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8">
        <f>MIN(E_g_valg[[#This Row],[Teststørrelse]],E_g_valg[[#This Row],[Teststørrelse omvendt]])</f>
        <v>-1.4912141687513114</v>
      </c>
      <c r="W8">
        <f>CHOOSE(MATCH(E_g_valg[[#This Row],[Fordeling]],Fordeling_liste,0),_xlfn.NORM.INV(0.5,E_g_valg[[#This Row],[Parameter 1]],E_g_valg[[#This Row],[Parameter 2]]),_xlfn.T.INV(0.5,E_g_valg[[#This Row],[Parameter 1]]),_xlfn.CHISQ.INV(0.5,E_g_valg[[#This Row],[Parameter 1]]),_xlfn.F.INV(0.5,E_g_valg[[#This Row],[Parameter 1]],E_g_valg[[#This Row],[Parameter 2]]))</f>
        <v>0</v>
      </c>
      <c r="X8">
        <f>MAX(E_g_valg[[#This Row],[Teststørrelse]],E_g_valg[[#This Row],[Teststørrelse omvendt]])</f>
        <v>1.4912141687513114</v>
      </c>
      <c r="Y8">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8">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8">
        <f>E_g_valg[[#This Row],[Mindre end højre %]]-E_g_valg[[#This Row],[Mindre end venstre %]]</f>
        <v>0.86409472510179208</v>
      </c>
      <c r="AB8">
        <f>1-E_g_valg[[#This Row],[Mindre end venstre %]]</f>
        <v>0.93204736255089604</v>
      </c>
      <c r="AC8">
        <f>1-E_g_valg[[#This Row],[Mindre end højre %]]</f>
        <v>6.7952637449103959E-2</v>
      </c>
      <c r="AD8"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93.205% mindre end 1.854</v>
      </c>
      <c r="AE8" t="str">
        <f>IF(OR(MATCH(E_g_valg[[#This Row],[Hypotese]],HypoteseRetning_liste,0)=1,MATCH(E_g_valg[[#This Row],[Hypotese]],HypoteseRetning_liste,0)=4),ROUND(E_g_valg[[#This Row],[Midt %]],5)*100&amp;"% mellem "&amp;E_g_valg[[#This Row],[Venstre label]]&amp;" og "&amp;E_g_valg[[#This Row],[Højre label]]," ")</f>
        <v xml:space="preserve"> </v>
      </c>
      <c r="AF8"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8">
        <f>IF(AND(NOT(E_g_valg[[#This Row],[Orientering]]),E_g_valg[[#This Row],[Ensidet]]),(E_g_valg[[#This Row],[Højre teststørrelse]]-E_g_valg[[#This Row],[X min]])/(E_g_valg[[#This Row],[X max]]-E_g_valg[[#This Row],[X min]]),(E_g_valg[[#This Row],[Venstre teststørrelse]]-E_g_valg[[#This Row],[X min]])/(E_g_valg[[#This Row],[X max]]-E_g_valg[[#This Row],[X min]]))</f>
        <v>0.74127865173355867</v>
      </c>
      <c r="AH8">
        <f>(E_g_valg[[#This Row],[Midtpunkt teststørrelse]]-E_g_valg[[#This Row],[X min]])/(E_g_valg[[#This Row],[X max]]-E_g_valg[[#This Row],[X min]])</f>
        <v>0.5</v>
      </c>
      <c r="AI8">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8" t="s">
        <v>303</v>
      </c>
      <c r="AK8">
        <f>_xlfn.AGGREGATE(3,5,E_g_valg[[#This Row],[Parameter]])</f>
        <v>1</v>
      </c>
      <c r="AL8">
        <v>1</v>
      </c>
      <c r="AM8">
        <v>7</v>
      </c>
      <c r="AN8" t="str">
        <f>IF(AND(E_g_valg[[#This Row],[Kontrol af forudsætning 1]],E_g_valg[[#This Row],[Kontrol af forudsætning 2]]),"Hypotesetest om gennemsnit
Nulhypotesen om at gennemsnittet af "&amp;Eu_g_t_x&amp;" er mindre end "&amp;ROUND(Eu_g_h0_x,3)&amp;"
"&amp;IF(E_g_valg[[#This Row],[Nulhypotese kan ikke afvises]],"kan ikke ","")&amp;"afvises med "&amp;Eu_g_konfidensniveau*100&amp;"% konfidens","Kan ikke beregne hypotesetest om gennemsnit")</f>
        <v>Hypotesetest om gennemsnit
Nulhypotesen om at gennemsnittet af Eksempel 1 (interval) er mindre end 0
kan ikke afvises med 95% konfidens</v>
      </c>
      <c r="AO8"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8" t="s">
        <v>15</v>
      </c>
      <c r="AQ8" t="b">
        <f t="shared" si="1"/>
        <v>1</v>
      </c>
      <c r="AR8" t="s">
        <v>174</v>
      </c>
      <c r="AS8" t="b">
        <f t="shared" si="2"/>
        <v>1</v>
      </c>
      <c r="AT8" t="s">
        <v>166</v>
      </c>
      <c r="AU8" t="b">
        <f>Eu_g_n_x&gt;=30</f>
        <v>0</v>
      </c>
      <c r="AV8" t="s">
        <v>158</v>
      </c>
      <c r="AW8" t="s">
        <v>188</v>
      </c>
    </row>
    <row r="9" spans="1:50" x14ac:dyDescent="0.2">
      <c r="A9" t="s">
        <v>0</v>
      </c>
      <c r="B9" t="s">
        <v>133</v>
      </c>
      <c r="C9" t="s">
        <v>130</v>
      </c>
      <c r="D9" t="s">
        <v>130</v>
      </c>
      <c r="E9" s="29">
        <f>Eu_g_n_x-1</f>
        <v>11</v>
      </c>
      <c r="G9">
        <f>IFERROR((Eu_g_g_x-Eu_g_h0_x)/(Eu_g_s_x/SQRT(Eu_g_n_x)),NA())</f>
        <v>1.4912141687513114</v>
      </c>
      <c r="H9">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9">
        <f>(E_g_valg[[#This Row],[Venstre teststørrelse]]*Eu_g_s_x/SQRT(Eu_g_n_x)+Eu_g_h0_x)</f>
        <v>-1.8540044183209705</v>
      </c>
      <c r="J9">
        <f>(E_g_valg[[#This Row],[Midtpunkt teststørrelse]]*Eu_g_s_x/SQRT(Eu_g_n_x)+Eu_g_h0_x)</f>
        <v>0</v>
      </c>
      <c r="K9">
        <f>(E_g_valg[[#This Row],[Højre teststørrelse]]*Eu_g_s_x/SQRT(Eu_g_n_x)+Eu_g_h0_x)</f>
        <v>1.8540044183209705</v>
      </c>
      <c r="L9">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9">
        <f>IF(E_g_valg[[#This Row],[Parameter]]="andel",ROUND(E_g_valg[[#This Row],[Midtpunkt label base]],5)*100&amp;"%",ROUND(E_g_valg[[#This Row],[Midtpunkt label base]],3))</f>
        <v>0</v>
      </c>
      <c r="N9">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9" t="b">
        <f>E_g_valg[[#This Row],[Teststørrelse]]=E_g_valg[[#This Row],[Venstre teststørrelse]]</f>
        <v>0</v>
      </c>
      <c r="P9" t="b">
        <f>OR(MATCH(E_g_valg[[#This Row],[Hypotese]],HypoteseRetning_liste,0)=2,MATCH(E_g_valg[[#This Row],[Hypotese]],HypoteseRetning_liste,0)=3)</f>
        <v>1</v>
      </c>
      <c r="Q9">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8.2007472956346028E-2</v>
      </c>
      <c r="R9" t="b">
        <f>E_g_valg[[#This Row],[p-værdi]]&gt;1-Eu_g_konfidensniveau</f>
        <v>1</v>
      </c>
      <c r="S9">
        <f t="shared" si="0"/>
        <v>0.999</v>
      </c>
      <c r="T9">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9">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9">
        <f>MIN(E_g_valg[[#This Row],[Teststørrelse]],E_g_valg[[#This Row],[Teststørrelse omvendt]])</f>
        <v>-1.4912141687513114</v>
      </c>
      <c r="W9">
        <f>CHOOSE(MATCH(E_g_valg[[#This Row],[Fordeling]],Fordeling_liste,0),_xlfn.NORM.INV(0.5,E_g_valg[[#This Row],[Parameter 1]],E_g_valg[[#This Row],[Parameter 2]]),_xlfn.T.INV(0.5,E_g_valg[[#This Row],[Parameter 1]]),_xlfn.CHISQ.INV(0.5,E_g_valg[[#This Row],[Parameter 1]]),_xlfn.F.INV(0.5,E_g_valg[[#This Row],[Parameter 1]],E_g_valg[[#This Row],[Parameter 2]]))</f>
        <v>0</v>
      </c>
      <c r="X9">
        <f>MAX(E_g_valg[[#This Row],[Teststørrelse]],E_g_valg[[#This Row],[Teststørrelse omvendt]])</f>
        <v>1.4912141687513114</v>
      </c>
      <c r="Y9">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9">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9">
        <f>E_g_valg[[#This Row],[Mindre end højre %]]-E_g_valg[[#This Row],[Mindre end venstre %]]</f>
        <v>0.83598505408730794</v>
      </c>
      <c r="AB9">
        <f>1-E_g_valg[[#This Row],[Mindre end venstre %]]</f>
        <v>0.91799252704365397</v>
      </c>
      <c r="AC9">
        <f>1-E_g_valg[[#This Row],[Mindre end højre %]]</f>
        <v>8.2007472956346028E-2</v>
      </c>
      <c r="AD9"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91.799% mindre end 1.854</v>
      </c>
      <c r="AE9" t="str">
        <f>IF(OR(MATCH(E_g_valg[[#This Row],[Hypotese]],HypoteseRetning_liste,0)=1,MATCH(E_g_valg[[#This Row],[Hypotese]],HypoteseRetning_liste,0)=4),ROUND(E_g_valg[[#This Row],[Midt %]],5)*100&amp;"% mellem "&amp;E_g_valg[[#This Row],[Venstre label]]&amp;" og "&amp;E_g_valg[[#This Row],[Højre label]]," ")</f>
        <v xml:space="preserve"> </v>
      </c>
      <c r="AF9"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9">
        <f>IF(AND(NOT(E_g_valg[[#This Row],[Orientering]]),E_g_valg[[#This Row],[Ensidet]]),(E_g_valg[[#This Row],[Højre teststørrelse]]-E_g_valg[[#This Row],[X min]])/(E_g_valg[[#This Row],[X max]]-E_g_valg[[#This Row],[X min]]),(E_g_valg[[#This Row],[Venstre teststørrelse]]-E_g_valg[[#This Row],[X min]])/(E_g_valg[[#This Row],[X max]]-E_g_valg[[#This Row],[X min]]))</f>
        <v>0.68525775639091435</v>
      </c>
      <c r="AH9">
        <f>(E_g_valg[[#This Row],[Midtpunkt teststørrelse]]-E_g_valg[[#This Row],[X min]])/(E_g_valg[[#This Row],[X max]]-E_g_valg[[#This Row],[X min]])</f>
        <v>0.5</v>
      </c>
      <c r="AI9">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9" t="s">
        <v>303</v>
      </c>
      <c r="AK9">
        <f>_xlfn.AGGREGATE(3,5,E_g_valg[[#This Row],[Parameter]])</f>
        <v>1</v>
      </c>
      <c r="AL9">
        <v>1</v>
      </c>
      <c r="AM9">
        <v>8</v>
      </c>
      <c r="AN9" t="str">
        <f>IF(AND(E_g_valg[[#This Row],[Kontrol af forudsætning 1]],E_g_valg[[#This Row],[Kontrol af forudsætning 2]]),"Hypotesetest om gennemsnit
Nulhypotesen om at gennemsnittet af "&amp;Eu_g_t_x&amp;" er mindre end "&amp;ROUND(Eu_g_h0_x,3)&amp;"
"&amp;IF(E_g_valg[[#This Row],[Nulhypotese kan ikke afvises]],"kan ikke ","")&amp;"afvises med "&amp;Eu_g_konfidensniveau*100&amp;"% konfidens","Kan ikke beregne hypotesetest om gennemsnit")</f>
        <v>Hypotesetest om gennemsnit
Nulhypotesen om at gennemsnittet af Eksempel 1 (interval) er mindre end 0
kan ikke afvises med 95% konfidens</v>
      </c>
      <c r="AO9"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9" t="s">
        <v>15</v>
      </c>
      <c r="AQ9" t="b">
        <f t="shared" si="1"/>
        <v>1</v>
      </c>
      <c r="AR9" t="s">
        <v>174</v>
      </c>
      <c r="AS9" t="b">
        <f t="shared" si="2"/>
        <v>1</v>
      </c>
      <c r="AT9" t="s">
        <v>167</v>
      </c>
      <c r="AU9" t="b">
        <f>Eu_g_n_x&lt;30</f>
        <v>1</v>
      </c>
      <c r="AV9" t="s">
        <v>158</v>
      </c>
      <c r="AW9" t="s">
        <v>188</v>
      </c>
    </row>
    <row r="10" spans="1:50" x14ac:dyDescent="0.2">
      <c r="A10" t="s">
        <v>0</v>
      </c>
      <c r="B10" t="s">
        <v>133</v>
      </c>
      <c r="C10" t="s">
        <v>131</v>
      </c>
      <c r="D10" t="s">
        <v>128</v>
      </c>
      <c r="E10" s="29">
        <v>0</v>
      </c>
      <c r="F10">
        <v>1</v>
      </c>
      <c r="G10" t="e">
        <f>IFERROR((Eu_g_g_x-Eu_g_h0_x)/(Eu_g_s_population_x/SQRT(Eu_g_n_x)),NA())</f>
        <v>#N/A</v>
      </c>
      <c r="H10"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0" t="e">
        <f>(E_g_valg[[#This Row],[Venstre teststørrelse]]*Eu_g_s_population_x/SQRT(Eu_g_n_x)+Eu_g_h0_x)</f>
        <v>#N/A</v>
      </c>
      <c r="J10">
        <f>(E_g_valg[[#This Row],[Midtpunkt teststørrelse]]*Eu_g_s_population_x/SQRT(Eu_g_n_x)+Eu_g_h0_x)</f>
        <v>0</v>
      </c>
      <c r="K10" t="e">
        <f>(E_g_valg[[#This Row],[Højre teststørrelse]]*Eu_g_s_population_x/SQRT(Eu_g_n_x)+Eu_g_h0_x)</f>
        <v>#N/A</v>
      </c>
      <c r="L10"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0">
        <f>IF(E_g_valg[[#This Row],[Parameter]]="andel",ROUND(E_g_valg[[#This Row],[Midtpunkt label base]],5)*100&amp;"%",ROUND(E_g_valg[[#This Row],[Midtpunkt label base]],3))</f>
        <v>0</v>
      </c>
      <c r="N10"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0" t="e">
        <f>E_g_valg[[#This Row],[Teststørrelse]]=E_g_valg[[#This Row],[Venstre teststørrelse]]</f>
        <v>#N/A</v>
      </c>
      <c r="P10" t="b">
        <f>OR(MATCH(E_g_valg[[#This Row],[Hypotese]],HypoteseRetning_liste,0)=2,MATCH(E_g_valg[[#This Row],[Hypotese]],HypoteseRetning_liste,0)=3)</f>
        <v>1</v>
      </c>
      <c r="Q10"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10" t="e">
        <f>E_g_valg[[#This Row],[p-værdi]]&gt;1-Eu_g_konfidensniveau</f>
        <v>#N/A</v>
      </c>
      <c r="S10">
        <f t="shared" si="0"/>
        <v>0.999</v>
      </c>
      <c r="T10">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0">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0" t="e">
        <f>MIN(E_g_valg[[#This Row],[Teststørrelse]],E_g_valg[[#This Row],[Teststørrelse omvendt]])</f>
        <v>#N/A</v>
      </c>
      <c r="W10">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0" t="e">
        <f>MAX(E_g_valg[[#This Row],[Teststørrelse]],E_g_valg[[#This Row],[Teststørrelse omvendt]])</f>
        <v>#N/A</v>
      </c>
      <c r="Y10"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0"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0" t="e">
        <f>E_g_valg[[#This Row],[Mindre end højre %]]-E_g_valg[[#This Row],[Mindre end venstre %]]</f>
        <v>#N/A</v>
      </c>
      <c r="AB10" t="e">
        <f>1-E_g_valg[[#This Row],[Mindre end venstre %]]</f>
        <v>#N/A</v>
      </c>
      <c r="AC10" t="e">
        <f>1-E_g_valg[[#This Row],[Mindre end højre %]]</f>
        <v>#N/A</v>
      </c>
      <c r="AD10"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0" t="str">
        <f>IF(OR(MATCH(E_g_valg[[#This Row],[Hypotese]],HypoteseRetning_liste,0)=1,MATCH(E_g_valg[[#This Row],[Hypotese]],HypoteseRetning_liste,0)=4),ROUND(E_g_valg[[#This Row],[Midt %]],5)*100&amp;"% mellem "&amp;E_g_valg[[#This Row],[Venstre label]]&amp;" og "&amp;E_g_valg[[#This Row],[Højre label]]," ")</f>
        <v xml:space="preserve"> </v>
      </c>
      <c r="AF10"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0" t="e">
        <f>IF(AND(NOT(E_g_valg[[#This Row],[Orientering]]),E_g_valg[[#This Row],[Ensidet]]),(E_g_valg[[#This Row],[Højre teststørrelse]]-E_g_valg[[#This Row],[X min]])/(E_g_valg[[#This Row],[X max]]-E_g_valg[[#This Row],[X min]]),(E_g_valg[[#This Row],[Venstre teststørrelse]]-E_g_valg[[#This Row],[X min]])/(E_g_valg[[#This Row],[X max]]-E_g_valg[[#This Row],[X min]]))</f>
        <v>#N/A</v>
      </c>
      <c r="AH10">
        <f>(E_g_valg[[#This Row],[Midtpunkt teststørrelse]]-E_g_valg[[#This Row],[X min]])/(E_g_valg[[#This Row],[X max]]-E_g_valg[[#This Row],[X min]])</f>
        <v>0.5</v>
      </c>
      <c r="AI10" t="e">
        <f>IF(AND(E_g_valg[[#This Row],[Orientering]],E_g_valg[[#This Row],[Ensidet]]),(E_g_valg[[#This Row],[Venstre teststørrelse]]-E_g_valg[[#This Row],[X min]])/(E_g_valg[[#This Row],[X max]]-E_g_valg[[#This Row],[X min]]),(E_g_valg[[#This Row],[Højre teststørrelse]]-E_g_valg[[#This Row],[X min]])/(E_g_valg[[#This Row],[X max]]-E_g_valg[[#This Row],[X min]]))</f>
        <v>#N/A</v>
      </c>
      <c r="AJ10" t="s">
        <v>303</v>
      </c>
      <c r="AK10">
        <f>_xlfn.AGGREGATE(3,5,E_g_valg[[#This Row],[Parameter]])</f>
        <v>1</v>
      </c>
      <c r="AL10">
        <v>1</v>
      </c>
      <c r="AM10">
        <v>9</v>
      </c>
      <c r="AN10" t="e">
        <f>IF(AND(E_g_valg[[#This Row],[Kontrol af forudsætning 1]],E_g_valg[[#This Row],[Kontrol af forudsætning 2]],E_g_valg[[#This Row],[Kontrol af forudsætning 3]]),"Hypotesetest om gennemsnit
Nulhypotesen om at gennemsnittet af "&amp;Eu_g_t_x&amp;" er mindre end "&amp;ROUND(Eu_g_h0_x,3)&amp;"
"&amp;IF(E_g_valg[[#This Row],[Nulhypotese kan ikke afvises]],"kan ikke ","")&amp;"afvises med "&amp;Eu_g_konfidensniveau*100&amp;"% konfidens","Kan ikke beregne hypotesetest om gennemsnit med angivet standardafvigelse")</f>
        <v>#N/A</v>
      </c>
      <c r="AO10"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10" t="s">
        <v>15</v>
      </c>
      <c r="AQ10" t="b">
        <f t="shared" si="1"/>
        <v>1</v>
      </c>
      <c r="AR10" t="s">
        <v>174</v>
      </c>
      <c r="AS10" t="b">
        <f t="shared" si="2"/>
        <v>1</v>
      </c>
      <c r="AT10" t="s">
        <v>177</v>
      </c>
      <c r="AU10" t="b">
        <f>NOT(ISNA(Eu_g_s_population_x))</f>
        <v>1</v>
      </c>
      <c r="AV10" t="s">
        <v>157</v>
      </c>
      <c r="AW10" t="s">
        <v>188</v>
      </c>
    </row>
    <row r="11" spans="1:50" x14ac:dyDescent="0.2">
      <c r="A11" t="s">
        <v>0</v>
      </c>
      <c r="B11" t="s">
        <v>134</v>
      </c>
      <c r="C11" t="s">
        <v>128</v>
      </c>
      <c r="D11" t="s">
        <v>128</v>
      </c>
      <c r="E11" s="29">
        <v>0</v>
      </c>
      <c r="F11">
        <v>1</v>
      </c>
      <c r="G11">
        <f>IFERROR((Eu_g_g_x-Eu_g_h0_x)/(Eu_g_s_x/SQRT(Eu_g_n_x)),NA())</f>
        <v>1.4912141687513114</v>
      </c>
      <c r="H11">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11">
        <f>(E_g_valg[[#This Row],[Venstre teststørrelse]]*Eu_g_s_x/SQRT(Eu_g_n_x)+Eu_g_h0_x)</f>
        <v>-1.8540044183209705</v>
      </c>
      <c r="J11">
        <f>(E_g_valg[[#This Row],[Midtpunkt teststørrelse]]*Eu_g_s_x/SQRT(Eu_g_n_x)+Eu_g_h0_x)</f>
        <v>0</v>
      </c>
      <c r="K11">
        <f>(E_g_valg[[#This Row],[Højre teststørrelse]]*Eu_g_s_x/SQRT(Eu_g_n_x)+Eu_g_h0_x)</f>
        <v>1.8540044183209705</v>
      </c>
      <c r="L11">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11">
        <f>IF(E_g_valg[[#This Row],[Parameter]]="andel",ROUND(E_g_valg[[#This Row],[Midtpunkt label base]],5)*100&amp;"%",ROUND(E_g_valg[[#This Row],[Midtpunkt label base]],3))</f>
        <v>0</v>
      </c>
      <c r="N11">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11" t="b">
        <f>E_g_valg[[#This Row],[Teststørrelse]]=E_g_valg[[#This Row],[Venstre teststørrelse]]</f>
        <v>0</v>
      </c>
      <c r="P11" t="b">
        <f>OR(MATCH(E_g_valg[[#This Row],[Hypotese]],HypoteseRetning_liste,0)=2,MATCH(E_g_valg[[#This Row],[Hypotese]],HypoteseRetning_liste,0)=3)</f>
        <v>0</v>
      </c>
      <c r="Q11">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0.13590527489820792</v>
      </c>
      <c r="R11" t="b">
        <f>E_g_valg[[#This Row],[p-værdi]]&gt;1-Eu_g_konfidensniveau</f>
        <v>1</v>
      </c>
      <c r="S11">
        <f t="shared" si="0"/>
        <v>0.999</v>
      </c>
      <c r="T11">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1">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1">
        <f>MIN(E_g_valg[[#This Row],[Teststørrelse]],E_g_valg[[#This Row],[Teststørrelse omvendt]])</f>
        <v>-1.4912141687513114</v>
      </c>
      <c r="W11">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1">
        <f>MAX(E_g_valg[[#This Row],[Teststørrelse]],E_g_valg[[#This Row],[Teststørrelse omvendt]])</f>
        <v>1.4912141687513114</v>
      </c>
      <c r="Y11">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11">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11">
        <f>E_g_valg[[#This Row],[Mindre end højre %]]-E_g_valg[[#This Row],[Mindre end venstre %]]</f>
        <v>0.86409472510179208</v>
      </c>
      <c r="AB11">
        <f>1-E_g_valg[[#This Row],[Mindre end venstre %]]</f>
        <v>0.93204736255089604</v>
      </c>
      <c r="AC11">
        <f>1-E_g_valg[[#This Row],[Mindre end højre %]]</f>
        <v>6.7952637449103959E-2</v>
      </c>
      <c r="AD11"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6.795% mindre end -1.854</v>
      </c>
      <c r="AE11" t="str">
        <f>IF(OR(MATCH(E_g_valg[[#This Row],[Hypotese]],HypoteseRetning_liste,0)=1,MATCH(E_g_valg[[#This Row],[Hypotese]],HypoteseRetning_liste,0)=4),ROUND(E_g_valg[[#This Row],[Midt %]],5)*100&amp;"% mellem "&amp;E_g_valg[[#This Row],[Venstre label]]&amp;" og "&amp;E_g_valg[[#This Row],[Højre label]]," ")</f>
        <v>86.409% mellem -1.854 og 1.854</v>
      </c>
      <c r="AF11"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11">
        <f>IF(AND(NOT(E_g_valg[[#This Row],[Orientering]]),E_g_valg[[#This Row],[Ensidet]]),(E_g_valg[[#This Row],[Højre teststørrelse]]-E_g_valg[[#This Row],[X min]])/(E_g_valg[[#This Row],[X max]]-E_g_valg[[#This Row],[X min]]),(E_g_valg[[#This Row],[Venstre teststørrelse]]-E_g_valg[[#This Row],[X min]])/(E_g_valg[[#This Row],[X max]]-E_g_valg[[#This Row],[X min]]))</f>
        <v>0.25872134826644133</v>
      </c>
      <c r="AH11">
        <f>(E_g_valg[[#This Row],[Midtpunkt teststørrelse]]-E_g_valg[[#This Row],[X min]])/(E_g_valg[[#This Row],[X max]]-E_g_valg[[#This Row],[X min]])</f>
        <v>0.5</v>
      </c>
      <c r="AI11">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11" t="s">
        <v>127</v>
      </c>
      <c r="AK11">
        <f>_xlfn.AGGREGATE(3,5,E_g_valg[[#This Row],[Parameter]])</f>
        <v>1</v>
      </c>
      <c r="AL11">
        <v>1</v>
      </c>
      <c r="AM11">
        <v>10</v>
      </c>
      <c r="AN11" t="str">
        <f>IF(AND(E_g_valg[[#This Row],[Kontrol af forudsætning 1]],E_g_valg[[#This Row],[Kontrol af forudsætning 2]]),"Hypotesetest om gennemsnit
Nulhypotesen om at gennemsnittet af "&amp;Eu_g_t_x&amp;" er lig med "&amp;ROUND(Eu_g_h0_x,3)&amp;"
"&amp;IF(E_g_valg[[#This Row],[Nulhypotese kan ikke afvises]],"kan ikke ","")&amp;"afvises med "&amp;Eu_g_konfidensniveau*100&amp;"% konfidens","Kan ikke beregne hypotesetest om gennemsnit")</f>
        <v>Hypotesetest om gennemsnit
Nulhypotesen om at gennemsnittet af Eksempel 1 (interval) er lig med 0
kan ikke afvises med 95% konfidens</v>
      </c>
      <c r="AO11"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11" t="s">
        <v>15</v>
      </c>
      <c r="AQ11" t="b">
        <f t="shared" si="1"/>
        <v>1</v>
      </c>
      <c r="AR11" t="s">
        <v>174</v>
      </c>
      <c r="AS11" t="b">
        <f t="shared" si="2"/>
        <v>1</v>
      </c>
      <c r="AT11" t="s">
        <v>166</v>
      </c>
      <c r="AU11" t="b">
        <f>Eu_g_n_x&gt;=30</f>
        <v>0</v>
      </c>
      <c r="AV11" t="s">
        <v>158</v>
      </c>
      <c r="AW11" t="s">
        <v>188</v>
      </c>
    </row>
    <row r="12" spans="1:50" x14ac:dyDescent="0.2">
      <c r="A12" t="s">
        <v>0</v>
      </c>
      <c r="B12" t="s">
        <v>134</v>
      </c>
      <c r="C12" t="s">
        <v>130</v>
      </c>
      <c r="D12" t="s">
        <v>130</v>
      </c>
      <c r="E12" s="29">
        <f>Eu_g_n_x-1</f>
        <v>11</v>
      </c>
      <c r="G12">
        <f>IFERROR((Eu_g_g_x-Eu_g_h0_x)/(Eu_g_s_x/SQRT(Eu_g_n_x)),NA())</f>
        <v>1.4912141687513114</v>
      </c>
      <c r="H12">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12">
        <f>(E_g_valg[[#This Row],[Venstre teststørrelse]]*Eu_g_s_x/SQRT(Eu_g_n_x)+Eu_g_h0_x)</f>
        <v>-1.8540044183209705</v>
      </c>
      <c r="J12">
        <f>(E_g_valg[[#This Row],[Midtpunkt teststørrelse]]*Eu_g_s_x/SQRT(Eu_g_n_x)+Eu_g_h0_x)</f>
        <v>0</v>
      </c>
      <c r="K12">
        <f>(E_g_valg[[#This Row],[Højre teststørrelse]]*Eu_g_s_x/SQRT(Eu_g_n_x)+Eu_g_h0_x)</f>
        <v>1.8540044183209705</v>
      </c>
      <c r="L1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12">
        <f>IF(E_g_valg[[#This Row],[Parameter]]="andel",ROUND(E_g_valg[[#This Row],[Midtpunkt label base]],5)*100&amp;"%",ROUND(E_g_valg[[#This Row],[Midtpunkt label base]],3))</f>
        <v>0</v>
      </c>
      <c r="N1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12" t="b">
        <f>E_g_valg[[#This Row],[Teststørrelse]]=E_g_valg[[#This Row],[Venstre teststørrelse]]</f>
        <v>0</v>
      </c>
      <c r="P12" t="b">
        <f>OR(MATCH(E_g_valg[[#This Row],[Hypotese]],HypoteseRetning_liste,0)=2,MATCH(E_g_valg[[#This Row],[Hypotese]],HypoteseRetning_liste,0)=3)</f>
        <v>0</v>
      </c>
      <c r="Q12">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0.16401494591269206</v>
      </c>
      <c r="R12" t="b">
        <f>E_g_valg[[#This Row],[p-værdi]]&gt;1-Eu_g_konfidensniveau</f>
        <v>1</v>
      </c>
      <c r="S12">
        <f t="shared" si="0"/>
        <v>0.999</v>
      </c>
      <c r="T12">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12">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12">
        <f>MIN(E_g_valg[[#This Row],[Teststørrelse]],E_g_valg[[#This Row],[Teststørrelse omvendt]])</f>
        <v>-1.4912141687513114</v>
      </c>
      <c r="W12">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2">
        <f>MAX(E_g_valg[[#This Row],[Teststørrelse]],E_g_valg[[#This Row],[Teststørrelse omvendt]])</f>
        <v>1.4912141687513114</v>
      </c>
      <c r="Y12">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12">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12">
        <f>E_g_valg[[#This Row],[Mindre end højre %]]-E_g_valg[[#This Row],[Mindre end venstre %]]</f>
        <v>0.83598505408730794</v>
      </c>
      <c r="AB12">
        <f>1-E_g_valg[[#This Row],[Mindre end venstre %]]</f>
        <v>0.91799252704365397</v>
      </c>
      <c r="AC12">
        <f>1-E_g_valg[[#This Row],[Mindre end højre %]]</f>
        <v>8.2007472956346028E-2</v>
      </c>
      <c r="AD12"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8.201% mindre end -1.854</v>
      </c>
      <c r="AE12" t="str">
        <f>IF(OR(MATCH(E_g_valg[[#This Row],[Hypotese]],HypoteseRetning_liste,0)=1,MATCH(E_g_valg[[#This Row],[Hypotese]],HypoteseRetning_liste,0)=4),ROUND(E_g_valg[[#This Row],[Midt %]],5)*100&amp;"% mellem "&amp;E_g_valg[[#This Row],[Venstre label]]&amp;" og "&amp;E_g_valg[[#This Row],[Højre label]]," ")</f>
        <v>83.599% mellem -1.854 og 1.854</v>
      </c>
      <c r="AF12"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12">
        <f>IF(AND(NOT(E_g_valg[[#This Row],[Orientering]]),E_g_valg[[#This Row],[Ensidet]]),(E_g_valg[[#This Row],[Højre teststørrelse]]-E_g_valg[[#This Row],[X min]])/(E_g_valg[[#This Row],[X max]]-E_g_valg[[#This Row],[X min]]),(E_g_valg[[#This Row],[Venstre teststørrelse]]-E_g_valg[[#This Row],[X min]])/(E_g_valg[[#This Row],[X max]]-E_g_valg[[#This Row],[X min]]))</f>
        <v>0.31474224360908559</v>
      </c>
      <c r="AH12">
        <f>(E_g_valg[[#This Row],[Midtpunkt teststørrelse]]-E_g_valg[[#This Row],[X min]])/(E_g_valg[[#This Row],[X max]]-E_g_valg[[#This Row],[X min]])</f>
        <v>0.5</v>
      </c>
      <c r="AI12">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12" t="s">
        <v>127</v>
      </c>
      <c r="AK12">
        <f>_xlfn.AGGREGATE(3,5,E_g_valg[[#This Row],[Parameter]])</f>
        <v>1</v>
      </c>
      <c r="AL12">
        <v>1</v>
      </c>
      <c r="AM12">
        <v>11</v>
      </c>
      <c r="AN12" t="str">
        <f>IF(AND(E_g_valg[[#This Row],[Kontrol af forudsætning 1]],E_g_valg[[#This Row],[Kontrol af forudsætning 2]]),"Hypotesetest om gennemsnit
Nulhypotesen om at gennemsnittet af "&amp;Eu_g_t_x&amp;" er lig med "&amp;ROUND(Eu_g_h0_x,3)&amp;"
"&amp;IF(E_g_valg[[#This Row],[Nulhypotese kan ikke afvises]],"kan ikke ","")&amp;"afvises med "&amp;Eu_g_konfidensniveau*100&amp;"% konfidens","Kan ikke beregne hypotesetest om gennemsnit")</f>
        <v>Hypotesetest om gennemsnit
Nulhypotesen om at gennemsnittet af Eksempel 1 (interval) er lig med 0
kan ikke afvises med 95% konfidens</v>
      </c>
      <c r="AO12"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12" t="s">
        <v>15</v>
      </c>
      <c r="AQ12" t="b">
        <f t="shared" si="1"/>
        <v>1</v>
      </c>
      <c r="AR12" t="s">
        <v>174</v>
      </c>
      <c r="AS12" t="b">
        <f t="shared" si="2"/>
        <v>1</v>
      </c>
      <c r="AT12" t="s">
        <v>167</v>
      </c>
      <c r="AU12" t="b">
        <f>Eu_g_n_x&lt;30</f>
        <v>1</v>
      </c>
      <c r="AV12" t="s">
        <v>158</v>
      </c>
      <c r="AW12" t="s">
        <v>188</v>
      </c>
    </row>
    <row r="13" spans="1:50" x14ac:dyDescent="0.2">
      <c r="A13" t="s">
        <v>0</v>
      </c>
      <c r="B13" t="s">
        <v>134</v>
      </c>
      <c r="C13" t="s">
        <v>131</v>
      </c>
      <c r="D13" t="s">
        <v>128</v>
      </c>
      <c r="E13" s="29">
        <v>0</v>
      </c>
      <c r="F13">
        <v>1</v>
      </c>
      <c r="G13" t="e">
        <f>IFERROR((Eu_g_g_x-Eu_g_h0_x)/(Eu_g_s_population_x/SQRT(Eu_g_n_x)),NA())</f>
        <v>#N/A</v>
      </c>
      <c r="H13"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3" t="e">
        <f>(E_g_valg[[#This Row],[Venstre teststørrelse]]*Eu_g_s_population_x/SQRT(Eu_g_n_x)+Eu_g_h0_x)</f>
        <v>#N/A</v>
      </c>
      <c r="J13">
        <f>(E_g_valg[[#This Row],[Midtpunkt teststørrelse]]*Eu_g_s_population_x/SQRT(Eu_g_n_x)+Eu_g_h0_x)</f>
        <v>0</v>
      </c>
      <c r="K13" t="e">
        <f>(E_g_valg[[#This Row],[Højre teststørrelse]]*Eu_g_s_population_x/SQRT(Eu_g_n_x)+Eu_g_h0_x)</f>
        <v>#N/A</v>
      </c>
      <c r="L13"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3">
        <f>IF(E_g_valg[[#This Row],[Parameter]]="andel",ROUND(E_g_valg[[#This Row],[Midtpunkt label base]],5)*100&amp;"%",ROUND(E_g_valg[[#This Row],[Midtpunkt label base]],3))</f>
        <v>0</v>
      </c>
      <c r="N13"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3" t="e">
        <f>E_g_valg[[#This Row],[Teststørrelse]]=E_g_valg[[#This Row],[Venstre teststørrelse]]</f>
        <v>#N/A</v>
      </c>
      <c r="P13" t="b">
        <f>OR(MATCH(E_g_valg[[#This Row],[Hypotese]],HypoteseRetning_liste,0)=2,MATCH(E_g_valg[[#This Row],[Hypotese]],HypoteseRetning_liste,0)=3)</f>
        <v>0</v>
      </c>
      <c r="Q13"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13" t="e">
        <f>E_g_valg[[#This Row],[p-værdi]]&gt;1-Eu_g_konfidensniveau</f>
        <v>#N/A</v>
      </c>
      <c r="S13">
        <f t="shared" si="0"/>
        <v>0.999</v>
      </c>
      <c r="T13">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3">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3" t="e">
        <f>MIN(E_g_valg[[#This Row],[Teststørrelse]],E_g_valg[[#This Row],[Teststørrelse omvendt]])</f>
        <v>#N/A</v>
      </c>
      <c r="W13">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3" t="e">
        <f>MAX(E_g_valg[[#This Row],[Teststørrelse]],E_g_valg[[#This Row],[Teststørrelse omvendt]])</f>
        <v>#N/A</v>
      </c>
      <c r="Y13"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3"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3" t="e">
        <f>E_g_valg[[#This Row],[Mindre end højre %]]-E_g_valg[[#This Row],[Mindre end venstre %]]</f>
        <v>#N/A</v>
      </c>
      <c r="AB13" t="e">
        <f>1-E_g_valg[[#This Row],[Mindre end venstre %]]</f>
        <v>#N/A</v>
      </c>
      <c r="AC13" t="e">
        <f>1-E_g_valg[[#This Row],[Mindre end højre %]]</f>
        <v>#N/A</v>
      </c>
      <c r="AD13"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3" t="e">
        <f>IF(OR(MATCH(E_g_valg[[#This Row],[Hypotese]],HypoteseRetning_liste,0)=1,MATCH(E_g_valg[[#This Row],[Hypotese]],HypoteseRetning_liste,0)=4),ROUND(E_g_valg[[#This Row],[Midt %]],5)*100&amp;"% mellem "&amp;E_g_valg[[#This Row],[Venstre label]]&amp;" og "&amp;E_g_valg[[#This Row],[Højre label]]," ")</f>
        <v>#N/A</v>
      </c>
      <c r="AF13"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3" t="e">
        <f>IF(AND(NOT(E_g_valg[[#This Row],[Orientering]]),E_g_valg[[#This Row],[Ensidet]]),(E_g_valg[[#This Row],[Højre teststørrelse]]-E_g_valg[[#This Row],[X min]])/(E_g_valg[[#This Row],[X max]]-E_g_valg[[#This Row],[X min]]),(E_g_valg[[#This Row],[Venstre teststørrelse]]-E_g_valg[[#This Row],[X min]])/(E_g_valg[[#This Row],[X max]]-E_g_valg[[#This Row],[X min]]))</f>
        <v>#N/A</v>
      </c>
      <c r="AH13">
        <f>(E_g_valg[[#This Row],[Midtpunkt teststørrelse]]-E_g_valg[[#This Row],[X min]])/(E_g_valg[[#This Row],[X max]]-E_g_valg[[#This Row],[X min]])</f>
        <v>0.5</v>
      </c>
      <c r="AI13" t="e">
        <f>IF(AND(E_g_valg[[#This Row],[Orientering]],E_g_valg[[#This Row],[Ensidet]]),(E_g_valg[[#This Row],[Venstre teststørrelse]]-E_g_valg[[#This Row],[X min]])/(E_g_valg[[#This Row],[X max]]-E_g_valg[[#This Row],[X min]]),(E_g_valg[[#This Row],[Højre teststørrelse]]-E_g_valg[[#This Row],[X min]])/(E_g_valg[[#This Row],[X max]]-E_g_valg[[#This Row],[X min]]))</f>
        <v>#N/A</v>
      </c>
      <c r="AJ13" t="s">
        <v>127</v>
      </c>
      <c r="AK13">
        <f>_xlfn.AGGREGATE(3,5,E_g_valg[[#This Row],[Parameter]])</f>
        <v>1</v>
      </c>
      <c r="AL13">
        <v>1</v>
      </c>
      <c r="AM13">
        <v>12</v>
      </c>
      <c r="AN13" t="e">
        <f>IF(AND(E_g_valg[[#This Row],[Kontrol af forudsætning 1]],E_g_valg[[#This Row],[Kontrol af forudsætning 2]],E_g_valg[[#This Row],[Kontrol af forudsætning 3]]),"Hypotesetest om gennemsnit
Nulhypotesen om at gennemsnittet af "&amp;Eu_g_t_x&amp;" er lig med "&amp;ROUND(Eu_g_h0_x,3)&amp;"
"&amp;IF(E_g_valg[[#This Row],[Nulhypotese kan ikke afvises]],"kan ikke ","")&amp;"afvises med "&amp;Eu_g_konfidensniveau*100&amp;"% konfidens","Kan ikke beregne hypotesetest om gennemsnit med angivet standardafvigelse")</f>
        <v>#N/A</v>
      </c>
      <c r="AO13"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13" t="s">
        <v>15</v>
      </c>
      <c r="AQ13" t="b">
        <f t="shared" si="1"/>
        <v>1</v>
      </c>
      <c r="AR13" t="s">
        <v>174</v>
      </c>
      <c r="AS13" t="b">
        <f t="shared" si="2"/>
        <v>1</v>
      </c>
      <c r="AT13" t="s">
        <v>177</v>
      </c>
      <c r="AU13" t="b">
        <f>NOT(ISNA(Eu_g_s_population_x))</f>
        <v>1</v>
      </c>
      <c r="AV13" t="s">
        <v>157</v>
      </c>
      <c r="AW13" t="s">
        <v>188</v>
      </c>
    </row>
    <row r="14" spans="1:50" x14ac:dyDescent="0.2">
      <c r="A14" t="s">
        <v>0</v>
      </c>
      <c r="B14" t="s">
        <v>135</v>
      </c>
      <c r="C14" t="s">
        <v>128</v>
      </c>
      <c r="D14" t="s">
        <v>128</v>
      </c>
      <c r="E14" s="29">
        <v>0</v>
      </c>
      <c r="F14">
        <v>1</v>
      </c>
      <c r="G14">
        <f>IFERROR((Eu_g_g_x-Eu_g_g_y-(Eu_g_h0_x-Eu_g_h0_y))/SQRT(Eu_g_s_x^2/Eu_g_n_x+Eu_g_s_y^2/Eu_g_n_y),NA())</f>
        <v>-0.8845698192548983</v>
      </c>
      <c r="H14">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4">
        <f>E_g_valg[[#This Row],[Venstre teststørrelse]]*SQRT(Eu_g_s_x^2/Eu_g_n_x+Eu_g_s_y^2/Eu_g_n_y)+(Eu_g_h0_x-Eu_g_h0_y)</f>
        <v>-1.5054022174376644</v>
      </c>
      <c r="J14">
        <f>E_g_valg[[#This Row],[Midtpunkt teststørrelse]]*SQRT(Eu_g_s_x^2/Eu_g_n_x+Eu_g_s_y^2/Eu_g_n_y)+(Eu_g_h0_x-Eu_g_h0_y)</f>
        <v>0</v>
      </c>
      <c r="K14">
        <f>E_g_valg[[#This Row],[Højre teststørrelse]]*SQRT(Eu_g_s_x^2/Eu_g_n_x+Eu_g_s_y^2/Eu_g_n_y)+(Eu_g_h0_x-Eu_g_h0_y)</f>
        <v>1.5054022174376644</v>
      </c>
      <c r="L1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4">
        <f>IF(E_g_valg[[#This Row],[Parameter]]="andel",ROUND(E_g_valg[[#This Row],[Midtpunkt label base]],5)*100&amp;"%",ROUND(E_g_valg[[#This Row],[Midtpunkt label base]],3))</f>
        <v>0</v>
      </c>
      <c r="N1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4" t="b">
        <f>E_g_valg[[#This Row],[Teststørrelse]]=E_g_valg[[#This Row],[Venstre teststørrelse]]</f>
        <v>1</v>
      </c>
      <c r="P14" t="b">
        <f>OR(MATCH(E_g_valg[[#This Row],[Hypotese]],HypoteseRetning_liste,0)=2,MATCH(E_g_valg[[#This Row],[Hypotese]],HypoteseRetning_liste,0)=3)</f>
        <v>1</v>
      </c>
      <c r="Q14">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0.1881943452138089</v>
      </c>
      <c r="R14" t="b">
        <f>E_g_valg[[#This Row],[p-værdi]]&gt;1-Eu_g_konfidensniveau</f>
        <v>1</v>
      </c>
      <c r="S14">
        <f t="shared" si="0"/>
        <v>0.999</v>
      </c>
      <c r="T14">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4">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4">
        <f>MIN(E_g_valg[[#This Row],[Teststørrelse]],E_g_valg[[#This Row],[Teststørrelse omvendt]])</f>
        <v>-0.8845698192548983</v>
      </c>
      <c r="W14">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4">
        <f>MAX(E_g_valg[[#This Row],[Teststørrelse]],E_g_valg[[#This Row],[Teststørrelse omvendt]])</f>
        <v>0.8845698192548983</v>
      </c>
      <c r="Y14">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14">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14">
        <f>E_g_valg[[#This Row],[Mindre end højre %]]-E_g_valg[[#This Row],[Mindre end venstre %]]</f>
        <v>0.62361130957238231</v>
      </c>
      <c r="AB14">
        <f>1-E_g_valg[[#This Row],[Mindre end venstre %]]</f>
        <v>0.81180565478619116</v>
      </c>
      <c r="AC14">
        <f>1-E_g_valg[[#This Row],[Mindre end højre %]]</f>
        <v>0.18819434521380884</v>
      </c>
      <c r="AD14"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14" t="str">
        <f>IF(OR(MATCH(E_g_valg[[#This Row],[Hypotese]],HypoteseRetning_liste,0)=1,MATCH(E_g_valg[[#This Row],[Hypotese]],HypoteseRetning_liste,0)=4),ROUND(E_g_valg[[#This Row],[Midt %]],5)*100&amp;"% mellem "&amp;E_g_valg[[#This Row],[Venstre label]]&amp;" og "&amp;E_g_valg[[#This Row],[Højre label]]," ")</f>
        <v xml:space="preserve"> </v>
      </c>
      <c r="AF14"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81.181% større end -1.505</v>
      </c>
      <c r="AG14">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14">
        <f>(E_g_valg[[#This Row],[Midtpunkt teststørrelse]]-E_g_valg[[#This Row],[X min]])/(E_g_valg[[#This Row],[X max]]-E_g_valg[[#This Row],[X min]])</f>
        <v>0.5</v>
      </c>
      <c r="AI14">
        <f>IF(AND(E_g_valg[[#This Row],[Orientering]],E_g_valg[[#This Row],[Ensidet]]),(E_g_valg[[#This Row],[Venstre teststørrelse]]-E_g_valg[[#This Row],[X min]])/(E_g_valg[[#This Row],[X max]]-E_g_valg[[#This Row],[X min]]),(E_g_valg[[#This Row],[Højre teststørrelse]]-E_g_valg[[#This Row],[X min]])/(E_g_valg[[#This Row],[X max]]-E_g_valg[[#This Row],[X min]]))</f>
        <v>0.35687648506402248</v>
      </c>
      <c r="AJ14" t="s">
        <v>302</v>
      </c>
      <c r="AK14">
        <f>_xlfn.AGGREGATE(3,5,E_g_valg[[#This Row],[Parameter]])</f>
        <v>1</v>
      </c>
      <c r="AL14">
        <v>2</v>
      </c>
      <c r="AM14">
        <v>13</v>
      </c>
      <c r="AN14"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4"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4" t="s">
        <v>15</v>
      </c>
      <c r="AQ14" t="b">
        <f t="shared" ref="AQ14:AQ25" si="3">NOT(OR(ISNA(Eu_g_g_x),ISNA(Eu_g_g_y)))</f>
        <v>1</v>
      </c>
      <c r="AR14" t="s">
        <v>175</v>
      </c>
      <c r="AS14" t="b">
        <f t="shared" ref="AS14:AS25" si="4">NOT(OR(ISNA(Eu_g_h0_x),ISNA(Eu_g_h0_y)))</f>
        <v>1</v>
      </c>
      <c r="AT14" t="s">
        <v>168</v>
      </c>
      <c r="AU14" t="b">
        <f>AND(Eu_g_n_x&gt;=30,Eu_g_n_y&gt;=30)</f>
        <v>0</v>
      </c>
      <c r="AV14" t="s">
        <v>183</v>
      </c>
      <c r="AW14" t="s">
        <v>188</v>
      </c>
    </row>
    <row r="15" spans="1:50" x14ac:dyDescent="0.2">
      <c r="A15" t="s">
        <v>0</v>
      </c>
      <c r="B15" t="s">
        <v>135</v>
      </c>
      <c r="C15" t="s">
        <v>139</v>
      </c>
      <c r="D15" t="s">
        <v>130</v>
      </c>
      <c r="E15" s="29">
        <f>Eu_g_n_x+Eu_g_n_y-2</f>
        <v>22</v>
      </c>
      <c r="G15">
        <f>IFERROR((Eu_g_g_x-Eu_g_g_y-(Eu_g_h0_x-Eu_g_h0_y))/(SQRT(((Eu_g_n_x-1)*Eu_g_s_x^2+(Eu_g_n_y-1)*Eu_g_s_y^2)/(Eu_g_n_x+Eu_g_n_y-2))*SQRT(1/Eu_g_n_x+1/Eu_g_n_y)),NA())</f>
        <v>-0.8845698192548983</v>
      </c>
      <c r="H15">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5">
        <f>E_g_valg[[#This Row],[Venstre teststørrelse]]*(SQRT(((Eu_g_n_x-1)*Eu_g_s_x^2+(Eu_g_n_y-1)*Eu_g_s_y^2)/(Eu_g_n_x+Eu_g_n_y-2))*SQRT(1/Eu_g_n_x+1/Eu_g_n_y))+(Eu_g_h0_x-Eu_g_h0_y)</f>
        <v>-1.5054022174376644</v>
      </c>
      <c r="J15">
        <f>E_g_valg[[#This Row],[Midtpunkt teststørrelse]]*(SQRT(((Eu_g_n_x-1)*Eu_g_s_x^2+(Eu_g_n_y-1)*Eu_g_s_y^2)/(Eu_g_n_x+Eu_g_n_y-2))*SQRT(1/Eu_g_n_x+1/Eu_g_n_y))+(Eu_g_h0_x-Eu_g_h0_y)</f>
        <v>0</v>
      </c>
      <c r="K15">
        <f>E_g_valg[[#This Row],[Højre teststørrelse]]*(SQRT(((Eu_g_n_x-1)*Eu_g_s_x^2+(Eu_g_n_y-1)*Eu_g_s_y^2)/(Eu_g_n_x+Eu_g_n_y-2))*SQRT(1/Eu_g_n_x+1/Eu_g_n_y))+(Eu_g_h0_x-Eu_g_h0_y)</f>
        <v>1.5054022174376644</v>
      </c>
      <c r="L15">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5">
        <f>IF(E_g_valg[[#This Row],[Parameter]]="andel",ROUND(E_g_valg[[#This Row],[Midtpunkt label base]],5)*100&amp;"%",ROUND(E_g_valg[[#This Row],[Midtpunkt label base]],3))</f>
        <v>0</v>
      </c>
      <c r="N15">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5" t="b">
        <f>E_g_valg[[#This Row],[Teststørrelse]]=E_g_valg[[#This Row],[Venstre teststørrelse]]</f>
        <v>1</v>
      </c>
      <c r="P15" t="b">
        <f>OR(MATCH(E_g_valg[[#This Row],[Hypotese]],HypoteseRetning_liste,0)=2,MATCH(E_g_valg[[#This Row],[Hypotese]],HypoteseRetning_liste,0)=3)</f>
        <v>1</v>
      </c>
      <c r="Q15">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0.19297719287988857</v>
      </c>
      <c r="R15" t="b">
        <f>E_g_valg[[#This Row],[p-værdi]]&gt;1-Eu_g_konfidensniveau</f>
        <v>1</v>
      </c>
      <c r="S15">
        <f t="shared" si="0"/>
        <v>0.999</v>
      </c>
      <c r="T15">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15">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15">
        <f>MIN(E_g_valg[[#This Row],[Teststørrelse]],E_g_valg[[#This Row],[Teststørrelse omvendt]])</f>
        <v>-0.8845698192548983</v>
      </c>
      <c r="W15">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5">
        <f>MAX(E_g_valg[[#This Row],[Teststørrelse]],E_g_valg[[#This Row],[Teststørrelse omvendt]])</f>
        <v>0.8845698192548983</v>
      </c>
      <c r="Y15">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15">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15">
        <f>E_g_valg[[#This Row],[Mindre end højre %]]-E_g_valg[[#This Row],[Mindre end venstre %]]</f>
        <v>0.61404561424022286</v>
      </c>
      <c r="AB15">
        <f>1-E_g_valg[[#This Row],[Mindre end venstre %]]</f>
        <v>0.80702280712011143</v>
      </c>
      <c r="AC15">
        <f>1-E_g_valg[[#This Row],[Mindre end højre %]]</f>
        <v>0.19297719287988857</v>
      </c>
      <c r="AD15"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15" t="str">
        <f>IF(OR(MATCH(E_g_valg[[#This Row],[Hypotese]],HypoteseRetning_liste,0)=1,MATCH(E_g_valg[[#This Row],[Hypotese]],HypoteseRetning_liste,0)=4),ROUND(E_g_valg[[#This Row],[Midt %]],5)*100&amp;"% mellem "&amp;E_g_valg[[#This Row],[Venstre label]]&amp;" og "&amp;E_g_valg[[#This Row],[Højre label]]," ")</f>
        <v xml:space="preserve"> </v>
      </c>
      <c r="AF15"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80.702% større end -1.505</v>
      </c>
      <c r="AG15">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15">
        <f>(E_g_valg[[#This Row],[Midtpunkt teststørrelse]]-E_g_valg[[#This Row],[X min]])/(E_g_valg[[#This Row],[X max]]-E_g_valg[[#This Row],[X min]])</f>
        <v>0.5</v>
      </c>
      <c r="AI15">
        <f>IF(AND(E_g_valg[[#This Row],[Orientering]],E_g_valg[[#This Row],[Ensidet]]),(E_g_valg[[#This Row],[Venstre teststørrelse]]-E_g_valg[[#This Row],[X min]])/(E_g_valg[[#This Row],[X max]]-E_g_valg[[#This Row],[X min]]),(E_g_valg[[#This Row],[Højre teststørrelse]]-E_g_valg[[#This Row],[X min]])/(E_g_valg[[#This Row],[X max]]-E_g_valg[[#This Row],[X min]]))</f>
        <v>0.37381286299513244</v>
      </c>
      <c r="AJ15" t="s">
        <v>302</v>
      </c>
      <c r="AK15">
        <f>_xlfn.AGGREGATE(3,5,E_g_valg[[#This Row],[Parameter]])</f>
        <v>1</v>
      </c>
      <c r="AL15">
        <v>2</v>
      </c>
      <c r="AM15">
        <v>14</v>
      </c>
      <c r="AN15"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5"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5" t="s">
        <v>15</v>
      </c>
      <c r="AQ15" t="b">
        <f t="shared" si="3"/>
        <v>1</v>
      </c>
      <c r="AR15" t="s">
        <v>175</v>
      </c>
      <c r="AS15" t="b">
        <f t="shared" si="4"/>
        <v>1</v>
      </c>
      <c r="AT15" t="s">
        <v>169</v>
      </c>
      <c r="AU15" t="b">
        <f>NOT(AND(Eu_g_n_x&gt;=30,Eu_g_n_y&gt;=30))</f>
        <v>1</v>
      </c>
      <c r="AV15" t="s">
        <v>185</v>
      </c>
      <c r="AW15" t="s">
        <v>189</v>
      </c>
    </row>
    <row r="16" spans="1:50" x14ac:dyDescent="0.2">
      <c r="A16" t="s">
        <v>0</v>
      </c>
      <c r="B16" t="s">
        <v>135</v>
      </c>
      <c r="C16" t="s">
        <v>141</v>
      </c>
      <c r="D16" t="s">
        <v>130</v>
      </c>
      <c r="E16" s="29">
        <f>(Eu_g_s_x^2/Eu_g_n_x+Eu_g_s_y^2/Eu_g_n_y)^2/((Eu_g_s_x^2/Eu_g_n_x)^2/(Eu_g_n_x-1)+(Eu_g_s_y^2/Eu_g_n_y)^2/(Eu_g_n_y-1))</f>
        <v>21.900486557523873</v>
      </c>
      <c r="G16">
        <f>IFERROR((Eu_g_g_x-Eu_g_g_y-(Eu_g_h0_x-Eu_g_h0_y))/(SQRT(Eu_g_s_x^2/Eu_g_n_x+Eu_g_s_y^2/Eu_g_n_y)),NA())</f>
        <v>-0.8845698192548983</v>
      </c>
      <c r="H16">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6">
        <f>E_g_valg[[#This Row],[Venstre teststørrelse]]*(SQRT(Eu_g_s_x^2/Eu_g_n_x+Eu_g_s_y^2/Eu_g_n_y))+(Eu_g_h0_x-Eu_g_h0_y)</f>
        <v>-1.5054022174376644</v>
      </c>
      <c r="J16">
        <f>E_g_valg[[#This Row],[Midtpunkt teststørrelse]]*(SQRT(Eu_g_s_x^2/Eu_g_n_x+Eu_g_s_y^2/Eu_g_n_y))+(Eu_g_h0_x-Eu_g_h0_y)</f>
        <v>0</v>
      </c>
      <c r="K16">
        <f>E_g_valg[[#This Row],[Højre teststørrelse]]*(SQRT(Eu_g_s_x^2/Eu_g_n_x+Eu_g_s_y^2/Eu_g_n_y))+(Eu_g_h0_x-Eu_g_h0_y)</f>
        <v>1.5054022174376644</v>
      </c>
      <c r="L16">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6">
        <f>IF(E_g_valg[[#This Row],[Parameter]]="andel",ROUND(E_g_valg[[#This Row],[Midtpunkt label base]],5)*100&amp;"%",ROUND(E_g_valg[[#This Row],[Midtpunkt label base]],3))</f>
        <v>0</v>
      </c>
      <c r="N16">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6" t="b">
        <f>E_g_valg[[#This Row],[Teststørrelse]]=E_g_valg[[#This Row],[Venstre teststørrelse]]</f>
        <v>1</v>
      </c>
      <c r="P16" t="b">
        <f>OR(MATCH(E_g_valg[[#This Row],[Hypotese]],HypoteseRetning_liste,0)=2,MATCH(E_g_valg[[#This Row],[Hypotese]],HypoteseRetning_liste,0)=3)</f>
        <v>1</v>
      </c>
      <c r="Q16">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0.19320238440389431</v>
      </c>
      <c r="R16" t="b">
        <f>E_g_valg[[#This Row],[p-værdi]]&gt;1-Eu_g_konfidensniveau</f>
        <v>1</v>
      </c>
      <c r="S16">
        <f t="shared" si="0"/>
        <v>0.999</v>
      </c>
      <c r="T16">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16">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16">
        <f>MIN(E_g_valg[[#This Row],[Teststørrelse]],E_g_valg[[#This Row],[Teststørrelse omvendt]])</f>
        <v>-0.8845698192548983</v>
      </c>
      <c r="W16">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6">
        <f>MAX(E_g_valg[[#This Row],[Teststørrelse]],E_g_valg[[#This Row],[Teststørrelse omvendt]])</f>
        <v>0.8845698192548983</v>
      </c>
      <c r="Y16">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16">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16">
        <f>E_g_valg[[#This Row],[Mindre end højre %]]-E_g_valg[[#This Row],[Mindre end venstre %]]</f>
        <v>0.61359523119221127</v>
      </c>
      <c r="AB16">
        <f>1-E_g_valg[[#This Row],[Mindre end venstre %]]</f>
        <v>0.80679761559610563</v>
      </c>
      <c r="AC16">
        <f>1-E_g_valg[[#This Row],[Mindre end højre %]]</f>
        <v>0.19320238440389437</v>
      </c>
      <c r="AD16"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16" t="str">
        <f>IF(OR(MATCH(E_g_valg[[#This Row],[Hypotese]],HypoteseRetning_liste,0)=1,MATCH(E_g_valg[[#This Row],[Hypotese]],HypoteseRetning_liste,0)=4),ROUND(E_g_valg[[#This Row],[Midt %]],5)*100&amp;"% mellem "&amp;E_g_valg[[#This Row],[Venstre label]]&amp;" og "&amp;E_g_valg[[#This Row],[Højre label]]," ")</f>
        <v xml:space="preserve"> </v>
      </c>
      <c r="AF16"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80.68% større end -1.505</v>
      </c>
      <c r="AG16">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16">
        <f>(E_g_valg[[#This Row],[Midtpunkt teststørrelse]]-E_g_valg[[#This Row],[X min]])/(E_g_valg[[#This Row],[X max]]-E_g_valg[[#This Row],[X min]])</f>
        <v>0.5</v>
      </c>
      <c r="AI16">
        <f>IF(AND(E_g_valg[[#This Row],[Orientering]],E_g_valg[[#This Row],[Ensidet]]),(E_g_valg[[#This Row],[Venstre teststørrelse]]-E_g_valg[[#This Row],[X min]])/(E_g_valg[[#This Row],[X max]]-E_g_valg[[#This Row],[X min]]),(E_g_valg[[#This Row],[Højre teststørrelse]]-E_g_valg[[#This Row],[X min]])/(E_g_valg[[#This Row],[X max]]-E_g_valg[[#This Row],[X min]]))</f>
        <v>0.37460571578406787</v>
      </c>
      <c r="AJ16" t="s">
        <v>302</v>
      </c>
      <c r="AK16">
        <f>_xlfn.AGGREGATE(3,5,E_g_valg[[#This Row],[Parameter]])</f>
        <v>1</v>
      </c>
      <c r="AL16">
        <v>2</v>
      </c>
      <c r="AM16">
        <v>15</v>
      </c>
      <c r="AN16"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6"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6" t="s">
        <v>15</v>
      </c>
      <c r="AQ16" t="b">
        <f t="shared" si="3"/>
        <v>1</v>
      </c>
      <c r="AR16" t="s">
        <v>175</v>
      </c>
      <c r="AS16" t="b">
        <f t="shared" si="4"/>
        <v>1</v>
      </c>
      <c r="AT16" t="s">
        <v>169</v>
      </c>
      <c r="AU16" t="b">
        <f>NOT(AND(Eu_g_n_x&gt;=30,Eu_g_n_y&gt;=30))</f>
        <v>1</v>
      </c>
      <c r="AV16" t="s">
        <v>186</v>
      </c>
      <c r="AW16" t="s">
        <v>189</v>
      </c>
    </row>
    <row r="17" spans="1:50" x14ac:dyDescent="0.2">
      <c r="A17" t="s">
        <v>0</v>
      </c>
      <c r="B17" t="s">
        <v>135</v>
      </c>
      <c r="C17" t="s">
        <v>140</v>
      </c>
      <c r="D17" t="s">
        <v>128</v>
      </c>
      <c r="E17" s="29">
        <v>0</v>
      </c>
      <c r="F17">
        <v>1</v>
      </c>
      <c r="G17" t="e">
        <f>IFERROR((Eu_g_g_x-Eu_g_g_y-(Eu_g_h0_x-Eu_g_h0_y))/SQRT(Eu_g_s_population_x^2/Eu_g_n_x+Eu_g_s_population_y^2/Eu_g_n_y),NA())</f>
        <v>#N/A</v>
      </c>
      <c r="H17"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7" t="e">
        <f>E_g_valg[[#This Row],[Venstre teststørrelse]]*SQRT(Eu_g_s_population_x^2/Eu_g_n_x+Eu_g_s_population_y^2/Eu_g_n_y)+(Eu_g_h0_x-Eu_g_h0_y)</f>
        <v>#N/A</v>
      </c>
      <c r="J17">
        <f>E_g_valg[[#This Row],[Midtpunkt teststørrelse]]*SQRT(Eu_g_s_population_x^2/Eu_g_n_x+Eu_g_s_population_y^2/Eu_g_n_y)+(Eu_g_h0_x-Eu_g_h0_y)</f>
        <v>0</v>
      </c>
      <c r="K17" t="e">
        <f>E_g_valg[[#This Row],[Højre teststørrelse]]*SQRT(Eu_g_s_population_x^2/Eu_g_n_x+Eu_g_s_population_y^2/Eu_g_n_y)+(Eu_g_h0_x-Eu_g_h0_y)</f>
        <v>#N/A</v>
      </c>
      <c r="L17"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7">
        <f>IF(E_g_valg[[#This Row],[Parameter]]="andel",ROUND(E_g_valg[[#This Row],[Midtpunkt label base]],5)*100&amp;"%",ROUND(E_g_valg[[#This Row],[Midtpunkt label base]],3))</f>
        <v>0</v>
      </c>
      <c r="N17"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7" t="e">
        <f>E_g_valg[[#This Row],[Teststørrelse]]=E_g_valg[[#This Row],[Venstre teststørrelse]]</f>
        <v>#N/A</v>
      </c>
      <c r="P17" t="b">
        <f>OR(MATCH(E_g_valg[[#This Row],[Hypotese]],HypoteseRetning_liste,0)=2,MATCH(E_g_valg[[#This Row],[Hypotese]],HypoteseRetning_liste,0)=3)</f>
        <v>1</v>
      </c>
      <c r="Q17"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17" t="e">
        <f>E_g_valg[[#This Row],[p-værdi]]&gt;1-Eu_g_konfidensniveau</f>
        <v>#N/A</v>
      </c>
      <c r="S17">
        <f t="shared" si="0"/>
        <v>0.999</v>
      </c>
      <c r="T17">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7">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7" t="e">
        <f>MIN(E_g_valg[[#This Row],[Teststørrelse]],E_g_valg[[#This Row],[Teststørrelse omvendt]])</f>
        <v>#N/A</v>
      </c>
      <c r="W17">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7" t="e">
        <f>MAX(E_g_valg[[#This Row],[Teststørrelse]],E_g_valg[[#This Row],[Teststørrelse omvendt]])</f>
        <v>#N/A</v>
      </c>
      <c r="Y17"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7"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7" t="e">
        <f>E_g_valg[[#This Row],[Mindre end højre %]]-E_g_valg[[#This Row],[Mindre end venstre %]]</f>
        <v>#N/A</v>
      </c>
      <c r="AB17" t="e">
        <f>1-E_g_valg[[#This Row],[Mindre end venstre %]]</f>
        <v>#N/A</v>
      </c>
      <c r="AC17" t="e">
        <f>1-E_g_valg[[#This Row],[Mindre end højre %]]</f>
        <v>#N/A</v>
      </c>
      <c r="AD17"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7" t="str">
        <f>IF(OR(MATCH(E_g_valg[[#This Row],[Hypotese]],HypoteseRetning_liste,0)=1,MATCH(E_g_valg[[#This Row],[Hypotese]],HypoteseRetning_liste,0)=4),ROUND(E_g_valg[[#This Row],[Midt %]],5)*100&amp;"% mellem "&amp;E_g_valg[[#This Row],[Venstre label]]&amp;" og "&amp;E_g_valg[[#This Row],[Højre label]]," ")</f>
        <v xml:space="preserve"> </v>
      </c>
      <c r="AF17"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7" t="e">
        <f>IF(AND(NOT(E_g_valg[[#This Row],[Orientering]]),E_g_valg[[#This Row],[Ensidet]]),(E_g_valg[[#This Row],[Højre teststørrelse]]-E_g_valg[[#This Row],[X min]])/(E_g_valg[[#This Row],[X max]]-E_g_valg[[#This Row],[X min]]),(E_g_valg[[#This Row],[Venstre teststørrelse]]-E_g_valg[[#This Row],[X min]])/(E_g_valg[[#This Row],[X max]]-E_g_valg[[#This Row],[X min]]))</f>
        <v>#N/A</v>
      </c>
      <c r="AH17">
        <f>(E_g_valg[[#This Row],[Midtpunkt teststørrelse]]-E_g_valg[[#This Row],[X min]])/(E_g_valg[[#This Row],[X max]]-E_g_valg[[#This Row],[X min]])</f>
        <v>0.5</v>
      </c>
      <c r="AI17" t="e">
        <f>IF(AND(E_g_valg[[#This Row],[Orientering]],E_g_valg[[#This Row],[Ensidet]]),(E_g_valg[[#This Row],[Venstre teststørrelse]]-E_g_valg[[#This Row],[X min]])/(E_g_valg[[#This Row],[X max]]-E_g_valg[[#This Row],[X min]]),(E_g_valg[[#This Row],[Højre teststørrelse]]-E_g_valg[[#This Row],[X min]])/(E_g_valg[[#This Row],[X max]]-E_g_valg[[#This Row],[X min]]))</f>
        <v>#N/A</v>
      </c>
      <c r="AJ17" t="s">
        <v>302</v>
      </c>
      <c r="AK17">
        <f>_xlfn.AGGREGATE(3,5,E_g_valg[[#This Row],[Parameter]])</f>
        <v>1</v>
      </c>
      <c r="AL17">
        <v>2</v>
      </c>
      <c r="AM17">
        <v>16</v>
      </c>
      <c r="AN17" t="e">
        <f>IF(AND(E_g_valg[[#This Row],[Kontrol af forudsætning 1]],E_g_valg[[#This Row],[Kontrol af forudsætning 2]],E_g_valg[[#This Row],[Kontrol af forudsætning 3]]),"Hypotesetest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 med angivne standardafvigelser")</f>
        <v>#N/A</v>
      </c>
      <c r="AO17"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17" t="s">
        <v>15</v>
      </c>
      <c r="AQ17" t="b">
        <f t="shared" si="3"/>
        <v>1</v>
      </c>
      <c r="AR17" t="s">
        <v>175</v>
      </c>
      <c r="AS17" t="b">
        <f t="shared" si="4"/>
        <v>1</v>
      </c>
      <c r="AT17" t="s">
        <v>178</v>
      </c>
      <c r="AU17" t="b">
        <f>NOT(OR(ISNA(Eu_g_s_population_x),ISNA(Eu_g_s_population_y)))</f>
        <v>1</v>
      </c>
      <c r="AV17" t="s">
        <v>184</v>
      </c>
      <c r="AW17" t="s">
        <v>188</v>
      </c>
    </row>
    <row r="18" spans="1:50" x14ac:dyDescent="0.2">
      <c r="A18" t="s">
        <v>0</v>
      </c>
      <c r="B18" t="s">
        <v>136</v>
      </c>
      <c r="C18" t="s">
        <v>128</v>
      </c>
      <c r="D18" t="s">
        <v>128</v>
      </c>
      <c r="E18" s="29">
        <v>0</v>
      </c>
      <c r="F18">
        <v>1</v>
      </c>
      <c r="G18">
        <f>IFERROR((Eu_g_g_x-Eu_g_g_y-(Eu_g_h0_x-Eu_g_h0_y))/SQRT(Eu_g_s_x^2/Eu_g_n_x+Eu_g_s_y^2/Eu_g_n_y),NA())</f>
        <v>-0.8845698192548983</v>
      </c>
      <c r="H18">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8">
        <f>E_g_valg[[#This Row],[Venstre teststørrelse]]*SQRT(Eu_g_s_x^2/Eu_g_n_x+Eu_g_s_y^2/Eu_g_n_y)+(Eu_g_h0_x-Eu_g_h0_y)</f>
        <v>-1.5054022174376644</v>
      </c>
      <c r="J18">
        <f>E_g_valg[[#This Row],[Midtpunkt teststørrelse]]*SQRT(Eu_g_s_x^2/Eu_g_n_x+Eu_g_s_y^2/Eu_g_n_y)+(Eu_g_h0_x-Eu_g_h0_y)</f>
        <v>0</v>
      </c>
      <c r="K18">
        <f>E_g_valg[[#This Row],[Højre teststørrelse]]*SQRT(Eu_g_s_x^2/Eu_g_n_x+Eu_g_s_y^2/Eu_g_n_y)+(Eu_g_h0_x-Eu_g_h0_y)</f>
        <v>1.5054022174376644</v>
      </c>
      <c r="L18">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8">
        <f>IF(E_g_valg[[#This Row],[Parameter]]="andel",ROUND(E_g_valg[[#This Row],[Midtpunkt label base]],5)*100&amp;"%",ROUND(E_g_valg[[#This Row],[Midtpunkt label base]],3))</f>
        <v>0</v>
      </c>
      <c r="N18">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8" t="b">
        <f>E_g_valg[[#This Row],[Teststørrelse]]=E_g_valg[[#This Row],[Venstre teststørrelse]]</f>
        <v>1</v>
      </c>
      <c r="P18" t="b">
        <f>OR(MATCH(E_g_valg[[#This Row],[Hypotese]],HypoteseRetning_liste,0)=2,MATCH(E_g_valg[[#This Row],[Hypotese]],HypoteseRetning_liste,0)=3)</f>
        <v>1</v>
      </c>
      <c r="Q18">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0.81180565478619116</v>
      </c>
      <c r="R18" t="b">
        <f>E_g_valg[[#This Row],[p-værdi]]&gt;1-Eu_g_konfidensniveau</f>
        <v>1</v>
      </c>
      <c r="S18">
        <f t="shared" si="0"/>
        <v>0.999</v>
      </c>
      <c r="T18">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8">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8">
        <f>MIN(E_g_valg[[#This Row],[Teststørrelse]],E_g_valg[[#This Row],[Teststørrelse omvendt]])</f>
        <v>-0.8845698192548983</v>
      </c>
      <c r="W18">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8">
        <f>MAX(E_g_valg[[#This Row],[Teststørrelse]],E_g_valg[[#This Row],[Teststørrelse omvendt]])</f>
        <v>0.8845698192548983</v>
      </c>
      <c r="Y18">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18">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18">
        <f>E_g_valg[[#This Row],[Mindre end højre %]]-E_g_valg[[#This Row],[Mindre end venstre %]]</f>
        <v>0.62361130957238231</v>
      </c>
      <c r="AB18">
        <f>1-E_g_valg[[#This Row],[Mindre end venstre %]]</f>
        <v>0.81180565478619116</v>
      </c>
      <c r="AC18">
        <f>1-E_g_valg[[#This Row],[Mindre end højre %]]</f>
        <v>0.18819434521380884</v>
      </c>
      <c r="AD18"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18" t="str">
        <f>IF(OR(MATCH(E_g_valg[[#This Row],[Hypotese]],HypoteseRetning_liste,0)=1,MATCH(E_g_valg[[#This Row],[Hypotese]],HypoteseRetning_liste,0)=4),ROUND(E_g_valg[[#This Row],[Midt %]],5)*100&amp;"% mellem "&amp;E_g_valg[[#This Row],[Venstre label]]&amp;" og "&amp;E_g_valg[[#This Row],[Højre label]]," ")</f>
        <v xml:space="preserve"> </v>
      </c>
      <c r="AF18"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81.181% større end -1.505</v>
      </c>
      <c r="AG18">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18">
        <f>(E_g_valg[[#This Row],[Midtpunkt teststørrelse]]-E_g_valg[[#This Row],[X min]])/(E_g_valg[[#This Row],[X max]]-E_g_valg[[#This Row],[X min]])</f>
        <v>0.5</v>
      </c>
      <c r="AI18">
        <f>IF(AND(E_g_valg[[#This Row],[Orientering]],E_g_valg[[#This Row],[Ensidet]]),(E_g_valg[[#This Row],[Venstre teststørrelse]]-E_g_valg[[#This Row],[X min]])/(E_g_valg[[#This Row],[X max]]-E_g_valg[[#This Row],[X min]]),(E_g_valg[[#This Row],[Højre teststørrelse]]-E_g_valg[[#This Row],[X min]])/(E_g_valg[[#This Row],[X max]]-E_g_valg[[#This Row],[X min]]))</f>
        <v>0.35687648506402248</v>
      </c>
      <c r="AJ18" t="s">
        <v>303</v>
      </c>
      <c r="AK18">
        <f>_xlfn.AGGREGATE(3,5,E_g_valg[[#This Row],[Parameter]])</f>
        <v>1</v>
      </c>
      <c r="AL18">
        <v>2</v>
      </c>
      <c r="AM18">
        <v>17</v>
      </c>
      <c r="AN18"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18"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8" t="s">
        <v>15</v>
      </c>
      <c r="AQ18" t="b">
        <f t="shared" si="3"/>
        <v>1</v>
      </c>
      <c r="AR18" t="s">
        <v>175</v>
      </c>
      <c r="AS18" t="b">
        <f t="shared" si="4"/>
        <v>1</v>
      </c>
      <c r="AT18" t="s">
        <v>168</v>
      </c>
      <c r="AU18" t="b">
        <f>AND(Eu_g_n_x&gt;=30,Eu_g_n_y&gt;=30)</f>
        <v>0</v>
      </c>
      <c r="AV18" t="s">
        <v>183</v>
      </c>
      <c r="AW18" t="s">
        <v>188</v>
      </c>
    </row>
    <row r="19" spans="1:50" x14ac:dyDescent="0.2">
      <c r="A19" t="s">
        <v>0</v>
      </c>
      <c r="B19" t="s">
        <v>136</v>
      </c>
      <c r="C19" t="s">
        <v>139</v>
      </c>
      <c r="D19" t="s">
        <v>130</v>
      </c>
      <c r="E19" s="29">
        <f>Eu_g_n_x+Eu_g_n_y-2</f>
        <v>22</v>
      </c>
      <c r="G19">
        <f>IFERROR((Eu_g_g_x-Eu_g_g_y-(Eu_g_h0_x-Eu_g_h0_y))/(SQRT(((Eu_g_n_x-1)*Eu_g_s_x^2+(Eu_g_n_y-1)*Eu_g_s_y^2)/(Eu_g_n_x+Eu_g_n_y-2))*SQRT(1/Eu_g_n_x+1/Eu_g_n_y)),NA())</f>
        <v>-0.8845698192548983</v>
      </c>
      <c r="H19">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9">
        <f>E_g_valg[[#This Row],[Venstre teststørrelse]]*(SQRT(((Eu_g_n_x-1)*Eu_g_s_x^2+(Eu_g_n_y-1)*Eu_g_s_y^2)/(Eu_g_n_x+Eu_g_n_y-2))*SQRT(1/Eu_g_n_x+1/Eu_g_n_y))+(Eu_g_h0_x-Eu_g_h0_y)</f>
        <v>-1.5054022174376644</v>
      </c>
      <c r="J19">
        <f>E_g_valg[[#This Row],[Midtpunkt teststørrelse]]*(SQRT(((Eu_g_n_x-1)*Eu_g_s_x^2+(Eu_g_n_y-1)*Eu_g_s_y^2)/(Eu_g_n_x+Eu_g_n_y-2))*SQRT(1/Eu_g_n_x+1/Eu_g_n_y))+(Eu_g_h0_x-Eu_g_h0_y)</f>
        <v>0</v>
      </c>
      <c r="K19">
        <f>E_g_valg[[#This Row],[Højre teststørrelse]]*(SQRT(((Eu_g_n_x-1)*Eu_g_s_x^2+(Eu_g_n_y-1)*Eu_g_s_y^2)/(Eu_g_n_x+Eu_g_n_y-2))*SQRT(1/Eu_g_n_x+1/Eu_g_n_y))+(Eu_g_h0_x-Eu_g_h0_y)</f>
        <v>1.5054022174376644</v>
      </c>
      <c r="L19">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9">
        <f>IF(E_g_valg[[#This Row],[Parameter]]="andel",ROUND(E_g_valg[[#This Row],[Midtpunkt label base]],5)*100&amp;"%",ROUND(E_g_valg[[#This Row],[Midtpunkt label base]],3))</f>
        <v>0</v>
      </c>
      <c r="N19">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9" t="b">
        <f>E_g_valg[[#This Row],[Teststørrelse]]=E_g_valg[[#This Row],[Venstre teststørrelse]]</f>
        <v>1</v>
      </c>
      <c r="P19" t="b">
        <f>OR(MATCH(E_g_valg[[#This Row],[Hypotese]],HypoteseRetning_liste,0)=2,MATCH(E_g_valg[[#This Row],[Hypotese]],HypoteseRetning_liste,0)=3)</f>
        <v>1</v>
      </c>
      <c r="Q19">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0.80702280712011143</v>
      </c>
      <c r="R19" t="b">
        <f>E_g_valg[[#This Row],[p-værdi]]&gt;1-Eu_g_konfidensniveau</f>
        <v>1</v>
      </c>
      <c r="S19">
        <f t="shared" si="0"/>
        <v>0.999</v>
      </c>
      <c r="T19">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19">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19">
        <f>MIN(E_g_valg[[#This Row],[Teststørrelse]],E_g_valg[[#This Row],[Teststørrelse omvendt]])</f>
        <v>-0.8845698192548983</v>
      </c>
      <c r="W19">
        <f>CHOOSE(MATCH(E_g_valg[[#This Row],[Fordeling]],Fordeling_liste,0),_xlfn.NORM.INV(0.5,E_g_valg[[#This Row],[Parameter 1]],E_g_valg[[#This Row],[Parameter 2]]),_xlfn.T.INV(0.5,E_g_valg[[#This Row],[Parameter 1]]),_xlfn.CHISQ.INV(0.5,E_g_valg[[#This Row],[Parameter 1]]),_xlfn.F.INV(0.5,E_g_valg[[#This Row],[Parameter 1]],E_g_valg[[#This Row],[Parameter 2]]))</f>
        <v>0</v>
      </c>
      <c r="X19">
        <f>MAX(E_g_valg[[#This Row],[Teststørrelse]],E_g_valg[[#This Row],[Teststørrelse omvendt]])</f>
        <v>0.8845698192548983</v>
      </c>
      <c r="Y19">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19">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19">
        <f>E_g_valg[[#This Row],[Mindre end højre %]]-E_g_valg[[#This Row],[Mindre end venstre %]]</f>
        <v>0.61404561424022286</v>
      </c>
      <c r="AB19">
        <f>1-E_g_valg[[#This Row],[Mindre end venstre %]]</f>
        <v>0.80702280712011143</v>
      </c>
      <c r="AC19">
        <f>1-E_g_valg[[#This Row],[Mindre end højre %]]</f>
        <v>0.19297719287988857</v>
      </c>
      <c r="AD19"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19" t="str">
        <f>IF(OR(MATCH(E_g_valg[[#This Row],[Hypotese]],HypoteseRetning_liste,0)=1,MATCH(E_g_valg[[#This Row],[Hypotese]],HypoteseRetning_liste,0)=4),ROUND(E_g_valg[[#This Row],[Midt %]],5)*100&amp;"% mellem "&amp;E_g_valg[[#This Row],[Venstre label]]&amp;" og "&amp;E_g_valg[[#This Row],[Højre label]]," ")</f>
        <v xml:space="preserve"> </v>
      </c>
      <c r="AF19"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80.702% større end -1.505</v>
      </c>
      <c r="AG19">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19">
        <f>(E_g_valg[[#This Row],[Midtpunkt teststørrelse]]-E_g_valg[[#This Row],[X min]])/(E_g_valg[[#This Row],[X max]]-E_g_valg[[#This Row],[X min]])</f>
        <v>0.5</v>
      </c>
      <c r="AI19">
        <f>IF(AND(E_g_valg[[#This Row],[Orientering]],E_g_valg[[#This Row],[Ensidet]]),(E_g_valg[[#This Row],[Venstre teststørrelse]]-E_g_valg[[#This Row],[X min]])/(E_g_valg[[#This Row],[X max]]-E_g_valg[[#This Row],[X min]]),(E_g_valg[[#This Row],[Højre teststørrelse]]-E_g_valg[[#This Row],[X min]])/(E_g_valg[[#This Row],[X max]]-E_g_valg[[#This Row],[X min]]))</f>
        <v>0.37381286299513244</v>
      </c>
      <c r="AJ19" t="s">
        <v>303</v>
      </c>
      <c r="AK19">
        <f>_xlfn.AGGREGATE(3,5,E_g_valg[[#This Row],[Parameter]])</f>
        <v>1</v>
      </c>
      <c r="AL19">
        <v>2</v>
      </c>
      <c r="AM19">
        <v>18</v>
      </c>
      <c r="AN19"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19"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9" t="s">
        <v>15</v>
      </c>
      <c r="AQ19" t="b">
        <f t="shared" si="3"/>
        <v>1</v>
      </c>
      <c r="AR19" t="s">
        <v>175</v>
      </c>
      <c r="AS19" t="b">
        <f t="shared" si="4"/>
        <v>1</v>
      </c>
      <c r="AT19" t="s">
        <v>169</v>
      </c>
      <c r="AU19" t="b">
        <f>NOT(AND(Eu_g_n_x&gt;=30,Eu_g_n_y&gt;=30))</f>
        <v>1</v>
      </c>
      <c r="AV19" t="s">
        <v>185</v>
      </c>
      <c r="AW19" t="s">
        <v>189</v>
      </c>
    </row>
    <row r="20" spans="1:50" x14ac:dyDescent="0.2">
      <c r="A20" t="s">
        <v>0</v>
      </c>
      <c r="B20" t="s">
        <v>136</v>
      </c>
      <c r="C20" t="s">
        <v>141</v>
      </c>
      <c r="D20" t="s">
        <v>130</v>
      </c>
      <c r="E20" s="29">
        <f>(Eu_g_s_x^2/Eu_g_n_x+Eu_g_s_y^2/Eu_g_n_y)^2/((Eu_g_s_x^2/Eu_g_n_x)^2/(Eu_g_n_x-1)+(Eu_g_s_y^2/Eu_g_n_y)^2/(Eu_g_n_y-1))</f>
        <v>21.900486557523873</v>
      </c>
      <c r="G20">
        <f>IFERROR((Eu_g_g_x-Eu_g_g_y-(Eu_g_h0_x-Eu_g_h0_y))/(SQRT(Eu_g_s_x^2/Eu_g_n_x+Eu_g_s_y^2/Eu_g_n_y)),NA())</f>
        <v>-0.8845698192548983</v>
      </c>
      <c r="H20">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0">
        <f>E_g_valg[[#This Row],[Venstre teststørrelse]]*(SQRT(Eu_g_s_x^2/Eu_g_n_x+Eu_g_s_y^2/Eu_g_n_y))+(Eu_g_h0_x-Eu_g_h0_y)</f>
        <v>-1.5054022174376644</v>
      </c>
      <c r="J20">
        <f>E_g_valg[[#This Row],[Midtpunkt teststørrelse]]*(SQRT(Eu_g_s_x^2/Eu_g_n_x+Eu_g_s_y^2/Eu_g_n_y))+(Eu_g_h0_x-Eu_g_h0_y)</f>
        <v>0</v>
      </c>
      <c r="K20">
        <f>E_g_valg[[#This Row],[Højre teststørrelse]]*(SQRT(Eu_g_s_x^2/Eu_g_n_x+Eu_g_s_y^2/Eu_g_n_y))+(Eu_g_h0_x-Eu_g_h0_y)</f>
        <v>1.5054022174376644</v>
      </c>
      <c r="L20">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0">
        <f>IF(E_g_valg[[#This Row],[Parameter]]="andel",ROUND(E_g_valg[[#This Row],[Midtpunkt label base]],5)*100&amp;"%",ROUND(E_g_valg[[#This Row],[Midtpunkt label base]],3))</f>
        <v>0</v>
      </c>
      <c r="N20">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0" t="b">
        <f>E_g_valg[[#This Row],[Teststørrelse]]=E_g_valg[[#This Row],[Venstre teststørrelse]]</f>
        <v>1</v>
      </c>
      <c r="P20" t="b">
        <f>OR(MATCH(E_g_valg[[#This Row],[Hypotese]],HypoteseRetning_liste,0)=2,MATCH(E_g_valg[[#This Row],[Hypotese]],HypoteseRetning_liste,0)=3)</f>
        <v>1</v>
      </c>
      <c r="Q20">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0.80679761559610563</v>
      </c>
      <c r="R20" t="b">
        <f>E_g_valg[[#This Row],[p-værdi]]&gt;1-Eu_g_konfidensniveau</f>
        <v>1</v>
      </c>
      <c r="S20">
        <f t="shared" si="0"/>
        <v>0.999</v>
      </c>
      <c r="T20">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20">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20">
        <f>MIN(E_g_valg[[#This Row],[Teststørrelse]],E_g_valg[[#This Row],[Teststørrelse omvendt]])</f>
        <v>-0.8845698192548983</v>
      </c>
      <c r="W20">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0">
        <f>MAX(E_g_valg[[#This Row],[Teststørrelse]],E_g_valg[[#This Row],[Teststørrelse omvendt]])</f>
        <v>0.8845698192548983</v>
      </c>
      <c r="Y20">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20">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20">
        <f>E_g_valg[[#This Row],[Mindre end højre %]]-E_g_valg[[#This Row],[Mindre end venstre %]]</f>
        <v>0.61359523119221127</v>
      </c>
      <c r="AB20">
        <f>1-E_g_valg[[#This Row],[Mindre end venstre %]]</f>
        <v>0.80679761559610563</v>
      </c>
      <c r="AC20">
        <f>1-E_g_valg[[#This Row],[Mindre end højre %]]</f>
        <v>0.19320238440389437</v>
      </c>
      <c r="AD20"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20" t="str">
        <f>IF(OR(MATCH(E_g_valg[[#This Row],[Hypotese]],HypoteseRetning_liste,0)=1,MATCH(E_g_valg[[#This Row],[Hypotese]],HypoteseRetning_liste,0)=4),ROUND(E_g_valg[[#This Row],[Midt %]],5)*100&amp;"% mellem "&amp;E_g_valg[[#This Row],[Venstre label]]&amp;" og "&amp;E_g_valg[[#This Row],[Højre label]]," ")</f>
        <v xml:space="preserve"> </v>
      </c>
      <c r="AF20"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80.68% større end -1.505</v>
      </c>
      <c r="AG20">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20">
        <f>(E_g_valg[[#This Row],[Midtpunkt teststørrelse]]-E_g_valg[[#This Row],[X min]])/(E_g_valg[[#This Row],[X max]]-E_g_valg[[#This Row],[X min]])</f>
        <v>0.5</v>
      </c>
      <c r="AI20">
        <f>IF(AND(E_g_valg[[#This Row],[Orientering]],E_g_valg[[#This Row],[Ensidet]]),(E_g_valg[[#This Row],[Venstre teststørrelse]]-E_g_valg[[#This Row],[X min]])/(E_g_valg[[#This Row],[X max]]-E_g_valg[[#This Row],[X min]]),(E_g_valg[[#This Row],[Højre teststørrelse]]-E_g_valg[[#This Row],[X min]])/(E_g_valg[[#This Row],[X max]]-E_g_valg[[#This Row],[X min]]))</f>
        <v>0.37460571578406787</v>
      </c>
      <c r="AJ20" t="s">
        <v>303</v>
      </c>
      <c r="AK20">
        <f>_xlfn.AGGREGATE(3,5,E_g_valg[[#This Row],[Parameter]])</f>
        <v>1</v>
      </c>
      <c r="AL20">
        <v>2</v>
      </c>
      <c r="AM20">
        <v>19</v>
      </c>
      <c r="AN20"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20"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0" t="s">
        <v>15</v>
      </c>
      <c r="AQ20" t="b">
        <f t="shared" si="3"/>
        <v>1</v>
      </c>
      <c r="AR20" t="s">
        <v>175</v>
      </c>
      <c r="AS20" t="b">
        <f t="shared" si="4"/>
        <v>1</v>
      </c>
      <c r="AT20" t="s">
        <v>169</v>
      </c>
      <c r="AU20" t="b">
        <f>NOT(AND(Eu_g_n_x&gt;=30,Eu_g_n_y&gt;=30))</f>
        <v>1</v>
      </c>
      <c r="AV20" t="s">
        <v>186</v>
      </c>
      <c r="AW20" t="s">
        <v>189</v>
      </c>
    </row>
    <row r="21" spans="1:50" x14ac:dyDescent="0.2">
      <c r="A21" t="s">
        <v>0</v>
      </c>
      <c r="B21" t="s">
        <v>136</v>
      </c>
      <c r="C21" t="s">
        <v>140</v>
      </c>
      <c r="D21" t="s">
        <v>128</v>
      </c>
      <c r="E21" s="29">
        <v>0</v>
      </c>
      <c r="F21">
        <v>1</v>
      </c>
      <c r="G21" t="e">
        <f>IFERROR((Eu_g_g_x-Eu_g_g_y-(Eu_g_h0_x-Eu_g_h0_y))/SQRT(Eu_g_s_population_x^2/Eu_g_n_x+Eu_g_s_population_y^2/Eu_g_n_y),NA())</f>
        <v>#N/A</v>
      </c>
      <c r="H21"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21" t="e">
        <f>E_g_valg[[#This Row],[Venstre teststørrelse]]*SQRT(Eu_g_s_population_x^2/Eu_g_n_x+Eu_g_s_population_y^2/Eu_g_n_y)+(Eu_g_h0_x-Eu_g_h0_y)</f>
        <v>#N/A</v>
      </c>
      <c r="J21">
        <f>E_g_valg[[#This Row],[Midtpunkt teststørrelse]]*SQRT(Eu_g_s_population_x^2/Eu_g_n_x+Eu_g_s_population_y^2/Eu_g_n_y)+(Eu_g_h0_x-Eu_g_h0_y)</f>
        <v>0</v>
      </c>
      <c r="K21" t="e">
        <f>E_g_valg[[#This Row],[Højre teststørrelse]]*SQRT(Eu_g_s_population_x^2/Eu_g_n_x+Eu_g_s_population_y^2/Eu_g_n_y)+(Eu_g_h0_x-Eu_g_h0_y)</f>
        <v>#N/A</v>
      </c>
      <c r="L21"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21">
        <f>IF(E_g_valg[[#This Row],[Parameter]]="andel",ROUND(E_g_valg[[#This Row],[Midtpunkt label base]],5)*100&amp;"%",ROUND(E_g_valg[[#This Row],[Midtpunkt label base]],3))</f>
        <v>0</v>
      </c>
      <c r="N21"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21" t="e">
        <f>E_g_valg[[#This Row],[Teststørrelse]]=E_g_valg[[#This Row],[Venstre teststørrelse]]</f>
        <v>#N/A</v>
      </c>
      <c r="P21" t="b">
        <f>OR(MATCH(E_g_valg[[#This Row],[Hypotese]],HypoteseRetning_liste,0)=2,MATCH(E_g_valg[[#This Row],[Hypotese]],HypoteseRetning_liste,0)=3)</f>
        <v>1</v>
      </c>
      <c r="Q21"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21" t="e">
        <f>E_g_valg[[#This Row],[p-værdi]]&gt;1-Eu_g_konfidensniveau</f>
        <v>#N/A</v>
      </c>
      <c r="S21">
        <f t="shared" si="0"/>
        <v>0.999</v>
      </c>
      <c r="T21">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1">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1" t="e">
        <f>MIN(E_g_valg[[#This Row],[Teststørrelse]],E_g_valg[[#This Row],[Teststørrelse omvendt]])</f>
        <v>#N/A</v>
      </c>
      <c r="W21">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1" t="e">
        <f>MAX(E_g_valg[[#This Row],[Teststørrelse]],E_g_valg[[#This Row],[Teststørrelse omvendt]])</f>
        <v>#N/A</v>
      </c>
      <c r="Y21"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21"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21" t="e">
        <f>E_g_valg[[#This Row],[Mindre end højre %]]-E_g_valg[[#This Row],[Mindre end venstre %]]</f>
        <v>#N/A</v>
      </c>
      <c r="AB21" t="e">
        <f>1-E_g_valg[[#This Row],[Mindre end venstre %]]</f>
        <v>#N/A</v>
      </c>
      <c r="AC21" t="e">
        <f>1-E_g_valg[[#This Row],[Mindre end højre %]]</f>
        <v>#N/A</v>
      </c>
      <c r="AD21"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21" t="str">
        <f>IF(OR(MATCH(E_g_valg[[#This Row],[Hypotese]],HypoteseRetning_liste,0)=1,MATCH(E_g_valg[[#This Row],[Hypotese]],HypoteseRetning_liste,0)=4),ROUND(E_g_valg[[#This Row],[Midt %]],5)*100&amp;"% mellem "&amp;E_g_valg[[#This Row],[Venstre label]]&amp;" og "&amp;E_g_valg[[#This Row],[Højre label]]," ")</f>
        <v xml:space="preserve"> </v>
      </c>
      <c r="AF21"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21" t="e">
        <f>IF(AND(NOT(E_g_valg[[#This Row],[Orientering]]),E_g_valg[[#This Row],[Ensidet]]),(E_g_valg[[#This Row],[Højre teststørrelse]]-E_g_valg[[#This Row],[X min]])/(E_g_valg[[#This Row],[X max]]-E_g_valg[[#This Row],[X min]]),(E_g_valg[[#This Row],[Venstre teststørrelse]]-E_g_valg[[#This Row],[X min]])/(E_g_valg[[#This Row],[X max]]-E_g_valg[[#This Row],[X min]]))</f>
        <v>#N/A</v>
      </c>
      <c r="AH21">
        <f>(E_g_valg[[#This Row],[Midtpunkt teststørrelse]]-E_g_valg[[#This Row],[X min]])/(E_g_valg[[#This Row],[X max]]-E_g_valg[[#This Row],[X min]])</f>
        <v>0.5</v>
      </c>
      <c r="AI21" t="e">
        <f>IF(AND(E_g_valg[[#This Row],[Orientering]],E_g_valg[[#This Row],[Ensidet]]),(E_g_valg[[#This Row],[Venstre teststørrelse]]-E_g_valg[[#This Row],[X min]])/(E_g_valg[[#This Row],[X max]]-E_g_valg[[#This Row],[X min]]),(E_g_valg[[#This Row],[Højre teststørrelse]]-E_g_valg[[#This Row],[X min]])/(E_g_valg[[#This Row],[X max]]-E_g_valg[[#This Row],[X min]]))</f>
        <v>#N/A</v>
      </c>
      <c r="AJ21" t="s">
        <v>303</v>
      </c>
      <c r="AK21">
        <f>_xlfn.AGGREGATE(3,5,E_g_valg[[#This Row],[Parameter]])</f>
        <v>1</v>
      </c>
      <c r="AL21">
        <v>2</v>
      </c>
      <c r="AM21">
        <v>20</v>
      </c>
      <c r="AN21" t="e">
        <f>IF(AND(E_g_valg[[#This Row],[Kontrol af forudsætning 1]],E_g_valg[[#This Row],[Kontrol af forudsætning 2]],E_g_valg[[#This Row],[Kontrol af forudsætning 3]]),"Hypotesetest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 med angivne standardafvigelser")</f>
        <v>#N/A</v>
      </c>
      <c r="AO21"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21" t="s">
        <v>15</v>
      </c>
      <c r="AQ21" t="b">
        <f t="shared" si="3"/>
        <v>1</v>
      </c>
      <c r="AR21" t="s">
        <v>175</v>
      </c>
      <c r="AS21" t="b">
        <f t="shared" si="4"/>
        <v>1</v>
      </c>
      <c r="AT21" t="s">
        <v>178</v>
      </c>
      <c r="AU21" t="b">
        <f>NOT(OR(ISNA(Eu_g_s_population_x),ISNA(Eu_g_s_population_y)))</f>
        <v>1</v>
      </c>
      <c r="AV21" t="s">
        <v>184</v>
      </c>
      <c r="AW21" t="s">
        <v>188</v>
      </c>
    </row>
    <row r="22" spans="1:50" x14ac:dyDescent="0.2">
      <c r="A22" t="s">
        <v>0</v>
      </c>
      <c r="B22" t="s">
        <v>137</v>
      </c>
      <c r="C22" t="s">
        <v>128</v>
      </c>
      <c r="D22" t="s">
        <v>128</v>
      </c>
      <c r="E22" s="29">
        <v>0</v>
      </c>
      <c r="F22">
        <v>1</v>
      </c>
      <c r="G22">
        <f>IFERROR((Eu_g_g_x-Eu_g_g_y-(Eu_g_h0_x-Eu_g_h0_y))/SQRT(Eu_g_s_x^2/Eu_g_n_x+Eu_g_s_y^2/Eu_g_n_y),NA())</f>
        <v>-0.8845698192548983</v>
      </c>
      <c r="H22">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2">
        <f>E_g_valg[[#This Row],[Venstre teststørrelse]]*SQRT(Eu_g_s_x^2/Eu_g_n_x+Eu_g_s_y^2/Eu_g_n_y)+(Eu_g_h0_x-Eu_g_h0_y)</f>
        <v>-1.5054022174376644</v>
      </c>
      <c r="J22">
        <f>E_g_valg[[#This Row],[Midtpunkt teststørrelse]]*SQRT(Eu_g_s_x^2/Eu_g_n_x+Eu_g_s_y^2/Eu_g_n_y)+(Eu_g_h0_x-Eu_g_h0_y)</f>
        <v>0</v>
      </c>
      <c r="K22">
        <f>E_g_valg[[#This Row],[Højre teststørrelse]]*SQRT(Eu_g_s_x^2/Eu_g_n_x+Eu_g_s_y^2/Eu_g_n_y)+(Eu_g_h0_x-Eu_g_h0_y)</f>
        <v>1.5054022174376644</v>
      </c>
      <c r="L2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2">
        <f>IF(E_g_valg[[#This Row],[Parameter]]="andel",ROUND(E_g_valg[[#This Row],[Midtpunkt label base]],5)*100&amp;"%",ROUND(E_g_valg[[#This Row],[Midtpunkt label base]],3))</f>
        <v>0</v>
      </c>
      <c r="N2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2" t="b">
        <f>E_g_valg[[#This Row],[Teststørrelse]]=E_g_valg[[#This Row],[Venstre teststørrelse]]</f>
        <v>1</v>
      </c>
      <c r="P22" t="b">
        <f>OR(MATCH(E_g_valg[[#This Row],[Hypotese]],HypoteseRetning_liste,0)=2,MATCH(E_g_valg[[#This Row],[Hypotese]],HypoteseRetning_liste,0)=3)</f>
        <v>0</v>
      </c>
      <c r="Q22">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0.37638869042761769</v>
      </c>
      <c r="R22" t="b">
        <f>E_g_valg[[#This Row],[p-værdi]]&gt;1-Eu_g_konfidensniveau</f>
        <v>1</v>
      </c>
      <c r="S22">
        <f t="shared" si="0"/>
        <v>0.999</v>
      </c>
      <c r="T22">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2">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2">
        <f>MIN(E_g_valg[[#This Row],[Teststørrelse]],E_g_valg[[#This Row],[Teststørrelse omvendt]])</f>
        <v>-0.8845698192548983</v>
      </c>
      <c r="W22">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2">
        <f>MAX(E_g_valg[[#This Row],[Teststørrelse]],E_g_valg[[#This Row],[Teststørrelse omvendt]])</f>
        <v>0.8845698192548983</v>
      </c>
      <c r="Y22">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22">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22">
        <f>E_g_valg[[#This Row],[Mindre end højre %]]-E_g_valg[[#This Row],[Mindre end venstre %]]</f>
        <v>0.62361130957238231</v>
      </c>
      <c r="AB22">
        <f>1-E_g_valg[[#This Row],[Mindre end venstre %]]</f>
        <v>0.81180565478619116</v>
      </c>
      <c r="AC22">
        <f>1-E_g_valg[[#This Row],[Mindre end højre %]]</f>
        <v>0.18819434521380884</v>
      </c>
      <c r="AD22"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22" t="str">
        <f>IF(OR(MATCH(E_g_valg[[#This Row],[Hypotese]],HypoteseRetning_liste,0)=1,MATCH(E_g_valg[[#This Row],[Hypotese]],HypoteseRetning_liste,0)=4),ROUND(E_g_valg[[#This Row],[Midt %]],5)*100&amp;"% mellem "&amp;E_g_valg[[#This Row],[Venstre label]]&amp;" og "&amp;E_g_valg[[#This Row],[Højre label]]," ")</f>
        <v>62.361% mellem -1.505 og 1.505</v>
      </c>
      <c r="AF22"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18.819% større end 1.505</v>
      </c>
      <c r="AG22">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22">
        <f>(E_g_valg[[#This Row],[Midtpunkt teststørrelse]]-E_g_valg[[#This Row],[X min]])/(E_g_valg[[#This Row],[X max]]-E_g_valg[[#This Row],[X min]])</f>
        <v>0.5</v>
      </c>
      <c r="AI22">
        <f>IF(AND(E_g_valg[[#This Row],[Orientering]],E_g_valg[[#This Row],[Ensidet]]),(E_g_valg[[#This Row],[Venstre teststørrelse]]-E_g_valg[[#This Row],[X min]])/(E_g_valg[[#This Row],[X max]]-E_g_valg[[#This Row],[X min]]),(E_g_valg[[#This Row],[Højre teststørrelse]]-E_g_valg[[#This Row],[X min]])/(E_g_valg[[#This Row],[X max]]-E_g_valg[[#This Row],[X min]]))</f>
        <v>0.64312351493597752</v>
      </c>
      <c r="AJ22" t="s">
        <v>127</v>
      </c>
      <c r="AK22">
        <f>_xlfn.AGGREGATE(3,5,E_g_valg[[#This Row],[Parameter]])</f>
        <v>1</v>
      </c>
      <c r="AL22">
        <v>2</v>
      </c>
      <c r="AM22">
        <v>21</v>
      </c>
      <c r="AN22"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2"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2" t="s">
        <v>15</v>
      </c>
      <c r="AQ22" t="b">
        <f t="shared" si="3"/>
        <v>1</v>
      </c>
      <c r="AR22" t="s">
        <v>175</v>
      </c>
      <c r="AS22" t="b">
        <f t="shared" si="4"/>
        <v>1</v>
      </c>
      <c r="AT22" t="s">
        <v>168</v>
      </c>
      <c r="AU22" t="b">
        <f>AND(Eu_g_n_x&gt;=30,Eu_g_n_y&gt;=30)</f>
        <v>0</v>
      </c>
      <c r="AV22" t="s">
        <v>183</v>
      </c>
      <c r="AW22" t="s">
        <v>188</v>
      </c>
    </row>
    <row r="23" spans="1:50" x14ac:dyDescent="0.2">
      <c r="A23" t="s">
        <v>0</v>
      </c>
      <c r="B23" t="s">
        <v>137</v>
      </c>
      <c r="C23" t="s">
        <v>139</v>
      </c>
      <c r="D23" t="s">
        <v>130</v>
      </c>
      <c r="E23" s="29">
        <f>Eu_g_n_x+Eu_g_n_y-2</f>
        <v>22</v>
      </c>
      <c r="G23">
        <f>IFERROR((Eu_g_g_x-Eu_g_g_y-(Eu_g_h0_x-Eu_g_h0_y))/(SQRT(((Eu_g_n_x-1)*Eu_g_s_x^2+(Eu_g_n_y-1)*Eu_g_s_y^2)/(Eu_g_n_x+Eu_g_n_y-2))*SQRT(1/Eu_g_n_x+1/Eu_g_n_y)),NA())</f>
        <v>-0.8845698192548983</v>
      </c>
      <c r="H23">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3">
        <f>E_g_valg[[#This Row],[Venstre teststørrelse]]*(SQRT(((Eu_g_n_x-1)*Eu_g_s_x^2+(Eu_g_n_y-1)*Eu_g_s_y^2)/(Eu_g_n_x+Eu_g_n_y-2))*SQRT(1/Eu_g_n_x+1/Eu_g_n_y))+(Eu_g_h0_x-Eu_g_h0_y)</f>
        <v>-1.5054022174376644</v>
      </c>
      <c r="J23">
        <f>E_g_valg[[#This Row],[Midtpunkt teststørrelse]]*(SQRT(((Eu_g_n_x-1)*Eu_g_s_x^2+(Eu_g_n_y-1)*Eu_g_s_y^2)/(Eu_g_n_x+Eu_g_n_y-2))*SQRT(1/Eu_g_n_x+1/Eu_g_n_y))+(Eu_g_h0_x-Eu_g_h0_y)</f>
        <v>0</v>
      </c>
      <c r="K23">
        <f>E_g_valg[[#This Row],[Højre teststørrelse]]*(SQRT(((Eu_g_n_x-1)*Eu_g_s_x^2+(Eu_g_n_y-1)*Eu_g_s_y^2)/(Eu_g_n_x+Eu_g_n_y-2))*SQRT(1/Eu_g_n_x+1/Eu_g_n_y))+(Eu_g_h0_x-Eu_g_h0_y)</f>
        <v>1.5054022174376644</v>
      </c>
      <c r="L23">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3">
        <f>IF(E_g_valg[[#This Row],[Parameter]]="andel",ROUND(E_g_valg[[#This Row],[Midtpunkt label base]],5)*100&amp;"%",ROUND(E_g_valg[[#This Row],[Midtpunkt label base]],3))</f>
        <v>0</v>
      </c>
      <c r="N23">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3" t="b">
        <f>E_g_valg[[#This Row],[Teststørrelse]]=E_g_valg[[#This Row],[Venstre teststørrelse]]</f>
        <v>1</v>
      </c>
      <c r="P23" t="b">
        <f>OR(MATCH(E_g_valg[[#This Row],[Hypotese]],HypoteseRetning_liste,0)=2,MATCH(E_g_valg[[#This Row],[Hypotese]],HypoteseRetning_liste,0)=3)</f>
        <v>0</v>
      </c>
      <c r="Q23">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0.38595438575977714</v>
      </c>
      <c r="R23" t="b">
        <f>E_g_valg[[#This Row],[p-værdi]]&gt;1-Eu_g_konfidensniveau</f>
        <v>1</v>
      </c>
      <c r="S23">
        <f t="shared" si="0"/>
        <v>0.999</v>
      </c>
      <c r="T23">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23">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23">
        <f>MIN(E_g_valg[[#This Row],[Teststørrelse]],E_g_valg[[#This Row],[Teststørrelse omvendt]])</f>
        <v>-0.8845698192548983</v>
      </c>
      <c r="W23">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3">
        <f>MAX(E_g_valg[[#This Row],[Teststørrelse]],E_g_valg[[#This Row],[Teststørrelse omvendt]])</f>
        <v>0.8845698192548983</v>
      </c>
      <c r="Y23">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23">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23">
        <f>E_g_valg[[#This Row],[Mindre end højre %]]-E_g_valg[[#This Row],[Mindre end venstre %]]</f>
        <v>0.61404561424022286</v>
      </c>
      <c r="AB23">
        <f>1-E_g_valg[[#This Row],[Mindre end venstre %]]</f>
        <v>0.80702280712011143</v>
      </c>
      <c r="AC23">
        <f>1-E_g_valg[[#This Row],[Mindre end højre %]]</f>
        <v>0.19297719287988857</v>
      </c>
      <c r="AD23"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23" t="str">
        <f>IF(OR(MATCH(E_g_valg[[#This Row],[Hypotese]],HypoteseRetning_liste,0)=1,MATCH(E_g_valg[[#This Row],[Hypotese]],HypoteseRetning_liste,0)=4),ROUND(E_g_valg[[#This Row],[Midt %]],5)*100&amp;"% mellem "&amp;E_g_valg[[#This Row],[Venstre label]]&amp;" og "&amp;E_g_valg[[#This Row],[Højre label]]," ")</f>
        <v>61.405% mellem -1.505 og 1.505</v>
      </c>
      <c r="AF23"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19.298% større end 1.505</v>
      </c>
      <c r="AG23">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23">
        <f>(E_g_valg[[#This Row],[Midtpunkt teststørrelse]]-E_g_valg[[#This Row],[X min]])/(E_g_valg[[#This Row],[X max]]-E_g_valg[[#This Row],[X min]])</f>
        <v>0.5</v>
      </c>
      <c r="AI23">
        <f>IF(AND(E_g_valg[[#This Row],[Orientering]],E_g_valg[[#This Row],[Ensidet]]),(E_g_valg[[#This Row],[Venstre teststørrelse]]-E_g_valg[[#This Row],[X min]])/(E_g_valg[[#This Row],[X max]]-E_g_valg[[#This Row],[X min]]),(E_g_valg[[#This Row],[Højre teststørrelse]]-E_g_valg[[#This Row],[X min]])/(E_g_valg[[#This Row],[X max]]-E_g_valg[[#This Row],[X min]]))</f>
        <v>0.62618713700486761</v>
      </c>
      <c r="AJ23" t="s">
        <v>127</v>
      </c>
      <c r="AK23">
        <f>_xlfn.AGGREGATE(3,5,E_g_valg[[#This Row],[Parameter]])</f>
        <v>1</v>
      </c>
      <c r="AL23">
        <v>2</v>
      </c>
      <c r="AM23">
        <v>22</v>
      </c>
      <c r="AN23"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3"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3" t="s">
        <v>15</v>
      </c>
      <c r="AQ23" t="b">
        <f t="shared" si="3"/>
        <v>1</v>
      </c>
      <c r="AR23" t="s">
        <v>175</v>
      </c>
      <c r="AS23" t="b">
        <f t="shared" si="4"/>
        <v>1</v>
      </c>
      <c r="AT23" t="s">
        <v>169</v>
      </c>
      <c r="AU23" t="b">
        <f>NOT(AND(Eu_g_n_x&gt;=30,Eu_g_n_y&gt;=30))</f>
        <v>1</v>
      </c>
      <c r="AV23" t="s">
        <v>185</v>
      </c>
      <c r="AW23" t="s">
        <v>189</v>
      </c>
    </row>
    <row r="24" spans="1:50" x14ac:dyDescent="0.2">
      <c r="A24" t="s">
        <v>0</v>
      </c>
      <c r="B24" t="s">
        <v>137</v>
      </c>
      <c r="C24" t="s">
        <v>141</v>
      </c>
      <c r="D24" t="s">
        <v>130</v>
      </c>
      <c r="E24" s="29">
        <f>(Eu_g_s_x^2/Eu_g_n_x+Eu_g_s_y^2/Eu_g_n_y)^2/((Eu_g_s_x^2/Eu_g_n_x)^2/(Eu_g_n_x-1)+(Eu_g_s_y^2/Eu_g_n_y)^2/(Eu_g_n_y-1))</f>
        <v>21.900486557523873</v>
      </c>
      <c r="G24">
        <f>IFERROR((Eu_g_g_x-Eu_g_g_y-(Eu_g_h0_x-Eu_g_h0_y))/(SQRT(Eu_g_s_x^2/Eu_g_n_x+Eu_g_s_y^2/Eu_g_n_y)),NA())</f>
        <v>-0.8845698192548983</v>
      </c>
      <c r="H24">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4">
        <f>E_g_valg[[#This Row],[Venstre teststørrelse]]*(SQRT(Eu_g_s_x^2/Eu_g_n_x+Eu_g_s_y^2/Eu_g_n_y))+(Eu_g_h0_x-Eu_g_h0_y)</f>
        <v>-1.5054022174376644</v>
      </c>
      <c r="J24">
        <f>E_g_valg[[#This Row],[Midtpunkt teststørrelse]]*(SQRT(Eu_g_s_x^2/Eu_g_n_x+Eu_g_s_y^2/Eu_g_n_y))+(Eu_g_h0_x-Eu_g_h0_y)</f>
        <v>0</v>
      </c>
      <c r="K24">
        <f>E_g_valg[[#This Row],[Højre teststørrelse]]*(SQRT(Eu_g_s_x^2/Eu_g_n_x+Eu_g_s_y^2/Eu_g_n_y))+(Eu_g_h0_x-Eu_g_h0_y)</f>
        <v>1.5054022174376644</v>
      </c>
      <c r="L2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4">
        <f>IF(E_g_valg[[#This Row],[Parameter]]="andel",ROUND(E_g_valg[[#This Row],[Midtpunkt label base]],5)*100&amp;"%",ROUND(E_g_valg[[#This Row],[Midtpunkt label base]],3))</f>
        <v>0</v>
      </c>
      <c r="N2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4" t="b">
        <f>E_g_valg[[#This Row],[Teststørrelse]]=E_g_valg[[#This Row],[Venstre teststørrelse]]</f>
        <v>1</v>
      </c>
      <c r="P24" t="b">
        <f>OR(MATCH(E_g_valg[[#This Row],[Hypotese]],HypoteseRetning_liste,0)=2,MATCH(E_g_valg[[#This Row],[Hypotese]],HypoteseRetning_liste,0)=3)</f>
        <v>0</v>
      </c>
      <c r="Q24">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0.38640476880778873</v>
      </c>
      <c r="R24" t="b">
        <f>E_g_valg[[#This Row],[p-værdi]]&gt;1-Eu_g_konfidensniveau</f>
        <v>1</v>
      </c>
      <c r="S24">
        <f t="shared" si="0"/>
        <v>0.999</v>
      </c>
      <c r="T24">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24">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24">
        <f>MIN(E_g_valg[[#This Row],[Teststørrelse]],E_g_valg[[#This Row],[Teststørrelse omvendt]])</f>
        <v>-0.8845698192548983</v>
      </c>
      <c r="W24">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4">
        <f>MAX(E_g_valg[[#This Row],[Teststørrelse]],E_g_valg[[#This Row],[Teststørrelse omvendt]])</f>
        <v>0.8845698192548983</v>
      </c>
      <c r="Y24">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24">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24">
        <f>E_g_valg[[#This Row],[Mindre end højre %]]-E_g_valg[[#This Row],[Mindre end venstre %]]</f>
        <v>0.61359523119221127</v>
      </c>
      <c r="AB24">
        <f>1-E_g_valg[[#This Row],[Mindre end venstre %]]</f>
        <v>0.80679761559610563</v>
      </c>
      <c r="AC24">
        <f>1-E_g_valg[[#This Row],[Mindre end højre %]]</f>
        <v>0.19320238440389437</v>
      </c>
      <c r="AD24" t="str">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24" t="str">
        <f>IF(OR(MATCH(E_g_valg[[#This Row],[Hypotese]],HypoteseRetning_liste,0)=1,MATCH(E_g_valg[[#This Row],[Hypotese]],HypoteseRetning_liste,0)=4),ROUND(E_g_valg[[#This Row],[Midt %]],5)*100&amp;"% mellem "&amp;E_g_valg[[#This Row],[Venstre label]]&amp;" og "&amp;E_g_valg[[#This Row],[Højre label]]," ")</f>
        <v>61.36% mellem -1.505 og 1.505</v>
      </c>
      <c r="AF24" t="str">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19.32% større end 1.505</v>
      </c>
      <c r="AG24">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24">
        <f>(E_g_valg[[#This Row],[Midtpunkt teststørrelse]]-E_g_valg[[#This Row],[X min]])/(E_g_valg[[#This Row],[X max]]-E_g_valg[[#This Row],[X min]])</f>
        <v>0.5</v>
      </c>
      <c r="AI24">
        <f>IF(AND(E_g_valg[[#This Row],[Orientering]],E_g_valg[[#This Row],[Ensidet]]),(E_g_valg[[#This Row],[Venstre teststørrelse]]-E_g_valg[[#This Row],[X min]])/(E_g_valg[[#This Row],[X max]]-E_g_valg[[#This Row],[X min]]),(E_g_valg[[#This Row],[Højre teststørrelse]]-E_g_valg[[#This Row],[X min]])/(E_g_valg[[#This Row],[X max]]-E_g_valg[[#This Row],[X min]]))</f>
        <v>0.62539428421593213</v>
      </c>
      <c r="AJ24" t="s">
        <v>127</v>
      </c>
      <c r="AK24">
        <f>_xlfn.AGGREGATE(3,5,E_g_valg[[#This Row],[Parameter]])</f>
        <v>1</v>
      </c>
      <c r="AL24">
        <v>2</v>
      </c>
      <c r="AM24">
        <v>23</v>
      </c>
      <c r="AN24"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4"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4" t="s">
        <v>15</v>
      </c>
      <c r="AQ24" t="b">
        <f t="shared" si="3"/>
        <v>1</v>
      </c>
      <c r="AR24" t="s">
        <v>175</v>
      </c>
      <c r="AS24" t="b">
        <f t="shared" si="4"/>
        <v>1</v>
      </c>
      <c r="AT24" t="s">
        <v>169</v>
      </c>
      <c r="AU24" t="b">
        <f>NOT(AND(Eu_g_n_x&gt;=30,Eu_g_n_y&gt;=30))</f>
        <v>1</v>
      </c>
      <c r="AV24" t="s">
        <v>186</v>
      </c>
      <c r="AW24" t="s">
        <v>189</v>
      </c>
    </row>
    <row r="25" spans="1:50" x14ac:dyDescent="0.2">
      <c r="A25" t="s">
        <v>0</v>
      </c>
      <c r="B25" t="s">
        <v>137</v>
      </c>
      <c r="C25" t="s">
        <v>140</v>
      </c>
      <c r="D25" t="s">
        <v>128</v>
      </c>
      <c r="E25" s="29">
        <v>0</v>
      </c>
      <c r="F25">
        <v>1</v>
      </c>
      <c r="G25" t="e">
        <f>IFERROR((Eu_g_g_x-Eu_g_g_y-(Eu_g_h0_x-Eu_g_h0_y))/SQRT(Eu_g_s_population_x^2/Eu_g_n_x+Eu_g_s_population_y^2/Eu_g_n_y),NA())</f>
        <v>#N/A</v>
      </c>
      <c r="H25" t="e">
        <f>IFERROR(CHOOSE(MATCH(E_g_valg[[#This Row],[Fordeling]],Fordeling_liste,0),E_g_valg[[#This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25" t="e">
        <f>E_g_valg[[#This Row],[Venstre teststørrelse]]*SQRT(Eu_g_s_population_x^2/Eu_g_n_x+Eu_g_s_population_y^2/Eu_g_n_y)+(Eu_g_h0_x-Eu_g_h0_y)</f>
        <v>#N/A</v>
      </c>
      <c r="J25">
        <f>E_g_valg[[#This Row],[Midtpunkt teststørrelse]]*SQRT(Eu_g_s_population_x^2/Eu_g_n_x+Eu_g_s_population_y^2/Eu_g_n_y)+(Eu_g_h0_x-Eu_g_h0_y)</f>
        <v>0</v>
      </c>
      <c r="K25" t="e">
        <f>E_g_valg[[#This Row],[Højre teststørrelse]]*SQRT(Eu_g_s_population_x^2/Eu_g_n_x+Eu_g_s_population_y^2/Eu_g_n_y)+(Eu_g_h0_x-Eu_g_h0_y)</f>
        <v>#N/A</v>
      </c>
      <c r="L25"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25">
        <f>IF(E_g_valg[[#This Row],[Parameter]]="andel",ROUND(E_g_valg[[#This Row],[Midtpunkt label base]],5)*100&amp;"%",ROUND(E_g_valg[[#This Row],[Midtpunkt label base]],3))</f>
        <v>0</v>
      </c>
      <c r="N25"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25" t="e">
        <f>E_g_valg[[#This Row],[Teststørrelse]]=E_g_valg[[#This Row],[Venstre teststørrelse]]</f>
        <v>#N/A</v>
      </c>
      <c r="P25" t="b">
        <f>OR(MATCH(E_g_valg[[#This Row],[Hypotese]],HypoteseRetning_liste,0)=2,MATCH(E_g_valg[[#This Row],[Hypotese]],HypoteseRetning_liste,0)=3)</f>
        <v>0</v>
      </c>
      <c r="Q25" t="e">
        <f>CHOOSE(MATCH(E_g_valg[[#This Row],[Hypotese]],HypoteseRetning_liste,0),NA(),IF(E_g_valg[[#This Row],[Orientering]],E_g_valg[[#This Row],[Mindre end venstre %]],E_g_valg[[#This Row],[Mindre end højre %]]),IF(E_g_valg[[#This Row],[Orientering]],E_g_valg[[#This Row],[Større end venstre %]],E_g_valg[[#This Row],[Større end højre %]]),1-E_g_valg[[#This Row],[Midt %]])</f>
        <v>#N/A</v>
      </c>
      <c r="R25" t="e">
        <f>E_g_valg[[#This Row],[p-værdi]]&gt;1-Eu_g_konfidensniveau</f>
        <v>#N/A</v>
      </c>
      <c r="S25">
        <f t="shared" si="0"/>
        <v>0.999</v>
      </c>
      <c r="T25">
        <f>CHOOSE(MATCH(E_g_valg[[#This Row],[Fordeling]],Fordeling_liste,0),_xlfn.NORM.INV(1-E_g_valg[[#This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5">
        <f>CHOOSE(MATCH(E_g_valg[[#This Row],[Fordeling]],Fordeling_liste,0),_xlfn.NORM.INV(E_g_valg[[#This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5" t="e">
        <f>MIN(E_g_valg[[#This Row],[Teststørrelse]],E_g_valg[[#This Row],[Teststørrelse omvendt]])</f>
        <v>#N/A</v>
      </c>
      <c r="W25">
        <f>CHOOSE(MATCH(E_g_valg[[#This Row],[Fordeling]],Fordeling_liste,0),_xlfn.NORM.INV(0.5,E_g_valg[[#This Row],[Parameter 1]],E_g_valg[[#This Row],[Parameter 2]]),_xlfn.T.INV(0.5,E_g_valg[[#This Row],[Parameter 1]]),_xlfn.CHISQ.INV(0.5,E_g_valg[[#This Row],[Parameter 1]]),_xlfn.F.INV(0.5,E_g_valg[[#This Row],[Parameter 1]],E_g_valg[[#This Row],[Parameter 2]]))</f>
        <v>0</v>
      </c>
      <c r="X25" t="e">
        <f>MAX(E_g_valg[[#This Row],[Teststørrelse]],E_g_valg[[#This Row],[Teststørrelse omvendt]])</f>
        <v>#N/A</v>
      </c>
      <c r="Y25" t="e">
        <f>CHOOSE(MATCH(E_g_valg[[#This Row],[Fordeling]],Fordeling_liste,0),_xlfn.NORM.DIST(E_g_valg[[#This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25" t="e">
        <f>CHOOSE(MATCH(E_g_valg[[#This Row],[Fordeling]],Fordeling_liste,0),_xlfn.NORM.DIST(E_g_valg[[#This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25" t="e">
        <f>E_g_valg[[#This Row],[Mindre end højre %]]-E_g_valg[[#This Row],[Mindre end venstre %]]</f>
        <v>#N/A</v>
      </c>
      <c r="AB25" t="e">
        <f>1-E_g_valg[[#This Row],[Mindre end venstre %]]</f>
        <v>#N/A</v>
      </c>
      <c r="AC25" t="e">
        <f>1-E_g_valg[[#This Row],[Mindre end højre %]]</f>
        <v>#N/A</v>
      </c>
      <c r="AD25" t="e">
        <f>IF(OR(MATCH(E_g_valg[[#This Row],[Hypotese]],HypoteseRetning_liste,0)=2,MATCH(E_g_valg[[#This Row],[Hypotese]],HypoteseRetning_liste,0)=3),IF(E_g_valg[[#This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25" t="e">
        <f>IF(OR(MATCH(E_g_valg[[#This Row],[Hypotese]],HypoteseRetning_liste,0)=1,MATCH(E_g_valg[[#This Row],[Hypotese]],HypoteseRetning_liste,0)=4),ROUND(E_g_valg[[#This Row],[Midt %]],5)*100&amp;"% mellem "&amp;E_g_valg[[#This Row],[Venstre label]]&amp;" og "&amp;E_g_valg[[#This Row],[Højre label]]," ")</f>
        <v>#N/A</v>
      </c>
      <c r="AF25" t="e">
        <f>IF(OR(MATCH(E_g_valg[[#This Row],[Hypotese]],HypoteseRetning_liste,0)=2,MATCH(E_g_valg[[#This Row],[Hypotese]],HypoteseRetning_liste,0)=3),IF(E_g_valg[[#This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25" t="e">
        <f>IF(AND(NOT(E_g_valg[[#This Row],[Orientering]]),E_g_valg[[#This Row],[Ensidet]]),(E_g_valg[[#This Row],[Højre teststørrelse]]-E_g_valg[[#This Row],[X min]])/(E_g_valg[[#This Row],[X max]]-E_g_valg[[#This Row],[X min]]),(E_g_valg[[#This Row],[Venstre teststørrelse]]-E_g_valg[[#This Row],[X min]])/(E_g_valg[[#This Row],[X max]]-E_g_valg[[#This Row],[X min]]))</f>
        <v>#N/A</v>
      </c>
      <c r="AH25">
        <f>(E_g_valg[[#This Row],[Midtpunkt teststørrelse]]-E_g_valg[[#This Row],[X min]])/(E_g_valg[[#This Row],[X max]]-E_g_valg[[#This Row],[X min]])</f>
        <v>0.5</v>
      </c>
      <c r="AI25" t="e">
        <f>IF(AND(E_g_valg[[#This Row],[Orientering]],E_g_valg[[#This Row],[Ensidet]]),(E_g_valg[[#This Row],[Venstre teststørrelse]]-E_g_valg[[#This Row],[X min]])/(E_g_valg[[#This Row],[X max]]-E_g_valg[[#This Row],[X min]]),(E_g_valg[[#This Row],[Højre teststørrelse]]-E_g_valg[[#This Row],[X min]])/(E_g_valg[[#This Row],[X max]]-E_g_valg[[#This Row],[X min]]))</f>
        <v>#N/A</v>
      </c>
      <c r="AJ25" t="s">
        <v>127</v>
      </c>
      <c r="AK25">
        <f>_xlfn.AGGREGATE(3,5,E_g_valg[[#This Row],[Parameter]])</f>
        <v>1</v>
      </c>
      <c r="AL25">
        <v>2</v>
      </c>
      <c r="AM25">
        <v>24</v>
      </c>
      <c r="AN25" t="e">
        <f>IF(AND(E_g_valg[[#This Row],[Kontrol af forudsætning 1]],E_g_valg[[#This Row],[Kontrol af forudsætning 2]],E_g_valg[[#This Row],[Kontrol af forudsætning 3]]),"Hypotesetest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 med angivne standardafvigelser")</f>
        <v>#N/A</v>
      </c>
      <c r="AO25"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25" t="s">
        <v>15</v>
      </c>
      <c r="AQ25" t="b">
        <f t="shared" si="3"/>
        <v>1</v>
      </c>
      <c r="AR25" t="s">
        <v>175</v>
      </c>
      <c r="AS25" t="b">
        <f t="shared" si="4"/>
        <v>1</v>
      </c>
      <c r="AT25" t="s">
        <v>178</v>
      </c>
      <c r="AU25" t="b">
        <f>NOT(OR(ISNA(Eu_g_s_population_x),ISNA(Eu_g_s_population_y)))</f>
        <v>1</v>
      </c>
      <c r="AV25" t="s">
        <v>184</v>
      </c>
      <c r="AW25" t="s">
        <v>188</v>
      </c>
    </row>
    <row r="27" spans="1:50" x14ac:dyDescent="0.2">
      <c r="A27" t="s">
        <v>138</v>
      </c>
      <c r="B27" t="s">
        <v>145</v>
      </c>
      <c r="C27" t="s">
        <v>222</v>
      </c>
      <c r="D27" t="s">
        <v>149</v>
      </c>
      <c r="E27" t="s">
        <v>291</v>
      </c>
      <c r="F27" t="s">
        <v>292</v>
      </c>
      <c r="G27" t="s">
        <v>125</v>
      </c>
      <c r="H27" t="s">
        <v>307</v>
      </c>
      <c r="I27" t="s">
        <v>329</v>
      </c>
      <c r="J27" t="s">
        <v>330</v>
      </c>
      <c r="K27" t="s">
        <v>331</v>
      </c>
      <c r="L27" t="s">
        <v>308</v>
      </c>
      <c r="M27" t="s">
        <v>305</v>
      </c>
      <c r="N27" t="s">
        <v>317</v>
      </c>
      <c r="O27" t="s">
        <v>332</v>
      </c>
      <c r="P27" t="s">
        <v>126</v>
      </c>
      <c r="Q27" t="s">
        <v>336</v>
      </c>
      <c r="R27" t="s">
        <v>335</v>
      </c>
      <c r="S27" t="s">
        <v>328</v>
      </c>
      <c r="T27" t="s">
        <v>36</v>
      </c>
      <c r="U27" t="s">
        <v>37</v>
      </c>
      <c r="V27" t="s">
        <v>310</v>
      </c>
      <c r="W27" t="s">
        <v>319</v>
      </c>
      <c r="X27" t="s">
        <v>311</v>
      </c>
      <c r="Y27" t="s">
        <v>312</v>
      </c>
      <c r="Z27" t="s">
        <v>314</v>
      </c>
      <c r="AA27" t="s">
        <v>315</v>
      </c>
      <c r="AB27" t="s">
        <v>313</v>
      </c>
      <c r="AC27" t="s">
        <v>316</v>
      </c>
      <c r="AD27" t="s">
        <v>322</v>
      </c>
      <c r="AE27" t="s">
        <v>323</v>
      </c>
      <c r="AF27" t="s">
        <v>324</v>
      </c>
      <c r="AG27" t="s">
        <v>309</v>
      </c>
      <c r="AH27" t="s">
        <v>306</v>
      </c>
      <c r="AI27" t="s">
        <v>318</v>
      </c>
      <c r="AJ27" t="s">
        <v>304</v>
      </c>
      <c r="AK27" t="s">
        <v>146</v>
      </c>
      <c r="AL27" t="s">
        <v>283</v>
      </c>
      <c r="AM27" t="s">
        <v>16</v>
      </c>
      <c r="AN27" t="s">
        <v>153</v>
      </c>
      <c r="AO27" t="s">
        <v>151</v>
      </c>
      <c r="AP27" t="s">
        <v>155</v>
      </c>
      <c r="AQ27" t="s">
        <v>172</v>
      </c>
      <c r="AR27" t="s">
        <v>156</v>
      </c>
      <c r="AS27" t="s">
        <v>173</v>
      </c>
      <c r="AT27" t="s">
        <v>160</v>
      </c>
      <c r="AU27" t="s">
        <v>176</v>
      </c>
      <c r="AV27" t="s">
        <v>165</v>
      </c>
      <c r="AW27" t="s">
        <v>187</v>
      </c>
      <c r="AX27" t="s">
        <v>433</v>
      </c>
    </row>
    <row r="28" spans="1:50" x14ac:dyDescent="0.2">
      <c r="A28" t="s">
        <v>1</v>
      </c>
      <c r="B28" t="s">
        <v>44</v>
      </c>
      <c r="C28" t="s">
        <v>142</v>
      </c>
      <c r="D28" t="s">
        <v>142</v>
      </c>
      <c r="E28">
        <f t="shared" ref="E28:E34" si="5">Eu_s_n_x-1</f>
        <v>11</v>
      </c>
      <c r="G28">
        <f>IF(ISNUMBER(Eu_s_s_x),_xlfn.CHISQ.INV((1-Eu_s_konfidensniveau)/2,E_s_valg[[#This Row],[Parameter 1]]),NA())</f>
        <v>3.8157482522360993</v>
      </c>
      <c r="H28">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21.920049261021205</v>
      </c>
      <c r="I28">
        <f>SQRT((Eu_s_n_x-1)*Eu_s_s_x^2/_xlfn.CHISQ.INV(1-(1-Eu_s_konfidensniveau)/2,Eu_s_n_x-1))</f>
        <v>3.0509630363038913</v>
      </c>
      <c r="J28">
        <f>Eu_s_s_x</f>
        <v>4.3068660656276769</v>
      </c>
      <c r="K28">
        <f>SQRT((Eu_s_n_x-1)*Eu_s_s_x^2/_xlfn.CHISQ.INV((1-Eu_s_konfidensniveau)/2,Eu_s_n_x-1))</f>
        <v>7.3125332181107092</v>
      </c>
      <c r="L28">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3.0510000000000002</v>
      </c>
      <c r="M28">
        <f>IF(E_s_valg[[#This Row],[Parameter]]="andel",ROUND(E_s_valg[[#This Row],[Midtpunkt label base]],5)*100&amp;"%",ROUND(E_s_valg[[#This Row],[Midtpunkt label base]],3))</f>
        <v>4.3070000000000004</v>
      </c>
      <c r="N28">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7.3129999999999997</v>
      </c>
      <c r="O28" t="b">
        <f>E_s_valg[[#This Row],[Teststørrelse]]=E_s_valg[[#This Row],[Venstre teststørrelse]]</f>
        <v>1</v>
      </c>
      <c r="P28" t="b">
        <f>OR(MATCH(E_s_valg[[#This Row],[Hypotese]],HypoteseRetning_liste,0)=2,MATCH(E_s_valg[[#This Row],[Hypotese]],HypoteseRetning_liste,0)=3)</f>
        <v>0</v>
      </c>
      <c r="Q28" t="e">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#N/A</v>
      </c>
      <c r="R28" t="e">
        <f>E_s_valg[[#This Row],[p-værdi]]&gt;1-Eu_s_konfidensniveau</f>
        <v>#N/A</v>
      </c>
      <c r="S28">
        <f t="shared" ref="S28:S34" si="6">IF(Eu_s_konfidensniveau&lt;=0.998,0.999,0.99999)</f>
        <v>0.999</v>
      </c>
      <c r="T28">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28">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28">
        <f>MIN(E_s_valg[[#This Row],[Teststørrelse]],E_s_valg[[#This Row],[Teststørrelse omvendt]])</f>
        <v>3.8157482522360993</v>
      </c>
      <c r="W28">
        <f>CHOOSE(MATCH(E_s_valg[[#This Row],[Fordeling]],Fordeling_liste,0),_xlfn.NORM.INV(0.5,E_s_valg[[#This Row],[Parameter 1]],E_s_valg[[#This Row],[Parameter 2]]),_xlfn.T.INV(0.5,E_s_valg[[#This Row],[Parameter 1]]),_xlfn.CHISQ.INV(0.5,E_s_valg[[#This Row],[Parameter 1]]),_xlfn.F.INV(0.5,E_s_valg[[#This Row],[Parameter 1]],E_s_valg[[#This Row],[Parameter 2]]))</f>
        <v>10.340998074391823</v>
      </c>
      <c r="X28">
        <f>MAX(E_s_valg[[#This Row],[Teststørrelse]],E_s_valg[[#This Row],[Teststørrelse omvendt]])</f>
        <v>21.920049261021205</v>
      </c>
      <c r="Y28">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2.5000000000000001E-2</v>
      </c>
      <c r="Z28">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0.97499999999999998</v>
      </c>
      <c r="AA28">
        <f>E_s_valg[[#This Row],[Mindre end højre %]]-E_s_valg[[#This Row],[Mindre end venstre %]]</f>
        <v>0.95</v>
      </c>
      <c r="AB28">
        <f>1-E_s_valg[[#This Row],[Mindre end venstre %]]</f>
        <v>0.97499999999999998</v>
      </c>
      <c r="AC28">
        <f>1-E_s_valg[[#This Row],[Mindre end højre %]]</f>
        <v>2.5000000000000022E-2</v>
      </c>
      <c r="AD28" t="str">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2.5% mindre end 3.051</v>
      </c>
      <c r="AE28" t="str">
        <f>IF(OR(MATCH(E_s_valg[[#This Row],[Hypotese]],HypoteseRetning_liste,0)=1,MATCH(E_s_valg[[#This Row],[Hypotese]],HypoteseRetning_liste,0)=4),ROUND(E_s_valg[[#This Row],[Midt %]],5)*100&amp;"% mellem "&amp;E_s_valg[[#This Row],[Venstre label]]&amp;" og "&amp;E_s_valg[[#This Row],[Højre label]]," ")</f>
        <v>95% mellem 3.051 og 7.313</v>
      </c>
      <c r="AF28" t="str">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2.5% større end 7.313</v>
      </c>
      <c r="AG28">
        <f>IF(AND(NOT(E_s_valg[[#This Row],[Orientering]]),E_s_valg[[#This Row],[Ensidet]]),(E_s_valg[[#This Row],[Højre teststørrelse]]-E_s_valg[[#This Row],[X min]])/(E_s_valg[[#This Row],[X max]]-E_s_valg[[#This Row],[X min]]),(E_s_valg[[#This Row],[Venstre teststørrelse]]-E_s_valg[[#This Row],[X min]])/(E_s_valg[[#This Row],[X max]]-E_s_valg[[#This Row],[X min]]))</f>
        <v>6.7342054619638922E-2</v>
      </c>
      <c r="AH28">
        <f>(E_s_valg[[#This Row],[Midtpunkt teststørrelse]]-E_s_valg[[#This Row],[X min]])/(E_s_valg[[#This Row],[X max]]-E_s_valg[[#This Row],[X min]])</f>
        <v>0.28906096488091337</v>
      </c>
      <c r="AI28">
        <f>IF(AND(E_s_valg[[#This Row],[Orientering]],E_s_valg[[#This Row],[Ensidet]]),(E_s_valg[[#This Row],[Venstre teststørrelse]]-E_s_valg[[#This Row],[X min]])/(E_s_valg[[#This Row],[X max]]-E_s_valg[[#This Row],[X min]]),(E_s_valg[[#This Row],[Højre teststørrelse]]-E_s_valg[[#This Row],[X min]])/(E_s_valg[[#This Row],[X max]]-E_s_valg[[#This Row],[X min]]))</f>
        <v>0.68250101406371</v>
      </c>
      <c r="AJ28" t="s">
        <v>44</v>
      </c>
      <c r="AK28">
        <f>_xlfn.AGGREGATE(3,5,E_s_valg[[#This Row],[Parameter]])</f>
        <v>1</v>
      </c>
      <c r="AL28">
        <v>1</v>
      </c>
      <c r="AM28">
        <v>25</v>
      </c>
      <c r="AN28" t="str">
        <f>IF(E_s_valg[[#This Row],[Kontrol af forudsætning 1]],Eu_s_konfidensniveau*100&amp;"% Konfidensinterval for standardafvigelse
af "&amp;Eu_s_t_x,"Kan ikke beregne konfidensinterval for standardafvigelse")</f>
        <v>95% Konfidensinterval for standardafvigelse
af Eksempel 1 (interval)</v>
      </c>
      <c r="AO28" t="str">
        <f>"Populationsestimat for standardafvigelse fra stikprøver af størrelsen n = "&amp;Eu_s_n_x&amp;"
baseret på en stikprøve med standardafvigelse = "&amp;IFERROR(ROUND(Eu_s_s_x,3),"Kan ikke beregnes")</f>
        <v>Populationsestimat for standardafvigelse fra stikprøver af størrelsen n = 12
baseret på en stikprøve med standardafvigelse = 4.307</v>
      </c>
      <c r="AP28" t="s">
        <v>15</v>
      </c>
      <c r="AQ28" t="b">
        <f>NOT(ISNA(Eu_s_s_x))</f>
        <v>1</v>
      </c>
      <c r="AV28" t="s">
        <v>159</v>
      </c>
      <c r="AW28" t="s">
        <v>188</v>
      </c>
    </row>
    <row r="29" spans="1:50" x14ac:dyDescent="0.2">
      <c r="A29" t="s">
        <v>1</v>
      </c>
      <c r="B29" t="s">
        <v>132</v>
      </c>
      <c r="C29" t="s">
        <v>142</v>
      </c>
      <c r="D29" t="s">
        <v>142</v>
      </c>
      <c r="E29">
        <f t="shared" si="5"/>
        <v>11</v>
      </c>
      <c r="G29" t="e">
        <f>IFERROR((Eu_s_n_x-1)*Eu_s_s_x^2/Eu_s_h0_x^2,NA())</f>
        <v>#N/A</v>
      </c>
      <c r="H29" t="e">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29" t="e">
        <f>SQRT(E_s_valg[[#This Row],[Venstre teststørrelse]]/(Eu_s_n_x-1))*Eu_s_h0_x</f>
        <v>#N/A</v>
      </c>
      <c r="J29">
        <f>Eu_s_h0_x</f>
        <v>0</v>
      </c>
      <c r="K29" t="e">
        <f>SQRT(E_s_valg[[#This Row],[Højre teststørrelse]]/(Eu_s_n_x-1))*Eu_s_h0_x</f>
        <v>#N/A</v>
      </c>
      <c r="L29"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29">
        <f>IF(E_s_valg[[#This Row],[Parameter]]="andel",ROUND(E_s_valg[[#This Row],[Midtpunkt label base]],5)*100&amp;"%",ROUND(E_s_valg[[#This Row],[Midtpunkt label base]],3))</f>
        <v>0</v>
      </c>
      <c r="N29"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29" t="e">
        <f>E_s_valg[[#This Row],[Teststørrelse]]=E_s_valg[[#This Row],[Venstre teststørrelse]]</f>
        <v>#N/A</v>
      </c>
      <c r="P29" t="b">
        <f>OR(MATCH(E_s_valg[[#This Row],[Hypotese]],HypoteseRetning_liste,0)=2,MATCH(E_s_valg[[#This Row],[Hypotese]],HypoteseRetning_liste,0)=3)</f>
        <v>1</v>
      </c>
      <c r="Q29" t="e">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#N/A</v>
      </c>
      <c r="R29" t="e">
        <f>E_s_valg[[#This Row],[p-værdi]]&gt;1-Eu_s_konfidensniveau</f>
        <v>#N/A</v>
      </c>
      <c r="S29">
        <f t="shared" si="6"/>
        <v>0.999</v>
      </c>
      <c r="T29">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29">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29" t="e">
        <f>MIN(E_s_valg[[#This Row],[Teststørrelse]],E_s_valg[[#This Row],[Teststørrelse omvendt]])</f>
        <v>#N/A</v>
      </c>
      <c r="W29">
        <f>CHOOSE(MATCH(E_s_valg[[#This Row],[Fordeling]],Fordeling_liste,0),_xlfn.NORM.INV(0.5,E_s_valg[[#This Row],[Parameter 1]],E_s_valg[[#This Row],[Parameter 2]]),_xlfn.T.INV(0.5,E_s_valg[[#This Row],[Parameter 1]]),_xlfn.CHISQ.INV(0.5,E_s_valg[[#This Row],[Parameter 1]]),_xlfn.F.INV(0.5,E_s_valg[[#This Row],[Parameter 1]],E_s_valg[[#This Row],[Parameter 2]]))</f>
        <v>10.340998074391823</v>
      </c>
      <c r="X29" t="e">
        <f>MAX(E_s_valg[[#This Row],[Teststørrelse]],E_s_valg[[#This Row],[Teststørrelse omvendt]])</f>
        <v>#N/A</v>
      </c>
      <c r="Y29" t="e">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29" t="e">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29" t="e">
        <f>E_s_valg[[#This Row],[Mindre end højre %]]-E_s_valg[[#This Row],[Mindre end venstre %]]</f>
        <v>#N/A</v>
      </c>
      <c r="AB29" t="e">
        <f>1-E_s_valg[[#This Row],[Mindre end venstre %]]</f>
        <v>#N/A</v>
      </c>
      <c r="AC29" t="e">
        <f>1-E_s_valg[[#This Row],[Mindre end højre %]]</f>
        <v>#N/A</v>
      </c>
      <c r="AD29" t="e">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29" t="str">
        <f>IF(OR(MATCH(E_s_valg[[#This Row],[Hypotese]],HypoteseRetning_liste,0)=1,MATCH(E_s_valg[[#This Row],[Hypotese]],HypoteseRetning_liste,0)=4),ROUND(E_s_valg[[#This Row],[Midt %]],5)*100&amp;"% mellem "&amp;E_s_valg[[#This Row],[Venstre label]]&amp;" og "&amp;E_s_valg[[#This Row],[Højre label]]," ")</f>
        <v xml:space="preserve"> </v>
      </c>
      <c r="AF29" t="e">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29" t="e">
        <f>IF(AND(NOT(E_s_valg[[#This Row],[Orientering]]),E_s_valg[[#This Row],[Ensidet]]),(E_s_valg[[#This Row],[Højre teststørrelse]]-E_s_valg[[#This Row],[X min]])/(E_s_valg[[#This Row],[X max]]-E_s_valg[[#This Row],[X min]]),(E_s_valg[[#This Row],[Venstre teststørrelse]]-E_s_valg[[#This Row],[X min]])/(E_s_valg[[#This Row],[X max]]-E_s_valg[[#This Row],[X min]]))</f>
        <v>#N/A</v>
      </c>
      <c r="AH29">
        <f>(E_s_valg[[#This Row],[Midtpunkt teststørrelse]]-E_s_valg[[#This Row],[X min]])/(E_s_valg[[#This Row],[X max]]-E_s_valg[[#This Row],[X min]])</f>
        <v>0.28906096488091337</v>
      </c>
      <c r="AI29" t="e">
        <f>IF(AND(E_s_valg[[#This Row],[Orientering]],E_s_valg[[#This Row],[Ensidet]]),(E_s_valg[[#This Row],[Venstre teststørrelse]]-E_s_valg[[#This Row],[X min]])/(E_s_valg[[#This Row],[X max]]-E_s_valg[[#This Row],[X min]]),(E_s_valg[[#This Row],[Højre teststørrelse]]-E_s_valg[[#This Row],[X min]])/(E_s_valg[[#This Row],[X max]]-E_s_valg[[#This Row],[X min]]))</f>
        <v>#N/A</v>
      </c>
      <c r="AJ29" t="s">
        <v>302</v>
      </c>
      <c r="AK29">
        <f>_xlfn.AGGREGATE(3,5,E_s_valg[[#This Row],[Parameter]])</f>
        <v>1</v>
      </c>
      <c r="AL29">
        <v>1</v>
      </c>
      <c r="AM29">
        <v>26</v>
      </c>
      <c r="AN29" t="e">
        <f>IF(AND(E_s_valg[[#This Row],[Kontrol af forudsætning 1]],E_s_valg[[#This Row],[Kontrol af forudsætning 2]]),"Hypotesetest om standardafvigelse
Nulhypotesen om at standardafvigelsen af "&amp;Eu_s_t_x&amp;" er større end "&amp;ROUND(Eu_s_h0_x,3)&amp;"
"&amp;IF(E_s_valg[[#This Row],[Nulhypotese kan ikke afvises]],"kan ikke ","")&amp;"afvises med "&amp;Eu_s_konfidensniveau*100&amp;"% konfidens","Kan ikke beregne hypotesetest om standardafvigelse")</f>
        <v>#N/A</v>
      </c>
      <c r="AO29" t="str">
        <f>"Standardafvigelse i stikprøver af størrelsen n = "&amp;Eu_s_n_x&amp;"
fra en population med standardafvigelse = "&amp;IFERROR(ROUND(Eu_s_h0_x,3),"Hypotese ikke angivet")</f>
        <v>Standardafvigelse i stikprøver af størrelsen n = 12
fra en population med standardafvigelse = 0</v>
      </c>
      <c r="AP29" t="s">
        <v>15</v>
      </c>
      <c r="AQ29" t="b">
        <f>NOT(ISNA(Eu_s_s_x))</f>
        <v>1</v>
      </c>
      <c r="AR29" t="s">
        <v>177</v>
      </c>
      <c r="AS29" t="b">
        <f>NOT(ISNA(Eu_s_h0_x))</f>
        <v>1</v>
      </c>
      <c r="AV29" t="s">
        <v>159</v>
      </c>
      <c r="AW29" t="s">
        <v>188</v>
      </c>
    </row>
    <row r="30" spans="1:50" x14ac:dyDescent="0.2">
      <c r="A30" t="s">
        <v>1</v>
      </c>
      <c r="B30" t="s">
        <v>133</v>
      </c>
      <c r="C30" t="s">
        <v>142</v>
      </c>
      <c r="D30" t="s">
        <v>142</v>
      </c>
      <c r="E30">
        <f t="shared" si="5"/>
        <v>11</v>
      </c>
      <c r="G30" t="e">
        <f>IFERROR((Eu_s_n_x-1)*Eu_s_s_x^2/Eu_s_h0_x^2,NA())</f>
        <v>#N/A</v>
      </c>
      <c r="H30" t="e">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30" t="e">
        <f>SQRT(E_s_valg[[#This Row],[Venstre teststørrelse]]/(Eu_s_n_x-1))*Eu_s_h0_x</f>
        <v>#N/A</v>
      </c>
      <c r="J30">
        <f>Eu_s_h0_x</f>
        <v>0</v>
      </c>
      <c r="K30" t="e">
        <f>SQRT(E_s_valg[[#This Row],[Højre teststørrelse]]/(Eu_s_n_x-1))*Eu_s_h0_x</f>
        <v>#N/A</v>
      </c>
      <c r="L30"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30">
        <f>IF(E_s_valg[[#This Row],[Parameter]]="andel",ROUND(E_s_valg[[#This Row],[Midtpunkt label base]],5)*100&amp;"%",ROUND(E_s_valg[[#This Row],[Midtpunkt label base]],3))</f>
        <v>0</v>
      </c>
      <c r="N30"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30" t="e">
        <f>E_s_valg[[#This Row],[Teststørrelse]]=E_s_valg[[#This Row],[Venstre teststørrelse]]</f>
        <v>#N/A</v>
      </c>
      <c r="P30" t="b">
        <f>OR(MATCH(E_s_valg[[#This Row],[Hypotese]],HypoteseRetning_liste,0)=2,MATCH(E_s_valg[[#This Row],[Hypotese]],HypoteseRetning_liste,0)=3)</f>
        <v>1</v>
      </c>
      <c r="Q30" t="e">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#N/A</v>
      </c>
      <c r="R30" t="e">
        <f>E_s_valg[[#This Row],[p-værdi]]&gt;1-Eu_s_konfidensniveau</f>
        <v>#N/A</v>
      </c>
      <c r="S30">
        <f t="shared" si="6"/>
        <v>0.999</v>
      </c>
      <c r="T30">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30">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30" t="e">
        <f>MIN(E_s_valg[[#This Row],[Teststørrelse]],E_s_valg[[#This Row],[Teststørrelse omvendt]])</f>
        <v>#N/A</v>
      </c>
      <c r="W30">
        <f>CHOOSE(MATCH(E_s_valg[[#This Row],[Fordeling]],Fordeling_liste,0),_xlfn.NORM.INV(0.5,E_s_valg[[#This Row],[Parameter 1]],E_s_valg[[#This Row],[Parameter 2]]),_xlfn.T.INV(0.5,E_s_valg[[#This Row],[Parameter 1]]),_xlfn.CHISQ.INV(0.5,E_s_valg[[#This Row],[Parameter 1]]),_xlfn.F.INV(0.5,E_s_valg[[#This Row],[Parameter 1]],E_s_valg[[#This Row],[Parameter 2]]))</f>
        <v>10.340998074391823</v>
      </c>
      <c r="X30" t="e">
        <f>MAX(E_s_valg[[#This Row],[Teststørrelse]],E_s_valg[[#This Row],[Teststørrelse omvendt]])</f>
        <v>#N/A</v>
      </c>
      <c r="Y30" t="e">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30" t="e">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30" t="e">
        <f>E_s_valg[[#This Row],[Mindre end højre %]]-E_s_valg[[#This Row],[Mindre end venstre %]]</f>
        <v>#N/A</v>
      </c>
      <c r="AB30" t="e">
        <f>1-E_s_valg[[#This Row],[Mindre end venstre %]]</f>
        <v>#N/A</v>
      </c>
      <c r="AC30" t="e">
        <f>1-E_s_valg[[#This Row],[Mindre end højre %]]</f>
        <v>#N/A</v>
      </c>
      <c r="AD30" t="e">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30" t="str">
        <f>IF(OR(MATCH(E_s_valg[[#This Row],[Hypotese]],HypoteseRetning_liste,0)=1,MATCH(E_s_valg[[#This Row],[Hypotese]],HypoteseRetning_liste,0)=4),ROUND(E_s_valg[[#This Row],[Midt %]],5)*100&amp;"% mellem "&amp;E_s_valg[[#This Row],[Venstre label]]&amp;" og "&amp;E_s_valg[[#This Row],[Højre label]]," ")</f>
        <v xml:space="preserve"> </v>
      </c>
      <c r="AF30" t="e">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30" t="e">
        <f>IF(AND(NOT(E_s_valg[[#This Row],[Orientering]]),E_s_valg[[#This Row],[Ensidet]]),(E_s_valg[[#This Row],[Højre teststørrelse]]-E_s_valg[[#This Row],[X min]])/(E_s_valg[[#This Row],[X max]]-E_s_valg[[#This Row],[X min]]),(E_s_valg[[#This Row],[Venstre teststørrelse]]-E_s_valg[[#This Row],[X min]])/(E_s_valg[[#This Row],[X max]]-E_s_valg[[#This Row],[X min]]))</f>
        <v>#N/A</v>
      </c>
      <c r="AH30">
        <f>(E_s_valg[[#This Row],[Midtpunkt teststørrelse]]-E_s_valg[[#This Row],[X min]])/(E_s_valg[[#This Row],[X max]]-E_s_valg[[#This Row],[X min]])</f>
        <v>0.28906096488091337</v>
      </c>
      <c r="AI30" t="e">
        <f>IF(AND(E_s_valg[[#This Row],[Orientering]],E_s_valg[[#This Row],[Ensidet]]),(E_s_valg[[#This Row],[Venstre teststørrelse]]-E_s_valg[[#This Row],[X min]])/(E_s_valg[[#This Row],[X max]]-E_s_valg[[#This Row],[X min]]),(E_s_valg[[#This Row],[Højre teststørrelse]]-E_s_valg[[#This Row],[X min]])/(E_s_valg[[#This Row],[X max]]-E_s_valg[[#This Row],[X min]]))</f>
        <v>#N/A</v>
      </c>
      <c r="AJ30" t="s">
        <v>303</v>
      </c>
      <c r="AK30">
        <f>_xlfn.AGGREGATE(3,5,E_s_valg[[#This Row],[Parameter]])</f>
        <v>1</v>
      </c>
      <c r="AL30">
        <v>1</v>
      </c>
      <c r="AM30">
        <v>27</v>
      </c>
      <c r="AN30" t="e">
        <f>IF(AND(E_s_valg[[#This Row],[Kontrol af forudsætning 1]],E_s_valg[[#This Row],[Kontrol af forudsætning 2]]),"Hypotesetest om standardafvigelse
Nulhypotesen om at standardafvigelsen af "&amp;Eu_s_t_x&amp;" er mindre end "&amp;ROUND(Eu_s_h0_x,3)&amp;"
"&amp;IF(E_s_valg[[#This Row],[Nulhypotese kan ikke afvises]],"kan ikke ","")&amp;"afvises med "&amp;Eu_s_konfidensniveau*100&amp;"% konfidens","Kan ikke beregne hypotesetest om standardafvigelse")</f>
        <v>#N/A</v>
      </c>
      <c r="AO30" t="str">
        <f>"Standardafvigelse i stikprøver af størrelsen n = "&amp;Eu_s_n_x&amp;"
fra en population med standardafvigelse = "&amp;IFERROR(ROUND(Eu_s_h0_x,3),"Hypotese ikke angivet")</f>
        <v>Standardafvigelse i stikprøver af størrelsen n = 12
fra en population med standardafvigelse = 0</v>
      </c>
      <c r="AP30" t="s">
        <v>15</v>
      </c>
      <c r="AQ30" t="b">
        <f>NOT(ISNA(Eu_s_s_x))</f>
        <v>1</v>
      </c>
      <c r="AR30" t="s">
        <v>177</v>
      </c>
      <c r="AS30" t="b">
        <f>NOT(ISNA(Eu_s_h0_x))</f>
        <v>1</v>
      </c>
      <c r="AV30" t="s">
        <v>159</v>
      </c>
      <c r="AW30" t="s">
        <v>188</v>
      </c>
    </row>
    <row r="31" spans="1:50" x14ac:dyDescent="0.2">
      <c r="A31" t="s">
        <v>1</v>
      </c>
      <c r="B31" t="s">
        <v>134</v>
      </c>
      <c r="C31" t="s">
        <v>142</v>
      </c>
      <c r="D31" t="s">
        <v>142</v>
      </c>
      <c r="E31">
        <f t="shared" si="5"/>
        <v>11</v>
      </c>
      <c r="G31" t="e">
        <f>IFERROR((Eu_s_n_x-1)*Eu_s_s_x^2/Eu_s_h0_x^2,NA())</f>
        <v>#N/A</v>
      </c>
      <c r="H31" t="e">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31" t="e">
        <f>SQRT(E_s_valg[[#This Row],[Venstre teststørrelse]]/(Eu_s_n_x-1))*Eu_s_h0_x</f>
        <v>#N/A</v>
      </c>
      <c r="J31">
        <f>Eu_s_h0_x</f>
        <v>0</v>
      </c>
      <c r="K31" t="e">
        <f>SQRT(E_s_valg[[#This Row],[Højre teststørrelse]]/(Eu_s_n_x-1))*Eu_s_h0_x</f>
        <v>#N/A</v>
      </c>
      <c r="L31"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31">
        <f>IF(E_s_valg[[#This Row],[Parameter]]="andel",ROUND(E_s_valg[[#This Row],[Midtpunkt label base]],5)*100&amp;"%",ROUND(E_s_valg[[#This Row],[Midtpunkt label base]],3))</f>
        <v>0</v>
      </c>
      <c r="N31"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31" t="e">
        <f>E_s_valg[[#This Row],[Teststørrelse]]=E_s_valg[[#This Row],[Venstre teststørrelse]]</f>
        <v>#N/A</v>
      </c>
      <c r="P31" t="b">
        <f>OR(MATCH(E_s_valg[[#This Row],[Hypotese]],HypoteseRetning_liste,0)=2,MATCH(E_s_valg[[#This Row],[Hypotese]],HypoteseRetning_liste,0)=3)</f>
        <v>0</v>
      </c>
      <c r="Q31" t="e">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#N/A</v>
      </c>
      <c r="R31" t="e">
        <f>E_s_valg[[#This Row],[p-værdi]]&gt;1-Eu_s_konfidensniveau</f>
        <v>#N/A</v>
      </c>
      <c r="S31">
        <f t="shared" si="6"/>
        <v>0.999</v>
      </c>
      <c r="T31">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31">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31" t="e">
        <f>MIN(E_s_valg[[#This Row],[Teststørrelse]],E_s_valg[[#This Row],[Teststørrelse omvendt]])</f>
        <v>#N/A</v>
      </c>
      <c r="W31">
        <f>CHOOSE(MATCH(E_s_valg[[#This Row],[Fordeling]],Fordeling_liste,0),_xlfn.NORM.INV(0.5,E_s_valg[[#This Row],[Parameter 1]],E_s_valg[[#This Row],[Parameter 2]]),_xlfn.T.INV(0.5,E_s_valg[[#This Row],[Parameter 1]]),_xlfn.CHISQ.INV(0.5,E_s_valg[[#This Row],[Parameter 1]]),_xlfn.F.INV(0.5,E_s_valg[[#This Row],[Parameter 1]],E_s_valg[[#This Row],[Parameter 2]]))</f>
        <v>10.340998074391823</v>
      </c>
      <c r="X31" t="e">
        <f>MAX(E_s_valg[[#This Row],[Teststørrelse]],E_s_valg[[#This Row],[Teststørrelse omvendt]])</f>
        <v>#N/A</v>
      </c>
      <c r="Y31" t="e">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31" t="e">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31" t="e">
        <f>E_s_valg[[#This Row],[Mindre end højre %]]-E_s_valg[[#This Row],[Mindre end venstre %]]</f>
        <v>#N/A</v>
      </c>
      <c r="AB31" t="e">
        <f>1-E_s_valg[[#This Row],[Mindre end venstre %]]</f>
        <v>#N/A</v>
      </c>
      <c r="AC31" t="e">
        <f>1-E_s_valg[[#This Row],[Mindre end højre %]]</f>
        <v>#N/A</v>
      </c>
      <c r="AD31" t="e">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31" t="e">
        <f>IF(OR(MATCH(E_s_valg[[#This Row],[Hypotese]],HypoteseRetning_liste,0)=1,MATCH(E_s_valg[[#This Row],[Hypotese]],HypoteseRetning_liste,0)=4),ROUND(E_s_valg[[#This Row],[Midt %]],5)*100&amp;"% mellem "&amp;E_s_valg[[#This Row],[Venstre label]]&amp;" og "&amp;E_s_valg[[#This Row],[Højre label]]," ")</f>
        <v>#N/A</v>
      </c>
      <c r="AF31" t="e">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31" t="e">
        <f>IF(AND(NOT(E_s_valg[[#This Row],[Orientering]]),E_s_valg[[#This Row],[Ensidet]]),(E_s_valg[[#This Row],[Højre teststørrelse]]-E_s_valg[[#This Row],[X min]])/(E_s_valg[[#This Row],[X max]]-E_s_valg[[#This Row],[X min]]),(E_s_valg[[#This Row],[Venstre teststørrelse]]-E_s_valg[[#This Row],[X min]])/(E_s_valg[[#This Row],[X max]]-E_s_valg[[#This Row],[X min]]))</f>
        <v>#N/A</v>
      </c>
      <c r="AH31">
        <f>(E_s_valg[[#This Row],[Midtpunkt teststørrelse]]-E_s_valg[[#This Row],[X min]])/(E_s_valg[[#This Row],[X max]]-E_s_valg[[#This Row],[X min]])</f>
        <v>0.28906096488091337</v>
      </c>
      <c r="AI31" t="e">
        <f>IF(AND(E_s_valg[[#This Row],[Orientering]],E_s_valg[[#This Row],[Ensidet]]),(E_s_valg[[#This Row],[Venstre teststørrelse]]-E_s_valg[[#This Row],[X min]])/(E_s_valg[[#This Row],[X max]]-E_s_valg[[#This Row],[X min]]),(E_s_valg[[#This Row],[Højre teststørrelse]]-E_s_valg[[#This Row],[X min]])/(E_s_valg[[#This Row],[X max]]-E_s_valg[[#This Row],[X min]]))</f>
        <v>#N/A</v>
      </c>
      <c r="AJ31" t="s">
        <v>127</v>
      </c>
      <c r="AK31">
        <f>_xlfn.AGGREGATE(3,5,E_s_valg[[#This Row],[Parameter]])</f>
        <v>1</v>
      </c>
      <c r="AL31">
        <v>1</v>
      </c>
      <c r="AM31">
        <v>28</v>
      </c>
      <c r="AN31" t="e">
        <f>IF(AND(E_s_valg[[#This Row],[Kontrol af forudsætning 1]],E_s_valg[[#This Row],[Kontrol af forudsætning 2]]),"Hypotesetest om standardafvigelse
Nulhypotesen om at standardafvigelsen af "&amp;Eu_s_t_x&amp;" er lig med "&amp;ROUND(Eu_s_h0_x,3)&amp;"
"&amp;IF(E_s_valg[[#This Row],[Nulhypotese kan ikke afvises]],"kan ikke ","")&amp;"afvises med "&amp;Eu_s_konfidensniveau*100&amp;"% konfidens","Kan ikke beregne hypotesetest om standardafvigelse")</f>
        <v>#N/A</v>
      </c>
      <c r="AO31" t="str">
        <f>"Standardafvigelse i stikprøver af størrelsen n = "&amp;Eu_s_n_x&amp;"
fra en population med standardafvigelse = "&amp;IFERROR(ROUND(Eu_s_h0_x,3),"Hypotese ikke angivet")</f>
        <v>Standardafvigelse i stikprøver af størrelsen n = 12
fra en population med standardafvigelse = 0</v>
      </c>
      <c r="AP31" t="s">
        <v>15</v>
      </c>
      <c r="AQ31" t="b">
        <f>NOT(ISNA(Eu_s_s_x))</f>
        <v>1</v>
      </c>
      <c r="AR31" t="s">
        <v>177</v>
      </c>
      <c r="AS31" t="b">
        <f>NOT(ISNA(Eu_s_h0_x))</f>
        <v>1</v>
      </c>
      <c r="AV31" t="s">
        <v>159</v>
      </c>
      <c r="AW31" t="s">
        <v>188</v>
      </c>
    </row>
    <row r="32" spans="1:50" x14ac:dyDescent="0.2">
      <c r="A32" t="s">
        <v>1</v>
      </c>
      <c r="B32" t="s">
        <v>135</v>
      </c>
      <c r="C32" t="s">
        <v>143</v>
      </c>
      <c r="D32" t="s">
        <v>143</v>
      </c>
      <c r="E32">
        <f t="shared" si="5"/>
        <v>11</v>
      </c>
      <c r="F32">
        <f>Eu_s_n_y-1</f>
        <v>11</v>
      </c>
      <c r="G32">
        <f>IFERROR(Eu_s_s_x^2/Eu_s_s_y^2,NA())</f>
        <v>1.1445614473379149</v>
      </c>
      <c r="H32">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2">
        <f>SQRT(E_s_valg[[#This Row],[Venstre teststørrelse]])</f>
        <v>0.93471764981489591</v>
      </c>
      <c r="J32">
        <v>1</v>
      </c>
      <c r="K32">
        <f>SQRT(E_s_valg[[#This Row],[Højre teststørrelse]])</f>
        <v>1.069841786124432</v>
      </c>
      <c r="L32">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1.07</v>
      </c>
      <c r="M32">
        <f>IF(E_s_valg[[#This Row],[Parameter]]="andel",ROUND(E_s_valg[[#This Row],[Midtpunkt label base]],5)*100&amp;"%",ROUND(E_s_valg[[#This Row],[Midtpunkt label base]],3))</f>
        <v>1</v>
      </c>
      <c r="N32">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2" t="b">
        <f>E_s_valg[[#This Row],[Teststørrelse]]=E_s_valg[[#This Row],[Venstre teststørrelse]]</f>
        <v>0</v>
      </c>
      <c r="P32" t="b">
        <f>OR(MATCH(E_s_valg[[#This Row],[Hypotese]],HypoteseRetning_liste,0)=2,MATCH(E_s_valg[[#This Row],[Hypotese]],HypoteseRetning_liste,0)=3)</f>
        <v>1</v>
      </c>
      <c r="Q32">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0.58659792841049052</v>
      </c>
      <c r="R32" t="b">
        <f>E_s_valg[[#This Row],[p-værdi]]&gt;1-Eu_s_konfidensniveau</f>
        <v>1</v>
      </c>
      <c r="S32">
        <f t="shared" si="6"/>
        <v>0.999</v>
      </c>
      <c r="T32">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2">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2">
        <f>MIN(E_s_valg[[#This Row],[Teststørrelse]],E_s_valg[[#This Row],[Teststørrelse omvendt]])</f>
        <v>0.87369708487548248</v>
      </c>
      <c r="W32">
        <f>CHOOSE(MATCH(E_s_valg[[#This Row],[Fordeling]],Fordeling_liste,0),_xlfn.NORM.INV(0.5,E_s_valg[[#This Row],[Parameter 1]],E_s_valg[[#This Row],[Parameter 2]]),_xlfn.T.INV(0.5,E_s_valg[[#This Row],[Parameter 1]]),_xlfn.CHISQ.INV(0.5,E_s_valg[[#This Row],[Parameter 1]]),_xlfn.F.INV(0.5,E_s_valg[[#This Row],[Parameter 1]],E_s_valg[[#This Row],[Parameter 2]]))</f>
        <v>0.99999999999999989</v>
      </c>
      <c r="X32">
        <f>MAX(E_s_valg[[#This Row],[Teststørrelse]],E_s_valg[[#This Row],[Teststørrelse omvendt]])</f>
        <v>1.1445614473379149</v>
      </c>
      <c r="Y32">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2">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2">
        <f>E_s_valg[[#This Row],[Mindre end højre %]]-E_s_valg[[#This Row],[Mindre end venstre %]]</f>
        <v>0.17319585682098126</v>
      </c>
      <c r="AB32">
        <f>1-E_s_valg[[#This Row],[Mindre end venstre %]]</f>
        <v>0.58659792841049074</v>
      </c>
      <c r="AC32">
        <f>1-E_s_valg[[#This Row],[Mindre end højre %]]</f>
        <v>0.41340207158950948</v>
      </c>
      <c r="AD32" t="str">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58.66% mindre end 1.07</v>
      </c>
      <c r="AE32" t="str">
        <f>IF(OR(MATCH(E_s_valg[[#This Row],[Hypotese]],HypoteseRetning_liste,0)=1,MATCH(E_s_valg[[#This Row],[Hypotese]],HypoteseRetning_liste,0)=4),ROUND(E_s_valg[[#This Row],[Midt %]],5)*100&amp;"% mellem "&amp;E_s_valg[[#This Row],[Venstre label]]&amp;" og "&amp;E_s_valg[[#This Row],[Højre label]]," ")</f>
        <v xml:space="preserve"> </v>
      </c>
      <c r="AF32" t="str">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2">
        <f>IF(AND(NOT(E_s_valg[[#This Row],[Orientering]]),E_s_valg[[#This Row],[Ensidet]]),(E_s_valg[[#This Row],[Højre teststørrelse]]-E_s_valg[[#This Row],[X min]])/(E_s_valg[[#This Row],[X max]]-E_s_valg[[#This Row],[X min]]),(E_s_valg[[#This Row],[Venstre teststørrelse]]-E_s_valg[[#This Row],[X min]])/(E_s_valg[[#This Row],[X max]]-E_s_valg[[#This Row],[X min]]))</f>
        <v>0.13307682374778423</v>
      </c>
      <c r="AH32">
        <f>(E_s_valg[[#This Row],[Midtpunkt teststørrelse]]-E_s_valg[[#This Row],[X min]])/(E_s_valg[[#This Row],[X max]]-E_s_valg[[#This Row],[X min]])</f>
        <v>0.11413676476713966</v>
      </c>
      <c r="AI32">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2" t="s">
        <v>302</v>
      </c>
      <c r="AK32">
        <f>_xlfn.AGGREGATE(3,5,E_s_valg[[#This Row],[Parameter]])</f>
        <v>1</v>
      </c>
      <c r="AL32">
        <v>2</v>
      </c>
      <c r="AM32">
        <v>29</v>
      </c>
      <c r="AN32" t="str">
        <f>IF(AND(E_s_valg[[#This Row],[Kontrol af forudsætning 1]],E_s_valg[[#This Row],[Kontrol af forudsætning 2]]),"Hypotesetest om forhold mellem standardafvigelser
Nulhypotesen om at standardafvigelsen af "&amp;Eu_s_t_x&amp;" er større end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større end standardafvigelsen af Eksempel 2 (interval)
kan ikke afvises med 95% konfidens</v>
      </c>
      <c r="AO32" t="str">
        <f>"Forhold mellem standardafvigelser
 i stikprøver af størrelsen n = "&amp;Eu_s_n_x&amp;" og "&amp;Eu_s_n_y&amp;"
fra to populationer med forholdet = 1"</f>
        <v>Forhold mellem standardafvigelser
 i stikprøver af størrelsen n = 12 og 12
fra to populationer med forholdet = 1</v>
      </c>
      <c r="AP32" t="s">
        <v>15</v>
      </c>
      <c r="AQ32" t="b">
        <f>NOT(OR(ISNA(Eu_s_s_x),ISNA(Eu_s_s_y)))</f>
        <v>1</v>
      </c>
      <c r="AV32" t="s">
        <v>164</v>
      </c>
      <c r="AW32" t="s">
        <v>188</v>
      </c>
    </row>
    <row r="33" spans="1:50" x14ac:dyDescent="0.2">
      <c r="A33" t="s">
        <v>1</v>
      </c>
      <c r="B33" t="s">
        <v>136</v>
      </c>
      <c r="C33" t="s">
        <v>143</v>
      </c>
      <c r="D33" t="s">
        <v>143</v>
      </c>
      <c r="E33">
        <f t="shared" si="5"/>
        <v>11</v>
      </c>
      <c r="F33">
        <f>Eu_s_n_y-1</f>
        <v>11</v>
      </c>
      <c r="G33">
        <f>IFERROR(Eu_s_s_x^2/Eu_s_s_y^2,NA())</f>
        <v>1.1445614473379149</v>
      </c>
      <c r="H33">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3">
        <f>SQRT(E_s_valg[[#This Row],[Venstre teststørrelse]])</f>
        <v>0.93471764981489591</v>
      </c>
      <c r="J33">
        <v>1</v>
      </c>
      <c r="K33">
        <f>SQRT(E_s_valg[[#This Row],[Højre teststørrelse]])</f>
        <v>1.069841786124432</v>
      </c>
      <c r="L33">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1.07</v>
      </c>
      <c r="M33">
        <f>IF(E_s_valg[[#This Row],[Parameter]]="andel",ROUND(E_s_valg[[#This Row],[Midtpunkt label base]],5)*100&amp;"%",ROUND(E_s_valg[[#This Row],[Midtpunkt label base]],3))</f>
        <v>1</v>
      </c>
      <c r="N33">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3" t="b">
        <f>E_s_valg[[#This Row],[Teststørrelse]]=E_s_valg[[#This Row],[Venstre teststørrelse]]</f>
        <v>0</v>
      </c>
      <c r="P33" t="b">
        <f>OR(MATCH(E_s_valg[[#This Row],[Hypotese]],HypoteseRetning_liste,0)=2,MATCH(E_s_valg[[#This Row],[Hypotese]],HypoteseRetning_liste,0)=3)</f>
        <v>1</v>
      </c>
      <c r="Q33">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0.41340207158950948</v>
      </c>
      <c r="R33" t="b">
        <f>E_s_valg[[#This Row],[p-værdi]]&gt;1-Eu_s_konfidensniveau</f>
        <v>1</v>
      </c>
      <c r="S33">
        <f t="shared" si="6"/>
        <v>0.999</v>
      </c>
      <c r="T33">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3">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3">
        <f>MIN(E_s_valg[[#This Row],[Teststørrelse]],E_s_valg[[#This Row],[Teststørrelse omvendt]])</f>
        <v>0.87369708487548248</v>
      </c>
      <c r="W33">
        <f>CHOOSE(MATCH(E_s_valg[[#This Row],[Fordeling]],Fordeling_liste,0),_xlfn.NORM.INV(0.5,E_s_valg[[#This Row],[Parameter 1]],E_s_valg[[#This Row],[Parameter 2]]),_xlfn.T.INV(0.5,E_s_valg[[#This Row],[Parameter 1]]),_xlfn.CHISQ.INV(0.5,E_s_valg[[#This Row],[Parameter 1]]),_xlfn.F.INV(0.5,E_s_valg[[#This Row],[Parameter 1]],E_s_valg[[#This Row],[Parameter 2]]))</f>
        <v>0.99999999999999989</v>
      </c>
      <c r="X33">
        <f>MAX(E_s_valg[[#This Row],[Teststørrelse]],E_s_valg[[#This Row],[Teststørrelse omvendt]])</f>
        <v>1.1445614473379149</v>
      </c>
      <c r="Y33">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3">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3">
        <f>E_s_valg[[#This Row],[Mindre end højre %]]-E_s_valg[[#This Row],[Mindre end venstre %]]</f>
        <v>0.17319585682098126</v>
      </c>
      <c r="AB33">
        <f>1-E_s_valg[[#This Row],[Mindre end venstre %]]</f>
        <v>0.58659792841049074</v>
      </c>
      <c r="AC33">
        <f>1-E_s_valg[[#This Row],[Mindre end højre %]]</f>
        <v>0.41340207158950948</v>
      </c>
      <c r="AD33" t="str">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58.66% mindre end 1.07</v>
      </c>
      <c r="AE33" t="str">
        <f>IF(OR(MATCH(E_s_valg[[#This Row],[Hypotese]],HypoteseRetning_liste,0)=1,MATCH(E_s_valg[[#This Row],[Hypotese]],HypoteseRetning_liste,0)=4),ROUND(E_s_valg[[#This Row],[Midt %]],5)*100&amp;"% mellem "&amp;E_s_valg[[#This Row],[Venstre label]]&amp;" og "&amp;E_s_valg[[#This Row],[Højre label]]," ")</f>
        <v xml:space="preserve"> </v>
      </c>
      <c r="AF33" t="str">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3">
        <f>IF(AND(NOT(E_s_valg[[#This Row],[Orientering]]),E_s_valg[[#This Row],[Ensidet]]),(E_s_valg[[#This Row],[Højre teststørrelse]]-E_s_valg[[#This Row],[X min]])/(E_s_valg[[#This Row],[X max]]-E_s_valg[[#This Row],[X min]]),(E_s_valg[[#This Row],[Venstre teststørrelse]]-E_s_valg[[#This Row],[X min]])/(E_s_valg[[#This Row],[X max]]-E_s_valg[[#This Row],[X min]]))</f>
        <v>0.13307682374778423</v>
      </c>
      <c r="AH33">
        <f>(E_s_valg[[#This Row],[Midtpunkt teststørrelse]]-E_s_valg[[#This Row],[X min]])/(E_s_valg[[#This Row],[X max]]-E_s_valg[[#This Row],[X min]])</f>
        <v>0.11413676476713966</v>
      </c>
      <c r="AI33">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3" t="s">
        <v>303</v>
      </c>
      <c r="AK33">
        <f>_xlfn.AGGREGATE(3,5,E_s_valg[[#This Row],[Parameter]])</f>
        <v>1</v>
      </c>
      <c r="AL33">
        <v>2</v>
      </c>
      <c r="AM33">
        <v>30</v>
      </c>
      <c r="AN33" t="str">
        <f>IF(AND(E_s_valg[[#This Row],[Kontrol af forudsætning 1]],E_s_valg[[#This Row],[Kontrol af forudsætning 2]]),"Hypotesetest om forhold mellem standardafvigelser
Nulhypotesen om at standardafvigelsen af "&amp;Eu_s_t_x&amp;" er mindre end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mindre end standardafvigelsen af Eksempel 2 (interval)
kan ikke afvises med 95% konfidens</v>
      </c>
      <c r="AO33" t="str">
        <f>"Forhold mellem standardafvigelser
 i stikprøver af størrelsen n = "&amp;Eu_s_n_x&amp;" og "&amp;Eu_s_n_y&amp;"
fra to populationer med forholdet = 1"</f>
        <v>Forhold mellem standardafvigelser
 i stikprøver af størrelsen n = 12 og 12
fra to populationer med forholdet = 1</v>
      </c>
      <c r="AP33" t="s">
        <v>15</v>
      </c>
      <c r="AQ33" t="b">
        <f>NOT(OR(ISNA(Eu_s_s_x),ISNA(Eu_s_s_y)))</f>
        <v>1</v>
      </c>
      <c r="AV33" t="s">
        <v>164</v>
      </c>
      <c r="AW33" t="s">
        <v>188</v>
      </c>
    </row>
    <row r="34" spans="1:50" x14ac:dyDescent="0.2">
      <c r="A34" t="s">
        <v>1</v>
      </c>
      <c r="B34" t="s">
        <v>137</v>
      </c>
      <c r="C34" t="s">
        <v>143</v>
      </c>
      <c r="D34" t="s">
        <v>143</v>
      </c>
      <c r="E34">
        <f t="shared" si="5"/>
        <v>11</v>
      </c>
      <c r="F34">
        <f>Eu_s_n_y-1</f>
        <v>11</v>
      </c>
      <c r="G34">
        <f>IFERROR(Eu_s_s_x^2/Eu_s_s_y^2,NA())</f>
        <v>1.1445614473379149</v>
      </c>
      <c r="H34">
        <f>IFERROR(CHOOSE(MATCH(E_s_valg[[#This Row],[Fordeling]],Fordeling_liste,0),E_s_valg[[#This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4">
        <f>SQRT(E_s_valg[[#This Row],[Venstre teststørrelse]])</f>
        <v>0.93471764981489591</v>
      </c>
      <c r="J34">
        <v>1</v>
      </c>
      <c r="K34">
        <f>SQRT(E_s_valg[[#This Row],[Højre teststørrelse]])</f>
        <v>1.069841786124432</v>
      </c>
      <c r="L34">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0.93500000000000005</v>
      </c>
      <c r="M34">
        <f>IF(E_s_valg[[#This Row],[Parameter]]="andel",ROUND(E_s_valg[[#This Row],[Midtpunkt label base]],5)*100&amp;"%",ROUND(E_s_valg[[#This Row],[Midtpunkt label base]],3))</f>
        <v>1</v>
      </c>
      <c r="N34">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4" t="b">
        <f>E_s_valg[[#This Row],[Teststørrelse]]=E_s_valg[[#This Row],[Venstre teststørrelse]]</f>
        <v>0</v>
      </c>
      <c r="P34" t="b">
        <f>OR(MATCH(E_s_valg[[#This Row],[Hypotese]],HypoteseRetning_liste,0)=2,MATCH(E_s_valg[[#This Row],[Hypotese]],HypoteseRetning_liste,0)=3)</f>
        <v>0</v>
      </c>
      <c r="Q34">
        <f>CHOOSE(MATCH(E_s_valg[[#This Row],[Hypotese]],HypoteseRetning_liste,0),NA(),IF(E_s_valg[[#This Row],[Orientering]],E_s_valg[[#This Row],[Mindre end venstre %]],E_s_valg[[#This Row],[Mindre end højre %]]),IF(E_s_valg[[#This Row],[Orientering]],E_s_valg[[#This Row],[Større end venstre %]],E_s_valg[[#This Row],[Større end højre %]]),1-E_s_valg[[#This Row],[Midt %]])</f>
        <v>0.82680414317901874</v>
      </c>
      <c r="R34" t="b">
        <f>E_s_valg[[#This Row],[p-værdi]]&gt;1-Eu_s_konfidensniveau</f>
        <v>1</v>
      </c>
      <c r="S34">
        <f t="shared" si="6"/>
        <v>0.999</v>
      </c>
      <c r="T34">
        <f>CHOOSE(MATCH(E_s_valg[[#This Row],[Fordeling]],Fordeling_liste,0),_xlfn.NORM.INV(1-E_s_valg[[#This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4">
        <f>CHOOSE(MATCH(E_s_valg[[#This Row],[Fordeling]],Fordeling_liste,0),_xlfn.NORM.INV(E_s_valg[[#This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4">
        <f>MIN(E_s_valg[[#This Row],[Teststørrelse]],E_s_valg[[#This Row],[Teststørrelse omvendt]])</f>
        <v>0.87369708487548248</v>
      </c>
      <c r="W34">
        <f>CHOOSE(MATCH(E_s_valg[[#This Row],[Fordeling]],Fordeling_liste,0),_xlfn.NORM.INV(0.5,E_s_valg[[#This Row],[Parameter 1]],E_s_valg[[#This Row],[Parameter 2]]),_xlfn.T.INV(0.5,E_s_valg[[#This Row],[Parameter 1]]),_xlfn.CHISQ.INV(0.5,E_s_valg[[#This Row],[Parameter 1]]),_xlfn.F.INV(0.5,E_s_valg[[#This Row],[Parameter 1]],E_s_valg[[#This Row],[Parameter 2]]))</f>
        <v>0.99999999999999989</v>
      </c>
      <c r="X34">
        <f>MAX(E_s_valg[[#This Row],[Teststørrelse]],E_s_valg[[#This Row],[Teststørrelse omvendt]])</f>
        <v>1.1445614473379149</v>
      </c>
      <c r="Y34">
        <f>CHOOSE(MATCH(E_s_valg[[#This Row],[Fordeling]],Fordeling_liste,0),_xlfn.NORM.DIST(E_s_valg[[#This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4">
        <f>CHOOSE(MATCH(E_s_valg[[#This Row],[Fordeling]],Fordeling_liste,0),_xlfn.NORM.DIST(E_s_valg[[#This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4">
        <f>E_s_valg[[#This Row],[Mindre end højre %]]-E_s_valg[[#This Row],[Mindre end venstre %]]</f>
        <v>0.17319585682098126</v>
      </c>
      <c r="AB34">
        <f>1-E_s_valg[[#This Row],[Mindre end venstre %]]</f>
        <v>0.58659792841049074</v>
      </c>
      <c r="AC34">
        <f>1-E_s_valg[[#This Row],[Mindre end højre %]]</f>
        <v>0.41340207158950948</v>
      </c>
      <c r="AD34" t="str">
        <f>IF(OR(MATCH(E_s_valg[[#This Row],[Hypotese]],HypoteseRetning_liste,0)=2,MATCH(E_s_valg[[#This Row],[Hypotese]],HypoteseRetning_liste,0)=3),IF(E_s_valg[[#This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41.34% mindre end 0.935</v>
      </c>
      <c r="AE34" t="str">
        <f>IF(OR(MATCH(E_s_valg[[#This Row],[Hypotese]],HypoteseRetning_liste,0)=1,MATCH(E_s_valg[[#This Row],[Hypotese]],HypoteseRetning_liste,0)=4),ROUND(E_s_valg[[#This Row],[Midt %]],5)*100&amp;"% mellem "&amp;E_s_valg[[#This Row],[Venstre label]]&amp;" og "&amp;E_s_valg[[#This Row],[Højre label]]," ")</f>
        <v>17.32% mellem 0.935 og 1.07</v>
      </c>
      <c r="AF34" t="str">
        <f>IF(OR(MATCH(E_s_valg[[#This Row],[Hypotese]],HypoteseRetning_liste,0)=2,MATCH(E_s_valg[[#This Row],[Hypotese]],HypoteseRetning_liste,0)=3),IF(E_s_valg[[#This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4">
        <f>IF(AND(NOT(E_s_valg[[#This Row],[Orientering]]),E_s_valg[[#This Row],[Ensidet]]),(E_s_valg[[#This Row],[Højre teststørrelse]]-E_s_valg[[#This Row],[X min]])/(E_s_valg[[#This Row],[X max]]-E_s_valg[[#This Row],[X min]]),(E_s_valg[[#This Row],[Venstre teststørrelse]]-E_s_valg[[#This Row],[X min]])/(E_s_valg[[#This Row],[X max]]-E_s_valg[[#This Row],[X min]]))</f>
        <v>9.7588890448380719E-2</v>
      </c>
      <c r="AH34">
        <f>(E_s_valg[[#This Row],[Midtpunkt teststørrelse]]-E_s_valg[[#This Row],[X min]])/(E_s_valg[[#This Row],[X max]]-E_s_valg[[#This Row],[X min]])</f>
        <v>0.11413676476713966</v>
      </c>
      <c r="AI34">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4" t="s">
        <v>127</v>
      </c>
      <c r="AK34">
        <f>_xlfn.AGGREGATE(3,5,E_s_valg[[#This Row],[Parameter]])</f>
        <v>1</v>
      </c>
      <c r="AL34">
        <v>2</v>
      </c>
      <c r="AM34">
        <v>31</v>
      </c>
      <c r="AN34" t="str">
        <f>IF(AND(E_s_valg[[#This Row],[Kontrol af forudsætning 1]],E_s_valg[[#This Row],[Kontrol af forudsætning 2]]),"Hypotesetest om forhold mellem standardafvigelser
Nulhypotesen om at standardafvigelsen af "&amp;Eu_s_t_x&amp;" er lig med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lig med standardafvigelsen af Eksempel 2 (interval)
kan ikke afvises med 95% konfidens</v>
      </c>
      <c r="AO34" t="str">
        <f>"Forhold mellem standardafvigelser
 i stikprøver af størrelsen n = "&amp;Eu_s_n_x&amp;" og "&amp;Eu_s_n_y&amp;"
fra to populationer med forholdet = 1"</f>
        <v>Forhold mellem standardafvigelser
 i stikprøver af størrelsen n = 12 og 12
fra to populationer med forholdet = 1</v>
      </c>
      <c r="AP34" t="s">
        <v>15</v>
      </c>
      <c r="AQ34" t="b">
        <f>NOT(OR(ISNA(Eu_s_s_x),ISNA(Eu_s_s_y)))</f>
        <v>1</v>
      </c>
      <c r="AV34" t="s">
        <v>164</v>
      </c>
      <c r="AW34" t="s">
        <v>188</v>
      </c>
    </row>
    <row r="36" spans="1:50" x14ac:dyDescent="0.2">
      <c r="A36" t="s">
        <v>138</v>
      </c>
      <c r="B36" t="s">
        <v>145</v>
      </c>
      <c r="C36" t="s">
        <v>222</v>
      </c>
      <c r="D36" t="s">
        <v>149</v>
      </c>
      <c r="E36" t="s">
        <v>291</v>
      </c>
      <c r="F36" t="s">
        <v>292</v>
      </c>
      <c r="G36" t="s">
        <v>125</v>
      </c>
      <c r="H36" t="s">
        <v>307</v>
      </c>
      <c r="I36" t="s">
        <v>329</v>
      </c>
      <c r="J36" t="s">
        <v>330</v>
      </c>
      <c r="K36" t="s">
        <v>331</v>
      </c>
      <c r="L36" t="s">
        <v>308</v>
      </c>
      <c r="M36" t="s">
        <v>305</v>
      </c>
      <c r="N36" t="s">
        <v>317</v>
      </c>
      <c r="O36" t="s">
        <v>332</v>
      </c>
      <c r="P36" t="s">
        <v>126</v>
      </c>
      <c r="Q36" t="s">
        <v>336</v>
      </c>
      <c r="R36" t="s">
        <v>335</v>
      </c>
      <c r="S36" t="s">
        <v>328</v>
      </c>
      <c r="T36" t="s">
        <v>36</v>
      </c>
      <c r="U36" t="s">
        <v>37</v>
      </c>
      <c r="V36" t="s">
        <v>310</v>
      </c>
      <c r="W36" t="s">
        <v>319</v>
      </c>
      <c r="X36" t="s">
        <v>311</v>
      </c>
      <c r="Y36" t="s">
        <v>312</v>
      </c>
      <c r="Z36" t="s">
        <v>314</v>
      </c>
      <c r="AA36" t="s">
        <v>315</v>
      </c>
      <c r="AB36" t="s">
        <v>313</v>
      </c>
      <c r="AC36" t="s">
        <v>316</v>
      </c>
      <c r="AD36" t="s">
        <v>322</v>
      </c>
      <c r="AE36" t="s">
        <v>323</v>
      </c>
      <c r="AF36" t="s">
        <v>324</v>
      </c>
      <c r="AG36" t="s">
        <v>309</v>
      </c>
      <c r="AH36" t="s">
        <v>306</v>
      </c>
      <c r="AI36" t="s">
        <v>318</v>
      </c>
      <c r="AJ36" t="s">
        <v>304</v>
      </c>
      <c r="AK36" t="s">
        <v>146</v>
      </c>
      <c r="AL36" t="s">
        <v>283</v>
      </c>
      <c r="AM36" t="s">
        <v>16</v>
      </c>
      <c r="AN36" t="s">
        <v>153</v>
      </c>
      <c r="AO36" t="s">
        <v>151</v>
      </c>
      <c r="AP36" t="s">
        <v>155</v>
      </c>
      <c r="AQ36" t="s">
        <v>172</v>
      </c>
      <c r="AR36" t="s">
        <v>156</v>
      </c>
      <c r="AS36" t="s">
        <v>173</v>
      </c>
      <c r="AT36" t="s">
        <v>160</v>
      </c>
      <c r="AU36" t="s">
        <v>176</v>
      </c>
      <c r="AV36" t="s">
        <v>165</v>
      </c>
      <c r="AW36" t="s">
        <v>187</v>
      </c>
      <c r="AX36" t="s">
        <v>433</v>
      </c>
    </row>
    <row r="37" spans="1:50" ht="15" x14ac:dyDescent="0.2">
      <c r="A37" s="30" t="s">
        <v>2</v>
      </c>
      <c r="B37" s="30" t="s">
        <v>44</v>
      </c>
      <c r="C37" s="30" t="s">
        <v>128</v>
      </c>
      <c r="D37" s="30" t="s">
        <v>128</v>
      </c>
      <c r="E37" s="30">
        <v>0</v>
      </c>
      <c r="F37" s="30">
        <v>1</v>
      </c>
      <c r="G37" s="30">
        <f>IF(ISNUMBER(Eu_a_a_x),_xlfn.NORM.INV((1-Eu_a_konfidensniveau)/2,0,1),NA())</f>
        <v>-1.9599639845400536</v>
      </c>
      <c r="H37"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1.9599639845400536</v>
      </c>
      <c r="I37" s="8">
        <f>Eu_a_a_x-NORMINV(1-(1-(Eu_a_konfidensniveau))/2,0,1)*SQRT(Eu_a_a_x*(1-Eu_a_a_x)/Eu_a_n_x)</f>
        <v>0.20060094659432398</v>
      </c>
      <c r="J37" s="7">
        <f>Eu_a_a_x+NORMINV(0.5,0,1)*SQRT(Eu_a_a_x*(1-Eu_a_a_x)/Eu_a_n_x)</f>
        <v>0.41666666666666669</v>
      </c>
      <c r="K37" s="7">
        <f>Eu_a_a_x+NORMINV(1-(1-(Eu_a_konfidensniveau))/2,0,1)*SQRT(Eu_a_a_x*(1-Eu_a_a_x)/Eu_a_n_x)</f>
        <v>0.63273238673900933</v>
      </c>
      <c r="L37"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20.06%</v>
      </c>
      <c r="M37" t="str">
        <f>IF(E_a_valg[[#This Row],[Parameter]]="andel",ROUND(E_a_valg[[#This Row],[Midtpunkt label base]],5)*100&amp;"%",ROUND(E_a_valg[[#This Row],[Midtpunkt label base]],3))</f>
        <v>41.667%</v>
      </c>
      <c r="N37"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63.273%</v>
      </c>
      <c r="O37" s="30" t="b">
        <f>E_a_valg[[#This Row],[Teststørrelse]]=E_a_valg[[#This Row],[Venstre teststørrelse]]</f>
        <v>1</v>
      </c>
      <c r="P37" s="30" t="b">
        <f>OR(MATCH(E_a_valg[[#This Row],[Hypotese]],HypoteseRetning_liste,0)=2,MATCH(E_a_valg[[#This Row],[Hypotese]],HypoteseRetning_liste,0)=3)</f>
        <v>0</v>
      </c>
      <c r="Q37" s="40" t="e">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#N/A</v>
      </c>
      <c r="R37" s="30" t="e">
        <f>E_a_valg[[#This Row],[p-værdi]]&gt;1-Eu_a_konfidensniveau</f>
        <v>#N/A</v>
      </c>
      <c r="S37" s="30">
        <f t="shared" ref="S37:S46" si="7">IF(Eu_a_konfidensniveau&lt;=0.998,0.999,0.99999)</f>
        <v>0.999</v>
      </c>
      <c r="T37"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7"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7" s="30">
        <f>MIN(E_a_valg[[#This Row],[Teststørrelse]],E_a_valg[[#This Row],[Teststørrelse omvendt]])</f>
        <v>-1.9599639845400536</v>
      </c>
      <c r="W37"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37" s="30">
        <f>MAX(E_a_valg[[#This Row],[Teststørrelse]],E_a_valg[[#This Row],[Teststørrelse omvendt]])</f>
        <v>1.9599639845400536</v>
      </c>
      <c r="Y37"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2.500000000000004E-2</v>
      </c>
      <c r="Z37"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0.97499999999999998</v>
      </c>
      <c r="AA37" s="40">
        <f>E_a_valg[[#This Row],[Mindre end højre %]]-E_a_valg[[#This Row],[Mindre end venstre %]]</f>
        <v>0.95</v>
      </c>
      <c r="AB37" s="40">
        <f>1-E_a_valg[[#This Row],[Mindre end venstre %]]</f>
        <v>0.97499999999999998</v>
      </c>
      <c r="AC37" s="40">
        <f>1-E_a_valg[[#This Row],[Mindre end højre %]]</f>
        <v>2.5000000000000022E-2</v>
      </c>
      <c r="AD37"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2.5% mindre end 20.06%</v>
      </c>
      <c r="AE37" s="30" t="str">
        <f>IF(OR(MATCH(E_a_valg[[#This Row],[Hypotese]],HypoteseRetning_liste,0)=1,MATCH(E_a_valg[[#This Row],[Hypotese]],HypoteseRetning_liste,0)=4),ROUND(E_a_valg[[#This Row],[Midt %]],5)*100&amp;"% mellem "&amp;E_a_valg[[#This Row],[Venstre label]]&amp;" og "&amp;E_a_valg[[#This Row],[Højre label]]," ")</f>
        <v>95% mellem 20.06% og 63.273%</v>
      </c>
      <c r="AF37"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2.5% større end 63.273%</v>
      </c>
      <c r="AG37" s="30">
        <f>IF(AND(NOT(E_a_valg[[#This Row],[Orientering]]),E_a_valg[[#This Row],[Ensidet]]),(E_a_valg[[#This Row],[Højre teststørrelse]]-E_a_valg[[#This Row],[X min]])/(E_a_valg[[#This Row],[X max]]-E_a_valg[[#This Row],[X min]]),(E_a_valg[[#This Row],[Venstre teststørrelse]]-E_a_valg[[#This Row],[X min]])/(E_a_valg[[#This Row],[X max]]-E_a_valg[[#This Row],[X min]]))</f>
        <v>0.18287756544578385</v>
      </c>
      <c r="AH37" s="30">
        <f>(E_a_valg[[#This Row],[Midtpunkt teststørrelse]]-E_a_valg[[#This Row],[X min]])/(E_a_valg[[#This Row],[X max]]-E_a_valg[[#This Row],[X min]])</f>
        <v>0.5</v>
      </c>
      <c r="AI37" s="30">
        <f>IF(AND(E_a_valg[[#This Row],[Orientering]],E_a_valg[[#This Row],[Ensidet]]),(E_a_valg[[#This Row],[Venstre teststørrelse]]-E_a_valg[[#This Row],[X min]])/(E_a_valg[[#This Row],[X max]]-E_a_valg[[#This Row],[X min]]),(E_a_valg[[#This Row],[Højre teststørrelse]]-E_a_valg[[#This Row],[X min]])/(E_a_valg[[#This Row],[X max]]-E_a_valg[[#This Row],[X min]]))</f>
        <v>0.81712243455421607</v>
      </c>
      <c r="AJ37" s="30" t="s">
        <v>44</v>
      </c>
      <c r="AK37" s="30">
        <f>_xlfn.AGGREGATE(3,5,E_a_valg[[#This Row],[Parameter]])</f>
        <v>1</v>
      </c>
      <c r="AL37">
        <v>1</v>
      </c>
      <c r="AM37" s="30">
        <v>32</v>
      </c>
      <c r="AN37" s="30" t="str">
        <f>IF(E_a_valg[[#This Row],[Kontrol af forudsætning 1]],Eu_a_konfidensniveau*100&amp;"% Konfidensinterval for andel
af "&amp;Eu_a_t_x,"Kan ikke beregne konfidensinterval for andel")</f>
        <v>95% Konfidensinterval for andel
af Eksempel 4 (nominal)</v>
      </c>
      <c r="AO37" s="30" t="str">
        <f>"Populationsestimat for andel fra stikprøver af størrelsen n = "&amp;Eu_a_n_x&amp;"
fra en population med andel = "&amp;IFERROR(ROUND(Eu_a_a_x,5)*100&amp;"%","Kan ikke beregnes")</f>
        <v>Populationsestimat for andel fra stikprøver af størrelsen n = 20
fra en population med andel = 41.667%</v>
      </c>
      <c r="AP37" s="31" t="str">
        <f>"Datatypen er nominal, hvor succes er "&amp;TRUE&amp;" og øvrige værdier er "&amp;FALSE</f>
        <v>Datatypen er nominal, hvor succes er TRUE og øvrige værdier er FALSE</v>
      </c>
      <c r="AQ37" s="31" t="b">
        <f>NOT(ISNA(Eu_a_a_x))</f>
        <v>1</v>
      </c>
      <c r="AR37" s="31"/>
      <c r="AS37" s="31"/>
      <c r="AT37" s="31" t="s">
        <v>162</v>
      </c>
      <c r="AU37" s="31" t="b">
        <f>IFERROR(Eu_a_n_x*Eu_a_a_x*(1-Eu_a_a_x)&gt;9,FALSE)</f>
        <v>0</v>
      </c>
      <c r="AV37" s="31"/>
      <c r="AW37" s="31"/>
      <c r="AX37" s="31">
        <f>ROUNDUP(_xlfn.NORM.INV(1-(1-Eu_a_konfidensniveau)/2,0,1)^2*Eu_a_a_x*(1-Eu_a_a_x)/Eu_a_ønsket_fejlmargin^2,0)</f>
        <v>9337</v>
      </c>
    </row>
    <row r="38" spans="1:50" ht="15" x14ac:dyDescent="0.2">
      <c r="A38" s="30" t="s">
        <v>2</v>
      </c>
      <c r="B38" s="30" t="s">
        <v>132</v>
      </c>
      <c r="C38" s="30" t="s">
        <v>128</v>
      </c>
      <c r="D38" s="30" t="s">
        <v>128</v>
      </c>
      <c r="E38" s="30">
        <v>0</v>
      </c>
      <c r="F38" s="30">
        <v>1</v>
      </c>
      <c r="G38" s="39" t="e">
        <f>IFERROR((Eu_a_a_x-Eu_a_h0_x)/SQRT(Eu_a_h0_x*(1-Eu_a_h0_x)/Eu_a_n_x),NA())</f>
        <v>#N/A</v>
      </c>
      <c r="H38" s="30" t="e">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#N/A</v>
      </c>
      <c r="I38" s="7" t="e">
        <f>E_a_valg[[#This Row],[Venstre teststørrelse]]*SQRT(Eu_a_h0_x*(1-Eu_a_h0_x)/Eu_a_n_x)+Eu_a_h0_x</f>
        <v>#N/A</v>
      </c>
      <c r="J38" s="7">
        <f>E_a_valg[[#This Row],[Midtpunkt teststørrelse]]*SQRT(Eu_a_h0_x*(1-Eu_a_h0_x)/Eu_a_n_x)+Eu_a_h0_x</f>
        <v>0</v>
      </c>
      <c r="K38" s="7" t="e">
        <f>E_a_valg[[#This Row],[Højre teststørrelse]]*SQRT(Eu_a_h0_x*(1-Eu_a_h0_x)/Eu_a_n_x)+Eu_a_h0_x</f>
        <v>#N/A</v>
      </c>
      <c r="L38" t="e">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#N/A</v>
      </c>
      <c r="M38" t="str">
        <f>IF(E_a_valg[[#This Row],[Parameter]]="andel",ROUND(E_a_valg[[#This Row],[Midtpunkt label base]],5)*100&amp;"%",ROUND(E_a_valg[[#This Row],[Midtpunkt label base]],3))</f>
        <v>0%</v>
      </c>
      <c r="N38" t="e">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#N/A</v>
      </c>
      <c r="O38" s="30" t="e">
        <f>E_a_valg[[#This Row],[Teststørrelse]]=E_a_valg[[#This Row],[Venstre teststørrelse]]</f>
        <v>#N/A</v>
      </c>
      <c r="P38" s="30" t="b">
        <f>OR(MATCH(E_a_valg[[#This Row],[Hypotese]],HypoteseRetning_liste,0)=2,MATCH(E_a_valg[[#This Row],[Hypotese]],HypoteseRetning_liste,0)=3)</f>
        <v>1</v>
      </c>
      <c r="Q38" s="40" t="e">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#N/A</v>
      </c>
      <c r="R38" s="30" t="e">
        <f>E_a_valg[[#This Row],[p-værdi]]&gt;1-Eu_a_konfidensniveau</f>
        <v>#N/A</v>
      </c>
      <c r="S38" s="30">
        <f t="shared" si="7"/>
        <v>0.999</v>
      </c>
      <c r="T38"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8"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8" s="30" t="e">
        <f>MIN(E_a_valg[[#This Row],[Teststørrelse]],E_a_valg[[#This Row],[Teststørrelse omvendt]])</f>
        <v>#N/A</v>
      </c>
      <c r="W38"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38" s="30" t="e">
        <f>MAX(E_a_valg[[#This Row],[Teststørrelse]],E_a_valg[[#This Row],[Teststørrelse omvendt]])</f>
        <v>#N/A</v>
      </c>
      <c r="Y38" s="40" t="e">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#N/A</v>
      </c>
      <c r="Z38" s="40" t="e">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#N/A</v>
      </c>
      <c r="AA38" s="40" t="e">
        <f>E_a_valg[[#This Row],[Mindre end højre %]]-E_a_valg[[#This Row],[Mindre end venstre %]]</f>
        <v>#N/A</v>
      </c>
      <c r="AB38" s="40" t="e">
        <f>1-E_a_valg[[#This Row],[Mindre end venstre %]]</f>
        <v>#N/A</v>
      </c>
      <c r="AC38" s="40" t="e">
        <f>1-E_a_valg[[#This Row],[Mindre end højre %]]</f>
        <v>#N/A</v>
      </c>
      <c r="AD38" s="30" t="e">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#N/A</v>
      </c>
      <c r="AE38" s="30" t="str">
        <f>IF(OR(MATCH(E_a_valg[[#This Row],[Hypotese]],HypoteseRetning_liste,0)=1,MATCH(E_a_valg[[#This Row],[Hypotese]],HypoteseRetning_liste,0)=4),ROUND(E_a_valg[[#This Row],[Midt %]],5)*100&amp;"% mellem "&amp;E_a_valg[[#This Row],[Venstre label]]&amp;" og "&amp;E_a_valg[[#This Row],[Højre label]]," ")</f>
        <v xml:space="preserve"> </v>
      </c>
      <c r="AF38" s="30" t="e">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#N/A</v>
      </c>
      <c r="AG38" s="30" t="e">
        <f>IF(AND(NOT(E_a_valg[[#This Row],[Orientering]]),E_a_valg[[#This Row],[Ensidet]]),(E_a_valg[[#This Row],[Højre teststørrelse]]-E_a_valg[[#This Row],[X min]])/(E_a_valg[[#This Row],[X max]]-E_a_valg[[#This Row],[X min]]),(E_a_valg[[#This Row],[Venstre teststørrelse]]-E_a_valg[[#This Row],[X min]])/(E_a_valg[[#This Row],[X max]]-E_a_valg[[#This Row],[X min]]))</f>
        <v>#N/A</v>
      </c>
      <c r="AH38" s="30">
        <f>(E_a_valg[[#This Row],[Midtpunkt teststørrelse]]-E_a_valg[[#This Row],[X min]])/(E_a_valg[[#This Row],[X max]]-E_a_valg[[#This Row],[X min]])</f>
        <v>0.5</v>
      </c>
      <c r="AI38" s="30" t="e">
        <f>IF(AND(E_a_valg[[#This Row],[Orientering]],E_a_valg[[#This Row],[Ensidet]]),(E_a_valg[[#This Row],[Venstre teststørrelse]]-E_a_valg[[#This Row],[X min]])/(E_a_valg[[#This Row],[X max]]-E_a_valg[[#This Row],[X min]]),(E_a_valg[[#This Row],[Højre teststørrelse]]-E_a_valg[[#This Row],[X min]])/(E_a_valg[[#This Row],[X max]]-E_a_valg[[#This Row],[X min]]))</f>
        <v>#N/A</v>
      </c>
      <c r="AJ38" s="30" t="s">
        <v>302</v>
      </c>
      <c r="AK38" s="30">
        <f>_xlfn.AGGREGATE(3,5,E_a_valg[[#This Row],[Parameter]])</f>
        <v>1</v>
      </c>
      <c r="AL38">
        <v>1</v>
      </c>
      <c r="AM38" s="30">
        <v>33</v>
      </c>
      <c r="AN38" s="30" t="e">
        <f>IF(AND(E_a_valg[[#This Row],[Kontrol af forudsætning 1]],E_a_valg[[#This Row],[Kontrol af forudsætning 2]]),"Hypotesetest om andel
Nulhypotesen om at andelen af "&amp;Eu_a_t_x&amp;" er større end "&amp;ROUND(Eu_a_h0_x,5)*100&amp;"%"&amp;"
"&amp;IF(E_a_valg[[#This Row],[Nulhypotese kan ikke afvises]],"kan ikke ","")&amp;"afvises med "&amp;Eu_a_konfidensniveau*100&amp;"% konfidens","Kan ikke beregne hypotesetest om andel")</f>
        <v>#N/A</v>
      </c>
      <c r="AO38" s="30" t="str">
        <f>"Andel i stikprøver af størrelsen n = "&amp;Eu_a_n_x&amp;"
fra en population med andel = "&amp;IFERROR(ROUND(Eu_a_h0_x,5)*100&amp;"%","Hypotese ikke angivet")</f>
        <v>Andel i stikprøver af størrelsen n = 20
fra en population med andel = 0%</v>
      </c>
      <c r="AP38" s="31" t="str">
        <f t="shared" ref="AP38:AP46" si="8">"Datatypen er nominal, hvor succes er "&amp;TRUE&amp;" og øvrige værdier er "&amp;FALSE</f>
        <v>Datatypen er nominal, hvor succes er TRUE og øvrige værdier er FALSE</v>
      </c>
      <c r="AQ38" s="31" t="b">
        <f>NOT(ISNA(Eu_a_a_x))</f>
        <v>1</v>
      </c>
      <c r="AR38" s="31" t="s">
        <v>179</v>
      </c>
      <c r="AS38" s="31" t="b">
        <f>NOT(ISNA(Eu_a_h0_x))</f>
        <v>1</v>
      </c>
      <c r="AT38" s="31" t="s">
        <v>162</v>
      </c>
      <c r="AU38" s="31" t="b">
        <f>IFERROR(Eu_a_n_x*Eu_a_a_x*(1-Eu_a_a_x)&gt;9,FALSE)</f>
        <v>0</v>
      </c>
      <c r="AV38" s="31"/>
      <c r="AW38" s="31"/>
      <c r="AX38" s="31"/>
    </row>
    <row r="39" spans="1:50" ht="15" x14ac:dyDescent="0.2">
      <c r="A39" s="30" t="s">
        <v>2</v>
      </c>
      <c r="B39" s="30" t="s">
        <v>133</v>
      </c>
      <c r="C39" s="30" t="s">
        <v>128</v>
      </c>
      <c r="D39" s="30" t="s">
        <v>128</v>
      </c>
      <c r="E39" s="30">
        <v>0</v>
      </c>
      <c r="F39" s="30">
        <v>1</v>
      </c>
      <c r="G39" s="39" t="e">
        <f>IFERROR((Eu_a_a_x-Eu_a_h0_x)/SQRT(Eu_a_h0_x*(1-Eu_a_h0_x)/Eu_a_n_x),NA())</f>
        <v>#N/A</v>
      </c>
      <c r="H39" s="30" t="e">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#N/A</v>
      </c>
      <c r="I39" s="7" t="e">
        <f>E_a_valg[[#This Row],[Venstre teststørrelse]]*SQRT(Eu_a_h0_x*(1-Eu_a_h0_x)/Eu_a_n_x)+Eu_a_h0_x</f>
        <v>#N/A</v>
      </c>
      <c r="J39" s="7">
        <f>E_a_valg[[#This Row],[Midtpunkt teststørrelse]]*SQRT(Eu_a_h0_x*(1-Eu_a_h0_x)/Eu_a_n_x)+Eu_a_h0_x</f>
        <v>0</v>
      </c>
      <c r="K39" s="7" t="e">
        <f>E_a_valg[[#This Row],[Højre teststørrelse]]*SQRT(Eu_a_h0_x*(1-Eu_a_h0_x)/Eu_a_n_x)+Eu_a_h0_x</f>
        <v>#N/A</v>
      </c>
      <c r="L39" t="e">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#N/A</v>
      </c>
      <c r="M39" t="str">
        <f>IF(E_a_valg[[#This Row],[Parameter]]="andel",ROUND(E_a_valg[[#This Row],[Midtpunkt label base]],5)*100&amp;"%",ROUND(E_a_valg[[#This Row],[Midtpunkt label base]],3))</f>
        <v>0%</v>
      </c>
      <c r="N39" t="e">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#N/A</v>
      </c>
      <c r="O39" s="30" t="e">
        <f>E_a_valg[[#This Row],[Teststørrelse]]=E_a_valg[[#This Row],[Venstre teststørrelse]]</f>
        <v>#N/A</v>
      </c>
      <c r="P39" s="30" t="b">
        <f>OR(MATCH(E_a_valg[[#This Row],[Hypotese]],HypoteseRetning_liste,0)=2,MATCH(E_a_valg[[#This Row],[Hypotese]],HypoteseRetning_liste,0)=3)</f>
        <v>1</v>
      </c>
      <c r="Q39" s="40" t="e">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#N/A</v>
      </c>
      <c r="R39" s="30" t="e">
        <f>E_a_valg[[#This Row],[p-værdi]]&gt;1-Eu_a_konfidensniveau</f>
        <v>#N/A</v>
      </c>
      <c r="S39" s="30">
        <f t="shared" si="7"/>
        <v>0.999</v>
      </c>
      <c r="T39"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9"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9" s="30" t="e">
        <f>MIN(E_a_valg[[#This Row],[Teststørrelse]],E_a_valg[[#This Row],[Teststørrelse omvendt]])</f>
        <v>#N/A</v>
      </c>
      <c r="W39"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39" s="30" t="e">
        <f>MAX(E_a_valg[[#This Row],[Teststørrelse]],E_a_valg[[#This Row],[Teststørrelse omvendt]])</f>
        <v>#N/A</v>
      </c>
      <c r="Y39" s="40" t="e">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#N/A</v>
      </c>
      <c r="Z39" s="40" t="e">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#N/A</v>
      </c>
      <c r="AA39" s="40" t="e">
        <f>E_a_valg[[#This Row],[Mindre end højre %]]-E_a_valg[[#This Row],[Mindre end venstre %]]</f>
        <v>#N/A</v>
      </c>
      <c r="AB39" s="40" t="e">
        <f>1-E_a_valg[[#This Row],[Mindre end venstre %]]</f>
        <v>#N/A</v>
      </c>
      <c r="AC39" s="40" t="e">
        <f>1-E_a_valg[[#This Row],[Mindre end højre %]]</f>
        <v>#N/A</v>
      </c>
      <c r="AD39" s="30" t="e">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#N/A</v>
      </c>
      <c r="AE39" s="30" t="str">
        <f>IF(OR(MATCH(E_a_valg[[#This Row],[Hypotese]],HypoteseRetning_liste,0)=1,MATCH(E_a_valg[[#This Row],[Hypotese]],HypoteseRetning_liste,0)=4),ROUND(E_a_valg[[#This Row],[Midt %]],5)*100&amp;"% mellem "&amp;E_a_valg[[#This Row],[Venstre label]]&amp;" og "&amp;E_a_valg[[#This Row],[Højre label]]," ")</f>
        <v xml:space="preserve"> </v>
      </c>
      <c r="AF39" s="30" t="e">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#N/A</v>
      </c>
      <c r="AG39" s="30" t="e">
        <f>IF(AND(NOT(E_a_valg[[#This Row],[Orientering]]),E_a_valg[[#This Row],[Ensidet]]),(E_a_valg[[#This Row],[Højre teststørrelse]]-E_a_valg[[#This Row],[X min]])/(E_a_valg[[#This Row],[X max]]-E_a_valg[[#This Row],[X min]]),(E_a_valg[[#This Row],[Venstre teststørrelse]]-E_a_valg[[#This Row],[X min]])/(E_a_valg[[#This Row],[X max]]-E_a_valg[[#This Row],[X min]]))</f>
        <v>#N/A</v>
      </c>
      <c r="AH39" s="30">
        <f>(E_a_valg[[#This Row],[Midtpunkt teststørrelse]]-E_a_valg[[#This Row],[X min]])/(E_a_valg[[#This Row],[X max]]-E_a_valg[[#This Row],[X min]])</f>
        <v>0.5</v>
      </c>
      <c r="AI39" s="30" t="e">
        <f>IF(AND(E_a_valg[[#This Row],[Orientering]],E_a_valg[[#This Row],[Ensidet]]),(E_a_valg[[#This Row],[Venstre teststørrelse]]-E_a_valg[[#This Row],[X min]])/(E_a_valg[[#This Row],[X max]]-E_a_valg[[#This Row],[X min]]),(E_a_valg[[#This Row],[Højre teststørrelse]]-E_a_valg[[#This Row],[X min]])/(E_a_valg[[#This Row],[X max]]-E_a_valg[[#This Row],[X min]]))</f>
        <v>#N/A</v>
      </c>
      <c r="AJ39" s="30" t="s">
        <v>303</v>
      </c>
      <c r="AK39" s="30">
        <f>_xlfn.AGGREGATE(3,5,E_a_valg[[#This Row],[Parameter]])</f>
        <v>1</v>
      </c>
      <c r="AL39">
        <v>1</v>
      </c>
      <c r="AM39" s="30">
        <v>34</v>
      </c>
      <c r="AN39" s="30" t="e">
        <f>IF(AND(E_a_valg[[#This Row],[Kontrol af forudsætning 1]],E_a_valg[[#This Row],[Kontrol af forudsætning 2]]),"Hypotesetest om andel
Nulhypotesen om at andelen af "&amp;Eu_a_t_x&amp;" er mindre end "&amp;ROUND(Eu_a_h0_x,5)*100&amp;"%"&amp;"
"&amp;IF(E_a_valg[[#This Row],[Nulhypotese kan ikke afvises]],"kan ikke ","")&amp;"afvises med "&amp;Eu_a_konfidensniveau*100&amp;"% konfidens","Kan ikke beregne hypotesetest om andel")</f>
        <v>#N/A</v>
      </c>
      <c r="AO39" s="30" t="str">
        <f>"Andel i stikprøver af størrelsen n = "&amp;Eu_a_n_x&amp;"
fra en population med andel = "&amp;IFERROR(ROUND(Eu_a_h0_x,5)*100&amp;"%","Hypotese ikke angivet")</f>
        <v>Andel i stikprøver af størrelsen n = 20
fra en population med andel = 0%</v>
      </c>
      <c r="AP39" s="31" t="str">
        <f t="shared" si="8"/>
        <v>Datatypen er nominal, hvor succes er TRUE og øvrige værdier er FALSE</v>
      </c>
      <c r="AQ39" s="31" t="b">
        <f>NOT(ISNA(Eu_a_a_x))</f>
        <v>1</v>
      </c>
      <c r="AR39" s="31" t="s">
        <v>179</v>
      </c>
      <c r="AS39" s="31" t="b">
        <f>NOT(ISNA(Eu_a_h0_x))</f>
        <v>1</v>
      </c>
      <c r="AT39" s="31" t="s">
        <v>162</v>
      </c>
      <c r="AU39" s="31" t="b">
        <f>IFERROR(Eu_a_n_x*Eu_a_a_x*(1-Eu_a_a_x)&gt;9,FALSE)</f>
        <v>0</v>
      </c>
      <c r="AV39" s="31"/>
      <c r="AW39" s="31"/>
      <c r="AX39" s="31"/>
    </row>
    <row r="40" spans="1:50" ht="15" x14ac:dyDescent="0.2">
      <c r="A40" s="30" t="s">
        <v>2</v>
      </c>
      <c r="B40" s="30" t="s">
        <v>134</v>
      </c>
      <c r="C40" s="30" t="s">
        <v>128</v>
      </c>
      <c r="D40" s="30" t="s">
        <v>128</v>
      </c>
      <c r="E40" s="30">
        <v>0</v>
      </c>
      <c r="F40" s="30">
        <v>1</v>
      </c>
      <c r="G40" s="39" t="e">
        <f>IFERROR((Eu_a_a_x-Eu_a_h0_x)/SQRT(Eu_a_h0_x*(1-Eu_a_h0_x)/Eu_a_n_x),NA())</f>
        <v>#N/A</v>
      </c>
      <c r="H40" s="30" t="e">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#N/A</v>
      </c>
      <c r="I40" s="7" t="e">
        <f>E_a_valg[[#This Row],[Venstre teststørrelse]]*SQRT(Eu_a_h0_x*(1-Eu_a_h0_x)/Eu_a_n_x)+Eu_a_h0_x</f>
        <v>#N/A</v>
      </c>
      <c r="J40" s="7">
        <f>E_a_valg[[#This Row],[Midtpunkt teststørrelse]]*SQRT(Eu_a_h0_x*(1-Eu_a_h0_x)/Eu_a_n_x)+Eu_a_h0_x</f>
        <v>0</v>
      </c>
      <c r="K40" s="7" t="e">
        <f>E_a_valg[[#This Row],[Højre teststørrelse]]*SQRT(Eu_a_h0_x*(1-Eu_a_h0_x)/Eu_a_n_x)+Eu_a_h0_x</f>
        <v>#N/A</v>
      </c>
      <c r="L40" t="e">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#N/A</v>
      </c>
      <c r="M40" t="str">
        <f>IF(E_a_valg[[#This Row],[Parameter]]="andel",ROUND(E_a_valg[[#This Row],[Midtpunkt label base]],5)*100&amp;"%",ROUND(E_a_valg[[#This Row],[Midtpunkt label base]],3))</f>
        <v>0%</v>
      </c>
      <c r="N40" t="e">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#N/A</v>
      </c>
      <c r="O40" s="30" t="e">
        <f>E_a_valg[[#This Row],[Teststørrelse]]=E_a_valg[[#This Row],[Venstre teststørrelse]]</f>
        <v>#N/A</v>
      </c>
      <c r="P40" s="30" t="b">
        <f>OR(MATCH(E_a_valg[[#This Row],[Hypotese]],HypoteseRetning_liste,0)=2,MATCH(E_a_valg[[#This Row],[Hypotese]],HypoteseRetning_liste,0)=3)</f>
        <v>0</v>
      </c>
      <c r="Q40" s="40" t="e">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#N/A</v>
      </c>
      <c r="R40" s="30" t="e">
        <f>E_a_valg[[#This Row],[p-værdi]]&gt;1-Eu_a_konfidensniveau</f>
        <v>#N/A</v>
      </c>
      <c r="S40" s="30">
        <f t="shared" si="7"/>
        <v>0.999</v>
      </c>
      <c r="T40"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0"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0" s="30" t="e">
        <f>MIN(E_a_valg[[#This Row],[Teststørrelse]],E_a_valg[[#This Row],[Teststørrelse omvendt]])</f>
        <v>#N/A</v>
      </c>
      <c r="W40"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0" s="30" t="e">
        <f>MAX(E_a_valg[[#This Row],[Teststørrelse]],E_a_valg[[#This Row],[Teststørrelse omvendt]])</f>
        <v>#N/A</v>
      </c>
      <c r="Y40" s="40" t="e">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#N/A</v>
      </c>
      <c r="Z40" s="40" t="e">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#N/A</v>
      </c>
      <c r="AA40" s="40" t="e">
        <f>E_a_valg[[#This Row],[Mindre end højre %]]-E_a_valg[[#This Row],[Mindre end venstre %]]</f>
        <v>#N/A</v>
      </c>
      <c r="AB40" s="40" t="e">
        <f>1-E_a_valg[[#This Row],[Mindre end venstre %]]</f>
        <v>#N/A</v>
      </c>
      <c r="AC40" s="40" t="e">
        <f>1-E_a_valg[[#This Row],[Mindre end højre %]]</f>
        <v>#N/A</v>
      </c>
      <c r="AD40" s="30" t="e">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#N/A</v>
      </c>
      <c r="AE40" s="30" t="e">
        <f>IF(OR(MATCH(E_a_valg[[#This Row],[Hypotese]],HypoteseRetning_liste,0)=1,MATCH(E_a_valg[[#This Row],[Hypotese]],HypoteseRetning_liste,0)=4),ROUND(E_a_valg[[#This Row],[Midt %]],5)*100&amp;"% mellem "&amp;E_a_valg[[#This Row],[Venstre label]]&amp;" og "&amp;E_a_valg[[#This Row],[Højre label]]," ")</f>
        <v>#N/A</v>
      </c>
      <c r="AF40" s="30" t="e">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#N/A</v>
      </c>
      <c r="AG40" s="30" t="e">
        <f>IF(AND(NOT(E_a_valg[[#This Row],[Orientering]]),E_a_valg[[#This Row],[Ensidet]]),(E_a_valg[[#This Row],[Højre teststørrelse]]-E_a_valg[[#This Row],[X min]])/(E_a_valg[[#This Row],[X max]]-E_a_valg[[#This Row],[X min]]),(E_a_valg[[#This Row],[Venstre teststørrelse]]-E_a_valg[[#This Row],[X min]])/(E_a_valg[[#This Row],[X max]]-E_a_valg[[#This Row],[X min]]))</f>
        <v>#N/A</v>
      </c>
      <c r="AH40" s="30">
        <f>(E_a_valg[[#This Row],[Midtpunkt teststørrelse]]-E_a_valg[[#This Row],[X min]])/(E_a_valg[[#This Row],[X max]]-E_a_valg[[#This Row],[X min]])</f>
        <v>0.5</v>
      </c>
      <c r="AI40" s="30" t="e">
        <f>IF(AND(E_a_valg[[#This Row],[Orientering]],E_a_valg[[#This Row],[Ensidet]]),(E_a_valg[[#This Row],[Venstre teststørrelse]]-E_a_valg[[#This Row],[X min]])/(E_a_valg[[#This Row],[X max]]-E_a_valg[[#This Row],[X min]]),(E_a_valg[[#This Row],[Højre teststørrelse]]-E_a_valg[[#This Row],[X min]])/(E_a_valg[[#This Row],[X max]]-E_a_valg[[#This Row],[X min]]))</f>
        <v>#N/A</v>
      </c>
      <c r="AJ40" s="30" t="s">
        <v>127</v>
      </c>
      <c r="AK40" s="30">
        <f>_xlfn.AGGREGATE(3,5,E_a_valg[[#This Row],[Parameter]])</f>
        <v>1</v>
      </c>
      <c r="AL40">
        <v>1</v>
      </c>
      <c r="AM40" s="30">
        <v>35</v>
      </c>
      <c r="AN40" s="30" t="e">
        <f>IF(AND(E_a_valg[[#This Row],[Kontrol af forudsætning 1]],E_a_valg[[#This Row],[Kontrol af forudsætning 2]]),"Hypotesetest om andel
Nulhypotesen om at andelen af "&amp;Eu_a_t_x&amp;" er lig med "&amp;ROUND(Eu_a_h0_x,5)*100&amp;"%"&amp;"
"&amp;IF(E_a_valg[[#This Row],[Nulhypotese kan ikke afvises]],"kan ikke ","")&amp;"afvises med "&amp;Eu_a_konfidensniveau*100&amp;"% konfidens","Kan ikke beregne hypotesetest om andel")</f>
        <v>#N/A</v>
      </c>
      <c r="AO40" s="30" t="str">
        <f>"Andel i stikprøver af størrelsen n = "&amp;Eu_a_n_x&amp;"
fra en population med andel = "&amp;IFERROR(ROUND(Eu_a_h0_x,5)*100&amp;"%","Hypotese ikke angivet")</f>
        <v>Andel i stikprøver af størrelsen n = 20
fra en population med andel = 0%</v>
      </c>
      <c r="AP40" s="31" t="str">
        <f t="shared" si="8"/>
        <v>Datatypen er nominal, hvor succes er TRUE og øvrige værdier er FALSE</v>
      </c>
      <c r="AQ40" s="31" t="b">
        <f>NOT(ISNA(Eu_a_a_x))</f>
        <v>1</v>
      </c>
      <c r="AR40" s="31" t="s">
        <v>179</v>
      </c>
      <c r="AS40" s="31" t="b">
        <f>NOT(ISNA(Eu_a_h0_x))</f>
        <v>1</v>
      </c>
      <c r="AT40" s="31" t="s">
        <v>162</v>
      </c>
      <c r="AU40" s="31" t="b">
        <f>IFERROR(Eu_a_n_x*Eu_a_a_x*(1-Eu_a_a_x)&gt;9,FALSE)</f>
        <v>0</v>
      </c>
      <c r="AV40" s="31"/>
      <c r="AW40" s="31"/>
      <c r="AX40" s="31"/>
    </row>
    <row r="41" spans="1:50" ht="15" x14ac:dyDescent="0.2">
      <c r="A41" s="30" t="s">
        <v>2</v>
      </c>
      <c r="B41" s="30" t="s">
        <v>135</v>
      </c>
      <c r="C41" s="30" t="s">
        <v>128</v>
      </c>
      <c r="D41" s="30" t="s">
        <v>128</v>
      </c>
      <c r="E41" s="30">
        <v>0</v>
      </c>
      <c r="F41" s="30">
        <v>1</v>
      </c>
      <c r="G41" s="39">
        <f>IFERROR((Eu_a_a_x-Eu_a_a_y-(Eu_a_h0_x-Eu_a_h0_y))/SQRT(Eu_a_a_x*(1-Eu_a_a_x)/Eu_a_n_x+Eu_a_a_y*(1-Eu_a_a_y)/Eu_a_n_y),NA())</f>
        <v>0</v>
      </c>
      <c r="H41"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1" s="7">
        <f>E_a_valg[[#This Row],[Venstre teststørrelse]]*SQRT(Eu_a_a_x*(1-Eu_a_a_x)/Eu_a_n_x+Eu_a_a_y*(1-Eu_a_a_y)/Eu_a_n_y)+(Eu_a_h0_x-Eu_a_h0_y)</f>
        <v>0</v>
      </c>
      <c r="J41" s="7">
        <f>E_a_valg[[#This Row],[Midtpunkt teststørrelse]]*SQRT(Eu_a_a_x*(1-Eu_a_a_x)/Eu_a_n_x+Eu_a_a_y*(1-Eu_a_a_y)/Eu_a_n_y)+(Eu_a_h0_x-Eu_a_h0_y)</f>
        <v>0</v>
      </c>
      <c r="K41" s="7">
        <f>E_a_valg[[#This Row],[Højre teststørrelse]]*SQRT(Eu_a_a_x*(1-Eu_a_a_x)/Eu_a_n_x+Eu_a_a_y*(1-Eu_a_a_y)/Eu_a_n_y)+(Eu_a_h0_x-Eu_a_h0_y)</f>
        <v>0</v>
      </c>
      <c r="L41"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1" t="str">
        <f>IF(E_a_valg[[#This Row],[Parameter]]="andel",ROUND(E_a_valg[[#This Row],[Midtpunkt label base]],5)*100&amp;"%",ROUND(E_a_valg[[#This Row],[Midtpunkt label base]],3))</f>
        <v>0%</v>
      </c>
      <c r="N41"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1" s="30" t="b">
        <f>E_a_valg[[#This Row],[Teststørrelse]]=E_a_valg[[#This Row],[Venstre teststørrelse]]</f>
        <v>1</v>
      </c>
      <c r="P41" s="30" t="b">
        <f>OR(MATCH(E_a_valg[[#This Row],[Hypotese]],HypoteseRetning_liste,0)=2,MATCH(E_a_valg[[#This Row],[Hypotese]],HypoteseRetning_liste,0)=3)</f>
        <v>1</v>
      </c>
      <c r="Q41" s="40">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0.5</v>
      </c>
      <c r="R41" s="30" t="b">
        <f>E_a_valg[[#This Row],[p-værdi]]&gt;1-Eu_a_konfidensniveau</f>
        <v>1</v>
      </c>
      <c r="S41" s="30">
        <f t="shared" si="7"/>
        <v>0.999</v>
      </c>
      <c r="T41"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1"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1" s="30">
        <f>MIN(E_a_valg[[#This Row],[Teststørrelse]],E_a_valg[[#This Row],[Teststørrelse omvendt]])</f>
        <v>0</v>
      </c>
      <c r="W41"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1" s="30">
        <f>MAX(E_a_valg[[#This Row],[Teststørrelse]],E_a_valg[[#This Row],[Teststørrelse omvendt]])</f>
        <v>0</v>
      </c>
      <c r="Y41"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1"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1" s="40">
        <f>E_a_valg[[#This Row],[Mindre end højre %]]-E_a_valg[[#This Row],[Mindre end venstre %]]</f>
        <v>0</v>
      </c>
      <c r="AB41" s="40">
        <f>1-E_a_valg[[#This Row],[Mindre end venstre %]]</f>
        <v>0.5</v>
      </c>
      <c r="AC41" s="40">
        <f>1-E_a_valg[[#This Row],[Mindre end højre %]]</f>
        <v>0.5</v>
      </c>
      <c r="AD41"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1" s="30" t="str">
        <f>IF(OR(MATCH(E_a_valg[[#This Row],[Hypotese]],HypoteseRetning_liste,0)=1,MATCH(E_a_valg[[#This Row],[Hypotese]],HypoteseRetning_liste,0)=4),ROUND(E_a_valg[[#This Row],[Midt %]],5)*100&amp;"% mellem "&amp;E_a_valg[[#This Row],[Venstre label]]&amp;" og "&amp;E_a_valg[[#This Row],[Højre label]]," ")</f>
        <v xml:space="preserve"> </v>
      </c>
      <c r="AF41"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1"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1" s="30">
        <f>(E_a_valg[[#This Row],[Midtpunkt teststørrelse]]-E_a_valg[[#This Row],[X min]])/(E_a_valg[[#This Row],[X max]]-E_a_valg[[#This Row],[X min]])</f>
        <v>0.5</v>
      </c>
      <c r="AI41" s="30">
        <f>IF(AND(E_a_valg[[#This Row],[Orientering]],E_a_valg[[#This Row],[Ensidet]]),(E_a_valg[[#This Row],[Venstre teststørrelse]]-E_a_valg[[#This Row],[X min]])/(E_a_valg[[#This Row],[X max]]-E_a_valg[[#This Row],[X min]]),(E_a_valg[[#This Row],[Højre teststørrelse]]-E_a_valg[[#This Row],[X min]])/(E_a_valg[[#This Row],[X max]]-E_a_valg[[#This Row],[X min]]))</f>
        <v>0.5</v>
      </c>
      <c r="AJ41" s="30" t="s">
        <v>302</v>
      </c>
      <c r="AK41" s="30">
        <f>_xlfn.AGGREGATE(3,5,E_a_valg[[#This Row],[Parameter]])</f>
        <v>1</v>
      </c>
      <c r="AL41">
        <v>2</v>
      </c>
      <c r="AM41" s="30">
        <v>36</v>
      </c>
      <c r="AN41" s="30" t="str">
        <f>IF(E_a_valg[[#This Row],[Kontrol af forudsætning 1]],IF(E_a_valg[[#This Row],[Kontrol af forudsætning 2]],"Hypotesetest om forskel mellem andele
Nulhypotesen om at forskellen mellem andelene af "&amp;Eu_a_t_x&amp;" og "&amp;Eu_a_t_y&amp;" er større end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Kan ikke beregne hypotesetest om forskel mellem andele,
fordi der ikke er angivet hypoteser om forskellige andele for Eksempel 4 (nominal) og Eksempel 4 (nominal)</v>
      </c>
      <c r="AO41" s="30"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0%
og stikprøveandele = 41.667% og 41.667%</v>
      </c>
      <c r="AP41" s="31" t="str">
        <f t="shared" si="8"/>
        <v>Datatypen er nominal, hvor succes er TRUE og øvrige værdier er FALSE</v>
      </c>
      <c r="AQ41" s="31" t="b">
        <f t="shared" ref="AQ41:AQ46" si="9">NOT(OR(ISNA(Eu_a_a_x),ISNA(Eu_a_a_y)))</f>
        <v>1</v>
      </c>
      <c r="AR41" s="31" t="s">
        <v>182</v>
      </c>
      <c r="AS41" s="31" t="b">
        <f>IF(NOT(OR(ISNA(Eu_a_h0_x),ISNA(Eu_a_h0_y))),Eu_a_h0_x&lt;&gt;Eu_a_h0_y)</f>
        <v>0</v>
      </c>
      <c r="AT41" s="31" t="s">
        <v>170</v>
      </c>
      <c r="AU41" s="31" t="b">
        <f t="shared" ref="AU41:AU46" si="10">IFERROR(AND(Eu_a_n_x*Eu_a_a_x*(1-Eu_a_a_x)&gt;9,Eu_a_n_y*Eu_a_a_y*(1-Eu_a_a_y)&gt;9),FALSE)</f>
        <v>0</v>
      </c>
      <c r="AV41" s="31"/>
      <c r="AW41" s="31"/>
      <c r="AX41" s="31"/>
    </row>
    <row r="42" spans="1:50" ht="15" x14ac:dyDescent="0.2">
      <c r="A42" s="30" t="s">
        <v>2</v>
      </c>
      <c r="B42" s="30" t="s">
        <v>135</v>
      </c>
      <c r="C42" s="30" t="s">
        <v>144</v>
      </c>
      <c r="D42" s="30" t="s">
        <v>128</v>
      </c>
      <c r="E42" s="30">
        <v>0</v>
      </c>
      <c r="F42" s="30">
        <v>1</v>
      </c>
      <c r="G42" s="39">
        <f>IFERROR((Eu_a_a_x-Eu_a_a_y)/SQRT((Eu_a_a_x*Eu_a_n_x+Eu_a_a_y*Eu_a_n_y)/(Eu_a_n_x+Eu_a_n_y)*(1-(Eu_a_a_x*Eu_a_n_x+Eu_a_a_y*Eu_a_n_y)/(Eu_a_n_x+Eu_a_n_y))*(1/Eu_a_n_x+1/Eu_a_n_y)),NA())</f>
        <v>0</v>
      </c>
      <c r="H42"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2" s="7">
        <f>MIN(Eu_a_a_x-Eu_a_a_y,-1*(Eu_a_a_x-Eu_a_a_y))</f>
        <v>0</v>
      </c>
      <c r="J42" s="30">
        <v>0</v>
      </c>
      <c r="K42" s="7">
        <f>MAX(Eu_a_a_x-Eu_a_a_y,-1*(Eu_a_a_x-Eu_a_a_y))</f>
        <v>0</v>
      </c>
      <c r="L42"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2" t="str">
        <f>IF(E_a_valg[[#This Row],[Parameter]]="andel",ROUND(E_a_valg[[#This Row],[Midtpunkt label base]],5)*100&amp;"%",ROUND(E_a_valg[[#This Row],[Midtpunkt label base]],3))</f>
        <v>0%</v>
      </c>
      <c r="N42"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2" s="30" t="b">
        <f>E_a_valg[[#This Row],[Teststørrelse]]=E_a_valg[[#This Row],[Venstre teststørrelse]]</f>
        <v>1</v>
      </c>
      <c r="P42" s="30" t="b">
        <f>OR(MATCH(E_a_valg[[#This Row],[Hypotese]],HypoteseRetning_liste,0)=2,MATCH(E_a_valg[[#This Row],[Hypotese]],HypoteseRetning_liste,0)=3)</f>
        <v>1</v>
      </c>
      <c r="Q42" s="40">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0.5</v>
      </c>
      <c r="R42" s="30" t="b">
        <f>E_a_valg[[#This Row],[p-værdi]]&gt;1-Eu_a_konfidensniveau</f>
        <v>1</v>
      </c>
      <c r="S42" s="30">
        <f t="shared" si="7"/>
        <v>0.999</v>
      </c>
      <c r="T42"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2"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2" s="30">
        <f>MIN(E_a_valg[[#This Row],[Teststørrelse]],E_a_valg[[#This Row],[Teststørrelse omvendt]])</f>
        <v>0</v>
      </c>
      <c r="W42"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2" s="30">
        <f>MAX(E_a_valg[[#This Row],[Teststørrelse]],E_a_valg[[#This Row],[Teststørrelse omvendt]])</f>
        <v>0</v>
      </c>
      <c r="Y42"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2"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2" s="40">
        <f>E_a_valg[[#This Row],[Mindre end højre %]]-E_a_valg[[#This Row],[Mindre end venstre %]]</f>
        <v>0</v>
      </c>
      <c r="AB42" s="40">
        <f>1-E_a_valg[[#This Row],[Mindre end venstre %]]</f>
        <v>0.5</v>
      </c>
      <c r="AC42" s="40">
        <f>1-E_a_valg[[#This Row],[Mindre end højre %]]</f>
        <v>0.5</v>
      </c>
      <c r="AD42"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2" s="30" t="str">
        <f>IF(OR(MATCH(E_a_valg[[#This Row],[Hypotese]],HypoteseRetning_liste,0)=1,MATCH(E_a_valg[[#This Row],[Hypotese]],HypoteseRetning_liste,0)=4),ROUND(E_a_valg[[#This Row],[Midt %]],5)*100&amp;"% mellem "&amp;E_a_valg[[#This Row],[Venstre label]]&amp;" og "&amp;E_a_valg[[#This Row],[Højre label]]," ")</f>
        <v xml:space="preserve"> </v>
      </c>
      <c r="AF42"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2"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2" s="30">
        <f>(E_a_valg[[#This Row],[Midtpunkt teststørrelse]]-E_a_valg[[#This Row],[X min]])/(E_a_valg[[#This Row],[X max]]-E_a_valg[[#This Row],[X min]])</f>
        <v>0.5</v>
      </c>
      <c r="AI42" s="30">
        <f>IF(AND(E_a_valg[[#This Row],[Orientering]],E_a_valg[[#This Row],[Ensidet]]),(E_a_valg[[#This Row],[Venstre teststørrelse]]-E_a_valg[[#This Row],[X min]])/(E_a_valg[[#This Row],[X max]]-E_a_valg[[#This Row],[X min]]),(E_a_valg[[#This Row],[Højre teststørrelse]]-E_a_valg[[#This Row],[X min]])/(E_a_valg[[#This Row],[X max]]-E_a_valg[[#This Row],[X min]]))</f>
        <v>0.5</v>
      </c>
      <c r="AJ42" s="30" t="s">
        <v>302</v>
      </c>
      <c r="AK42" s="30">
        <f>_xlfn.AGGREGATE(3,5,E_a_valg[[#This Row],[Parameter]])</f>
        <v>1</v>
      </c>
      <c r="AL42">
        <v>2</v>
      </c>
      <c r="AM42" s="30">
        <v>37</v>
      </c>
      <c r="AN42" s="30" t="str">
        <f>IF(E_a_valg[[#This Row],[Kontrol af forudsætning 1]],IF(E_a_valg[[#This Row],[Kontrol af forudsætning 2]],"Hypotesetest om forskel mellem andele
Nulhypotesen om at forskellen mellem andelene af "&amp;Eu_a_t_x&amp;" og "&amp;Eu_a_t_y&amp;" er større end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Hypotesetest om forskel mellem andele
Nulhypotesen om at forskellen mellem andelene af Eksempel 4 (nominal) og Eksempel 4 (nominal) er større end 0%
kan ikke afvises med 95% konfidens</v>
      </c>
      <c r="AO42" s="30"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Forskel i andel i stikprøver af størrelsen n = 20 og 12
fra to populationer med forskel = 0%
og stikprøveandele = 41.667% og 41.667%</v>
      </c>
      <c r="AP42" s="31" t="str">
        <f t="shared" si="8"/>
        <v>Datatypen er nominal, hvor succes er TRUE og øvrige værdier er FALSE</v>
      </c>
      <c r="AQ42" s="31" t="b">
        <f t="shared" si="9"/>
        <v>1</v>
      </c>
      <c r="AR42" s="31" t="s">
        <v>180</v>
      </c>
      <c r="AS42" s="31" t="b">
        <f>IF(NOT(OR(ISNA(Eu_a_h0_x),ISNA(Eu_a_h0_y))),Eu_a_h0_x=Eu_a_h0_y)</f>
        <v>1</v>
      </c>
      <c r="AT42" s="31" t="s">
        <v>170</v>
      </c>
      <c r="AU42" s="31" t="b">
        <f t="shared" si="10"/>
        <v>0</v>
      </c>
      <c r="AV42" s="31"/>
      <c r="AW42" s="31"/>
      <c r="AX42" s="31"/>
    </row>
    <row r="43" spans="1:50" ht="15" x14ac:dyDescent="0.2">
      <c r="A43" s="30" t="s">
        <v>2</v>
      </c>
      <c r="B43" s="30" t="s">
        <v>136</v>
      </c>
      <c r="C43" s="30" t="s">
        <v>128</v>
      </c>
      <c r="D43" s="30" t="s">
        <v>128</v>
      </c>
      <c r="E43" s="30">
        <v>0</v>
      </c>
      <c r="F43" s="30">
        <v>1</v>
      </c>
      <c r="G43" s="39">
        <f>IFERROR((Eu_a_a_x-Eu_a_a_y-(Eu_a_h0_x-Eu_a_h0_y))/SQRT(Eu_a_a_x*(1-Eu_a_a_x)/Eu_a_n_x+Eu_a_a_y*(1-Eu_a_a_y)/Eu_a_n_y),NA())</f>
        <v>0</v>
      </c>
      <c r="H43"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3" s="7">
        <f>E_a_valg[[#This Row],[Venstre teststørrelse]]*SQRT(Eu_a_a_x*(1-Eu_a_a_x)/Eu_a_n_x+Eu_a_a_y*(1-Eu_a_a_y)/Eu_a_n_y)+(Eu_a_h0_x-Eu_a_h0_y)</f>
        <v>0</v>
      </c>
      <c r="J43" s="7">
        <f>E_a_valg[[#This Row],[Midtpunkt teststørrelse]]*SQRT(Eu_a_a_x*(1-Eu_a_a_x)/Eu_a_n_x+Eu_a_a_y*(1-Eu_a_a_y)/Eu_a_n_y)+(Eu_a_h0_x-Eu_a_h0_y)</f>
        <v>0</v>
      </c>
      <c r="K43" s="7">
        <f>E_a_valg[[#This Row],[Højre teststørrelse]]*SQRT(Eu_a_a_x*(1-Eu_a_a_x)/Eu_a_n_x+Eu_a_a_y*(1-Eu_a_a_y)/Eu_a_n_y)+(Eu_a_h0_x-Eu_a_h0_y)</f>
        <v>0</v>
      </c>
      <c r="L43"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3" t="str">
        <f>IF(E_a_valg[[#This Row],[Parameter]]="andel",ROUND(E_a_valg[[#This Row],[Midtpunkt label base]],5)*100&amp;"%",ROUND(E_a_valg[[#This Row],[Midtpunkt label base]],3))</f>
        <v>0%</v>
      </c>
      <c r="N43"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3" s="30" t="b">
        <f>E_a_valg[[#This Row],[Teststørrelse]]=E_a_valg[[#This Row],[Venstre teststørrelse]]</f>
        <v>1</v>
      </c>
      <c r="P43" s="30" t="b">
        <f>OR(MATCH(E_a_valg[[#This Row],[Hypotese]],HypoteseRetning_liste,0)=2,MATCH(E_a_valg[[#This Row],[Hypotese]],HypoteseRetning_liste,0)=3)</f>
        <v>1</v>
      </c>
      <c r="Q43" s="40">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0.5</v>
      </c>
      <c r="R43" s="30" t="b">
        <f>E_a_valg[[#This Row],[p-værdi]]&gt;1-Eu_a_konfidensniveau</f>
        <v>1</v>
      </c>
      <c r="S43" s="30">
        <f t="shared" si="7"/>
        <v>0.999</v>
      </c>
      <c r="T43"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3"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3" s="30">
        <f>MIN(E_a_valg[[#This Row],[Teststørrelse]],E_a_valg[[#This Row],[Teststørrelse omvendt]])</f>
        <v>0</v>
      </c>
      <c r="W43"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3" s="30">
        <f>MAX(E_a_valg[[#This Row],[Teststørrelse]],E_a_valg[[#This Row],[Teststørrelse omvendt]])</f>
        <v>0</v>
      </c>
      <c r="Y43"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3"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3" s="40">
        <f>E_a_valg[[#This Row],[Mindre end højre %]]-E_a_valg[[#This Row],[Mindre end venstre %]]</f>
        <v>0</v>
      </c>
      <c r="AB43" s="40">
        <f>1-E_a_valg[[#This Row],[Mindre end venstre %]]</f>
        <v>0.5</v>
      </c>
      <c r="AC43" s="40">
        <f>1-E_a_valg[[#This Row],[Mindre end højre %]]</f>
        <v>0.5</v>
      </c>
      <c r="AD43"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3" s="30" t="str">
        <f>IF(OR(MATCH(E_a_valg[[#This Row],[Hypotese]],HypoteseRetning_liste,0)=1,MATCH(E_a_valg[[#This Row],[Hypotese]],HypoteseRetning_liste,0)=4),ROUND(E_a_valg[[#This Row],[Midt %]],5)*100&amp;"% mellem "&amp;E_a_valg[[#This Row],[Venstre label]]&amp;" og "&amp;E_a_valg[[#This Row],[Højre label]]," ")</f>
        <v xml:space="preserve"> </v>
      </c>
      <c r="AF43"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3"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3" s="30">
        <f>(E_a_valg[[#This Row],[Midtpunkt teststørrelse]]-E_a_valg[[#This Row],[X min]])/(E_a_valg[[#This Row],[X max]]-E_a_valg[[#This Row],[X min]])</f>
        <v>0.5</v>
      </c>
      <c r="AI43" s="30">
        <f>IF(AND(E_a_valg[[#This Row],[Orientering]],E_a_valg[[#This Row],[Ensidet]]),(E_a_valg[[#This Row],[Venstre teststørrelse]]-E_a_valg[[#This Row],[X min]])/(E_a_valg[[#This Row],[X max]]-E_a_valg[[#This Row],[X min]]),(E_a_valg[[#This Row],[Højre teststørrelse]]-E_a_valg[[#This Row],[X min]])/(E_a_valg[[#This Row],[X max]]-E_a_valg[[#This Row],[X min]]))</f>
        <v>0.5</v>
      </c>
      <c r="AJ43" s="30" t="s">
        <v>303</v>
      </c>
      <c r="AK43" s="30">
        <f>_xlfn.AGGREGATE(3,5,E_a_valg[[#This Row],[Parameter]])</f>
        <v>1</v>
      </c>
      <c r="AL43">
        <v>2</v>
      </c>
      <c r="AM43" s="30">
        <v>38</v>
      </c>
      <c r="AN43" s="30" t="str">
        <f>IF(E_a_valg[[#This Row],[Kontrol af forudsætning 1]],IF(E_a_valg[[#This Row],[Kontrol af forudsætning 2]],"Hypotesetest om forskel mellem andele
Nulhypotesen om at forskellen mellem andelene af "&amp;Eu_a_t_x&amp;" og "&amp;Eu_a_t_y&amp;" er mindre end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Kan ikke beregne hypotesetest om forskel mellem andele,
fordi der ikke er angivet hypoteser om forskellige andele for Eksempel 4 (nominal) og Eksempel 4 (nominal)</v>
      </c>
      <c r="AO43" s="30"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0%
og stikprøveandele = 41.667% og 41.667%</v>
      </c>
      <c r="AP43" s="31" t="str">
        <f t="shared" si="8"/>
        <v>Datatypen er nominal, hvor succes er TRUE og øvrige værdier er FALSE</v>
      </c>
      <c r="AQ43" s="31" t="b">
        <f t="shared" si="9"/>
        <v>1</v>
      </c>
      <c r="AR43" s="31" t="s">
        <v>182</v>
      </c>
      <c r="AS43" s="31" t="b">
        <f>IF(NOT(OR(ISNA(Eu_a_h0_x),ISNA(Eu_a_h0_y))),Eu_a_h0_x&lt;&gt;Eu_a_h0_y)</f>
        <v>0</v>
      </c>
      <c r="AT43" s="31" t="s">
        <v>170</v>
      </c>
      <c r="AU43" s="31" t="b">
        <f t="shared" si="10"/>
        <v>0</v>
      </c>
      <c r="AV43" s="31"/>
      <c r="AW43" s="31"/>
      <c r="AX43" s="31"/>
    </row>
    <row r="44" spans="1:50" ht="15" x14ac:dyDescent="0.2">
      <c r="A44" s="30" t="s">
        <v>2</v>
      </c>
      <c r="B44" s="30" t="s">
        <v>136</v>
      </c>
      <c r="C44" s="30" t="s">
        <v>144</v>
      </c>
      <c r="D44" s="30" t="s">
        <v>128</v>
      </c>
      <c r="E44" s="30">
        <v>0</v>
      </c>
      <c r="F44" s="30">
        <v>1</v>
      </c>
      <c r="G44" s="39">
        <f>IFERROR((Eu_a_a_x-Eu_a_a_y)/SQRT((Eu_a_a_x*Eu_a_n_x+Eu_a_a_y*Eu_a_n_y)/(Eu_a_n_x+Eu_a_n_y)*(1-(Eu_a_a_x*Eu_a_n_x+Eu_a_a_y*Eu_a_n_y)/(Eu_a_n_x+Eu_a_n_y))*(1/Eu_a_n_x+1/Eu_a_n_y)),NA())</f>
        <v>0</v>
      </c>
      <c r="H44"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4" s="7">
        <f>MIN(Eu_a_a_x-Eu_a_a_y,-1*(Eu_a_a_x-Eu_a_a_y))</f>
        <v>0</v>
      </c>
      <c r="J44" s="30">
        <v>0</v>
      </c>
      <c r="K44" s="7">
        <f>MAX(Eu_a_a_x-Eu_a_a_y,-1*(Eu_a_a_x-Eu_a_a_y))</f>
        <v>0</v>
      </c>
      <c r="L44"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4" t="str">
        <f>IF(E_a_valg[[#This Row],[Parameter]]="andel",ROUND(E_a_valg[[#This Row],[Midtpunkt label base]],5)*100&amp;"%",ROUND(E_a_valg[[#This Row],[Midtpunkt label base]],3))</f>
        <v>0%</v>
      </c>
      <c r="N44"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4" s="30" t="b">
        <f>E_a_valg[[#This Row],[Teststørrelse]]=E_a_valg[[#This Row],[Venstre teststørrelse]]</f>
        <v>1</v>
      </c>
      <c r="P44" s="30" t="b">
        <f>OR(MATCH(E_a_valg[[#This Row],[Hypotese]],HypoteseRetning_liste,0)=2,MATCH(E_a_valg[[#This Row],[Hypotese]],HypoteseRetning_liste,0)=3)</f>
        <v>1</v>
      </c>
      <c r="Q44" s="40">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0.5</v>
      </c>
      <c r="R44" s="30" t="b">
        <f>E_a_valg[[#This Row],[p-værdi]]&gt;1-Eu_a_konfidensniveau</f>
        <v>1</v>
      </c>
      <c r="S44" s="30">
        <f t="shared" si="7"/>
        <v>0.999</v>
      </c>
      <c r="T44"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4"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4" s="30">
        <f>MIN(E_a_valg[[#This Row],[Teststørrelse]],E_a_valg[[#This Row],[Teststørrelse omvendt]])</f>
        <v>0</v>
      </c>
      <c r="W44"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4" s="30">
        <f>MAX(E_a_valg[[#This Row],[Teststørrelse]],E_a_valg[[#This Row],[Teststørrelse omvendt]])</f>
        <v>0</v>
      </c>
      <c r="Y44"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4"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4" s="40">
        <f>E_a_valg[[#This Row],[Mindre end højre %]]-E_a_valg[[#This Row],[Mindre end venstre %]]</f>
        <v>0</v>
      </c>
      <c r="AB44" s="40">
        <f>1-E_a_valg[[#This Row],[Mindre end venstre %]]</f>
        <v>0.5</v>
      </c>
      <c r="AC44" s="40">
        <f>1-E_a_valg[[#This Row],[Mindre end højre %]]</f>
        <v>0.5</v>
      </c>
      <c r="AD44"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4" s="30" t="str">
        <f>IF(OR(MATCH(E_a_valg[[#This Row],[Hypotese]],HypoteseRetning_liste,0)=1,MATCH(E_a_valg[[#This Row],[Hypotese]],HypoteseRetning_liste,0)=4),ROUND(E_a_valg[[#This Row],[Midt %]],5)*100&amp;"% mellem "&amp;E_a_valg[[#This Row],[Venstre label]]&amp;" og "&amp;E_a_valg[[#This Row],[Højre label]]," ")</f>
        <v xml:space="preserve"> </v>
      </c>
      <c r="AF44"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4"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4" s="30">
        <f>(E_a_valg[[#This Row],[Midtpunkt teststørrelse]]-E_a_valg[[#This Row],[X min]])/(E_a_valg[[#This Row],[X max]]-E_a_valg[[#This Row],[X min]])</f>
        <v>0.5</v>
      </c>
      <c r="AI44" s="30">
        <f>IF(AND(E_a_valg[[#This Row],[Orientering]],E_a_valg[[#This Row],[Ensidet]]),(E_a_valg[[#This Row],[Venstre teststørrelse]]-E_a_valg[[#This Row],[X min]])/(E_a_valg[[#This Row],[X max]]-E_a_valg[[#This Row],[X min]]),(E_a_valg[[#This Row],[Højre teststørrelse]]-E_a_valg[[#This Row],[X min]])/(E_a_valg[[#This Row],[X max]]-E_a_valg[[#This Row],[X min]]))</f>
        <v>0.5</v>
      </c>
      <c r="AJ44" s="30" t="s">
        <v>303</v>
      </c>
      <c r="AK44" s="30">
        <f>_xlfn.AGGREGATE(3,5,E_a_valg[[#This Row],[Parameter]])</f>
        <v>1</v>
      </c>
      <c r="AL44">
        <v>2</v>
      </c>
      <c r="AM44" s="30">
        <v>39</v>
      </c>
      <c r="AN44" s="30" t="str">
        <f>IF(E_a_valg[[#This Row],[Kontrol af forudsætning 1]],IF(E_a_valg[[#This Row],[Kontrol af forudsætning 2]],"Hypotesetest om forskel mellem andele
Nulhypotesen om at forskellen mellem andelene af "&amp;Eu_a_t_x&amp;" og "&amp;Eu_a_t_y&amp;" er mindre end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Hypotesetest om forskel mellem andele
Nulhypotesen om at forskellen mellem andelene af Eksempel 4 (nominal) og Eksempel 4 (nominal) er mindre end 0%
kan ikke afvises med 95% konfidens</v>
      </c>
      <c r="AO44" s="30"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Forskel i andel i stikprøver af størrelsen n = 20 og 12
fra to populationer med forskel = 0%
og stikprøveandele = 41.667% og 41.667%</v>
      </c>
      <c r="AP44" s="31" t="str">
        <f t="shared" si="8"/>
        <v>Datatypen er nominal, hvor succes er TRUE og øvrige værdier er FALSE</v>
      </c>
      <c r="AQ44" s="31" t="b">
        <f t="shared" si="9"/>
        <v>1</v>
      </c>
      <c r="AR44" s="31" t="s">
        <v>180</v>
      </c>
      <c r="AS44" s="31" t="b">
        <f>IF(NOT(OR(ISNA(Eu_a_h0_x),ISNA(Eu_a_h0_y))),Eu_a_h0_x=Eu_a_h0_y)</f>
        <v>1</v>
      </c>
      <c r="AT44" s="31" t="s">
        <v>170</v>
      </c>
      <c r="AU44" s="31" t="b">
        <f t="shared" si="10"/>
        <v>0</v>
      </c>
      <c r="AV44" s="31"/>
      <c r="AW44" s="31"/>
      <c r="AX44" s="31"/>
    </row>
    <row r="45" spans="1:50" ht="15" x14ac:dyDescent="0.2">
      <c r="A45" s="30" t="s">
        <v>2</v>
      </c>
      <c r="B45" s="30" t="s">
        <v>137</v>
      </c>
      <c r="C45" s="30" t="s">
        <v>128</v>
      </c>
      <c r="D45" s="30" t="s">
        <v>128</v>
      </c>
      <c r="E45" s="30">
        <v>0</v>
      </c>
      <c r="F45" s="30">
        <v>1</v>
      </c>
      <c r="G45" s="39">
        <f>IFERROR((Eu_a_a_x-Eu_a_a_y-(Eu_a_h0_x-Eu_a_h0_y))/SQRT(Eu_a_a_x*(1-Eu_a_a_x)/Eu_a_n_x+Eu_a_a_y*(1-Eu_a_a_y)/Eu_a_n_y),NA())</f>
        <v>0</v>
      </c>
      <c r="H45"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5" s="7">
        <f>E_a_valg[[#This Row],[Venstre teststørrelse]]*SQRT(Eu_a_a_x*(1-Eu_a_a_x)/Eu_a_n_x+Eu_a_a_y*(1-Eu_a_a_y)/Eu_a_n_y)+(Eu_a_h0_x-Eu_a_h0_y)</f>
        <v>0</v>
      </c>
      <c r="J45" s="7">
        <f>E_a_valg[[#This Row],[Midtpunkt teststørrelse]]*SQRT(Eu_a_a_x*(1-Eu_a_a_x)/Eu_a_n_x+Eu_a_a_y*(1-Eu_a_a_y)/Eu_a_n_y)+(Eu_a_h0_x-Eu_a_h0_y)</f>
        <v>0</v>
      </c>
      <c r="K45" s="7">
        <f>E_a_valg[[#This Row],[Højre teststørrelse]]*SQRT(Eu_a_a_x*(1-Eu_a_a_x)/Eu_a_n_x+Eu_a_a_y*(1-Eu_a_a_y)/Eu_a_n_y)+(Eu_a_h0_x-Eu_a_h0_y)</f>
        <v>0</v>
      </c>
      <c r="L45"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5" t="str">
        <f>IF(E_a_valg[[#This Row],[Parameter]]="andel",ROUND(E_a_valg[[#This Row],[Midtpunkt label base]],5)*100&amp;"%",ROUND(E_a_valg[[#This Row],[Midtpunkt label base]],3))</f>
        <v>0%</v>
      </c>
      <c r="N45"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5" s="30" t="b">
        <f>E_a_valg[[#This Row],[Teststørrelse]]=E_a_valg[[#This Row],[Venstre teststørrelse]]</f>
        <v>1</v>
      </c>
      <c r="P45" s="30" t="b">
        <f>OR(MATCH(E_a_valg[[#This Row],[Hypotese]],HypoteseRetning_liste,0)=2,MATCH(E_a_valg[[#This Row],[Hypotese]],HypoteseRetning_liste,0)=3)</f>
        <v>0</v>
      </c>
      <c r="Q45" s="40">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1</v>
      </c>
      <c r="R45" s="30" t="b">
        <f>E_a_valg[[#This Row],[p-værdi]]&gt;1-Eu_a_konfidensniveau</f>
        <v>1</v>
      </c>
      <c r="S45" s="30">
        <f t="shared" si="7"/>
        <v>0.999</v>
      </c>
      <c r="T45"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5"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5" s="30">
        <f>MIN(E_a_valg[[#This Row],[Teststørrelse]],E_a_valg[[#This Row],[Teststørrelse omvendt]])</f>
        <v>0</v>
      </c>
      <c r="W45"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5" s="30">
        <f>MAX(E_a_valg[[#This Row],[Teststørrelse]],E_a_valg[[#This Row],[Teststørrelse omvendt]])</f>
        <v>0</v>
      </c>
      <c r="Y45"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5"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5" s="40">
        <f>E_a_valg[[#This Row],[Mindre end højre %]]-E_a_valg[[#This Row],[Mindre end venstre %]]</f>
        <v>0</v>
      </c>
      <c r="AB45" s="40">
        <f>1-E_a_valg[[#This Row],[Mindre end venstre %]]</f>
        <v>0.5</v>
      </c>
      <c r="AC45" s="40">
        <f>1-E_a_valg[[#This Row],[Mindre end højre %]]</f>
        <v>0.5</v>
      </c>
      <c r="AD45"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5" s="30" t="str">
        <f>IF(OR(MATCH(E_a_valg[[#This Row],[Hypotese]],HypoteseRetning_liste,0)=1,MATCH(E_a_valg[[#This Row],[Hypotese]],HypoteseRetning_liste,0)=4),ROUND(E_a_valg[[#This Row],[Midt %]],5)*100&amp;"% mellem "&amp;E_a_valg[[#This Row],[Venstre label]]&amp;" og "&amp;E_a_valg[[#This Row],[Højre label]]," ")</f>
        <v>0% mellem 0% og 0%</v>
      </c>
      <c r="AF45"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5"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5" s="30">
        <f>(E_a_valg[[#This Row],[Midtpunkt teststørrelse]]-E_a_valg[[#This Row],[X min]])/(E_a_valg[[#This Row],[X max]]-E_a_valg[[#This Row],[X min]])</f>
        <v>0.5</v>
      </c>
      <c r="AI45" s="30">
        <f>IF(AND(E_a_valg[[#This Row],[Orientering]],E_a_valg[[#This Row],[Ensidet]]),(E_a_valg[[#This Row],[Venstre teststørrelse]]-E_a_valg[[#This Row],[X min]])/(E_a_valg[[#This Row],[X max]]-E_a_valg[[#This Row],[X min]]),(E_a_valg[[#This Row],[Højre teststørrelse]]-E_a_valg[[#This Row],[X min]])/(E_a_valg[[#This Row],[X max]]-E_a_valg[[#This Row],[X min]]))</f>
        <v>0.5</v>
      </c>
      <c r="AJ45" s="30" t="s">
        <v>127</v>
      </c>
      <c r="AK45" s="30">
        <f>_xlfn.AGGREGATE(3,5,E_a_valg[[#This Row],[Parameter]])</f>
        <v>1</v>
      </c>
      <c r="AL45">
        <v>2</v>
      </c>
      <c r="AM45" s="30">
        <v>40</v>
      </c>
      <c r="AN45" s="30" t="str">
        <f>IF(E_a_valg[[#This Row],[Kontrol af forudsætning 1]],IF(E_a_valg[[#This Row],[Kontrol af forudsætning 2]],"Hypotesetest om forskel mellem andele
Nulhypotesen om at forskellen mellem andelene af "&amp;Eu_a_t_x&amp;" og "&amp;Eu_a_t_y&amp;" er lig med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Kan ikke beregne hypotesetest om forskel mellem andele,
fordi der ikke er angivet hypoteser om forskellige andele for Eksempel 4 (nominal) og Eksempel 4 (nominal)</v>
      </c>
      <c r="AO45" s="30"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0%
og stikprøveandele = 41.667% og 41.667%</v>
      </c>
      <c r="AP45" s="31" t="str">
        <f t="shared" si="8"/>
        <v>Datatypen er nominal, hvor succes er TRUE og øvrige værdier er FALSE</v>
      </c>
      <c r="AQ45" s="31" t="b">
        <f t="shared" si="9"/>
        <v>1</v>
      </c>
      <c r="AR45" s="31" t="s">
        <v>182</v>
      </c>
      <c r="AS45" s="31" t="b">
        <f>IF(NOT(OR(ISNA(Eu_a_h0_x),ISNA(Eu_a_h0_y))),Eu_a_h0_x&lt;&gt;Eu_a_h0_y)</f>
        <v>0</v>
      </c>
      <c r="AT45" s="31" t="s">
        <v>170</v>
      </c>
      <c r="AU45" s="31" t="b">
        <f t="shared" si="10"/>
        <v>0</v>
      </c>
      <c r="AV45" s="31"/>
      <c r="AW45" s="31"/>
      <c r="AX45" s="31"/>
    </row>
    <row r="46" spans="1:50" ht="15" x14ac:dyDescent="0.2">
      <c r="A46" s="30" t="s">
        <v>2</v>
      </c>
      <c r="B46" s="30" t="s">
        <v>137</v>
      </c>
      <c r="C46" s="30" t="s">
        <v>144</v>
      </c>
      <c r="D46" s="30" t="s">
        <v>128</v>
      </c>
      <c r="E46" s="30">
        <v>0</v>
      </c>
      <c r="F46" s="30">
        <v>1</v>
      </c>
      <c r="G46" s="39">
        <f>IFERROR((Eu_a_a_x-Eu_a_a_y)/SQRT((Eu_a_a_x*Eu_a_n_x+Eu_a_a_y*Eu_a_n_y)/(Eu_a_n_x+Eu_a_n_y)*(1-(Eu_a_a_x*Eu_a_n_x+Eu_a_a_y*Eu_a_n_y)/(Eu_a_n_x+Eu_a_n_y))*(1/Eu_a_n_x+1/Eu_a_n_y)),NA())</f>
        <v>0</v>
      </c>
      <c r="H46" s="30">
        <f>IFERROR(CHOOSE(MATCH(E_a_valg[[#This Row],[Fordeling]],Fordeling_liste,0),E_a_valg[[#This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6" s="7">
        <f>MIN(Eu_a_a_x-Eu_a_a_y,-1*(Eu_a_a_x-Eu_a_a_y))</f>
        <v>0</v>
      </c>
      <c r="J46" s="30">
        <v>0</v>
      </c>
      <c r="K46" s="7">
        <f>MAX(Eu_a_a_x-Eu_a_a_y,-1*(Eu_a_a_x-Eu_a_a_y))</f>
        <v>0</v>
      </c>
      <c r="L46"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6" t="str">
        <f>IF(E_a_valg[[#This Row],[Parameter]]="andel",ROUND(E_a_valg[[#This Row],[Midtpunkt label base]],5)*100&amp;"%",ROUND(E_a_valg[[#This Row],[Midtpunkt label base]],3))</f>
        <v>0%</v>
      </c>
      <c r="N46"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6" s="30" t="b">
        <f>E_a_valg[[#This Row],[Teststørrelse]]=E_a_valg[[#This Row],[Venstre teststørrelse]]</f>
        <v>1</v>
      </c>
      <c r="P46" s="30" t="b">
        <f>OR(MATCH(E_a_valg[[#This Row],[Hypotese]],HypoteseRetning_liste,0)=2,MATCH(E_a_valg[[#This Row],[Hypotese]],HypoteseRetning_liste,0)=3)</f>
        <v>0</v>
      </c>
      <c r="Q46" s="40">
        <f>CHOOSE(MATCH(E_a_valg[[#This Row],[Hypotese]],HypoteseRetning_liste,0),NA(),IF(E_a_valg[[#This Row],[Orientering]],E_a_valg[[#This Row],[Mindre end venstre %]],E_a_valg[[#This Row],[Mindre end højre %]]),IF(E_a_valg[[#This Row],[Orientering]],E_a_valg[[#This Row],[Større end venstre %]],E_a_valg[[#This Row],[Større end højre %]]),1-E_a_valg[[#This Row],[Midt %]])</f>
        <v>1</v>
      </c>
      <c r="R46" s="30" t="b">
        <f>E_a_valg[[#This Row],[p-værdi]]&gt;1-Eu_a_konfidensniveau</f>
        <v>1</v>
      </c>
      <c r="S46" s="30">
        <f t="shared" si="7"/>
        <v>0.999</v>
      </c>
      <c r="T46" s="30">
        <f>CHOOSE(MATCH(E_a_valg[[#This Row],[Fordeling]],Fordeling_liste,0),_xlfn.NORM.INV(1-E_a_valg[[#This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6" s="30">
        <f>CHOOSE(MATCH(E_a_valg[[#This Row],[Fordeling]],Fordeling_liste,0),_xlfn.NORM.INV(E_a_valg[[#This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6" s="30">
        <f>MIN(E_a_valg[[#This Row],[Teststørrelse]],E_a_valg[[#This Row],[Teststørrelse omvendt]])</f>
        <v>0</v>
      </c>
      <c r="W46" s="30">
        <f>CHOOSE(MATCH(E_a_valg[[#This Row],[Fordeling]],Fordeling_liste,0),_xlfn.NORM.INV(0.5,E_a_valg[[#This Row],[Parameter 1]],E_a_valg[[#This Row],[Parameter 2]]),_xlfn.T.INV(0.5,E_a_valg[[#This Row],[Parameter 1]]),_xlfn.CHISQ.INV(0.5,E_a_valg[[#This Row],[Parameter 1]]),_xlfn.F.INV(0.5,E_a_valg[[#This Row],[Parameter 1]],E_a_valg[[#This Row],[Parameter 2]]))</f>
        <v>0</v>
      </c>
      <c r="X46" s="30">
        <f>MAX(E_a_valg[[#This Row],[Teststørrelse]],E_a_valg[[#This Row],[Teststørrelse omvendt]])</f>
        <v>0</v>
      </c>
      <c r="Y46" s="40">
        <f>CHOOSE(MATCH(E_a_valg[[#This Row],[Fordeling]],Fordeling_liste,0),_xlfn.NORM.DIST(E_a_valg[[#This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6" s="40">
        <f>CHOOSE(MATCH(E_a_valg[[#This Row],[Fordeling]],Fordeling_liste,0),_xlfn.NORM.DIST(E_a_valg[[#This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6" s="40">
        <f>E_a_valg[[#This Row],[Mindre end højre %]]-E_a_valg[[#This Row],[Mindre end venstre %]]</f>
        <v>0</v>
      </c>
      <c r="AB46" s="40">
        <f>1-E_a_valg[[#This Row],[Mindre end venstre %]]</f>
        <v>0.5</v>
      </c>
      <c r="AC46" s="40">
        <f>1-E_a_valg[[#This Row],[Mindre end højre %]]</f>
        <v>0.5</v>
      </c>
      <c r="AD46" s="30" t="str">
        <f>IF(OR(MATCH(E_a_valg[[#This Row],[Hypotese]],HypoteseRetning_liste,0)=2,MATCH(E_a_valg[[#This Row],[Hypotese]],HypoteseRetning_liste,0)=3),IF(E_a_valg[[#This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6" s="30" t="str">
        <f>IF(OR(MATCH(E_a_valg[[#This Row],[Hypotese]],HypoteseRetning_liste,0)=1,MATCH(E_a_valg[[#This Row],[Hypotese]],HypoteseRetning_liste,0)=4),ROUND(E_a_valg[[#This Row],[Midt %]],5)*100&amp;"% mellem "&amp;E_a_valg[[#This Row],[Venstre label]]&amp;" og "&amp;E_a_valg[[#This Row],[Højre label]]," ")</f>
        <v>0% mellem 0% og 0%</v>
      </c>
      <c r="AF46" s="30" t="str">
        <f>IF(OR(MATCH(E_a_valg[[#This Row],[Hypotese]],HypoteseRetning_liste,0)=2,MATCH(E_a_valg[[#This Row],[Hypotese]],HypoteseRetning_liste,0)=3),IF(E_a_valg[[#This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6" s="30">
        <f>IF(AND(NOT(E_a_valg[[#This Row],[Orientering]]),E_a_valg[[#This Row],[Ensidet]]),(E_a_valg[[#This Row],[Højre teststørrelse]]-E_a_valg[[#This Row],[X min]])/(E_a_valg[[#This Row],[X max]]-E_a_valg[[#This Row],[X min]]),(E_a_valg[[#This Row],[Venstre teststørrelse]]-E_a_valg[[#This Row],[X min]])/(E_a_valg[[#This Row],[X max]]-E_a_valg[[#This Row],[X min]]))</f>
        <v>0.5</v>
      </c>
      <c r="AH46" s="30">
        <f>(E_a_valg[[#This Row],[Midtpunkt teststørrelse]]-E_a_valg[[#This Row],[X min]])/(E_a_valg[[#This Row],[X max]]-E_a_valg[[#This Row],[X min]])</f>
        <v>0.5</v>
      </c>
      <c r="AI46" s="30">
        <f>IF(AND(E_a_valg[[#This Row],[Orientering]],E_a_valg[[#This Row],[Ensidet]]),(E_a_valg[[#This Row],[Venstre teststørrelse]]-E_a_valg[[#This Row],[X min]])/(E_a_valg[[#This Row],[X max]]-E_a_valg[[#This Row],[X min]]),(E_a_valg[[#This Row],[Højre teststørrelse]]-E_a_valg[[#This Row],[X min]])/(E_a_valg[[#This Row],[X max]]-E_a_valg[[#This Row],[X min]]))</f>
        <v>0.5</v>
      </c>
      <c r="AJ46" s="30" t="s">
        <v>127</v>
      </c>
      <c r="AK46" s="30">
        <f>_xlfn.AGGREGATE(3,5,E_a_valg[[#This Row],[Parameter]])</f>
        <v>1</v>
      </c>
      <c r="AL46">
        <v>2</v>
      </c>
      <c r="AM46" s="30">
        <v>41</v>
      </c>
      <c r="AN46" s="30" t="str">
        <f>IF(E_a_valg[[#This Row],[Kontrol af forudsætning 1]],IF(E_a_valg[[#This Row],[Kontrol af forudsætning 2]],"Hypotesetest om forskel mellem andele
Nulhypotesen om at forskellen mellem andelene af "&amp;Eu_a_t_x&amp;" og "&amp;Eu_a_t_y&amp;" er lig med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Hypotesetest om forskel mellem andele
Nulhypotesen om at forskellen mellem andelene af Eksempel 4 (nominal) og Eksempel 4 (nominal) er lig med 0%
kan ikke afvises med 95% konfidens</v>
      </c>
      <c r="AO46" s="30"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Forskel i andel i stikprøver af størrelsen n = 20 og 12
fra to populationer med forskel = 0%
og stikprøveandele = 41.667% og 41.667%</v>
      </c>
      <c r="AP46" s="31" t="str">
        <f t="shared" si="8"/>
        <v>Datatypen er nominal, hvor succes er TRUE og øvrige værdier er FALSE</v>
      </c>
      <c r="AQ46" s="31" t="b">
        <f t="shared" si="9"/>
        <v>1</v>
      </c>
      <c r="AR46" s="31" t="s">
        <v>180</v>
      </c>
      <c r="AS46" s="31" t="b">
        <f>IF(NOT(OR(ISNA(Eu_a_h0_x),ISNA(Eu_a_h0_y))),Eu_a_h0_x=Eu_a_h0_y)</f>
        <v>1</v>
      </c>
      <c r="AT46" s="31" t="s">
        <v>170</v>
      </c>
      <c r="AU46" s="31" t="b">
        <f t="shared" si="10"/>
        <v>0</v>
      </c>
      <c r="AV46" s="31"/>
      <c r="AW46" s="31"/>
      <c r="AX46" s="31"/>
    </row>
    <row r="48" spans="1:50" x14ac:dyDescent="0.2">
      <c r="A48" t="s">
        <v>138</v>
      </c>
      <c r="B48" t="s">
        <v>145</v>
      </c>
      <c r="C48" t="s">
        <v>222</v>
      </c>
      <c r="D48" t="s">
        <v>149</v>
      </c>
      <c r="E48" t="s">
        <v>291</v>
      </c>
      <c r="F48" t="s">
        <v>292</v>
      </c>
      <c r="G48" t="s">
        <v>125</v>
      </c>
      <c r="H48" t="s">
        <v>307</v>
      </c>
      <c r="I48" t="s">
        <v>329</v>
      </c>
      <c r="J48" t="s">
        <v>330</v>
      </c>
      <c r="K48" t="s">
        <v>331</v>
      </c>
      <c r="L48" t="s">
        <v>308</v>
      </c>
      <c r="M48" t="s">
        <v>305</v>
      </c>
      <c r="N48" t="s">
        <v>317</v>
      </c>
      <c r="O48" t="s">
        <v>332</v>
      </c>
      <c r="P48" t="s">
        <v>126</v>
      </c>
      <c r="Q48" t="s">
        <v>336</v>
      </c>
      <c r="R48" t="s">
        <v>335</v>
      </c>
      <c r="S48" t="s">
        <v>328</v>
      </c>
      <c r="T48" t="s">
        <v>36</v>
      </c>
      <c r="U48" t="s">
        <v>37</v>
      </c>
      <c r="V48" t="s">
        <v>310</v>
      </c>
      <c r="W48" t="s">
        <v>319</v>
      </c>
      <c r="X48" t="s">
        <v>311</v>
      </c>
      <c r="Y48" t="s">
        <v>312</v>
      </c>
      <c r="Z48" t="s">
        <v>314</v>
      </c>
      <c r="AA48" t="s">
        <v>315</v>
      </c>
      <c r="AB48" t="s">
        <v>313</v>
      </c>
      <c r="AC48" t="s">
        <v>316</v>
      </c>
      <c r="AD48" t="s">
        <v>322</v>
      </c>
      <c r="AE48" t="s">
        <v>323</v>
      </c>
      <c r="AF48" t="s">
        <v>324</v>
      </c>
      <c r="AG48" t="s">
        <v>309</v>
      </c>
      <c r="AH48" t="s">
        <v>306</v>
      </c>
      <c r="AI48" t="s">
        <v>318</v>
      </c>
      <c r="AJ48" t="s">
        <v>304</v>
      </c>
      <c r="AK48" t="s">
        <v>146</v>
      </c>
      <c r="AL48" t="s">
        <v>283</v>
      </c>
      <c r="AM48" t="s">
        <v>16</v>
      </c>
      <c r="AN48" t="s">
        <v>153</v>
      </c>
      <c r="AO48" t="s">
        <v>151</v>
      </c>
      <c r="AP48" t="s">
        <v>155</v>
      </c>
      <c r="AQ48" t="s">
        <v>172</v>
      </c>
      <c r="AR48" t="s">
        <v>156</v>
      </c>
      <c r="AS48" t="s">
        <v>173</v>
      </c>
      <c r="AT48" t="s">
        <v>160</v>
      </c>
      <c r="AU48" t="s">
        <v>176</v>
      </c>
      <c r="AV48" t="s">
        <v>165</v>
      </c>
      <c r="AW48" t="s">
        <v>187</v>
      </c>
      <c r="AX48" t="s">
        <v>433</v>
      </c>
    </row>
    <row r="49" spans="1:50" ht="16.5" x14ac:dyDescent="0.2">
      <c r="A49" s="30" t="s">
        <v>3</v>
      </c>
      <c r="B49" s="30" t="s">
        <v>44</v>
      </c>
      <c r="C49" s="30" t="s">
        <v>128</v>
      </c>
      <c r="D49" s="30" t="s">
        <v>128</v>
      </c>
      <c r="E49" s="30">
        <v>0</v>
      </c>
      <c r="F49" s="30">
        <v>1</v>
      </c>
      <c r="G49">
        <f>IF(Eu_i_i_x&gt;0,_xlfn.NORM.INV((1-Eu_i_konfidensniveau)/2,0,1),NA())</f>
        <v>-1.9599639845400536</v>
      </c>
      <c r="H49"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1.9599639845400536</v>
      </c>
      <c r="I49">
        <f>IFERROR(Eu_i_i_x-_xlfn.NORM.INV(1-(1-(Eu_i_konfidensniveau))/2,0,1)*SQRT(Eu_i_i_x/Eu_i_n_x),NA())</f>
        <v>1.08361049168533</v>
      </c>
      <c r="J49">
        <f>IFERROR(Eu_i_i_x+_xlfn.NORM.INV(0.5,0,1)*SQRT(Eu_i_i_x/Eu_i_n_x),NA())</f>
        <v>1.8540044183209705</v>
      </c>
      <c r="K49">
        <f>IFERROR(Eu_i_i_x+_xlfn.NORM.INV(1-(1-(Eu_i_konfidensniveau))/2,0,1)*SQRT(Eu_i_i_x/Eu_i_n_x),NA())</f>
        <v>2.6243983449566111</v>
      </c>
      <c r="L49">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1.0840000000000001</v>
      </c>
      <c r="M49">
        <f>IF(E_i_valg[[#This Row],[Parameter]]="andel",ROUND(E_i_valg[[#This Row],[Midtpunkt label base]],5)*100&amp;"%",ROUND(E_i_valg[[#This Row],[Midtpunkt label base]],3))</f>
        <v>1.8540000000000001</v>
      </c>
      <c r="N49">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2.6240000000000001</v>
      </c>
      <c r="O49" s="30" t="b">
        <f>E_i_valg[[#This Row],[Teststørrelse]]=E_i_valg[[#This Row],[Venstre teststørrelse]]</f>
        <v>1</v>
      </c>
      <c r="P49" s="30" t="b">
        <f>OR(MATCH(E_i_valg[[#This Row],[Hypotese]],HypoteseRetning_liste,0)=2,MATCH(E_i_valg[[#This Row],[Hypotese]],HypoteseRetning_liste,0)=3)</f>
        <v>0</v>
      </c>
      <c r="Q49" s="40" t="e">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#N/A</v>
      </c>
      <c r="R49" s="30" t="e">
        <f>E_i_valg[[#This Row],[p-værdi]]&gt;1-Eu_i_konfidensniveau</f>
        <v>#N/A</v>
      </c>
      <c r="S49" s="30">
        <f t="shared" ref="S49:S55" si="11">IF(Eu_i_konfidensniveau&lt;=0.998,0.999,0.99999)</f>
        <v>0.999</v>
      </c>
      <c r="T49"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49"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49" s="30">
        <f>MIN(E_i_valg[[#This Row],[Teststørrelse]],E_i_valg[[#This Row],[Teststørrelse omvendt]])</f>
        <v>-1.9599639845400536</v>
      </c>
      <c r="W49"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49" s="30">
        <f>MAX(E_i_valg[[#This Row],[Teststørrelse]],E_i_valg[[#This Row],[Teststørrelse omvendt]])</f>
        <v>1.9599639845400536</v>
      </c>
      <c r="Y49"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2.500000000000004E-2</v>
      </c>
      <c r="Z49"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0.97499999999999998</v>
      </c>
      <c r="AA49" s="40">
        <f>E_i_valg[[#This Row],[Mindre end højre %]]-E_i_valg[[#This Row],[Mindre end venstre %]]</f>
        <v>0.95</v>
      </c>
      <c r="AB49" s="40">
        <f>1-E_i_valg[[#This Row],[Mindre end venstre %]]</f>
        <v>0.97499999999999998</v>
      </c>
      <c r="AC49" s="40">
        <f>1-E_i_valg[[#This Row],[Mindre end højre %]]</f>
        <v>2.5000000000000022E-2</v>
      </c>
      <c r="AD49"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2.5% mindre end 1.084</v>
      </c>
      <c r="AE49" s="30" t="str">
        <f>IF(OR(MATCH(E_i_valg[[#This Row],[Hypotese]],HypoteseRetning_liste,0)=1,MATCH(E_i_valg[[#This Row],[Hypotese]],HypoteseRetning_liste,0)=4),ROUND(E_i_valg[[#This Row],[Midt %]],5)*100&amp;"% mellem "&amp;E_i_valg[[#This Row],[Venstre label]]&amp;" og "&amp;E_i_valg[[#This Row],[Højre label]]," ")</f>
        <v>95% mellem 1.084 og 2.624</v>
      </c>
      <c r="AF49"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2.5% større end 2.624</v>
      </c>
      <c r="AG49" s="30">
        <f>IF(AND(NOT(E_i_valg[[#This Row],[Orientering]]),E_i_valg[[#This Row],[Ensidet]]),(E_i_valg[[#This Row],[Højre teststørrelse]]-E_i_valg[[#This Row],[X min]])/(E_i_valg[[#This Row],[X max]]-E_i_valg[[#This Row],[X min]]),(E_i_valg[[#This Row],[Venstre teststørrelse]]-E_i_valg[[#This Row],[X min]])/(E_i_valg[[#This Row],[X max]]-E_i_valg[[#This Row],[X min]]))</f>
        <v>0.18287756544578385</v>
      </c>
      <c r="AH49" s="30">
        <f>(E_i_valg[[#This Row],[Midtpunkt teststørrelse]]-E_i_valg[[#This Row],[X min]])/(E_i_valg[[#This Row],[X max]]-E_i_valg[[#This Row],[X min]])</f>
        <v>0.5</v>
      </c>
      <c r="AI49" s="30">
        <f>IF(AND(E_i_valg[[#This Row],[Orientering]],E_i_valg[[#This Row],[Ensidet]]),(E_i_valg[[#This Row],[Venstre teststørrelse]]-E_i_valg[[#This Row],[X min]])/(E_i_valg[[#This Row],[X max]]-E_i_valg[[#This Row],[X min]]),(E_i_valg[[#This Row],[Højre teststørrelse]]-E_i_valg[[#This Row],[X min]])/(E_i_valg[[#This Row],[X max]]-E_i_valg[[#This Row],[X min]]))</f>
        <v>0.81712243455421607</v>
      </c>
      <c r="AJ49" s="30" t="s">
        <v>44</v>
      </c>
      <c r="AK49" s="30">
        <f>_xlfn.AGGREGATE(3,5,E_i_valg[[#This Row],[Parameter]])</f>
        <v>1</v>
      </c>
      <c r="AL49">
        <v>1</v>
      </c>
      <c r="AM49" s="30">
        <v>42</v>
      </c>
      <c r="AN49" s="30" t="str">
        <f>IF(E_i_valg[[#This Row],[Kontrol af forudsætning 1]],Eu_i_konfidensniveau*100&amp;"% Konfidensinterval for intensitet
af "&amp;Eu_i_t_x,"Kan ikke beregne konfidensinterval for intensitet")</f>
        <v>95% Konfidensinterval for intensitet
af Eksempel 1 (interval)</v>
      </c>
      <c r="AO49" s="30" t="str">
        <f>"Populationsestimat for intensitet fra stikprøver af størrelsen n = "&amp;Eu_i_n_x&amp;"
fra en population med intensitet = "&amp;IFERROR(ROUND(Eu_i_i_x,3),"Kan ikke beregnes")</f>
        <v>Populationsestimat for intensitet fra stikprøver af størrelsen n = 12
fra en population med intensitet = 1.854</v>
      </c>
      <c r="AP49" s="31" t="s">
        <v>161</v>
      </c>
      <c r="AQ49" s="31" t="b">
        <f>NOT(ISNA(Eu_i_i_x))</f>
        <v>1</v>
      </c>
      <c r="AR49" s="31"/>
      <c r="AS49" s="31"/>
      <c r="AT49" s="31" t="s">
        <v>163</v>
      </c>
      <c r="AU49" s="31" t="b">
        <f>IFERROR(Eu_i_n_x*Eu_i_i_x&gt;9,FALSE)</f>
        <v>1</v>
      </c>
      <c r="AV49" s="31"/>
      <c r="AW49" s="31"/>
      <c r="AX49" s="31">
        <f>ROUNDUP(_xlfn.NORM.INV(1-(1-(Eu_i_konfidensniveau))/2,0,1)^2*Eu_i_i_x/Eu_i_ønsket_fejlmargin^2,0)</f>
        <v>8</v>
      </c>
    </row>
    <row r="50" spans="1:50" ht="16.5" x14ac:dyDescent="0.2">
      <c r="A50" s="30" t="s">
        <v>3</v>
      </c>
      <c r="B50" s="30" t="s">
        <v>132</v>
      </c>
      <c r="C50" s="30" t="s">
        <v>128</v>
      </c>
      <c r="D50" s="30" t="s">
        <v>128</v>
      </c>
      <c r="E50" s="30">
        <v>0</v>
      </c>
      <c r="F50" s="30">
        <v>1</v>
      </c>
      <c r="G50">
        <f>IFERROR((Eu_i_i_x-Eu_i_h0_x)/SQRT(Eu_i_h0_x/Eu_i_n_x),NA())</f>
        <v>2.9583580848404529</v>
      </c>
      <c r="H50"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0" s="5">
        <f>E_i_valg[[#This Row],[Venstre teststørrelse]]*SQRT(Eu_i_h0_x/Eu_i_n_x)+Eu_i_h0_x</f>
        <v>0.14599558167902948</v>
      </c>
      <c r="J50" s="5">
        <f>E_i_valg[[#This Row],[Midtpunkt teststørrelse]]*SQRT(Eu_i_h0_x/Eu_i_n_x)+Eu_i_h0_x</f>
        <v>1</v>
      </c>
      <c r="K50" s="5">
        <f>E_i_valg[[#This Row],[Højre teststørrelse]]*SQRT(Eu_i_h0_x/Eu_i_n_x)+Eu_i_h0_x</f>
        <v>1.8540044183209705</v>
      </c>
      <c r="L50">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1.8540000000000001</v>
      </c>
      <c r="M50">
        <f>IF(E_i_valg[[#This Row],[Parameter]]="andel",ROUND(E_i_valg[[#This Row],[Midtpunkt label base]],5)*100&amp;"%",ROUND(E_i_valg[[#This Row],[Midtpunkt label base]],3))</f>
        <v>1</v>
      </c>
      <c r="N50">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0" s="30" t="b">
        <f>E_i_valg[[#This Row],[Teststørrelse]]=E_i_valg[[#This Row],[Venstre teststørrelse]]</f>
        <v>0</v>
      </c>
      <c r="P50" s="30" t="b">
        <f>OR(MATCH(E_i_valg[[#This Row],[Hypotese]],HypoteseRetning_liste,0)=2,MATCH(E_i_valg[[#This Row],[Hypotese]],HypoteseRetning_liste,0)=3)</f>
        <v>1</v>
      </c>
      <c r="Q50" s="40">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0.99845358692151742</v>
      </c>
      <c r="R50" s="30" t="b">
        <f>E_i_valg[[#This Row],[p-værdi]]&gt;1-Eu_i_konfidensniveau</f>
        <v>1</v>
      </c>
      <c r="S50" s="30">
        <f t="shared" si="11"/>
        <v>0.999</v>
      </c>
      <c r="T50"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0"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0" s="30">
        <f>MIN(E_i_valg[[#This Row],[Teststørrelse]],E_i_valg[[#This Row],[Teststørrelse omvendt]])</f>
        <v>-2.9583580848404529</v>
      </c>
      <c r="W50"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0" s="30">
        <f>MAX(E_i_valg[[#This Row],[Teststørrelse]],E_i_valg[[#This Row],[Teststørrelse omvendt]])</f>
        <v>2.9583580848404529</v>
      </c>
      <c r="Y50"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0"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0" s="40">
        <f>E_i_valg[[#This Row],[Mindre end højre %]]-E_i_valg[[#This Row],[Mindre end venstre %]]</f>
        <v>0.99690717384303484</v>
      </c>
      <c r="AB50" s="40">
        <f>1-E_i_valg[[#This Row],[Mindre end venstre %]]</f>
        <v>0.99845358692151742</v>
      </c>
      <c r="AC50" s="40">
        <f>1-E_i_valg[[#This Row],[Mindre end højre %]]</f>
        <v>1.546413078482578E-3</v>
      </c>
      <c r="AD50"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99.845% mindre end 1.854</v>
      </c>
      <c r="AE50" s="30" t="str">
        <f>IF(OR(MATCH(E_i_valg[[#This Row],[Hypotese]],HypoteseRetning_liste,0)=1,MATCH(E_i_valg[[#This Row],[Hypotese]],HypoteseRetning_liste,0)=4),ROUND(E_i_valg[[#This Row],[Midt %]],5)*100&amp;"% mellem "&amp;E_i_valg[[#This Row],[Venstre label]]&amp;" og "&amp;E_i_valg[[#This Row],[Højre label]]," ")</f>
        <v xml:space="preserve"> </v>
      </c>
      <c r="AF50"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0" s="30">
        <f>IF(AND(NOT(E_i_valg[[#This Row],[Orientering]]),E_i_valg[[#This Row],[Ensidet]]),(E_i_valg[[#This Row],[Højre teststørrelse]]-E_i_valg[[#This Row],[X min]])/(E_i_valg[[#This Row],[X max]]-E_i_valg[[#This Row],[X min]]),(E_i_valg[[#This Row],[Venstre teststørrelse]]-E_i_valg[[#This Row],[X min]])/(E_i_valg[[#This Row],[X max]]-E_i_valg[[#This Row],[X min]]))</f>
        <v>0.978662733370538</v>
      </c>
      <c r="AH50" s="30">
        <f>(E_i_valg[[#This Row],[Midtpunkt teststørrelse]]-E_i_valg[[#This Row],[X min]])/(E_i_valg[[#This Row],[X max]]-E_i_valg[[#This Row],[X min]])</f>
        <v>0.5</v>
      </c>
      <c r="AI50" s="30">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0" s="30" t="s">
        <v>302</v>
      </c>
      <c r="AK50" s="30">
        <f>_xlfn.AGGREGATE(3,5,E_i_valg[[#This Row],[Parameter]])</f>
        <v>1</v>
      </c>
      <c r="AL50">
        <v>1</v>
      </c>
      <c r="AM50" s="30">
        <v>43</v>
      </c>
      <c r="AN50" s="30" t="str">
        <f>IF(AND(E_i_valg[[#This Row],[Kontrol af forudsætning 1]],E_i_valg[[#This Row],[Kontrol af forudsætning 2]]),"Hypotesetest om intensitet
Nulhypotesen om at intensiteten af "&amp;Eu_i_t_x&amp;" er større end "&amp;ROUND(Eu_i_h0_x,3)&amp;"
"&amp;IF(E_i_valg[[#This Row],[Nulhypotese kan ikke afvises]],"kan ikke ","")&amp;"afvises med "&amp;Eu_i_konfidensniveau*100&amp;"% konfidens","Kan ikke beregne hypotesetest om intensitet")</f>
        <v>Hypotesetest om intensitet
Nulhypotesen om at intensiteten af Eksempel 1 (interval) er større end 1
kan ikke afvises med 95% konfidens</v>
      </c>
      <c r="AO50" s="30" t="str">
        <f>"Intensitet i stikprøver af størrelsen n = "&amp;Eu_i_n_x&amp;"
fra en population med intensitet = "&amp;IFERROR(ROUND(Eu_i_h0_x,3),"Hypotese ikke angivet")</f>
        <v>Intensitet i stikprøver af størrelsen n = 12
fra en population med intensitet = 1</v>
      </c>
      <c r="AP50" s="31" t="s">
        <v>161</v>
      </c>
      <c r="AQ50" s="31" t="b">
        <f>NOT(ISNA(Eu_i_i_x))</f>
        <v>1</v>
      </c>
      <c r="AR50" s="31" t="s">
        <v>181</v>
      </c>
      <c r="AS50" s="31" t="b">
        <f>NOT(ISNA(Eu_i_h0_x))</f>
        <v>1</v>
      </c>
      <c r="AT50" s="31" t="s">
        <v>163</v>
      </c>
      <c r="AU50" s="31" t="b">
        <f>IFERROR(Eu_i_n_x*Eu_i_i_x&gt;9,FALSE)</f>
        <v>1</v>
      </c>
      <c r="AV50" s="31"/>
      <c r="AW50" s="31"/>
      <c r="AX50" s="31"/>
    </row>
    <row r="51" spans="1:50" ht="16.5" x14ac:dyDescent="0.2">
      <c r="A51" s="30" t="s">
        <v>3</v>
      </c>
      <c r="B51" s="30" t="s">
        <v>133</v>
      </c>
      <c r="C51" s="30" t="s">
        <v>128</v>
      </c>
      <c r="D51" s="30" t="s">
        <v>128</v>
      </c>
      <c r="E51" s="30">
        <v>0</v>
      </c>
      <c r="F51" s="30">
        <v>1</v>
      </c>
      <c r="G51">
        <f>IFERROR((Eu_i_i_x-Eu_i_h0_x)/SQRT(Eu_i_h0_x/Eu_i_n_x),NA())</f>
        <v>2.9583580848404529</v>
      </c>
      <c r="H51"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1" s="5">
        <f>E_i_valg[[#This Row],[Venstre teststørrelse]]*SQRT(Eu_i_h0_x/Eu_i_n_x)+Eu_i_h0_x</f>
        <v>0.14599558167902948</v>
      </c>
      <c r="J51" s="5">
        <f>E_i_valg[[#This Row],[Midtpunkt teststørrelse]]*SQRT(Eu_i_h0_x/Eu_i_n_x)+Eu_i_h0_x</f>
        <v>1</v>
      </c>
      <c r="K51" s="5">
        <f>E_i_valg[[#This Row],[Højre teststørrelse]]*SQRT(Eu_i_h0_x/Eu_i_n_x)+Eu_i_h0_x</f>
        <v>1.8540044183209705</v>
      </c>
      <c r="L51">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1.8540000000000001</v>
      </c>
      <c r="M51">
        <f>IF(E_i_valg[[#This Row],[Parameter]]="andel",ROUND(E_i_valg[[#This Row],[Midtpunkt label base]],5)*100&amp;"%",ROUND(E_i_valg[[#This Row],[Midtpunkt label base]],3))</f>
        <v>1</v>
      </c>
      <c r="N51">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1" s="30" t="b">
        <f>E_i_valg[[#This Row],[Teststørrelse]]=E_i_valg[[#This Row],[Venstre teststørrelse]]</f>
        <v>0</v>
      </c>
      <c r="P51" s="30" t="b">
        <f>OR(MATCH(E_i_valg[[#This Row],[Hypotese]],HypoteseRetning_liste,0)=2,MATCH(E_i_valg[[#This Row],[Hypotese]],HypoteseRetning_liste,0)=3)</f>
        <v>1</v>
      </c>
      <c r="Q51" s="40">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1.546413078482578E-3</v>
      </c>
      <c r="R51" s="30" t="b">
        <f>E_i_valg[[#This Row],[p-værdi]]&gt;1-Eu_i_konfidensniveau</f>
        <v>0</v>
      </c>
      <c r="S51" s="30">
        <f t="shared" si="11"/>
        <v>0.999</v>
      </c>
      <c r="T51"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1"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1" s="30">
        <f>MIN(E_i_valg[[#This Row],[Teststørrelse]],E_i_valg[[#This Row],[Teststørrelse omvendt]])</f>
        <v>-2.9583580848404529</v>
      </c>
      <c r="W51"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1" s="30">
        <f>MAX(E_i_valg[[#This Row],[Teststørrelse]],E_i_valg[[#This Row],[Teststørrelse omvendt]])</f>
        <v>2.9583580848404529</v>
      </c>
      <c r="Y51"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1"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1" s="40">
        <f>E_i_valg[[#This Row],[Mindre end højre %]]-E_i_valg[[#This Row],[Mindre end venstre %]]</f>
        <v>0.99690717384303484</v>
      </c>
      <c r="AB51" s="40">
        <f>1-E_i_valg[[#This Row],[Mindre end venstre %]]</f>
        <v>0.99845358692151742</v>
      </c>
      <c r="AC51" s="40">
        <f>1-E_i_valg[[#This Row],[Mindre end højre %]]</f>
        <v>1.546413078482578E-3</v>
      </c>
      <c r="AD51"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99.845% mindre end 1.854</v>
      </c>
      <c r="AE51" s="30" t="str">
        <f>IF(OR(MATCH(E_i_valg[[#This Row],[Hypotese]],HypoteseRetning_liste,0)=1,MATCH(E_i_valg[[#This Row],[Hypotese]],HypoteseRetning_liste,0)=4),ROUND(E_i_valg[[#This Row],[Midt %]],5)*100&amp;"% mellem "&amp;E_i_valg[[#This Row],[Venstre label]]&amp;" og "&amp;E_i_valg[[#This Row],[Højre label]]," ")</f>
        <v xml:space="preserve"> </v>
      </c>
      <c r="AF51"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1" s="30">
        <f>IF(AND(NOT(E_i_valg[[#This Row],[Orientering]]),E_i_valg[[#This Row],[Ensidet]]),(E_i_valg[[#This Row],[Højre teststørrelse]]-E_i_valg[[#This Row],[X min]])/(E_i_valg[[#This Row],[X max]]-E_i_valg[[#This Row],[X min]]),(E_i_valg[[#This Row],[Venstre teststørrelse]]-E_i_valg[[#This Row],[X min]])/(E_i_valg[[#This Row],[X max]]-E_i_valg[[#This Row],[X min]]))</f>
        <v>0.978662733370538</v>
      </c>
      <c r="AH51" s="30">
        <f>(E_i_valg[[#This Row],[Midtpunkt teststørrelse]]-E_i_valg[[#This Row],[X min]])/(E_i_valg[[#This Row],[X max]]-E_i_valg[[#This Row],[X min]])</f>
        <v>0.5</v>
      </c>
      <c r="AI51" s="30">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1" s="30" t="s">
        <v>303</v>
      </c>
      <c r="AK51" s="30">
        <f>_xlfn.AGGREGATE(3,5,E_i_valg[[#This Row],[Parameter]])</f>
        <v>1</v>
      </c>
      <c r="AL51">
        <v>1</v>
      </c>
      <c r="AM51" s="30">
        <v>44</v>
      </c>
      <c r="AN51" s="30" t="str">
        <f>IF(AND(E_i_valg[[#This Row],[Kontrol af forudsætning 1]],E_i_valg[[#This Row],[Kontrol af forudsætning 2]]),"Hypotesetest om intensitet
Nulhypotesen om at intensiteten af "&amp;Eu_i_t_x&amp;" er mindre end "&amp;ROUND(Eu_i_h0_x,3)&amp;"
"&amp;IF(E_i_valg[[#This Row],[Nulhypotese kan ikke afvises]],"kan ikke ","")&amp;"afvises med "&amp;Eu_i_konfidensniveau*100&amp;"% konfidens","Kan ikke beregne hypotesetest om intensitet")</f>
        <v>Hypotesetest om intensitet
Nulhypotesen om at intensiteten af Eksempel 1 (interval) er mindre end 1
afvises med 95% konfidens</v>
      </c>
      <c r="AO51" s="30" t="str">
        <f>"Intensitet i stikprøver af størrelsen n = "&amp;Eu_i_n_x&amp;"
fra en population med intensitet = "&amp;IFERROR(ROUND(Eu_i_h0_x,3),"Hypotese ikke angivet")</f>
        <v>Intensitet i stikprøver af størrelsen n = 12
fra en population med intensitet = 1</v>
      </c>
      <c r="AP51" s="31" t="s">
        <v>161</v>
      </c>
      <c r="AQ51" s="31" t="b">
        <f>NOT(ISNA(Eu_i_i_x))</f>
        <v>1</v>
      </c>
      <c r="AR51" s="31" t="s">
        <v>181</v>
      </c>
      <c r="AS51" s="31" t="b">
        <f>NOT(ISNA(Eu_i_h0_x))</f>
        <v>1</v>
      </c>
      <c r="AT51" s="31" t="s">
        <v>163</v>
      </c>
      <c r="AU51" s="31" t="b">
        <f>IFERROR(Eu_i_n_x*Eu_i_i_x&gt;9,FALSE)</f>
        <v>1</v>
      </c>
      <c r="AV51" s="31"/>
      <c r="AW51" s="31"/>
      <c r="AX51" s="31"/>
    </row>
    <row r="52" spans="1:50" ht="16.5" x14ac:dyDescent="0.2">
      <c r="A52" s="30" t="s">
        <v>3</v>
      </c>
      <c r="B52" s="30" t="s">
        <v>134</v>
      </c>
      <c r="C52" s="30" t="s">
        <v>128</v>
      </c>
      <c r="D52" s="30" t="s">
        <v>128</v>
      </c>
      <c r="E52" s="30">
        <v>0</v>
      </c>
      <c r="F52" s="30">
        <v>1</v>
      </c>
      <c r="G52">
        <f>IFERROR((Eu_i_i_x-Eu_i_h0_x)/SQRT(Eu_i_h0_x/Eu_i_n_x),NA())</f>
        <v>2.9583580848404529</v>
      </c>
      <c r="H52"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2" s="5">
        <f>E_i_valg[[#This Row],[Venstre teststørrelse]]*SQRT(Eu_i_h0_x/Eu_i_n_x)+Eu_i_h0_x</f>
        <v>0.14599558167902948</v>
      </c>
      <c r="J52" s="5">
        <f>E_i_valg[[#This Row],[Midtpunkt teststørrelse]]*SQRT(Eu_i_h0_x/Eu_i_n_x)+Eu_i_h0_x</f>
        <v>1</v>
      </c>
      <c r="K52" s="5">
        <f>E_i_valg[[#This Row],[Højre teststørrelse]]*SQRT(Eu_i_h0_x/Eu_i_n_x)+Eu_i_h0_x</f>
        <v>1.8540044183209705</v>
      </c>
      <c r="L52">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0.14599999999999999</v>
      </c>
      <c r="M52">
        <f>IF(E_i_valg[[#This Row],[Parameter]]="andel",ROUND(E_i_valg[[#This Row],[Midtpunkt label base]],5)*100&amp;"%",ROUND(E_i_valg[[#This Row],[Midtpunkt label base]],3))</f>
        <v>1</v>
      </c>
      <c r="N52">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2" s="30" t="b">
        <f>E_i_valg[[#This Row],[Teststørrelse]]=E_i_valg[[#This Row],[Venstre teststørrelse]]</f>
        <v>0</v>
      </c>
      <c r="P52" s="30" t="b">
        <f>OR(MATCH(E_i_valg[[#This Row],[Hypotese]],HypoteseRetning_liste,0)=2,MATCH(E_i_valg[[#This Row],[Hypotese]],HypoteseRetning_liste,0)=3)</f>
        <v>0</v>
      </c>
      <c r="Q52" s="40">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3.0928261569651561E-3</v>
      </c>
      <c r="R52" s="30" t="b">
        <f>E_i_valg[[#This Row],[p-værdi]]&gt;1-Eu_i_konfidensniveau</f>
        <v>0</v>
      </c>
      <c r="S52" s="30">
        <f t="shared" si="11"/>
        <v>0.999</v>
      </c>
      <c r="T52"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2"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2" s="30">
        <f>MIN(E_i_valg[[#This Row],[Teststørrelse]],E_i_valg[[#This Row],[Teststørrelse omvendt]])</f>
        <v>-2.9583580848404529</v>
      </c>
      <c r="W52"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2" s="30">
        <f>MAX(E_i_valg[[#This Row],[Teststørrelse]],E_i_valg[[#This Row],[Teststørrelse omvendt]])</f>
        <v>2.9583580848404529</v>
      </c>
      <c r="Y52"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2"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2" s="40">
        <f>E_i_valg[[#This Row],[Mindre end højre %]]-E_i_valg[[#This Row],[Mindre end venstre %]]</f>
        <v>0.99690717384303484</v>
      </c>
      <c r="AB52" s="40">
        <f>1-E_i_valg[[#This Row],[Mindre end venstre %]]</f>
        <v>0.99845358692151742</v>
      </c>
      <c r="AC52" s="40">
        <f>1-E_i_valg[[#This Row],[Mindre end højre %]]</f>
        <v>1.546413078482578E-3</v>
      </c>
      <c r="AD52"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0.155% mindre end 0.146</v>
      </c>
      <c r="AE52" s="30" t="str">
        <f>IF(OR(MATCH(E_i_valg[[#This Row],[Hypotese]],HypoteseRetning_liste,0)=1,MATCH(E_i_valg[[#This Row],[Hypotese]],HypoteseRetning_liste,0)=4),ROUND(E_i_valg[[#This Row],[Midt %]],5)*100&amp;"% mellem "&amp;E_i_valg[[#This Row],[Venstre label]]&amp;" og "&amp;E_i_valg[[#This Row],[Højre label]]," ")</f>
        <v>99.691% mellem 0.146 og 1.854</v>
      </c>
      <c r="AF52"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2" s="30">
        <f>IF(AND(NOT(E_i_valg[[#This Row],[Orientering]]),E_i_valg[[#This Row],[Ensidet]]),(E_i_valg[[#This Row],[Højre teststørrelse]]-E_i_valg[[#This Row],[X min]])/(E_i_valg[[#This Row],[X max]]-E_i_valg[[#This Row],[X min]]),(E_i_valg[[#This Row],[Venstre teststørrelse]]-E_i_valg[[#This Row],[X min]])/(E_i_valg[[#This Row],[X max]]-E_i_valg[[#This Row],[X min]]))</f>
        <v>2.133726662946208E-2</v>
      </c>
      <c r="AH52" s="30">
        <f>(E_i_valg[[#This Row],[Midtpunkt teststørrelse]]-E_i_valg[[#This Row],[X min]])/(E_i_valg[[#This Row],[X max]]-E_i_valg[[#This Row],[X min]])</f>
        <v>0.5</v>
      </c>
      <c r="AI52" s="30">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2" s="30" t="s">
        <v>127</v>
      </c>
      <c r="AK52" s="30">
        <f>_xlfn.AGGREGATE(3,5,E_i_valg[[#This Row],[Parameter]])</f>
        <v>1</v>
      </c>
      <c r="AL52">
        <v>1</v>
      </c>
      <c r="AM52" s="30">
        <v>45</v>
      </c>
      <c r="AN52" s="30" t="str">
        <f>IF(AND(E_i_valg[[#This Row],[Kontrol af forudsætning 1]],E_i_valg[[#This Row],[Kontrol af forudsætning 2]]),"Hypotesetest om intensitet
Nulhypotesen om at intensiteten af "&amp;Eu_i_t_x&amp;" er lig med "&amp;ROUND(Eu_i_h0_x,3)&amp;"
"&amp;IF(E_i_valg[[#This Row],[Nulhypotese kan ikke afvises]],"kan ikke ","")&amp;"afvises med "&amp;Eu_i_konfidensniveau*100&amp;"% konfidens","Kan ikke beregne hypotesetest om intensitet")</f>
        <v>Hypotesetest om intensitet
Nulhypotesen om at intensiteten af Eksempel 1 (interval) er lig med 1
afvises med 95% konfidens</v>
      </c>
      <c r="AO52" s="30" t="str">
        <f>"Intensitet i stikprøver af størrelsen n = "&amp;Eu_i_n_x&amp;"
fra en population med intensitet = "&amp;IFERROR(ROUND(Eu_i_h0_x,3),"Hypotese ikke angivet")</f>
        <v>Intensitet i stikprøver af størrelsen n = 12
fra en population med intensitet = 1</v>
      </c>
      <c r="AP52" s="31" t="s">
        <v>161</v>
      </c>
      <c r="AQ52" s="31" t="b">
        <f>NOT(ISNA(Eu_i_i_x))</f>
        <v>1</v>
      </c>
      <c r="AR52" s="31" t="s">
        <v>181</v>
      </c>
      <c r="AS52" s="31" t="b">
        <f>NOT(ISNA(Eu_i_h0_x))</f>
        <v>1</v>
      </c>
      <c r="AT52" s="31" t="s">
        <v>163</v>
      </c>
      <c r="AU52" s="31" t="b">
        <f>IFERROR(Eu_i_n_x*Eu_i_i_x&gt;9,FALSE)</f>
        <v>1</v>
      </c>
      <c r="AV52" s="31"/>
      <c r="AW52" s="31"/>
      <c r="AX52" s="31"/>
    </row>
    <row r="53" spans="1:50" ht="16.5" x14ac:dyDescent="0.2">
      <c r="A53" s="30" t="s">
        <v>3</v>
      </c>
      <c r="B53" s="30" t="s">
        <v>135</v>
      </c>
      <c r="C53" s="30" t="s">
        <v>128</v>
      </c>
      <c r="D53" s="30" t="s">
        <v>128</v>
      </c>
      <c r="E53" s="30">
        <v>0</v>
      </c>
      <c r="F53" s="30">
        <v>1</v>
      </c>
      <c r="G53">
        <f>IFERROR((Eu_i_i_x-Eu_i_i_y)/SQRT(Eu_i_i_x/Eu_i_n_x+Eu_i_i_y/Eu_i_n_y),NA())</f>
        <v>-2.2839268503653543</v>
      </c>
      <c r="H53"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3" s="5">
        <f>MIN(Eu_i_i_x-Eu_i_i_y,-1*(Eu_i_i_x-Eu_i_i_y))</f>
        <v>-1.5054022174376644</v>
      </c>
      <c r="J53" s="30">
        <v>0</v>
      </c>
      <c r="K53" s="5">
        <f>MAX(Eu_i_i_x-Eu_i_i_y,-1*(Eu_i_i_x-Eu_i_i_y))</f>
        <v>1.5054022174376644</v>
      </c>
      <c r="L53">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3">
        <f>IF(E_i_valg[[#This Row],[Parameter]]="andel",ROUND(E_i_valg[[#This Row],[Midtpunkt label base]],5)*100&amp;"%",ROUND(E_i_valg[[#This Row],[Midtpunkt label base]],3))</f>
        <v>0</v>
      </c>
      <c r="N53">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3" s="30" t="b">
        <f>E_i_valg[[#This Row],[Teststørrelse]]=E_i_valg[[#This Row],[Venstre teststørrelse]]</f>
        <v>1</v>
      </c>
      <c r="P53" s="30" t="b">
        <f>OR(MATCH(E_i_valg[[#This Row],[Hypotese]],HypoteseRetning_liste,0)=2,MATCH(E_i_valg[[#This Row],[Hypotese]],HypoteseRetning_liste,0)=3)</f>
        <v>1</v>
      </c>
      <c r="Q53" s="40">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1.1187915163413267E-2</v>
      </c>
      <c r="R53" s="30" t="b">
        <f>E_i_valg[[#This Row],[p-værdi]]&gt;1-Eu_i_konfidensniveau</f>
        <v>0</v>
      </c>
      <c r="S53" s="30">
        <f t="shared" si="11"/>
        <v>0.999</v>
      </c>
      <c r="T53"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3"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3" s="30">
        <f>MIN(E_i_valg[[#This Row],[Teststørrelse]],E_i_valg[[#This Row],[Teststørrelse omvendt]])</f>
        <v>-2.2839268503653543</v>
      </c>
      <c r="W53"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3" s="30">
        <f>MAX(E_i_valg[[#This Row],[Teststørrelse]],E_i_valg[[#This Row],[Teststørrelse omvendt]])</f>
        <v>2.2839268503653543</v>
      </c>
      <c r="Y53"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3"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3" s="40">
        <f>E_i_valg[[#This Row],[Mindre end højre %]]-E_i_valg[[#This Row],[Mindre end venstre %]]</f>
        <v>0.97762416967317356</v>
      </c>
      <c r="AB53" s="40">
        <f>1-E_i_valg[[#This Row],[Mindre end venstre %]]</f>
        <v>0.98881208483658678</v>
      </c>
      <c r="AC53" s="40">
        <f>1-E_i_valg[[#This Row],[Mindre end højre %]]</f>
        <v>1.118791516341322E-2</v>
      </c>
      <c r="AD53"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3" s="30" t="str">
        <f>IF(OR(MATCH(E_i_valg[[#This Row],[Hypotese]],HypoteseRetning_liste,0)=1,MATCH(E_i_valg[[#This Row],[Hypotese]],HypoteseRetning_liste,0)=4),ROUND(E_i_valg[[#This Row],[Midt %]],5)*100&amp;"% mellem "&amp;E_i_valg[[#This Row],[Venstre label]]&amp;" og "&amp;E_i_valg[[#This Row],[Højre label]]," ")</f>
        <v xml:space="preserve"> </v>
      </c>
      <c r="AF53"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98.881% større end -1.505</v>
      </c>
      <c r="AG53" s="30">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3" s="30">
        <f>(E_i_valg[[#This Row],[Midtpunkt teststørrelse]]-E_i_valg[[#This Row],[X min]])/(E_i_valg[[#This Row],[X max]]-E_i_valg[[#This Row],[X min]])</f>
        <v>0.5</v>
      </c>
      <c r="AI53" s="30">
        <f>IF(AND(E_i_valg[[#This Row],[Orientering]],E_i_valg[[#This Row],[Ensidet]]),(E_i_valg[[#This Row],[Venstre teststørrelse]]-E_i_valg[[#This Row],[X min]])/(E_i_valg[[#This Row],[X max]]-E_i_valg[[#This Row],[X min]]),(E_i_valg[[#This Row],[Højre teststørrelse]]-E_i_valg[[#This Row],[X min]])/(E_i_valg[[#This Row],[X max]]-E_i_valg[[#This Row],[X min]]))</f>
        <v>0.13046033047307626</v>
      </c>
      <c r="AJ53" s="30" t="s">
        <v>302</v>
      </c>
      <c r="AK53" s="30">
        <f>_xlfn.AGGREGATE(3,5,E_i_valg[[#This Row],[Parameter]])</f>
        <v>1</v>
      </c>
      <c r="AL53">
        <v>2</v>
      </c>
      <c r="AM53" s="30">
        <v>46</v>
      </c>
      <c r="AN53" s="30" t="str">
        <f>IF(AND(E_i_valg[[#This Row],[Kontrol af forudsætning 1]],E_i_valg[[#This Row],[Kontrol af forudsætning 2]]),"Hypotesetest om forhold mellem intensiteter
Nulhypotesen om at intensiteten af "&amp;Eu_i_t_x&amp;" er større end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større end intensiteten af Eksempel 2 (interval)
afvises med 95% konfidens</v>
      </c>
      <c r="AO53" s="30"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3" s="31" t="s">
        <v>161</v>
      </c>
      <c r="AQ53" s="31" t="b">
        <f>NOT(OR(ISNA(Eu_i_i_x),ISNA(Eu_i_i_y)))</f>
        <v>1</v>
      </c>
      <c r="AR53" s="31"/>
      <c r="AS53" s="31"/>
      <c r="AT53" s="31" t="s">
        <v>171</v>
      </c>
      <c r="AU53" s="31" t="b">
        <f>IFERROR(AND(Eu_i_n_x*Eu_i_i_x&gt;9,Eu_i_n_y*Eu_i_i_y&gt;9),FALSE)</f>
        <v>1</v>
      </c>
      <c r="AV53" s="31"/>
      <c r="AW53" s="31"/>
      <c r="AX53" s="31"/>
    </row>
    <row r="54" spans="1:50" ht="16.5" x14ac:dyDescent="0.2">
      <c r="A54" s="30" t="s">
        <v>3</v>
      </c>
      <c r="B54" s="30" t="s">
        <v>136</v>
      </c>
      <c r="C54" s="30" t="s">
        <v>128</v>
      </c>
      <c r="D54" s="30" t="s">
        <v>128</v>
      </c>
      <c r="E54" s="30">
        <v>0</v>
      </c>
      <c r="F54" s="30">
        <v>1</v>
      </c>
      <c r="G54">
        <f>IFERROR((Eu_i_i_x-Eu_i_i_y)/SQRT(Eu_i_i_x/Eu_i_n_x+Eu_i_i_y/Eu_i_n_y),NA())</f>
        <v>-2.2839268503653543</v>
      </c>
      <c r="H54"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4" s="5">
        <f>MIN(Eu_i_i_x-Eu_i_i_y,-1*(Eu_i_i_x-Eu_i_i_y))</f>
        <v>-1.5054022174376644</v>
      </c>
      <c r="J54" s="30">
        <v>0</v>
      </c>
      <c r="K54" s="5">
        <f>MAX(Eu_i_i_x-Eu_i_i_y,-1*(Eu_i_i_x-Eu_i_i_y))</f>
        <v>1.5054022174376644</v>
      </c>
      <c r="L54">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4">
        <f>IF(E_i_valg[[#This Row],[Parameter]]="andel",ROUND(E_i_valg[[#This Row],[Midtpunkt label base]],5)*100&amp;"%",ROUND(E_i_valg[[#This Row],[Midtpunkt label base]],3))</f>
        <v>0</v>
      </c>
      <c r="N54">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4" s="30" t="b">
        <f>E_i_valg[[#This Row],[Teststørrelse]]=E_i_valg[[#This Row],[Venstre teststørrelse]]</f>
        <v>1</v>
      </c>
      <c r="P54" s="30" t="b">
        <f>OR(MATCH(E_i_valg[[#This Row],[Hypotese]],HypoteseRetning_liste,0)=2,MATCH(E_i_valg[[#This Row],[Hypotese]],HypoteseRetning_liste,0)=3)</f>
        <v>1</v>
      </c>
      <c r="Q54" s="40">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0.98881208483658678</v>
      </c>
      <c r="R54" s="30" t="b">
        <f>E_i_valg[[#This Row],[p-værdi]]&gt;1-Eu_i_konfidensniveau</f>
        <v>1</v>
      </c>
      <c r="S54" s="30">
        <f t="shared" si="11"/>
        <v>0.999</v>
      </c>
      <c r="T54"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4"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4" s="30">
        <f>MIN(E_i_valg[[#This Row],[Teststørrelse]],E_i_valg[[#This Row],[Teststørrelse omvendt]])</f>
        <v>-2.2839268503653543</v>
      </c>
      <c r="W54"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4" s="30">
        <f>MAX(E_i_valg[[#This Row],[Teststørrelse]],E_i_valg[[#This Row],[Teststørrelse omvendt]])</f>
        <v>2.2839268503653543</v>
      </c>
      <c r="Y54"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4"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4" s="40">
        <f>E_i_valg[[#This Row],[Mindre end højre %]]-E_i_valg[[#This Row],[Mindre end venstre %]]</f>
        <v>0.97762416967317356</v>
      </c>
      <c r="AB54" s="40">
        <f>1-E_i_valg[[#This Row],[Mindre end venstre %]]</f>
        <v>0.98881208483658678</v>
      </c>
      <c r="AC54" s="40">
        <f>1-E_i_valg[[#This Row],[Mindre end højre %]]</f>
        <v>1.118791516341322E-2</v>
      </c>
      <c r="AD54"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4" s="30" t="str">
        <f>IF(OR(MATCH(E_i_valg[[#This Row],[Hypotese]],HypoteseRetning_liste,0)=1,MATCH(E_i_valg[[#This Row],[Hypotese]],HypoteseRetning_liste,0)=4),ROUND(E_i_valg[[#This Row],[Midt %]],5)*100&amp;"% mellem "&amp;E_i_valg[[#This Row],[Venstre label]]&amp;" og "&amp;E_i_valg[[#This Row],[Højre label]]," ")</f>
        <v xml:space="preserve"> </v>
      </c>
      <c r="AF54"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98.881% større end -1.505</v>
      </c>
      <c r="AG54" s="30">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4" s="30">
        <f>(E_i_valg[[#This Row],[Midtpunkt teststørrelse]]-E_i_valg[[#This Row],[X min]])/(E_i_valg[[#This Row],[X max]]-E_i_valg[[#This Row],[X min]])</f>
        <v>0.5</v>
      </c>
      <c r="AI54" s="30">
        <f>IF(AND(E_i_valg[[#This Row],[Orientering]],E_i_valg[[#This Row],[Ensidet]]),(E_i_valg[[#This Row],[Venstre teststørrelse]]-E_i_valg[[#This Row],[X min]])/(E_i_valg[[#This Row],[X max]]-E_i_valg[[#This Row],[X min]]),(E_i_valg[[#This Row],[Højre teststørrelse]]-E_i_valg[[#This Row],[X min]])/(E_i_valg[[#This Row],[X max]]-E_i_valg[[#This Row],[X min]]))</f>
        <v>0.13046033047307626</v>
      </c>
      <c r="AJ54" s="30" t="s">
        <v>303</v>
      </c>
      <c r="AK54" s="30">
        <f>_xlfn.AGGREGATE(3,5,E_i_valg[[#This Row],[Parameter]])</f>
        <v>1</v>
      </c>
      <c r="AL54">
        <v>2</v>
      </c>
      <c r="AM54" s="30">
        <v>47</v>
      </c>
      <c r="AN54" s="30" t="str">
        <f>IF(AND(E_i_valg[[#This Row],[Kontrol af forudsætning 1]],E_i_valg[[#This Row],[Kontrol af forudsætning 2]]),"Hypotesetest om forhold mellem intensiteter
Nulhypotesen om at intensiteten af "&amp;Eu_i_t_x&amp;" er mindre end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mindre end intensiteten af Eksempel 2 (interval)
kan ikke afvises med 95% konfidens</v>
      </c>
      <c r="AO54" s="30"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4" s="31" t="s">
        <v>161</v>
      </c>
      <c r="AQ54" s="31" t="b">
        <f>NOT(OR(ISNA(Eu_i_i_x),ISNA(Eu_i_i_y)))</f>
        <v>1</v>
      </c>
      <c r="AR54" s="31"/>
      <c r="AS54" s="31"/>
      <c r="AT54" s="31" t="s">
        <v>171</v>
      </c>
      <c r="AU54" s="31" t="b">
        <f>IFERROR(AND(Eu_i_n_x*Eu_i_i_x&gt;9,Eu_i_n_y*Eu_i_i_y&gt;9),FALSE)</f>
        <v>1</v>
      </c>
      <c r="AV54" s="31"/>
      <c r="AW54" s="31"/>
      <c r="AX54" s="31"/>
    </row>
    <row r="55" spans="1:50" ht="16.5" x14ac:dyDescent="0.2">
      <c r="A55" s="30" t="s">
        <v>3</v>
      </c>
      <c r="B55" s="30" t="s">
        <v>137</v>
      </c>
      <c r="C55" s="30" t="s">
        <v>128</v>
      </c>
      <c r="D55" s="30" t="s">
        <v>128</v>
      </c>
      <c r="E55" s="30">
        <v>0</v>
      </c>
      <c r="F55" s="30">
        <v>1</v>
      </c>
      <c r="G55">
        <f>IFERROR((Eu_i_i_x-Eu_i_i_y)/SQRT(Eu_i_i_x/Eu_i_n_x+Eu_i_i_y/Eu_i_n_y),NA())</f>
        <v>-2.2839268503653543</v>
      </c>
      <c r="H55" s="30">
        <f>IFERROR(CHOOSE(MATCH(E_i_valg[[#This Row],[Fordeling]],Fordeling_liste,0),E_i_valg[[#This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5" s="5">
        <f>MIN(Eu_i_i_x-Eu_i_i_y,-1*(Eu_i_i_x-Eu_i_i_y))</f>
        <v>-1.5054022174376644</v>
      </c>
      <c r="J55" s="30">
        <v>0</v>
      </c>
      <c r="K55" s="5">
        <f>MAX(Eu_i_i_x-Eu_i_i_y,-1*(Eu_i_i_x-Eu_i_i_y))</f>
        <v>1.5054022174376644</v>
      </c>
      <c r="L55">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5">
        <f>IF(E_i_valg[[#This Row],[Parameter]]="andel",ROUND(E_i_valg[[#This Row],[Midtpunkt label base]],5)*100&amp;"%",ROUND(E_i_valg[[#This Row],[Midtpunkt label base]],3))</f>
        <v>0</v>
      </c>
      <c r="N55">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5" s="30" t="b">
        <f>E_i_valg[[#This Row],[Teststørrelse]]=E_i_valg[[#This Row],[Venstre teststørrelse]]</f>
        <v>1</v>
      </c>
      <c r="P55" s="30" t="b">
        <f>OR(MATCH(E_i_valg[[#This Row],[Hypotese]],HypoteseRetning_liste,0)=2,MATCH(E_i_valg[[#This Row],[Hypotese]],HypoteseRetning_liste,0)=3)</f>
        <v>0</v>
      </c>
      <c r="Q55" s="40">
        <f>CHOOSE(MATCH(E_i_valg[[#This Row],[Hypotese]],HypoteseRetning_liste,0),NA(),IF(E_i_valg[[#This Row],[Orientering]],E_i_valg[[#This Row],[Mindre end venstre %]],E_i_valg[[#This Row],[Mindre end højre %]]),IF(E_i_valg[[#This Row],[Orientering]],E_i_valg[[#This Row],[Større end venstre %]],E_i_valg[[#This Row],[Større end højre %]]),1-E_i_valg[[#This Row],[Midt %]])</f>
        <v>2.237583032682644E-2</v>
      </c>
      <c r="R55" s="30" t="b">
        <f>E_i_valg[[#This Row],[p-værdi]]&gt;1-Eu_i_konfidensniveau</f>
        <v>0</v>
      </c>
      <c r="S55" s="30">
        <f t="shared" si="11"/>
        <v>0.999</v>
      </c>
      <c r="T55" s="30">
        <f>CHOOSE(MATCH(E_i_valg[[#This Row],[Fordeling]],Fordeling_liste,0),_xlfn.NORM.INV(1-E_i_valg[[#This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5" s="30">
        <f>CHOOSE(MATCH(E_i_valg[[#This Row],[Fordeling]],Fordeling_liste,0),_xlfn.NORM.INV(E_i_valg[[#This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5" s="30">
        <f>MIN(E_i_valg[[#This Row],[Teststørrelse]],E_i_valg[[#This Row],[Teststørrelse omvendt]])</f>
        <v>-2.2839268503653543</v>
      </c>
      <c r="W55" s="30">
        <f>CHOOSE(MATCH(E_i_valg[[#This Row],[Fordeling]],Fordeling_liste,0),_xlfn.NORM.INV(0.5,E_i_valg[[#This Row],[Parameter 1]],E_i_valg[[#This Row],[Parameter 2]]),_xlfn.T.INV(0.5,E_i_valg[[#This Row],[Parameter 1]]),_xlfn.CHISQ.INV(0.5,E_i_valg[[#This Row],[Parameter 1]]),_xlfn.F.INV(0.5,E_i_valg[[#This Row],[Parameter 1]],E_i_valg[[#This Row],[Parameter 2]]))</f>
        <v>0</v>
      </c>
      <c r="X55" s="30">
        <f>MAX(E_i_valg[[#This Row],[Teststørrelse]],E_i_valg[[#This Row],[Teststørrelse omvendt]])</f>
        <v>2.2839268503653543</v>
      </c>
      <c r="Y55" s="40">
        <f>CHOOSE(MATCH(E_i_valg[[#This Row],[Fordeling]],Fordeling_liste,0),_xlfn.NORM.DIST(E_i_valg[[#This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5" s="40">
        <f>CHOOSE(MATCH(E_i_valg[[#This Row],[Fordeling]],Fordeling_liste,0),_xlfn.NORM.DIST(E_i_valg[[#This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5" s="40">
        <f>E_i_valg[[#This Row],[Mindre end højre %]]-E_i_valg[[#This Row],[Mindre end venstre %]]</f>
        <v>0.97762416967317356</v>
      </c>
      <c r="AB55" s="40">
        <f>1-E_i_valg[[#This Row],[Mindre end venstre %]]</f>
        <v>0.98881208483658678</v>
      </c>
      <c r="AC55" s="40">
        <f>1-E_i_valg[[#This Row],[Mindre end højre %]]</f>
        <v>1.118791516341322E-2</v>
      </c>
      <c r="AD55" s="30" t="str">
        <f>IF(OR(MATCH(E_i_valg[[#This Row],[Hypotese]],HypoteseRetning_liste,0)=2,MATCH(E_i_valg[[#This Row],[Hypotese]],HypoteseRetning_liste,0)=3),IF(E_i_valg[[#This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5" s="30" t="str">
        <f>IF(OR(MATCH(E_i_valg[[#This Row],[Hypotese]],HypoteseRetning_liste,0)=1,MATCH(E_i_valg[[#This Row],[Hypotese]],HypoteseRetning_liste,0)=4),ROUND(E_i_valg[[#This Row],[Midt %]],5)*100&amp;"% mellem "&amp;E_i_valg[[#This Row],[Venstre label]]&amp;" og "&amp;E_i_valg[[#This Row],[Højre label]]," ")</f>
        <v>97.762% mellem -1.505 og 1.505</v>
      </c>
      <c r="AF55" s="30" t="str">
        <f>IF(OR(MATCH(E_i_valg[[#This Row],[Hypotese]],HypoteseRetning_liste,0)=2,MATCH(E_i_valg[[#This Row],[Hypotese]],HypoteseRetning_liste,0)=3),IF(E_i_valg[[#This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1.119% større end 1.505</v>
      </c>
      <c r="AG55" s="30">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5" s="30">
        <f>(E_i_valg[[#This Row],[Midtpunkt teststørrelse]]-E_i_valg[[#This Row],[X min]])/(E_i_valg[[#This Row],[X max]]-E_i_valg[[#This Row],[X min]])</f>
        <v>0.5</v>
      </c>
      <c r="AI55" s="30">
        <f>IF(AND(E_i_valg[[#This Row],[Orientering]],E_i_valg[[#This Row],[Ensidet]]),(E_i_valg[[#This Row],[Venstre teststørrelse]]-E_i_valg[[#This Row],[X min]])/(E_i_valg[[#This Row],[X max]]-E_i_valg[[#This Row],[X min]]),(E_i_valg[[#This Row],[Højre teststørrelse]]-E_i_valg[[#This Row],[X min]])/(E_i_valg[[#This Row],[X max]]-E_i_valg[[#This Row],[X min]]))</f>
        <v>0.86953966952692374</v>
      </c>
      <c r="AJ55" s="30" t="s">
        <v>127</v>
      </c>
      <c r="AK55" s="30">
        <f>_xlfn.AGGREGATE(3,5,E_i_valg[[#This Row],[Parameter]])</f>
        <v>1</v>
      </c>
      <c r="AL55">
        <v>2</v>
      </c>
      <c r="AM55" s="30">
        <v>48</v>
      </c>
      <c r="AN55" s="30" t="str">
        <f>IF(AND(E_i_valg[[#This Row],[Kontrol af forudsætning 1]],E_i_valg[[#This Row],[Kontrol af forudsætning 2]]),"Hypotesetest om forhold mellem intensiteter
Nulhypotesen om at intensiteten af "&amp;Eu_i_t_x&amp;" er lig med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lig med intensiteten af Eksempel 2 (interval)
afvises med 95% konfidens</v>
      </c>
      <c r="AO55" s="30"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5" s="31" t="s">
        <v>161</v>
      </c>
      <c r="AQ55" s="31" t="b">
        <f>NOT(OR(ISNA(Eu_i_i_x),ISNA(Eu_i_i_y)))</f>
        <v>1</v>
      </c>
      <c r="AR55" s="31"/>
      <c r="AS55" s="31"/>
      <c r="AT55" s="31" t="s">
        <v>171</v>
      </c>
      <c r="AU55" s="31" t="b">
        <f>IFERROR(AND(Eu_i_n_x*Eu_i_i_x&gt;9,Eu_i_n_y*Eu_i_i_y&gt;9),FALSE)</f>
        <v>1</v>
      </c>
      <c r="AV55" s="31"/>
      <c r="AW55" s="31"/>
      <c r="AX55" s="31"/>
    </row>
    <row r="57" spans="1:50" x14ac:dyDescent="0.2">
      <c r="A57" s="141" t="s">
        <v>138</v>
      </c>
      <c r="B57" s="141" t="s">
        <v>145</v>
      </c>
      <c r="C57" s="141" t="s">
        <v>222</v>
      </c>
      <c r="D57" s="141" t="s">
        <v>149</v>
      </c>
      <c r="E57" s="141" t="s">
        <v>291</v>
      </c>
      <c r="F57" s="141" t="s">
        <v>292</v>
      </c>
      <c r="G57" s="141" t="s">
        <v>125</v>
      </c>
      <c r="H57" s="141" t="s">
        <v>307</v>
      </c>
      <c r="I57" s="141" t="s">
        <v>329</v>
      </c>
      <c r="J57" s="141" t="s">
        <v>330</v>
      </c>
      <c r="K57" s="141" t="s">
        <v>331</v>
      </c>
      <c r="L57" s="141" t="s">
        <v>308</v>
      </c>
      <c r="M57" s="141" t="s">
        <v>305</v>
      </c>
      <c r="N57" s="141" t="s">
        <v>317</v>
      </c>
      <c r="O57" s="141" t="s">
        <v>332</v>
      </c>
      <c r="P57" s="141" t="s">
        <v>126</v>
      </c>
      <c r="Q57" s="141" t="s">
        <v>336</v>
      </c>
      <c r="R57" s="141" t="s">
        <v>335</v>
      </c>
      <c r="S57" s="141" t="s">
        <v>328</v>
      </c>
      <c r="T57" s="141" t="s">
        <v>36</v>
      </c>
      <c r="U57" s="141" t="s">
        <v>37</v>
      </c>
      <c r="V57" s="141" t="s">
        <v>310</v>
      </c>
      <c r="W57" s="141" t="s">
        <v>319</v>
      </c>
      <c r="X57" s="141" t="s">
        <v>311</v>
      </c>
      <c r="Y57" s="141" t="s">
        <v>312</v>
      </c>
      <c r="Z57" s="141" t="s">
        <v>314</v>
      </c>
      <c r="AA57" s="141" t="s">
        <v>315</v>
      </c>
      <c r="AB57" s="141" t="s">
        <v>313</v>
      </c>
      <c r="AC57" s="141" t="s">
        <v>316</v>
      </c>
      <c r="AD57" s="141" t="s">
        <v>322</v>
      </c>
      <c r="AE57" s="141" t="s">
        <v>323</v>
      </c>
      <c r="AF57" s="141" t="s">
        <v>324</v>
      </c>
      <c r="AG57" s="141" t="s">
        <v>309</v>
      </c>
      <c r="AH57" s="141" t="s">
        <v>306</v>
      </c>
      <c r="AI57" s="141" t="s">
        <v>318</v>
      </c>
      <c r="AJ57" s="141" t="s">
        <v>304</v>
      </c>
      <c r="AK57" s="141" t="s">
        <v>146</v>
      </c>
      <c r="AL57" s="141" t="s">
        <v>283</v>
      </c>
      <c r="AM57" s="141" t="s">
        <v>16</v>
      </c>
      <c r="AN57" s="141" t="s">
        <v>153</v>
      </c>
      <c r="AO57" s="141" t="s">
        <v>151</v>
      </c>
      <c r="AP57" s="141" t="s">
        <v>155</v>
      </c>
      <c r="AQ57" s="141" t="s">
        <v>172</v>
      </c>
      <c r="AR57" s="141" t="s">
        <v>156</v>
      </c>
      <c r="AS57" s="141" t="s">
        <v>173</v>
      </c>
      <c r="AT57" s="141" t="s">
        <v>160</v>
      </c>
      <c r="AU57" s="141" t="s">
        <v>176</v>
      </c>
      <c r="AV57" s="141" t="s">
        <v>165</v>
      </c>
      <c r="AW57" s="141" t="s">
        <v>187</v>
      </c>
      <c r="AX57" s="141" t="s">
        <v>433</v>
      </c>
    </row>
    <row r="58" spans="1:50" x14ac:dyDescent="0.2">
      <c r="A58" s="30" t="s">
        <v>282</v>
      </c>
      <c r="B58" s="30" t="s">
        <v>132</v>
      </c>
      <c r="C58" s="30" t="s">
        <v>130</v>
      </c>
      <c r="D58" s="30" t="s">
        <v>130</v>
      </c>
      <c r="E58" s="30">
        <f>Eu_k_n-Eu_k_antal_koefficienter</f>
        <v>7</v>
      </c>
      <c r="F58" s="30"/>
      <c r="G58" s="30">
        <f>(Eu_k_k-Eu_k_h0)/Eu_k_s</f>
        <v>1.7059050335879198</v>
      </c>
      <c r="H58" s="30">
        <f>IFERROR(CHOOSE(MATCH(E_k_valg[[#This Row],[Fordeling]],Fordeling_liste,0),E_k_valg[[#This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58">
        <f>E_k_valg[[#This Row],[Venstre teststørrelse]]*Eu_k_s+Eu_k_h0</f>
        <v>-0.34073089457687977</v>
      </c>
      <c r="J58">
        <f>E_k_valg[[#This Row],[Midtpunkt teststørrelse]]*Eu_k_s+Eu_k_h0</f>
        <v>0</v>
      </c>
      <c r="K58">
        <f>E_k_valg[[#This Row],[Højre teststørrelse]]*Eu_k_s+Eu_k_h0</f>
        <v>0.34073089457687977</v>
      </c>
      <c r="L58">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58">
        <f>IF(E_k_valg[[#This Row],[Parameter]]="andel",ROUND(E_k_valg[[#This Row],[Midtpunkt label base]],5)*100&amp;"%",ROUND(E_k_valg[[#This Row],[Midtpunkt label base]],3))</f>
        <v>0</v>
      </c>
      <c r="N58">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58" s="30" t="b">
        <f>E_k_valg[[#This Row],[Teststørrelse]]=E_k_valg[[#This Row],[Venstre teststørrelse]]</f>
        <v>0</v>
      </c>
      <c r="P58" s="30" t="b">
        <f>OR(MATCH(E_k_valg[[#This Row],[Hypotese]],HypoteseRetning_liste,0)=2,MATCH(E_k_valg[[#This Row],[Hypotese]],HypoteseRetning_liste,0)=3)</f>
        <v>1</v>
      </c>
      <c r="Q58" s="40">
        <f>CHOOSE(MATCH(E_k_valg[[#This Row],[Hypotese]],HypoteseRetning_liste,0),NA(),IF(E_k_valg[[#This Row],[Orientering]],E_k_valg[[#This Row],[Mindre end venstre %]],E_k_valg[[#This Row],[Mindre end højre %]]),IF(E_k_valg[[#This Row],[Orientering]],E_k_valg[[#This Row],[Større end venstre %]],E_k_valg[[#This Row],[Større end højre %]]),1-E_k_valg[[#This Row],[Midt %]])</f>
        <v>0.93410377293293312</v>
      </c>
      <c r="R58" s="30" t="b">
        <f>E_k_valg[[#This Row],[p-værdi]]&gt;1-Eu_k_konfidensniveau</f>
        <v>1</v>
      </c>
      <c r="S58" s="30">
        <f>IF(Eu_k_konfidensniveau&lt;=0.998,0.999,0.99999)</f>
        <v>0.999</v>
      </c>
      <c r="T58" s="30">
        <f>CHOOSE(MATCH(E_k_valg[[#This Row],[Fordeling]],Fordeling_liste,0),_xlfn.NORM.INV(1-E_k_valg[[#This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58" s="30">
        <f>CHOOSE(MATCH(E_k_valg[[#This Row],[Fordeling]],Fordeling_liste,0),_xlfn.NORM.INV(E_k_valg[[#This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58" s="30">
        <f>MIN(E_k_valg[[#This Row],[Teststørrelse]],E_k_valg[[#This Row],[Teststørrelse omvendt]])</f>
        <v>-1.7059050335879198</v>
      </c>
      <c r="W58" s="30">
        <f>CHOOSE(MATCH(E_k_valg[[#This Row],[Fordeling]],Fordeling_liste,0),_xlfn.NORM.INV(0.5,E_k_valg[[#This Row],[Parameter 1]],E_k_valg[[#This Row],[Parameter 2]]),_xlfn.T.INV(0.5,E_k_valg[[#This Row],[Parameter 1]]),_xlfn.CHISQ.INV(0.5,E_k_valg[[#This Row],[Parameter 1]]),_xlfn.F.INV(0.5,E_k_valg[[#This Row],[Parameter 1]],E_k_valg[[#This Row],[Parameter 2]]))</f>
        <v>0</v>
      </c>
      <c r="X58" s="30">
        <f>MAX(E_k_valg[[#This Row],[Teststørrelse]],E_k_valg[[#This Row],[Teststørrelse omvendt]])</f>
        <v>1.7059050335879198</v>
      </c>
      <c r="Y58" s="40">
        <f>CHOOSE(MATCH(E_k_valg[[#This Row],[Fordeling]],Fordeling_liste,0),_xlfn.NORM.DIST(E_k_valg[[#This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58" s="40">
        <f>CHOOSE(MATCH(E_k_valg[[#This Row],[Fordeling]],Fordeling_liste,0),_xlfn.NORM.DIST(E_k_valg[[#This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58" s="40">
        <f>E_k_valg[[#This Row],[Mindre end højre %]]-E_k_valg[[#This Row],[Mindre end venstre %]]</f>
        <v>0.86820754586586624</v>
      </c>
      <c r="AB58" s="40">
        <f>1-E_k_valg[[#This Row],[Mindre end venstre %]]</f>
        <v>0.93410377293293312</v>
      </c>
      <c r="AC58" s="40">
        <f>1-E_k_valg[[#This Row],[Mindre end højre %]]</f>
        <v>6.5896227067066881E-2</v>
      </c>
      <c r="AD58" s="30" t="str">
        <f>IF(OR(MATCH(E_k_valg[[#This Row],[Hypotese]],HypoteseRetning_liste,0)=2,MATCH(E_k_valg[[#This Row],[Hypotese]],HypoteseRetning_liste,0)=3),IF(E_k_valg[[#This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93.41% mindre end 0.341</v>
      </c>
      <c r="AE58" s="30" t="str">
        <f>IF(OR(MATCH(E_k_valg[[#This Row],[Hypotese]],HypoteseRetning_liste,0)=1,MATCH(E_k_valg[[#This Row],[Hypotese]],HypoteseRetning_liste,0)=4),ROUND(E_k_valg[[#This Row],[Midt %]],5)*100&amp;"% mellem "&amp;E_k_valg[[#This Row],[Venstre label]]&amp;" og "&amp;E_k_valg[[#This Row],[Højre label]]," ")</f>
        <v xml:space="preserve"> </v>
      </c>
      <c r="AF58" s="30" t="str">
        <f>IF(OR(MATCH(E_k_valg[[#This Row],[Hypotese]],HypoteseRetning_liste,0)=2,MATCH(E_k_valg[[#This Row],[Hypotese]],HypoteseRetning_liste,0)=3),IF(E_k_valg[[#This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58" s="30">
        <f>IF(AND(NOT(E_k_valg[[#This Row],[Orientering]]),E_k_valg[[#This Row],[Ensidet]]),(E_k_valg[[#This Row],[Højre teststørrelse]]-E_k_valg[[#This Row],[X min]])/(E_k_valg[[#This Row],[X max]]-E_k_valg[[#This Row],[X min]]),(E_k_valg[[#This Row],[Venstre teststørrelse]]-E_k_valg[[#This Row],[X min]])/(E_k_valg[[#This Row],[X max]]-E_k_valg[[#This Row],[X min]]))</f>
        <v>0.67824470052749342</v>
      </c>
      <c r="AH58" s="30">
        <f>(E_k_valg[[#This Row],[Midtpunkt teststørrelse]]-E_k_valg[[#This Row],[X min]])/(E_k_valg[[#This Row],[X max]]-E_k_valg[[#This Row],[X min]])</f>
        <v>0.5</v>
      </c>
      <c r="AI58" s="30">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58" s="30" t="s">
        <v>302</v>
      </c>
      <c r="AK58" s="31">
        <f>_xlfn.AGGREGATE(3,5,E_k_valg[[#This Row],[Parameter]])</f>
        <v>1</v>
      </c>
      <c r="AL58">
        <v>1</v>
      </c>
      <c r="AM58" s="30">
        <v>50</v>
      </c>
      <c r="AN58" s="30" t="str">
        <f>IF(E_k_valg[[#This Row],[Kontrol af forudsætning 1]],"Hypotesetest om koefficient i regressionsmodel
Nulhypotesen om at koefficienten for "&amp;Eu_k_t&amp;" er større end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større end 0
kan ikke afvises med 95% konfidens</v>
      </c>
      <c r="AO58" s="30" t="str">
        <f>"Koefficient i stikprøver af størrelsen n = "&amp;Eu_k_n&amp;"
fra en population med koefficient = "&amp;IFERROR(ROUND(Eu_k_h0,3),"Hypotese ikke angivet")</f>
        <v>Koefficient i stikprøver af størrelsen n = 12
fra en population med koefficient = 0</v>
      </c>
      <c r="AP58" s="31" t="s">
        <v>15</v>
      </c>
      <c r="AQ58" s="31" t="b">
        <f>NOT(ISNA(K_average))</f>
        <v>1</v>
      </c>
      <c r="AR58" s="31" t="s">
        <v>499</v>
      </c>
      <c r="AS58" s="31" t="s">
        <v>188</v>
      </c>
      <c r="AT58" s="31"/>
      <c r="AU58" s="31"/>
      <c r="AV58" s="31"/>
      <c r="AW58" s="31"/>
      <c r="AX58" s="31"/>
    </row>
    <row r="59" spans="1:50" x14ac:dyDescent="0.2">
      <c r="A59" s="30" t="s">
        <v>282</v>
      </c>
      <c r="B59" s="30" t="s">
        <v>133</v>
      </c>
      <c r="C59" s="30" t="s">
        <v>130</v>
      </c>
      <c r="D59" s="30" t="s">
        <v>130</v>
      </c>
      <c r="E59" s="30">
        <f>Eu_k_n-Eu_k_antal_koefficienter</f>
        <v>7</v>
      </c>
      <c r="F59" s="30"/>
      <c r="G59" s="30">
        <f>(Eu_k_k-Eu_k_h0)/Eu_k_s</f>
        <v>1.7059050335879198</v>
      </c>
      <c r="H59" s="30">
        <f>IFERROR(CHOOSE(MATCH(E_k_valg[[#This Row],[Fordeling]],Fordeling_liste,0),E_k_valg[[#This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59">
        <f>E_k_valg[[#This Row],[Venstre teststørrelse]]*Eu_k_s+Eu_k_h0</f>
        <v>-0.34073089457687977</v>
      </c>
      <c r="J59">
        <f>E_k_valg[[#This Row],[Midtpunkt teststørrelse]]*Eu_k_s+Eu_k_h0</f>
        <v>0</v>
      </c>
      <c r="K59">
        <f>E_k_valg[[#This Row],[Højre teststørrelse]]*Eu_k_s+Eu_k_h0</f>
        <v>0.34073089457687977</v>
      </c>
      <c r="L59">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59">
        <f>IF(E_k_valg[[#This Row],[Parameter]]="andel",ROUND(E_k_valg[[#This Row],[Midtpunkt label base]],5)*100&amp;"%",ROUND(E_k_valg[[#This Row],[Midtpunkt label base]],3))</f>
        <v>0</v>
      </c>
      <c r="N59">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59" s="30" t="b">
        <f>E_k_valg[[#This Row],[Teststørrelse]]=E_k_valg[[#This Row],[Venstre teststørrelse]]</f>
        <v>0</v>
      </c>
      <c r="P59" s="30" t="b">
        <f>OR(MATCH(E_k_valg[[#This Row],[Hypotese]],HypoteseRetning_liste,0)=2,MATCH(E_k_valg[[#This Row],[Hypotese]],HypoteseRetning_liste,0)=3)</f>
        <v>1</v>
      </c>
      <c r="Q59" s="40">
        <f>CHOOSE(MATCH(E_k_valg[[#This Row],[Hypotese]],HypoteseRetning_liste,0),NA(),IF(E_k_valg[[#This Row],[Orientering]],E_k_valg[[#This Row],[Mindre end venstre %]],E_k_valg[[#This Row],[Mindre end højre %]]),IF(E_k_valg[[#This Row],[Orientering]],E_k_valg[[#This Row],[Større end venstre %]],E_k_valg[[#This Row],[Større end højre %]]),1-E_k_valg[[#This Row],[Midt %]])</f>
        <v>6.5896227067066881E-2</v>
      </c>
      <c r="R59" s="30" t="b">
        <f>E_k_valg[[#This Row],[p-værdi]]&gt;1-Eu_k_konfidensniveau</f>
        <v>1</v>
      </c>
      <c r="S59" s="30">
        <f>IF(Eu_k_konfidensniveau&lt;=0.998,0.999,0.99999)</f>
        <v>0.999</v>
      </c>
      <c r="T59" s="30">
        <f>CHOOSE(MATCH(E_k_valg[[#This Row],[Fordeling]],Fordeling_liste,0),_xlfn.NORM.INV(1-E_k_valg[[#This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59" s="30">
        <f>CHOOSE(MATCH(E_k_valg[[#This Row],[Fordeling]],Fordeling_liste,0),_xlfn.NORM.INV(E_k_valg[[#This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59" s="30">
        <f>MIN(E_k_valg[[#This Row],[Teststørrelse]],E_k_valg[[#This Row],[Teststørrelse omvendt]])</f>
        <v>-1.7059050335879198</v>
      </c>
      <c r="W59" s="30">
        <f>CHOOSE(MATCH(E_k_valg[[#This Row],[Fordeling]],Fordeling_liste,0),_xlfn.NORM.INV(0.5,E_k_valg[[#This Row],[Parameter 1]],E_k_valg[[#This Row],[Parameter 2]]),_xlfn.T.INV(0.5,E_k_valg[[#This Row],[Parameter 1]]),_xlfn.CHISQ.INV(0.5,E_k_valg[[#This Row],[Parameter 1]]),_xlfn.F.INV(0.5,E_k_valg[[#This Row],[Parameter 1]],E_k_valg[[#This Row],[Parameter 2]]))</f>
        <v>0</v>
      </c>
      <c r="X59" s="30">
        <f>MAX(E_k_valg[[#This Row],[Teststørrelse]],E_k_valg[[#This Row],[Teststørrelse omvendt]])</f>
        <v>1.7059050335879198</v>
      </c>
      <c r="Y59" s="40">
        <f>CHOOSE(MATCH(E_k_valg[[#This Row],[Fordeling]],Fordeling_liste,0),_xlfn.NORM.DIST(E_k_valg[[#This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59" s="40">
        <f>CHOOSE(MATCH(E_k_valg[[#This Row],[Fordeling]],Fordeling_liste,0),_xlfn.NORM.DIST(E_k_valg[[#This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59" s="40">
        <f>E_k_valg[[#This Row],[Mindre end højre %]]-E_k_valg[[#This Row],[Mindre end venstre %]]</f>
        <v>0.86820754586586624</v>
      </c>
      <c r="AB59" s="40">
        <f>1-E_k_valg[[#This Row],[Mindre end venstre %]]</f>
        <v>0.93410377293293312</v>
      </c>
      <c r="AC59" s="40">
        <f>1-E_k_valg[[#This Row],[Mindre end højre %]]</f>
        <v>6.5896227067066881E-2</v>
      </c>
      <c r="AD59" s="30" t="str">
        <f>IF(OR(MATCH(E_k_valg[[#This Row],[Hypotese]],HypoteseRetning_liste,0)=2,MATCH(E_k_valg[[#This Row],[Hypotese]],HypoteseRetning_liste,0)=3),IF(E_k_valg[[#This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93.41% mindre end 0.341</v>
      </c>
      <c r="AE59" s="30" t="str">
        <f>IF(OR(MATCH(E_k_valg[[#This Row],[Hypotese]],HypoteseRetning_liste,0)=1,MATCH(E_k_valg[[#This Row],[Hypotese]],HypoteseRetning_liste,0)=4),ROUND(E_k_valg[[#This Row],[Midt %]],5)*100&amp;"% mellem "&amp;E_k_valg[[#This Row],[Venstre label]]&amp;" og "&amp;E_k_valg[[#This Row],[Højre label]]," ")</f>
        <v xml:space="preserve"> </v>
      </c>
      <c r="AF59" s="30" t="str">
        <f>IF(OR(MATCH(E_k_valg[[#This Row],[Hypotese]],HypoteseRetning_liste,0)=2,MATCH(E_k_valg[[#This Row],[Hypotese]],HypoteseRetning_liste,0)=3),IF(E_k_valg[[#This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59" s="30">
        <f>IF(AND(NOT(E_k_valg[[#This Row],[Orientering]]),E_k_valg[[#This Row],[Ensidet]]),(E_k_valg[[#This Row],[Højre teststørrelse]]-E_k_valg[[#This Row],[X min]])/(E_k_valg[[#This Row],[X max]]-E_k_valg[[#This Row],[X min]]),(E_k_valg[[#This Row],[Venstre teststørrelse]]-E_k_valg[[#This Row],[X min]])/(E_k_valg[[#This Row],[X max]]-E_k_valg[[#This Row],[X min]]))</f>
        <v>0.67824470052749342</v>
      </c>
      <c r="AH59" s="30">
        <f>(E_k_valg[[#This Row],[Midtpunkt teststørrelse]]-E_k_valg[[#This Row],[X min]])/(E_k_valg[[#This Row],[X max]]-E_k_valg[[#This Row],[X min]])</f>
        <v>0.5</v>
      </c>
      <c r="AI59" s="30">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59" s="30" t="s">
        <v>303</v>
      </c>
      <c r="AK59" s="31">
        <f>_xlfn.AGGREGATE(3,5,E_k_valg[[#This Row],[Parameter]])</f>
        <v>1</v>
      </c>
      <c r="AL59">
        <v>1</v>
      </c>
      <c r="AM59" s="30">
        <v>51</v>
      </c>
      <c r="AN59" s="30" t="str">
        <f>IF(E_k_valg[[#This Row],[Kontrol af forudsætning 1]],"Hypotesetest om koefficient i regressionsmodel
Nulhypotesen om at koefficienten for "&amp;Eu_k_t&amp;" er mindre end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mindre end 0
kan ikke afvises med 95% konfidens</v>
      </c>
      <c r="AO59" s="30" t="str">
        <f>"Koefficient i stikprøver af størrelsen n = "&amp;Eu_k_n&amp;"
fra en population med koefficient = "&amp;IFERROR(ROUND(Eu_k_h0,3),"Hypotese ikke angivet")</f>
        <v>Koefficient i stikprøver af størrelsen n = 12
fra en population med koefficient = 0</v>
      </c>
      <c r="AP59" s="31" t="s">
        <v>15</v>
      </c>
      <c r="AQ59" s="31" t="b">
        <f>NOT(ISNA(K_average))</f>
        <v>1</v>
      </c>
      <c r="AR59" s="31" t="s">
        <v>499</v>
      </c>
      <c r="AS59" s="31" t="s">
        <v>188</v>
      </c>
      <c r="AT59" s="31"/>
      <c r="AU59" s="31"/>
      <c r="AV59" s="31"/>
      <c r="AW59" s="31"/>
      <c r="AX59" s="31"/>
    </row>
    <row r="60" spans="1:50" x14ac:dyDescent="0.2">
      <c r="A60" s="30" t="s">
        <v>282</v>
      </c>
      <c r="B60" s="30" t="s">
        <v>134</v>
      </c>
      <c r="C60" s="30" t="s">
        <v>130</v>
      </c>
      <c r="D60" s="30" t="s">
        <v>130</v>
      </c>
      <c r="E60" s="30">
        <f>Eu_k_n-Eu_k_antal_koefficienter</f>
        <v>7</v>
      </c>
      <c r="F60" s="30"/>
      <c r="G60" s="30">
        <f>(Eu_k_k-Eu_k_h0)/Eu_k_s</f>
        <v>1.7059050335879198</v>
      </c>
      <c r="H60" s="30">
        <f>IFERROR(CHOOSE(MATCH(E_k_valg[[#This Row],[Fordeling]],Fordeling_liste,0),E_k_valg[[#This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60">
        <f>E_k_valg[[#This Row],[Venstre teststørrelse]]*Eu_k_s+Eu_k_h0</f>
        <v>-0.34073089457687977</v>
      </c>
      <c r="J60">
        <f>E_k_valg[[#This Row],[Midtpunkt teststørrelse]]*Eu_k_s+Eu_k_h0</f>
        <v>0</v>
      </c>
      <c r="K60">
        <f>E_k_valg[[#This Row],[Højre teststørrelse]]*Eu_k_s+Eu_k_h0</f>
        <v>0.34073089457687977</v>
      </c>
      <c r="L60">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60">
        <f>IF(E_k_valg[[#This Row],[Parameter]]="andel",ROUND(E_k_valg[[#This Row],[Midtpunkt label base]],5)*100&amp;"%",ROUND(E_k_valg[[#This Row],[Midtpunkt label base]],3))</f>
        <v>0</v>
      </c>
      <c r="N60">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60" s="30" t="b">
        <f>E_k_valg[[#This Row],[Teststørrelse]]=E_k_valg[[#This Row],[Venstre teststørrelse]]</f>
        <v>0</v>
      </c>
      <c r="P60" s="30" t="b">
        <f>OR(MATCH(E_k_valg[[#This Row],[Hypotese]],HypoteseRetning_liste,0)=2,MATCH(E_k_valg[[#This Row],[Hypotese]],HypoteseRetning_liste,0)=3)</f>
        <v>0</v>
      </c>
      <c r="Q60" s="40">
        <f>CHOOSE(MATCH(E_k_valg[[#This Row],[Hypotese]],HypoteseRetning_liste,0),NA(),IF(E_k_valg[[#This Row],[Orientering]],E_k_valg[[#This Row],[Mindre end venstre %]],E_k_valg[[#This Row],[Mindre end højre %]]),IF(E_k_valg[[#This Row],[Orientering]],E_k_valg[[#This Row],[Større end venstre %]],E_k_valg[[#This Row],[Større end højre %]]),1-E_k_valg[[#This Row],[Midt %]])</f>
        <v>0.13179245413413376</v>
      </c>
      <c r="R60" s="30" t="b">
        <f>E_k_valg[[#This Row],[p-værdi]]&gt;1-Eu_k_konfidensniveau</f>
        <v>1</v>
      </c>
      <c r="S60" s="30">
        <f>IF(Eu_k_konfidensniveau&lt;=0.998,0.999,0.99999)</f>
        <v>0.999</v>
      </c>
      <c r="T60" s="30">
        <f>CHOOSE(MATCH(E_k_valg[[#This Row],[Fordeling]],Fordeling_liste,0),_xlfn.NORM.INV(1-E_k_valg[[#This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60" s="30">
        <f>CHOOSE(MATCH(E_k_valg[[#This Row],[Fordeling]],Fordeling_liste,0),_xlfn.NORM.INV(E_k_valg[[#This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60" s="30">
        <f>MIN(E_k_valg[[#This Row],[Teststørrelse]],E_k_valg[[#This Row],[Teststørrelse omvendt]])</f>
        <v>-1.7059050335879198</v>
      </c>
      <c r="W60" s="30">
        <f>CHOOSE(MATCH(E_k_valg[[#This Row],[Fordeling]],Fordeling_liste,0),_xlfn.NORM.INV(0.5,E_k_valg[[#This Row],[Parameter 1]],E_k_valg[[#This Row],[Parameter 2]]),_xlfn.T.INV(0.5,E_k_valg[[#This Row],[Parameter 1]]),_xlfn.CHISQ.INV(0.5,E_k_valg[[#This Row],[Parameter 1]]),_xlfn.F.INV(0.5,E_k_valg[[#This Row],[Parameter 1]],E_k_valg[[#This Row],[Parameter 2]]))</f>
        <v>0</v>
      </c>
      <c r="X60" s="30">
        <f>MAX(E_k_valg[[#This Row],[Teststørrelse]],E_k_valg[[#This Row],[Teststørrelse omvendt]])</f>
        <v>1.7059050335879198</v>
      </c>
      <c r="Y60" s="40">
        <f>CHOOSE(MATCH(E_k_valg[[#This Row],[Fordeling]],Fordeling_liste,0),_xlfn.NORM.DIST(E_k_valg[[#This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60" s="40">
        <f>CHOOSE(MATCH(E_k_valg[[#This Row],[Fordeling]],Fordeling_liste,0),_xlfn.NORM.DIST(E_k_valg[[#This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60" s="40">
        <f>E_k_valg[[#This Row],[Mindre end højre %]]-E_k_valg[[#This Row],[Mindre end venstre %]]</f>
        <v>0.86820754586586624</v>
      </c>
      <c r="AB60" s="40">
        <f>1-E_k_valg[[#This Row],[Mindre end venstre %]]</f>
        <v>0.93410377293293312</v>
      </c>
      <c r="AC60" s="40">
        <f>1-E_k_valg[[#This Row],[Mindre end højre %]]</f>
        <v>6.5896227067066881E-2</v>
      </c>
      <c r="AD60" s="30" t="str">
        <f>IF(OR(MATCH(E_k_valg[[#This Row],[Hypotese]],HypoteseRetning_liste,0)=2,MATCH(E_k_valg[[#This Row],[Hypotese]],HypoteseRetning_liste,0)=3),IF(E_k_valg[[#This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6.59% mindre end -0.341</v>
      </c>
      <c r="AE60" s="30" t="str">
        <f>IF(OR(MATCH(E_k_valg[[#This Row],[Hypotese]],HypoteseRetning_liste,0)=1,MATCH(E_k_valg[[#This Row],[Hypotese]],HypoteseRetning_liste,0)=4),ROUND(E_k_valg[[#This Row],[Midt %]],5)*100&amp;"% mellem "&amp;E_k_valg[[#This Row],[Venstre label]]&amp;" og "&amp;E_k_valg[[#This Row],[Højre label]]," ")</f>
        <v>86.821% mellem -0.341 og 0.341</v>
      </c>
      <c r="AF60" s="30" t="str">
        <f>IF(OR(MATCH(E_k_valg[[#This Row],[Hypotese]],HypoteseRetning_liste,0)=2,MATCH(E_k_valg[[#This Row],[Hypotese]],HypoteseRetning_liste,0)=3),IF(E_k_valg[[#This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60" s="30">
        <f>IF(AND(NOT(E_k_valg[[#This Row],[Orientering]]),E_k_valg[[#This Row],[Ensidet]]),(E_k_valg[[#This Row],[Højre teststørrelse]]-E_k_valg[[#This Row],[X min]])/(E_k_valg[[#This Row],[X max]]-E_k_valg[[#This Row],[X min]]),(E_k_valg[[#This Row],[Venstre teststørrelse]]-E_k_valg[[#This Row],[X min]])/(E_k_valg[[#This Row],[X max]]-E_k_valg[[#This Row],[X min]]))</f>
        <v>0.32175529947250658</v>
      </c>
      <c r="AH60" s="30">
        <f>(E_k_valg[[#This Row],[Midtpunkt teststørrelse]]-E_k_valg[[#This Row],[X min]])/(E_k_valg[[#This Row],[X max]]-E_k_valg[[#This Row],[X min]])</f>
        <v>0.5</v>
      </c>
      <c r="AI60" s="30">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60" s="30" t="s">
        <v>127</v>
      </c>
      <c r="AK60" s="31">
        <f>_xlfn.AGGREGATE(3,5,E_k_valg[[#This Row],[Parameter]])</f>
        <v>1</v>
      </c>
      <c r="AL60">
        <v>1</v>
      </c>
      <c r="AM60" s="30">
        <v>52</v>
      </c>
      <c r="AN60" s="30" t="str">
        <f>IF(E_k_valg[[#This Row],[Kontrol af forudsætning 1]],"Hypotesetest om koefficient i regressionsmodel
Nulhypotesen om at koefficienten for "&amp;Eu_k_t&amp;" er lig med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lig med 0
kan ikke afvises med 95% konfidens</v>
      </c>
      <c r="AO60" s="30" t="str">
        <f>"Koefficient i stikprøver af størrelsen n = "&amp;Eu_k_n&amp;"
fra en population med koefficient = "&amp;IFERROR(ROUND(Eu_k_h0,3),"Hypotese ikke angivet")</f>
        <v>Koefficient i stikprøver af størrelsen n = 12
fra en population med koefficient = 0</v>
      </c>
      <c r="AP60" s="31" t="s">
        <v>15</v>
      </c>
      <c r="AQ60" s="31" t="b">
        <f>NOT(ISNA(K_average))</f>
        <v>1</v>
      </c>
      <c r="AR60" s="31" t="s">
        <v>499</v>
      </c>
      <c r="AS60" s="31" t="s">
        <v>188</v>
      </c>
      <c r="AT60" s="31"/>
      <c r="AU60" s="31"/>
      <c r="AV60" s="31"/>
      <c r="AW60" s="31"/>
      <c r="AX60" s="31"/>
    </row>
  </sheetData>
  <phoneticPr fontId="15" type="noConversion"/>
  <pageMargins left="0.7" right="0.7" top="0.75" bottom="0.75" header="0.3" footer="0.3"/>
  <pageSetup paperSize="9" orientation="portrait" r:id="rId1"/>
  <tableParts count="5">
    <tablePart r:id="rId2"/>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F414A-3251-410F-BD87-57012D87B543}">
  <sheetPr codeName="Sheet7">
    <tabColor theme="8"/>
  </sheetPr>
  <dimension ref="A1:FA109"/>
  <sheetViews>
    <sheetView showGridLines="0" zoomScaleNormal="100" workbookViewId="0"/>
  </sheetViews>
  <sheetFormatPr defaultColWidth="8.75" defaultRowHeight="14.25" x14ac:dyDescent="0.2"/>
  <cols>
    <col min="1" max="1" width="40.875" style="42" customWidth="1"/>
    <col min="2" max="4" width="35.5" style="42" customWidth="1"/>
    <col min="5" max="5" width="4.125" style="42" customWidth="1"/>
    <col min="6" max="18" width="16.75" style="42" customWidth="1"/>
    <col min="19" max="42" width="15.75" style="42" customWidth="1"/>
    <col min="43" max="43" width="21.5" style="42" bestFit="1" customWidth="1"/>
    <col min="44" max="44" width="88.125" style="42" customWidth="1"/>
    <col min="45" max="45" width="14.375" style="42" customWidth="1"/>
    <col min="46" max="46" width="21.375" style="42" customWidth="1"/>
    <col min="47" max="47" width="28.375" style="42" customWidth="1"/>
    <col min="48" max="48" width="30" style="42" customWidth="1"/>
    <col min="49" max="49" width="23.75" style="42" customWidth="1"/>
    <col min="50" max="50" width="109.25" style="42" customWidth="1"/>
    <col min="51" max="51" width="16" style="42" customWidth="1"/>
    <col min="52" max="52" width="12.5" style="42" customWidth="1"/>
    <col min="53" max="53" width="15" style="42" customWidth="1"/>
    <col min="54" max="54" width="44.875" style="42" customWidth="1"/>
    <col min="55" max="55" width="30.375" style="42" customWidth="1"/>
    <col min="56" max="56" width="11.875" style="42" customWidth="1"/>
    <col min="57" max="57" width="26.25" style="42" customWidth="1"/>
    <col min="58" max="58" width="27" style="42" customWidth="1"/>
    <col min="59" max="59" width="114.625" style="42" customWidth="1"/>
    <col min="60" max="60" width="32.875" style="42" customWidth="1"/>
    <col min="61" max="61" width="11.875" style="42" customWidth="1"/>
    <col min="62" max="62" width="28.5" style="42" customWidth="1"/>
    <col min="63" max="63" width="29.25" style="42" customWidth="1"/>
    <col min="64" max="64" width="66.625" style="42" customWidth="1"/>
    <col min="65" max="65" width="19.25" style="42" customWidth="1"/>
    <col min="66" max="66" width="31" style="42" customWidth="1"/>
    <col min="67" max="67" width="35" style="42" customWidth="1"/>
    <col min="68" max="68" width="28.75" style="42" customWidth="1"/>
    <col min="69" max="69" width="70" style="42" customWidth="1"/>
    <col min="70" max="70" width="8.625" style="42" customWidth="1"/>
    <col min="71" max="71" width="3.875" style="42" customWidth="1"/>
    <col min="72" max="72" width="6" style="42" customWidth="1"/>
    <col min="73" max="74" width="12.625" style="42" customWidth="1"/>
    <col min="75" max="75" width="9.125" style="42" customWidth="1"/>
    <col min="76" max="77" width="11.875" style="42" customWidth="1"/>
    <col min="78" max="79" width="12.5" style="42" customWidth="1"/>
    <col min="80" max="80" width="9.375" style="42" customWidth="1"/>
    <col min="81" max="81" width="21.75" style="42" bestFit="1" customWidth="1"/>
    <col min="82" max="82" width="20.875" style="42" bestFit="1" customWidth="1"/>
    <col min="83" max="83" width="14" style="42" customWidth="1"/>
    <col min="84" max="84" width="4.75" style="42" customWidth="1"/>
    <col min="85" max="85" width="6.125" style="42" customWidth="1"/>
    <col min="86" max="87" width="18.375" style="42" customWidth="1"/>
    <col min="88" max="88" width="22.875" style="42" customWidth="1"/>
    <col min="89" max="90" width="11.875" style="42" customWidth="1"/>
    <col min="91" max="91" width="28.25" style="42" bestFit="1" customWidth="1"/>
    <col min="92" max="92" width="28.875" style="42" bestFit="1" customWidth="1"/>
    <col min="93" max="93" width="19.625" style="42" bestFit="1" customWidth="1"/>
    <col min="94" max="94" width="152.125" style="42" customWidth="1"/>
    <col min="95" max="95" width="4" style="42" customWidth="1"/>
    <col min="96" max="96" width="12.5" style="42" customWidth="1"/>
    <col min="97" max="97" width="18.25" style="42" customWidth="1"/>
    <col min="98" max="98" width="28" style="42" customWidth="1"/>
    <col min="99" max="99" width="12.125" style="42" customWidth="1"/>
    <col min="100" max="100" width="5.625" style="42" customWidth="1"/>
    <col min="101" max="101" width="12.125" style="42" customWidth="1"/>
    <col min="102" max="102" width="14.875" style="42" customWidth="1"/>
    <col min="103" max="103" width="16.25" style="42" customWidth="1"/>
    <col min="104" max="104" width="12.25" style="42" customWidth="1"/>
    <col min="105" max="105" width="7" style="42" customWidth="1"/>
    <col min="106" max="106" width="11.875" style="42" customWidth="1"/>
    <col min="107" max="108" width="22.875" style="42" customWidth="1"/>
    <col min="109" max="109" width="12.25" style="42" customWidth="1"/>
    <col min="110" max="110" width="10" style="42" customWidth="1"/>
    <col min="111" max="111" width="11.25" style="42" customWidth="1"/>
    <col min="112" max="113" width="28.75" style="42" customWidth="1"/>
    <col min="114" max="114" width="12.25" style="42" customWidth="1"/>
    <col min="115" max="115" width="12.5" style="42" customWidth="1"/>
    <col min="116" max="117" width="16.75" style="42" customWidth="1"/>
    <col min="118" max="118" width="24" style="42" customWidth="1"/>
    <col min="119" max="119" width="16.75" style="42" customWidth="1"/>
    <col min="120" max="121" width="16.5" style="42" customWidth="1"/>
    <col min="122" max="122" width="16.75" style="42" customWidth="1"/>
    <col min="123" max="124" width="17.875" style="42" customWidth="1"/>
    <col min="125" max="125" width="15.25" style="42" customWidth="1"/>
    <col min="126" max="126" width="19.125" style="42" customWidth="1"/>
    <col min="127" max="127" width="55.5" style="42" customWidth="1"/>
    <col min="128" max="128" width="9.125" style="42" customWidth="1"/>
    <col min="129" max="129" width="21.25" style="42" customWidth="1"/>
    <col min="130" max="130" width="21.5" style="42" customWidth="1"/>
    <col min="131" max="131" width="12.5" style="42" customWidth="1"/>
    <col min="132" max="132" width="17.125" style="42" customWidth="1"/>
    <col min="133" max="133" width="12.5" style="42" customWidth="1"/>
    <col min="134" max="134" width="18.625" style="42" customWidth="1"/>
    <col min="135" max="135" width="56.5" style="42" customWidth="1"/>
    <col min="136" max="136" width="9.125" style="42" customWidth="1"/>
    <col min="137" max="137" width="14.25" style="42" customWidth="1"/>
    <col min="138" max="138" width="13.5" style="42" customWidth="1"/>
    <col min="139" max="139" width="12.5" style="42" customWidth="1"/>
    <col min="140" max="140" width="18.25" style="42" customWidth="1"/>
    <col min="141" max="141" width="12.5" style="42" customWidth="1"/>
    <col min="142" max="142" width="19.875" style="42" customWidth="1"/>
    <col min="143" max="143" width="96.125" style="42" customWidth="1"/>
    <col min="144" max="144" width="17.875" style="42" customWidth="1"/>
    <col min="145" max="145" width="17.625" style="42" customWidth="1"/>
    <col min="146" max="146" width="19.375" style="42" customWidth="1"/>
    <col min="147" max="147" width="24.5" style="42" customWidth="1"/>
    <col min="148" max="148" width="6.75" style="42" customWidth="1"/>
    <col min="149" max="149" width="62.875" style="42" bestFit="1" customWidth="1"/>
    <col min="150" max="151" width="16.75" style="42" bestFit="1" customWidth="1"/>
    <col min="152" max="155" width="12.5" bestFit="1" customWidth="1"/>
    <col min="158" max="16384" width="8.75" style="42"/>
  </cols>
  <sheetData>
    <row r="1" spans="1:155" s="44" customFormat="1" ht="18.75" x14ac:dyDescent="0.2">
      <c r="A1" s="67" t="s">
        <v>38</v>
      </c>
      <c r="B1" s="210" t="s">
        <v>64</v>
      </c>
      <c r="C1" s="210"/>
    </row>
    <row r="2" spans="1:155" x14ac:dyDescent="0.2">
      <c r="A2" s="68" t="s">
        <v>39</v>
      </c>
    </row>
    <row r="3" spans="1:155" ht="15" x14ac:dyDescent="0.2">
      <c r="C3" s="46"/>
    </row>
    <row r="4" spans="1:155" x14ac:dyDescent="0.2">
      <c r="A4" s="47" t="s">
        <v>927</v>
      </c>
    </row>
    <row r="5" spans="1:155" x14ac:dyDescent="0.2">
      <c r="A5" s="58" t="s">
        <v>4</v>
      </c>
      <c r="B5" s="50">
        <v>0.95</v>
      </c>
    </row>
    <row r="6" spans="1:155" x14ac:dyDescent="0.2">
      <c r="A6" s="58" t="s">
        <v>692</v>
      </c>
      <c r="B6" s="41" t="b">
        <v>1</v>
      </c>
      <c r="AN6"/>
      <c r="AO6"/>
    </row>
    <row r="7" spans="1:155" x14ac:dyDescent="0.2">
      <c r="AM7"/>
    </row>
    <row r="8" spans="1:155" x14ac:dyDescent="0.2">
      <c r="A8" s="45" t="s">
        <v>928</v>
      </c>
      <c r="B8" s="45" t="s">
        <v>1122</v>
      </c>
      <c r="C8" s="3" t="s">
        <v>1123</v>
      </c>
      <c r="D8" s="209"/>
      <c r="DF8" s="52"/>
      <c r="ES8" s="45" t="s">
        <v>940</v>
      </c>
    </row>
    <row r="9" spans="1:155" x14ac:dyDescent="0.2">
      <c r="AQ9" s="131" t="s">
        <v>50</v>
      </c>
      <c r="AR9" s="131" t="s">
        <v>714</v>
      </c>
      <c r="AS9" s="131" t="s">
        <v>710</v>
      </c>
      <c r="AT9" s="131" t="s">
        <v>711</v>
      </c>
      <c r="AU9" s="131" t="s">
        <v>713</v>
      </c>
      <c r="AV9" s="131" t="s">
        <v>712</v>
      </c>
      <c r="AW9" s="131" t="s">
        <v>741</v>
      </c>
      <c r="AX9" s="131" t="s">
        <v>727</v>
      </c>
      <c r="AY9" s="131" t="s">
        <v>725</v>
      </c>
      <c r="AZ9" s="131" t="s">
        <v>389</v>
      </c>
      <c r="BA9" s="131" t="s">
        <v>48</v>
      </c>
      <c r="BB9" s="131" t="s">
        <v>735</v>
      </c>
      <c r="BC9" s="131" t="s">
        <v>737</v>
      </c>
      <c r="BD9" s="131" t="s">
        <v>749</v>
      </c>
      <c r="BE9" s="131" t="s">
        <v>748</v>
      </c>
      <c r="BF9" s="131" t="s">
        <v>747</v>
      </c>
      <c r="BG9" s="131" t="s">
        <v>727</v>
      </c>
      <c r="BH9" s="131" t="s">
        <v>753</v>
      </c>
      <c r="BI9" s="131" t="s">
        <v>754</v>
      </c>
      <c r="BJ9" s="131" t="s">
        <v>755</v>
      </c>
      <c r="BK9" s="131" t="s">
        <v>756</v>
      </c>
      <c r="BL9" s="131" t="s">
        <v>769</v>
      </c>
      <c r="BM9" s="131" t="s">
        <v>695</v>
      </c>
      <c r="BN9" s="131" t="s">
        <v>773</v>
      </c>
      <c r="BO9" s="131" t="s">
        <v>774</v>
      </c>
      <c r="BP9" s="131" t="s">
        <v>775</v>
      </c>
      <c r="BQ9" s="131" t="s">
        <v>779</v>
      </c>
      <c r="BR9" s="131" t="s">
        <v>687</v>
      </c>
      <c r="BS9" s="131" t="s">
        <v>781</v>
      </c>
      <c r="BT9" s="131" t="s">
        <v>782</v>
      </c>
      <c r="BU9" s="131" t="s">
        <v>784</v>
      </c>
      <c r="BV9" s="131" t="s">
        <v>783</v>
      </c>
      <c r="BW9" s="131" t="s">
        <v>787</v>
      </c>
      <c r="BX9" s="131" t="s">
        <v>788</v>
      </c>
      <c r="BY9" s="131" t="s">
        <v>790</v>
      </c>
      <c r="BZ9" s="131" t="s">
        <v>789</v>
      </c>
      <c r="CA9" s="131" t="s">
        <v>791</v>
      </c>
      <c r="CB9" s="131" t="s">
        <v>804</v>
      </c>
      <c r="CC9" s="131" t="s">
        <v>806</v>
      </c>
      <c r="CD9" s="131" t="s">
        <v>981</v>
      </c>
      <c r="CE9" s="131" t="s">
        <v>792</v>
      </c>
      <c r="CF9" s="131" t="s">
        <v>793</v>
      </c>
      <c r="CG9" s="131" t="s">
        <v>794</v>
      </c>
      <c r="CH9" s="131" t="s">
        <v>795</v>
      </c>
      <c r="CI9" s="131" t="s">
        <v>796</v>
      </c>
      <c r="CJ9" s="131" t="s">
        <v>798</v>
      </c>
      <c r="CK9" s="131" t="s">
        <v>800</v>
      </c>
      <c r="CL9" s="131" t="s">
        <v>982</v>
      </c>
      <c r="CM9" s="131" t="s">
        <v>985</v>
      </c>
      <c r="CN9" s="131" t="s">
        <v>984</v>
      </c>
      <c r="CO9" s="131" t="s">
        <v>986</v>
      </c>
      <c r="CP9" s="131" t="s">
        <v>816</v>
      </c>
      <c r="CQ9" s="131" t="s">
        <v>815</v>
      </c>
      <c r="CR9" s="131" t="s">
        <v>810</v>
      </c>
      <c r="CS9" s="131" t="s">
        <v>821</v>
      </c>
      <c r="CT9" s="131" t="s">
        <v>822</v>
      </c>
      <c r="CU9" s="131" t="s">
        <v>824</v>
      </c>
      <c r="CV9" s="131" t="s">
        <v>826</v>
      </c>
      <c r="CW9" s="131" t="s">
        <v>829</v>
      </c>
      <c r="CX9" s="131" t="s">
        <v>827</v>
      </c>
      <c r="CY9" s="131" t="s">
        <v>828</v>
      </c>
      <c r="CZ9" s="131" t="s">
        <v>830</v>
      </c>
      <c r="DA9" s="131" t="s">
        <v>823</v>
      </c>
      <c r="DB9" s="131" t="s">
        <v>286</v>
      </c>
      <c r="DC9" s="131" t="s">
        <v>846</v>
      </c>
      <c r="DD9" s="131" t="s">
        <v>847</v>
      </c>
      <c r="DE9" s="131" t="s">
        <v>831</v>
      </c>
      <c r="DF9" s="131" t="s">
        <v>834</v>
      </c>
      <c r="DG9" s="131" t="s">
        <v>835</v>
      </c>
      <c r="DH9" s="131" t="s">
        <v>848</v>
      </c>
      <c r="DI9" s="131" t="s">
        <v>849</v>
      </c>
      <c r="DJ9" s="131" t="s">
        <v>830</v>
      </c>
      <c r="DK9" s="131" t="s">
        <v>288</v>
      </c>
      <c r="DL9" s="131" t="s">
        <v>836</v>
      </c>
      <c r="DM9" s="131" t="s">
        <v>837</v>
      </c>
      <c r="DN9" s="131" t="s">
        <v>839</v>
      </c>
      <c r="DO9" s="131" t="s">
        <v>836</v>
      </c>
      <c r="DP9" s="131" t="s">
        <v>850</v>
      </c>
      <c r="DQ9" s="131" t="s">
        <v>851</v>
      </c>
      <c r="DR9" s="131" t="s">
        <v>837</v>
      </c>
      <c r="DS9" s="131" t="s">
        <v>852</v>
      </c>
      <c r="DT9" s="131" t="s">
        <v>853</v>
      </c>
      <c r="DU9" s="131" t="s">
        <v>856</v>
      </c>
      <c r="DV9" s="131" t="s">
        <v>860</v>
      </c>
      <c r="DW9" s="131" t="s">
        <v>865</v>
      </c>
      <c r="DX9" s="131" t="s">
        <v>874</v>
      </c>
      <c r="DY9" s="131" t="s">
        <v>886</v>
      </c>
      <c r="DZ9" s="131" t="s">
        <v>876</v>
      </c>
      <c r="EA9" s="131" t="s">
        <v>47</v>
      </c>
      <c r="EB9" s="131" t="s">
        <v>877</v>
      </c>
      <c r="EC9" s="131" t="s">
        <v>878</v>
      </c>
      <c r="ED9" s="131" t="s">
        <v>879</v>
      </c>
      <c r="EE9" s="131" t="s">
        <v>881</v>
      </c>
      <c r="EF9" s="131" t="s">
        <v>874</v>
      </c>
      <c r="EG9" s="131" t="s">
        <v>875</v>
      </c>
      <c r="EH9" s="131" t="s">
        <v>887</v>
      </c>
      <c r="EI9" s="131" t="s">
        <v>47</v>
      </c>
      <c r="EJ9" s="131" t="s">
        <v>888</v>
      </c>
      <c r="EK9" s="131" t="s">
        <v>889</v>
      </c>
      <c r="EL9" s="131" t="s">
        <v>890</v>
      </c>
      <c r="EM9" s="131" t="s">
        <v>891</v>
      </c>
      <c r="EN9" s="131" t="s">
        <v>913</v>
      </c>
      <c r="EO9" s="131" t="s">
        <v>912</v>
      </c>
      <c r="EP9" s="131" t="s">
        <v>911</v>
      </c>
      <c r="EQ9" s="131" t="s">
        <v>910</v>
      </c>
      <c r="ES9" s="100" t="s">
        <v>697</v>
      </c>
      <c r="ET9" cm="1">
        <f t="array" ref="ET9:EU9">_xlfn.XMATCH(_xlfn.ANCHORARRAY(ET11),DataHeaders,0)</f>
        <v>2</v>
      </c>
      <c r="EU9" s="42">
        <v>3</v>
      </c>
      <c r="EV9" s="42"/>
      <c r="EW9" s="42"/>
      <c r="EX9" s="42"/>
      <c r="EY9" s="42"/>
    </row>
    <row r="10" spans="1:155" x14ac:dyDescent="0.2">
      <c r="AQ10" s="108" t="str" cm="1">
        <f t="array" ref="AQ10">_xlfn.UNIQUE(INDEX(_xlfn.LET(_xlpm.a,_xlfn.UNIQUE(LineærRegression_Valg[[Afhængig variabel]:[Synlig]]),_xlfn._xlws.FILTER(_xlpm.a,INDEX(_xlpm.a,,3)=1)),,1))</f>
        <v>Eksempel 1 (interval)</v>
      </c>
      <c r="AR10" s="106" t="str">
        <f>"Linjetilpasningsplot for simpel lineær regression
"&amp;AR18&amp;" forklarer "&amp;AR20&amp;"
af variationen i "&amp;AQ10</f>
        <v>Linjetilpasningsplot for simpel lineær regression
Eksempel 2 (interval) forklarer 19.5%
af variationen i Eksempel 1 (interval)</v>
      </c>
      <c r="AS10" s="42" cm="1">
        <f t="array" ref="AS10:AS21">_xlfn.SEQUENCE(AQ14)</f>
        <v>1</v>
      </c>
      <c r="AT10" cm="1">
        <f t="array" ref="AT10:AT21">INDEX(_xlfn.ANCHORARRAY(EU75),1,AR44):INDEX(_xlfn.ANCHORARRAY(EU75),AQ14,AR44)</f>
        <v>2</v>
      </c>
      <c r="AU10" s="42" cm="1">
        <f t="array" ref="AU10:AU21">_xlfn.SORTBY(_xlfn.ANCHORARRAY(ET75),_xlfn.ANCHORARRAY(AT10),1)</f>
        <v>-1.1469596428732241</v>
      </c>
      <c r="AV10" s="42" cm="1">
        <f t="array" ref="AV10:AV21">_xlfn.SORTBY(_xlfn.ANCHORARRAY(AT10),_xlfn.ANCHORARRAY(AT10),1)</f>
        <v>-3.2725647568992748</v>
      </c>
      <c r="AW10" s="42" cm="1">
        <f t="array" ref="AW10:AW21">ET34*_xlfn.ANCHORARRAY(AV10)+EU34</f>
        <v>-1.4374212088539973</v>
      </c>
      <c r="AX10" s="106" t="str">
        <f>"Konfidensinterval for simpel lineær regression
Gennemsnittet er med "&amp;B5*100&amp;"% sandsynlighed mellem
øvre og nedre grænse i konfidensintervallet"</f>
        <v>Konfidensinterval for simpel lineær regression
Gennemsnittet er med 95% sandsynlighed mellem
øvre og nedre grænse i konfidensintervallet</v>
      </c>
      <c r="AY10" s="42" cm="1">
        <f t="array" ref="AY10:AY21">_xlfn.SEQUENCE(AQ14)</f>
        <v>1</v>
      </c>
      <c r="AZ10" s="42" cm="1">
        <f t="array" ref="AZ10:AZ21">_xlfn.ANCHORARRAY(AU10)-_xlfn.ANCHORARRAY(AW10)</f>
        <v>0.29046156598077322</v>
      </c>
      <c r="BA10" s="42" cm="1">
        <f t="array" ref="BA10:BA21">_xlfn.ANCHORARRAY(AZ10)^2</f>
        <v>8.4367921312003075E-2</v>
      </c>
      <c r="BB10" s="42" cm="1">
        <f t="array" ref="BB10:BB21">(_xlfn.ANCHORARRAY(AV10)-AX30)^2</f>
        <v>54.98080570742097</v>
      </c>
      <c r="BC10" s="42" cm="1">
        <f t="array" ref="BC10:BC109">_xlfn.SEQUENCE(AX34,,0)</f>
        <v>0</v>
      </c>
      <c r="BD10" s="42" cm="1">
        <f t="array" ref="BD10:BD109">AX36+AX40*_xlfn.ANCHORARRAY(BC10)/(AX34-1)</f>
        <v>-3.2725647568992748</v>
      </c>
      <c r="BE10" s="42" cm="1">
        <f t="array" ref="BE10:BE109">EU34+ET34*_xlfn.ANCHORARRAY(BD10)+_xlfn.T.INV.2T(1-B5,EU37)*SQRT(AX28/EU37)*SQRT(1/AQ14+(_xlfn.ANCHORARRAY(BD10)-AX30)^2/AX32)</f>
        <v>3.9473397635976206</v>
      </c>
      <c r="BF10" s="42" cm="1">
        <f t="array" ref="BF10:BF109">EU34+ET34*_xlfn.ANCHORARRAY(BD10)-_xlfn.T.INV.2T(1-B5,EU37)*SQRT(AX28/EU37)*SQRT(1/AQ14+(_xlfn.ANCHORARRAY(BD10)-AX30)^2/AX32)</f>
        <v>-6.8221821813056156</v>
      </c>
      <c r="BG10" s="106" t="str">
        <f>"Forudsigelsesinterval for simpel lineær regression
Observationer er med "&amp;B5*100&amp;"% sandsynlighed mellem
øvre og nedre grænse i forudsigelsesintervallet"</f>
        <v>Forudsigelsesinterval for simpel lineær regression
Observationer er med 95% sandsynlighed mellem
øvre og nedre grænse i forudsigelsesintervallet</v>
      </c>
      <c r="BH10" s="42" cm="1">
        <f t="array" ref="BH10:BH109">_xlfn.SEQUENCE(BG28,,0)</f>
        <v>0</v>
      </c>
      <c r="BI10" s="42" cm="1">
        <f t="array" ref="BI10:BI109">BG30+BG34*_xlfn.ANCHORARRAY(BH10)/(BG28-1)</f>
        <v>-3.2725647568992748</v>
      </c>
      <c r="BJ10" s="42" cm="1">
        <f t="array" ref="BJ10:BJ109">EU34+ET34*_xlfn.ANCHORARRAY(BI10)+_xlfn.T.INV.2T(1-B5,EU37)*SQRT(AX28/EU37)*SQRT(1+(1/AQ14)+(_xlfn.ANCHORARRAY(BI10)-AX30)^2/AX32)</f>
        <v>9.0763047188477604</v>
      </c>
      <c r="BK10" s="42" cm="1">
        <f t="array" ref="BK10:BK109">EU34+ET34*_xlfn.ANCHORARRAY(BI10)-_xlfn.T.INV.2T(1-B5,EU37)*SQRT(AX28/EU37)*SQRT(1+(1/AQ14)+(_xlfn.ANCHORARRAY(BI10)-AX30)^2/AX32)</f>
        <v>-11.951147136555756</v>
      </c>
      <c r="BL10" s="106" t="str">
        <f>"Ud af "&amp;AQ16&amp;" inkluderede uafhængige variable
er "&amp;BL18&amp;" signifikante ved "&amp;B5*100&amp;"% konfidensniveau"</f>
        <v>Ud af 2 inkluderede uafhængige variable
er 0 signifikante ved 95% konfidensniveau</v>
      </c>
      <c r="BM10" s="42" cm="1">
        <f t="array" ref="BM10:BM11">_xlfn.SEQUENCE(AQ16)</f>
        <v>1</v>
      </c>
      <c r="BN10" s="42" t="e" cm="1">
        <f t="array" ref="BN10:BN11">TRANSPOSE(IF(_xlfn.ANCHORARRAY(ET13),_xlfn.ANCHORARRAY(ET12),NA()))</f>
        <v>#N/A</v>
      </c>
      <c r="BO10" s="42" cm="1">
        <f t="array" ref="BO10:BO11">TRANSPOSE(IF(NOT(_xlfn.ANCHORARRAY(ET13)),_xlfn.ANCHORARRAY(ET12),NA()))</f>
        <v>0.19806158153598377</v>
      </c>
      <c r="BP10" s="42" t="str" cm="1">
        <f t="array" ref="BP10:BP11">TRANSPOSE(_xlfn.ANCHORARRAY(ET11))&amp;REPT(" ",5)</f>
        <v xml:space="preserve">Eksempel 2 (interval)     </v>
      </c>
      <c r="BQ10" s="106" t="str">
        <f>"Koefficienteffekt i multipel lineær regression
Ændringer i "&amp;BQ30&amp;" har størst effekt"&amp;IF(BQ28&gt;1,"
Ændringer i "&amp;BQ31&amp;" har næststørst effekt","")
&amp;IF(BQ28&gt;2,"
Ændringer i "&amp;BQ32&amp;" har tredjestørst effekt","")</f>
        <v>Koefficienteffekt i multipel lineær regression
Ændringer i Eksempel 2 (interval) har størst effekt</v>
      </c>
      <c r="BR10" s="42" cm="1">
        <f t="array" ref="BR10:BR33">_xlfn.SEQUENCE(AQ14*AQ16)</f>
        <v>1</v>
      </c>
      <c r="BS10" s="42" cm="1">
        <f t="array" ref="BS10:BS33">MOD((_xlfn.ANCHORARRAY(BR10)-1),AQ14)+1</f>
        <v>1</v>
      </c>
      <c r="BT10" s="42" cm="1">
        <f t="array" ref="BT10:BT33">ROUNDDOWN((_xlfn.ANCHORARRAY(BR10)-1)/(AQ14),0)+1</f>
        <v>1</v>
      </c>
      <c r="BU10" s="42" cm="1">
        <f t="array" ref="BU10:BU33">INDEX((_xlfn.ANCHORARRAY(EU75)-_xlfn.ANCHORARRAY(ET18))/_xlfn.ANCHORARRAY(ET24),_xlfn.ANCHORARRAY(BS10),_xlfn.ANCHORARRAY(BT10))</f>
        <v>-0.52222925620854133</v>
      </c>
      <c r="BV10" s="42" cm="1">
        <f t="array" ref="BV10:BV33">INDEX(_xlfn.ANCHORARRAY(ET25)*_xlfn.ANCHORARRAY(EU75),_xlfn.ANCHORARRAY(BS10),_xlfn.ANCHORARRAY(BT10))</f>
        <v>0.84842139505218872</v>
      </c>
      <c r="BW10" s="42" cm="1">
        <f t="array" ref="BW10:BW11">_xlfn.SEQUENCE(AQ16)</f>
        <v>1</v>
      </c>
      <c r="BX10" s="42" cm="1">
        <f t="array" ref="BX10:BX11">_xlfn.MAXIFS(_xlfn.ANCHORARRAY(BU10),_xlfn.ANCHORARRAY(BT10),_xlfn.ANCHORARRAY(BW10))</f>
        <v>1.3568458048465697</v>
      </c>
      <c r="BY10" s="42" cm="1">
        <f t="array" ref="BY10:BY11">_xlfn.MAXIFS(_xlfn.ANCHORARRAY(BV10),_xlfn.ANCHORARRAY(BT10),_xlfn.ANCHORARRAY(BW10))</f>
        <v>4.118459773571125</v>
      </c>
      <c r="BZ10" s="42" cm="1">
        <f t="array" ref="BZ10:BZ11">_xlfn.MINIFS(_xlfn.ANCHORARRAY(BU10),_xlfn.ANCHORARRAY(BT10),_xlfn.ANCHORARRAY(BW10))</f>
        <v>-1.807500578536976</v>
      </c>
      <c r="CA10" s="42" cm="1">
        <f t="array" ref="CA10:CA11">_xlfn.MINIFS(_xlfn.ANCHORARRAY(BV10),_xlfn.ANCHORARRAY(BT10),_xlfn.ANCHORARRAY(BW10))</f>
        <v>-1.3882569782235548</v>
      </c>
      <c r="CB10" s="42" t="b" cm="1">
        <f t="array" ref="CB10:CB11">TRANSPOSE(MMULT((_xlfn.SEQUENCE(,BQ20,1,0)),(_xlfn.ANCHORARRAY(BU10)=TRANSPOSE(_xlfn.ANCHORARRAY(BX10)))*(_xlfn.ANCHORARRAY(BV10)=TRANSPOSE(_xlfn.ANCHORARRAY(BY10)))))&gt;=1</f>
        <v>1</v>
      </c>
      <c r="CC10" s="42" cm="1">
        <f t="array" ref="CC10:CC11">IF(_xlfn.ANCHORARRAY(CB10),_xlfn.ANCHORARRAY(BY10),_xlfn.ANCHORARRAY(CA10))</f>
        <v>4.118459773571125</v>
      </c>
      <c r="CD10" s="42" cm="1">
        <f t="array" ref="CD10:CD11">IF(_xlfn.ANCHORARRAY(CB10),_xlfn.ANCHORARRAY(CA10),_xlfn.ANCHORARRAY(BY10))</f>
        <v>-1.3882569782235548</v>
      </c>
      <c r="CE10" s="42" cm="1">
        <f t="array" ref="CE10:CE15">_xlfn.SEQUENCE(AQ16*3)</f>
        <v>1</v>
      </c>
      <c r="CF10" s="42" cm="1">
        <f t="array" ref="CF10:CF15">MOD(_xlfn.ANCHORARRAY(CE10)-1,3)+1</f>
        <v>1</v>
      </c>
      <c r="CG10" s="42" cm="1">
        <f t="array" ref="CG10:CG15">ROUNDDOWN((_xlfn.ANCHORARRAY(CE10)-1)/3,0)+1</f>
        <v>1</v>
      </c>
      <c r="CH10" s="42" cm="1">
        <f t="array" ref="CH10:CH15">CHOOSE(_xlfn.ANCHORARRAY(CF10),INDEX(_xlfn.ANCHORARRAY(BX10),_xlfn.ANCHORARRAY(CG10)),INDEX(_xlfn.ANCHORARRAY(BZ10),_xlfn.ANCHORARRAY(CG10)),NA())</f>
        <v>1.3568458048465697</v>
      </c>
      <c r="CI10" s="42" cm="1">
        <f t="array" ref="CI10:CI15">CHOOSE(_xlfn.ANCHORARRAY(CF10),INDEX(_xlfn.ANCHORARRAY(CC10),_xlfn.ANCHORARRAY(CG10)),INDEX(_xlfn.ANCHORARRAY(CD10),_xlfn.ANCHORARRAY(CG10)),NA())</f>
        <v>4.118459773571125</v>
      </c>
      <c r="CJ10" s="42" cm="1">
        <f t="array" ref="CJ10:CJ11">ABS((_xlfn.ANCHORARRAY(CC10)-_xlfn.ANCHORARRAY(CD10))/(_xlfn.ANCHORARRAY(BX10)-_xlfn.ANCHORARRAY(BZ10)))</f>
        <v>1.7402382939842713</v>
      </c>
      <c r="CK10" s="42" cm="1">
        <f t="array" ref="CK10:CK11">_xlfn.ANCHORARRAY(CJ10)/SUM(_xlfn.ANCHORARRAY(CJ10))*COUNT(_xlfn.ANCHORARRAY(CJ10))</f>
        <v>1.6274267564812548</v>
      </c>
      <c r="CL10" s="42" cm="1">
        <f t="array" ref="CL10:CL11">(_xlfn.ANCHORARRAY(CC10)-_xlfn.ANCHORARRAY(CD10))/(_xlfn.ANCHORARRAY(BX10)-_xlfn.ANCHORARRAY(BZ10))</f>
        <v>1.7402382939842713</v>
      </c>
      <c r="CM10" s="42" cm="1">
        <f t="array" ref="CM10:CM11">TRANSPOSE(_xlfn.ANCHORARRAY(ET30))</f>
        <v>-0.76599512378686307</v>
      </c>
      <c r="CN10" s="42" cm="1">
        <f t="array" ref="CN10:CN11">_xlfn.ANCHORARRAY(CM10)-_xlfn.ANCHORARRAY(BX10)</f>
        <v>-2.1228409286334329</v>
      </c>
      <c r="CO10" s="42" cm="1">
        <f t="array" ref="CO10:CO11">_xlfn.ANCHORARRAY(CN10)*_xlfn.ANCHORARRAY(CL10)+_xlfn.ANCHORARRAY(CC10)</f>
        <v>0.42421069752609331</v>
      </c>
      <c r="CP10" s="106" t="str">
        <f>CP30&amp;" par af uafhængige variable er stærkt korrelede"&amp;
IF(CP39&gt;0,"
"&amp;CP48,"")</f>
        <v>0 par af uafhængige variable er stærkt korrelede
Den stærkeste korrelation er mellem Eksempel 2 (interval) og Eksempel 3 (nominal)</v>
      </c>
      <c r="CQ10" s="42" cm="1">
        <f t="array" ref="CQ10:CQ33">ROUNDDOWN(_xlfn.SEQUENCE(AQ14*AQ16,,0)/AQ14+1,0)</f>
        <v>1</v>
      </c>
      <c r="CR10" s="42" cm="1">
        <f t="array" ref="CR10:CR33">INDEX(_xlfn.ANCHORARRAY(EU75),MOD(_xlfn.SEQUENCE(AQ14*AQ16,,0),AQ14)+1,ROUNDDOWN(_xlfn.SEQUENCE(AQ14*AQ16,,0)/AQ14+1,0))</f>
        <v>2</v>
      </c>
      <c r="CS10" s="42" cm="1">
        <f t="array" ref="CS10:CS11">_xlfn.SEQUENCE(AQ16)</f>
        <v>1</v>
      </c>
      <c r="CT10" s="42" cm="1">
        <f t="array" ref="CT10:CT33">(_xlfn.ANCHORARRAY(CR10)-INDEX(_xlfn.ANCHORARRAY(ET16),,_xlfn.ANCHORARRAY(CQ10)))/(INDEX(_xlfn.ANCHORARRAY(ET15),,_xlfn.ANCHORARRAY(CQ10))-INDEX(_xlfn.ANCHORARRAY(ET16),,_xlfn.ANCHORARRAY(CQ10)))</f>
        <v>0.40617276574953548</v>
      </c>
      <c r="CU10" s="42" cm="1">
        <f t="array" ref="CU10:CU45">_xlfn.SEQUENCE(CP24*AQ14*3,,0)</f>
        <v>0</v>
      </c>
      <c r="CV10" s="42" cm="1">
        <f t="array" ref="CV10:CV45">ROUNDDOWN(_xlfn.ANCHORARRAY(CU10)/(AQ14*3),0)</f>
        <v>0</v>
      </c>
      <c r="CW10" s="42" cm="1">
        <f t="array" ref="CW10:CW11">_xlfn.ANCHORARRAY(CS10)*(_xlfn.ANCHORARRAY(CS10)-1)/2</f>
        <v>0</v>
      </c>
      <c r="CX10" s="42" cm="1">
        <f t="array" ref="CX10:CX45">MATCH(_xlfn.ANCHORARRAY(CV10),_xlfn.ANCHORARRAY(CW10),1)</f>
        <v>1</v>
      </c>
      <c r="CY10" s="42" cm="1">
        <f t="array" ref="CY10:CY45">_xlfn.ANCHORARRAY(CV10)-INDEX(_xlfn.ANCHORARRAY(CW10),_xlfn.ANCHORARRAY(CX10))+1</f>
        <v>1</v>
      </c>
      <c r="CZ10" s="42" cm="1">
        <f t="array" ref="CZ10:CZ45">MOD(ROUNDDOWN(_xlfn.ANCHORARRAY(CU10)/3,0),AQ14)+1</f>
        <v>1</v>
      </c>
      <c r="DA10" s="42" cm="1">
        <f t="array" ref="DA10:DA45">MOD(_xlfn.ANCHORARRAY(CU10),3)+1</f>
        <v>1</v>
      </c>
      <c r="DB10" s="42" cm="1">
        <f t="array" ref="DB10:DB45">CHOOSE(_xlfn.ANCHORARRAY(DA10),INDEX(_xlfn.ANCHORARRAY(CT10),_xlfn.ANCHORARRAY(CX10)*AQ14+_xlfn.ANCHORARRAY(CZ10)),INDEX(_xlfn.ANCHORARRAY(CT10),(_xlfn.ANCHORARRAY(CY10)-1)*AQ14+_xlfn.ANCHORARRAY(CZ10)),NA())</f>
        <v>0</v>
      </c>
      <c r="DC10" s="42" cm="1">
        <f t="array" ref="DC10:DC45">IF(_xlfn.ANCHORARRAY(DA10)=3,NA(),_xlfn.ANCHORARRAY(DA10)-1+_xlfn.ANCHORARRAY(CY10)*CP20-1)</f>
        <v>1</v>
      </c>
      <c r="DD10" s="42" cm="1">
        <f t="array" ref="DD10:DD45">IF(_xlfn.ANCHORARRAY(DB10)=3,NA(),_xlfn.ANCHORARRAY(DB10)+_xlfn.ANCHORARRAY(CX10)*CP22-1)</f>
        <v>-2.5</v>
      </c>
      <c r="DE10" s="42" cm="1">
        <f t="array" ref="DE10">_xlfn.SEQUENCE(CP24,,0)</f>
        <v>0</v>
      </c>
      <c r="DF10" s="42" cm="1">
        <f t="array" ref="DF10">MATCH(_xlfn.ANCHORARRAY(DE10),_xlfn.ANCHORARRAY(CW10),1)</f>
        <v>1</v>
      </c>
      <c r="DG10" s="42" cm="1">
        <f t="array" ref="DG10">_xlfn.ANCHORARRAY(DE10)-INDEX(_xlfn.ANCHORARRAY(CW10),_xlfn.ANCHORARRAY(DF10))+1</f>
        <v>1</v>
      </c>
      <c r="DH10" s="42" cm="1">
        <f t="array" ref="DH10">_xlfn.ANCHORARRAY(DF10)*CP22-0.5</f>
        <v>-2</v>
      </c>
      <c r="DI10" s="42" cm="1">
        <f t="array" ref="DI10">_xlfn.ANCHORARRAY(DG10)*CP20</f>
        <v>2</v>
      </c>
      <c r="DJ10" s="42" cm="1">
        <f t="array" ref="DJ10:DJ21">_xlfn.SEQUENCE(AQ14)</f>
        <v>1</v>
      </c>
      <c r="DK10" s="192" cm="1">
        <f t="array" ref="DK10">TRANSPOSE(MMULT(_xlfn.SEQUENCE(,AQ14,1,0),INDEX((_xlfn.ANCHORARRAY(EU75)-_xlfn.ANCHORARRAY(ET18)),_xlfn.ANCHORARRAY(DJ10),TRANSPOSE(_xlfn.ANCHORARRAY(DF10)+1))*INDEX((_xlfn.ANCHORARRAY(EU75)-_xlfn.ANCHORARRAY(ET18)),_xlfn.ANCHORARRAY(DJ10),TRANSPOSE(_xlfn.ANCHORARRAY(DG10))))/SQRT(TRANSPOSE(INDEX(_xlfn.ANCHORARRAY(ET20),_xlfn.ANCHORARRAY(DF10)+1))*TRANSPOSE(INDEX(_xlfn.ANCHORARRAY(ET20),_xlfn.ANCHORARRAY(DG10)))))</f>
        <v>0.20266958709140057</v>
      </c>
      <c r="DL10" s="192" t="str" cm="1">
        <f t="array" ref="DL10">INDEX(_xlfn.ANCHORARRAY(ET11),_xlfn.ANCHORARRAY(DF10)+1)</f>
        <v>Eksempel 3 (nominal)</v>
      </c>
      <c r="DM10" s="192" t="str" cm="1">
        <f t="array" ref="DM10">INDEX(_xlfn.ANCHORARRAY(ET11),_xlfn.ANCHORARRAY(DG10))</f>
        <v>Eksempel 2 (interval)</v>
      </c>
      <c r="DN10" s="42" cm="1">
        <f t="array" ref="DN10">_xlfn.SEQUENCE(AQ16-1)</f>
        <v>1</v>
      </c>
      <c r="DO10" s="42" t="str" cm="1">
        <f t="array" ref="DO10">INDEX(_xlfn.ANCHORARRAY(ET11),_xlfn.ANCHORARRAY(DN10)+1)</f>
        <v>Eksempel 3 (nominal)</v>
      </c>
      <c r="DP10" s="42" cm="1">
        <f t="array" ref="DP10">_xlfn.ANCHORARRAY(DN10)*0+1</f>
        <v>1</v>
      </c>
      <c r="DQ10" s="42" cm="1">
        <f t="array" ref="DQ10">_xlfn.ANCHORARRAY(DN10)*CP22-0.5</f>
        <v>-2</v>
      </c>
      <c r="DR10" s="42" t="str" cm="1">
        <f t="array" ref="DR10">INDEX(_xlfn.ANCHORARRAY(ET11),_xlfn.ANCHORARRAY(DN10))</f>
        <v>Eksempel 2 (interval)</v>
      </c>
      <c r="DS10" s="42" cm="1">
        <f t="array" ref="DS10">_xlfn.ANCHORARRAY(DN10)*CP20</f>
        <v>2</v>
      </c>
      <c r="DT10" s="42" cm="1">
        <f t="array" ref="DT10">_xlfn.ANCHORARRAY(DN10)*0-1.5</f>
        <v>-1.5</v>
      </c>
      <c r="DU10" s="42" cm="1">
        <f t="array" ref="DU10">ABS(_xlfn.ANCHORARRAY(DK10))</f>
        <v>0.20266958709140057</v>
      </c>
      <c r="DV10" s="42" cm="1">
        <f t="array" ref="DV10">LARGE(_xlfn.ANCHORARRAY(DU10),_xlfn.SEQUENCE(CP34))</f>
        <v>0.20266958709140057</v>
      </c>
      <c r="DW10" s="106" t="s">
        <v>880</v>
      </c>
      <c r="DX10" s="42" cm="1">
        <f t="array" ref="DX10:DX21">_xlfn.SEQUENCE(AQ14)</f>
        <v>1</v>
      </c>
      <c r="DY10" s="42" cm="1">
        <f t="array" ref="DY10:DY21">_xlfn.ANCHORARRAY(AW10)</f>
        <v>-1.4374212088539973</v>
      </c>
      <c r="DZ10" s="42" cm="1">
        <f t="array" ref="DZ10:DZ21">_xlfn.ANCHORARRAY(AU10)</f>
        <v>-1.1469596428732241</v>
      </c>
      <c r="EA10" s="42" cm="1">
        <f t="array" ref="EA10:EA21">_xlfn.ANCHORARRAY(DZ10)-_xlfn.ANCHORARRAY(DY10)</f>
        <v>0.29046156598077322</v>
      </c>
      <c r="EB10" s="42" cm="1">
        <f t="array" ref="EB10:EB21">_xlfn._xlws.SORT(_xlfn.ANCHORARRAY(EA10))</f>
        <v>-5.2225330326511203</v>
      </c>
      <c r="EC10" s="42" cm="1">
        <f t="array" ref="EC10:EC21">(_xlfn.ANCHORARRAY(EB10)-DW20)/DW22</f>
        <v>-1.3515341605289024</v>
      </c>
      <c r="ED10" s="42" cm="1">
        <f t="array" ref="ED10:ED21">_xlfn.NORM.INV((_xlfn.ANCHORARRAY(DX10)-0.5)/AQ14,0,1)</f>
        <v>-1.7316643961222451</v>
      </c>
      <c r="EE10" s="106" t="str">
        <f>" Multipel lineær regression
Normalfraktildiagram af residualer"</f>
        <v xml:space="preserve"> Multipel lineær regression
Normalfraktildiagram af residualer</v>
      </c>
      <c r="EF10" s="42" cm="1">
        <f t="array" ref="EF10:EF21">_xlfn.SEQUENCE(AQ14)</f>
        <v>1</v>
      </c>
      <c r="EG10" s="42" cm="1">
        <f t="array" ref="EG10:EG21">MMULT(_xlfn.ANCHORARRAY(ET25)*_xlfn.ANCHORARRAY(EU75),_xlfn.SEQUENCE(AQ16,,1,0))+ET48</f>
        <v>0.71518493194619648</v>
      </c>
      <c r="EH10" s="42" cm="1">
        <f t="array" ref="EH10:EH21">_xlfn.ANCHORARRAY(ET75)</f>
        <v>1.2989587493526971</v>
      </c>
      <c r="EI10" s="42" cm="1">
        <f t="array" ref="EI10:EI21">_xlfn.ANCHORARRAY(EH10)-_xlfn.ANCHORARRAY(EG10)</f>
        <v>0.58377381740650058</v>
      </c>
      <c r="EJ10" s="42" cm="1">
        <f t="array" ref="EJ10:EJ21">_xlfn._xlws.SORT(_xlfn.ANCHORARRAY(EI10))</f>
        <v>-4.8829604311562198</v>
      </c>
      <c r="EK10" s="42" cm="1">
        <f t="array" ref="EK10:EK21">(_xlfn.ANCHORARRAY(EJ10)-EE20)/EE22</f>
        <v>-1.2707415438526144</v>
      </c>
      <c r="EL10" s="42" cm="1">
        <f t="array" ref="EL10:EL21">_xlfn.NORM.INV((_xlfn.ANCHORARRAY(EF10)-0.5)/AQ14,0,1)</f>
        <v>-1.7316643961222451</v>
      </c>
      <c r="EM10" s="106" t="str">
        <f>"Forklaringsgrad i simpel regression:   "&amp;EM32&amp;" (justeret "&amp;EM36&amp;")"&amp;IF(AQ16&gt;1,"
Forklaringsgrad i multipel regression: "&amp;EM34&amp;" (justeret "&amp;EM38&amp;")","")</f>
        <v>Forklaringsgrad i simpel regression:   19.5% (justeret 11.5%)
Forklaringsgrad i multipel regression: 20.4% (justeret 2.7%)</v>
      </c>
      <c r="EN10" s="42" cm="1">
        <f t="array" ref="EN10:EN21">_xlfn.ANCHORARRAY(ET75)</f>
        <v>1.2989587493526971</v>
      </c>
      <c r="EO10" s="42" cm="1">
        <f t="array" ref="EO10:EO21">ET34*_xlfn.ANCHORARRAY(AT10)+EU34</f>
        <v>0.90303445595636256</v>
      </c>
      <c r="EP10" s="42" cm="1">
        <f t="array" ref="EP10:EP21">MMULT(_xlfn.ANCHORARRAY(ET25)*_xlfn.ANCHORARRAY(EU75),_xlfn.SEQUENCE(AQ16,,1,0))+ET48</f>
        <v>0.71518493194619648</v>
      </c>
      <c r="EQ10" s="42" cm="1">
        <f t="array" ref="EQ10:EQ21">_xlfn._xlws.SORT(_xlfn.ANCHORARRAY(EN10))</f>
        <v>-1.479592604535932</v>
      </c>
      <c r="ES10" s="131" t="s">
        <v>698</v>
      </c>
      <c r="ET10" cm="1">
        <f t="array" ref="ET10:EU10">_xlfn.SEQUENCE(,AQ16)</f>
        <v>1</v>
      </c>
      <c r="EU10">
        <v>2</v>
      </c>
      <c r="EW10" s="42"/>
      <c r="EX10" s="42"/>
      <c r="EY10" s="42"/>
    </row>
    <row r="11" spans="1:155" x14ac:dyDescent="0.2">
      <c r="AQ11" s="179" t="s">
        <v>548</v>
      </c>
      <c r="AR11" s="131" t="s">
        <v>715</v>
      </c>
      <c r="AS11" s="42">
        <v>2</v>
      </c>
      <c r="AT11" s="42">
        <v>-3.2725647568992748</v>
      </c>
      <c r="AU11" s="42">
        <v>-1.479592604535932</v>
      </c>
      <c r="AV11" s="42">
        <v>-2.2379718387660041</v>
      </c>
      <c r="AW11" s="42">
        <v>-0.97817244327948039</v>
      </c>
      <c r="AX11" s="131" t="s">
        <v>726</v>
      </c>
      <c r="AY11" s="42">
        <v>2</v>
      </c>
      <c r="AZ11" s="42">
        <v>-0.50142016125645161</v>
      </c>
      <c r="BA11" s="42">
        <v>0.25142217811444595</v>
      </c>
      <c r="BB11" s="42">
        <v>40.708373268710531</v>
      </c>
      <c r="BC11" s="42">
        <v>1</v>
      </c>
      <c r="BD11" s="42">
        <v>-3.1414426473964658</v>
      </c>
      <c r="BE11" s="42">
        <v>3.932790807936239</v>
      </c>
      <c r="BF11" s="42">
        <v>-6.6912247989611213</v>
      </c>
      <c r="BG11" s="131" t="s">
        <v>726</v>
      </c>
      <c r="BH11" s="42">
        <v>1</v>
      </c>
      <c r="BI11" s="42">
        <v>-3.1414426473964658</v>
      </c>
      <c r="BJ11" s="42">
        <v>9.0974336647076335</v>
      </c>
      <c r="BK11" s="42">
        <v>-11.855867655732517</v>
      </c>
      <c r="BL11" s="131" t="s">
        <v>770</v>
      </c>
      <c r="BM11" s="42">
        <v>2</v>
      </c>
      <c r="BN11" s="42" t="e">
        <v>#N/A</v>
      </c>
      <c r="BO11" s="42">
        <v>0.7576462468032521</v>
      </c>
      <c r="BP11" s="42" t="str">
        <v xml:space="preserve">Eksempel 3 (nominal)     </v>
      </c>
      <c r="BQ11" s="131" t="s">
        <v>987</v>
      </c>
      <c r="BR11" s="42">
        <v>2</v>
      </c>
      <c r="BS11" s="42">
        <v>2</v>
      </c>
      <c r="BT11" s="42">
        <v>1</v>
      </c>
      <c r="BU11" s="42">
        <v>-1.807500578536976</v>
      </c>
      <c r="BV11" s="42">
        <v>-1.3882569782235548</v>
      </c>
      <c r="BW11" s="42">
        <v>2</v>
      </c>
      <c r="BX11" s="42">
        <v>1.7320508075688774</v>
      </c>
      <c r="BY11" s="42">
        <v>0.92006454592698861</v>
      </c>
      <c r="BZ11" s="42">
        <v>-0.57735026918962584</v>
      </c>
      <c r="CA11" s="42">
        <v>0</v>
      </c>
      <c r="CB11" s="42" t="b">
        <v>1</v>
      </c>
      <c r="CC11" s="42">
        <v>0.92006454592698861</v>
      </c>
      <c r="CD11" s="42">
        <v>0</v>
      </c>
      <c r="CE11" s="42">
        <v>2</v>
      </c>
      <c r="CF11" s="42">
        <v>2</v>
      </c>
      <c r="CG11" s="42">
        <v>1</v>
      </c>
      <c r="CH11" s="42">
        <v>-1.807500578536976</v>
      </c>
      <c r="CI11" s="42">
        <v>-1.3882569782235548</v>
      </c>
      <c r="CJ11" s="42">
        <v>0.39839963494708319</v>
      </c>
      <c r="CK11" s="42">
        <v>0.37257324351874516</v>
      </c>
      <c r="CL11" s="42">
        <v>0.39839963494708319</v>
      </c>
      <c r="CM11" s="42">
        <v>1.7320508075688774</v>
      </c>
      <c r="CN11" s="42">
        <v>0</v>
      </c>
      <c r="CO11" s="42">
        <v>0.92006454592698861</v>
      </c>
      <c r="CP11" s="131" t="s">
        <v>817</v>
      </c>
      <c r="CQ11" s="42">
        <v>1</v>
      </c>
      <c r="CR11" s="42">
        <v>-3.2725647568992748</v>
      </c>
      <c r="CS11" s="42">
        <v>2</v>
      </c>
      <c r="CT11" s="42">
        <v>0</v>
      </c>
      <c r="CU11" s="42">
        <v>1</v>
      </c>
      <c r="CV11" s="42">
        <v>0</v>
      </c>
      <c r="CW11" s="42">
        <v>1</v>
      </c>
      <c r="CX11" s="42">
        <v>1</v>
      </c>
      <c r="CY11" s="42">
        <v>1</v>
      </c>
      <c r="CZ11" s="42">
        <v>1</v>
      </c>
      <c r="DA11" s="42">
        <v>2</v>
      </c>
      <c r="DB11" s="42">
        <v>0.40617276574953548</v>
      </c>
      <c r="DC11" s="42">
        <v>2</v>
      </c>
      <c r="DD11" s="42">
        <v>-2.0938272342504645</v>
      </c>
      <c r="DJ11" s="42">
        <v>2</v>
      </c>
      <c r="DK11" s="192"/>
      <c r="DL11" s="192"/>
      <c r="DM11" s="192"/>
      <c r="DW11" s="131" t="s">
        <v>866</v>
      </c>
      <c r="DX11" s="42">
        <v>2</v>
      </c>
      <c r="DY11" s="42">
        <v>-0.97817244327948039</v>
      </c>
      <c r="DZ11" s="42">
        <v>-1.479592604535932</v>
      </c>
      <c r="EA11" s="42">
        <v>-0.50142016125645161</v>
      </c>
      <c r="EB11" s="42">
        <v>-3.4107040159871631</v>
      </c>
      <c r="EC11" s="42">
        <v>-0.88265272047877275</v>
      </c>
      <c r="ED11" s="42">
        <v>-1.1503493803760083</v>
      </c>
      <c r="EE11" s="131" t="s">
        <v>882</v>
      </c>
      <c r="EF11" s="42">
        <v>2</v>
      </c>
      <c r="EG11" s="42">
        <v>-1.5214934413295471</v>
      </c>
      <c r="EH11" s="42">
        <v>-1.1469596428732241</v>
      </c>
      <c r="EI11" s="42">
        <v>0.37453379845632306</v>
      </c>
      <c r="EJ11" s="42">
        <v>-3.071131414492263</v>
      </c>
      <c r="EK11" s="42">
        <v>-0.79923118977682861</v>
      </c>
      <c r="EL11" s="42">
        <v>-1.1503493803760083</v>
      </c>
      <c r="EM11" s="131" t="s">
        <v>892</v>
      </c>
      <c r="EN11" s="42">
        <v>-1.1469596428732241</v>
      </c>
      <c r="EO11" s="42">
        <v>-1.4374212088539973</v>
      </c>
      <c r="EP11" s="42">
        <v>-1.5214934413295471</v>
      </c>
      <c r="EQ11" s="42">
        <v>-1.1469596428732241</v>
      </c>
      <c r="ES11" s="131" t="s">
        <v>757</v>
      </c>
      <c r="ET11" s="42" t="str" cm="1">
        <f t="array" ref="ET11:EU11">TRANSPOSE(_xlfn.UNIQUE(INDEX(_xlfn.LET(_xlpm.a,_xlfn.UNIQUE(LineærRegression_Valg[[Afhængig variabel]:[Synlig]]),_xlfn._xlws.FILTER(_xlpm.a,INDEX(_xlpm.a,,3)=1)),,2)))</f>
        <v>Eksempel 2 (interval)</v>
      </c>
      <c r="EU11" s="42" t="str">
        <v>Eksempel 3 (nominal)</v>
      </c>
      <c r="EV11" s="42"/>
      <c r="EW11" s="42"/>
      <c r="EX11" s="42"/>
      <c r="EY11" s="42"/>
    </row>
    <row r="12" spans="1:155" x14ac:dyDescent="0.2">
      <c r="AQ12" s="106">
        <f>_xlfn.XMATCH(AQ10,DataHeaders,0)</f>
        <v>1</v>
      </c>
      <c r="AR12" s="106" t="str">
        <f>" Observationer (n="&amp;AQ14&amp;")"</f>
        <v xml:space="preserve"> Observationer (n=12)</v>
      </c>
      <c r="AS12" s="42">
        <v>3</v>
      </c>
      <c r="AT12" s="42">
        <v>2.0315172703350726</v>
      </c>
      <c r="AU12" s="42">
        <v>1.2989587493526971</v>
      </c>
      <c r="AV12" s="42">
        <v>2</v>
      </c>
      <c r="AW12" s="42">
        <v>0.90303445595636256</v>
      </c>
      <c r="AX12" s="106" t="str">
        <f>" "&amp;AQ10&amp;" = "&amp;AR22&amp;" * "&amp;AR18&amp;AR28</f>
        <v xml:space="preserve"> Eksempel 1 (interval) = 0.444 * Eksempel 2 (interval) + 0.015</v>
      </c>
      <c r="AY12" s="42">
        <v>3</v>
      </c>
      <c r="AZ12" s="42">
        <v>0.3959242933963345</v>
      </c>
      <c r="BA12" s="42">
        <v>0.15675604610138677</v>
      </c>
      <c r="BB12" s="42">
        <v>4.5896186974952968</v>
      </c>
      <c r="BC12" s="42">
        <v>2</v>
      </c>
      <c r="BD12" s="42">
        <v>-3.0103205378936564</v>
      </c>
      <c r="BE12" s="42">
        <v>3.9185566305684998</v>
      </c>
      <c r="BF12" s="42">
        <v>-6.5605821949102712</v>
      </c>
      <c r="BG12" s="106" t="str">
        <f>" Observationer (n="&amp;AQ14&amp;")"</f>
        <v xml:space="preserve"> Observationer (n=12)</v>
      </c>
      <c r="BH12" s="42">
        <v>2</v>
      </c>
      <c r="BI12" s="42">
        <v>-3.0103205378936564</v>
      </c>
      <c r="BJ12" s="42">
        <v>9.119095923360117</v>
      </c>
      <c r="BK12" s="42">
        <v>-11.761121487701889</v>
      </c>
      <c r="BL12" s="106" t="s">
        <v>51</v>
      </c>
      <c r="BQ12" s="106" t="s">
        <v>932</v>
      </c>
      <c r="BR12" s="42">
        <v>3</v>
      </c>
      <c r="BS12" s="42">
        <v>3</v>
      </c>
      <c r="BT12" s="42">
        <v>1</v>
      </c>
      <c r="BU12" s="42">
        <v>-0.51454642146161189</v>
      </c>
      <c r="BV12" s="42">
        <v>0.8617913582851483</v>
      </c>
      <c r="CE12" s="42">
        <v>3</v>
      </c>
      <c r="CF12" s="42">
        <v>3</v>
      </c>
      <c r="CG12" s="42">
        <v>1</v>
      </c>
      <c r="CH12" s="42" t="e">
        <v>#N/A</v>
      </c>
      <c r="CI12" s="42" t="e">
        <v>#N/A</v>
      </c>
      <c r="CP12" s="106" t="s">
        <v>845</v>
      </c>
      <c r="CQ12" s="42">
        <v>1</v>
      </c>
      <c r="CR12" s="42">
        <v>2.0315172703350726</v>
      </c>
      <c r="CT12" s="42">
        <v>0.40860070309143748</v>
      </c>
      <c r="CU12" s="42">
        <v>2</v>
      </c>
      <c r="CV12" s="42">
        <v>0</v>
      </c>
      <c r="CX12" s="42">
        <v>1</v>
      </c>
      <c r="CY12" s="42">
        <v>1</v>
      </c>
      <c r="CZ12" s="42">
        <v>1</v>
      </c>
      <c r="DA12" s="42">
        <v>3</v>
      </c>
      <c r="DB12" s="42" t="e">
        <v>#N/A</v>
      </c>
      <c r="DC12" s="42" t="e">
        <v>#N/A</v>
      </c>
      <c r="DD12" s="42" t="e">
        <v>#N/A</v>
      </c>
      <c r="DJ12" s="42">
        <v>3</v>
      </c>
      <c r="DK12" s="192"/>
      <c r="DL12" s="192"/>
      <c r="DM12" s="192"/>
      <c r="DW12" s="106" t="s">
        <v>873</v>
      </c>
      <c r="DX12" s="42">
        <v>3</v>
      </c>
      <c r="DY12" s="42">
        <v>0.90303445595636256</v>
      </c>
      <c r="DZ12" s="42">
        <v>1.2989587493526971</v>
      </c>
      <c r="EA12" s="42">
        <v>0.3959242933963345</v>
      </c>
      <c r="EB12" s="42">
        <v>-2.3376318932866593</v>
      </c>
      <c r="EC12" s="42">
        <v>-0.60495344668312601</v>
      </c>
      <c r="ED12" s="42">
        <v>-0.81221780149991241</v>
      </c>
      <c r="EE12" s="106" t="s">
        <v>873</v>
      </c>
      <c r="EF12" s="42">
        <v>3</v>
      </c>
      <c r="EG12" s="42">
        <v>0.72855489517915606</v>
      </c>
      <c r="EH12" s="42">
        <v>-0.40935481016144565</v>
      </c>
      <c r="EI12" s="42">
        <v>-1.1379097053406018</v>
      </c>
      <c r="EJ12" s="42">
        <v>-3.0024923898184595</v>
      </c>
      <c r="EK12" s="42">
        <v>-0.78136857110271551</v>
      </c>
      <c r="EL12" s="42">
        <v>-0.81221780149991241</v>
      </c>
      <c r="EM12" s="106" t="s">
        <v>897</v>
      </c>
      <c r="EN12" s="42">
        <v>-0.40935481016144565</v>
      </c>
      <c r="EO12" s="42">
        <v>0.91702475807613404</v>
      </c>
      <c r="EP12" s="42">
        <v>0.72855489517915606</v>
      </c>
      <c r="EQ12" s="42">
        <v>-0.89773712069108735</v>
      </c>
      <c r="ES12" s="131" t="s">
        <v>705</v>
      </c>
      <c r="ET12" s="42" cm="1">
        <f t="array" ref="ET12:EU12">INDEX(_xlfn.ANCHORARRAY(ET50),,2):INDEX(_xlfn.ANCHORARRAY(ET50),,AQ16+1)</f>
        <v>0.19806158153598377</v>
      </c>
      <c r="EU12" s="42">
        <v>0.7576462468032521</v>
      </c>
      <c r="EV12" s="42"/>
      <c r="EW12" s="42"/>
      <c r="EX12" s="42"/>
      <c r="EY12" s="42"/>
    </row>
    <row r="13" spans="1:155" x14ac:dyDescent="0.2">
      <c r="AQ13" s="179" t="s">
        <v>29</v>
      </c>
      <c r="AR13" s="131" t="s">
        <v>716</v>
      </c>
      <c r="AS13" s="42">
        <v>4</v>
      </c>
      <c r="AT13" s="42">
        <v>-2.2379718387660041</v>
      </c>
      <c r="AU13" s="42">
        <v>-0.30723615599325882</v>
      </c>
      <c r="AV13" s="42">
        <v>2.0228895016109072</v>
      </c>
      <c r="AW13" s="42">
        <v>0.91319495017121943</v>
      </c>
      <c r="AX13" s="131" t="s">
        <v>728</v>
      </c>
      <c r="AY13" s="42">
        <v>4</v>
      </c>
      <c r="AZ13" s="42">
        <v>-1.2204311061644781</v>
      </c>
      <c r="BA13" s="42">
        <v>1.4894520848938517</v>
      </c>
      <c r="BB13" s="42">
        <v>4.4920684581518273</v>
      </c>
      <c r="BC13" s="42">
        <v>3</v>
      </c>
      <c r="BD13" s="42">
        <v>-2.8791984283908474</v>
      </c>
      <c r="BE13" s="42">
        <v>3.9046504693713131</v>
      </c>
      <c r="BF13" s="42">
        <v>-6.4302676070299718</v>
      </c>
      <c r="BG13" s="131" t="s">
        <v>728</v>
      </c>
      <c r="BH13" s="42">
        <v>3</v>
      </c>
      <c r="BI13" s="42">
        <v>-2.8791984283908474</v>
      </c>
      <c r="BJ13" s="42">
        <v>9.1412971142109782</v>
      </c>
      <c r="BK13" s="42">
        <v>-11.666914251869638</v>
      </c>
      <c r="BL13" s="131" t="s">
        <v>771</v>
      </c>
      <c r="BQ13" s="131" t="s">
        <v>988</v>
      </c>
      <c r="BR13" s="42">
        <v>4</v>
      </c>
      <c r="BS13" s="42">
        <v>4</v>
      </c>
      <c r="BT13" s="42">
        <v>1</v>
      </c>
      <c r="BU13" s="42">
        <v>-1.5553021382578316</v>
      </c>
      <c r="BV13" s="42">
        <v>-0.94937159476668265</v>
      </c>
      <c r="CE13" s="42">
        <v>4</v>
      </c>
      <c r="CF13" s="42">
        <v>1</v>
      </c>
      <c r="CG13" s="42">
        <v>2</v>
      </c>
      <c r="CH13" s="42">
        <v>1.7320508075688774</v>
      </c>
      <c r="CI13" s="42">
        <v>0.92006454592698861</v>
      </c>
      <c r="CP13" s="131" t="s">
        <v>818</v>
      </c>
      <c r="CQ13" s="42">
        <v>1</v>
      </c>
      <c r="CR13" s="42">
        <v>-2.2379718387660041</v>
      </c>
      <c r="CT13" s="42">
        <v>7.9700010594123294E-2</v>
      </c>
      <c r="CU13" s="42">
        <v>3</v>
      </c>
      <c r="CV13" s="42">
        <v>0</v>
      </c>
      <c r="CX13" s="42">
        <v>1</v>
      </c>
      <c r="CY13" s="42">
        <v>1</v>
      </c>
      <c r="CZ13" s="42">
        <v>2</v>
      </c>
      <c r="DA13" s="42">
        <v>1</v>
      </c>
      <c r="DB13" s="42">
        <v>0</v>
      </c>
      <c r="DC13" s="42">
        <v>1</v>
      </c>
      <c r="DD13" s="42">
        <v>-2.5</v>
      </c>
      <c r="DJ13" s="42">
        <v>4</v>
      </c>
      <c r="DK13" s="192"/>
      <c r="DL13" s="192"/>
      <c r="DM13" s="192"/>
      <c r="DW13" s="131" t="s">
        <v>867</v>
      </c>
      <c r="DX13" s="42">
        <v>4</v>
      </c>
      <c r="DY13" s="42">
        <v>0.91319495017121943</v>
      </c>
      <c r="DZ13" s="42">
        <v>-0.30723615599325882</v>
      </c>
      <c r="EA13" s="42">
        <v>-1.2204311061644781</v>
      </c>
      <c r="EB13" s="42">
        <v>-1.4425399451454524</v>
      </c>
      <c r="EC13" s="42">
        <v>-0.37331348631065892</v>
      </c>
      <c r="ED13" s="42">
        <v>-0.54852228269809788</v>
      </c>
      <c r="EE13" s="131" t="s">
        <v>883</v>
      </c>
      <c r="EF13" s="42">
        <v>4</v>
      </c>
      <c r="EG13" s="42">
        <v>-1.0826080578726749</v>
      </c>
      <c r="EH13" s="42">
        <v>-1.479592604535932</v>
      </c>
      <c r="EI13" s="42">
        <v>-0.39698454666325711</v>
      </c>
      <c r="EJ13" s="42">
        <v>-2.0896260397300743</v>
      </c>
      <c r="EK13" s="42">
        <v>-0.54380424687825335</v>
      </c>
      <c r="EL13" s="42">
        <v>-0.54852228269809788</v>
      </c>
      <c r="EM13" s="131" t="s">
        <v>893</v>
      </c>
      <c r="EN13" s="42">
        <v>-1.479592604535932</v>
      </c>
      <c r="EO13" s="42">
        <v>-0.97817244327948039</v>
      </c>
      <c r="EP13" s="42">
        <v>-1.0826080578726749</v>
      </c>
      <c r="EQ13" s="42">
        <v>-0.40935481016144565</v>
      </c>
      <c r="ES13" s="131" t="s">
        <v>51</v>
      </c>
      <c r="ET13" t="b" cm="1">
        <f t="array" ref="ET13:EU13">INDEX(_xlfn.ANCHORARRAY(ET51),,2):INDEX(_xlfn.ANCHORARRAY(ET51),,AQ16+1)</f>
        <v>0</v>
      </c>
      <c r="EU13" t="b">
        <v>0</v>
      </c>
    </row>
    <row r="14" spans="1:155" x14ac:dyDescent="0.2">
      <c r="AQ14" s="106">
        <f>COUNTA(INDEX(Data,,AQ12))</f>
        <v>12</v>
      </c>
      <c r="AR14" s="106" t="str">
        <f>" "&amp;AQ10&amp;" = "&amp;AR22&amp;" * "&amp;AR18&amp;AR28</f>
        <v xml:space="preserve"> Eksempel 1 (interval) = 0.444 * Eksempel 2 (interval) + 0.015</v>
      </c>
      <c r="AS14" s="42">
        <v>5</v>
      </c>
      <c r="AT14" s="42">
        <v>4</v>
      </c>
      <c r="AU14" s="42">
        <v>-0.40935481016144565</v>
      </c>
      <c r="AV14" s="42">
        <v>2.0315172703350726</v>
      </c>
      <c r="AW14" s="42">
        <v>0.91702475807613404</v>
      </c>
      <c r="AX14" s="106" t="str">
        <f>" Givet at "&amp;AR18&amp;" = "&amp;C38&amp;" estimeres øvre grænse for konfidensinterval = "&amp;AX50</f>
        <v xml:space="preserve"> Givet at Eksempel 2 (interval) = 1 estimeres øvre grænse for konfidensinterval = 3.743</v>
      </c>
      <c r="AY14" s="42">
        <v>5</v>
      </c>
      <c r="AZ14" s="42">
        <v>-1.3263795682375796</v>
      </c>
      <c r="BA14" s="42">
        <v>1.7592827590381082</v>
      </c>
      <c r="BB14" s="42">
        <v>4.4555706470664997</v>
      </c>
      <c r="BC14" s="42">
        <v>4</v>
      </c>
      <c r="BD14" s="42">
        <v>-2.7480763188880384</v>
      </c>
      <c r="BE14" s="42">
        <v>3.8910862498768983</v>
      </c>
      <c r="BF14" s="42">
        <v>-6.3002949608524466</v>
      </c>
      <c r="BG14" s="106" t="str">
        <f>" Givet at "&amp;AR18&amp;" = "&amp;D38&amp;" estimeres øvre grænse for fjorudsigelsesinterval = "&amp;BG44</f>
        <v xml:space="preserve"> Givet at Eksempel 2 (interval) = 1 estimeres øvre grænse for fjorudsigelsesinterval = 10.068</v>
      </c>
      <c r="BH14" s="42">
        <v>4</v>
      </c>
      <c r="BI14" s="42">
        <v>-2.7480763188880384</v>
      </c>
      <c r="BJ14" s="42">
        <v>9.1640428512596852</v>
      </c>
      <c r="BK14" s="42">
        <v>-11.573251562235233</v>
      </c>
      <c r="BL14" s="106" t="s">
        <v>778</v>
      </c>
      <c r="BQ14" s="106" t="s">
        <v>991</v>
      </c>
      <c r="BR14" s="42">
        <v>5</v>
      </c>
      <c r="BS14" s="42">
        <v>5</v>
      </c>
      <c r="BT14" s="42">
        <v>1</v>
      </c>
      <c r="BU14" s="42">
        <v>-3.4697521051897919E-2</v>
      </c>
      <c r="BV14" s="42">
        <v>1.6968427901043774</v>
      </c>
      <c r="CE14" s="42">
        <v>5</v>
      </c>
      <c r="CF14" s="42">
        <v>2</v>
      </c>
      <c r="CG14" s="42">
        <v>2</v>
      </c>
      <c r="CH14" s="42">
        <v>-0.57735026918962584</v>
      </c>
      <c r="CI14" s="42">
        <v>0</v>
      </c>
      <c r="CP14" s="106" t="s">
        <v>842</v>
      </c>
      <c r="CQ14" s="42">
        <v>1</v>
      </c>
      <c r="CR14" s="42">
        <v>4</v>
      </c>
      <c r="CT14" s="42">
        <v>0.56024304633472843</v>
      </c>
      <c r="CU14" s="42">
        <v>4</v>
      </c>
      <c r="CV14" s="42">
        <v>0</v>
      </c>
      <c r="CX14" s="42">
        <v>1</v>
      </c>
      <c r="CY14" s="42">
        <v>1</v>
      </c>
      <c r="CZ14" s="42">
        <v>2</v>
      </c>
      <c r="DA14" s="42">
        <v>2</v>
      </c>
      <c r="DB14" s="42">
        <v>0</v>
      </c>
      <c r="DC14" s="42">
        <v>2</v>
      </c>
      <c r="DD14" s="42">
        <v>-2.5</v>
      </c>
      <c r="DJ14" s="42">
        <v>5</v>
      </c>
      <c r="DK14" s="192"/>
      <c r="DL14" s="192"/>
      <c r="DM14" s="192"/>
      <c r="DW14" s="106" t="s">
        <v>872</v>
      </c>
      <c r="DX14" s="42">
        <v>5</v>
      </c>
      <c r="DY14" s="42">
        <v>0.91702475807613404</v>
      </c>
      <c r="DZ14" s="42">
        <v>-0.40935481016144565</v>
      </c>
      <c r="EA14" s="42">
        <v>-1.3263795682375796</v>
      </c>
      <c r="EB14" s="42">
        <v>-1.3263795682375796</v>
      </c>
      <c r="EC14" s="42">
        <v>-0.34325245720670183</v>
      </c>
      <c r="ED14" s="42">
        <v>-0.3186393639643752</v>
      </c>
      <c r="EE14" s="106" t="s">
        <v>872</v>
      </c>
      <c r="EF14" s="42">
        <v>5</v>
      </c>
      <c r="EG14" s="42">
        <v>1.5636063269983851</v>
      </c>
      <c r="EH14" s="42">
        <v>1.8110756828005981</v>
      </c>
      <c r="EI14" s="42">
        <v>0.24746935580221296</v>
      </c>
      <c r="EJ14" s="42">
        <v>-1.1379097053406018</v>
      </c>
      <c r="EK14" s="42">
        <v>-0.29612960336584154</v>
      </c>
      <c r="EL14" s="42">
        <v>-0.3186393639643752</v>
      </c>
      <c r="EM14" s="106" t="s">
        <v>899</v>
      </c>
      <c r="EN14" s="42">
        <v>1.8110756828005981</v>
      </c>
      <c r="EO14" s="42">
        <v>1.7908208645529828</v>
      </c>
      <c r="EP14" s="42">
        <v>1.5636063269983851</v>
      </c>
      <c r="EQ14" s="42">
        <v>-0.30723615599325882</v>
      </c>
      <c r="ES14" s="131" t="s">
        <v>758</v>
      </c>
      <c r="ET14" s="42" t="str" cm="1">
        <f t="array" ref="ET14:EU14">"x"&amp;_xlfn.ANCHORARRAY(ET10)</f>
        <v>x1</v>
      </c>
      <c r="EU14" s="42" t="str">
        <v>x2</v>
      </c>
      <c r="EV14" s="42"/>
      <c r="EW14" s="42"/>
      <c r="EX14" s="42"/>
      <c r="EY14" s="42"/>
    </row>
    <row r="15" spans="1:155" x14ac:dyDescent="0.2">
      <c r="AQ15" s="131" t="s">
        <v>52</v>
      </c>
      <c r="AR15" s="131" t="s">
        <v>722</v>
      </c>
      <c r="AS15" s="42">
        <v>6</v>
      </c>
      <c r="AT15" s="42">
        <v>5</v>
      </c>
      <c r="AU15" s="42">
        <v>1.8110756828005981</v>
      </c>
      <c r="AV15" s="42">
        <v>4</v>
      </c>
      <c r="AW15" s="42">
        <v>1.7908208645529828</v>
      </c>
      <c r="AX15" s="131" t="s">
        <v>729</v>
      </c>
      <c r="AY15" s="42">
        <v>6</v>
      </c>
      <c r="AZ15" s="42">
        <v>2.0254818247615214E-2</v>
      </c>
      <c r="BA15" s="42">
        <v>4.1025766224392623E-4</v>
      </c>
      <c r="BB15" s="42">
        <v>2.0260544172216729E-2</v>
      </c>
      <c r="BC15" s="42">
        <v>5</v>
      </c>
      <c r="BD15" s="42">
        <v>-2.6169542093852289</v>
      </c>
      <c r="BE15" s="42">
        <v>3.8778786253262791</v>
      </c>
      <c r="BF15" s="42">
        <v>-6.1706789096187151</v>
      </c>
      <c r="BG15" s="131" t="s">
        <v>729</v>
      </c>
      <c r="BH15" s="42">
        <v>5</v>
      </c>
      <c r="BI15" s="42">
        <v>-2.6169542093852289</v>
      </c>
      <c r="BJ15" s="42">
        <v>9.1873387400621507</v>
      </c>
      <c r="BK15" s="42">
        <v>-11.480139024354587</v>
      </c>
      <c r="BL15" s="131" t="s">
        <v>777</v>
      </c>
      <c r="BQ15" s="131" t="s">
        <v>989</v>
      </c>
      <c r="BR15" s="42">
        <v>6</v>
      </c>
      <c r="BS15" s="42">
        <v>6</v>
      </c>
      <c r="BT15" s="42">
        <v>1</v>
      </c>
      <c r="BU15" s="42">
        <v>0.20906834652642378</v>
      </c>
      <c r="BV15" s="42">
        <v>2.1210534876304719</v>
      </c>
      <c r="CE15" s="42">
        <v>6</v>
      </c>
      <c r="CF15" s="42">
        <v>3</v>
      </c>
      <c r="CG15" s="42">
        <v>2</v>
      </c>
      <c r="CH15" s="42" t="e">
        <v>#N/A</v>
      </c>
      <c r="CI15" s="42" t="e">
        <v>#N/A</v>
      </c>
      <c r="CP15" s="131" t="s">
        <v>819</v>
      </c>
      <c r="CQ15" s="42">
        <v>1</v>
      </c>
      <c r="CR15" s="42">
        <v>5</v>
      </c>
      <c r="CT15" s="42">
        <v>0.63727818662732494</v>
      </c>
      <c r="CU15" s="42">
        <v>5</v>
      </c>
      <c r="CV15" s="42">
        <v>0</v>
      </c>
      <c r="CX15" s="42">
        <v>1</v>
      </c>
      <c r="CY15" s="42">
        <v>1</v>
      </c>
      <c r="CZ15" s="42">
        <v>2</v>
      </c>
      <c r="DA15" s="42">
        <v>3</v>
      </c>
      <c r="DB15" s="42" t="e">
        <v>#N/A</v>
      </c>
      <c r="DC15" s="42" t="e">
        <v>#N/A</v>
      </c>
      <c r="DD15" s="42" t="e">
        <v>#N/A</v>
      </c>
      <c r="DJ15" s="42">
        <v>6</v>
      </c>
      <c r="DK15" s="192"/>
      <c r="DL15" s="192"/>
      <c r="DM15" s="192"/>
      <c r="DW15" s="131" t="s">
        <v>868</v>
      </c>
      <c r="DX15" s="42">
        <v>6</v>
      </c>
      <c r="DY15" s="42">
        <v>1.7908208645529828</v>
      </c>
      <c r="DZ15" s="42">
        <v>1.8110756828005981</v>
      </c>
      <c r="EA15" s="42">
        <v>2.0254818247615214E-2</v>
      </c>
      <c r="EB15" s="42">
        <v>-1.2204311061644781</v>
      </c>
      <c r="EC15" s="42">
        <v>-0.3158341594473465</v>
      </c>
      <c r="ED15" s="42">
        <v>-0.10463345561407539</v>
      </c>
      <c r="EE15" s="131" t="s">
        <v>884</v>
      </c>
      <c r="EF15" s="42">
        <v>6</v>
      </c>
      <c r="EG15" s="42">
        <v>2.907881570451468</v>
      </c>
      <c r="EH15" s="42">
        <v>8</v>
      </c>
      <c r="EI15" s="42">
        <v>5.092118429548532</v>
      </c>
      <c r="EJ15" s="42">
        <v>-1.0321310593838429</v>
      </c>
      <c r="EK15" s="42">
        <v>-0.26860177024803294</v>
      </c>
      <c r="EL15" s="42">
        <v>-0.10463345561407539</v>
      </c>
      <c r="EM15" s="131" t="s">
        <v>898</v>
      </c>
      <c r="EN15" s="42">
        <v>8</v>
      </c>
      <c r="EO15" s="42">
        <v>2.234714068851293</v>
      </c>
      <c r="EP15" s="42">
        <v>2.907881570451468</v>
      </c>
      <c r="EQ15" s="42">
        <v>8.4427372017371785E-2</v>
      </c>
      <c r="ES15" s="131" t="s">
        <v>813</v>
      </c>
      <c r="ET15" s="42" cm="1">
        <f t="array" ref="ET15:EU15">TRANSPOSE(_xlfn.MAXIFS(_xlfn.ANCHORARRAY(CR10),_xlfn.ANCHORARRAY(CQ10),_xlfn.ANCHORARRAY(CS10)))</f>
        <v>9.7085240838788316</v>
      </c>
      <c r="EU15" s="42">
        <v>1</v>
      </c>
      <c r="EV15" s="42"/>
      <c r="EW15" s="42"/>
      <c r="EX15" s="42"/>
      <c r="EY15" s="42"/>
    </row>
    <row r="16" spans="1:155" x14ac:dyDescent="0.2">
      <c r="AQ16" s="106">
        <f>COUNTA(_xlfn.ANCHORARRAY(ET11))</f>
        <v>2</v>
      </c>
      <c r="AR16" s="106" t="str">
        <f>" Givet at "&amp;AR18&amp;" = "&amp;B38&amp;" estimeres "&amp;AQ10&amp;" = "&amp;AR40</f>
        <v xml:space="preserve"> Givet at Eksempel 2 (interval) = 1 estimeres Eksempel 1 (interval) = 0.459</v>
      </c>
      <c r="AS16" s="42">
        <v>7</v>
      </c>
      <c r="AT16" s="42">
        <v>2.0228895016109072</v>
      </c>
      <c r="AU16" s="42">
        <v>8</v>
      </c>
      <c r="AV16" s="42">
        <v>5</v>
      </c>
      <c r="AW16" s="42">
        <v>2.234714068851293</v>
      </c>
      <c r="AX16" s="106" t="str">
        <f>" Givet at "&amp;AR18&amp;" = "&amp;C38&amp;" estimeres nedre grænse for konfidensinterval = "&amp;AX52</f>
        <v xml:space="preserve"> Givet at Eksempel 2 (interval) = 1 estimeres nedre grænse for konfidensinterval = -2.825</v>
      </c>
      <c r="AY16" s="42">
        <v>7</v>
      </c>
      <c r="AZ16" s="42">
        <v>5.765285931148707</v>
      </c>
      <c r="BA16" s="42">
        <v>33.238521867901213</v>
      </c>
      <c r="BB16" s="42">
        <v>0.73558146751067677</v>
      </c>
      <c r="BC16" s="42">
        <v>6</v>
      </c>
      <c r="BD16" s="42">
        <v>-2.4858320998824199</v>
      </c>
      <c r="BE16" s="42">
        <v>3.8650430190456255</v>
      </c>
      <c r="BF16" s="42">
        <v>-6.0414348766549502</v>
      </c>
      <c r="BG16" s="106" t="str">
        <f>" Givet at "&amp;AR18&amp;" = "&amp;D38&amp;" estimeres nedre grænse for forudsigelsesinterval = "&amp;BG46</f>
        <v xml:space="preserve"> Givet at Eksempel 2 (interval) = 1 estimeres nedre grænse for forudsigelsesinterval = -9.149</v>
      </c>
      <c r="BH16" s="42">
        <v>6</v>
      </c>
      <c r="BI16" s="42">
        <v>-2.4858320998824199</v>
      </c>
      <c r="BJ16" s="42">
        <v>9.211190374606387</v>
      </c>
      <c r="BK16" s="42">
        <v>-11.387582232215712</v>
      </c>
      <c r="BL16" s="106" t="str">
        <f>"Grænse for signifikans = "&amp;BL24*100&amp;"%"</f>
        <v>Grænse for signifikans = 5%</v>
      </c>
      <c r="BQ16" s="106" t="s">
        <v>785</v>
      </c>
      <c r="BR16" s="42">
        <v>7</v>
      </c>
      <c r="BS16" s="42">
        <v>7</v>
      </c>
      <c r="BT16" s="42">
        <v>1</v>
      </c>
      <c r="BU16" s="42">
        <v>-0.5166495769899232</v>
      </c>
      <c r="BV16" s="42">
        <v>0.85813136649657629</v>
      </c>
      <c r="CP16" s="106" t="s">
        <v>843</v>
      </c>
      <c r="CQ16" s="42">
        <v>1</v>
      </c>
      <c r="CR16" s="42">
        <v>2.0228895016109072</v>
      </c>
      <c r="CT16" s="42">
        <v>0.4079360617173593</v>
      </c>
      <c r="CU16" s="42">
        <v>6</v>
      </c>
      <c r="CV16" s="42">
        <v>0</v>
      </c>
      <c r="CX16" s="42">
        <v>1</v>
      </c>
      <c r="CY16" s="42">
        <v>1</v>
      </c>
      <c r="CZ16" s="42">
        <v>3</v>
      </c>
      <c r="DA16" s="42">
        <v>1</v>
      </c>
      <c r="DB16" s="42">
        <v>0</v>
      </c>
      <c r="DC16" s="42">
        <v>1</v>
      </c>
      <c r="DD16" s="42">
        <v>-2.5</v>
      </c>
      <c r="DJ16" s="42">
        <v>7</v>
      </c>
      <c r="DK16" s="192"/>
      <c r="DL16" s="192"/>
      <c r="DM16" s="192"/>
      <c r="DW16" s="106" t="s">
        <v>870</v>
      </c>
      <c r="DX16" s="42">
        <v>7</v>
      </c>
      <c r="DY16" s="42">
        <v>2.234714068851293</v>
      </c>
      <c r="DZ16" s="42">
        <v>8</v>
      </c>
      <c r="EA16" s="42">
        <v>5.765285931148707</v>
      </c>
      <c r="EB16" s="42">
        <v>-0.50142016125645161</v>
      </c>
      <c r="EC16" s="42">
        <v>-0.12976202782809215</v>
      </c>
      <c r="ED16" s="42">
        <v>0.10463345561407525</v>
      </c>
      <c r="EE16" s="106" t="s">
        <v>870</v>
      </c>
      <c r="EF16" s="42">
        <v>7</v>
      </c>
      <c r="EG16" s="42">
        <v>0.72489490339058404</v>
      </c>
      <c r="EH16" s="42">
        <v>-0.30723615599325882</v>
      </c>
      <c r="EI16" s="42">
        <v>-1.0321310593838429</v>
      </c>
      <c r="EJ16" s="42">
        <v>-0.39698454666325711</v>
      </c>
      <c r="EK16" s="42">
        <v>-0.10331125202115289</v>
      </c>
      <c r="EL16" s="42">
        <v>0.10463345561407525</v>
      </c>
      <c r="EM16" s="106" t="s">
        <v>900</v>
      </c>
      <c r="EN16" s="42">
        <v>-0.30723615599325882</v>
      </c>
      <c r="EO16" s="42">
        <v>0.91319495017121943</v>
      </c>
      <c r="EP16" s="42">
        <v>0.72489490339058404</v>
      </c>
      <c r="EQ16" s="42">
        <v>0.91409189597286977</v>
      </c>
      <c r="ES16" s="131" t="s">
        <v>814</v>
      </c>
      <c r="ET16" s="42" cm="1">
        <f t="array" ref="ET16:EU16">TRANSPOSE(_xlfn.MINIFS(_xlfn.ANCHORARRAY(CR10),_xlfn.ANCHORARRAY(CQ10),_xlfn.ANCHORARRAY(CS10)))</f>
        <v>-3.2725647568992748</v>
      </c>
      <c r="EU16" s="42">
        <v>0</v>
      </c>
      <c r="EV16" s="42"/>
      <c r="EW16" s="42"/>
      <c r="EX16" s="42"/>
      <c r="EY16" s="42"/>
    </row>
    <row r="17" spans="1:155" x14ac:dyDescent="0.2">
      <c r="AQ17" s="131" t="s">
        <v>693</v>
      </c>
      <c r="AR17" s="131" t="s">
        <v>709</v>
      </c>
      <c r="AS17" s="42">
        <v>8</v>
      </c>
      <c r="AT17" s="42">
        <v>9</v>
      </c>
      <c r="AU17" s="42">
        <v>8.4427372017371785E-2</v>
      </c>
      <c r="AV17" s="42">
        <v>5.4220501567463426</v>
      </c>
      <c r="AW17" s="42">
        <v>2.4220592653040312</v>
      </c>
      <c r="AX17" s="131" t="s">
        <v>730</v>
      </c>
      <c r="AY17" s="42">
        <v>8</v>
      </c>
      <c r="AZ17" s="42">
        <v>-2.3376318932866593</v>
      </c>
      <c r="BA17" s="42">
        <v>5.4645228685109712</v>
      </c>
      <c r="BB17" s="42">
        <v>1.6376592668855674</v>
      </c>
      <c r="BC17" s="42">
        <v>7</v>
      </c>
      <c r="BD17" s="42">
        <v>-2.3547099903796109</v>
      </c>
      <c r="BE17" s="42">
        <v>3.8525956692418513</v>
      </c>
      <c r="BF17" s="42">
        <v>-5.9125791001680641</v>
      </c>
      <c r="BG17" s="131" t="s">
        <v>730</v>
      </c>
      <c r="BH17" s="42">
        <v>7</v>
      </c>
      <c r="BI17" s="42">
        <v>-2.3547099903796109</v>
      </c>
      <c r="BJ17" s="42">
        <v>9.2356033341027057</v>
      </c>
      <c r="BK17" s="42">
        <v>-11.295586765028919</v>
      </c>
      <c r="BL17" s="131" t="s">
        <v>772</v>
      </c>
      <c r="BQ17" s="131" t="s">
        <v>990</v>
      </c>
      <c r="BR17" s="42">
        <v>8</v>
      </c>
      <c r="BS17" s="42">
        <v>8</v>
      </c>
      <c r="BT17" s="42">
        <v>1</v>
      </c>
      <c r="BU17" s="42">
        <v>1.1841318168397106</v>
      </c>
      <c r="BV17" s="42">
        <v>3.8178962777348491</v>
      </c>
      <c r="CP17" s="131" t="s">
        <v>820</v>
      </c>
      <c r="CQ17" s="42">
        <v>1</v>
      </c>
      <c r="CR17" s="42">
        <v>9</v>
      </c>
      <c r="CT17" s="42">
        <v>0.94541874779771085</v>
      </c>
      <c r="CU17" s="42">
        <v>7</v>
      </c>
      <c r="CV17" s="42">
        <v>0</v>
      </c>
      <c r="CX17" s="42">
        <v>1</v>
      </c>
      <c r="CY17" s="42">
        <v>1</v>
      </c>
      <c r="CZ17" s="42">
        <v>3</v>
      </c>
      <c r="DA17" s="42">
        <v>2</v>
      </c>
      <c r="DB17" s="42">
        <v>0.40860070309143748</v>
      </c>
      <c r="DC17" s="42">
        <v>2</v>
      </c>
      <c r="DD17" s="42">
        <v>-2.0913992969085626</v>
      </c>
      <c r="DJ17" s="42">
        <v>8</v>
      </c>
      <c r="DK17" s="192"/>
      <c r="DL17" s="192"/>
      <c r="DM17" s="192"/>
      <c r="DW17" s="131" t="s">
        <v>869</v>
      </c>
      <c r="DX17" s="42">
        <v>8</v>
      </c>
      <c r="DY17" s="42">
        <v>2.4220592653040312</v>
      </c>
      <c r="DZ17" s="42">
        <v>8.4427372017371785E-2</v>
      </c>
      <c r="EA17" s="42">
        <v>-2.3376318932866593</v>
      </c>
      <c r="EB17" s="42">
        <v>2.0254818247615214E-2</v>
      </c>
      <c r="EC17" s="42">
        <v>5.2417243904074803E-3</v>
      </c>
      <c r="ED17" s="42">
        <v>0.3186393639643752</v>
      </c>
      <c r="EE17" s="131" t="s">
        <v>885</v>
      </c>
      <c r="EF17" s="42">
        <v>8</v>
      </c>
      <c r="EG17" s="42">
        <v>3.6846598146288567</v>
      </c>
      <c r="EH17" s="42">
        <v>13</v>
      </c>
      <c r="EI17" s="42">
        <v>9.3153401853711433</v>
      </c>
      <c r="EJ17" s="42">
        <v>0.24746935580221296</v>
      </c>
      <c r="EK17" s="42">
        <v>6.4401421162828029E-2</v>
      </c>
      <c r="EL17" s="42">
        <v>0.3186393639643752</v>
      </c>
      <c r="EM17" s="131" t="s">
        <v>894</v>
      </c>
      <c r="EN17" s="42">
        <v>13</v>
      </c>
      <c r="EO17" s="42">
        <v>4.0102868860445335</v>
      </c>
      <c r="EP17" s="42">
        <v>3.6846598146288567</v>
      </c>
      <c r="EQ17" s="42">
        <v>1.2989587493526971</v>
      </c>
      <c r="ES17" s="131" t="s">
        <v>767</v>
      </c>
      <c r="ET17" s="42" cm="1">
        <f t="array" ref="ET17:EU17">MMULT(_xlfn.SEQUENCE(,AQ14,1,0),_xlfn.ANCHORARRAY(EU75)*_xlfn.SEQUENCE(,AQ16,1,0))</f>
        <v>49.708074459969239</v>
      </c>
      <c r="EU17" s="42">
        <v>3</v>
      </c>
      <c r="EV17" s="42"/>
      <c r="EW17" s="42"/>
      <c r="EX17" s="42"/>
      <c r="EY17" s="42"/>
    </row>
    <row r="18" spans="1:155" x14ac:dyDescent="0.2">
      <c r="K18" s="51"/>
      <c r="AQ18" s="106" t="b">
        <f>B6</f>
        <v>1</v>
      </c>
      <c r="AR18" s="106" t="str" cm="1">
        <f t="array" ref="AR18">INDEX(_xlfn.ANCHORARRAY(ET11),,AR44)</f>
        <v>Eksempel 2 (interval)</v>
      </c>
      <c r="AS18" s="42">
        <v>9</v>
      </c>
      <c r="AT18" s="42">
        <v>6.3251059591845431</v>
      </c>
      <c r="AU18" s="42">
        <v>1.3803796539630533</v>
      </c>
      <c r="AV18" s="42">
        <v>6.3251059591845431</v>
      </c>
      <c r="AW18" s="42">
        <v>2.8229195991085057</v>
      </c>
      <c r="AX18" s="106" t="str">
        <f>" Grænser for "&amp;B5*100&amp;"% konfidensinterval"</f>
        <v xml:space="preserve"> Grænser for 95% konfidensinterval</v>
      </c>
      <c r="AY18" s="42">
        <v>9</v>
      </c>
      <c r="AZ18" s="42">
        <v>-1.4425399451454524</v>
      </c>
      <c r="BA18" s="42">
        <v>2.0809214933402447</v>
      </c>
      <c r="BB18" s="42">
        <v>4.7644692480067912</v>
      </c>
      <c r="BC18" s="42">
        <v>8</v>
      </c>
      <c r="BD18" s="42">
        <v>-2.2235878808768019</v>
      </c>
      <c r="BE18" s="42">
        <v>3.8405536763083283</v>
      </c>
      <c r="BF18" s="42">
        <v>-5.7841286805514294</v>
      </c>
      <c r="BG18" s="106" t="str">
        <f>" Grænser for "&amp;B5*100&amp;"% forudsigelsesinterval"</f>
        <v xml:space="preserve"> Grænser for 95% forudsigelsesinterval</v>
      </c>
      <c r="BH18" s="42">
        <v>8</v>
      </c>
      <c r="BI18" s="42">
        <v>-2.2235878808768019</v>
      </c>
      <c r="BJ18" s="42">
        <v>9.2605831796902613</v>
      </c>
      <c r="BK18" s="42">
        <v>-11.204158183933362</v>
      </c>
      <c r="BL18" s="106" cm="1">
        <f t="array" ref="BL18">SUM(--_xlfn.ANCHORARRAY(ET13))</f>
        <v>0</v>
      </c>
      <c r="BQ18" s="106" t="s">
        <v>786</v>
      </c>
      <c r="BR18" s="42">
        <v>9</v>
      </c>
      <c r="BS18" s="42">
        <v>9</v>
      </c>
      <c r="BT18" s="42">
        <v>1</v>
      </c>
      <c r="BU18" s="42">
        <v>0.53208395030024813</v>
      </c>
      <c r="BV18" s="42">
        <v>2.6831776108721312</v>
      </c>
      <c r="CP18" s="106" t="s">
        <v>844</v>
      </c>
      <c r="CQ18" s="42">
        <v>1</v>
      </c>
      <c r="CR18" s="42">
        <v>6.3251059591845431</v>
      </c>
      <c r="CT18" s="42">
        <v>0.73935791009566187</v>
      </c>
      <c r="CU18" s="42">
        <v>8</v>
      </c>
      <c r="CV18" s="42">
        <v>0</v>
      </c>
      <c r="CX18" s="42">
        <v>1</v>
      </c>
      <c r="CY18" s="42">
        <v>1</v>
      </c>
      <c r="CZ18" s="42">
        <v>3</v>
      </c>
      <c r="DA18" s="42">
        <v>3</v>
      </c>
      <c r="DB18" s="42" t="e">
        <v>#N/A</v>
      </c>
      <c r="DC18" s="42" t="e">
        <v>#N/A</v>
      </c>
      <c r="DD18" s="42" t="e">
        <v>#N/A</v>
      </c>
      <c r="DJ18" s="42">
        <v>9</v>
      </c>
      <c r="DK18" s="192"/>
      <c r="DL18" s="192"/>
      <c r="DM18" s="192"/>
      <c r="DW18" s="106" t="s">
        <v>871</v>
      </c>
      <c r="DX18" s="42">
        <v>9</v>
      </c>
      <c r="DY18" s="42">
        <v>2.8229195991085057</v>
      </c>
      <c r="DZ18" s="42">
        <v>1.3803796539630533</v>
      </c>
      <c r="EA18" s="42">
        <v>-1.4425399451454524</v>
      </c>
      <c r="EB18" s="42">
        <v>0.29046156598077322</v>
      </c>
      <c r="EC18" s="42">
        <v>7.5168261510153558E-2</v>
      </c>
      <c r="ED18" s="42">
        <v>0.54852228269809822</v>
      </c>
      <c r="EE18" s="106" t="s">
        <v>871</v>
      </c>
      <c r="EF18" s="42">
        <v>9</v>
      </c>
      <c r="EG18" s="42">
        <v>3.4700056936931274</v>
      </c>
      <c r="EH18" s="42">
        <v>1.3803796539630533</v>
      </c>
      <c r="EI18" s="42">
        <v>-2.0896260397300743</v>
      </c>
      <c r="EJ18" s="42">
        <v>0.37453379845632306</v>
      </c>
      <c r="EK18" s="42">
        <v>9.7468669669861882E-2</v>
      </c>
      <c r="EL18" s="42">
        <v>0.54852228269809822</v>
      </c>
      <c r="EM18" s="106" t="s">
        <v>896</v>
      </c>
      <c r="EN18" s="42">
        <v>1.3803796539630533</v>
      </c>
      <c r="EO18" s="42">
        <v>2.8229195991085057</v>
      </c>
      <c r="EP18" s="42">
        <v>3.4700056936931274</v>
      </c>
      <c r="EQ18" s="42">
        <v>1.3803796539630533</v>
      </c>
      <c r="ES18" s="131" t="s">
        <v>759</v>
      </c>
      <c r="ET18" s="42" cm="1">
        <f t="array" ref="ET18:EU18">MMULT(_xlfn.SEQUENCE(,AQ14,1,0),_xlfn.ANCHORARRAY(EU75)*_xlfn.SEQUENCE(,AQ16,1,0))/AQ14</f>
        <v>4.14233953833077</v>
      </c>
      <c r="EU18" s="42">
        <v>0.25</v>
      </c>
      <c r="EV18" s="42"/>
      <c r="EW18" s="42"/>
      <c r="EX18" s="42"/>
      <c r="EY18" s="42"/>
    </row>
    <row r="19" spans="1:155" x14ac:dyDescent="0.2">
      <c r="K19" s="51"/>
      <c r="AQ19" s="131" t="s">
        <v>812</v>
      </c>
      <c r="AR19" s="131" t="s">
        <v>708</v>
      </c>
      <c r="AS19" s="42">
        <v>10</v>
      </c>
      <c r="AT19" s="42">
        <v>5.4220501567463426</v>
      </c>
      <c r="AU19" s="42">
        <v>13</v>
      </c>
      <c r="AV19" s="42">
        <v>9</v>
      </c>
      <c r="AW19" s="42">
        <v>4.0102868860445335</v>
      </c>
      <c r="AX19" s="131" t="s">
        <v>742</v>
      </c>
      <c r="AY19" s="42">
        <v>10</v>
      </c>
      <c r="AZ19" s="42">
        <v>8.9897131139554673</v>
      </c>
      <c r="BA19" s="42">
        <v>80.814941871222899</v>
      </c>
      <c r="BB19" s="42">
        <v>23.596865160864517</v>
      </c>
      <c r="BC19" s="42">
        <v>9</v>
      </c>
      <c r="BD19" s="42">
        <v>-2.092465771373992</v>
      </c>
      <c r="BE19" s="42">
        <v>3.8289350527234558</v>
      </c>
      <c r="BF19" s="42">
        <v>-5.6561016302834446</v>
      </c>
      <c r="BG19" s="131" t="s">
        <v>742</v>
      </c>
      <c r="BH19" s="42">
        <v>9</v>
      </c>
      <c r="BI19" s="42">
        <v>-2.092465771373992</v>
      </c>
      <c r="BJ19" s="42">
        <v>9.286135451062135</v>
      </c>
      <c r="BK19" s="42">
        <v>-11.113302028622124</v>
      </c>
      <c r="BL19" s="131" t="s">
        <v>648</v>
      </c>
      <c r="BQ19" s="131" t="s">
        <v>805</v>
      </c>
      <c r="BR19" s="42">
        <v>10</v>
      </c>
      <c r="BS19" s="42">
        <v>10</v>
      </c>
      <c r="BT19" s="42">
        <v>1</v>
      </c>
      <c r="BU19" s="42">
        <v>0.31194976914726269</v>
      </c>
      <c r="BV19" s="42">
        <v>2.3000916790148351</v>
      </c>
      <c r="CP19" s="131" t="s">
        <v>832</v>
      </c>
      <c r="CQ19" s="42">
        <v>1</v>
      </c>
      <c r="CR19" s="42">
        <v>5.4220501567463426</v>
      </c>
      <c r="CT19" s="42">
        <v>0.66979087966279172</v>
      </c>
      <c r="CU19" s="42">
        <v>9</v>
      </c>
      <c r="CV19" s="42">
        <v>0</v>
      </c>
      <c r="CX19" s="42">
        <v>1</v>
      </c>
      <c r="CY19" s="42">
        <v>1</v>
      </c>
      <c r="CZ19" s="42">
        <v>4</v>
      </c>
      <c r="DA19" s="42">
        <v>1</v>
      </c>
      <c r="DB19" s="42">
        <v>0</v>
      </c>
      <c r="DC19" s="42">
        <v>1</v>
      </c>
      <c r="DD19" s="42">
        <v>-2.5</v>
      </c>
      <c r="DJ19" s="42">
        <v>10</v>
      </c>
      <c r="DK19" s="192"/>
      <c r="DL19" s="192"/>
      <c r="DM19" s="192"/>
      <c r="DW19" s="131" t="s">
        <v>0</v>
      </c>
      <c r="DX19" s="42">
        <v>10</v>
      </c>
      <c r="DY19" s="42">
        <v>4.0102868860445335</v>
      </c>
      <c r="DZ19" s="42">
        <v>13</v>
      </c>
      <c r="EA19" s="42">
        <v>8.9897131139554673</v>
      </c>
      <c r="EB19" s="42">
        <v>0.3959242933963345</v>
      </c>
      <c r="EC19" s="42">
        <v>0.10246085647768087</v>
      </c>
      <c r="ED19" s="42">
        <v>0.81221780149991241</v>
      </c>
      <c r="EE19" s="131" t="s">
        <v>0</v>
      </c>
      <c r="EF19" s="42">
        <v>10</v>
      </c>
      <c r="EG19" s="42">
        <v>3.0869197618358313</v>
      </c>
      <c r="EH19" s="42">
        <v>8.4427372017371785E-2</v>
      </c>
      <c r="EI19" s="42">
        <v>-3.0024923898184595</v>
      </c>
      <c r="EJ19" s="42">
        <v>0.58377381740650058</v>
      </c>
      <c r="EK19" s="42">
        <v>0.15192128882687186</v>
      </c>
      <c r="EL19" s="42">
        <v>0.81221780149991241</v>
      </c>
      <c r="EM19" s="131" t="s">
        <v>895</v>
      </c>
      <c r="EN19" s="42">
        <v>8.4427372017371785E-2</v>
      </c>
      <c r="EO19" s="42">
        <v>2.4220592653040312</v>
      </c>
      <c r="EP19" s="42">
        <v>3.0869197618358313</v>
      </c>
      <c r="EQ19" s="42">
        <v>1.8110756828005981</v>
      </c>
      <c r="ES19" s="131" t="s">
        <v>765</v>
      </c>
      <c r="ET19" s="42" cm="1">
        <f t="array" ref="ET19:EU19">MMULT(_xlfn.SEQUENCE(,AQ14,1,0),(_xlfn.ANCHORARRAY(EU75)*_xlfn.SEQUENCE(,AQ16,1,0)-MMULT(_xlfn.SEQUENCE(,AQ14,1,0),_xlfn.ANCHORARRAY(EU75)*_xlfn.SEQUENCE(,AQ16,1,0))/AQ14)*(_xlfn.ANCHORARRAY(ET75)-AVERAGE(_xlfn.ANCHORARRAY(ET75))))</f>
        <v>89.642498431144716</v>
      </c>
      <c r="EU19" s="42">
        <v>3.9027937710175147</v>
      </c>
      <c r="EV19" s="42"/>
      <c r="EW19" s="42"/>
      <c r="EX19" s="42"/>
      <c r="EY19" s="42"/>
    </row>
    <row r="20" spans="1:155" x14ac:dyDescent="0.2">
      <c r="K20" s="51"/>
      <c r="AQ20" s="106">
        <f>MAX(_xlfn.ANCHORARRAY(ET75))</f>
        <v>13</v>
      </c>
      <c r="AR20" s="106" t="str">
        <f>ROUND(ET36*100,1)&amp;"%"</f>
        <v>19.5%</v>
      </c>
      <c r="AS20" s="42">
        <v>11</v>
      </c>
      <c r="AT20" s="42">
        <v>9.7085240838788316</v>
      </c>
      <c r="AU20" s="42">
        <v>0.91409189597286977</v>
      </c>
      <c r="AV20" s="42">
        <v>9.7085240838788316</v>
      </c>
      <c r="AW20" s="42">
        <v>4.3247959119600328</v>
      </c>
      <c r="AX20" s="106" t="str">
        <f>"Givet at "&amp;AR18&amp;" = "&amp;C38&amp;" estimeres gennemsnit = "&amp;AX48</f>
        <v>Givet at Eksempel 2 (interval) = 1 estimeres gennemsnit = 0.459</v>
      </c>
      <c r="AY20" s="42">
        <v>11</v>
      </c>
      <c r="AZ20" s="42">
        <v>-3.4107040159871631</v>
      </c>
      <c r="BA20" s="42">
        <v>11.632901884670963</v>
      </c>
      <c r="BB20" s="42">
        <v>30.982410395098082</v>
      </c>
      <c r="BC20" s="42">
        <v>10</v>
      </c>
      <c r="BD20" s="42">
        <v>-1.961343661871183</v>
      </c>
      <c r="BE20" s="42">
        <v>3.8177587756134965</v>
      </c>
      <c r="BF20" s="42">
        <v>-5.528516926490374</v>
      </c>
      <c r="BG20" s="106" t="str">
        <f>"Givet at "&amp;AR18&amp;" = "&amp;D38&amp;" estimeres gennemsnit = "&amp;BG42</f>
        <v>Givet at Eksempel 2 (interval) = 1 estimeres gennemsnit = 0.459</v>
      </c>
      <c r="BH20" s="42">
        <v>10</v>
      </c>
      <c r="BI20" s="42">
        <v>-1.961343661871183</v>
      </c>
      <c r="BJ20" s="42">
        <v>9.3122656630112886</v>
      </c>
      <c r="BK20" s="42">
        <v>-11.023023813888166</v>
      </c>
      <c r="BL20" s="106">
        <v>0</v>
      </c>
      <c r="BQ20" s="106">
        <f>AQ14*AQ16</f>
        <v>24</v>
      </c>
      <c r="BR20" s="42">
        <v>11</v>
      </c>
      <c r="BS20" s="42">
        <v>11</v>
      </c>
      <c r="BT20" s="42">
        <v>1</v>
      </c>
      <c r="BU20" s="42">
        <v>1.3568458048465697</v>
      </c>
      <c r="BV20" s="42">
        <v>4.118459773571125</v>
      </c>
      <c r="CP20" s="106">
        <v>2</v>
      </c>
      <c r="CQ20" s="42">
        <v>1</v>
      </c>
      <c r="CR20" s="42">
        <v>9.7085240838788316</v>
      </c>
      <c r="CT20" s="42">
        <v>1</v>
      </c>
      <c r="CU20" s="42">
        <v>10</v>
      </c>
      <c r="CV20" s="42">
        <v>0</v>
      </c>
      <c r="CX20" s="42">
        <v>1</v>
      </c>
      <c r="CY20" s="42">
        <v>1</v>
      </c>
      <c r="CZ20" s="42">
        <v>4</v>
      </c>
      <c r="DA20" s="42">
        <v>2</v>
      </c>
      <c r="DB20" s="42">
        <v>7.9700010594123294E-2</v>
      </c>
      <c r="DC20" s="42">
        <v>2</v>
      </c>
      <c r="DD20" s="42">
        <v>-2.4202999894058768</v>
      </c>
      <c r="DJ20" s="42">
        <v>11</v>
      </c>
      <c r="DW20" s="106">
        <f>AVERAGE(_xlfn.ANCHORARRAY(EB10))</f>
        <v>0</v>
      </c>
      <c r="DX20" s="42">
        <v>11</v>
      </c>
      <c r="DY20" s="42">
        <v>4.3247959119600328</v>
      </c>
      <c r="DZ20" s="42">
        <v>0.91409189597286977</v>
      </c>
      <c r="EA20" s="42">
        <v>-3.4107040159871631</v>
      </c>
      <c r="EB20" s="42">
        <v>5.765285931148707</v>
      </c>
      <c r="EC20" s="42">
        <v>1.4919926465661257</v>
      </c>
      <c r="ED20" s="42">
        <v>1.1503493803760083</v>
      </c>
      <c r="EE20" s="106">
        <f>AVERAGE(_xlfn.ANCHORARRAY(EJ10))</f>
        <v>0</v>
      </c>
      <c r="EF20" s="42">
        <v>11</v>
      </c>
      <c r="EG20" s="42">
        <v>3.9852233104651327</v>
      </c>
      <c r="EH20" s="42">
        <v>0.91409189597286977</v>
      </c>
      <c r="EI20" s="42">
        <v>-3.071131414492263</v>
      </c>
      <c r="EJ20" s="42">
        <v>5.092118429548532</v>
      </c>
      <c r="EK20" s="42">
        <v>1.3251728179809683</v>
      </c>
      <c r="EL20" s="42">
        <v>1.1503493803760083</v>
      </c>
      <c r="EM20" s="106" t="str">
        <f>AQ10</f>
        <v>Eksempel 1 (interval)</v>
      </c>
      <c r="EN20" s="42">
        <v>0.91409189597286977</v>
      </c>
      <c r="EO20" s="42">
        <v>4.3247959119600328</v>
      </c>
      <c r="EP20" s="42">
        <v>3.9852233104651327</v>
      </c>
      <c r="EQ20" s="42">
        <v>8</v>
      </c>
      <c r="ES20" s="131" t="s">
        <v>766</v>
      </c>
      <c r="ET20" s="42" cm="1">
        <f t="array" ref="ET20:EU20">MMULT(_xlfn.SEQUENCE(,AQ14,1,0),(_xlfn.ANCHORARRAY(EU75)*_xlfn.SEQUENCE(,AQ16,1,0)-MMULT(_xlfn.SEQUENCE(,AQ14,1,0),_xlfn.ANCHORARRAY(EU75)*_xlfn.SEQUENCE(,AQ16,1,0))/AQ14)^2)</f>
        <v>201.94609325648105</v>
      </c>
      <c r="EU20" s="42">
        <v>2.25</v>
      </c>
      <c r="EV20" s="42"/>
      <c r="EW20" s="42"/>
      <c r="EX20" s="42"/>
      <c r="EY20" s="42"/>
    </row>
    <row r="21" spans="1:155" x14ac:dyDescent="0.2">
      <c r="K21" s="51"/>
      <c r="AQ21" s="131" t="s">
        <v>811</v>
      </c>
      <c r="AR21" s="131" t="s">
        <v>718</v>
      </c>
      <c r="AS21" s="42">
        <v>12</v>
      </c>
      <c r="AT21" s="42">
        <v>9.7085240838788316</v>
      </c>
      <c r="AU21" s="42">
        <v>-0.89773712069108735</v>
      </c>
      <c r="AV21" s="42">
        <v>9.7085240838788316</v>
      </c>
      <c r="AW21" s="42">
        <v>4.3247959119600328</v>
      </c>
      <c r="AX21" s="131" t="s">
        <v>750</v>
      </c>
      <c r="AY21" s="42">
        <v>12</v>
      </c>
      <c r="AZ21" s="42">
        <v>-5.2225330326511203</v>
      </c>
      <c r="BA21" s="42">
        <v>27.274851277132107</v>
      </c>
      <c r="BB21" s="42">
        <v>30.982410395098082</v>
      </c>
      <c r="BC21" s="42">
        <v>11</v>
      </c>
      <c r="BD21" s="42">
        <v>-1.8302215523683742</v>
      </c>
      <c r="BE21" s="42">
        <v>3.8070448420359329</v>
      </c>
      <c r="BF21" s="42">
        <v>-5.4013945662296985</v>
      </c>
      <c r="BG21" s="131" t="s">
        <v>750</v>
      </c>
      <c r="BH21" s="42">
        <v>11</v>
      </c>
      <c r="BI21" s="42">
        <v>-1.8302215523683742</v>
      </c>
      <c r="BJ21" s="42">
        <v>9.3389793019001779</v>
      </c>
      <c r="BK21" s="42">
        <v>-10.933329026093944</v>
      </c>
      <c r="BL21" s="131" t="s">
        <v>649</v>
      </c>
      <c r="BQ21" s="131" t="s">
        <v>797</v>
      </c>
      <c r="BR21" s="42">
        <v>12</v>
      </c>
      <c r="BS21" s="42">
        <v>12</v>
      </c>
      <c r="BT21" s="42">
        <v>1</v>
      </c>
      <c r="BU21" s="42">
        <v>1.3568458048465697</v>
      </c>
      <c r="BV21" s="42">
        <v>4.118459773571125</v>
      </c>
      <c r="CP21" s="131" t="s">
        <v>833</v>
      </c>
      <c r="CQ21" s="42">
        <v>1</v>
      </c>
      <c r="CR21" s="42">
        <v>9.7085240838788316</v>
      </c>
      <c r="CT21" s="42">
        <v>1</v>
      </c>
      <c r="CU21" s="42">
        <v>11</v>
      </c>
      <c r="CV21" s="42">
        <v>0</v>
      </c>
      <c r="CX21" s="42">
        <v>1</v>
      </c>
      <c r="CY21" s="42">
        <v>1</v>
      </c>
      <c r="CZ21" s="42">
        <v>4</v>
      </c>
      <c r="DA21" s="42">
        <v>3</v>
      </c>
      <c r="DB21" s="42" t="e">
        <v>#N/A</v>
      </c>
      <c r="DC21" s="42" t="e">
        <v>#N/A</v>
      </c>
      <c r="DD21" s="42" t="e">
        <v>#N/A</v>
      </c>
      <c r="DJ21" s="42">
        <v>12</v>
      </c>
      <c r="DW21" s="131" t="s">
        <v>1</v>
      </c>
      <c r="DX21" s="42">
        <v>12</v>
      </c>
      <c r="DY21" s="42">
        <v>4.3247959119600328</v>
      </c>
      <c r="DZ21" s="42">
        <v>-0.89773712069108735</v>
      </c>
      <c r="EA21" s="42">
        <v>-5.2225330326511203</v>
      </c>
      <c r="EB21" s="42">
        <v>8.9897131139554673</v>
      </c>
      <c r="EC21" s="42">
        <v>2.3264389695392311</v>
      </c>
      <c r="ED21" s="42">
        <v>1.7316643961222455</v>
      </c>
      <c r="EE21" s="131" t="s">
        <v>1</v>
      </c>
      <c r="EF21" s="42">
        <v>12</v>
      </c>
      <c r="EG21" s="42">
        <v>3.9852233104651327</v>
      </c>
      <c r="EH21" s="42">
        <v>-0.89773712069108735</v>
      </c>
      <c r="EI21" s="42">
        <v>-4.8829604311562198</v>
      </c>
      <c r="EJ21" s="42">
        <v>9.3153401853711433</v>
      </c>
      <c r="EK21" s="42">
        <v>2.4242239796049074</v>
      </c>
      <c r="EL21" s="42">
        <v>1.7316643961222455</v>
      </c>
      <c r="EM21" s="131" t="s">
        <v>901</v>
      </c>
      <c r="EN21" s="42">
        <v>-0.89773712069108735</v>
      </c>
      <c r="EO21" s="42">
        <v>4.3247959119600328</v>
      </c>
      <c r="EP21" s="42">
        <v>3.9852233104651327</v>
      </c>
      <c r="EQ21" s="42">
        <v>13</v>
      </c>
      <c r="ES21" s="131" t="s">
        <v>761</v>
      </c>
      <c r="ET21" s="42" cm="1">
        <f t="array" ref="ET21:EU21">MMULT(_xlfn.SEQUENCE(,AQ14,1,0),(_xlfn.ANCHORARRAY(EU75)*_xlfn.SEQUENCE(,AQ16,1,0)-MMULT(_xlfn.SEQUENCE(,AQ14,1,0),_xlfn.ANCHORARRAY(EU75)*_xlfn.SEQUENCE(,AQ16,1,0))/AQ14)*(_xlfn.ANCHORARRAY(ET75)-AVERAGE(_xlfn.ANCHORARRAY(ET75))))/MMULT(_xlfn.SEQUENCE(,AQ14,1,0),(_xlfn.ANCHORARRAY(EU75)*_xlfn.SEQUENCE(,AQ16,1,0)-MMULT(_xlfn.SEQUENCE(,AQ14,1,0),_xlfn.ANCHORARRAY(EU75)*_xlfn.SEQUENCE(,AQ16,1,0))/AQ14)^2)</f>
        <v>0.44389320429831003</v>
      </c>
      <c r="EU21" s="42">
        <v>1.7345750093411176</v>
      </c>
      <c r="EV21" s="42"/>
      <c r="EW21" s="42"/>
      <c r="EX21" s="42"/>
      <c r="EY21" s="42"/>
    </row>
    <row r="22" spans="1:155" x14ac:dyDescent="0.2">
      <c r="AQ22" s="106">
        <f>MIN(_xlfn.ANCHORARRAY(ET75))</f>
        <v>-1.479592604535932</v>
      </c>
      <c r="AR22" s="106">
        <f>ROUND(ET34,AR36)</f>
        <v>0.44400000000000001</v>
      </c>
      <c r="AX22" s="190">
        <f>EU34+ET34*C38</f>
        <v>0.45914125165805242</v>
      </c>
      <c r="BC22" s="42">
        <v>12</v>
      </c>
      <c r="BD22" s="42">
        <v>-1.699099442865565</v>
      </c>
      <c r="BE22" s="42">
        <v>3.7968143270199075</v>
      </c>
      <c r="BF22" s="42">
        <v>-5.2747556245305613</v>
      </c>
      <c r="BG22" s="190">
        <f>EU34+ET34*D38</f>
        <v>0.45914125165805242</v>
      </c>
      <c r="BH22" s="42">
        <v>12</v>
      </c>
      <c r="BI22" s="42">
        <v>-1.699099442865565</v>
      </c>
      <c r="BJ22" s="42">
        <v>9.3662818220569886</v>
      </c>
      <c r="BK22" s="42">
        <v>-10.844223119567642</v>
      </c>
      <c r="BL22" s="106">
        <v>1</v>
      </c>
      <c r="BQ22" s="107" t="s">
        <v>809</v>
      </c>
      <c r="BR22" s="42">
        <v>13</v>
      </c>
      <c r="BS22" s="42">
        <v>1</v>
      </c>
      <c r="BT22" s="42">
        <v>2</v>
      </c>
      <c r="BU22" s="42">
        <v>-0.57735026918962584</v>
      </c>
      <c r="BV22" s="42">
        <v>0</v>
      </c>
      <c r="CP22" s="106">
        <v>-1.5</v>
      </c>
      <c r="CQ22" s="42">
        <v>2</v>
      </c>
      <c r="CR22" s="42">
        <v>0</v>
      </c>
      <c r="CT22" s="42">
        <v>0</v>
      </c>
      <c r="CU22" s="42">
        <v>12</v>
      </c>
      <c r="CV22" s="42">
        <v>0</v>
      </c>
      <c r="CX22" s="42">
        <v>1</v>
      </c>
      <c r="CY22" s="42">
        <v>1</v>
      </c>
      <c r="CZ22" s="42">
        <v>5</v>
      </c>
      <c r="DA22" s="42">
        <v>1</v>
      </c>
      <c r="DB22" s="42">
        <v>0</v>
      </c>
      <c r="DC22" s="42">
        <v>1</v>
      </c>
      <c r="DD22" s="42">
        <v>-2.5</v>
      </c>
      <c r="DW22" s="106">
        <f>_xlfn.STDEV.S(_xlfn.ANCHORARRAY(EB10))</f>
        <v>3.8641517063892494</v>
      </c>
      <c r="EE22" s="106">
        <f>_xlfn.STDEV.S(_xlfn.ANCHORARRAY(EJ10))</f>
        <v>3.8426070626070321</v>
      </c>
      <c r="EM22" s="106">
        <f>ET36</f>
        <v>0.19501904741679588</v>
      </c>
      <c r="ES22" s="131" t="s">
        <v>762</v>
      </c>
      <c r="ET22" s="42" cm="1">
        <f t="array" ref="ET22:EU22">AVERAGE(_xlfn.ANCHORARRAY(ET75))-MMULT(_xlfn.SEQUENCE(,AQ14,1,0),(_xlfn.ANCHORARRAY(EU75)*_xlfn.SEQUENCE(,AQ16,1,0)-MMULT(_xlfn.SEQUENCE(,AQ14,1,0),_xlfn.ANCHORARRAY(EU75)*_xlfn.SEQUENCE(,AQ16,1,0))/AQ14)*(_xlfn.ANCHORARRAY(ET75)-AVERAGE(_xlfn.ANCHORARRAY(ET75))))/MMULT(_xlfn.SEQUENCE(,AQ14,1,0),(_xlfn.ANCHORARRAY(EU75)*_xlfn.SEQUENCE(,AQ16,1,0)-MMULT(_xlfn.SEQUENCE(,AQ14,1,0),_xlfn.ANCHORARRAY(EU75)*_xlfn.SEQUENCE(,AQ16,1,0))/AQ14)^2)*MMULT(_xlfn.SEQUENCE(,AQ14,1,0),_xlfn.ANCHORARRAY(EU75)*_xlfn.SEQUENCE(,AQ16,1,0))/AQ14</f>
        <v>1.5248047359742722E-2</v>
      </c>
      <c r="EU22" s="42">
        <v>1.4203606659856911</v>
      </c>
      <c r="EV22" s="42"/>
      <c r="EW22" s="42"/>
      <c r="EX22" s="42"/>
      <c r="EY22" s="42"/>
    </row>
    <row r="23" spans="1:155" x14ac:dyDescent="0.2">
      <c r="AQ23" s="131" t="s">
        <v>760</v>
      </c>
      <c r="AR23" s="131" t="s">
        <v>719</v>
      </c>
      <c r="AX23" s="131" t="s">
        <v>731</v>
      </c>
      <c r="BC23" s="42">
        <v>13</v>
      </c>
      <c r="BD23" s="42">
        <v>-1.5679773333627558</v>
      </c>
      <c r="BE23" s="42">
        <v>3.787089444375181</v>
      </c>
      <c r="BF23" s="42">
        <v>-5.1486223152027231</v>
      </c>
      <c r="BG23" s="131" t="s">
        <v>731</v>
      </c>
      <c r="BH23" s="42">
        <v>13</v>
      </c>
      <c r="BI23" s="42">
        <v>-1.5679773333627558</v>
      </c>
      <c r="BJ23" s="42">
        <v>9.3941786421017781</v>
      </c>
      <c r="BK23" s="42">
        <v>-10.75571151292932</v>
      </c>
      <c r="BL23" s="131" t="s">
        <v>776</v>
      </c>
      <c r="BQ23" s="131" t="s">
        <v>801</v>
      </c>
      <c r="BR23" s="42">
        <v>14</v>
      </c>
      <c r="BS23" s="42">
        <v>2</v>
      </c>
      <c r="BT23" s="42">
        <v>2</v>
      </c>
      <c r="BU23" s="42">
        <v>-0.57735026918962584</v>
      </c>
      <c r="BV23" s="42">
        <v>0</v>
      </c>
      <c r="CP23" s="131" t="s">
        <v>825</v>
      </c>
      <c r="CQ23" s="42">
        <v>2</v>
      </c>
      <c r="CR23" s="42">
        <v>0</v>
      </c>
      <c r="CT23" s="42">
        <v>0</v>
      </c>
      <c r="CU23" s="42">
        <v>13</v>
      </c>
      <c r="CV23" s="42">
        <v>0</v>
      </c>
      <c r="CX23" s="42">
        <v>1</v>
      </c>
      <c r="CY23" s="42">
        <v>1</v>
      </c>
      <c r="CZ23" s="42">
        <v>5</v>
      </c>
      <c r="DA23" s="42">
        <v>2</v>
      </c>
      <c r="DB23" s="42">
        <v>0.56024304633472843</v>
      </c>
      <c r="DC23" s="42">
        <v>2</v>
      </c>
      <c r="DD23" s="42">
        <v>-1.9397569536652717</v>
      </c>
      <c r="EM23" s="131" t="s">
        <v>902</v>
      </c>
      <c r="ES23" s="131" t="s">
        <v>764</v>
      </c>
      <c r="ET23" s="42" cm="1">
        <f t="array" ref="ET23:EU23">MMULT(_xlfn.SEQUENCE(,AQ14,1,0),(_xlfn.ANCHORARRAY(ET75)-(_xlfn.ANCHORARRAY(ET22)+_xlfn.ANCHORARRAY(ET21)*_xlfn.ANCHORARRAY(EU75)*_xlfn.SEQUENCE(,AQ16,1,0)))^2)</f>
        <v>164.24835250990043</v>
      </c>
      <c r="EU23" s="42">
        <v>197.27035983798831</v>
      </c>
      <c r="EV23" s="42"/>
      <c r="EW23" s="42"/>
      <c r="EX23" s="42"/>
      <c r="EY23" s="42"/>
    </row>
    <row r="24" spans="1:155" x14ac:dyDescent="0.2">
      <c r="AQ24" s="106">
        <f>AVERAGE(_xlfn.ANCHORARRAY(ET75))</f>
        <v>1.8540044183209705</v>
      </c>
      <c r="AR24" s="106">
        <f>ROUND(EU34,AR36)</f>
        <v>1.4999999999999999E-2</v>
      </c>
      <c r="AX24" s="190">
        <f>EU34+ET34*C38+_xlfn.T.INV.2T(1-B5,EU37)*SQRT(AX28/EU37)*SQRT(1/AQ14+(C38-AX30)^2/AX32)</f>
        <v>3.7427861990338451</v>
      </c>
      <c r="BC24" s="42">
        <v>14</v>
      </c>
      <c r="BD24" s="42">
        <v>-1.4368552238599468</v>
      </c>
      <c r="BE24" s="42">
        <v>3.7778936102494756</v>
      </c>
      <c r="BF24" s="42">
        <v>-5.0230180543939058</v>
      </c>
      <c r="BG24" s="190">
        <f>EU34+ET34*D38+_xlfn.T.INV.2T(1-B5,EU37)*SQRT(AX28/EU37)*SQRT(1+(1/AQ14)+(D38-AX30)^2/AX32)</f>
        <v>10.067736689744549</v>
      </c>
      <c r="BH24" s="42">
        <v>14</v>
      </c>
      <c r="BI24" s="42">
        <v>-1.4368552238599468</v>
      </c>
      <c r="BJ24" s="42">
        <v>9.4226751412061684</v>
      </c>
      <c r="BK24" s="42">
        <v>-10.667799585350599</v>
      </c>
      <c r="BL24" s="191">
        <f>1-B5</f>
        <v>5.0000000000000044E-2</v>
      </c>
      <c r="BQ24" s="106">
        <f>COUNTIF(_xlfn.ANCHORARRAY(CK10),"&gt;1")</f>
        <v>1</v>
      </c>
      <c r="BR24" s="42">
        <v>15</v>
      </c>
      <c r="BS24" s="42">
        <v>3</v>
      </c>
      <c r="BT24" s="42">
        <v>2</v>
      </c>
      <c r="BU24" s="42">
        <v>-0.57735026918962584</v>
      </c>
      <c r="BV24" s="42">
        <v>0</v>
      </c>
      <c r="CP24" s="106">
        <f>AQ16*(AQ16-1)/2</f>
        <v>1</v>
      </c>
      <c r="CQ24" s="42">
        <v>2</v>
      </c>
      <c r="CR24" s="42">
        <v>0</v>
      </c>
      <c r="CT24" s="42">
        <v>0</v>
      </c>
      <c r="CU24" s="42">
        <v>14</v>
      </c>
      <c r="CV24" s="42">
        <v>0</v>
      </c>
      <c r="CX24" s="42">
        <v>1</v>
      </c>
      <c r="CY24" s="42">
        <v>1</v>
      </c>
      <c r="CZ24" s="42">
        <v>5</v>
      </c>
      <c r="DA24" s="42">
        <v>3</v>
      </c>
      <c r="DB24" s="42" t="e">
        <v>#N/A</v>
      </c>
      <c r="DC24" s="42" t="e">
        <v>#N/A</v>
      </c>
      <c r="DD24" s="42" t="e">
        <v>#N/A</v>
      </c>
      <c r="EM24" s="106">
        <f>ET43</f>
        <v>0.20397039354139959</v>
      </c>
      <c r="ES24" s="131" t="s">
        <v>780</v>
      </c>
      <c r="ET24" s="42" cm="1">
        <f t="array" ref="ET24:EU24">SQRT(MMULT(_xlfn.SEQUENCE(,AQ14,1,0),(_xlfn.ANCHORARRAY(EU75)-_xlfn.ANCHORARRAY(ET18))^2)/AQ14)</f>
        <v>4.1022970522265636</v>
      </c>
      <c r="EU24" s="42">
        <v>0.4330127018922193</v>
      </c>
      <c r="EV24" s="42"/>
      <c r="EW24" s="42"/>
      <c r="EX24" s="42"/>
      <c r="EY24" s="42"/>
    </row>
    <row r="25" spans="1:155" x14ac:dyDescent="0.2">
      <c r="AQ25" s="131" t="s">
        <v>763</v>
      </c>
      <c r="AR25" s="131" t="s">
        <v>720</v>
      </c>
      <c r="AX25" s="131" t="s">
        <v>732</v>
      </c>
      <c r="BC25" s="42">
        <v>15</v>
      </c>
      <c r="BD25" s="42">
        <v>-1.3057331143571376</v>
      </c>
      <c r="BE25" s="42">
        <v>3.7692515093750201</v>
      </c>
      <c r="BF25" s="42">
        <v>-4.8979675268363385</v>
      </c>
      <c r="BG25" s="131" t="s">
        <v>732</v>
      </c>
      <c r="BH25" s="42">
        <v>15</v>
      </c>
      <c r="BI25" s="42">
        <v>-1.3057331143571376</v>
      </c>
      <c r="BJ25" s="42">
        <v>9.451776655290498</v>
      </c>
      <c r="BK25" s="42">
        <v>-10.580492672751816</v>
      </c>
      <c r="BQ25" s="131" t="s">
        <v>802</v>
      </c>
      <c r="BR25" s="42">
        <v>16</v>
      </c>
      <c r="BS25" s="42">
        <v>4</v>
      </c>
      <c r="BT25" s="42">
        <v>2</v>
      </c>
      <c r="BU25" s="42">
        <v>-0.57735026918962584</v>
      </c>
      <c r="BV25" s="42">
        <v>0</v>
      </c>
      <c r="CP25" s="131" t="s">
        <v>797</v>
      </c>
      <c r="CQ25" s="42">
        <v>2</v>
      </c>
      <c r="CR25" s="42">
        <v>0</v>
      </c>
      <c r="CT25" s="42">
        <v>0</v>
      </c>
      <c r="CU25" s="42">
        <v>15</v>
      </c>
      <c r="CV25" s="42">
        <v>0</v>
      </c>
      <c r="CX25" s="42">
        <v>1</v>
      </c>
      <c r="CY25" s="42">
        <v>1</v>
      </c>
      <c r="CZ25" s="42">
        <v>6</v>
      </c>
      <c r="DA25" s="42">
        <v>1</v>
      </c>
      <c r="DB25" s="42">
        <v>1</v>
      </c>
      <c r="DC25" s="42">
        <v>1</v>
      </c>
      <c r="DD25" s="42">
        <v>-1.5</v>
      </c>
      <c r="EM25" s="131" t="s">
        <v>903</v>
      </c>
      <c r="ES25" s="131" t="s">
        <v>49</v>
      </c>
      <c r="ET25" s="42" cm="1">
        <f t="array" ref="ET25:EU25">INDEX(_xlfn.ANCHORARRAY(ET48),,2):INDEX(_xlfn.ANCHORARRAY(ET48),,AQ16+1)</f>
        <v>0.42421069752609436</v>
      </c>
      <c r="EU25" s="42">
        <v>0.92006454592698861</v>
      </c>
      <c r="EV25" s="42"/>
      <c r="EW25" s="42"/>
      <c r="EX25" s="42"/>
      <c r="EY25" s="42"/>
    </row>
    <row r="26" spans="1:155" x14ac:dyDescent="0.2">
      <c r="AQ26" s="106" cm="1">
        <f t="array" ref="AQ26">SUM((_xlfn.ANCHORARRAY(ET75)-AVERAGE(_xlfn.ANCHORARRAY(ET75)))^2)</f>
        <v>204.04004837980742</v>
      </c>
      <c r="AR26" s="106" t="b">
        <f>AR24&lt;0</f>
        <v>0</v>
      </c>
      <c r="AX26" s="190">
        <f>EU34+ET34*C38-_xlfn.T.INV.2T(1-B5,EU37)*SQRT(AX28/EU37)*SQRT(1/AQ14+(C38-AX30)^2/AX32)</f>
        <v>-2.8245036957177403</v>
      </c>
      <c r="BC26" s="42">
        <v>16</v>
      </c>
      <c r="BD26" s="42">
        <v>-1.1746110048543286</v>
      </c>
      <c r="BE26" s="42">
        <v>3.7611891638972974</v>
      </c>
      <c r="BF26" s="42">
        <v>-4.7734967546755041</v>
      </c>
      <c r="BG26" s="190">
        <f>EU34+ET34*D38-_xlfn.T.INV.2T(1-B5,EU37)*SQRT(AX28/EU37)*SQRT(1+(1/AQ14)+(D38-AX30)^2/AX32)</f>
        <v>-9.1494541864284464</v>
      </c>
      <c r="BH26" s="42">
        <v>16</v>
      </c>
      <c r="BI26" s="42">
        <v>-1.1746110048543286</v>
      </c>
      <c r="BJ26" s="42">
        <v>9.481488473162635</v>
      </c>
      <c r="BK26" s="42">
        <v>-10.493796063940842</v>
      </c>
      <c r="BQ26" s="106">
        <v>3</v>
      </c>
      <c r="BR26" s="42">
        <v>17</v>
      </c>
      <c r="BS26" s="42">
        <v>5</v>
      </c>
      <c r="BT26" s="42">
        <v>2</v>
      </c>
      <c r="BU26" s="42">
        <v>-0.57735026918962584</v>
      </c>
      <c r="BV26" s="42">
        <v>0</v>
      </c>
      <c r="CP26" s="107" t="s">
        <v>854</v>
      </c>
      <c r="CQ26" s="42">
        <v>2</v>
      </c>
      <c r="CR26" s="42">
        <v>0</v>
      </c>
      <c r="CT26" s="42">
        <v>0</v>
      </c>
      <c r="CU26" s="42">
        <v>16</v>
      </c>
      <c r="CV26" s="42">
        <v>0</v>
      </c>
      <c r="CX26" s="42">
        <v>1</v>
      </c>
      <c r="CY26" s="42">
        <v>1</v>
      </c>
      <c r="CZ26" s="42">
        <v>6</v>
      </c>
      <c r="DA26" s="42">
        <v>2</v>
      </c>
      <c r="DB26" s="42">
        <v>0.63727818662732494</v>
      </c>
      <c r="DC26" s="42">
        <v>2</v>
      </c>
      <c r="DD26" s="42">
        <v>-1.8627218133726751</v>
      </c>
      <c r="EM26" s="106">
        <f>1-((1-EM22)*(AQ14-1)/(AQ14-1-1))</f>
        <v>0.11452095215847558</v>
      </c>
      <c r="ES26" s="131" t="s">
        <v>706</v>
      </c>
      <c r="ET26" cm="1">
        <f t="array" ref="ET26:EU26">1-MMULT(_xlfn.SEQUENCE(,AQ14,1,0),(_xlfn.ANCHORARRAY(ET75)-(_xlfn.ANCHORARRAY(ET22)+_xlfn.ANCHORARRAY(ET21)*_xlfn.ANCHORARRAY(EU75)*_xlfn.SEQUENCE(,AQ16,1,0)))^2)/SUM((_xlfn.ANCHORARRAY(ET75)-AVERAGE(_xlfn.ANCHORARRAY(ET75)))^2)</f>
        <v>0.19501904741679588</v>
      </c>
      <c r="EU26">
        <v>3.3178234349453661E-2</v>
      </c>
    </row>
    <row r="27" spans="1:155" x14ac:dyDescent="0.2">
      <c r="B27"/>
      <c r="AQ27" s="131" t="s">
        <v>914</v>
      </c>
      <c r="AR27" s="131" t="s">
        <v>723</v>
      </c>
      <c r="AX27" s="131" t="s">
        <v>733</v>
      </c>
      <c r="BC27" s="42">
        <v>17</v>
      </c>
      <c r="BD27" s="42">
        <v>-1.0434888953515191</v>
      </c>
      <c r="BE27" s="42">
        <v>3.7537340046209176</v>
      </c>
      <c r="BF27" s="42">
        <v>-4.6496331687160124</v>
      </c>
      <c r="BG27" s="131" t="s">
        <v>752</v>
      </c>
      <c r="BH27" s="42">
        <v>17</v>
      </c>
      <c r="BI27" s="42">
        <v>-1.0434888953515191</v>
      </c>
      <c r="BJ27" s="42">
        <v>9.5118158326030038</v>
      </c>
      <c r="BK27" s="42">
        <v>-10.407714996698099</v>
      </c>
      <c r="BQ27" s="131" t="s">
        <v>803</v>
      </c>
      <c r="BR27" s="42">
        <v>18</v>
      </c>
      <c r="BS27" s="42">
        <v>6</v>
      </c>
      <c r="BT27" s="42">
        <v>2</v>
      </c>
      <c r="BU27" s="42">
        <v>1.7320508075688774</v>
      </c>
      <c r="BV27" s="42">
        <v>0.92006454592698861</v>
      </c>
      <c r="CP27" s="131" t="s">
        <v>855</v>
      </c>
      <c r="CQ27" s="42">
        <v>2</v>
      </c>
      <c r="CR27" s="42">
        <v>1</v>
      </c>
      <c r="CT27" s="42">
        <v>1</v>
      </c>
      <c r="CU27" s="42">
        <v>17</v>
      </c>
      <c r="CV27" s="42">
        <v>0</v>
      </c>
      <c r="CX27" s="42">
        <v>1</v>
      </c>
      <c r="CY27" s="42">
        <v>1</v>
      </c>
      <c r="CZ27" s="42">
        <v>6</v>
      </c>
      <c r="DA27" s="42">
        <v>3</v>
      </c>
      <c r="DB27" s="42" t="e">
        <v>#N/A</v>
      </c>
      <c r="DC27" s="42" t="e">
        <v>#N/A</v>
      </c>
      <c r="DD27" s="42" t="e">
        <v>#N/A</v>
      </c>
      <c r="EM27" s="131" t="s">
        <v>904</v>
      </c>
      <c r="ES27" s="131" t="s">
        <v>977</v>
      </c>
      <c r="ET27" s="42" cm="1">
        <f t="array" ref="ET27:EU27">TRANSPOSE(INDEX(INDEX(_xlfn.ANCHORARRAY(A53),1,1):INDEX(_xlfn.ANCHORARRAY(D53),AQ16,1),,2))</f>
        <v>1</v>
      </c>
      <c r="EU27" s="42">
        <v>1</v>
      </c>
      <c r="EV27" s="42"/>
      <c r="EW27" s="42"/>
      <c r="EX27" s="42"/>
      <c r="EY27" s="42"/>
    </row>
    <row r="28" spans="1:155" x14ac:dyDescent="0.2">
      <c r="AQ28" s="106">
        <f>MIN(_xlfn.ANCHORARRAY(AU10),_xlfn.ANCHORARRAY(AW10),_xlfn.ANCHORARRAY(BF10),_xlfn.ANCHORARRAY(BK10),_xlfn.ANCHORARRAY(EO10),_xlfn.ANCHORARRAY(EP10))</f>
        <v>-11.951147136555756</v>
      </c>
      <c r="AR28" s="106" t="str">
        <f>IF(AR26," - "," + ")&amp;ABS(AR24)</f>
        <v xml:space="preserve"> + 0.015</v>
      </c>
      <c r="AX28" s="106">
        <f>SUM(_xlfn.ANCHORARRAY(BA10))</f>
        <v>164.24835250990043</v>
      </c>
      <c r="BC28" s="42">
        <v>18</v>
      </c>
      <c r="BD28" s="42">
        <v>-0.91236678584870967</v>
      </c>
      <c r="BE28" s="42">
        <v>3.7469149444379388</v>
      </c>
      <c r="BF28" s="42">
        <v>-4.5264056818499219</v>
      </c>
      <c r="BG28" s="106">
        <f>IF(AO3&lt;100,100,AO3)</f>
        <v>100</v>
      </c>
      <c r="BH28" s="42">
        <v>18</v>
      </c>
      <c r="BI28" s="42">
        <v>-0.91236678584870967</v>
      </c>
      <c r="BJ28" s="42">
        <v>9.5427639164006752</v>
      </c>
      <c r="BK28" s="42">
        <v>-10.322254653812658</v>
      </c>
      <c r="BQ28" s="106">
        <f>IF(COUNTA(_xlfn.ANCHORARRAY(BQ30))=COUNTA(_xlfn.ANCHORARRAY(BQ34)),COUNTA(_xlfn.ANCHORARRAY(BQ30)),1)</f>
        <v>1</v>
      </c>
      <c r="BR28" s="42">
        <v>19</v>
      </c>
      <c r="BS28" s="42">
        <v>7</v>
      </c>
      <c r="BT28" s="42">
        <v>2</v>
      </c>
      <c r="BU28" s="42">
        <v>-0.57735026918962584</v>
      </c>
      <c r="BV28" s="42">
        <v>0</v>
      </c>
      <c r="CP28" s="106">
        <v>0.7</v>
      </c>
      <c r="CQ28" s="42">
        <v>2</v>
      </c>
      <c r="CR28" s="42">
        <v>0</v>
      </c>
      <c r="CT28" s="42">
        <v>0</v>
      </c>
      <c r="CU28" s="42">
        <v>18</v>
      </c>
      <c r="CV28" s="42">
        <v>0</v>
      </c>
      <c r="CX28" s="42">
        <v>1</v>
      </c>
      <c r="CY28" s="42">
        <v>1</v>
      </c>
      <c r="CZ28" s="42">
        <v>7</v>
      </c>
      <c r="DA28" s="42">
        <v>1</v>
      </c>
      <c r="DB28" s="42">
        <v>0</v>
      </c>
      <c r="DC28" s="42">
        <v>1</v>
      </c>
      <c r="DD28" s="42">
        <v>-2.5</v>
      </c>
      <c r="EM28" s="106">
        <f>1-((1-EM24)*(AQ14-1)/(AQ14-AQ16-1))</f>
        <v>2.7074925439488307E-2</v>
      </c>
      <c r="ES28" s="131" t="s">
        <v>979</v>
      </c>
      <c r="ET28" s="106">
        <f>SUMPRODUCT(_xlfn.ANCHORARRAY(ET27),_xlfn.ANCHORARRAY(ET25))+ET48</f>
        <v>1.2110387803470906</v>
      </c>
    </row>
    <row r="29" spans="1:155" x14ac:dyDescent="0.2">
      <c r="A29" s="3" t="s">
        <v>454</v>
      </c>
      <c r="AQ29" s="131" t="s">
        <v>915</v>
      </c>
      <c r="AR29" s="131" t="s">
        <v>724</v>
      </c>
      <c r="AX29" s="131" t="s">
        <v>734</v>
      </c>
      <c r="BC29" s="42">
        <v>19</v>
      </c>
      <c r="BD29" s="42">
        <v>-0.78124467634590111</v>
      </c>
      <c r="BE29" s="42">
        <v>3.7407624536207549</v>
      </c>
      <c r="BF29" s="42">
        <v>-4.4038447643496266</v>
      </c>
      <c r="BG29" s="131" t="s">
        <v>739</v>
      </c>
      <c r="BH29" s="42">
        <v>19</v>
      </c>
      <c r="BI29" s="42">
        <v>-0.78124467634590111</v>
      </c>
      <c r="BJ29" s="42">
        <v>9.5743378483456283</v>
      </c>
      <c r="BK29" s="42">
        <v>-10.2374201590745</v>
      </c>
      <c r="BQ29" s="131" t="s">
        <v>799</v>
      </c>
      <c r="BR29" s="42">
        <v>20</v>
      </c>
      <c r="BS29" s="42">
        <v>8</v>
      </c>
      <c r="BT29" s="42">
        <v>2</v>
      </c>
      <c r="BU29" s="42">
        <v>-0.57735026918962584</v>
      </c>
      <c r="BV29" s="42">
        <v>0</v>
      </c>
      <c r="CP29" s="131" t="s">
        <v>859</v>
      </c>
      <c r="CQ29" s="42">
        <v>2</v>
      </c>
      <c r="CR29" s="42">
        <v>0</v>
      </c>
      <c r="CT29" s="42">
        <v>0</v>
      </c>
      <c r="CU29" s="42">
        <v>19</v>
      </c>
      <c r="CV29" s="42">
        <v>0</v>
      </c>
      <c r="CX29" s="42">
        <v>1</v>
      </c>
      <c r="CY29" s="42">
        <v>1</v>
      </c>
      <c r="CZ29" s="42">
        <v>7</v>
      </c>
      <c r="DA29" s="42">
        <v>2</v>
      </c>
      <c r="DB29" s="42">
        <v>0.4079360617173593</v>
      </c>
      <c r="DC29" s="42">
        <v>2</v>
      </c>
      <c r="DD29" s="42">
        <v>-2.0920639382826405</v>
      </c>
      <c r="EM29" s="131" t="s">
        <v>909</v>
      </c>
      <c r="ES29" s="131" t="s">
        <v>980</v>
      </c>
      <c r="ET29" s="42" cm="1">
        <f t="array" ref="ET29:EU29">_xlfn.ANCHORARRAY(ET25)*_xlfn.ANCHORARRAY(ET27)</f>
        <v>0.42421069752609436</v>
      </c>
      <c r="EU29" s="42">
        <v>0.92006454592698861</v>
      </c>
    </row>
    <row r="30" spans="1:155" x14ac:dyDescent="0.2">
      <c r="A30" s="194" t="s">
        <v>1130</v>
      </c>
      <c r="B30" s="195"/>
      <c r="C30" s="61" t="str" cm="1">
        <f t="array" ref="C30">IF(AND(AQ14=_xlfn.ANCHORARRAY(ET31)),"Opfyldt","Ikke opfyldt")</f>
        <v>Opfyldt</v>
      </c>
      <c r="AQ30" s="106">
        <f>MAX(_xlfn.ANCHORARRAY(AU10),_xlfn.ANCHORARRAY(AW10),_xlfn.ANCHORARRAY(BE10),_xlfn.ANCHORARRAY(BJ10),_xlfn.ANCHORARRAY(EO10),_xlfn.ANCHORARRAY(EP10))</f>
        <v>14.367118518839385</v>
      </c>
      <c r="AR30" s="189">
        <f>ET34*B38+EU34</f>
        <v>0.45914125165805242</v>
      </c>
      <c r="AX30" s="106">
        <f>AVERAGE(_xlfn.ANCHORARRAY(AT10))</f>
        <v>4.14233953833077</v>
      </c>
      <c r="BC30" s="42">
        <v>20</v>
      </c>
      <c r="BD30" s="42">
        <v>-0.65012256684309122</v>
      </c>
      <c r="BE30" s="42">
        <v>3.7353086365635431</v>
      </c>
      <c r="BF30" s="42">
        <v>-4.2819825206093025</v>
      </c>
      <c r="BG30" s="106">
        <f>MIN(_xlfn.ANCHORARRAY(AT10),D38)</f>
        <v>-3.2725647568992748</v>
      </c>
      <c r="BH30" s="42">
        <v>20</v>
      </c>
      <c r="BI30" s="42">
        <v>-0.65012256684309122</v>
      </c>
      <c r="BJ30" s="42">
        <v>9.6065426891826835</v>
      </c>
      <c r="BK30" s="42">
        <v>-10.153216573228443</v>
      </c>
      <c r="BQ30" s="106" t="str" cm="1">
        <f t="array" ref="BQ30">INDEX(_xlfn.ANCHORARRAY(ET11),MATCH(LARGE(_xlfn.ANCHORARRAY(CK10),_xlfn.SEQUENCE(MIN(BQ24,BQ26))),_xlfn.ANCHORARRAY(CK10),0))</f>
        <v>Eksempel 2 (interval)</v>
      </c>
      <c r="BR30" s="42">
        <v>21</v>
      </c>
      <c r="BS30" s="42">
        <v>9</v>
      </c>
      <c r="BT30" s="42">
        <v>2</v>
      </c>
      <c r="BU30" s="42">
        <v>1.7320508075688774</v>
      </c>
      <c r="BV30" s="42">
        <v>0.92006454592698861</v>
      </c>
      <c r="CP30" s="106">
        <f>COUNTIF(_xlfn.ANCHORARRAY(DK10),"&gt;"&amp;0.7)+COUNTIF(_xlfn.ANCHORARRAY(DK10),"&lt;"&amp;-0.7)</f>
        <v>0</v>
      </c>
      <c r="CQ30" s="42">
        <v>2</v>
      </c>
      <c r="CR30" s="42">
        <v>1</v>
      </c>
      <c r="CT30" s="42">
        <v>1</v>
      </c>
      <c r="CU30" s="42">
        <v>20</v>
      </c>
      <c r="CV30" s="42">
        <v>0</v>
      </c>
      <c r="CX30" s="42">
        <v>1</v>
      </c>
      <c r="CY30" s="42">
        <v>1</v>
      </c>
      <c r="CZ30" s="42">
        <v>7</v>
      </c>
      <c r="DA30" s="42">
        <v>3</v>
      </c>
      <c r="DB30" s="42" t="e">
        <v>#N/A</v>
      </c>
      <c r="DC30" s="42" t="e">
        <v>#N/A</v>
      </c>
      <c r="DD30" s="42" t="e">
        <v>#N/A</v>
      </c>
      <c r="EM30" s="106">
        <v>1</v>
      </c>
      <c r="ES30" s="131" t="s">
        <v>983</v>
      </c>
      <c r="ET30" s="42" cm="1">
        <f t="array" ref="ET30:EU30">(_xlfn.ANCHORARRAY(ET27)-_xlfn.ANCHORARRAY(ET18))/_xlfn.ANCHORARRAY(ET24)</f>
        <v>-0.76599512378686307</v>
      </c>
      <c r="EU30" s="42">
        <v>1.7320508075688774</v>
      </c>
    </row>
    <row r="31" spans="1:155" x14ac:dyDescent="0.2">
      <c r="A31" s="194" t="s">
        <v>942</v>
      </c>
      <c r="B31" s="195"/>
      <c r="C31" s="61" t="s">
        <v>188</v>
      </c>
      <c r="AR31" s="179" t="s">
        <v>606</v>
      </c>
      <c r="AX31" s="131" t="s">
        <v>736</v>
      </c>
      <c r="BC31" s="42">
        <v>21</v>
      </c>
      <c r="BD31" s="42">
        <v>-0.51900045734028266</v>
      </c>
      <c r="BE31" s="42">
        <v>3.7305873094410016</v>
      </c>
      <c r="BF31" s="42">
        <v>-4.1608527668036501</v>
      </c>
      <c r="BG31" s="131" t="s">
        <v>740</v>
      </c>
      <c r="BH31" s="42">
        <v>21</v>
      </c>
      <c r="BI31" s="42">
        <v>-0.51900045734028266</v>
      </c>
      <c r="BJ31" s="42">
        <v>9.6393834325327887</v>
      </c>
      <c r="BK31" s="42">
        <v>-10.069648889895436</v>
      </c>
      <c r="BQ31" s="106"/>
      <c r="BR31" s="42">
        <v>22</v>
      </c>
      <c r="BS31" s="42">
        <v>10</v>
      </c>
      <c r="BT31" s="42">
        <v>2</v>
      </c>
      <c r="BU31" s="42">
        <v>1.7320508075688774</v>
      </c>
      <c r="BV31" s="42">
        <v>0.92006454592698861</v>
      </c>
      <c r="CP31" s="131" t="s">
        <v>857</v>
      </c>
      <c r="CQ31" s="42">
        <v>2</v>
      </c>
      <c r="CR31" s="42">
        <v>1</v>
      </c>
      <c r="CT31" s="42">
        <v>1</v>
      </c>
      <c r="CU31" s="42">
        <v>21</v>
      </c>
      <c r="CV31" s="42">
        <v>0</v>
      </c>
      <c r="CX31" s="42">
        <v>1</v>
      </c>
      <c r="CY31" s="42">
        <v>1</v>
      </c>
      <c r="CZ31" s="42">
        <v>8</v>
      </c>
      <c r="DA31" s="42">
        <v>1</v>
      </c>
      <c r="DB31" s="42">
        <v>0</v>
      </c>
      <c r="DC31" s="42">
        <v>1</v>
      </c>
      <c r="DD31" s="42">
        <v>-2.5</v>
      </c>
      <c r="EM31" s="131" t="s">
        <v>905</v>
      </c>
      <c r="ES31" s="131" t="s">
        <v>1131</v>
      </c>
      <c r="ET31" s="42" cm="1">
        <f t="array" ref="ET31:EU31">INDEX(DataBeregning!B5:CW5,_xlfn.ANCHORARRAY(ET9))</f>
        <v>12</v>
      </c>
      <c r="EU31" s="42">
        <v>12</v>
      </c>
    </row>
    <row r="32" spans="1:155" x14ac:dyDescent="0.2">
      <c r="A32" s="194" t="s">
        <v>943</v>
      </c>
      <c r="B32" s="195"/>
      <c r="C32" s="61" t="s">
        <v>188</v>
      </c>
      <c r="AR32" s="106">
        <f>MAX(LEN(ROUND(ABS(ET34),0)),LEN(ROUND(ABS(EU34),0)))</f>
        <v>1</v>
      </c>
      <c r="AX32" s="106">
        <f>SUM(_xlfn.ANCHORARRAY(BB10))</f>
        <v>201.94609325648102</v>
      </c>
      <c r="BC32" s="42">
        <v>22</v>
      </c>
      <c r="BD32" s="42">
        <v>-0.38787834783747366</v>
      </c>
      <c r="BE32" s="42">
        <v>3.7266340781190403</v>
      </c>
      <c r="BF32" s="42">
        <v>-4.0404911087985775</v>
      </c>
      <c r="BG32" s="106">
        <f>MAX(_xlfn.ANCHORARRAY(AT10),D38)</f>
        <v>9.7085240838788316</v>
      </c>
      <c r="BH32" s="42">
        <v>22</v>
      </c>
      <c r="BI32" s="42">
        <v>-0.38787834783747366</v>
      </c>
      <c r="BJ32" s="42">
        <v>9.6728650007877501</v>
      </c>
      <c r="BK32" s="42">
        <v>-9.986722031467286</v>
      </c>
      <c r="BQ32" s="106"/>
      <c r="BR32" s="42">
        <v>23</v>
      </c>
      <c r="BS32" s="42">
        <v>11</v>
      </c>
      <c r="BT32" s="42">
        <v>2</v>
      </c>
      <c r="BU32" s="42">
        <v>-0.57735026918962584</v>
      </c>
      <c r="BV32" s="42">
        <v>0</v>
      </c>
      <c r="CP32" s="106">
        <v>2</v>
      </c>
      <c r="CQ32" s="42">
        <v>2</v>
      </c>
      <c r="CR32" s="42">
        <v>0</v>
      </c>
      <c r="CT32" s="42">
        <v>0</v>
      </c>
      <c r="CU32" s="42">
        <v>22</v>
      </c>
      <c r="CV32" s="42">
        <v>0</v>
      </c>
      <c r="CX32" s="42">
        <v>1</v>
      </c>
      <c r="CY32" s="42">
        <v>1</v>
      </c>
      <c r="CZ32" s="42">
        <v>8</v>
      </c>
      <c r="DA32" s="42">
        <v>2</v>
      </c>
      <c r="DB32" s="42">
        <v>0.94541874779771085</v>
      </c>
      <c r="DC32" s="42">
        <v>2</v>
      </c>
      <c r="DD32" s="42">
        <v>-1.554581252202289</v>
      </c>
      <c r="EM32" s="106" t="str">
        <f>ROUND(EM22*100,EM30)&amp;"%"</f>
        <v>19.5%</v>
      </c>
    </row>
    <row r="33" spans="1:155" x14ac:dyDescent="0.2">
      <c r="A33" s="194" t="s">
        <v>944</v>
      </c>
      <c r="B33" s="195"/>
      <c r="C33" s="61" t="s">
        <v>188</v>
      </c>
      <c r="E33" s="52"/>
      <c r="AR33" s="179" t="s">
        <v>717</v>
      </c>
      <c r="AX33" s="131" t="s">
        <v>738</v>
      </c>
      <c r="BC33" s="42">
        <v>23</v>
      </c>
      <c r="BD33" s="42">
        <v>-0.25675623833466421</v>
      </c>
      <c r="BE33" s="42">
        <v>3.7234864154973413</v>
      </c>
      <c r="BF33" s="42">
        <v>-3.9209350194937662</v>
      </c>
      <c r="BG33" s="131" t="s">
        <v>287</v>
      </c>
      <c r="BH33" s="42">
        <v>23</v>
      </c>
      <c r="BI33" s="42">
        <v>-0.25675623833466421</v>
      </c>
      <c r="BJ33" s="42">
        <v>9.7069922409846612</v>
      </c>
      <c r="BK33" s="42">
        <v>-9.9044408449810852</v>
      </c>
      <c r="BQ33" s="131" t="s">
        <v>933</v>
      </c>
      <c r="BR33" s="42">
        <v>24</v>
      </c>
      <c r="BS33" s="42">
        <v>12</v>
      </c>
      <c r="BT33" s="42">
        <v>2</v>
      </c>
      <c r="BU33" s="42">
        <v>-0.57735026918962584</v>
      </c>
      <c r="BV33" s="42">
        <v>0</v>
      </c>
      <c r="CP33" s="131" t="s">
        <v>858</v>
      </c>
      <c r="CQ33" s="42">
        <v>2</v>
      </c>
      <c r="CR33" s="42">
        <v>0</v>
      </c>
      <c r="CT33" s="42">
        <v>0</v>
      </c>
      <c r="CU33" s="42">
        <v>23</v>
      </c>
      <c r="CV33" s="42">
        <v>0</v>
      </c>
      <c r="CX33" s="42">
        <v>1</v>
      </c>
      <c r="CY33" s="42">
        <v>1</v>
      </c>
      <c r="CZ33" s="42">
        <v>8</v>
      </c>
      <c r="DA33" s="42">
        <v>3</v>
      </c>
      <c r="DB33" s="42" t="e">
        <v>#N/A</v>
      </c>
      <c r="DC33" s="42" t="e">
        <v>#N/A</v>
      </c>
      <c r="DD33" s="42" t="e">
        <v>#N/A</v>
      </c>
      <c r="EM33" s="131" t="s">
        <v>906</v>
      </c>
      <c r="ES33" s="131" t="s">
        <v>707</v>
      </c>
      <c r="ET33" s="42" t="s">
        <v>54</v>
      </c>
      <c r="EU33" s="42" t="s">
        <v>42</v>
      </c>
      <c r="EV33" s="42"/>
      <c r="EW33" s="42"/>
      <c r="EX33" s="42"/>
      <c r="EY33" s="42"/>
    </row>
    <row r="34" spans="1:155" x14ac:dyDescent="0.2">
      <c r="A34" s="194" t="s">
        <v>945</v>
      </c>
      <c r="B34" s="195"/>
      <c r="C34" s="61" t="s">
        <v>188</v>
      </c>
      <c r="AR34" s="106">
        <v>5</v>
      </c>
      <c r="AX34" s="106">
        <f>IF(AQ14&lt;100,100,AQ14)</f>
        <v>100</v>
      </c>
      <c r="BC34" s="42">
        <v>24</v>
      </c>
      <c r="BD34" s="42">
        <v>-0.12563412883185521</v>
      </c>
      <c r="BE34" s="42">
        <v>3.7211837372866006</v>
      </c>
      <c r="BF34" s="42">
        <v>-3.8022239145999137</v>
      </c>
      <c r="BG34" s="106">
        <f>BG32-BG30</f>
        <v>12.981088840778106</v>
      </c>
      <c r="BH34" s="42">
        <v>24</v>
      </c>
      <c r="BI34" s="42">
        <v>-0.12563412883185521</v>
      </c>
      <c r="BJ34" s="42">
        <v>9.7417699206666324</v>
      </c>
      <c r="BK34" s="42">
        <v>-9.8228100979799446</v>
      </c>
      <c r="BQ34" s="106" t="str" cm="1">
        <f t="array" ref="BQ34">_xlfn.UNIQUE(_xlfn.ANCHORARRAY(BQ30))</f>
        <v>Eksempel 2 (interval)</v>
      </c>
      <c r="CP34" s="106">
        <v>1</v>
      </c>
      <c r="CU34" s="42">
        <v>24</v>
      </c>
      <c r="CV34" s="42">
        <v>0</v>
      </c>
      <c r="CX34" s="42">
        <v>1</v>
      </c>
      <c r="CY34" s="42">
        <v>1</v>
      </c>
      <c r="CZ34" s="42">
        <v>9</v>
      </c>
      <c r="DA34" s="42">
        <v>1</v>
      </c>
      <c r="DB34" s="42">
        <v>1</v>
      </c>
      <c r="DC34" s="42">
        <v>1</v>
      </c>
      <c r="DD34" s="42">
        <v>-1.5</v>
      </c>
      <c r="EM34" s="106" t="str">
        <f>ROUND(EM24*100,EM30)&amp;"%"</f>
        <v>20.4%</v>
      </c>
      <c r="ES34" s="131" t="s">
        <v>700</v>
      </c>
      <c r="ET34" s="108" cm="1">
        <f t="array" ref="ET34:EU38">LINEST(_xlfn.ANCHORARRAY(ET75),INDEX(_xlfn.ANCHORARRAY(EU75),1,AR44):INDEX(_xlfn.ANCHORARRAY(EU75),AQ14,AR44),AQ18,TRUE)</f>
        <v>0.44389320429831014</v>
      </c>
      <c r="EU34" s="108">
        <v>1.5248047359742278E-2</v>
      </c>
      <c r="EV34" s="42"/>
      <c r="EW34" s="42"/>
      <c r="EX34" s="42"/>
      <c r="EY34" s="42"/>
    </row>
    <row r="35" spans="1:155" x14ac:dyDescent="0.2">
      <c r="AR35" s="179" t="s">
        <v>605</v>
      </c>
      <c r="AX35" s="131" t="s">
        <v>739</v>
      </c>
      <c r="BC35" s="42">
        <v>25</v>
      </c>
      <c r="BD35" s="42">
        <v>5.48798067095424E-3</v>
      </c>
      <c r="BE35" s="42">
        <v>3.7197674750225578</v>
      </c>
      <c r="BF35" s="42">
        <v>-3.6843992256527591</v>
      </c>
      <c r="BG35" s="179" t="s">
        <v>743</v>
      </c>
      <c r="BH35" s="42">
        <v>25</v>
      </c>
      <c r="BI35" s="42">
        <v>5.48798067095424E-3</v>
      </c>
      <c r="BJ35" s="42">
        <v>9.7772027237366679</v>
      </c>
      <c r="BK35" s="42">
        <v>-9.7418344743668683</v>
      </c>
      <c r="BQ35" s="106"/>
      <c r="CP35" s="131" t="s">
        <v>864</v>
      </c>
      <c r="CU35" s="42">
        <v>25</v>
      </c>
      <c r="CV35" s="42">
        <v>0</v>
      </c>
      <c r="CX35" s="42">
        <v>1</v>
      </c>
      <c r="CY35" s="42">
        <v>1</v>
      </c>
      <c r="CZ35" s="42">
        <v>9</v>
      </c>
      <c r="DA35" s="42">
        <v>2</v>
      </c>
      <c r="DB35" s="42">
        <v>0.73935791009566187</v>
      </c>
      <c r="DC35" s="42">
        <v>2</v>
      </c>
      <c r="DD35" s="42">
        <v>-1.760642089904338</v>
      </c>
      <c r="EM35" s="131" t="s">
        <v>907</v>
      </c>
      <c r="ES35" s="131" t="s">
        <v>701</v>
      </c>
      <c r="ET35" s="108">
        <v>0.28518900833341465</v>
      </c>
      <c r="EU35" s="108">
        <v>1.6626254529194178</v>
      </c>
      <c r="EV35" s="42"/>
      <c r="EW35" s="42"/>
      <c r="EX35" s="42"/>
      <c r="EY35" s="42"/>
    </row>
    <row r="36" spans="1:155" x14ac:dyDescent="0.2">
      <c r="A36" s="47" t="s">
        <v>946</v>
      </c>
      <c r="AR36" s="106">
        <f>MIN(3,MAX(0,AR34-AR32))</f>
        <v>3</v>
      </c>
      <c r="AX36" s="106">
        <f>MIN(_xlfn.ANCHORARRAY(AT10),C38)</f>
        <v>-3.2725647568992748</v>
      </c>
      <c r="BC36" s="42">
        <v>26</v>
      </c>
      <c r="BD36" s="42">
        <v>0.13661009017376324</v>
      </c>
      <c r="BE36" s="42">
        <v>3.7192811448936158</v>
      </c>
      <c r="BF36" s="42">
        <v>-3.5675044688407054</v>
      </c>
      <c r="BG36" s="106" cm="1">
        <f t="array" ref="BG36">MAX(LEN(ROUND(ABS(_xlfn.ANCHORARRAY(BI10)),0)),LEN(ROUND(ABS(_xlfn.ANCHORARRAY(BK10)),0)),LEN(ROUND(ABS(_xlfn.ANCHORARRAY(BJ10)),0)))</f>
        <v>2</v>
      </c>
      <c r="BH36" s="42">
        <v>26</v>
      </c>
      <c r="BI36" s="42">
        <v>0.13661009017376324</v>
      </c>
      <c r="BJ36" s="42">
        <v>9.8132952463117125</v>
      </c>
      <c r="BK36" s="42">
        <v>-9.6615185702588011</v>
      </c>
      <c r="BQ36" s="106"/>
      <c r="CP36" s="106" cm="1">
        <f t="array" ref="CP36">LARGE(_xlfn.ANCHORARRAY(DU10),_xlfn.SEQUENCE(CP34))</f>
        <v>0.20266958709140057</v>
      </c>
      <c r="CU36" s="42">
        <v>26</v>
      </c>
      <c r="CV36" s="42">
        <v>0</v>
      </c>
      <c r="CX36" s="42">
        <v>1</v>
      </c>
      <c r="CY36" s="42">
        <v>1</v>
      </c>
      <c r="CZ36" s="42">
        <v>9</v>
      </c>
      <c r="DA36" s="42">
        <v>3</v>
      </c>
      <c r="DB36" s="42" t="e">
        <v>#N/A</v>
      </c>
      <c r="DC36" s="42" t="e">
        <v>#N/A</v>
      </c>
      <c r="DD36" s="42" t="e">
        <v>#N/A</v>
      </c>
      <c r="EM36" s="106" t="str">
        <f>ROUND(EM26*100,EM30)&amp;"%"</f>
        <v>11.5%</v>
      </c>
      <c r="ES36" s="131" t="s">
        <v>702</v>
      </c>
      <c r="ET36" s="108">
        <v>0.19501904741679588</v>
      </c>
      <c r="EU36" s="108">
        <v>4.0527565003328343</v>
      </c>
      <c r="EV36" s="42"/>
      <c r="EW36" s="42"/>
      <c r="EX36" s="42"/>
      <c r="EY36" s="42"/>
    </row>
    <row r="37" spans="1:155" x14ac:dyDescent="0.2">
      <c r="A37" s="100" t="s">
        <v>920</v>
      </c>
      <c r="B37" s="131" t="s">
        <v>721</v>
      </c>
      <c r="C37" s="131" t="s">
        <v>44</v>
      </c>
      <c r="D37" s="131" t="s">
        <v>43</v>
      </c>
      <c r="AR37" s="131" t="s">
        <v>916</v>
      </c>
      <c r="AX37" s="131" t="s">
        <v>740</v>
      </c>
      <c r="BC37" s="42">
        <v>27</v>
      </c>
      <c r="BD37" s="42">
        <v>0.26773219967657269</v>
      </c>
      <c r="BE37" s="42">
        <v>3.719770410709021</v>
      </c>
      <c r="BF37" s="42">
        <v>-3.4515853079729988</v>
      </c>
      <c r="BG37" s="179" t="s">
        <v>717</v>
      </c>
      <c r="BH37" s="42">
        <v>27</v>
      </c>
      <c r="BI37" s="42">
        <v>0.26773219967657269</v>
      </c>
      <c r="BJ37" s="42">
        <v>9.8500519925842216</v>
      </c>
      <c r="BK37" s="42">
        <v>-9.5818668898481985</v>
      </c>
      <c r="CP37" s="106"/>
      <c r="CU37" s="42">
        <v>27</v>
      </c>
      <c r="CV37" s="42">
        <v>0</v>
      </c>
      <c r="CX37" s="42">
        <v>1</v>
      </c>
      <c r="CY37" s="42">
        <v>1</v>
      </c>
      <c r="CZ37" s="42">
        <v>10</v>
      </c>
      <c r="DA37" s="42">
        <v>1</v>
      </c>
      <c r="DB37" s="42">
        <v>1</v>
      </c>
      <c r="DC37" s="42">
        <v>1</v>
      </c>
      <c r="DD37" s="42">
        <v>-1.5</v>
      </c>
      <c r="EM37" s="131" t="s">
        <v>908</v>
      </c>
      <c r="ES37" s="58" t="s">
        <v>703</v>
      </c>
      <c r="ET37" s="108">
        <v>2.4226541856794852</v>
      </c>
      <c r="EU37" s="108">
        <v>10</v>
      </c>
      <c r="EV37" s="42"/>
      <c r="EW37" s="42"/>
      <c r="EX37" s="42"/>
      <c r="EY37" s="42"/>
    </row>
    <row r="38" spans="1:155" x14ac:dyDescent="0.2">
      <c r="A38" s="131" t="s">
        <v>114</v>
      </c>
      <c r="B38" s="41">
        <v>1</v>
      </c>
      <c r="C38" s="41">
        <v>1</v>
      </c>
      <c r="D38" s="41">
        <v>1</v>
      </c>
      <c r="AR38" s="106">
        <f>AVERAGE(_xlfn.ANCHORARRAY(AT10))</f>
        <v>4.14233953833077</v>
      </c>
      <c r="AX38" s="106">
        <f>MAX(_xlfn.ANCHORARRAY(AT10),C38)</f>
        <v>9.7085240838788316</v>
      </c>
      <c r="BC38" s="42">
        <v>28</v>
      </c>
      <c r="BD38" s="42">
        <v>0.39885430917938125</v>
      </c>
      <c r="BE38" s="42">
        <v>3.7212831390610166</v>
      </c>
      <c r="BF38" s="42">
        <v>-3.3366896096418834</v>
      </c>
      <c r="BG38" s="106">
        <v>5</v>
      </c>
      <c r="BH38" s="42">
        <v>28</v>
      </c>
      <c r="BI38" s="42">
        <v>0.39885430917938125</v>
      </c>
      <c r="BJ38" s="42">
        <v>9.8874773706987256</v>
      </c>
      <c r="BK38" s="42">
        <v>-9.5028838412795906</v>
      </c>
      <c r="CP38" s="131" t="s">
        <v>862</v>
      </c>
      <c r="CU38" s="42">
        <v>28</v>
      </c>
      <c r="CV38" s="42">
        <v>0</v>
      </c>
      <c r="CX38" s="42">
        <v>1</v>
      </c>
      <c r="CY38" s="42">
        <v>1</v>
      </c>
      <c r="CZ38" s="42">
        <v>10</v>
      </c>
      <c r="DA38" s="42">
        <v>2</v>
      </c>
      <c r="DB38" s="42">
        <v>0.66979087966279172</v>
      </c>
      <c r="DC38" s="42">
        <v>2</v>
      </c>
      <c r="DD38" s="42">
        <v>-1.8302091203372082</v>
      </c>
      <c r="EM38" s="106" t="str">
        <f>ROUND(EM28*100,EM30)&amp;"%"</f>
        <v>2.7%</v>
      </c>
      <c r="ES38" s="58" t="s">
        <v>704</v>
      </c>
      <c r="ET38" s="108">
        <v>39.791695869906988</v>
      </c>
      <c r="EU38" s="108">
        <v>164.24835250990043</v>
      </c>
      <c r="EV38" s="42"/>
      <c r="EW38" s="42"/>
      <c r="EX38" s="42"/>
      <c r="EY38" s="42"/>
    </row>
    <row r="39" spans="1:155" x14ac:dyDescent="0.2">
      <c r="A39" s="100" t="s">
        <v>947</v>
      </c>
      <c r="B39" s="131" t="str">
        <f>"Linjetilpasningsplot ved X = "&amp;B38</f>
        <v>Linjetilpasningsplot ved X = 1</v>
      </c>
      <c r="C39" s="131" t="str">
        <f>"Konfidensinterval ved X = "&amp;C38</f>
        <v>Konfidensinterval ved X = 1</v>
      </c>
      <c r="D39" s="131" t="str">
        <f>"Forudsigelsesinterval ved X = "&amp;D38</f>
        <v>Forudsigelsesinterval ved X = 1</v>
      </c>
      <c r="AR39" s="131" t="s">
        <v>931</v>
      </c>
      <c r="AX39" s="131" t="s">
        <v>287</v>
      </c>
      <c r="BC39" s="42">
        <v>29</v>
      </c>
      <c r="BD39" s="42">
        <v>0.52997641868219025</v>
      </c>
      <c r="BE39" s="42">
        <v>3.7238694444394724</v>
      </c>
      <c r="BF39" s="42">
        <v>-3.2228674883372275</v>
      </c>
      <c r="BG39" s="179" t="s">
        <v>744</v>
      </c>
      <c r="BH39" s="42">
        <v>29</v>
      </c>
      <c r="BI39" s="42">
        <v>0.52997641868219025</v>
      </c>
      <c r="BJ39" s="42">
        <v>9.9255756886510902</v>
      </c>
      <c r="BK39" s="42">
        <v>-9.4245737325488435</v>
      </c>
      <c r="CP39" s="106" cm="1">
        <f t="array" ref="CP39">MATCH(_xlfn.ANCHORARRAY(CP36),_xlfn.ANCHORARRAY(DU10),0)</f>
        <v>1</v>
      </c>
      <c r="CU39" s="42">
        <v>29</v>
      </c>
      <c r="CV39" s="42">
        <v>0</v>
      </c>
      <c r="CX39" s="42">
        <v>1</v>
      </c>
      <c r="CY39" s="42">
        <v>1</v>
      </c>
      <c r="CZ39" s="42">
        <v>10</v>
      </c>
      <c r="DA39" s="42">
        <v>3</v>
      </c>
      <c r="DB39" s="42" t="e">
        <v>#N/A</v>
      </c>
      <c r="DC39" s="42" t="e">
        <v>#N/A</v>
      </c>
      <c r="DD39" s="42" t="e">
        <v>#N/A</v>
      </c>
      <c r="EM39" s="131" t="s">
        <v>916</v>
      </c>
      <c r="ES39" s="131" t="s">
        <v>705</v>
      </c>
      <c r="ET39" s="108" cm="1">
        <f t="array" ref="ET39:EU39">_xlfn.T.DIST.2T(ABS(ET34:EU34/ET35:EU35),EU37)</f>
        <v>0.15064735282307382</v>
      </c>
      <c r="EU39" s="108">
        <v>0.99286303289835531</v>
      </c>
      <c r="EV39" s="42"/>
      <c r="EW39" s="42"/>
      <c r="EX39" s="42"/>
      <c r="EY39" s="42"/>
    </row>
    <row r="40" spans="1:155" x14ac:dyDescent="0.2">
      <c r="A40" s="131" t="s">
        <v>948</v>
      </c>
      <c r="B40" s="109">
        <f>IF(ISBLANK(B38),"X værdi af interesse mangler",AR30)</f>
        <v>0.45914125165805242</v>
      </c>
      <c r="C40" s="109">
        <f>IF(ISBLANK(C38),"X værdi af interesse mangler",AX22)</f>
        <v>0.45914125165805242</v>
      </c>
      <c r="D40" s="109">
        <f>IF(ISBLANK(D38),"X værdi af interesse mangler",BG22)</f>
        <v>0.45914125165805242</v>
      </c>
      <c r="AR40" s="189">
        <f>ROUND(AR30,AR36)</f>
        <v>0.45900000000000002</v>
      </c>
      <c r="AX40" s="106">
        <f>AX38-AX36</f>
        <v>12.981088840778106</v>
      </c>
      <c r="BC40" s="42">
        <v>30</v>
      </c>
      <c r="BD40" s="42">
        <v>0.6610985281849997</v>
      </c>
      <c r="BE40" s="42">
        <v>3.727581721745393</v>
      </c>
      <c r="BF40" s="42">
        <v>-3.1101713389600363</v>
      </c>
      <c r="BG40" s="106">
        <f>MIN(3,MAX(0,BG38-BG36))</f>
        <v>3</v>
      </c>
      <c r="BH40" s="42">
        <v>30</v>
      </c>
      <c r="BI40" s="42">
        <v>0.6610985281849997</v>
      </c>
      <c r="BJ40" s="42">
        <v>9.9643511502183593</v>
      </c>
      <c r="BK40" s="42">
        <v>-9.3469407674330007</v>
      </c>
      <c r="CP40" s="106"/>
      <c r="CU40" s="42">
        <v>30</v>
      </c>
      <c r="CV40" s="42">
        <v>0</v>
      </c>
      <c r="CX40" s="42">
        <v>1</v>
      </c>
      <c r="CY40" s="42">
        <v>1</v>
      </c>
      <c r="CZ40" s="42">
        <v>11</v>
      </c>
      <c r="DA40" s="42">
        <v>1</v>
      </c>
      <c r="DB40" s="42">
        <v>0</v>
      </c>
      <c r="DC40" s="42">
        <v>1</v>
      </c>
      <c r="DD40" s="42">
        <v>-2.5</v>
      </c>
      <c r="EM40" s="106">
        <f>AVERAGE(_xlfn.ANCHORARRAY(EN10))</f>
        <v>1.8540044183209705</v>
      </c>
      <c r="EV40" s="42"/>
      <c r="EW40" s="42"/>
      <c r="EX40" s="42"/>
      <c r="EY40" s="42"/>
    </row>
    <row r="41" spans="1:155" x14ac:dyDescent="0.2">
      <c r="A41" s="131" t="s">
        <v>949</v>
      </c>
      <c r="B41" s="133"/>
      <c r="C41" s="109">
        <f>IF(ISBLANK(C38),"X værdi af interesse mangler",AX24)</f>
        <v>3.7427861990338451</v>
      </c>
      <c r="D41" s="109">
        <f>IF(ISBLANK(D38),"X værdi af interesse mangler",BG24)</f>
        <v>10.067736689744549</v>
      </c>
      <c r="AR41" s="131" t="s">
        <v>934</v>
      </c>
      <c r="AX41" s="179" t="s">
        <v>743</v>
      </c>
      <c r="BC41" s="42">
        <v>31</v>
      </c>
      <c r="BD41" s="42">
        <v>0.7922206376878087</v>
      </c>
      <c r="BE41" s="42">
        <v>3.7324746633267907</v>
      </c>
      <c r="BF41" s="42">
        <v>-2.9986558538583221</v>
      </c>
      <c r="BG41" s="131" t="s">
        <v>751</v>
      </c>
      <c r="BH41" s="42">
        <v>31</v>
      </c>
      <c r="BI41" s="42">
        <v>0.7922206376878087</v>
      </c>
      <c r="BJ41" s="42">
        <v>10.003807850927142</v>
      </c>
      <c r="BK41" s="42">
        <v>-9.2699890414586719</v>
      </c>
      <c r="CP41" s="131" t="s">
        <v>863</v>
      </c>
      <c r="CU41" s="42">
        <v>31</v>
      </c>
      <c r="CV41" s="42">
        <v>0</v>
      </c>
      <c r="CX41" s="42">
        <v>1</v>
      </c>
      <c r="CY41" s="42">
        <v>1</v>
      </c>
      <c r="CZ41" s="42">
        <v>11</v>
      </c>
      <c r="DA41" s="42">
        <v>2</v>
      </c>
      <c r="DB41" s="42">
        <v>1</v>
      </c>
      <c r="DC41" s="42">
        <v>2</v>
      </c>
      <c r="DD41" s="42">
        <v>-1.5</v>
      </c>
      <c r="ES41" s="131" t="s">
        <v>938</v>
      </c>
      <c r="ET41" cm="1">
        <f t="array" ref="ET41:EV45">LINEST(_xlfn.ANCHORARRAY(ET75),INDEX(_xlfn.ANCHORARRAY(EU75),1,1):INDEX(_xlfn.ANCHORARRAY(EU75),AQ14,AQ16),AQ18,TRUE)</f>
        <v>0.92006454592698861</v>
      </c>
      <c r="EU41">
        <v>0.42421069752609436</v>
      </c>
      <c r="EV41">
        <v>-0.13323646310599227</v>
      </c>
    </row>
    <row r="42" spans="1:155" x14ac:dyDescent="0.2">
      <c r="A42" s="131" t="s">
        <v>950</v>
      </c>
      <c r="B42" s="109"/>
      <c r="C42" s="109">
        <f>IF(ISBLANK(C38),"X værdi af interesse mangler",AX26)</f>
        <v>-2.8245036957177403</v>
      </c>
      <c r="D42" s="109">
        <f>IF(ISBLANK(D38),"X værdi af interesse mangler",BG26)</f>
        <v>-9.1494541864284464</v>
      </c>
      <c r="AR42" s="106">
        <f>MAX(_xlfn.ANCHORARRAY(ET26))</f>
        <v>0.19501904741679588</v>
      </c>
      <c r="AX42" s="106" cm="1">
        <f t="array" ref="AX42">MAX(LEN(ROUND(ABS(_xlfn.ANCHORARRAY(BE10)),0)),LEN(ROUND(ABS(_xlfn.ANCHORARRAY(BF10)),0)),LEN(ROUND(ABS(_xlfn.ANCHORARRAY(AW10)),0)))</f>
        <v>1</v>
      </c>
      <c r="BC42" s="42">
        <v>32</v>
      </c>
      <c r="BD42" s="42">
        <v>0.92334274719061771</v>
      </c>
      <c r="BE42" s="42">
        <v>3.7386052573358994</v>
      </c>
      <c r="BF42" s="42">
        <v>-2.8883780211843191</v>
      </c>
      <c r="BG42" s="106">
        <f>ROUND(BG22,BG40)</f>
        <v>0.45900000000000002</v>
      </c>
      <c r="BH42" s="42">
        <v>32</v>
      </c>
      <c r="BI42" s="42">
        <v>0.92334274719061771</v>
      </c>
      <c r="BJ42" s="42">
        <v>10.043949774068713</v>
      </c>
      <c r="BK42" s="42">
        <v>-9.1937225379171341</v>
      </c>
      <c r="CP42" s="106" cm="1">
        <f t="array" ref="CP42">INDEX(_xlfn.ANCHORARRAY(DK10),_xlfn.ANCHORARRAY(CP39))</f>
        <v>0.20266958709140057</v>
      </c>
      <c r="CU42" s="42">
        <v>32</v>
      </c>
      <c r="CV42" s="42">
        <v>0</v>
      </c>
      <c r="CX42" s="42">
        <v>1</v>
      </c>
      <c r="CY42" s="42">
        <v>1</v>
      </c>
      <c r="CZ42" s="42">
        <v>11</v>
      </c>
      <c r="DA42" s="42">
        <v>3</v>
      </c>
      <c r="DB42" s="42" t="e">
        <v>#N/A</v>
      </c>
      <c r="DC42" s="42" t="e">
        <v>#N/A</v>
      </c>
      <c r="DD42" s="42" t="e">
        <v>#N/A</v>
      </c>
      <c r="ES42" s="131" t="s">
        <v>701</v>
      </c>
      <c r="ET42">
        <v>2.8921277738966626</v>
      </c>
      <c r="EU42">
        <v>0.30527483642677944</v>
      </c>
      <c r="EV42">
        <v>1.8042082487124089</v>
      </c>
    </row>
    <row r="43" spans="1:155" x14ac:dyDescent="0.2">
      <c r="AR43" s="131" t="s">
        <v>935</v>
      </c>
      <c r="AX43" s="179" t="s">
        <v>717</v>
      </c>
      <c r="BC43" s="42">
        <v>33</v>
      </c>
      <c r="BD43" s="42">
        <v>1.0544648566934276</v>
      </c>
      <c r="BE43" s="42">
        <v>3.7460327638932136</v>
      </c>
      <c r="BF43" s="42">
        <v>-2.7793971010585214</v>
      </c>
      <c r="BG43" s="131" t="s">
        <v>745</v>
      </c>
      <c r="BH43" s="42">
        <v>33</v>
      </c>
      <c r="BI43" s="42">
        <v>1.0544648566934276</v>
      </c>
      <c r="BJ43" s="42">
        <v>10.08478078676905</v>
      </c>
      <c r="BK43" s="42">
        <v>-9.1181451239343563</v>
      </c>
      <c r="CP43" s="106"/>
      <c r="CU43" s="42">
        <v>33</v>
      </c>
      <c r="CV43" s="42">
        <v>0</v>
      </c>
      <c r="CX43" s="42">
        <v>1</v>
      </c>
      <c r="CY43" s="42">
        <v>1</v>
      </c>
      <c r="CZ43" s="42">
        <v>12</v>
      </c>
      <c r="DA43" s="42">
        <v>1</v>
      </c>
      <c r="DB43" s="42">
        <v>0</v>
      </c>
      <c r="DC43" s="42">
        <v>1</v>
      </c>
      <c r="DD43" s="42">
        <v>-2.5</v>
      </c>
      <c r="ES43" s="131" t="s">
        <v>702</v>
      </c>
      <c r="ET43">
        <v>0.20397039354139959</v>
      </c>
      <c r="EU43">
        <v>4.2481619478124086</v>
      </c>
      <c r="EV43" t="e">
        <v>#N/A</v>
      </c>
    </row>
    <row r="44" spans="1:155" x14ac:dyDescent="0.2">
      <c r="A44" s="47" t="s">
        <v>955</v>
      </c>
      <c r="AR44" s="106">
        <f>_xlfn.XMATCH(AR42,_xlfn.ANCHORARRAY(ET26),0)</f>
        <v>1</v>
      </c>
      <c r="AX44" s="106">
        <v>5</v>
      </c>
      <c r="BC44" s="42">
        <v>34</v>
      </c>
      <c r="BD44" s="42">
        <v>1.1855869661962366</v>
      </c>
      <c r="BE44" s="42">
        <v>3.7548186652575861</v>
      </c>
      <c r="BF44" s="42">
        <v>-2.6717745757397822</v>
      </c>
      <c r="BG44" s="106">
        <f>ROUND(BG24,BG40)</f>
        <v>10.068</v>
      </c>
      <c r="BH44" s="42">
        <v>34</v>
      </c>
      <c r="BI44" s="42">
        <v>1.1855869661962366</v>
      </c>
      <c r="BJ44" s="42">
        <v>10.126304636122065</v>
      </c>
      <c r="BK44" s="42">
        <v>-9.0432605466042588</v>
      </c>
      <c r="CP44" s="131" t="s">
        <v>861</v>
      </c>
      <c r="CU44" s="42">
        <v>34</v>
      </c>
      <c r="CV44" s="42">
        <v>0</v>
      </c>
      <c r="CX44" s="42">
        <v>1</v>
      </c>
      <c r="CY44" s="42">
        <v>1</v>
      </c>
      <c r="CZ44" s="42">
        <v>12</v>
      </c>
      <c r="DA44" s="42">
        <v>2</v>
      </c>
      <c r="DB44" s="42">
        <v>1</v>
      </c>
      <c r="DC44" s="42">
        <v>2</v>
      </c>
      <c r="DD44" s="42">
        <v>-1.5</v>
      </c>
      <c r="ES44" s="58" t="s">
        <v>703</v>
      </c>
      <c r="ET44">
        <v>1.1530560716450364</v>
      </c>
      <c r="EU44">
        <v>9</v>
      </c>
      <c r="EV44" t="e">
        <v>#N/A</v>
      </c>
    </row>
    <row r="45" spans="1:155" x14ac:dyDescent="0.2">
      <c r="A45" s="196" t="s">
        <v>961</v>
      </c>
      <c r="B45" s="200" t="str">
        <f>ET65</f>
        <v>y = β0 + β1 * x1 + β2 * x2</v>
      </c>
      <c r="C45" s="201"/>
      <c r="D45" s="202"/>
      <c r="AM45"/>
      <c r="AN45"/>
      <c r="AX45" s="179" t="s">
        <v>744</v>
      </c>
      <c r="BC45" s="42">
        <v>35</v>
      </c>
      <c r="BD45" s="42">
        <v>1.3167090756990456</v>
      </c>
      <c r="BE45" s="42">
        <v>3.7650265859632701</v>
      </c>
      <c r="BF45" s="42">
        <v>-2.5655740697623544</v>
      </c>
      <c r="BG45" s="131" t="s">
        <v>746</v>
      </c>
      <c r="BH45" s="42">
        <v>35</v>
      </c>
      <c r="BI45" s="42">
        <v>1.3167090756990456</v>
      </c>
      <c r="BJ45" s="42">
        <v>10.168524945394413</v>
      </c>
      <c r="BK45" s="42">
        <v>-8.9690724291934991</v>
      </c>
      <c r="CP45" s="106" cm="1">
        <f t="array" ref="CP45">ROUND(_xlfn.ANCHORARRAY(CP42),2)</f>
        <v>0.2</v>
      </c>
      <c r="CU45" s="42">
        <v>35</v>
      </c>
      <c r="CV45" s="42">
        <v>0</v>
      </c>
      <c r="CX45" s="42">
        <v>1</v>
      </c>
      <c r="CY45" s="42">
        <v>1</v>
      </c>
      <c r="CZ45" s="42">
        <v>12</v>
      </c>
      <c r="DA45" s="42">
        <v>3</v>
      </c>
      <c r="DB45" s="42" t="e">
        <v>#N/A</v>
      </c>
      <c r="DC45" s="42" t="e">
        <v>#N/A</v>
      </c>
      <c r="DD45" s="42" t="e">
        <v>#N/A</v>
      </c>
      <c r="ES45" s="58" t="s">
        <v>704</v>
      </c>
      <c r="ET45">
        <v>41.618128966235531</v>
      </c>
      <c r="EU45">
        <v>162.42191941357189</v>
      </c>
      <c r="EV45" t="e">
        <v>#N/A</v>
      </c>
    </row>
    <row r="46" spans="1:155" x14ac:dyDescent="0.2">
      <c r="A46" s="196" t="s">
        <v>969</v>
      </c>
      <c r="B46" s="200" t="str">
        <f>ET66</f>
        <v>y = -0.133 + x1 * 0.424 + x2 * 0.92</v>
      </c>
      <c r="C46" s="201"/>
      <c r="D46" s="202"/>
      <c r="AM46"/>
      <c r="AN46"/>
      <c r="AX46" s="106">
        <f>MIN(3,MAX(0,AX44-AX42))</f>
        <v>3</v>
      </c>
      <c r="BC46" s="42">
        <v>36</v>
      </c>
      <c r="BD46" s="42">
        <v>1.4478311852018555</v>
      </c>
      <c r="BE46" s="42">
        <v>3.7767221787192868</v>
      </c>
      <c r="BF46" s="42">
        <v>-2.4608612358352584</v>
      </c>
      <c r="BG46" s="106">
        <f>ROUND(BG26,BG40)</f>
        <v>-9.1489999999999991</v>
      </c>
      <c r="BH46" s="42">
        <v>36</v>
      </c>
      <c r="BI46" s="42">
        <v>1.4478311852018555</v>
      </c>
      <c r="BJ46" s="42">
        <v>10.211445210310197</v>
      </c>
      <c r="BK46" s="42">
        <v>-8.8955842674261678</v>
      </c>
      <c r="CP46" s="106"/>
      <c r="ES46" s="131" t="s">
        <v>939</v>
      </c>
      <c r="ET46" t="s">
        <v>41</v>
      </c>
      <c r="EU46" t="str" cm="1">
        <f t="array" ref="EU46:EV46">_xlfn.ANCHORARRAY(ET14)</f>
        <v>x1</v>
      </c>
      <c r="EV46" t="str">
        <v>x2</v>
      </c>
    </row>
    <row r="47" spans="1:155" x14ac:dyDescent="0.2">
      <c r="A47" s="196" t="s">
        <v>970</v>
      </c>
      <c r="B47" s="200" t="str">
        <f>ET67</f>
        <v>Eksempel 1 (interval) = -0.133 + Eksempel 2 (interval) * 0.424 + Eksempel 3 (nominal) * 0.92</v>
      </c>
      <c r="C47" s="201"/>
      <c r="D47" s="202"/>
      <c r="AM47"/>
      <c r="AN47"/>
      <c r="AX47" s="131" t="s">
        <v>751</v>
      </c>
      <c r="BC47" s="42">
        <v>37</v>
      </c>
      <c r="BD47" s="42">
        <v>1.5789532947046636</v>
      </c>
      <c r="BE47" s="42">
        <v>3.789972971803147</v>
      </c>
      <c r="BF47" s="42">
        <v>-2.3577036022360076</v>
      </c>
      <c r="BG47" s="131" t="s">
        <v>916</v>
      </c>
      <c r="BH47" s="42">
        <v>37</v>
      </c>
      <c r="BI47" s="42">
        <v>1.5789532947046636</v>
      </c>
      <c r="BJ47" s="42">
        <v>10.255068795423895</v>
      </c>
      <c r="BK47" s="42">
        <v>-8.8227994258567577</v>
      </c>
      <c r="CP47" s="131" t="s">
        <v>150</v>
      </c>
      <c r="ES47" s="131" t="s">
        <v>937</v>
      </c>
      <c r="ET47" cm="1">
        <f t="array" ref="ET47:EV47">_xlfn.SEQUENCE(,AQ16+1,AQ16+1,-1)</f>
        <v>3</v>
      </c>
      <c r="EU47">
        <v>2</v>
      </c>
      <c r="EV47">
        <v>1</v>
      </c>
    </row>
    <row r="48" spans="1:155" x14ac:dyDescent="0.2">
      <c r="A48" s="196" t="s">
        <v>956</v>
      </c>
      <c r="B48" s="200" t="str">
        <f>ET69</f>
        <v>1.211 = -0.133 + 1 * 0.424 + 1 * 0.92</v>
      </c>
      <c r="C48" s="201"/>
      <c r="D48" s="202"/>
      <c r="AM48"/>
      <c r="AN48"/>
      <c r="AX48" s="106">
        <f>ROUND(AX22,AX46)</f>
        <v>0.45900000000000002</v>
      </c>
      <c r="BC48" s="42">
        <v>38</v>
      </c>
      <c r="BD48" s="42">
        <v>1.7100754042074726</v>
      </c>
      <c r="BE48" s="42">
        <v>3.804848173752954</v>
      </c>
      <c r="BF48" s="42">
        <v>-2.2561703775027038</v>
      </c>
      <c r="BG48" s="106">
        <f>AVERAGE(_xlfn.ANCHORARRAY(BI10))</f>
        <v>3.2179796634897779</v>
      </c>
      <c r="BH48" s="42">
        <v>38</v>
      </c>
      <c r="BI48" s="42">
        <v>1.7100754042074726</v>
      </c>
      <c r="BJ48" s="42">
        <v>10.299398930589822</v>
      </c>
      <c r="BK48" s="42">
        <v>-8.7507211343395728</v>
      </c>
      <c r="CP48" s="106" t="str" cm="1">
        <f t="array" ref="CP48">"Den stærkeste korrelation er mellem "&amp;INDEX(_xlfn.ANCHORARRAY(DM10),_xlfn.ANCHORARRAY(CP39))&amp;" og "&amp;INDEX(_xlfn.ANCHORARRAY(DL10),_xlfn.ANCHORARRAY(CP39))</f>
        <v>Den stærkeste korrelation er mellem Eksempel 2 (interval) og Eksempel 3 (nominal)</v>
      </c>
      <c r="ES48" s="131" t="s">
        <v>49</v>
      </c>
      <c r="ET48" cm="1">
        <f t="array" ref="ET48:EV48">INDEX(_xlfn.ANCHORARRAY(ET41),1,_xlfn.ANCHORARRAY(ET47))</f>
        <v>-0.13323646310599227</v>
      </c>
      <c r="EU48">
        <v>0.42421069752609436</v>
      </c>
      <c r="EV48">
        <v>0.92006454592698861</v>
      </c>
    </row>
    <row r="49" spans="1:152" x14ac:dyDescent="0.2">
      <c r="A49" s="196" t="s">
        <v>962</v>
      </c>
      <c r="B49" s="135">
        <f>ET28</f>
        <v>1.2110387803470906</v>
      </c>
      <c r="AM49"/>
      <c r="AN49"/>
      <c r="AX49" s="131" t="s">
        <v>745</v>
      </c>
      <c r="BC49" s="42">
        <v>39</v>
      </c>
      <c r="BD49" s="42">
        <v>1.8411975137102825</v>
      </c>
      <c r="BE49" s="42">
        <v>3.8214184314052813</v>
      </c>
      <c r="BF49" s="42">
        <v>-2.1563322084719183</v>
      </c>
      <c r="BH49" s="42">
        <v>39</v>
      </c>
      <c r="BI49" s="42">
        <v>1.8411975137102825</v>
      </c>
      <c r="BJ49" s="42">
        <v>10.344438707536275</v>
      </c>
      <c r="BK49" s="42">
        <v>-8.679352484602914</v>
      </c>
      <c r="CP49" s="106"/>
      <c r="ES49" s="131" t="s">
        <v>699</v>
      </c>
      <c r="ET49" cm="1">
        <f t="array" ref="ET49:EV49">INDEX(_xlfn.ANCHORARRAY(ET41),2,_xlfn.ANCHORARRAY(ET47))</f>
        <v>1.8042082487124089</v>
      </c>
      <c r="EU49">
        <v>0.30527483642677944</v>
      </c>
      <c r="EV49">
        <v>2.8921277738966626</v>
      </c>
    </row>
    <row r="50" spans="1:152" x14ac:dyDescent="0.2">
      <c r="AX50" s="106">
        <f>ROUND(AX24,AX46)</f>
        <v>3.7429999999999999</v>
      </c>
      <c r="BC50" s="42">
        <v>40</v>
      </c>
      <c r="BD50" s="42">
        <v>1.9723196232130924</v>
      </c>
      <c r="BE50" s="42">
        <v>3.8397555377779344</v>
      </c>
      <c r="BF50" s="42">
        <v>-2.0582608881614588</v>
      </c>
      <c r="BH50" s="42">
        <v>40</v>
      </c>
      <c r="BI50" s="42">
        <v>1.9723196232130924</v>
      </c>
      <c r="BJ50" s="42">
        <v>10.390191076552485</v>
      </c>
      <c r="BK50" s="42">
        <v>-8.6086964269360085</v>
      </c>
      <c r="ES50" s="131" t="s">
        <v>768</v>
      </c>
      <c r="ET50" cm="1">
        <f t="array" ref="ET50:EV50">_xlfn.T.DIST.2T(ABS(_xlfn.ANCHORARRAY(ET48)/_xlfn.ANCHORARRAY(ET49)),EU44)</f>
        <v>0.94274691579958714</v>
      </c>
      <c r="EU50">
        <v>0.19806158153598377</v>
      </c>
      <c r="EV50">
        <v>0.7576462468032521</v>
      </c>
    </row>
    <row r="51" spans="1:152" x14ac:dyDescent="0.2">
      <c r="A51" s="47" t="s">
        <v>1097</v>
      </c>
      <c r="AM51"/>
      <c r="AN51"/>
      <c r="AX51" s="131" t="s">
        <v>746</v>
      </c>
      <c r="BC51" s="42">
        <v>41</v>
      </c>
      <c r="BD51" s="42">
        <v>2.1034417327159005</v>
      </c>
      <c r="BE51" s="42">
        <v>3.8599320869924476</v>
      </c>
      <c r="BF51" s="42">
        <v>-1.962029010692862</v>
      </c>
      <c r="BH51" s="42">
        <v>41</v>
      </c>
      <c r="BI51" s="42">
        <v>2.1034417327159005</v>
      </c>
      <c r="BJ51" s="42">
        <v>10.436658843296298</v>
      </c>
      <c r="BK51" s="42">
        <v>-8.5387557669967133</v>
      </c>
      <c r="ES51" s="131" t="s">
        <v>51</v>
      </c>
      <c r="ET51" t="b" cm="1">
        <f t="array" ref="ET51:EV51">_xlfn.ANCHORARRAY(ET50)&lt;(1-B5)</f>
        <v>0</v>
      </c>
      <c r="EU51" t="b">
        <v>0</v>
      </c>
      <c r="EV51" t="b">
        <v>0</v>
      </c>
    </row>
    <row r="52" spans="1:152" x14ac:dyDescent="0.2">
      <c r="A52" s="196" t="s">
        <v>952</v>
      </c>
      <c r="B52" s="197" t="s">
        <v>953</v>
      </c>
      <c r="C52" s="197" t="s">
        <v>951</v>
      </c>
      <c r="D52" s="197" t="s">
        <v>954</v>
      </c>
      <c r="AM52"/>
      <c r="AN52"/>
      <c r="AX52" s="106">
        <f>ROUND(AX26,AX46)</f>
        <v>-2.8250000000000002</v>
      </c>
      <c r="BC52" s="42">
        <v>42</v>
      </c>
      <c r="BD52" s="42">
        <v>2.2345638422187095</v>
      </c>
      <c r="BE52" s="42">
        <v>3.8820210744014054</v>
      </c>
      <c r="BF52" s="42">
        <v>-1.867709571418708</v>
      </c>
      <c r="BH52" s="42">
        <v>42</v>
      </c>
      <c r="BI52" s="42">
        <v>2.2345638422187095</v>
      </c>
      <c r="BJ52" s="42">
        <v>10.483844665730373</v>
      </c>
      <c r="BK52" s="42">
        <v>-8.4695331627476769</v>
      </c>
    </row>
    <row r="53" spans="1:152" x14ac:dyDescent="0.2">
      <c r="A53" s="131" t="str" cm="1">
        <f t="array" ref="A53:A54">TRANSPOSE(_xlfn.ANCHORARRAY(ET11))</f>
        <v>Eksempel 2 (interval)</v>
      </c>
      <c r="B53" s="198">
        <v>1</v>
      </c>
      <c r="C53" s="135" cm="1">
        <f t="array" ref="C53:C54">TRANSPOSE(_xlfn.ANCHORARRAY(ET29))</f>
        <v>0.42421069752609436</v>
      </c>
      <c r="D53" s="135" t="b" cm="1">
        <f t="array" ref="D53:D54">TRANSPOSE(_xlfn.ANCHORARRAY(ET13))</f>
        <v>0</v>
      </c>
      <c r="AM53"/>
      <c r="AN53"/>
      <c r="AX53" s="131" t="s">
        <v>916</v>
      </c>
      <c r="BC53" s="42">
        <v>43</v>
      </c>
      <c r="BD53" s="42">
        <v>2.3656859517215194</v>
      </c>
      <c r="BE53" s="42">
        <v>3.9060954413519884</v>
      </c>
      <c r="BF53" s="42">
        <v>-1.7753755116861785</v>
      </c>
      <c r="BH53" s="42">
        <v>43</v>
      </c>
      <c r="BI53" s="42">
        <v>2.3656859517215194</v>
      </c>
      <c r="BJ53" s="42">
        <v>10.531751051194391</v>
      </c>
      <c r="BK53" s="42">
        <v>-8.4010311215285824</v>
      </c>
      <c r="ES53" s="42" t="s">
        <v>963</v>
      </c>
    </row>
    <row r="54" spans="1:152" x14ac:dyDescent="0.2">
      <c r="A54" s="131" t="str">
        <v>Eksempel 3 (nominal)</v>
      </c>
      <c r="B54" s="198">
        <v>1</v>
      </c>
      <c r="C54" s="135">
        <v>0.92006454592698861</v>
      </c>
      <c r="D54" s="135" t="b">
        <v>0</v>
      </c>
      <c r="AM54"/>
      <c r="AN54"/>
      <c r="AX54" s="106">
        <f>AVERAGE(_xlfn.ANCHORARRAY(BD10))</f>
        <v>3.2179796634897779</v>
      </c>
      <c r="BC54" s="42">
        <v>44</v>
      </c>
      <c r="BD54" s="42">
        <v>2.4968080612243275</v>
      </c>
      <c r="BE54" s="42">
        <v>3.9322275655867651</v>
      </c>
      <c r="BF54" s="42">
        <v>-1.6850992092378443</v>
      </c>
      <c r="BH54" s="42">
        <v>44</v>
      </c>
      <c r="BI54" s="42">
        <v>2.4968080612243275</v>
      </c>
      <c r="BJ54" s="42">
        <v>10.580380353620637</v>
      </c>
      <c r="BK54" s="42">
        <v>-8.3332519972717165</v>
      </c>
      <c r="ES54" s="131" t="s">
        <v>958</v>
      </c>
      <c r="ET54" s="42" cm="1">
        <f t="array" ref="ET54">MIN(3,MAX(0,5-MAX(LEN(ROUND(ABS(_xlfn.ANCHORARRAY(ET48)),0)),LEN(ROUND(ABS(ET28),0)))))</f>
        <v>3</v>
      </c>
    </row>
    <row r="55" spans="1:152" x14ac:dyDescent="0.2">
      <c r="A55" s="131"/>
      <c r="B55" s="198">
        <v>1</v>
      </c>
      <c r="C55" s="135"/>
      <c r="D55" s="135"/>
      <c r="AM55"/>
      <c r="AN55"/>
      <c r="BC55" s="42">
        <v>45</v>
      </c>
      <c r="BD55" s="42">
        <v>2.6279301707271374</v>
      </c>
      <c r="BE55" s="42">
        <v>3.960488700143626</v>
      </c>
      <c r="BF55" s="42">
        <v>-1.5969519171115931</v>
      </c>
      <c r="BH55" s="42">
        <v>45</v>
      </c>
      <c r="BI55" s="42">
        <v>2.6279301707271374</v>
      </c>
      <c r="BJ55" s="42">
        <v>10.629734770899974</v>
      </c>
      <c r="BK55" s="42">
        <v>-8.2661979878679421</v>
      </c>
      <c r="ES55" s="131" t="s">
        <v>959</v>
      </c>
      <c r="ET55" s="42">
        <f>ROUND(ET48,ET54)</f>
        <v>-0.13300000000000001</v>
      </c>
    </row>
    <row r="56" spans="1:152" x14ac:dyDescent="0.2">
      <c r="A56" s="131"/>
      <c r="B56" s="198">
        <v>1</v>
      </c>
      <c r="C56" s="135"/>
      <c r="D56" s="135"/>
      <c r="AM56"/>
      <c r="AN56"/>
      <c r="BC56" s="42">
        <v>46</v>
      </c>
      <c r="BD56" s="42">
        <v>2.7590522802299464</v>
      </c>
      <c r="BE56" s="42">
        <v>3.990948365732534</v>
      </c>
      <c r="BF56" s="42">
        <v>-1.5110031560173893</v>
      </c>
      <c r="BH56" s="42">
        <v>46</v>
      </c>
      <c r="BI56" s="42">
        <v>2.7590522802299464</v>
      </c>
      <c r="BJ56" s="42">
        <v>10.679816342404907</v>
      </c>
      <c r="BK56" s="42">
        <v>-8.1998711326897631</v>
      </c>
      <c r="ES56" s="131" t="s">
        <v>957</v>
      </c>
      <c r="ET56" s="42" cm="1">
        <f t="array" ref="ET56:EU56">ROUND(_xlfn.ANCHORARRAY(ET25),ET54)</f>
        <v>0.42399999999999999</v>
      </c>
      <c r="EU56" s="42">
        <v>0.92</v>
      </c>
    </row>
    <row r="57" spans="1:152" x14ac:dyDescent="0.2">
      <c r="A57" s="131"/>
      <c r="B57" s="198">
        <v>1</v>
      </c>
      <c r="C57" s="135"/>
      <c r="D57" s="135"/>
      <c r="BC57" s="42">
        <v>47</v>
      </c>
      <c r="BD57" s="42">
        <v>2.8901743897327563</v>
      </c>
      <c r="BE57" s="42">
        <v>4.0236737038727357</v>
      </c>
      <c r="BF57" s="42">
        <v>-1.427320067474479</v>
      </c>
      <c r="BH57" s="42">
        <v>47</v>
      </c>
      <c r="BI57" s="42">
        <v>2.8901743897327563</v>
      </c>
      <c r="BJ57" s="42">
        <v>10.730626946676173</v>
      </c>
      <c r="BK57" s="42">
        <v>-8.1342733102779174</v>
      </c>
      <c r="ES57" s="131" t="s">
        <v>964</v>
      </c>
      <c r="ET57" s="42" t="s">
        <v>960</v>
      </c>
    </row>
    <row r="58" spans="1:152" x14ac:dyDescent="0.2">
      <c r="A58" s="131"/>
      <c r="B58" s="198">
        <v>1</v>
      </c>
      <c r="C58" s="135"/>
      <c r="D58" s="135"/>
      <c r="BC58" s="42">
        <v>48</v>
      </c>
      <c r="BD58" s="42">
        <v>3.0212964992355644</v>
      </c>
      <c r="BE58" s="42">
        <v>4.0587288004750208</v>
      </c>
      <c r="BF58" s="42">
        <v>-1.3459667373936532</v>
      </c>
      <c r="BH58" s="42">
        <v>48</v>
      </c>
      <c r="BI58" s="42">
        <v>3.0212964992355644</v>
      </c>
      <c r="BJ58" s="42">
        <v>10.782168299278826</v>
      </c>
      <c r="BK58" s="42">
        <v>-8.0694062361974588</v>
      </c>
      <c r="ES58" s="131" t="s">
        <v>1098</v>
      </c>
      <c r="ET58" s="42" t="str">
        <f>AQ10&amp;" = "</f>
        <v xml:space="preserve">Eksempel 1 (interval) = </v>
      </c>
    </row>
    <row r="59" spans="1:152" x14ac:dyDescent="0.2">
      <c r="A59" s="131"/>
      <c r="B59" s="198">
        <v>1</v>
      </c>
      <c r="C59" s="135"/>
      <c r="D59" s="135"/>
      <c r="BC59" s="42">
        <v>49</v>
      </c>
      <c r="BD59" s="42">
        <v>3.1524186087383734</v>
      </c>
      <c r="BE59" s="42">
        <v>4.0961739919247737</v>
      </c>
      <c r="BF59" s="42">
        <v>-1.2670035021602939</v>
      </c>
      <c r="BH59" s="42">
        <v>49</v>
      </c>
      <c r="BI59" s="42">
        <v>3.1524186087383734</v>
      </c>
      <c r="BJ59" s="42">
        <v>10.834441950833515</v>
      </c>
      <c r="BK59" s="42">
        <v>-8.0052714610690359</v>
      </c>
      <c r="ES59" s="131" t="s">
        <v>968</v>
      </c>
      <c r="ET59" s="42" t="s">
        <v>966</v>
      </c>
    </row>
    <row r="60" spans="1:152" x14ac:dyDescent="0.2">
      <c r="A60" s="131"/>
      <c r="B60" s="198">
        <v>1</v>
      </c>
      <c r="C60" s="135"/>
      <c r="D60" s="135"/>
      <c r="BC60" s="42">
        <v>50</v>
      </c>
      <c r="BD60" s="42">
        <v>3.2835407182411833</v>
      </c>
      <c r="BE60" s="42">
        <v>4.1360651679126743</v>
      </c>
      <c r="BF60" s="42">
        <v>-1.1904862514650829</v>
      </c>
      <c r="BH60" s="42">
        <v>50</v>
      </c>
      <c r="BI60" s="42">
        <v>3.2835407182411833</v>
      </c>
      <c r="BJ60" s="42">
        <v>10.88744928522811</v>
      </c>
      <c r="BK60" s="42">
        <v>-7.9418703687805188</v>
      </c>
      <c r="ES60" s="131" t="s">
        <v>967</v>
      </c>
      <c r="ET60" s="42" t="str">
        <f>ET55&amp;" + "</f>
        <v xml:space="preserve">-0.133 + </v>
      </c>
    </row>
    <row r="61" spans="1:152" x14ac:dyDescent="0.2">
      <c r="A61" s="131"/>
      <c r="B61" s="198">
        <v>1</v>
      </c>
      <c r="C61" s="135"/>
      <c r="D61" s="135"/>
      <c r="BC61" s="42">
        <v>51</v>
      </c>
      <c r="BD61" s="42">
        <v>3.4146628277439914</v>
      </c>
      <c r="BE61" s="42">
        <v>4.1784530871042111</v>
      </c>
      <c r="BF61" s="42">
        <v>-1.116465743973508</v>
      </c>
      <c r="BH61" s="42">
        <v>51</v>
      </c>
      <c r="BI61" s="42">
        <v>3.4146628277439914</v>
      </c>
      <c r="BJ61" s="42">
        <v>10.941191518014461</v>
      </c>
      <c r="BK61" s="42">
        <v>-7.8792041748837587</v>
      </c>
      <c r="ES61" s="131" t="s">
        <v>971</v>
      </c>
      <c r="ET61" s="42" t="str" cm="1">
        <f t="array" ref="ET61:EU61">"β"&amp;_xlfn.ANCHORARRAY(ET10)&amp;" * "&amp;_xlfn.ANCHORARRAY(ET14)&amp;IF(_xlfn.ANCHORARRAY(ET10)=AQ16,""," + ")</f>
        <v xml:space="preserve">β1 * x1 + </v>
      </c>
      <c r="EU61" s="42" t="str">
        <v>β2 * x2</v>
      </c>
    </row>
    <row r="62" spans="1:152" x14ac:dyDescent="0.2">
      <c r="A62" s="131"/>
      <c r="B62" s="199">
        <v>1</v>
      </c>
      <c r="C62" s="135"/>
      <c r="D62" s="135"/>
      <c r="BC62" s="42">
        <v>52</v>
      </c>
      <c r="BD62" s="42">
        <v>3.5457849372468013</v>
      </c>
      <c r="BE62" s="42">
        <v>4.223382723065539</v>
      </c>
      <c r="BF62" s="42">
        <v>-1.0449869532517237</v>
      </c>
      <c r="BH62" s="42">
        <v>52</v>
      </c>
      <c r="BI62" s="42">
        <v>3.5457849372468013</v>
      </c>
      <c r="BJ62" s="42">
        <v>10.995669694994625</v>
      </c>
      <c r="BK62" s="42">
        <v>-7.8172739251808103</v>
      </c>
      <c r="ES62" s="131" t="s">
        <v>965</v>
      </c>
      <c r="ET62" t="str" cm="1">
        <f t="array" ref="ET62:EU62">_xlfn.ANCHORARRAY(EU46)&amp;" * "&amp;_xlfn.ANCHORARRAY(ET56)&amp;IF(_xlfn.ANCHORARRAY(ET10)=AQ16,""," + ")</f>
        <v xml:space="preserve">x1 * 0.424 + </v>
      </c>
      <c r="EU62" s="42" t="str">
        <v>x2 * 0.92</v>
      </c>
    </row>
    <row r="63" spans="1:152" x14ac:dyDescent="0.2">
      <c r="A63" s="131"/>
      <c r="B63" s="199">
        <v>1</v>
      </c>
      <c r="C63" s="135"/>
      <c r="D63" s="135"/>
      <c r="BC63" s="42">
        <v>53</v>
      </c>
      <c r="BD63" s="42">
        <v>3.6769070467496103</v>
      </c>
      <c r="BE63" s="42">
        <v>4.2708926585130067</v>
      </c>
      <c r="BF63" s="42">
        <v>-0.97608846201608035</v>
      </c>
      <c r="BH63" s="42">
        <v>53</v>
      </c>
      <c r="BI63" s="42">
        <v>3.6769070467496103</v>
      </c>
      <c r="BJ63" s="42">
        <v>11.050884691000324</v>
      </c>
      <c r="BK63" s="42">
        <v>-7.7560804945033972</v>
      </c>
      <c r="ES63" s="131" t="s">
        <v>974</v>
      </c>
      <c r="ET63" s="42" t="str" cm="1">
        <f t="array" ref="ET63:EU63">_xlfn.ANCHORARRAY(ET11)&amp;" * "&amp;_xlfn.ANCHORARRAY(ET56)&amp;IF(_xlfn.ANCHORARRAY(ET10)=AQ16,""," + ")</f>
        <v xml:space="preserve">Eksempel 2 (interval) * 0.424 + </v>
      </c>
      <c r="EU63" s="42" t="str">
        <v>Eksempel 3 (nominal) * 0.92</v>
      </c>
    </row>
    <row r="64" spans="1:152" x14ac:dyDescent="0.2">
      <c r="A64" s="131"/>
      <c r="B64" s="199">
        <v>1</v>
      </c>
      <c r="C64" s="135"/>
      <c r="D64" s="135"/>
      <c r="BC64" s="42">
        <v>54</v>
      </c>
      <c r="BD64" s="42">
        <v>3.8080291562524202</v>
      </c>
      <c r="BE64" s="42">
        <v>4.3210145457979081</v>
      </c>
      <c r="BF64" s="42">
        <v>-0.90980192261786863</v>
      </c>
      <c r="BH64" s="42">
        <v>54</v>
      </c>
      <c r="BI64" s="42">
        <v>3.8080291562524202</v>
      </c>
      <c r="BJ64" s="42">
        <v>11.106837208868976</v>
      </c>
      <c r="BK64" s="42">
        <v>-7.6956245856889378</v>
      </c>
      <c r="ES64" s="131" t="s">
        <v>976</v>
      </c>
      <c r="ET64" s="42" t="str" cm="1">
        <f t="array" ref="ET64:EU64">_xlfn.ANCHORARRAY(ET27)&amp;" * "&amp;_xlfn.ANCHORARRAY(ET56)&amp;IF(_xlfn.ANCHORARRAY(ET10)=AQ16,""," + ")</f>
        <v xml:space="preserve">1 * 0.424 + </v>
      </c>
      <c r="EU64" s="42" t="str">
        <v>1 * 0.92</v>
      </c>
    </row>
    <row r="65" spans="1:155" x14ac:dyDescent="0.2">
      <c r="A65" s="131"/>
      <c r="B65" s="199">
        <v>1</v>
      </c>
      <c r="C65" s="135"/>
      <c r="D65" s="135"/>
      <c r="BC65" s="42">
        <v>55</v>
      </c>
      <c r="BD65" s="42">
        <v>3.9391512657552283</v>
      </c>
      <c r="BE65" s="42">
        <v>4.3737726504959626</v>
      </c>
      <c r="BF65" s="42">
        <v>-0.84615160063281292</v>
      </c>
      <c r="BH65" s="42">
        <v>55</v>
      </c>
      <c r="BI65" s="42">
        <v>3.9391512657552283</v>
      </c>
      <c r="BJ65" s="42">
        <v>11.163527778619086</v>
      </c>
      <c r="BK65" s="42">
        <v>-7.6359067287559359</v>
      </c>
      <c r="ES65" s="131" t="s">
        <v>973</v>
      </c>
      <c r="ET65" s="42" t="str">
        <f>_xlfn.CONCAT(ET57,ET59,_xlfn.ANCHORARRAY(ET61))</f>
        <v>y = β0 + β1 * x1 + β2 * x2</v>
      </c>
    </row>
    <row r="66" spans="1:155" x14ac:dyDescent="0.2">
      <c r="A66" s="131"/>
      <c r="B66" s="199">
        <v>1</v>
      </c>
      <c r="C66" s="135"/>
      <c r="D66" s="135"/>
      <c r="BC66" s="42">
        <v>56</v>
      </c>
      <c r="BD66" s="42">
        <v>4.0702733752580373</v>
      </c>
      <c r="BE66" s="42">
        <v>4.4291834930244667</v>
      </c>
      <c r="BF66" s="42">
        <v>-0.78515401647820515</v>
      </c>
      <c r="BH66" s="42">
        <v>56</v>
      </c>
      <c r="BI66" s="42">
        <v>4.0702733752580373</v>
      </c>
      <c r="BJ66" s="42">
        <v>11.220956756827228</v>
      </c>
      <c r="BK66" s="42">
        <v>-7.576927280280966</v>
      </c>
      <c r="ES66" s="131" t="s">
        <v>972</v>
      </c>
      <c r="ET66" s="42" t="str">
        <f>_xlfn.CONCAT(ET57,ET60,_xlfn.ANCHORARRAY(ET62))</f>
        <v>y = -0.133 + x1 * 0.424 + x2 * 0.92</v>
      </c>
    </row>
    <row r="67" spans="1:155" x14ac:dyDescent="0.2">
      <c r="A67" s="131"/>
      <c r="B67" s="199">
        <v>1</v>
      </c>
      <c r="C67" s="135"/>
      <c r="D67" s="135"/>
      <c r="BC67" s="42">
        <v>57</v>
      </c>
      <c r="BD67" s="42">
        <v>4.2013954847608472</v>
      </c>
      <c r="BE67" s="42">
        <v>4.4872556004126256</v>
      </c>
      <c r="BF67" s="42">
        <v>-0.72681769718325206</v>
      </c>
      <c r="BH67" s="42">
        <v>57</v>
      </c>
      <c r="BI67" s="42">
        <v>4.2013954847608472</v>
      </c>
      <c r="BJ67" s="42">
        <v>11.279124326208352</v>
      </c>
      <c r="BK67" s="42">
        <v>-7.5186864229789787</v>
      </c>
      <c r="ES67" s="131" t="s">
        <v>975</v>
      </c>
      <c r="ET67" s="42" t="str">
        <f>_xlfn.CONCAT(ET58,ET60,_xlfn.ANCHORARRAY(ET63))</f>
        <v>Eksempel 1 (interval) = -0.133 + Eksempel 2 (interval) * 0.424 + Eksempel 3 (nominal) * 0.92</v>
      </c>
    </row>
    <row r="68" spans="1:155" x14ac:dyDescent="0.2">
      <c r="A68" s="131"/>
      <c r="B68" s="199">
        <v>1</v>
      </c>
      <c r="C68" s="135"/>
      <c r="D68" s="135"/>
      <c r="BC68" s="42">
        <v>58</v>
      </c>
      <c r="BD68" s="42">
        <v>4.3325175942636553</v>
      </c>
      <c r="BE68" s="42">
        <v>4.5479893768298627</v>
      </c>
      <c r="BF68" s="42">
        <v>-0.67114304691737825</v>
      </c>
      <c r="BH68" s="42">
        <v>58</v>
      </c>
      <c r="BI68" s="42">
        <v>4.3325175942636553</v>
      </c>
      <c r="BJ68" s="42">
        <v>11.33803049540056</v>
      </c>
      <c r="BK68" s="42">
        <v>-7.4611841654880742</v>
      </c>
      <c r="ES68" s="131" t="s">
        <v>978</v>
      </c>
      <c r="ET68" s="42" t="str">
        <f>ROUND(ET28,ET54)&amp;" = "</f>
        <v xml:space="preserve">1.211 = </v>
      </c>
      <c r="EV68" s="42"/>
      <c r="EW68" s="42"/>
      <c r="EX68" s="42"/>
      <c r="EY68" s="42"/>
    </row>
    <row r="69" spans="1:155" x14ac:dyDescent="0.2">
      <c r="A69" s="131"/>
      <c r="B69" s="199">
        <v>1</v>
      </c>
      <c r="C69" s="135"/>
      <c r="D69" s="135"/>
      <c r="BC69" s="42">
        <v>59</v>
      </c>
      <c r="BD69" s="42">
        <v>4.4636397037664652</v>
      </c>
      <c r="BE69" s="42">
        <v>4.6113770974262263</v>
      </c>
      <c r="BF69" s="42">
        <v>-0.61812234083062934</v>
      </c>
      <c r="BH69" s="42">
        <v>59</v>
      </c>
      <c r="BI69" s="42">
        <v>4.4636397037664652</v>
      </c>
      <c r="BJ69" s="42">
        <v>11.397675098954911</v>
      </c>
      <c r="BK69" s="42">
        <v>-7.4044203423593142</v>
      </c>
      <c r="ES69" s="131" t="s">
        <v>956</v>
      </c>
      <c r="ET69" s="42" t="str">
        <f>_xlfn.CONCAT(ET68,ET60,_xlfn.ANCHORARRAY(ET64))</f>
        <v>1.211 = -0.133 + 1 * 0.424 + 1 * 0.92</v>
      </c>
      <c r="EV69" s="42"/>
      <c r="EW69" s="42"/>
      <c r="EX69" s="42"/>
      <c r="EY69" s="42"/>
    </row>
    <row r="70" spans="1:155" x14ac:dyDescent="0.2">
      <c r="A70" s="131"/>
      <c r="B70" s="199">
        <v>1</v>
      </c>
      <c r="C70" s="135"/>
      <c r="D70" s="135"/>
      <c r="BC70" s="42">
        <v>60</v>
      </c>
      <c r="BD70" s="42">
        <v>4.5947618132692742</v>
      </c>
      <c r="BE70" s="42">
        <v>4.6774030257026569</v>
      </c>
      <c r="BF70" s="42">
        <v>-0.56773984242394793</v>
      </c>
      <c r="BH70" s="42">
        <v>60</v>
      </c>
      <c r="BI70" s="42">
        <v>4.5947618132692742</v>
      </c>
      <c r="BJ70" s="42">
        <v>11.458057797530337</v>
      </c>
      <c r="BK70" s="42">
        <v>-7.3483946142516281</v>
      </c>
      <c r="EV70" s="42"/>
      <c r="EW70" s="42"/>
      <c r="EX70" s="42"/>
      <c r="EY70" s="42"/>
    </row>
    <row r="71" spans="1:155" x14ac:dyDescent="0.2">
      <c r="A71" s="131"/>
      <c r="B71" s="199">
        <v>1</v>
      </c>
      <c r="C71" s="135"/>
      <c r="D71" s="135"/>
      <c r="BC71" s="42">
        <v>61</v>
      </c>
      <c r="BD71" s="42">
        <v>4.7258839227720841</v>
      </c>
      <c r="BE71" s="42">
        <v>4.7460436502788301</v>
      </c>
      <c r="BF71" s="42">
        <v>-0.51997204031700983</v>
      </c>
      <c r="BH71" s="42">
        <v>61</v>
      </c>
      <c r="BI71" s="42">
        <v>4.7258839227720841</v>
      </c>
      <c r="BJ71" s="42">
        <v>11.519178078293093</v>
      </c>
      <c r="BK71" s="42">
        <v>-7.2931064683312723</v>
      </c>
      <c r="EV71" s="42"/>
      <c r="EW71" s="42"/>
      <c r="EX71" s="42"/>
      <c r="EY71" s="42"/>
    </row>
    <row r="72" spans="1:155" x14ac:dyDescent="0.2">
      <c r="A72" s="131"/>
      <c r="B72" s="199">
        <v>1</v>
      </c>
      <c r="C72" s="135"/>
      <c r="D72" s="135"/>
      <c r="BC72" s="42">
        <v>62</v>
      </c>
      <c r="BD72" s="42">
        <v>4.8570060322748922</v>
      </c>
      <c r="BE72" s="42">
        <v>4.8172680328356998</v>
      </c>
      <c r="BF72" s="42">
        <v>-0.47478799619076906</v>
      </c>
      <c r="BH72" s="42">
        <v>62</v>
      </c>
      <c r="BI72" s="42">
        <v>4.8570060322748922</v>
      </c>
      <c r="BJ72" s="42">
        <v>11.581035255519655</v>
      </c>
      <c r="BK72" s="42">
        <v>-7.2385552188747253</v>
      </c>
    </row>
    <row r="73" spans="1:155" x14ac:dyDescent="0.2">
      <c r="A73" s="131"/>
      <c r="B73" s="199">
        <v>1</v>
      </c>
      <c r="C73" s="135"/>
      <c r="D73" s="135"/>
      <c r="BC73" s="42">
        <v>63</v>
      </c>
      <c r="BD73" s="42">
        <v>4.9881281417777021</v>
      </c>
      <c r="BE73" s="42">
        <v>4.8910382554268876</v>
      </c>
      <c r="BF73" s="42">
        <v>-0.4321497920988433</v>
      </c>
      <c r="BH73" s="42">
        <v>63</v>
      </c>
      <c r="BI73" s="42">
        <v>4.9881281417777021</v>
      </c>
      <c r="BJ73" s="42">
        <v>11.643628471401435</v>
      </c>
      <c r="BK73" s="42">
        <v>-7.1847400080733905</v>
      </c>
      <c r="EU73" s="45" t="s">
        <v>941</v>
      </c>
      <c r="EX73" s="42"/>
      <c r="EY73" s="42"/>
    </row>
    <row r="74" spans="1:155" x14ac:dyDescent="0.2">
      <c r="A74" s="131"/>
      <c r="B74" s="199">
        <v>1</v>
      </c>
      <c r="C74" s="135"/>
      <c r="D74" s="135"/>
      <c r="BC74" s="42">
        <v>64</v>
      </c>
      <c r="BD74" s="42">
        <v>5.1192502512805103</v>
      </c>
      <c r="BE74" s="42">
        <v>4.9673099524770805</v>
      </c>
      <c r="BF74" s="42">
        <v>-0.3920130624659266</v>
      </c>
      <c r="BH74" s="42">
        <v>64</v>
      </c>
      <c r="BI74" s="42">
        <v>5.1192502512805103</v>
      </c>
      <c r="BJ74" s="42">
        <v>11.706956697049065</v>
      </c>
      <c r="BK74" s="42">
        <v>-7.1316598070379102</v>
      </c>
      <c r="ES74" s="179" t="s">
        <v>595</v>
      </c>
      <c r="ET74" s="179" t="s">
        <v>696</v>
      </c>
      <c r="EU74" s="179" t="s">
        <v>936</v>
      </c>
      <c r="EV74" s="193"/>
      <c r="EW74" s="42"/>
      <c r="EX74" s="42"/>
      <c r="EY74" s="42"/>
    </row>
    <row r="75" spans="1:155" x14ac:dyDescent="0.2">
      <c r="A75" s="131"/>
      <c r="B75" s="199">
        <v>1</v>
      </c>
      <c r="C75" s="135"/>
      <c r="D75" s="135"/>
      <c r="BC75" s="42">
        <v>65</v>
      </c>
      <c r="BD75" s="42">
        <v>5.2503723607833201</v>
      </c>
      <c r="BE75" s="42">
        <v>5.0460329107509612</v>
      </c>
      <c r="BF75" s="42">
        <v>-0.35432759405669545</v>
      </c>
      <c r="BH75" s="42">
        <v>65</v>
      </c>
      <c r="BI75" s="42">
        <v>5.2503723607833201</v>
      </c>
      <c r="BJ75" s="42">
        <v>11.771018733693587</v>
      </c>
      <c r="BK75" s="42">
        <v>-7.0793134169993222</v>
      </c>
      <c r="ES75" s="62" cm="1">
        <f t="array" ref="ES75:ES86">_xlfn.SEQUENCE(AQ14)</f>
        <v>1</v>
      </c>
      <c r="ET75" s="62" cm="1">
        <f t="array" ref="ET75:ET86">--(INDEX(Data,1,AQ12):INDEX(Data,AQ14,AQ12))</f>
        <v>1.2989587493526971</v>
      </c>
      <c r="EU75" s="42" cm="1">
        <f t="array" ref="EU75:EV86">INDEX(--Data,_xlfn.ANCHORARRAY(ES75),_xlfn.ANCHORARRAY(ET9))</f>
        <v>2</v>
      </c>
      <c r="EV75" s="42">
        <v>0</v>
      </c>
      <c r="EW75" s="42"/>
      <c r="EX75" s="42"/>
      <c r="EY75" s="42"/>
    </row>
    <row r="76" spans="1:155" x14ac:dyDescent="0.2">
      <c r="A76" s="131"/>
      <c r="B76" s="199">
        <v>1</v>
      </c>
      <c r="C76" s="135"/>
      <c r="D76" s="135"/>
      <c r="BC76" s="42">
        <v>66</v>
      </c>
      <c r="BD76" s="42">
        <v>5.38149447028613</v>
      </c>
      <c r="BE76" s="42">
        <v>5.1271517194440257</v>
      </c>
      <c r="BF76" s="42">
        <v>-0.31903797606664597</v>
      </c>
      <c r="BH76" s="42">
        <v>66</v>
      </c>
      <c r="BI76" s="42">
        <v>5.38149447028613</v>
      </c>
      <c r="BJ76" s="42">
        <v>11.835813214081222</v>
      </c>
      <c r="BK76" s="42">
        <v>-7.0276994707038423</v>
      </c>
      <c r="ES76" s="62">
        <v>2</v>
      </c>
      <c r="ET76" s="62">
        <v>-1.1469596428732241</v>
      </c>
      <c r="EU76" s="42">
        <v>-3.2725647568992748</v>
      </c>
      <c r="EV76" s="42">
        <v>0</v>
      </c>
      <c r="EW76" s="42"/>
      <c r="EX76" s="42"/>
      <c r="EY76" s="42"/>
    </row>
    <row r="77" spans="1:155" x14ac:dyDescent="0.2">
      <c r="A77" s="131"/>
      <c r="B77" s="199">
        <v>1</v>
      </c>
      <c r="C77" s="135"/>
      <c r="D77" s="135"/>
      <c r="BC77" s="42">
        <v>67</v>
      </c>
      <c r="BD77" s="42">
        <v>5.5126165797889382</v>
      </c>
      <c r="BE77" s="42">
        <v>5.2106064523057274</v>
      </c>
      <c r="BF77" s="42">
        <v>-0.28608428224523719</v>
      </c>
      <c r="BH77" s="42">
        <v>67</v>
      </c>
      <c r="BI77" s="42">
        <v>5.5126165797889382</v>
      </c>
      <c r="BJ77" s="42">
        <v>11.901338604057976</v>
      </c>
      <c r="BK77" s="42">
        <v>-6.9768164339974854</v>
      </c>
      <c r="ES77" s="42">
        <v>3</v>
      </c>
      <c r="ET77" s="42">
        <v>-0.40935481016144565</v>
      </c>
      <c r="EU77" s="42">
        <v>2.0315172703350726</v>
      </c>
      <c r="EV77">
        <v>0</v>
      </c>
    </row>
    <row r="78" spans="1:155" x14ac:dyDescent="0.2">
      <c r="A78" s="131"/>
      <c r="B78" s="199">
        <v>1</v>
      </c>
      <c r="C78" s="135"/>
      <c r="D78" s="135"/>
      <c r="BC78" s="42">
        <v>68</v>
      </c>
      <c r="BD78" s="42">
        <v>5.643738689291748</v>
      </c>
      <c r="BE78" s="42">
        <v>5.2963333642802759</v>
      </c>
      <c r="BF78" s="42">
        <v>-0.25540276753667301</v>
      </c>
      <c r="BH78" s="42">
        <v>68</v>
      </c>
      <c r="BI78" s="42">
        <v>5.643738689291748</v>
      </c>
      <c r="BJ78" s="42">
        <v>11.967593204339867</v>
      </c>
      <c r="BK78" s="42">
        <v>-6.9266626075962634</v>
      </c>
      <c r="ES78" s="42">
        <v>4</v>
      </c>
      <c r="ET78" s="42">
        <v>-1.479592604535932</v>
      </c>
      <c r="EU78" s="42">
        <v>-2.2379718387660041</v>
      </c>
      <c r="EV78">
        <v>0</v>
      </c>
    </row>
    <row r="79" spans="1:155" x14ac:dyDescent="0.2">
      <c r="A79" s="131"/>
      <c r="B79" s="199">
        <v>1</v>
      </c>
      <c r="C79" s="135"/>
      <c r="D79" s="135"/>
      <c r="BC79" s="42">
        <v>69</v>
      </c>
      <c r="BD79" s="42">
        <v>5.7748607987945562</v>
      </c>
      <c r="BE79" s="42">
        <v>5.3842655864164142</v>
      </c>
      <c r="BF79" s="42">
        <v>-0.22692656298970082</v>
      </c>
      <c r="BH79" s="42">
        <v>69</v>
      </c>
      <c r="BI79" s="42">
        <v>5.7748607987945562</v>
      </c>
      <c r="BJ79" s="42">
        <v>12.034575152463969</v>
      </c>
      <c r="BK79" s="42">
        <v>-6.8772361290372563</v>
      </c>
      <c r="ES79" s="42">
        <v>5</v>
      </c>
      <c r="ET79" s="42">
        <v>1.8110756828005981</v>
      </c>
      <c r="EU79" s="42">
        <v>4</v>
      </c>
      <c r="EV79">
        <v>0</v>
      </c>
    </row>
    <row r="80" spans="1:155" x14ac:dyDescent="0.2">
      <c r="A80" s="131"/>
      <c r="B80" s="199">
        <v>1</v>
      </c>
      <c r="C80" s="135"/>
      <c r="D80" s="135"/>
      <c r="BC80" s="42">
        <v>70</v>
      </c>
      <c r="BD80" s="42">
        <v>5.9059829082973661</v>
      </c>
      <c r="BE80" s="42">
        <v>5.4743338045980341</v>
      </c>
      <c r="BF80" s="42">
        <v>-0.2005863544882085</v>
      </c>
      <c r="BH80" s="42">
        <v>70</v>
      </c>
      <c r="BI80" s="42">
        <v>5.9059829082973661</v>
      </c>
      <c r="BJ80" s="42">
        <v>12.102282424915206</v>
      </c>
      <c r="BK80" s="42">
        <v>-6.8285349748053816</v>
      </c>
      <c r="ES80" s="42">
        <v>6</v>
      </c>
      <c r="ET80" s="42">
        <v>8</v>
      </c>
      <c r="EU80" s="42">
        <v>5</v>
      </c>
      <c r="EV80">
        <v>1</v>
      </c>
    </row>
    <row r="81" spans="1:152" x14ac:dyDescent="0.2">
      <c r="A81" s="131"/>
      <c r="B81" s="199">
        <v>1</v>
      </c>
      <c r="C81" s="135"/>
      <c r="D81" s="135"/>
      <c r="BC81" s="42">
        <v>71</v>
      </c>
      <c r="BD81" s="42">
        <v>6.0371050178001759</v>
      </c>
      <c r="BE81" s="42">
        <v>5.5664669098117674</v>
      </c>
      <c r="BF81" s="42">
        <v>-0.17631103301882911</v>
      </c>
      <c r="BH81" s="42">
        <v>71</v>
      </c>
      <c r="BI81" s="42">
        <v>6.0371050178001759</v>
      </c>
      <c r="BJ81" s="42">
        <v>12.17071283942318</v>
      </c>
      <c r="BK81" s="42">
        <v>-6.7805569626302411</v>
      </c>
      <c r="ES81" s="42">
        <v>7</v>
      </c>
      <c r="ET81" s="42">
        <v>-0.30723615599325882</v>
      </c>
      <c r="EU81" s="42">
        <v>2.0228895016109072</v>
      </c>
      <c r="EV81">
        <v>0</v>
      </c>
    </row>
    <row r="82" spans="1:152" x14ac:dyDescent="0.2">
      <c r="A82" s="131"/>
      <c r="B82" s="199">
        <v>1</v>
      </c>
      <c r="C82" s="135"/>
      <c r="D82" s="135"/>
      <c r="BC82" s="42">
        <v>72</v>
      </c>
      <c r="BD82" s="42">
        <v>6.1682271273029858</v>
      </c>
      <c r="BE82" s="42">
        <v>5.6605926100281021</v>
      </c>
      <c r="BF82" s="42">
        <v>-0.15402830655205157</v>
      </c>
      <c r="BH82" s="42">
        <v>72</v>
      </c>
      <c r="BI82" s="42">
        <v>6.1682271273029858</v>
      </c>
      <c r="BJ82" s="42">
        <v>12.239864057423178</v>
      </c>
      <c r="BK82" s="42">
        <v>-6.7332997539471275</v>
      </c>
      <c r="ES82" s="42">
        <v>8</v>
      </c>
      <c r="ET82" s="42">
        <v>13</v>
      </c>
      <c r="EU82" s="42">
        <v>9</v>
      </c>
      <c r="EV82">
        <v>0</v>
      </c>
    </row>
    <row r="83" spans="1:152" x14ac:dyDescent="0.2">
      <c r="A83" s="131"/>
      <c r="B83" s="199">
        <v>1</v>
      </c>
      <c r="C83" s="135"/>
      <c r="D83" s="135"/>
      <c r="BC83" s="42">
        <v>73</v>
      </c>
      <c r="BD83" s="42">
        <v>6.299349236805794</v>
      </c>
      <c r="BE83" s="42">
        <v>5.7566379961765604</v>
      </c>
      <c r="BF83" s="42">
        <v>-0.13366526601739981</v>
      </c>
      <c r="BH83" s="42">
        <v>73</v>
      </c>
      <c r="BI83" s="42">
        <v>6.299349236805794</v>
      </c>
      <c r="BJ83" s="42">
        <v>12.309733586674902</v>
      </c>
      <c r="BK83" s="42">
        <v>-6.6867608565157424</v>
      </c>
      <c r="ES83" s="42">
        <v>9</v>
      </c>
      <c r="ET83" s="42">
        <v>1.3803796539630533</v>
      </c>
      <c r="EU83" s="42">
        <v>6.3251059591845431</v>
      </c>
      <c r="EV83">
        <v>1</v>
      </c>
    </row>
    <row r="84" spans="1:152" x14ac:dyDescent="0.2">
      <c r="A84" s="131"/>
      <c r="B84" s="199">
        <v>1</v>
      </c>
      <c r="C84" s="135"/>
      <c r="D84" s="135"/>
      <c r="BC84" s="42">
        <v>74</v>
      </c>
      <c r="BD84" s="42">
        <v>6.4304713463086021</v>
      </c>
      <c r="BE84" s="42">
        <v>5.8545300570156638</v>
      </c>
      <c r="BF84" s="42">
        <v>-0.11514890017339097</v>
      </c>
      <c r="BH84" s="42">
        <v>74</v>
      </c>
      <c r="BI84" s="42">
        <v>6.4304713463086021</v>
      </c>
      <c r="BJ84" s="42">
        <v>12.380318784032298</v>
      </c>
      <c r="BK84" s="42">
        <v>-6.6409376271900245</v>
      </c>
      <c r="ES84" s="42">
        <v>10</v>
      </c>
      <c r="ET84" s="42">
        <v>8.4427372017371785E-2</v>
      </c>
      <c r="EU84" s="42">
        <v>5.4220501567463426</v>
      </c>
      <c r="EV84">
        <v>1</v>
      </c>
    </row>
    <row r="85" spans="1:152" x14ac:dyDescent="0.2">
      <c r="A85" s="131"/>
      <c r="B85" s="199">
        <v>1</v>
      </c>
      <c r="C85" s="135"/>
      <c r="D85" s="135"/>
      <c r="BC85" s="42">
        <v>75</v>
      </c>
      <c r="BD85" s="42">
        <v>6.561593455811412</v>
      </c>
      <c r="BE85" s="42">
        <v>5.9541961398363767</v>
      </c>
      <c r="BF85" s="42">
        <v>-9.8406556310992155E-2</v>
      </c>
      <c r="BH85" s="42">
        <v>75</v>
      </c>
      <c r="BI85" s="42">
        <v>6.561593455811412</v>
      </c>
      <c r="BJ85" s="42">
        <v>12.451616858357383</v>
      </c>
      <c r="BK85" s="42">
        <v>-6.5958272748319997</v>
      </c>
      <c r="ES85" s="42">
        <v>11</v>
      </c>
      <c r="ET85" s="42">
        <v>0.91409189597286977</v>
      </c>
      <c r="EU85" s="42">
        <v>9.7085240838788316</v>
      </c>
      <c r="EV85">
        <v>0</v>
      </c>
    </row>
    <row r="86" spans="1:152" x14ac:dyDescent="0.2">
      <c r="A86" s="131"/>
      <c r="B86" s="199">
        <v>1</v>
      </c>
      <c r="C86" s="135"/>
      <c r="D86" s="135"/>
      <c r="BC86" s="42">
        <v>76</v>
      </c>
      <c r="BD86" s="42">
        <v>6.6927155653142201</v>
      </c>
      <c r="BE86" s="42">
        <v>6.0555643558260384</v>
      </c>
      <c r="BF86" s="42">
        <v>-8.3366345617542414E-2</v>
      </c>
      <c r="BH86" s="42">
        <v>76</v>
      </c>
      <c r="BI86" s="42">
        <v>6.6927155653142201</v>
      </c>
      <c r="BJ86" s="42">
        <v>12.523624873570963</v>
      </c>
      <c r="BK86" s="42">
        <v>-6.5514268633624662</v>
      </c>
      <c r="ES86" s="42">
        <v>12</v>
      </c>
      <c r="ET86" s="42">
        <v>-0.89773712069108735</v>
      </c>
      <c r="EU86" s="42">
        <v>9.7085240838788316</v>
      </c>
      <c r="EV86">
        <v>0</v>
      </c>
    </row>
    <row r="87" spans="1:152" x14ac:dyDescent="0.2">
      <c r="A87" s="131"/>
      <c r="B87" s="199">
        <v>1</v>
      </c>
      <c r="C87" s="135"/>
      <c r="D87" s="135"/>
      <c r="BC87" s="42">
        <v>77</v>
      </c>
      <c r="BD87" s="42">
        <v>6.82383767481703</v>
      </c>
      <c r="BE87" s="42">
        <v>6.1585639305191515</v>
      </c>
      <c r="BF87" s="42">
        <v>-6.9957493627543776E-2</v>
      </c>
      <c r="BH87" s="42">
        <v>77</v>
      </c>
      <c r="BI87" s="42">
        <v>6.82383767481703</v>
      </c>
      <c r="BJ87" s="42">
        <v>12.596339751832478</v>
      </c>
      <c r="BK87" s="42">
        <v>-6.5077333149408707</v>
      </c>
    </row>
    <row r="88" spans="1:152" x14ac:dyDescent="0.2">
      <c r="A88" s="131"/>
      <c r="B88" s="199">
        <v>1</v>
      </c>
      <c r="C88" s="135"/>
      <c r="D88" s="135"/>
      <c r="BC88" s="42">
        <v>78</v>
      </c>
      <c r="BD88" s="42">
        <v>6.9549597843198399</v>
      </c>
      <c r="BE88" s="42">
        <v>6.2631255010577425</v>
      </c>
      <c r="BF88" s="42">
        <v>-5.811063748302292E-2</v>
      </c>
      <c r="BH88" s="42">
        <v>78</v>
      </c>
      <c r="BI88" s="42">
        <v>6.9549597843198399</v>
      </c>
      <c r="BJ88" s="42">
        <v>12.669758276841467</v>
      </c>
      <c r="BK88" s="42">
        <v>-6.4647434132667465</v>
      </c>
    </row>
    <row r="89" spans="1:152" x14ac:dyDescent="0.2">
      <c r="A89" s="131"/>
      <c r="B89" s="199">
        <v>1</v>
      </c>
      <c r="C89" s="135"/>
      <c r="D89" s="135"/>
      <c r="BC89" s="42">
        <v>79</v>
      </c>
      <c r="BD89" s="42">
        <v>7.086081893822648</v>
      </c>
      <c r="BE89" s="42">
        <v>6.3691813629829248</v>
      </c>
      <c r="BF89" s="42">
        <v>-4.775807272509347E-2</v>
      </c>
      <c r="BH89" s="42">
        <v>79</v>
      </c>
      <c r="BI89" s="42">
        <v>7.086081893822648</v>
      </c>
      <c r="BJ89" s="42">
        <v>12.743877097252565</v>
      </c>
      <c r="BK89" s="42">
        <v>-6.4224538069947341</v>
      </c>
    </row>
    <row r="90" spans="1:152" x14ac:dyDescent="0.2">
      <c r="A90" s="131"/>
      <c r="B90" s="199">
        <v>1</v>
      </c>
      <c r="C90" s="135"/>
      <c r="D90" s="135"/>
      <c r="BC90" s="42">
        <v>80</v>
      </c>
      <c r="BD90" s="42">
        <v>7.2172040033254596</v>
      </c>
      <c r="BE90" s="42">
        <v>6.476665670000946</v>
      </c>
      <c r="BF90" s="42">
        <v>-3.883395306000148E-2</v>
      </c>
      <c r="BH90" s="42">
        <v>80</v>
      </c>
      <c r="BI90" s="42">
        <v>7.2172040033254596</v>
      </c>
      <c r="BJ90" s="42">
        <v>12.81869273019603</v>
      </c>
      <c r="BK90" s="42">
        <v>-6.3808610132550854</v>
      </c>
    </row>
    <row r="91" spans="1:152" x14ac:dyDescent="0.2">
      <c r="A91" s="131"/>
      <c r="B91" s="199">
        <v>1</v>
      </c>
      <c r="C91" s="135"/>
      <c r="D91" s="135"/>
      <c r="BC91" s="42">
        <v>81</v>
      </c>
      <c r="BD91" s="42">
        <v>7.3483261128282678</v>
      </c>
      <c r="BE91" s="42">
        <v>6.5855145906414219</v>
      </c>
      <c r="BF91" s="42">
        <v>-3.1274447017366924E-2</v>
      </c>
      <c r="BH91" s="42">
        <v>81</v>
      </c>
      <c r="BI91" s="42">
        <v>7.3483261128282678</v>
      </c>
      <c r="BJ91" s="42">
        <v>12.894201564895596</v>
      </c>
      <c r="BK91" s="42">
        <v>-6.3399614212715418</v>
      </c>
    </row>
    <row r="92" spans="1:152" x14ac:dyDescent="0.2">
      <c r="A92" s="131"/>
      <c r="B92" s="199">
        <v>1</v>
      </c>
      <c r="C92" s="135"/>
      <c r="D92" s="135"/>
      <c r="BC92" s="42">
        <v>82</v>
      </c>
      <c r="BD92" s="42">
        <v>7.4794482223310759</v>
      </c>
      <c r="BE92" s="42">
        <v>6.6956664259878798</v>
      </c>
      <c r="BF92" s="42">
        <v>-2.5017855680713019E-2</v>
      </c>
      <c r="BH92" s="42">
        <v>82</v>
      </c>
      <c r="BI92" s="42">
        <v>7.4794482223310759</v>
      </c>
      <c r="BJ92" s="42">
        <v>12.970399866375399</v>
      </c>
      <c r="BK92" s="42">
        <v>-6.2997512960682327</v>
      </c>
    </row>
    <row r="93" spans="1:152" x14ac:dyDescent="0.2">
      <c r="A93" s="131"/>
      <c r="B93" s="199">
        <v>1</v>
      </c>
      <c r="C93" s="135"/>
      <c r="D93" s="135"/>
      <c r="BC93" s="42">
        <v>83</v>
      </c>
      <c r="BD93" s="42">
        <v>7.610570331833884</v>
      </c>
      <c r="BE93" s="42">
        <v>6.8070616927480039</v>
      </c>
      <c r="BF93" s="42">
        <v>-2.0004695757726676E-2</v>
      </c>
      <c r="BH93" s="42">
        <v>83</v>
      </c>
      <c r="BI93" s="42">
        <v>7.610570331833884</v>
      </c>
      <c r="BJ93" s="42">
        <v>13.047283779247611</v>
      </c>
      <c r="BK93" s="42">
        <v>-6.2602267822573339</v>
      </c>
    </row>
    <row r="94" spans="1:152" x14ac:dyDescent="0.2">
      <c r="A94" s="131"/>
      <c r="B94" s="199">
        <v>1</v>
      </c>
      <c r="C94" s="135"/>
      <c r="D94" s="135"/>
      <c r="BC94" s="42">
        <v>84</v>
      </c>
      <c r="BD94" s="42">
        <v>7.7416924413366939</v>
      </c>
      <c r="BE94" s="42">
        <v>6.9196431758796191</v>
      </c>
      <c r="BF94" s="42">
        <v>-1.6177752206230522E-2</v>
      </c>
      <c r="BH94" s="42">
        <v>84</v>
      </c>
      <c r="BI94" s="42">
        <v>7.7416924413366939</v>
      </c>
      <c r="BJ94" s="42">
        <v>13.12484933157247</v>
      </c>
      <c r="BK94" s="42">
        <v>-6.2213839078990816</v>
      </c>
    </row>
    <row r="95" spans="1:152" x14ac:dyDescent="0.2">
      <c r="A95" s="131"/>
      <c r="B95" s="199">
        <v>1</v>
      </c>
      <c r="C95" s="135"/>
      <c r="D95" s="135"/>
      <c r="BC95" s="42">
        <v>85</v>
      </c>
      <c r="BD95" s="42">
        <v>7.8728145508395038</v>
      </c>
      <c r="BE95" s="42">
        <v>7.03335595483163</v>
      </c>
      <c r="BF95" s="42">
        <v>-1.3482104475127876E-2</v>
      </c>
      <c r="BH95" s="42">
        <v>85</v>
      </c>
      <c r="BI95" s="42">
        <v>7.8728145508395038</v>
      </c>
      <c r="BJ95" s="42">
        <v>13.203092438782356</v>
      </c>
      <c r="BK95" s="42">
        <v>-6.183218588425853</v>
      </c>
    </row>
    <row r="96" spans="1:152" x14ac:dyDescent="0.2">
      <c r="A96" s="131"/>
      <c r="B96" s="199">
        <v>1</v>
      </c>
      <c r="C96" s="135"/>
      <c r="D96" s="135"/>
      <c r="BC96" s="42">
        <v>86</v>
      </c>
      <c r="BD96" s="42">
        <v>8.0039366603423137</v>
      </c>
      <c r="BE96" s="42">
        <v>7.1481474072268334</v>
      </c>
      <c r="BF96" s="42">
        <v>-1.1865130187219464E-2</v>
      </c>
      <c r="BH96" s="42">
        <v>86</v>
      </c>
      <c r="BI96" s="42">
        <v>8.0039366603423137</v>
      </c>
      <c r="BJ96" s="42">
        <v>13.282008907661595</v>
      </c>
      <c r="BK96" s="42">
        <v>-6.145726630621982</v>
      </c>
    </row>
    <row r="97" spans="1:63" x14ac:dyDescent="0.2">
      <c r="A97" s="131"/>
      <c r="B97" s="199">
        <v>1</v>
      </c>
      <c r="C97" s="135"/>
      <c r="D97" s="135"/>
      <c r="BC97" s="42">
        <v>87</v>
      </c>
      <c r="BD97" s="42">
        <v>8.1350587698451218</v>
      </c>
      <c r="BE97" s="42">
        <v>7.2639671935310748</v>
      </c>
      <c r="BF97" s="42">
        <v>-1.1276489808349499E-2</v>
      </c>
      <c r="BH97" s="42">
        <v>87</v>
      </c>
      <c r="BI97" s="42">
        <v>8.1350587698451218</v>
      </c>
      <c r="BJ97" s="42">
        <v>13.361594440373821</v>
      </c>
      <c r="BK97" s="42">
        <v>-6.1089037366510945</v>
      </c>
    </row>
    <row r="98" spans="1:63" x14ac:dyDescent="0.2">
      <c r="A98" s="131"/>
      <c r="B98" s="199">
        <v>1</v>
      </c>
      <c r="C98" s="135"/>
      <c r="D98" s="135"/>
      <c r="BC98" s="42">
        <v>88</v>
      </c>
      <c r="BD98" s="42">
        <v>8.2661808793479299</v>
      </c>
      <c r="BE98" s="42">
        <v>7.3807672259415797</v>
      </c>
      <c r="BF98" s="42">
        <v>-1.1668095535743994E-2</v>
      </c>
      <c r="BH98" s="42">
        <v>88</v>
      </c>
      <c r="BI98" s="42">
        <v>8.2661808793479299</v>
      </c>
      <c r="BJ98" s="42">
        <v>13.441844638528645</v>
      </c>
      <c r="BK98" s="42">
        <v>-6.072745508122809</v>
      </c>
    </row>
    <row r="99" spans="1:63" x14ac:dyDescent="0.2">
      <c r="A99" s="131"/>
      <c r="B99" s="199">
        <v>1</v>
      </c>
      <c r="C99" s="135"/>
      <c r="D99" s="135"/>
      <c r="BC99" s="42">
        <v>89</v>
      </c>
      <c r="BD99" s="42">
        <v>8.3973029888507398</v>
      </c>
      <c r="BE99" s="42">
        <v>7.4985016244032892</v>
      </c>
      <c r="BF99" s="42">
        <v>-1.299406731434205E-2</v>
      </c>
      <c r="BH99" s="42">
        <v>89</v>
      </c>
      <c r="BI99" s="42">
        <v>8.3973029888507398</v>
      </c>
      <c r="BJ99" s="42">
        <v>13.522755007279734</v>
      </c>
      <c r="BK99" s="42">
        <v>-6.0372474501907867</v>
      </c>
    </row>
    <row r="100" spans="1:63" x14ac:dyDescent="0.2">
      <c r="A100" s="131"/>
      <c r="B100" s="199">
        <v>1</v>
      </c>
      <c r="C100" s="135"/>
      <c r="D100" s="135"/>
      <c r="BC100" s="42">
        <v>90</v>
      </c>
      <c r="BD100" s="42">
        <v>8.5284250983535497</v>
      </c>
      <c r="BE100" s="42">
        <v>7.6171266623384755</v>
      </c>
      <c r="BF100" s="42">
        <v>-1.5210678566414337E-2</v>
      </c>
      <c r="BH100" s="42">
        <v>90</v>
      </c>
      <c r="BI100" s="42">
        <v>8.5284250983535497</v>
      </c>
      <c r="BJ100" s="42">
        <v>13.604320959446337</v>
      </c>
      <c r="BK100" s="42">
        <v>-6.0024049756742768</v>
      </c>
    </row>
    <row r="101" spans="1:63" x14ac:dyDescent="0.2">
      <c r="A101" s="131"/>
      <c r="B101" s="199">
        <v>1</v>
      </c>
      <c r="C101" s="135"/>
      <c r="D101" s="135"/>
      <c r="BC101" s="42">
        <v>91</v>
      </c>
      <c r="BD101" s="42">
        <v>8.6595472078563578</v>
      </c>
      <c r="BE101" s="42">
        <v>7.7366007043614298</v>
      </c>
      <c r="BF101" s="42">
        <v>-1.8276293906258623E-2</v>
      </c>
      <c r="BH101" s="42">
        <v>91</v>
      </c>
      <c r="BI101" s="42">
        <v>8.6595472078563578</v>
      </c>
      <c r="BJ101" s="42">
        <v>13.686537819650562</v>
      </c>
      <c r="BK101" s="42">
        <v>-5.9682134091953909</v>
      </c>
    </row>
    <row r="102" spans="1:63" x14ac:dyDescent="0.2">
      <c r="A102" s="131"/>
      <c r="B102" s="199">
        <v>1</v>
      </c>
      <c r="C102" s="135"/>
      <c r="D102" s="135"/>
      <c r="BC102" s="42">
        <v>92</v>
      </c>
      <c r="BD102" s="42">
        <v>8.7906693173591677</v>
      </c>
      <c r="BE102" s="42">
        <v>7.8568841379531733</v>
      </c>
      <c r="BF102" s="42">
        <v>-2.2151300814890362E-2</v>
      </c>
      <c r="BH102" s="42">
        <v>92</v>
      </c>
      <c r="BI102" s="42">
        <v>8.7906693173591677</v>
      </c>
      <c r="BJ102" s="42">
        <v>13.76940082846291</v>
      </c>
      <c r="BK102" s="42">
        <v>-5.934667991324627</v>
      </c>
    </row>
    <row r="103" spans="1:63" x14ac:dyDescent="0.2">
      <c r="BC103" s="42">
        <v>93</v>
      </c>
      <c r="BD103" s="42">
        <v>8.9217914268619758</v>
      </c>
      <c r="BE103" s="42">
        <v>7.977939300795299</v>
      </c>
      <c r="BF103" s="42">
        <v>-2.679803697390426E-2</v>
      </c>
      <c r="BH103" s="42">
        <v>93</v>
      </c>
      <c r="BI103" s="42">
        <v>8.9217914268619758</v>
      </c>
      <c r="BJ103" s="42">
        <v>13.852905146548702</v>
      </c>
      <c r="BK103" s="42">
        <v>-5.9017638827273071</v>
      </c>
    </row>
    <row r="104" spans="1:63" x14ac:dyDescent="0.2">
      <c r="BC104" s="42">
        <v>94</v>
      </c>
      <c r="BD104" s="42">
        <v>9.0529135363647875</v>
      </c>
      <c r="BE104" s="42">
        <v>8.0997304052098826</v>
      </c>
      <c r="BF104" s="42">
        <v>-3.2180714705374314E-2</v>
      </c>
      <c r="BH104" s="42">
        <v>94</v>
      </c>
      <c r="BI104" s="42">
        <v>9.0529135363647875</v>
      </c>
      <c r="BJ104" s="42">
        <v>13.937045858808354</v>
      </c>
      <c r="BK104" s="42">
        <v>-5.8694961683038462</v>
      </c>
    </row>
    <row r="105" spans="1:63" x14ac:dyDescent="0.2">
      <c r="BC105" s="42">
        <v>95</v>
      </c>
      <c r="BD105" s="42">
        <v>9.1840356458675956</v>
      </c>
      <c r="BE105" s="42">
        <v>8.2222234609245604</v>
      </c>
      <c r="BF105" s="42">
        <v>-3.826534373693935E-2</v>
      </c>
      <c r="BH105" s="42">
        <v>95</v>
      </c>
      <c r="BI105" s="42">
        <v>9.1840356458675956</v>
      </c>
      <c r="BJ105" s="42">
        <v>14.021817978504576</v>
      </c>
      <c r="BK105" s="42">
        <v>-5.8378598613169546</v>
      </c>
    </row>
    <row r="106" spans="1:63" x14ac:dyDescent="0.2">
      <c r="BC106" s="42">
        <v>96</v>
      </c>
      <c r="BD106" s="42">
        <v>9.3151577553704037</v>
      </c>
      <c r="BE106" s="42">
        <v>8.3453861971788541</v>
      </c>
      <c r="BF106" s="42">
        <v>-4.5019653308123964E-2</v>
      </c>
      <c r="BH106" s="42">
        <v>96</v>
      </c>
      <c r="BI106" s="42">
        <v>9.3151577553704037</v>
      </c>
      <c r="BJ106" s="42">
        <v>14.10721645136997</v>
      </c>
      <c r="BK106" s="42">
        <v>-5.8068499074992399</v>
      </c>
    </row>
    <row r="107" spans="1:63" x14ac:dyDescent="0.2">
      <c r="BC107" s="42">
        <v>97</v>
      </c>
      <c r="BD107" s="42">
        <v>9.4462798648732136</v>
      </c>
      <c r="BE107" s="42">
        <v>8.469187985008336</v>
      </c>
      <c r="BF107" s="42">
        <v>-5.2413014454494089E-2</v>
      </c>
      <c r="BH107" s="42">
        <v>97</v>
      </c>
      <c r="BI107" s="42">
        <v>9.4462798648732136</v>
      </c>
      <c r="BJ107" s="42">
        <v>14.193236159688645</v>
      </c>
      <c r="BK107" s="42">
        <v>-5.7764611891348032</v>
      </c>
    </row>
    <row r="108" spans="1:63" x14ac:dyDescent="0.2">
      <c r="BC108" s="42">
        <v>98</v>
      </c>
      <c r="BD108" s="42">
        <v>9.5774019743760217</v>
      </c>
      <c r="BE108" s="42">
        <v>8.5935997603863665</v>
      </c>
      <c r="BF108" s="42">
        <v>-6.0416363149412788E-2</v>
      </c>
      <c r="BH108" s="42">
        <v>98</v>
      </c>
      <c r="BI108" s="42">
        <v>9.5774019743760217</v>
      </c>
      <c r="BJ108" s="42">
        <v>14.279871926345772</v>
      </c>
      <c r="BK108" s="42">
        <v>-5.7466885291088179</v>
      </c>
    </row>
    <row r="109" spans="1:63" x14ac:dyDescent="0.2">
      <c r="BC109" s="42">
        <v>99</v>
      </c>
      <c r="BD109" s="42">
        <v>9.7085240838788316</v>
      </c>
      <c r="BE109" s="42">
        <v>8.7185939487671469</v>
      </c>
      <c r="BF109" s="42">
        <v>-6.9002124847081348E-2</v>
      </c>
      <c r="BH109" s="42">
        <v>99</v>
      </c>
      <c r="BI109" s="42">
        <v>9.7085240838788316</v>
      </c>
      <c r="BJ109" s="42">
        <v>14.367118518839385</v>
      </c>
      <c r="BK109" s="42">
        <v>-5.7175266949193198</v>
      </c>
    </row>
  </sheetData>
  <sheetProtection formatCells="0" formatColumns="0" formatRows="0" insertColumns="0" insertRows="0" insertHyperlinks="0" deleteColumns="0" deleteRows="0" sort="0" autoFilter="0" pivotTables="0"/>
  <mergeCells count="1">
    <mergeCell ref="B1:C1"/>
  </mergeCells>
  <phoneticPr fontId="15" type="noConversion"/>
  <conditionalFormatting sqref="A53:D102">
    <cfRule type="expression" dxfId="5" priority="2">
      <formula>ISBLANK($A53)</formula>
    </cfRule>
  </conditionalFormatting>
  <conditionalFormatting sqref="C30">
    <cfRule type="cellIs" dxfId="4" priority="1" operator="equal">
      <formula>"Ikke opfyldt"</formula>
    </cfRule>
  </conditionalFormatting>
  <dataValidations count="4">
    <dataValidation type="decimal" allowBlank="1" showInputMessage="1" showErrorMessage="1" errorTitle="Vælg et konfidensniveau" error="Indtast et procenttal mellem 50% og 100%" promptTitle="Vælg et konfidensniveau" prompt="Indtast et procenttal mellem 50% og 100%" sqref="B5" xr:uid="{447967D4-902F-47F4-A950-8F53C13A2C0B}">
      <formula1>0.5</formula1>
      <formula2>1</formula2>
    </dataValidation>
    <dataValidation type="list" allowBlank="1" showInputMessage="1" showErrorMessage="1" promptTitle="Vælg om en konstant inkluderes" prompt="Som udgangspunkt Sand, hvor konstanten inkluderes i regressionsmodellen._x000a_Hvis Falsk vælges, så tvinges regressionslinjen til at skære 0 på y-aksen." sqref="B6" xr:uid="{5D086B2F-24D4-4F70-A864-BA67E9AF54D7}">
      <formula1>SandFalsk_liste</formula1>
    </dataValidation>
    <dataValidation allowBlank="1" showInputMessage="1" showErrorMessage="1" promptTitle="Kontrol af forudsætning" prompt="Denne forudsætning skal altid vurderes." sqref="C31:C34" xr:uid="{7882D287-0EB4-45B3-A2CB-E34589B5997D}"/>
    <dataValidation allowBlank="1" showInputMessage="1" showErrorMessage="1" promptTitle="Kontrol af forudsætning" prompt="Viser Ikke opfyldt, hvis kontrollen har identificeret et problem med denne forudsætning. Viser Opfyldt, hvis kontrollen ikke har identificeret nogen problemer." sqref="C30" xr:uid="{9FF24CA4-3CD3-413C-A5B4-09A5E358903D}"/>
  </dataValidations>
  <hyperlinks>
    <hyperlink ref="B1" location="V_Manual_Lineær_Regression" display="Gå til Manual i brug af Lineær Regression arket                                      " xr:uid="{77BCA406-07D7-40D4-AC56-25C497D058F8}"/>
  </hyperlinks>
  <pageMargins left="0.7" right="0.7" top="0.75" bottom="0.75" header="0.3" footer="0.3"/>
  <pageSetup paperSize="9" orientation="portrait" r:id="rId1"/>
  <drawing r:id="rId2"/>
  <legacyDrawing r:id="rId3"/>
  <extLst>
    <ext xmlns:x15="http://schemas.microsoft.com/office/spreadsheetml/2010/11/main" uri="{3A4CF648-6AED-40f4-86FF-DC5316D8AED3}">
      <x14:slicerList xmlns:x14="http://schemas.microsoft.com/office/spreadsheetml/2009/9/main">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8E6F7-86F8-4761-B1B8-E17A3AAB4447}">
  <sheetPr codeName="Sheet11"/>
  <dimension ref="A1:H2515"/>
  <sheetViews>
    <sheetView showGridLines="0" zoomScaleNormal="100" workbookViewId="0"/>
  </sheetViews>
  <sheetFormatPr defaultRowHeight="14.25" x14ac:dyDescent="0.2"/>
  <cols>
    <col min="1" max="1" width="35.875" customWidth="1"/>
    <col min="2" max="2" width="38.25" customWidth="1"/>
    <col min="3" max="3" width="20.875" customWidth="1"/>
    <col min="4" max="4" width="24" bestFit="1" customWidth="1"/>
    <col min="5" max="6" width="21.75" customWidth="1"/>
    <col min="7" max="7" width="31.375" customWidth="1"/>
    <col min="9" max="9" width="16.375" customWidth="1"/>
    <col min="12" max="12" width="19.375" customWidth="1"/>
    <col min="13" max="13" width="17.75" customWidth="1"/>
  </cols>
  <sheetData>
    <row r="1" spans="1:8" ht="18.75" x14ac:dyDescent="0.2">
      <c r="A1" s="1" t="s">
        <v>993</v>
      </c>
    </row>
    <row r="2" spans="1:8" x14ac:dyDescent="0.2">
      <c r="C2" s="188"/>
    </row>
    <row r="3" spans="1:8" x14ac:dyDescent="0.2">
      <c r="A3" s="3" t="s">
        <v>926</v>
      </c>
    </row>
    <row r="4" spans="1:8" x14ac:dyDescent="0.2">
      <c r="A4" s="100" t="s">
        <v>995</v>
      </c>
      <c r="B4" s="108">
        <f>SQRT(COUNT(LineærRegression_Valg[Tabel ID]))</f>
        <v>50</v>
      </c>
    </row>
    <row r="5" spans="1:8" x14ac:dyDescent="0.2">
      <c r="A5" s="100" t="s">
        <v>283</v>
      </c>
      <c r="B5" s="108">
        <f>COUNTA(DataTitel_liste)</f>
        <v>4</v>
      </c>
    </row>
    <row r="6" spans="1:8" x14ac:dyDescent="0.2">
      <c r="A6" s="100" t="s">
        <v>925</v>
      </c>
      <c r="B6" s="102" t="str">
        <f>IF(B5&gt;B4,"Forlæng tabellen indtil der indgår "&amp;B5^2&amp;" rækker","Tabellen behøver ikke forlænges yderligere")</f>
        <v>Tabellen behøver ikke forlænges yderligere</v>
      </c>
      <c r="C6" s="188"/>
    </row>
    <row r="7" spans="1:8" x14ac:dyDescent="0.2">
      <c r="A7" s="100" t="s">
        <v>924</v>
      </c>
      <c r="B7" s="108" t="str" cm="1">
        <f t="array" ref="B7">IF(MATCH(1,LineærRegression_Valg[Synlig],0)&lt;=B5+1,INDEX(DataTitel_liste,2),INDEX(DataTitel_liste,1))</f>
        <v>Eksempel 2 (interval)</v>
      </c>
      <c r="C7" s="188"/>
    </row>
    <row r="8" spans="1:8" x14ac:dyDescent="0.2">
      <c r="C8" s="188"/>
      <c r="E8" s="188"/>
      <c r="F8" s="188"/>
    </row>
    <row r="10" spans="1:8" x14ac:dyDescent="0.2">
      <c r="A10" t="s">
        <v>996</v>
      </c>
      <c r="B10" t="s">
        <v>694</v>
      </c>
      <c r="C10" t="s">
        <v>821</v>
      </c>
      <c r="D10" t="s">
        <v>923</v>
      </c>
      <c r="E10" t="s">
        <v>922</v>
      </c>
      <c r="F10" t="s">
        <v>50</v>
      </c>
      <c r="G10" t="s">
        <v>929</v>
      </c>
      <c r="H10" t="s">
        <v>146</v>
      </c>
    </row>
    <row r="11" spans="1:8" x14ac:dyDescent="0.2">
      <c r="A11">
        <f>ROW(LineærRegression_Valg[[#This Row],[Tabel ID]])-ROW(LineærRegression_Valg[[#Headers],[Tabel ID]])</f>
        <v>1</v>
      </c>
      <c r="B11" s="188">
        <f>ROUNDDOWN((LineærRegression_Valg[[#This Row],[Tabel ID]]-1)/$B$5,0)+1</f>
        <v>1</v>
      </c>
      <c r="C11">
        <f t="shared" ref="C11:C74" si="0">MOD(A11-1,$B$5)+1</f>
        <v>1</v>
      </c>
      <c r="D11" s="188" t="b">
        <f>LineærRegression_Valg[[#This Row],[Afhængig variabel ID]]&lt;&gt;LineærRegression_Valg[[#This Row],[Uafhængig variabel ID]]</f>
        <v>0</v>
      </c>
      <c r="E11" s="188" t="b">
        <f>LineærRegression_Valg[[#This Row],[Afhængig variabel ID]]&lt;=$B$5</f>
        <v>1</v>
      </c>
      <c r="F11" t="str" cm="1">
        <f t="array" ref="F11">IF(LineærRegression_Valg[[#This Row],[Indenfor range]],INDEX(DataTitel_liste,LineærRegression_Valg[[#This Row],[Afhængig variabel ID]]),INDEX(DataTitel_liste,1))</f>
        <v>Eksempel 1 (interval)</v>
      </c>
      <c r="G11" s="188" t="str" cm="1">
        <f t="array" ref="G11">IF(LineærRegression_Valg[[#This Row],[Indenfor range]],IF(LineærRegression_Valg[[#This Row],[Intet overlap]],INDEX(DataTitel_liste,LineærRegression_Valg[[#This Row],[Uafhængig variabel ID]]),INDEX(DataTitel_liste,IF(LineærRegression_Valg[[#This Row],[Afhængig variabel ID]]=1,2,1))),$B$7)</f>
        <v>Eksempel 2 (interval)</v>
      </c>
      <c r="H11" s="188">
        <f>_xlfn.AGGREGATE(2,5,LineærRegression_Valg[[#This Row],[Tabel ID]])</f>
        <v>1</v>
      </c>
    </row>
    <row r="12" spans="1:8" x14ac:dyDescent="0.2">
      <c r="A12">
        <f>ROW(LineærRegression_Valg[[#This Row],[Tabel ID]])-ROW(LineærRegression_Valg[[#Headers],[Tabel ID]])</f>
        <v>2</v>
      </c>
      <c r="B12" s="188">
        <f>ROUNDDOWN((LineærRegression_Valg[[#This Row],[Tabel ID]]-1)/$B$5,0)+1</f>
        <v>1</v>
      </c>
      <c r="C12">
        <f t="shared" si="0"/>
        <v>2</v>
      </c>
      <c r="D12" s="188" t="b">
        <f>LineærRegression_Valg[[#This Row],[Afhængig variabel ID]]&lt;&gt;LineærRegression_Valg[[#This Row],[Uafhængig variabel ID]]</f>
        <v>1</v>
      </c>
      <c r="E12" t="b">
        <f>LineærRegression_Valg[[#This Row],[Afhængig variabel ID]]&lt;=$B$5</f>
        <v>1</v>
      </c>
      <c r="F12" t="str" cm="1">
        <f t="array" ref="F12">IF(LineærRegression_Valg[[#This Row],[Indenfor range]],INDEX(DataTitel_liste,LineærRegression_Valg[[#This Row],[Afhængig variabel ID]]),INDEX(DataTitel_liste,1))</f>
        <v>Eksempel 1 (interval)</v>
      </c>
      <c r="G12" s="188" t="str" cm="1">
        <f t="array" ref="G12">IF(LineærRegression_Valg[[#This Row],[Indenfor range]],IF(LineærRegression_Valg[[#This Row],[Intet overlap]],INDEX(DataTitel_liste,LineærRegression_Valg[[#This Row],[Uafhængig variabel ID]]),INDEX(DataTitel_liste,IF(LineærRegression_Valg[[#This Row],[Afhængig variabel ID]]=1,2,1))),$B$7)</f>
        <v>Eksempel 2 (interval)</v>
      </c>
      <c r="H12" s="188">
        <f>_xlfn.AGGREGATE(2,5,LineærRegression_Valg[[#This Row],[Tabel ID]])</f>
        <v>1</v>
      </c>
    </row>
    <row r="13" spans="1:8" x14ac:dyDescent="0.2">
      <c r="A13">
        <f>ROW(LineærRegression_Valg[[#This Row],[Tabel ID]])-ROW(LineærRegression_Valg[[#Headers],[Tabel ID]])</f>
        <v>3</v>
      </c>
      <c r="B13" s="188">
        <f>ROUNDDOWN((LineærRegression_Valg[[#This Row],[Tabel ID]]-1)/$B$5,0)+1</f>
        <v>1</v>
      </c>
      <c r="C13">
        <f t="shared" si="0"/>
        <v>3</v>
      </c>
      <c r="D13" s="188" t="b">
        <f>LineærRegression_Valg[[#This Row],[Afhængig variabel ID]]&lt;&gt;LineærRegression_Valg[[#This Row],[Uafhængig variabel ID]]</f>
        <v>1</v>
      </c>
      <c r="E13" t="b">
        <f>LineærRegression_Valg[[#This Row],[Afhængig variabel ID]]&lt;=$B$5</f>
        <v>1</v>
      </c>
      <c r="F13" t="str" cm="1">
        <f t="array" ref="F13">IF(LineærRegression_Valg[[#This Row],[Indenfor range]],INDEX(DataTitel_liste,LineærRegression_Valg[[#This Row],[Afhængig variabel ID]]),INDEX(DataTitel_liste,1))</f>
        <v>Eksempel 1 (interval)</v>
      </c>
      <c r="G13" s="188" t="str" cm="1">
        <f t="array" ref="G13">IF(LineærRegression_Valg[[#This Row],[Indenfor range]],IF(LineærRegression_Valg[[#This Row],[Intet overlap]],INDEX(DataTitel_liste,LineærRegression_Valg[[#This Row],[Uafhængig variabel ID]]),INDEX(DataTitel_liste,IF(LineærRegression_Valg[[#This Row],[Afhængig variabel ID]]=1,2,1))),$B$7)</f>
        <v>Eksempel 3 (nominal)</v>
      </c>
      <c r="H13" s="188">
        <f>_xlfn.AGGREGATE(2,5,LineærRegression_Valg[[#This Row],[Tabel ID]])</f>
        <v>1</v>
      </c>
    </row>
    <row r="14" spans="1:8" hidden="1" x14ac:dyDescent="0.2">
      <c r="A14">
        <f>ROW(LineærRegression_Valg[[#This Row],[Tabel ID]])-ROW(LineærRegression_Valg[[#Headers],[Tabel ID]])</f>
        <v>4</v>
      </c>
      <c r="B14" s="188">
        <f>ROUNDDOWN((LineærRegression_Valg[[#This Row],[Tabel ID]]-1)/$B$5,0)+1</f>
        <v>1</v>
      </c>
      <c r="C14">
        <f t="shared" si="0"/>
        <v>4</v>
      </c>
      <c r="D14" s="188" t="b">
        <f>LineærRegression_Valg[[#This Row],[Afhængig variabel ID]]&lt;&gt;LineærRegression_Valg[[#This Row],[Uafhængig variabel ID]]</f>
        <v>1</v>
      </c>
      <c r="E14" t="b">
        <f>LineærRegression_Valg[[#This Row],[Afhængig variabel ID]]&lt;=$B$5</f>
        <v>1</v>
      </c>
      <c r="F14" t="str" cm="1">
        <f t="array" ref="F14">IF(LineærRegression_Valg[[#This Row],[Indenfor range]],INDEX(DataTitel_liste,LineærRegression_Valg[[#This Row],[Afhængig variabel ID]]),INDEX(DataTitel_liste,1))</f>
        <v>Eksempel 1 (interval)</v>
      </c>
      <c r="G14" s="188" t="str" cm="1">
        <f t="array" ref="G14">IF(LineærRegression_Valg[[#This Row],[Indenfor range]],IF(LineærRegression_Valg[[#This Row],[Intet overlap]],INDEX(DataTitel_liste,LineærRegression_Valg[[#This Row],[Uafhængig variabel ID]]),INDEX(DataTitel_liste,IF(LineærRegression_Valg[[#This Row],[Afhængig variabel ID]]=1,2,1))),$B$7)</f>
        <v>Eksempel 4 (nominal)</v>
      </c>
      <c r="H14" s="188">
        <f>_xlfn.AGGREGATE(2,5,LineærRegression_Valg[[#This Row],[Tabel ID]])</f>
        <v>0</v>
      </c>
    </row>
    <row r="15" spans="1:8" hidden="1" x14ac:dyDescent="0.2">
      <c r="A15">
        <f>ROW(LineærRegression_Valg[[#This Row],[Tabel ID]])-ROW(LineærRegression_Valg[[#Headers],[Tabel ID]])</f>
        <v>5</v>
      </c>
      <c r="B15" s="188">
        <f>ROUNDDOWN((LineærRegression_Valg[[#This Row],[Tabel ID]]-1)/$B$5,0)+1</f>
        <v>2</v>
      </c>
      <c r="C15">
        <f t="shared" si="0"/>
        <v>1</v>
      </c>
      <c r="D15" s="188" t="b">
        <f>LineærRegression_Valg[[#This Row],[Afhængig variabel ID]]&lt;&gt;LineærRegression_Valg[[#This Row],[Uafhængig variabel ID]]</f>
        <v>1</v>
      </c>
      <c r="E15" t="b">
        <f>LineærRegression_Valg[[#This Row],[Afhængig variabel ID]]&lt;=$B$5</f>
        <v>1</v>
      </c>
      <c r="F15" t="str" cm="1">
        <f t="array" ref="F15">IF(LineærRegression_Valg[[#This Row],[Indenfor range]],INDEX(DataTitel_liste,LineærRegression_Valg[[#This Row],[Afhængig variabel ID]]),INDEX(DataTitel_liste,1))</f>
        <v>Eksempel 2 (interval)</v>
      </c>
      <c r="G15" s="188" t="str" cm="1">
        <f t="array" ref="G15">IF(LineærRegression_Valg[[#This Row],[Indenfor range]],IF(LineærRegression_Valg[[#This Row],[Intet overlap]],INDEX(DataTitel_liste,LineærRegression_Valg[[#This Row],[Uafhængig variabel ID]]),INDEX(DataTitel_liste,IF(LineærRegression_Valg[[#This Row],[Afhængig variabel ID]]=1,2,1))),$B$7)</f>
        <v>Eksempel 1 (interval)</v>
      </c>
      <c r="H15" s="188">
        <f>_xlfn.AGGREGATE(2,5,LineærRegression_Valg[[#This Row],[Tabel ID]])</f>
        <v>0</v>
      </c>
    </row>
    <row r="16" spans="1:8" hidden="1" x14ac:dyDescent="0.2">
      <c r="A16">
        <f>ROW(LineærRegression_Valg[[#This Row],[Tabel ID]])-ROW(LineærRegression_Valg[[#Headers],[Tabel ID]])</f>
        <v>6</v>
      </c>
      <c r="B16" s="188">
        <f>ROUNDDOWN((LineærRegression_Valg[[#This Row],[Tabel ID]]-1)/$B$5,0)+1</f>
        <v>2</v>
      </c>
      <c r="C16">
        <f t="shared" si="0"/>
        <v>2</v>
      </c>
      <c r="D16" s="188" t="b">
        <f>LineærRegression_Valg[[#This Row],[Afhængig variabel ID]]&lt;&gt;LineærRegression_Valg[[#This Row],[Uafhængig variabel ID]]</f>
        <v>0</v>
      </c>
      <c r="E16" t="b">
        <f>LineærRegression_Valg[[#This Row],[Afhængig variabel ID]]&lt;=$B$5</f>
        <v>1</v>
      </c>
      <c r="F16" t="str" cm="1">
        <f t="array" ref="F16">IF(LineærRegression_Valg[[#This Row],[Indenfor range]],INDEX(DataTitel_liste,LineærRegression_Valg[[#This Row],[Afhængig variabel ID]]),INDEX(DataTitel_liste,1))</f>
        <v>Eksempel 2 (interval)</v>
      </c>
      <c r="G16" s="188" t="str" cm="1">
        <f t="array" ref="G16">IF(LineærRegression_Valg[[#This Row],[Indenfor range]],IF(LineærRegression_Valg[[#This Row],[Intet overlap]],INDEX(DataTitel_liste,LineærRegression_Valg[[#This Row],[Uafhængig variabel ID]]),INDEX(DataTitel_liste,IF(LineærRegression_Valg[[#This Row],[Afhængig variabel ID]]=1,2,1))),$B$7)</f>
        <v>Eksempel 1 (interval)</v>
      </c>
      <c r="H16" s="188">
        <f>_xlfn.AGGREGATE(2,5,LineærRegression_Valg[[#This Row],[Tabel ID]])</f>
        <v>0</v>
      </c>
    </row>
    <row r="17" spans="1:8" hidden="1" x14ac:dyDescent="0.2">
      <c r="A17">
        <f>ROW(LineærRegression_Valg[[#This Row],[Tabel ID]])-ROW(LineærRegression_Valg[[#Headers],[Tabel ID]])</f>
        <v>7</v>
      </c>
      <c r="B17" s="188">
        <f>ROUNDDOWN((LineærRegression_Valg[[#This Row],[Tabel ID]]-1)/$B$5,0)+1</f>
        <v>2</v>
      </c>
      <c r="C17">
        <f t="shared" si="0"/>
        <v>3</v>
      </c>
      <c r="D17" s="188" t="b">
        <f>LineærRegression_Valg[[#This Row],[Afhængig variabel ID]]&lt;&gt;LineærRegression_Valg[[#This Row],[Uafhængig variabel ID]]</f>
        <v>1</v>
      </c>
      <c r="E17" t="b">
        <f>LineærRegression_Valg[[#This Row],[Afhængig variabel ID]]&lt;=$B$5</f>
        <v>1</v>
      </c>
      <c r="F17" t="str" cm="1">
        <f t="array" ref="F17">IF(LineærRegression_Valg[[#This Row],[Indenfor range]],INDEX(DataTitel_liste,LineærRegression_Valg[[#This Row],[Afhængig variabel ID]]),INDEX(DataTitel_liste,1))</f>
        <v>Eksempel 2 (interval)</v>
      </c>
      <c r="G17" s="188" t="str" cm="1">
        <f t="array" ref="G17">IF(LineærRegression_Valg[[#This Row],[Indenfor range]],IF(LineærRegression_Valg[[#This Row],[Intet overlap]],INDEX(DataTitel_liste,LineærRegression_Valg[[#This Row],[Uafhængig variabel ID]]),INDEX(DataTitel_liste,IF(LineærRegression_Valg[[#This Row],[Afhængig variabel ID]]=1,2,1))),$B$7)</f>
        <v>Eksempel 3 (nominal)</v>
      </c>
      <c r="H17" s="188">
        <f>_xlfn.AGGREGATE(2,5,LineærRegression_Valg[[#This Row],[Tabel ID]])</f>
        <v>0</v>
      </c>
    </row>
    <row r="18" spans="1:8" hidden="1" x14ac:dyDescent="0.2">
      <c r="A18">
        <f>ROW(LineærRegression_Valg[[#This Row],[Tabel ID]])-ROW(LineærRegression_Valg[[#Headers],[Tabel ID]])</f>
        <v>8</v>
      </c>
      <c r="B18" s="188">
        <f>ROUNDDOWN((LineærRegression_Valg[[#This Row],[Tabel ID]]-1)/$B$5,0)+1</f>
        <v>2</v>
      </c>
      <c r="C18">
        <f t="shared" si="0"/>
        <v>4</v>
      </c>
      <c r="D18" s="188" t="b">
        <f>LineærRegression_Valg[[#This Row],[Afhængig variabel ID]]&lt;&gt;LineærRegression_Valg[[#This Row],[Uafhængig variabel ID]]</f>
        <v>1</v>
      </c>
      <c r="E18" t="b">
        <f>LineærRegression_Valg[[#This Row],[Afhængig variabel ID]]&lt;=$B$5</f>
        <v>1</v>
      </c>
      <c r="F18" t="str" cm="1">
        <f t="array" ref="F18">IF(LineærRegression_Valg[[#This Row],[Indenfor range]],INDEX(DataTitel_liste,LineærRegression_Valg[[#This Row],[Afhængig variabel ID]]),INDEX(DataTitel_liste,1))</f>
        <v>Eksempel 2 (interval)</v>
      </c>
      <c r="G18" s="188" t="str" cm="1">
        <f t="array" ref="G18">IF(LineærRegression_Valg[[#This Row],[Indenfor range]],IF(LineærRegression_Valg[[#This Row],[Intet overlap]],INDEX(DataTitel_liste,LineærRegression_Valg[[#This Row],[Uafhængig variabel ID]]),INDEX(DataTitel_liste,IF(LineærRegression_Valg[[#This Row],[Afhængig variabel ID]]=1,2,1))),$B$7)</f>
        <v>Eksempel 4 (nominal)</v>
      </c>
      <c r="H18" s="188">
        <f>_xlfn.AGGREGATE(2,5,LineærRegression_Valg[[#This Row],[Tabel ID]])</f>
        <v>0</v>
      </c>
    </row>
    <row r="19" spans="1:8" hidden="1" x14ac:dyDescent="0.2">
      <c r="A19">
        <f>ROW(LineærRegression_Valg[[#This Row],[Tabel ID]])-ROW(LineærRegression_Valg[[#Headers],[Tabel ID]])</f>
        <v>9</v>
      </c>
      <c r="B19" s="188">
        <f>ROUNDDOWN((LineærRegression_Valg[[#This Row],[Tabel ID]]-1)/$B$5,0)+1</f>
        <v>3</v>
      </c>
      <c r="C19">
        <f t="shared" si="0"/>
        <v>1</v>
      </c>
      <c r="D19" s="188" t="b">
        <f>LineærRegression_Valg[[#This Row],[Afhængig variabel ID]]&lt;&gt;LineærRegression_Valg[[#This Row],[Uafhængig variabel ID]]</f>
        <v>1</v>
      </c>
      <c r="E19" t="b">
        <f>LineærRegression_Valg[[#This Row],[Afhængig variabel ID]]&lt;=$B$5</f>
        <v>1</v>
      </c>
      <c r="F19" t="str" cm="1">
        <f t="array" ref="F19">IF(LineærRegression_Valg[[#This Row],[Indenfor range]],INDEX(DataTitel_liste,LineærRegression_Valg[[#This Row],[Afhængig variabel ID]]),INDEX(DataTitel_liste,1))</f>
        <v>Eksempel 3 (nominal)</v>
      </c>
      <c r="G19" s="188" t="str" cm="1">
        <f t="array" ref="G19">IF(LineærRegression_Valg[[#This Row],[Indenfor range]],IF(LineærRegression_Valg[[#This Row],[Intet overlap]],INDEX(DataTitel_liste,LineærRegression_Valg[[#This Row],[Uafhængig variabel ID]]),INDEX(DataTitel_liste,IF(LineærRegression_Valg[[#This Row],[Afhængig variabel ID]]=1,2,1))),$B$7)</f>
        <v>Eksempel 1 (interval)</v>
      </c>
      <c r="H19" s="188">
        <f>_xlfn.AGGREGATE(2,5,LineærRegression_Valg[[#This Row],[Tabel ID]])</f>
        <v>0</v>
      </c>
    </row>
    <row r="20" spans="1:8" hidden="1" x14ac:dyDescent="0.2">
      <c r="A20">
        <f>ROW(LineærRegression_Valg[[#This Row],[Tabel ID]])-ROW(LineærRegression_Valg[[#Headers],[Tabel ID]])</f>
        <v>10</v>
      </c>
      <c r="B20" s="188">
        <f>ROUNDDOWN((LineærRegression_Valg[[#This Row],[Tabel ID]]-1)/$B$5,0)+1</f>
        <v>3</v>
      </c>
      <c r="C20">
        <f t="shared" si="0"/>
        <v>2</v>
      </c>
      <c r="D20" s="188" t="b">
        <f>LineærRegression_Valg[[#This Row],[Afhængig variabel ID]]&lt;&gt;LineærRegression_Valg[[#This Row],[Uafhængig variabel ID]]</f>
        <v>1</v>
      </c>
      <c r="E20" t="b">
        <f>LineærRegression_Valg[[#This Row],[Afhængig variabel ID]]&lt;=$B$5</f>
        <v>1</v>
      </c>
      <c r="F20" t="str" cm="1">
        <f t="array" ref="F20">IF(LineærRegression_Valg[[#This Row],[Indenfor range]],INDEX(DataTitel_liste,LineærRegression_Valg[[#This Row],[Afhængig variabel ID]]),INDEX(DataTitel_liste,1))</f>
        <v>Eksempel 3 (nominal)</v>
      </c>
      <c r="G20" s="188" t="str" cm="1">
        <f t="array" ref="G20">IF(LineærRegression_Valg[[#This Row],[Indenfor range]],IF(LineærRegression_Valg[[#This Row],[Intet overlap]],INDEX(DataTitel_liste,LineærRegression_Valg[[#This Row],[Uafhængig variabel ID]]),INDEX(DataTitel_liste,IF(LineærRegression_Valg[[#This Row],[Afhængig variabel ID]]=1,2,1))),$B$7)</f>
        <v>Eksempel 2 (interval)</v>
      </c>
      <c r="H20" s="188">
        <f>_xlfn.AGGREGATE(2,5,LineærRegression_Valg[[#This Row],[Tabel ID]])</f>
        <v>0</v>
      </c>
    </row>
    <row r="21" spans="1:8" hidden="1" x14ac:dyDescent="0.2">
      <c r="A21">
        <f>ROW(LineærRegression_Valg[[#This Row],[Tabel ID]])-ROW(LineærRegression_Valg[[#Headers],[Tabel ID]])</f>
        <v>11</v>
      </c>
      <c r="B21" s="188">
        <f>ROUNDDOWN((LineærRegression_Valg[[#This Row],[Tabel ID]]-1)/$B$5,0)+1</f>
        <v>3</v>
      </c>
      <c r="C21">
        <f t="shared" si="0"/>
        <v>3</v>
      </c>
      <c r="D21" s="188" t="b">
        <f>LineærRegression_Valg[[#This Row],[Afhængig variabel ID]]&lt;&gt;LineærRegression_Valg[[#This Row],[Uafhængig variabel ID]]</f>
        <v>0</v>
      </c>
      <c r="E21" t="b">
        <f>LineærRegression_Valg[[#This Row],[Afhængig variabel ID]]&lt;=$B$5</f>
        <v>1</v>
      </c>
      <c r="F21" t="str" cm="1">
        <f t="array" ref="F21">IF(LineærRegression_Valg[[#This Row],[Indenfor range]],INDEX(DataTitel_liste,LineærRegression_Valg[[#This Row],[Afhængig variabel ID]]),INDEX(DataTitel_liste,1))</f>
        <v>Eksempel 3 (nominal)</v>
      </c>
      <c r="G21" s="188" t="str" cm="1">
        <f t="array" ref="G21">IF(LineærRegression_Valg[[#This Row],[Indenfor range]],IF(LineærRegression_Valg[[#This Row],[Intet overlap]],INDEX(DataTitel_liste,LineærRegression_Valg[[#This Row],[Uafhængig variabel ID]]),INDEX(DataTitel_liste,IF(LineærRegression_Valg[[#This Row],[Afhængig variabel ID]]=1,2,1))),$B$7)</f>
        <v>Eksempel 1 (interval)</v>
      </c>
      <c r="H21" s="188">
        <f>_xlfn.AGGREGATE(2,5,LineærRegression_Valg[[#This Row],[Tabel ID]])</f>
        <v>0</v>
      </c>
    </row>
    <row r="22" spans="1:8" hidden="1" x14ac:dyDescent="0.2">
      <c r="A22">
        <f>ROW(LineærRegression_Valg[[#This Row],[Tabel ID]])-ROW(LineærRegression_Valg[[#Headers],[Tabel ID]])</f>
        <v>12</v>
      </c>
      <c r="B22" s="188">
        <f>ROUNDDOWN((LineærRegression_Valg[[#This Row],[Tabel ID]]-1)/$B$5,0)+1</f>
        <v>3</v>
      </c>
      <c r="C22">
        <f t="shared" si="0"/>
        <v>4</v>
      </c>
      <c r="D22" s="188" t="b">
        <f>LineærRegression_Valg[[#This Row],[Afhængig variabel ID]]&lt;&gt;LineærRegression_Valg[[#This Row],[Uafhængig variabel ID]]</f>
        <v>1</v>
      </c>
      <c r="E22" t="b">
        <f>LineærRegression_Valg[[#This Row],[Afhængig variabel ID]]&lt;=$B$5</f>
        <v>1</v>
      </c>
      <c r="F22" t="str" cm="1">
        <f t="array" ref="F22">IF(LineærRegression_Valg[[#This Row],[Indenfor range]],INDEX(DataTitel_liste,LineærRegression_Valg[[#This Row],[Afhængig variabel ID]]),INDEX(DataTitel_liste,1))</f>
        <v>Eksempel 3 (nominal)</v>
      </c>
      <c r="G22" s="188" t="str" cm="1">
        <f t="array" ref="G22">IF(LineærRegression_Valg[[#This Row],[Indenfor range]],IF(LineærRegression_Valg[[#This Row],[Intet overlap]],INDEX(DataTitel_liste,LineærRegression_Valg[[#This Row],[Uafhængig variabel ID]]),INDEX(DataTitel_liste,IF(LineærRegression_Valg[[#This Row],[Afhængig variabel ID]]=1,2,1))),$B$7)</f>
        <v>Eksempel 4 (nominal)</v>
      </c>
      <c r="H22" s="188">
        <f>_xlfn.AGGREGATE(2,5,LineærRegression_Valg[[#This Row],[Tabel ID]])</f>
        <v>0</v>
      </c>
    </row>
    <row r="23" spans="1:8" hidden="1" x14ac:dyDescent="0.2">
      <c r="A23">
        <f>ROW(LineærRegression_Valg[[#This Row],[Tabel ID]])-ROW(LineærRegression_Valg[[#Headers],[Tabel ID]])</f>
        <v>13</v>
      </c>
      <c r="B23" s="188">
        <f>ROUNDDOWN((LineærRegression_Valg[[#This Row],[Tabel ID]]-1)/$B$5,0)+1</f>
        <v>4</v>
      </c>
      <c r="C23" s="188">
        <f t="shared" si="0"/>
        <v>1</v>
      </c>
      <c r="D23" s="188" t="b">
        <f>LineærRegression_Valg[[#This Row],[Afhængig variabel ID]]&lt;&gt;LineærRegression_Valg[[#This Row],[Uafhængig variabel ID]]</f>
        <v>1</v>
      </c>
      <c r="E23" t="b">
        <f>LineærRegression_Valg[[#This Row],[Afhængig variabel ID]]&lt;=$B$5</f>
        <v>1</v>
      </c>
      <c r="F23" t="str" cm="1">
        <f t="array" ref="F23">IF(LineærRegression_Valg[[#This Row],[Indenfor range]],INDEX(DataTitel_liste,LineærRegression_Valg[[#This Row],[Afhængig variabel ID]]),INDEX(DataTitel_liste,1))</f>
        <v>Eksempel 4 (nominal)</v>
      </c>
      <c r="G23" s="188" t="str" cm="1">
        <f t="array" ref="G23">IF(LineærRegression_Valg[[#This Row],[Indenfor range]],IF(LineærRegression_Valg[[#This Row],[Intet overlap]],INDEX(DataTitel_liste,LineærRegression_Valg[[#This Row],[Uafhængig variabel ID]]),INDEX(DataTitel_liste,IF(LineærRegression_Valg[[#This Row],[Afhængig variabel ID]]=1,2,1))),$B$7)</f>
        <v>Eksempel 1 (interval)</v>
      </c>
      <c r="H23" s="188">
        <f>_xlfn.AGGREGATE(2,5,LineærRegression_Valg[[#This Row],[Tabel ID]])</f>
        <v>0</v>
      </c>
    </row>
    <row r="24" spans="1:8" hidden="1" x14ac:dyDescent="0.2">
      <c r="A24">
        <f>ROW(LineærRegression_Valg[[#This Row],[Tabel ID]])-ROW(LineærRegression_Valg[[#Headers],[Tabel ID]])</f>
        <v>14</v>
      </c>
      <c r="B24" s="188">
        <f>ROUNDDOWN((LineærRegression_Valg[[#This Row],[Tabel ID]]-1)/$B$5,0)+1</f>
        <v>4</v>
      </c>
      <c r="C24" s="188">
        <f t="shared" si="0"/>
        <v>2</v>
      </c>
      <c r="D24" s="188" t="b">
        <f>LineærRegression_Valg[[#This Row],[Afhængig variabel ID]]&lt;&gt;LineærRegression_Valg[[#This Row],[Uafhængig variabel ID]]</f>
        <v>1</v>
      </c>
      <c r="E24" t="b">
        <f>LineærRegression_Valg[[#This Row],[Afhængig variabel ID]]&lt;=$B$5</f>
        <v>1</v>
      </c>
      <c r="F24" t="str" cm="1">
        <f t="array" ref="F24">IF(LineærRegression_Valg[[#This Row],[Indenfor range]],INDEX(DataTitel_liste,LineærRegression_Valg[[#This Row],[Afhængig variabel ID]]),INDEX(DataTitel_liste,1))</f>
        <v>Eksempel 4 (nominal)</v>
      </c>
      <c r="G24" s="188" t="str" cm="1">
        <f t="array" ref="G24">IF(LineærRegression_Valg[[#This Row],[Indenfor range]],IF(LineærRegression_Valg[[#This Row],[Intet overlap]],INDEX(DataTitel_liste,LineærRegression_Valg[[#This Row],[Uafhængig variabel ID]]),INDEX(DataTitel_liste,IF(LineærRegression_Valg[[#This Row],[Afhængig variabel ID]]=1,2,1))),$B$7)</f>
        <v>Eksempel 2 (interval)</v>
      </c>
      <c r="H24" s="188">
        <f>_xlfn.AGGREGATE(2,5,LineærRegression_Valg[[#This Row],[Tabel ID]])</f>
        <v>0</v>
      </c>
    </row>
    <row r="25" spans="1:8" hidden="1" x14ac:dyDescent="0.2">
      <c r="A25">
        <f>ROW(LineærRegression_Valg[[#This Row],[Tabel ID]])-ROW(LineærRegression_Valg[[#Headers],[Tabel ID]])</f>
        <v>15</v>
      </c>
      <c r="B25" s="188">
        <f>ROUNDDOWN((LineærRegression_Valg[[#This Row],[Tabel ID]]-1)/$B$5,0)+1</f>
        <v>4</v>
      </c>
      <c r="C25" s="188">
        <f t="shared" si="0"/>
        <v>3</v>
      </c>
      <c r="D25" s="188" t="b">
        <f>LineærRegression_Valg[[#This Row],[Afhængig variabel ID]]&lt;&gt;LineærRegression_Valg[[#This Row],[Uafhængig variabel ID]]</f>
        <v>1</v>
      </c>
      <c r="E25" t="b">
        <f>LineærRegression_Valg[[#This Row],[Afhængig variabel ID]]&lt;=$B$5</f>
        <v>1</v>
      </c>
      <c r="F25" t="str" cm="1">
        <f t="array" ref="F25">IF(LineærRegression_Valg[[#This Row],[Indenfor range]],INDEX(DataTitel_liste,LineærRegression_Valg[[#This Row],[Afhængig variabel ID]]),INDEX(DataTitel_liste,1))</f>
        <v>Eksempel 4 (nominal)</v>
      </c>
      <c r="G25" s="188" t="str" cm="1">
        <f t="array" ref="G25">IF(LineærRegression_Valg[[#This Row],[Indenfor range]],IF(LineærRegression_Valg[[#This Row],[Intet overlap]],INDEX(DataTitel_liste,LineærRegression_Valg[[#This Row],[Uafhængig variabel ID]]),INDEX(DataTitel_liste,IF(LineærRegression_Valg[[#This Row],[Afhængig variabel ID]]=1,2,1))),$B$7)</f>
        <v>Eksempel 3 (nominal)</v>
      </c>
      <c r="H25" s="188">
        <f>_xlfn.AGGREGATE(2,5,LineærRegression_Valg[[#This Row],[Tabel ID]])</f>
        <v>0</v>
      </c>
    </row>
    <row r="26" spans="1:8" hidden="1" x14ac:dyDescent="0.2">
      <c r="A26">
        <f>ROW(LineærRegression_Valg[[#This Row],[Tabel ID]])-ROW(LineærRegression_Valg[[#Headers],[Tabel ID]])</f>
        <v>16</v>
      </c>
      <c r="B26" s="188">
        <f>ROUNDDOWN((LineærRegression_Valg[[#This Row],[Tabel ID]]-1)/$B$5,0)+1</f>
        <v>4</v>
      </c>
      <c r="C26" s="188">
        <f t="shared" si="0"/>
        <v>4</v>
      </c>
      <c r="D26" s="188" t="b">
        <f>LineærRegression_Valg[[#This Row],[Afhængig variabel ID]]&lt;&gt;LineærRegression_Valg[[#This Row],[Uafhængig variabel ID]]</f>
        <v>0</v>
      </c>
      <c r="E26" t="b">
        <f>LineærRegression_Valg[[#This Row],[Afhængig variabel ID]]&lt;=$B$5</f>
        <v>1</v>
      </c>
      <c r="F26" t="str" cm="1">
        <f t="array" ref="F26">IF(LineærRegression_Valg[[#This Row],[Indenfor range]],INDEX(DataTitel_liste,LineærRegression_Valg[[#This Row],[Afhængig variabel ID]]),INDEX(DataTitel_liste,1))</f>
        <v>Eksempel 4 (nominal)</v>
      </c>
      <c r="G26" s="188" t="str" cm="1">
        <f t="array" ref="G26">IF(LineærRegression_Valg[[#This Row],[Indenfor range]],IF(LineærRegression_Valg[[#This Row],[Intet overlap]],INDEX(DataTitel_liste,LineærRegression_Valg[[#This Row],[Uafhængig variabel ID]]),INDEX(DataTitel_liste,IF(LineærRegression_Valg[[#This Row],[Afhængig variabel ID]]=1,2,1))),$B$7)</f>
        <v>Eksempel 1 (interval)</v>
      </c>
      <c r="H26" s="188">
        <f>_xlfn.AGGREGATE(2,5,LineærRegression_Valg[[#This Row],[Tabel ID]])</f>
        <v>0</v>
      </c>
    </row>
    <row r="27" spans="1:8" x14ac:dyDescent="0.2">
      <c r="A27">
        <f>ROW(LineærRegression_Valg[[#This Row],[Tabel ID]])-ROW(LineærRegression_Valg[[#Headers],[Tabel ID]])</f>
        <v>17</v>
      </c>
      <c r="B27" s="188">
        <f>ROUNDDOWN((LineærRegression_Valg[[#This Row],[Tabel ID]]-1)/$B$5,0)+1</f>
        <v>5</v>
      </c>
      <c r="C27" s="188">
        <f t="shared" si="0"/>
        <v>1</v>
      </c>
      <c r="D27" s="188" t="b">
        <f>LineærRegression_Valg[[#This Row],[Afhængig variabel ID]]&lt;&gt;LineærRegression_Valg[[#This Row],[Uafhængig variabel ID]]</f>
        <v>1</v>
      </c>
      <c r="E27" t="b">
        <f>LineærRegression_Valg[[#This Row],[Afhængig variabel ID]]&lt;=$B$5</f>
        <v>0</v>
      </c>
      <c r="F27" t="str" cm="1">
        <f t="array" ref="F27">IF(LineærRegression_Valg[[#This Row],[Indenfor range]],INDEX(DataTitel_liste,LineærRegression_Valg[[#This Row],[Afhængig variabel ID]]),INDEX(DataTitel_liste,1))</f>
        <v>Eksempel 1 (interval)</v>
      </c>
      <c r="G27" s="188" t="str" cm="1">
        <f t="array" ref="G27">IF(LineærRegression_Valg[[#This Row],[Indenfor range]],IF(LineærRegression_Valg[[#This Row],[Intet overlap]],INDEX(DataTitel_liste,LineærRegression_Valg[[#This Row],[Uafhængig variabel ID]]),INDEX(DataTitel_liste,IF(LineærRegression_Valg[[#This Row],[Afhængig variabel ID]]=1,2,1))),$B$7)</f>
        <v>Eksempel 2 (interval)</v>
      </c>
      <c r="H27" s="188">
        <f>_xlfn.AGGREGATE(2,5,LineærRegression_Valg[[#This Row],[Tabel ID]])</f>
        <v>1</v>
      </c>
    </row>
    <row r="28" spans="1:8" x14ac:dyDescent="0.2">
      <c r="A28">
        <f>ROW(LineærRegression_Valg[[#This Row],[Tabel ID]])-ROW(LineærRegression_Valg[[#Headers],[Tabel ID]])</f>
        <v>18</v>
      </c>
      <c r="B28" s="188">
        <f>ROUNDDOWN((LineærRegression_Valg[[#This Row],[Tabel ID]]-1)/$B$5,0)+1</f>
        <v>5</v>
      </c>
      <c r="C28" s="188">
        <f t="shared" si="0"/>
        <v>2</v>
      </c>
      <c r="D28" s="188" t="b">
        <f>LineærRegression_Valg[[#This Row],[Afhængig variabel ID]]&lt;&gt;LineærRegression_Valg[[#This Row],[Uafhængig variabel ID]]</f>
        <v>1</v>
      </c>
      <c r="E28" t="b">
        <f>LineærRegression_Valg[[#This Row],[Afhængig variabel ID]]&lt;=$B$5</f>
        <v>0</v>
      </c>
      <c r="F28" t="str" cm="1">
        <f t="array" ref="F28">IF(LineærRegression_Valg[[#This Row],[Indenfor range]],INDEX(DataTitel_liste,LineærRegression_Valg[[#This Row],[Afhængig variabel ID]]),INDEX(DataTitel_liste,1))</f>
        <v>Eksempel 1 (interval)</v>
      </c>
      <c r="G28" s="188" t="str" cm="1">
        <f t="array" ref="G28">IF(LineærRegression_Valg[[#This Row],[Indenfor range]],IF(LineærRegression_Valg[[#This Row],[Intet overlap]],INDEX(DataTitel_liste,LineærRegression_Valg[[#This Row],[Uafhængig variabel ID]]),INDEX(DataTitel_liste,IF(LineærRegression_Valg[[#This Row],[Afhængig variabel ID]]=1,2,1))),$B$7)</f>
        <v>Eksempel 2 (interval)</v>
      </c>
      <c r="H28" s="188">
        <f>_xlfn.AGGREGATE(2,5,LineærRegression_Valg[[#This Row],[Tabel ID]])</f>
        <v>1</v>
      </c>
    </row>
    <row r="29" spans="1:8" x14ac:dyDescent="0.2">
      <c r="A29">
        <f>ROW(LineærRegression_Valg[[#This Row],[Tabel ID]])-ROW(LineærRegression_Valg[[#Headers],[Tabel ID]])</f>
        <v>19</v>
      </c>
      <c r="B29" s="188">
        <f>ROUNDDOWN((LineærRegression_Valg[[#This Row],[Tabel ID]]-1)/$B$5,0)+1</f>
        <v>5</v>
      </c>
      <c r="C29" s="188">
        <f t="shared" si="0"/>
        <v>3</v>
      </c>
      <c r="D29" s="188" t="b">
        <f>LineærRegression_Valg[[#This Row],[Afhængig variabel ID]]&lt;&gt;LineærRegression_Valg[[#This Row],[Uafhængig variabel ID]]</f>
        <v>1</v>
      </c>
      <c r="E29" t="b">
        <f>LineærRegression_Valg[[#This Row],[Afhængig variabel ID]]&lt;=$B$5</f>
        <v>0</v>
      </c>
      <c r="F29" t="str" cm="1">
        <f t="array" ref="F29">IF(LineærRegression_Valg[[#This Row],[Indenfor range]],INDEX(DataTitel_liste,LineærRegression_Valg[[#This Row],[Afhængig variabel ID]]),INDEX(DataTitel_liste,1))</f>
        <v>Eksempel 1 (interval)</v>
      </c>
      <c r="G29" s="188" t="str" cm="1">
        <f t="array" ref="G29">IF(LineærRegression_Valg[[#This Row],[Indenfor range]],IF(LineærRegression_Valg[[#This Row],[Intet overlap]],INDEX(DataTitel_liste,LineærRegression_Valg[[#This Row],[Uafhængig variabel ID]]),INDEX(DataTitel_liste,IF(LineærRegression_Valg[[#This Row],[Afhængig variabel ID]]=1,2,1))),$B$7)</f>
        <v>Eksempel 2 (interval)</v>
      </c>
      <c r="H29" s="188">
        <f>_xlfn.AGGREGATE(2,5,LineærRegression_Valg[[#This Row],[Tabel ID]])</f>
        <v>1</v>
      </c>
    </row>
    <row r="30" spans="1:8" x14ac:dyDescent="0.2">
      <c r="A30">
        <f>ROW(LineærRegression_Valg[[#This Row],[Tabel ID]])-ROW(LineærRegression_Valg[[#Headers],[Tabel ID]])</f>
        <v>20</v>
      </c>
      <c r="B30" s="188">
        <f>ROUNDDOWN((LineærRegression_Valg[[#This Row],[Tabel ID]]-1)/$B$5,0)+1</f>
        <v>5</v>
      </c>
      <c r="C30" s="188">
        <f t="shared" si="0"/>
        <v>4</v>
      </c>
      <c r="D30" s="188" t="b">
        <f>LineærRegression_Valg[[#This Row],[Afhængig variabel ID]]&lt;&gt;LineærRegression_Valg[[#This Row],[Uafhængig variabel ID]]</f>
        <v>1</v>
      </c>
      <c r="E30" t="b">
        <f>LineærRegression_Valg[[#This Row],[Afhængig variabel ID]]&lt;=$B$5</f>
        <v>0</v>
      </c>
      <c r="F30" t="str" cm="1">
        <f t="array" ref="F30">IF(LineærRegression_Valg[[#This Row],[Indenfor range]],INDEX(DataTitel_liste,LineærRegression_Valg[[#This Row],[Afhængig variabel ID]]),INDEX(DataTitel_liste,1))</f>
        <v>Eksempel 1 (interval)</v>
      </c>
      <c r="G30" s="188" t="str" cm="1">
        <f t="array" ref="G30">IF(LineærRegression_Valg[[#This Row],[Indenfor range]],IF(LineærRegression_Valg[[#This Row],[Intet overlap]],INDEX(DataTitel_liste,LineærRegression_Valg[[#This Row],[Uafhængig variabel ID]]),INDEX(DataTitel_liste,IF(LineærRegression_Valg[[#This Row],[Afhængig variabel ID]]=1,2,1))),$B$7)</f>
        <v>Eksempel 2 (interval)</v>
      </c>
      <c r="H30" s="188">
        <f>_xlfn.AGGREGATE(2,5,LineærRegression_Valg[[#This Row],[Tabel ID]])</f>
        <v>1</v>
      </c>
    </row>
    <row r="31" spans="1:8" x14ac:dyDescent="0.2">
      <c r="A31">
        <f>ROW(LineærRegression_Valg[[#This Row],[Tabel ID]])-ROW(LineærRegression_Valg[[#Headers],[Tabel ID]])</f>
        <v>21</v>
      </c>
      <c r="B31" s="188">
        <f>ROUNDDOWN((LineærRegression_Valg[[#This Row],[Tabel ID]]-1)/$B$5,0)+1</f>
        <v>6</v>
      </c>
      <c r="C31" s="188">
        <f t="shared" si="0"/>
        <v>1</v>
      </c>
      <c r="D31" s="188" t="b">
        <f>LineærRegression_Valg[[#This Row],[Afhængig variabel ID]]&lt;&gt;LineærRegression_Valg[[#This Row],[Uafhængig variabel ID]]</f>
        <v>1</v>
      </c>
      <c r="E31" t="b">
        <f>LineærRegression_Valg[[#This Row],[Afhængig variabel ID]]&lt;=$B$5</f>
        <v>0</v>
      </c>
      <c r="F31" t="str" cm="1">
        <f t="array" ref="F31">IF(LineærRegression_Valg[[#This Row],[Indenfor range]],INDEX(DataTitel_liste,LineærRegression_Valg[[#This Row],[Afhængig variabel ID]]),INDEX(DataTitel_liste,1))</f>
        <v>Eksempel 1 (interval)</v>
      </c>
      <c r="G31" s="188" t="str" cm="1">
        <f t="array" ref="G31">IF(LineærRegression_Valg[[#This Row],[Indenfor range]],IF(LineærRegression_Valg[[#This Row],[Intet overlap]],INDEX(DataTitel_liste,LineærRegression_Valg[[#This Row],[Uafhængig variabel ID]]),INDEX(DataTitel_liste,IF(LineærRegression_Valg[[#This Row],[Afhængig variabel ID]]=1,2,1))),$B$7)</f>
        <v>Eksempel 2 (interval)</v>
      </c>
      <c r="H31" s="188">
        <f>_xlfn.AGGREGATE(2,5,LineærRegression_Valg[[#This Row],[Tabel ID]])</f>
        <v>1</v>
      </c>
    </row>
    <row r="32" spans="1:8" x14ac:dyDescent="0.2">
      <c r="A32">
        <f>ROW(LineærRegression_Valg[[#This Row],[Tabel ID]])-ROW(LineærRegression_Valg[[#Headers],[Tabel ID]])</f>
        <v>22</v>
      </c>
      <c r="B32" s="188">
        <f>ROUNDDOWN((LineærRegression_Valg[[#This Row],[Tabel ID]]-1)/$B$5,0)+1</f>
        <v>6</v>
      </c>
      <c r="C32" s="188">
        <f t="shared" si="0"/>
        <v>2</v>
      </c>
      <c r="D32" s="188" t="b">
        <f>LineærRegression_Valg[[#This Row],[Afhængig variabel ID]]&lt;&gt;LineærRegression_Valg[[#This Row],[Uafhængig variabel ID]]</f>
        <v>1</v>
      </c>
      <c r="E32" t="b">
        <f>LineærRegression_Valg[[#This Row],[Afhængig variabel ID]]&lt;=$B$5</f>
        <v>0</v>
      </c>
      <c r="F32" t="str" cm="1">
        <f t="array" ref="F32">IF(LineærRegression_Valg[[#This Row],[Indenfor range]],INDEX(DataTitel_liste,LineærRegression_Valg[[#This Row],[Afhængig variabel ID]]),INDEX(DataTitel_liste,1))</f>
        <v>Eksempel 1 (interval)</v>
      </c>
      <c r="G32" s="188" t="str" cm="1">
        <f t="array" ref="G32">IF(LineærRegression_Valg[[#This Row],[Indenfor range]],IF(LineærRegression_Valg[[#This Row],[Intet overlap]],INDEX(DataTitel_liste,LineærRegression_Valg[[#This Row],[Uafhængig variabel ID]]),INDEX(DataTitel_liste,IF(LineærRegression_Valg[[#This Row],[Afhængig variabel ID]]=1,2,1))),$B$7)</f>
        <v>Eksempel 2 (interval)</v>
      </c>
      <c r="H32" s="188">
        <f>_xlfn.AGGREGATE(2,5,LineærRegression_Valg[[#This Row],[Tabel ID]])</f>
        <v>1</v>
      </c>
    </row>
    <row r="33" spans="1:8" x14ac:dyDescent="0.2">
      <c r="A33">
        <f>ROW(LineærRegression_Valg[[#This Row],[Tabel ID]])-ROW(LineærRegression_Valg[[#Headers],[Tabel ID]])</f>
        <v>23</v>
      </c>
      <c r="B33" s="188">
        <f>ROUNDDOWN((LineærRegression_Valg[[#This Row],[Tabel ID]]-1)/$B$5,0)+1</f>
        <v>6</v>
      </c>
      <c r="C33" s="188">
        <f t="shared" si="0"/>
        <v>3</v>
      </c>
      <c r="D33" s="188" t="b">
        <f>LineærRegression_Valg[[#This Row],[Afhængig variabel ID]]&lt;&gt;LineærRegression_Valg[[#This Row],[Uafhængig variabel ID]]</f>
        <v>1</v>
      </c>
      <c r="E33" t="b">
        <f>LineærRegression_Valg[[#This Row],[Afhængig variabel ID]]&lt;=$B$5</f>
        <v>0</v>
      </c>
      <c r="F33" t="str" cm="1">
        <f t="array" ref="F33">IF(LineærRegression_Valg[[#This Row],[Indenfor range]],INDEX(DataTitel_liste,LineærRegression_Valg[[#This Row],[Afhængig variabel ID]]),INDEX(DataTitel_liste,1))</f>
        <v>Eksempel 1 (interval)</v>
      </c>
      <c r="G33" s="188" t="str" cm="1">
        <f t="array" ref="G33">IF(LineærRegression_Valg[[#This Row],[Indenfor range]],IF(LineærRegression_Valg[[#This Row],[Intet overlap]],INDEX(DataTitel_liste,LineærRegression_Valg[[#This Row],[Uafhængig variabel ID]]),INDEX(DataTitel_liste,IF(LineærRegression_Valg[[#This Row],[Afhængig variabel ID]]=1,2,1))),$B$7)</f>
        <v>Eksempel 2 (interval)</v>
      </c>
      <c r="H33" s="188">
        <f>_xlfn.AGGREGATE(2,5,LineærRegression_Valg[[#This Row],[Tabel ID]])</f>
        <v>1</v>
      </c>
    </row>
    <row r="34" spans="1:8" x14ac:dyDescent="0.2">
      <c r="A34">
        <f>ROW(LineærRegression_Valg[[#This Row],[Tabel ID]])-ROW(LineærRegression_Valg[[#Headers],[Tabel ID]])</f>
        <v>24</v>
      </c>
      <c r="B34" s="188">
        <f>ROUNDDOWN((LineærRegression_Valg[[#This Row],[Tabel ID]]-1)/$B$5,0)+1</f>
        <v>6</v>
      </c>
      <c r="C34" s="188">
        <f t="shared" si="0"/>
        <v>4</v>
      </c>
      <c r="D34" s="188" t="b">
        <f>LineærRegression_Valg[[#This Row],[Afhængig variabel ID]]&lt;&gt;LineærRegression_Valg[[#This Row],[Uafhængig variabel ID]]</f>
        <v>1</v>
      </c>
      <c r="E34" t="b">
        <f>LineærRegression_Valg[[#This Row],[Afhængig variabel ID]]&lt;=$B$5</f>
        <v>0</v>
      </c>
      <c r="F34" t="str" cm="1">
        <f t="array" ref="F34">IF(LineærRegression_Valg[[#This Row],[Indenfor range]],INDEX(DataTitel_liste,LineærRegression_Valg[[#This Row],[Afhængig variabel ID]]),INDEX(DataTitel_liste,1))</f>
        <v>Eksempel 1 (interval)</v>
      </c>
      <c r="G34" s="188" t="str" cm="1">
        <f t="array" ref="G34">IF(LineærRegression_Valg[[#This Row],[Indenfor range]],IF(LineærRegression_Valg[[#This Row],[Intet overlap]],INDEX(DataTitel_liste,LineærRegression_Valg[[#This Row],[Uafhængig variabel ID]]),INDEX(DataTitel_liste,IF(LineærRegression_Valg[[#This Row],[Afhængig variabel ID]]=1,2,1))),$B$7)</f>
        <v>Eksempel 2 (interval)</v>
      </c>
      <c r="H34" s="188">
        <f>_xlfn.AGGREGATE(2,5,LineærRegression_Valg[[#This Row],[Tabel ID]])</f>
        <v>1</v>
      </c>
    </row>
    <row r="35" spans="1:8" x14ac:dyDescent="0.2">
      <c r="A35">
        <f>ROW(LineærRegression_Valg[[#This Row],[Tabel ID]])-ROW(LineærRegression_Valg[[#Headers],[Tabel ID]])</f>
        <v>25</v>
      </c>
      <c r="B35" s="188">
        <f>ROUNDDOWN((LineærRegression_Valg[[#This Row],[Tabel ID]]-1)/$B$5,0)+1</f>
        <v>7</v>
      </c>
      <c r="C35" s="188">
        <f t="shared" si="0"/>
        <v>1</v>
      </c>
      <c r="D35" s="188" t="b">
        <f>LineærRegression_Valg[[#This Row],[Afhængig variabel ID]]&lt;&gt;LineærRegression_Valg[[#This Row],[Uafhængig variabel ID]]</f>
        <v>1</v>
      </c>
      <c r="E35" t="b">
        <f>LineærRegression_Valg[[#This Row],[Afhængig variabel ID]]&lt;=$B$5</f>
        <v>0</v>
      </c>
      <c r="F35" t="str" cm="1">
        <f t="array" ref="F35">IF(LineærRegression_Valg[[#This Row],[Indenfor range]],INDEX(DataTitel_liste,LineærRegression_Valg[[#This Row],[Afhængig variabel ID]]),INDEX(DataTitel_liste,1))</f>
        <v>Eksempel 1 (interval)</v>
      </c>
      <c r="G35" s="188" t="str" cm="1">
        <f t="array" ref="G35">IF(LineærRegression_Valg[[#This Row],[Indenfor range]],IF(LineærRegression_Valg[[#This Row],[Intet overlap]],INDEX(DataTitel_liste,LineærRegression_Valg[[#This Row],[Uafhængig variabel ID]]),INDEX(DataTitel_liste,IF(LineærRegression_Valg[[#This Row],[Afhængig variabel ID]]=1,2,1))),$B$7)</f>
        <v>Eksempel 2 (interval)</v>
      </c>
      <c r="H35" s="188">
        <f>_xlfn.AGGREGATE(2,5,LineærRegression_Valg[[#This Row],[Tabel ID]])</f>
        <v>1</v>
      </c>
    </row>
    <row r="36" spans="1:8" x14ac:dyDescent="0.2">
      <c r="A36">
        <f>ROW(LineærRegression_Valg[[#This Row],[Tabel ID]])-ROW(LineærRegression_Valg[[#Headers],[Tabel ID]])</f>
        <v>26</v>
      </c>
      <c r="B36" s="188">
        <f>ROUNDDOWN((LineærRegression_Valg[[#This Row],[Tabel ID]]-1)/$B$5,0)+1</f>
        <v>7</v>
      </c>
      <c r="C36" s="188">
        <f t="shared" si="0"/>
        <v>2</v>
      </c>
      <c r="D36" s="188" t="b">
        <f>LineærRegression_Valg[[#This Row],[Afhængig variabel ID]]&lt;&gt;LineærRegression_Valg[[#This Row],[Uafhængig variabel ID]]</f>
        <v>1</v>
      </c>
      <c r="E36" t="b">
        <f>LineærRegression_Valg[[#This Row],[Afhængig variabel ID]]&lt;=$B$5</f>
        <v>0</v>
      </c>
      <c r="F36" t="str" cm="1">
        <f t="array" ref="F36">IF(LineærRegression_Valg[[#This Row],[Indenfor range]],INDEX(DataTitel_liste,LineærRegression_Valg[[#This Row],[Afhængig variabel ID]]),INDEX(DataTitel_liste,1))</f>
        <v>Eksempel 1 (interval)</v>
      </c>
      <c r="G36" s="188" t="str" cm="1">
        <f t="array" ref="G36">IF(LineærRegression_Valg[[#This Row],[Indenfor range]],IF(LineærRegression_Valg[[#This Row],[Intet overlap]],INDEX(DataTitel_liste,LineærRegression_Valg[[#This Row],[Uafhængig variabel ID]]),INDEX(DataTitel_liste,IF(LineærRegression_Valg[[#This Row],[Afhængig variabel ID]]=1,2,1))),$B$7)</f>
        <v>Eksempel 2 (interval)</v>
      </c>
      <c r="H36" s="188">
        <f>_xlfn.AGGREGATE(2,5,LineærRegression_Valg[[#This Row],[Tabel ID]])</f>
        <v>1</v>
      </c>
    </row>
    <row r="37" spans="1:8" x14ac:dyDescent="0.2">
      <c r="A37">
        <f>ROW(LineærRegression_Valg[[#This Row],[Tabel ID]])-ROW(LineærRegression_Valg[[#Headers],[Tabel ID]])</f>
        <v>27</v>
      </c>
      <c r="B37" s="188">
        <f>ROUNDDOWN((LineærRegression_Valg[[#This Row],[Tabel ID]]-1)/$B$5,0)+1</f>
        <v>7</v>
      </c>
      <c r="C37" s="188">
        <f t="shared" si="0"/>
        <v>3</v>
      </c>
      <c r="D37" s="188" t="b">
        <f>LineærRegression_Valg[[#This Row],[Afhængig variabel ID]]&lt;&gt;LineærRegression_Valg[[#This Row],[Uafhængig variabel ID]]</f>
        <v>1</v>
      </c>
      <c r="E37" t="b">
        <f>LineærRegression_Valg[[#This Row],[Afhængig variabel ID]]&lt;=$B$5</f>
        <v>0</v>
      </c>
      <c r="F37" t="str" cm="1">
        <f t="array" ref="F37">IF(LineærRegression_Valg[[#This Row],[Indenfor range]],INDEX(DataTitel_liste,LineærRegression_Valg[[#This Row],[Afhængig variabel ID]]),INDEX(DataTitel_liste,1))</f>
        <v>Eksempel 1 (interval)</v>
      </c>
      <c r="G37" s="188" t="str" cm="1">
        <f t="array" ref="G37">IF(LineærRegression_Valg[[#This Row],[Indenfor range]],IF(LineærRegression_Valg[[#This Row],[Intet overlap]],INDEX(DataTitel_liste,LineærRegression_Valg[[#This Row],[Uafhængig variabel ID]]),INDEX(DataTitel_liste,IF(LineærRegression_Valg[[#This Row],[Afhængig variabel ID]]=1,2,1))),$B$7)</f>
        <v>Eksempel 2 (interval)</v>
      </c>
      <c r="H37" s="188">
        <f>_xlfn.AGGREGATE(2,5,LineærRegression_Valg[[#This Row],[Tabel ID]])</f>
        <v>1</v>
      </c>
    </row>
    <row r="38" spans="1:8" x14ac:dyDescent="0.2">
      <c r="A38">
        <f>ROW(LineærRegression_Valg[[#This Row],[Tabel ID]])-ROW(LineærRegression_Valg[[#Headers],[Tabel ID]])</f>
        <v>28</v>
      </c>
      <c r="B38" s="188">
        <f>ROUNDDOWN((LineærRegression_Valg[[#This Row],[Tabel ID]]-1)/$B$5,0)+1</f>
        <v>7</v>
      </c>
      <c r="C38" s="188">
        <f t="shared" si="0"/>
        <v>4</v>
      </c>
      <c r="D38" s="188" t="b">
        <f>LineærRegression_Valg[[#This Row],[Afhængig variabel ID]]&lt;&gt;LineærRegression_Valg[[#This Row],[Uafhængig variabel ID]]</f>
        <v>1</v>
      </c>
      <c r="E38" t="b">
        <f>LineærRegression_Valg[[#This Row],[Afhængig variabel ID]]&lt;=$B$5</f>
        <v>0</v>
      </c>
      <c r="F38" t="str" cm="1">
        <f t="array" ref="F38">IF(LineærRegression_Valg[[#This Row],[Indenfor range]],INDEX(DataTitel_liste,LineærRegression_Valg[[#This Row],[Afhængig variabel ID]]),INDEX(DataTitel_liste,1))</f>
        <v>Eksempel 1 (interval)</v>
      </c>
      <c r="G38" s="188" t="str" cm="1">
        <f t="array" ref="G38">IF(LineærRegression_Valg[[#This Row],[Indenfor range]],IF(LineærRegression_Valg[[#This Row],[Intet overlap]],INDEX(DataTitel_liste,LineærRegression_Valg[[#This Row],[Uafhængig variabel ID]]),INDEX(DataTitel_liste,IF(LineærRegression_Valg[[#This Row],[Afhængig variabel ID]]=1,2,1))),$B$7)</f>
        <v>Eksempel 2 (interval)</v>
      </c>
      <c r="H38" s="188">
        <f>_xlfn.AGGREGATE(2,5,LineærRegression_Valg[[#This Row],[Tabel ID]])</f>
        <v>1</v>
      </c>
    </row>
    <row r="39" spans="1:8" x14ac:dyDescent="0.2">
      <c r="A39">
        <f>ROW(LineærRegression_Valg[[#This Row],[Tabel ID]])-ROW(LineærRegression_Valg[[#Headers],[Tabel ID]])</f>
        <v>29</v>
      </c>
      <c r="B39" s="188">
        <f>ROUNDDOWN((LineærRegression_Valg[[#This Row],[Tabel ID]]-1)/$B$5,0)+1</f>
        <v>8</v>
      </c>
      <c r="C39" s="188">
        <f t="shared" si="0"/>
        <v>1</v>
      </c>
      <c r="D39" s="188" t="b">
        <f>LineærRegression_Valg[[#This Row],[Afhængig variabel ID]]&lt;&gt;LineærRegression_Valg[[#This Row],[Uafhængig variabel ID]]</f>
        <v>1</v>
      </c>
      <c r="E39" t="b">
        <f>LineærRegression_Valg[[#This Row],[Afhængig variabel ID]]&lt;=$B$5</f>
        <v>0</v>
      </c>
      <c r="F39" t="str" cm="1">
        <f t="array" ref="F39">IF(LineærRegression_Valg[[#This Row],[Indenfor range]],INDEX(DataTitel_liste,LineærRegression_Valg[[#This Row],[Afhængig variabel ID]]),INDEX(DataTitel_liste,1))</f>
        <v>Eksempel 1 (interval)</v>
      </c>
      <c r="G39" s="188" t="str" cm="1">
        <f t="array" ref="G39">IF(LineærRegression_Valg[[#This Row],[Indenfor range]],IF(LineærRegression_Valg[[#This Row],[Intet overlap]],INDEX(DataTitel_liste,LineærRegression_Valg[[#This Row],[Uafhængig variabel ID]]),INDEX(DataTitel_liste,IF(LineærRegression_Valg[[#This Row],[Afhængig variabel ID]]=1,2,1))),$B$7)</f>
        <v>Eksempel 2 (interval)</v>
      </c>
      <c r="H39" s="188">
        <f>_xlfn.AGGREGATE(2,5,LineærRegression_Valg[[#This Row],[Tabel ID]])</f>
        <v>1</v>
      </c>
    </row>
    <row r="40" spans="1:8" x14ac:dyDescent="0.2">
      <c r="A40">
        <f>ROW(LineærRegression_Valg[[#This Row],[Tabel ID]])-ROW(LineærRegression_Valg[[#Headers],[Tabel ID]])</f>
        <v>30</v>
      </c>
      <c r="B40" s="188">
        <f>ROUNDDOWN((LineærRegression_Valg[[#This Row],[Tabel ID]]-1)/$B$5,0)+1</f>
        <v>8</v>
      </c>
      <c r="C40" s="188">
        <f t="shared" si="0"/>
        <v>2</v>
      </c>
      <c r="D40" s="188" t="b">
        <f>LineærRegression_Valg[[#This Row],[Afhængig variabel ID]]&lt;&gt;LineærRegression_Valg[[#This Row],[Uafhængig variabel ID]]</f>
        <v>1</v>
      </c>
      <c r="E40" t="b">
        <f>LineærRegression_Valg[[#This Row],[Afhængig variabel ID]]&lt;=$B$5</f>
        <v>0</v>
      </c>
      <c r="F40" t="str" cm="1">
        <f t="array" ref="F40">IF(LineærRegression_Valg[[#This Row],[Indenfor range]],INDEX(DataTitel_liste,LineærRegression_Valg[[#This Row],[Afhængig variabel ID]]),INDEX(DataTitel_liste,1))</f>
        <v>Eksempel 1 (interval)</v>
      </c>
      <c r="G40" s="188" t="str" cm="1">
        <f t="array" ref="G40">IF(LineærRegression_Valg[[#This Row],[Indenfor range]],IF(LineærRegression_Valg[[#This Row],[Intet overlap]],INDEX(DataTitel_liste,LineærRegression_Valg[[#This Row],[Uafhængig variabel ID]]),INDEX(DataTitel_liste,IF(LineærRegression_Valg[[#This Row],[Afhængig variabel ID]]=1,2,1))),$B$7)</f>
        <v>Eksempel 2 (interval)</v>
      </c>
      <c r="H40" s="188">
        <f>_xlfn.AGGREGATE(2,5,LineærRegression_Valg[[#This Row],[Tabel ID]])</f>
        <v>1</v>
      </c>
    </row>
    <row r="41" spans="1:8" x14ac:dyDescent="0.2">
      <c r="A41">
        <f>ROW(LineærRegression_Valg[[#This Row],[Tabel ID]])-ROW(LineærRegression_Valg[[#Headers],[Tabel ID]])</f>
        <v>31</v>
      </c>
      <c r="B41" s="188">
        <f>ROUNDDOWN((LineærRegression_Valg[[#This Row],[Tabel ID]]-1)/$B$5,0)+1</f>
        <v>8</v>
      </c>
      <c r="C41" s="188">
        <f t="shared" si="0"/>
        <v>3</v>
      </c>
      <c r="D41" s="188" t="b">
        <f>LineærRegression_Valg[[#This Row],[Afhængig variabel ID]]&lt;&gt;LineærRegression_Valg[[#This Row],[Uafhængig variabel ID]]</f>
        <v>1</v>
      </c>
      <c r="E41" t="b">
        <f>LineærRegression_Valg[[#This Row],[Afhængig variabel ID]]&lt;=$B$5</f>
        <v>0</v>
      </c>
      <c r="F41" t="str" cm="1">
        <f t="array" ref="F41">IF(LineærRegression_Valg[[#This Row],[Indenfor range]],INDEX(DataTitel_liste,LineærRegression_Valg[[#This Row],[Afhængig variabel ID]]),INDEX(DataTitel_liste,1))</f>
        <v>Eksempel 1 (interval)</v>
      </c>
      <c r="G41" s="188" t="str" cm="1">
        <f t="array" ref="G41">IF(LineærRegression_Valg[[#This Row],[Indenfor range]],IF(LineærRegression_Valg[[#This Row],[Intet overlap]],INDEX(DataTitel_liste,LineærRegression_Valg[[#This Row],[Uafhængig variabel ID]]),INDEX(DataTitel_liste,IF(LineærRegression_Valg[[#This Row],[Afhængig variabel ID]]=1,2,1))),$B$7)</f>
        <v>Eksempel 2 (interval)</v>
      </c>
      <c r="H41" s="188">
        <f>_xlfn.AGGREGATE(2,5,LineærRegression_Valg[[#This Row],[Tabel ID]])</f>
        <v>1</v>
      </c>
    </row>
    <row r="42" spans="1:8" x14ac:dyDescent="0.2">
      <c r="A42">
        <f>ROW(LineærRegression_Valg[[#This Row],[Tabel ID]])-ROW(LineærRegression_Valg[[#Headers],[Tabel ID]])</f>
        <v>32</v>
      </c>
      <c r="B42" s="188">
        <f>ROUNDDOWN((LineærRegression_Valg[[#This Row],[Tabel ID]]-1)/$B$5,0)+1</f>
        <v>8</v>
      </c>
      <c r="C42" s="188">
        <f t="shared" si="0"/>
        <v>4</v>
      </c>
      <c r="D42" s="188" t="b">
        <f>LineærRegression_Valg[[#This Row],[Afhængig variabel ID]]&lt;&gt;LineærRegression_Valg[[#This Row],[Uafhængig variabel ID]]</f>
        <v>1</v>
      </c>
      <c r="E42" t="b">
        <f>LineærRegression_Valg[[#This Row],[Afhængig variabel ID]]&lt;=$B$5</f>
        <v>0</v>
      </c>
      <c r="F42" t="str" cm="1">
        <f t="array" ref="F42">IF(LineærRegression_Valg[[#This Row],[Indenfor range]],INDEX(DataTitel_liste,LineærRegression_Valg[[#This Row],[Afhængig variabel ID]]),INDEX(DataTitel_liste,1))</f>
        <v>Eksempel 1 (interval)</v>
      </c>
      <c r="G42" s="188" t="str" cm="1">
        <f t="array" ref="G42">IF(LineærRegression_Valg[[#This Row],[Indenfor range]],IF(LineærRegression_Valg[[#This Row],[Intet overlap]],INDEX(DataTitel_liste,LineærRegression_Valg[[#This Row],[Uafhængig variabel ID]]),INDEX(DataTitel_liste,IF(LineærRegression_Valg[[#This Row],[Afhængig variabel ID]]=1,2,1))),$B$7)</f>
        <v>Eksempel 2 (interval)</v>
      </c>
      <c r="H42" s="188">
        <f>_xlfn.AGGREGATE(2,5,LineærRegression_Valg[[#This Row],[Tabel ID]])</f>
        <v>1</v>
      </c>
    </row>
    <row r="43" spans="1:8" x14ac:dyDescent="0.2">
      <c r="A43">
        <f>ROW(LineærRegression_Valg[[#This Row],[Tabel ID]])-ROW(LineærRegression_Valg[[#Headers],[Tabel ID]])</f>
        <v>33</v>
      </c>
      <c r="B43" s="188">
        <f>ROUNDDOWN((LineærRegression_Valg[[#This Row],[Tabel ID]]-1)/$B$5,0)+1</f>
        <v>9</v>
      </c>
      <c r="C43" s="188">
        <f t="shared" si="0"/>
        <v>1</v>
      </c>
      <c r="D43" s="188" t="b">
        <f>LineærRegression_Valg[[#This Row],[Afhængig variabel ID]]&lt;&gt;LineærRegression_Valg[[#This Row],[Uafhængig variabel ID]]</f>
        <v>1</v>
      </c>
      <c r="E43" t="b">
        <f>LineærRegression_Valg[[#This Row],[Afhængig variabel ID]]&lt;=$B$5</f>
        <v>0</v>
      </c>
      <c r="F43" t="str" cm="1">
        <f t="array" ref="F43">IF(LineærRegression_Valg[[#This Row],[Indenfor range]],INDEX(DataTitel_liste,LineærRegression_Valg[[#This Row],[Afhængig variabel ID]]),INDEX(DataTitel_liste,1))</f>
        <v>Eksempel 1 (interval)</v>
      </c>
      <c r="G43" s="188" t="str" cm="1">
        <f t="array" ref="G43">IF(LineærRegression_Valg[[#This Row],[Indenfor range]],IF(LineærRegression_Valg[[#This Row],[Intet overlap]],INDEX(DataTitel_liste,LineærRegression_Valg[[#This Row],[Uafhængig variabel ID]]),INDEX(DataTitel_liste,IF(LineærRegression_Valg[[#This Row],[Afhængig variabel ID]]=1,2,1))),$B$7)</f>
        <v>Eksempel 2 (interval)</v>
      </c>
      <c r="H43" s="188">
        <f>_xlfn.AGGREGATE(2,5,LineærRegression_Valg[[#This Row],[Tabel ID]])</f>
        <v>1</v>
      </c>
    </row>
    <row r="44" spans="1:8" x14ac:dyDescent="0.2">
      <c r="A44">
        <f>ROW(LineærRegression_Valg[[#This Row],[Tabel ID]])-ROW(LineærRegression_Valg[[#Headers],[Tabel ID]])</f>
        <v>34</v>
      </c>
      <c r="B44" s="188">
        <f>ROUNDDOWN((LineærRegression_Valg[[#This Row],[Tabel ID]]-1)/$B$5,0)+1</f>
        <v>9</v>
      </c>
      <c r="C44" s="188">
        <f t="shared" si="0"/>
        <v>2</v>
      </c>
      <c r="D44" s="188" t="b">
        <f>LineærRegression_Valg[[#This Row],[Afhængig variabel ID]]&lt;&gt;LineærRegression_Valg[[#This Row],[Uafhængig variabel ID]]</f>
        <v>1</v>
      </c>
      <c r="E44" t="b">
        <f>LineærRegression_Valg[[#This Row],[Afhængig variabel ID]]&lt;=$B$5</f>
        <v>0</v>
      </c>
      <c r="F44" t="str" cm="1">
        <f t="array" ref="F44">IF(LineærRegression_Valg[[#This Row],[Indenfor range]],INDEX(DataTitel_liste,LineærRegression_Valg[[#This Row],[Afhængig variabel ID]]),INDEX(DataTitel_liste,1))</f>
        <v>Eksempel 1 (interval)</v>
      </c>
      <c r="G44" s="188" t="str" cm="1">
        <f t="array" ref="G44">IF(LineærRegression_Valg[[#This Row],[Indenfor range]],IF(LineærRegression_Valg[[#This Row],[Intet overlap]],INDEX(DataTitel_liste,LineærRegression_Valg[[#This Row],[Uafhængig variabel ID]]),INDEX(DataTitel_liste,IF(LineærRegression_Valg[[#This Row],[Afhængig variabel ID]]=1,2,1))),$B$7)</f>
        <v>Eksempel 2 (interval)</v>
      </c>
      <c r="H44" s="188">
        <f>_xlfn.AGGREGATE(2,5,LineærRegression_Valg[[#This Row],[Tabel ID]])</f>
        <v>1</v>
      </c>
    </row>
    <row r="45" spans="1:8" x14ac:dyDescent="0.2">
      <c r="A45">
        <f>ROW(LineærRegression_Valg[[#This Row],[Tabel ID]])-ROW(LineærRegression_Valg[[#Headers],[Tabel ID]])</f>
        <v>35</v>
      </c>
      <c r="B45" s="188">
        <f>ROUNDDOWN((LineærRegression_Valg[[#This Row],[Tabel ID]]-1)/$B$5,0)+1</f>
        <v>9</v>
      </c>
      <c r="C45" s="188">
        <f t="shared" si="0"/>
        <v>3</v>
      </c>
      <c r="D45" s="188" t="b">
        <f>LineærRegression_Valg[[#This Row],[Afhængig variabel ID]]&lt;&gt;LineærRegression_Valg[[#This Row],[Uafhængig variabel ID]]</f>
        <v>1</v>
      </c>
      <c r="E45" t="b">
        <f>LineærRegression_Valg[[#This Row],[Afhængig variabel ID]]&lt;=$B$5</f>
        <v>0</v>
      </c>
      <c r="F45" t="str" cm="1">
        <f t="array" ref="F45">IF(LineærRegression_Valg[[#This Row],[Indenfor range]],INDEX(DataTitel_liste,LineærRegression_Valg[[#This Row],[Afhængig variabel ID]]),INDEX(DataTitel_liste,1))</f>
        <v>Eksempel 1 (interval)</v>
      </c>
      <c r="G45" s="188" t="str" cm="1">
        <f t="array" ref="G45">IF(LineærRegression_Valg[[#This Row],[Indenfor range]],IF(LineærRegression_Valg[[#This Row],[Intet overlap]],INDEX(DataTitel_liste,LineærRegression_Valg[[#This Row],[Uafhængig variabel ID]]),INDEX(DataTitel_liste,IF(LineærRegression_Valg[[#This Row],[Afhængig variabel ID]]=1,2,1))),$B$7)</f>
        <v>Eksempel 2 (interval)</v>
      </c>
      <c r="H45" s="188">
        <f>_xlfn.AGGREGATE(2,5,LineærRegression_Valg[[#This Row],[Tabel ID]])</f>
        <v>1</v>
      </c>
    </row>
    <row r="46" spans="1:8" x14ac:dyDescent="0.2">
      <c r="A46">
        <f>ROW(LineærRegression_Valg[[#This Row],[Tabel ID]])-ROW(LineærRegression_Valg[[#Headers],[Tabel ID]])</f>
        <v>36</v>
      </c>
      <c r="B46" s="188">
        <f>ROUNDDOWN((LineærRegression_Valg[[#This Row],[Tabel ID]]-1)/$B$5,0)+1</f>
        <v>9</v>
      </c>
      <c r="C46" s="188">
        <f t="shared" si="0"/>
        <v>4</v>
      </c>
      <c r="D46" s="188" t="b">
        <f>LineærRegression_Valg[[#This Row],[Afhængig variabel ID]]&lt;&gt;LineærRegression_Valg[[#This Row],[Uafhængig variabel ID]]</f>
        <v>1</v>
      </c>
      <c r="E46" t="b">
        <f>LineærRegression_Valg[[#This Row],[Afhængig variabel ID]]&lt;=$B$5</f>
        <v>0</v>
      </c>
      <c r="F46" t="str" cm="1">
        <f t="array" ref="F46">IF(LineærRegression_Valg[[#This Row],[Indenfor range]],INDEX(DataTitel_liste,LineærRegression_Valg[[#This Row],[Afhængig variabel ID]]),INDEX(DataTitel_liste,1))</f>
        <v>Eksempel 1 (interval)</v>
      </c>
      <c r="G46" s="188" t="str" cm="1">
        <f t="array" ref="G46">IF(LineærRegression_Valg[[#This Row],[Indenfor range]],IF(LineærRegression_Valg[[#This Row],[Intet overlap]],INDEX(DataTitel_liste,LineærRegression_Valg[[#This Row],[Uafhængig variabel ID]]),INDEX(DataTitel_liste,IF(LineærRegression_Valg[[#This Row],[Afhængig variabel ID]]=1,2,1))),$B$7)</f>
        <v>Eksempel 2 (interval)</v>
      </c>
      <c r="H46" s="188">
        <f>_xlfn.AGGREGATE(2,5,LineærRegression_Valg[[#This Row],[Tabel ID]])</f>
        <v>1</v>
      </c>
    </row>
    <row r="47" spans="1:8" x14ac:dyDescent="0.2">
      <c r="A47">
        <f>ROW(LineærRegression_Valg[[#This Row],[Tabel ID]])-ROW(LineærRegression_Valg[[#Headers],[Tabel ID]])</f>
        <v>37</v>
      </c>
      <c r="B47" s="188">
        <f>ROUNDDOWN((LineærRegression_Valg[[#This Row],[Tabel ID]]-1)/$B$5,0)+1</f>
        <v>10</v>
      </c>
      <c r="C47" s="188">
        <f t="shared" si="0"/>
        <v>1</v>
      </c>
      <c r="D47" s="188" t="b">
        <f>LineærRegression_Valg[[#This Row],[Afhængig variabel ID]]&lt;&gt;LineærRegression_Valg[[#This Row],[Uafhængig variabel ID]]</f>
        <v>1</v>
      </c>
      <c r="E47" t="b">
        <f>LineærRegression_Valg[[#This Row],[Afhængig variabel ID]]&lt;=$B$5</f>
        <v>0</v>
      </c>
      <c r="F47" t="str" cm="1">
        <f t="array" ref="F47">IF(LineærRegression_Valg[[#This Row],[Indenfor range]],INDEX(DataTitel_liste,LineærRegression_Valg[[#This Row],[Afhængig variabel ID]]),INDEX(DataTitel_liste,1))</f>
        <v>Eksempel 1 (interval)</v>
      </c>
      <c r="G47" s="188" t="str" cm="1">
        <f t="array" ref="G47">IF(LineærRegression_Valg[[#This Row],[Indenfor range]],IF(LineærRegression_Valg[[#This Row],[Intet overlap]],INDEX(DataTitel_liste,LineærRegression_Valg[[#This Row],[Uafhængig variabel ID]]),INDEX(DataTitel_liste,IF(LineærRegression_Valg[[#This Row],[Afhængig variabel ID]]=1,2,1))),$B$7)</f>
        <v>Eksempel 2 (interval)</v>
      </c>
      <c r="H47" s="188">
        <f>_xlfn.AGGREGATE(2,5,LineærRegression_Valg[[#This Row],[Tabel ID]])</f>
        <v>1</v>
      </c>
    </row>
    <row r="48" spans="1:8" x14ac:dyDescent="0.2">
      <c r="A48">
        <f>ROW(LineærRegression_Valg[[#This Row],[Tabel ID]])-ROW(LineærRegression_Valg[[#Headers],[Tabel ID]])</f>
        <v>38</v>
      </c>
      <c r="B48" s="188">
        <f>ROUNDDOWN((LineærRegression_Valg[[#This Row],[Tabel ID]]-1)/$B$5,0)+1</f>
        <v>10</v>
      </c>
      <c r="C48" s="188">
        <f t="shared" si="0"/>
        <v>2</v>
      </c>
      <c r="D48" s="188" t="b">
        <f>LineærRegression_Valg[[#This Row],[Afhængig variabel ID]]&lt;&gt;LineærRegression_Valg[[#This Row],[Uafhængig variabel ID]]</f>
        <v>1</v>
      </c>
      <c r="E48" t="b">
        <f>LineærRegression_Valg[[#This Row],[Afhængig variabel ID]]&lt;=$B$5</f>
        <v>0</v>
      </c>
      <c r="F48" t="str" cm="1">
        <f t="array" ref="F48">IF(LineærRegression_Valg[[#This Row],[Indenfor range]],INDEX(DataTitel_liste,LineærRegression_Valg[[#This Row],[Afhængig variabel ID]]),INDEX(DataTitel_liste,1))</f>
        <v>Eksempel 1 (interval)</v>
      </c>
      <c r="G48" s="188" t="str" cm="1">
        <f t="array" ref="G48">IF(LineærRegression_Valg[[#This Row],[Indenfor range]],IF(LineærRegression_Valg[[#This Row],[Intet overlap]],INDEX(DataTitel_liste,LineærRegression_Valg[[#This Row],[Uafhængig variabel ID]]),INDEX(DataTitel_liste,IF(LineærRegression_Valg[[#This Row],[Afhængig variabel ID]]=1,2,1))),$B$7)</f>
        <v>Eksempel 2 (interval)</v>
      </c>
      <c r="H48" s="188">
        <f>_xlfn.AGGREGATE(2,5,LineærRegression_Valg[[#This Row],[Tabel ID]])</f>
        <v>1</v>
      </c>
    </row>
    <row r="49" spans="1:8" x14ac:dyDescent="0.2">
      <c r="A49">
        <f>ROW(LineærRegression_Valg[[#This Row],[Tabel ID]])-ROW(LineærRegression_Valg[[#Headers],[Tabel ID]])</f>
        <v>39</v>
      </c>
      <c r="B49" s="188">
        <f>ROUNDDOWN((LineærRegression_Valg[[#This Row],[Tabel ID]]-1)/$B$5,0)+1</f>
        <v>10</v>
      </c>
      <c r="C49" s="188">
        <f t="shared" si="0"/>
        <v>3</v>
      </c>
      <c r="D49" s="188" t="b">
        <f>LineærRegression_Valg[[#This Row],[Afhængig variabel ID]]&lt;&gt;LineærRegression_Valg[[#This Row],[Uafhængig variabel ID]]</f>
        <v>1</v>
      </c>
      <c r="E49" t="b">
        <f>LineærRegression_Valg[[#This Row],[Afhængig variabel ID]]&lt;=$B$5</f>
        <v>0</v>
      </c>
      <c r="F49" t="str" cm="1">
        <f t="array" ref="F49">IF(LineærRegression_Valg[[#This Row],[Indenfor range]],INDEX(DataTitel_liste,LineærRegression_Valg[[#This Row],[Afhængig variabel ID]]),INDEX(DataTitel_liste,1))</f>
        <v>Eksempel 1 (interval)</v>
      </c>
      <c r="G49" s="188" t="str" cm="1">
        <f t="array" ref="G49">IF(LineærRegression_Valg[[#This Row],[Indenfor range]],IF(LineærRegression_Valg[[#This Row],[Intet overlap]],INDEX(DataTitel_liste,LineærRegression_Valg[[#This Row],[Uafhængig variabel ID]]),INDEX(DataTitel_liste,IF(LineærRegression_Valg[[#This Row],[Afhængig variabel ID]]=1,2,1))),$B$7)</f>
        <v>Eksempel 2 (interval)</v>
      </c>
      <c r="H49" s="188">
        <f>_xlfn.AGGREGATE(2,5,LineærRegression_Valg[[#This Row],[Tabel ID]])</f>
        <v>1</v>
      </c>
    </row>
    <row r="50" spans="1:8" x14ac:dyDescent="0.2">
      <c r="A50">
        <f>ROW(LineærRegression_Valg[[#This Row],[Tabel ID]])-ROW(LineærRegression_Valg[[#Headers],[Tabel ID]])</f>
        <v>40</v>
      </c>
      <c r="B50" s="188">
        <f>ROUNDDOWN((LineærRegression_Valg[[#This Row],[Tabel ID]]-1)/$B$5,0)+1</f>
        <v>10</v>
      </c>
      <c r="C50" s="188">
        <f t="shared" si="0"/>
        <v>4</v>
      </c>
      <c r="D50" s="188" t="b">
        <f>LineærRegression_Valg[[#This Row],[Afhængig variabel ID]]&lt;&gt;LineærRegression_Valg[[#This Row],[Uafhængig variabel ID]]</f>
        <v>1</v>
      </c>
      <c r="E50" t="b">
        <f>LineærRegression_Valg[[#This Row],[Afhængig variabel ID]]&lt;=$B$5</f>
        <v>0</v>
      </c>
      <c r="F50" t="str" cm="1">
        <f t="array" ref="F50">IF(LineærRegression_Valg[[#This Row],[Indenfor range]],INDEX(DataTitel_liste,LineærRegression_Valg[[#This Row],[Afhængig variabel ID]]),INDEX(DataTitel_liste,1))</f>
        <v>Eksempel 1 (interval)</v>
      </c>
      <c r="G50" s="188" t="str" cm="1">
        <f t="array" ref="G50">IF(LineærRegression_Valg[[#This Row],[Indenfor range]],IF(LineærRegression_Valg[[#This Row],[Intet overlap]],INDEX(DataTitel_liste,LineærRegression_Valg[[#This Row],[Uafhængig variabel ID]]),INDEX(DataTitel_liste,IF(LineærRegression_Valg[[#This Row],[Afhængig variabel ID]]=1,2,1))),$B$7)</f>
        <v>Eksempel 2 (interval)</v>
      </c>
      <c r="H50" s="188">
        <f>_xlfn.AGGREGATE(2,5,LineærRegression_Valg[[#This Row],[Tabel ID]])</f>
        <v>1</v>
      </c>
    </row>
    <row r="51" spans="1:8" x14ac:dyDescent="0.2">
      <c r="A51">
        <f>ROW(LineærRegression_Valg[[#This Row],[Tabel ID]])-ROW(LineærRegression_Valg[[#Headers],[Tabel ID]])</f>
        <v>41</v>
      </c>
      <c r="B51" s="188">
        <f>ROUNDDOWN((LineærRegression_Valg[[#This Row],[Tabel ID]]-1)/$B$5,0)+1</f>
        <v>11</v>
      </c>
      <c r="C51" s="188">
        <f t="shared" si="0"/>
        <v>1</v>
      </c>
      <c r="D51" s="188" t="b">
        <f>LineærRegression_Valg[[#This Row],[Afhængig variabel ID]]&lt;&gt;LineærRegression_Valg[[#This Row],[Uafhængig variabel ID]]</f>
        <v>1</v>
      </c>
      <c r="E51" t="b">
        <f>LineærRegression_Valg[[#This Row],[Afhængig variabel ID]]&lt;=$B$5</f>
        <v>0</v>
      </c>
      <c r="F51" t="str" cm="1">
        <f t="array" ref="F51">IF(LineærRegression_Valg[[#This Row],[Indenfor range]],INDEX(DataTitel_liste,LineærRegression_Valg[[#This Row],[Afhængig variabel ID]]),INDEX(DataTitel_liste,1))</f>
        <v>Eksempel 1 (interval)</v>
      </c>
      <c r="G51" s="188" t="str" cm="1">
        <f t="array" ref="G51">IF(LineærRegression_Valg[[#This Row],[Indenfor range]],IF(LineærRegression_Valg[[#This Row],[Intet overlap]],INDEX(DataTitel_liste,LineærRegression_Valg[[#This Row],[Uafhængig variabel ID]]),INDEX(DataTitel_liste,IF(LineærRegression_Valg[[#This Row],[Afhængig variabel ID]]=1,2,1))),$B$7)</f>
        <v>Eksempel 2 (interval)</v>
      </c>
      <c r="H51" s="188">
        <f>_xlfn.AGGREGATE(2,5,LineærRegression_Valg[[#This Row],[Tabel ID]])</f>
        <v>1</v>
      </c>
    </row>
    <row r="52" spans="1:8" x14ac:dyDescent="0.2">
      <c r="A52">
        <f>ROW(LineærRegression_Valg[[#This Row],[Tabel ID]])-ROW(LineærRegression_Valg[[#Headers],[Tabel ID]])</f>
        <v>42</v>
      </c>
      <c r="B52" s="188">
        <f>ROUNDDOWN((LineærRegression_Valg[[#This Row],[Tabel ID]]-1)/$B$5,0)+1</f>
        <v>11</v>
      </c>
      <c r="C52" s="188">
        <f t="shared" si="0"/>
        <v>2</v>
      </c>
      <c r="D52" s="188" t="b">
        <f>LineærRegression_Valg[[#This Row],[Afhængig variabel ID]]&lt;&gt;LineærRegression_Valg[[#This Row],[Uafhængig variabel ID]]</f>
        <v>1</v>
      </c>
      <c r="E52" t="b">
        <f>LineærRegression_Valg[[#This Row],[Afhængig variabel ID]]&lt;=$B$5</f>
        <v>0</v>
      </c>
      <c r="F52" t="str" cm="1">
        <f t="array" ref="F52">IF(LineærRegression_Valg[[#This Row],[Indenfor range]],INDEX(DataTitel_liste,LineærRegression_Valg[[#This Row],[Afhængig variabel ID]]),INDEX(DataTitel_liste,1))</f>
        <v>Eksempel 1 (interval)</v>
      </c>
      <c r="G52" s="188" t="str" cm="1">
        <f t="array" ref="G52">IF(LineærRegression_Valg[[#This Row],[Indenfor range]],IF(LineærRegression_Valg[[#This Row],[Intet overlap]],INDEX(DataTitel_liste,LineærRegression_Valg[[#This Row],[Uafhængig variabel ID]]),INDEX(DataTitel_liste,IF(LineærRegression_Valg[[#This Row],[Afhængig variabel ID]]=1,2,1))),$B$7)</f>
        <v>Eksempel 2 (interval)</v>
      </c>
      <c r="H52" s="188">
        <f>_xlfn.AGGREGATE(2,5,LineærRegression_Valg[[#This Row],[Tabel ID]])</f>
        <v>1</v>
      </c>
    </row>
    <row r="53" spans="1:8" x14ac:dyDescent="0.2">
      <c r="A53">
        <f>ROW(LineærRegression_Valg[[#This Row],[Tabel ID]])-ROW(LineærRegression_Valg[[#Headers],[Tabel ID]])</f>
        <v>43</v>
      </c>
      <c r="B53" s="188">
        <f>ROUNDDOWN((LineærRegression_Valg[[#This Row],[Tabel ID]]-1)/$B$5,0)+1</f>
        <v>11</v>
      </c>
      <c r="C53" s="188">
        <f t="shared" si="0"/>
        <v>3</v>
      </c>
      <c r="D53" s="188" t="b">
        <f>LineærRegression_Valg[[#This Row],[Afhængig variabel ID]]&lt;&gt;LineærRegression_Valg[[#This Row],[Uafhængig variabel ID]]</f>
        <v>1</v>
      </c>
      <c r="E53" t="b">
        <f>LineærRegression_Valg[[#This Row],[Afhængig variabel ID]]&lt;=$B$5</f>
        <v>0</v>
      </c>
      <c r="F53" t="str" cm="1">
        <f t="array" ref="F53">IF(LineærRegression_Valg[[#This Row],[Indenfor range]],INDEX(DataTitel_liste,LineærRegression_Valg[[#This Row],[Afhængig variabel ID]]),INDEX(DataTitel_liste,1))</f>
        <v>Eksempel 1 (interval)</v>
      </c>
      <c r="G53" s="188" t="str" cm="1">
        <f t="array" ref="G53">IF(LineærRegression_Valg[[#This Row],[Indenfor range]],IF(LineærRegression_Valg[[#This Row],[Intet overlap]],INDEX(DataTitel_liste,LineærRegression_Valg[[#This Row],[Uafhængig variabel ID]]),INDEX(DataTitel_liste,IF(LineærRegression_Valg[[#This Row],[Afhængig variabel ID]]=1,2,1))),$B$7)</f>
        <v>Eksempel 2 (interval)</v>
      </c>
      <c r="H53" s="188">
        <f>_xlfn.AGGREGATE(2,5,LineærRegression_Valg[[#This Row],[Tabel ID]])</f>
        <v>1</v>
      </c>
    </row>
    <row r="54" spans="1:8" x14ac:dyDescent="0.2">
      <c r="A54">
        <f>ROW(LineærRegression_Valg[[#This Row],[Tabel ID]])-ROW(LineærRegression_Valg[[#Headers],[Tabel ID]])</f>
        <v>44</v>
      </c>
      <c r="B54" s="188">
        <f>ROUNDDOWN((LineærRegression_Valg[[#This Row],[Tabel ID]]-1)/$B$5,0)+1</f>
        <v>11</v>
      </c>
      <c r="C54" s="188">
        <f t="shared" si="0"/>
        <v>4</v>
      </c>
      <c r="D54" s="188" t="b">
        <f>LineærRegression_Valg[[#This Row],[Afhængig variabel ID]]&lt;&gt;LineærRegression_Valg[[#This Row],[Uafhængig variabel ID]]</f>
        <v>1</v>
      </c>
      <c r="E54" t="b">
        <f>LineærRegression_Valg[[#This Row],[Afhængig variabel ID]]&lt;=$B$5</f>
        <v>0</v>
      </c>
      <c r="F54" t="str" cm="1">
        <f t="array" ref="F54">IF(LineærRegression_Valg[[#This Row],[Indenfor range]],INDEX(DataTitel_liste,LineærRegression_Valg[[#This Row],[Afhængig variabel ID]]),INDEX(DataTitel_liste,1))</f>
        <v>Eksempel 1 (interval)</v>
      </c>
      <c r="G54" s="188" t="str" cm="1">
        <f t="array" ref="G54">IF(LineærRegression_Valg[[#This Row],[Indenfor range]],IF(LineærRegression_Valg[[#This Row],[Intet overlap]],INDEX(DataTitel_liste,LineærRegression_Valg[[#This Row],[Uafhængig variabel ID]]),INDEX(DataTitel_liste,IF(LineærRegression_Valg[[#This Row],[Afhængig variabel ID]]=1,2,1))),$B$7)</f>
        <v>Eksempel 2 (interval)</v>
      </c>
      <c r="H54" s="188">
        <f>_xlfn.AGGREGATE(2,5,LineærRegression_Valg[[#This Row],[Tabel ID]])</f>
        <v>1</v>
      </c>
    </row>
    <row r="55" spans="1:8" x14ac:dyDescent="0.2">
      <c r="A55">
        <f>ROW(LineærRegression_Valg[[#This Row],[Tabel ID]])-ROW(LineærRegression_Valg[[#Headers],[Tabel ID]])</f>
        <v>45</v>
      </c>
      <c r="B55" s="188">
        <f>ROUNDDOWN((LineærRegression_Valg[[#This Row],[Tabel ID]]-1)/$B$5,0)+1</f>
        <v>12</v>
      </c>
      <c r="C55" s="188">
        <f t="shared" si="0"/>
        <v>1</v>
      </c>
      <c r="D55" s="188" t="b">
        <f>LineærRegression_Valg[[#This Row],[Afhængig variabel ID]]&lt;&gt;LineærRegression_Valg[[#This Row],[Uafhængig variabel ID]]</f>
        <v>1</v>
      </c>
      <c r="E55" t="b">
        <f>LineærRegression_Valg[[#This Row],[Afhængig variabel ID]]&lt;=$B$5</f>
        <v>0</v>
      </c>
      <c r="F55" t="str" cm="1">
        <f t="array" ref="F55">IF(LineærRegression_Valg[[#This Row],[Indenfor range]],INDEX(DataTitel_liste,LineærRegression_Valg[[#This Row],[Afhængig variabel ID]]),INDEX(DataTitel_liste,1))</f>
        <v>Eksempel 1 (interval)</v>
      </c>
      <c r="G55" s="188" t="str" cm="1">
        <f t="array" ref="G55">IF(LineærRegression_Valg[[#This Row],[Indenfor range]],IF(LineærRegression_Valg[[#This Row],[Intet overlap]],INDEX(DataTitel_liste,LineærRegression_Valg[[#This Row],[Uafhængig variabel ID]]),INDEX(DataTitel_liste,IF(LineærRegression_Valg[[#This Row],[Afhængig variabel ID]]=1,2,1))),$B$7)</f>
        <v>Eksempel 2 (interval)</v>
      </c>
      <c r="H55" s="188">
        <f>_xlfn.AGGREGATE(2,5,LineærRegression_Valg[[#This Row],[Tabel ID]])</f>
        <v>1</v>
      </c>
    </row>
    <row r="56" spans="1:8" x14ac:dyDescent="0.2">
      <c r="A56">
        <f>ROW(LineærRegression_Valg[[#This Row],[Tabel ID]])-ROW(LineærRegression_Valg[[#Headers],[Tabel ID]])</f>
        <v>46</v>
      </c>
      <c r="B56" s="188">
        <f>ROUNDDOWN((LineærRegression_Valg[[#This Row],[Tabel ID]]-1)/$B$5,0)+1</f>
        <v>12</v>
      </c>
      <c r="C56" s="188">
        <f t="shared" si="0"/>
        <v>2</v>
      </c>
      <c r="D56" s="188" t="b">
        <f>LineærRegression_Valg[[#This Row],[Afhængig variabel ID]]&lt;&gt;LineærRegression_Valg[[#This Row],[Uafhængig variabel ID]]</f>
        <v>1</v>
      </c>
      <c r="E56" t="b">
        <f>LineærRegression_Valg[[#This Row],[Afhængig variabel ID]]&lt;=$B$5</f>
        <v>0</v>
      </c>
      <c r="F56" t="str" cm="1">
        <f t="array" ref="F56">IF(LineærRegression_Valg[[#This Row],[Indenfor range]],INDEX(DataTitel_liste,LineærRegression_Valg[[#This Row],[Afhængig variabel ID]]),INDEX(DataTitel_liste,1))</f>
        <v>Eksempel 1 (interval)</v>
      </c>
      <c r="G56" s="188" t="str" cm="1">
        <f t="array" ref="G56">IF(LineærRegression_Valg[[#This Row],[Indenfor range]],IF(LineærRegression_Valg[[#This Row],[Intet overlap]],INDEX(DataTitel_liste,LineærRegression_Valg[[#This Row],[Uafhængig variabel ID]]),INDEX(DataTitel_liste,IF(LineærRegression_Valg[[#This Row],[Afhængig variabel ID]]=1,2,1))),$B$7)</f>
        <v>Eksempel 2 (interval)</v>
      </c>
      <c r="H56" s="188">
        <f>_xlfn.AGGREGATE(2,5,LineærRegression_Valg[[#This Row],[Tabel ID]])</f>
        <v>1</v>
      </c>
    </row>
    <row r="57" spans="1:8" x14ac:dyDescent="0.2">
      <c r="A57">
        <f>ROW(LineærRegression_Valg[[#This Row],[Tabel ID]])-ROW(LineærRegression_Valg[[#Headers],[Tabel ID]])</f>
        <v>47</v>
      </c>
      <c r="B57" s="188">
        <f>ROUNDDOWN((LineærRegression_Valg[[#This Row],[Tabel ID]]-1)/$B$5,0)+1</f>
        <v>12</v>
      </c>
      <c r="C57" s="188">
        <f t="shared" si="0"/>
        <v>3</v>
      </c>
      <c r="D57" s="188" t="b">
        <f>LineærRegression_Valg[[#This Row],[Afhængig variabel ID]]&lt;&gt;LineærRegression_Valg[[#This Row],[Uafhængig variabel ID]]</f>
        <v>1</v>
      </c>
      <c r="E57" t="b">
        <f>LineærRegression_Valg[[#This Row],[Afhængig variabel ID]]&lt;=$B$5</f>
        <v>0</v>
      </c>
      <c r="F57" t="str" cm="1">
        <f t="array" ref="F57">IF(LineærRegression_Valg[[#This Row],[Indenfor range]],INDEX(DataTitel_liste,LineærRegression_Valg[[#This Row],[Afhængig variabel ID]]),INDEX(DataTitel_liste,1))</f>
        <v>Eksempel 1 (interval)</v>
      </c>
      <c r="G57" s="188" t="str" cm="1">
        <f t="array" ref="G57">IF(LineærRegression_Valg[[#This Row],[Indenfor range]],IF(LineærRegression_Valg[[#This Row],[Intet overlap]],INDEX(DataTitel_liste,LineærRegression_Valg[[#This Row],[Uafhængig variabel ID]]),INDEX(DataTitel_liste,IF(LineærRegression_Valg[[#This Row],[Afhængig variabel ID]]=1,2,1))),$B$7)</f>
        <v>Eksempel 2 (interval)</v>
      </c>
      <c r="H57" s="188">
        <f>_xlfn.AGGREGATE(2,5,LineærRegression_Valg[[#This Row],[Tabel ID]])</f>
        <v>1</v>
      </c>
    </row>
    <row r="58" spans="1:8" x14ac:dyDescent="0.2">
      <c r="A58">
        <f>ROW(LineærRegression_Valg[[#This Row],[Tabel ID]])-ROW(LineærRegression_Valg[[#Headers],[Tabel ID]])</f>
        <v>48</v>
      </c>
      <c r="B58" s="188">
        <f>ROUNDDOWN((LineærRegression_Valg[[#This Row],[Tabel ID]]-1)/$B$5,0)+1</f>
        <v>12</v>
      </c>
      <c r="C58" s="188">
        <f t="shared" si="0"/>
        <v>4</v>
      </c>
      <c r="D58" s="188" t="b">
        <f>LineærRegression_Valg[[#This Row],[Afhængig variabel ID]]&lt;&gt;LineærRegression_Valg[[#This Row],[Uafhængig variabel ID]]</f>
        <v>1</v>
      </c>
      <c r="E58" t="b">
        <f>LineærRegression_Valg[[#This Row],[Afhængig variabel ID]]&lt;=$B$5</f>
        <v>0</v>
      </c>
      <c r="F58" t="str" cm="1">
        <f t="array" ref="F58">IF(LineærRegression_Valg[[#This Row],[Indenfor range]],INDEX(DataTitel_liste,LineærRegression_Valg[[#This Row],[Afhængig variabel ID]]),INDEX(DataTitel_liste,1))</f>
        <v>Eksempel 1 (interval)</v>
      </c>
      <c r="G58" s="188" t="str" cm="1">
        <f t="array" ref="G58">IF(LineærRegression_Valg[[#This Row],[Indenfor range]],IF(LineærRegression_Valg[[#This Row],[Intet overlap]],INDEX(DataTitel_liste,LineærRegression_Valg[[#This Row],[Uafhængig variabel ID]]),INDEX(DataTitel_liste,IF(LineærRegression_Valg[[#This Row],[Afhængig variabel ID]]=1,2,1))),$B$7)</f>
        <v>Eksempel 2 (interval)</v>
      </c>
      <c r="H58" s="188">
        <f>_xlfn.AGGREGATE(2,5,LineærRegression_Valg[[#This Row],[Tabel ID]])</f>
        <v>1</v>
      </c>
    </row>
    <row r="59" spans="1:8" x14ac:dyDescent="0.2">
      <c r="A59">
        <f>ROW(LineærRegression_Valg[[#This Row],[Tabel ID]])-ROW(LineærRegression_Valg[[#Headers],[Tabel ID]])</f>
        <v>49</v>
      </c>
      <c r="B59" s="188">
        <f>ROUNDDOWN((LineærRegression_Valg[[#This Row],[Tabel ID]]-1)/$B$5,0)+1</f>
        <v>13</v>
      </c>
      <c r="C59" s="188">
        <f t="shared" si="0"/>
        <v>1</v>
      </c>
      <c r="D59" s="188" t="b">
        <f>LineærRegression_Valg[[#This Row],[Afhængig variabel ID]]&lt;&gt;LineærRegression_Valg[[#This Row],[Uafhængig variabel ID]]</f>
        <v>1</v>
      </c>
      <c r="E59" t="b">
        <f>LineærRegression_Valg[[#This Row],[Afhængig variabel ID]]&lt;=$B$5</f>
        <v>0</v>
      </c>
      <c r="F59" t="str" cm="1">
        <f t="array" ref="F59">IF(LineærRegression_Valg[[#This Row],[Indenfor range]],INDEX(DataTitel_liste,LineærRegression_Valg[[#This Row],[Afhængig variabel ID]]),INDEX(DataTitel_liste,1))</f>
        <v>Eksempel 1 (interval)</v>
      </c>
      <c r="G59" s="188" t="str" cm="1">
        <f t="array" ref="G59">IF(LineærRegression_Valg[[#This Row],[Indenfor range]],IF(LineærRegression_Valg[[#This Row],[Intet overlap]],INDEX(DataTitel_liste,LineærRegression_Valg[[#This Row],[Uafhængig variabel ID]]),INDEX(DataTitel_liste,IF(LineærRegression_Valg[[#This Row],[Afhængig variabel ID]]=1,2,1))),$B$7)</f>
        <v>Eksempel 2 (interval)</v>
      </c>
      <c r="H59" s="188">
        <f>_xlfn.AGGREGATE(2,5,LineærRegression_Valg[[#This Row],[Tabel ID]])</f>
        <v>1</v>
      </c>
    </row>
    <row r="60" spans="1:8" x14ac:dyDescent="0.2">
      <c r="A60">
        <f>ROW(LineærRegression_Valg[[#This Row],[Tabel ID]])-ROW(LineærRegression_Valg[[#Headers],[Tabel ID]])</f>
        <v>50</v>
      </c>
      <c r="B60" s="188">
        <f>ROUNDDOWN((LineærRegression_Valg[[#This Row],[Tabel ID]]-1)/$B$5,0)+1</f>
        <v>13</v>
      </c>
      <c r="C60" s="188">
        <f t="shared" si="0"/>
        <v>2</v>
      </c>
      <c r="D60" s="188" t="b">
        <f>LineærRegression_Valg[[#This Row],[Afhængig variabel ID]]&lt;&gt;LineærRegression_Valg[[#This Row],[Uafhængig variabel ID]]</f>
        <v>1</v>
      </c>
      <c r="E60" t="b">
        <f>LineærRegression_Valg[[#This Row],[Afhængig variabel ID]]&lt;=$B$5</f>
        <v>0</v>
      </c>
      <c r="F60" t="str" cm="1">
        <f t="array" ref="F60">IF(LineærRegression_Valg[[#This Row],[Indenfor range]],INDEX(DataTitel_liste,LineærRegression_Valg[[#This Row],[Afhængig variabel ID]]),INDEX(DataTitel_liste,1))</f>
        <v>Eksempel 1 (interval)</v>
      </c>
      <c r="G60" s="188" t="str" cm="1">
        <f t="array" ref="G60">IF(LineærRegression_Valg[[#This Row],[Indenfor range]],IF(LineærRegression_Valg[[#This Row],[Intet overlap]],INDEX(DataTitel_liste,LineærRegression_Valg[[#This Row],[Uafhængig variabel ID]]),INDEX(DataTitel_liste,IF(LineærRegression_Valg[[#This Row],[Afhængig variabel ID]]=1,2,1))),$B$7)</f>
        <v>Eksempel 2 (interval)</v>
      </c>
      <c r="H60" s="188">
        <f>_xlfn.AGGREGATE(2,5,LineærRegression_Valg[[#This Row],[Tabel ID]])</f>
        <v>1</v>
      </c>
    </row>
    <row r="61" spans="1:8" x14ac:dyDescent="0.2">
      <c r="A61">
        <f>ROW(LineærRegression_Valg[[#This Row],[Tabel ID]])-ROW(LineærRegression_Valg[[#Headers],[Tabel ID]])</f>
        <v>51</v>
      </c>
      <c r="B61" s="188">
        <f>ROUNDDOWN((LineærRegression_Valg[[#This Row],[Tabel ID]]-1)/$B$5,0)+1</f>
        <v>13</v>
      </c>
      <c r="C61" s="188">
        <f t="shared" si="0"/>
        <v>3</v>
      </c>
      <c r="D61" s="188" t="b">
        <f>LineærRegression_Valg[[#This Row],[Afhængig variabel ID]]&lt;&gt;LineærRegression_Valg[[#This Row],[Uafhængig variabel ID]]</f>
        <v>1</v>
      </c>
      <c r="E61" t="b">
        <f>LineærRegression_Valg[[#This Row],[Afhængig variabel ID]]&lt;=$B$5</f>
        <v>0</v>
      </c>
      <c r="F61" t="str" cm="1">
        <f t="array" ref="F61">IF(LineærRegression_Valg[[#This Row],[Indenfor range]],INDEX(DataTitel_liste,LineærRegression_Valg[[#This Row],[Afhængig variabel ID]]),INDEX(DataTitel_liste,1))</f>
        <v>Eksempel 1 (interval)</v>
      </c>
      <c r="G61" s="188" t="str" cm="1">
        <f t="array" ref="G61">IF(LineærRegression_Valg[[#This Row],[Indenfor range]],IF(LineærRegression_Valg[[#This Row],[Intet overlap]],INDEX(DataTitel_liste,LineærRegression_Valg[[#This Row],[Uafhængig variabel ID]]),INDEX(DataTitel_liste,IF(LineærRegression_Valg[[#This Row],[Afhængig variabel ID]]=1,2,1))),$B$7)</f>
        <v>Eksempel 2 (interval)</v>
      </c>
      <c r="H61" s="188">
        <f>_xlfn.AGGREGATE(2,5,LineærRegression_Valg[[#This Row],[Tabel ID]])</f>
        <v>1</v>
      </c>
    </row>
    <row r="62" spans="1:8" x14ac:dyDescent="0.2">
      <c r="A62">
        <f>ROW(LineærRegression_Valg[[#This Row],[Tabel ID]])-ROW(LineærRegression_Valg[[#Headers],[Tabel ID]])</f>
        <v>52</v>
      </c>
      <c r="B62" s="188">
        <f>ROUNDDOWN((LineærRegression_Valg[[#This Row],[Tabel ID]]-1)/$B$5,0)+1</f>
        <v>13</v>
      </c>
      <c r="C62" s="188">
        <f t="shared" si="0"/>
        <v>4</v>
      </c>
      <c r="D62" s="188" t="b">
        <f>LineærRegression_Valg[[#This Row],[Afhængig variabel ID]]&lt;&gt;LineærRegression_Valg[[#This Row],[Uafhængig variabel ID]]</f>
        <v>1</v>
      </c>
      <c r="E62" t="b">
        <f>LineærRegression_Valg[[#This Row],[Afhængig variabel ID]]&lt;=$B$5</f>
        <v>0</v>
      </c>
      <c r="F62" t="str" cm="1">
        <f t="array" ref="F62">IF(LineærRegression_Valg[[#This Row],[Indenfor range]],INDEX(DataTitel_liste,LineærRegression_Valg[[#This Row],[Afhængig variabel ID]]),INDEX(DataTitel_liste,1))</f>
        <v>Eksempel 1 (interval)</v>
      </c>
      <c r="G62" s="188" t="str" cm="1">
        <f t="array" ref="G62">IF(LineærRegression_Valg[[#This Row],[Indenfor range]],IF(LineærRegression_Valg[[#This Row],[Intet overlap]],INDEX(DataTitel_liste,LineærRegression_Valg[[#This Row],[Uafhængig variabel ID]]),INDEX(DataTitel_liste,IF(LineærRegression_Valg[[#This Row],[Afhængig variabel ID]]=1,2,1))),$B$7)</f>
        <v>Eksempel 2 (interval)</v>
      </c>
      <c r="H62" s="188">
        <f>_xlfn.AGGREGATE(2,5,LineærRegression_Valg[[#This Row],[Tabel ID]])</f>
        <v>1</v>
      </c>
    </row>
    <row r="63" spans="1:8" x14ac:dyDescent="0.2">
      <c r="A63">
        <f>ROW(LineærRegression_Valg[[#This Row],[Tabel ID]])-ROW(LineærRegression_Valg[[#Headers],[Tabel ID]])</f>
        <v>53</v>
      </c>
      <c r="B63" s="188">
        <f>ROUNDDOWN((LineærRegression_Valg[[#This Row],[Tabel ID]]-1)/$B$5,0)+1</f>
        <v>14</v>
      </c>
      <c r="C63" s="188">
        <f t="shared" si="0"/>
        <v>1</v>
      </c>
      <c r="D63" s="188" t="b">
        <f>LineærRegression_Valg[[#This Row],[Afhængig variabel ID]]&lt;&gt;LineærRegression_Valg[[#This Row],[Uafhængig variabel ID]]</f>
        <v>1</v>
      </c>
      <c r="E63" t="b">
        <f>LineærRegression_Valg[[#This Row],[Afhængig variabel ID]]&lt;=$B$5</f>
        <v>0</v>
      </c>
      <c r="F63" t="str" cm="1">
        <f t="array" ref="F63">IF(LineærRegression_Valg[[#This Row],[Indenfor range]],INDEX(DataTitel_liste,LineærRegression_Valg[[#This Row],[Afhængig variabel ID]]),INDEX(DataTitel_liste,1))</f>
        <v>Eksempel 1 (interval)</v>
      </c>
      <c r="G63" s="188" t="str" cm="1">
        <f t="array" ref="G63">IF(LineærRegression_Valg[[#This Row],[Indenfor range]],IF(LineærRegression_Valg[[#This Row],[Intet overlap]],INDEX(DataTitel_liste,LineærRegression_Valg[[#This Row],[Uafhængig variabel ID]]),INDEX(DataTitel_liste,IF(LineærRegression_Valg[[#This Row],[Afhængig variabel ID]]=1,2,1))),$B$7)</f>
        <v>Eksempel 2 (interval)</v>
      </c>
      <c r="H63" s="188">
        <f>_xlfn.AGGREGATE(2,5,LineærRegression_Valg[[#This Row],[Tabel ID]])</f>
        <v>1</v>
      </c>
    </row>
    <row r="64" spans="1:8" x14ac:dyDescent="0.2">
      <c r="A64">
        <f>ROW(LineærRegression_Valg[[#This Row],[Tabel ID]])-ROW(LineærRegression_Valg[[#Headers],[Tabel ID]])</f>
        <v>54</v>
      </c>
      <c r="B64" s="188">
        <f>ROUNDDOWN((LineærRegression_Valg[[#This Row],[Tabel ID]]-1)/$B$5,0)+1</f>
        <v>14</v>
      </c>
      <c r="C64" s="188">
        <f t="shared" si="0"/>
        <v>2</v>
      </c>
      <c r="D64" s="188" t="b">
        <f>LineærRegression_Valg[[#This Row],[Afhængig variabel ID]]&lt;&gt;LineærRegression_Valg[[#This Row],[Uafhængig variabel ID]]</f>
        <v>1</v>
      </c>
      <c r="E64" t="b">
        <f>LineærRegression_Valg[[#This Row],[Afhængig variabel ID]]&lt;=$B$5</f>
        <v>0</v>
      </c>
      <c r="F64" t="str" cm="1">
        <f t="array" ref="F64">IF(LineærRegression_Valg[[#This Row],[Indenfor range]],INDEX(DataTitel_liste,LineærRegression_Valg[[#This Row],[Afhængig variabel ID]]),INDEX(DataTitel_liste,1))</f>
        <v>Eksempel 1 (interval)</v>
      </c>
      <c r="G64" s="188" t="str" cm="1">
        <f t="array" ref="G64">IF(LineærRegression_Valg[[#This Row],[Indenfor range]],IF(LineærRegression_Valg[[#This Row],[Intet overlap]],INDEX(DataTitel_liste,LineærRegression_Valg[[#This Row],[Uafhængig variabel ID]]),INDEX(DataTitel_liste,IF(LineærRegression_Valg[[#This Row],[Afhængig variabel ID]]=1,2,1))),$B$7)</f>
        <v>Eksempel 2 (interval)</v>
      </c>
      <c r="H64" s="188">
        <f>_xlfn.AGGREGATE(2,5,LineærRegression_Valg[[#This Row],[Tabel ID]])</f>
        <v>1</v>
      </c>
    </row>
    <row r="65" spans="1:8" x14ac:dyDescent="0.2">
      <c r="A65">
        <f>ROW(LineærRegression_Valg[[#This Row],[Tabel ID]])-ROW(LineærRegression_Valg[[#Headers],[Tabel ID]])</f>
        <v>55</v>
      </c>
      <c r="B65" s="188">
        <f>ROUNDDOWN((LineærRegression_Valg[[#This Row],[Tabel ID]]-1)/$B$5,0)+1</f>
        <v>14</v>
      </c>
      <c r="C65" s="188">
        <f t="shared" si="0"/>
        <v>3</v>
      </c>
      <c r="D65" s="188" t="b">
        <f>LineærRegression_Valg[[#This Row],[Afhængig variabel ID]]&lt;&gt;LineærRegression_Valg[[#This Row],[Uafhængig variabel ID]]</f>
        <v>1</v>
      </c>
      <c r="E65" t="b">
        <f>LineærRegression_Valg[[#This Row],[Afhængig variabel ID]]&lt;=$B$5</f>
        <v>0</v>
      </c>
      <c r="F65" t="str" cm="1">
        <f t="array" ref="F65">IF(LineærRegression_Valg[[#This Row],[Indenfor range]],INDEX(DataTitel_liste,LineærRegression_Valg[[#This Row],[Afhængig variabel ID]]),INDEX(DataTitel_liste,1))</f>
        <v>Eksempel 1 (interval)</v>
      </c>
      <c r="G65" s="188" t="str" cm="1">
        <f t="array" ref="G65">IF(LineærRegression_Valg[[#This Row],[Indenfor range]],IF(LineærRegression_Valg[[#This Row],[Intet overlap]],INDEX(DataTitel_liste,LineærRegression_Valg[[#This Row],[Uafhængig variabel ID]]),INDEX(DataTitel_liste,IF(LineærRegression_Valg[[#This Row],[Afhængig variabel ID]]=1,2,1))),$B$7)</f>
        <v>Eksempel 2 (interval)</v>
      </c>
      <c r="H65" s="188">
        <f>_xlfn.AGGREGATE(2,5,LineærRegression_Valg[[#This Row],[Tabel ID]])</f>
        <v>1</v>
      </c>
    </row>
    <row r="66" spans="1:8" x14ac:dyDescent="0.2">
      <c r="A66">
        <f>ROW(LineærRegression_Valg[[#This Row],[Tabel ID]])-ROW(LineærRegression_Valg[[#Headers],[Tabel ID]])</f>
        <v>56</v>
      </c>
      <c r="B66" s="188">
        <f>ROUNDDOWN((LineærRegression_Valg[[#This Row],[Tabel ID]]-1)/$B$5,0)+1</f>
        <v>14</v>
      </c>
      <c r="C66" s="188">
        <f t="shared" si="0"/>
        <v>4</v>
      </c>
      <c r="D66" s="188" t="b">
        <f>LineærRegression_Valg[[#This Row],[Afhængig variabel ID]]&lt;&gt;LineærRegression_Valg[[#This Row],[Uafhængig variabel ID]]</f>
        <v>1</v>
      </c>
      <c r="E66" t="b">
        <f>LineærRegression_Valg[[#This Row],[Afhængig variabel ID]]&lt;=$B$5</f>
        <v>0</v>
      </c>
      <c r="F66" t="str" cm="1">
        <f t="array" ref="F66">IF(LineærRegression_Valg[[#This Row],[Indenfor range]],INDEX(DataTitel_liste,LineærRegression_Valg[[#This Row],[Afhængig variabel ID]]),INDEX(DataTitel_liste,1))</f>
        <v>Eksempel 1 (interval)</v>
      </c>
      <c r="G66" s="188" t="str" cm="1">
        <f t="array" ref="G66">IF(LineærRegression_Valg[[#This Row],[Indenfor range]],IF(LineærRegression_Valg[[#This Row],[Intet overlap]],INDEX(DataTitel_liste,LineærRegression_Valg[[#This Row],[Uafhængig variabel ID]]),INDEX(DataTitel_liste,IF(LineærRegression_Valg[[#This Row],[Afhængig variabel ID]]=1,2,1))),$B$7)</f>
        <v>Eksempel 2 (interval)</v>
      </c>
      <c r="H66" s="188">
        <f>_xlfn.AGGREGATE(2,5,LineærRegression_Valg[[#This Row],[Tabel ID]])</f>
        <v>1</v>
      </c>
    </row>
    <row r="67" spans="1:8" x14ac:dyDescent="0.2">
      <c r="A67">
        <f>ROW(LineærRegression_Valg[[#This Row],[Tabel ID]])-ROW(LineærRegression_Valg[[#Headers],[Tabel ID]])</f>
        <v>57</v>
      </c>
      <c r="B67" s="188">
        <f>ROUNDDOWN((LineærRegression_Valg[[#This Row],[Tabel ID]]-1)/$B$5,0)+1</f>
        <v>15</v>
      </c>
      <c r="C67" s="188">
        <f t="shared" si="0"/>
        <v>1</v>
      </c>
      <c r="D67" s="188" t="b">
        <f>LineærRegression_Valg[[#This Row],[Afhængig variabel ID]]&lt;&gt;LineærRegression_Valg[[#This Row],[Uafhængig variabel ID]]</f>
        <v>1</v>
      </c>
      <c r="E67" t="b">
        <f>LineærRegression_Valg[[#This Row],[Afhængig variabel ID]]&lt;=$B$5</f>
        <v>0</v>
      </c>
      <c r="F67" t="str" cm="1">
        <f t="array" ref="F67">IF(LineærRegression_Valg[[#This Row],[Indenfor range]],INDEX(DataTitel_liste,LineærRegression_Valg[[#This Row],[Afhængig variabel ID]]),INDEX(DataTitel_liste,1))</f>
        <v>Eksempel 1 (interval)</v>
      </c>
      <c r="G67" s="188" t="str" cm="1">
        <f t="array" ref="G67">IF(LineærRegression_Valg[[#This Row],[Indenfor range]],IF(LineærRegression_Valg[[#This Row],[Intet overlap]],INDEX(DataTitel_liste,LineærRegression_Valg[[#This Row],[Uafhængig variabel ID]]),INDEX(DataTitel_liste,IF(LineærRegression_Valg[[#This Row],[Afhængig variabel ID]]=1,2,1))),$B$7)</f>
        <v>Eksempel 2 (interval)</v>
      </c>
      <c r="H67" s="188">
        <f>_xlfn.AGGREGATE(2,5,LineærRegression_Valg[[#This Row],[Tabel ID]])</f>
        <v>1</v>
      </c>
    </row>
    <row r="68" spans="1:8" x14ac:dyDescent="0.2">
      <c r="A68">
        <f>ROW(LineærRegression_Valg[[#This Row],[Tabel ID]])-ROW(LineærRegression_Valg[[#Headers],[Tabel ID]])</f>
        <v>58</v>
      </c>
      <c r="B68" s="188">
        <f>ROUNDDOWN((LineærRegression_Valg[[#This Row],[Tabel ID]]-1)/$B$5,0)+1</f>
        <v>15</v>
      </c>
      <c r="C68" s="188">
        <f t="shared" si="0"/>
        <v>2</v>
      </c>
      <c r="D68" s="188" t="b">
        <f>LineærRegression_Valg[[#This Row],[Afhængig variabel ID]]&lt;&gt;LineærRegression_Valg[[#This Row],[Uafhængig variabel ID]]</f>
        <v>1</v>
      </c>
      <c r="E68" t="b">
        <f>LineærRegression_Valg[[#This Row],[Afhængig variabel ID]]&lt;=$B$5</f>
        <v>0</v>
      </c>
      <c r="F68" t="str" cm="1">
        <f t="array" ref="F68">IF(LineærRegression_Valg[[#This Row],[Indenfor range]],INDEX(DataTitel_liste,LineærRegression_Valg[[#This Row],[Afhængig variabel ID]]),INDEX(DataTitel_liste,1))</f>
        <v>Eksempel 1 (interval)</v>
      </c>
      <c r="G68" s="188" t="str" cm="1">
        <f t="array" ref="G68">IF(LineærRegression_Valg[[#This Row],[Indenfor range]],IF(LineærRegression_Valg[[#This Row],[Intet overlap]],INDEX(DataTitel_liste,LineærRegression_Valg[[#This Row],[Uafhængig variabel ID]]),INDEX(DataTitel_liste,IF(LineærRegression_Valg[[#This Row],[Afhængig variabel ID]]=1,2,1))),$B$7)</f>
        <v>Eksempel 2 (interval)</v>
      </c>
      <c r="H68" s="188">
        <f>_xlfn.AGGREGATE(2,5,LineærRegression_Valg[[#This Row],[Tabel ID]])</f>
        <v>1</v>
      </c>
    </row>
    <row r="69" spans="1:8" x14ac:dyDescent="0.2">
      <c r="A69">
        <f>ROW(LineærRegression_Valg[[#This Row],[Tabel ID]])-ROW(LineærRegression_Valg[[#Headers],[Tabel ID]])</f>
        <v>59</v>
      </c>
      <c r="B69" s="188">
        <f>ROUNDDOWN((LineærRegression_Valg[[#This Row],[Tabel ID]]-1)/$B$5,0)+1</f>
        <v>15</v>
      </c>
      <c r="C69" s="188">
        <f t="shared" si="0"/>
        <v>3</v>
      </c>
      <c r="D69" s="188" t="b">
        <f>LineærRegression_Valg[[#This Row],[Afhængig variabel ID]]&lt;&gt;LineærRegression_Valg[[#This Row],[Uafhængig variabel ID]]</f>
        <v>1</v>
      </c>
      <c r="E69" t="b">
        <f>LineærRegression_Valg[[#This Row],[Afhængig variabel ID]]&lt;=$B$5</f>
        <v>0</v>
      </c>
      <c r="F69" t="str" cm="1">
        <f t="array" ref="F69">IF(LineærRegression_Valg[[#This Row],[Indenfor range]],INDEX(DataTitel_liste,LineærRegression_Valg[[#This Row],[Afhængig variabel ID]]),INDEX(DataTitel_liste,1))</f>
        <v>Eksempel 1 (interval)</v>
      </c>
      <c r="G69" s="188" t="str" cm="1">
        <f t="array" ref="G69">IF(LineærRegression_Valg[[#This Row],[Indenfor range]],IF(LineærRegression_Valg[[#This Row],[Intet overlap]],INDEX(DataTitel_liste,LineærRegression_Valg[[#This Row],[Uafhængig variabel ID]]),INDEX(DataTitel_liste,IF(LineærRegression_Valg[[#This Row],[Afhængig variabel ID]]=1,2,1))),$B$7)</f>
        <v>Eksempel 2 (interval)</v>
      </c>
      <c r="H69" s="188">
        <f>_xlfn.AGGREGATE(2,5,LineærRegression_Valg[[#This Row],[Tabel ID]])</f>
        <v>1</v>
      </c>
    </row>
    <row r="70" spans="1:8" x14ac:dyDescent="0.2">
      <c r="A70">
        <f>ROW(LineærRegression_Valg[[#This Row],[Tabel ID]])-ROW(LineærRegression_Valg[[#Headers],[Tabel ID]])</f>
        <v>60</v>
      </c>
      <c r="B70" s="188">
        <f>ROUNDDOWN((LineærRegression_Valg[[#This Row],[Tabel ID]]-1)/$B$5,0)+1</f>
        <v>15</v>
      </c>
      <c r="C70" s="188">
        <f t="shared" si="0"/>
        <v>4</v>
      </c>
      <c r="D70" s="188" t="b">
        <f>LineærRegression_Valg[[#This Row],[Afhængig variabel ID]]&lt;&gt;LineærRegression_Valg[[#This Row],[Uafhængig variabel ID]]</f>
        <v>1</v>
      </c>
      <c r="E70" t="b">
        <f>LineærRegression_Valg[[#This Row],[Afhængig variabel ID]]&lt;=$B$5</f>
        <v>0</v>
      </c>
      <c r="F70" t="str" cm="1">
        <f t="array" ref="F70">IF(LineærRegression_Valg[[#This Row],[Indenfor range]],INDEX(DataTitel_liste,LineærRegression_Valg[[#This Row],[Afhængig variabel ID]]),INDEX(DataTitel_liste,1))</f>
        <v>Eksempel 1 (interval)</v>
      </c>
      <c r="G70" s="188" t="str" cm="1">
        <f t="array" ref="G70">IF(LineærRegression_Valg[[#This Row],[Indenfor range]],IF(LineærRegression_Valg[[#This Row],[Intet overlap]],INDEX(DataTitel_liste,LineærRegression_Valg[[#This Row],[Uafhængig variabel ID]]),INDEX(DataTitel_liste,IF(LineærRegression_Valg[[#This Row],[Afhængig variabel ID]]=1,2,1))),$B$7)</f>
        <v>Eksempel 2 (interval)</v>
      </c>
      <c r="H70" s="188">
        <f>_xlfn.AGGREGATE(2,5,LineærRegression_Valg[[#This Row],[Tabel ID]])</f>
        <v>1</v>
      </c>
    </row>
    <row r="71" spans="1:8" x14ac:dyDescent="0.2">
      <c r="A71">
        <f>ROW(LineærRegression_Valg[[#This Row],[Tabel ID]])-ROW(LineærRegression_Valg[[#Headers],[Tabel ID]])</f>
        <v>61</v>
      </c>
      <c r="B71" s="188">
        <f>ROUNDDOWN((LineærRegression_Valg[[#This Row],[Tabel ID]]-1)/$B$5,0)+1</f>
        <v>16</v>
      </c>
      <c r="C71" s="188">
        <f t="shared" si="0"/>
        <v>1</v>
      </c>
      <c r="D71" s="188" t="b">
        <f>LineærRegression_Valg[[#This Row],[Afhængig variabel ID]]&lt;&gt;LineærRegression_Valg[[#This Row],[Uafhængig variabel ID]]</f>
        <v>1</v>
      </c>
      <c r="E71" t="b">
        <f>LineærRegression_Valg[[#This Row],[Afhængig variabel ID]]&lt;=$B$5</f>
        <v>0</v>
      </c>
      <c r="F71" t="str" cm="1">
        <f t="array" ref="F71">IF(LineærRegression_Valg[[#This Row],[Indenfor range]],INDEX(DataTitel_liste,LineærRegression_Valg[[#This Row],[Afhængig variabel ID]]),INDEX(DataTitel_liste,1))</f>
        <v>Eksempel 1 (interval)</v>
      </c>
      <c r="G71" s="188" t="str" cm="1">
        <f t="array" ref="G71">IF(LineærRegression_Valg[[#This Row],[Indenfor range]],IF(LineærRegression_Valg[[#This Row],[Intet overlap]],INDEX(DataTitel_liste,LineærRegression_Valg[[#This Row],[Uafhængig variabel ID]]),INDEX(DataTitel_liste,IF(LineærRegression_Valg[[#This Row],[Afhængig variabel ID]]=1,2,1))),$B$7)</f>
        <v>Eksempel 2 (interval)</v>
      </c>
      <c r="H71" s="188">
        <f>_xlfn.AGGREGATE(2,5,LineærRegression_Valg[[#This Row],[Tabel ID]])</f>
        <v>1</v>
      </c>
    </row>
    <row r="72" spans="1:8" x14ac:dyDescent="0.2">
      <c r="A72">
        <f>ROW(LineærRegression_Valg[[#This Row],[Tabel ID]])-ROW(LineærRegression_Valg[[#Headers],[Tabel ID]])</f>
        <v>62</v>
      </c>
      <c r="B72" s="188">
        <f>ROUNDDOWN((LineærRegression_Valg[[#This Row],[Tabel ID]]-1)/$B$5,0)+1</f>
        <v>16</v>
      </c>
      <c r="C72" s="188">
        <f t="shared" si="0"/>
        <v>2</v>
      </c>
      <c r="D72" s="188" t="b">
        <f>LineærRegression_Valg[[#This Row],[Afhængig variabel ID]]&lt;&gt;LineærRegression_Valg[[#This Row],[Uafhængig variabel ID]]</f>
        <v>1</v>
      </c>
      <c r="E72" t="b">
        <f>LineærRegression_Valg[[#This Row],[Afhængig variabel ID]]&lt;=$B$5</f>
        <v>0</v>
      </c>
      <c r="F72" t="str" cm="1">
        <f t="array" ref="F72">IF(LineærRegression_Valg[[#This Row],[Indenfor range]],INDEX(DataTitel_liste,LineærRegression_Valg[[#This Row],[Afhængig variabel ID]]),INDEX(DataTitel_liste,1))</f>
        <v>Eksempel 1 (interval)</v>
      </c>
      <c r="G72" s="188" t="str" cm="1">
        <f t="array" ref="G72">IF(LineærRegression_Valg[[#This Row],[Indenfor range]],IF(LineærRegression_Valg[[#This Row],[Intet overlap]],INDEX(DataTitel_liste,LineærRegression_Valg[[#This Row],[Uafhængig variabel ID]]),INDEX(DataTitel_liste,IF(LineærRegression_Valg[[#This Row],[Afhængig variabel ID]]=1,2,1))),$B$7)</f>
        <v>Eksempel 2 (interval)</v>
      </c>
      <c r="H72" s="188">
        <f>_xlfn.AGGREGATE(2,5,LineærRegression_Valg[[#This Row],[Tabel ID]])</f>
        <v>1</v>
      </c>
    </row>
    <row r="73" spans="1:8" x14ac:dyDescent="0.2">
      <c r="A73">
        <f>ROW(LineærRegression_Valg[[#This Row],[Tabel ID]])-ROW(LineærRegression_Valg[[#Headers],[Tabel ID]])</f>
        <v>63</v>
      </c>
      <c r="B73" s="188">
        <f>ROUNDDOWN((LineærRegression_Valg[[#This Row],[Tabel ID]]-1)/$B$5,0)+1</f>
        <v>16</v>
      </c>
      <c r="C73" s="188">
        <f t="shared" si="0"/>
        <v>3</v>
      </c>
      <c r="D73" s="188" t="b">
        <f>LineærRegression_Valg[[#This Row],[Afhængig variabel ID]]&lt;&gt;LineærRegression_Valg[[#This Row],[Uafhængig variabel ID]]</f>
        <v>1</v>
      </c>
      <c r="E73" t="b">
        <f>LineærRegression_Valg[[#This Row],[Afhængig variabel ID]]&lt;=$B$5</f>
        <v>0</v>
      </c>
      <c r="F73" t="str" cm="1">
        <f t="array" ref="F73">IF(LineærRegression_Valg[[#This Row],[Indenfor range]],INDEX(DataTitel_liste,LineærRegression_Valg[[#This Row],[Afhængig variabel ID]]),INDEX(DataTitel_liste,1))</f>
        <v>Eksempel 1 (interval)</v>
      </c>
      <c r="G73" s="188" t="str" cm="1">
        <f t="array" ref="G73">IF(LineærRegression_Valg[[#This Row],[Indenfor range]],IF(LineærRegression_Valg[[#This Row],[Intet overlap]],INDEX(DataTitel_liste,LineærRegression_Valg[[#This Row],[Uafhængig variabel ID]]),INDEX(DataTitel_liste,IF(LineærRegression_Valg[[#This Row],[Afhængig variabel ID]]=1,2,1))),$B$7)</f>
        <v>Eksempel 2 (interval)</v>
      </c>
      <c r="H73" s="188">
        <f>_xlfn.AGGREGATE(2,5,LineærRegression_Valg[[#This Row],[Tabel ID]])</f>
        <v>1</v>
      </c>
    </row>
    <row r="74" spans="1:8" x14ac:dyDescent="0.2">
      <c r="A74">
        <f>ROW(LineærRegression_Valg[[#This Row],[Tabel ID]])-ROW(LineærRegression_Valg[[#Headers],[Tabel ID]])</f>
        <v>64</v>
      </c>
      <c r="B74" s="188">
        <f>ROUNDDOWN((LineærRegression_Valg[[#This Row],[Tabel ID]]-1)/$B$5,0)+1</f>
        <v>16</v>
      </c>
      <c r="C74" s="188">
        <f t="shared" si="0"/>
        <v>4</v>
      </c>
      <c r="D74" s="188" t="b">
        <f>LineærRegression_Valg[[#This Row],[Afhængig variabel ID]]&lt;&gt;LineærRegression_Valg[[#This Row],[Uafhængig variabel ID]]</f>
        <v>1</v>
      </c>
      <c r="E74" t="b">
        <f>LineærRegression_Valg[[#This Row],[Afhængig variabel ID]]&lt;=$B$5</f>
        <v>0</v>
      </c>
      <c r="F74" t="str" cm="1">
        <f t="array" ref="F74">IF(LineærRegression_Valg[[#This Row],[Indenfor range]],INDEX(DataTitel_liste,LineærRegression_Valg[[#This Row],[Afhængig variabel ID]]),INDEX(DataTitel_liste,1))</f>
        <v>Eksempel 1 (interval)</v>
      </c>
      <c r="G74" s="188" t="str" cm="1">
        <f t="array" ref="G74">IF(LineærRegression_Valg[[#This Row],[Indenfor range]],IF(LineærRegression_Valg[[#This Row],[Intet overlap]],INDEX(DataTitel_liste,LineærRegression_Valg[[#This Row],[Uafhængig variabel ID]]),INDEX(DataTitel_liste,IF(LineærRegression_Valg[[#This Row],[Afhængig variabel ID]]=1,2,1))),$B$7)</f>
        <v>Eksempel 2 (interval)</v>
      </c>
      <c r="H74" s="188">
        <f>_xlfn.AGGREGATE(2,5,LineærRegression_Valg[[#This Row],[Tabel ID]])</f>
        <v>1</v>
      </c>
    </row>
    <row r="75" spans="1:8" x14ac:dyDescent="0.2">
      <c r="A75">
        <f>ROW(LineærRegression_Valg[[#This Row],[Tabel ID]])-ROW(LineærRegression_Valg[[#Headers],[Tabel ID]])</f>
        <v>65</v>
      </c>
      <c r="B75" s="188">
        <f>ROUNDDOWN((LineærRegression_Valg[[#This Row],[Tabel ID]]-1)/$B$5,0)+1</f>
        <v>17</v>
      </c>
      <c r="C75" s="188">
        <f t="shared" ref="C75:C138" si="1">MOD(A75-1,$B$5)+1</f>
        <v>1</v>
      </c>
      <c r="D75" s="188" t="b">
        <f>LineærRegression_Valg[[#This Row],[Afhængig variabel ID]]&lt;&gt;LineærRegression_Valg[[#This Row],[Uafhængig variabel ID]]</f>
        <v>1</v>
      </c>
      <c r="E75" t="b">
        <f>LineærRegression_Valg[[#This Row],[Afhængig variabel ID]]&lt;=$B$5</f>
        <v>0</v>
      </c>
      <c r="F75" t="str" cm="1">
        <f t="array" ref="F75">IF(LineærRegression_Valg[[#This Row],[Indenfor range]],INDEX(DataTitel_liste,LineærRegression_Valg[[#This Row],[Afhængig variabel ID]]),INDEX(DataTitel_liste,1))</f>
        <v>Eksempel 1 (interval)</v>
      </c>
      <c r="G75" s="188" t="str" cm="1">
        <f t="array" ref="G75">IF(LineærRegression_Valg[[#This Row],[Indenfor range]],IF(LineærRegression_Valg[[#This Row],[Intet overlap]],INDEX(DataTitel_liste,LineærRegression_Valg[[#This Row],[Uafhængig variabel ID]]),INDEX(DataTitel_liste,IF(LineærRegression_Valg[[#This Row],[Afhængig variabel ID]]=1,2,1))),$B$7)</f>
        <v>Eksempel 2 (interval)</v>
      </c>
      <c r="H75" s="188">
        <f>_xlfn.AGGREGATE(2,5,LineærRegression_Valg[[#This Row],[Tabel ID]])</f>
        <v>1</v>
      </c>
    </row>
    <row r="76" spans="1:8" x14ac:dyDescent="0.2">
      <c r="A76">
        <f>ROW(LineærRegression_Valg[[#This Row],[Tabel ID]])-ROW(LineærRegression_Valg[[#Headers],[Tabel ID]])</f>
        <v>66</v>
      </c>
      <c r="B76" s="188">
        <f>ROUNDDOWN((LineærRegression_Valg[[#This Row],[Tabel ID]]-1)/$B$5,0)+1</f>
        <v>17</v>
      </c>
      <c r="C76" s="188">
        <f t="shared" si="1"/>
        <v>2</v>
      </c>
      <c r="D76" s="188" t="b">
        <f>LineærRegression_Valg[[#This Row],[Afhængig variabel ID]]&lt;&gt;LineærRegression_Valg[[#This Row],[Uafhængig variabel ID]]</f>
        <v>1</v>
      </c>
      <c r="E76" t="b">
        <f>LineærRegression_Valg[[#This Row],[Afhængig variabel ID]]&lt;=$B$5</f>
        <v>0</v>
      </c>
      <c r="F76" t="str" cm="1">
        <f t="array" ref="F76">IF(LineærRegression_Valg[[#This Row],[Indenfor range]],INDEX(DataTitel_liste,LineærRegression_Valg[[#This Row],[Afhængig variabel ID]]),INDEX(DataTitel_liste,1))</f>
        <v>Eksempel 1 (interval)</v>
      </c>
      <c r="G76" s="188" t="str" cm="1">
        <f t="array" ref="G76">IF(LineærRegression_Valg[[#This Row],[Indenfor range]],IF(LineærRegression_Valg[[#This Row],[Intet overlap]],INDEX(DataTitel_liste,LineærRegression_Valg[[#This Row],[Uafhængig variabel ID]]),INDEX(DataTitel_liste,IF(LineærRegression_Valg[[#This Row],[Afhængig variabel ID]]=1,2,1))),$B$7)</f>
        <v>Eksempel 2 (interval)</v>
      </c>
      <c r="H76" s="188">
        <f>_xlfn.AGGREGATE(2,5,LineærRegression_Valg[[#This Row],[Tabel ID]])</f>
        <v>1</v>
      </c>
    </row>
    <row r="77" spans="1:8" x14ac:dyDescent="0.2">
      <c r="A77">
        <f>ROW(LineærRegression_Valg[[#This Row],[Tabel ID]])-ROW(LineærRegression_Valg[[#Headers],[Tabel ID]])</f>
        <v>67</v>
      </c>
      <c r="B77" s="188">
        <f>ROUNDDOWN((LineærRegression_Valg[[#This Row],[Tabel ID]]-1)/$B$5,0)+1</f>
        <v>17</v>
      </c>
      <c r="C77" s="188">
        <f t="shared" si="1"/>
        <v>3</v>
      </c>
      <c r="D77" s="188" t="b">
        <f>LineærRegression_Valg[[#This Row],[Afhængig variabel ID]]&lt;&gt;LineærRegression_Valg[[#This Row],[Uafhængig variabel ID]]</f>
        <v>1</v>
      </c>
      <c r="E77" t="b">
        <f>LineærRegression_Valg[[#This Row],[Afhængig variabel ID]]&lt;=$B$5</f>
        <v>0</v>
      </c>
      <c r="F77" t="str" cm="1">
        <f t="array" ref="F77">IF(LineærRegression_Valg[[#This Row],[Indenfor range]],INDEX(DataTitel_liste,LineærRegression_Valg[[#This Row],[Afhængig variabel ID]]),INDEX(DataTitel_liste,1))</f>
        <v>Eksempel 1 (interval)</v>
      </c>
      <c r="G77" s="188" t="str" cm="1">
        <f t="array" ref="G77">IF(LineærRegression_Valg[[#This Row],[Indenfor range]],IF(LineærRegression_Valg[[#This Row],[Intet overlap]],INDEX(DataTitel_liste,LineærRegression_Valg[[#This Row],[Uafhængig variabel ID]]),INDEX(DataTitel_liste,IF(LineærRegression_Valg[[#This Row],[Afhængig variabel ID]]=1,2,1))),$B$7)</f>
        <v>Eksempel 2 (interval)</v>
      </c>
      <c r="H77" s="188">
        <f>_xlfn.AGGREGATE(2,5,LineærRegression_Valg[[#This Row],[Tabel ID]])</f>
        <v>1</v>
      </c>
    </row>
    <row r="78" spans="1:8" x14ac:dyDescent="0.2">
      <c r="A78">
        <f>ROW(LineærRegression_Valg[[#This Row],[Tabel ID]])-ROW(LineærRegression_Valg[[#Headers],[Tabel ID]])</f>
        <v>68</v>
      </c>
      <c r="B78" s="188">
        <f>ROUNDDOWN((LineærRegression_Valg[[#This Row],[Tabel ID]]-1)/$B$5,0)+1</f>
        <v>17</v>
      </c>
      <c r="C78" s="188">
        <f t="shared" si="1"/>
        <v>4</v>
      </c>
      <c r="D78" s="188" t="b">
        <f>LineærRegression_Valg[[#This Row],[Afhængig variabel ID]]&lt;&gt;LineærRegression_Valg[[#This Row],[Uafhængig variabel ID]]</f>
        <v>1</v>
      </c>
      <c r="E78" t="b">
        <f>LineærRegression_Valg[[#This Row],[Afhængig variabel ID]]&lt;=$B$5</f>
        <v>0</v>
      </c>
      <c r="F78" t="str" cm="1">
        <f t="array" ref="F78">IF(LineærRegression_Valg[[#This Row],[Indenfor range]],INDEX(DataTitel_liste,LineærRegression_Valg[[#This Row],[Afhængig variabel ID]]),INDEX(DataTitel_liste,1))</f>
        <v>Eksempel 1 (interval)</v>
      </c>
      <c r="G78" s="188" t="str" cm="1">
        <f t="array" ref="G78">IF(LineærRegression_Valg[[#This Row],[Indenfor range]],IF(LineærRegression_Valg[[#This Row],[Intet overlap]],INDEX(DataTitel_liste,LineærRegression_Valg[[#This Row],[Uafhængig variabel ID]]),INDEX(DataTitel_liste,IF(LineærRegression_Valg[[#This Row],[Afhængig variabel ID]]=1,2,1))),$B$7)</f>
        <v>Eksempel 2 (interval)</v>
      </c>
      <c r="H78" s="188">
        <f>_xlfn.AGGREGATE(2,5,LineærRegression_Valg[[#This Row],[Tabel ID]])</f>
        <v>1</v>
      </c>
    </row>
    <row r="79" spans="1:8" x14ac:dyDescent="0.2">
      <c r="A79">
        <f>ROW(LineærRegression_Valg[[#This Row],[Tabel ID]])-ROW(LineærRegression_Valg[[#Headers],[Tabel ID]])</f>
        <v>69</v>
      </c>
      <c r="B79" s="188">
        <f>ROUNDDOWN((LineærRegression_Valg[[#This Row],[Tabel ID]]-1)/$B$5,0)+1</f>
        <v>18</v>
      </c>
      <c r="C79" s="188">
        <f t="shared" si="1"/>
        <v>1</v>
      </c>
      <c r="D79" s="188" t="b">
        <f>LineærRegression_Valg[[#This Row],[Afhængig variabel ID]]&lt;&gt;LineærRegression_Valg[[#This Row],[Uafhængig variabel ID]]</f>
        <v>1</v>
      </c>
      <c r="E79" t="b">
        <f>LineærRegression_Valg[[#This Row],[Afhængig variabel ID]]&lt;=$B$5</f>
        <v>0</v>
      </c>
      <c r="F79" t="str" cm="1">
        <f t="array" ref="F79">IF(LineærRegression_Valg[[#This Row],[Indenfor range]],INDEX(DataTitel_liste,LineærRegression_Valg[[#This Row],[Afhængig variabel ID]]),INDEX(DataTitel_liste,1))</f>
        <v>Eksempel 1 (interval)</v>
      </c>
      <c r="G79" s="188" t="str" cm="1">
        <f t="array" ref="G79">IF(LineærRegression_Valg[[#This Row],[Indenfor range]],IF(LineærRegression_Valg[[#This Row],[Intet overlap]],INDEX(DataTitel_liste,LineærRegression_Valg[[#This Row],[Uafhængig variabel ID]]),INDEX(DataTitel_liste,IF(LineærRegression_Valg[[#This Row],[Afhængig variabel ID]]=1,2,1))),$B$7)</f>
        <v>Eksempel 2 (interval)</v>
      </c>
      <c r="H79" s="188">
        <f>_xlfn.AGGREGATE(2,5,LineærRegression_Valg[[#This Row],[Tabel ID]])</f>
        <v>1</v>
      </c>
    </row>
    <row r="80" spans="1:8" x14ac:dyDescent="0.2">
      <c r="A80">
        <f>ROW(LineærRegression_Valg[[#This Row],[Tabel ID]])-ROW(LineærRegression_Valg[[#Headers],[Tabel ID]])</f>
        <v>70</v>
      </c>
      <c r="B80" s="188">
        <f>ROUNDDOWN((LineærRegression_Valg[[#This Row],[Tabel ID]]-1)/$B$5,0)+1</f>
        <v>18</v>
      </c>
      <c r="C80" s="188">
        <f t="shared" si="1"/>
        <v>2</v>
      </c>
      <c r="D80" s="188" t="b">
        <f>LineærRegression_Valg[[#This Row],[Afhængig variabel ID]]&lt;&gt;LineærRegression_Valg[[#This Row],[Uafhængig variabel ID]]</f>
        <v>1</v>
      </c>
      <c r="E80" t="b">
        <f>LineærRegression_Valg[[#This Row],[Afhængig variabel ID]]&lt;=$B$5</f>
        <v>0</v>
      </c>
      <c r="F80" t="str" cm="1">
        <f t="array" ref="F80">IF(LineærRegression_Valg[[#This Row],[Indenfor range]],INDEX(DataTitel_liste,LineærRegression_Valg[[#This Row],[Afhængig variabel ID]]),INDEX(DataTitel_liste,1))</f>
        <v>Eksempel 1 (interval)</v>
      </c>
      <c r="G80" s="188" t="str" cm="1">
        <f t="array" ref="G80">IF(LineærRegression_Valg[[#This Row],[Indenfor range]],IF(LineærRegression_Valg[[#This Row],[Intet overlap]],INDEX(DataTitel_liste,LineærRegression_Valg[[#This Row],[Uafhængig variabel ID]]),INDEX(DataTitel_liste,IF(LineærRegression_Valg[[#This Row],[Afhængig variabel ID]]=1,2,1))),$B$7)</f>
        <v>Eksempel 2 (interval)</v>
      </c>
      <c r="H80" s="188">
        <f>_xlfn.AGGREGATE(2,5,LineærRegression_Valg[[#This Row],[Tabel ID]])</f>
        <v>1</v>
      </c>
    </row>
    <row r="81" spans="1:8" x14ac:dyDescent="0.2">
      <c r="A81">
        <f>ROW(LineærRegression_Valg[[#This Row],[Tabel ID]])-ROW(LineærRegression_Valg[[#Headers],[Tabel ID]])</f>
        <v>71</v>
      </c>
      <c r="B81" s="188">
        <f>ROUNDDOWN((LineærRegression_Valg[[#This Row],[Tabel ID]]-1)/$B$5,0)+1</f>
        <v>18</v>
      </c>
      <c r="C81" s="188">
        <f t="shared" si="1"/>
        <v>3</v>
      </c>
      <c r="D81" s="188" t="b">
        <f>LineærRegression_Valg[[#This Row],[Afhængig variabel ID]]&lt;&gt;LineærRegression_Valg[[#This Row],[Uafhængig variabel ID]]</f>
        <v>1</v>
      </c>
      <c r="E81" t="b">
        <f>LineærRegression_Valg[[#This Row],[Afhængig variabel ID]]&lt;=$B$5</f>
        <v>0</v>
      </c>
      <c r="F81" t="str" cm="1">
        <f t="array" ref="F81">IF(LineærRegression_Valg[[#This Row],[Indenfor range]],INDEX(DataTitel_liste,LineærRegression_Valg[[#This Row],[Afhængig variabel ID]]),INDEX(DataTitel_liste,1))</f>
        <v>Eksempel 1 (interval)</v>
      </c>
      <c r="G81" s="188" t="str" cm="1">
        <f t="array" ref="G81">IF(LineærRegression_Valg[[#This Row],[Indenfor range]],IF(LineærRegression_Valg[[#This Row],[Intet overlap]],INDEX(DataTitel_liste,LineærRegression_Valg[[#This Row],[Uafhængig variabel ID]]),INDEX(DataTitel_liste,IF(LineærRegression_Valg[[#This Row],[Afhængig variabel ID]]=1,2,1))),$B$7)</f>
        <v>Eksempel 2 (interval)</v>
      </c>
      <c r="H81" s="188">
        <f>_xlfn.AGGREGATE(2,5,LineærRegression_Valg[[#This Row],[Tabel ID]])</f>
        <v>1</v>
      </c>
    </row>
    <row r="82" spans="1:8" x14ac:dyDescent="0.2">
      <c r="A82">
        <f>ROW(LineærRegression_Valg[[#This Row],[Tabel ID]])-ROW(LineærRegression_Valg[[#Headers],[Tabel ID]])</f>
        <v>72</v>
      </c>
      <c r="B82" s="188">
        <f>ROUNDDOWN((LineærRegression_Valg[[#This Row],[Tabel ID]]-1)/$B$5,0)+1</f>
        <v>18</v>
      </c>
      <c r="C82" s="188">
        <f t="shared" si="1"/>
        <v>4</v>
      </c>
      <c r="D82" s="188" t="b">
        <f>LineærRegression_Valg[[#This Row],[Afhængig variabel ID]]&lt;&gt;LineærRegression_Valg[[#This Row],[Uafhængig variabel ID]]</f>
        <v>1</v>
      </c>
      <c r="E82" t="b">
        <f>LineærRegression_Valg[[#This Row],[Afhængig variabel ID]]&lt;=$B$5</f>
        <v>0</v>
      </c>
      <c r="F82" t="str" cm="1">
        <f t="array" ref="F82">IF(LineærRegression_Valg[[#This Row],[Indenfor range]],INDEX(DataTitel_liste,LineærRegression_Valg[[#This Row],[Afhængig variabel ID]]),INDEX(DataTitel_liste,1))</f>
        <v>Eksempel 1 (interval)</v>
      </c>
      <c r="G82" s="188" t="str" cm="1">
        <f t="array" ref="G82">IF(LineærRegression_Valg[[#This Row],[Indenfor range]],IF(LineærRegression_Valg[[#This Row],[Intet overlap]],INDEX(DataTitel_liste,LineærRegression_Valg[[#This Row],[Uafhængig variabel ID]]),INDEX(DataTitel_liste,IF(LineærRegression_Valg[[#This Row],[Afhængig variabel ID]]=1,2,1))),$B$7)</f>
        <v>Eksempel 2 (interval)</v>
      </c>
      <c r="H82" s="188">
        <f>_xlfn.AGGREGATE(2,5,LineærRegression_Valg[[#This Row],[Tabel ID]])</f>
        <v>1</v>
      </c>
    </row>
    <row r="83" spans="1:8" x14ac:dyDescent="0.2">
      <c r="A83">
        <f>ROW(LineærRegression_Valg[[#This Row],[Tabel ID]])-ROW(LineærRegression_Valg[[#Headers],[Tabel ID]])</f>
        <v>73</v>
      </c>
      <c r="B83" s="188">
        <f>ROUNDDOWN((LineærRegression_Valg[[#This Row],[Tabel ID]]-1)/$B$5,0)+1</f>
        <v>19</v>
      </c>
      <c r="C83" s="188">
        <f t="shared" si="1"/>
        <v>1</v>
      </c>
      <c r="D83" s="188" t="b">
        <f>LineærRegression_Valg[[#This Row],[Afhængig variabel ID]]&lt;&gt;LineærRegression_Valg[[#This Row],[Uafhængig variabel ID]]</f>
        <v>1</v>
      </c>
      <c r="E83" t="b">
        <f>LineærRegression_Valg[[#This Row],[Afhængig variabel ID]]&lt;=$B$5</f>
        <v>0</v>
      </c>
      <c r="F83" t="str" cm="1">
        <f t="array" ref="F83">IF(LineærRegression_Valg[[#This Row],[Indenfor range]],INDEX(DataTitel_liste,LineærRegression_Valg[[#This Row],[Afhængig variabel ID]]),INDEX(DataTitel_liste,1))</f>
        <v>Eksempel 1 (interval)</v>
      </c>
      <c r="G83" s="188" t="str" cm="1">
        <f t="array" ref="G83">IF(LineærRegression_Valg[[#This Row],[Indenfor range]],IF(LineærRegression_Valg[[#This Row],[Intet overlap]],INDEX(DataTitel_liste,LineærRegression_Valg[[#This Row],[Uafhængig variabel ID]]),INDEX(DataTitel_liste,IF(LineærRegression_Valg[[#This Row],[Afhængig variabel ID]]=1,2,1))),$B$7)</f>
        <v>Eksempel 2 (interval)</v>
      </c>
      <c r="H83" s="188">
        <f>_xlfn.AGGREGATE(2,5,LineærRegression_Valg[[#This Row],[Tabel ID]])</f>
        <v>1</v>
      </c>
    </row>
    <row r="84" spans="1:8" x14ac:dyDescent="0.2">
      <c r="A84">
        <f>ROW(LineærRegression_Valg[[#This Row],[Tabel ID]])-ROW(LineærRegression_Valg[[#Headers],[Tabel ID]])</f>
        <v>74</v>
      </c>
      <c r="B84" s="188">
        <f>ROUNDDOWN((LineærRegression_Valg[[#This Row],[Tabel ID]]-1)/$B$5,0)+1</f>
        <v>19</v>
      </c>
      <c r="C84" s="188">
        <f t="shared" si="1"/>
        <v>2</v>
      </c>
      <c r="D84" s="188" t="b">
        <f>LineærRegression_Valg[[#This Row],[Afhængig variabel ID]]&lt;&gt;LineærRegression_Valg[[#This Row],[Uafhængig variabel ID]]</f>
        <v>1</v>
      </c>
      <c r="E84" t="b">
        <f>LineærRegression_Valg[[#This Row],[Afhængig variabel ID]]&lt;=$B$5</f>
        <v>0</v>
      </c>
      <c r="F84" t="str" cm="1">
        <f t="array" ref="F84">IF(LineærRegression_Valg[[#This Row],[Indenfor range]],INDEX(DataTitel_liste,LineærRegression_Valg[[#This Row],[Afhængig variabel ID]]),INDEX(DataTitel_liste,1))</f>
        <v>Eksempel 1 (interval)</v>
      </c>
      <c r="G84" s="188" t="str" cm="1">
        <f t="array" ref="G84">IF(LineærRegression_Valg[[#This Row],[Indenfor range]],IF(LineærRegression_Valg[[#This Row],[Intet overlap]],INDEX(DataTitel_liste,LineærRegression_Valg[[#This Row],[Uafhængig variabel ID]]),INDEX(DataTitel_liste,IF(LineærRegression_Valg[[#This Row],[Afhængig variabel ID]]=1,2,1))),$B$7)</f>
        <v>Eksempel 2 (interval)</v>
      </c>
      <c r="H84" s="188">
        <f>_xlfn.AGGREGATE(2,5,LineærRegression_Valg[[#This Row],[Tabel ID]])</f>
        <v>1</v>
      </c>
    </row>
    <row r="85" spans="1:8" x14ac:dyDescent="0.2">
      <c r="A85">
        <f>ROW(LineærRegression_Valg[[#This Row],[Tabel ID]])-ROW(LineærRegression_Valg[[#Headers],[Tabel ID]])</f>
        <v>75</v>
      </c>
      <c r="B85" s="188">
        <f>ROUNDDOWN((LineærRegression_Valg[[#This Row],[Tabel ID]]-1)/$B$5,0)+1</f>
        <v>19</v>
      </c>
      <c r="C85" s="188">
        <f t="shared" si="1"/>
        <v>3</v>
      </c>
      <c r="D85" s="188" t="b">
        <f>LineærRegression_Valg[[#This Row],[Afhængig variabel ID]]&lt;&gt;LineærRegression_Valg[[#This Row],[Uafhængig variabel ID]]</f>
        <v>1</v>
      </c>
      <c r="E85" t="b">
        <f>LineærRegression_Valg[[#This Row],[Afhængig variabel ID]]&lt;=$B$5</f>
        <v>0</v>
      </c>
      <c r="F85" t="str" cm="1">
        <f t="array" ref="F85">IF(LineærRegression_Valg[[#This Row],[Indenfor range]],INDEX(DataTitel_liste,LineærRegression_Valg[[#This Row],[Afhængig variabel ID]]),INDEX(DataTitel_liste,1))</f>
        <v>Eksempel 1 (interval)</v>
      </c>
      <c r="G85" s="188" t="str" cm="1">
        <f t="array" ref="G85">IF(LineærRegression_Valg[[#This Row],[Indenfor range]],IF(LineærRegression_Valg[[#This Row],[Intet overlap]],INDEX(DataTitel_liste,LineærRegression_Valg[[#This Row],[Uafhængig variabel ID]]),INDEX(DataTitel_liste,IF(LineærRegression_Valg[[#This Row],[Afhængig variabel ID]]=1,2,1))),$B$7)</f>
        <v>Eksempel 2 (interval)</v>
      </c>
      <c r="H85" s="188">
        <f>_xlfn.AGGREGATE(2,5,LineærRegression_Valg[[#This Row],[Tabel ID]])</f>
        <v>1</v>
      </c>
    </row>
    <row r="86" spans="1:8" x14ac:dyDescent="0.2">
      <c r="A86">
        <f>ROW(LineærRegression_Valg[[#This Row],[Tabel ID]])-ROW(LineærRegression_Valg[[#Headers],[Tabel ID]])</f>
        <v>76</v>
      </c>
      <c r="B86" s="188">
        <f>ROUNDDOWN((LineærRegression_Valg[[#This Row],[Tabel ID]]-1)/$B$5,0)+1</f>
        <v>19</v>
      </c>
      <c r="C86" s="188">
        <f t="shared" si="1"/>
        <v>4</v>
      </c>
      <c r="D86" s="188" t="b">
        <f>LineærRegression_Valg[[#This Row],[Afhængig variabel ID]]&lt;&gt;LineærRegression_Valg[[#This Row],[Uafhængig variabel ID]]</f>
        <v>1</v>
      </c>
      <c r="E86" t="b">
        <f>LineærRegression_Valg[[#This Row],[Afhængig variabel ID]]&lt;=$B$5</f>
        <v>0</v>
      </c>
      <c r="F86" t="str" cm="1">
        <f t="array" ref="F86">IF(LineærRegression_Valg[[#This Row],[Indenfor range]],INDEX(DataTitel_liste,LineærRegression_Valg[[#This Row],[Afhængig variabel ID]]),INDEX(DataTitel_liste,1))</f>
        <v>Eksempel 1 (interval)</v>
      </c>
      <c r="G86" s="188" t="str" cm="1">
        <f t="array" ref="G86">IF(LineærRegression_Valg[[#This Row],[Indenfor range]],IF(LineærRegression_Valg[[#This Row],[Intet overlap]],INDEX(DataTitel_liste,LineærRegression_Valg[[#This Row],[Uafhængig variabel ID]]),INDEX(DataTitel_liste,IF(LineærRegression_Valg[[#This Row],[Afhængig variabel ID]]=1,2,1))),$B$7)</f>
        <v>Eksempel 2 (interval)</v>
      </c>
      <c r="H86" s="188">
        <f>_xlfn.AGGREGATE(2,5,LineærRegression_Valg[[#This Row],[Tabel ID]])</f>
        <v>1</v>
      </c>
    </row>
    <row r="87" spans="1:8" x14ac:dyDescent="0.2">
      <c r="A87">
        <f>ROW(LineærRegression_Valg[[#This Row],[Tabel ID]])-ROW(LineærRegression_Valg[[#Headers],[Tabel ID]])</f>
        <v>77</v>
      </c>
      <c r="B87" s="188">
        <f>ROUNDDOWN((LineærRegression_Valg[[#This Row],[Tabel ID]]-1)/$B$5,0)+1</f>
        <v>20</v>
      </c>
      <c r="C87" s="188">
        <f t="shared" si="1"/>
        <v>1</v>
      </c>
      <c r="D87" s="188" t="b">
        <f>LineærRegression_Valg[[#This Row],[Afhængig variabel ID]]&lt;&gt;LineærRegression_Valg[[#This Row],[Uafhængig variabel ID]]</f>
        <v>1</v>
      </c>
      <c r="E87" t="b">
        <f>LineærRegression_Valg[[#This Row],[Afhængig variabel ID]]&lt;=$B$5</f>
        <v>0</v>
      </c>
      <c r="F87" t="str" cm="1">
        <f t="array" ref="F87">IF(LineærRegression_Valg[[#This Row],[Indenfor range]],INDEX(DataTitel_liste,LineærRegression_Valg[[#This Row],[Afhængig variabel ID]]),INDEX(DataTitel_liste,1))</f>
        <v>Eksempel 1 (interval)</v>
      </c>
      <c r="G87" s="188" t="str" cm="1">
        <f t="array" ref="G87">IF(LineærRegression_Valg[[#This Row],[Indenfor range]],IF(LineærRegression_Valg[[#This Row],[Intet overlap]],INDEX(DataTitel_liste,LineærRegression_Valg[[#This Row],[Uafhængig variabel ID]]),INDEX(DataTitel_liste,IF(LineærRegression_Valg[[#This Row],[Afhængig variabel ID]]=1,2,1))),$B$7)</f>
        <v>Eksempel 2 (interval)</v>
      </c>
      <c r="H87" s="188">
        <f>_xlfn.AGGREGATE(2,5,LineærRegression_Valg[[#This Row],[Tabel ID]])</f>
        <v>1</v>
      </c>
    </row>
    <row r="88" spans="1:8" x14ac:dyDescent="0.2">
      <c r="A88">
        <f>ROW(LineærRegression_Valg[[#This Row],[Tabel ID]])-ROW(LineærRegression_Valg[[#Headers],[Tabel ID]])</f>
        <v>78</v>
      </c>
      <c r="B88" s="188">
        <f>ROUNDDOWN((LineærRegression_Valg[[#This Row],[Tabel ID]]-1)/$B$5,0)+1</f>
        <v>20</v>
      </c>
      <c r="C88" s="188">
        <f t="shared" si="1"/>
        <v>2</v>
      </c>
      <c r="D88" s="188" t="b">
        <f>LineærRegression_Valg[[#This Row],[Afhængig variabel ID]]&lt;&gt;LineærRegression_Valg[[#This Row],[Uafhængig variabel ID]]</f>
        <v>1</v>
      </c>
      <c r="E88" t="b">
        <f>LineærRegression_Valg[[#This Row],[Afhængig variabel ID]]&lt;=$B$5</f>
        <v>0</v>
      </c>
      <c r="F88" t="str" cm="1">
        <f t="array" ref="F88">IF(LineærRegression_Valg[[#This Row],[Indenfor range]],INDEX(DataTitel_liste,LineærRegression_Valg[[#This Row],[Afhængig variabel ID]]),INDEX(DataTitel_liste,1))</f>
        <v>Eksempel 1 (interval)</v>
      </c>
      <c r="G88" s="188" t="str" cm="1">
        <f t="array" ref="G88">IF(LineærRegression_Valg[[#This Row],[Indenfor range]],IF(LineærRegression_Valg[[#This Row],[Intet overlap]],INDEX(DataTitel_liste,LineærRegression_Valg[[#This Row],[Uafhængig variabel ID]]),INDEX(DataTitel_liste,IF(LineærRegression_Valg[[#This Row],[Afhængig variabel ID]]=1,2,1))),$B$7)</f>
        <v>Eksempel 2 (interval)</v>
      </c>
      <c r="H88" s="188">
        <f>_xlfn.AGGREGATE(2,5,LineærRegression_Valg[[#This Row],[Tabel ID]])</f>
        <v>1</v>
      </c>
    </row>
    <row r="89" spans="1:8" x14ac:dyDescent="0.2">
      <c r="A89">
        <f>ROW(LineærRegression_Valg[[#This Row],[Tabel ID]])-ROW(LineærRegression_Valg[[#Headers],[Tabel ID]])</f>
        <v>79</v>
      </c>
      <c r="B89" s="188">
        <f>ROUNDDOWN((LineærRegression_Valg[[#This Row],[Tabel ID]]-1)/$B$5,0)+1</f>
        <v>20</v>
      </c>
      <c r="C89" s="188">
        <f t="shared" si="1"/>
        <v>3</v>
      </c>
      <c r="D89" s="188" t="b">
        <f>LineærRegression_Valg[[#This Row],[Afhængig variabel ID]]&lt;&gt;LineærRegression_Valg[[#This Row],[Uafhængig variabel ID]]</f>
        <v>1</v>
      </c>
      <c r="E89" t="b">
        <f>LineærRegression_Valg[[#This Row],[Afhængig variabel ID]]&lt;=$B$5</f>
        <v>0</v>
      </c>
      <c r="F89" t="str" cm="1">
        <f t="array" ref="F89">IF(LineærRegression_Valg[[#This Row],[Indenfor range]],INDEX(DataTitel_liste,LineærRegression_Valg[[#This Row],[Afhængig variabel ID]]),INDEX(DataTitel_liste,1))</f>
        <v>Eksempel 1 (interval)</v>
      </c>
      <c r="G89" s="188" t="str" cm="1">
        <f t="array" ref="G89">IF(LineærRegression_Valg[[#This Row],[Indenfor range]],IF(LineærRegression_Valg[[#This Row],[Intet overlap]],INDEX(DataTitel_liste,LineærRegression_Valg[[#This Row],[Uafhængig variabel ID]]),INDEX(DataTitel_liste,IF(LineærRegression_Valg[[#This Row],[Afhængig variabel ID]]=1,2,1))),$B$7)</f>
        <v>Eksempel 2 (interval)</v>
      </c>
      <c r="H89" s="188">
        <f>_xlfn.AGGREGATE(2,5,LineærRegression_Valg[[#This Row],[Tabel ID]])</f>
        <v>1</v>
      </c>
    </row>
    <row r="90" spans="1:8" x14ac:dyDescent="0.2">
      <c r="A90">
        <f>ROW(LineærRegression_Valg[[#This Row],[Tabel ID]])-ROW(LineærRegression_Valg[[#Headers],[Tabel ID]])</f>
        <v>80</v>
      </c>
      <c r="B90" s="188">
        <f>ROUNDDOWN((LineærRegression_Valg[[#This Row],[Tabel ID]]-1)/$B$5,0)+1</f>
        <v>20</v>
      </c>
      <c r="C90" s="188">
        <f t="shared" si="1"/>
        <v>4</v>
      </c>
      <c r="D90" s="188" t="b">
        <f>LineærRegression_Valg[[#This Row],[Afhængig variabel ID]]&lt;&gt;LineærRegression_Valg[[#This Row],[Uafhængig variabel ID]]</f>
        <v>1</v>
      </c>
      <c r="E90" t="b">
        <f>LineærRegression_Valg[[#This Row],[Afhængig variabel ID]]&lt;=$B$5</f>
        <v>0</v>
      </c>
      <c r="F90" t="str" cm="1">
        <f t="array" ref="F90">IF(LineærRegression_Valg[[#This Row],[Indenfor range]],INDEX(DataTitel_liste,LineærRegression_Valg[[#This Row],[Afhængig variabel ID]]),INDEX(DataTitel_liste,1))</f>
        <v>Eksempel 1 (interval)</v>
      </c>
      <c r="G90" s="188" t="str" cm="1">
        <f t="array" ref="G90">IF(LineærRegression_Valg[[#This Row],[Indenfor range]],IF(LineærRegression_Valg[[#This Row],[Intet overlap]],INDEX(DataTitel_liste,LineærRegression_Valg[[#This Row],[Uafhængig variabel ID]]),INDEX(DataTitel_liste,IF(LineærRegression_Valg[[#This Row],[Afhængig variabel ID]]=1,2,1))),$B$7)</f>
        <v>Eksempel 2 (interval)</v>
      </c>
      <c r="H90" s="188">
        <f>_xlfn.AGGREGATE(2,5,LineærRegression_Valg[[#This Row],[Tabel ID]])</f>
        <v>1</v>
      </c>
    </row>
    <row r="91" spans="1:8" x14ac:dyDescent="0.2">
      <c r="A91">
        <f>ROW(LineærRegression_Valg[[#This Row],[Tabel ID]])-ROW(LineærRegression_Valg[[#Headers],[Tabel ID]])</f>
        <v>81</v>
      </c>
      <c r="B91" s="188">
        <f>ROUNDDOWN((LineærRegression_Valg[[#This Row],[Tabel ID]]-1)/$B$5,0)+1</f>
        <v>21</v>
      </c>
      <c r="C91" s="188">
        <f t="shared" si="1"/>
        <v>1</v>
      </c>
      <c r="D91" s="188" t="b">
        <f>LineærRegression_Valg[[#This Row],[Afhængig variabel ID]]&lt;&gt;LineærRegression_Valg[[#This Row],[Uafhængig variabel ID]]</f>
        <v>1</v>
      </c>
      <c r="E91" t="b">
        <f>LineærRegression_Valg[[#This Row],[Afhængig variabel ID]]&lt;=$B$5</f>
        <v>0</v>
      </c>
      <c r="F91" t="str" cm="1">
        <f t="array" ref="F91">IF(LineærRegression_Valg[[#This Row],[Indenfor range]],INDEX(DataTitel_liste,LineærRegression_Valg[[#This Row],[Afhængig variabel ID]]),INDEX(DataTitel_liste,1))</f>
        <v>Eksempel 1 (interval)</v>
      </c>
      <c r="G91" s="188" t="str" cm="1">
        <f t="array" ref="G91">IF(LineærRegression_Valg[[#This Row],[Indenfor range]],IF(LineærRegression_Valg[[#This Row],[Intet overlap]],INDEX(DataTitel_liste,LineærRegression_Valg[[#This Row],[Uafhængig variabel ID]]),INDEX(DataTitel_liste,IF(LineærRegression_Valg[[#This Row],[Afhængig variabel ID]]=1,2,1))),$B$7)</f>
        <v>Eksempel 2 (interval)</v>
      </c>
      <c r="H91" s="188">
        <f>_xlfn.AGGREGATE(2,5,LineærRegression_Valg[[#This Row],[Tabel ID]])</f>
        <v>1</v>
      </c>
    </row>
    <row r="92" spans="1:8" x14ac:dyDescent="0.2">
      <c r="A92">
        <f>ROW(LineærRegression_Valg[[#This Row],[Tabel ID]])-ROW(LineærRegression_Valg[[#Headers],[Tabel ID]])</f>
        <v>82</v>
      </c>
      <c r="B92" s="188">
        <f>ROUNDDOWN((LineærRegression_Valg[[#This Row],[Tabel ID]]-1)/$B$5,0)+1</f>
        <v>21</v>
      </c>
      <c r="C92" s="188">
        <f t="shared" si="1"/>
        <v>2</v>
      </c>
      <c r="D92" s="188" t="b">
        <f>LineærRegression_Valg[[#This Row],[Afhængig variabel ID]]&lt;&gt;LineærRegression_Valg[[#This Row],[Uafhængig variabel ID]]</f>
        <v>1</v>
      </c>
      <c r="E92" t="b">
        <f>LineærRegression_Valg[[#This Row],[Afhængig variabel ID]]&lt;=$B$5</f>
        <v>0</v>
      </c>
      <c r="F92" t="str" cm="1">
        <f t="array" ref="F92">IF(LineærRegression_Valg[[#This Row],[Indenfor range]],INDEX(DataTitel_liste,LineærRegression_Valg[[#This Row],[Afhængig variabel ID]]),INDEX(DataTitel_liste,1))</f>
        <v>Eksempel 1 (interval)</v>
      </c>
      <c r="G92" s="188" t="str" cm="1">
        <f t="array" ref="G92">IF(LineærRegression_Valg[[#This Row],[Indenfor range]],IF(LineærRegression_Valg[[#This Row],[Intet overlap]],INDEX(DataTitel_liste,LineærRegression_Valg[[#This Row],[Uafhængig variabel ID]]),INDEX(DataTitel_liste,IF(LineærRegression_Valg[[#This Row],[Afhængig variabel ID]]=1,2,1))),$B$7)</f>
        <v>Eksempel 2 (interval)</v>
      </c>
      <c r="H92" s="188">
        <f>_xlfn.AGGREGATE(2,5,LineærRegression_Valg[[#This Row],[Tabel ID]])</f>
        <v>1</v>
      </c>
    </row>
    <row r="93" spans="1:8" x14ac:dyDescent="0.2">
      <c r="A93">
        <f>ROW(LineærRegression_Valg[[#This Row],[Tabel ID]])-ROW(LineærRegression_Valg[[#Headers],[Tabel ID]])</f>
        <v>83</v>
      </c>
      <c r="B93" s="188">
        <f>ROUNDDOWN((LineærRegression_Valg[[#This Row],[Tabel ID]]-1)/$B$5,0)+1</f>
        <v>21</v>
      </c>
      <c r="C93" s="188">
        <f t="shared" si="1"/>
        <v>3</v>
      </c>
      <c r="D93" s="188" t="b">
        <f>LineærRegression_Valg[[#This Row],[Afhængig variabel ID]]&lt;&gt;LineærRegression_Valg[[#This Row],[Uafhængig variabel ID]]</f>
        <v>1</v>
      </c>
      <c r="E93" t="b">
        <f>LineærRegression_Valg[[#This Row],[Afhængig variabel ID]]&lt;=$B$5</f>
        <v>0</v>
      </c>
      <c r="F93" t="str" cm="1">
        <f t="array" ref="F93">IF(LineærRegression_Valg[[#This Row],[Indenfor range]],INDEX(DataTitel_liste,LineærRegression_Valg[[#This Row],[Afhængig variabel ID]]),INDEX(DataTitel_liste,1))</f>
        <v>Eksempel 1 (interval)</v>
      </c>
      <c r="G93" s="188" t="str" cm="1">
        <f t="array" ref="G93">IF(LineærRegression_Valg[[#This Row],[Indenfor range]],IF(LineærRegression_Valg[[#This Row],[Intet overlap]],INDEX(DataTitel_liste,LineærRegression_Valg[[#This Row],[Uafhængig variabel ID]]),INDEX(DataTitel_liste,IF(LineærRegression_Valg[[#This Row],[Afhængig variabel ID]]=1,2,1))),$B$7)</f>
        <v>Eksempel 2 (interval)</v>
      </c>
      <c r="H93" s="188">
        <f>_xlfn.AGGREGATE(2,5,LineærRegression_Valg[[#This Row],[Tabel ID]])</f>
        <v>1</v>
      </c>
    </row>
    <row r="94" spans="1:8" x14ac:dyDescent="0.2">
      <c r="A94">
        <f>ROW(LineærRegression_Valg[[#This Row],[Tabel ID]])-ROW(LineærRegression_Valg[[#Headers],[Tabel ID]])</f>
        <v>84</v>
      </c>
      <c r="B94" s="188">
        <f>ROUNDDOWN((LineærRegression_Valg[[#This Row],[Tabel ID]]-1)/$B$5,0)+1</f>
        <v>21</v>
      </c>
      <c r="C94" s="188">
        <f t="shared" si="1"/>
        <v>4</v>
      </c>
      <c r="D94" s="188" t="b">
        <f>LineærRegression_Valg[[#This Row],[Afhængig variabel ID]]&lt;&gt;LineærRegression_Valg[[#This Row],[Uafhængig variabel ID]]</f>
        <v>1</v>
      </c>
      <c r="E94" t="b">
        <f>LineærRegression_Valg[[#This Row],[Afhængig variabel ID]]&lt;=$B$5</f>
        <v>0</v>
      </c>
      <c r="F94" t="str" cm="1">
        <f t="array" ref="F94">IF(LineærRegression_Valg[[#This Row],[Indenfor range]],INDEX(DataTitel_liste,LineærRegression_Valg[[#This Row],[Afhængig variabel ID]]),INDEX(DataTitel_liste,1))</f>
        <v>Eksempel 1 (interval)</v>
      </c>
      <c r="G94" s="188" t="str" cm="1">
        <f t="array" ref="G94">IF(LineærRegression_Valg[[#This Row],[Indenfor range]],IF(LineærRegression_Valg[[#This Row],[Intet overlap]],INDEX(DataTitel_liste,LineærRegression_Valg[[#This Row],[Uafhængig variabel ID]]),INDEX(DataTitel_liste,IF(LineærRegression_Valg[[#This Row],[Afhængig variabel ID]]=1,2,1))),$B$7)</f>
        <v>Eksempel 2 (interval)</v>
      </c>
      <c r="H94" s="188">
        <f>_xlfn.AGGREGATE(2,5,LineærRegression_Valg[[#This Row],[Tabel ID]])</f>
        <v>1</v>
      </c>
    </row>
    <row r="95" spans="1:8" x14ac:dyDescent="0.2">
      <c r="A95">
        <f>ROW(LineærRegression_Valg[[#This Row],[Tabel ID]])-ROW(LineærRegression_Valg[[#Headers],[Tabel ID]])</f>
        <v>85</v>
      </c>
      <c r="B95" s="188">
        <f>ROUNDDOWN((LineærRegression_Valg[[#This Row],[Tabel ID]]-1)/$B$5,0)+1</f>
        <v>22</v>
      </c>
      <c r="C95" s="188">
        <f t="shared" si="1"/>
        <v>1</v>
      </c>
      <c r="D95" s="188" t="b">
        <f>LineærRegression_Valg[[#This Row],[Afhængig variabel ID]]&lt;&gt;LineærRegression_Valg[[#This Row],[Uafhængig variabel ID]]</f>
        <v>1</v>
      </c>
      <c r="E95" t="b">
        <f>LineærRegression_Valg[[#This Row],[Afhængig variabel ID]]&lt;=$B$5</f>
        <v>0</v>
      </c>
      <c r="F95" t="str" cm="1">
        <f t="array" ref="F95">IF(LineærRegression_Valg[[#This Row],[Indenfor range]],INDEX(DataTitel_liste,LineærRegression_Valg[[#This Row],[Afhængig variabel ID]]),INDEX(DataTitel_liste,1))</f>
        <v>Eksempel 1 (interval)</v>
      </c>
      <c r="G95" s="188" t="str" cm="1">
        <f t="array" ref="G95">IF(LineærRegression_Valg[[#This Row],[Indenfor range]],IF(LineærRegression_Valg[[#This Row],[Intet overlap]],INDEX(DataTitel_liste,LineærRegression_Valg[[#This Row],[Uafhængig variabel ID]]),INDEX(DataTitel_liste,IF(LineærRegression_Valg[[#This Row],[Afhængig variabel ID]]=1,2,1))),$B$7)</f>
        <v>Eksempel 2 (interval)</v>
      </c>
      <c r="H95" s="188">
        <f>_xlfn.AGGREGATE(2,5,LineærRegression_Valg[[#This Row],[Tabel ID]])</f>
        <v>1</v>
      </c>
    </row>
    <row r="96" spans="1:8" x14ac:dyDescent="0.2">
      <c r="A96">
        <f>ROW(LineærRegression_Valg[[#This Row],[Tabel ID]])-ROW(LineærRegression_Valg[[#Headers],[Tabel ID]])</f>
        <v>86</v>
      </c>
      <c r="B96" s="188">
        <f>ROUNDDOWN((LineærRegression_Valg[[#This Row],[Tabel ID]]-1)/$B$5,0)+1</f>
        <v>22</v>
      </c>
      <c r="C96" s="188">
        <f t="shared" si="1"/>
        <v>2</v>
      </c>
      <c r="D96" s="188" t="b">
        <f>LineærRegression_Valg[[#This Row],[Afhængig variabel ID]]&lt;&gt;LineærRegression_Valg[[#This Row],[Uafhængig variabel ID]]</f>
        <v>1</v>
      </c>
      <c r="E96" t="b">
        <f>LineærRegression_Valg[[#This Row],[Afhængig variabel ID]]&lt;=$B$5</f>
        <v>0</v>
      </c>
      <c r="F96" t="str" cm="1">
        <f t="array" ref="F96">IF(LineærRegression_Valg[[#This Row],[Indenfor range]],INDEX(DataTitel_liste,LineærRegression_Valg[[#This Row],[Afhængig variabel ID]]),INDEX(DataTitel_liste,1))</f>
        <v>Eksempel 1 (interval)</v>
      </c>
      <c r="G96" s="188" t="str" cm="1">
        <f t="array" ref="G96">IF(LineærRegression_Valg[[#This Row],[Indenfor range]],IF(LineærRegression_Valg[[#This Row],[Intet overlap]],INDEX(DataTitel_liste,LineærRegression_Valg[[#This Row],[Uafhængig variabel ID]]),INDEX(DataTitel_liste,IF(LineærRegression_Valg[[#This Row],[Afhængig variabel ID]]=1,2,1))),$B$7)</f>
        <v>Eksempel 2 (interval)</v>
      </c>
      <c r="H96" s="188">
        <f>_xlfn.AGGREGATE(2,5,LineærRegression_Valg[[#This Row],[Tabel ID]])</f>
        <v>1</v>
      </c>
    </row>
    <row r="97" spans="1:8" x14ac:dyDescent="0.2">
      <c r="A97">
        <f>ROW(LineærRegression_Valg[[#This Row],[Tabel ID]])-ROW(LineærRegression_Valg[[#Headers],[Tabel ID]])</f>
        <v>87</v>
      </c>
      <c r="B97" s="188">
        <f>ROUNDDOWN((LineærRegression_Valg[[#This Row],[Tabel ID]]-1)/$B$5,0)+1</f>
        <v>22</v>
      </c>
      <c r="C97" s="188">
        <f t="shared" si="1"/>
        <v>3</v>
      </c>
      <c r="D97" s="188" t="b">
        <f>LineærRegression_Valg[[#This Row],[Afhængig variabel ID]]&lt;&gt;LineærRegression_Valg[[#This Row],[Uafhængig variabel ID]]</f>
        <v>1</v>
      </c>
      <c r="E97" t="b">
        <f>LineærRegression_Valg[[#This Row],[Afhængig variabel ID]]&lt;=$B$5</f>
        <v>0</v>
      </c>
      <c r="F97" t="str" cm="1">
        <f t="array" ref="F97">IF(LineærRegression_Valg[[#This Row],[Indenfor range]],INDEX(DataTitel_liste,LineærRegression_Valg[[#This Row],[Afhængig variabel ID]]),INDEX(DataTitel_liste,1))</f>
        <v>Eksempel 1 (interval)</v>
      </c>
      <c r="G97" s="188" t="str" cm="1">
        <f t="array" ref="G97">IF(LineærRegression_Valg[[#This Row],[Indenfor range]],IF(LineærRegression_Valg[[#This Row],[Intet overlap]],INDEX(DataTitel_liste,LineærRegression_Valg[[#This Row],[Uafhængig variabel ID]]),INDEX(DataTitel_liste,IF(LineærRegression_Valg[[#This Row],[Afhængig variabel ID]]=1,2,1))),$B$7)</f>
        <v>Eksempel 2 (interval)</v>
      </c>
      <c r="H97" s="188">
        <f>_xlfn.AGGREGATE(2,5,LineærRegression_Valg[[#This Row],[Tabel ID]])</f>
        <v>1</v>
      </c>
    </row>
    <row r="98" spans="1:8" x14ac:dyDescent="0.2">
      <c r="A98">
        <f>ROW(LineærRegression_Valg[[#This Row],[Tabel ID]])-ROW(LineærRegression_Valg[[#Headers],[Tabel ID]])</f>
        <v>88</v>
      </c>
      <c r="B98" s="188">
        <f>ROUNDDOWN((LineærRegression_Valg[[#This Row],[Tabel ID]]-1)/$B$5,0)+1</f>
        <v>22</v>
      </c>
      <c r="C98" s="188">
        <f t="shared" si="1"/>
        <v>4</v>
      </c>
      <c r="D98" s="188" t="b">
        <f>LineærRegression_Valg[[#This Row],[Afhængig variabel ID]]&lt;&gt;LineærRegression_Valg[[#This Row],[Uafhængig variabel ID]]</f>
        <v>1</v>
      </c>
      <c r="E98" t="b">
        <f>LineærRegression_Valg[[#This Row],[Afhængig variabel ID]]&lt;=$B$5</f>
        <v>0</v>
      </c>
      <c r="F98" t="str" cm="1">
        <f t="array" ref="F98">IF(LineærRegression_Valg[[#This Row],[Indenfor range]],INDEX(DataTitel_liste,LineærRegression_Valg[[#This Row],[Afhængig variabel ID]]),INDEX(DataTitel_liste,1))</f>
        <v>Eksempel 1 (interval)</v>
      </c>
      <c r="G98" s="188" t="str" cm="1">
        <f t="array" ref="G98">IF(LineærRegression_Valg[[#This Row],[Indenfor range]],IF(LineærRegression_Valg[[#This Row],[Intet overlap]],INDEX(DataTitel_liste,LineærRegression_Valg[[#This Row],[Uafhængig variabel ID]]),INDEX(DataTitel_liste,IF(LineærRegression_Valg[[#This Row],[Afhængig variabel ID]]=1,2,1))),$B$7)</f>
        <v>Eksempel 2 (interval)</v>
      </c>
      <c r="H98" s="188">
        <f>_xlfn.AGGREGATE(2,5,LineærRegression_Valg[[#This Row],[Tabel ID]])</f>
        <v>1</v>
      </c>
    </row>
    <row r="99" spans="1:8" x14ac:dyDescent="0.2">
      <c r="A99">
        <f>ROW(LineærRegression_Valg[[#This Row],[Tabel ID]])-ROW(LineærRegression_Valg[[#Headers],[Tabel ID]])</f>
        <v>89</v>
      </c>
      <c r="B99" s="188">
        <f>ROUNDDOWN((LineærRegression_Valg[[#This Row],[Tabel ID]]-1)/$B$5,0)+1</f>
        <v>23</v>
      </c>
      <c r="C99" s="188">
        <f t="shared" si="1"/>
        <v>1</v>
      </c>
      <c r="D99" s="188" t="b">
        <f>LineærRegression_Valg[[#This Row],[Afhængig variabel ID]]&lt;&gt;LineærRegression_Valg[[#This Row],[Uafhængig variabel ID]]</f>
        <v>1</v>
      </c>
      <c r="E99" t="b">
        <f>LineærRegression_Valg[[#This Row],[Afhængig variabel ID]]&lt;=$B$5</f>
        <v>0</v>
      </c>
      <c r="F99" t="str" cm="1">
        <f t="array" ref="F99">IF(LineærRegression_Valg[[#This Row],[Indenfor range]],INDEX(DataTitel_liste,LineærRegression_Valg[[#This Row],[Afhængig variabel ID]]),INDEX(DataTitel_liste,1))</f>
        <v>Eksempel 1 (interval)</v>
      </c>
      <c r="G99" s="188" t="str" cm="1">
        <f t="array" ref="G99">IF(LineærRegression_Valg[[#This Row],[Indenfor range]],IF(LineærRegression_Valg[[#This Row],[Intet overlap]],INDEX(DataTitel_liste,LineærRegression_Valg[[#This Row],[Uafhængig variabel ID]]),INDEX(DataTitel_liste,IF(LineærRegression_Valg[[#This Row],[Afhængig variabel ID]]=1,2,1))),$B$7)</f>
        <v>Eksempel 2 (interval)</v>
      </c>
      <c r="H99" s="188">
        <f>_xlfn.AGGREGATE(2,5,LineærRegression_Valg[[#This Row],[Tabel ID]])</f>
        <v>1</v>
      </c>
    </row>
    <row r="100" spans="1:8" x14ac:dyDescent="0.2">
      <c r="A100">
        <f>ROW(LineærRegression_Valg[[#This Row],[Tabel ID]])-ROW(LineærRegression_Valg[[#Headers],[Tabel ID]])</f>
        <v>90</v>
      </c>
      <c r="B100" s="188">
        <f>ROUNDDOWN((LineærRegression_Valg[[#This Row],[Tabel ID]]-1)/$B$5,0)+1</f>
        <v>23</v>
      </c>
      <c r="C100" s="188">
        <f t="shared" si="1"/>
        <v>2</v>
      </c>
      <c r="D100" s="188" t="b">
        <f>LineærRegression_Valg[[#This Row],[Afhængig variabel ID]]&lt;&gt;LineærRegression_Valg[[#This Row],[Uafhængig variabel ID]]</f>
        <v>1</v>
      </c>
      <c r="E100" t="b">
        <f>LineærRegression_Valg[[#This Row],[Afhængig variabel ID]]&lt;=$B$5</f>
        <v>0</v>
      </c>
      <c r="F100" t="str" cm="1">
        <f t="array" ref="F100">IF(LineærRegression_Valg[[#This Row],[Indenfor range]],INDEX(DataTitel_liste,LineærRegression_Valg[[#This Row],[Afhængig variabel ID]]),INDEX(DataTitel_liste,1))</f>
        <v>Eksempel 1 (interval)</v>
      </c>
      <c r="G100" s="188" t="str" cm="1">
        <f t="array" ref="G100">IF(LineærRegression_Valg[[#This Row],[Indenfor range]],IF(LineærRegression_Valg[[#This Row],[Intet overlap]],INDEX(DataTitel_liste,LineærRegression_Valg[[#This Row],[Uafhængig variabel ID]]),INDEX(DataTitel_liste,IF(LineærRegression_Valg[[#This Row],[Afhængig variabel ID]]=1,2,1))),$B$7)</f>
        <v>Eksempel 2 (interval)</v>
      </c>
      <c r="H100" s="188">
        <f>_xlfn.AGGREGATE(2,5,LineærRegression_Valg[[#This Row],[Tabel ID]])</f>
        <v>1</v>
      </c>
    </row>
    <row r="101" spans="1:8" x14ac:dyDescent="0.2">
      <c r="A101">
        <f>ROW(LineærRegression_Valg[[#This Row],[Tabel ID]])-ROW(LineærRegression_Valg[[#Headers],[Tabel ID]])</f>
        <v>91</v>
      </c>
      <c r="B101" s="188">
        <f>ROUNDDOWN((LineærRegression_Valg[[#This Row],[Tabel ID]]-1)/$B$5,0)+1</f>
        <v>23</v>
      </c>
      <c r="C101" s="188">
        <f t="shared" si="1"/>
        <v>3</v>
      </c>
      <c r="D101" s="188" t="b">
        <f>LineærRegression_Valg[[#This Row],[Afhængig variabel ID]]&lt;&gt;LineærRegression_Valg[[#This Row],[Uafhængig variabel ID]]</f>
        <v>1</v>
      </c>
      <c r="E101" t="b">
        <f>LineærRegression_Valg[[#This Row],[Afhængig variabel ID]]&lt;=$B$5</f>
        <v>0</v>
      </c>
      <c r="F101" t="str" cm="1">
        <f t="array" ref="F101">IF(LineærRegression_Valg[[#This Row],[Indenfor range]],INDEX(DataTitel_liste,LineærRegression_Valg[[#This Row],[Afhængig variabel ID]]),INDEX(DataTitel_liste,1))</f>
        <v>Eksempel 1 (interval)</v>
      </c>
      <c r="G101" s="188" t="str" cm="1">
        <f t="array" ref="G101">IF(LineærRegression_Valg[[#This Row],[Indenfor range]],IF(LineærRegression_Valg[[#This Row],[Intet overlap]],INDEX(DataTitel_liste,LineærRegression_Valg[[#This Row],[Uafhængig variabel ID]]),INDEX(DataTitel_liste,IF(LineærRegression_Valg[[#This Row],[Afhængig variabel ID]]=1,2,1))),$B$7)</f>
        <v>Eksempel 2 (interval)</v>
      </c>
      <c r="H101" s="188">
        <f>_xlfn.AGGREGATE(2,5,LineærRegression_Valg[[#This Row],[Tabel ID]])</f>
        <v>1</v>
      </c>
    </row>
    <row r="102" spans="1:8" x14ac:dyDescent="0.2">
      <c r="A102">
        <f>ROW(LineærRegression_Valg[[#This Row],[Tabel ID]])-ROW(LineærRegression_Valg[[#Headers],[Tabel ID]])</f>
        <v>92</v>
      </c>
      <c r="B102" s="188">
        <f>ROUNDDOWN((LineærRegression_Valg[[#This Row],[Tabel ID]]-1)/$B$5,0)+1</f>
        <v>23</v>
      </c>
      <c r="C102" s="188">
        <f t="shared" si="1"/>
        <v>4</v>
      </c>
      <c r="D102" s="188" t="b">
        <f>LineærRegression_Valg[[#This Row],[Afhængig variabel ID]]&lt;&gt;LineærRegression_Valg[[#This Row],[Uafhængig variabel ID]]</f>
        <v>1</v>
      </c>
      <c r="E102" t="b">
        <f>LineærRegression_Valg[[#This Row],[Afhængig variabel ID]]&lt;=$B$5</f>
        <v>0</v>
      </c>
      <c r="F102" t="str" cm="1">
        <f t="array" ref="F102">IF(LineærRegression_Valg[[#This Row],[Indenfor range]],INDEX(DataTitel_liste,LineærRegression_Valg[[#This Row],[Afhængig variabel ID]]),INDEX(DataTitel_liste,1))</f>
        <v>Eksempel 1 (interval)</v>
      </c>
      <c r="G102" s="188" t="str" cm="1">
        <f t="array" ref="G102">IF(LineærRegression_Valg[[#This Row],[Indenfor range]],IF(LineærRegression_Valg[[#This Row],[Intet overlap]],INDEX(DataTitel_liste,LineærRegression_Valg[[#This Row],[Uafhængig variabel ID]]),INDEX(DataTitel_liste,IF(LineærRegression_Valg[[#This Row],[Afhængig variabel ID]]=1,2,1))),$B$7)</f>
        <v>Eksempel 2 (interval)</v>
      </c>
      <c r="H102" s="188">
        <f>_xlfn.AGGREGATE(2,5,LineærRegression_Valg[[#This Row],[Tabel ID]])</f>
        <v>1</v>
      </c>
    </row>
    <row r="103" spans="1:8" x14ac:dyDescent="0.2">
      <c r="A103">
        <f>ROW(LineærRegression_Valg[[#This Row],[Tabel ID]])-ROW(LineærRegression_Valg[[#Headers],[Tabel ID]])</f>
        <v>93</v>
      </c>
      <c r="B103" s="188">
        <f>ROUNDDOWN((LineærRegression_Valg[[#This Row],[Tabel ID]]-1)/$B$5,0)+1</f>
        <v>24</v>
      </c>
      <c r="C103" s="188">
        <f t="shared" si="1"/>
        <v>1</v>
      </c>
      <c r="D103" s="188" t="b">
        <f>LineærRegression_Valg[[#This Row],[Afhængig variabel ID]]&lt;&gt;LineærRegression_Valg[[#This Row],[Uafhængig variabel ID]]</f>
        <v>1</v>
      </c>
      <c r="E103" t="b">
        <f>LineærRegression_Valg[[#This Row],[Afhængig variabel ID]]&lt;=$B$5</f>
        <v>0</v>
      </c>
      <c r="F103" t="str" cm="1">
        <f t="array" ref="F103">IF(LineærRegression_Valg[[#This Row],[Indenfor range]],INDEX(DataTitel_liste,LineærRegression_Valg[[#This Row],[Afhængig variabel ID]]),INDEX(DataTitel_liste,1))</f>
        <v>Eksempel 1 (interval)</v>
      </c>
      <c r="G103" s="188" t="str" cm="1">
        <f t="array" ref="G103">IF(LineærRegression_Valg[[#This Row],[Indenfor range]],IF(LineærRegression_Valg[[#This Row],[Intet overlap]],INDEX(DataTitel_liste,LineærRegression_Valg[[#This Row],[Uafhængig variabel ID]]),INDEX(DataTitel_liste,IF(LineærRegression_Valg[[#This Row],[Afhængig variabel ID]]=1,2,1))),$B$7)</f>
        <v>Eksempel 2 (interval)</v>
      </c>
      <c r="H103" s="188">
        <f>_xlfn.AGGREGATE(2,5,LineærRegression_Valg[[#This Row],[Tabel ID]])</f>
        <v>1</v>
      </c>
    </row>
    <row r="104" spans="1:8" x14ac:dyDescent="0.2">
      <c r="A104">
        <f>ROW(LineærRegression_Valg[[#This Row],[Tabel ID]])-ROW(LineærRegression_Valg[[#Headers],[Tabel ID]])</f>
        <v>94</v>
      </c>
      <c r="B104" s="188">
        <f>ROUNDDOWN((LineærRegression_Valg[[#This Row],[Tabel ID]]-1)/$B$5,0)+1</f>
        <v>24</v>
      </c>
      <c r="C104" s="188">
        <f t="shared" si="1"/>
        <v>2</v>
      </c>
      <c r="D104" s="188" t="b">
        <f>LineærRegression_Valg[[#This Row],[Afhængig variabel ID]]&lt;&gt;LineærRegression_Valg[[#This Row],[Uafhængig variabel ID]]</f>
        <v>1</v>
      </c>
      <c r="E104" t="b">
        <f>LineærRegression_Valg[[#This Row],[Afhængig variabel ID]]&lt;=$B$5</f>
        <v>0</v>
      </c>
      <c r="F104" t="str" cm="1">
        <f t="array" ref="F104">IF(LineærRegression_Valg[[#This Row],[Indenfor range]],INDEX(DataTitel_liste,LineærRegression_Valg[[#This Row],[Afhængig variabel ID]]),INDEX(DataTitel_liste,1))</f>
        <v>Eksempel 1 (interval)</v>
      </c>
      <c r="G104" s="188" t="str" cm="1">
        <f t="array" ref="G104">IF(LineærRegression_Valg[[#This Row],[Indenfor range]],IF(LineærRegression_Valg[[#This Row],[Intet overlap]],INDEX(DataTitel_liste,LineærRegression_Valg[[#This Row],[Uafhængig variabel ID]]),INDEX(DataTitel_liste,IF(LineærRegression_Valg[[#This Row],[Afhængig variabel ID]]=1,2,1))),$B$7)</f>
        <v>Eksempel 2 (interval)</v>
      </c>
      <c r="H104" s="188">
        <f>_xlfn.AGGREGATE(2,5,LineærRegression_Valg[[#This Row],[Tabel ID]])</f>
        <v>1</v>
      </c>
    </row>
    <row r="105" spans="1:8" x14ac:dyDescent="0.2">
      <c r="A105">
        <f>ROW(LineærRegression_Valg[[#This Row],[Tabel ID]])-ROW(LineærRegression_Valg[[#Headers],[Tabel ID]])</f>
        <v>95</v>
      </c>
      <c r="B105" s="188">
        <f>ROUNDDOWN((LineærRegression_Valg[[#This Row],[Tabel ID]]-1)/$B$5,0)+1</f>
        <v>24</v>
      </c>
      <c r="C105" s="188">
        <f t="shared" si="1"/>
        <v>3</v>
      </c>
      <c r="D105" s="188" t="b">
        <f>LineærRegression_Valg[[#This Row],[Afhængig variabel ID]]&lt;&gt;LineærRegression_Valg[[#This Row],[Uafhængig variabel ID]]</f>
        <v>1</v>
      </c>
      <c r="E105" t="b">
        <f>LineærRegression_Valg[[#This Row],[Afhængig variabel ID]]&lt;=$B$5</f>
        <v>0</v>
      </c>
      <c r="F105" t="str" cm="1">
        <f t="array" ref="F105">IF(LineærRegression_Valg[[#This Row],[Indenfor range]],INDEX(DataTitel_liste,LineærRegression_Valg[[#This Row],[Afhængig variabel ID]]),INDEX(DataTitel_liste,1))</f>
        <v>Eksempel 1 (interval)</v>
      </c>
      <c r="G105" s="188" t="str" cm="1">
        <f t="array" ref="G105">IF(LineærRegression_Valg[[#This Row],[Indenfor range]],IF(LineærRegression_Valg[[#This Row],[Intet overlap]],INDEX(DataTitel_liste,LineærRegression_Valg[[#This Row],[Uafhængig variabel ID]]),INDEX(DataTitel_liste,IF(LineærRegression_Valg[[#This Row],[Afhængig variabel ID]]=1,2,1))),$B$7)</f>
        <v>Eksempel 2 (interval)</v>
      </c>
      <c r="H105" s="188">
        <f>_xlfn.AGGREGATE(2,5,LineærRegression_Valg[[#This Row],[Tabel ID]])</f>
        <v>1</v>
      </c>
    </row>
    <row r="106" spans="1:8" x14ac:dyDescent="0.2">
      <c r="A106">
        <f>ROW(LineærRegression_Valg[[#This Row],[Tabel ID]])-ROW(LineærRegression_Valg[[#Headers],[Tabel ID]])</f>
        <v>96</v>
      </c>
      <c r="B106" s="188">
        <f>ROUNDDOWN((LineærRegression_Valg[[#This Row],[Tabel ID]]-1)/$B$5,0)+1</f>
        <v>24</v>
      </c>
      <c r="C106" s="188">
        <f t="shared" si="1"/>
        <v>4</v>
      </c>
      <c r="D106" s="188" t="b">
        <f>LineærRegression_Valg[[#This Row],[Afhængig variabel ID]]&lt;&gt;LineærRegression_Valg[[#This Row],[Uafhængig variabel ID]]</f>
        <v>1</v>
      </c>
      <c r="E106" t="b">
        <f>LineærRegression_Valg[[#This Row],[Afhængig variabel ID]]&lt;=$B$5</f>
        <v>0</v>
      </c>
      <c r="F106" t="str" cm="1">
        <f t="array" ref="F106">IF(LineærRegression_Valg[[#This Row],[Indenfor range]],INDEX(DataTitel_liste,LineærRegression_Valg[[#This Row],[Afhængig variabel ID]]),INDEX(DataTitel_liste,1))</f>
        <v>Eksempel 1 (interval)</v>
      </c>
      <c r="G106" s="188" t="str" cm="1">
        <f t="array" ref="G106">IF(LineærRegression_Valg[[#This Row],[Indenfor range]],IF(LineærRegression_Valg[[#This Row],[Intet overlap]],INDEX(DataTitel_liste,LineærRegression_Valg[[#This Row],[Uafhængig variabel ID]]),INDEX(DataTitel_liste,IF(LineærRegression_Valg[[#This Row],[Afhængig variabel ID]]=1,2,1))),$B$7)</f>
        <v>Eksempel 2 (interval)</v>
      </c>
      <c r="H106" s="188">
        <f>_xlfn.AGGREGATE(2,5,LineærRegression_Valg[[#This Row],[Tabel ID]])</f>
        <v>1</v>
      </c>
    </row>
    <row r="107" spans="1:8" x14ac:dyDescent="0.2">
      <c r="A107">
        <f>ROW(LineærRegression_Valg[[#This Row],[Tabel ID]])-ROW(LineærRegression_Valg[[#Headers],[Tabel ID]])</f>
        <v>97</v>
      </c>
      <c r="B107" s="188">
        <f>ROUNDDOWN((LineærRegression_Valg[[#This Row],[Tabel ID]]-1)/$B$5,0)+1</f>
        <v>25</v>
      </c>
      <c r="C107" s="188">
        <f t="shared" si="1"/>
        <v>1</v>
      </c>
      <c r="D107" s="188" t="b">
        <f>LineærRegression_Valg[[#This Row],[Afhængig variabel ID]]&lt;&gt;LineærRegression_Valg[[#This Row],[Uafhængig variabel ID]]</f>
        <v>1</v>
      </c>
      <c r="E107" t="b">
        <f>LineærRegression_Valg[[#This Row],[Afhængig variabel ID]]&lt;=$B$5</f>
        <v>0</v>
      </c>
      <c r="F107" t="str" cm="1">
        <f t="array" ref="F107">IF(LineærRegression_Valg[[#This Row],[Indenfor range]],INDEX(DataTitel_liste,LineærRegression_Valg[[#This Row],[Afhængig variabel ID]]),INDEX(DataTitel_liste,1))</f>
        <v>Eksempel 1 (interval)</v>
      </c>
      <c r="G107" s="188" t="str" cm="1">
        <f t="array" ref="G107">IF(LineærRegression_Valg[[#This Row],[Indenfor range]],IF(LineærRegression_Valg[[#This Row],[Intet overlap]],INDEX(DataTitel_liste,LineærRegression_Valg[[#This Row],[Uafhængig variabel ID]]),INDEX(DataTitel_liste,IF(LineærRegression_Valg[[#This Row],[Afhængig variabel ID]]=1,2,1))),$B$7)</f>
        <v>Eksempel 2 (interval)</v>
      </c>
      <c r="H107" s="188">
        <f>_xlfn.AGGREGATE(2,5,LineærRegression_Valg[[#This Row],[Tabel ID]])</f>
        <v>1</v>
      </c>
    </row>
    <row r="108" spans="1:8" x14ac:dyDescent="0.2">
      <c r="A108">
        <f>ROW(LineærRegression_Valg[[#This Row],[Tabel ID]])-ROW(LineærRegression_Valg[[#Headers],[Tabel ID]])</f>
        <v>98</v>
      </c>
      <c r="B108" s="188">
        <f>ROUNDDOWN((LineærRegression_Valg[[#This Row],[Tabel ID]]-1)/$B$5,0)+1</f>
        <v>25</v>
      </c>
      <c r="C108" s="188">
        <f t="shared" si="1"/>
        <v>2</v>
      </c>
      <c r="D108" s="188" t="b">
        <f>LineærRegression_Valg[[#This Row],[Afhængig variabel ID]]&lt;&gt;LineærRegression_Valg[[#This Row],[Uafhængig variabel ID]]</f>
        <v>1</v>
      </c>
      <c r="E108" t="b">
        <f>LineærRegression_Valg[[#This Row],[Afhængig variabel ID]]&lt;=$B$5</f>
        <v>0</v>
      </c>
      <c r="F108" t="str" cm="1">
        <f t="array" ref="F108">IF(LineærRegression_Valg[[#This Row],[Indenfor range]],INDEX(DataTitel_liste,LineærRegression_Valg[[#This Row],[Afhængig variabel ID]]),INDEX(DataTitel_liste,1))</f>
        <v>Eksempel 1 (interval)</v>
      </c>
      <c r="G108" s="188" t="str" cm="1">
        <f t="array" ref="G108">IF(LineærRegression_Valg[[#This Row],[Indenfor range]],IF(LineærRegression_Valg[[#This Row],[Intet overlap]],INDEX(DataTitel_liste,LineærRegression_Valg[[#This Row],[Uafhængig variabel ID]]),INDEX(DataTitel_liste,IF(LineærRegression_Valg[[#This Row],[Afhængig variabel ID]]=1,2,1))),$B$7)</f>
        <v>Eksempel 2 (interval)</v>
      </c>
      <c r="H108" s="188">
        <f>_xlfn.AGGREGATE(2,5,LineærRegression_Valg[[#This Row],[Tabel ID]])</f>
        <v>1</v>
      </c>
    </row>
    <row r="109" spans="1:8" x14ac:dyDescent="0.2">
      <c r="A109">
        <f>ROW(LineærRegression_Valg[[#This Row],[Tabel ID]])-ROW(LineærRegression_Valg[[#Headers],[Tabel ID]])</f>
        <v>99</v>
      </c>
      <c r="B109" s="188">
        <f>ROUNDDOWN((LineærRegression_Valg[[#This Row],[Tabel ID]]-1)/$B$5,0)+1</f>
        <v>25</v>
      </c>
      <c r="C109" s="188">
        <f t="shared" si="1"/>
        <v>3</v>
      </c>
      <c r="D109" s="188" t="b">
        <f>LineærRegression_Valg[[#This Row],[Afhængig variabel ID]]&lt;&gt;LineærRegression_Valg[[#This Row],[Uafhængig variabel ID]]</f>
        <v>1</v>
      </c>
      <c r="E109" t="b">
        <f>LineærRegression_Valg[[#This Row],[Afhængig variabel ID]]&lt;=$B$5</f>
        <v>0</v>
      </c>
      <c r="F109" t="str" cm="1">
        <f t="array" ref="F109">IF(LineærRegression_Valg[[#This Row],[Indenfor range]],INDEX(DataTitel_liste,LineærRegression_Valg[[#This Row],[Afhængig variabel ID]]),INDEX(DataTitel_liste,1))</f>
        <v>Eksempel 1 (interval)</v>
      </c>
      <c r="G109" s="188" t="str" cm="1">
        <f t="array" ref="G109">IF(LineærRegression_Valg[[#This Row],[Indenfor range]],IF(LineærRegression_Valg[[#This Row],[Intet overlap]],INDEX(DataTitel_liste,LineærRegression_Valg[[#This Row],[Uafhængig variabel ID]]),INDEX(DataTitel_liste,IF(LineærRegression_Valg[[#This Row],[Afhængig variabel ID]]=1,2,1))),$B$7)</f>
        <v>Eksempel 2 (interval)</v>
      </c>
      <c r="H109" s="188">
        <f>_xlfn.AGGREGATE(2,5,LineærRegression_Valg[[#This Row],[Tabel ID]])</f>
        <v>1</v>
      </c>
    </row>
    <row r="110" spans="1:8" x14ac:dyDescent="0.2">
      <c r="A110">
        <f>ROW(LineærRegression_Valg[[#This Row],[Tabel ID]])-ROW(LineærRegression_Valg[[#Headers],[Tabel ID]])</f>
        <v>100</v>
      </c>
      <c r="B110" s="188">
        <f>ROUNDDOWN((LineærRegression_Valg[[#This Row],[Tabel ID]]-1)/$B$5,0)+1</f>
        <v>25</v>
      </c>
      <c r="C110" s="188">
        <f t="shared" si="1"/>
        <v>4</v>
      </c>
      <c r="D110" s="188" t="b">
        <f>LineærRegression_Valg[[#This Row],[Afhængig variabel ID]]&lt;&gt;LineærRegression_Valg[[#This Row],[Uafhængig variabel ID]]</f>
        <v>1</v>
      </c>
      <c r="E110" t="b">
        <f>LineærRegression_Valg[[#This Row],[Afhængig variabel ID]]&lt;=$B$5</f>
        <v>0</v>
      </c>
      <c r="F110" t="str" cm="1">
        <f t="array" ref="F110">IF(LineærRegression_Valg[[#This Row],[Indenfor range]],INDEX(DataTitel_liste,LineærRegression_Valg[[#This Row],[Afhængig variabel ID]]),INDEX(DataTitel_liste,1))</f>
        <v>Eksempel 1 (interval)</v>
      </c>
      <c r="G110" s="188" t="str" cm="1">
        <f t="array" ref="G110">IF(LineærRegression_Valg[[#This Row],[Indenfor range]],IF(LineærRegression_Valg[[#This Row],[Intet overlap]],INDEX(DataTitel_liste,LineærRegression_Valg[[#This Row],[Uafhængig variabel ID]]),INDEX(DataTitel_liste,IF(LineærRegression_Valg[[#This Row],[Afhængig variabel ID]]=1,2,1))),$B$7)</f>
        <v>Eksempel 2 (interval)</v>
      </c>
      <c r="H110" s="188">
        <f>_xlfn.AGGREGATE(2,5,LineærRegression_Valg[[#This Row],[Tabel ID]])</f>
        <v>1</v>
      </c>
    </row>
    <row r="111" spans="1:8" x14ac:dyDescent="0.2">
      <c r="A111">
        <f>ROW(LineærRegression_Valg[[#This Row],[Tabel ID]])-ROW(LineærRegression_Valg[[#Headers],[Tabel ID]])</f>
        <v>101</v>
      </c>
      <c r="B111" s="188">
        <f>ROUNDDOWN((LineærRegression_Valg[[#This Row],[Tabel ID]]-1)/$B$5,0)+1</f>
        <v>26</v>
      </c>
      <c r="C111" s="188">
        <f t="shared" si="1"/>
        <v>1</v>
      </c>
      <c r="D111" s="188" t="b">
        <f>LineærRegression_Valg[[#This Row],[Afhængig variabel ID]]&lt;&gt;LineærRegression_Valg[[#This Row],[Uafhængig variabel ID]]</f>
        <v>1</v>
      </c>
      <c r="E111" t="b">
        <f>LineærRegression_Valg[[#This Row],[Afhængig variabel ID]]&lt;=$B$5</f>
        <v>0</v>
      </c>
      <c r="F111" t="str" cm="1">
        <f t="array" ref="F111">IF(LineærRegression_Valg[[#This Row],[Indenfor range]],INDEX(DataTitel_liste,LineærRegression_Valg[[#This Row],[Afhængig variabel ID]]),INDEX(DataTitel_liste,1))</f>
        <v>Eksempel 1 (interval)</v>
      </c>
      <c r="G111" s="188" t="str" cm="1">
        <f t="array" ref="G111">IF(LineærRegression_Valg[[#This Row],[Indenfor range]],IF(LineærRegression_Valg[[#This Row],[Intet overlap]],INDEX(DataTitel_liste,LineærRegression_Valg[[#This Row],[Uafhængig variabel ID]]),INDEX(DataTitel_liste,IF(LineærRegression_Valg[[#This Row],[Afhængig variabel ID]]=1,2,1))),$B$7)</f>
        <v>Eksempel 2 (interval)</v>
      </c>
      <c r="H111" s="188">
        <f>_xlfn.AGGREGATE(2,5,LineærRegression_Valg[[#This Row],[Tabel ID]])</f>
        <v>1</v>
      </c>
    </row>
    <row r="112" spans="1:8" x14ac:dyDescent="0.2">
      <c r="A112">
        <f>ROW(LineærRegression_Valg[[#This Row],[Tabel ID]])-ROW(LineærRegression_Valg[[#Headers],[Tabel ID]])</f>
        <v>102</v>
      </c>
      <c r="B112" s="188">
        <f>ROUNDDOWN((LineærRegression_Valg[[#This Row],[Tabel ID]]-1)/$B$5,0)+1</f>
        <v>26</v>
      </c>
      <c r="C112" s="188">
        <f t="shared" si="1"/>
        <v>2</v>
      </c>
      <c r="D112" s="188" t="b">
        <f>LineærRegression_Valg[[#This Row],[Afhængig variabel ID]]&lt;&gt;LineærRegression_Valg[[#This Row],[Uafhængig variabel ID]]</f>
        <v>1</v>
      </c>
      <c r="E112" t="b">
        <f>LineærRegression_Valg[[#This Row],[Afhængig variabel ID]]&lt;=$B$5</f>
        <v>0</v>
      </c>
      <c r="F112" t="str" cm="1">
        <f t="array" ref="F112">IF(LineærRegression_Valg[[#This Row],[Indenfor range]],INDEX(DataTitel_liste,LineærRegression_Valg[[#This Row],[Afhængig variabel ID]]),INDEX(DataTitel_liste,1))</f>
        <v>Eksempel 1 (interval)</v>
      </c>
      <c r="G112" s="188" t="str" cm="1">
        <f t="array" ref="G112">IF(LineærRegression_Valg[[#This Row],[Indenfor range]],IF(LineærRegression_Valg[[#This Row],[Intet overlap]],INDEX(DataTitel_liste,LineærRegression_Valg[[#This Row],[Uafhængig variabel ID]]),INDEX(DataTitel_liste,IF(LineærRegression_Valg[[#This Row],[Afhængig variabel ID]]=1,2,1))),$B$7)</f>
        <v>Eksempel 2 (interval)</v>
      </c>
      <c r="H112" s="188">
        <f>_xlfn.AGGREGATE(2,5,LineærRegression_Valg[[#This Row],[Tabel ID]])</f>
        <v>1</v>
      </c>
    </row>
    <row r="113" spans="1:8" x14ac:dyDescent="0.2">
      <c r="A113">
        <f>ROW(LineærRegression_Valg[[#This Row],[Tabel ID]])-ROW(LineærRegression_Valg[[#Headers],[Tabel ID]])</f>
        <v>103</v>
      </c>
      <c r="B113" s="188">
        <f>ROUNDDOWN((LineærRegression_Valg[[#This Row],[Tabel ID]]-1)/$B$5,0)+1</f>
        <v>26</v>
      </c>
      <c r="C113" s="188">
        <f t="shared" si="1"/>
        <v>3</v>
      </c>
      <c r="D113" s="188" t="b">
        <f>LineærRegression_Valg[[#This Row],[Afhængig variabel ID]]&lt;&gt;LineærRegression_Valg[[#This Row],[Uafhængig variabel ID]]</f>
        <v>1</v>
      </c>
      <c r="E113" t="b">
        <f>LineærRegression_Valg[[#This Row],[Afhængig variabel ID]]&lt;=$B$5</f>
        <v>0</v>
      </c>
      <c r="F113" t="str" cm="1">
        <f t="array" ref="F113">IF(LineærRegression_Valg[[#This Row],[Indenfor range]],INDEX(DataTitel_liste,LineærRegression_Valg[[#This Row],[Afhængig variabel ID]]),INDEX(DataTitel_liste,1))</f>
        <v>Eksempel 1 (interval)</v>
      </c>
      <c r="G113" s="188" t="str" cm="1">
        <f t="array" ref="G113">IF(LineærRegression_Valg[[#This Row],[Indenfor range]],IF(LineærRegression_Valg[[#This Row],[Intet overlap]],INDEX(DataTitel_liste,LineærRegression_Valg[[#This Row],[Uafhængig variabel ID]]),INDEX(DataTitel_liste,IF(LineærRegression_Valg[[#This Row],[Afhængig variabel ID]]=1,2,1))),$B$7)</f>
        <v>Eksempel 2 (interval)</v>
      </c>
      <c r="H113" s="188">
        <f>_xlfn.AGGREGATE(2,5,LineærRegression_Valg[[#This Row],[Tabel ID]])</f>
        <v>1</v>
      </c>
    </row>
    <row r="114" spans="1:8" x14ac:dyDescent="0.2">
      <c r="A114">
        <f>ROW(LineærRegression_Valg[[#This Row],[Tabel ID]])-ROW(LineærRegression_Valg[[#Headers],[Tabel ID]])</f>
        <v>104</v>
      </c>
      <c r="B114" s="188">
        <f>ROUNDDOWN((LineærRegression_Valg[[#This Row],[Tabel ID]]-1)/$B$5,0)+1</f>
        <v>26</v>
      </c>
      <c r="C114" s="188">
        <f t="shared" si="1"/>
        <v>4</v>
      </c>
      <c r="D114" s="188" t="b">
        <f>LineærRegression_Valg[[#This Row],[Afhængig variabel ID]]&lt;&gt;LineærRegression_Valg[[#This Row],[Uafhængig variabel ID]]</f>
        <v>1</v>
      </c>
      <c r="E114" t="b">
        <f>LineærRegression_Valg[[#This Row],[Afhængig variabel ID]]&lt;=$B$5</f>
        <v>0</v>
      </c>
      <c r="F114" t="str" cm="1">
        <f t="array" ref="F114">IF(LineærRegression_Valg[[#This Row],[Indenfor range]],INDEX(DataTitel_liste,LineærRegression_Valg[[#This Row],[Afhængig variabel ID]]),INDEX(DataTitel_liste,1))</f>
        <v>Eksempel 1 (interval)</v>
      </c>
      <c r="G114" s="188" t="str" cm="1">
        <f t="array" ref="G114">IF(LineærRegression_Valg[[#This Row],[Indenfor range]],IF(LineærRegression_Valg[[#This Row],[Intet overlap]],INDEX(DataTitel_liste,LineærRegression_Valg[[#This Row],[Uafhængig variabel ID]]),INDEX(DataTitel_liste,IF(LineærRegression_Valg[[#This Row],[Afhængig variabel ID]]=1,2,1))),$B$7)</f>
        <v>Eksempel 2 (interval)</v>
      </c>
      <c r="H114" s="188">
        <f>_xlfn.AGGREGATE(2,5,LineærRegression_Valg[[#This Row],[Tabel ID]])</f>
        <v>1</v>
      </c>
    </row>
    <row r="115" spans="1:8" x14ac:dyDescent="0.2">
      <c r="A115">
        <f>ROW(LineærRegression_Valg[[#This Row],[Tabel ID]])-ROW(LineærRegression_Valg[[#Headers],[Tabel ID]])</f>
        <v>105</v>
      </c>
      <c r="B115" s="188">
        <f>ROUNDDOWN((LineærRegression_Valg[[#This Row],[Tabel ID]]-1)/$B$5,0)+1</f>
        <v>27</v>
      </c>
      <c r="C115" s="188">
        <f t="shared" si="1"/>
        <v>1</v>
      </c>
      <c r="D115" s="188" t="b">
        <f>LineærRegression_Valg[[#This Row],[Afhængig variabel ID]]&lt;&gt;LineærRegression_Valg[[#This Row],[Uafhængig variabel ID]]</f>
        <v>1</v>
      </c>
      <c r="E115" t="b">
        <f>LineærRegression_Valg[[#This Row],[Afhængig variabel ID]]&lt;=$B$5</f>
        <v>0</v>
      </c>
      <c r="F115" t="str" cm="1">
        <f t="array" ref="F115">IF(LineærRegression_Valg[[#This Row],[Indenfor range]],INDEX(DataTitel_liste,LineærRegression_Valg[[#This Row],[Afhængig variabel ID]]),INDEX(DataTitel_liste,1))</f>
        <v>Eksempel 1 (interval)</v>
      </c>
      <c r="G115" s="188" t="str" cm="1">
        <f t="array" ref="G115">IF(LineærRegression_Valg[[#This Row],[Indenfor range]],IF(LineærRegression_Valg[[#This Row],[Intet overlap]],INDEX(DataTitel_liste,LineærRegression_Valg[[#This Row],[Uafhængig variabel ID]]),INDEX(DataTitel_liste,IF(LineærRegression_Valg[[#This Row],[Afhængig variabel ID]]=1,2,1))),$B$7)</f>
        <v>Eksempel 2 (interval)</v>
      </c>
      <c r="H115" s="188">
        <f>_xlfn.AGGREGATE(2,5,LineærRegression_Valg[[#This Row],[Tabel ID]])</f>
        <v>1</v>
      </c>
    </row>
    <row r="116" spans="1:8" x14ac:dyDescent="0.2">
      <c r="A116">
        <f>ROW(LineærRegression_Valg[[#This Row],[Tabel ID]])-ROW(LineærRegression_Valg[[#Headers],[Tabel ID]])</f>
        <v>106</v>
      </c>
      <c r="B116" s="188">
        <f>ROUNDDOWN((LineærRegression_Valg[[#This Row],[Tabel ID]]-1)/$B$5,0)+1</f>
        <v>27</v>
      </c>
      <c r="C116" s="188">
        <f t="shared" si="1"/>
        <v>2</v>
      </c>
      <c r="D116" s="188" t="b">
        <f>LineærRegression_Valg[[#This Row],[Afhængig variabel ID]]&lt;&gt;LineærRegression_Valg[[#This Row],[Uafhængig variabel ID]]</f>
        <v>1</v>
      </c>
      <c r="E116" t="b">
        <f>LineærRegression_Valg[[#This Row],[Afhængig variabel ID]]&lt;=$B$5</f>
        <v>0</v>
      </c>
      <c r="F116" t="str" cm="1">
        <f t="array" ref="F116">IF(LineærRegression_Valg[[#This Row],[Indenfor range]],INDEX(DataTitel_liste,LineærRegression_Valg[[#This Row],[Afhængig variabel ID]]),INDEX(DataTitel_liste,1))</f>
        <v>Eksempel 1 (interval)</v>
      </c>
      <c r="G116" s="188" t="str" cm="1">
        <f t="array" ref="G116">IF(LineærRegression_Valg[[#This Row],[Indenfor range]],IF(LineærRegression_Valg[[#This Row],[Intet overlap]],INDEX(DataTitel_liste,LineærRegression_Valg[[#This Row],[Uafhængig variabel ID]]),INDEX(DataTitel_liste,IF(LineærRegression_Valg[[#This Row],[Afhængig variabel ID]]=1,2,1))),$B$7)</f>
        <v>Eksempel 2 (interval)</v>
      </c>
      <c r="H116" s="188">
        <f>_xlfn.AGGREGATE(2,5,LineærRegression_Valg[[#This Row],[Tabel ID]])</f>
        <v>1</v>
      </c>
    </row>
    <row r="117" spans="1:8" x14ac:dyDescent="0.2">
      <c r="A117">
        <f>ROW(LineærRegression_Valg[[#This Row],[Tabel ID]])-ROW(LineærRegression_Valg[[#Headers],[Tabel ID]])</f>
        <v>107</v>
      </c>
      <c r="B117" s="188">
        <f>ROUNDDOWN((LineærRegression_Valg[[#This Row],[Tabel ID]]-1)/$B$5,0)+1</f>
        <v>27</v>
      </c>
      <c r="C117" s="188">
        <f t="shared" si="1"/>
        <v>3</v>
      </c>
      <c r="D117" s="188" t="b">
        <f>LineærRegression_Valg[[#This Row],[Afhængig variabel ID]]&lt;&gt;LineærRegression_Valg[[#This Row],[Uafhængig variabel ID]]</f>
        <v>1</v>
      </c>
      <c r="E117" t="b">
        <f>LineærRegression_Valg[[#This Row],[Afhængig variabel ID]]&lt;=$B$5</f>
        <v>0</v>
      </c>
      <c r="F117" t="str" cm="1">
        <f t="array" ref="F117">IF(LineærRegression_Valg[[#This Row],[Indenfor range]],INDEX(DataTitel_liste,LineærRegression_Valg[[#This Row],[Afhængig variabel ID]]),INDEX(DataTitel_liste,1))</f>
        <v>Eksempel 1 (interval)</v>
      </c>
      <c r="G117" s="188" t="str" cm="1">
        <f t="array" ref="G117">IF(LineærRegression_Valg[[#This Row],[Indenfor range]],IF(LineærRegression_Valg[[#This Row],[Intet overlap]],INDEX(DataTitel_liste,LineærRegression_Valg[[#This Row],[Uafhængig variabel ID]]),INDEX(DataTitel_liste,IF(LineærRegression_Valg[[#This Row],[Afhængig variabel ID]]=1,2,1))),$B$7)</f>
        <v>Eksempel 2 (interval)</v>
      </c>
      <c r="H117" s="188">
        <f>_xlfn.AGGREGATE(2,5,LineærRegression_Valg[[#This Row],[Tabel ID]])</f>
        <v>1</v>
      </c>
    </row>
    <row r="118" spans="1:8" x14ac:dyDescent="0.2">
      <c r="A118">
        <f>ROW(LineærRegression_Valg[[#This Row],[Tabel ID]])-ROW(LineærRegression_Valg[[#Headers],[Tabel ID]])</f>
        <v>108</v>
      </c>
      <c r="B118" s="188">
        <f>ROUNDDOWN((LineærRegression_Valg[[#This Row],[Tabel ID]]-1)/$B$5,0)+1</f>
        <v>27</v>
      </c>
      <c r="C118" s="188">
        <f t="shared" si="1"/>
        <v>4</v>
      </c>
      <c r="D118" s="188" t="b">
        <f>LineærRegression_Valg[[#This Row],[Afhængig variabel ID]]&lt;&gt;LineærRegression_Valg[[#This Row],[Uafhængig variabel ID]]</f>
        <v>1</v>
      </c>
      <c r="E118" t="b">
        <f>LineærRegression_Valg[[#This Row],[Afhængig variabel ID]]&lt;=$B$5</f>
        <v>0</v>
      </c>
      <c r="F118" t="str" cm="1">
        <f t="array" ref="F118">IF(LineærRegression_Valg[[#This Row],[Indenfor range]],INDEX(DataTitel_liste,LineærRegression_Valg[[#This Row],[Afhængig variabel ID]]),INDEX(DataTitel_liste,1))</f>
        <v>Eksempel 1 (interval)</v>
      </c>
      <c r="G118" s="188" t="str" cm="1">
        <f t="array" ref="G118">IF(LineærRegression_Valg[[#This Row],[Indenfor range]],IF(LineærRegression_Valg[[#This Row],[Intet overlap]],INDEX(DataTitel_liste,LineærRegression_Valg[[#This Row],[Uafhængig variabel ID]]),INDEX(DataTitel_liste,IF(LineærRegression_Valg[[#This Row],[Afhængig variabel ID]]=1,2,1))),$B$7)</f>
        <v>Eksempel 2 (interval)</v>
      </c>
      <c r="H118" s="188">
        <f>_xlfn.AGGREGATE(2,5,LineærRegression_Valg[[#This Row],[Tabel ID]])</f>
        <v>1</v>
      </c>
    </row>
    <row r="119" spans="1:8" x14ac:dyDescent="0.2">
      <c r="A119">
        <f>ROW(LineærRegression_Valg[[#This Row],[Tabel ID]])-ROW(LineærRegression_Valg[[#Headers],[Tabel ID]])</f>
        <v>109</v>
      </c>
      <c r="B119" s="188">
        <f>ROUNDDOWN((LineærRegression_Valg[[#This Row],[Tabel ID]]-1)/$B$5,0)+1</f>
        <v>28</v>
      </c>
      <c r="C119" s="188">
        <f t="shared" si="1"/>
        <v>1</v>
      </c>
      <c r="D119" s="188" t="b">
        <f>LineærRegression_Valg[[#This Row],[Afhængig variabel ID]]&lt;&gt;LineærRegression_Valg[[#This Row],[Uafhængig variabel ID]]</f>
        <v>1</v>
      </c>
      <c r="E119" t="b">
        <f>LineærRegression_Valg[[#This Row],[Afhængig variabel ID]]&lt;=$B$5</f>
        <v>0</v>
      </c>
      <c r="F119" t="str" cm="1">
        <f t="array" ref="F119">IF(LineærRegression_Valg[[#This Row],[Indenfor range]],INDEX(DataTitel_liste,LineærRegression_Valg[[#This Row],[Afhængig variabel ID]]),INDEX(DataTitel_liste,1))</f>
        <v>Eksempel 1 (interval)</v>
      </c>
      <c r="G119" s="188" t="str" cm="1">
        <f t="array" ref="G119">IF(LineærRegression_Valg[[#This Row],[Indenfor range]],IF(LineærRegression_Valg[[#This Row],[Intet overlap]],INDEX(DataTitel_liste,LineærRegression_Valg[[#This Row],[Uafhængig variabel ID]]),INDEX(DataTitel_liste,IF(LineærRegression_Valg[[#This Row],[Afhængig variabel ID]]=1,2,1))),$B$7)</f>
        <v>Eksempel 2 (interval)</v>
      </c>
      <c r="H119" s="188">
        <f>_xlfn.AGGREGATE(2,5,LineærRegression_Valg[[#This Row],[Tabel ID]])</f>
        <v>1</v>
      </c>
    </row>
    <row r="120" spans="1:8" x14ac:dyDescent="0.2">
      <c r="A120">
        <f>ROW(LineærRegression_Valg[[#This Row],[Tabel ID]])-ROW(LineærRegression_Valg[[#Headers],[Tabel ID]])</f>
        <v>110</v>
      </c>
      <c r="B120" s="188">
        <f>ROUNDDOWN((LineærRegression_Valg[[#This Row],[Tabel ID]]-1)/$B$5,0)+1</f>
        <v>28</v>
      </c>
      <c r="C120" s="188">
        <f t="shared" si="1"/>
        <v>2</v>
      </c>
      <c r="D120" s="188" t="b">
        <f>LineærRegression_Valg[[#This Row],[Afhængig variabel ID]]&lt;&gt;LineærRegression_Valg[[#This Row],[Uafhængig variabel ID]]</f>
        <v>1</v>
      </c>
      <c r="E120" t="b">
        <f>LineærRegression_Valg[[#This Row],[Afhængig variabel ID]]&lt;=$B$5</f>
        <v>0</v>
      </c>
      <c r="F120" t="str" cm="1">
        <f t="array" ref="F120">IF(LineærRegression_Valg[[#This Row],[Indenfor range]],INDEX(DataTitel_liste,LineærRegression_Valg[[#This Row],[Afhængig variabel ID]]),INDEX(DataTitel_liste,1))</f>
        <v>Eksempel 1 (interval)</v>
      </c>
      <c r="G120" s="188" t="str" cm="1">
        <f t="array" ref="G120">IF(LineærRegression_Valg[[#This Row],[Indenfor range]],IF(LineærRegression_Valg[[#This Row],[Intet overlap]],INDEX(DataTitel_liste,LineærRegression_Valg[[#This Row],[Uafhængig variabel ID]]),INDEX(DataTitel_liste,IF(LineærRegression_Valg[[#This Row],[Afhængig variabel ID]]=1,2,1))),$B$7)</f>
        <v>Eksempel 2 (interval)</v>
      </c>
      <c r="H120" s="188">
        <f>_xlfn.AGGREGATE(2,5,LineærRegression_Valg[[#This Row],[Tabel ID]])</f>
        <v>1</v>
      </c>
    </row>
    <row r="121" spans="1:8" x14ac:dyDescent="0.2">
      <c r="A121">
        <f>ROW(LineærRegression_Valg[[#This Row],[Tabel ID]])-ROW(LineærRegression_Valg[[#Headers],[Tabel ID]])</f>
        <v>111</v>
      </c>
      <c r="B121" s="188">
        <f>ROUNDDOWN((LineærRegression_Valg[[#This Row],[Tabel ID]]-1)/$B$5,0)+1</f>
        <v>28</v>
      </c>
      <c r="C121" s="188">
        <f t="shared" si="1"/>
        <v>3</v>
      </c>
      <c r="D121" s="188" t="b">
        <f>LineærRegression_Valg[[#This Row],[Afhængig variabel ID]]&lt;&gt;LineærRegression_Valg[[#This Row],[Uafhængig variabel ID]]</f>
        <v>1</v>
      </c>
      <c r="E121" t="b">
        <f>LineærRegression_Valg[[#This Row],[Afhængig variabel ID]]&lt;=$B$5</f>
        <v>0</v>
      </c>
      <c r="F121" t="str" cm="1">
        <f t="array" ref="F121">IF(LineærRegression_Valg[[#This Row],[Indenfor range]],INDEX(DataTitel_liste,LineærRegression_Valg[[#This Row],[Afhængig variabel ID]]),INDEX(DataTitel_liste,1))</f>
        <v>Eksempel 1 (interval)</v>
      </c>
      <c r="G121" s="188" t="str" cm="1">
        <f t="array" ref="G121">IF(LineærRegression_Valg[[#This Row],[Indenfor range]],IF(LineærRegression_Valg[[#This Row],[Intet overlap]],INDEX(DataTitel_liste,LineærRegression_Valg[[#This Row],[Uafhængig variabel ID]]),INDEX(DataTitel_liste,IF(LineærRegression_Valg[[#This Row],[Afhængig variabel ID]]=1,2,1))),$B$7)</f>
        <v>Eksempel 2 (interval)</v>
      </c>
      <c r="H121" s="188">
        <f>_xlfn.AGGREGATE(2,5,LineærRegression_Valg[[#This Row],[Tabel ID]])</f>
        <v>1</v>
      </c>
    </row>
    <row r="122" spans="1:8" x14ac:dyDescent="0.2">
      <c r="A122">
        <f>ROW(LineærRegression_Valg[[#This Row],[Tabel ID]])-ROW(LineærRegression_Valg[[#Headers],[Tabel ID]])</f>
        <v>112</v>
      </c>
      <c r="B122" s="188">
        <f>ROUNDDOWN((LineærRegression_Valg[[#This Row],[Tabel ID]]-1)/$B$5,0)+1</f>
        <v>28</v>
      </c>
      <c r="C122" s="188">
        <f t="shared" si="1"/>
        <v>4</v>
      </c>
      <c r="D122" s="188" t="b">
        <f>LineærRegression_Valg[[#This Row],[Afhængig variabel ID]]&lt;&gt;LineærRegression_Valg[[#This Row],[Uafhængig variabel ID]]</f>
        <v>1</v>
      </c>
      <c r="E122" t="b">
        <f>LineærRegression_Valg[[#This Row],[Afhængig variabel ID]]&lt;=$B$5</f>
        <v>0</v>
      </c>
      <c r="F122" t="str" cm="1">
        <f t="array" ref="F122">IF(LineærRegression_Valg[[#This Row],[Indenfor range]],INDEX(DataTitel_liste,LineærRegression_Valg[[#This Row],[Afhængig variabel ID]]),INDEX(DataTitel_liste,1))</f>
        <v>Eksempel 1 (interval)</v>
      </c>
      <c r="G122" s="188" t="str" cm="1">
        <f t="array" ref="G122">IF(LineærRegression_Valg[[#This Row],[Indenfor range]],IF(LineærRegression_Valg[[#This Row],[Intet overlap]],INDEX(DataTitel_liste,LineærRegression_Valg[[#This Row],[Uafhængig variabel ID]]),INDEX(DataTitel_liste,IF(LineærRegression_Valg[[#This Row],[Afhængig variabel ID]]=1,2,1))),$B$7)</f>
        <v>Eksempel 2 (interval)</v>
      </c>
      <c r="H122" s="188">
        <f>_xlfn.AGGREGATE(2,5,LineærRegression_Valg[[#This Row],[Tabel ID]])</f>
        <v>1</v>
      </c>
    </row>
    <row r="123" spans="1:8" x14ac:dyDescent="0.2">
      <c r="A123">
        <f>ROW(LineærRegression_Valg[[#This Row],[Tabel ID]])-ROW(LineærRegression_Valg[[#Headers],[Tabel ID]])</f>
        <v>113</v>
      </c>
      <c r="B123" s="188">
        <f>ROUNDDOWN((LineærRegression_Valg[[#This Row],[Tabel ID]]-1)/$B$5,0)+1</f>
        <v>29</v>
      </c>
      <c r="C123" s="188">
        <f t="shared" si="1"/>
        <v>1</v>
      </c>
      <c r="D123" s="188" t="b">
        <f>LineærRegression_Valg[[#This Row],[Afhængig variabel ID]]&lt;&gt;LineærRegression_Valg[[#This Row],[Uafhængig variabel ID]]</f>
        <v>1</v>
      </c>
      <c r="E123" t="b">
        <f>LineærRegression_Valg[[#This Row],[Afhængig variabel ID]]&lt;=$B$5</f>
        <v>0</v>
      </c>
      <c r="F123" t="str" cm="1">
        <f t="array" ref="F123">IF(LineærRegression_Valg[[#This Row],[Indenfor range]],INDEX(DataTitel_liste,LineærRegression_Valg[[#This Row],[Afhængig variabel ID]]),INDEX(DataTitel_liste,1))</f>
        <v>Eksempel 1 (interval)</v>
      </c>
      <c r="G123" s="188" t="str" cm="1">
        <f t="array" ref="G123">IF(LineærRegression_Valg[[#This Row],[Indenfor range]],IF(LineærRegression_Valg[[#This Row],[Intet overlap]],INDEX(DataTitel_liste,LineærRegression_Valg[[#This Row],[Uafhængig variabel ID]]),INDEX(DataTitel_liste,IF(LineærRegression_Valg[[#This Row],[Afhængig variabel ID]]=1,2,1))),$B$7)</f>
        <v>Eksempel 2 (interval)</v>
      </c>
      <c r="H123" s="188">
        <f>_xlfn.AGGREGATE(2,5,LineærRegression_Valg[[#This Row],[Tabel ID]])</f>
        <v>1</v>
      </c>
    </row>
    <row r="124" spans="1:8" x14ac:dyDescent="0.2">
      <c r="A124">
        <f>ROW(LineærRegression_Valg[[#This Row],[Tabel ID]])-ROW(LineærRegression_Valg[[#Headers],[Tabel ID]])</f>
        <v>114</v>
      </c>
      <c r="B124" s="188">
        <f>ROUNDDOWN((LineærRegression_Valg[[#This Row],[Tabel ID]]-1)/$B$5,0)+1</f>
        <v>29</v>
      </c>
      <c r="C124" s="188">
        <f t="shared" si="1"/>
        <v>2</v>
      </c>
      <c r="D124" s="188" t="b">
        <f>LineærRegression_Valg[[#This Row],[Afhængig variabel ID]]&lt;&gt;LineærRegression_Valg[[#This Row],[Uafhængig variabel ID]]</f>
        <v>1</v>
      </c>
      <c r="E124" t="b">
        <f>LineærRegression_Valg[[#This Row],[Afhængig variabel ID]]&lt;=$B$5</f>
        <v>0</v>
      </c>
      <c r="F124" t="str" cm="1">
        <f t="array" ref="F124">IF(LineærRegression_Valg[[#This Row],[Indenfor range]],INDEX(DataTitel_liste,LineærRegression_Valg[[#This Row],[Afhængig variabel ID]]),INDEX(DataTitel_liste,1))</f>
        <v>Eksempel 1 (interval)</v>
      </c>
      <c r="G124" s="188" t="str" cm="1">
        <f t="array" ref="G124">IF(LineærRegression_Valg[[#This Row],[Indenfor range]],IF(LineærRegression_Valg[[#This Row],[Intet overlap]],INDEX(DataTitel_liste,LineærRegression_Valg[[#This Row],[Uafhængig variabel ID]]),INDEX(DataTitel_liste,IF(LineærRegression_Valg[[#This Row],[Afhængig variabel ID]]=1,2,1))),$B$7)</f>
        <v>Eksempel 2 (interval)</v>
      </c>
      <c r="H124" s="188">
        <f>_xlfn.AGGREGATE(2,5,LineærRegression_Valg[[#This Row],[Tabel ID]])</f>
        <v>1</v>
      </c>
    </row>
    <row r="125" spans="1:8" x14ac:dyDescent="0.2">
      <c r="A125">
        <f>ROW(LineærRegression_Valg[[#This Row],[Tabel ID]])-ROW(LineærRegression_Valg[[#Headers],[Tabel ID]])</f>
        <v>115</v>
      </c>
      <c r="B125" s="188">
        <f>ROUNDDOWN((LineærRegression_Valg[[#This Row],[Tabel ID]]-1)/$B$5,0)+1</f>
        <v>29</v>
      </c>
      <c r="C125" s="188">
        <f t="shared" si="1"/>
        <v>3</v>
      </c>
      <c r="D125" s="188" t="b">
        <f>LineærRegression_Valg[[#This Row],[Afhængig variabel ID]]&lt;&gt;LineærRegression_Valg[[#This Row],[Uafhængig variabel ID]]</f>
        <v>1</v>
      </c>
      <c r="E125" t="b">
        <f>LineærRegression_Valg[[#This Row],[Afhængig variabel ID]]&lt;=$B$5</f>
        <v>0</v>
      </c>
      <c r="F125" t="str" cm="1">
        <f t="array" ref="F125">IF(LineærRegression_Valg[[#This Row],[Indenfor range]],INDEX(DataTitel_liste,LineærRegression_Valg[[#This Row],[Afhængig variabel ID]]),INDEX(DataTitel_liste,1))</f>
        <v>Eksempel 1 (interval)</v>
      </c>
      <c r="G125" s="188" t="str" cm="1">
        <f t="array" ref="G125">IF(LineærRegression_Valg[[#This Row],[Indenfor range]],IF(LineærRegression_Valg[[#This Row],[Intet overlap]],INDEX(DataTitel_liste,LineærRegression_Valg[[#This Row],[Uafhængig variabel ID]]),INDEX(DataTitel_liste,IF(LineærRegression_Valg[[#This Row],[Afhængig variabel ID]]=1,2,1))),$B$7)</f>
        <v>Eksempel 2 (interval)</v>
      </c>
      <c r="H125" s="188">
        <f>_xlfn.AGGREGATE(2,5,LineærRegression_Valg[[#This Row],[Tabel ID]])</f>
        <v>1</v>
      </c>
    </row>
    <row r="126" spans="1:8" x14ac:dyDescent="0.2">
      <c r="A126">
        <f>ROW(LineærRegression_Valg[[#This Row],[Tabel ID]])-ROW(LineærRegression_Valg[[#Headers],[Tabel ID]])</f>
        <v>116</v>
      </c>
      <c r="B126" s="188">
        <f>ROUNDDOWN((LineærRegression_Valg[[#This Row],[Tabel ID]]-1)/$B$5,0)+1</f>
        <v>29</v>
      </c>
      <c r="C126" s="188">
        <f t="shared" si="1"/>
        <v>4</v>
      </c>
      <c r="D126" s="188" t="b">
        <f>LineærRegression_Valg[[#This Row],[Afhængig variabel ID]]&lt;&gt;LineærRegression_Valg[[#This Row],[Uafhængig variabel ID]]</f>
        <v>1</v>
      </c>
      <c r="E126" t="b">
        <f>LineærRegression_Valg[[#This Row],[Afhængig variabel ID]]&lt;=$B$5</f>
        <v>0</v>
      </c>
      <c r="F126" t="str" cm="1">
        <f t="array" ref="F126">IF(LineærRegression_Valg[[#This Row],[Indenfor range]],INDEX(DataTitel_liste,LineærRegression_Valg[[#This Row],[Afhængig variabel ID]]),INDEX(DataTitel_liste,1))</f>
        <v>Eksempel 1 (interval)</v>
      </c>
      <c r="G126" s="188" t="str" cm="1">
        <f t="array" ref="G126">IF(LineærRegression_Valg[[#This Row],[Indenfor range]],IF(LineærRegression_Valg[[#This Row],[Intet overlap]],INDEX(DataTitel_liste,LineærRegression_Valg[[#This Row],[Uafhængig variabel ID]]),INDEX(DataTitel_liste,IF(LineærRegression_Valg[[#This Row],[Afhængig variabel ID]]=1,2,1))),$B$7)</f>
        <v>Eksempel 2 (interval)</v>
      </c>
      <c r="H126" s="188">
        <f>_xlfn.AGGREGATE(2,5,LineærRegression_Valg[[#This Row],[Tabel ID]])</f>
        <v>1</v>
      </c>
    </row>
    <row r="127" spans="1:8" x14ac:dyDescent="0.2">
      <c r="A127">
        <f>ROW(LineærRegression_Valg[[#This Row],[Tabel ID]])-ROW(LineærRegression_Valg[[#Headers],[Tabel ID]])</f>
        <v>117</v>
      </c>
      <c r="B127" s="188">
        <f>ROUNDDOWN((LineærRegression_Valg[[#This Row],[Tabel ID]]-1)/$B$5,0)+1</f>
        <v>30</v>
      </c>
      <c r="C127" s="188">
        <f t="shared" si="1"/>
        <v>1</v>
      </c>
      <c r="D127" s="188" t="b">
        <f>LineærRegression_Valg[[#This Row],[Afhængig variabel ID]]&lt;&gt;LineærRegression_Valg[[#This Row],[Uafhængig variabel ID]]</f>
        <v>1</v>
      </c>
      <c r="E127" t="b">
        <f>LineærRegression_Valg[[#This Row],[Afhængig variabel ID]]&lt;=$B$5</f>
        <v>0</v>
      </c>
      <c r="F127" t="str" cm="1">
        <f t="array" ref="F127">IF(LineærRegression_Valg[[#This Row],[Indenfor range]],INDEX(DataTitel_liste,LineærRegression_Valg[[#This Row],[Afhængig variabel ID]]),INDEX(DataTitel_liste,1))</f>
        <v>Eksempel 1 (interval)</v>
      </c>
      <c r="G127" s="188" t="str" cm="1">
        <f t="array" ref="G127">IF(LineærRegression_Valg[[#This Row],[Indenfor range]],IF(LineærRegression_Valg[[#This Row],[Intet overlap]],INDEX(DataTitel_liste,LineærRegression_Valg[[#This Row],[Uafhængig variabel ID]]),INDEX(DataTitel_liste,IF(LineærRegression_Valg[[#This Row],[Afhængig variabel ID]]=1,2,1))),$B$7)</f>
        <v>Eksempel 2 (interval)</v>
      </c>
      <c r="H127" s="188">
        <f>_xlfn.AGGREGATE(2,5,LineærRegression_Valg[[#This Row],[Tabel ID]])</f>
        <v>1</v>
      </c>
    </row>
    <row r="128" spans="1:8" x14ac:dyDescent="0.2">
      <c r="A128">
        <f>ROW(LineærRegression_Valg[[#This Row],[Tabel ID]])-ROW(LineærRegression_Valg[[#Headers],[Tabel ID]])</f>
        <v>118</v>
      </c>
      <c r="B128" s="188">
        <f>ROUNDDOWN((LineærRegression_Valg[[#This Row],[Tabel ID]]-1)/$B$5,0)+1</f>
        <v>30</v>
      </c>
      <c r="C128" s="188">
        <f t="shared" si="1"/>
        <v>2</v>
      </c>
      <c r="D128" s="188" t="b">
        <f>LineærRegression_Valg[[#This Row],[Afhængig variabel ID]]&lt;&gt;LineærRegression_Valg[[#This Row],[Uafhængig variabel ID]]</f>
        <v>1</v>
      </c>
      <c r="E128" t="b">
        <f>LineærRegression_Valg[[#This Row],[Afhængig variabel ID]]&lt;=$B$5</f>
        <v>0</v>
      </c>
      <c r="F128" t="str" cm="1">
        <f t="array" ref="F128">IF(LineærRegression_Valg[[#This Row],[Indenfor range]],INDEX(DataTitel_liste,LineærRegression_Valg[[#This Row],[Afhængig variabel ID]]),INDEX(DataTitel_liste,1))</f>
        <v>Eksempel 1 (interval)</v>
      </c>
      <c r="G128" s="188" t="str" cm="1">
        <f t="array" ref="G128">IF(LineærRegression_Valg[[#This Row],[Indenfor range]],IF(LineærRegression_Valg[[#This Row],[Intet overlap]],INDEX(DataTitel_liste,LineærRegression_Valg[[#This Row],[Uafhængig variabel ID]]),INDEX(DataTitel_liste,IF(LineærRegression_Valg[[#This Row],[Afhængig variabel ID]]=1,2,1))),$B$7)</f>
        <v>Eksempel 2 (interval)</v>
      </c>
      <c r="H128" s="188">
        <f>_xlfn.AGGREGATE(2,5,LineærRegression_Valg[[#This Row],[Tabel ID]])</f>
        <v>1</v>
      </c>
    </row>
    <row r="129" spans="1:8" x14ac:dyDescent="0.2">
      <c r="A129">
        <f>ROW(LineærRegression_Valg[[#This Row],[Tabel ID]])-ROW(LineærRegression_Valg[[#Headers],[Tabel ID]])</f>
        <v>119</v>
      </c>
      <c r="B129" s="188">
        <f>ROUNDDOWN((LineærRegression_Valg[[#This Row],[Tabel ID]]-1)/$B$5,0)+1</f>
        <v>30</v>
      </c>
      <c r="C129" s="188">
        <f t="shared" si="1"/>
        <v>3</v>
      </c>
      <c r="D129" s="188" t="b">
        <f>LineærRegression_Valg[[#This Row],[Afhængig variabel ID]]&lt;&gt;LineærRegression_Valg[[#This Row],[Uafhængig variabel ID]]</f>
        <v>1</v>
      </c>
      <c r="E129" t="b">
        <f>LineærRegression_Valg[[#This Row],[Afhængig variabel ID]]&lt;=$B$5</f>
        <v>0</v>
      </c>
      <c r="F129" t="str" cm="1">
        <f t="array" ref="F129">IF(LineærRegression_Valg[[#This Row],[Indenfor range]],INDEX(DataTitel_liste,LineærRegression_Valg[[#This Row],[Afhængig variabel ID]]),INDEX(DataTitel_liste,1))</f>
        <v>Eksempel 1 (interval)</v>
      </c>
      <c r="G129" s="188" t="str" cm="1">
        <f t="array" ref="G129">IF(LineærRegression_Valg[[#This Row],[Indenfor range]],IF(LineærRegression_Valg[[#This Row],[Intet overlap]],INDEX(DataTitel_liste,LineærRegression_Valg[[#This Row],[Uafhængig variabel ID]]),INDEX(DataTitel_liste,IF(LineærRegression_Valg[[#This Row],[Afhængig variabel ID]]=1,2,1))),$B$7)</f>
        <v>Eksempel 2 (interval)</v>
      </c>
      <c r="H129" s="188">
        <f>_xlfn.AGGREGATE(2,5,LineærRegression_Valg[[#This Row],[Tabel ID]])</f>
        <v>1</v>
      </c>
    </row>
    <row r="130" spans="1:8" x14ac:dyDescent="0.2">
      <c r="A130">
        <f>ROW(LineærRegression_Valg[[#This Row],[Tabel ID]])-ROW(LineærRegression_Valg[[#Headers],[Tabel ID]])</f>
        <v>120</v>
      </c>
      <c r="B130" s="188">
        <f>ROUNDDOWN((LineærRegression_Valg[[#This Row],[Tabel ID]]-1)/$B$5,0)+1</f>
        <v>30</v>
      </c>
      <c r="C130" s="188">
        <f t="shared" si="1"/>
        <v>4</v>
      </c>
      <c r="D130" s="188" t="b">
        <f>LineærRegression_Valg[[#This Row],[Afhængig variabel ID]]&lt;&gt;LineærRegression_Valg[[#This Row],[Uafhængig variabel ID]]</f>
        <v>1</v>
      </c>
      <c r="E130" t="b">
        <f>LineærRegression_Valg[[#This Row],[Afhængig variabel ID]]&lt;=$B$5</f>
        <v>0</v>
      </c>
      <c r="F130" t="str" cm="1">
        <f t="array" ref="F130">IF(LineærRegression_Valg[[#This Row],[Indenfor range]],INDEX(DataTitel_liste,LineærRegression_Valg[[#This Row],[Afhængig variabel ID]]),INDEX(DataTitel_liste,1))</f>
        <v>Eksempel 1 (interval)</v>
      </c>
      <c r="G130" s="188" t="str" cm="1">
        <f t="array" ref="G130">IF(LineærRegression_Valg[[#This Row],[Indenfor range]],IF(LineærRegression_Valg[[#This Row],[Intet overlap]],INDEX(DataTitel_liste,LineærRegression_Valg[[#This Row],[Uafhængig variabel ID]]),INDEX(DataTitel_liste,IF(LineærRegression_Valg[[#This Row],[Afhængig variabel ID]]=1,2,1))),$B$7)</f>
        <v>Eksempel 2 (interval)</v>
      </c>
      <c r="H130" s="188">
        <f>_xlfn.AGGREGATE(2,5,LineærRegression_Valg[[#This Row],[Tabel ID]])</f>
        <v>1</v>
      </c>
    </row>
    <row r="131" spans="1:8" x14ac:dyDescent="0.2">
      <c r="A131">
        <f>ROW(LineærRegression_Valg[[#This Row],[Tabel ID]])-ROW(LineærRegression_Valg[[#Headers],[Tabel ID]])</f>
        <v>121</v>
      </c>
      <c r="B131" s="188">
        <f>ROUNDDOWN((LineærRegression_Valg[[#This Row],[Tabel ID]]-1)/$B$5,0)+1</f>
        <v>31</v>
      </c>
      <c r="C131" s="188">
        <f t="shared" si="1"/>
        <v>1</v>
      </c>
      <c r="D131" s="188" t="b">
        <f>LineærRegression_Valg[[#This Row],[Afhængig variabel ID]]&lt;&gt;LineærRegression_Valg[[#This Row],[Uafhængig variabel ID]]</f>
        <v>1</v>
      </c>
      <c r="E131" t="b">
        <f>LineærRegression_Valg[[#This Row],[Afhængig variabel ID]]&lt;=$B$5</f>
        <v>0</v>
      </c>
      <c r="F131" t="str" cm="1">
        <f t="array" ref="F131">IF(LineærRegression_Valg[[#This Row],[Indenfor range]],INDEX(DataTitel_liste,LineærRegression_Valg[[#This Row],[Afhængig variabel ID]]),INDEX(DataTitel_liste,1))</f>
        <v>Eksempel 1 (interval)</v>
      </c>
      <c r="G131" s="188" t="str" cm="1">
        <f t="array" ref="G131">IF(LineærRegression_Valg[[#This Row],[Indenfor range]],IF(LineærRegression_Valg[[#This Row],[Intet overlap]],INDEX(DataTitel_liste,LineærRegression_Valg[[#This Row],[Uafhængig variabel ID]]),INDEX(DataTitel_liste,IF(LineærRegression_Valg[[#This Row],[Afhængig variabel ID]]=1,2,1))),$B$7)</f>
        <v>Eksempel 2 (interval)</v>
      </c>
      <c r="H131" s="188">
        <f>_xlfn.AGGREGATE(2,5,LineærRegression_Valg[[#This Row],[Tabel ID]])</f>
        <v>1</v>
      </c>
    </row>
    <row r="132" spans="1:8" x14ac:dyDescent="0.2">
      <c r="A132">
        <f>ROW(LineærRegression_Valg[[#This Row],[Tabel ID]])-ROW(LineærRegression_Valg[[#Headers],[Tabel ID]])</f>
        <v>122</v>
      </c>
      <c r="B132" s="188">
        <f>ROUNDDOWN((LineærRegression_Valg[[#This Row],[Tabel ID]]-1)/$B$5,0)+1</f>
        <v>31</v>
      </c>
      <c r="C132" s="188">
        <f t="shared" si="1"/>
        <v>2</v>
      </c>
      <c r="D132" s="188" t="b">
        <f>LineærRegression_Valg[[#This Row],[Afhængig variabel ID]]&lt;&gt;LineærRegression_Valg[[#This Row],[Uafhængig variabel ID]]</f>
        <v>1</v>
      </c>
      <c r="E132" t="b">
        <f>LineærRegression_Valg[[#This Row],[Afhængig variabel ID]]&lt;=$B$5</f>
        <v>0</v>
      </c>
      <c r="F132" t="str" cm="1">
        <f t="array" ref="F132">IF(LineærRegression_Valg[[#This Row],[Indenfor range]],INDEX(DataTitel_liste,LineærRegression_Valg[[#This Row],[Afhængig variabel ID]]),INDEX(DataTitel_liste,1))</f>
        <v>Eksempel 1 (interval)</v>
      </c>
      <c r="G132" s="188" t="str" cm="1">
        <f t="array" ref="G132">IF(LineærRegression_Valg[[#This Row],[Indenfor range]],IF(LineærRegression_Valg[[#This Row],[Intet overlap]],INDEX(DataTitel_liste,LineærRegression_Valg[[#This Row],[Uafhængig variabel ID]]),INDEX(DataTitel_liste,IF(LineærRegression_Valg[[#This Row],[Afhængig variabel ID]]=1,2,1))),$B$7)</f>
        <v>Eksempel 2 (interval)</v>
      </c>
      <c r="H132" s="188">
        <f>_xlfn.AGGREGATE(2,5,LineærRegression_Valg[[#This Row],[Tabel ID]])</f>
        <v>1</v>
      </c>
    </row>
    <row r="133" spans="1:8" x14ac:dyDescent="0.2">
      <c r="A133">
        <f>ROW(LineærRegression_Valg[[#This Row],[Tabel ID]])-ROW(LineærRegression_Valg[[#Headers],[Tabel ID]])</f>
        <v>123</v>
      </c>
      <c r="B133" s="188">
        <f>ROUNDDOWN((LineærRegression_Valg[[#This Row],[Tabel ID]]-1)/$B$5,0)+1</f>
        <v>31</v>
      </c>
      <c r="C133" s="188">
        <f t="shared" si="1"/>
        <v>3</v>
      </c>
      <c r="D133" s="188" t="b">
        <f>LineærRegression_Valg[[#This Row],[Afhængig variabel ID]]&lt;&gt;LineærRegression_Valg[[#This Row],[Uafhængig variabel ID]]</f>
        <v>1</v>
      </c>
      <c r="E133" t="b">
        <f>LineærRegression_Valg[[#This Row],[Afhængig variabel ID]]&lt;=$B$5</f>
        <v>0</v>
      </c>
      <c r="F133" t="str" cm="1">
        <f t="array" ref="F133">IF(LineærRegression_Valg[[#This Row],[Indenfor range]],INDEX(DataTitel_liste,LineærRegression_Valg[[#This Row],[Afhængig variabel ID]]),INDEX(DataTitel_liste,1))</f>
        <v>Eksempel 1 (interval)</v>
      </c>
      <c r="G133" s="188" t="str" cm="1">
        <f t="array" ref="G133">IF(LineærRegression_Valg[[#This Row],[Indenfor range]],IF(LineærRegression_Valg[[#This Row],[Intet overlap]],INDEX(DataTitel_liste,LineærRegression_Valg[[#This Row],[Uafhængig variabel ID]]),INDEX(DataTitel_liste,IF(LineærRegression_Valg[[#This Row],[Afhængig variabel ID]]=1,2,1))),$B$7)</f>
        <v>Eksempel 2 (interval)</v>
      </c>
      <c r="H133" s="188">
        <f>_xlfn.AGGREGATE(2,5,LineærRegression_Valg[[#This Row],[Tabel ID]])</f>
        <v>1</v>
      </c>
    </row>
    <row r="134" spans="1:8" x14ac:dyDescent="0.2">
      <c r="A134">
        <f>ROW(LineærRegression_Valg[[#This Row],[Tabel ID]])-ROW(LineærRegression_Valg[[#Headers],[Tabel ID]])</f>
        <v>124</v>
      </c>
      <c r="B134" s="188">
        <f>ROUNDDOWN((LineærRegression_Valg[[#This Row],[Tabel ID]]-1)/$B$5,0)+1</f>
        <v>31</v>
      </c>
      <c r="C134" s="188">
        <f t="shared" si="1"/>
        <v>4</v>
      </c>
      <c r="D134" s="188" t="b">
        <f>LineærRegression_Valg[[#This Row],[Afhængig variabel ID]]&lt;&gt;LineærRegression_Valg[[#This Row],[Uafhængig variabel ID]]</f>
        <v>1</v>
      </c>
      <c r="E134" t="b">
        <f>LineærRegression_Valg[[#This Row],[Afhængig variabel ID]]&lt;=$B$5</f>
        <v>0</v>
      </c>
      <c r="F134" t="str" cm="1">
        <f t="array" ref="F134">IF(LineærRegression_Valg[[#This Row],[Indenfor range]],INDEX(DataTitel_liste,LineærRegression_Valg[[#This Row],[Afhængig variabel ID]]),INDEX(DataTitel_liste,1))</f>
        <v>Eksempel 1 (interval)</v>
      </c>
      <c r="G134" s="188" t="str" cm="1">
        <f t="array" ref="G134">IF(LineærRegression_Valg[[#This Row],[Indenfor range]],IF(LineærRegression_Valg[[#This Row],[Intet overlap]],INDEX(DataTitel_liste,LineærRegression_Valg[[#This Row],[Uafhængig variabel ID]]),INDEX(DataTitel_liste,IF(LineærRegression_Valg[[#This Row],[Afhængig variabel ID]]=1,2,1))),$B$7)</f>
        <v>Eksempel 2 (interval)</v>
      </c>
      <c r="H134" s="188">
        <f>_xlfn.AGGREGATE(2,5,LineærRegression_Valg[[#This Row],[Tabel ID]])</f>
        <v>1</v>
      </c>
    </row>
    <row r="135" spans="1:8" x14ac:dyDescent="0.2">
      <c r="A135">
        <f>ROW(LineærRegression_Valg[[#This Row],[Tabel ID]])-ROW(LineærRegression_Valg[[#Headers],[Tabel ID]])</f>
        <v>125</v>
      </c>
      <c r="B135" s="188">
        <f>ROUNDDOWN((LineærRegression_Valg[[#This Row],[Tabel ID]]-1)/$B$5,0)+1</f>
        <v>32</v>
      </c>
      <c r="C135" s="188">
        <f t="shared" si="1"/>
        <v>1</v>
      </c>
      <c r="D135" s="188" t="b">
        <f>LineærRegression_Valg[[#This Row],[Afhængig variabel ID]]&lt;&gt;LineærRegression_Valg[[#This Row],[Uafhængig variabel ID]]</f>
        <v>1</v>
      </c>
      <c r="E135" t="b">
        <f>LineærRegression_Valg[[#This Row],[Afhængig variabel ID]]&lt;=$B$5</f>
        <v>0</v>
      </c>
      <c r="F135" t="str" cm="1">
        <f t="array" ref="F135">IF(LineærRegression_Valg[[#This Row],[Indenfor range]],INDEX(DataTitel_liste,LineærRegression_Valg[[#This Row],[Afhængig variabel ID]]),INDEX(DataTitel_liste,1))</f>
        <v>Eksempel 1 (interval)</v>
      </c>
      <c r="G135" s="188" t="str" cm="1">
        <f t="array" ref="G135">IF(LineærRegression_Valg[[#This Row],[Indenfor range]],IF(LineærRegression_Valg[[#This Row],[Intet overlap]],INDEX(DataTitel_liste,LineærRegression_Valg[[#This Row],[Uafhængig variabel ID]]),INDEX(DataTitel_liste,IF(LineærRegression_Valg[[#This Row],[Afhængig variabel ID]]=1,2,1))),$B$7)</f>
        <v>Eksempel 2 (interval)</v>
      </c>
      <c r="H135" s="188">
        <f>_xlfn.AGGREGATE(2,5,LineærRegression_Valg[[#This Row],[Tabel ID]])</f>
        <v>1</v>
      </c>
    </row>
    <row r="136" spans="1:8" x14ac:dyDescent="0.2">
      <c r="A136">
        <f>ROW(LineærRegression_Valg[[#This Row],[Tabel ID]])-ROW(LineærRegression_Valg[[#Headers],[Tabel ID]])</f>
        <v>126</v>
      </c>
      <c r="B136" s="188">
        <f>ROUNDDOWN((LineærRegression_Valg[[#This Row],[Tabel ID]]-1)/$B$5,0)+1</f>
        <v>32</v>
      </c>
      <c r="C136" s="188">
        <f t="shared" si="1"/>
        <v>2</v>
      </c>
      <c r="D136" s="188" t="b">
        <f>LineærRegression_Valg[[#This Row],[Afhængig variabel ID]]&lt;&gt;LineærRegression_Valg[[#This Row],[Uafhængig variabel ID]]</f>
        <v>1</v>
      </c>
      <c r="E136" t="b">
        <f>LineærRegression_Valg[[#This Row],[Afhængig variabel ID]]&lt;=$B$5</f>
        <v>0</v>
      </c>
      <c r="F136" t="str" cm="1">
        <f t="array" ref="F136">IF(LineærRegression_Valg[[#This Row],[Indenfor range]],INDEX(DataTitel_liste,LineærRegression_Valg[[#This Row],[Afhængig variabel ID]]),INDEX(DataTitel_liste,1))</f>
        <v>Eksempel 1 (interval)</v>
      </c>
      <c r="G136" s="188" t="str" cm="1">
        <f t="array" ref="G136">IF(LineærRegression_Valg[[#This Row],[Indenfor range]],IF(LineærRegression_Valg[[#This Row],[Intet overlap]],INDEX(DataTitel_liste,LineærRegression_Valg[[#This Row],[Uafhængig variabel ID]]),INDEX(DataTitel_liste,IF(LineærRegression_Valg[[#This Row],[Afhængig variabel ID]]=1,2,1))),$B$7)</f>
        <v>Eksempel 2 (interval)</v>
      </c>
      <c r="H136" s="188">
        <f>_xlfn.AGGREGATE(2,5,LineærRegression_Valg[[#This Row],[Tabel ID]])</f>
        <v>1</v>
      </c>
    </row>
    <row r="137" spans="1:8" x14ac:dyDescent="0.2">
      <c r="A137">
        <f>ROW(LineærRegression_Valg[[#This Row],[Tabel ID]])-ROW(LineærRegression_Valg[[#Headers],[Tabel ID]])</f>
        <v>127</v>
      </c>
      <c r="B137" s="188">
        <f>ROUNDDOWN((LineærRegression_Valg[[#This Row],[Tabel ID]]-1)/$B$5,0)+1</f>
        <v>32</v>
      </c>
      <c r="C137" s="188">
        <f t="shared" si="1"/>
        <v>3</v>
      </c>
      <c r="D137" s="188" t="b">
        <f>LineærRegression_Valg[[#This Row],[Afhængig variabel ID]]&lt;&gt;LineærRegression_Valg[[#This Row],[Uafhængig variabel ID]]</f>
        <v>1</v>
      </c>
      <c r="E137" t="b">
        <f>LineærRegression_Valg[[#This Row],[Afhængig variabel ID]]&lt;=$B$5</f>
        <v>0</v>
      </c>
      <c r="F137" t="str" cm="1">
        <f t="array" ref="F137">IF(LineærRegression_Valg[[#This Row],[Indenfor range]],INDEX(DataTitel_liste,LineærRegression_Valg[[#This Row],[Afhængig variabel ID]]),INDEX(DataTitel_liste,1))</f>
        <v>Eksempel 1 (interval)</v>
      </c>
      <c r="G137" s="188" t="str" cm="1">
        <f t="array" ref="G137">IF(LineærRegression_Valg[[#This Row],[Indenfor range]],IF(LineærRegression_Valg[[#This Row],[Intet overlap]],INDEX(DataTitel_liste,LineærRegression_Valg[[#This Row],[Uafhængig variabel ID]]),INDEX(DataTitel_liste,IF(LineærRegression_Valg[[#This Row],[Afhængig variabel ID]]=1,2,1))),$B$7)</f>
        <v>Eksempel 2 (interval)</v>
      </c>
      <c r="H137" s="188">
        <f>_xlfn.AGGREGATE(2,5,LineærRegression_Valg[[#This Row],[Tabel ID]])</f>
        <v>1</v>
      </c>
    </row>
    <row r="138" spans="1:8" x14ac:dyDescent="0.2">
      <c r="A138">
        <f>ROW(LineærRegression_Valg[[#This Row],[Tabel ID]])-ROW(LineærRegression_Valg[[#Headers],[Tabel ID]])</f>
        <v>128</v>
      </c>
      <c r="B138" s="188">
        <f>ROUNDDOWN((LineærRegression_Valg[[#This Row],[Tabel ID]]-1)/$B$5,0)+1</f>
        <v>32</v>
      </c>
      <c r="C138" s="188">
        <f t="shared" si="1"/>
        <v>4</v>
      </c>
      <c r="D138" s="188" t="b">
        <f>LineærRegression_Valg[[#This Row],[Afhængig variabel ID]]&lt;&gt;LineærRegression_Valg[[#This Row],[Uafhængig variabel ID]]</f>
        <v>1</v>
      </c>
      <c r="E138" t="b">
        <f>LineærRegression_Valg[[#This Row],[Afhængig variabel ID]]&lt;=$B$5</f>
        <v>0</v>
      </c>
      <c r="F138" t="str" cm="1">
        <f t="array" ref="F138">IF(LineærRegression_Valg[[#This Row],[Indenfor range]],INDEX(DataTitel_liste,LineærRegression_Valg[[#This Row],[Afhængig variabel ID]]),INDEX(DataTitel_liste,1))</f>
        <v>Eksempel 1 (interval)</v>
      </c>
      <c r="G138" s="188" t="str" cm="1">
        <f t="array" ref="G138">IF(LineærRegression_Valg[[#This Row],[Indenfor range]],IF(LineærRegression_Valg[[#This Row],[Intet overlap]],INDEX(DataTitel_liste,LineærRegression_Valg[[#This Row],[Uafhængig variabel ID]]),INDEX(DataTitel_liste,IF(LineærRegression_Valg[[#This Row],[Afhængig variabel ID]]=1,2,1))),$B$7)</f>
        <v>Eksempel 2 (interval)</v>
      </c>
      <c r="H138" s="188">
        <f>_xlfn.AGGREGATE(2,5,LineærRegression_Valg[[#This Row],[Tabel ID]])</f>
        <v>1</v>
      </c>
    </row>
    <row r="139" spans="1:8" x14ac:dyDescent="0.2">
      <c r="A139">
        <f>ROW(LineærRegression_Valg[[#This Row],[Tabel ID]])-ROW(LineærRegression_Valg[[#Headers],[Tabel ID]])</f>
        <v>129</v>
      </c>
      <c r="B139" s="188">
        <f>ROUNDDOWN((LineærRegression_Valg[[#This Row],[Tabel ID]]-1)/$B$5,0)+1</f>
        <v>33</v>
      </c>
      <c r="C139" s="188">
        <f t="shared" ref="C139:C202" si="2">MOD(A139-1,$B$5)+1</f>
        <v>1</v>
      </c>
      <c r="D139" s="188" t="b">
        <f>LineærRegression_Valg[[#This Row],[Afhængig variabel ID]]&lt;&gt;LineærRegression_Valg[[#This Row],[Uafhængig variabel ID]]</f>
        <v>1</v>
      </c>
      <c r="E139" t="b">
        <f>LineærRegression_Valg[[#This Row],[Afhængig variabel ID]]&lt;=$B$5</f>
        <v>0</v>
      </c>
      <c r="F139" t="str" cm="1">
        <f t="array" ref="F139">IF(LineærRegression_Valg[[#This Row],[Indenfor range]],INDEX(DataTitel_liste,LineærRegression_Valg[[#This Row],[Afhængig variabel ID]]),INDEX(DataTitel_liste,1))</f>
        <v>Eksempel 1 (interval)</v>
      </c>
      <c r="G139" s="188" t="str" cm="1">
        <f t="array" ref="G139">IF(LineærRegression_Valg[[#This Row],[Indenfor range]],IF(LineærRegression_Valg[[#This Row],[Intet overlap]],INDEX(DataTitel_liste,LineærRegression_Valg[[#This Row],[Uafhængig variabel ID]]),INDEX(DataTitel_liste,IF(LineærRegression_Valg[[#This Row],[Afhængig variabel ID]]=1,2,1))),$B$7)</f>
        <v>Eksempel 2 (interval)</v>
      </c>
      <c r="H139" s="188">
        <f>_xlfn.AGGREGATE(2,5,LineærRegression_Valg[[#This Row],[Tabel ID]])</f>
        <v>1</v>
      </c>
    </row>
    <row r="140" spans="1:8" x14ac:dyDescent="0.2">
      <c r="A140">
        <f>ROW(LineærRegression_Valg[[#This Row],[Tabel ID]])-ROW(LineærRegression_Valg[[#Headers],[Tabel ID]])</f>
        <v>130</v>
      </c>
      <c r="B140" s="188">
        <f>ROUNDDOWN((LineærRegression_Valg[[#This Row],[Tabel ID]]-1)/$B$5,0)+1</f>
        <v>33</v>
      </c>
      <c r="C140" s="188">
        <f t="shared" si="2"/>
        <v>2</v>
      </c>
      <c r="D140" s="188" t="b">
        <f>LineærRegression_Valg[[#This Row],[Afhængig variabel ID]]&lt;&gt;LineærRegression_Valg[[#This Row],[Uafhængig variabel ID]]</f>
        <v>1</v>
      </c>
      <c r="E140" t="b">
        <f>LineærRegression_Valg[[#This Row],[Afhængig variabel ID]]&lt;=$B$5</f>
        <v>0</v>
      </c>
      <c r="F140" t="str" cm="1">
        <f t="array" ref="F140">IF(LineærRegression_Valg[[#This Row],[Indenfor range]],INDEX(DataTitel_liste,LineærRegression_Valg[[#This Row],[Afhængig variabel ID]]),INDEX(DataTitel_liste,1))</f>
        <v>Eksempel 1 (interval)</v>
      </c>
      <c r="G140" s="188" t="str" cm="1">
        <f t="array" ref="G140">IF(LineærRegression_Valg[[#This Row],[Indenfor range]],IF(LineærRegression_Valg[[#This Row],[Intet overlap]],INDEX(DataTitel_liste,LineærRegression_Valg[[#This Row],[Uafhængig variabel ID]]),INDEX(DataTitel_liste,IF(LineærRegression_Valg[[#This Row],[Afhængig variabel ID]]=1,2,1))),$B$7)</f>
        <v>Eksempel 2 (interval)</v>
      </c>
      <c r="H140" s="188">
        <f>_xlfn.AGGREGATE(2,5,LineærRegression_Valg[[#This Row],[Tabel ID]])</f>
        <v>1</v>
      </c>
    </row>
    <row r="141" spans="1:8" x14ac:dyDescent="0.2">
      <c r="A141">
        <f>ROW(LineærRegression_Valg[[#This Row],[Tabel ID]])-ROW(LineærRegression_Valg[[#Headers],[Tabel ID]])</f>
        <v>131</v>
      </c>
      <c r="B141" s="188">
        <f>ROUNDDOWN((LineærRegression_Valg[[#This Row],[Tabel ID]]-1)/$B$5,0)+1</f>
        <v>33</v>
      </c>
      <c r="C141" s="188">
        <f t="shared" si="2"/>
        <v>3</v>
      </c>
      <c r="D141" s="188" t="b">
        <f>LineærRegression_Valg[[#This Row],[Afhængig variabel ID]]&lt;&gt;LineærRegression_Valg[[#This Row],[Uafhængig variabel ID]]</f>
        <v>1</v>
      </c>
      <c r="E141" t="b">
        <f>LineærRegression_Valg[[#This Row],[Afhængig variabel ID]]&lt;=$B$5</f>
        <v>0</v>
      </c>
      <c r="F141" t="str" cm="1">
        <f t="array" ref="F141">IF(LineærRegression_Valg[[#This Row],[Indenfor range]],INDEX(DataTitel_liste,LineærRegression_Valg[[#This Row],[Afhængig variabel ID]]),INDEX(DataTitel_liste,1))</f>
        <v>Eksempel 1 (interval)</v>
      </c>
      <c r="G141" s="188" t="str" cm="1">
        <f t="array" ref="G141">IF(LineærRegression_Valg[[#This Row],[Indenfor range]],IF(LineærRegression_Valg[[#This Row],[Intet overlap]],INDEX(DataTitel_liste,LineærRegression_Valg[[#This Row],[Uafhængig variabel ID]]),INDEX(DataTitel_liste,IF(LineærRegression_Valg[[#This Row],[Afhængig variabel ID]]=1,2,1))),$B$7)</f>
        <v>Eksempel 2 (interval)</v>
      </c>
      <c r="H141" s="188">
        <f>_xlfn.AGGREGATE(2,5,LineærRegression_Valg[[#This Row],[Tabel ID]])</f>
        <v>1</v>
      </c>
    </row>
    <row r="142" spans="1:8" x14ac:dyDescent="0.2">
      <c r="A142">
        <f>ROW(LineærRegression_Valg[[#This Row],[Tabel ID]])-ROW(LineærRegression_Valg[[#Headers],[Tabel ID]])</f>
        <v>132</v>
      </c>
      <c r="B142" s="188">
        <f>ROUNDDOWN((LineærRegression_Valg[[#This Row],[Tabel ID]]-1)/$B$5,0)+1</f>
        <v>33</v>
      </c>
      <c r="C142" s="188">
        <f t="shared" si="2"/>
        <v>4</v>
      </c>
      <c r="D142" s="188" t="b">
        <f>LineærRegression_Valg[[#This Row],[Afhængig variabel ID]]&lt;&gt;LineærRegression_Valg[[#This Row],[Uafhængig variabel ID]]</f>
        <v>1</v>
      </c>
      <c r="E142" t="b">
        <f>LineærRegression_Valg[[#This Row],[Afhængig variabel ID]]&lt;=$B$5</f>
        <v>0</v>
      </c>
      <c r="F142" t="str" cm="1">
        <f t="array" ref="F142">IF(LineærRegression_Valg[[#This Row],[Indenfor range]],INDEX(DataTitel_liste,LineærRegression_Valg[[#This Row],[Afhængig variabel ID]]),INDEX(DataTitel_liste,1))</f>
        <v>Eksempel 1 (interval)</v>
      </c>
      <c r="G142" s="188" t="str" cm="1">
        <f t="array" ref="G142">IF(LineærRegression_Valg[[#This Row],[Indenfor range]],IF(LineærRegression_Valg[[#This Row],[Intet overlap]],INDEX(DataTitel_liste,LineærRegression_Valg[[#This Row],[Uafhængig variabel ID]]),INDEX(DataTitel_liste,IF(LineærRegression_Valg[[#This Row],[Afhængig variabel ID]]=1,2,1))),$B$7)</f>
        <v>Eksempel 2 (interval)</v>
      </c>
      <c r="H142" s="188">
        <f>_xlfn.AGGREGATE(2,5,LineærRegression_Valg[[#This Row],[Tabel ID]])</f>
        <v>1</v>
      </c>
    </row>
    <row r="143" spans="1:8" x14ac:dyDescent="0.2">
      <c r="A143">
        <f>ROW(LineærRegression_Valg[[#This Row],[Tabel ID]])-ROW(LineærRegression_Valg[[#Headers],[Tabel ID]])</f>
        <v>133</v>
      </c>
      <c r="B143" s="188">
        <f>ROUNDDOWN((LineærRegression_Valg[[#This Row],[Tabel ID]]-1)/$B$5,0)+1</f>
        <v>34</v>
      </c>
      <c r="C143" s="188">
        <f t="shared" si="2"/>
        <v>1</v>
      </c>
      <c r="D143" s="188" t="b">
        <f>LineærRegression_Valg[[#This Row],[Afhængig variabel ID]]&lt;&gt;LineærRegression_Valg[[#This Row],[Uafhængig variabel ID]]</f>
        <v>1</v>
      </c>
      <c r="E143" t="b">
        <f>LineærRegression_Valg[[#This Row],[Afhængig variabel ID]]&lt;=$B$5</f>
        <v>0</v>
      </c>
      <c r="F143" t="str" cm="1">
        <f t="array" ref="F143">IF(LineærRegression_Valg[[#This Row],[Indenfor range]],INDEX(DataTitel_liste,LineærRegression_Valg[[#This Row],[Afhængig variabel ID]]),INDEX(DataTitel_liste,1))</f>
        <v>Eksempel 1 (interval)</v>
      </c>
      <c r="G143" s="188" t="str" cm="1">
        <f t="array" ref="G143">IF(LineærRegression_Valg[[#This Row],[Indenfor range]],IF(LineærRegression_Valg[[#This Row],[Intet overlap]],INDEX(DataTitel_liste,LineærRegression_Valg[[#This Row],[Uafhængig variabel ID]]),INDEX(DataTitel_liste,IF(LineærRegression_Valg[[#This Row],[Afhængig variabel ID]]=1,2,1))),$B$7)</f>
        <v>Eksempel 2 (interval)</v>
      </c>
      <c r="H143" s="188">
        <f>_xlfn.AGGREGATE(2,5,LineærRegression_Valg[[#This Row],[Tabel ID]])</f>
        <v>1</v>
      </c>
    </row>
    <row r="144" spans="1:8" x14ac:dyDescent="0.2">
      <c r="A144">
        <f>ROW(LineærRegression_Valg[[#This Row],[Tabel ID]])-ROW(LineærRegression_Valg[[#Headers],[Tabel ID]])</f>
        <v>134</v>
      </c>
      <c r="B144" s="188">
        <f>ROUNDDOWN((LineærRegression_Valg[[#This Row],[Tabel ID]]-1)/$B$5,0)+1</f>
        <v>34</v>
      </c>
      <c r="C144" s="188">
        <f t="shared" si="2"/>
        <v>2</v>
      </c>
      <c r="D144" s="188" t="b">
        <f>LineærRegression_Valg[[#This Row],[Afhængig variabel ID]]&lt;&gt;LineærRegression_Valg[[#This Row],[Uafhængig variabel ID]]</f>
        <v>1</v>
      </c>
      <c r="E144" t="b">
        <f>LineærRegression_Valg[[#This Row],[Afhængig variabel ID]]&lt;=$B$5</f>
        <v>0</v>
      </c>
      <c r="F144" t="str" cm="1">
        <f t="array" ref="F144">IF(LineærRegression_Valg[[#This Row],[Indenfor range]],INDEX(DataTitel_liste,LineærRegression_Valg[[#This Row],[Afhængig variabel ID]]),INDEX(DataTitel_liste,1))</f>
        <v>Eksempel 1 (interval)</v>
      </c>
      <c r="G144" s="188" t="str" cm="1">
        <f t="array" ref="G144">IF(LineærRegression_Valg[[#This Row],[Indenfor range]],IF(LineærRegression_Valg[[#This Row],[Intet overlap]],INDEX(DataTitel_liste,LineærRegression_Valg[[#This Row],[Uafhængig variabel ID]]),INDEX(DataTitel_liste,IF(LineærRegression_Valg[[#This Row],[Afhængig variabel ID]]=1,2,1))),$B$7)</f>
        <v>Eksempel 2 (interval)</v>
      </c>
      <c r="H144" s="188">
        <f>_xlfn.AGGREGATE(2,5,LineærRegression_Valg[[#This Row],[Tabel ID]])</f>
        <v>1</v>
      </c>
    </row>
    <row r="145" spans="1:8" x14ac:dyDescent="0.2">
      <c r="A145">
        <f>ROW(LineærRegression_Valg[[#This Row],[Tabel ID]])-ROW(LineærRegression_Valg[[#Headers],[Tabel ID]])</f>
        <v>135</v>
      </c>
      <c r="B145" s="188">
        <f>ROUNDDOWN((LineærRegression_Valg[[#This Row],[Tabel ID]]-1)/$B$5,0)+1</f>
        <v>34</v>
      </c>
      <c r="C145" s="188">
        <f t="shared" si="2"/>
        <v>3</v>
      </c>
      <c r="D145" s="188" t="b">
        <f>LineærRegression_Valg[[#This Row],[Afhængig variabel ID]]&lt;&gt;LineærRegression_Valg[[#This Row],[Uafhængig variabel ID]]</f>
        <v>1</v>
      </c>
      <c r="E145" t="b">
        <f>LineærRegression_Valg[[#This Row],[Afhængig variabel ID]]&lt;=$B$5</f>
        <v>0</v>
      </c>
      <c r="F145" t="str" cm="1">
        <f t="array" ref="F145">IF(LineærRegression_Valg[[#This Row],[Indenfor range]],INDEX(DataTitel_liste,LineærRegression_Valg[[#This Row],[Afhængig variabel ID]]),INDEX(DataTitel_liste,1))</f>
        <v>Eksempel 1 (interval)</v>
      </c>
      <c r="G145" s="188" t="str" cm="1">
        <f t="array" ref="G145">IF(LineærRegression_Valg[[#This Row],[Indenfor range]],IF(LineærRegression_Valg[[#This Row],[Intet overlap]],INDEX(DataTitel_liste,LineærRegression_Valg[[#This Row],[Uafhængig variabel ID]]),INDEX(DataTitel_liste,IF(LineærRegression_Valg[[#This Row],[Afhængig variabel ID]]=1,2,1))),$B$7)</f>
        <v>Eksempel 2 (interval)</v>
      </c>
      <c r="H145" s="188">
        <f>_xlfn.AGGREGATE(2,5,LineærRegression_Valg[[#This Row],[Tabel ID]])</f>
        <v>1</v>
      </c>
    </row>
    <row r="146" spans="1:8" x14ac:dyDescent="0.2">
      <c r="A146">
        <f>ROW(LineærRegression_Valg[[#This Row],[Tabel ID]])-ROW(LineærRegression_Valg[[#Headers],[Tabel ID]])</f>
        <v>136</v>
      </c>
      <c r="B146" s="188">
        <f>ROUNDDOWN((LineærRegression_Valg[[#This Row],[Tabel ID]]-1)/$B$5,0)+1</f>
        <v>34</v>
      </c>
      <c r="C146" s="188">
        <f t="shared" si="2"/>
        <v>4</v>
      </c>
      <c r="D146" s="188" t="b">
        <f>LineærRegression_Valg[[#This Row],[Afhængig variabel ID]]&lt;&gt;LineærRegression_Valg[[#This Row],[Uafhængig variabel ID]]</f>
        <v>1</v>
      </c>
      <c r="E146" t="b">
        <f>LineærRegression_Valg[[#This Row],[Afhængig variabel ID]]&lt;=$B$5</f>
        <v>0</v>
      </c>
      <c r="F146" t="str" cm="1">
        <f t="array" ref="F146">IF(LineærRegression_Valg[[#This Row],[Indenfor range]],INDEX(DataTitel_liste,LineærRegression_Valg[[#This Row],[Afhængig variabel ID]]),INDEX(DataTitel_liste,1))</f>
        <v>Eksempel 1 (interval)</v>
      </c>
      <c r="G146" s="188" t="str" cm="1">
        <f t="array" ref="G146">IF(LineærRegression_Valg[[#This Row],[Indenfor range]],IF(LineærRegression_Valg[[#This Row],[Intet overlap]],INDEX(DataTitel_liste,LineærRegression_Valg[[#This Row],[Uafhængig variabel ID]]),INDEX(DataTitel_liste,IF(LineærRegression_Valg[[#This Row],[Afhængig variabel ID]]=1,2,1))),$B$7)</f>
        <v>Eksempel 2 (interval)</v>
      </c>
      <c r="H146" s="188">
        <f>_xlfn.AGGREGATE(2,5,LineærRegression_Valg[[#This Row],[Tabel ID]])</f>
        <v>1</v>
      </c>
    </row>
    <row r="147" spans="1:8" x14ac:dyDescent="0.2">
      <c r="A147">
        <f>ROW(LineærRegression_Valg[[#This Row],[Tabel ID]])-ROW(LineærRegression_Valg[[#Headers],[Tabel ID]])</f>
        <v>137</v>
      </c>
      <c r="B147" s="188">
        <f>ROUNDDOWN((LineærRegression_Valg[[#This Row],[Tabel ID]]-1)/$B$5,0)+1</f>
        <v>35</v>
      </c>
      <c r="C147" s="188">
        <f t="shared" si="2"/>
        <v>1</v>
      </c>
      <c r="D147" s="188" t="b">
        <f>LineærRegression_Valg[[#This Row],[Afhængig variabel ID]]&lt;&gt;LineærRegression_Valg[[#This Row],[Uafhængig variabel ID]]</f>
        <v>1</v>
      </c>
      <c r="E147" t="b">
        <f>LineærRegression_Valg[[#This Row],[Afhængig variabel ID]]&lt;=$B$5</f>
        <v>0</v>
      </c>
      <c r="F147" t="str" cm="1">
        <f t="array" ref="F147">IF(LineærRegression_Valg[[#This Row],[Indenfor range]],INDEX(DataTitel_liste,LineærRegression_Valg[[#This Row],[Afhængig variabel ID]]),INDEX(DataTitel_liste,1))</f>
        <v>Eksempel 1 (interval)</v>
      </c>
      <c r="G147" s="188" t="str" cm="1">
        <f t="array" ref="G147">IF(LineærRegression_Valg[[#This Row],[Indenfor range]],IF(LineærRegression_Valg[[#This Row],[Intet overlap]],INDEX(DataTitel_liste,LineærRegression_Valg[[#This Row],[Uafhængig variabel ID]]),INDEX(DataTitel_liste,IF(LineærRegression_Valg[[#This Row],[Afhængig variabel ID]]=1,2,1))),$B$7)</f>
        <v>Eksempel 2 (interval)</v>
      </c>
      <c r="H147" s="188">
        <f>_xlfn.AGGREGATE(2,5,LineærRegression_Valg[[#This Row],[Tabel ID]])</f>
        <v>1</v>
      </c>
    </row>
    <row r="148" spans="1:8" x14ac:dyDescent="0.2">
      <c r="A148">
        <f>ROW(LineærRegression_Valg[[#This Row],[Tabel ID]])-ROW(LineærRegression_Valg[[#Headers],[Tabel ID]])</f>
        <v>138</v>
      </c>
      <c r="B148" s="188">
        <f>ROUNDDOWN((LineærRegression_Valg[[#This Row],[Tabel ID]]-1)/$B$5,0)+1</f>
        <v>35</v>
      </c>
      <c r="C148" s="188">
        <f t="shared" si="2"/>
        <v>2</v>
      </c>
      <c r="D148" s="188" t="b">
        <f>LineærRegression_Valg[[#This Row],[Afhængig variabel ID]]&lt;&gt;LineærRegression_Valg[[#This Row],[Uafhængig variabel ID]]</f>
        <v>1</v>
      </c>
      <c r="E148" t="b">
        <f>LineærRegression_Valg[[#This Row],[Afhængig variabel ID]]&lt;=$B$5</f>
        <v>0</v>
      </c>
      <c r="F148" t="str" cm="1">
        <f t="array" ref="F148">IF(LineærRegression_Valg[[#This Row],[Indenfor range]],INDEX(DataTitel_liste,LineærRegression_Valg[[#This Row],[Afhængig variabel ID]]),INDEX(DataTitel_liste,1))</f>
        <v>Eksempel 1 (interval)</v>
      </c>
      <c r="G148" s="188" t="str" cm="1">
        <f t="array" ref="G148">IF(LineærRegression_Valg[[#This Row],[Indenfor range]],IF(LineærRegression_Valg[[#This Row],[Intet overlap]],INDEX(DataTitel_liste,LineærRegression_Valg[[#This Row],[Uafhængig variabel ID]]),INDEX(DataTitel_liste,IF(LineærRegression_Valg[[#This Row],[Afhængig variabel ID]]=1,2,1))),$B$7)</f>
        <v>Eksempel 2 (interval)</v>
      </c>
      <c r="H148" s="188">
        <f>_xlfn.AGGREGATE(2,5,LineærRegression_Valg[[#This Row],[Tabel ID]])</f>
        <v>1</v>
      </c>
    </row>
    <row r="149" spans="1:8" x14ac:dyDescent="0.2">
      <c r="A149">
        <f>ROW(LineærRegression_Valg[[#This Row],[Tabel ID]])-ROW(LineærRegression_Valg[[#Headers],[Tabel ID]])</f>
        <v>139</v>
      </c>
      <c r="B149" s="188">
        <f>ROUNDDOWN((LineærRegression_Valg[[#This Row],[Tabel ID]]-1)/$B$5,0)+1</f>
        <v>35</v>
      </c>
      <c r="C149" s="188">
        <f t="shared" si="2"/>
        <v>3</v>
      </c>
      <c r="D149" s="188" t="b">
        <f>LineærRegression_Valg[[#This Row],[Afhængig variabel ID]]&lt;&gt;LineærRegression_Valg[[#This Row],[Uafhængig variabel ID]]</f>
        <v>1</v>
      </c>
      <c r="E149" t="b">
        <f>LineærRegression_Valg[[#This Row],[Afhængig variabel ID]]&lt;=$B$5</f>
        <v>0</v>
      </c>
      <c r="F149" t="str" cm="1">
        <f t="array" ref="F149">IF(LineærRegression_Valg[[#This Row],[Indenfor range]],INDEX(DataTitel_liste,LineærRegression_Valg[[#This Row],[Afhængig variabel ID]]),INDEX(DataTitel_liste,1))</f>
        <v>Eksempel 1 (interval)</v>
      </c>
      <c r="G149" s="188" t="str" cm="1">
        <f t="array" ref="G149">IF(LineærRegression_Valg[[#This Row],[Indenfor range]],IF(LineærRegression_Valg[[#This Row],[Intet overlap]],INDEX(DataTitel_liste,LineærRegression_Valg[[#This Row],[Uafhængig variabel ID]]),INDEX(DataTitel_liste,IF(LineærRegression_Valg[[#This Row],[Afhængig variabel ID]]=1,2,1))),$B$7)</f>
        <v>Eksempel 2 (interval)</v>
      </c>
      <c r="H149" s="188">
        <f>_xlfn.AGGREGATE(2,5,LineærRegression_Valg[[#This Row],[Tabel ID]])</f>
        <v>1</v>
      </c>
    </row>
    <row r="150" spans="1:8" x14ac:dyDescent="0.2">
      <c r="A150">
        <f>ROW(LineærRegression_Valg[[#This Row],[Tabel ID]])-ROW(LineærRegression_Valg[[#Headers],[Tabel ID]])</f>
        <v>140</v>
      </c>
      <c r="B150" s="188">
        <f>ROUNDDOWN((LineærRegression_Valg[[#This Row],[Tabel ID]]-1)/$B$5,0)+1</f>
        <v>35</v>
      </c>
      <c r="C150" s="188">
        <f t="shared" si="2"/>
        <v>4</v>
      </c>
      <c r="D150" s="188" t="b">
        <f>LineærRegression_Valg[[#This Row],[Afhængig variabel ID]]&lt;&gt;LineærRegression_Valg[[#This Row],[Uafhængig variabel ID]]</f>
        <v>1</v>
      </c>
      <c r="E150" t="b">
        <f>LineærRegression_Valg[[#This Row],[Afhængig variabel ID]]&lt;=$B$5</f>
        <v>0</v>
      </c>
      <c r="F150" t="str" cm="1">
        <f t="array" ref="F150">IF(LineærRegression_Valg[[#This Row],[Indenfor range]],INDEX(DataTitel_liste,LineærRegression_Valg[[#This Row],[Afhængig variabel ID]]),INDEX(DataTitel_liste,1))</f>
        <v>Eksempel 1 (interval)</v>
      </c>
      <c r="G150" s="188" t="str" cm="1">
        <f t="array" ref="G150">IF(LineærRegression_Valg[[#This Row],[Indenfor range]],IF(LineærRegression_Valg[[#This Row],[Intet overlap]],INDEX(DataTitel_liste,LineærRegression_Valg[[#This Row],[Uafhængig variabel ID]]),INDEX(DataTitel_liste,IF(LineærRegression_Valg[[#This Row],[Afhængig variabel ID]]=1,2,1))),$B$7)</f>
        <v>Eksempel 2 (interval)</v>
      </c>
      <c r="H150" s="188">
        <f>_xlfn.AGGREGATE(2,5,LineærRegression_Valg[[#This Row],[Tabel ID]])</f>
        <v>1</v>
      </c>
    </row>
    <row r="151" spans="1:8" x14ac:dyDescent="0.2">
      <c r="A151">
        <f>ROW(LineærRegression_Valg[[#This Row],[Tabel ID]])-ROW(LineærRegression_Valg[[#Headers],[Tabel ID]])</f>
        <v>141</v>
      </c>
      <c r="B151" s="188">
        <f>ROUNDDOWN((LineærRegression_Valg[[#This Row],[Tabel ID]]-1)/$B$5,0)+1</f>
        <v>36</v>
      </c>
      <c r="C151" s="188">
        <f t="shared" si="2"/>
        <v>1</v>
      </c>
      <c r="D151" s="188" t="b">
        <f>LineærRegression_Valg[[#This Row],[Afhængig variabel ID]]&lt;&gt;LineærRegression_Valg[[#This Row],[Uafhængig variabel ID]]</f>
        <v>1</v>
      </c>
      <c r="E151" t="b">
        <f>LineærRegression_Valg[[#This Row],[Afhængig variabel ID]]&lt;=$B$5</f>
        <v>0</v>
      </c>
      <c r="F151" t="str" cm="1">
        <f t="array" ref="F151">IF(LineærRegression_Valg[[#This Row],[Indenfor range]],INDEX(DataTitel_liste,LineærRegression_Valg[[#This Row],[Afhængig variabel ID]]),INDEX(DataTitel_liste,1))</f>
        <v>Eksempel 1 (interval)</v>
      </c>
      <c r="G151" s="188" t="str" cm="1">
        <f t="array" ref="G151">IF(LineærRegression_Valg[[#This Row],[Indenfor range]],IF(LineærRegression_Valg[[#This Row],[Intet overlap]],INDEX(DataTitel_liste,LineærRegression_Valg[[#This Row],[Uafhængig variabel ID]]),INDEX(DataTitel_liste,IF(LineærRegression_Valg[[#This Row],[Afhængig variabel ID]]=1,2,1))),$B$7)</f>
        <v>Eksempel 2 (interval)</v>
      </c>
      <c r="H151" s="188">
        <f>_xlfn.AGGREGATE(2,5,LineærRegression_Valg[[#This Row],[Tabel ID]])</f>
        <v>1</v>
      </c>
    </row>
    <row r="152" spans="1:8" x14ac:dyDescent="0.2">
      <c r="A152">
        <f>ROW(LineærRegression_Valg[[#This Row],[Tabel ID]])-ROW(LineærRegression_Valg[[#Headers],[Tabel ID]])</f>
        <v>142</v>
      </c>
      <c r="B152" s="188">
        <f>ROUNDDOWN((LineærRegression_Valg[[#This Row],[Tabel ID]]-1)/$B$5,0)+1</f>
        <v>36</v>
      </c>
      <c r="C152" s="188">
        <f t="shared" si="2"/>
        <v>2</v>
      </c>
      <c r="D152" s="188" t="b">
        <f>LineærRegression_Valg[[#This Row],[Afhængig variabel ID]]&lt;&gt;LineærRegression_Valg[[#This Row],[Uafhængig variabel ID]]</f>
        <v>1</v>
      </c>
      <c r="E152" t="b">
        <f>LineærRegression_Valg[[#This Row],[Afhængig variabel ID]]&lt;=$B$5</f>
        <v>0</v>
      </c>
      <c r="F152" t="str" cm="1">
        <f t="array" ref="F152">IF(LineærRegression_Valg[[#This Row],[Indenfor range]],INDEX(DataTitel_liste,LineærRegression_Valg[[#This Row],[Afhængig variabel ID]]),INDEX(DataTitel_liste,1))</f>
        <v>Eksempel 1 (interval)</v>
      </c>
      <c r="G152" s="188" t="str" cm="1">
        <f t="array" ref="G152">IF(LineærRegression_Valg[[#This Row],[Indenfor range]],IF(LineærRegression_Valg[[#This Row],[Intet overlap]],INDEX(DataTitel_liste,LineærRegression_Valg[[#This Row],[Uafhængig variabel ID]]),INDEX(DataTitel_liste,IF(LineærRegression_Valg[[#This Row],[Afhængig variabel ID]]=1,2,1))),$B$7)</f>
        <v>Eksempel 2 (interval)</v>
      </c>
      <c r="H152" s="188">
        <f>_xlfn.AGGREGATE(2,5,LineærRegression_Valg[[#This Row],[Tabel ID]])</f>
        <v>1</v>
      </c>
    </row>
    <row r="153" spans="1:8" x14ac:dyDescent="0.2">
      <c r="A153">
        <f>ROW(LineærRegression_Valg[[#This Row],[Tabel ID]])-ROW(LineærRegression_Valg[[#Headers],[Tabel ID]])</f>
        <v>143</v>
      </c>
      <c r="B153" s="188">
        <f>ROUNDDOWN((LineærRegression_Valg[[#This Row],[Tabel ID]]-1)/$B$5,0)+1</f>
        <v>36</v>
      </c>
      <c r="C153" s="188">
        <f t="shared" si="2"/>
        <v>3</v>
      </c>
      <c r="D153" s="188" t="b">
        <f>LineærRegression_Valg[[#This Row],[Afhængig variabel ID]]&lt;&gt;LineærRegression_Valg[[#This Row],[Uafhængig variabel ID]]</f>
        <v>1</v>
      </c>
      <c r="E153" t="b">
        <f>LineærRegression_Valg[[#This Row],[Afhængig variabel ID]]&lt;=$B$5</f>
        <v>0</v>
      </c>
      <c r="F153" t="str" cm="1">
        <f t="array" ref="F153">IF(LineærRegression_Valg[[#This Row],[Indenfor range]],INDEX(DataTitel_liste,LineærRegression_Valg[[#This Row],[Afhængig variabel ID]]),INDEX(DataTitel_liste,1))</f>
        <v>Eksempel 1 (interval)</v>
      </c>
      <c r="G153" s="188" t="str" cm="1">
        <f t="array" ref="G153">IF(LineærRegression_Valg[[#This Row],[Indenfor range]],IF(LineærRegression_Valg[[#This Row],[Intet overlap]],INDEX(DataTitel_liste,LineærRegression_Valg[[#This Row],[Uafhængig variabel ID]]),INDEX(DataTitel_liste,IF(LineærRegression_Valg[[#This Row],[Afhængig variabel ID]]=1,2,1))),$B$7)</f>
        <v>Eksempel 2 (interval)</v>
      </c>
      <c r="H153" s="188">
        <f>_xlfn.AGGREGATE(2,5,LineærRegression_Valg[[#This Row],[Tabel ID]])</f>
        <v>1</v>
      </c>
    </row>
    <row r="154" spans="1:8" x14ac:dyDescent="0.2">
      <c r="A154">
        <f>ROW(LineærRegression_Valg[[#This Row],[Tabel ID]])-ROW(LineærRegression_Valg[[#Headers],[Tabel ID]])</f>
        <v>144</v>
      </c>
      <c r="B154" s="188">
        <f>ROUNDDOWN((LineærRegression_Valg[[#This Row],[Tabel ID]]-1)/$B$5,0)+1</f>
        <v>36</v>
      </c>
      <c r="C154" s="188">
        <f t="shared" si="2"/>
        <v>4</v>
      </c>
      <c r="D154" s="188" t="b">
        <f>LineærRegression_Valg[[#This Row],[Afhængig variabel ID]]&lt;&gt;LineærRegression_Valg[[#This Row],[Uafhængig variabel ID]]</f>
        <v>1</v>
      </c>
      <c r="E154" t="b">
        <f>LineærRegression_Valg[[#This Row],[Afhængig variabel ID]]&lt;=$B$5</f>
        <v>0</v>
      </c>
      <c r="F154" t="str" cm="1">
        <f t="array" ref="F154">IF(LineærRegression_Valg[[#This Row],[Indenfor range]],INDEX(DataTitel_liste,LineærRegression_Valg[[#This Row],[Afhængig variabel ID]]),INDEX(DataTitel_liste,1))</f>
        <v>Eksempel 1 (interval)</v>
      </c>
      <c r="G154" s="188" t="str" cm="1">
        <f t="array" ref="G154">IF(LineærRegression_Valg[[#This Row],[Indenfor range]],IF(LineærRegression_Valg[[#This Row],[Intet overlap]],INDEX(DataTitel_liste,LineærRegression_Valg[[#This Row],[Uafhængig variabel ID]]),INDEX(DataTitel_liste,IF(LineærRegression_Valg[[#This Row],[Afhængig variabel ID]]=1,2,1))),$B$7)</f>
        <v>Eksempel 2 (interval)</v>
      </c>
      <c r="H154" s="188">
        <f>_xlfn.AGGREGATE(2,5,LineærRegression_Valg[[#This Row],[Tabel ID]])</f>
        <v>1</v>
      </c>
    </row>
    <row r="155" spans="1:8" x14ac:dyDescent="0.2">
      <c r="A155">
        <f>ROW(LineærRegression_Valg[[#This Row],[Tabel ID]])-ROW(LineærRegression_Valg[[#Headers],[Tabel ID]])</f>
        <v>145</v>
      </c>
      <c r="B155" s="188">
        <f>ROUNDDOWN((LineærRegression_Valg[[#This Row],[Tabel ID]]-1)/$B$5,0)+1</f>
        <v>37</v>
      </c>
      <c r="C155" s="188">
        <f t="shared" si="2"/>
        <v>1</v>
      </c>
      <c r="D155" s="188" t="b">
        <f>LineærRegression_Valg[[#This Row],[Afhængig variabel ID]]&lt;&gt;LineærRegression_Valg[[#This Row],[Uafhængig variabel ID]]</f>
        <v>1</v>
      </c>
      <c r="E155" t="b">
        <f>LineærRegression_Valg[[#This Row],[Afhængig variabel ID]]&lt;=$B$5</f>
        <v>0</v>
      </c>
      <c r="F155" t="str" cm="1">
        <f t="array" ref="F155">IF(LineærRegression_Valg[[#This Row],[Indenfor range]],INDEX(DataTitel_liste,LineærRegression_Valg[[#This Row],[Afhængig variabel ID]]),INDEX(DataTitel_liste,1))</f>
        <v>Eksempel 1 (interval)</v>
      </c>
      <c r="G155" s="188" t="str" cm="1">
        <f t="array" ref="G155">IF(LineærRegression_Valg[[#This Row],[Indenfor range]],IF(LineærRegression_Valg[[#This Row],[Intet overlap]],INDEX(DataTitel_liste,LineærRegression_Valg[[#This Row],[Uafhængig variabel ID]]),INDEX(DataTitel_liste,IF(LineærRegression_Valg[[#This Row],[Afhængig variabel ID]]=1,2,1))),$B$7)</f>
        <v>Eksempel 2 (interval)</v>
      </c>
      <c r="H155" s="188">
        <f>_xlfn.AGGREGATE(2,5,LineærRegression_Valg[[#This Row],[Tabel ID]])</f>
        <v>1</v>
      </c>
    </row>
    <row r="156" spans="1:8" x14ac:dyDescent="0.2">
      <c r="A156">
        <f>ROW(LineærRegression_Valg[[#This Row],[Tabel ID]])-ROW(LineærRegression_Valg[[#Headers],[Tabel ID]])</f>
        <v>146</v>
      </c>
      <c r="B156" s="188">
        <f>ROUNDDOWN((LineærRegression_Valg[[#This Row],[Tabel ID]]-1)/$B$5,0)+1</f>
        <v>37</v>
      </c>
      <c r="C156" s="188">
        <f t="shared" si="2"/>
        <v>2</v>
      </c>
      <c r="D156" s="188" t="b">
        <f>LineærRegression_Valg[[#This Row],[Afhængig variabel ID]]&lt;&gt;LineærRegression_Valg[[#This Row],[Uafhængig variabel ID]]</f>
        <v>1</v>
      </c>
      <c r="E156" t="b">
        <f>LineærRegression_Valg[[#This Row],[Afhængig variabel ID]]&lt;=$B$5</f>
        <v>0</v>
      </c>
      <c r="F156" t="str" cm="1">
        <f t="array" ref="F156">IF(LineærRegression_Valg[[#This Row],[Indenfor range]],INDEX(DataTitel_liste,LineærRegression_Valg[[#This Row],[Afhængig variabel ID]]),INDEX(DataTitel_liste,1))</f>
        <v>Eksempel 1 (interval)</v>
      </c>
      <c r="G156" s="188" t="str" cm="1">
        <f t="array" ref="G156">IF(LineærRegression_Valg[[#This Row],[Indenfor range]],IF(LineærRegression_Valg[[#This Row],[Intet overlap]],INDEX(DataTitel_liste,LineærRegression_Valg[[#This Row],[Uafhængig variabel ID]]),INDEX(DataTitel_liste,IF(LineærRegression_Valg[[#This Row],[Afhængig variabel ID]]=1,2,1))),$B$7)</f>
        <v>Eksempel 2 (interval)</v>
      </c>
      <c r="H156" s="188">
        <f>_xlfn.AGGREGATE(2,5,LineærRegression_Valg[[#This Row],[Tabel ID]])</f>
        <v>1</v>
      </c>
    </row>
    <row r="157" spans="1:8" x14ac:dyDescent="0.2">
      <c r="A157">
        <f>ROW(LineærRegression_Valg[[#This Row],[Tabel ID]])-ROW(LineærRegression_Valg[[#Headers],[Tabel ID]])</f>
        <v>147</v>
      </c>
      <c r="B157" s="188">
        <f>ROUNDDOWN((LineærRegression_Valg[[#This Row],[Tabel ID]]-1)/$B$5,0)+1</f>
        <v>37</v>
      </c>
      <c r="C157" s="188">
        <f t="shared" si="2"/>
        <v>3</v>
      </c>
      <c r="D157" s="188" t="b">
        <f>LineærRegression_Valg[[#This Row],[Afhængig variabel ID]]&lt;&gt;LineærRegression_Valg[[#This Row],[Uafhængig variabel ID]]</f>
        <v>1</v>
      </c>
      <c r="E157" t="b">
        <f>LineærRegression_Valg[[#This Row],[Afhængig variabel ID]]&lt;=$B$5</f>
        <v>0</v>
      </c>
      <c r="F157" t="str" cm="1">
        <f t="array" ref="F157">IF(LineærRegression_Valg[[#This Row],[Indenfor range]],INDEX(DataTitel_liste,LineærRegression_Valg[[#This Row],[Afhængig variabel ID]]),INDEX(DataTitel_liste,1))</f>
        <v>Eksempel 1 (interval)</v>
      </c>
      <c r="G157" s="188" t="str" cm="1">
        <f t="array" ref="G157">IF(LineærRegression_Valg[[#This Row],[Indenfor range]],IF(LineærRegression_Valg[[#This Row],[Intet overlap]],INDEX(DataTitel_liste,LineærRegression_Valg[[#This Row],[Uafhængig variabel ID]]),INDEX(DataTitel_liste,IF(LineærRegression_Valg[[#This Row],[Afhængig variabel ID]]=1,2,1))),$B$7)</f>
        <v>Eksempel 2 (interval)</v>
      </c>
      <c r="H157" s="188">
        <f>_xlfn.AGGREGATE(2,5,LineærRegression_Valg[[#This Row],[Tabel ID]])</f>
        <v>1</v>
      </c>
    </row>
    <row r="158" spans="1:8" x14ac:dyDescent="0.2">
      <c r="A158">
        <f>ROW(LineærRegression_Valg[[#This Row],[Tabel ID]])-ROW(LineærRegression_Valg[[#Headers],[Tabel ID]])</f>
        <v>148</v>
      </c>
      <c r="B158" s="188">
        <f>ROUNDDOWN((LineærRegression_Valg[[#This Row],[Tabel ID]]-1)/$B$5,0)+1</f>
        <v>37</v>
      </c>
      <c r="C158" s="188">
        <f t="shared" si="2"/>
        <v>4</v>
      </c>
      <c r="D158" s="188" t="b">
        <f>LineærRegression_Valg[[#This Row],[Afhængig variabel ID]]&lt;&gt;LineærRegression_Valg[[#This Row],[Uafhængig variabel ID]]</f>
        <v>1</v>
      </c>
      <c r="E158" t="b">
        <f>LineærRegression_Valg[[#This Row],[Afhængig variabel ID]]&lt;=$B$5</f>
        <v>0</v>
      </c>
      <c r="F158" t="str" cm="1">
        <f t="array" ref="F158">IF(LineærRegression_Valg[[#This Row],[Indenfor range]],INDEX(DataTitel_liste,LineærRegression_Valg[[#This Row],[Afhængig variabel ID]]),INDEX(DataTitel_liste,1))</f>
        <v>Eksempel 1 (interval)</v>
      </c>
      <c r="G158" s="188" t="str" cm="1">
        <f t="array" ref="G158">IF(LineærRegression_Valg[[#This Row],[Indenfor range]],IF(LineærRegression_Valg[[#This Row],[Intet overlap]],INDEX(DataTitel_liste,LineærRegression_Valg[[#This Row],[Uafhængig variabel ID]]),INDEX(DataTitel_liste,IF(LineærRegression_Valg[[#This Row],[Afhængig variabel ID]]=1,2,1))),$B$7)</f>
        <v>Eksempel 2 (interval)</v>
      </c>
      <c r="H158" s="188">
        <f>_xlfn.AGGREGATE(2,5,LineærRegression_Valg[[#This Row],[Tabel ID]])</f>
        <v>1</v>
      </c>
    </row>
    <row r="159" spans="1:8" x14ac:dyDescent="0.2">
      <c r="A159">
        <f>ROW(LineærRegression_Valg[[#This Row],[Tabel ID]])-ROW(LineærRegression_Valg[[#Headers],[Tabel ID]])</f>
        <v>149</v>
      </c>
      <c r="B159" s="188">
        <f>ROUNDDOWN((LineærRegression_Valg[[#This Row],[Tabel ID]]-1)/$B$5,0)+1</f>
        <v>38</v>
      </c>
      <c r="C159" s="188">
        <f t="shared" si="2"/>
        <v>1</v>
      </c>
      <c r="D159" s="188" t="b">
        <f>LineærRegression_Valg[[#This Row],[Afhængig variabel ID]]&lt;&gt;LineærRegression_Valg[[#This Row],[Uafhængig variabel ID]]</f>
        <v>1</v>
      </c>
      <c r="E159" t="b">
        <f>LineærRegression_Valg[[#This Row],[Afhængig variabel ID]]&lt;=$B$5</f>
        <v>0</v>
      </c>
      <c r="F159" t="str" cm="1">
        <f t="array" ref="F159">IF(LineærRegression_Valg[[#This Row],[Indenfor range]],INDEX(DataTitel_liste,LineærRegression_Valg[[#This Row],[Afhængig variabel ID]]),INDEX(DataTitel_liste,1))</f>
        <v>Eksempel 1 (interval)</v>
      </c>
      <c r="G159" s="188" t="str" cm="1">
        <f t="array" ref="G159">IF(LineærRegression_Valg[[#This Row],[Indenfor range]],IF(LineærRegression_Valg[[#This Row],[Intet overlap]],INDEX(DataTitel_liste,LineærRegression_Valg[[#This Row],[Uafhængig variabel ID]]),INDEX(DataTitel_liste,IF(LineærRegression_Valg[[#This Row],[Afhængig variabel ID]]=1,2,1))),$B$7)</f>
        <v>Eksempel 2 (interval)</v>
      </c>
      <c r="H159" s="188">
        <f>_xlfn.AGGREGATE(2,5,LineærRegression_Valg[[#This Row],[Tabel ID]])</f>
        <v>1</v>
      </c>
    </row>
    <row r="160" spans="1:8" x14ac:dyDescent="0.2">
      <c r="A160">
        <f>ROW(LineærRegression_Valg[[#This Row],[Tabel ID]])-ROW(LineærRegression_Valg[[#Headers],[Tabel ID]])</f>
        <v>150</v>
      </c>
      <c r="B160" s="188">
        <f>ROUNDDOWN((LineærRegression_Valg[[#This Row],[Tabel ID]]-1)/$B$5,0)+1</f>
        <v>38</v>
      </c>
      <c r="C160" s="188">
        <f t="shared" si="2"/>
        <v>2</v>
      </c>
      <c r="D160" s="188" t="b">
        <f>LineærRegression_Valg[[#This Row],[Afhængig variabel ID]]&lt;&gt;LineærRegression_Valg[[#This Row],[Uafhængig variabel ID]]</f>
        <v>1</v>
      </c>
      <c r="E160" t="b">
        <f>LineærRegression_Valg[[#This Row],[Afhængig variabel ID]]&lt;=$B$5</f>
        <v>0</v>
      </c>
      <c r="F160" t="str" cm="1">
        <f t="array" ref="F160">IF(LineærRegression_Valg[[#This Row],[Indenfor range]],INDEX(DataTitel_liste,LineærRegression_Valg[[#This Row],[Afhængig variabel ID]]),INDEX(DataTitel_liste,1))</f>
        <v>Eksempel 1 (interval)</v>
      </c>
      <c r="G160" s="188" t="str" cm="1">
        <f t="array" ref="G160">IF(LineærRegression_Valg[[#This Row],[Indenfor range]],IF(LineærRegression_Valg[[#This Row],[Intet overlap]],INDEX(DataTitel_liste,LineærRegression_Valg[[#This Row],[Uafhængig variabel ID]]),INDEX(DataTitel_liste,IF(LineærRegression_Valg[[#This Row],[Afhængig variabel ID]]=1,2,1))),$B$7)</f>
        <v>Eksempel 2 (interval)</v>
      </c>
      <c r="H160" s="188">
        <f>_xlfn.AGGREGATE(2,5,LineærRegression_Valg[[#This Row],[Tabel ID]])</f>
        <v>1</v>
      </c>
    </row>
    <row r="161" spans="1:8" x14ac:dyDescent="0.2">
      <c r="A161">
        <f>ROW(LineærRegression_Valg[[#This Row],[Tabel ID]])-ROW(LineærRegression_Valg[[#Headers],[Tabel ID]])</f>
        <v>151</v>
      </c>
      <c r="B161" s="188">
        <f>ROUNDDOWN((LineærRegression_Valg[[#This Row],[Tabel ID]]-1)/$B$5,0)+1</f>
        <v>38</v>
      </c>
      <c r="C161" s="188">
        <f t="shared" si="2"/>
        <v>3</v>
      </c>
      <c r="D161" s="188" t="b">
        <f>LineærRegression_Valg[[#This Row],[Afhængig variabel ID]]&lt;&gt;LineærRegression_Valg[[#This Row],[Uafhængig variabel ID]]</f>
        <v>1</v>
      </c>
      <c r="E161" t="b">
        <f>LineærRegression_Valg[[#This Row],[Afhængig variabel ID]]&lt;=$B$5</f>
        <v>0</v>
      </c>
      <c r="F161" t="str" cm="1">
        <f t="array" ref="F161">IF(LineærRegression_Valg[[#This Row],[Indenfor range]],INDEX(DataTitel_liste,LineærRegression_Valg[[#This Row],[Afhængig variabel ID]]),INDEX(DataTitel_liste,1))</f>
        <v>Eksempel 1 (interval)</v>
      </c>
      <c r="G161" s="188" t="str" cm="1">
        <f t="array" ref="G161">IF(LineærRegression_Valg[[#This Row],[Indenfor range]],IF(LineærRegression_Valg[[#This Row],[Intet overlap]],INDEX(DataTitel_liste,LineærRegression_Valg[[#This Row],[Uafhængig variabel ID]]),INDEX(DataTitel_liste,IF(LineærRegression_Valg[[#This Row],[Afhængig variabel ID]]=1,2,1))),$B$7)</f>
        <v>Eksempel 2 (interval)</v>
      </c>
      <c r="H161" s="188">
        <f>_xlfn.AGGREGATE(2,5,LineærRegression_Valg[[#This Row],[Tabel ID]])</f>
        <v>1</v>
      </c>
    </row>
    <row r="162" spans="1:8" x14ac:dyDescent="0.2">
      <c r="A162">
        <f>ROW(LineærRegression_Valg[[#This Row],[Tabel ID]])-ROW(LineærRegression_Valg[[#Headers],[Tabel ID]])</f>
        <v>152</v>
      </c>
      <c r="B162" s="188">
        <f>ROUNDDOWN((LineærRegression_Valg[[#This Row],[Tabel ID]]-1)/$B$5,0)+1</f>
        <v>38</v>
      </c>
      <c r="C162" s="188">
        <f t="shared" si="2"/>
        <v>4</v>
      </c>
      <c r="D162" s="188" t="b">
        <f>LineærRegression_Valg[[#This Row],[Afhængig variabel ID]]&lt;&gt;LineærRegression_Valg[[#This Row],[Uafhængig variabel ID]]</f>
        <v>1</v>
      </c>
      <c r="E162" t="b">
        <f>LineærRegression_Valg[[#This Row],[Afhængig variabel ID]]&lt;=$B$5</f>
        <v>0</v>
      </c>
      <c r="F162" t="str" cm="1">
        <f t="array" ref="F162">IF(LineærRegression_Valg[[#This Row],[Indenfor range]],INDEX(DataTitel_liste,LineærRegression_Valg[[#This Row],[Afhængig variabel ID]]),INDEX(DataTitel_liste,1))</f>
        <v>Eksempel 1 (interval)</v>
      </c>
      <c r="G162" s="188" t="str" cm="1">
        <f t="array" ref="G162">IF(LineærRegression_Valg[[#This Row],[Indenfor range]],IF(LineærRegression_Valg[[#This Row],[Intet overlap]],INDEX(DataTitel_liste,LineærRegression_Valg[[#This Row],[Uafhængig variabel ID]]),INDEX(DataTitel_liste,IF(LineærRegression_Valg[[#This Row],[Afhængig variabel ID]]=1,2,1))),$B$7)</f>
        <v>Eksempel 2 (interval)</v>
      </c>
      <c r="H162" s="188">
        <f>_xlfn.AGGREGATE(2,5,LineærRegression_Valg[[#This Row],[Tabel ID]])</f>
        <v>1</v>
      </c>
    </row>
    <row r="163" spans="1:8" x14ac:dyDescent="0.2">
      <c r="A163">
        <f>ROW(LineærRegression_Valg[[#This Row],[Tabel ID]])-ROW(LineærRegression_Valg[[#Headers],[Tabel ID]])</f>
        <v>153</v>
      </c>
      <c r="B163" s="188">
        <f>ROUNDDOWN((LineærRegression_Valg[[#This Row],[Tabel ID]]-1)/$B$5,0)+1</f>
        <v>39</v>
      </c>
      <c r="C163" s="188">
        <f t="shared" si="2"/>
        <v>1</v>
      </c>
      <c r="D163" s="188" t="b">
        <f>LineærRegression_Valg[[#This Row],[Afhængig variabel ID]]&lt;&gt;LineærRegression_Valg[[#This Row],[Uafhængig variabel ID]]</f>
        <v>1</v>
      </c>
      <c r="E163" t="b">
        <f>LineærRegression_Valg[[#This Row],[Afhængig variabel ID]]&lt;=$B$5</f>
        <v>0</v>
      </c>
      <c r="F163" t="str" cm="1">
        <f t="array" ref="F163">IF(LineærRegression_Valg[[#This Row],[Indenfor range]],INDEX(DataTitel_liste,LineærRegression_Valg[[#This Row],[Afhængig variabel ID]]),INDEX(DataTitel_liste,1))</f>
        <v>Eksempel 1 (interval)</v>
      </c>
      <c r="G163" s="188" t="str" cm="1">
        <f t="array" ref="G163">IF(LineærRegression_Valg[[#This Row],[Indenfor range]],IF(LineærRegression_Valg[[#This Row],[Intet overlap]],INDEX(DataTitel_liste,LineærRegression_Valg[[#This Row],[Uafhængig variabel ID]]),INDEX(DataTitel_liste,IF(LineærRegression_Valg[[#This Row],[Afhængig variabel ID]]=1,2,1))),$B$7)</f>
        <v>Eksempel 2 (interval)</v>
      </c>
      <c r="H163" s="188">
        <f>_xlfn.AGGREGATE(2,5,LineærRegression_Valg[[#This Row],[Tabel ID]])</f>
        <v>1</v>
      </c>
    </row>
    <row r="164" spans="1:8" x14ac:dyDescent="0.2">
      <c r="A164">
        <f>ROW(LineærRegression_Valg[[#This Row],[Tabel ID]])-ROW(LineærRegression_Valg[[#Headers],[Tabel ID]])</f>
        <v>154</v>
      </c>
      <c r="B164" s="188">
        <f>ROUNDDOWN((LineærRegression_Valg[[#This Row],[Tabel ID]]-1)/$B$5,0)+1</f>
        <v>39</v>
      </c>
      <c r="C164" s="188">
        <f t="shared" si="2"/>
        <v>2</v>
      </c>
      <c r="D164" s="188" t="b">
        <f>LineærRegression_Valg[[#This Row],[Afhængig variabel ID]]&lt;&gt;LineærRegression_Valg[[#This Row],[Uafhængig variabel ID]]</f>
        <v>1</v>
      </c>
      <c r="E164" t="b">
        <f>LineærRegression_Valg[[#This Row],[Afhængig variabel ID]]&lt;=$B$5</f>
        <v>0</v>
      </c>
      <c r="F164" t="str" cm="1">
        <f t="array" ref="F164">IF(LineærRegression_Valg[[#This Row],[Indenfor range]],INDEX(DataTitel_liste,LineærRegression_Valg[[#This Row],[Afhængig variabel ID]]),INDEX(DataTitel_liste,1))</f>
        <v>Eksempel 1 (interval)</v>
      </c>
      <c r="G164" s="188" t="str" cm="1">
        <f t="array" ref="G164">IF(LineærRegression_Valg[[#This Row],[Indenfor range]],IF(LineærRegression_Valg[[#This Row],[Intet overlap]],INDEX(DataTitel_liste,LineærRegression_Valg[[#This Row],[Uafhængig variabel ID]]),INDEX(DataTitel_liste,IF(LineærRegression_Valg[[#This Row],[Afhængig variabel ID]]=1,2,1))),$B$7)</f>
        <v>Eksempel 2 (interval)</v>
      </c>
      <c r="H164" s="188">
        <f>_xlfn.AGGREGATE(2,5,LineærRegression_Valg[[#This Row],[Tabel ID]])</f>
        <v>1</v>
      </c>
    </row>
    <row r="165" spans="1:8" x14ac:dyDescent="0.2">
      <c r="A165">
        <f>ROW(LineærRegression_Valg[[#This Row],[Tabel ID]])-ROW(LineærRegression_Valg[[#Headers],[Tabel ID]])</f>
        <v>155</v>
      </c>
      <c r="B165" s="188">
        <f>ROUNDDOWN((LineærRegression_Valg[[#This Row],[Tabel ID]]-1)/$B$5,0)+1</f>
        <v>39</v>
      </c>
      <c r="C165" s="188">
        <f t="shared" si="2"/>
        <v>3</v>
      </c>
      <c r="D165" s="188" t="b">
        <f>LineærRegression_Valg[[#This Row],[Afhængig variabel ID]]&lt;&gt;LineærRegression_Valg[[#This Row],[Uafhængig variabel ID]]</f>
        <v>1</v>
      </c>
      <c r="E165" t="b">
        <f>LineærRegression_Valg[[#This Row],[Afhængig variabel ID]]&lt;=$B$5</f>
        <v>0</v>
      </c>
      <c r="F165" t="str" cm="1">
        <f t="array" ref="F165">IF(LineærRegression_Valg[[#This Row],[Indenfor range]],INDEX(DataTitel_liste,LineærRegression_Valg[[#This Row],[Afhængig variabel ID]]),INDEX(DataTitel_liste,1))</f>
        <v>Eksempel 1 (interval)</v>
      </c>
      <c r="G165" s="188" t="str" cm="1">
        <f t="array" ref="G165">IF(LineærRegression_Valg[[#This Row],[Indenfor range]],IF(LineærRegression_Valg[[#This Row],[Intet overlap]],INDEX(DataTitel_liste,LineærRegression_Valg[[#This Row],[Uafhængig variabel ID]]),INDEX(DataTitel_liste,IF(LineærRegression_Valg[[#This Row],[Afhængig variabel ID]]=1,2,1))),$B$7)</f>
        <v>Eksempel 2 (interval)</v>
      </c>
      <c r="H165" s="188">
        <f>_xlfn.AGGREGATE(2,5,LineærRegression_Valg[[#This Row],[Tabel ID]])</f>
        <v>1</v>
      </c>
    </row>
    <row r="166" spans="1:8" x14ac:dyDescent="0.2">
      <c r="A166">
        <f>ROW(LineærRegression_Valg[[#This Row],[Tabel ID]])-ROW(LineærRegression_Valg[[#Headers],[Tabel ID]])</f>
        <v>156</v>
      </c>
      <c r="B166" s="188">
        <f>ROUNDDOWN((LineærRegression_Valg[[#This Row],[Tabel ID]]-1)/$B$5,0)+1</f>
        <v>39</v>
      </c>
      <c r="C166" s="188">
        <f t="shared" si="2"/>
        <v>4</v>
      </c>
      <c r="D166" s="188" t="b">
        <f>LineærRegression_Valg[[#This Row],[Afhængig variabel ID]]&lt;&gt;LineærRegression_Valg[[#This Row],[Uafhængig variabel ID]]</f>
        <v>1</v>
      </c>
      <c r="E166" t="b">
        <f>LineærRegression_Valg[[#This Row],[Afhængig variabel ID]]&lt;=$B$5</f>
        <v>0</v>
      </c>
      <c r="F166" t="str" cm="1">
        <f t="array" ref="F166">IF(LineærRegression_Valg[[#This Row],[Indenfor range]],INDEX(DataTitel_liste,LineærRegression_Valg[[#This Row],[Afhængig variabel ID]]),INDEX(DataTitel_liste,1))</f>
        <v>Eksempel 1 (interval)</v>
      </c>
      <c r="G166" s="188" t="str" cm="1">
        <f t="array" ref="G166">IF(LineærRegression_Valg[[#This Row],[Indenfor range]],IF(LineærRegression_Valg[[#This Row],[Intet overlap]],INDEX(DataTitel_liste,LineærRegression_Valg[[#This Row],[Uafhængig variabel ID]]),INDEX(DataTitel_liste,IF(LineærRegression_Valg[[#This Row],[Afhængig variabel ID]]=1,2,1))),$B$7)</f>
        <v>Eksempel 2 (interval)</v>
      </c>
      <c r="H166" s="188">
        <f>_xlfn.AGGREGATE(2,5,LineærRegression_Valg[[#This Row],[Tabel ID]])</f>
        <v>1</v>
      </c>
    </row>
    <row r="167" spans="1:8" x14ac:dyDescent="0.2">
      <c r="A167">
        <f>ROW(LineærRegression_Valg[[#This Row],[Tabel ID]])-ROW(LineærRegression_Valg[[#Headers],[Tabel ID]])</f>
        <v>157</v>
      </c>
      <c r="B167" s="188">
        <f>ROUNDDOWN((LineærRegression_Valg[[#This Row],[Tabel ID]]-1)/$B$5,0)+1</f>
        <v>40</v>
      </c>
      <c r="C167" s="188">
        <f t="shared" si="2"/>
        <v>1</v>
      </c>
      <c r="D167" s="188" t="b">
        <f>LineærRegression_Valg[[#This Row],[Afhængig variabel ID]]&lt;&gt;LineærRegression_Valg[[#This Row],[Uafhængig variabel ID]]</f>
        <v>1</v>
      </c>
      <c r="E167" t="b">
        <f>LineærRegression_Valg[[#This Row],[Afhængig variabel ID]]&lt;=$B$5</f>
        <v>0</v>
      </c>
      <c r="F167" t="str" cm="1">
        <f t="array" ref="F167">IF(LineærRegression_Valg[[#This Row],[Indenfor range]],INDEX(DataTitel_liste,LineærRegression_Valg[[#This Row],[Afhængig variabel ID]]),INDEX(DataTitel_liste,1))</f>
        <v>Eksempel 1 (interval)</v>
      </c>
      <c r="G167" s="188" t="str" cm="1">
        <f t="array" ref="G167">IF(LineærRegression_Valg[[#This Row],[Indenfor range]],IF(LineærRegression_Valg[[#This Row],[Intet overlap]],INDEX(DataTitel_liste,LineærRegression_Valg[[#This Row],[Uafhængig variabel ID]]),INDEX(DataTitel_liste,IF(LineærRegression_Valg[[#This Row],[Afhængig variabel ID]]=1,2,1))),$B$7)</f>
        <v>Eksempel 2 (interval)</v>
      </c>
      <c r="H167" s="188">
        <f>_xlfn.AGGREGATE(2,5,LineærRegression_Valg[[#This Row],[Tabel ID]])</f>
        <v>1</v>
      </c>
    </row>
    <row r="168" spans="1:8" x14ac:dyDescent="0.2">
      <c r="A168">
        <f>ROW(LineærRegression_Valg[[#This Row],[Tabel ID]])-ROW(LineærRegression_Valg[[#Headers],[Tabel ID]])</f>
        <v>158</v>
      </c>
      <c r="B168" s="188">
        <f>ROUNDDOWN((LineærRegression_Valg[[#This Row],[Tabel ID]]-1)/$B$5,0)+1</f>
        <v>40</v>
      </c>
      <c r="C168" s="188">
        <f t="shared" si="2"/>
        <v>2</v>
      </c>
      <c r="D168" s="188" t="b">
        <f>LineærRegression_Valg[[#This Row],[Afhængig variabel ID]]&lt;&gt;LineærRegression_Valg[[#This Row],[Uafhængig variabel ID]]</f>
        <v>1</v>
      </c>
      <c r="E168" t="b">
        <f>LineærRegression_Valg[[#This Row],[Afhængig variabel ID]]&lt;=$B$5</f>
        <v>0</v>
      </c>
      <c r="F168" t="str" cm="1">
        <f t="array" ref="F168">IF(LineærRegression_Valg[[#This Row],[Indenfor range]],INDEX(DataTitel_liste,LineærRegression_Valg[[#This Row],[Afhængig variabel ID]]),INDEX(DataTitel_liste,1))</f>
        <v>Eksempel 1 (interval)</v>
      </c>
      <c r="G168" s="188" t="str" cm="1">
        <f t="array" ref="G168">IF(LineærRegression_Valg[[#This Row],[Indenfor range]],IF(LineærRegression_Valg[[#This Row],[Intet overlap]],INDEX(DataTitel_liste,LineærRegression_Valg[[#This Row],[Uafhængig variabel ID]]),INDEX(DataTitel_liste,IF(LineærRegression_Valg[[#This Row],[Afhængig variabel ID]]=1,2,1))),$B$7)</f>
        <v>Eksempel 2 (interval)</v>
      </c>
      <c r="H168" s="188">
        <f>_xlfn.AGGREGATE(2,5,LineærRegression_Valg[[#This Row],[Tabel ID]])</f>
        <v>1</v>
      </c>
    </row>
    <row r="169" spans="1:8" x14ac:dyDescent="0.2">
      <c r="A169">
        <f>ROW(LineærRegression_Valg[[#This Row],[Tabel ID]])-ROW(LineærRegression_Valg[[#Headers],[Tabel ID]])</f>
        <v>159</v>
      </c>
      <c r="B169" s="188">
        <f>ROUNDDOWN((LineærRegression_Valg[[#This Row],[Tabel ID]]-1)/$B$5,0)+1</f>
        <v>40</v>
      </c>
      <c r="C169" s="188">
        <f t="shared" si="2"/>
        <v>3</v>
      </c>
      <c r="D169" s="188" t="b">
        <f>LineærRegression_Valg[[#This Row],[Afhængig variabel ID]]&lt;&gt;LineærRegression_Valg[[#This Row],[Uafhængig variabel ID]]</f>
        <v>1</v>
      </c>
      <c r="E169" t="b">
        <f>LineærRegression_Valg[[#This Row],[Afhængig variabel ID]]&lt;=$B$5</f>
        <v>0</v>
      </c>
      <c r="F169" t="str" cm="1">
        <f t="array" ref="F169">IF(LineærRegression_Valg[[#This Row],[Indenfor range]],INDEX(DataTitel_liste,LineærRegression_Valg[[#This Row],[Afhængig variabel ID]]),INDEX(DataTitel_liste,1))</f>
        <v>Eksempel 1 (interval)</v>
      </c>
      <c r="G169" s="188" t="str" cm="1">
        <f t="array" ref="G169">IF(LineærRegression_Valg[[#This Row],[Indenfor range]],IF(LineærRegression_Valg[[#This Row],[Intet overlap]],INDEX(DataTitel_liste,LineærRegression_Valg[[#This Row],[Uafhængig variabel ID]]),INDEX(DataTitel_liste,IF(LineærRegression_Valg[[#This Row],[Afhængig variabel ID]]=1,2,1))),$B$7)</f>
        <v>Eksempel 2 (interval)</v>
      </c>
      <c r="H169" s="188">
        <f>_xlfn.AGGREGATE(2,5,LineærRegression_Valg[[#This Row],[Tabel ID]])</f>
        <v>1</v>
      </c>
    </row>
    <row r="170" spans="1:8" x14ac:dyDescent="0.2">
      <c r="A170">
        <f>ROW(LineærRegression_Valg[[#This Row],[Tabel ID]])-ROW(LineærRegression_Valg[[#Headers],[Tabel ID]])</f>
        <v>160</v>
      </c>
      <c r="B170" s="188">
        <f>ROUNDDOWN((LineærRegression_Valg[[#This Row],[Tabel ID]]-1)/$B$5,0)+1</f>
        <v>40</v>
      </c>
      <c r="C170" s="188">
        <f t="shared" si="2"/>
        <v>4</v>
      </c>
      <c r="D170" s="188" t="b">
        <f>LineærRegression_Valg[[#This Row],[Afhængig variabel ID]]&lt;&gt;LineærRegression_Valg[[#This Row],[Uafhængig variabel ID]]</f>
        <v>1</v>
      </c>
      <c r="E170" t="b">
        <f>LineærRegression_Valg[[#This Row],[Afhængig variabel ID]]&lt;=$B$5</f>
        <v>0</v>
      </c>
      <c r="F170" t="str" cm="1">
        <f t="array" ref="F170">IF(LineærRegression_Valg[[#This Row],[Indenfor range]],INDEX(DataTitel_liste,LineærRegression_Valg[[#This Row],[Afhængig variabel ID]]),INDEX(DataTitel_liste,1))</f>
        <v>Eksempel 1 (interval)</v>
      </c>
      <c r="G170" s="188" t="str" cm="1">
        <f t="array" ref="G170">IF(LineærRegression_Valg[[#This Row],[Indenfor range]],IF(LineærRegression_Valg[[#This Row],[Intet overlap]],INDEX(DataTitel_liste,LineærRegression_Valg[[#This Row],[Uafhængig variabel ID]]),INDEX(DataTitel_liste,IF(LineærRegression_Valg[[#This Row],[Afhængig variabel ID]]=1,2,1))),$B$7)</f>
        <v>Eksempel 2 (interval)</v>
      </c>
      <c r="H170" s="188">
        <f>_xlfn.AGGREGATE(2,5,LineærRegression_Valg[[#This Row],[Tabel ID]])</f>
        <v>1</v>
      </c>
    </row>
    <row r="171" spans="1:8" x14ac:dyDescent="0.2">
      <c r="A171">
        <f>ROW(LineærRegression_Valg[[#This Row],[Tabel ID]])-ROW(LineærRegression_Valg[[#Headers],[Tabel ID]])</f>
        <v>161</v>
      </c>
      <c r="B171" s="188">
        <f>ROUNDDOWN((LineærRegression_Valg[[#This Row],[Tabel ID]]-1)/$B$5,0)+1</f>
        <v>41</v>
      </c>
      <c r="C171" s="188">
        <f t="shared" si="2"/>
        <v>1</v>
      </c>
      <c r="D171" s="188" t="b">
        <f>LineærRegression_Valg[[#This Row],[Afhængig variabel ID]]&lt;&gt;LineærRegression_Valg[[#This Row],[Uafhængig variabel ID]]</f>
        <v>1</v>
      </c>
      <c r="E171" t="b">
        <f>LineærRegression_Valg[[#This Row],[Afhængig variabel ID]]&lt;=$B$5</f>
        <v>0</v>
      </c>
      <c r="F171" t="str" cm="1">
        <f t="array" ref="F171">IF(LineærRegression_Valg[[#This Row],[Indenfor range]],INDEX(DataTitel_liste,LineærRegression_Valg[[#This Row],[Afhængig variabel ID]]),INDEX(DataTitel_liste,1))</f>
        <v>Eksempel 1 (interval)</v>
      </c>
      <c r="G171" s="188" t="str" cm="1">
        <f t="array" ref="G171">IF(LineærRegression_Valg[[#This Row],[Indenfor range]],IF(LineærRegression_Valg[[#This Row],[Intet overlap]],INDEX(DataTitel_liste,LineærRegression_Valg[[#This Row],[Uafhængig variabel ID]]),INDEX(DataTitel_liste,IF(LineærRegression_Valg[[#This Row],[Afhængig variabel ID]]=1,2,1))),$B$7)</f>
        <v>Eksempel 2 (interval)</v>
      </c>
      <c r="H171" s="188">
        <f>_xlfn.AGGREGATE(2,5,LineærRegression_Valg[[#This Row],[Tabel ID]])</f>
        <v>1</v>
      </c>
    </row>
    <row r="172" spans="1:8" x14ac:dyDescent="0.2">
      <c r="A172">
        <f>ROW(LineærRegression_Valg[[#This Row],[Tabel ID]])-ROW(LineærRegression_Valg[[#Headers],[Tabel ID]])</f>
        <v>162</v>
      </c>
      <c r="B172" s="188">
        <f>ROUNDDOWN((LineærRegression_Valg[[#This Row],[Tabel ID]]-1)/$B$5,0)+1</f>
        <v>41</v>
      </c>
      <c r="C172" s="188">
        <f t="shared" si="2"/>
        <v>2</v>
      </c>
      <c r="D172" s="188" t="b">
        <f>LineærRegression_Valg[[#This Row],[Afhængig variabel ID]]&lt;&gt;LineærRegression_Valg[[#This Row],[Uafhængig variabel ID]]</f>
        <v>1</v>
      </c>
      <c r="E172" t="b">
        <f>LineærRegression_Valg[[#This Row],[Afhængig variabel ID]]&lt;=$B$5</f>
        <v>0</v>
      </c>
      <c r="F172" t="str" cm="1">
        <f t="array" ref="F172">IF(LineærRegression_Valg[[#This Row],[Indenfor range]],INDEX(DataTitel_liste,LineærRegression_Valg[[#This Row],[Afhængig variabel ID]]),INDEX(DataTitel_liste,1))</f>
        <v>Eksempel 1 (interval)</v>
      </c>
      <c r="G172" s="188" t="str" cm="1">
        <f t="array" ref="G172">IF(LineærRegression_Valg[[#This Row],[Indenfor range]],IF(LineærRegression_Valg[[#This Row],[Intet overlap]],INDEX(DataTitel_liste,LineærRegression_Valg[[#This Row],[Uafhængig variabel ID]]),INDEX(DataTitel_liste,IF(LineærRegression_Valg[[#This Row],[Afhængig variabel ID]]=1,2,1))),$B$7)</f>
        <v>Eksempel 2 (interval)</v>
      </c>
      <c r="H172" s="188">
        <f>_xlfn.AGGREGATE(2,5,LineærRegression_Valg[[#This Row],[Tabel ID]])</f>
        <v>1</v>
      </c>
    </row>
    <row r="173" spans="1:8" x14ac:dyDescent="0.2">
      <c r="A173">
        <f>ROW(LineærRegression_Valg[[#This Row],[Tabel ID]])-ROW(LineærRegression_Valg[[#Headers],[Tabel ID]])</f>
        <v>163</v>
      </c>
      <c r="B173" s="188">
        <f>ROUNDDOWN((LineærRegression_Valg[[#This Row],[Tabel ID]]-1)/$B$5,0)+1</f>
        <v>41</v>
      </c>
      <c r="C173" s="188">
        <f t="shared" si="2"/>
        <v>3</v>
      </c>
      <c r="D173" s="188" t="b">
        <f>LineærRegression_Valg[[#This Row],[Afhængig variabel ID]]&lt;&gt;LineærRegression_Valg[[#This Row],[Uafhængig variabel ID]]</f>
        <v>1</v>
      </c>
      <c r="E173" t="b">
        <f>LineærRegression_Valg[[#This Row],[Afhængig variabel ID]]&lt;=$B$5</f>
        <v>0</v>
      </c>
      <c r="F173" t="str" cm="1">
        <f t="array" ref="F173">IF(LineærRegression_Valg[[#This Row],[Indenfor range]],INDEX(DataTitel_liste,LineærRegression_Valg[[#This Row],[Afhængig variabel ID]]),INDEX(DataTitel_liste,1))</f>
        <v>Eksempel 1 (interval)</v>
      </c>
      <c r="G173" s="188" t="str" cm="1">
        <f t="array" ref="G173">IF(LineærRegression_Valg[[#This Row],[Indenfor range]],IF(LineærRegression_Valg[[#This Row],[Intet overlap]],INDEX(DataTitel_liste,LineærRegression_Valg[[#This Row],[Uafhængig variabel ID]]),INDEX(DataTitel_liste,IF(LineærRegression_Valg[[#This Row],[Afhængig variabel ID]]=1,2,1))),$B$7)</f>
        <v>Eksempel 2 (interval)</v>
      </c>
      <c r="H173" s="188">
        <f>_xlfn.AGGREGATE(2,5,LineærRegression_Valg[[#This Row],[Tabel ID]])</f>
        <v>1</v>
      </c>
    </row>
    <row r="174" spans="1:8" x14ac:dyDescent="0.2">
      <c r="A174">
        <f>ROW(LineærRegression_Valg[[#This Row],[Tabel ID]])-ROW(LineærRegression_Valg[[#Headers],[Tabel ID]])</f>
        <v>164</v>
      </c>
      <c r="B174" s="188">
        <f>ROUNDDOWN((LineærRegression_Valg[[#This Row],[Tabel ID]]-1)/$B$5,0)+1</f>
        <v>41</v>
      </c>
      <c r="C174" s="188">
        <f t="shared" si="2"/>
        <v>4</v>
      </c>
      <c r="D174" s="188" t="b">
        <f>LineærRegression_Valg[[#This Row],[Afhængig variabel ID]]&lt;&gt;LineærRegression_Valg[[#This Row],[Uafhængig variabel ID]]</f>
        <v>1</v>
      </c>
      <c r="E174" t="b">
        <f>LineærRegression_Valg[[#This Row],[Afhængig variabel ID]]&lt;=$B$5</f>
        <v>0</v>
      </c>
      <c r="F174" t="str" cm="1">
        <f t="array" ref="F174">IF(LineærRegression_Valg[[#This Row],[Indenfor range]],INDEX(DataTitel_liste,LineærRegression_Valg[[#This Row],[Afhængig variabel ID]]),INDEX(DataTitel_liste,1))</f>
        <v>Eksempel 1 (interval)</v>
      </c>
      <c r="G174" s="188" t="str" cm="1">
        <f t="array" ref="G174">IF(LineærRegression_Valg[[#This Row],[Indenfor range]],IF(LineærRegression_Valg[[#This Row],[Intet overlap]],INDEX(DataTitel_liste,LineærRegression_Valg[[#This Row],[Uafhængig variabel ID]]),INDEX(DataTitel_liste,IF(LineærRegression_Valg[[#This Row],[Afhængig variabel ID]]=1,2,1))),$B$7)</f>
        <v>Eksempel 2 (interval)</v>
      </c>
      <c r="H174" s="188">
        <f>_xlfn.AGGREGATE(2,5,LineærRegression_Valg[[#This Row],[Tabel ID]])</f>
        <v>1</v>
      </c>
    </row>
    <row r="175" spans="1:8" x14ac:dyDescent="0.2">
      <c r="A175">
        <f>ROW(LineærRegression_Valg[[#This Row],[Tabel ID]])-ROW(LineærRegression_Valg[[#Headers],[Tabel ID]])</f>
        <v>165</v>
      </c>
      <c r="B175" s="188">
        <f>ROUNDDOWN((LineærRegression_Valg[[#This Row],[Tabel ID]]-1)/$B$5,0)+1</f>
        <v>42</v>
      </c>
      <c r="C175" s="188">
        <f t="shared" si="2"/>
        <v>1</v>
      </c>
      <c r="D175" s="188" t="b">
        <f>LineærRegression_Valg[[#This Row],[Afhængig variabel ID]]&lt;&gt;LineærRegression_Valg[[#This Row],[Uafhængig variabel ID]]</f>
        <v>1</v>
      </c>
      <c r="E175" t="b">
        <f>LineærRegression_Valg[[#This Row],[Afhængig variabel ID]]&lt;=$B$5</f>
        <v>0</v>
      </c>
      <c r="F175" t="str" cm="1">
        <f t="array" ref="F175">IF(LineærRegression_Valg[[#This Row],[Indenfor range]],INDEX(DataTitel_liste,LineærRegression_Valg[[#This Row],[Afhængig variabel ID]]),INDEX(DataTitel_liste,1))</f>
        <v>Eksempel 1 (interval)</v>
      </c>
      <c r="G175" s="188" t="str" cm="1">
        <f t="array" ref="G175">IF(LineærRegression_Valg[[#This Row],[Indenfor range]],IF(LineærRegression_Valg[[#This Row],[Intet overlap]],INDEX(DataTitel_liste,LineærRegression_Valg[[#This Row],[Uafhængig variabel ID]]),INDEX(DataTitel_liste,IF(LineærRegression_Valg[[#This Row],[Afhængig variabel ID]]=1,2,1))),$B$7)</f>
        <v>Eksempel 2 (interval)</v>
      </c>
      <c r="H175" s="188">
        <f>_xlfn.AGGREGATE(2,5,LineærRegression_Valg[[#This Row],[Tabel ID]])</f>
        <v>1</v>
      </c>
    </row>
    <row r="176" spans="1:8" x14ac:dyDescent="0.2">
      <c r="A176">
        <f>ROW(LineærRegression_Valg[[#This Row],[Tabel ID]])-ROW(LineærRegression_Valg[[#Headers],[Tabel ID]])</f>
        <v>166</v>
      </c>
      <c r="B176" s="188">
        <f>ROUNDDOWN((LineærRegression_Valg[[#This Row],[Tabel ID]]-1)/$B$5,0)+1</f>
        <v>42</v>
      </c>
      <c r="C176" s="188">
        <f t="shared" si="2"/>
        <v>2</v>
      </c>
      <c r="D176" s="188" t="b">
        <f>LineærRegression_Valg[[#This Row],[Afhængig variabel ID]]&lt;&gt;LineærRegression_Valg[[#This Row],[Uafhængig variabel ID]]</f>
        <v>1</v>
      </c>
      <c r="E176" t="b">
        <f>LineærRegression_Valg[[#This Row],[Afhængig variabel ID]]&lt;=$B$5</f>
        <v>0</v>
      </c>
      <c r="F176" t="str" cm="1">
        <f t="array" ref="F176">IF(LineærRegression_Valg[[#This Row],[Indenfor range]],INDEX(DataTitel_liste,LineærRegression_Valg[[#This Row],[Afhængig variabel ID]]),INDEX(DataTitel_liste,1))</f>
        <v>Eksempel 1 (interval)</v>
      </c>
      <c r="G176" s="188" t="str" cm="1">
        <f t="array" ref="G176">IF(LineærRegression_Valg[[#This Row],[Indenfor range]],IF(LineærRegression_Valg[[#This Row],[Intet overlap]],INDEX(DataTitel_liste,LineærRegression_Valg[[#This Row],[Uafhængig variabel ID]]),INDEX(DataTitel_liste,IF(LineærRegression_Valg[[#This Row],[Afhængig variabel ID]]=1,2,1))),$B$7)</f>
        <v>Eksempel 2 (interval)</v>
      </c>
      <c r="H176" s="188">
        <f>_xlfn.AGGREGATE(2,5,LineærRegression_Valg[[#This Row],[Tabel ID]])</f>
        <v>1</v>
      </c>
    </row>
    <row r="177" spans="1:8" x14ac:dyDescent="0.2">
      <c r="A177">
        <f>ROW(LineærRegression_Valg[[#This Row],[Tabel ID]])-ROW(LineærRegression_Valg[[#Headers],[Tabel ID]])</f>
        <v>167</v>
      </c>
      <c r="B177" s="188">
        <f>ROUNDDOWN((LineærRegression_Valg[[#This Row],[Tabel ID]]-1)/$B$5,0)+1</f>
        <v>42</v>
      </c>
      <c r="C177" s="188">
        <f t="shared" si="2"/>
        <v>3</v>
      </c>
      <c r="D177" s="188" t="b">
        <f>LineærRegression_Valg[[#This Row],[Afhængig variabel ID]]&lt;&gt;LineærRegression_Valg[[#This Row],[Uafhængig variabel ID]]</f>
        <v>1</v>
      </c>
      <c r="E177" t="b">
        <f>LineærRegression_Valg[[#This Row],[Afhængig variabel ID]]&lt;=$B$5</f>
        <v>0</v>
      </c>
      <c r="F177" t="str" cm="1">
        <f t="array" ref="F177">IF(LineærRegression_Valg[[#This Row],[Indenfor range]],INDEX(DataTitel_liste,LineærRegression_Valg[[#This Row],[Afhængig variabel ID]]),INDEX(DataTitel_liste,1))</f>
        <v>Eksempel 1 (interval)</v>
      </c>
      <c r="G177" s="188" t="str" cm="1">
        <f t="array" ref="G177">IF(LineærRegression_Valg[[#This Row],[Indenfor range]],IF(LineærRegression_Valg[[#This Row],[Intet overlap]],INDEX(DataTitel_liste,LineærRegression_Valg[[#This Row],[Uafhængig variabel ID]]),INDEX(DataTitel_liste,IF(LineærRegression_Valg[[#This Row],[Afhængig variabel ID]]=1,2,1))),$B$7)</f>
        <v>Eksempel 2 (interval)</v>
      </c>
      <c r="H177" s="188">
        <f>_xlfn.AGGREGATE(2,5,LineærRegression_Valg[[#This Row],[Tabel ID]])</f>
        <v>1</v>
      </c>
    </row>
    <row r="178" spans="1:8" x14ac:dyDescent="0.2">
      <c r="A178">
        <f>ROW(LineærRegression_Valg[[#This Row],[Tabel ID]])-ROW(LineærRegression_Valg[[#Headers],[Tabel ID]])</f>
        <v>168</v>
      </c>
      <c r="B178" s="188">
        <f>ROUNDDOWN((LineærRegression_Valg[[#This Row],[Tabel ID]]-1)/$B$5,0)+1</f>
        <v>42</v>
      </c>
      <c r="C178" s="188">
        <f t="shared" si="2"/>
        <v>4</v>
      </c>
      <c r="D178" s="188" t="b">
        <f>LineærRegression_Valg[[#This Row],[Afhængig variabel ID]]&lt;&gt;LineærRegression_Valg[[#This Row],[Uafhængig variabel ID]]</f>
        <v>1</v>
      </c>
      <c r="E178" t="b">
        <f>LineærRegression_Valg[[#This Row],[Afhængig variabel ID]]&lt;=$B$5</f>
        <v>0</v>
      </c>
      <c r="F178" t="str" cm="1">
        <f t="array" ref="F178">IF(LineærRegression_Valg[[#This Row],[Indenfor range]],INDEX(DataTitel_liste,LineærRegression_Valg[[#This Row],[Afhængig variabel ID]]),INDEX(DataTitel_liste,1))</f>
        <v>Eksempel 1 (interval)</v>
      </c>
      <c r="G178" s="188" t="str" cm="1">
        <f t="array" ref="G178">IF(LineærRegression_Valg[[#This Row],[Indenfor range]],IF(LineærRegression_Valg[[#This Row],[Intet overlap]],INDEX(DataTitel_liste,LineærRegression_Valg[[#This Row],[Uafhængig variabel ID]]),INDEX(DataTitel_liste,IF(LineærRegression_Valg[[#This Row],[Afhængig variabel ID]]=1,2,1))),$B$7)</f>
        <v>Eksempel 2 (interval)</v>
      </c>
      <c r="H178" s="188">
        <f>_xlfn.AGGREGATE(2,5,LineærRegression_Valg[[#This Row],[Tabel ID]])</f>
        <v>1</v>
      </c>
    </row>
    <row r="179" spans="1:8" x14ac:dyDescent="0.2">
      <c r="A179">
        <f>ROW(LineærRegression_Valg[[#This Row],[Tabel ID]])-ROW(LineærRegression_Valg[[#Headers],[Tabel ID]])</f>
        <v>169</v>
      </c>
      <c r="B179" s="188">
        <f>ROUNDDOWN((LineærRegression_Valg[[#This Row],[Tabel ID]]-1)/$B$5,0)+1</f>
        <v>43</v>
      </c>
      <c r="C179" s="188">
        <f t="shared" si="2"/>
        <v>1</v>
      </c>
      <c r="D179" s="188" t="b">
        <f>LineærRegression_Valg[[#This Row],[Afhængig variabel ID]]&lt;&gt;LineærRegression_Valg[[#This Row],[Uafhængig variabel ID]]</f>
        <v>1</v>
      </c>
      <c r="E179" t="b">
        <f>LineærRegression_Valg[[#This Row],[Afhængig variabel ID]]&lt;=$B$5</f>
        <v>0</v>
      </c>
      <c r="F179" t="str" cm="1">
        <f t="array" ref="F179">IF(LineærRegression_Valg[[#This Row],[Indenfor range]],INDEX(DataTitel_liste,LineærRegression_Valg[[#This Row],[Afhængig variabel ID]]),INDEX(DataTitel_liste,1))</f>
        <v>Eksempel 1 (interval)</v>
      </c>
      <c r="G179" s="188" t="str" cm="1">
        <f t="array" ref="G179">IF(LineærRegression_Valg[[#This Row],[Indenfor range]],IF(LineærRegression_Valg[[#This Row],[Intet overlap]],INDEX(DataTitel_liste,LineærRegression_Valg[[#This Row],[Uafhængig variabel ID]]),INDEX(DataTitel_liste,IF(LineærRegression_Valg[[#This Row],[Afhængig variabel ID]]=1,2,1))),$B$7)</f>
        <v>Eksempel 2 (interval)</v>
      </c>
      <c r="H179" s="188">
        <f>_xlfn.AGGREGATE(2,5,LineærRegression_Valg[[#This Row],[Tabel ID]])</f>
        <v>1</v>
      </c>
    </row>
    <row r="180" spans="1:8" x14ac:dyDescent="0.2">
      <c r="A180">
        <f>ROW(LineærRegression_Valg[[#This Row],[Tabel ID]])-ROW(LineærRegression_Valg[[#Headers],[Tabel ID]])</f>
        <v>170</v>
      </c>
      <c r="B180" s="188">
        <f>ROUNDDOWN((LineærRegression_Valg[[#This Row],[Tabel ID]]-1)/$B$5,0)+1</f>
        <v>43</v>
      </c>
      <c r="C180" s="188">
        <f t="shared" si="2"/>
        <v>2</v>
      </c>
      <c r="D180" s="188" t="b">
        <f>LineærRegression_Valg[[#This Row],[Afhængig variabel ID]]&lt;&gt;LineærRegression_Valg[[#This Row],[Uafhængig variabel ID]]</f>
        <v>1</v>
      </c>
      <c r="E180" t="b">
        <f>LineærRegression_Valg[[#This Row],[Afhængig variabel ID]]&lt;=$B$5</f>
        <v>0</v>
      </c>
      <c r="F180" t="str" cm="1">
        <f t="array" ref="F180">IF(LineærRegression_Valg[[#This Row],[Indenfor range]],INDEX(DataTitel_liste,LineærRegression_Valg[[#This Row],[Afhængig variabel ID]]),INDEX(DataTitel_liste,1))</f>
        <v>Eksempel 1 (interval)</v>
      </c>
      <c r="G180" s="188" t="str" cm="1">
        <f t="array" ref="G180">IF(LineærRegression_Valg[[#This Row],[Indenfor range]],IF(LineærRegression_Valg[[#This Row],[Intet overlap]],INDEX(DataTitel_liste,LineærRegression_Valg[[#This Row],[Uafhængig variabel ID]]),INDEX(DataTitel_liste,IF(LineærRegression_Valg[[#This Row],[Afhængig variabel ID]]=1,2,1))),$B$7)</f>
        <v>Eksempel 2 (interval)</v>
      </c>
      <c r="H180" s="188">
        <f>_xlfn.AGGREGATE(2,5,LineærRegression_Valg[[#This Row],[Tabel ID]])</f>
        <v>1</v>
      </c>
    </row>
    <row r="181" spans="1:8" x14ac:dyDescent="0.2">
      <c r="A181">
        <f>ROW(LineærRegression_Valg[[#This Row],[Tabel ID]])-ROW(LineærRegression_Valg[[#Headers],[Tabel ID]])</f>
        <v>171</v>
      </c>
      <c r="B181" s="188">
        <f>ROUNDDOWN((LineærRegression_Valg[[#This Row],[Tabel ID]]-1)/$B$5,0)+1</f>
        <v>43</v>
      </c>
      <c r="C181" s="188">
        <f t="shared" si="2"/>
        <v>3</v>
      </c>
      <c r="D181" s="188" t="b">
        <f>LineærRegression_Valg[[#This Row],[Afhængig variabel ID]]&lt;&gt;LineærRegression_Valg[[#This Row],[Uafhængig variabel ID]]</f>
        <v>1</v>
      </c>
      <c r="E181" t="b">
        <f>LineærRegression_Valg[[#This Row],[Afhængig variabel ID]]&lt;=$B$5</f>
        <v>0</v>
      </c>
      <c r="F181" t="str" cm="1">
        <f t="array" ref="F181">IF(LineærRegression_Valg[[#This Row],[Indenfor range]],INDEX(DataTitel_liste,LineærRegression_Valg[[#This Row],[Afhængig variabel ID]]),INDEX(DataTitel_liste,1))</f>
        <v>Eksempel 1 (interval)</v>
      </c>
      <c r="G181" s="188" t="str" cm="1">
        <f t="array" ref="G181">IF(LineærRegression_Valg[[#This Row],[Indenfor range]],IF(LineærRegression_Valg[[#This Row],[Intet overlap]],INDEX(DataTitel_liste,LineærRegression_Valg[[#This Row],[Uafhængig variabel ID]]),INDEX(DataTitel_liste,IF(LineærRegression_Valg[[#This Row],[Afhængig variabel ID]]=1,2,1))),$B$7)</f>
        <v>Eksempel 2 (interval)</v>
      </c>
      <c r="H181" s="188">
        <f>_xlfn.AGGREGATE(2,5,LineærRegression_Valg[[#This Row],[Tabel ID]])</f>
        <v>1</v>
      </c>
    </row>
    <row r="182" spans="1:8" x14ac:dyDescent="0.2">
      <c r="A182">
        <f>ROW(LineærRegression_Valg[[#This Row],[Tabel ID]])-ROW(LineærRegression_Valg[[#Headers],[Tabel ID]])</f>
        <v>172</v>
      </c>
      <c r="B182" s="188">
        <f>ROUNDDOWN((LineærRegression_Valg[[#This Row],[Tabel ID]]-1)/$B$5,0)+1</f>
        <v>43</v>
      </c>
      <c r="C182" s="188">
        <f t="shared" si="2"/>
        <v>4</v>
      </c>
      <c r="D182" s="188" t="b">
        <f>LineærRegression_Valg[[#This Row],[Afhængig variabel ID]]&lt;&gt;LineærRegression_Valg[[#This Row],[Uafhængig variabel ID]]</f>
        <v>1</v>
      </c>
      <c r="E182" t="b">
        <f>LineærRegression_Valg[[#This Row],[Afhængig variabel ID]]&lt;=$B$5</f>
        <v>0</v>
      </c>
      <c r="F182" t="str" cm="1">
        <f t="array" ref="F182">IF(LineærRegression_Valg[[#This Row],[Indenfor range]],INDEX(DataTitel_liste,LineærRegression_Valg[[#This Row],[Afhængig variabel ID]]),INDEX(DataTitel_liste,1))</f>
        <v>Eksempel 1 (interval)</v>
      </c>
      <c r="G182" s="188" t="str" cm="1">
        <f t="array" ref="G182">IF(LineærRegression_Valg[[#This Row],[Indenfor range]],IF(LineærRegression_Valg[[#This Row],[Intet overlap]],INDEX(DataTitel_liste,LineærRegression_Valg[[#This Row],[Uafhængig variabel ID]]),INDEX(DataTitel_liste,IF(LineærRegression_Valg[[#This Row],[Afhængig variabel ID]]=1,2,1))),$B$7)</f>
        <v>Eksempel 2 (interval)</v>
      </c>
      <c r="H182" s="188">
        <f>_xlfn.AGGREGATE(2,5,LineærRegression_Valg[[#This Row],[Tabel ID]])</f>
        <v>1</v>
      </c>
    </row>
    <row r="183" spans="1:8" x14ac:dyDescent="0.2">
      <c r="A183">
        <f>ROW(LineærRegression_Valg[[#This Row],[Tabel ID]])-ROW(LineærRegression_Valg[[#Headers],[Tabel ID]])</f>
        <v>173</v>
      </c>
      <c r="B183" s="188">
        <f>ROUNDDOWN((LineærRegression_Valg[[#This Row],[Tabel ID]]-1)/$B$5,0)+1</f>
        <v>44</v>
      </c>
      <c r="C183" s="188">
        <f t="shared" si="2"/>
        <v>1</v>
      </c>
      <c r="D183" s="188" t="b">
        <f>LineærRegression_Valg[[#This Row],[Afhængig variabel ID]]&lt;&gt;LineærRegression_Valg[[#This Row],[Uafhængig variabel ID]]</f>
        <v>1</v>
      </c>
      <c r="E183" t="b">
        <f>LineærRegression_Valg[[#This Row],[Afhængig variabel ID]]&lt;=$B$5</f>
        <v>0</v>
      </c>
      <c r="F183" t="str" cm="1">
        <f t="array" ref="F183">IF(LineærRegression_Valg[[#This Row],[Indenfor range]],INDEX(DataTitel_liste,LineærRegression_Valg[[#This Row],[Afhængig variabel ID]]),INDEX(DataTitel_liste,1))</f>
        <v>Eksempel 1 (interval)</v>
      </c>
      <c r="G183" s="188" t="str" cm="1">
        <f t="array" ref="G183">IF(LineærRegression_Valg[[#This Row],[Indenfor range]],IF(LineærRegression_Valg[[#This Row],[Intet overlap]],INDEX(DataTitel_liste,LineærRegression_Valg[[#This Row],[Uafhængig variabel ID]]),INDEX(DataTitel_liste,IF(LineærRegression_Valg[[#This Row],[Afhængig variabel ID]]=1,2,1))),$B$7)</f>
        <v>Eksempel 2 (interval)</v>
      </c>
      <c r="H183" s="188">
        <f>_xlfn.AGGREGATE(2,5,LineærRegression_Valg[[#This Row],[Tabel ID]])</f>
        <v>1</v>
      </c>
    </row>
    <row r="184" spans="1:8" x14ac:dyDescent="0.2">
      <c r="A184">
        <f>ROW(LineærRegression_Valg[[#This Row],[Tabel ID]])-ROW(LineærRegression_Valg[[#Headers],[Tabel ID]])</f>
        <v>174</v>
      </c>
      <c r="B184" s="188">
        <f>ROUNDDOWN((LineærRegression_Valg[[#This Row],[Tabel ID]]-1)/$B$5,0)+1</f>
        <v>44</v>
      </c>
      <c r="C184" s="188">
        <f t="shared" si="2"/>
        <v>2</v>
      </c>
      <c r="D184" s="188" t="b">
        <f>LineærRegression_Valg[[#This Row],[Afhængig variabel ID]]&lt;&gt;LineærRegression_Valg[[#This Row],[Uafhængig variabel ID]]</f>
        <v>1</v>
      </c>
      <c r="E184" t="b">
        <f>LineærRegression_Valg[[#This Row],[Afhængig variabel ID]]&lt;=$B$5</f>
        <v>0</v>
      </c>
      <c r="F184" t="str" cm="1">
        <f t="array" ref="F184">IF(LineærRegression_Valg[[#This Row],[Indenfor range]],INDEX(DataTitel_liste,LineærRegression_Valg[[#This Row],[Afhængig variabel ID]]),INDEX(DataTitel_liste,1))</f>
        <v>Eksempel 1 (interval)</v>
      </c>
      <c r="G184" s="188" t="str" cm="1">
        <f t="array" ref="G184">IF(LineærRegression_Valg[[#This Row],[Indenfor range]],IF(LineærRegression_Valg[[#This Row],[Intet overlap]],INDEX(DataTitel_liste,LineærRegression_Valg[[#This Row],[Uafhængig variabel ID]]),INDEX(DataTitel_liste,IF(LineærRegression_Valg[[#This Row],[Afhængig variabel ID]]=1,2,1))),$B$7)</f>
        <v>Eksempel 2 (interval)</v>
      </c>
      <c r="H184" s="188">
        <f>_xlfn.AGGREGATE(2,5,LineærRegression_Valg[[#This Row],[Tabel ID]])</f>
        <v>1</v>
      </c>
    </row>
    <row r="185" spans="1:8" x14ac:dyDescent="0.2">
      <c r="A185">
        <f>ROW(LineærRegression_Valg[[#This Row],[Tabel ID]])-ROW(LineærRegression_Valg[[#Headers],[Tabel ID]])</f>
        <v>175</v>
      </c>
      <c r="B185" s="188">
        <f>ROUNDDOWN((LineærRegression_Valg[[#This Row],[Tabel ID]]-1)/$B$5,0)+1</f>
        <v>44</v>
      </c>
      <c r="C185" s="188">
        <f t="shared" si="2"/>
        <v>3</v>
      </c>
      <c r="D185" s="188" t="b">
        <f>LineærRegression_Valg[[#This Row],[Afhængig variabel ID]]&lt;&gt;LineærRegression_Valg[[#This Row],[Uafhængig variabel ID]]</f>
        <v>1</v>
      </c>
      <c r="E185" t="b">
        <f>LineærRegression_Valg[[#This Row],[Afhængig variabel ID]]&lt;=$B$5</f>
        <v>0</v>
      </c>
      <c r="F185" t="str" cm="1">
        <f t="array" ref="F185">IF(LineærRegression_Valg[[#This Row],[Indenfor range]],INDEX(DataTitel_liste,LineærRegression_Valg[[#This Row],[Afhængig variabel ID]]),INDEX(DataTitel_liste,1))</f>
        <v>Eksempel 1 (interval)</v>
      </c>
      <c r="G185" s="188" t="str" cm="1">
        <f t="array" ref="G185">IF(LineærRegression_Valg[[#This Row],[Indenfor range]],IF(LineærRegression_Valg[[#This Row],[Intet overlap]],INDEX(DataTitel_liste,LineærRegression_Valg[[#This Row],[Uafhængig variabel ID]]),INDEX(DataTitel_liste,IF(LineærRegression_Valg[[#This Row],[Afhængig variabel ID]]=1,2,1))),$B$7)</f>
        <v>Eksempel 2 (interval)</v>
      </c>
      <c r="H185" s="188">
        <f>_xlfn.AGGREGATE(2,5,LineærRegression_Valg[[#This Row],[Tabel ID]])</f>
        <v>1</v>
      </c>
    </row>
    <row r="186" spans="1:8" x14ac:dyDescent="0.2">
      <c r="A186">
        <f>ROW(LineærRegression_Valg[[#This Row],[Tabel ID]])-ROW(LineærRegression_Valg[[#Headers],[Tabel ID]])</f>
        <v>176</v>
      </c>
      <c r="B186" s="188">
        <f>ROUNDDOWN((LineærRegression_Valg[[#This Row],[Tabel ID]]-1)/$B$5,0)+1</f>
        <v>44</v>
      </c>
      <c r="C186" s="188">
        <f t="shared" si="2"/>
        <v>4</v>
      </c>
      <c r="D186" s="188" t="b">
        <f>LineærRegression_Valg[[#This Row],[Afhængig variabel ID]]&lt;&gt;LineærRegression_Valg[[#This Row],[Uafhængig variabel ID]]</f>
        <v>1</v>
      </c>
      <c r="E186" t="b">
        <f>LineærRegression_Valg[[#This Row],[Afhængig variabel ID]]&lt;=$B$5</f>
        <v>0</v>
      </c>
      <c r="F186" t="str" cm="1">
        <f t="array" ref="F186">IF(LineærRegression_Valg[[#This Row],[Indenfor range]],INDEX(DataTitel_liste,LineærRegression_Valg[[#This Row],[Afhængig variabel ID]]),INDEX(DataTitel_liste,1))</f>
        <v>Eksempel 1 (interval)</v>
      </c>
      <c r="G186" s="188" t="str" cm="1">
        <f t="array" ref="G186">IF(LineærRegression_Valg[[#This Row],[Indenfor range]],IF(LineærRegression_Valg[[#This Row],[Intet overlap]],INDEX(DataTitel_liste,LineærRegression_Valg[[#This Row],[Uafhængig variabel ID]]),INDEX(DataTitel_liste,IF(LineærRegression_Valg[[#This Row],[Afhængig variabel ID]]=1,2,1))),$B$7)</f>
        <v>Eksempel 2 (interval)</v>
      </c>
      <c r="H186" s="188">
        <f>_xlfn.AGGREGATE(2,5,LineærRegression_Valg[[#This Row],[Tabel ID]])</f>
        <v>1</v>
      </c>
    </row>
    <row r="187" spans="1:8" x14ac:dyDescent="0.2">
      <c r="A187">
        <f>ROW(LineærRegression_Valg[[#This Row],[Tabel ID]])-ROW(LineærRegression_Valg[[#Headers],[Tabel ID]])</f>
        <v>177</v>
      </c>
      <c r="B187" s="188">
        <f>ROUNDDOWN((LineærRegression_Valg[[#This Row],[Tabel ID]]-1)/$B$5,0)+1</f>
        <v>45</v>
      </c>
      <c r="C187" s="188">
        <f t="shared" si="2"/>
        <v>1</v>
      </c>
      <c r="D187" s="188" t="b">
        <f>LineærRegression_Valg[[#This Row],[Afhængig variabel ID]]&lt;&gt;LineærRegression_Valg[[#This Row],[Uafhængig variabel ID]]</f>
        <v>1</v>
      </c>
      <c r="E187" t="b">
        <f>LineærRegression_Valg[[#This Row],[Afhængig variabel ID]]&lt;=$B$5</f>
        <v>0</v>
      </c>
      <c r="F187" t="str" cm="1">
        <f t="array" ref="F187">IF(LineærRegression_Valg[[#This Row],[Indenfor range]],INDEX(DataTitel_liste,LineærRegression_Valg[[#This Row],[Afhængig variabel ID]]),INDEX(DataTitel_liste,1))</f>
        <v>Eksempel 1 (interval)</v>
      </c>
      <c r="G187" s="188" t="str" cm="1">
        <f t="array" ref="G187">IF(LineærRegression_Valg[[#This Row],[Indenfor range]],IF(LineærRegression_Valg[[#This Row],[Intet overlap]],INDEX(DataTitel_liste,LineærRegression_Valg[[#This Row],[Uafhængig variabel ID]]),INDEX(DataTitel_liste,IF(LineærRegression_Valg[[#This Row],[Afhængig variabel ID]]=1,2,1))),$B$7)</f>
        <v>Eksempel 2 (interval)</v>
      </c>
      <c r="H187" s="188">
        <f>_xlfn.AGGREGATE(2,5,LineærRegression_Valg[[#This Row],[Tabel ID]])</f>
        <v>1</v>
      </c>
    </row>
    <row r="188" spans="1:8" x14ac:dyDescent="0.2">
      <c r="A188">
        <f>ROW(LineærRegression_Valg[[#This Row],[Tabel ID]])-ROW(LineærRegression_Valg[[#Headers],[Tabel ID]])</f>
        <v>178</v>
      </c>
      <c r="B188" s="188">
        <f>ROUNDDOWN((LineærRegression_Valg[[#This Row],[Tabel ID]]-1)/$B$5,0)+1</f>
        <v>45</v>
      </c>
      <c r="C188" s="188">
        <f t="shared" si="2"/>
        <v>2</v>
      </c>
      <c r="D188" s="188" t="b">
        <f>LineærRegression_Valg[[#This Row],[Afhængig variabel ID]]&lt;&gt;LineærRegression_Valg[[#This Row],[Uafhængig variabel ID]]</f>
        <v>1</v>
      </c>
      <c r="E188" t="b">
        <f>LineærRegression_Valg[[#This Row],[Afhængig variabel ID]]&lt;=$B$5</f>
        <v>0</v>
      </c>
      <c r="F188" t="str" cm="1">
        <f t="array" ref="F188">IF(LineærRegression_Valg[[#This Row],[Indenfor range]],INDEX(DataTitel_liste,LineærRegression_Valg[[#This Row],[Afhængig variabel ID]]),INDEX(DataTitel_liste,1))</f>
        <v>Eksempel 1 (interval)</v>
      </c>
      <c r="G188" s="188" t="str" cm="1">
        <f t="array" ref="G188">IF(LineærRegression_Valg[[#This Row],[Indenfor range]],IF(LineærRegression_Valg[[#This Row],[Intet overlap]],INDEX(DataTitel_liste,LineærRegression_Valg[[#This Row],[Uafhængig variabel ID]]),INDEX(DataTitel_liste,IF(LineærRegression_Valg[[#This Row],[Afhængig variabel ID]]=1,2,1))),$B$7)</f>
        <v>Eksempel 2 (interval)</v>
      </c>
      <c r="H188" s="188">
        <f>_xlfn.AGGREGATE(2,5,LineærRegression_Valg[[#This Row],[Tabel ID]])</f>
        <v>1</v>
      </c>
    </row>
    <row r="189" spans="1:8" x14ac:dyDescent="0.2">
      <c r="A189">
        <f>ROW(LineærRegression_Valg[[#This Row],[Tabel ID]])-ROW(LineærRegression_Valg[[#Headers],[Tabel ID]])</f>
        <v>179</v>
      </c>
      <c r="B189" s="188">
        <f>ROUNDDOWN((LineærRegression_Valg[[#This Row],[Tabel ID]]-1)/$B$5,0)+1</f>
        <v>45</v>
      </c>
      <c r="C189" s="188">
        <f t="shared" si="2"/>
        <v>3</v>
      </c>
      <c r="D189" s="188" t="b">
        <f>LineærRegression_Valg[[#This Row],[Afhængig variabel ID]]&lt;&gt;LineærRegression_Valg[[#This Row],[Uafhængig variabel ID]]</f>
        <v>1</v>
      </c>
      <c r="E189" t="b">
        <f>LineærRegression_Valg[[#This Row],[Afhængig variabel ID]]&lt;=$B$5</f>
        <v>0</v>
      </c>
      <c r="F189" t="str" cm="1">
        <f t="array" ref="F189">IF(LineærRegression_Valg[[#This Row],[Indenfor range]],INDEX(DataTitel_liste,LineærRegression_Valg[[#This Row],[Afhængig variabel ID]]),INDEX(DataTitel_liste,1))</f>
        <v>Eksempel 1 (interval)</v>
      </c>
      <c r="G189" s="188" t="str" cm="1">
        <f t="array" ref="G189">IF(LineærRegression_Valg[[#This Row],[Indenfor range]],IF(LineærRegression_Valg[[#This Row],[Intet overlap]],INDEX(DataTitel_liste,LineærRegression_Valg[[#This Row],[Uafhængig variabel ID]]),INDEX(DataTitel_liste,IF(LineærRegression_Valg[[#This Row],[Afhængig variabel ID]]=1,2,1))),$B$7)</f>
        <v>Eksempel 2 (interval)</v>
      </c>
      <c r="H189" s="188">
        <f>_xlfn.AGGREGATE(2,5,LineærRegression_Valg[[#This Row],[Tabel ID]])</f>
        <v>1</v>
      </c>
    </row>
    <row r="190" spans="1:8" x14ac:dyDescent="0.2">
      <c r="A190">
        <f>ROW(LineærRegression_Valg[[#This Row],[Tabel ID]])-ROW(LineærRegression_Valg[[#Headers],[Tabel ID]])</f>
        <v>180</v>
      </c>
      <c r="B190" s="188">
        <f>ROUNDDOWN((LineærRegression_Valg[[#This Row],[Tabel ID]]-1)/$B$5,0)+1</f>
        <v>45</v>
      </c>
      <c r="C190" s="188">
        <f t="shared" si="2"/>
        <v>4</v>
      </c>
      <c r="D190" s="188" t="b">
        <f>LineærRegression_Valg[[#This Row],[Afhængig variabel ID]]&lt;&gt;LineærRegression_Valg[[#This Row],[Uafhængig variabel ID]]</f>
        <v>1</v>
      </c>
      <c r="E190" t="b">
        <f>LineærRegression_Valg[[#This Row],[Afhængig variabel ID]]&lt;=$B$5</f>
        <v>0</v>
      </c>
      <c r="F190" t="str" cm="1">
        <f t="array" ref="F190">IF(LineærRegression_Valg[[#This Row],[Indenfor range]],INDEX(DataTitel_liste,LineærRegression_Valg[[#This Row],[Afhængig variabel ID]]),INDEX(DataTitel_liste,1))</f>
        <v>Eksempel 1 (interval)</v>
      </c>
      <c r="G190" s="188" t="str" cm="1">
        <f t="array" ref="G190">IF(LineærRegression_Valg[[#This Row],[Indenfor range]],IF(LineærRegression_Valg[[#This Row],[Intet overlap]],INDEX(DataTitel_liste,LineærRegression_Valg[[#This Row],[Uafhængig variabel ID]]),INDEX(DataTitel_liste,IF(LineærRegression_Valg[[#This Row],[Afhængig variabel ID]]=1,2,1))),$B$7)</f>
        <v>Eksempel 2 (interval)</v>
      </c>
      <c r="H190" s="188">
        <f>_xlfn.AGGREGATE(2,5,LineærRegression_Valg[[#This Row],[Tabel ID]])</f>
        <v>1</v>
      </c>
    </row>
    <row r="191" spans="1:8" x14ac:dyDescent="0.2">
      <c r="A191">
        <f>ROW(LineærRegression_Valg[[#This Row],[Tabel ID]])-ROW(LineærRegression_Valg[[#Headers],[Tabel ID]])</f>
        <v>181</v>
      </c>
      <c r="B191" s="188">
        <f>ROUNDDOWN((LineærRegression_Valg[[#This Row],[Tabel ID]]-1)/$B$5,0)+1</f>
        <v>46</v>
      </c>
      <c r="C191" s="188">
        <f t="shared" si="2"/>
        <v>1</v>
      </c>
      <c r="D191" s="188" t="b">
        <f>LineærRegression_Valg[[#This Row],[Afhængig variabel ID]]&lt;&gt;LineærRegression_Valg[[#This Row],[Uafhængig variabel ID]]</f>
        <v>1</v>
      </c>
      <c r="E191" t="b">
        <f>LineærRegression_Valg[[#This Row],[Afhængig variabel ID]]&lt;=$B$5</f>
        <v>0</v>
      </c>
      <c r="F191" t="str" cm="1">
        <f t="array" ref="F191">IF(LineærRegression_Valg[[#This Row],[Indenfor range]],INDEX(DataTitel_liste,LineærRegression_Valg[[#This Row],[Afhængig variabel ID]]),INDEX(DataTitel_liste,1))</f>
        <v>Eksempel 1 (interval)</v>
      </c>
      <c r="G191" s="188" t="str" cm="1">
        <f t="array" ref="G191">IF(LineærRegression_Valg[[#This Row],[Indenfor range]],IF(LineærRegression_Valg[[#This Row],[Intet overlap]],INDEX(DataTitel_liste,LineærRegression_Valg[[#This Row],[Uafhængig variabel ID]]),INDEX(DataTitel_liste,IF(LineærRegression_Valg[[#This Row],[Afhængig variabel ID]]=1,2,1))),$B$7)</f>
        <v>Eksempel 2 (interval)</v>
      </c>
      <c r="H191" s="188">
        <f>_xlfn.AGGREGATE(2,5,LineærRegression_Valg[[#This Row],[Tabel ID]])</f>
        <v>1</v>
      </c>
    </row>
    <row r="192" spans="1:8" x14ac:dyDescent="0.2">
      <c r="A192">
        <f>ROW(LineærRegression_Valg[[#This Row],[Tabel ID]])-ROW(LineærRegression_Valg[[#Headers],[Tabel ID]])</f>
        <v>182</v>
      </c>
      <c r="B192" s="188">
        <f>ROUNDDOWN((LineærRegression_Valg[[#This Row],[Tabel ID]]-1)/$B$5,0)+1</f>
        <v>46</v>
      </c>
      <c r="C192" s="188">
        <f t="shared" si="2"/>
        <v>2</v>
      </c>
      <c r="D192" s="188" t="b">
        <f>LineærRegression_Valg[[#This Row],[Afhængig variabel ID]]&lt;&gt;LineærRegression_Valg[[#This Row],[Uafhængig variabel ID]]</f>
        <v>1</v>
      </c>
      <c r="E192" t="b">
        <f>LineærRegression_Valg[[#This Row],[Afhængig variabel ID]]&lt;=$B$5</f>
        <v>0</v>
      </c>
      <c r="F192" t="str" cm="1">
        <f t="array" ref="F192">IF(LineærRegression_Valg[[#This Row],[Indenfor range]],INDEX(DataTitel_liste,LineærRegression_Valg[[#This Row],[Afhængig variabel ID]]),INDEX(DataTitel_liste,1))</f>
        <v>Eksempel 1 (interval)</v>
      </c>
      <c r="G192" s="188" t="str" cm="1">
        <f t="array" ref="G192">IF(LineærRegression_Valg[[#This Row],[Indenfor range]],IF(LineærRegression_Valg[[#This Row],[Intet overlap]],INDEX(DataTitel_liste,LineærRegression_Valg[[#This Row],[Uafhængig variabel ID]]),INDEX(DataTitel_liste,IF(LineærRegression_Valg[[#This Row],[Afhængig variabel ID]]=1,2,1))),$B$7)</f>
        <v>Eksempel 2 (interval)</v>
      </c>
      <c r="H192" s="188">
        <f>_xlfn.AGGREGATE(2,5,LineærRegression_Valg[[#This Row],[Tabel ID]])</f>
        <v>1</v>
      </c>
    </row>
    <row r="193" spans="1:8" x14ac:dyDescent="0.2">
      <c r="A193">
        <f>ROW(LineærRegression_Valg[[#This Row],[Tabel ID]])-ROW(LineærRegression_Valg[[#Headers],[Tabel ID]])</f>
        <v>183</v>
      </c>
      <c r="B193" s="188">
        <f>ROUNDDOWN((LineærRegression_Valg[[#This Row],[Tabel ID]]-1)/$B$5,0)+1</f>
        <v>46</v>
      </c>
      <c r="C193" s="188">
        <f t="shared" si="2"/>
        <v>3</v>
      </c>
      <c r="D193" s="188" t="b">
        <f>LineærRegression_Valg[[#This Row],[Afhængig variabel ID]]&lt;&gt;LineærRegression_Valg[[#This Row],[Uafhængig variabel ID]]</f>
        <v>1</v>
      </c>
      <c r="E193" t="b">
        <f>LineærRegression_Valg[[#This Row],[Afhængig variabel ID]]&lt;=$B$5</f>
        <v>0</v>
      </c>
      <c r="F193" t="str" cm="1">
        <f t="array" ref="F193">IF(LineærRegression_Valg[[#This Row],[Indenfor range]],INDEX(DataTitel_liste,LineærRegression_Valg[[#This Row],[Afhængig variabel ID]]),INDEX(DataTitel_liste,1))</f>
        <v>Eksempel 1 (interval)</v>
      </c>
      <c r="G193" s="188" t="str" cm="1">
        <f t="array" ref="G193">IF(LineærRegression_Valg[[#This Row],[Indenfor range]],IF(LineærRegression_Valg[[#This Row],[Intet overlap]],INDEX(DataTitel_liste,LineærRegression_Valg[[#This Row],[Uafhængig variabel ID]]),INDEX(DataTitel_liste,IF(LineærRegression_Valg[[#This Row],[Afhængig variabel ID]]=1,2,1))),$B$7)</f>
        <v>Eksempel 2 (interval)</v>
      </c>
      <c r="H193" s="188">
        <f>_xlfn.AGGREGATE(2,5,LineærRegression_Valg[[#This Row],[Tabel ID]])</f>
        <v>1</v>
      </c>
    </row>
    <row r="194" spans="1:8" x14ac:dyDescent="0.2">
      <c r="A194">
        <f>ROW(LineærRegression_Valg[[#This Row],[Tabel ID]])-ROW(LineærRegression_Valg[[#Headers],[Tabel ID]])</f>
        <v>184</v>
      </c>
      <c r="B194" s="188">
        <f>ROUNDDOWN((LineærRegression_Valg[[#This Row],[Tabel ID]]-1)/$B$5,0)+1</f>
        <v>46</v>
      </c>
      <c r="C194" s="188">
        <f t="shared" si="2"/>
        <v>4</v>
      </c>
      <c r="D194" s="188" t="b">
        <f>LineærRegression_Valg[[#This Row],[Afhængig variabel ID]]&lt;&gt;LineærRegression_Valg[[#This Row],[Uafhængig variabel ID]]</f>
        <v>1</v>
      </c>
      <c r="E194" t="b">
        <f>LineærRegression_Valg[[#This Row],[Afhængig variabel ID]]&lt;=$B$5</f>
        <v>0</v>
      </c>
      <c r="F194" t="str" cm="1">
        <f t="array" ref="F194">IF(LineærRegression_Valg[[#This Row],[Indenfor range]],INDEX(DataTitel_liste,LineærRegression_Valg[[#This Row],[Afhængig variabel ID]]),INDEX(DataTitel_liste,1))</f>
        <v>Eksempel 1 (interval)</v>
      </c>
      <c r="G194" s="188" t="str" cm="1">
        <f t="array" ref="G194">IF(LineærRegression_Valg[[#This Row],[Indenfor range]],IF(LineærRegression_Valg[[#This Row],[Intet overlap]],INDEX(DataTitel_liste,LineærRegression_Valg[[#This Row],[Uafhængig variabel ID]]),INDEX(DataTitel_liste,IF(LineærRegression_Valg[[#This Row],[Afhængig variabel ID]]=1,2,1))),$B$7)</f>
        <v>Eksempel 2 (interval)</v>
      </c>
      <c r="H194" s="188">
        <f>_xlfn.AGGREGATE(2,5,LineærRegression_Valg[[#This Row],[Tabel ID]])</f>
        <v>1</v>
      </c>
    </row>
    <row r="195" spans="1:8" x14ac:dyDescent="0.2">
      <c r="A195">
        <f>ROW(LineærRegression_Valg[[#This Row],[Tabel ID]])-ROW(LineærRegression_Valg[[#Headers],[Tabel ID]])</f>
        <v>185</v>
      </c>
      <c r="B195" s="188">
        <f>ROUNDDOWN((LineærRegression_Valg[[#This Row],[Tabel ID]]-1)/$B$5,0)+1</f>
        <v>47</v>
      </c>
      <c r="C195" s="188">
        <f t="shared" si="2"/>
        <v>1</v>
      </c>
      <c r="D195" s="188" t="b">
        <f>LineærRegression_Valg[[#This Row],[Afhængig variabel ID]]&lt;&gt;LineærRegression_Valg[[#This Row],[Uafhængig variabel ID]]</f>
        <v>1</v>
      </c>
      <c r="E195" t="b">
        <f>LineærRegression_Valg[[#This Row],[Afhængig variabel ID]]&lt;=$B$5</f>
        <v>0</v>
      </c>
      <c r="F195" t="str" cm="1">
        <f t="array" ref="F195">IF(LineærRegression_Valg[[#This Row],[Indenfor range]],INDEX(DataTitel_liste,LineærRegression_Valg[[#This Row],[Afhængig variabel ID]]),INDEX(DataTitel_liste,1))</f>
        <v>Eksempel 1 (interval)</v>
      </c>
      <c r="G195" s="188" t="str" cm="1">
        <f t="array" ref="G195">IF(LineærRegression_Valg[[#This Row],[Indenfor range]],IF(LineærRegression_Valg[[#This Row],[Intet overlap]],INDEX(DataTitel_liste,LineærRegression_Valg[[#This Row],[Uafhængig variabel ID]]),INDEX(DataTitel_liste,IF(LineærRegression_Valg[[#This Row],[Afhængig variabel ID]]=1,2,1))),$B$7)</f>
        <v>Eksempel 2 (interval)</v>
      </c>
      <c r="H195" s="188">
        <f>_xlfn.AGGREGATE(2,5,LineærRegression_Valg[[#This Row],[Tabel ID]])</f>
        <v>1</v>
      </c>
    </row>
    <row r="196" spans="1:8" x14ac:dyDescent="0.2">
      <c r="A196">
        <f>ROW(LineærRegression_Valg[[#This Row],[Tabel ID]])-ROW(LineærRegression_Valg[[#Headers],[Tabel ID]])</f>
        <v>186</v>
      </c>
      <c r="B196" s="188">
        <f>ROUNDDOWN((LineærRegression_Valg[[#This Row],[Tabel ID]]-1)/$B$5,0)+1</f>
        <v>47</v>
      </c>
      <c r="C196" s="188">
        <f t="shared" si="2"/>
        <v>2</v>
      </c>
      <c r="D196" s="188" t="b">
        <f>LineærRegression_Valg[[#This Row],[Afhængig variabel ID]]&lt;&gt;LineærRegression_Valg[[#This Row],[Uafhængig variabel ID]]</f>
        <v>1</v>
      </c>
      <c r="E196" t="b">
        <f>LineærRegression_Valg[[#This Row],[Afhængig variabel ID]]&lt;=$B$5</f>
        <v>0</v>
      </c>
      <c r="F196" t="str" cm="1">
        <f t="array" ref="F196">IF(LineærRegression_Valg[[#This Row],[Indenfor range]],INDEX(DataTitel_liste,LineærRegression_Valg[[#This Row],[Afhængig variabel ID]]),INDEX(DataTitel_liste,1))</f>
        <v>Eksempel 1 (interval)</v>
      </c>
      <c r="G196" s="188" t="str" cm="1">
        <f t="array" ref="G196">IF(LineærRegression_Valg[[#This Row],[Indenfor range]],IF(LineærRegression_Valg[[#This Row],[Intet overlap]],INDEX(DataTitel_liste,LineærRegression_Valg[[#This Row],[Uafhængig variabel ID]]),INDEX(DataTitel_liste,IF(LineærRegression_Valg[[#This Row],[Afhængig variabel ID]]=1,2,1))),$B$7)</f>
        <v>Eksempel 2 (interval)</v>
      </c>
      <c r="H196" s="188">
        <f>_xlfn.AGGREGATE(2,5,LineærRegression_Valg[[#This Row],[Tabel ID]])</f>
        <v>1</v>
      </c>
    </row>
    <row r="197" spans="1:8" x14ac:dyDescent="0.2">
      <c r="A197">
        <f>ROW(LineærRegression_Valg[[#This Row],[Tabel ID]])-ROW(LineærRegression_Valg[[#Headers],[Tabel ID]])</f>
        <v>187</v>
      </c>
      <c r="B197" s="188">
        <f>ROUNDDOWN((LineærRegression_Valg[[#This Row],[Tabel ID]]-1)/$B$5,0)+1</f>
        <v>47</v>
      </c>
      <c r="C197" s="188">
        <f t="shared" si="2"/>
        <v>3</v>
      </c>
      <c r="D197" s="188" t="b">
        <f>LineærRegression_Valg[[#This Row],[Afhængig variabel ID]]&lt;&gt;LineærRegression_Valg[[#This Row],[Uafhængig variabel ID]]</f>
        <v>1</v>
      </c>
      <c r="E197" t="b">
        <f>LineærRegression_Valg[[#This Row],[Afhængig variabel ID]]&lt;=$B$5</f>
        <v>0</v>
      </c>
      <c r="F197" t="str" cm="1">
        <f t="array" ref="F197">IF(LineærRegression_Valg[[#This Row],[Indenfor range]],INDEX(DataTitel_liste,LineærRegression_Valg[[#This Row],[Afhængig variabel ID]]),INDEX(DataTitel_liste,1))</f>
        <v>Eksempel 1 (interval)</v>
      </c>
      <c r="G197" s="188" t="str" cm="1">
        <f t="array" ref="G197">IF(LineærRegression_Valg[[#This Row],[Indenfor range]],IF(LineærRegression_Valg[[#This Row],[Intet overlap]],INDEX(DataTitel_liste,LineærRegression_Valg[[#This Row],[Uafhængig variabel ID]]),INDEX(DataTitel_liste,IF(LineærRegression_Valg[[#This Row],[Afhængig variabel ID]]=1,2,1))),$B$7)</f>
        <v>Eksempel 2 (interval)</v>
      </c>
      <c r="H197" s="188">
        <f>_xlfn.AGGREGATE(2,5,LineærRegression_Valg[[#This Row],[Tabel ID]])</f>
        <v>1</v>
      </c>
    </row>
    <row r="198" spans="1:8" x14ac:dyDescent="0.2">
      <c r="A198">
        <f>ROW(LineærRegression_Valg[[#This Row],[Tabel ID]])-ROW(LineærRegression_Valg[[#Headers],[Tabel ID]])</f>
        <v>188</v>
      </c>
      <c r="B198" s="188">
        <f>ROUNDDOWN((LineærRegression_Valg[[#This Row],[Tabel ID]]-1)/$B$5,0)+1</f>
        <v>47</v>
      </c>
      <c r="C198" s="188">
        <f t="shared" si="2"/>
        <v>4</v>
      </c>
      <c r="D198" s="188" t="b">
        <f>LineærRegression_Valg[[#This Row],[Afhængig variabel ID]]&lt;&gt;LineærRegression_Valg[[#This Row],[Uafhængig variabel ID]]</f>
        <v>1</v>
      </c>
      <c r="E198" t="b">
        <f>LineærRegression_Valg[[#This Row],[Afhængig variabel ID]]&lt;=$B$5</f>
        <v>0</v>
      </c>
      <c r="F198" t="str" cm="1">
        <f t="array" ref="F198">IF(LineærRegression_Valg[[#This Row],[Indenfor range]],INDEX(DataTitel_liste,LineærRegression_Valg[[#This Row],[Afhængig variabel ID]]),INDEX(DataTitel_liste,1))</f>
        <v>Eksempel 1 (interval)</v>
      </c>
      <c r="G198" s="188" t="str" cm="1">
        <f t="array" ref="G198">IF(LineærRegression_Valg[[#This Row],[Indenfor range]],IF(LineærRegression_Valg[[#This Row],[Intet overlap]],INDEX(DataTitel_liste,LineærRegression_Valg[[#This Row],[Uafhængig variabel ID]]),INDEX(DataTitel_liste,IF(LineærRegression_Valg[[#This Row],[Afhængig variabel ID]]=1,2,1))),$B$7)</f>
        <v>Eksempel 2 (interval)</v>
      </c>
      <c r="H198" s="188">
        <f>_xlfn.AGGREGATE(2,5,LineærRegression_Valg[[#This Row],[Tabel ID]])</f>
        <v>1</v>
      </c>
    </row>
    <row r="199" spans="1:8" x14ac:dyDescent="0.2">
      <c r="A199">
        <f>ROW(LineærRegression_Valg[[#This Row],[Tabel ID]])-ROW(LineærRegression_Valg[[#Headers],[Tabel ID]])</f>
        <v>189</v>
      </c>
      <c r="B199" s="188">
        <f>ROUNDDOWN((LineærRegression_Valg[[#This Row],[Tabel ID]]-1)/$B$5,0)+1</f>
        <v>48</v>
      </c>
      <c r="C199" s="188">
        <f t="shared" si="2"/>
        <v>1</v>
      </c>
      <c r="D199" s="188" t="b">
        <f>LineærRegression_Valg[[#This Row],[Afhængig variabel ID]]&lt;&gt;LineærRegression_Valg[[#This Row],[Uafhængig variabel ID]]</f>
        <v>1</v>
      </c>
      <c r="E199" t="b">
        <f>LineærRegression_Valg[[#This Row],[Afhængig variabel ID]]&lt;=$B$5</f>
        <v>0</v>
      </c>
      <c r="F199" t="str" cm="1">
        <f t="array" ref="F199">IF(LineærRegression_Valg[[#This Row],[Indenfor range]],INDEX(DataTitel_liste,LineærRegression_Valg[[#This Row],[Afhængig variabel ID]]),INDEX(DataTitel_liste,1))</f>
        <v>Eksempel 1 (interval)</v>
      </c>
      <c r="G199" s="188" t="str" cm="1">
        <f t="array" ref="G199">IF(LineærRegression_Valg[[#This Row],[Indenfor range]],IF(LineærRegression_Valg[[#This Row],[Intet overlap]],INDEX(DataTitel_liste,LineærRegression_Valg[[#This Row],[Uafhængig variabel ID]]),INDEX(DataTitel_liste,IF(LineærRegression_Valg[[#This Row],[Afhængig variabel ID]]=1,2,1))),$B$7)</f>
        <v>Eksempel 2 (interval)</v>
      </c>
      <c r="H199" s="188">
        <f>_xlfn.AGGREGATE(2,5,LineærRegression_Valg[[#This Row],[Tabel ID]])</f>
        <v>1</v>
      </c>
    </row>
    <row r="200" spans="1:8" x14ac:dyDescent="0.2">
      <c r="A200">
        <f>ROW(LineærRegression_Valg[[#This Row],[Tabel ID]])-ROW(LineærRegression_Valg[[#Headers],[Tabel ID]])</f>
        <v>190</v>
      </c>
      <c r="B200" s="188">
        <f>ROUNDDOWN((LineærRegression_Valg[[#This Row],[Tabel ID]]-1)/$B$5,0)+1</f>
        <v>48</v>
      </c>
      <c r="C200" s="188">
        <f t="shared" si="2"/>
        <v>2</v>
      </c>
      <c r="D200" s="188" t="b">
        <f>LineærRegression_Valg[[#This Row],[Afhængig variabel ID]]&lt;&gt;LineærRegression_Valg[[#This Row],[Uafhængig variabel ID]]</f>
        <v>1</v>
      </c>
      <c r="E200" t="b">
        <f>LineærRegression_Valg[[#This Row],[Afhængig variabel ID]]&lt;=$B$5</f>
        <v>0</v>
      </c>
      <c r="F200" t="str" cm="1">
        <f t="array" ref="F200">IF(LineærRegression_Valg[[#This Row],[Indenfor range]],INDEX(DataTitel_liste,LineærRegression_Valg[[#This Row],[Afhængig variabel ID]]),INDEX(DataTitel_liste,1))</f>
        <v>Eksempel 1 (interval)</v>
      </c>
      <c r="G200" s="188" t="str" cm="1">
        <f t="array" ref="G200">IF(LineærRegression_Valg[[#This Row],[Indenfor range]],IF(LineærRegression_Valg[[#This Row],[Intet overlap]],INDEX(DataTitel_liste,LineærRegression_Valg[[#This Row],[Uafhængig variabel ID]]),INDEX(DataTitel_liste,IF(LineærRegression_Valg[[#This Row],[Afhængig variabel ID]]=1,2,1))),$B$7)</f>
        <v>Eksempel 2 (interval)</v>
      </c>
      <c r="H200" s="188">
        <f>_xlfn.AGGREGATE(2,5,LineærRegression_Valg[[#This Row],[Tabel ID]])</f>
        <v>1</v>
      </c>
    </row>
    <row r="201" spans="1:8" x14ac:dyDescent="0.2">
      <c r="A201">
        <f>ROW(LineærRegression_Valg[[#This Row],[Tabel ID]])-ROW(LineærRegression_Valg[[#Headers],[Tabel ID]])</f>
        <v>191</v>
      </c>
      <c r="B201" s="188">
        <f>ROUNDDOWN((LineærRegression_Valg[[#This Row],[Tabel ID]]-1)/$B$5,0)+1</f>
        <v>48</v>
      </c>
      <c r="C201" s="188">
        <f t="shared" si="2"/>
        <v>3</v>
      </c>
      <c r="D201" s="188" t="b">
        <f>LineærRegression_Valg[[#This Row],[Afhængig variabel ID]]&lt;&gt;LineærRegression_Valg[[#This Row],[Uafhængig variabel ID]]</f>
        <v>1</v>
      </c>
      <c r="E201" t="b">
        <f>LineærRegression_Valg[[#This Row],[Afhængig variabel ID]]&lt;=$B$5</f>
        <v>0</v>
      </c>
      <c r="F201" t="str" cm="1">
        <f t="array" ref="F201">IF(LineærRegression_Valg[[#This Row],[Indenfor range]],INDEX(DataTitel_liste,LineærRegression_Valg[[#This Row],[Afhængig variabel ID]]),INDEX(DataTitel_liste,1))</f>
        <v>Eksempel 1 (interval)</v>
      </c>
      <c r="G201" s="188" t="str" cm="1">
        <f t="array" ref="G201">IF(LineærRegression_Valg[[#This Row],[Indenfor range]],IF(LineærRegression_Valg[[#This Row],[Intet overlap]],INDEX(DataTitel_liste,LineærRegression_Valg[[#This Row],[Uafhængig variabel ID]]),INDEX(DataTitel_liste,IF(LineærRegression_Valg[[#This Row],[Afhængig variabel ID]]=1,2,1))),$B$7)</f>
        <v>Eksempel 2 (interval)</v>
      </c>
      <c r="H201" s="188">
        <f>_xlfn.AGGREGATE(2,5,LineærRegression_Valg[[#This Row],[Tabel ID]])</f>
        <v>1</v>
      </c>
    </row>
    <row r="202" spans="1:8" x14ac:dyDescent="0.2">
      <c r="A202">
        <f>ROW(LineærRegression_Valg[[#This Row],[Tabel ID]])-ROW(LineærRegression_Valg[[#Headers],[Tabel ID]])</f>
        <v>192</v>
      </c>
      <c r="B202" s="188">
        <f>ROUNDDOWN((LineærRegression_Valg[[#This Row],[Tabel ID]]-1)/$B$5,0)+1</f>
        <v>48</v>
      </c>
      <c r="C202" s="188">
        <f t="shared" si="2"/>
        <v>4</v>
      </c>
      <c r="D202" s="188" t="b">
        <f>LineærRegression_Valg[[#This Row],[Afhængig variabel ID]]&lt;&gt;LineærRegression_Valg[[#This Row],[Uafhængig variabel ID]]</f>
        <v>1</v>
      </c>
      <c r="E202" t="b">
        <f>LineærRegression_Valg[[#This Row],[Afhængig variabel ID]]&lt;=$B$5</f>
        <v>0</v>
      </c>
      <c r="F202" t="str" cm="1">
        <f t="array" ref="F202">IF(LineærRegression_Valg[[#This Row],[Indenfor range]],INDEX(DataTitel_liste,LineærRegression_Valg[[#This Row],[Afhængig variabel ID]]),INDEX(DataTitel_liste,1))</f>
        <v>Eksempel 1 (interval)</v>
      </c>
      <c r="G202" s="188" t="str" cm="1">
        <f t="array" ref="G202">IF(LineærRegression_Valg[[#This Row],[Indenfor range]],IF(LineærRegression_Valg[[#This Row],[Intet overlap]],INDEX(DataTitel_liste,LineærRegression_Valg[[#This Row],[Uafhængig variabel ID]]),INDEX(DataTitel_liste,IF(LineærRegression_Valg[[#This Row],[Afhængig variabel ID]]=1,2,1))),$B$7)</f>
        <v>Eksempel 2 (interval)</v>
      </c>
      <c r="H202" s="188">
        <f>_xlfn.AGGREGATE(2,5,LineærRegression_Valg[[#This Row],[Tabel ID]])</f>
        <v>1</v>
      </c>
    </row>
    <row r="203" spans="1:8" x14ac:dyDescent="0.2">
      <c r="A203">
        <f>ROW(LineærRegression_Valg[[#This Row],[Tabel ID]])-ROW(LineærRegression_Valg[[#Headers],[Tabel ID]])</f>
        <v>193</v>
      </c>
      <c r="B203" s="188">
        <f>ROUNDDOWN((LineærRegression_Valg[[#This Row],[Tabel ID]]-1)/$B$5,0)+1</f>
        <v>49</v>
      </c>
      <c r="C203" s="188">
        <f t="shared" ref="C203:C266" si="3">MOD(A203-1,$B$5)+1</f>
        <v>1</v>
      </c>
      <c r="D203" s="188" t="b">
        <f>LineærRegression_Valg[[#This Row],[Afhængig variabel ID]]&lt;&gt;LineærRegression_Valg[[#This Row],[Uafhængig variabel ID]]</f>
        <v>1</v>
      </c>
      <c r="E203" t="b">
        <f>LineærRegression_Valg[[#This Row],[Afhængig variabel ID]]&lt;=$B$5</f>
        <v>0</v>
      </c>
      <c r="F203" t="str" cm="1">
        <f t="array" ref="F203">IF(LineærRegression_Valg[[#This Row],[Indenfor range]],INDEX(DataTitel_liste,LineærRegression_Valg[[#This Row],[Afhængig variabel ID]]),INDEX(DataTitel_liste,1))</f>
        <v>Eksempel 1 (interval)</v>
      </c>
      <c r="G203" s="188" t="str" cm="1">
        <f t="array" ref="G203">IF(LineærRegression_Valg[[#This Row],[Indenfor range]],IF(LineærRegression_Valg[[#This Row],[Intet overlap]],INDEX(DataTitel_liste,LineærRegression_Valg[[#This Row],[Uafhængig variabel ID]]),INDEX(DataTitel_liste,IF(LineærRegression_Valg[[#This Row],[Afhængig variabel ID]]=1,2,1))),$B$7)</f>
        <v>Eksempel 2 (interval)</v>
      </c>
      <c r="H203" s="188">
        <f>_xlfn.AGGREGATE(2,5,LineærRegression_Valg[[#This Row],[Tabel ID]])</f>
        <v>1</v>
      </c>
    </row>
    <row r="204" spans="1:8" x14ac:dyDescent="0.2">
      <c r="A204">
        <f>ROW(LineærRegression_Valg[[#This Row],[Tabel ID]])-ROW(LineærRegression_Valg[[#Headers],[Tabel ID]])</f>
        <v>194</v>
      </c>
      <c r="B204" s="188">
        <f>ROUNDDOWN((LineærRegression_Valg[[#This Row],[Tabel ID]]-1)/$B$5,0)+1</f>
        <v>49</v>
      </c>
      <c r="C204" s="188">
        <f t="shared" si="3"/>
        <v>2</v>
      </c>
      <c r="D204" s="188" t="b">
        <f>LineærRegression_Valg[[#This Row],[Afhængig variabel ID]]&lt;&gt;LineærRegression_Valg[[#This Row],[Uafhængig variabel ID]]</f>
        <v>1</v>
      </c>
      <c r="E204" t="b">
        <f>LineærRegression_Valg[[#This Row],[Afhængig variabel ID]]&lt;=$B$5</f>
        <v>0</v>
      </c>
      <c r="F204" t="str" cm="1">
        <f t="array" ref="F204">IF(LineærRegression_Valg[[#This Row],[Indenfor range]],INDEX(DataTitel_liste,LineærRegression_Valg[[#This Row],[Afhængig variabel ID]]),INDEX(DataTitel_liste,1))</f>
        <v>Eksempel 1 (interval)</v>
      </c>
      <c r="G204" s="188" t="str" cm="1">
        <f t="array" ref="G204">IF(LineærRegression_Valg[[#This Row],[Indenfor range]],IF(LineærRegression_Valg[[#This Row],[Intet overlap]],INDEX(DataTitel_liste,LineærRegression_Valg[[#This Row],[Uafhængig variabel ID]]),INDEX(DataTitel_liste,IF(LineærRegression_Valg[[#This Row],[Afhængig variabel ID]]=1,2,1))),$B$7)</f>
        <v>Eksempel 2 (interval)</v>
      </c>
      <c r="H204" s="188">
        <f>_xlfn.AGGREGATE(2,5,LineærRegression_Valg[[#This Row],[Tabel ID]])</f>
        <v>1</v>
      </c>
    </row>
    <row r="205" spans="1:8" x14ac:dyDescent="0.2">
      <c r="A205">
        <f>ROW(LineærRegression_Valg[[#This Row],[Tabel ID]])-ROW(LineærRegression_Valg[[#Headers],[Tabel ID]])</f>
        <v>195</v>
      </c>
      <c r="B205" s="188">
        <f>ROUNDDOWN((LineærRegression_Valg[[#This Row],[Tabel ID]]-1)/$B$5,0)+1</f>
        <v>49</v>
      </c>
      <c r="C205" s="188">
        <f t="shared" si="3"/>
        <v>3</v>
      </c>
      <c r="D205" s="188" t="b">
        <f>LineærRegression_Valg[[#This Row],[Afhængig variabel ID]]&lt;&gt;LineærRegression_Valg[[#This Row],[Uafhængig variabel ID]]</f>
        <v>1</v>
      </c>
      <c r="E205" t="b">
        <f>LineærRegression_Valg[[#This Row],[Afhængig variabel ID]]&lt;=$B$5</f>
        <v>0</v>
      </c>
      <c r="F205" t="str" cm="1">
        <f t="array" ref="F205">IF(LineærRegression_Valg[[#This Row],[Indenfor range]],INDEX(DataTitel_liste,LineærRegression_Valg[[#This Row],[Afhængig variabel ID]]),INDEX(DataTitel_liste,1))</f>
        <v>Eksempel 1 (interval)</v>
      </c>
      <c r="G205" s="188" t="str" cm="1">
        <f t="array" ref="G205">IF(LineærRegression_Valg[[#This Row],[Indenfor range]],IF(LineærRegression_Valg[[#This Row],[Intet overlap]],INDEX(DataTitel_liste,LineærRegression_Valg[[#This Row],[Uafhængig variabel ID]]),INDEX(DataTitel_liste,IF(LineærRegression_Valg[[#This Row],[Afhængig variabel ID]]=1,2,1))),$B$7)</f>
        <v>Eksempel 2 (interval)</v>
      </c>
      <c r="H205" s="188">
        <f>_xlfn.AGGREGATE(2,5,LineærRegression_Valg[[#This Row],[Tabel ID]])</f>
        <v>1</v>
      </c>
    </row>
    <row r="206" spans="1:8" x14ac:dyDescent="0.2">
      <c r="A206">
        <f>ROW(LineærRegression_Valg[[#This Row],[Tabel ID]])-ROW(LineærRegression_Valg[[#Headers],[Tabel ID]])</f>
        <v>196</v>
      </c>
      <c r="B206" s="188">
        <f>ROUNDDOWN((LineærRegression_Valg[[#This Row],[Tabel ID]]-1)/$B$5,0)+1</f>
        <v>49</v>
      </c>
      <c r="C206" s="188">
        <f t="shared" si="3"/>
        <v>4</v>
      </c>
      <c r="D206" s="188" t="b">
        <f>LineærRegression_Valg[[#This Row],[Afhængig variabel ID]]&lt;&gt;LineærRegression_Valg[[#This Row],[Uafhængig variabel ID]]</f>
        <v>1</v>
      </c>
      <c r="E206" t="b">
        <f>LineærRegression_Valg[[#This Row],[Afhængig variabel ID]]&lt;=$B$5</f>
        <v>0</v>
      </c>
      <c r="F206" t="str" cm="1">
        <f t="array" ref="F206">IF(LineærRegression_Valg[[#This Row],[Indenfor range]],INDEX(DataTitel_liste,LineærRegression_Valg[[#This Row],[Afhængig variabel ID]]),INDEX(DataTitel_liste,1))</f>
        <v>Eksempel 1 (interval)</v>
      </c>
      <c r="G206" s="188" t="str" cm="1">
        <f t="array" ref="G206">IF(LineærRegression_Valg[[#This Row],[Indenfor range]],IF(LineærRegression_Valg[[#This Row],[Intet overlap]],INDEX(DataTitel_liste,LineærRegression_Valg[[#This Row],[Uafhængig variabel ID]]),INDEX(DataTitel_liste,IF(LineærRegression_Valg[[#This Row],[Afhængig variabel ID]]=1,2,1))),$B$7)</f>
        <v>Eksempel 2 (interval)</v>
      </c>
      <c r="H206" s="188">
        <f>_xlfn.AGGREGATE(2,5,LineærRegression_Valg[[#This Row],[Tabel ID]])</f>
        <v>1</v>
      </c>
    </row>
    <row r="207" spans="1:8" x14ac:dyDescent="0.2">
      <c r="A207">
        <f>ROW(LineærRegression_Valg[[#This Row],[Tabel ID]])-ROW(LineærRegression_Valg[[#Headers],[Tabel ID]])</f>
        <v>197</v>
      </c>
      <c r="B207" s="188">
        <f>ROUNDDOWN((LineærRegression_Valg[[#This Row],[Tabel ID]]-1)/$B$5,0)+1</f>
        <v>50</v>
      </c>
      <c r="C207" s="188">
        <f t="shared" si="3"/>
        <v>1</v>
      </c>
      <c r="D207" s="188" t="b">
        <f>LineærRegression_Valg[[#This Row],[Afhængig variabel ID]]&lt;&gt;LineærRegression_Valg[[#This Row],[Uafhængig variabel ID]]</f>
        <v>1</v>
      </c>
      <c r="E207" t="b">
        <f>LineærRegression_Valg[[#This Row],[Afhængig variabel ID]]&lt;=$B$5</f>
        <v>0</v>
      </c>
      <c r="F207" t="str" cm="1">
        <f t="array" ref="F207">IF(LineærRegression_Valg[[#This Row],[Indenfor range]],INDEX(DataTitel_liste,LineærRegression_Valg[[#This Row],[Afhængig variabel ID]]),INDEX(DataTitel_liste,1))</f>
        <v>Eksempel 1 (interval)</v>
      </c>
      <c r="G207" s="188" t="str" cm="1">
        <f t="array" ref="G207">IF(LineærRegression_Valg[[#This Row],[Indenfor range]],IF(LineærRegression_Valg[[#This Row],[Intet overlap]],INDEX(DataTitel_liste,LineærRegression_Valg[[#This Row],[Uafhængig variabel ID]]),INDEX(DataTitel_liste,IF(LineærRegression_Valg[[#This Row],[Afhængig variabel ID]]=1,2,1))),$B$7)</f>
        <v>Eksempel 2 (interval)</v>
      </c>
      <c r="H207" s="188">
        <f>_xlfn.AGGREGATE(2,5,LineærRegression_Valg[[#This Row],[Tabel ID]])</f>
        <v>1</v>
      </c>
    </row>
    <row r="208" spans="1:8" x14ac:dyDescent="0.2">
      <c r="A208">
        <f>ROW(LineærRegression_Valg[[#This Row],[Tabel ID]])-ROW(LineærRegression_Valg[[#Headers],[Tabel ID]])</f>
        <v>198</v>
      </c>
      <c r="B208" s="188">
        <f>ROUNDDOWN((LineærRegression_Valg[[#This Row],[Tabel ID]]-1)/$B$5,0)+1</f>
        <v>50</v>
      </c>
      <c r="C208" s="188">
        <f t="shared" si="3"/>
        <v>2</v>
      </c>
      <c r="D208" s="188" t="b">
        <f>LineærRegression_Valg[[#This Row],[Afhængig variabel ID]]&lt;&gt;LineærRegression_Valg[[#This Row],[Uafhængig variabel ID]]</f>
        <v>1</v>
      </c>
      <c r="E208" t="b">
        <f>LineærRegression_Valg[[#This Row],[Afhængig variabel ID]]&lt;=$B$5</f>
        <v>0</v>
      </c>
      <c r="F208" t="str" cm="1">
        <f t="array" ref="F208">IF(LineærRegression_Valg[[#This Row],[Indenfor range]],INDEX(DataTitel_liste,LineærRegression_Valg[[#This Row],[Afhængig variabel ID]]),INDEX(DataTitel_liste,1))</f>
        <v>Eksempel 1 (interval)</v>
      </c>
      <c r="G208" s="188" t="str" cm="1">
        <f t="array" ref="G208">IF(LineærRegression_Valg[[#This Row],[Indenfor range]],IF(LineærRegression_Valg[[#This Row],[Intet overlap]],INDEX(DataTitel_liste,LineærRegression_Valg[[#This Row],[Uafhængig variabel ID]]),INDEX(DataTitel_liste,IF(LineærRegression_Valg[[#This Row],[Afhængig variabel ID]]=1,2,1))),$B$7)</f>
        <v>Eksempel 2 (interval)</v>
      </c>
      <c r="H208" s="188">
        <f>_xlfn.AGGREGATE(2,5,LineærRegression_Valg[[#This Row],[Tabel ID]])</f>
        <v>1</v>
      </c>
    </row>
    <row r="209" spans="1:8" x14ac:dyDescent="0.2">
      <c r="A209">
        <f>ROW(LineærRegression_Valg[[#This Row],[Tabel ID]])-ROW(LineærRegression_Valg[[#Headers],[Tabel ID]])</f>
        <v>199</v>
      </c>
      <c r="B209" s="188">
        <f>ROUNDDOWN((LineærRegression_Valg[[#This Row],[Tabel ID]]-1)/$B$5,0)+1</f>
        <v>50</v>
      </c>
      <c r="C209" s="188">
        <f t="shared" si="3"/>
        <v>3</v>
      </c>
      <c r="D209" s="188" t="b">
        <f>LineærRegression_Valg[[#This Row],[Afhængig variabel ID]]&lt;&gt;LineærRegression_Valg[[#This Row],[Uafhængig variabel ID]]</f>
        <v>1</v>
      </c>
      <c r="E209" t="b">
        <f>LineærRegression_Valg[[#This Row],[Afhængig variabel ID]]&lt;=$B$5</f>
        <v>0</v>
      </c>
      <c r="F209" t="str" cm="1">
        <f t="array" ref="F209">IF(LineærRegression_Valg[[#This Row],[Indenfor range]],INDEX(DataTitel_liste,LineærRegression_Valg[[#This Row],[Afhængig variabel ID]]),INDEX(DataTitel_liste,1))</f>
        <v>Eksempel 1 (interval)</v>
      </c>
      <c r="G209" s="188" t="str" cm="1">
        <f t="array" ref="G209">IF(LineærRegression_Valg[[#This Row],[Indenfor range]],IF(LineærRegression_Valg[[#This Row],[Intet overlap]],INDEX(DataTitel_liste,LineærRegression_Valg[[#This Row],[Uafhængig variabel ID]]),INDEX(DataTitel_liste,IF(LineærRegression_Valg[[#This Row],[Afhængig variabel ID]]=1,2,1))),$B$7)</f>
        <v>Eksempel 2 (interval)</v>
      </c>
      <c r="H209" s="188">
        <f>_xlfn.AGGREGATE(2,5,LineærRegression_Valg[[#This Row],[Tabel ID]])</f>
        <v>1</v>
      </c>
    </row>
    <row r="210" spans="1:8" x14ac:dyDescent="0.2">
      <c r="A210">
        <f>ROW(LineærRegression_Valg[[#This Row],[Tabel ID]])-ROW(LineærRegression_Valg[[#Headers],[Tabel ID]])</f>
        <v>200</v>
      </c>
      <c r="B210" s="188">
        <f>ROUNDDOWN((LineærRegression_Valg[[#This Row],[Tabel ID]]-1)/$B$5,0)+1</f>
        <v>50</v>
      </c>
      <c r="C210" s="188">
        <f t="shared" si="3"/>
        <v>4</v>
      </c>
      <c r="D210" s="188" t="b">
        <f>LineærRegression_Valg[[#This Row],[Afhængig variabel ID]]&lt;&gt;LineærRegression_Valg[[#This Row],[Uafhængig variabel ID]]</f>
        <v>1</v>
      </c>
      <c r="E210" t="b">
        <f>LineærRegression_Valg[[#This Row],[Afhængig variabel ID]]&lt;=$B$5</f>
        <v>0</v>
      </c>
      <c r="F210" t="str" cm="1">
        <f t="array" ref="F210">IF(LineærRegression_Valg[[#This Row],[Indenfor range]],INDEX(DataTitel_liste,LineærRegression_Valg[[#This Row],[Afhængig variabel ID]]),INDEX(DataTitel_liste,1))</f>
        <v>Eksempel 1 (interval)</v>
      </c>
      <c r="G210" s="188" t="str" cm="1">
        <f t="array" ref="G210">IF(LineærRegression_Valg[[#This Row],[Indenfor range]],IF(LineærRegression_Valg[[#This Row],[Intet overlap]],INDEX(DataTitel_liste,LineærRegression_Valg[[#This Row],[Uafhængig variabel ID]]),INDEX(DataTitel_liste,IF(LineærRegression_Valg[[#This Row],[Afhængig variabel ID]]=1,2,1))),$B$7)</f>
        <v>Eksempel 2 (interval)</v>
      </c>
      <c r="H210" s="188">
        <f>_xlfn.AGGREGATE(2,5,LineærRegression_Valg[[#This Row],[Tabel ID]])</f>
        <v>1</v>
      </c>
    </row>
    <row r="211" spans="1:8" x14ac:dyDescent="0.2">
      <c r="A211">
        <f>ROW(LineærRegression_Valg[[#This Row],[Tabel ID]])-ROW(LineærRegression_Valg[[#Headers],[Tabel ID]])</f>
        <v>201</v>
      </c>
      <c r="B211" s="188">
        <f>ROUNDDOWN((LineærRegression_Valg[[#This Row],[Tabel ID]]-1)/$B$5,0)+1</f>
        <v>51</v>
      </c>
      <c r="C211" s="188">
        <f t="shared" si="3"/>
        <v>1</v>
      </c>
      <c r="D211" s="188" t="b">
        <f>LineærRegression_Valg[[#This Row],[Afhængig variabel ID]]&lt;&gt;LineærRegression_Valg[[#This Row],[Uafhængig variabel ID]]</f>
        <v>1</v>
      </c>
      <c r="E211" t="b">
        <f>LineærRegression_Valg[[#This Row],[Afhængig variabel ID]]&lt;=$B$5</f>
        <v>0</v>
      </c>
      <c r="F211" t="str" cm="1">
        <f t="array" ref="F211">IF(LineærRegression_Valg[[#This Row],[Indenfor range]],INDEX(DataTitel_liste,LineærRegression_Valg[[#This Row],[Afhængig variabel ID]]),INDEX(DataTitel_liste,1))</f>
        <v>Eksempel 1 (interval)</v>
      </c>
      <c r="G211" s="188" t="str" cm="1">
        <f t="array" ref="G211">IF(LineærRegression_Valg[[#This Row],[Indenfor range]],IF(LineærRegression_Valg[[#This Row],[Intet overlap]],INDEX(DataTitel_liste,LineærRegression_Valg[[#This Row],[Uafhængig variabel ID]]),INDEX(DataTitel_liste,IF(LineærRegression_Valg[[#This Row],[Afhængig variabel ID]]=1,2,1))),$B$7)</f>
        <v>Eksempel 2 (interval)</v>
      </c>
      <c r="H211" s="188">
        <f>_xlfn.AGGREGATE(2,5,LineærRegression_Valg[[#This Row],[Tabel ID]])</f>
        <v>1</v>
      </c>
    </row>
    <row r="212" spans="1:8" x14ac:dyDescent="0.2">
      <c r="A212">
        <f>ROW(LineærRegression_Valg[[#This Row],[Tabel ID]])-ROW(LineærRegression_Valg[[#Headers],[Tabel ID]])</f>
        <v>202</v>
      </c>
      <c r="B212" s="188">
        <f>ROUNDDOWN((LineærRegression_Valg[[#This Row],[Tabel ID]]-1)/$B$5,0)+1</f>
        <v>51</v>
      </c>
      <c r="C212" s="188">
        <f t="shared" si="3"/>
        <v>2</v>
      </c>
      <c r="D212" s="188" t="b">
        <f>LineærRegression_Valg[[#This Row],[Afhængig variabel ID]]&lt;&gt;LineærRegression_Valg[[#This Row],[Uafhængig variabel ID]]</f>
        <v>1</v>
      </c>
      <c r="E212" t="b">
        <f>LineærRegression_Valg[[#This Row],[Afhængig variabel ID]]&lt;=$B$5</f>
        <v>0</v>
      </c>
      <c r="F212" t="str" cm="1">
        <f t="array" ref="F212">IF(LineærRegression_Valg[[#This Row],[Indenfor range]],INDEX(DataTitel_liste,LineærRegression_Valg[[#This Row],[Afhængig variabel ID]]),INDEX(DataTitel_liste,1))</f>
        <v>Eksempel 1 (interval)</v>
      </c>
      <c r="G212" s="188" t="str" cm="1">
        <f t="array" ref="G212">IF(LineærRegression_Valg[[#This Row],[Indenfor range]],IF(LineærRegression_Valg[[#This Row],[Intet overlap]],INDEX(DataTitel_liste,LineærRegression_Valg[[#This Row],[Uafhængig variabel ID]]),INDEX(DataTitel_liste,IF(LineærRegression_Valg[[#This Row],[Afhængig variabel ID]]=1,2,1))),$B$7)</f>
        <v>Eksempel 2 (interval)</v>
      </c>
      <c r="H212" s="188">
        <f>_xlfn.AGGREGATE(2,5,LineærRegression_Valg[[#This Row],[Tabel ID]])</f>
        <v>1</v>
      </c>
    </row>
    <row r="213" spans="1:8" x14ac:dyDescent="0.2">
      <c r="A213">
        <f>ROW(LineærRegression_Valg[[#This Row],[Tabel ID]])-ROW(LineærRegression_Valg[[#Headers],[Tabel ID]])</f>
        <v>203</v>
      </c>
      <c r="B213" s="188">
        <f>ROUNDDOWN((LineærRegression_Valg[[#This Row],[Tabel ID]]-1)/$B$5,0)+1</f>
        <v>51</v>
      </c>
      <c r="C213" s="188">
        <f t="shared" si="3"/>
        <v>3</v>
      </c>
      <c r="D213" s="188" t="b">
        <f>LineærRegression_Valg[[#This Row],[Afhængig variabel ID]]&lt;&gt;LineærRegression_Valg[[#This Row],[Uafhængig variabel ID]]</f>
        <v>1</v>
      </c>
      <c r="E213" t="b">
        <f>LineærRegression_Valg[[#This Row],[Afhængig variabel ID]]&lt;=$B$5</f>
        <v>0</v>
      </c>
      <c r="F213" t="str" cm="1">
        <f t="array" ref="F213">IF(LineærRegression_Valg[[#This Row],[Indenfor range]],INDEX(DataTitel_liste,LineærRegression_Valg[[#This Row],[Afhængig variabel ID]]),INDEX(DataTitel_liste,1))</f>
        <v>Eksempel 1 (interval)</v>
      </c>
      <c r="G213" s="188" t="str" cm="1">
        <f t="array" ref="G213">IF(LineærRegression_Valg[[#This Row],[Indenfor range]],IF(LineærRegression_Valg[[#This Row],[Intet overlap]],INDEX(DataTitel_liste,LineærRegression_Valg[[#This Row],[Uafhængig variabel ID]]),INDEX(DataTitel_liste,IF(LineærRegression_Valg[[#This Row],[Afhængig variabel ID]]=1,2,1))),$B$7)</f>
        <v>Eksempel 2 (interval)</v>
      </c>
      <c r="H213" s="188">
        <f>_xlfn.AGGREGATE(2,5,LineærRegression_Valg[[#This Row],[Tabel ID]])</f>
        <v>1</v>
      </c>
    </row>
    <row r="214" spans="1:8" x14ac:dyDescent="0.2">
      <c r="A214">
        <f>ROW(LineærRegression_Valg[[#This Row],[Tabel ID]])-ROW(LineærRegression_Valg[[#Headers],[Tabel ID]])</f>
        <v>204</v>
      </c>
      <c r="B214" s="188">
        <f>ROUNDDOWN((LineærRegression_Valg[[#This Row],[Tabel ID]]-1)/$B$5,0)+1</f>
        <v>51</v>
      </c>
      <c r="C214" s="188">
        <f t="shared" si="3"/>
        <v>4</v>
      </c>
      <c r="D214" s="188" t="b">
        <f>LineærRegression_Valg[[#This Row],[Afhængig variabel ID]]&lt;&gt;LineærRegression_Valg[[#This Row],[Uafhængig variabel ID]]</f>
        <v>1</v>
      </c>
      <c r="E214" t="b">
        <f>LineærRegression_Valg[[#This Row],[Afhængig variabel ID]]&lt;=$B$5</f>
        <v>0</v>
      </c>
      <c r="F214" t="str" cm="1">
        <f t="array" ref="F214">IF(LineærRegression_Valg[[#This Row],[Indenfor range]],INDEX(DataTitel_liste,LineærRegression_Valg[[#This Row],[Afhængig variabel ID]]),INDEX(DataTitel_liste,1))</f>
        <v>Eksempel 1 (interval)</v>
      </c>
      <c r="G214" s="188" t="str" cm="1">
        <f t="array" ref="G214">IF(LineærRegression_Valg[[#This Row],[Indenfor range]],IF(LineærRegression_Valg[[#This Row],[Intet overlap]],INDEX(DataTitel_liste,LineærRegression_Valg[[#This Row],[Uafhængig variabel ID]]),INDEX(DataTitel_liste,IF(LineærRegression_Valg[[#This Row],[Afhængig variabel ID]]=1,2,1))),$B$7)</f>
        <v>Eksempel 2 (interval)</v>
      </c>
      <c r="H214" s="188">
        <f>_xlfn.AGGREGATE(2,5,LineærRegression_Valg[[#This Row],[Tabel ID]])</f>
        <v>1</v>
      </c>
    </row>
    <row r="215" spans="1:8" x14ac:dyDescent="0.2">
      <c r="A215">
        <f>ROW(LineærRegression_Valg[[#This Row],[Tabel ID]])-ROW(LineærRegression_Valg[[#Headers],[Tabel ID]])</f>
        <v>205</v>
      </c>
      <c r="B215" s="188">
        <f>ROUNDDOWN((LineærRegression_Valg[[#This Row],[Tabel ID]]-1)/$B$5,0)+1</f>
        <v>52</v>
      </c>
      <c r="C215" s="188">
        <f t="shared" si="3"/>
        <v>1</v>
      </c>
      <c r="D215" s="188" t="b">
        <f>LineærRegression_Valg[[#This Row],[Afhængig variabel ID]]&lt;&gt;LineærRegression_Valg[[#This Row],[Uafhængig variabel ID]]</f>
        <v>1</v>
      </c>
      <c r="E215" t="b">
        <f>LineærRegression_Valg[[#This Row],[Afhængig variabel ID]]&lt;=$B$5</f>
        <v>0</v>
      </c>
      <c r="F215" t="str" cm="1">
        <f t="array" ref="F215">IF(LineærRegression_Valg[[#This Row],[Indenfor range]],INDEX(DataTitel_liste,LineærRegression_Valg[[#This Row],[Afhængig variabel ID]]),INDEX(DataTitel_liste,1))</f>
        <v>Eksempel 1 (interval)</v>
      </c>
      <c r="G215" s="188" t="str" cm="1">
        <f t="array" ref="G215">IF(LineærRegression_Valg[[#This Row],[Indenfor range]],IF(LineærRegression_Valg[[#This Row],[Intet overlap]],INDEX(DataTitel_liste,LineærRegression_Valg[[#This Row],[Uafhængig variabel ID]]),INDEX(DataTitel_liste,IF(LineærRegression_Valg[[#This Row],[Afhængig variabel ID]]=1,2,1))),$B$7)</f>
        <v>Eksempel 2 (interval)</v>
      </c>
      <c r="H215" s="188">
        <f>_xlfn.AGGREGATE(2,5,LineærRegression_Valg[[#This Row],[Tabel ID]])</f>
        <v>1</v>
      </c>
    </row>
    <row r="216" spans="1:8" x14ac:dyDescent="0.2">
      <c r="A216">
        <f>ROW(LineærRegression_Valg[[#This Row],[Tabel ID]])-ROW(LineærRegression_Valg[[#Headers],[Tabel ID]])</f>
        <v>206</v>
      </c>
      <c r="B216" s="188">
        <f>ROUNDDOWN((LineærRegression_Valg[[#This Row],[Tabel ID]]-1)/$B$5,0)+1</f>
        <v>52</v>
      </c>
      <c r="C216" s="188">
        <f t="shared" si="3"/>
        <v>2</v>
      </c>
      <c r="D216" s="188" t="b">
        <f>LineærRegression_Valg[[#This Row],[Afhængig variabel ID]]&lt;&gt;LineærRegression_Valg[[#This Row],[Uafhængig variabel ID]]</f>
        <v>1</v>
      </c>
      <c r="E216" t="b">
        <f>LineærRegression_Valg[[#This Row],[Afhængig variabel ID]]&lt;=$B$5</f>
        <v>0</v>
      </c>
      <c r="F216" t="str" cm="1">
        <f t="array" ref="F216">IF(LineærRegression_Valg[[#This Row],[Indenfor range]],INDEX(DataTitel_liste,LineærRegression_Valg[[#This Row],[Afhængig variabel ID]]),INDEX(DataTitel_liste,1))</f>
        <v>Eksempel 1 (interval)</v>
      </c>
      <c r="G216" s="188" t="str" cm="1">
        <f t="array" ref="G216">IF(LineærRegression_Valg[[#This Row],[Indenfor range]],IF(LineærRegression_Valg[[#This Row],[Intet overlap]],INDEX(DataTitel_liste,LineærRegression_Valg[[#This Row],[Uafhængig variabel ID]]),INDEX(DataTitel_liste,IF(LineærRegression_Valg[[#This Row],[Afhængig variabel ID]]=1,2,1))),$B$7)</f>
        <v>Eksempel 2 (interval)</v>
      </c>
      <c r="H216" s="188">
        <f>_xlfn.AGGREGATE(2,5,LineærRegression_Valg[[#This Row],[Tabel ID]])</f>
        <v>1</v>
      </c>
    </row>
    <row r="217" spans="1:8" x14ac:dyDescent="0.2">
      <c r="A217">
        <f>ROW(LineærRegression_Valg[[#This Row],[Tabel ID]])-ROW(LineærRegression_Valg[[#Headers],[Tabel ID]])</f>
        <v>207</v>
      </c>
      <c r="B217" s="188">
        <f>ROUNDDOWN((LineærRegression_Valg[[#This Row],[Tabel ID]]-1)/$B$5,0)+1</f>
        <v>52</v>
      </c>
      <c r="C217" s="188">
        <f t="shared" si="3"/>
        <v>3</v>
      </c>
      <c r="D217" s="188" t="b">
        <f>LineærRegression_Valg[[#This Row],[Afhængig variabel ID]]&lt;&gt;LineærRegression_Valg[[#This Row],[Uafhængig variabel ID]]</f>
        <v>1</v>
      </c>
      <c r="E217" t="b">
        <f>LineærRegression_Valg[[#This Row],[Afhængig variabel ID]]&lt;=$B$5</f>
        <v>0</v>
      </c>
      <c r="F217" t="str" cm="1">
        <f t="array" ref="F217">IF(LineærRegression_Valg[[#This Row],[Indenfor range]],INDEX(DataTitel_liste,LineærRegression_Valg[[#This Row],[Afhængig variabel ID]]),INDEX(DataTitel_liste,1))</f>
        <v>Eksempel 1 (interval)</v>
      </c>
      <c r="G217" s="188" t="str" cm="1">
        <f t="array" ref="G217">IF(LineærRegression_Valg[[#This Row],[Indenfor range]],IF(LineærRegression_Valg[[#This Row],[Intet overlap]],INDEX(DataTitel_liste,LineærRegression_Valg[[#This Row],[Uafhængig variabel ID]]),INDEX(DataTitel_liste,IF(LineærRegression_Valg[[#This Row],[Afhængig variabel ID]]=1,2,1))),$B$7)</f>
        <v>Eksempel 2 (interval)</v>
      </c>
      <c r="H217" s="188">
        <f>_xlfn.AGGREGATE(2,5,LineærRegression_Valg[[#This Row],[Tabel ID]])</f>
        <v>1</v>
      </c>
    </row>
    <row r="218" spans="1:8" x14ac:dyDescent="0.2">
      <c r="A218">
        <f>ROW(LineærRegression_Valg[[#This Row],[Tabel ID]])-ROW(LineærRegression_Valg[[#Headers],[Tabel ID]])</f>
        <v>208</v>
      </c>
      <c r="B218" s="188">
        <f>ROUNDDOWN((LineærRegression_Valg[[#This Row],[Tabel ID]]-1)/$B$5,0)+1</f>
        <v>52</v>
      </c>
      <c r="C218" s="188">
        <f t="shared" si="3"/>
        <v>4</v>
      </c>
      <c r="D218" s="188" t="b">
        <f>LineærRegression_Valg[[#This Row],[Afhængig variabel ID]]&lt;&gt;LineærRegression_Valg[[#This Row],[Uafhængig variabel ID]]</f>
        <v>1</v>
      </c>
      <c r="E218" t="b">
        <f>LineærRegression_Valg[[#This Row],[Afhængig variabel ID]]&lt;=$B$5</f>
        <v>0</v>
      </c>
      <c r="F218" t="str" cm="1">
        <f t="array" ref="F218">IF(LineærRegression_Valg[[#This Row],[Indenfor range]],INDEX(DataTitel_liste,LineærRegression_Valg[[#This Row],[Afhængig variabel ID]]),INDEX(DataTitel_liste,1))</f>
        <v>Eksempel 1 (interval)</v>
      </c>
      <c r="G218" s="188" t="str" cm="1">
        <f t="array" ref="G218">IF(LineærRegression_Valg[[#This Row],[Indenfor range]],IF(LineærRegression_Valg[[#This Row],[Intet overlap]],INDEX(DataTitel_liste,LineærRegression_Valg[[#This Row],[Uafhængig variabel ID]]),INDEX(DataTitel_liste,IF(LineærRegression_Valg[[#This Row],[Afhængig variabel ID]]=1,2,1))),$B$7)</f>
        <v>Eksempel 2 (interval)</v>
      </c>
      <c r="H218" s="188">
        <f>_xlfn.AGGREGATE(2,5,LineærRegression_Valg[[#This Row],[Tabel ID]])</f>
        <v>1</v>
      </c>
    </row>
    <row r="219" spans="1:8" x14ac:dyDescent="0.2">
      <c r="A219">
        <f>ROW(LineærRegression_Valg[[#This Row],[Tabel ID]])-ROW(LineærRegression_Valg[[#Headers],[Tabel ID]])</f>
        <v>209</v>
      </c>
      <c r="B219" s="188">
        <f>ROUNDDOWN((LineærRegression_Valg[[#This Row],[Tabel ID]]-1)/$B$5,0)+1</f>
        <v>53</v>
      </c>
      <c r="C219" s="188">
        <f t="shared" si="3"/>
        <v>1</v>
      </c>
      <c r="D219" s="188" t="b">
        <f>LineærRegression_Valg[[#This Row],[Afhængig variabel ID]]&lt;&gt;LineærRegression_Valg[[#This Row],[Uafhængig variabel ID]]</f>
        <v>1</v>
      </c>
      <c r="E219" t="b">
        <f>LineærRegression_Valg[[#This Row],[Afhængig variabel ID]]&lt;=$B$5</f>
        <v>0</v>
      </c>
      <c r="F219" t="str" cm="1">
        <f t="array" ref="F219">IF(LineærRegression_Valg[[#This Row],[Indenfor range]],INDEX(DataTitel_liste,LineærRegression_Valg[[#This Row],[Afhængig variabel ID]]),INDEX(DataTitel_liste,1))</f>
        <v>Eksempel 1 (interval)</v>
      </c>
      <c r="G219" s="188" t="str" cm="1">
        <f t="array" ref="G219">IF(LineærRegression_Valg[[#This Row],[Indenfor range]],IF(LineærRegression_Valg[[#This Row],[Intet overlap]],INDEX(DataTitel_liste,LineærRegression_Valg[[#This Row],[Uafhængig variabel ID]]),INDEX(DataTitel_liste,IF(LineærRegression_Valg[[#This Row],[Afhængig variabel ID]]=1,2,1))),$B$7)</f>
        <v>Eksempel 2 (interval)</v>
      </c>
      <c r="H219" s="188">
        <f>_xlfn.AGGREGATE(2,5,LineærRegression_Valg[[#This Row],[Tabel ID]])</f>
        <v>1</v>
      </c>
    </row>
    <row r="220" spans="1:8" x14ac:dyDescent="0.2">
      <c r="A220">
        <f>ROW(LineærRegression_Valg[[#This Row],[Tabel ID]])-ROW(LineærRegression_Valg[[#Headers],[Tabel ID]])</f>
        <v>210</v>
      </c>
      <c r="B220" s="188">
        <f>ROUNDDOWN((LineærRegression_Valg[[#This Row],[Tabel ID]]-1)/$B$5,0)+1</f>
        <v>53</v>
      </c>
      <c r="C220" s="188">
        <f t="shared" si="3"/>
        <v>2</v>
      </c>
      <c r="D220" s="188" t="b">
        <f>LineærRegression_Valg[[#This Row],[Afhængig variabel ID]]&lt;&gt;LineærRegression_Valg[[#This Row],[Uafhængig variabel ID]]</f>
        <v>1</v>
      </c>
      <c r="E220" t="b">
        <f>LineærRegression_Valg[[#This Row],[Afhængig variabel ID]]&lt;=$B$5</f>
        <v>0</v>
      </c>
      <c r="F220" t="str" cm="1">
        <f t="array" ref="F220">IF(LineærRegression_Valg[[#This Row],[Indenfor range]],INDEX(DataTitel_liste,LineærRegression_Valg[[#This Row],[Afhængig variabel ID]]),INDEX(DataTitel_liste,1))</f>
        <v>Eksempel 1 (interval)</v>
      </c>
      <c r="G220" s="188" t="str" cm="1">
        <f t="array" ref="G220">IF(LineærRegression_Valg[[#This Row],[Indenfor range]],IF(LineærRegression_Valg[[#This Row],[Intet overlap]],INDEX(DataTitel_liste,LineærRegression_Valg[[#This Row],[Uafhængig variabel ID]]),INDEX(DataTitel_liste,IF(LineærRegression_Valg[[#This Row],[Afhængig variabel ID]]=1,2,1))),$B$7)</f>
        <v>Eksempel 2 (interval)</v>
      </c>
      <c r="H220" s="188">
        <f>_xlfn.AGGREGATE(2,5,LineærRegression_Valg[[#This Row],[Tabel ID]])</f>
        <v>1</v>
      </c>
    </row>
    <row r="221" spans="1:8" x14ac:dyDescent="0.2">
      <c r="A221">
        <f>ROW(LineærRegression_Valg[[#This Row],[Tabel ID]])-ROW(LineærRegression_Valg[[#Headers],[Tabel ID]])</f>
        <v>211</v>
      </c>
      <c r="B221" s="188">
        <f>ROUNDDOWN((LineærRegression_Valg[[#This Row],[Tabel ID]]-1)/$B$5,0)+1</f>
        <v>53</v>
      </c>
      <c r="C221" s="188">
        <f t="shared" si="3"/>
        <v>3</v>
      </c>
      <c r="D221" s="188" t="b">
        <f>LineærRegression_Valg[[#This Row],[Afhængig variabel ID]]&lt;&gt;LineærRegression_Valg[[#This Row],[Uafhængig variabel ID]]</f>
        <v>1</v>
      </c>
      <c r="E221" t="b">
        <f>LineærRegression_Valg[[#This Row],[Afhængig variabel ID]]&lt;=$B$5</f>
        <v>0</v>
      </c>
      <c r="F221" t="str" cm="1">
        <f t="array" ref="F221">IF(LineærRegression_Valg[[#This Row],[Indenfor range]],INDEX(DataTitel_liste,LineærRegression_Valg[[#This Row],[Afhængig variabel ID]]),INDEX(DataTitel_liste,1))</f>
        <v>Eksempel 1 (interval)</v>
      </c>
      <c r="G221" s="188" t="str" cm="1">
        <f t="array" ref="G221">IF(LineærRegression_Valg[[#This Row],[Indenfor range]],IF(LineærRegression_Valg[[#This Row],[Intet overlap]],INDEX(DataTitel_liste,LineærRegression_Valg[[#This Row],[Uafhængig variabel ID]]),INDEX(DataTitel_liste,IF(LineærRegression_Valg[[#This Row],[Afhængig variabel ID]]=1,2,1))),$B$7)</f>
        <v>Eksempel 2 (interval)</v>
      </c>
      <c r="H221" s="188">
        <f>_xlfn.AGGREGATE(2,5,LineærRegression_Valg[[#This Row],[Tabel ID]])</f>
        <v>1</v>
      </c>
    </row>
    <row r="222" spans="1:8" x14ac:dyDescent="0.2">
      <c r="A222">
        <f>ROW(LineærRegression_Valg[[#This Row],[Tabel ID]])-ROW(LineærRegression_Valg[[#Headers],[Tabel ID]])</f>
        <v>212</v>
      </c>
      <c r="B222" s="188">
        <f>ROUNDDOWN((LineærRegression_Valg[[#This Row],[Tabel ID]]-1)/$B$5,0)+1</f>
        <v>53</v>
      </c>
      <c r="C222" s="188">
        <f t="shared" si="3"/>
        <v>4</v>
      </c>
      <c r="D222" s="188" t="b">
        <f>LineærRegression_Valg[[#This Row],[Afhængig variabel ID]]&lt;&gt;LineærRegression_Valg[[#This Row],[Uafhængig variabel ID]]</f>
        <v>1</v>
      </c>
      <c r="E222" t="b">
        <f>LineærRegression_Valg[[#This Row],[Afhængig variabel ID]]&lt;=$B$5</f>
        <v>0</v>
      </c>
      <c r="F222" t="str" cm="1">
        <f t="array" ref="F222">IF(LineærRegression_Valg[[#This Row],[Indenfor range]],INDEX(DataTitel_liste,LineærRegression_Valg[[#This Row],[Afhængig variabel ID]]),INDEX(DataTitel_liste,1))</f>
        <v>Eksempel 1 (interval)</v>
      </c>
      <c r="G222" s="188" t="str" cm="1">
        <f t="array" ref="G222">IF(LineærRegression_Valg[[#This Row],[Indenfor range]],IF(LineærRegression_Valg[[#This Row],[Intet overlap]],INDEX(DataTitel_liste,LineærRegression_Valg[[#This Row],[Uafhængig variabel ID]]),INDEX(DataTitel_liste,IF(LineærRegression_Valg[[#This Row],[Afhængig variabel ID]]=1,2,1))),$B$7)</f>
        <v>Eksempel 2 (interval)</v>
      </c>
      <c r="H222" s="188">
        <f>_xlfn.AGGREGATE(2,5,LineærRegression_Valg[[#This Row],[Tabel ID]])</f>
        <v>1</v>
      </c>
    </row>
    <row r="223" spans="1:8" x14ac:dyDescent="0.2">
      <c r="A223">
        <f>ROW(LineærRegression_Valg[[#This Row],[Tabel ID]])-ROW(LineærRegression_Valg[[#Headers],[Tabel ID]])</f>
        <v>213</v>
      </c>
      <c r="B223" s="188">
        <f>ROUNDDOWN((LineærRegression_Valg[[#This Row],[Tabel ID]]-1)/$B$5,0)+1</f>
        <v>54</v>
      </c>
      <c r="C223" s="188">
        <f t="shared" si="3"/>
        <v>1</v>
      </c>
      <c r="D223" s="188" t="b">
        <f>LineærRegression_Valg[[#This Row],[Afhængig variabel ID]]&lt;&gt;LineærRegression_Valg[[#This Row],[Uafhængig variabel ID]]</f>
        <v>1</v>
      </c>
      <c r="E223" t="b">
        <f>LineærRegression_Valg[[#This Row],[Afhængig variabel ID]]&lt;=$B$5</f>
        <v>0</v>
      </c>
      <c r="F223" t="str" cm="1">
        <f t="array" ref="F223">IF(LineærRegression_Valg[[#This Row],[Indenfor range]],INDEX(DataTitel_liste,LineærRegression_Valg[[#This Row],[Afhængig variabel ID]]),INDEX(DataTitel_liste,1))</f>
        <v>Eksempel 1 (interval)</v>
      </c>
      <c r="G223" s="188" t="str" cm="1">
        <f t="array" ref="G223">IF(LineærRegression_Valg[[#This Row],[Indenfor range]],IF(LineærRegression_Valg[[#This Row],[Intet overlap]],INDEX(DataTitel_liste,LineærRegression_Valg[[#This Row],[Uafhængig variabel ID]]),INDEX(DataTitel_liste,IF(LineærRegression_Valg[[#This Row],[Afhængig variabel ID]]=1,2,1))),$B$7)</f>
        <v>Eksempel 2 (interval)</v>
      </c>
      <c r="H223" s="188">
        <f>_xlfn.AGGREGATE(2,5,LineærRegression_Valg[[#This Row],[Tabel ID]])</f>
        <v>1</v>
      </c>
    </row>
    <row r="224" spans="1:8" x14ac:dyDescent="0.2">
      <c r="A224">
        <f>ROW(LineærRegression_Valg[[#This Row],[Tabel ID]])-ROW(LineærRegression_Valg[[#Headers],[Tabel ID]])</f>
        <v>214</v>
      </c>
      <c r="B224" s="188">
        <f>ROUNDDOWN((LineærRegression_Valg[[#This Row],[Tabel ID]]-1)/$B$5,0)+1</f>
        <v>54</v>
      </c>
      <c r="C224" s="188">
        <f t="shared" si="3"/>
        <v>2</v>
      </c>
      <c r="D224" s="188" t="b">
        <f>LineærRegression_Valg[[#This Row],[Afhængig variabel ID]]&lt;&gt;LineærRegression_Valg[[#This Row],[Uafhængig variabel ID]]</f>
        <v>1</v>
      </c>
      <c r="E224" t="b">
        <f>LineærRegression_Valg[[#This Row],[Afhængig variabel ID]]&lt;=$B$5</f>
        <v>0</v>
      </c>
      <c r="F224" t="str" cm="1">
        <f t="array" ref="F224">IF(LineærRegression_Valg[[#This Row],[Indenfor range]],INDEX(DataTitel_liste,LineærRegression_Valg[[#This Row],[Afhængig variabel ID]]),INDEX(DataTitel_liste,1))</f>
        <v>Eksempel 1 (interval)</v>
      </c>
      <c r="G224" s="188" t="str" cm="1">
        <f t="array" ref="G224">IF(LineærRegression_Valg[[#This Row],[Indenfor range]],IF(LineærRegression_Valg[[#This Row],[Intet overlap]],INDEX(DataTitel_liste,LineærRegression_Valg[[#This Row],[Uafhængig variabel ID]]),INDEX(DataTitel_liste,IF(LineærRegression_Valg[[#This Row],[Afhængig variabel ID]]=1,2,1))),$B$7)</f>
        <v>Eksempel 2 (interval)</v>
      </c>
      <c r="H224" s="188">
        <f>_xlfn.AGGREGATE(2,5,LineærRegression_Valg[[#This Row],[Tabel ID]])</f>
        <v>1</v>
      </c>
    </row>
    <row r="225" spans="1:8" x14ac:dyDescent="0.2">
      <c r="A225">
        <f>ROW(LineærRegression_Valg[[#This Row],[Tabel ID]])-ROW(LineærRegression_Valg[[#Headers],[Tabel ID]])</f>
        <v>215</v>
      </c>
      <c r="B225" s="188">
        <f>ROUNDDOWN((LineærRegression_Valg[[#This Row],[Tabel ID]]-1)/$B$5,0)+1</f>
        <v>54</v>
      </c>
      <c r="C225" s="188">
        <f t="shared" si="3"/>
        <v>3</v>
      </c>
      <c r="D225" s="188" t="b">
        <f>LineærRegression_Valg[[#This Row],[Afhængig variabel ID]]&lt;&gt;LineærRegression_Valg[[#This Row],[Uafhængig variabel ID]]</f>
        <v>1</v>
      </c>
      <c r="E225" t="b">
        <f>LineærRegression_Valg[[#This Row],[Afhængig variabel ID]]&lt;=$B$5</f>
        <v>0</v>
      </c>
      <c r="F225" t="str" cm="1">
        <f t="array" ref="F225">IF(LineærRegression_Valg[[#This Row],[Indenfor range]],INDEX(DataTitel_liste,LineærRegression_Valg[[#This Row],[Afhængig variabel ID]]),INDEX(DataTitel_liste,1))</f>
        <v>Eksempel 1 (interval)</v>
      </c>
      <c r="G225" s="188" t="str" cm="1">
        <f t="array" ref="G225">IF(LineærRegression_Valg[[#This Row],[Indenfor range]],IF(LineærRegression_Valg[[#This Row],[Intet overlap]],INDEX(DataTitel_liste,LineærRegression_Valg[[#This Row],[Uafhængig variabel ID]]),INDEX(DataTitel_liste,IF(LineærRegression_Valg[[#This Row],[Afhængig variabel ID]]=1,2,1))),$B$7)</f>
        <v>Eksempel 2 (interval)</v>
      </c>
      <c r="H225" s="188">
        <f>_xlfn.AGGREGATE(2,5,LineærRegression_Valg[[#This Row],[Tabel ID]])</f>
        <v>1</v>
      </c>
    </row>
    <row r="226" spans="1:8" x14ac:dyDescent="0.2">
      <c r="A226">
        <f>ROW(LineærRegression_Valg[[#This Row],[Tabel ID]])-ROW(LineærRegression_Valg[[#Headers],[Tabel ID]])</f>
        <v>216</v>
      </c>
      <c r="B226" s="188">
        <f>ROUNDDOWN((LineærRegression_Valg[[#This Row],[Tabel ID]]-1)/$B$5,0)+1</f>
        <v>54</v>
      </c>
      <c r="C226" s="188">
        <f t="shared" si="3"/>
        <v>4</v>
      </c>
      <c r="D226" s="188" t="b">
        <f>LineærRegression_Valg[[#This Row],[Afhængig variabel ID]]&lt;&gt;LineærRegression_Valg[[#This Row],[Uafhængig variabel ID]]</f>
        <v>1</v>
      </c>
      <c r="E226" t="b">
        <f>LineærRegression_Valg[[#This Row],[Afhængig variabel ID]]&lt;=$B$5</f>
        <v>0</v>
      </c>
      <c r="F226" t="str" cm="1">
        <f t="array" ref="F226">IF(LineærRegression_Valg[[#This Row],[Indenfor range]],INDEX(DataTitel_liste,LineærRegression_Valg[[#This Row],[Afhængig variabel ID]]),INDEX(DataTitel_liste,1))</f>
        <v>Eksempel 1 (interval)</v>
      </c>
      <c r="G226" s="188" t="str" cm="1">
        <f t="array" ref="G226">IF(LineærRegression_Valg[[#This Row],[Indenfor range]],IF(LineærRegression_Valg[[#This Row],[Intet overlap]],INDEX(DataTitel_liste,LineærRegression_Valg[[#This Row],[Uafhængig variabel ID]]),INDEX(DataTitel_liste,IF(LineærRegression_Valg[[#This Row],[Afhængig variabel ID]]=1,2,1))),$B$7)</f>
        <v>Eksempel 2 (interval)</v>
      </c>
      <c r="H226" s="188">
        <f>_xlfn.AGGREGATE(2,5,LineærRegression_Valg[[#This Row],[Tabel ID]])</f>
        <v>1</v>
      </c>
    </row>
    <row r="227" spans="1:8" x14ac:dyDescent="0.2">
      <c r="A227">
        <f>ROW(LineærRegression_Valg[[#This Row],[Tabel ID]])-ROW(LineærRegression_Valg[[#Headers],[Tabel ID]])</f>
        <v>217</v>
      </c>
      <c r="B227" s="188">
        <f>ROUNDDOWN((LineærRegression_Valg[[#This Row],[Tabel ID]]-1)/$B$5,0)+1</f>
        <v>55</v>
      </c>
      <c r="C227" s="188">
        <f t="shared" si="3"/>
        <v>1</v>
      </c>
      <c r="D227" s="188" t="b">
        <f>LineærRegression_Valg[[#This Row],[Afhængig variabel ID]]&lt;&gt;LineærRegression_Valg[[#This Row],[Uafhængig variabel ID]]</f>
        <v>1</v>
      </c>
      <c r="E227" t="b">
        <f>LineærRegression_Valg[[#This Row],[Afhængig variabel ID]]&lt;=$B$5</f>
        <v>0</v>
      </c>
      <c r="F227" t="str" cm="1">
        <f t="array" ref="F227">IF(LineærRegression_Valg[[#This Row],[Indenfor range]],INDEX(DataTitel_liste,LineærRegression_Valg[[#This Row],[Afhængig variabel ID]]),INDEX(DataTitel_liste,1))</f>
        <v>Eksempel 1 (interval)</v>
      </c>
      <c r="G227" s="188" t="str" cm="1">
        <f t="array" ref="G227">IF(LineærRegression_Valg[[#This Row],[Indenfor range]],IF(LineærRegression_Valg[[#This Row],[Intet overlap]],INDEX(DataTitel_liste,LineærRegression_Valg[[#This Row],[Uafhængig variabel ID]]),INDEX(DataTitel_liste,IF(LineærRegression_Valg[[#This Row],[Afhængig variabel ID]]=1,2,1))),$B$7)</f>
        <v>Eksempel 2 (interval)</v>
      </c>
      <c r="H227" s="188">
        <f>_xlfn.AGGREGATE(2,5,LineærRegression_Valg[[#This Row],[Tabel ID]])</f>
        <v>1</v>
      </c>
    </row>
    <row r="228" spans="1:8" x14ac:dyDescent="0.2">
      <c r="A228">
        <f>ROW(LineærRegression_Valg[[#This Row],[Tabel ID]])-ROW(LineærRegression_Valg[[#Headers],[Tabel ID]])</f>
        <v>218</v>
      </c>
      <c r="B228" s="188">
        <f>ROUNDDOWN((LineærRegression_Valg[[#This Row],[Tabel ID]]-1)/$B$5,0)+1</f>
        <v>55</v>
      </c>
      <c r="C228" s="188">
        <f t="shared" si="3"/>
        <v>2</v>
      </c>
      <c r="D228" s="188" t="b">
        <f>LineærRegression_Valg[[#This Row],[Afhængig variabel ID]]&lt;&gt;LineærRegression_Valg[[#This Row],[Uafhængig variabel ID]]</f>
        <v>1</v>
      </c>
      <c r="E228" t="b">
        <f>LineærRegression_Valg[[#This Row],[Afhængig variabel ID]]&lt;=$B$5</f>
        <v>0</v>
      </c>
      <c r="F228" t="str" cm="1">
        <f t="array" ref="F228">IF(LineærRegression_Valg[[#This Row],[Indenfor range]],INDEX(DataTitel_liste,LineærRegression_Valg[[#This Row],[Afhængig variabel ID]]),INDEX(DataTitel_liste,1))</f>
        <v>Eksempel 1 (interval)</v>
      </c>
      <c r="G228" s="188" t="str" cm="1">
        <f t="array" ref="G228">IF(LineærRegression_Valg[[#This Row],[Indenfor range]],IF(LineærRegression_Valg[[#This Row],[Intet overlap]],INDEX(DataTitel_liste,LineærRegression_Valg[[#This Row],[Uafhængig variabel ID]]),INDEX(DataTitel_liste,IF(LineærRegression_Valg[[#This Row],[Afhængig variabel ID]]=1,2,1))),$B$7)</f>
        <v>Eksempel 2 (interval)</v>
      </c>
      <c r="H228" s="188">
        <f>_xlfn.AGGREGATE(2,5,LineærRegression_Valg[[#This Row],[Tabel ID]])</f>
        <v>1</v>
      </c>
    </row>
    <row r="229" spans="1:8" x14ac:dyDescent="0.2">
      <c r="A229">
        <f>ROW(LineærRegression_Valg[[#This Row],[Tabel ID]])-ROW(LineærRegression_Valg[[#Headers],[Tabel ID]])</f>
        <v>219</v>
      </c>
      <c r="B229" s="188">
        <f>ROUNDDOWN((LineærRegression_Valg[[#This Row],[Tabel ID]]-1)/$B$5,0)+1</f>
        <v>55</v>
      </c>
      <c r="C229" s="188">
        <f t="shared" si="3"/>
        <v>3</v>
      </c>
      <c r="D229" s="188" t="b">
        <f>LineærRegression_Valg[[#This Row],[Afhængig variabel ID]]&lt;&gt;LineærRegression_Valg[[#This Row],[Uafhængig variabel ID]]</f>
        <v>1</v>
      </c>
      <c r="E229" t="b">
        <f>LineærRegression_Valg[[#This Row],[Afhængig variabel ID]]&lt;=$B$5</f>
        <v>0</v>
      </c>
      <c r="F229" t="str" cm="1">
        <f t="array" ref="F229">IF(LineærRegression_Valg[[#This Row],[Indenfor range]],INDEX(DataTitel_liste,LineærRegression_Valg[[#This Row],[Afhængig variabel ID]]),INDEX(DataTitel_liste,1))</f>
        <v>Eksempel 1 (interval)</v>
      </c>
      <c r="G229" s="188" t="str" cm="1">
        <f t="array" ref="G229">IF(LineærRegression_Valg[[#This Row],[Indenfor range]],IF(LineærRegression_Valg[[#This Row],[Intet overlap]],INDEX(DataTitel_liste,LineærRegression_Valg[[#This Row],[Uafhængig variabel ID]]),INDEX(DataTitel_liste,IF(LineærRegression_Valg[[#This Row],[Afhængig variabel ID]]=1,2,1))),$B$7)</f>
        <v>Eksempel 2 (interval)</v>
      </c>
      <c r="H229" s="188">
        <f>_xlfn.AGGREGATE(2,5,LineærRegression_Valg[[#This Row],[Tabel ID]])</f>
        <v>1</v>
      </c>
    </row>
    <row r="230" spans="1:8" x14ac:dyDescent="0.2">
      <c r="A230">
        <f>ROW(LineærRegression_Valg[[#This Row],[Tabel ID]])-ROW(LineærRegression_Valg[[#Headers],[Tabel ID]])</f>
        <v>220</v>
      </c>
      <c r="B230" s="188">
        <f>ROUNDDOWN((LineærRegression_Valg[[#This Row],[Tabel ID]]-1)/$B$5,0)+1</f>
        <v>55</v>
      </c>
      <c r="C230" s="188">
        <f t="shared" si="3"/>
        <v>4</v>
      </c>
      <c r="D230" s="188" t="b">
        <f>LineærRegression_Valg[[#This Row],[Afhængig variabel ID]]&lt;&gt;LineærRegression_Valg[[#This Row],[Uafhængig variabel ID]]</f>
        <v>1</v>
      </c>
      <c r="E230" t="b">
        <f>LineærRegression_Valg[[#This Row],[Afhængig variabel ID]]&lt;=$B$5</f>
        <v>0</v>
      </c>
      <c r="F230" t="str" cm="1">
        <f t="array" ref="F230">IF(LineærRegression_Valg[[#This Row],[Indenfor range]],INDEX(DataTitel_liste,LineærRegression_Valg[[#This Row],[Afhængig variabel ID]]),INDEX(DataTitel_liste,1))</f>
        <v>Eksempel 1 (interval)</v>
      </c>
      <c r="G230" s="188" t="str" cm="1">
        <f t="array" ref="G230">IF(LineærRegression_Valg[[#This Row],[Indenfor range]],IF(LineærRegression_Valg[[#This Row],[Intet overlap]],INDEX(DataTitel_liste,LineærRegression_Valg[[#This Row],[Uafhængig variabel ID]]),INDEX(DataTitel_liste,IF(LineærRegression_Valg[[#This Row],[Afhængig variabel ID]]=1,2,1))),$B$7)</f>
        <v>Eksempel 2 (interval)</v>
      </c>
      <c r="H230" s="188">
        <f>_xlfn.AGGREGATE(2,5,LineærRegression_Valg[[#This Row],[Tabel ID]])</f>
        <v>1</v>
      </c>
    </row>
    <row r="231" spans="1:8" x14ac:dyDescent="0.2">
      <c r="A231">
        <f>ROW(LineærRegression_Valg[[#This Row],[Tabel ID]])-ROW(LineærRegression_Valg[[#Headers],[Tabel ID]])</f>
        <v>221</v>
      </c>
      <c r="B231" s="188">
        <f>ROUNDDOWN((LineærRegression_Valg[[#This Row],[Tabel ID]]-1)/$B$5,0)+1</f>
        <v>56</v>
      </c>
      <c r="C231" s="188">
        <f t="shared" si="3"/>
        <v>1</v>
      </c>
      <c r="D231" s="188" t="b">
        <f>LineærRegression_Valg[[#This Row],[Afhængig variabel ID]]&lt;&gt;LineærRegression_Valg[[#This Row],[Uafhængig variabel ID]]</f>
        <v>1</v>
      </c>
      <c r="E231" t="b">
        <f>LineærRegression_Valg[[#This Row],[Afhængig variabel ID]]&lt;=$B$5</f>
        <v>0</v>
      </c>
      <c r="F231" t="str" cm="1">
        <f t="array" ref="F231">IF(LineærRegression_Valg[[#This Row],[Indenfor range]],INDEX(DataTitel_liste,LineærRegression_Valg[[#This Row],[Afhængig variabel ID]]),INDEX(DataTitel_liste,1))</f>
        <v>Eksempel 1 (interval)</v>
      </c>
      <c r="G231" s="188" t="str" cm="1">
        <f t="array" ref="G231">IF(LineærRegression_Valg[[#This Row],[Indenfor range]],IF(LineærRegression_Valg[[#This Row],[Intet overlap]],INDEX(DataTitel_liste,LineærRegression_Valg[[#This Row],[Uafhængig variabel ID]]),INDEX(DataTitel_liste,IF(LineærRegression_Valg[[#This Row],[Afhængig variabel ID]]=1,2,1))),$B$7)</f>
        <v>Eksempel 2 (interval)</v>
      </c>
      <c r="H231" s="188">
        <f>_xlfn.AGGREGATE(2,5,LineærRegression_Valg[[#This Row],[Tabel ID]])</f>
        <v>1</v>
      </c>
    </row>
    <row r="232" spans="1:8" x14ac:dyDescent="0.2">
      <c r="A232">
        <f>ROW(LineærRegression_Valg[[#This Row],[Tabel ID]])-ROW(LineærRegression_Valg[[#Headers],[Tabel ID]])</f>
        <v>222</v>
      </c>
      <c r="B232" s="188">
        <f>ROUNDDOWN((LineærRegression_Valg[[#This Row],[Tabel ID]]-1)/$B$5,0)+1</f>
        <v>56</v>
      </c>
      <c r="C232" s="188">
        <f t="shared" si="3"/>
        <v>2</v>
      </c>
      <c r="D232" s="188" t="b">
        <f>LineærRegression_Valg[[#This Row],[Afhængig variabel ID]]&lt;&gt;LineærRegression_Valg[[#This Row],[Uafhængig variabel ID]]</f>
        <v>1</v>
      </c>
      <c r="E232" t="b">
        <f>LineærRegression_Valg[[#This Row],[Afhængig variabel ID]]&lt;=$B$5</f>
        <v>0</v>
      </c>
      <c r="F232" t="str" cm="1">
        <f t="array" ref="F232">IF(LineærRegression_Valg[[#This Row],[Indenfor range]],INDEX(DataTitel_liste,LineærRegression_Valg[[#This Row],[Afhængig variabel ID]]),INDEX(DataTitel_liste,1))</f>
        <v>Eksempel 1 (interval)</v>
      </c>
      <c r="G232" s="188" t="str" cm="1">
        <f t="array" ref="G232">IF(LineærRegression_Valg[[#This Row],[Indenfor range]],IF(LineærRegression_Valg[[#This Row],[Intet overlap]],INDEX(DataTitel_liste,LineærRegression_Valg[[#This Row],[Uafhængig variabel ID]]),INDEX(DataTitel_liste,IF(LineærRegression_Valg[[#This Row],[Afhængig variabel ID]]=1,2,1))),$B$7)</f>
        <v>Eksempel 2 (interval)</v>
      </c>
      <c r="H232" s="188">
        <f>_xlfn.AGGREGATE(2,5,LineærRegression_Valg[[#This Row],[Tabel ID]])</f>
        <v>1</v>
      </c>
    </row>
    <row r="233" spans="1:8" x14ac:dyDescent="0.2">
      <c r="A233">
        <f>ROW(LineærRegression_Valg[[#This Row],[Tabel ID]])-ROW(LineærRegression_Valg[[#Headers],[Tabel ID]])</f>
        <v>223</v>
      </c>
      <c r="B233" s="188">
        <f>ROUNDDOWN((LineærRegression_Valg[[#This Row],[Tabel ID]]-1)/$B$5,0)+1</f>
        <v>56</v>
      </c>
      <c r="C233" s="188">
        <f t="shared" si="3"/>
        <v>3</v>
      </c>
      <c r="D233" s="188" t="b">
        <f>LineærRegression_Valg[[#This Row],[Afhængig variabel ID]]&lt;&gt;LineærRegression_Valg[[#This Row],[Uafhængig variabel ID]]</f>
        <v>1</v>
      </c>
      <c r="E233" t="b">
        <f>LineærRegression_Valg[[#This Row],[Afhængig variabel ID]]&lt;=$B$5</f>
        <v>0</v>
      </c>
      <c r="F233" t="str" cm="1">
        <f t="array" ref="F233">IF(LineærRegression_Valg[[#This Row],[Indenfor range]],INDEX(DataTitel_liste,LineærRegression_Valg[[#This Row],[Afhængig variabel ID]]),INDEX(DataTitel_liste,1))</f>
        <v>Eksempel 1 (interval)</v>
      </c>
      <c r="G233" s="188" t="str" cm="1">
        <f t="array" ref="G233">IF(LineærRegression_Valg[[#This Row],[Indenfor range]],IF(LineærRegression_Valg[[#This Row],[Intet overlap]],INDEX(DataTitel_liste,LineærRegression_Valg[[#This Row],[Uafhængig variabel ID]]),INDEX(DataTitel_liste,IF(LineærRegression_Valg[[#This Row],[Afhængig variabel ID]]=1,2,1))),$B$7)</f>
        <v>Eksempel 2 (interval)</v>
      </c>
      <c r="H233" s="188">
        <f>_xlfn.AGGREGATE(2,5,LineærRegression_Valg[[#This Row],[Tabel ID]])</f>
        <v>1</v>
      </c>
    </row>
    <row r="234" spans="1:8" x14ac:dyDescent="0.2">
      <c r="A234">
        <f>ROW(LineærRegression_Valg[[#This Row],[Tabel ID]])-ROW(LineærRegression_Valg[[#Headers],[Tabel ID]])</f>
        <v>224</v>
      </c>
      <c r="B234" s="188">
        <f>ROUNDDOWN((LineærRegression_Valg[[#This Row],[Tabel ID]]-1)/$B$5,0)+1</f>
        <v>56</v>
      </c>
      <c r="C234" s="188">
        <f t="shared" si="3"/>
        <v>4</v>
      </c>
      <c r="D234" s="188" t="b">
        <f>LineærRegression_Valg[[#This Row],[Afhængig variabel ID]]&lt;&gt;LineærRegression_Valg[[#This Row],[Uafhængig variabel ID]]</f>
        <v>1</v>
      </c>
      <c r="E234" t="b">
        <f>LineærRegression_Valg[[#This Row],[Afhængig variabel ID]]&lt;=$B$5</f>
        <v>0</v>
      </c>
      <c r="F234" t="str" cm="1">
        <f t="array" ref="F234">IF(LineærRegression_Valg[[#This Row],[Indenfor range]],INDEX(DataTitel_liste,LineærRegression_Valg[[#This Row],[Afhængig variabel ID]]),INDEX(DataTitel_liste,1))</f>
        <v>Eksempel 1 (interval)</v>
      </c>
      <c r="G234" s="188" t="str" cm="1">
        <f t="array" ref="G234">IF(LineærRegression_Valg[[#This Row],[Indenfor range]],IF(LineærRegression_Valg[[#This Row],[Intet overlap]],INDEX(DataTitel_liste,LineærRegression_Valg[[#This Row],[Uafhængig variabel ID]]),INDEX(DataTitel_liste,IF(LineærRegression_Valg[[#This Row],[Afhængig variabel ID]]=1,2,1))),$B$7)</f>
        <v>Eksempel 2 (interval)</v>
      </c>
      <c r="H234" s="188">
        <f>_xlfn.AGGREGATE(2,5,LineærRegression_Valg[[#This Row],[Tabel ID]])</f>
        <v>1</v>
      </c>
    </row>
    <row r="235" spans="1:8" x14ac:dyDescent="0.2">
      <c r="A235">
        <f>ROW(LineærRegression_Valg[[#This Row],[Tabel ID]])-ROW(LineærRegression_Valg[[#Headers],[Tabel ID]])</f>
        <v>225</v>
      </c>
      <c r="B235" s="188">
        <f>ROUNDDOWN((LineærRegression_Valg[[#This Row],[Tabel ID]]-1)/$B$5,0)+1</f>
        <v>57</v>
      </c>
      <c r="C235" s="188">
        <f t="shared" si="3"/>
        <v>1</v>
      </c>
      <c r="D235" s="188" t="b">
        <f>LineærRegression_Valg[[#This Row],[Afhængig variabel ID]]&lt;&gt;LineærRegression_Valg[[#This Row],[Uafhængig variabel ID]]</f>
        <v>1</v>
      </c>
      <c r="E235" t="b">
        <f>LineærRegression_Valg[[#This Row],[Afhængig variabel ID]]&lt;=$B$5</f>
        <v>0</v>
      </c>
      <c r="F235" t="str" cm="1">
        <f t="array" ref="F235">IF(LineærRegression_Valg[[#This Row],[Indenfor range]],INDEX(DataTitel_liste,LineærRegression_Valg[[#This Row],[Afhængig variabel ID]]),INDEX(DataTitel_liste,1))</f>
        <v>Eksempel 1 (interval)</v>
      </c>
      <c r="G235" s="188" t="str" cm="1">
        <f t="array" ref="G235">IF(LineærRegression_Valg[[#This Row],[Indenfor range]],IF(LineærRegression_Valg[[#This Row],[Intet overlap]],INDEX(DataTitel_liste,LineærRegression_Valg[[#This Row],[Uafhængig variabel ID]]),INDEX(DataTitel_liste,IF(LineærRegression_Valg[[#This Row],[Afhængig variabel ID]]=1,2,1))),$B$7)</f>
        <v>Eksempel 2 (interval)</v>
      </c>
      <c r="H235" s="188">
        <f>_xlfn.AGGREGATE(2,5,LineærRegression_Valg[[#This Row],[Tabel ID]])</f>
        <v>1</v>
      </c>
    </row>
    <row r="236" spans="1:8" x14ac:dyDescent="0.2">
      <c r="A236">
        <f>ROW(LineærRegression_Valg[[#This Row],[Tabel ID]])-ROW(LineærRegression_Valg[[#Headers],[Tabel ID]])</f>
        <v>226</v>
      </c>
      <c r="B236" s="188">
        <f>ROUNDDOWN((LineærRegression_Valg[[#This Row],[Tabel ID]]-1)/$B$5,0)+1</f>
        <v>57</v>
      </c>
      <c r="C236" s="188">
        <f t="shared" si="3"/>
        <v>2</v>
      </c>
      <c r="D236" s="188" t="b">
        <f>LineærRegression_Valg[[#This Row],[Afhængig variabel ID]]&lt;&gt;LineærRegression_Valg[[#This Row],[Uafhængig variabel ID]]</f>
        <v>1</v>
      </c>
      <c r="E236" t="b">
        <f>LineærRegression_Valg[[#This Row],[Afhængig variabel ID]]&lt;=$B$5</f>
        <v>0</v>
      </c>
      <c r="F236" t="str" cm="1">
        <f t="array" ref="F236">IF(LineærRegression_Valg[[#This Row],[Indenfor range]],INDEX(DataTitel_liste,LineærRegression_Valg[[#This Row],[Afhængig variabel ID]]),INDEX(DataTitel_liste,1))</f>
        <v>Eksempel 1 (interval)</v>
      </c>
      <c r="G236" s="188" t="str" cm="1">
        <f t="array" ref="G236">IF(LineærRegression_Valg[[#This Row],[Indenfor range]],IF(LineærRegression_Valg[[#This Row],[Intet overlap]],INDEX(DataTitel_liste,LineærRegression_Valg[[#This Row],[Uafhængig variabel ID]]),INDEX(DataTitel_liste,IF(LineærRegression_Valg[[#This Row],[Afhængig variabel ID]]=1,2,1))),$B$7)</f>
        <v>Eksempel 2 (interval)</v>
      </c>
      <c r="H236" s="188">
        <f>_xlfn.AGGREGATE(2,5,LineærRegression_Valg[[#This Row],[Tabel ID]])</f>
        <v>1</v>
      </c>
    </row>
    <row r="237" spans="1:8" x14ac:dyDescent="0.2">
      <c r="A237">
        <f>ROW(LineærRegression_Valg[[#This Row],[Tabel ID]])-ROW(LineærRegression_Valg[[#Headers],[Tabel ID]])</f>
        <v>227</v>
      </c>
      <c r="B237" s="188">
        <f>ROUNDDOWN((LineærRegression_Valg[[#This Row],[Tabel ID]]-1)/$B$5,0)+1</f>
        <v>57</v>
      </c>
      <c r="C237" s="188">
        <f t="shared" si="3"/>
        <v>3</v>
      </c>
      <c r="D237" s="188" t="b">
        <f>LineærRegression_Valg[[#This Row],[Afhængig variabel ID]]&lt;&gt;LineærRegression_Valg[[#This Row],[Uafhængig variabel ID]]</f>
        <v>1</v>
      </c>
      <c r="E237" t="b">
        <f>LineærRegression_Valg[[#This Row],[Afhængig variabel ID]]&lt;=$B$5</f>
        <v>0</v>
      </c>
      <c r="F237" t="str" cm="1">
        <f t="array" ref="F237">IF(LineærRegression_Valg[[#This Row],[Indenfor range]],INDEX(DataTitel_liste,LineærRegression_Valg[[#This Row],[Afhængig variabel ID]]),INDEX(DataTitel_liste,1))</f>
        <v>Eksempel 1 (interval)</v>
      </c>
      <c r="G237" s="188" t="str" cm="1">
        <f t="array" ref="G237">IF(LineærRegression_Valg[[#This Row],[Indenfor range]],IF(LineærRegression_Valg[[#This Row],[Intet overlap]],INDEX(DataTitel_liste,LineærRegression_Valg[[#This Row],[Uafhængig variabel ID]]),INDEX(DataTitel_liste,IF(LineærRegression_Valg[[#This Row],[Afhængig variabel ID]]=1,2,1))),$B$7)</f>
        <v>Eksempel 2 (interval)</v>
      </c>
      <c r="H237" s="188">
        <f>_xlfn.AGGREGATE(2,5,LineærRegression_Valg[[#This Row],[Tabel ID]])</f>
        <v>1</v>
      </c>
    </row>
    <row r="238" spans="1:8" x14ac:dyDescent="0.2">
      <c r="A238">
        <f>ROW(LineærRegression_Valg[[#This Row],[Tabel ID]])-ROW(LineærRegression_Valg[[#Headers],[Tabel ID]])</f>
        <v>228</v>
      </c>
      <c r="B238" s="188">
        <f>ROUNDDOWN((LineærRegression_Valg[[#This Row],[Tabel ID]]-1)/$B$5,0)+1</f>
        <v>57</v>
      </c>
      <c r="C238" s="188">
        <f t="shared" si="3"/>
        <v>4</v>
      </c>
      <c r="D238" s="188" t="b">
        <f>LineærRegression_Valg[[#This Row],[Afhængig variabel ID]]&lt;&gt;LineærRegression_Valg[[#This Row],[Uafhængig variabel ID]]</f>
        <v>1</v>
      </c>
      <c r="E238" t="b">
        <f>LineærRegression_Valg[[#This Row],[Afhængig variabel ID]]&lt;=$B$5</f>
        <v>0</v>
      </c>
      <c r="F238" t="str" cm="1">
        <f t="array" ref="F238">IF(LineærRegression_Valg[[#This Row],[Indenfor range]],INDEX(DataTitel_liste,LineærRegression_Valg[[#This Row],[Afhængig variabel ID]]),INDEX(DataTitel_liste,1))</f>
        <v>Eksempel 1 (interval)</v>
      </c>
      <c r="G238" s="188" t="str" cm="1">
        <f t="array" ref="G238">IF(LineærRegression_Valg[[#This Row],[Indenfor range]],IF(LineærRegression_Valg[[#This Row],[Intet overlap]],INDEX(DataTitel_liste,LineærRegression_Valg[[#This Row],[Uafhængig variabel ID]]),INDEX(DataTitel_liste,IF(LineærRegression_Valg[[#This Row],[Afhængig variabel ID]]=1,2,1))),$B$7)</f>
        <v>Eksempel 2 (interval)</v>
      </c>
      <c r="H238" s="188">
        <f>_xlfn.AGGREGATE(2,5,LineærRegression_Valg[[#This Row],[Tabel ID]])</f>
        <v>1</v>
      </c>
    </row>
    <row r="239" spans="1:8" x14ac:dyDescent="0.2">
      <c r="A239">
        <f>ROW(LineærRegression_Valg[[#This Row],[Tabel ID]])-ROW(LineærRegression_Valg[[#Headers],[Tabel ID]])</f>
        <v>229</v>
      </c>
      <c r="B239" s="188">
        <f>ROUNDDOWN((LineærRegression_Valg[[#This Row],[Tabel ID]]-1)/$B$5,0)+1</f>
        <v>58</v>
      </c>
      <c r="C239" s="188">
        <f t="shared" si="3"/>
        <v>1</v>
      </c>
      <c r="D239" s="188" t="b">
        <f>LineærRegression_Valg[[#This Row],[Afhængig variabel ID]]&lt;&gt;LineærRegression_Valg[[#This Row],[Uafhængig variabel ID]]</f>
        <v>1</v>
      </c>
      <c r="E239" t="b">
        <f>LineærRegression_Valg[[#This Row],[Afhængig variabel ID]]&lt;=$B$5</f>
        <v>0</v>
      </c>
      <c r="F239" t="str" cm="1">
        <f t="array" ref="F239">IF(LineærRegression_Valg[[#This Row],[Indenfor range]],INDEX(DataTitel_liste,LineærRegression_Valg[[#This Row],[Afhængig variabel ID]]),INDEX(DataTitel_liste,1))</f>
        <v>Eksempel 1 (interval)</v>
      </c>
      <c r="G239" s="188" t="str" cm="1">
        <f t="array" ref="G239">IF(LineærRegression_Valg[[#This Row],[Indenfor range]],IF(LineærRegression_Valg[[#This Row],[Intet overlap]],INDEX(DataTitel_liste,LineærRegression_Valg[[#This Row],[Uafhængig variabel ID]]),INDEX(DataTitel_liste,IF(LineærRegression_Valg[[#This Row],[Afhængig variabel ID]]=1,2,1))),$B$7)</f>
        <v>Eksempel 2 (interval)</v>
      </c>
      <c r="H239" s="188">
        <f>_xlfn.AGGREGATE(2,5,LineærRegression_Valg[[#This Row],[Tabel ID]])</f>
        <v>1</v>
      </c>
    </row>
    <row r="240" spans="1:8" x14ac:dyDescent="0.2">
      <c r="A240">
        <f>ROW(LineærRegression_Valg[[#This Row],[Tabel ID]])-ROW(LineærRegression_Valg[[#Headers],[Tabel ID]])</f>
        <v>230</v>
      </c>
      <c r="B240" s="188">
        <f>ROUNDDOWN((LineærRegression_Valg[[#This Row],[Tabel ID]]-1)/$B$5,0)+1</f>
        <v>58</v>
      </c>
      <c r="C240" s="188">
        <f t="shared" si="3"/>
        <v>2</v>
      </c>
      <c r="D240" s="188" t="b">
        <f>LineærRegression_Valg[[#This Row],[Afhængig variabel ID]]&lt;&gt;LineærRegression_Valg[[#This Row],[Uafhængig variabel ID]]</f>
        <v>1</v>
      </c>
      <c r="E240" t="b">
        <f>LineærRegression_Valg[[#This Row],[Afhængig variabel ID]]&lt;=$B$5</f>
        <v>0</v>
      </c>
      <c r="F240" t="str" cm="1">
        <f t="array" ref="F240">IF(LineærRegression_Valg[[#This Row],[Indenfor range]],INDEX(DataTitel_liste,LineærRegression_Valg[[#This Row],[Afhængig variabel ID]]),INDEX(DataTitel_liste,1))</f>
        <v>Eksempel 1 (interval)</v>
      </c>
      <c r="G240" s="188" t="str" cm="1">
        <f t="array" ref="G240">IF(LineærRegression_Valg[[#This Row],[Indenfor range]],IF(LineærRegression_Valg[[#This Row],[Intet overlap]],INDEX(DataTitel_liste,LineærRegression_Valg[[#This Row],[Uafhængig variabel ID]]),INDEX(DataTitel_liste,IF(LineærRegression_Valg[[#This Row],[Afhængig variabel ID]]=1,2,1))),$B$7)</f>
        <v>Eksempel 2 (interval)</v>
      </c>
      <c r="H240" s="188">
        <f>_xlfn.AGGREGATE(2,5,LineærRegression_Valg[[#This Row],[Tabel ID]])</f>
        <v>1</v>
      </c>
    </row>
    <row r="241" spans="1:8" x14ac:dyDescent="0.2">
      <c r="A241">
        <f>ROW(LineærRegression_Valg[[#This Row],[Tabel ID]])-ROW(LineærRegression_Valg[[#Headers],[Tabel ID]])</f>
        <v>231</v>
      </c>
      <c r="B241" s="188">
        <f>ROUNDDOWN((LineærRegression_Valg[[#This Row],[Tabel ID]]-1)/$B$5,0)+1</f>
        <v>58</v>
      </c>
      <c r="C241" s="188">
        <f t="shared" si="3"/>
        <v>3</v>
      </c>
      <c r="D241" s="188" t="b">
        <f>LineærRegression_Valg[[#This Row],[Afhængig variabel ID]]&lt;&gt;LineærRegression_Valg[[#This Row],[Uafhængig variabel ID]]</f>
        <v>1</v>
      </c>
      <c r="E241" t="b">
        <f>LineærRegression_Valg[[#This Row],[Afhængig variabel ID]]&lt;=$B$5</f>
        <v>0</v>
      </c>
      <c r="F241" t="str" cm="1">
        <f t="array" ref="F241">IF(LineærRegression_Valg[[#This Row],[Indenfor range]],INDEX(DataTitel_liste,LineærRegression_Valg[[#This Row],[Afhængig variabel ID]]),INDEX(DataTitel_liste,1))</f>
        <v>Eksempel 1 (interval)</v>
      </c>
      <c r="G241" s="188" t="str" cm="1">
        <f t="array" ref="G241">IF(LineærRegression_Valg[[#This Row],[Indenfor range]],IF(LineærRegression_Valg[[#This Row],[Intet overlap]],INDEX(DataTitel_liste,LineærRegression_Valg[[#This Row],[Uafhængig variabel ID]]),INDEX(DataTitel_liste,IF(LineærRegression_Valg[[#This Row],[Afhængig variabel ID]]=1,2,1))),$B$7)</f>
        <v>Eksempel 2 (interval)</v>
      </c>
      <c r="H241" s="188">
        <f>_xlfn.AGGREGATE(2,5,LineærRegression_Valg[[#This Row],[Tabel ID]])</f>
        <v>1</v>
      </c>
    </row>
    <row r="242" spans="1:8" x14ac:dyDescent="0.2">
      <c r="A242">
        <f>ROW(LineærRegression_Valg[[#This Row],[Tabel ID]])-ROW(LineærRegression_Valg[[#Headers],[Tabel ID]])</f>
        <v>232</v>
      </c>
      <c r="B242" s="188">
        <f>ROUNDDOWN((LineærRegression_Valg[[#This Row],[Tabel ID]]-1)/$B$5,0)+1</f>
        <v>58</v>
      </c>
      <c r="C242" s="188">
        <f t="shared" si="3"/>
        <v>4</v>
      </c>
      <c r="D242" s="188" t="b">
        <f>LineærRegression_Valg[[#This Row],[Afhængig variabel ID]]&lt;&gt;LineærRegression_Valg[[#This Row],[Uafhængig variabel ID]]</f>
        <v>1</v>
      </c>
      <c r="E242" t="b">
        <f>LineærRegression_Valg[[#This Row],[Afhængig variabel ID]]&lt;=$B$5</f>
        <v>0</v>
      </c>
      <c r="F242" t="str" cm="1">
        <f t="array" ref="F242">IF(LineærRegression_Valg[[#This Row],[Indenfor range]],INDEX(DataTitel_liste,LineærRegression_Valg[[#This Row],[Afhængig variabel ID]]),INDEX(DataTitel_liste,1))</f>
        <v>Eksempel 1 (interval)</v>
      </c>
      <c r="G242" s="188" t="str" cm="1">
        <f t="array" ref="G242">IF(LineærRegression_Valg[[#This Row],[Indenfor range]],IF(LineærRegression_Valg[[#This Row],[Intet overlap]],INDEX(DataTitel_liste,LineærRegression_Valg[[#This Row],[Uafhængig variabel ID]]),INDEX(DataTitel_liste,IF(LineærRegression_Valg[[#This Row],[Afhængig variabel ID]]=1,2,1))),$B$7)</f>
        <v>Eksempel 2 (interval)</v>
      </c>
      <c r="H242" s="188">
        <f>_xlfn.AGGREGATE(2,5,LineærRegression_Valg[[#This Row],[Tabel ID]])</f>
        <v>1</v>
      </c>
    </row>
    <row r="243" spans="1:8" x14ac:dyDescent="0.2">
      <c r="A243">
        <f>ROW(LineærRegression_Valg[[#This Row],[Tabel ID]])-ROW(LineærRegression_Valg[[#Headers],[Tabel ID]])</f>
        <v>233</v>
      </c>
      <c r="B243" s="188">
        <f>ROUNDDOWN((LineærRegression_Valg[[#This Row],[Tabel ID]]-1)/$B$5,0)+1</f>
        <v>59</v>
      </c>
      <c r="C243" s="188">
        <f t="shared" si="3"/>
        <v>1</v>
      </c>
      <c r="D243" s="188" t="b">
        <f>LineærRegression_Valg[[#This Row],[Afhængig variabel ID]]&lt;&gt;LineærRegression_Valg[[#This Row],[Uafhængig variabel ID]]</f>
        <v>1</v>
      </c>
      <c r="E243" t="b">
        <f>LineærRegression_Valg[[#This Row],[Afhængig variabel ID]]&lt;=$B$5</f>
        <v>0</v>
      </c>
      <c r="F243" t="str" cm="1">
        <f t="array" ref="F243">IF(LineærRegression_Valg[[#This Row],[Indenfor range]],INDEX(DataTitel_liste,LineærRegression_Valg[[#This Row],[Afhængig variabel ID]]),INDEX(DataTitel_liste,1))</f>
        <v>Eksempel 1 (interval)</v>
      </c>
      <c r="G243" s="188" t="str" cm="1">
        <f t="array" ref="G243">IF(LineærRegression_Valg[[#This Row],[Indenfor range]],IF(LineærRegression_Valg[[#This Row],[Intet overlap]],INDEX(DataTitel_liste,LineærRegression_Valg[[#This Row],[Uafhængig variabel ID]]),INDEX(DataTitel_liste,IF(LineærRegression_Valg[[#This Row],[Afhængig variabel ID]]=1,2,1))),$B$7)</f>
        <v>Eksempel 2 (interval)</v>
      </c>
      <c r="H243" s="188">
        <f>_xlfn.AGGREGATE(2,5,LineærRegression_Valg[[#This Row],[Tabel ID]])</f>
        <v>1</v>
      </c>
    </row>
    <row r="244" spans="1:8" x14ac:dyDescent="0.2">
      <c r="A244">
        <f>ROW(LineærRegression_Valg[[#This Row],[Tabel ID]])-ROW(LineærRegression_Valg[[#Headers],[Tabel ID]])</f>
        <v>234</v>
      </c>
      <c r="B244" s="188">
        <f>ROUNDDOWN((LineærRegression_Valg[[#This Row],[Tabel ID]]-1)/$B$5,0)+1</f>
        <v>59</v>
      </c>
      <c r="C244" s="188">
        <f t="shared" si="3"/>
        <v>2</v>
      </c>
      <c r="D244" s="188" t="b">
        <f>LineærRegression_Valg[[#This Row],[Afhængig variabel ID]]&lt;&gt;LineærRegression_Valg[[#This Row],[Uafhængig variabel ID]]</f>
        <v>1</v>
      </c>
      <c r="E244" t="b">
        <f>LineærRegression_Valg[[#This Row],[Afhængig variabel ID]]&lt;=$B$5</f>
        <v>0</v>
      </c>
      <c r="F244" t="str" cm="1">
        <f t="array" ref="F244">IF(LineærRegression_Valg[[#This Row],[Indenfor range]],INDEX(DataTitel_liste,LineærRegression_Valg[[#This Row],[Afhængig variabel ID]]),INDEX(DataTitel_liste,1))</f>
        <v>Eksempel 1 (interval)</v>
      </c>
      <c r="G244" s="188" t="str" cm="1">
        <f t="array" ref="G244">IF(LineærRegression_Valg[[#This Row],[Indenfor range]],IF(LineærRegression_Valg[[#This Row],[Intet overlap]],INDEX(DataTitel_liste,LineærRegression_Valg[[#This Row],[Uafhængig variabel ID]]),INDEX(DataTitel_liste,IF(LineærRegression_Valg[[#This Row],[Afhængig variabel ID]]=1,2,1))),$B$7)</f>
        <v>Eksempel 2 (interval)</v>
      </c>
      <c r="H244" s="188">
        <f>_xlfn.AGGREGATE(2,5,LineærRegression_Valg[[#This Row],[Tabel ID]])</f>
        <v>1</v>
      </c>
    </row>
    <row r="245" spans="1:8" x14ac:dyDescent="0.2">
      <c r="A245">
        <f>ROW(LineærRegression_Valg[[#This Row],[Tabel ID]])-ROW(LineærRegression_Valg[[#Headers],[Tabel ID]])</f>
        <v>235</v>
      </c>
      <c r="B245" s="188">
        <f>ROUNDDOWN((LineærRegression_Valg[[#This Row],[Tabel ID]]-1)/$B$5,0)+1</f>
        <v>59</v>
      </c>
      <c r="C245" s="188">
        <f t="shared" si="3"/>
        <v>3</v>
      </c>
      <c r="D245" s="188" t="b">
        <f>LineærRegression_Valg[[#This Row],[Afhængig variabel ID]]&lt;&gt;LineærRegression_Valg[[#This Row],[Uafhængig variabel ID]]</f>
        <v>1</v>
      </c>
      <c r="E245" t="b">
        <f>LineærRegression_Valg[[#This Row],[Afhængig variabel ID]]&lt;=$B$5</f>
        <v>0</v>
      </c>
      <c r="F245" t="str" cm="1">
        <f t="array" ref="F245">IF(LineærRegression_Valg[[#This Row],[Indenfor range]],INDEX(DataTitel_liste,LineærRegression_Valg[[#This Row],[Afhængig variabel ID]]),INDEX(DataTitel_liste,1))</f>
        <v>Eksempel 1 (interval)</v>
      </c>
      <c r="G245" s="188" t="str" cm="1">
        <f t="array" ref="G245">IF(LineærRegression_Valg[[#This Row],[Indenfor range]],IF(LineærRegression_Valg[[#This Row],[Intet overlap]],INDEX(DataTitel_liste,LineærRegression_Valg[[#This Row],[Uafhængig variabel ID]]),INDEX(DataTitel_liste,IF(LineærRegression_Valg[[#This Row],[Afhængig variabel ID]]=1,2,1))),$B$7)</f>
        <v>Eksempel 2 (interval)</v>
      </c>
      <c r="H245" s="188">
        <f>_xlfn.AGGREGATE(2,5,LineærRegression_Valg[[#This Row],[Tabel ID]])</f>
        <v>1</v>
      </c>
    </row>
    <row r="246" spans="1:8" x14ac:dyDescent="0.2">
      <c r="A246">
        <f>ROW(LineærRegression_Valg[[#This Row],[Tabel ID]])-ROW(LineærRegression_Valg[[#Headers],[Tabel ID]])</f>
        <v>236</v>
      </c>
      <c r="B246" s="188">
        <f>ROUNDDOWN((LineærRegression_Valg[[#This Row],[Tabel ID]]-1)/$B$5,0)+1</f>
        <v>59</v>
      </c>
      <c r="C246" s="188">
        <f t="shared" si="3"/>
        <v>4</v>
      </c>
      <c r="D246" s="188" t="b">
        <f>LineærRegression_Valg[[#This Row],[Afhængig variabel ID]]&lt;&gt;LineærRegression_Valg[[#This Row],[Uafhængig variabel ID]]</f>
        <v>1</v>
      </c>
      <c r="E246" t="b">
        <f>LineærRegression_Valg[[#This Row],[Afhængig variabel ID]]&lt;=$B$5</f>
        <v>0</v>
      </c>
      <c r="F246" t="str" cm="1">
        <f t="array" ref="F246">IF(LineærRegression_Valg[[#This Row],[Indenfor range]],INDEX(DataTitel_liste,LineærRegression_Valg[[#This Row],[Afhængig variabel ID]]),INDEX(DataTitel_liste,1))</f>
        <v>Eksempel 1 (interval)</v>
      </c>
      <c r="G246" s="188" t="str" cm="1">
        <f t="array" ref="G246">IF(LineærRegression_Valg[[#This Row],[Indenfor range]],IF(LineærRegression_Valg[[#This Row],[Intet overlap]],INDEX(DataTitel_liste,LineærRegression_Valg[[#This Row],[Uafhængig variabel ID]]),INDEX(DataTitel_liste,IF(LineærRegression_Valg[[#This Row],[Afhængig variabel ID]]=1,2,1))),$B$7)</f>
        <v>Eksempel 2 (interval)</v>
      </c>
      <c r="H246" s="188">
        <f>_xlfn.AGGREGATE(2,5,LineærRegression_Valg[[#This Row],[Tabel ID]])</f>
        <v>1</v>
      </c>
    </row>
    <row r="247" spans="1:8" x14ac:dyDescent="0.2">
      <c r="A247">
        <f>ROW(LineærRegression_Valg[[#This Row],[Tabel ID]])-ROW(LineærRegression_Valg[[#Headers],[Tabel ID]])</f>
        <v>237</v>
      </c>
      <c r="B247" s="188">
        <f>ROUNDDOWN((LineærRegression_Valg[[#This Row],[Tabel ID]]-1)/$B$5,0)+1</f>
        <v>60</v>
      </c>
      <c r="C247" s="188">
        <f t="shared" si="3"/>
        <v>1</v>
      </c>
      <c r="D247" s="188" t="b">
        <f>LineærRegression_Valg[[#This Row],[Afhængig variabel ID]]&lt;&gt;LineærRegression_Valg[[#This Row],[Uafhængig variabel ID]]</f>
        <v>1</v>
      </c>
      <c r="E247" t="b">
        <f>LineærRegression_Valg[[#This Row],[Afhængig variabel ID]]&lt;=$B$5</f>
        <v>0</v>
      </c>
      <c r="F247" t="str" cm="1">
        <f t="array" ref="F247">IF(LineærRegression_Valg[[#This Row],[Indenfor range]],INDEX(DataTitel_liste,LineærRegression_Valg[[#This Row],[Afhængig variabel ID]]),INDEX(DataTitel_liste,1))</f>
        <v>Eksempel 1 (interval)</v>
      </c>
      <c r="G247" s="188" t="str" cm="1">
        <f t="array" ref="G247">IF(LineærRegression_Valg[[#This Row],[Indenfor range]],IF(LineærRegression_Valg[[#This Row],[Intet overlap]],INDEX(DataTitel_liste,LineærRegression_Valg[[#This Row],[Uafhængig variabel ID]]),INDEX(DataTitel_liste,IF(LineærRegression_Valg[[#This Row],[Afhængig variabel ID]]=1,2,1))),$B$7)</f>
        <v>Eksempel 2 (interval)</v>
      </c>
      <c r="H247" s="188">
        <f>_xlfn.AGGREGATE(2,5,LineærRegression_Valg[[#This Row],[Tabel ID]])</f>
        <v>1</v>
      </c>
    </row>
    <row r="248" spans="1:8" x14ac:dyDescent="0.2">
      <c r="A248">
        <f>ROW(LineærRegression_Valg[[#This Row],[Tabel ID]])-ROW(LineærRegression_Valg[[#Headers],[Tabel ID]])</f>
        <v>238</v>
      </c>
      <c r="B248" s="188">
        <f>ROUNDDOWN((LineærRegression_Valg[[#This Row],[Tabel ID]]-1)/$B$5,0)+1</f>
        <v>60</v>
      </c>
      <c r="C248" s="188">
        <f t="shared" si="3"/>
        <v>2</v>
      </c>
      <c r="D248" s="188" t="b">
        <f>LineærRegression_Valg[[#This Row],[Afhængig variabel ID]]&lt;&gt;LineærRegression_Valg[[#This Row],[Uafhængig variabel ID]]</f>
        <v>1</v>
      </c>
      <c r="E248" t="b">
        <f>LineærRegression_Valg[[#This Row],[Afhængig variabel ID]]&lt;=$B$5</f>
        <v>0</v>
      </c>
      <c r="F248" t="str" cm="1">
        <f t="array" ref="F248">IF(LineærRegression_Valg[[#This Row],[Indenfor range]],INDEX(DataTitel_liste,LineærRegression_Valg[[#This Row],[Afhængig variabel ID]]),INDEX(DataTitel_liste,1))</f>
        <v>Eksempel 1 (interval)</v>
      </c>
      <c r="G248" s="188" t="str" cm="1">
        <f t="array" ref="G248">IF(LineærRegression_Valg[[#This Row],[Indenfor range]],IF(LineærRegression_Valg[[#This Row],[Intet overlap]],INDEX(DataTitel_liste,LineærRegression_Valg[[#This Row],[Uafhængig variabel ID]]),INDEX(DataTitel_liste,IF(LineærRegression_Valg[[#This Row],[Afhængig variabel ID]]=1,2,1))),$B$7)</f>
        <v>Eksempel 2 (interval)</v>
      </c>
      <c r="H248" s="188">
        <f>_xlfn.AGGREGATE(2,5,LineærRegression_Valg[[#This Row],[Tabel ID]])</f>
        <v>1</v>
      </c>
    </row>
    <row r="249" spans="1:8" x14ac:dyDescent="0.2">
      <c r="A249">
        <f>ROW(LineærRegression_Valg[[#This Row],[Tabel ID]])-ROW(LineærRegression_Valg[[#Headers],[Tabel ID]])</f>
        <v>239</v>
      </c>
      <c r="B249" s="188">
        <f>ROUNDDOWN((LineærRegression_Valg[[#This Row],[Tabel ID]]-1)/$B$5,0)+1</f>
        <v>60</v>
      </c>
      <c r="C249" s="188">
        <f t="shared" si="3"/>
        <v>3</v>
      </c>
      <c r="D249" s="188" t="b">
        <f>LineærRegression_Valg[[#This Row],[Afhængig variabel ID]]&lt;&gt;LineærRegression_Valg[[#This Row],[Uafhængig variabel ID]]</f>
        <v>1</v>
      </c>
      <c r="E249" t="b">
        <f>LineærRegression_Valg[[#This Row],[Afhængig variabel ID]]&lt;=$B$5</f>
        <v>0</v>
      </c>
      <c r="F249" t="str" cm="1">
        <f t="array" ref="F249">IF(LineærRegression_Valg[[#This Row],[Indenfor range]],INDEX(DataTitel_liste,LineærRegression_Valg[[#This Row],[Afhængig variabel ID]]),INDEX(DataTitel_liste,1))</f>
        <v>Eksempel 1 (interval)</v>
      </c>
      <c r="G249" s="188" t="str" cm="1">
        <f t="array" ref="G249">IF(LineærRegression_Valg[[#This Row],[Indenfor range]],IF(LineærRegression_Valg[[#This Row],[Intet overlap]],INDEX(DataTitel_liste,LineærRegression_Valg[[#This Row],[Uafhængig variabel ID]]),INDEX(DataTitel_liste,IF(LineærRegression_Valg[[#This Row],[Afhængig variabel ID]]=1,2,1))),$B$7)</f>
        <v>Eksempel 2 (interval)</v>
      </c>
      <c r="H249" s="188">
        <f>_xlfn.AGGREGATE(2,5,LineærRegression_Valg[[#This Row],[Tabel ID]])</f>
        <v>1</v>
      </c>
    </row>
    <row r="250" spans="1:8" x14ac:dyDescent="0.2">
      <c r="A250">
        <f>ROW(LineærRegression_Valg[[#This Row],[Tabel ID]])-ROW(LineærRegression_Valg[[#Headers],[Tabel ID]])</f>
        <v>240</v>
      </c>
      <c r="B250" s="188">
        <f>ROUNDDOWN((LineærRegression_Valg[[#This Row],[Tabel ID]]-1)/$B$5,0)+1</f>
        <v>60</v>
      </c>
      <c r="C250" s="188">
        <f t="shared" si="3"/>
        <v>4</v>
      </c>
      <c r="D250" s="188" t="b">
        <f>LineærRegression_Valg[[#This Row],[Afhængig variabel ID]]&lt;&gt;LineærRegression_Valg[[#This Row],[Uafhængig variabel ID]]</f>
        <v>1</v>
      </c>
      <c r="E250" t="b">
        <f>LineærRegression_Valg[[#This Row],[Afhængig variabel ID]]&lt;=$B$5</f>
        <v>0</v>
      </c>
      <c r="F250" t="str" cm="1">
        <f t="array" ref="F250">IF(LineærRegression_Valg[[#This Row],[Indenfor range]],INDEX(DataTitel_liste,LineærRegression_Valg[[#This Row],[Afhængig variabel ID]]),INDEX(DataTitel_liste,1))</f>
        <v>Eksempel 1 (interval)</v>
      </c>
      <c r="G250" s="188" t="str" cm="1">
        <f t="array" ref="G250">IF(LineærRegression_Valg[[#This Row],[Indenfor range]],IF(LineærRegression_Valg[[#This Row],[Intet overlap]],INDEX(DataTitel_liste,LineærRegression_Valg[[#This Row],[Uafhængig variabel ID]]),INDEX(DataTitel_liste,IF(LineærRegression_Valg[[#This Row],[Afhængig variabel ID]]=1,2,1))),$B$7)</f>
        <v>Eksempel 2 (interval)</v>
      </c>
      <c r="H250" s="188">
        <f>_xlfn.AGGREGATE(2,5,LineærRegression_Valg[[#This Row],[Tabel ID]])</f>
        <v>1</v>
      </c>
    </row>
    <row r="251" spans="1:8" x14ac:dyDescent="0.2">
      <c r="A251">
        <f>ROW(LineærRegression_Valg[[#This Row],[Tabel ID]])-ROW(LineærRegression_Valg[[#Headers],[Tabel ID]])</f>
        <v>241</v>
      </c>
      <c r="B251" s="188">
        <f>ROUNDDOWN((LineærRegression_Valg[[#This Row],[Tabel ID]]-1)/$B$5,0)+1</f>
        <v>61</v>
      </c>
      <c r="C251" s="188">
        <f t="shared" si="3"/>
        <v>1</v>
      </c>
      <c r="D251" s="188" t="b">
        <f>LineærRegression_Valg[[#This Row],[Afhængig variabel ID]]&lt;&gt;LineærRegression_Valg[[#This Row],[Uafhængig variabel ID]]</f>
        <v>1</v>
      </c>
      <c r="E251" t="b">
        <f>LineærRegression_Valg[[#This Row],[Afhængig variabel ID]]&lt;=$B$5</f>
        <v>0</v>
      </c>
      <c r="F251" t="str" cm="1">
        <f t="array" ref="F251">IF(LineærRegression_Valg[[#This Row],[Indenfor range]],INDEX(DataTitel_liste,LineærRegression_Valg[[#This Row],[Afhængig variabel ID]]),INDEX(DataTitel_liste,1))</f>
        <v>Eksempel 1 (interval)</v>
      </c>
      <c r="G251" s="188" t="str" cm="1">
        <f t="array" ref="G251">IF(LineærRegression_Valg[[#This Row],[Indenfor range]],IF(LineærRegression_Valg[[#This Row],[Intet overlap]],INDEX(DataTitel_liste,LineærRegression_Valg[[#This Row],[Uafhængig variabel ID]]),INDEX(DataTitel_liste,IF(LineærRegression_Valg[[#This Row],[Afhængig variabel ID]]=1,2,1))),$B$7)</f>
        <v>Eksempel 2 (interval)</v>
      </c>
      <c r="H251" s="188">
        <f>_xlfn.AGGREGATE(2,5,LineærRegression_Valg[[#This Row],[Tabel ID]])</f>
        <v>1</v>
      </c>
    </row>
    <row r="252" spans="1:8" x14ac:dyDescent="0.2">
      <c r="A252">
        <f>ROW(LineærRegression_Valg[[#This Row],[Tabel ID]])-ROW(LineærRegression_Valg[[#Headers],[Tabel ID]])</f>
        <v>242</v>
      </c>
      <c r="B252" s="188">
        <f>ROUNDDOWN((LineærRegression_Valg[[#This Row],[Tabel ID]]-1)/$B$5,0)+1</f>
        <v>61</v>
      </c>
      <c r="C252" s="188">
        <f t="shared" si="3"/>
        <v>2</v>
      </c>
      <c r="D252" s="188" t="b">
        <f>LineærRegression_Valg[[#This Row],[Afhængig variabel ID]]&lt;&gt;LineærRegression_Valg[[#This Row],[Uafhængig variabel ID]]</f>
        <v>1</v>
      </c>
      <c r="E252" t="b">
        <f>LineærRegression_Valg[[#This Row],[Afhængig variabel ID]]&lt;=$B$5</f>
        <v>0</v>
      </c>
      <c r="F252" t="str" cm="1">
        <f t="array" ref="F252">IF(LineærRegression_Valg[[#This Row],[Indenfor range]],INDEX(DataTitel_liste,LineærRegression_Valg[[#This Row],[Afhængig variabel ID]]),INDEX(DataTitel_liste,1))</f>
        <v>Eksempel 1 (interval)</v>
      </c>
      <c r="G252" s="188" t="str" cm="1">
        <f t="array" ref="G252">IF(LineærRegression_Valg[[#This Row],[Indenfor range]],IF(LineærRegression_Valg[[#This Row],[Intet overlap]],INDEX(DataTitel_liste,LineærRegression_Valg[[#This Row],[Uafhængig variabel ID]]),INDEX(DataTitel_liste,IF(LineærRegression_Valg[[#This Row],[Afhængig variabel ID]]=1,2,1))),$B$7)</f>
        <v>Eksempel 2 (interval)</v>
      </c>
      <c r="H252" s="188">
        <f>_xlfn.AGGREGATE(2,5,LineærRegression_Valg[[#This Row],[Tabel ID]])</f>
        <v>1</v>
      </c>
    </row>
    <row r="253" spans="1:8" x14ac:dyDescent="0.2">
      <c r="A253">
        <f>ROW(LineærRegression_Valg[[#This Row],[Tabel ID]])-ROW(LineærRegression_Valg[[#Headers],[Tabel ID]])</f>
        <v>243</v>
      </c>
      <c r="B253" s="188">
        <f>ROUNDDOWN((LineærRegression_Valg[[#This Row],[Tabel ID]]-1)/$B$5,0)+1</f>
        <v>61</v>
      </c>
      <c r="C253" s="188">
        <f t="shared" si="3"/>
        <v>3</v>
      </c>
      <c r="D253" s="188" t="b">
        <f>LineærRegression_Valg[[#This Row],[Afhængig variabel ID]]&lt;&gt;LineærRegression_Valg[[#This Row],[Uafhængig variabel ID]]</f>
        <v>1</v>
      </c>
      <c r="E253" t="b">
        <f>LineærRegression_Valg[[#This Row],[Afhængig variabel ID]]&lt;=$B$5</f>
        <v>0</v>
      </c>
      <c r="F253" t="str" cm="1">
        <f t="array" ref="F253">IF(LineærRegression_Valg[[#This Row],[Indenfor range]],INDEX(DataTitel_liste,LineærRegression_Valg[[#This Row],[Afhængig variabel ID]]),INDEX(DataTitel_liste,1))</f>
        <v>Eksempel 1 (interval)</v>
      </c>
      <c r="G253" s="188" t="str" cm="1">
        <f t="array" ref="G253">IF(LineærRegression_Valg[[#This Row],[Indenfor range]],IF(LineærRegression_Valg[[#This Row],[Intet overlap]],INDEX(DataTitel_liste,LineærRegression_Valg[[#This Row],[Uafhængig variabel ID]]),INDEX(DataTitel_liste,IF(LineærRegression_Valg[[#This Row],[Afhængig variabel ID]]=1,2,1))),$B$7)</f>
        <v>Eksempel 2 (interval)</v>
      </c>
      <c r="H253" s="188">
        <f>_xlfn.AGGREGATE(2,5,LineærRegression_Valg[[#This Row],[Tabel ID]])</f>
        <v>1</v>
      </c>
    </row>
    <row r="254" spans="1:8" x14ac:dyDescent="0.2">
      <c r="A254">
        <f>ROW(LineærRegression_Valg[[#This Row],[Tabel ID]])-ROW(LineærRegression_Valg[[#Headers],[Tabel ID]])</f>
        <v>244</v>
      </c>
      <c r="B254" s="188">
        <f>ROUNDDOWN((LineærRegression_Valg[[#This Row],[Tabel ID]]-1)/$B$5,0)+1</f>
        <v>61</v>
      </c>
      <c r="C254" s="188">
        <f t="shared" si="3"/>
        <v>4</v>
      </c>
      <c r="D254" s="188" t="b">
        <f>LineærRegression_Valg[[#This Row],[Afhængig variabel ID]]&lt;&gt;LineærRegression_Valg[[#This Row],[Uafhængig variabel ID]]</f>
        <v>1</v>
      </c>
      <c r="E254" t="b">
        <f>LineærRegression_Valg[[#This Row],[Afhængig variabel ID]]&lt;=$B$5</f>
        <v>0</v>
      </c>
      <c r="F254" t="str" cm="1">
        <f t="array" ref="F254">IF(LineærRegression_Valg[[#This Row],[Indenfor range]],INDEX(DataTitel_liste,LineærRegression_Valg[[#This Row],[Afhængig variabel ID]]),INDEX(DataTitel_liste,1))</f>
        <v>Eksempel 1 (interval)</v>
      </c>
      <c r="G254" s="188" t="str" cm="1">
        <f t="array" ref="G254">IF(LineærRegression_Valg[[#This Row],[Indenfor range]],IF(LineærRegression_Valg[[#This Row],[Intet overlap]],INDEX(DataTitel_liste,LineærRegression_Valg[[#This Row],[Uafhængig variabel ID]]),INDEX(DataTitel_liste,IF(LineærRegression_Valg[[#This Row],[Afhængig variabel ID]]=1,2,1))),$B$7)</f>
        <v>Eksempel 2 (interval)</v>
      </c>
      <c r="H254" s="188">
        <f>_xlfn.AGGREGATE(2,5,LineærRegression_Valg[[#This Row],[Tabel ID]])</f>
        <v>1</v>
      </c>
    </row>
    <row r="255" spans="1:8" x14ac:dyDescent="0.2">
      <c r="A255">
        <f>ROW(LineærRegression_Valg[[#This Row],[Tabel ID]])-ROW(LineærRegression_Valg[[#Headers],[Tabel ID]])</f>
        <v>245</v>
      </c>
      <c r="B255" s="188">
        <f>ROUNDDOWN((LineærRegression_Valg[[#This Row],[Tabel ID]]-1)/$B$5,0)+1</f>
        <v>62</v>
      </c>
      <c r="C255" s="188">
        <f t="shared" si="3"/>
        <v>1</v>
      </c>
      <c r="D255" s="188" t="b">
        <f>LineærRegression_Valg[[#This Row],[Afhængig variabel ID]]&lt;&gt;LineærRegression_Valg[[#This Row],[Uafhængig variabel ID]]</f>
        <v>1</v>
      </c>
      <c r="E255" t="b">
        <f>LineærRegression_Valg[[#This Row],[Afhængig variabel ID]]&lt;=$B$5</f>
        <v>0</v>
      </c>
      <c r="F255" t="str" cm="1">
        <f t="array" ref="F255">IF(LineærRegression_Valg[[#This Row],[Indenfor range]],INDEX(DataTitel_liste,LineærRegression_Valg[[#This Row],[Afhængig variabel ID]]),INDEX(DataTitel_liste,1))</f>
        <v>Eksempel 1 (interval)</v>
      </c>
      <c r="G255" s="188" t="str" cm="1">
        <f t="array" ref="G255">IF(LineærRegression_Valg[[#This Row],[Indenfor range]],IF(LineærRegression_Valg[[#This Row],[Intet overlap]],INDEX(DataTitel_liste,LineærRegression_Valg[[#This Row],[Uafhængig variabel ID]]),INDEX(DataTitel_liste,IF(LineærRegression_Valg[[#This Row],[Afhængig variabel ID]]=1,2,1))),$B$7)</f>
        <v>Eksempel 2 (interval)</v>
      </c>
      <c r="H255" s="188">
        <f>_xlfn.AGGREGATE(2,5,LineærRegression_Valg[[#This Row],[Tabel ID]])</f>
        <v>1</v>
      </c>
    </row>
    <row r="256" spans="1:8" x14ac:dyDescent="0.2">
      <c r="A256">
        <f>ROW(LineærRegression_Valg[[#This Row],[Tabel ID]])-ROW(LineærRegression_Valg[[#Headers],[Tabel ID]])</f>
        <v>246</v>
      </c>
      <c r="B256" s="188">
        <f>ROUNDDOWN((LineærRegression_Valg[[#This Row],[Tabel ID]]-1)/$B$5,0)+1</f>
        <v>62</v>
      </c>
      <c r="C256" s="188">
        <f t="shared" si="3"/>
        <v>2</v>
      </c>
      <c r="D256" s="188" t="b">
        <f>LineærRegression_Valg[[#This Row],[Afhængig variabel ID]]&lt;&gt;LineærRegression_Valg[[#This Row],[Uafhængig variabel ID]]</f>
        <v>1</v>
      </c>
      <c r="E256" t="b">
        <f>LineærRegression_Valg[[#This Row],[Afhængig variabel ID]]&lt;=$B$5</f>
        <v>0</v>
      </c>
      <c r="F256" t="str" cm="1">
        <f t="array" ref="F256">IF(LineærRegression_Valg[[#This Row],[Indenfor range]],INDEX(DataTitel_liste,LineærRegression_Valg[[#This Row],[Afhængig variabel ID]]),INDEX(DataTitel_liste,1))</f>
        <v>Eksempel 1 (interval)</v>
      </c>
      <c r="G256" s="188" t="str" cm="1">
        <f t="array" ref="G256">IF(LineærRegression_Valg[[#This Row],[Indenfor range]],IF(LineærRegression_Valg[[#This Row],[Intet overlap]],INDEX(DataTitel_liste,LineærRegression_Valg[[#This Row],[Uafhængig variabel ID]]),INDEX(DataTitel_liste,IF(LineærRegression_Valg[[#This Row],[Afhængig variabel ID]]=1,2,1))),$B$7)</f>
        <v>Eksempel 2 (interval)</v>
      </c>
      <c r="H256" s="188">
        <f>_xlfn.AGGREGATE(2,5,LineærRegression_Valg[[#This Row],[Tabel ID]])</f>
        <v>1</v>
      </c>
    </row>
    <row r="257" spans="1:8" x14ac:dyDescent="0.2">
      <c r="A257">
        <f>ROW(LineærRegression_Valg[[#This Row],[Tabel ID]])-ROW(LineærRegression_Valg[[#Headers],[Tabel ID]])</f>
        <v>247</v>
      </c>
      <c r="B257" s="188">
        <f>ROUNDDOWN((LineærRegression_Valg[[#This Row],[Tabel ID]]-1)/$B$5,0)+1</f>
        <v>62</v>
      </c>
      <c r="C257" s="188">
        <f t="shared" si="3"/>
        <v>3</v>
      </c>
      <c r="D257" s="188" t="b">
        <f>LineærRegression_Valg[[#This Row],[Afhængig variabel ID]]&lt;&gt;LineærRegression_Valg[[#This Row],[Uafhængig variabel ID]]</f>
        <v>1</v>
      </c>
      <c r="E257" t="b">
        <f>LineærRegression_Valg[[#This Row],[Afhængig variabel ID]]&lt;=$B$5</f>
        <v>0</v>
      </c>
      <c r="F257" t="str" cm="1">
        <f t="array" ref="F257">IF(LineærRegression_Valg[[#This Row],[Indenfor range]],INDEX(DataTitel_liste,LineærRegression_Valg[[#This Row],[Afhængig variabel ID]]),INDEX(DataTitel_liste,1))</f>
        <v>Eksempel 1 (interval)</v>
      </c>
      <c r="G257" s="188" t="str" cm="1">
        <f t="array" ref="G257">IF(LineærRegression_Valg[[#This Row],[Indenfor range]],IF(LineærRegression_Valg[[#This Row],[Intet overlap]],INDEX(DataTitel_liste,LineærRegression_Valg[[#This Row],[Uafhængig variabel ID]]),INDEX(DataTitel_liste,IF(LineærRegression_Valg[[#This Row],[Afhængig variabel ID]]=1,2,1))),$B$7)</f>
        <v>Eksempel 2 (interval)</v>
      </c>
      <c r="H257" s="188">
        <f>_xlfn.AGGREGATE(2,5,LineærRegression_Valg[[#This Row],[Tabel ID]])</f>
        <v>1</v>
      </c>
    </row>
    <row r="258" spans="1:8" x14ac:dyDescent="0.2">
      <c r="A258">
        <f>ROW(LineærRegression_Valg[[#This Row],[Tabel ID]])-ROW(LineærRegression_Valg[[#Headers],[Tabel ID]])</f>
        <v>248</v>
      </c>
      <c r="B258" s="188">
        <f>ROUNDDOWN((LineærRegression_Valg[[#This Row],[Tabel ID]]-1)/$B$5,0)+1</f>
        <v>62</v>
      </c>
      <c r="C258" s="188">
        <f t="shared" si="3"/>
        <v>4</v>
      </c>
      <c r="D258" s="188" t="b">
        <f>LineærRegression_Valg[[#This Row],[Afhængig variabel ID]]&lt;&gt;LineærRegression_Valg[[#This Row],[Uafhængig variabel ID]]</f>
        <v>1</v>
      </c>
      <c r="E258" t="b">
        <f>LineærRegression_Valg[[#This Row],[Afhængig variabel ID]]&lt;=$B$5</f>
        <v>0</v>
      </c>
      <c r="F258" t="str" cm="1">
        <f t="array" ref="F258">IF(LineærRegression_Valg[[#This Row],[Indenfor range]],INDEX(DataTitel_liste,LineærRegression_Valg[[#This Row],[Afhængig variabel ID]]),INDEX(DataTitel_liste,1))</f>
        <v>Eksempel 1 (interval)</v>
      </c>
      <c r="G258" s="188" t="str" cm="1">
        <f t="array" ref="G258">IF(LineærRegression_Valg[[#This Row],[Indenfor range]],IF(LineærRegression_Valg[[#This Row],[Intet overlap]],INDEX(DataTitel_liste,LineærRegression_Valg[[#This Row],[Uafhængig variabel ID]]),INDEX(DataTitel_liste,IF(LineærRegression_Valg[[#This Row],[Afhængig variabel ID]]=1,2,1))),$B$7)</f>
        <v>Eksempel 2 (interval)</v>
      </c>
      <c r="H258" s="188">
        <f>_xlfn.AGGREGATE(2,5,LineærRegression_Valg[[#This Row],[Tabel ID]])</f>
        <v>1</v>
      </c>
    </row>
    <row r="259" spans="1:8" x14ac:dyDescent="0.2">
      <c r="A259">
        <f>ROW(LineærRegression_Valg[[#This Row],[Tabel ID]])-ROW(LineærRegression_Valg[[#Headers],[Tabel ID]])</f>
        <v>249</v>
      </c>
      <c r="B259" s="188">
        <f>ROUNDDOWN((LineærRegression_Valg[[#This Row],[Tabel ID]]-1)/$B$5,0)+1</f>
        <v>63</v>
      </c>
      <c r="C259" s="188">
        <f t="shared" si="3"/>
        <v>1</v>
      </c>
      <c r="D259" s="188" t="b">
        <f>LineærRegression_Valg[[#This Row],[Afhængig variabel ID]]&lt;&gt;LineærRegression_Valg[[#This Row],[Uafhængig variabel ID]]</f>
        <v>1</v>
      </c>
      <c r="E259" t="b">
        <f>LineærRegression_Valg[[#This Row],[Afhængig variabel ID]]&lt;=$B$5</f>
        <v>0</v>
      </c>
      <c r="F259" t="str" cm="1">
        <f t="array" ref="F259">IF(LineærRegression_Valg[[#This Row],[Indenfor range]],INDEX(DataTitel_liste,LineærRegression_Valg[[#This Row],[Afhængig variabel ID]]),INDEX(DataTitel_liste,1))</f>
        <v>Eksempel 1 (interval)</v>
      </c>
      <c r="G259" s="188" t="str" cm="1">
        <f t="array" ref="G259">IF(LineærRegression_Valg[[#This Row],[Indenfor range]],IF(LineærRegression_Valg[[#This Row],[Intet overlap]],INDEX(DataTitel_liste,LineærRegression_Valg[[#This Row],[Uafhængig variabel ID]]),INDEX(DataTitel_liste,IF(LineærRegression_Valg[[#This Row],[Afhængig variabel ID]]=1,2,1))),$B$7)</f>
        <v>Eksempel 2 (interval)</v>
      </c>
      <c r="H259" s="188">
        <f>_xlfn.AGGREGATE(2,5,LineærRegression_Valg[[#This Row],[Tabel ID]])</f>
        <v>1</v>
      </c>
    </row>
    <row r="260" spans="1:8" x14ac:dyDescent="0.2">
      <c r="A260">
        <f>ROW(LineærRegression_Valg[[#This Row],[Tabel ID]])-ROW(LineærRegression_Valg[[#Headers],[Tabel ID]])</f>
        <v>250</v>
      </c>
      <c r="B260" s="188">
        <f>ROUNDDOWN((LineærRegression_Valg[[#This Row],[Tabel ID]]-1)/$B$5,0)+1</f>
        <v>63</v>
      </c>
      <c r="C260" s="188">
        <f t="shared" si="3"/>
        <v>2</v>
      </c>
      <c r="D260" s="188" t="b">
        <f>LineærRegression_Valg[[#This Row],[Afhængig variabel ID]]&lt;&gt;LineærRegression_Valg[[#This Row],[Uafhængig variabel ID]]</f>
        <v>1</v>
      </c>
      <c r="E260" t="b">
        <f>LineærRegression_Valg[[#This Row],[Afhængig variabel ID]]&lt;=$B$5</f>
        <v>0</v>
      </c>
      <c r="F260" t="str" cm="1">
        <f t="array" ref="F260">IF(LineærRegression_Valg[[#This Row],[Indenfor range]],INDEX(DataTitel_liste,LineærRegression_Valg[[#This Row],[Afhængig variabel ID]]),INDEX(DataTitel_liste,1))</f>
        <v>Eksempel 1 (interval)</v>
      </c>
      <c r="G260" s="188" t="str" cm="1">
        <f t="array" ref="G260">IF(LineærRegression_Valg[[#This Row],[Indenfor range]],IF(LineærRegression_Valg[[#This Row],[Intet overlap]],INDEX(DataTitel_liste,LineærRegression_Valg[[#This Row],[Uafhængig variabel ID]]),INDEX(DataTitel_liste,IF(LineærRegression_Valg[[#This Row],[Afhængig variabel ID]]=1,2,1))),$B$7)</f>
        <v>Eksempel 2 (interval)</v>
      </c>
      <c r="H260" s="188">
        <f>_xlfn.AGGREGATE(2,5,LineærRegression_Valg[[#This Row],[Tabel ID]])</f>
        <v>1</v>
      </c>
    </row>
    <row r="261" spans="1:8" x14ac:dyDescent="0.2">
      <c r="A261">
        <f>ROW(LineærRegression_Valg[[#This Row],[Tabel ID]])-ROW(LineærRegression_Valg[[#Headers],[Tabel ID]])</f>
        <v>251</v>
      </c>
      <c r="B261" s="188">
        <f>ROUNDDOWN((LineærRegression_Valg[[#This Row],[Tabel ID]]-1)/$B$5,0)+1</f>
        <v>63</v>
      </c>
      <c r="C261" s="188">
        <f t="shared" si="3"/>
        <v>3</v>
      </c>
      <c r="D261" s="188" t="b">
        <f>LineærRegression_Valg[[#This Row],[Afhængig variabel ID]]&lt;&gt;LineærRegression_Valg[[#This Row],[Uafhængig variabel ID]]</f>
        <v>1</v>
      </c>
      <c r="E261" t="b">
        <f>LineærRegression_Valg[[#This Row],[Afhængig variabel ID]]&lt;=$B$5</f>
        <v>0</v>
      </c>
      <c r="F261" t="str" cm="1">
        <f t="array" ref="F261">IF(LineærRegression_Valg[[#This Row],[Indenfor range]],INDEX(DataTitel_liste,LineærRegression_Valg[[#This Row],[Afhængig variabel ID]]),INDEX(DataTitel_liste,1))</f>
        <v>Eksempel 1 (interval)</v>
      </c>
      <c r="G261" s="188" t="str" cm="1">
        <f t="array" ref="G261">IF(LineærRegression_Valg[[#This Row],[Indenfor range]],IF(LineærRegression_Valg[[#This Row],[Intet overlap]],INDEX(DataTitel_liste,LineærRegression_Valg[[#This Row],[Uafhængig variabel ID]]),INDEX(DataTitel_liste,IF(LineærRegression_Valg[[#This Row],[Afhængig variabel ID]]=1,2,1))),$B$7)</f>
        <v>Eksempel 2 (interval)</v>
      </c>
      <c r="H261" s="188">
        <f>_xlfn.AGGREGATE(2,5,LineærRegression_Valg[[#This Row],[Tabel ID]])</f>
        <v>1</v>
      </c>
    </row>
    <row r="262" spans="1:8" x14ac:dyDescent="0.2">
      <c r="A262">
        <f>ROW(LineærRegression_Valg[[#This Row],[Tabel ID]])-ROW(LineærRegression_Valg[[#Headers],[Tabel ID]])</f>
        <v>252</v>
      </c>
      <c r="B262" s="188">
        <f>ROUNDDOWN((LineærRegression_Valg[[#This Row],[Tabel ID]]-1)/$B$5,0)+1</f>
        <v>63</v>
      </c>
      <c r="C262" s="188">
        <f t="shared" si="3"/>
        <v>4</v>
      </c>
      <c r="D262" s="188" t="b">
        <f>LineærRegression_Valg[[#This Row],[Afhængig variabel ID]]&lt;&gt;LineærRegression_Valg[[#This Row],[Uafhængig variabel ID]]</f>
        <v>1</v>
      </c>
      <c r="E262" t="b">
        <f>LineærRegression_Valg[[#This Row],[Afhængig variabel ID]]&lt;=$B$5</f>
        <v>0</v>
      </c>
      <c r="F262" t="str" cm="1">
        <f t="array" ref="F262">IF(LineærRegression_Valg[[#This Row],[Indenfor range]],INDEX(DataTitel_liste,LineærRegression_Valg[[#This Row],[Afhængig variabel ID]]),INDEX(DataTitel_liste,1))</f>
        <v>Eksempel 1 (interval)</v>
      </c>
      <c r="G262" s="188" t="str" cm="1">
        <f t="array" ref="G262">IF(LineærRegression_Valg[[#This Row],[Indenfor range]],IF(LineærRegression_Valg[[#This Row],[Intet overlap]],INDEX(DataTitel_liste,LineærRegression_Valg[[#This Row],[Uafhængig variabel ID]]),INDEX(DataTitel_liste,IF(LineærRegression_Valg[[#This Row],[Afhængig variabel ID]]=1,2,1))),$B$7)</f>
        <v>Eksempel 2 (interval)</v>
      </c>
      <c r="H262" s="188">
        <f>_xlfn.AGGREGATE(2,5,LineærRegression_Valg[[#This Row],[Tabel ID]])</f>
        <v>1</v>
      </c>
    </row>
    <row r="263" spans="1:8" x14ac:dyDescent="0.2">
      <c r="A263">
        <f>ROW(LineærRegression_Valg[[#This Row],[Tabel ID]])-ROW(LineærRegression_Valg[[#Headers],[Tabel ID]])</f>
        <v>253</v>
      </c>
      <c r="B263" s="188">
        <f>ROUNDDOWN((LineærRegression_Valg[[#This Row],[Tabel ID]]-1)/$B$5,0)+1</f>
        <v>64</v>
      </c>
      <c r="C263" s="188">
        <f t="shared" si="3"/>
        <v>1</v>
      </c>
      <c r="D263" s="188" t="b">
        <f>LineærRegression_Valg[[#This Row],[Afhængig variabel ID]]&lt;&gt;LineærRegression_Valg[[#This Row],[Uafhængig variabel ID]]</f>
        <v>1</v>
      </c>
      <c r="E263" t="b">
        <f>LineærRegression_Valg[[#This Row],[Afhængig variabel ID]]&lt;=$B$5</f>
        <v>0</v>
      </c>
      <c r="F263" t="str" cm="1">
        <f t="array" ref="F263">IF(LineærRegression_Valg[[#This Row],[Indenfor range]],INDEX(DataTitel_liste,LineærRegression_Valg[[#This Row],[Afhængig variabel ID]]),INDEX(DataTitel_liste,1))</f>
        <v>Eksempel 1 (interval)</v>
      </c>
      <c r="G263" s="188" t="str" cm="1">
        <f t="array" ref="G263">IF(LineærRegression_Valg[[#This Row],[Indenfor range]],IF(LineærRegression_Valg[[#This Row],[Intet overlap]],INDEX(DataTitel_liste,LineærRegression_Valg[[#This Row],[Uafhængig variabel ID]]),INDEX(DataTitel_liste,IF(LineærRegression_Valg[[#This Row],[Afhængig variabel ID]]=1,2,1))),$B$7)</f>
        <v>Eksempel 2 (interval)</v>
      </c>
      <c r="H263" s="188">
        <f>_xlfn.AGGREGATE(2,5,LineærRegression_Valg[[#This Row],[Tabel ID]])</f>
        <v>1</v>
      </c>
    </row>
    <row r="264" spans="1:8" x14ac:dyDescent="0.2">
      <c r="A264">
        <f>ROW(LineærRegression_Valg[[#This Row],[Tabel ID]])-ROW(LineærRegression_Valg[[#Headers],[Tabel ID]])</f>
        <v>254</v>
      </c>
      <c r="B264" s="188">
        <f>ROUNDDOWN((LineærRegression_Valg[[#This Row],[Tabel ID]]-1)/$B$5,0)+1</f>
        <v>64</v>
      </c>
      <c r="C264" s="188">
        <f t="shared" si="3"/>
        <v>2</v>
      </c>
      <c r="D264" s="188" t="b">
        <f>LineærRegression_Valg[[#This Row],[Afhængig variabel ID]]&lt;&gt;LineærRegression_Valg[[#This Row],[Uafhængig variabel ID]]</f>
        <v>1</v>
      </c>
      <c r="E264" t="b">
        <f>LineærRegression_Valg[[#This Row],[Afhængig variabel ID]]&lt;=$B$5</f>
        <v>0</v>
      </c>
      <c r="F264" t="str" cm="1">
        <f t="array" ref="F264">IF(LineærRegression_Valg[[#This Row],[Indenfor range]],INDEX(DataTitel_liste,LineærRegression_Valg[[#This Row],[Afhængig variabel ID]]),INDEX(DataTitel_liste,1))</f>
        <v>Eksempel 1 (interval)</v>
      </c>
      <c r="G264" s="188" t="str" cm="1">
        <f t="array" ref="G264">IF(LineærRegression_Valg[[#This Row],[Indenfor range]],IF(LineærRegression_Valg[[#This Row],[Intet overlap]],INDEX(DataTitel_liste,LineærRegression_Valg[[#This Row],[Uafhængig variabel ID]]),INDEX(DataTitel_liste,IF(LineærRegression_Valg[[#This Row],[Afhængig variabel ID]]=1,2,1))),$B$7)</f>
        <v>Eksempel 2 (interval)</v>
      </c>
      <c r="H264" s="188">
        <f>_xlfn.AGGREGATE(2,5,LineærRegression_Valg[[#This Row],[Tabel ID]])</f>
        <v>1</v>
      </c>
    </row>
    <row r="265" spans="1:8" x14ac:dyDescent="0.2">
      <c r="A265">
        <f>ROW(LineærRegression_Valg[[#This Row],[Tabel ID]])-ROW(LineærRegression_Valg[[#Headers],[Tabel ID]])</f>
        <v>255</v>
      </c>
      <c r="B265" s="188">
        <f>ROUNDDOWN((LineærRegression_Valg[[#This Row],[Tabel ID]]-1)/$B$5,0)+1</f>
        <v>64</v>
      </c>
      <c r="C265" s="188">
        <f t="shared" si="3"/>
        <v>3</v>
      </c>
      <c r="D265" s="188" t="b">
        <f>LineærRegression_Valg[[#This Row],[Afhængig variabel ID]]&lt;&gt;LineærRegression_Valg[[#This Row],[Uafhængig variabel ID]]</f>
        <v>1</v>
      </c>
      <c r="E265" t="b">
        <f>LineærRegression_Valg[[#This Row],[Afhængig variabel ID]]&lt;=$B$5</f>
        <v>0</v>
      </c>
      <c r="F265" t="str" cm="1">
        <f t="array" ref="F265">IF(LineærRegression_Valg[[#This Row],[Indenfor range]],INDEX(DataTitel_liste,LineærRegression_Valg[[#This Row],[Afhængig variabel ID]]),INDEX(DataTitel_liste,1))</f>
        <v>Eksempel 1 (interval)</v>
      </c>
      <c r="G265" s="188" t="str" cm="1">
        <f t="array" ref="G265">IF(LineærRegression_Valg[[#This Row],[Indenfor range]],IF(LineærRegression_Valg[[#This Row],[Intet overlap]],INDEX(DataTitel_liste,LineærRegression_Valg[[#This Row],[Uafhængig variabel ID]]),INDEX(DataTitel_liste,IF(LineærRegression_Valg[[#This Row],[Afhængig variabel ID]]=1,2,1))),$B$7)</f>
        <v>Eksempel 2 (interval)</v>
      </c>
      <c r="H265" s="188">
        <f>_xlfn.AGGREGATE(2,5,LineærRegression_Valg[[#This Row],[Tabel ID]])</f>
        <v>1</v>
      </c>
    </row>
    <row r="266" spans="1:8" x14ac:dyDescent="0.2">
      <c r="A266">
        <f>ROW(LineærRegression_Valg[[#This Row],[Tabel ID]])-ROW(LineærRegression_Valg[[#Headers],[Tabel ID]])</f>
        <v>256</v>
      </c>
      <c r="B266" s="188">
        <f>ROUNDDOWN((LineærRegression_Valg[[#This Row],[Tabel ID]]-1)/$B$5,0)+1</f>
        <v>64</v>
      </c>
      <c r="C266" s="188">
        <f t="shared" si="3"/>
        <v>4</v>
      </c>
      <c r="D266" s="188" t="b">
        <f>LineærRegression_Valg[[#This Row],[Afhængig variabel ID]]&lt;&gt;LineærRegression_Valg[[#This Row],[Uafhængig variabel ID]]</f>
        <v>1</v>
      </c>
      <c r="E266" t="b">
        <f>LineærRegression_Valg[[#This Row],[Afhængig variabel ID]]&lt;=$B$5</f>
        <v>0</v>
      </c>
      <c r="F266" t="str" cm="1">
        <f t="array" ref="F266">IF(LineærRegression_Valg[[#This Row],[Indenfor range]],INDEX(DataTitel_liste,LineærRegression_Valg[[#This Row],[Afhængig variabel ID]]),INDEX(DataTitel_liste,1))</f>
        <v>Eksempel 1 (interval)</v>
      </c>
      <c r="G266" s="188" t="str" cm="1">
        <f t="array" ref="G266">IF(LineærRegression_Valg[[#This Row],[Indenfor range]],IF(LineærRegression_Valg[[#This Row],[Intet overlap]],INDEX(DataTitel_liste,LineærRegression_Valg[[#This Row],[Uafhængig variabel ID]]),INDEX(DataTitel_liste,IF(LineærRegression_Valg[[#This Row],[Afhængig variabel ID]]=1,2,1))),$B$7)</f>
        <v>Eksempel 2 (interval)</v>
      </c>
      <c r="H266" s="188">
        <f>_xlfn.AGGREGATE(2,5,LineærRegression_Valg[[#This Row],[Tabel ID]])</f>
        <v>1</v>
      </c>
    </row>
    <row r="267" spans="1:8" x14ac:dyDescent="0.2">
      <c r="A267">
        <f>ROW(LineærRegression_Valg[[#This Row],[Tabel ID]])-ROW(LineærRegression_Valg[[#Headers],[Tabel ID]])</f>
        <v>257</v>
      </c>
      <c r="B267" s="188">
        <f>ROUNDDOWN((LineærRegression_Valg[[#This Row],[Tabel ID]]-1)/$B$5,0)+1</f>
        <v>65</v>
      </c>
      <c r="C267" s="188">
        <f t="shared" ref="C267:C330" si="4">MOD(A267-1,$B$5)+1</f>
        <v>1</v>
      </c>
      <c r="D267" s="188" t="b">
        <f>LineærRegression_Valg[[#This Row],[Afhængig variabel ID]]&lt;&gt;LineærRegression_Valg[[#This Row],[Uafhængig variabel ID]]</f>
        <v>1</v>
      </c>
      <c r="E267" t="b">
        <f>LineærRegression_Valg[[#This Row],[Afhængig variabel ID]]&lt;=$B$5</f>
        <v>0</v>
      </c>
      <c r="F267" t="str" cm="1">
        <f t="array" ref="F267">IF(LineærRegression_Valg[[#This Row],[Indenfor range]],INDEX(DataTitel_liste,LineærRegression_Valg[[#This Row],[Afhængig variabel ID]]),INDEX(DataTitel_liste,1))</f>
        <v>Eksempel 1 (interval)</v>
      </c>
      <c r="G267" s="188" t="str" cm="1">
        <f t="array" ref="G267">IF(LineærRegression_Valg[[#This Row],[Indenfor range]],IF(LineærRegression_Valg[[#This Row],[Intet overlap]],INDEX(DataTitel_liste,LineærRegression_Valg[[#This Row],[Uafhængig variabel ID]]),INDEX(DataTitel_liste,IF(LineærRegression_Valg[[#This Row],[Afhængig variabel ID]]=1,2,1))),$B$7)</f>
        <v>Eksempel 2 (interval)</v>
      </c>
      <c r="H267" s="188">
        <f>_xlfn.AGGREGATE(2,5,LineærRegression_Valg[[#This Row],[Tabel ID]])</f>
        <v>1</v>
      </c>
    </row>
    <row r="268" spans="1:8" x14ac:dyDescent="0.2">
      <c r="A268">
        <f>ROW(LineærRegression_Valg[[#This Row],[Tabel ID]])-ROW(LineærRegression_Valg[[#Headers],[Tabel ID]])</f>
        <v>258</v>
      </c>
      <c r="B268" s="188">
        <f>ROUNDDOWN((LineærRegression_Valg[[#This Row],[Tabel ID]]-1)/$B$5,0)+1</f>
        <v>65</v>
      </c>
      <c r="C268" s="188">
        <f t="shared" si="4"/>
        <v>2</v>
      </c>
      <c r="D268" s="188" t="b">
        <f>LineærRegression_Valg[[#This Row],[Afhængig variabel ID]]&lt;&gt;LineærRegression_Valg[[#This Row],[Uafhængig variabel ID]]</f>
        <v>1</v>
      </c>
      <c r="E268" t="b">
        <f>LineærRegression_Valg[[#This Row],[Afhængig variabel ID]]&lt;=$B$5</f>
        <v>0</v>
      </c>
      <c r="F268" t="str" cm="1">
        <f t="array" ref="F268">IF(LineærRegression_Valg[[#This Row],[Indenfor range]],INDEX(DataTitel_liste,LineærRegression_Valg[[#This Row],[Afhængig variabel ID]]),INDEX(DataTitel_liste,1))</f>
        <v>Eksempel 1 (interval)</v>
      </c>
      <c r="G268" s="188" t="str" cm="1">
        <f t="array" ref="G268">IF(LineærRegression_Valg[[#This Row],[Indenfor range]],IF(LineærRegression_Valg[[#This Row],[Intet overlap]],INDEX(DataTitel_liste,LineærRegression_Valg[[#This Row],[Uafhængig variabel ID]]),INDEX(DataTitel_liste,IF(LineærRegression_Valg[[#This Row],[Afhængig variabel ID]]=1,2,1))),$B$7)</f>
        <v>Eksempel 2 (interval)</v>
      </c>
      <c r="H268" s="188">
        <f>_xlfn.AGGREGATE(2,5,LineærRegression_Valg[[#This Row],[Tabel ID]])</f>
        <v>1</v>
      </c>
    </row>
    <row r="269" spans="1:8" x14ac:dyDescent="0.2">
      <c r="A269">
        <f>ROW(LineærRegression_Valg[[#This Row],[Tabel ID]])-ROW(LineærRegression_Valg[[#Headers],[Tabel ID]])</f>
        <v>259</v>
      </c>
      <c r="B269" s="188">
        <f>ROUNDDOWN((LineærRegression_Valg[[#This Row],[Tabel ID]]-1)/$B$5,0)+1</f>
        <v>65</v>
      </c>
      <c r="C269" s="188">
        <f t="shared" si="4"/>
        <v>3</v>
      </c>
      <c r="D269" s="188" t="b">
        <f>LineærRegression_Valg[[#This Row],[Afhængig variabel ID]]&lt;&gt;LineærRegression_Valg[[#This Row],[Uafhængig variabel ID]]</f>
        <v>1</v>
      </c>
      <c r="E269" t="b">
        <f>LineærRegression_Valg[[#This Row],[Afhængig variabel ID]]&lt;=$B$5</f>
        <v>0</v>
      </c>
      <c r="F269" t="str" cm="1">
        <f t="array" ref="F269">IF(LineærRegression_Valg[[#This Row],[Indenfor range]],INDEX(DataTitel_liste,LineærRegression_Valg[[#This Row],[Afhængig variabel ID]]),INDEX(DataTitel_liste,1))</f>
        <v>Eksempel 1 (interval)</v>
      </c>
      <c r="G269" s="188" t="str" cm="1">
        <f t="array" ref="G269">IF(LineærRegression_Valg[[#This Row],[Indenfor range]],IF(LineærRegression_Valg[[#This Row],[Intet overlap]],INDEX(DataTitel_liste,LineærRegression_Valg[[#This Row],[Uafhængig variabel ID]]),INDEX(DataTitel_liste,IF(LineærRegression_Valg[[#This Row],[Afhængig variabel ID]]=1,2,1))),$B$7)</f>
        <v>Eksempel 2 (interval)</v>
      </c>
      <c r="H269" s="188">
        <f>_xlfn.AGGREGATE(2,5,LineærRegression_Valg[[#This Row],[Tabel ID]])</f>
        <v>1</v>
      </c>
    </row>
    <row r="270" spans="1:8" x14ac:dyDescent="0.2">
      <c r="A270">
        <f>ROW(LineærRegression_Valg[[#This Row],[Tabel ID]])-ROW(LineærRegression_Valg[[#Headers],[Tabel ID]])</f>
        <v>260</v>
      </c>
      <c r="B270" s="188">
        <f>ROUNDDOWN((LineærRegression_Valg[[#This Row],[Tabel ID]]-1)/$B$5,0)+1</f>
        <v>65</v>
      </c>
      <c r="C270" s="188">
        <f t="shared" si="4"/>
        <v>4</v>
      </c>
      <c r="D270" s="188" t="b">
        <f>LineærRegression_Valg[[#This Row],[Afhængig variabel ID]]&lt;&gt;LineærRegression_Valg[[#This Row],[Uafhængig variabel ID]]</f>
        <v>1</v>
      </c>
      <c r="E270" t="b">
        <f>LineærRegression_Valg[[#This Row],[Afhængig variabel ID]]&lt;=$B$5</f>
        <v>0</v>
      </c>
      <c r="F270" t="str" cm="1">
        <f t="array" ref="F270">IF(LineærRegression_Valg[[#This Row],[Indenfor range]],INDEX(DataTitel_liste,LineærRegression_Valg[[#This Row],[Afhængig variabel ID]]),INDEX(DataTitel_liste,1))</f>
        <v>Eksempel 1 (interval)</v>
      </c>
      <c r="G270" s="188" t="str" cm="1">
        <f t="array" ref="G270">IF(LineærRegression_Valg[[#This Row],[Indenfor range]],IF(LineærRegression_Valg[[#This Row],[Intet overlap]],INDEX(DataTitel_liste,LineærRegression_Valg[[#This Row],[Uafhængig variabel ID]]),INDEX(DataTitel_liste,IF(LineærRegression_Valg[[#This Row],[Afhængig variabel ID]]=1,2,1))),$B$7)</f>
        <v>Eksempel 2 (interval)</v>
      </c>
      <c r="H270" s="188">
        <f>_xlfn.AGGREGATE(2,5,LineærRegression_Valg[[#This Row],[Tabel ID]])</f>
        <v>1</v>
      </c>
    </row>
    <row r="271" spans="1:8" x14ac:dyDescent="0.2">
      <c r="A271">
        <f>ROW(LineærRegression_Valg[[#This Row],[Tabel ID]])-ROW(LineærRegression_Valg[[#Headers],[Tabel ID]])</f>
        <v>261</v>
      </c>
      <c r="B271" s="188">
        <f>ROUNDDOWN((LineærRegression_Valg[[#This Row],[Tabel ID]]-1)/$B$5,0)+1</f>
        <v>66</v>
      </c>
      <c r="C271" s="188">
        <f t="shared" si="4"/>
        <v>1</v>
      </c>
      <c r="D271" s="188" t="b">
        <f>LineærRegression_Valg[[#This Row],[Afhængig variabel ID]]&lt;&gt;LineærRegression_Valg[[#This Row],[Uafhængig variabel ID]]</f>
        <v>1</v>
      </c>
      <c r="E271" t="b">
        <f>LineærRegression_Valg[[#This Row],[Afhængig variabel ID]]&lt;=$B$5</f>
        <v>0</v>
      </c>
      <c r="F271" t="str" cm="1">
        <f t="array" ref="F271">IF(LineærRegression_Valg[[#This Row],[Indenfor range]],INDEX(DataTitel_liste,LineærRegression_Valg[[#This Row],[Afhængig variabel ID]]),INDEX(DataTitel_liste,1))</f>
        <v>Eksempel 1 (interval)</v>
      </c>
      <c r="G271" s="188" t="str" cm="1">
        <f t="array" ref="G271">IF(LineærRegression_Valg[[#This Row],[Indenfor range]],IF(LineærRegression_Valg[[#This Row],[Intet overlap]],INDEX(DataTitel_liste,LineærRegression_Valg[[#This Row],[Uafhængig variabel ID]]),INDEX(DataTitel_liste,IF(LineærRegression_Valg[[#This Row],[Afhængig variabel ID]]=1,2,1))),$B$7)</f>
        <v>Eksempel 2 (interval)</v>
      </c>
      <c r="H271" s="188">
        <f>_xlfn.AGGREGATE(2,5,LineærRegression_Valg[[#This Row],[Tabel ID]])</f>
        <v>1</v>
      </c>
    </row>
    <row r="272" spans="1:8" x14ac:dyDescent="0.2">
      <c r="A272">
        <f>ROW(LineærRegression_Valg[[#This Row],[Tabel ID]])-ROW(LineærRegression_Valg[[#Headers],[Tabel ID]])</f>
        <v>262</v>
      </c>
      <c r="B272" s="188">
        <f>ROUNDDOWN((LineærRegression_Valg[[#This Row],[Tabel ID]]-1)/$B$5,0)+1</f>
        <v>66</v>
      </c>
      <c r="C272" s="188">
        <f t="shared" si="4"/>
        <v>2</v>
      </c>
      <c r="D272" s="188" t="b">
        <f>LineærRegression_Valg[[#This Row],[Afhængig variabel ID]]&lt;&gt;LineærRegression_Valg[[#This Row],[Uafhængig variabel ID]]</f>
        <v>1</v>
      </c>
      <c r="E272" t="b">
        <f>LineærRegression_Valg[[#This Row],[Afhængig variabel ID]]&lt;=$B$5</f>
        <v>0</v>
      </c>
      <c r="F272" t="str" cm="1">
        <f t="array" ref="F272">IF(LineærRegression_Valg[[#This Row],[Indenfor range]],INDEX(DataTitel_liste,LineærRegression_Valg[[#This Row],[Afhængig variabel ID]]),INDEX(DataTitel_liste,1))</f>
        <v>Eksempel 1 (interval)</v>
      </c>
      <c r="G272" s="188" t="str" cm="1">
        <f t="array" ref="G272">IF(LineærRegression_Valg[[#This Row],[Indenfor range]],IF(LineærRegression_Valg[[#This Row],[Intet overlap]],INDEX(DataTitel_liste,LineærRegression_Valg[[#This Row],[Uafhængig variabel ID]]),INDEX(DataTitel_liste,IF(LineærRegression_Valg[[#This Row],[Afhængig variabel ID]]=1,2,1))),$B$7)</f>
        <v>Eksempel 2 (interval)</v>
      </c>
      <c r="H272" s="188">
        <f>_xlfn.AGGREGATE(2,5,LineærRegression_Valg[[#This Row],[Tabel ID]])</f>
        <v>1</v>
      </c>
    </row>
    <row r="273" spans="1:8" x14ac:dyDescent="0.2">
      <c r="A273">
        <f>ROW(LineærRegression_Valg[[#This Row],[Tabel ID]])-ROW(LineærRegression_Valg[[#Headers],[Tabel ID]])</f>
        <v>263</v>
      </c>
      <c r="B273" s="188">
        <f>ROUNDDOWN((LineærRegression_Valg[[#This Row],[Tabel ID]]-1)/$B$5,0)+1</f>
        <v>66</v>
      </c>
      <c r="C273" s="188">
        <f t="shared" si="4"/>
        <v>3</v>
      </c>
      <c r="D273" s="188" t="b">
        <f>LineærRegression_Valg[[#This Row],[Afhængig variabel ID]]&lt;&gt;LineærRegression_Valg[[#This Row],[Uafhængig variabel ID]]</f>
        <v>1</v>
      </c>
      <c r="E273" t="b">
        <f>LineærRegression_Valg[[#This Row],[Afhængig variabel ID]]&lt;=$B$5</f>
        <v>0</v>
      </c>
      <c r="F273" t="str" cm="1">
        <f t="array" ref="F273">IF(LineærRegression_Valg[[#This Row],[Indenfor range]],INDEX(DataTitel_liste,LineærRegression_Valg[[#This Row],[Afhængig variabel ID]]),INDEX(DataTitel_liste,1))</f>
        <v>Eksempel 1 (interval)</v>
      </c>
      <c r="G273" s="188" t="str" cm="1">
        <f t="array" ref="G273">IF(LineærRegression_Valg[[#This Row],[Indenfor range]],IF(LineærRegression_Valg[[#This Row],[Intet overlap]],INDEX(DataTitel_liste,LineærRegression_Valg[[#This Row],[Uafhængig variabel ID]]),INDEX(DataTitel_liste,IF(LineærRegression_Valg[[#This Row],[Afhængig variabel ID]]=1,2,1))),$B$7)</f>
        <v>Eksempel 2 (interval)</v>
      </c>
      <c r="H273" s="188">
        <f>_xlfn.AGGREGATE(2,5,LineærRegression_Valg[[#This Row],[Tabel ID]])</f>
        <v>1</v>
      </c>
    </row>
    <row r="274" spans="1:8" x14ac:dyDescent="0.2">
      <c r="A274">
        <f>ROW(LineærRegression_Valg[[#This Row],[Tabel ID]])-ROW(LineærRegression_Valg[[#Headers],[Tabel ID]])</f>
        <v>264</v>
      </c>
      <c r="B274" s="188">
        <f>ROUNDDOWN((LineærRegression_Valg[[#This Row],[Tabel ID]]-1)/$B$5,0)+1</f>
        <v>66</v>
      </c>
      <c r="C274" s="188">
        <f t="shared" si="4"/>
        <v>4</v>
      </c>
      <c r="D274" s="188" t="b">
        <f>LineærRegression_Valg[[#This Row],[Afhængig variabel ID]]&lt;&gt;LineærRegression_Valg[[#This Row],[Uafhængig variabel ID]]</f>
        <v>1</v>
      </c>
      <c r="E274" t="b">
        <f>LineærRegression_Valg[[#This Row],[Afhængig variabel ID]]&lt;=$B$5</f>
        <v>0</v>
      </c>
      <c r="F274" t="str" cm="1">
        <f t="array" ref="F274">IF(LineærRegression_Valg[[#This Row],[Indenfor range]],INDEX(DataTitel_liste,LineærRegression_Valg[[#This Row],[Afhængig variabel ID]]),INDEX(DataTitel_liste,1))</f>
        <v>Eksempel 1 (interval)</v>
      </c>
      <c r="G274" s="188" t="str" cm="1">
        <f t="array" ref="G274">IF(LineærRegression_Valg[[#This Row],[Indenfor range]],IF(LineærRegression_Valg[[#This Row],[Intet overlap]],INDEX(DataTitel_liste,LineærRegression_Valg[[#This Row],[Uafhængig variabel ID]]),INDEX(DataTitel_liste,IF(LineærRegression_Valg[[#This Row],[Afhængig variabel ID]]=1,2,1))),$B$7)</f>
        <v>Eksempel 2 (interval)</v>
      </c>
      <c r="H274" s="188">
        <f>_xlfn.AGGREGATE(2,5,LineærRegression_Valg[[#This Row],[Tabel ID]])</f>
        <v>1</v>
      </c>
    </row>
    <row r="275" spans="1:8" x14ac:dyDescent="0.2">
      <c r="A275">
        <f>ROW(LineærRegression_Valg[[#This Row],[Tabel ID]])-ROW(LineærRegression_Valg[[#Headers],[Tabel ID]])</f>
        <v>265</v>
      </c>
      <c r="B275" s="188">
        <f>ROUNDDOWN((LineærRegression_Valg[[#This Row],[Tabel ID]]-1)/$B$5,0)+1</f>
        <v>67</v>
      </c>
      <c r="C275" s="188">
        <f t="shared" si="4"/>
        <v>1</v>
      </c>
      <c r="D275" s="188" t="b">
        <f>LineærRegression_Valg[[#This Row],[Afhængig variabel ID]]&lt;&gt;LineærRegression_Valg[[#This Row],[Uafhængig variabel ID]]</f>
        <v>1</v>
      </c>
      <c r="E275" t="b">
        <f>LineærRegression_Valg[[#This Row],[Afhængig variabel ID]]&lt;=$B$5</f>
        <v>0</v>
      </c>
      <c r="F275" t="str" cm="1">
        <f t="array" ref="F275">IF(LineærRegression_Valg[[#This Row],[Indenfor range]],INDEX(DataTitel_liste,LineærRegression_Valg[[#This Row],[Afhængig variabel ID]]),INDEX(DataTitel_liste,1))</f>
        <v>Eksempel 1 (interval)</v>
      </c>
      <c r="G275" s="188" t="str" cm="1">
        <f t="array" ref="G275">IF(LineærRegression_Valg[[#This Row],[Indenfor range]],IF(LineærRegression_Valg[[#This Row],[Intet overlap]],INDEX(DataTitel_liste,LineærRegression_Valg[[#This Row],[Uafhængig variabel ID]]),INDEX(DataTitel_liste,IF(LineærRegression_Valg[[#This Row],[Afhængig variabel ID]]=1,2,1))),$B$7)</f>
        <v>Eksempel 2 (interval)</v>
      </c>
      <c r="H275" s="188">
        <f>_xlfn.AGGREGATE(2,5,LineærRegression_Valg[[#This Row],[Tabel ID]])</f>
        <v>1</v>
      </c>
    </row>
    <row r="276" spans="1:8" x14ac:dyDescent="0.2">
      <c r="A276">
        <f>ROW(LineærRegression_Valg[[#This Row],[Tabel ID]])-ROW(LineærRegression_Valg[[#Headers],[Tabel ID]])</f>
        <v>266</v>
      </c>
      <c r="B276" s="188">
        <f>ROUNDDOWN((LineærRegression_Valg[[#This Row],[Tabel ID]]-1)/$B$5,0)+1</f>
        <v>67</v>
      </c>
      <c r="C276" s="188">
        <f t="shared" si="4"/>
        <v>2</v>
      </c>
      <c r="D276" s="188" t="b">
        <f>LineærRegression_Valg[[#This Row],[Afhængig variabel ID]]&lt;&gt;LineærRegression_Valg[[#This Row],[Uafhængig variabel ID]]</f>
        <v>1</v>
      </c>
      <c r="E276" t="b">
        <f>LineærRegression_Valg[[#This Row],[Afhængig variabel ID]]&lt;=$B$5</f>
        <v>0</v>
      </c>
      <c r="F276" t="str" cm="1">
        <f t="array" ref="F276">IF(LineærRegression_Valg[[#This Row],[Indenfor range]],INDEX(DataTitel_liste,LineærRegression_Valg[[#This Row],[Afhængig variabel ID]]),INDEX(DataTitel_liste,1))</f>
        <v>Eksempel 1 (interval)</v>
      </c>
      <c r="G276" s="188" t="str" cm="1">
        <f t="array" ref="G276">IF(LineærRegression_Valg[[#This Row],[Indenfor range]],IF(LineærRegression_Valg[[#This Row],[Intet overlap]],INDEX(DataTitel_liste,LineærRegression_Valg[[#This Row],[Uafhængig variabel ID]]),INDEX(DataTitel_liste,IF(LineærRegression_Valg[[#This Row],[Afhængig variabel ID]]=1,2,1))),$B$7)</f>
        <v>Eksempel 2 (interval)</v>
      </c>
      <c r="H276" s="188">
        <f>_xlfn.AGGREGATE(2,5,LineærRegression_Valg[[#This Row],[Tabel ID]])</f>
        <v>1</v>
      </c>
    </row>
    <row r="277" spans="1:8" x14ac:dyDescent="0.2">
      <c r="A277">
        <f>ROW(LineærRegression_Valg[[#This Row],[Tabel ID]])-ROW(LineærRegression_Valg[[#Headers],[Tabel ID]])</f>
        <v>267</v>
      </c>
      <c r="B277" s="188">
        <f>ROUNDDOWN((LineærRegression_Valg[[#This Row],[Tabel ID]]-1)/$B$5,0)+1</f>
        <v>67</v>
      </c>
      <c r="C277" s="188">
        <f t="shared" si="4"/>
        <v>3</v>
      </c>
      <c r="D277" s="188" t="b">
        <f>LineærRegression_Valg[[#This Row],[Afhængig variabel ID]]&lt;&gt;LineærRegression_Valg[[#This Row],[Uafhængig variabel ID]]</f>
        <v>1</v>
      </c>
      <c r="E277" t="b">
        <f>LineærRegression_Valg[[#This Row],[Afhængig variabel ID]]&lt;=$B$5</f>
        <v>0</v>
      </c>
      <c r="F277" t="str" cm="1">
        <f t="array" ref="F277">IF(LineærRegression_Valg[[#This Row],[Indenfor range]],INDEX(DataTitel_liste,LineærRegression_Valg[[#This Row],[Afhængig variabel ID]]),INDEX(DataTitel_liste,1))</f>
        <v>Eksempel 1 (interval)</v>
      </c>
      <c r="G277" s="188" t="str" cm="1">
        <f t="array" ref="G277">IF(LineærRegression_Valg[[#This Row],[Indenfor range]],IF(LineærRegression_Valg[[#This Row],[Intet overlap]],INDEX(DataTitel_liste,LineærRegression_Valg[[#This Row],[Uafhængig variabel ID]]),INDEX(DataTitel_liste,IF(LineærRegression_Valg[[#This Row],[Afhængig variabel ID]]=1,2,1))),$B$7)</f>
        <v>Eksempel 2 (interval)</v>
      </c>
      <c r="H277" s="188">
        <f>_xlfn.AGGREGATE(2,5,LineærRegression_Valg[[#This Row],[Tabel ID]])</f>
        <v>1</v>
      </c>
    </row>
    <row r="278" spans="1:8" x14ac:dyDescent="0.2">
      <c r="A278">
        <f>ROW(LineærRegression_Valg[[#This Row],[Tabel ID]])-ROW(LineærRegression_Valg[[#Headers],[Tabel ID]])</f>
        <v>268</v>
      </c>
      <c r="B278" s="188">
        <f>ROUNDDOWN((LineærRegression_Valg[[#This Row],[Tabel ID]]-1)/$B$5,0)+1</f>
        <v>67</v>
      </c>
      <c r="C278" s="188">
        <f t="shared" si="4"/>
        <v>4</v>
      </c>
      <c r="D278" s="188" t="b">
        <f>LineærRegression_Valg[[#This Row],[Afhængig variabel ID]]&lt;&gt;LineærRegression_Valg[[#This Row],[Uafhængig variabel ID]]</f>
        <v>1</v>
      </c>
      <c r="E278" t="b">
        <f>LineærRegression_Valg[[#This Row],[Afhængig variabel ID]]&lt;=$B$5</f>
        <v>0</v>
      </c>
      <c r="F278" t="str" cm="1">
        <f t="array" ref="F278">IF(LineærRegression_Valg[[#This Row],[Indenfor range]],INDEX(DataTitel_liste,LineærRegression_Valg[[#This Row],[Afhængig variabel ID]]),INDEX(DataTitel_liste,1))</f>
        <v>Eksempel 1 (interval)</v>
      </c>
      <c r="G278" s="188" t="str" cm="1">
        <f t="array" ref="G278">IF(LineærRegression_Valg[[#This Row],[Indenfor range]],IF(LineærRegression_Valg[[#This Row],[Intet overlap]],INDEX(DataTitel_liste,LineærRegression_Valg[[#This Row],[Uafhængig variabel ID]]),INDEX(DataTitel_liste,IF(LineærRegression_Valg[[#This Row],[Afhængig variabel ID]]=1,2,1))),$B$7)</f>
        <v>Eksempel 2 (interval)</v>
      </c>
      <c r="H278" s="188">
        <f>_xlfn.AGGREGATE(2,5,LineærRegression_Valg[[#This Row],[Tabel ID]])</f>
        <v>1</v>
      </c>
    </row>
    <row r="279" spans="1:8" x14ac:dyDescent="0.2">
      <c r="A279">
        <f>ROW(LineærRegression_Valg[[#This Row],[Tabel ID]])-ROW(LineærRegression_Valg[[#Headers],[Tabel ID]])</f>
        <v>269</v>
      </c>
      <c r="B279" s="188">
        <f>ROUNDDOWN((LineærRegression_Valg[[#This Row],[Tabel ID]]-1)/$B$5,0)+1</f>
        <v>68</v>
      </c>
      <c r="C279" s="188">
        <f t="shared" si="4"/>
        <v>1</v>
      </c>
      <c r="D279" s="188" t="b">
        <f>LineærRegression_Valg[[#This Row],[Afhængig variabel ID]]&lt;&gt;LineærRegression_Valg[[#This Row],[Uafhængig variabel ID]]</f>
        <v>1</v>
      </c>
      <c r="E279" t="b">
        <f>LineærRegression_Valg[[#This Row],[Afhængig variabel ID]]&lt;=$B$5</f>
        <v>0</v>
      </c>
      <c r="F279" t="str" cm="1">
        <f t="array" ref="F279">IF(LineærRegression_Valg[[#This Row],[Indenfor range]],INDEX(DataTitel_liste,LineærRegression_Valg[[#This Row],[Afhængig variabel ID]]),INDEX(DataTitel_liste,1))</f>
        <v>Eksempel 1 (interval)</v>
      </c>
      <c r="G279" s="188" t="str" cm="1">
        <f t="array" ref="G279">IF(LineærRegression_Valg[[#This Row],[Indenfor range]],IF(LineærRegression_Valg[[#This Row],[Intet overlap]],INDEX(DataTitel_liste,LineærRegression_Valg[[#This Row],[Uafhængig variabel ID]]),INDEX(DataTitel_liste,IF(LineærRegression_Valg[[#This Row],[Afhængig variabel ID]]=1,2,1))),$B$7)</f>
        <v>Eksempel 2 (interval)</v>
      </c>
      <c r="H279" s="188">
        <f>_xlfn.AGGREGATE(2,5,LineærRegression_Valg[[#This Row],[Tabel ID]])</f>
        <v>1</v>
      </c>
    </row>
    <row r="280" spans="1:8" x14ac:dyDescent="0.2">
      <c r="A280">
        <f>ROW(LineærRegression_Valg[[#This Row],[Tabel ID]])-ROW(LineærRegression_Valg[[#Headers],[Tabel ID]])</f>
        <v>270</v>
      </c>
      <c r="B280" s="188">
        <f>ROUNDDOWN((LineærRegression_Valg[[#This Row],[Tabel ID]]-1)/$B$5,0)+1</f>
        <v>68</v>
      </c>
      <c r="C280" s="188">
        <f t="shared" si="4"/>
        <v>2</v>
      </c>
      <c r="D280" s="188" t="b">
        <f>LineærRegression_Valg[[#This Row],[Afhængig variabel ID]]&lt;&gt;LineærRegression_Valg[[#This Row],[Uafhængig variabel ID]]</f>
        <v>1</v>
      </c>
      <c r="E280" t="b">
        <f>LineærRegression_Valg[[#This Row],[Afhængig variabel ID]]&lt;=$B$5</f>
        <v>0</v>
      </c>
      <c r="F280" t="str" cm="1">
        <f t="array" ref="F280">IF(LineærRegression_Valg[[#This Row],[Indenfor range]],INDEX(DataTitel_liste,LineærRegression_Valg[[#This Row],[Afhængig variabel ID]]),INDEX(DataTitel_liste,1))</f>
        <v>Eksempel 1 (interval)</v>
      </c>
      <c r="G280" s="188" t="str" cm="1">
        <f t="array" ref="G280">IF(LineærRegression_Valg[[#This Row],[Indenfor range]],IF(LineærRegression_Valg[[#This Row],[Intet overlap]],INDEX(DataTitel_liste,LineærRegression_Valg[[#This Row],[Uafhængig variabel ID]]),INDEX(DataTitel_liste,IF(LineærRegression_Valg[[#This Row],[Afhængig variabel ID]]=1,2,1))),$B$7)</f>
        <v>Eksempel 2 (interval)</v>
      </c>
      <c r="H280" s="188">
        <f>_xlfn.AGGREGATE(2,5,LineærRegression_Valg[[#This Row],[Tabel ID]])</f>
        <v>1</v>
      </c>
    </row>
    <row r="281" spans="1:8" x14ac:dyDescent="0.2">
      <c r="A281">
        <f>ROW(LineærRegression_Valg[[#This Row],[Tabel ID]])-ROW(LineærRegression_Valg[[#Headers],[Tabel ID]])</f>
        <v>271</v>
      </c>
      <c r="B281" s="188">
        <f>ROUNDDOWN((LineærRegression_Valg[[#This Row],[Tabel ID]]-1)/$B$5,0)+1</f>
        <v>68</v>
      </c>
      <c r="C281" s="188">
        <f t="shared" si="4"/>
        <v>3</v>
      </c>
      <c r="D281" s="188" t="b">
        <f>LineærRegression_Valg[[#This Row],[Afhængig variabel ID]]&lt;&gt;LineærRegression_Valg[[#This Row],[Uafhængig variabel ID]]</f>
        <v>1</v>
      </c>
      <c r="E281" t="b">
        <f>LineærRegression_Valg[[#This Row],[Afhængig variabel ID]]&lt;=$B$5</f>
        <v>0</v>
      </c>
      <c r="F281" t="str" cm="1">
        <f t="array" ref="F281">IF(LineærRegression_Valg[[#This Row],[Indenfor range]],INDEX(DataTitel_liste,LineærRegression_Valg[[#This Row],[Afhængig variabel ID]]),INDEX(DataTitel_liste,1))</f>
        <v>Eksempel 1 (interval)</v>
      </c>
      <c r="G281" s="188" t="str" cm="1">
        <f t="array" ref="G281">IF(LineærRegression_Valg[[#This Row],[Indenfor range]],IF(LineærRegression_Valg[[#This Row],[Intet overlap]],INDEX(DataTitel_liste,LineærRegression_Valg[[#This Row],[Uafhængig variabel ID]]),INDEX(DataTitel_liste,IF(LineærRegression_Valg[[#This Row],[Afhængig variabel ID]]=1,2,1))),$B$7)</f>
        <v>Eksempel 2 (interval)</v>
      </c>
      <c r="H281" s="188">
        <f>_xlfn.AGGREGATE(2,5,LineærRegression_Valg[[#This Row],[Tabel ID]])</f>
        <v>1</v>
      </c>
    </row>
    <row r="282" spans="1:8" x14ac:dyDescent="0.2">
      <c r="A282">
        <f>ROW(LineærRegression_Valg[[#This Row],[Tabel ID]])-ROW(LineærRegression_Valg[[#Headers],[Tabel ID]])</f>
        <v>272</v>
      </c>
      <c r="B282" s="188">
        <f>ROUNDDOWN((LineærRegression_Valg[[#This Row],[Tabel ID]]-1)/$B$5,0)+1</f>
        <v>68</v>
      </c>
      <c r="C282" s="188">
        <f t="shared" si="4"/>
        <v>4</v>
      </c>
      <c r="D282" s="188" t="b">
        <f>LineærRegression_Valg[[#This Row],[Afhængig variabel ID]]&lt;&gt;LineærRegression_Valg[[#This Row],[Uafhængig variabel ID]]</f>
        <v>1</v>
      </c>
      <c r="E282" t="b">
        <f>LineærRegression_Valg[[#This Row],[Afhængig variabel ID]]&lt;=$B$5</f>
        <v>0</v>
      </c>
      <c r="F282" t="str" cm="1">
        <f t="array" ref="F282">IF(LineærRegression_Valg[[#This Row],[Indenfor range]],INDEX(DataTitel_liste,LineærRegression_Valg[[#This Row],[Afhængig variabel ID]]),INDEX(DataTitel_liste,1))</f>
        <v>Eksempel 1 (interval)</v>
      </c>
      <c r="G282" s="188" t="str" cm="1">
        <f t="array" ref="G282">IF(LineærRegression_Valg[[#This Row],[Indenfor range]],IF(LineærRegression_Valg[[#This Row],[Intet overlap]],INDEX(DataTitel_liste,LineærRegression_Valg[[#This Row],[Uafhængig variabel ID]]),INDEX(DataTitel_liste,IF(LineærRegression_Valg[[#This Row],[Afhængig variabel ID]]=1,2,1))),$B$7)</f>
        <v>Eksempel 2 (interval)</v>
      </c>
      <c r="H282" s="188">
        <f>_xlfn.AGGREGATE(2,5,LineærRegression_Valg[[#This Row],[Tabel ID]])</f>
        <v>1</v>
      </c>
    </row>
    <row r="283" spans="1:8" x14ac:dyDescent="0.2">
      <c r="A283">
        <f>ROW(LineærRegression_Valg[[#This Row],[Tabel ID]])-ROW(LineærRegression_Valg[[#Headers],[Tabel ID]])</f>
        <v>273</v>
      </c>
      <c r="B283" s="188">
        <f>ROUNDDOWN((LineærRegression_Valg[[#This Row],[Tabel ID]]-1)/$B$5,0)+1</f>
        <v>69</v>
      </c>
      <c r="C283" s="188">
        <f t="shared" si="4"/>
        <v>1</v>
      </c>
      <c r="D283" s="188" t="b">
        <f>LineærRegression_Valg[[#This Row],[Afhængig variabel ID]]&lt;&gt;LineærRegression_Valg[[#This Row],[Uafhængig variabel ID]]</f>
        <v>1</v>
      </c>
      <c r="E283" t="b">
        <f>LineærRegression_Valg[[#This Row],[Afhængig variabel ID]]&lt;=$B$5</f>
        <v>0</v>
      </c>
      <c r="F283" t="str" cm="1">
        <f t="array" ref="F283">IF(LineærRegression_Valg[[#This Row],[Indenfor range]],INDEX(DataTitel_liste,LineærRegression_Valg[[#This Row],[Afhængig variabel ID]]),INDEX(DataTitel_liste,1))</f>
        <v>Eksempel 1 (interval)</v>
      </c>
      <c r="G283" s="188" t="str" cm="1">
        <f t="array" ref="G283">IF(LineærRegression_Valg[[#This Row],[Indenfor range]],IF(LineærRegression_Valg[[#This Row],[Intet overlap]],INDEX(DataTitel_liste,LineærRegression_Valg[[#This Row],[Uafhængig variabel ID]]),INDEX(DataTitel_liste,IF(LineærRegression_Valg[[#This Row],[Afhængig variabel ID]]=1,2,1))),$B$7)</f>
        <v>Eksempel 2 (interval)</v>
      </c>
      <c r="H283" s="188">
        <f>_xlfn.AGGREGATE(2,5,LineærRegression_Valg[[#This Row],[Tabel ID]])</f>
        <v>1</v>
      </c>
    </row>
    <row r="284" spans="1:8" x14ac:dyDescent="0.2">
      <c r="A284">
        <f>ROW(LineærRegression_Valg[[#This Row],[Tabel ID]])-ROW(LineærRegression_Valg[[#Headers],[Tabel ID]])</f>
        <v>274</v>
      </c>
      <c r="B284" s="188">
        <f>ROUNDDOWN((LineærRegression_Valg[[#This Row],[Tabel ID]]-1)/$B$5,0)+1</f>
        <v>69</v>
      </c>
      <c r="C284" s="188">
        <f t="shared" si="4"/>
        <v>2</v>
      </c>
      <c r="D284" s="188" t="b">
        <f>LineærRegression_Valg[[#This Row],[Afhængig variabel ID]]&lt;&gt;LineærRegression_Valg[[#This Row],[Uafhængig variabel ID]]</f>
        <v>1</v>
      </c>
      <c r="E284" t="b">
        <f>LineærRegression_Valg[[#This Row],[Afhængig variabel ID]]&lt;=$B$5</f>
        <v>0</v>
      </c>
      <c r="F284" t="str" cm="1">
        <f t="array" ref="F284">IF(LineærRegression_Valg[[#This Row],[Indenfor range]],INDEX(DataTitel_liste,LineærRegression_Valg[[#This Row],[Afhængig variabel ID]]),INDEX(DataTitel_liste,1))</f>
        <v>Eksempel 1 (interval)</v>
      </c>
      <c r="G284" s="188" t="str" cm="1">
        <f t="array" ref="G284">IF(LineærRegression_Valg[[#This Row],[Indenfor range]],IF(LineærRegression_Valg[[#This Row],[Intet overlap]],INDEX(DataTitel_liste,LineærRegression_Valg[[#This Row],[Uafhængig variabel ID]]),INDEX(DataTitel_liste,IF(LineærRegression_Valg[[#This Row],[Afhængig variabel ID]]=1,2,1))),$B$7)</f>
        <v>Eksempel 2 (interval)</v>
      </c>
      <c r="H284" s="188">
        <f>_xlfn.AGGREGATE(2,5,LineærRegression_Valg[[#This Row],[Tabel ID]])</f>
        <v>1</v>
      </c>
    </row>
    <row r="285" spans="1:8" x14ac:dyDescent="0.2">
      <c r="A285">
        <f>ROW(LineærRegression_Valg[[#This Row],[Tabel ID]])-ROW(LineærRegression_Valg[[#Headers],[Tabel ID]])</f>
        <v>275</v>
      </c>
      <c r="B285" s="188">
        <f>ROUNDDOWN((LineærRegression_Valg[[#This Row],[Tabel ID]]-1)/$B$5,0)+1</f>
        <v>69</v>
      </c>
      <c r="C285" s="188">
        <f t="shared" si="4"/>
        <v>3</v>
      </c>
      <c r="D285" s="188" t="b">
        <f>LineærRegression_Valg[[#This Row],[Afhængig variabel ID]]&lt;&gt;LineærRegression_Valg[[#This Row],[Uafhængig variabel ID]]</f>
        <v>1</v>
      </c>
      <c r="E285" t="b">
        <f>LineærRegression_Valg[[#This Row],[Afhængig variabel ID]]&lt;=$B$5</f>
        <v>0</v>
      </c>
      <c r="F285" t="str" cm="1">
        <f t="array" ref="F285">IF(LineærRegression_Valg[[#This Row],[Indenfor range]],INDEX(DataTitel_liste,LineærRegression_Valg[[#This Row],[Afhængig variabel ID]]),INDEX(DataTitel_liste,1))</f>
        <v>Eksempel 1 (interval)</v>
      </c>
      <c r="G285" s="188" t="str" cm="1">
        <f t="array" ref="G285">IF(LineærRegression_Valg[[#This Row],[Indenfor range]],IF(LineærRegression_Valg[[#This Row],[Intet overlap]],INDEX(DataTitel_liste,LineærRegression_Valg[[#This Row],[Uafhængig variabel ID]]),INDEX(DataTitel_liste,IF(LineærRegression_Valg[[#This Row],[Afhængig variabel ID]]=1,2,1))),$B$7)</f>
        <v>Eksempel 2 (interval)</v>
      </c>
      <c r="H285" s="188">
        <f>_xlfn.AGGREGATE(2,5,LineærRegression_Valg[[#This Row],[Tabel ID]])</f>
        <v>1</v>
      </c>
    </row>
    <row r="286" spans="1:8" x14ac:dyDescent="0.2">
      <c r="A286">
        <f>ROW(LineærRegression_Valg[[#This Row],[Tabel ID]])-ROW(LineærRegression_Valg[[#Headers],[Tabel ID]])</f>
        <v>276</v>
      </c>
      <c r="B286" s="188">
        <f>ROUNDDOWN((LineærRegression_Valg[[#This Row],[Tabel ID]]-1)/$B$5,0)+1</f>
        <v>69</v>
      </c>
      <c r="C286" s="188">
        <f t="shared" si="4"/>
        <v>4</v>
      </c>
      <c r="D286" s="188" t="b">
        <f>LineærRegression_Valg[[#This Row],[Afhængig variabel ID]]&lt;&gt;LineærRegression_Valg[[#This Row],[Uafhængig variabel ID]]</f>
        <v>1</v>
      </c>
      <c r="E286" t="b">
        <f>LineærRegression_Valg[[#This Row],[Afhængig variabel ID]]&lt;=$B$5</f>
        <v>0</v>
      </c>
      <c r="F286" t="str" cm="1">
        <f t="array" ref="F286">IF(LineærRegression_Valg[[#This Row],[Indenfor range]],INDEX(DataTitel_liste,LineærRegression_Valg[[#This Row],[Afhængig variabel ID]]),INDEX(DataTitel_liste,1))</f>
        <v>Eksempel 1 (interval)</v>
      </c>
      <c r="G286" s="188" t="str" cm="1">
        <f t="array" ref="G286">IF(LineærRegression_Valg[[#This Row],[Indenfor range]],IF(LineærRegression_Valg[[#This Row],[Intet overlap]],INDEX(DataTitel_liste,LineærRegression_Valg[[#This Row],[Uafhængig variabel ID]]),INDEX(DataTitel_liste,IF(LineærRegression_Valg[[#This Row],[Afhængig variabel ID]]=1,2,1))),$B$7)</f>
        <v>Eksempel 2 (interval)</v>
      </c>
      <c r="H286" s="188">
        <f>_xlfn.AGGREGATE(2,5,LineærRegression_Valg[[#This Row],[Tabel ID]])</f>
        <v>1</v>
      </c>
    </row>
    <row r="287" spans="1:8" x14ac:dyDescent="0.2">
      <c r="A287">
        <f>ROW(LineærRegression_Valg[[#This Row],[Tabel ID]])-ROW(LineærRegression_Valg[[#Headers],[Tabel ID]])</f>
        <v>277</v>
      </c>
      <c r="B287" s="188">
        <f>ROUNDDOWN((LineærRegression_Valg[[#This Row],[Tabel ID]]-1)/$B$5,0)+1</f>
        <v>70</v>
      </c>
      <c r="C287" s="188">
        <f t="shared" si="4"/>
        <v>1</v>
      </c>
      <c r="D287" s="188" t="b">
        <f>LineærRegression_Valg[[#This Row],[Afhængig variabel ID]]&lt;&gt;LineærRegression_Valg[[#This Row],[Uafhængig variabel ID]]</f>
        <v>1</v>
      </c>
      <c r="E287" t="b">
        <f>LineærRegression_Valg[[#This Row],[Afhængig variabel ID]]&lt;=$B$5</f>
        <v>0</v>
      </c>
      <c r="F287" t="str" cm="1">
        <f t="array" ref="F287">IF(LineærRegression_Valg[[#This Row],[Indenfor range]],INDEX(DataTitel_liste,LineærRegression_Valg[[#This Row],[Afhængig variabel ID]]),INDEX(DataTitel_liste,1))</f>
        <v>Eksempel 1 (interval)</v>
      </c>
      <c r="G287" s="188" t="str" cm="1">
        <f t="array" ref="G287">IF(LineærRegression_Valg[[#This Row],[Indenfor range]],IF(LineærRegression_Valg[[#This Row],[Intet overlap]],INDEX(DataTitel_liste,LineærRegression_Valg[[#This Row],[Uafhængig variabel ID]]),INDEX(DataTitel_liste,IF(LineærRegression_Valg[[#This Row],[Afhængig variabel ID]]=1,2,1))),$B$7)</f>
        <v>Eksempel 2 (interval)</v>
      </c>
      <c r="H287" s="188">
        <f>_xlfn.AGGREGATE(2,5,LineærRegression_Valg[[#This Row],[Tabel ID]])</f>
        <v>1</v>
      </c>
    </row>
    <row r="288" spans="1:8" x14ac:dyDescent="0.2">
      <c r="A288">
        <f>ROW(LineærRegression_Valg[[#This Row],[Tabel ID]])-ROW(LineærRegression_Valg[[#Headers],[Tabel ID]])</f>
        <v>278</v>
      </c>
      <c r="B288" s="188">
        <f>ROUNDDOWN((LineærRegression_Valg[[#This Row],[Tabel ID]]-1)/$B$5,0)+1</f>
        <v>70</v>
      </c>
      <c r="C288" s="188">
        <f t="shared" si="4"/>
        <v>2</v>
      </c>
      <c r="D288" s="188" t="b">
        <f>LineærRegression_Valg[[#This Row],[Afhængig variabel ID]]&lt;&gt;LineærRegression_Valg[[#This Row],[Uafhængig variabel ID]]</f>
        <v>1</v>
      </c>
      <c r="E288" t="b">
        <f>LineærRegression_Valg[[#This Row],[Afhængig variabel ID]]&lt;=$B$5</f>
        <v>0</v>
      </c>
      <c r="F288" t="str" cm="1">
        <f t="array" ref="F288">IF(LineærRegression_Valg[[#This Row],[Indenfor range]],INDEX(DataTitel_liste,LineærRegression_Valg[[#This Row],[Afhængig variabel ID]]),INDEX(DataTitel_liste,1))</f>
        <v>Eksempel 1 (interval)</v>
      </c>
      <c r="G288" s="188" t="str" cm="1">
        <f t="array" ref="G288">IF(LineærRegression_Valg[[#This Row],[Indenfor range]],IF(LineærRegression_Valg[[#This Row],[Intet overlap]],INDEX(DataTitel_liste,LineærRegression_Valg[[#This Row],[Uafhængig variabel ID]]),INDEX(DataTitel_liste,IF(LineærRegression_Valg[[#This Row],[Afhængig variabel ID]]=1,2,1))),$B$7)</f>
        <v>Eksempel 2 (interval)</v>
      </c>
      <c r="H288" s="188">
        <f>_xlfn.AGGREGATE(2,5,LineærRegression_Valg[[#This Row],[Tabel ID]])</f>
        <v>1</v>
      </c>
    </row>
    <row r="289" spans="1:8" x14ac:dyDescent="0.2">
      <c r="A289">
        <f>ROW(LineærRegression_Valg[[#This Row],[Tabel ID]])-ROW(LineærRegression_Valg[[#Headers],[Tabel ID]])</f>
        <v>279</v>
      </c>
      <c r="B289" s="188">
        <f>ROUNDDOWN((LineærRegression_Valg[[#This Row],[Tabel ID]]-1)/$B$5,0)+1</f>
        <v>70</v>
      </c>
      <c r="C289" s="188">
        <f t="shared" si="4"/>
        <v>3</v>
      </c>
      <c r="D289" s="188" t="b">
        <f>LineærRegression_Valg[[#This Row],[Afhængig variabel ID]]&lt;&gt;LineærRegression_Valg[[#This Row],[Uafhængig variabel ID]]</f>
        <v>1</v>
      </c>
      <c r="E289" t="b">
        <f>LineærRegression_Valg[[#This Row],[Afhængig variabel ID]]&lt;=$B$5</f>
        <v>0</v>
      </c>
      <c r="F289" t="str" cm="1">
        <f t="array" ref="F289">IF(LineærRegression_Valg[[#This Row],[Indenfor range]],INDEX(DataTitel_liste,LineærRegression_Valg[[#This Row],[Afhængig variabel ID]]),INDEX(DataTitel_liste,1))</f>
        <v>Eksempel 1 (interval)</v>
      </c>
      <c r="G289" s="188" t="str" cm="1">
        <f t="array" ref="G289">IF(LineærRegression_Valg[[#This Row],[Indenfor range]],IF(LineærRegression_Valg[[#This Row],[Intet overlap]],INDEX(DataTitel_liste,LineærRegression_Valg[[#This Row],[Uafhængig variabel ID]]),INDEX(DataTitel_liste,IF(LineærRegression_Valg[[#This Row],[Afhængig variabel ID]]=1,2,1))),$B$7)</f>
        <v>Eksempel 2 (interval)</v>
      </c>
      <c r="H289" s="188">
        <f>_xlfn.AGGREGATE(2,5,LineærRegression_Valg[[#This Row],[Tabel ID]])</f>
        <v>1</v>
      </c>
    </row>
    <row r="290" spans="1:8" x14ac:dyDescent="0.2">
      <c r="A290">
        <f>ROW(LineærRegression_Valg[[#This Row],[Tabel ID]])-ROW(LineærRegression_Valg[[#Headers],[Tabel ID]])</f>
        <v>280</v>
      </c>
      <c r="B290" s="188">
        <f>ROUNDDOWN((LineærRegression_Valg[[#This Row],[Tabel ID]]-1)/$B$5,0)+1</f>
        <v>70</v>
      </c>
      <c r="C290" s="188">
        <f t="shared" si="4"/>
        <v>4</v>
      </c>
      <c r="D290" s="188" t="b">
        <f>LineærRegression_Valg[[#This Row],[Afhængig variabel ID]]&lt;&gt;LineærRegression_Valg[[#This Row],[Uafhængig variabel ID]]</f>
        <v>1</v>
      </c>
      <c r="E290" t="b">
        <f>LineærRegression_Valg[[#This Row],[Afhængig variabel ID]]&lt;=$B$5</f>
        <v>0</v>
      </c>
      <c r="F290" t="str" cm="1">
        <f t="array" ref="F290">IF(LineærRegression_Valg[[#This Row],[Indenfor range]],INDEX(DataTitel_liste,LineærRegression_Valg[[#This Row],[Afhængig variabel ID]]),INDEX(DataTitel_liste,1))</f>
        <v>Eksempel 1 (interval)</v>
      </c>
      <c r="G290" s="188" t="str" cm="1">
        <f t="array" ref="G290">IF(LineærRegression_Valg[[#This Row],[Indenfor range]],IF(LineærRegression_Valg[[#This Row],[Intet overlap]],INDEX(DataTitel_liste,LineærRegression_Valg[[#This Row],[Uafhængig variabel ID]]),INDEX(DataTitel_liste,IF(LineærRegression_Valg[[#This Row],[Afhængig variabel ID]]=1,2,1))),$B$7)</f>
        <v>Eksempel 2 (interval)</v>
      </c>
      <c r="H290" s="188">
        <f>_xlfn.AGGREGATE(2,5,LineærRegression_Valg[[#This Row],[Tabel ID]])</f>
        <v>1</v>
      </c>
    </row>
    <row r="291" spans="1:8" x14ac:dyDescent="0.2">
      <c r="A291">
        <f>ROW(LineærRegression_Valg[[#This Row],[Tabel ID]])-ROW(LineærRegression_Valg[[#Headers],[Tabel ID]])</f>
        <v>281</v>
      </c>
      <c r="B291" s="188">
        <f>ROUNDDOWN((LineærRegression_Valg[[#This Row],[Tabel ID]]-1)/$B$5,0)+1</f>
        <v>71</v>
      </c>
      <c r="C291" s="188">
        <f t="shared" si="4"/>
        <v>1</v>
      </c>
      <c r="D291" s="188" t="b">
        <f>LineærRegression_Valg[[#This Row],[Afhængig variabel ID]]&lt;&gt;LineærRegression_Valg[[#This Row],[Uafhængig variabel ID]]</f>
        <v>1</v>
      </c>
      <c r="E291" t="b">
        <f>LineærRegression_Valg[[#This Row],[Afhængig variabel ID]]&lt;=$B$5</f>
        <v>0</v>
      </c>
      <c r="F291" t="str" cm="1">
        <f t="array" ref="F291">IF(LineærRegression_Valg[[#This Row],[Indenfor range]],INDEX(DataTitel_liste,LineærRegression_Valg[[#This Row],[Afhængig variabel ID]]),INDEX(DataTitel_liste,1))</f>
        <v>Eksempel 1 (interval)</v>
      </c>
      <c r="G291" s="188" t="str" cm="1">
        <f t="array" ref="G291">IF(LineærRegression_Valg[[#This Row],[Indenfor range]],IF(LineærRegression_Valg[[#This Row],[Intet overlap]],INDEX(DataTitel_liste,LineærRegression_Valg[[#This Row],[Uafhængig variabel ID]]),INDEX(DataTitel_liste,IF(LineærRegression_Valg[[#This Row],[Afhængig variabel ID]]=1,2,1))),$B$7)</f>
        <v>Eksempel 2 (interval)</v>
      </c>
      <c r="H291" s="188">
        <f>_xlfn.AGGREGATE(2,5,LineærRegression_Valg[[#This Row],[Tabel ID]])</f>
        <v>1</v>
      </c>
    </row>
    <row r="292" spans="1:8" x14ac:dyDescent="0.2">
      <c r="A292">
        <f>ROW(LineærRegression_Valg[[#This Row],[Tabel ID]])-ROW(LineærRegression_Valg[[#Headers],[Tabel ID]])</f>
        <v>282</v>
      </c>
      <c r="B292" s="188">
        <f>ROUNDDOWN((LineærRegression_Valg[[#This Row],[Tabel ID]]-1)/$B$5,0)+1</f>
        <v>71</v>
      </c>
      <c r="C292" s="188">
        <f t="shared" si="4"/>
        <v>2</v>
      </c>
      <c r="D292" s="188" t="b">
        <f>LineærRegression_Valg[[#This Row],[Afhængig variabel ID]]&lt;&gt;LineærRegression_Valg[[#This Row],[Uafhængig variabel ID]]</f>
        <v>1</v>
      </c>
      <c r="E292" t="b">
        <f>LineærRegression_Valg[[#This Row],[Afhængig variabel ID]]&lt;=$B$5</f>
        <v>0</v>
      </c>
      <c r="F292" t="str" cm="1">
        <f t="array" ref="F292">IF(LineærRegression_Valg[[#This Row],[Indenfor range]],INDEX(DataTitel_liste,LineærRegression_Valg[[#This Row],[Afhængig variabel ID]]),INDEX(DataTitel_liste,1))</f>
        <v>Eksempel 1 (interval)</v>
      </c>
      <c r="G292" s="188" t="str" cm="1">
        <f t="array" ref="G292">IF(LineærRegression_Valg[[#This Row],[Indenfor range]],IF(LineærRegression_Valg[[#This Row],[Intet overlap]],INDEX(DataTitel_liste,LineærRegression_Valg[[#This Row],[Uafhængig variabel ID]]),INDEX(DataTitel_liste,IF(LineærRegression_Valg[[#This Row],[Afhængig variabel ID]]=1,2,1))),$B$7)</f>
        <v>Eksempel 2 (interval)</v>
      </c>
      <c r="H292" s="188">
        <f>_xlfn.AGGREGATE(2,5,LineærRegression_Valg[[#This Row],[Tabel ID]])</f>
        <v>1</v>
      </c>
    </row>
    <row r="293" spans="1:8" x14ac:dyDescent="0.2">
      <c r="A293">
        <f>ROW(LineærRegression_Valg[[#This Row],[Tabel ID]])-ROW(LineærRegression_Valg[[#Headers],[Tabel ID]])</f>
        <v>283</v>
      </c>
      <c r="B293" s="188">
        <f>ROUNDDOWN((LineærRegression_Valg[[#This Row],[Tabel ID]]-1)/$B$5,0)+1</f>
        <v>71</v>
      </c>
      <c r="C293" s="188">
        <f t="shared" si="4"/>
        <v>3</v>
      </c>
      <c r="D293" s="188" t="b">
        <f>LineærRegression_Valg[[#This Row],[Afhængig variabel ID]]&lt;&gt;LineærRegression_Valg[[#This Row],[Uafhængig variabel ID]]</f>
        <v>1</v>
      </c>
      <c r="E293" t="b">
        <f>LineærRegression_Valg[[#This Row],[Afhængig variabel ID]]&lt;=$B$5</f>
        <v>0</v>
      </c>
      <c r="F293" t="str" cm="1">
        <f t="array" ref="F293">IF(LineærRegression_Valg[[#This Row],[Indenfor range]],INDEX(DataTitel_liste,LineærRegression_Valg[[#This Row],[Afhængig variabel ID]]),INDEX(DataTitel_liste,1))</f>
        <v>Eksempel 1 (interval)</v>
      </c>
      <c r="G293" s="188" t="str" cm="1">
        <f t="array" ref="G293">IF(LineærRegression_Valg[[#This Row],[Indenfor range]],IF(LineærRegression_Valg[[#This Row],[Intet overlap]],INDEX(DataTitel_liste,LineærRegression_Valg[[#This Row],[Uafhængig variabel ID]]),INDEX(DataTitel_liste,IF(LineærRegression_Valg[[#This Row],[Afhængig variabel ID]]=1,2,1))),$B$7)</f>
        <v>Eksempel 2 (interval)</v>
      </c>
      <c r="H293" s="188">
        <f>_xlfn.AGGREGATE(2,5,LineærRegression_Valg[[#This Row],[Tabel ID]])</f>
        <v>1</v>
      </c>
    </row>
    <row r="294" spans="1:8" x14ac:dyDescent="0.2">
      <c r="A294">
        <f>ROW(LineærRegression_Valg[[#This Row],[Tabel ID]])-ROW(LineærRegression_Valg[[#Headers],[Tabel ID]])</f>
        <v>284</v>
      </c>
      <c r="B294" s="188">
        <f>ROUNDDOWN((LineærRegression_Valg[[#This Row],[Tabel ID]]-1)/$B$5,0)+1</f>
        <v>71</v>
      </c>
      <c r="C294" s="188">
        <f t="shared" si="4"/>
        <v>4</v>
      </c>
      <c r="D294" s="188" t="b">
        <f>LineærRegression_Valg[[#This Row],[Afhængig variabel ID]]&lt;&gt;LineærRegression_Valg[[#This Row],[Uafhængig variabel ID]]</f>
        <v>1</v>
      </c>
      <c r="E294" t="b">
        <f>LineærRegression_Valg[[#This Row],[Afhængig variabel ID]]&lt;=$B$5</f>
        <v>0</v>
      </c>
      <c r="F294" t="str" cm="1">
        <f t="array" ref="F294">IF(LineærRegression_Valg[[#This Row],[Indenfor range]],INDEX(DataTitel_liste,LineærRegression_Valg[[#This Row],[Afhængig variabel ID]]),INDEX(DataTitel_liste,1))</f>
        <v>Eksempel 1 (interval)</v>
      </c>
      <c r="G294" s="188" t="str" cm="1">
        <f t="array" ref="G294">IF(LineærRegression_Valg[[#This Row],[Indenfor range]],IF(LineærRegression_Valg[[#This Row],[Intet overlap]],INDEX(DataTitel_liste,LineærRegression_Valg[[#This Row],[Uafhængig variabel ID]]),INDEX(DataTitel_liste,IF(LineærRegression_Valg[[#This Row],[Afhængig variabel ID]]=1,2,1))),$B$7)</f>
        <v>Eksempel 2 (interval)</v>
      </c>
      <c r="H294" s="188">
        <f>_xlfn.AGGREGATE(2,5,LineærRegression_Valg[[#This Row],[Tabel ID]])</f>
        <v>1</v>
      </c>
    </row>
    <row r="295" spans="1:8" x14ac:dyDescent="0.2">
      <c r="A295">
        <f>ROW(LineærRegression_Valg[[#This Row],[Tabel ID]])-ROW(LineærRegression_Valg[[#Headers],[Tabel ID]])</f>
        <v>285</v>
      </c>
      <c r="B295" s="188">
        <f>ROUNDDOWN((LineærRegression_Valg[[#This Row],[Tabel ID]]-1)/$B$5,0)+1</f>
        <v>72</v>
      </c>
      <c r="C295" s="188">
        <f t="shared" si="4"/>
        <v>1</v>
      </c>
      <c r="D295" s="188" t="b">
        <f>LineærRegression_Valg[[#This Row],[Afhængig variabel ID]]&lt;&gt;LineærRegression_Valg[[#This Row],[Uafhængig variabel ID]]</f>
        <v>1</v>
      </c>
      <c r="E295" t="b">
        <f>LineærRegression_Valg[[#This Row],[Afhængig variabel ID]]&lt;=$B$5</f>
        <v>0</v>
      </c>
      <c r="F295" t="str" cm="1">
        <f t="array" ref="F295">IF(LineærRegression_Valg[[#This Row],[Indenfor range]],INDEX(DataTitel_liste,LineærRegression_Valg[[#This Row],[Afhængig variabel ID]]),INDEX(DataTitel_liste,1))</f>
        <v>Eksempel 1 (interval)</v>
      </c>
      <c r="G295" s="188" t="str" cm="1">
        <f t="array" ref="G295">IF(LineærRegression_Valg[[#This Row],[Indenfor range]],IF(LineærRegression_Valg[[#This Row],[Intet overlap]],INDEX(DataTitel_liste,LineærRegression_Valg[[#This Row],[Uafhængig variabel ID]]),INDEX(DataTitel_liste,IF(LineærRegression_Valg[[#This Row],[Afhængig variabel ID]]=1,2,1))),$B$7)</f>
        <v>Eksempel 2 (interval)</v>
      </c>
      <c r="H295" s="188">
        <f>_xlfn.AGGREGATE(2,5,LineærRegression_Valg[[#This Row],[Tabel ID]])</f>
        <v>1</v>
      </c>
    </row>
    <row r="296" spans="1:8" x14ac:dyDescent="0.2">
      <c r="A296">
        <f>ROW(LineærRegression_Valg[[#This Row],[Tabel ID]])-ROW(LineærRegression_Valg[[#Headers],[Tabel ID]])</f>
        <v>286</v>
      </c>
      <c r="B296" s="188">
        <f>ROUNDDOWN((LineærRegression_Valg[[#This Row],[Tabel ID]]-1)/$B$5,0)+1</f>
        <v>72</v>
      </c>
      <c r="C296" s="188">
        <f t="shared" si="4"/>
        <v>2</v>
      </c>
      <c r="D296" s="188" t="b">
        <f>LineærRegression_Valg[[#This Row],[Afhængig variabel ID]]&lt;&gt;LineærRegression_Valg[[#This Row],[Uafhængig variabel ID]]</f>
        <v>1</v>
      </c>
      <c r="E296" t="b">
        <f>LineærRegression_Valg[[#This Row],[Afhængig variabel ID]]&lt;=$B$5</f>
        <v>0</v>
      </c>
      <c r="F296" t="str" cm="1">
        <f t="array" ref="F296">IF(LineærRegression_Valg[[#This Row],[Indenfor range]],INDEX(DataTitel_liste,LineærRegression_Valg[[#This Row],[Afhængig variabel ID]]),INDEX(DataTitel_liste,1))</f>
        <v>Eksempel 1 (interval)</v>
      </c>
      <c r="G296" s="188" t="str" cm="1">
        <f t="array" ref="G296">IF(LineærRegression_Valg[[#This Row],[Indenfor range]],IF(LineærRegression_Valg[[#This Row],[Intet overlap]],INDEX(DataTitel_liste,LineærRegression_Valg[[#This Row],[Uafhængig variabel ID]]),INDEX(DataTitel_liste,IF(LineærRegression_Valg[[#This Row],[Afhængig variabel ID]]=1,2,1))),$B$7)</f>
        <v>Eksempel 2 (interval)</v>
      </c>
      <c r="H296" s="188">
        <f>_xlfn.AGGREGATE(2,5,LineærRegression_Valg[[#This Row],[Tabel ID]])</f>
        <v>1</v>
      </c>
    </row>
    <row r="297" spans="1:8" x14ac:dyDescent="0.2">
      <c r="A297">
        <f>ROW(LineærRegression_Valg[[#This Row],[Tabel ID]])-ROW(LineærRegression_Valg[[#Headers],[Tabel ID]])</f>
        <v>287</v>
      </c>
      <c r="B297" s="188">
        <f>ROUNDDOWN((LineærRegression_Valg[[#This Row],[Tabel ID]]-1)/$B$5,0)+1</f>
        <v>72</v>
      </c>
      <c r="C297" s="188">
        <f t="shared" si="4"/>
        <v>3</v>
      </c>
      <c r="D297" s="188" t="b">
        <f>LineærRegression_Valg[[#This Row],[Afhængig variabel ID]]&lt;&gt;LineærRegression_Valg[[#This Row],[Uafhængig variabel ID]]</f>
        <v>1</v>
      </c>
      <c r="E297" t="b">
        <f>LineærRegression_Valg[[#This Row],[Afhængig variabel ID]]&lt;=$B$5</f>
        <v>0</v>
      </c>
      <c r="F297" t="str" cm="1">
        <f t="array" ref="F297">IF(LineærRegression_Valg[[#This Row],[Indenfor range]],INDEX(DataTitel_liste,LineærRegression_Valg[[#This Row],[Afhængig variabel ID]]),INDEX(DataTitel_liste,1))</f>
        <v>Eksempel 1 (interval)</v>
      </c>
      <c r="G297" s="188" t="str" cm="1">
        <f t="array" ref="G297">IF(LineærRegression_Valg[[#This Row],[Indenfor range]],IF(LineærRegression_Valg[[#This Row],[Intet overlap]],INDEX(DataTitel_liste,LineærRegression_Valg[[#This Row],[Uafhængig variabel ID]]),INDEX(DataTitel_liste,IF(LineærRegression_Valg[[#This Row],[Afhængig variabel ID]]=1,2,1))),$B$7)</f>
        <v>Eksempel 2 (interval)</v>
      </c>
      <c r="H297" s="188">
        <f>_xlfn.AGGREGATE(2,5,LineærRegression_Valg[[#This Row],[Tabel ID]])</f>
        <v>1</v>
      </c>
    </row>
    <row r="298" spans="1:8" x14ac:dyDescent="0.2">
      <c r="A298">
        <f>ROW(LineærRegression_Valg[[#This Row],[Tabel ID]])-ROW(LineærRegression_Valg[[#Headers],[Tabel ID]])</f>
        <v>288</v>
      </c>
      <c r="B298" s="188">
        <f>ROUNDDOWN((LineærRegression_Valg[[#This Row],[Tabel ID]]-1)/$B$5,0)+1</f>
        <v>72</v>
      </c>
      <c r="C298" s="188">
        <f t="shared" si="4"/>
        <v>4</v>
      </c>
      <c r="D298" s="188" t="b">
        <f>LineærRegression_Valg[[#This Row],[Afhængig variabel ID]]&lt;&gt;LineærRegression_Valg[[#This Row],[Uafhængig variabel ID]]</f>
        <v>1</v>
      </c>
      <c r="E298" t="b">
        <f>LineærRegression_Valg[[#This Row],[Afhængig variabel ID]]&lt;=$B$5</f>
        <v>0</v>
      </c>
      <c r="F298" t="str" cm="1">
        <f t="array" ref="F298">IF(LineærRegression_Valg[[#This Row],[Indenfor range]],INDEX(DataTitel_liste,LineærRegression_Valg[[#This Row],[Afhængig variabel ID]]),INDEX(DataTitel_liste,1))</f>
        <v>Eksempel 1 (interval)</v>
      </c>
      <c r="G298" s="188" t="str" cm="1">
        <f t="array" ref="G298">IF(LineærRegression_Valg[[#This Row],[Indenfor range]],IF(LineærRegression_Valg[[#This Row],[Intet overlap]],INDEX(DataTitel_liste,LineærRegression_Valg[[#This Row],[Uafhængig variabel ID]]),INDEX(DataTitel_liste,IF(LineærRegression_Valg[[#This Row],[Afhængig variabel ID]]=1,2,1))),$B$7)</f>
        <v>Eksempel 2 (interval)</v>
      </c>
      <c r="H298" s="188">
        <f>_xlfn.AGGREGATE(2,5,LineærRegression_Valg[[#This Row],[Tabel ID]])</f>
        <v>1</v>
      </c>
    </row>
    <row r="299" spans="1:8" x14ac:dyDescent="0.2">
      <c r="A299">
        <f>ROW(LineærRegression_Valg[[#This Row],[Tabel ID]])-ROW(LineærRegression_Valg[[#Headers],[Tabel ID]])</f>
        <v>289</v>
      </c>
      <c r="B299" s="188">
        <f>ROUNDDOWN((LineærRegression_Valg[[#This Row],[Tabel ID]]-1)/$B$5,0)+1</f>
        <v>73</v>
      </c>
      <c r="C299" s="188">
        <f t="shared" si="4"/>
        <v>1</v>
      </c>
      <c r="D299" s="188" t="b">
        <f>LineærRegression_Valg[[#This Row],[Afhængig variabel ID]]&lt;&gt;LineærRegression_Valg[[#This Row],[Uafhængig variabel ID]]</f>
        <v>1</v>
      </c>
      <c r="E299" t="b">
        <f>LineærRegression_Valg[[#This Row],[Afhængig variabel ID]]&lt;=$B$5</f>
        <v>0</v>
      </c>
      <c r="F299" t="str" cm="1">
        <f t="array" ref="F299">IF(LineærRegression_Valg[[#This Row],[Indenfor range]],INDEX(DataTitel_liste,LineærRegression_Valg[[#This Row],[Afhængig variabel ID]]),INDEX(DataTitel_liste,1))</f>
        <v>Eksempel 1 (interval)</v>
      </c>
      <c r="G299" s="188" t="str" cm="1">
        <f t="array" ref="G299">IF(LineærRegression_Valg[[#This Row],[Indenfor range]],IF(LineærRegression_Valg[[#This Row],[Intet overlap]],INDEX(DataTitel_liste,LineærRegression_Valg[[#This Row],[Uafhængig variabel ID]]),INDEX(DataTitel_liste,IF(LineærRegression_Valg[[#This Row],[Afhængig variabel ID]]=1,2,1))),$B$7)</f>
        <v>Eksempel 2 (interval)</v>
      </c>
      <c r="H299" s="188">
        <f>_xlfn.AGGREGATE(2,5,LineærRegression_Valg[[#This Row],[Tabel ID]])</f>
        <v>1</v>
      </c>
    </row>
    <row r="300" spans="1:8" x14ac:dyDescent="0.2">
      <c r="A300">
        <f>ROW(LineærRegression_Valg[[#This Row],[Tabel ID]])-ROW(LineærRegression_Valg[[#Headers],[Tabel ID]])</f>
        <v>290</v>
      </c>
      <c r="B300" s="188">
        <f>ROUNDDOWN((LineærRegression_Valg[[#This Row],[Tabel ID]]-1)/$B$5,0)+1</f>
        <v>73</v>
      </c>
      <c r="C300" s="188">
        <f t="shared" si="4"/>
        <v>2</v>
      </c>
      <c r="D300" s="188" t="b">
        <f>LineærRegression_Valg[[#This Row],[Afhængig variabel ID]]&lt;&gt;LineærRegression_Valg[[#This Row],[Uafhængig variabel ID]]</f>
        <v>1</v>
      </c>
      <c r="E300" t="b">
        <f>LineærRegression_Valg[[#This Row],[Afhængig variabel ID]]&lt;=$B$5</f>
        <v>0</v>
      </c>
      <c r="F300" t="str" cm="1">
        <f t="array" ref="F300">IF(LineærRegression_Valg[[#This Row],[Indenfor range]],INDEX(DataTitel_liste,LineærRegression_Valg[[#This Row],[Afhængig variabel ID]]),INDEX(DataTitel_liste,1))</f>
        <v>Eksempel 1 (interval)</v>
      </c>
      <c r="G300" s="188" t="str" cm="1">
        <f t="array" ref="G300">IF(LineærRegression_Valg[[#This Row],[Indenfor range]],IF(LineærRegression_Valg[[#This Row],[Intet overlap]],INDEX(DataTitel_liste,LineærRegression_Valg[[#This Row],[Uafhængig variabel ID]]),INDEX(DataTitel_liste,IF(LineærRegression_Valg[[#This Row],[Afhængig variabel ID]]=1,2,1))),$B$7)</f>
        <v>Eksempel 2 (interval)</v>
      </c>
      <c r="H300" s="188">
        <f>_xlfn.AGGREGATE(2,5,LineærRegression_Valg[[#This Row],[Tabel ID]])</f>
        <v>1</v>
      </c>
    </row>
    <row r="301" spans="1:8" x14ac:dyDescent="0.2">
      <c r="A301">
        <f>ROW(LineærRegression_Valg[[#This Row],[Tabel ID]])-ROW(LineærRegression_Valg[[#Headers],[Tabel ID]])</f>
        <v>291</v>
      </c>
      <c r="B301" s="188">
        <f>ROUNDDOWN((LineærRegression_Valg[[#This Row],[Tabel ID]]-1)/$B$5,0)+1</f>
        <v>73</v>
      </c>
      <c r="C301" s="188">
        <f t="shared" si="4"/>
        <v>3</v>
      </c>
      <c r="D301" s="188" t="b">
        <f>LineærRegression_Valg[[#This Row],[Afhængig variabel ID]]&lt;&gt;LineærRegression_Valg[[#This Row],[Uafhængig variabel ID]]</f>
        <v>1</v>
      </c>
      <c r="E301" t="b">
        <f>LineærRegression_Valg[[#This Row],[Afhængig variabel ID]]&lt;=$B$5</f>
        <v>0</v>
      </c>
      <c r="F301" t="str" cm="1">
        <f t="array" ref="F301">IF(LineærRegression_Valg[[#This Row],[Indenfor range]],INDEX(DataTitel_liste,LineærRegression_Valg[[#This Row],[Afhængig variabel ID]]),INDEX(DataTitel_liste,1))</f>
        <v>Eksempel 1 (interval)</v>
      </c>
      <c r="G301" s="188" t="str" cm="1">
        <f t="array" ref="G301">IF(LineærRegression_Valg[[#This Row],[Indenfor range]],IF(LineærRegression_Valg[[#This Row],[Intet overlap]],INDEX(DataTitel_liste,LineærRegression_Valg[[#This Row],[Uafhængig variabel ID]]),INDEX(DataTitel_liste,IF(LineærRegression_Valg[[#This Row],[Afhængig variabel ID]]=1,2,1))),$B$7)</f>
        <v>Eksempel 2 (interval)</v>
      </c>
      <c r="H301" s="188">
        <f>_xlfn.AGGREGATE(2,5,LineærRegression_Valg[[#This Row],[Tabel ID]])</f>
        <v>1</v>
      </c>
    </row>
    <row r="302" spans="1:8" x14ac:dyDescent="0.2">
      <c r="A302">
        <f>ROW(LineærRegression_Valg[[#This Row],[Tabel ID]])-ROW(LineærRegression_Valg[[#Headers],[Tabel ID]])</f>
        <v>292</v>
      </c>
      <c r="B302" s="188">
        <f>ROUNDDOWN((LineærRegression_Valg[[#This Row],[Tabel ID]]-1)/$B$5,0)+1</f>
        <v>73</v>
      </c>
      <c r="C302" s="188">
        <f t="shared" si="4"/>
        <v>4</v>
      </c>
      <c r="D302" s="188" t="b">
        <f>LineærRegression_Valg[[#This Row],[Afhængig variabel ID]]&lt;&gt;LineærRegression_Valg[[#This Row],[Uafhængig variabel ID]]</f>
        <v>1</v>
      </c>
      <c r="E302" t="b">
        <f>LineærRegression_Valg[[#This Row],[Afhængig variabel ID]]&lt;=$B$5</f>
        <v>0</v>
      </c>
      <c r="F302" t="str" cm="1">
        <f t="array" ref="F302">IF(LineærRegression_Valg[[#This Row],[Indenfor range]],INDEX(DataTitel_liste,LineærRegression_Valg[[#This Row],[Afhængig variabel ID]]),INDEX(DataTitel_liste,1))</f>
        <v>Eksempel 1 (interval)</v>
      </c>
      <c r="G302" s="188" t="str" cm="1">
        <f t="array" ref="G302">IF(LineærRegression_Valg[[#This Row],[Indenfor range]],IF(LineærRegression_Valg[[#This Row],[Intet overlap]],INDEX(DataTitel_liste,LineærRegression_Valg[[#This Row],[Uafhængig variabel ID]]),INDEX(DataTitel_liste,IF(LineærRegression_Valg[[#This Row],[Afhængig variabel ID]]=1,2,1))),$B$7)</f>
        <v>Eksempel 2 (interval)</v>
      </c>
      <c r="H302" s="188">
        <f>_xlfn.AGGREGATE(2,5,LineærRegression_Valg[[#This Row],[Tabel ID]])</f>
        <v>1</v>
      </c>
    </row>
    <row r="303" spans="1:8" x14ac:dyDescent="0.2">
      <c r="A303">
        <f>ROW(LineærRegression_Valg[[#This Row],[Tabel ID]])-ROW(LineærRegression_Valg[[#Headers],[Tabel ID]])</f>
        <v>293</v>
      </c>
      <c r="B303" s="188">
        <f>ROUNDDOWN((LineærRegression_Valg[[#This Row],[Tabel ID]]-1)/$B$5,0)+1</f>
        <v>74</v>
      </c>
      <c r="C303" s="188">
        <f t="shared" si="4"/>
        <v>1</v>
      </c>
      <c r="D303" s="188" t="b">
        <f>LineærRegression_Valg[[#This Row],[Afhængig variabel ID]]&lt;&gt;LineærRegression_Valg[[#This Row],[Uafhængig variabel ID]]</f>
        <v>1</v>
      </c>
      <c r="E303" t="b">
        <f>LineærRegression_Valg[[#This Row],[Afhængig variabel ID]]&lt;=$B$5</f>
        <v>0</v>
      </c>
      <c r="F303" t="str" cm="1">
        <f t="array" ref="F303">IF(LineærRegression_Valg[[#This Row],[Indenfor range]],INDEX(DataTitel_liste,LineærRegression_Valg[[#This Row],[Afhængig variabel ID]]),INDEX(DataTitel_liste,1))</f>
        <v>Eksempel 1 (interval)</v>
      </c>
      <c r="G303" s="188" t="str" cm="1">
        <f t="array" ref="G303">IF(LineærRegression_Valg[[#This Row],[Indenfor range]],IF(LineærRegression_Valg[[#This Row],[Intet overlap]],INDEX(DataTitel_liste,LineærRegression_Valg[[#This Row],[Uafhængig variabel ID]]),INDEX(DataTitel_liste,IF(LineærRegression_Valg[[#This Row],[Afhængig variabel ID]]=1,2,1))),$B$7)</f>
        <v>Eksempel 2 (interval)</v>
      </c>
      <c r="H303" s="188">
        <f>_xlfn.AGGREGATE(2,5,LineærRegression_Valg[[#This Row],[Tabel ID]])</f>
        <v>1</v>
      </c>
    </row>
    <row r="304" spans="1:8" x14ac:dyDescent="0.2">
      <c r="A304">
        <f>ROW(LineærRegression_Valg[[#This Row],[Tabel ID]])-ROW(LineærRegression_Valg[[#Headers],[Tabel ID]])</f>
        <v>294</v>
      </c>
      <c r="B304" s="188">
        <f>ROUNDDOWN((LineærRegression_Valg[[#This Row],[Tabel ID]]-1)/$B$5,0)+1</f>
        <v>74</v>
      </c>
      <c r="C304" s="188">
        <f t="shared" si="4"/>
        <v>2</v>
      </c>
      <c r="D304" s="188" t="b">
        <f>LineærRegression_Valg[[#This Row],[Afhængig variabel ID]]&lt;&gt;LineærRegression_Valg[[#This Row],[Uafhængig variabel ID]]</f>
        <v>1</v>
      </c>
      <c r="E304" t="b">
        <f>LineærRegression_Valg[[#This Row],[Afhængig variabel ID]]&lt;=$B$5</f>
        <v>0</v>
      </c>
      <c r="F304" t="str" cm="1">
        <f t="array" ref="F304">IF(LineærRegression_Valg[[#This Row],[Indenfor range]],INDEX(DataTitel_liste,LineærRegression_Valg[[#This Row],[Afhængig variabel ID]]),INDEX(DataTitel_liste,1))</f>
        <v>Eksempel 1 (interval)</v>
      </c>
      <c r="G304" s="188" t="str" cm="1">
        <f t="array" ref="G304">IF(LineærRegression_Valg[[#This Row],[Indenfor range]],IF(LineærRegression_Valg[[#This Row],[Intet overlap]],INDEX(DataTitel_liste,LineærRegression_Valg[[#This Row],[Uafhængig variabel ID]]),INDEX(DataTitel_liste,IF(LineærRegression_Valg[[#This Row],[Afhængig variabel ID]]=1,2,1))),$B$7)</f>
        <v>Eksempel 2 (interval)</v>
      </c>
      <c r="H304" s="188">
        <f>_xlfn.AGGREGATE(2,5,LineærRegression_Valg[[#This Row],[Tabel ID]])</f>
        <v>1</v>
      </c>
    </row>
    <row r="305" spans="1:8" x14ac:dyDescent="0.2">
      <c r="A305">
        <f>ROW(LineærRegression_Valg[[#This Row],[Tabel ID]])-ROW(LineærRegression_Valg[[#Headers],[Tabel ID]])</f>
        <v>295</v>
      </c>
      <c r="B305" s="188">
        <f>ROUNDDOWN((LineærRegression_Valg[[#This Row],[Tabel ID]]-1)/$B$5,0)+1</f>
        <v>74</v>
      </c>
      <c r="C305" s="188">
        <f t="shared" si="4"/>
        <v>3</v>
      </c>
      <c r="D305" s="188" t="b">
        <f>LineærRegression_Valg[[#This Row],[Afhængig variabel ID]]&lt;&gt;LineærRegression_Valg[[#This Row],[Uafhængig variabel ID]]</f>
        <v>1</v>
      </c>
      <c r="E305" t="b">
        <f>LineærRegression_Valg[[#This Row],[Afhængig variabel ID]]&lt;=$B$5</f>
        <v>0</v>
      </c>
      <c r="F305" t="str" cm="1">
        <f t="array" ref="F305">IF(LineærRegression_Valg[[#This Row],[Indenfor range]],INDEX(DataTitel_liste,LineærRegression_Valg[[#This Row],[Afhængig variabel ID]]),INDEX(DataTitel_liste,1))</f>
        <v>Eksempel 1 (interval)</v>
      </c>
      <c r="G305" s="188" t="str" cm="1">
        <f t="array" ref="G305">IF(LineærRegression_Valg[[#This Row],[Indenfor range]],IF(LineærRegression_Valg[[#This Row],[Intet overlap]],INDEX(DataTitel_liste,LineærRegression_Valg[[#This Row],[Uafhængig variabel ID]]),INDEX(DataTitel_liste,IF(LineærRegression_Valg[[#This Row],[Afhængig variabel ID]]=1,2,1))),$B$7)</f>
        <v>Eksempel 2 (interval)</v>
      </c>
      <c r="H305" s="188">
        <f>_xlfn.AGGREGATE(2,5,LineærRegression_Valg[[#This Row],[Tabel ID]])</f>
        <v>1</v>
      </c>
    </row>
    <row r="306" spans="1:8" x14ac:dyDescent="0.2">
      <c r="A306">
        <f>ROW(LineærRegression_Valg[[#This Row],[Tabel ID]])-ROW(LineærRegression_Valg[[#Headers],[Tabel ID]])</f>
        <v>296</v>
      </c>
      <c r="B306" s="188">
        <f>ROUNDDOWN((LineærRegression_Valg[[#This Row],[Tabel ID]]-1)/$B$5,0)+1</f>
        <v>74</v>
      </c>
      <c r="C306" s="188">
        <f t="shared" si="4"/>
        <v>4</v>
      </c>
      <c r="D306" s="188" t="b">
        <f>LineærRegression_Valg[[#This Row],[Afhængig variabel ID]]&lt;&gt;LineærRegression_Valg[[#This Row],[Uafhængig variabel ID]]</f>
        <v>1</v>
      </c>
      <c r="E306" t="b">
        <f>LineærRegression_Valg[[#This Row],[Afhængig variabel ID]]&lt;=$B$5</f>
        <v>0</v>
      </c>
      <c r="F306" t="str" cm="1">
        <f t="array" ref="F306">IF(LineærRegression_Valg[[#This Row],[Indenfor range]],INDEX(DataTitel_liste,LineærRegression_Valg[[#This Row],[Afhængig variabel ID]]),INDEX(DataTitel_liste,1))</f>
        <v>Eksempel 1 (interval)</v>
      </c>
      <c r="G306" s="188" t="str" cm="1">
        <f t="array" ref="G306">IF(LineærRegression_Valg[[#This Row],[Indenfor range]],IF(LineærRegression_Valg[[#This Row],[Intet overlap]],INDEX(DataTitel_liste,LineærRegression_Valg[[#This Row],[Uafhængig variabel ID]]),INDEX(DataTitel_liste,IF(LineærRegression_Valg[[#This Row],[Afhængig variabel ID]]=1,2,1))),$B$7)</f>
        <v>Eksempel 2 (interval)</v>
      </c>
      <c r="H306" s="188">
        <f>_xlfn.AGGREGATE(2,5,LineærRegression_Valg[[#This Row],[Tabel ID]])</f>
        <v>1</v>
      </c>
    </row>
    <row r="307" spans="1:8" x14ac:dyDescent="0.2">
      <c r="A307">
        <f>ROW(LineærRegression_Valg[[#This Row],[Tabel ID]])-ROW(LineærRegression_Valg[[#Headers],[Tabel ID]])</f>
        <v>297</v>
      </c>
      <c r="B307" s="188">
        <f>ROUNDDOWN((LineærRegression_Valg[[#This Row],[Tabel ID]]-1)/$B$5,0)+1</f>
        <v>75</v>
      </c>
      <c r="C307" s="188">
        <f t="shared" si="4"/>
        <v>1</v>
      </c>
      <c r="D307" s="188" t="b">
        <f>LineærRegression_Valg[[#This Row],[Afhængig variabel ID]]&lt;&gt;LineærRegression_Valg[[#This Row],[Uafhængig variabel ID]]</f>
        <v>1</v>
      </c>
      <c r="E307" t="b">
        <f>LineærRegression_Valg[[#This Row],[Afhængig variabel ID]]&lt;=$B$5</f>
        <v>0</v>
      </c>
      <c r="F307" t="str" cm="1">
        <f t="array" ref="F307">IF(LineærRegression_Valg[[#This Row],[Indenfor range]],INDEX(DataTitel_liste,LineærRegression_Valg[[#This Row],[Afhængig variabel ID]]),INDEX(DataTitel_liste,1))</f>
        <v>Eksempel 1 (interval)</v>
      </c>
      <c r="G307" s="188" t="str" cm="1">
        <f t="array" ref="G307">IF(LineærRegression_Valg[[#This Row],[Indenfor range]],IF(LineærRegression_Valg[[#This Row],[Intet overlap]],INDEX(DataTitel_liste,LineærRegression_Valg[[#This Row],[Uafhængig variabel ID]]),INDEX(DataTitel_liste,IF(LineærRegression_Valg[[#This Row],[Afhængig variabel ID]]=1,2,1))),$B$7)</f>
        <v>Eksempel 2 (interval)</v>
      </c>
      <c r="H307" s="188">
        <f>_xlfn.AGGREGATE(2,5,LineærRegression_Valg[[#This Row],[Tabel ID]])</f>
        <v>1</v>
      </c>
    </row>
    <row r="308" spans="1:8" x14ac:dyDescent="0.2">
      <c r="A308">
        <f>ROW(LineærRegression_Valg[[#This Row],[Tabel ID]])-ROW(LineærRegression_Valg[[#Headers],[Tabel ID]])</f>
        <v>298</v>
      </c>
      <c r="B308" s="188">
        <f>ROUNDDOWN((LineærRegression_Valg[[#This Row],[Tabel ID]]-1)/$B$5,0)+1</f>
        <v>75</v>
      </c>
      <c r="C308" s="188">
        <f t="shared" si="4"/>
        <v>2</v>
      </c>
      <c r="D308" s="188" t="b">
        <f>LineærRegression_Valg[[#This Row],[Afhængig variabel ID]]&lt;&gt;LineærRegression_Valg[[#This Row],[Uafhængig variabel ID]]</f>
        <v>1</v>
      </c>
      <c r="E308" t="b">
        <f>LineærRegression_Valg[[#This Row],[Afhængig variabel ID]]&lt;=$B$5</f>
        <v>0</v>
      </c>
      <c r="F308" t="str" cm="1">
        <f t="array" ref="F308">IF(LineærRegression_Valg[[#This Row],[Indenfor range]],INDEX(DataTitel_liste,LineærRegression_Valg[[#This Row],[Afhængig variabel ID]]),INDEX(DataTitel_liste,1))</f>
        <v>Eksempel 1 (interval)</v>
      </c>
      <c r="G308" s="188" t="str" cm="1">
        <f t="array" ref="G308">IF(LineærRegression_Valg[[#This Row],[Indenfor range]],IF(LineærRegression_Valg[[#This Row],[Intet overlap]],INDEX(DataTitel_liste,LineærRegression_Valg[[#This Row],[Uafhængig variabel ID]]),INDEX(DataTitel_liste,IF(LineærRegression_Valg[[#This Row],[Afhængig variabel ID]]=1,2,1))),$B$7)</f>
        <v>Eksempel 2 (interval)</v>
      </c>
      <c r="H308" s="188">
        <f>_xlfn.AGGREGATE(2,5,LineærRegression_Valg[[#This Row],[Tabel ID]])</f>
        <v>1</v>
      </c>
    </row>
    <row r="309" spans="1:8" x14ac:dyDescent="0.2">
      <c r="A309">
        <f>ROW(LineærRegression_Valg[[#This Row],[Tabel ID]])-ROW(LineærRegression_Valg[[#Headers],[Tabel ID]])</f>
        <v>299</v>
      </c>
      <c r="B309" s="188">
        <f>ROUNDDOWN((LineærRegression_Valg[[#This Row],[Tabel ID]]-1)/$B$5,0)+1</f>
        <v>75</v>
      </c>
      <c r="C309" s="188">
        <f t="shared" si="4"/>
        <v>3</v>
      </c>
      <c r="D309" s="188" t="b">
        <f>LineærRegression_Valg[[#This Row],[Afhængig variabel ID]]&lt;&gt;LineærRegression_Valg[[#This Row],[Uafhængig variabel ID]]</f>
        <v>1</v>
      </c>
      <c r="E309" t="b">
        <f>LineærRegression_Valg[[#This Row],[Afhængig variabel ID]]&lt;=$B$5</f>
        <v>0</v>
      </c>
      <c r="F309" t="str" cm="1">
        <f t="array" ref="F309">IF(LineærRegression_Valg[[#This Row],[Indenfor range]],INDEX(DataTitel_liste,LineærRegression_Valg[[#This Row],[Afhængig variabel ID]]),INDEX(DataTitel_liste,1))</f>
        <v>Eksempel 1 (interval)</v>
      </c>
      <c r="G309" s="188" t="str" cm="1">
        <f t="array" ref="G309">IF(LineærRegression_Valg[[#This Row],[Indenfor range]],IF(LineærRegression_Valg[[#This Row],[Intet overlap]],INDEX(DataTitel_liste,LineærRegression_Valg[[#This Row],[Uafhængig variabel ID]]),INDEX(DataTitel_liste,IF(LineærRegression_Valg[[#This Row],[Afhængig variabel ID]]=1,2,1))),$B$7)</f>
        <v>Eksempel 2 (interval)</v>
      </c>
      <c r="H309" s="188">
        <f>_xlfn.AGGREGATE(2,5,LineærRegression_Valg[[#This Row],[Tabel ID]])</f>
        <v>1</v>
      </c>
    </row>
    <row r="310" spans="1:8" x14ac:dyDescent="0.2">
      <c r="A310">
        <f>ROW(LineærRegression_Valg[[#This Row],[Tabel ID]])-ROW(LineærRegression_Valg[[#Headers],[Tabel ID]])</f>
        <v>300</v>
      </c>
      <c r="B310" s="188">
        <f>ROUNDDOWN((LineærRegression_Valg[[#This Row],[Tabel ID]]-1)/$B$5,0)+1</f>
        <v>75</v>
      </c>
      <c r="C310" s="188">
        <f t="shared" si="4"/>
        <v>4</v>
      </c>
      <c r="D310" s="188" t="b">
        <f>LineærRegression_Valg[[#This Row],[Afhængig variabel ID]]&lt;&gt;LineærRegression_Valg[[#This Row],[Uafhængig variabel ID]]</f>
        <v>1</v>
      </c>
      <c r="E310" t="b">
        <f>LineærRegression_Valg[[#This Row],[Afhængig variabel ID]]&lt;=$B$5</f>
        <v>0</v>
      </c>
      <c r="F310" t="str" cm="1">
        <f t="array" ref="F310">IF(LineærRegression_Valg[[#This Row],[Indenfor range]],INDEX(DataTitel_liste,LineærRegression_Valg[[#This Row],[Afhængig variabel ID]]),INDEX(DataTitel_liste,1))</f>
        <v>Eksempel 1 (interval)</v>
      </c>
      <c r="G310" s="188" t="str" cm="1">
        <f t="array" ref="G310">IF(LineærRegression_Valg[[#This Row],[Indenfor range]],IF(LineærRegression_Valg[[#This Row],[Intet overlap]],INDEX(DataTitel_liste,LineærRegression_Valg[[#This Row],[Uafhængig variabel ID]]),INDEX(DataTitel_liste,IF(LineærRegression_Valg[[#This Row],[Afhængig variabel ID]]=1,2,1))),$B$7)</f>
        <v>Eksempel 2 (interval)</v>
      </c>
      <c r="H310" s="188">
        <f>_xlfn.AGGREGATE(2,5,LineærRegression_Valg[[#This Row],[Tabel ID]])</f>
        <v>1</v>
      </c>
    </row>
    <row r="311" spans="1:8" x14ac:dyDescent="0.2">
      <c r="A311">
        <f>ROW(LineærRegression_Valg[[#This Row],[Tabel ID]])-ROW(LineærRegression_Valg[[#Headers],[Tabel ID]])</f>
        <v>301</v>
      </c>
      <c r="B311" s="188">
        <f>ROUNDDOWN((LineærRegression_Valg[[#This Row],[Tabel ID]]-1)/$B$5,0)+1</f>
        <v>76</v>
      </c>
      <c r="C311" s="188">
        <f t="shared" si="4"/>
        <v>1</v>
      </c>
      <c r="D311" s="188" t="b">
        <f>LineærRegression_Valg[[#This Row],[Afhængig variabel ID]]&lt;&gt;LineærRegression_Valg[[#This Row],[Uafhængig variabel ID]]</f>
        <v>1</v>
      </c>
      <c r="E311" t="b">
        <f>LineærRegression_Valg[[#This Row],[Afhængig variabel ID]]&lt;=$B$5</f>
        <v>0</v>
      </c>
      <c r="F311" t="str" cm="1">
        <f t="array" ref="F311">IF(LineærRegression_Valg[[#This Row],[Indenfor range]],INDEX(DataTitel_liste,LineærRegression_Valg[[#This Row],[Afhængig variabel ID]]),INDEX(DataTitel_liste,1))</f>
        <v>Eksempel 1 (interval)</v>
      </c>
      <c r="G311" s="188" t="str" cm="1">
        <f t="array" ref="G311">IF(LineærRegression_Valg[[#This Row],[Indenfor range]],IF(LineærRegression_Valg[[#This Row],[Intet overlap]],INDEX(DataTitel_liste,LineærRegression_Valg[[#This Row],[Uafhængig variabel ID]]),INDEX(DataTitel_liste,IF(LineærRegression_Valg[[#This Row],[Afhængig variabel ID]]=1,2,1))),$B$7)</f>
        <v>Eksempel 2 (interval)</v>
      </c>
      <c r="H311" s="188">
        <f>_xlfn.AGGREGATE(2,5,LineærRegression_Valg[[#This Row],[Tabel ID]])</f>
        <v>1</v>
      </c>
    </row>
    <row r="312" spans="1:8" x14ac:dyDescent="0.2">
      <c r="A312">
        <f>ROW(LineærRegression_Valg[[#This Row],[Tabel ID]])-ROW(LineærRegression_Valg[[#Headers],[Tabel ID]])</f>
        <v>302</v>
      </c>
      <c r="B312" s="188">
        <f>ROUNDDOWN((LineærRegression_Valg[[#This Row],[Tabel ID]]-1)/$B$5,0)+1</f>
        <v>76</v>
      </c>
      <c r="C312" s="188">
        <f t="shared" si="4"/>
        <v>2</v>
      </c>
      <c r="D312" s="188" t="b">
        <f>LineærRegression_Valg[[#This Row],[Afhængig variabel ID]]&lt;&gt;LineærRegression_Valg[[#This Row],[Uafhængig variabel ID]]</f>
        <v>1</v>
      </c>
      <c r="E312" t="b">
        <f>LineærRegression_Valg[[#This Row],[Afhængig variabel ID]]&lt;=$B$5</f>
        <v>0</v>
      </c>
      <c r="F312" t="str" cm="1">
        <f t="array" ref="F312">IF(LineærRegression_Valg[[#This Row],[Indenfor range]],INDEX(DataTitel_liste,LineærRegression_Valg[[#This Row],[Afhængig variabel ID]]),INDEX(DataTitel_liste,1))</f>
        <v>Eksempel 1 (interval)</v>
      </c>
      <c r="G312" s="188" t="str" cm="1">
        <f t="array" ref="G312">IF(LineærRegression_Valg[[#This Row],[Indenfor range]],IF(LineærRegression_Valg[[#This Row],[Intet overlap]],INDEX(DataTitel_liste,LineærRegression_Valg[[#This Row],[Uafhængig variabel ID]]),INDEX(DataTitel_liste,IF(LineærRegression_Valg[[#This Row],[Afhængig variabel ID]]=1,2,1))),$B$7)</f>
        <v>Eksempel 2 (interval)</v>
      </c>
      <c r="H312" s="188">
        <f>_xlfn.AGGREGATE(2,5,LineærRegression_Valg[[#This Row],[Tabel ID]])</f>
        <v>1</v>
      </c>
    </row>
    <row r="313" spans="1:8" x14ac:dyDescent="0.2">
      <c r="A313">
        <f>ROW(LineærRegression_Valg[[#This Row],[Tabel ID]])-ROW(LineærRegression_Valg[[#Headers],[Tabel ID]])</f>
        <v>303</v>
      </c>
      <c r="B313" s="188">
        <f>ROUNDDOWN((LineærRegression_Valg[[#This Row],[Tabel ID]]-1)/$B$5,0)+1</f>
        <v>76</v>
      </c>
      <c r="C313" s="188">
        <f t="shared" si="4"/>
        <v>3</v>
      </c>
      <c r="D313" s="188" t="b">
        <f>LineærRegression_Valg[[#This Row],[Afhængig variabel ID]]&lt;&gt;LineærRegression_Valg[[#This Row],[Uafhængig variabel ID]]</f>
        <v>1</v>
      </c>
      <c r="E313" t="b">
        <f>LineærRegression_Valg[[#This Row],[Afhængig variabel ID]]&lt;=$B$5</f>
        <v>0</v>
      </c>
      <c r="F313" t="str" cm="1">
        <f t="array" ref="F313">IF(LineærRegression_Valg[[#This Row],[Indenfor range]],INDEX(DataTitel_liste,LineærRegression_Valg[[#This Row],[Afhængig variabel ID]]),INDEX(DataTitel_liste,1))</f>
        <v>Eksempel 1 (interval)</v>
      </c>
      <c r="G313" s="188" t="str" cm="1">
        <f t="array" ref="G313">IF(LineærRegression_Valg[[#This Row],[Indenfor range]],IF(LineærRegression_Valg[[#This Row],[Intet overlap]],INDEX(DataTitel_liste,LineærRegression_Valg[[#This Row],[Uafhængig variabel ID]]),INDEX(DataTitel_liste,IF(LineærRegression_Valg[[#This Row],[Afhængig variabel ID]]=1,2,1))),$B$7)</f>
        <v>Eksempel 2 (interval)</v>
      </c>
      <c r="H313" s="188">
        <f>_xlfn.AGGREGATE(2,5,LineærRegression_Valg[[#This Row],[Tabel ID]])</f>
        <v>1</v>
      </c>
    </row>
    <row r="314" spans="1:8" x14ac:dyDescent="0.2">
      <c r="A314">
        <f>ROW(LineærRegression_Valg[[#This Row],[Tabel ID]])-ROW(LineærRegression_Valg[[#Headers],[Tabel ID]])</f>
        <v>304</v>
      </c>
      <c r="B314" s="188">
        <f>ROUNDDOWN((LineærRegression_Valg[[#This Row],[Tabel ID]]-1)/$B$5,0)+1</f>
        <v>76</v>
      </c>
      <c r="C314" s="188">
        <f t="shared" si="4"/>
        <v>4</v>
      </c>
      <c r="D314" s="188" t="b">
        <f>LineærRegression_Valg[[#This Row],[Afhængig variabel ID]]&lt;&gt;LineærRegression_Valg[[#This Row],[Uafhængig variabel ID]]</f>
        <v>1</v>
      </c>
      <c r="E314" t="b">
        <f>LineærRegression_Valg[[#This Row],[Afhængig variabel ID]]&lt;=$B$5</f>
        <v>0</v>
      </c>
      <c r="F314" t="str" cm="1">
        <f t="array" ref="F314">IF(LineærRegression_Valg[[#This Row],[Indenfor range]],INDEX(DataTitel_liste,LineærRegression_Valg[[#This Row],[Afhængig variabel ID]]),INDEX(DataTitel_liste,1))</f>
        <v>Eksempel 1 (interval)</v>
      </c>
      <c r="G314" s="188" t="str" cm="1">
        <f t="array" ref="G314">IF(LineærRegression_Valg[[#This Row],[Indenfor range]],IF(LineærRegression_Valg[[#This Row],[Intet overlap]],INDEX(DataTitel_liste,LineærRegression_Valg[[#This Row],[Uafhængig variabel ID]]),INDEX(DataTitel_liste,IF(LineærRegression_Valg[[#This Row],[Afhængig variabel ID]]=1,2,1))),$B$7)</f>
        <v>Eksempel 2 (interval)</v>
      </c>
      <c r="H314" s="188">
        <f>_xlfn.AGGREGATE(2,5,LineærRegression_Valg[[#This Row],[Tabel ID]])</f>
        <v>1</v>
      </c>
    </row>
    <row r="315" spans="1:8" x14ac:dyDescent="0.2">
      <c r="A315">
        <f>ROW(LineærRegression_Valg[[#This Row],[Tabel ID]])-ROW(LineærRegression_Valg[[#Headers],[Tabel ID]])</f>
        <v>305</v>
      </c>
      <c r="B315" s="188">
        <f>ROUNDDOWN((LineærRegression_Valg[[#This Row],[Tabel ID]]-1)/$B$5,0)+1</f>
        <v>77</v>
      </c>
      <c r="C315" s="188">
        <f t="shared" si="4"/>
        <v>1</v>
      </c>
      <c r="D315" s="188" t="b">
        <f>LineærRegression_Valg[[#This Row],[Afhængig variabel ID]]&lt;&gt;LineærRegression_Valg[[#This Row],[Uafhængig variabel ID]]</f>
        <v>1</v>
      </c>
      <c r="E315" t="b">
        <f>LineærRegression_Valg[[#This Row],[Afhængig variabel ID]]&lt;=$B$5</f>
        <v>0</v>
      </c>
      <c r="F315" t="str" cm="1">
        <f t="array" ref="F315">IF(LineærRegression_Valg[[#This Row],[Indenfor range]],INDEX(DataTitel_liste,LineærRegression_Valg[[#This Row],[Afhængig variabel ID]]),INDEX(DataTitel_liste,1))</f>
        <v>Eksempel 1 (interval)</v>
      </c>
      <c r="G315" s="188" t="str" cm="1">
        <f t="array" ref="G315">IF(LineærRegression_Valg[[#This Row],[Indenfor range]],IF(LineærRegression_Valg[[#This Row],[Intet overlap]],INDEX(DataTitel_liste,LineærRegression_Valg[[#This Row],[Uafhængig variabel ID]]),INDEX(DataTitel_liste,IF(LineærRegression_Valg[[#This Row],[Afhængig variabel ID]]=1,2,1))),$B$7)</f>
        <v>Eksempel 2 (interval)</v>
      </c>
      <c r="H315" s="188">
        <f>_xlfn.AGGREGATE(2,5,LineærRegression_Valg[[#This Row],[Tabel ID]])</f>
        <v>1</v>
      </c>
    </row>
    <row r="316" spans="1:8" x14ac:dyDescent="0.2">
      <c r="A316">
        <f>ROW(LineærRegression_Valg[[#This Row],[Tabel ID]])-ROW(LineærRegression_Valg[[#Headers],[Tabel ID]])</f>
        <v>306</v>
      </c>
      <c r="B316" s="188">
        <f>ROUNDDOWN((LineærRegression_Valg[[#This Row],[Tabel ID]]-1)/$B$5,0)+1</f>
        <v>77</v>
      </c>
      <c r="C316" s="188">
        <f t="shared" si="4"/>
        <v>2</v>
      </c>
      <c r="D316" s="188" t="b">
        <f>LineærRegression_Valg[[#This Row],[Afhængig variabel ID]]&lt;&gt;LineærRegression_Valg[[#This Row],[Uafhængig variabel ID]]</f>
        <v>1</v>
      </c>
      <c r="E316" t="b">
        <f>LineærRegression_Valg[[#This Row],[Afhængig variabel ID]]&lt;=$B$5</f>
        <v>0</v>
      </c>
      <c r="F316" t="str" cm="1">
        <f t="array" ref="F316">IF(LineærRegression_Valg[[#This Row],[Indenfor range]],INDEX(DataTitel_liste,LineærRegression_Valg[[#This Row],[Afhængig variabel ID]]),INDEX(DataTitel_liste,1))</f>
        <v>Eksempel 1 (interval)</v>
      </c>
      <c r="G316" s="188" t="str" cm="1">
        <f t="array" ref="G316">IF(LineærRegression_Valg[[#This Row],[Indenfor range]],IF(LineærRegression_Valg[[#This Row],[Intet overlap]],INDEX(DataTitel_liste,LineærRegression_Valg[[#This Row],[Uafhængig variabel ID]]),INDEX(DataTitel_liste,IF(LineærRegression_Valg[[#This Row],[Afhængig variabel ID]]=1,2,1))),$B$7)</f>
        <v>Eksempel 2 (interval)</v>
      </c>
      <c r="H316" s="188">
        <f>_xlfn.AGGREGATE(2,5,LineærRegression_Valg[[#This Row],[Tabel ID]])</f>
        <v>1</v>
      </c>
    </row>
    <row r="317" spans="1:8" x14ac:dyDescent="0.2">
      <c r="A317">
        <f>ROW(LineærRegression_Valg[[#This Row],[Tabel ID]])-ROW(LineærRegression_Valg[[#Headers],[Tabel ID]])</f>
        <v>307</v>
      </c>
      <c r="B317" s="188">
        <f>ROUNDDOWN((LineærRegression_Valg[[#This Row],[Tabel ID]]-1)/$B$5,0)+1</f>
        <v>77</v>
      </c>
      <c r="C317" s="188">
        <f t="shared" si="4"/>
        <v>3</v>
      </c>
      <c r="D317" s="188" t="b">
        <f>LineærRegression_Valg[[#This Row],[Afhængig variabel ID]]&lt;&gt;LineærRegression_Valg[[#This Row],[Uafhængig variabel ID]]</f>
        <v>1</v>
      </c>
      <c r="E317" t="b">
        <f>LineærRegression_Valg[[#This Row],[Afhængig variabel ID]]&lt;=$B$5</f>
        <v>0</v>
      </c>
      <c r="F317" t="str" cm="1">
        <f t="array" ref="F317">IF(LineærRegression_Valg[[#This Row],[Indenfor range]],INDEX(DataTitel_liste,LineærRegression_Valg[[#This Row],[Afhængig variabel ID]]),INDEX(DataTitel_liste,1))</f>
        <v>Eksempel 1 (interval)</v>
      </c>
      <c r="G317" s="188" t="str" cm="1">
        <f t="array" ref="G317">IF(LineærRegression_Valg[[#This Row],[Indenfor range]],IF(LineærRegression_Valg[[#This Row],[Intet overlap]],INDEX(DataTitel_liste,LineærRegression_Valg[[#This Row],[Uafhængig variabel ID]]),INDEX(DataTitel_liste,IF(LineærRegression_Valg[[#This Row],[Afhængig variabel ID]]=1,2,1))),$B$7)</f>
        <v>Eksempel 2 (interval)</v>
      </c>
      <c r="H317" s="188">
        <f>_xlfn.AGGREGATE(2,5,LineærRegression_Valg[[#This Row],[Tabel ID]])</f>
        <v>1</v>
      </c>
    </row>
    <row r="318" spans="1:8" x14ac:dyDescent="0.2">
      <c r="A318">
        <f>ROW(LineærRegression_Valg[[#This Row],[Tabel ID]])-ROW(LineærRegression_Valg[[#Headers],[Tabel ID]])</f>
        <v>308</v>
      </c>
      <c r="B318" s="188">
        <f>ROUNDDOWN((LineærRegression_Valg[[#This Row],[Tabel ID]]-1)/$B$5,0)+1</f>
        <v>77</v>
      </c>
      <c r="C318" s="188">
        <f t="shared" si="4"/>
        <v>4</v>
      </c>
      <c r="D318" s="188" t="b">
        <f>LineærRegression_Valg[[#This Row],[Afhængig variabel ID]]&lt;&gt;LineærRegression_Valg[[#This Row],[Uafhængig variabel ID]]</f>
        <v>1</v>
      </c>
      <c r="E318" t="b">
        <f>LineærRegression_Valg[[#This Row],[Afhængig variabel ID]]&lt;=$B$5</f>
        <v>0</v>
      </c>
      <c r="F318" t="str" cm="1">
        <f t="array" ref="F318">IF(LineærRegression_Valg[[#This Row],[Indenfor range]],INDEX(DataTitel_liste,LineærRegression_Valg[[#This Row],[Afhængig variabel ID]]),INDEX(DataTitel_liste,1))</f>
        <v>Eksempel 1 (interval)</v>
      </c>
      <c r="G318" s="188" t="str" cm="1">
        <f t="array" ref="G318">IF(LineærRegression_Valg[[#This Row],[Indenfor range]],IF(LineærRegression_Valg[[#This Row],[Intet overlap]],INDEX(DataTitel_liste,LineærRegression_Valg[[#This Row],[Uafhængig variabel ID]]),INDEX(DataTitel_liste,IF(LineærRegression_Valg[[#This Row],[Afhængig variabel ID]]=1,2,1))),$B$7)</f>
        <v>Eksempel 2 (interval)</v>
      </c>
      <c r="H318" s="188">
        <f>_xlfn.AGGREGATE(2,5,LineærRegression_Valg[[#This Row],[Tabel ID]])</f>
        <v>1</v>
      </c>
    </row>
    <row r="319" spans="1:8" x14ac:dyDescent="0.2">
      <c r="A319">
        <f>ROW(LineærRegression_Valg[[#This Row],[Tabel ID]])-ROW(LineærRegression_Valg[[#Headers],[Tabel ID]])</f>
        <v>309</v>
      </c>
      <c r="B319" s="188">
        <f>ROUNDDOWN((LineærRegression_Valg[[#This Row],[Tabel ID]]-1)/$B$5,0)+1</f>
        <v>78</v>
      </c>
      <c r="C319" s="188">
        <f t="shared" si="4"/>
        <v>1</v>
      </c>
      <c r="D319" s="188" t="b">
        <f>LineærRegression_Valg[[#This Row],[Afhængig variabel ID]]&lt;&gt;LineærRegression_Valg[[#This Row],[Uafhængig variabel ID]]</f>
        <v>1</v>
      </c>
      <c r="E319" t="b">
        <f>LineærRegression_Valg[[#This Row],[Afhængig variabel ID]]&lt;=$B$5</f>
        <v>0</v>
      </c>
      <c r="F319" t="str" cm="1">
        <f t="array" ref="F319">IF(LineærRegression_Valg[[#This Row],[Indenfor range]],INDEX(DataTitel_liste,LineærRegression_Valg[[#This Row],[Afhængig variabel ID]]),INDEX(DataTitel_liste,1))</f>
        <v>Eksempel 1 (interval)</v>
      </c>
      <c r="G319" s="188" t="str" cm="1">
        <f t="array" ref="G319">IF(LineærRegression_Valg[[#This Row],[Indenfor range]],IF(LineærRegression_Valg[[#This Row],[Intet overlap]],INDEX(DataTitel_liste,LineærRegression_Valg[[#This Row],[Uafhængig variabel ID]]),INDEX(DataTitel_liste,IF(LineærRegression_Valg[[#This Row],[Afhængig variabel ID]]=1,2,1))),$B$7)</f>
        <v>Eksempel 2 (interval)</v>
      </c>
      <c r="H319" s="188">
        <f>_xlfn.AGGREGATE(2,5,LineærRegression_Valg[[#This Row],[Tabel ID]])</f>
        <v>1</v>
      </c>
    </row>
    <row r="320" spans="1:8" x14ac:dyDescent="0.2">
      <c r="A320">
        <f>ROW(LineærRegression_Valg[[#This Row],[Tabel ID]])-ROW(LineærRegression_Valg[[#Headers],[Tabel ID]])</f>
        <v>310</v>
      </c>
      <c r="B320" s="188">
        <f>ROUNDDOWN((LineærRegression_Valg[[#This Row],[Tabel ID]]-1)/$B$5,0)+1</f>
        <v>78</v>
      </c>
      <c r="C320" s="188">
        <f t="shared" si="4"/>
        <v>2</v>
      </c>
      <c r="D320" s="188" t="b">
        <f>LineærRegression_Valg[[#This Row],[Afhængig variabel ID]]&lt;&gt;LineærRegression_Valg[[#This Row],[Uafhængig variabel ID]]</f>
        <v>1</v>
      </c>
      <c r="E320" t="b">
        <f>LineærRegression_Valg[[#This Row],[Afhængig variabel ID]]&lt;=$B$5</f>
        <v>0</v>
      </c>
      <c r="F320" t="str" cm="1">
        <f t="array" ref="F320">IF(LineærRegression_Valg[[#This Row],[Indenfor range]],INDEX(DataTitel_liste,LineærRegression_Valg[[#This Row],[Afhængig variabel ID]]),INDEX(DataTitel_liste,1))</f>
        <v>Eksempel 1 (interval)</v>
      </c>
      <c r="G320" s="188" t="str" cm="1">
        <f t="array" ref="G320">IF(LineærRegression_Valg[[#This Row],[Indenfor range]],IF(LineærRegression_Valg[[#This Row],[Intet overlap]],INDEX(DataTitel_liste,LineærRegression_Valg[[#This Row],[Uafhængig variabel ID]]),INDEX(DataTitel_liste,IF(LineærRegression_Valg[[#This Row],[Afhængig variabel ID]]=1,2,1))),$B$7)</f>
        <v>Eksempel 2 (interval)</v>
      </c>
      <c r="H320" s="188">
        <f>_xlfn.AGGREGATE(2,5,LineærRegression_Valg[[#This Row],[Tabel ID]])</f>
        <v>1</v>
      </c>
    </row>
    <row r="321" spans="1:8" x14ac:dyDescent="0.2">
      <c r="A321">
        <f>ROW(LineærRegression_Valg[[#This Row],[Tabel ID]])-ROW(LineærRegression_Valg[[#Headers],[Tabel ID]])</f>
        <v>311</v>
      </c>
      <c r="B321" s="188">
        <f>ROUNDDOWN((LineærRegression_Valg[[#This Row],[Tabel ID]]-1)/$B$5,0)+1</f>
        <v>78</v>
      </c>
      <c r="C321" s="188">
        <f t="shared" si="4"/>
        <v>3</v>
      </c>
      <c r="D321" s="188" t="b">
        <f>LineærRegression_Valg[[#This Row],[Afhængig variabel ID]]&lt;&gt;LineærRegression_Valg[[#This Row],[Uafhængig variabel ID]]</f>
        <v>1</v>
      </c>
      <c r="E321" t="b">
        <f>LineærRegression_Valg[[#This Row],[Afhængig variabel ID]]&lt;=$B$5</f>
        <v>0</v>
      </c>
      <c r="F321" t="str" cm="1">
        <f t="array" ref="F321">IF(LineærRegression_Valg[[#This Row],[Indenfor range]],INDEX(DataTitel_liste,LineærRegression_Valg[[#This Row],[Afhængig variabel ID]]),INDEX(DataTitel_liste,1))</f>
        <v>Eksempel 1 (interval)</v>
      </c>
      <c r="G321" s="188" t="str" cm="1">
        <f t="array" ref="G321">IF(LineærRegression_Valg[[#This Row],[Indenfor range]],IF(LineærRegression_Valg[[#This Row],[Intet overlap]],INDEX(DataTitel_liste,LineærRegression_Valg[[#This Row],[Uafhængig variabel ID]]),INDEX(DataTitel_liste,IF(LineærRegression_Valg[[#This Row],[Afhængig variabel ID]]=1,2,1))),$B$7)</f>
        <v>Eksempel 2 (interval)</v>
      </c>
      <c r="H321" s="188">
        <f>_xlfn.AGGREGATE(2,5,LineærRegression_Valg[[#This Row],[Tabel ID]])</f>
        <v>1</v>
      </c>
    </row>
    <row r="322" spans="1:8" x14ac:dyDescent="0.2">
      <c r="A322">
        <f>ROW(LineærRegression_Valg[[#This Row],[Tabel ID]])-ROW(LineærRegression_Valg[[#Headers],[Tabel ID]])</f>
        <v>312</v>
      </c>
      <c r="B322" s="188">
        <f>ROUNDDOWN((LineærRegression_Valg[[#This Row],[Tabel ID]]-1)/$B$5,0)+1</f>
        <v>78</v>
      </c>
      <c r="C322" s="188">
        <f t="shared" si="4"/>
        <v>4</v>
      </c>
      <c r="D322" s="188" t="b">
        <f>LineærRegression_Valg[[#This Row],[Afhængig variabel ID]]&lt;&gt;LineærRegression_Valg[[#This Row],[Uafhængig variabel ID]]</f>
        <v>1</v>
      </c>
      <c r="E322" t="b">
        <f>LineærRegression_Valg[[#This Row],[Afhængig variabel ID]]&lt;=$B$5</f>
        <v>0</v>
      </c>
      <c r="F322" t="str" cm="1">
        <f t="array" ref="F322">IF(LineærRegression_Valg[[#This Row],[Indenfor range]],INDEX(DataTitel_liste,LineærRegression_Valg[[#This Row],[Afhængig variabel ID]]),INDEX(DataTitel_liste,1))</f>
        <v>Eksempel 1 (interval)</v>
      </c>
      <c r="G322" s="188" t="str" cm="1">
        <f t="array" ref="G322">IF(LineærRegression_Valg[[#This Row],[Indenfor range]],IF(LineærRegression_Valg[[#This Row],[Intet overlap]],INDEX(DataTitel_liste,LineærRegression_Valg[[#This Row],[Uafhængig variabel ID]]),INDEX(DataTitel_liste,IF(LineærRegression_Valg[[#This Row],[Afhængig variabel ID]]=1,2,1))),$B$7)</f>
        <v>Eksempel 2 (interval)</v>
      </c>
      <c r="H322" s="188">
        <f>_xlfn.AGGREGATE(2,5,LineærRegression_Valg[[#This Row],[Tabel ID]])</f>
        <v>1</v>
      </c>
    </row>
    <row r="323" spans="1:8" x14ac:dyDescent="0.2">
      <c r="A323">
        <f>ROW(LineærRegression_Valg[[#This Row],[Tabel ID]])-ROW(LineærRegression_Valg[[#Headers],[Tabel ID]])</f>
        <v>313</v>
      </c>
      <c r="B323" s="188">
        <f>ROUNDDOWN((LineærRegression_Valg[[#This Row],[Tabel ID]]-1)/$B$5,0)+1</f>
        <v>79</v>
      </c>
      <c r="C323" s="188">
        <f t="shared" si="4"/>
        <v>1</v>
      </c>
      <c r="D323" s="188" t="b">
        <f>LineærRegression_Valg[[#This Row],[Afhængig variabel ID]]&lt;&gt;LineærRegression_Valg[[#This Row],[Uafhængig variabel ID]]</f>
        <v>1</v>
      </c>
      <c r="E323" t="b">
        <f>LineærRegression_Valg[[#This Row],[Afhængig variabel ID]]&lt;=$B$5</f>
        <v>0</v>
      </c>
      <c r="F323" t="str" cm="1">
        <f t="array" ref="F323">IF(LineærRegression_Valg[[#This Row],[Indenfor range]],INDEX(DataTitel_liste,LineærRegression_Valg[[#This Row],[Afhængig variabel ID]]),INDEX(DataTitel_liste,1))</f>
        <v>Eksempel 1 (interval)</v>
      </c>
      <c r="G323" s="188" t="str" cm="1">
        <f t="array" ref="G323">IF(LineærRegression_Valg[[#This Row],[Indenfor range]],IF(LineærRegression_Valg[[#This Row],[Intet overlap]],INDEX(DataTitel_liste,LineærRegression_Valg[[#This Row],[Uafhængig variabel ID]]),INDEX(DataTitel_liste,IF(LineærRegression_Valg[[#This Row],[Afhængig variabel ID]]=1,2,1))),$B$7)</f>
        <v>Eksempel 2 (interval)</v>
      </c>
      <c r="H323" s="188">
        <f>_xlfn.AGGREGATE(2,5,LineærRegression_Valg[[#This Row],[Tabel ID]])</f>
        <v>1</v>
      </c>
    </row>
    <row r="324" spans="1:8" x14ac:dyDescent="0.2">
      <c r="A324">
        <f>ROW(LineærRegression_Valg[[#This Row],[Tabel ID]])-ROW(LineærRegression_Valg[[#Headers],[Tabel ID]])</f>
        <v>314</v>
      </c>
      <c r="B324" s="188">
        <f>ROUNDDOWN((LineærRegression_Valg[[#This Row],[Tabel ID]]-1)/$B$5,0)+1</f>
        <v>79</v>
      </c>
      <c r="C324" s="188">
        <f t="shared" si="4"/>
        <v>2</v>
      </c>
      <c r="D324" s="188" t="b">
        <f>LineærRegression_Valg[[#This Row],[Afhængig variabel ID]]&lt;&gt;LineærRegression_Valg[[#This Row],[Uafhængig variabel ID]]</f>
        <v>1</v>
      </c>
      <c r="E324" t="b">
        <f>LineærRegression_Valg[[#This Row],[Afhængig variabel ID]]&lt;=$B$5</f>
        <v>0</v>
      </c>
      <c r="F324" t="str" cm="1">
        <f t="array" ref="F324">IF(LineærRegression_Valg[[#This Row],[Indenfor range]],INDEX(DataTitel_liste,LineærRegression_Valg[[#This Row],[Afhængig variabel ID]]),INDEX(DataTitel_liste,1))</f>
        <v>Eksempel 1 (interval)</v>
      </c>
      <c r="G324" s="188" t="str" cm="1">
        <f t="array" ref="G324">IF(LineærRegression_Valg[[#This Row],[Indenfor range]],IF(LineærRegression_Valg[[#This Row],[Intet overlap]],INDEX(DataTitel_liste,LineærRegression_Valg[[#This Row],[Uafhængig variabel ID]]),INDEX(DataTitel_liste,IF(LineærRegression_Valg[[#This Row],[Afhængig variabel ID]]=1,2,1))),$B$7)</f>
        <v>Eksempel 2 (interval)</v>
      </c>
      <c r="H324" s="188">
        <f>_xlfn.AGGREGATE(2,5,LineærRegression_Valg[[#This Row],[Tabel ID]])</f>
        <v>1</v>
      </c>
    </row>
    <row r="325" spans="1:8" x14ac:dyDescent="0.2">
      <c r="A325">
        <f>ROW(LineærRegression_Valg[[#This Row],[Tabel ID]])-ROW(LineærRegression_Valg[[#Headers],[Tabel ID]])</f>
        <v>315</v>
      </c>
      <c r="B325" s="188">
        <f>ROUNDDOWN((LineærRegression_Valg[[#This Row],[Tabel ID]]-1)/$B$5,0)+1</f>
        <v>79</v>
      </c>
      <c r="C325" s="188">
        <f t="shared" si="4"/>
        <v>3</v>
      </c>
      <c r="D325" s="188" t="b">
        <f>LineærRegression_Valg[[#This Row],[Afhængig variabel ID]]&lt;&gt;LineærRegression_Valg[[#This Row],[Uafhængig variabel ID]]</f>
        <v>1</v>
      </c>
      <c r="E325" t="b">
        <f>LineærRegression_Valg[[#This Row],[Afhængig variabel ID]]&lt;=$B$5</f>
        <v>0</v>
      </c>
      <c r="F325" t="str" cm="1">
        <f t="array" ref="F325">IF(LineærRegression_Valg[[#This Row],[Indenfor range]],INDEX(DataTitel_liste,LineærRegression_Valg[[#This Row],[Afhængig variabel ID]]),INDEX(DataTitel_liste,1))</f>
        <v>Eksempel 1 (interval)</v>
      </c>
      <c r="G325" s="188" t="str" cm="1">
        <f t="array" ref="G325">IF(LineærRegression_Valg[[#This Row],[Indenfor range]],IF(LineærRegression_Valg[[#This Row],[Intet overlap]],INDEX(DataTitel_liste,LineærRegression_Valg[[#This Row],[Uafhængig variabel ID]]),INDEX(DataTitel_liste,IF(LineærRegression_Valg[[#This Row],[Afhængig variabel ID]]=1,2,1))),$B$7)</f>
        <v>Eksempel 2 (interval)</v>
      </c>
      <c r="H325" s="188">
        <f>_xlfn.AGGREGATE(2,5,LineærRegression_Valg[[#This Row],[Tabel ID]])</f>
        <v>1</v>
      </c>
    </row>
    <row r="326" spans="1:8" x14ac:dyDescent="0.2">
      <c r="A326">
        <f>ROW(LineærRegression_Valg[[#This Row],[Tabel ID]])-ROW(LineærRegression_Valg[[#Headers],[Tabel ID]])</f>
        <v>316</v>
      </c>
      <c r="B326" s="188">
        <f>ROUNDDOWN((LineærRegression_Valg[[#This Row],[Tabel ID]]-1)/$B$5,0)+1</f>
        <v>79</v>
      </c>
      <c r="C326" s="188">
        <f t="shared" si="4"/>
        <v>4</v>
      </c>
      <c r="D326" s="188" t="b">
        <f>LineærRegression_Valg[[#This Row],[Afhængig variabel ID]]&lt;&gt;LineærRegression_Valg[[#This Row],[Uafhængig variabel ID]]</f>
        <v>1</v>
      </c>
      <c r="E326" t="b">
        <f>LineærRegression_Valg[[#This Row],[Afhængig variabel ID]]&lt;=$B$5</f>
        <v>0</v>
      </c>
      <c r="F326" t="str" cm="1">
        <f t="array" ref="F326">IF(LineærRegression_Valg[[#This Row],[Indenfor range]],INDEX(DataTitel_liste,LineærRegression_Valg[[#This Row],[Afhængig variabel ID]]),INDEX(DataTitel_liste,1))</f>
        <v>Eksempel 1 (interval)</v>
      </c>
      <c r="G326" s="188" t="str" cm="1">
        <f t="array" ref="G326">IF(LineærRegression_Valg[[#This Row],[Indenfor range]],IF(LineærRegression_Valg[[#This Row],[Intet overlap]],INDEX(DataTitel_liste,LineærRegression_Valg[[#This Row],[Uafhængig variabel ID]]),INDEX(DataTitel_liste,IF(LineærRegression_Valg[[#This Row],[Afhængig variabel ID]]=1,2,1))),$B$7)</f>
        <v>Eksempel 2 (interval)</v>
      </c>
      <c r="H326" s="188">
        <f>_xlfn.AGGREGATE(2,5,LineærRegression_Valg[[#This Row],[Tabel ID]])</f>
        <v>1</v>
      </c>
    </row>
    <row r="327" spans="1:8" x14ac:dyDescent="0.2">
      <c r="A327">
        <f>ROW(LineærRegression_Valg[[#This Row],[Tabel ID]])-ROW(LineærRegression_Valg[[#Headers],[Tabel ID]])</f>
        <v>317</v>
      </c>
      <c r="B327" s="188">
        <f>ROUNDDOWN((LineærRegression_Valg[[#This Row],[Tabel ID]]-1)/$B$5,0)+1</f>
        <v>80</v>
      </c>
      <c r="C327" s="188">
        <f t="shared" si="4"/>
        <v>1</v>
      </c>
      <c r="D327" s="188" t="b">
        <f>LineærRegression_Valg[[#This Row],[Afhængig variabel ID]]&lt;&gt;LineærRegression_Valg[[#This Row],[Uafhængig variabel ID]]</f>
        <v>1</v>
      </c>
      <c r="E327" t="b">
        <f>LineærRegression_Valg[[#This Row],[Afhængig variabel ID]]&lt;=$B$5</f>
        <v>0</v>
      </c>
      <c r="F327" t="str" cm="1">
        <f t="array" ref="F327">IF(LineærRegression_Valg[[#This Row],[Indenfor range]],INDEX(DataTitel_liste,LineærRegression_Valg[[#This Row],[Afhængig variabel ID]]),INDEX(DataTitel_liste,1))</f>
        <v>Eksempel 1 (interval)</v>
      </c>
      <c r="G327" s="188" t="str" cm="1">
        <f t="array" ref="G327">IF(LineærRegression_Valg[[#This Row],[Indenfor range]],IF(LineærRegression_Valg[[#This Row],[Intet overlap]],INDEX(DataTitel_liste,LineærRegression_Valg[[#This Row],[Uafhængig variabel ID]]),INDEX(DataTitel_liste,IF(LineærRegression_Valg[[#This Row],[Afhængig variabel ID]]=1,2,1))),$B$7)</f>
        <v>Eksempel 2 (interval)</v>
      </c>
      <c r="H327" s="188">
        <f>_xlfn.AGGREGATE(2,5,LineærRegression_Valg[[#This Row],[Tabel ID]])</f>
        <v>1</v>
      </c>
    </row>
    <row r="328" spans="1:8" x14ac:dyDescent="0.2">
      <c r="A328">
        <f>ROW(LineærRegression_Valg[[#This Row],[Tabel ID]])-ROW(LineærRegression_Valg[[#Headers],[Tabel ID]])</f>
        <v>318</v>
      </c>
      <c r="B328" s="188">
        <f>ROUNDDOWN((LineærRegression_Valg[[#This Row],[Tabel ID]]-1)/$B$5,0)+1</f>
        <v>80</v>
      </c>
      <c r="C328" s="188">
        <f t="shared" si="4"/>
        <v>2</v>
      </c>
      <c r="D328" s="188" t="b">
        <f>LineærRegression_Valg[[#This Row],[Afhængig variabel ID]]&lt;&gt;LineærRegression_Valg[[#This Row],[Uafhængig variabel ID]]</f>
        <v>1</v>
      </c>
      <c r="E328" t="b">
        <f>LineærRegression_Valg[[#This Row],[Afhængig variabel ID]]&lt;=$B$5</f>
        <v>0</v>
      </c>
      <c r="F328" t="str" cm="1">
        <f t="array" ref="F328">IF(LineærRegression_Valg[[#This Row],[Indenfor range]],INDEX(DataTitel_liste,LineærRegression_Valg[[#This Row],[Afhængig variabel ID]]),INDEX(DataTitel_liste,1))</f>
        <v>Eksempel 1 (interval)</v>
      </c>
      <c r="G328" s="188" t="str" cm="1">
        <f t="array" ref="G328">IF(LineærRegression_Valg[[#This Row],[Indenfor range]],IF(LineærRegression_Valg[[#This Row],[Intet overlap]],INDEX(DataTitel_liste,LineærRegression_Valg[[#This Row],[Uafhængig variabel ID]]),INDEX(DataTitel_liste,IF(LineærRegression_Valg[[#This Row],[Afhængig variabel ID]]=1,2,1))),$B$7)</f>
        <v>Eksempel 2 (interval)</v>
      </c>
      <c r="H328" s="188">
        <f>_xlfn.AGGREGATE(2,5,LineærRegression_Valg[[#This Row],[Tabel ID]])</f>
        <v>1</v>
      </c>
    </row>
    <row r="329" spans="1:8" x14ac:dyDescent="0.2">
      <c r="A329">
        <f>ROW(LineærRegression_Valg[[#This Row],[Tabel ID]])-ROW(LineærRegression_Valg[[#Headers],[Tabel ID]])</f>
        <v>319</v>
      </c>
      <c r="B329" s="188">
        <f>ROUNDDOWN((LineærRegression_Valg[[#This Row],[Tabel ID]]-1)/$B$5,0)+1</f>
        <v>80</v>
      </c>
      <c r="C329" s="188">
        <f t="shared" si="4"/>
        <v>3</v>
      </c>
      <c r="D329" s="188" t="b">
        <f>LineærRegression_Valg[[#This Row],[Afhængig variabel ID]]&lt;&gt;LineærRegression_Valg[[#This Row],[Uafhængig variabel ID]]</f>
        <v>1</v>
      </c>
      <c r="E329" t="b">
        <f>LineærRegression_Valg[[#This Row],[Afhængig variabel ID]]&lt;=$B$5</f>
        <v>0</v>
      </c>
      <c r="F329" t="str" cm="1">
        <f t="array" ref="F329">IF(LineærRegression_Valg[[#This Row],[Indenfor range]],INDEX(DataTitel_liste,LineærRegression_Valg[[#This Row],[Afhængig variabel ID]]),INDEX(DataTitel_liste,1))</f>
        <v>Eksempel 1 (interval)</v>
      </c>
      <c r="G329" s="188" t="str" cm="1">
        <f t="array" ref="G329">IF(LineærRegression_Valg[[#This Row],[Indenfor range]],IF(LineærRegression_Valg[[#This Row],[Intet overlap]],INDEX(DataTitel_liste,LineærRegression_Valg[[#This Row],[Uafhængig variabel ID]]),INDEX(DataTitel_liste,IF(LineærRegression_Valg[[#This Row],[Afhængig variabel ID]]=1,2,1))),$B$7)</f>
        <v>Eksempel 2 (interval)</v>
      </c>
      <c r="H329" s="188">
        <f>_xlfn.AGGREGATE(2,5,LineærRegression_Valg[[#This Row],[Tabel ID]])</f>
        <v>1</v>
      </c>
    </row>
    <row r="330" spans="1:8" x14ac:dyDescent="0.2">
      <c r="A330">
        <f>ROW(LineærRegression_Valg[[#This Row],[Tabel ID]])-ROW(LineærRegression_Valg[[#Headers],[Tabel ID]])</f>
        <v>320</v>
      </c>
      <c r="B330" s="188">
        <f>ROUNDDOWN((LineærRegression_Valg[[#This Row],[Tabel ID]]-1)/$B$5,0)+1</f>
        <v>80</v>
      </c>
      <c r="C330" s="188">
        <f t="shared" si="4"/>
        <v>4</v>
      </c>
      <c r="D330" s="188" t="b">
        <f>LineærRegression_Valg[[#This Row],[Afhængig variabel ID]]&lt;&gt;LineærRegression_Valg[[#This Row],[Uafhængig variabel ID]]</f>
        <v>1</v>
      </c>
      <c r="E330" t="b">
        <f>LineærRegression_Valg[[#This Row],[Afhængig variabel ID]]&lt;=$B$5</f>
        <v>0</v>
      </c>
      <c r="F330" t="str" cm="1">
        <f t="array" ref="F330">IF(LineærRegression_Valg[[#This Row],[Indenfor range]],INDEX(DataTitel_liste,LineærRegression_Valg[[#This Row],[Afhængig variabel ID]]),INDEX(DataTitel_liste,1))</f>
        <v>Eksempel 1 (interval)</v>
      </c>
      <c r="G330" s="188" t="str" cm="1">
        <f t="array" ref="G330">IF(LineærRegression_Valg[[#This Row],[Indenfor range]],IF(LineærRegression_Valg[[#This Row],[Intet overlap]],INDEX(DataTitel_liste,LineærRegression_Valg[[#This Row],[Uafhængig variabel ID]]),INDEX(DataTitel_liste,IF(LineærRegression_Valg[[#This Row],[Afhængig variabel ID]]=1,2,1))),$B$7)</f>
        <v>Eksempel 2 (interval)</v>
      </c>
      <c r="H330" s="188">
        <f>_xlfn.AGGREGATE(2,5,LineærRegression_Valg[[#This Row],[Tabel ID]])</f>
        <v>1</v>
      </c>
    </row>
    <row r="331" spans="1:8" x14ac:dyDescent="0.2">
      <c r="A331">
        <f>ROW(LineærRegression_Valg[[#This Row],[Tabel ID]])-ROW(LineærRegression_Valg[[#Headers],[Tabel ID]])</f>
        <v>321</v>
      </c>
      <c r="B331" s="188">
        <f>ROUNDDOWN((LineærRegression_Valg[[#This Row],[Tabel ID]]-1)/$B$5,0)+1</f>
        <v>81</v>
      </c>
      <c r="C331" s="188">
        <f t="shared" ref="C331:C394" si="5">MOD(A331-1,$B$5)+1</f>
        <v>1</v>
      </c>
      <c r="D331" s="188" t="b">
        <f>LineærRegression_Valg[[#This Row],[Afhængig variabel ID]]&lt;&gt;LineærRegression_Valg[[#This Row],[Uafhængig variabel ID]]</f>
        <v>1</v>
      </c>
      <c r="E331" t="b">
        <f>LineærRegression_Valg[[#This Row],[Afhængig variabel ID]]&lt;=$B$5</f>
        <v>0</v>
      </c>
      <c r="F331" t="str" cm="1">
        <f t="array" ref="F331">IF(LineærRegression_Valg[[#This Row],[Indenfor range]],INDEX(DataTitel_liste,LineærRegression_Valg[[#This Row],[Afhængig variabel ID]]),INDEX(DataTitel_liste,1))</f>
        <v>Eksempel 1 (interval)</v>
      </c>
      <c r="G331" s="188" t="str" cm="1">
        <f t="array" ref="G331">IF(LineærRegression_Valg[[#This Row],[Indenfor range]],IF(LineærRegression_Valg[[#This Row],[Intet overlap]],INDEX(DataTitel_liste,LineærRegression_Valg[[#This Row],[Uafhængig variabel ID]]),INDEX(DataTitel_liste,IF(LineærRegression_Valg[[#This Row],[Afhængig variabel ID]]=1,2,1))),$B$7)</f>
        <v>Eksempel 2 (interval)</v>
      </c>
      <c r="H331" s="188">
        <f>_xlfn.AGGREGATE(2,5,LineærRegression_Valg[[#This Row],[Tabel ID]])</f>
        <v>1</v>
      </c>
    </row>
    <row r="332" spans="1:8" x14ac:dyDescent="0.2">
      <c r="A332">
        <f>ROW(LineærRegression_Valg[[#This Row],[Tabel ID]])-ROW(LineærRegression_Valg[[#Headers],[Tabel ID]])</f>
        <v>322</v>
      </c>
      <c r="B332" s="188">
        <f>ROUNDDOWN((LineærRegression_Valg[[#This Row],[Tabel ID]]-1)/$B$5,0)+1</f>
        <v>81</v>
      </c>
      <c r="C332" s="188">
        <f t="shared" si="5"/>
        <v>2</v>
      </c>
      <c r="D332" s="188" t="b">
        <f>LineærRegression_Valg[[#This Row],[Afhængig variabel ID]]&lt;&gt;LineærRegression_Valg[[#This Row],[Uafhængig variabel ID]]</f>
        <v>1</v>
      </c>
      <c r="E332" t="b">
        <f>LineærRegression_Valg[[#This Row],[Afhængig variabel ID]]&lt;=$B$5</f>
        <v>0</v>
      </c>
      <c r="F332" t="str" cm="1">
        <f t="array" ref="F332">IF(LineærRegression_Valg[[#This Row],[Indenfor range]],INDEX(DataTitel_liste,LineærRegression_Valg[[#This Row],[Afhængig variabel ID]]),INDEX(DataTitel_liste,1))</f>
        <v>Eksempel 1 (interval)</v>
      </c>
      <c r="G332" s="188" t="str" cm="1">
        <f t="array" ref="G332">IF(LineærRegression_Valg[[#This Row],[Indenfor range]],IF(LineærRegression_Valg[[#This Row],[Intet overlap]],INDEX(DataTitel_liste,LineærRegression_Valg[[#This Row],[Uafhængig variabel ID]]),INDEX(DataTitel_liste,IF(LineærRegression_Valg[[#This Row],[Afhængig variabel ID]]=1,2,1))),$B$7)</f>
        <v>Eksempel 2 (interval)</v>
      </c>
      <c r="H332" s="188">
        <f>_xlfn.AGGREGATE(2,5,LineærRegression_Valg[[#This Row],[Tabel ID]])</f>
        <v>1</v>
      </c>
    </row>
    <row r="333" spans="1:8" x14ac:dyDescent="0.2">
      <c r="A333">
        <f>ROW(LineærRegression_Valg[[#This Row],[Tabel ID]])-ROW(LineærRegression_Valg[[#Headers],[Tabel ID]])</f>
        <v>323</v>
      </c>
      <c r="B333" s="188">
        <f>ROUNDDOWN((LineærRegression_Valg[[#This Row],[Tabel ID]]-1)/$B$5,0)+1</f>
        <v>81</v>
      </c>
      <c r="C333" s="188">
        <f t="shared" si="5"/>
        <v>3</v>
      </c>
      <c r="D333" s="188" t="b">
        <f>LineærRegression_Valg[[#This Row],[Afhængig variabel ID]]&lt;&gt;LineærRegression_Valg[[#This Row],[Uafhængig variabel ID]]</f>
        <v>1</v>
      </c>
      <c r="E333" t="b">
        <f>LineærRegression_Valg[[#This Row],[Afhængig variabel ID]]&lt;=$B$5</f>
        <v>0</v>
      </c>
      <c r="F333" t="str" cm="1">
        <f t="array" ref="F333">IF(LineærRegression_Valg[[#This Row],[Indenfor range]],INDEX(DataTitel_liste,LineærRegression_Valg[[#This Row],[Afhængig variabel ID]]),INDEX(DataTitel_liste,1))</f>
        <v>Eksempel 1 (interval)</v>
      </c>
      <c r="G333" s="188" t="str" cm="1">
        <f t="array" ref="G333">IF(LineærRegression_Valg[[#This Row],[Indenfor range]],IF(LineærRegression_Valg[[#This Row],[Intet overlap]],INDEX(DataTitel_liste,LineærRegression_Valg[[#This Row],[Uafhængig variabel ID]]),INDEX(DataTitel_liste,IF(LineærRegression_Valg[[#This Row],[Afhængig variabel ID]]=1,2,1))),$B$7)</f>
        <v>Eksempel 2 (interval)</v>
      </c>
      <c r="H333" s="188">
        <f>_xlfn.AGGREGATE(2,5,LineærRegression_Valg[[#This Row],[Tabel ID]])</f>
        <v>1</v>
      </c>
    </row>
    <row r="334" spans="1:8" x14ac:dyDescent="0.2">
      <c r="A334">
        <f>ROW(LineærRegression_Valg[[#This Row],[Tabel ID]])-ROW(LineærRegression_Valg[[#Headers],[Tabel ID]])</f>
        <v>324</v>
      </c>
      <c r="B334" s="188">
        <f>ROUNDDOWN((LineærRegression_Valg[[#This Row],[Tabel ID]]-1)/$B$5,0)+1</f>
        <v>81</v>
      </c>
      <c r="C334" s="188">
        <f t="shared" si="5"/>
        <v>4</v>
      </c>
      <c r="D334" s="188" t="b">
        <f>LineærRegression_Valg[[#This Row],[Afhængig variabel ID]]&lt;&gt;LineærRegression_Valg[[#This Row],[Uafhængig variabel ID]]</f>
        <v>1</v>
      </c>
      <c r="E334" t="b">
        <f>LineærRegression_Valg[[#This Row],[Afhængig variabel ID]]&lt;=$B$5</f>
        <v>0</v>
      </c>
      <c r="F334" t="str" cm="1">
        <f t="array" ref="F334">IF(LineærRegression_Valg[[#This Row],[Indenfor range]],INDEX(DataTitel_liste,LineærRegression_Valg[[#This Row],[Afhængig variabel ID]]),INDEX(DataTitel_liste,1))</f>
        <v>Eksempel 1 (interval)</v>
      </c>
      <c r="G334" s="188" t="str" cm="1">
        <f t="array" ref="G334">IF(LineærRegression_Valg[[#This Row],[Indenfor range]],IF(LineærRegression_Valg[[#This Row],[Intet overlap]],INDEX(DataTitel_liste,LineærRegression_Valg[[#This Row],[Uafhængig variabel ID]]),INDEX(DataTitel_liste,IF(LineærRegression_Valg[[#This Row],[Afhængig variabel ID]]=1,2,1))),$B$7)</f>
        <v>Eksempel 2 (interval)</v>
      </c>
      <c r="H334" s="188">
        <f>_xlfn.AGGREGATE(2,5,LineærRegression_Valg[[#This Row],[Tabel ID]])</f>
        <v>1</v>
      </c>
    </row>
    <row r="335" spans="1:8" x14ac:dyDescent="0.2">
      <c r="A335">
        <f>ROW(LineærRegression_Valg[[#This Row],[Tabel ID]])-ROW(LineærRegression_Valg[[#Headers],[Tabel ID]])</f>
        <v>325</v>
      </c>
      <c r="B335" s="188">
        <f>ROUNDDOWN((LineærRegression_Valg[[#This Row],[Tabel ID]]-1)/$B$5,0)+1</f>
        <v>82</v>
      </c>
      <c r="C335" s="188">
        <f t="shared" si="5"/>
        <v>1</v>
      </c>
      <c r="D335" s="188" t="b">
        <f>LineærRegression_Valg[[#This Row],[Afhængig variabel ID]]&lt;&gt;LineærRegression_Valg[[#This Row],[Uafhængig variabel ID]]</f>
        <v>1</v>
      </c>
      <c r="E335" t="b">
        <f>LineærRegression_Valg[[#This Row],[Afhængig variabel ID]]&lt;=$B$5</f>
        <v>0</v>
      </c>
      <c r="F335" t="str" cm="1">
        <f t="array" ref="F335">IF(LineærRegression_Valg[[#This Row],[Indenfor range]],INDEX(DataTitel_liste,LineærRegression_Valg[[#This Row],[Afhængig variabel ID]]),INDEX(DataTitel_liste,1))</f>
        <v>Eksempel 1 (interval)</v>
      </c>
      <c r="G335" s="188" t="str" cm="1">
        <f t="array" ref="G335">IF(LineærRegression_Valg[[#This Row],[Indenfor range]],IF(LineærRegression_Valg[[#This Row],[Intet overlap]],INDEX(DataTitel_liste,LineærRegression_Valg[[#This Row],[Uafhængig variabel ID]]),INDEX(DataTitel_liste,IF(LineærRegression_Valg[[#This Row],[Afhængig variabel ID]]=1,2,1))),$B$7)</f>
        <v>Eksempel 2 (interval)</v>
      </c>
      <c r="H335" s="188">
        <f>_xlfn.AGGREGATE(2,5,LineærRegression_Valg[[#This Row],[Tabel ID]])</f>
        <v>1</v>
      </c>
    </row>
    <row r="336" spans="1:8" x14ac:dyDescent="0.2">
      <c r="A336">
        <f>ROW(LineærRegression_Valg[[#This Row],[Tabel ID]])-ROW(LineærRegression_Valg[[#Headers],[Tabel ID]])</f>
        <v>326</v>
      </c>
      <c r="B336" s="188">
        <f>ROUNDDOWN((LineærRegression_Valg[[#This Row],[Tabel ID]]-1)/$B$5,0)+1</f>
        <v>82</v>
      </c>
      <c r="C336" s="188">
        <f t="shared" si="5"/>
        <v>2</v>
      </c>
      <c r="D336" s="188" t="b">
        <f>LineærRegression_Valg[[#This Row],[Afhængig variabel ID]]&lt;&gt;LineærRegression_Valg[[#This Row],[Uafhængig variabel ID]]</f>
        <v>1</v>
      </c>
      <c r="E336" t="b">
        <f>LineærRegression_Valg[[#This Row],[Afhængig variabel ID]]&lt;=$B$5</f>
        <v>0</v>
      </c>
      <c r="F336" t="str" cm="1">
        <f t="array" ref="F336">IF(LineærRegression_Valg[[#This Row],[Indenfor range]],INDEX(DataTitel_liste,LineærRegression_Valg[[#This Row],[Afhængig variabel ID]]),INDEX(DataTitel_liste,1))</f>
        <v>Eksempel 1 (interval)</v>
      </c>
      <c r="G336" s="188" t="str" cm="1">
        <f t="array" ref="G336">IF(LineærRegression_Valg[[#This Row],[Indenfor range]],IF(LineærRegression_Valg[[#This Row],[Intet overlap]],INDEX(DataTitel_liste,LineærRegression_Valg[[#This Row],[Uafhængig variabel ID]]),INDEX(DataTitel_liste,IF(LineærRegression_Valg[[#This Row],[Afhængig variabel ID]]=1,2,1))),$B$7)</f>
        <v>Eksempel 2 (interval)</v>
      </c>
      <c r="H336" s="188">
        <f>_xlfn.AGGREGATE(2,5,LineærRegression_Valg[[#This Row],[Tabel ID]])</f>
        <v>1</v>
      </c>
    </row>
    <row r="337" spans="1:8" x14ac:dyDescent="0.2">
      <c r="A337">
        <f>ROW(LineærRegression_Valg[[#This Row],[Tabel ID]])-ROW(LineærRegression_Valg[[#Headers],[Tabel ID]])</f>
        <v>327</v>
      </c>
      <c r="B337" s="188">
        <f>ROUNDDOWN((LineærRegression_Valg[[#This Row],[Tabel ID]]-1)/$B$5,0)+1</f>
        <v>82</v>
      </c>
      <c r="C337" s="188">
        <f t="shared" si="5"/>
        <v>3</v>
      </c>
      <c r="D337" s="188" t="b">
        <f>LineærRegression_Valg[[#This Row],[Afhængig variabel ID]]&lt;&gt;LineærRegression_Valg[[#This Row],[Uafhængig variabel ID]]</f>
        <v>1</v>
      </c>
      <c r="E337" t="b">
        <f>LineærRegression_Valg[[#This Row],[Afhængig variabel ID]]&lt;=$B$5</f>
        <v>0</v>
      </c>
      <c r="F337" t="str" cm="1">
        <f t="array" ref="F337">IF(LineærRegression_Valg[[#This Row],[Indenfor range]],INDEX(DataTitel_liste,LineærRegression_Valg[[#This Row],[Afhængig variabel ID]]),INDEX(DataTitel_liste,1))</f>
        <v>Eksempel 1 (interval)</v>
      </c>
      <c r="G337" s="188" t="str" cm="1">
        <f t="array" ref="G337">IF(LineærRegression_Valg[[#This Row],[Indenfor range]],IF(LineærRegression_Valg[[#This Row],[Intet overlap]],INDEX(DataTitel_liste,LineærRegression_Valg[[#This Row],[Uafhængig variabel ID]]),INDEX(DataTitel_liste,IF(LineærRegression_Valg[[#This Row],[Afhængig variabel ID]]=1,2,1))),$B$7)</f>
        <v>Eksempel 2 (interval)</v>
      </c>
      <c r="H337" s="188">
        <f>_xlfn.AGGREGATE(2,5,LineærRegression_Valg[[#This Row],[Tabel ID]])</f>
        <v>1</v>
      </c>
    </row>
    <row r="338" spans="1:8" x14ac:dyDescent="0.2">
      <c r="A338">
        <f>ROW(LineærRegression_Valg[[#This Row],[Tabel ID]])-ROW(LineærRegression_Valg[[#Headers],[Tabel ID]])</f>
        <v>328</v>
      </c>
      <c r="B338" s="188">
        <f>ROUNDDOWN((LineærRegression_Valg[[#This Row],[Tabel ID]]-1)/$B$5,0)+1</f>
        <v>82</v>
      </c>
      <c r="C338" s="188">
        <f t="shared" si="5"/>
        <v>4</v>
      </c>
      <c r="D338" s="188" t="b">
        <f>LineærRegression_Valg[[#This Row],[Afhængig variabel ID]]&lt;&gt;LineærRegression_Valg[[#This Row],[Uafhængig variabel ID]]</f>
        <v>1</v>
      </c>
      <c r="E338" t="b">
        <f>LineærRegression_Valg[[#This Row],[Afhængig variabel ID]]&lt;=$B$5</f>
        <v>0</v>
      </c>
      <c r="F338" t="str" cm="1">
        <f t="array" ref="F338">IF(LineærRegression_Valg[[#This Row],[Indenfor range]],INDEX(DataTitel_liste,LineærRegression_Valg[[#This Row],[Afhængig variabel ID]]),INDEX(DataTitel_liste,1))</f>
        <v>Eksempel 1 (interval)</v>
      </c>
      <c r="G338" s="188" t="str" cm="1">
        <f t="array" ref="G338">IF(LineærRegression_Valg[[#This Row],[Indenfor range]],IF(LineærRegression_Valg[[#This Row],[Intet overlap]],INDEX(DataTitel_liste,LineærRegression_Valg[[#This Row],[Uafhængig variabel ID]]),INDEX(DataTitel_liste,IF(LineærRegression_Valg[[#This Row],[Afhængig variabel ID]]=1,2,1))),$B$7)</f>
        <v>Eksempel 2 (interval)</v>
      </c>
      <c r="H338" s="188">
        <f>_xlfn.AGGREGATE(2,5,LineærRegression_Valg[[#This Row],[Tabel ID]])</f>
        <v>1</v>
      </c>
    </row>
    <row r="339" spans="1:8" x14ac:dyDescent="0.2">
      <c r="A339">
        <f>ROW(LineærRegression_Valg[[#This Row],[Tabel ID]])-ROW(LineærRegression_Valg[[#Headers],[Tabel ID]])</f>
        <v>329</v>
      </c>
      <c r="B339" s="188">
        <f>ROUNDDOWN((LineærRegression_Valg[[#This Row],[Tabel ID]]-1)/$B$5,0)+1</f>
        <v>83</v>
      </c>
      <c r="C339" s="188">
        <f t="shared" si="5"/>
        <v>1</v>
      </c>
      <c r="D339" s="188" t="b">
        <f>LineærRegression_Valg[[#This Row],[Afhængig variabel ID]]&lt;&gt;LineærRegression_Valg[[#This Row],[Uafhængig variabel ID]]</f>
        <v>1</v>
      </c>
      <c r="E339" t="b">
        <f>LineærRegression_Valg[[#This Row],[Afhængig variabel ID]]&lt;=$B$5</f>
        <v>0</v>
      </c>
      <c r="F339" t="str" cm="1">
        <f t="array" ref="F339">IF(LineærRegression_Valg[[#This Row],[Indenfor range]],INDEX(DataTitel_liste,LineærRegression_Valg[[#This Row],[Afhængig variabel ID]]),INDEX(DataTitel_liste,1))</f>
        <v>Eksempel 1 (interval)</v>
      </c>
      <c r="G339" s="188" t="str" cm="1">
        <f t="array" ref="G339">IF(LineærRegression_Valg[[#This Row],[Indenfor range]],IF(LineærRegression_Valg[[#This Row],[Intet overlap]],INDEX(DataTitel_liste,LineærRegression_Valg[[#This Row],[Uafhængig variabel ID]]),INDEX(DataTitel_liste,IF(LineærRegression_Valg[[#This Row],[Afhængig variabel ID]]=1,2,1))),$B$7)</f>
        <v>Eksempel 2 (interval)</v>
      </c>
      <c r="H339" s="188">
        <f>_xlfn.AGGREGATE(2,5,LineærRegression_Valg[[#This Row],[Tabel ID]])</f>
        <v>1</v>
      </c>
    </row>
    <row r="340" spans="1:8" x14ac:dyDescent="0.2">
      <c r="A340">
        <f>ROW(LineærRegression_Valg[[#This Row],[Tabel ID]])-ROW(LineærRegression_Valg[[#Headers],[Tabel ID]])</f>
        <v>330</v>
      </c>
      <c r="B340" s="188">
        <f>ROUNDDOWN((LineærRegression_Valg[[#This Row],[Tabel ID]]-1)/$B$5,0)+1</f>
        <v>83</v>
      </c>
      <c r="C340" s="188">
        <f t="shared" si="5"/>
        <v>2</v>
      </c>
      <c r="D340" s="188" t="b">
        <f>LineærRegression_Valg[[#This Row],[Afhængig variabel ID]]&lt;&gt;LineærRegression_Valg[[#This Row],[Uafhængig variabel ID]]</f>
        <v>1</v>
      </c>
      <c r="E340" t="b">
        <f>LineærRegression_Valg[[#This Row],[Afhængig variabel ID]]&lt;=$B$5</f>
        <v>0</v>
      </c>
      <c r="F340" t="str" cm="1">
        <f t="array" ref="F340">IF(LineærRegression_Valg[[#This Row],[Indenfor range]],INDEX(DataTitel_liste,LineærRegression_Valg[[#This Row],[Afhængig variabel ID]]),INDEX(DataTitel_liste,1))</f>
        <v>Eksempel 1 (interval)</v>
      </c>
      <c r="G340" s="188" t="str" cm="1">
        <f t="array" ref="G340">IF(LineærRegression_Valg[[#This Row],[Indenfor range]],IF(LineærRegression_Valg[[#This Row],[Intet overlap]],INDEX(DataTitel_liste,LineærRegression_Valg[[#This Row],[Uafhængig variabel ID]]),INDEX(DataTitel_liste,IF(LineærRegression_Valg[[#This Row],[Afhængig variabel ID]]=1,2,1))),$B$7)</f>
        <v>Eksempel 2 (interval)</v>
      </c>
      <c r="H340" s="188">
        <f>_xlfn.AGGREGATE(2,5,LineærRegression_Valg[[#This Row],[Tabel ID]])</f>
        <v>1</v>
      </c>
    </row>
    <row r="341" spans="1:8" x14ac:dyDescent="0.2">
      <c r="A341">
        <f>ROW(LineærRegression_Valg[[#This Row],[Tabel ID]])-ROW(LineærRegression_Valg[[#Headers],[Tabel ID]])</f>
        <v>331</v>
      </c>
      <c r="B341" s="188">
        <f>ROUNDDOWN((LineærRegression_Valg[[#This Row],[Tabel ID]]-1)/$B$5,0)+1</f>
        <v>83</v>
      </c>
      <c r="C341" s="188">
        <f t="shared" si="5"/>
        <v>3</v>
      </c>
      <c r="D341" s="188" t="b">
        <f>LineærRegression_Valg[[#This Row],[Afhængig variabel ID]]&lt;&gt;LineærRegression_Valg[[#This Row],[Uafhængig variabel ID]]</f>
        <v>1</v>
      </c>
      <c r="E341" t="b">
        <f>LineærRegression_Valg[[#This Row],[Afhængig variabel ID]]&lt;=$B$5</f>
        <v>0</v>
      </c>
      <c r="F341" t="str" cm="1">
        <f t="array" ref="F341">IF(LineærRegression_Valg[[#This Row],[Indenfor range]],INDEX(DataTitel_liste,LineærRegression_Valg[[#This Row],[Afhængig variabel ID]]),INDEX(DataTitel_liste,1))</f>
        <v>Eksempel 1 (interval)</v>
      </c>
      <c r="G341" s="188" t="str" cm="1">
        <f t="array" ref="G341">IF(LineærRegression_Valg[[#This Row],[Indenfor range]],IF(LineærRegression_Valg[[#This Row],[Intet overlap]],INDEX(DataTitel_liste,LineærRegression_Valg[[#This Row],[Uafhængig variabel ID]]),INDEX(DataTitel_liste,IF(LineærRegression_Valg[[#This Row],[Afhængig variabel ID]]=1,2,1))),$B$7)</f>
        <v>Eksempel 2 (interval)</v>
      </c>
      <c r="H341" s="188">
        <f>_xlfn.AGGREGATE(2,5,LineærRegression_Valg[[#This Row],[Tabel ID]])</f>
        <v>1</v>
      </c>
    </row>
    <row r="342" spans="1:8" x14ac:dyDescent="0.2">
      <c r="A342">
        <f>ROW(LineærRegression_Valg[[#This Row],[Tabel ID]])-ROW(LineærRegression_Valg[[#Headers],[Tabel ID]])</f>
        <v>332</v>
      </c>
      <c r="B342" s="188">
        <f>ROUNDDOWN((LineærRegression_Valg[[#This Row],[Tabel ID]]-1)/$B$5,0)+1</f>
        <v>83</v>
      </c>
      <c r="C342" s="188">
        <f t="shared" si="5"/>
        <v>4</v>
      </c>
      <c r="D342" s="188" t="b">
        <f>LineærRegression_Valg[[#This Row],[Afhængig variabel ID]]&lt;&gt;LineærRegression_Valg[[#This Row],[Uafhængig variabel ID]]</f>
        <v>1</v>
      </c>
      <c r="E342" t="b">
        <f>LineærRegression_Valg[[#This Row],[Afhængig variabel ID]]&lt;=$B$5</f>
        <v>0</v>
      </c>
      <c r="F342" t="str" cm="1">
        <f t="array" ref="F342">IF(LineærRegression_Valg[[#This Row],[Indenfor range]],INDEX(DataTitel_liste,LineærRegression_Valg[[#This Row],[Afhængig variabel ID]]),INDEX(DataTitel_liste,1))</f>
        <v>Eksempel 1 (interval)</v>
      </c>
      <c r="G342" s="188" t="str" cm="1">
        <f t="array" ref="G342">IF(LineærRegression_Valg[[#This Row],[Indenfor range]],IF(LineærRegression_Valg[[#This Row],[Intet overlap]],INDEX(DataTitel_liste,LineærRegression_Valg[[#This Row],[Uafhængig variabel ID]]),INDEX(DataTitel_liste,IF(LineærRegression_Valg[[#This Row],[Afhængig variabel ID]]=1,2,1))),$B$7)</f>
        <v>Eksempel 2 (interval)</v>
      </c>
      <c r="H342" s="188">
        <f>_xlfn.AGGREGATE(2,5,LineærRegression_Valg[[#This Row],[Tabel ID]])</f>
        <v>1</v>
      </c>
    </row>
    <row r="343" spans="1:8" x14ac:dyDescent="0.2">
      <c r="A343">
        <f>ROW(LineærRegression_Valg[[#This Row],[Tabel ID]])-ROW(LineærRegression_Valg[[#Headers],[Tabel ID]])</f>
        <v>333</v>
      </c>
      <c r="B343" s="188">
        <f>ROUNDDOWN((LineærRegression_Valg[[#This Row],[Tabel ID]]-1)/$B$5,0)+1</f>
        <v>84</v>
      </c>
      <c r="C343" s="188">
        <f t="shared" si="5"/>
        <v>1</v>
      </c>
      <c r="D343" s="188" t="b">
        <f>LineærRegression_Valg[[#This Row],[Afhængig variabel ID]]&lt;&gt;LineærRegression_Valg[[#This Row],[Uafhængig variabel ID]]</f>
        <v>1</v>
      </c>
      <c r="E343" t="b">
        <f>LineærRegression_Valg[[#This Row],[Afhængig variabel ID]]&lt;=$B$5</f>
        <v>0</v>
      </c>
      <c r="F343" t="str" cm="1">
        <f t="array" ref="F343">IF(LineærRegression_Valg[[#This Row],[Indenfor range]],INDEX(DataTitel_liste,LineærRegression_Valg[[#This Row],[Afhængig variabel ID]]),INDEX(DataTitel_liste,1))</f>
        <v>Eksempel 1 (interval)</v>
      </c>
      <c r="G343" s="188" t="str" cm="1">
        <f t="array" ref="G343">IF(LineærRegression_Valg[[#This Row],[Indenfor range]],IF(LineærRegression_Valg[[#This Row],[Intet overlap]],INDEX(DataTitel_liste,LineærRegression_Valg[[#This Row],[Uafhængig variabel ID]]),INDEX(DataTitel_liste,IF(LineærRegression_Valg[[#This Row],[Afhængig variabel ID]]=1,2,1))),$B$7)</f>
        <v>Eksempel 2 (interval)</v>
      </c>
      <c r="H343" s="188">
        <f>_xlfn.AGGREGATE(2,5,LineærRegression_Valg[[#This Row],[Tabel ID]])</f>
        <v>1</v>
      </c>
    </row>
    <row r="344" spans="1:8" x14ac:dyDescent="0.2">
      <c r="A344">
        <f>ROW(LineærRegression_Valg[[#This Row],[Tabel ID]])-ROW(LineærRegression_Valg[[#Headers],[Tabel ID]])</f>
        <v>334</v>
      </c>
      <c r="B344" s="188">
        <f>ROUNDDOWN((LineærRegression_Valg[[#This Row],[Tabel ID]]-1)/$B$5,0)+1</f>
        <v>84</v>
      </c>
      <c r="C344" s="188">
        <f t="shared" si="5"/>
        <v>2</v>
      </c>
      <c r="D344" s="188" t="b">
        <f>LineærRegression_Valg[[#This Row],[Afhængig variabel ID]]&lt;&gt;LineærRegression_Valg[[#This Row],[Uafhængig variabel ID]]</f>
        <v>1</v>
      </c>
      <c r="E344" t="b">
        <f>LineærRegression_Valg[[#This Row],[Afhængig variabel ID]]&lt;=$B$5</f>
        <v>0</v>
      </c>
      <c r="F344" t="str" cm="1">
        <f t="array" ref="F344">IF(LineærRegression_Valg[[#This Row],[Indenfor range]],INDEX(DataTitel_liste,LineærRegression_Valg[[#This Row],[Afhængig variabel ID]]),INDEX(DataTitel_liste,1))</f>
        <v>Eksempel 1 (interval)</v>
      </c>
      <c r="G344" s="188" t="str" cm="1">
        <f t="array" ref="G344">IF(LineærRegression_Valg[[#This Row],[Indenfor range]],IF(LineærRegression_Valg[[#This Row],[Intet overlap]],INDEX(DataTitel_liste,LineærRegression_Valg[[#This Row],[Uafhængig variabel ID]]),INDEX(DataTitel_liste,IF(LineærRegression_Valg[[#This Row],[Afhængig variabel ID]]=1,2,1))),$B$7)</f>
        <v>Eksempel 2 (interval)</v>
      </c>
      <c r="H344" s="188">
        <f>_xlfn.AGGREGATE(2,5,LineærRegression_Valg[[#This Row],[Tabel ID]])</f>
        <v>1</v>
      </c>
    </row>
    <row r="345" spans="1:8" x14ac:dyDescent="0.2">
      <c r="A345">
        <f>ROW(LineærRegression_Valg[[#This Row],[Tabel ID]])-ROW(LineærRegression_Valg[[#Headers],[Tabel ID]])</f>
        <v>335</v>
      </c>
      <c r="B345" s="188">
        <f>ROUNDDOWN((LineærRegression_Valg[[#This Row],[Tabel ID]]-1)/$B$5,0)+1</f>
        <v>84</v>
      </c>
      <c r="C345" s="188">
        <f t="shared" si="5"/>
        <v>3</v>
      </c>
      <c r="D345" s="188" t="b">
        <f>LineærRegression_Valg[[#This Row],[Afhængig variabel ID]]&lt;&gt;LineærRegression_Valg[[#This Row],[Uafhængig variabel ID]]</f>
        <v>1</v>
      </c>
      <c r="E345" t="b">
        <f>LineærRegression_Valg[[#This Row],[Afhængig variabel ID]]&lt;=$B$5</f>
        <v>0</v>
      </c>
      <c r="F345" t="str" cm="1">
        <f t="array" ref="F345">IF(LineærRegression_Valg[[#This Row],[Indenfor range]],INDEX(DataTitel_liste,LineærRegression_Valg[[#This Row],[Afhængig variabel ID]]),INDEX(DataTitel_liste,1))</f>
        <v>Eksempel 1 (interval)</v>
      </c>
      <c r="G345" s="188" t="str" cm="1">
        <f t="array" ref="G345">IF(LineærRegression_Valg[[#This Row],[Indenfor range]],IF(LineærRegression_Valg[[#This Row],[Intet overlap]],INDEX(DataTitel_liste,LineærRegression_Valg[[#This Row],[Uafhængig variabel ID]]),INDEX(DataTitel_liste,IF(LineærRegression_Valg[[#This Row],[Afhængig variabel ID]]=1,2,1))),$B$7)</f>
        <v>Eksempel 2 (interval)</v>
      </c>
      <c r="H345" s="188">
        <f>_xlfn.AGGREGATE(2,5,LineærRegression_Valg[[#This Row],[Tabel ID]])</f>
        <v>1</v>
      </c>
    </row>
    <row r="346" spans="1:8" x14ac:dyDescent="0.2">
      <c r="A346">
        <f>ROW(LineærRegression_Valg[[#This Row],[Tabel ID]])-ROW(LineærRegression_Valg[[#Headers],[Tabel ID]])</f>
        <v>336</v>
      </c>
      <c r="B346" s="188">
        <f>ROUNDDOWN((LineærRegression_Valg[[#This Row],[Tabel ID]]-1)/$B$5,0)+1</f>
        <v>84</v>
      </c>
      <c r="C346" s="188">
        <f t="shared" si="5"/>
        <v>4</v>
      </c>
      <c r="D346" s="188" t="b">
        <f>LineærRegression_Valg[[#This Row],[Afhængig variabel ID]]&lt;&gt;LineærRegression_Valg[[#This Row],[Uafhængig variabel ID]]</f>
        <v>1</v>
      </c>
      <c r="E346" t="b">
        <f>LineærRegression_Valg[[#This Row],[Afhængig variabel ID]]&lt;=$B$5</f>
        <v>0</v>
      </c>
      <c r="F346" t="str" cm="1">
        <f t="array" ref="F346">IF(LineærRegression_Valg[[#This Row],[Indenfor range]],INDEX(DataTitel_liste,LineærRegression_Valg[[#This Row],[Afhængig variabel ID]]),INDEX(DataTitel_liste,1))</f>
        <v>Eksempel 1 (interval)</v>
      </c>
      <c r="G346" s="188" t="str" cm="1">
        <f t="array" ref="G346">IF(LineærRegression_Valg[[#This Row],[Indenfor range]],IF(LineærRegression_Valg[[#This Row],[Intet overlap]],INDEX(DataTitel_liste,LineærRegression_Valg[[#This Row],[Uafhængig variabel ID]]),INDEX(DataTitel_liste,IF(LineærRegression_Valg[[#This Row],[Afhængig variabel ID]]=1,2,1))),$B$7)</f>
        <v>Eksempel 2 (interval)</v>
      </c>
      <c r="H346" s="188">
        <f>_xlfn.AGGREGATE(2,5,LineærRegression_Valg[[#This Row],[Tabel ID]])</f>
        <v>1</v>
      </c>
    </row>
    <row r="347" spans="1:8" x14ac:dyDescent="0.2">
      <c r="A347">
        <f>ROW(LineærRegression_Valg[[#This Row],[Tabel ID]])-ROW(LineærRegression_Valg[[#Headers],[Tabel ID]])</f>
        <v>337</v>
      </c>
      <c r="B347" s="188">
        <f>ROUNDDOWN((LineærRegression_Valg[[#This Row],[Tabel ID]]-1)/$B$5,0)+1</f>
        <v>85</v>
      </c>
      <c r="C347" s="188">
        <f t="shared" si="5"/>
        <v>1</v>
      </c>
      <c r="D347" s="188" t="b">
        <f>LineærRegression_Valg[[#This Row],[Afhængig variabel ID]]&lt;&gt;LineærRegression_Valg[[#This Row],[Uafhængig variabel ID]]</f>
        <v>1</v>
      </c>
      <c r="E347" t="b">
        <f>LineærRegression_Valg[[#This Row],[Afhængig variabel ID]]&lt;=$B$5</f>
        <v>0</v>
      </c>
      <c r="F347" t="str" cm="1">
        <f t="array" ref="F347">IF(LineærRegression_Valg[[#This Row],[Indenfor range]],INDEX(DataTitel_liste,LineærRegression_Valg[[#This Row],[Afhængig variabel ID]]),INDEX(DataTitel_liste,1))</f>
        <v>Eksempel 1 (interval)</v>
      </c>
      <c r="G347" s="188" t="str" cm="1">
        <f t="array" ref="G347">IF(LineærRegression_Valg[[#This Row],[Indenfor range]],IF(LineærRegression_Valg[[#This Row],[Intet overlap]],INDEX(DataTitel_liste,LineærRegression_Valg[[#This Row],[Uafhængig variabel ID]]),INDEX(DataTitel_liste,IF(LineærRegression_Valg[[#This Row],[Afhængig variabel ID]]=1,2,1))),$B$7)</f>
        <v>Eksempel 2 (interval)</v>
      </c>
      <c r="H347" s="188">
        <f>_xlfn.AGGREGATE(2,5,LineærRegression_Valg[[#This Row],[Tabel ID]])</f>
        <v>1</v>
      </c>
    </row>
    <row r="348" spans="1:8" x14ac:dyDescent="0.2">
      <c r="A348">
        <f>ROW(LineærRegression_Valg[[#This Row],[Tabel ID]])-ROW(LineærRegression_Valg[[#Headers],[Tabel ID]])</f>
        <v>338</v>
      </c>
      <c r="B348" s="188">
        <f>ROUNDDOWN((LineærRegression_Valg[[#This Row],[Tabel ID]]-1)/$B$5,0)+1</f>
        <v>85</v>
      </c>
      <c r="C348" s="188">
        <f t="shared" si="5"/>
        <v>2</v>
      </c>
      <c r="D348" s="188" t="b">
        <f>LineærRegression_Valg[[#This Row],[Afhængig variabel ID]]&lt;&gt;LineærRegression_Valg[[#This Row],[Uafhængig variabel ID]]</f>
        <v>1</v>
      </c>
      <c r="E348" t="b">
        <f>LineærRegression_Valg[[#This Row],[Afhængig variabel ID]]&lt;=$B$5</f>
        <v>0</v>
      </c>
      <c r="F348" t="str" cm="1">
        <f t="array" ref="F348">IF(LineærRegression_Valg[[#This Row],[Indenfor range]],INDEX(DataTitel_liste,LineærRegression_Valg[[#This Row],[Afhængig variabel ID]]),INDEX(DataTitel_liste,1))</f>
        <v>Eksempel 1 (interval)</v>
      </c>
      <c r="G348" s="188" t="str" cm="1">
        <f t="array" ref="G348">IF(LineærRegression_Valg[[#This Row],[Indenfor range]],IF(LineærRegression_Valg[[#This Row],[Intet overlap]],INDEX(DataTitel_liste,LineærRegression_Valg[[#This Row],[Uafhængig variabel ID]]),INDEX(DataTitel_liste,IF(LineærRegression_Valg[[#This Row],[Afhængig variabel ID]]=1,2,1))),$B$7)</f>
        <v>Eksempel 2 (interval)</v>
      </c>
      <c r="H348" s="188">
        <f>_xlfn.AGGREGATE(2,5,LineærRegression_Valg[[#This Row],[Tabel ID]])</f>
        <v>1</v>
      </c>
    </row>
    <row r="349" spans="1:8" x14ac:dyDescent="0.2">
      <c r="A349">
        <f>ROW(LineærRegression_Valg[[#This Row],[Tabel ID]])-ROW(LineærRegression_Valg[[#Headers],[Tabel ID]])</f>
        <v>339</v>
      </c>
      <c r="B349" s="188">
        <f>ROUNDDOWN((LineærRegression_Valg[[#This Row],[Tabel ID]]-1)/$B$5,0)+1</f>
        <v>85</v>
      </c>
      <c r="C349" s="188">
        <f t="shared" si="5"/>
        <v>3</v>
      </c>
      <c r="D349" s="188" t="b">
        <f>LineærRegression_Valg[[#This Row],[Afhængig variabel ID]]&lt;&gt;LineærRegression_Valg[[#This Row],[Uafhængig variabel ID]]</f>
        <v>1</v>
      </c>
      <c r="E349" t="b">
        <f>LineærRegression_Valg[[#This Row],[Afhængig variabel ID]]&lt;=$B$5</f>
        <v>0</v>
      </c>
      <c r="F349" t="str" cm="1">
        <f t="array" ref="F349">IF(LineærRegression_Valg[[#This Row],[Indenfor range]],INDEX(DataTitel_liste,LineærRegression_Valg[[#This Row],[Afhængig variabel ID]]),INDEX(DataTitel_liste,1))</f>
        <v>Eksempel 1 (interval)</v>
      </c>
      <c r="G349" s="188" t="str" cm="1">
        <f t="array" ref="G349">IF(LineærRegression_Valg[[#This Row],[Indenfor range]],IF(LineærRegression_Valg[[#This Row],[Intet overlap]],INDEX(DataTitel_liste,LineærRegression_Valg[[#This Row],[Uafhængig variabel ID]]),INDEX(DataTitel_liste,IF(LineærRegression_Valg[[#This Row],[Afhængig variabel ID]]=1,2,1))),$B$7)</f>
        <v>Eksempel 2 (interval)</v>
      </c>
      <c r="H349" s="188">
        <f>_xlfn.AGGREGATE(2,5,LineærRegression_Valg[[#This Row],[Tabel ID]])</f>
        <v>1</v>
      </c>
    </row>
    <row r="350" spans="1:8" x14ac:dyDescent="0.2">
      <c r="A350">
        <f>ROW(LineærRegression_Valg[[#This Row],[Tabel ID]])-ROW(LineærRegression_Valg[[#Headers],[Tabel ID]])</f>
        <v>340</v>
      </c>
      <c r="B350" s="188">
        <f>ROUNDDOWN((LineærRegression_Valg[[#This Row],[Tabel ID]]-1)/$B$5,0)+1</f>
        <v>85</v>
      </c>
      <c r="C350" s="188">
        <f t="shared" si="5"/>
        <v>4</v>
      </c>
      <c r="D350" s="188" t="b">
        <f>LineærRegression_Valg[[#This Row],[Afhængig variabel ID]]&lt;&gt;LineærRegression_Valg[[#This Row],[Uafhængig variabel ID]]</f>
        <v>1</v>
      </c>
      <c r="E350" t="b">
        <f>LineærRegression_Valg[[#This Row],[Afhængig variabel ID]]&lt;=$B$5</f>
        <v>0</v>
      </c>
      <c r="F350" t="str" cm="1">
        <f t="array" ref="F350">IF(LineærRegression_Valg[[#This Row],[Indenfor range]],INDEX(DataTitel_liste,LineærRegression_Valg[[#This Row],[Afhængig variabel ID]]),INDEX(DataTitel_liste,1))</f>
        <v>Eksempel 1 (interval)</v>
      </c>
      <c r="G350" s="188" t="str" cm="1">
        <f t="array" ref="G350">IF(LineærRegression_Valg[[#This Row],[Indenfor range]],IF(LineærRegression_Valg[[#This Row],[Intet overlap]],INDEX(DataTitel_liste,LineærRegression_Valg[[#This Row],[Uafhængig variabel ID]]),INDEX(DataTitel_liste,IF(LineærRegression_Valg[[#This Row],[Afhængig variabel ID]]=1,2,1))),$B$7)</f>
        <v>Eksempel 2 (interval)</v>
      </c>
      <c r="H350" s="188">
        <f>_xlfn.AGGREGATE(2,5,LineærRegression_Valg[[#This Row],[Tabel ID]])</f>
        <v>1</v>
      </c>
    </row>
    <row r="351" spans="1:8" x14ac:dyDescent="0.2">
      <c r="A351">
        <f>ROW(LineærRegression_Valg[[#This Row],[Tabel ID]])-ROW(LineærRegression_Valg[[#Headers],[Tabel ID]])</f>
        <v>341</v>
      </c>
      <c r="B351" s="188">
        <f>ROUNDDOWN((LineærRegression_Valg[[#This Row],[Tabel ID]]-1)/$B$5,0)+1</f>
        <v>86</v>
      </c>
      <c r="C351" s="188">
        <f t="shared" si="5"/>
        <v>1</v>
      </c>
      <c r="D351" s="188" t="b">
        <f>LineærRegression_Valg[[#This Row],[Afhængig variabel ID]]&lt;&gt;LineærRegression_Valg[[#This Row],[Uafhængig variabel ID]]</f>
        <v>1</v>
      </c>
      <c r="E351" t="b">
        <f>LineærRegression_Valg[[#This Row],[Afhængig variabel ID]]&lt;=$B$5</f>
        <v>0</v>
      </c>
      <c r="F351" t="str" cm="1">
        <f t="array" ref="F351">IF(LineærRegression_Valg[[#This Row],[Indenfor range]],INDEX(DataTitel_liste,LineærRegression_Valg[[#This Row],[Afhængig variabel ID]]),INDEX(DataTitel_liste,1))</f>
        <v>Eksempel 1 (interval)</v>
      </c>
      <c r="G351" s="188" t="str" cm="1">
        <f t="array" ref="G351">IF(LineærRegression_Valg[[#This Row],[Indenfor range]],IF(LineærRegression_Valg[[#This Row],[Intet overlap]],INDEX(DataTitel_liste,LineærRegression_Valg[[#This Row],[Uafhængig variabel ID]]),INDEX(DataTitel_liste,IF(LineærRegression_Valg[[#This Row],[Afhængig variabel ID]]=1,2,1))),$B$7)</f>
        <v>Eksempel 2 (interval)</v>
      </c>
      <c r="H351" s="188">
        <f>_xlfn.AGGREGATE(2,5,LineærRegression_Valg[[#This Row],[Tabel ID]])</f>
        <v>1</v>
      </c>
    </row>
    <row r="352" spans="1:8" x14ac:dyDescent="0.2">
      <c r="A352">
        <f>ROW(LineærRegression_Valg[[#This Row],[Tabel ID]])-ROW(LineærRegression_Valg[[#Headers],[Tabel ID]])</f>
        <v>342</v>
      </c>
      <c r="B352" s="188">
        <f>ROUNDDOWN((LineærRegression_Valg[[#This Row],[Tabel ID]]-1)/$B$5,0)+1</f>
        <v>86</v>
      </c>
      <c r="C352" s="188">
        <f t="shared" si="5"/>
        <v>2</v>
      </c>
      <c r="D352" s="188" t="b">
        <f>LineærRegression_Valg[[#This Row],[Afhængig variabel ID]]&lt;&gt;LineærRegression_Valg[[#This Row],[Uafhængig variabel ID]]</f>
        <v>1</v>
      </c>
      <c r="E352" t="b">
        <f>LineærRegression_Valg[[#This Row],[Afhængig variabel ID]]&lt;=$B$5</f>
        <v>0</v>
      </c>
      <c r="F352" t="str" cm="1">
        <f t="array" ref="F352">IF(LineærRegression_Valg[[#This Row],[Indenfor range]],INDEX(DataTitel_liste,LineærRegression_Valg[[#This Row],[Afhængig variabel ID]]),INDEX(DataTitel_liste,1))</f>
        <v>Eksempel 1 (interval)</v>
      </c>
      <c r="G352" s="188" t="str" cm="1">
        <f t="array" ref="G352">IF(LineærRegression_Valg[[#This Row],[Indenfor range]],IF(LineærRegression_Valg[[#This Row],[Intet overlap]],INDEX(DataTitel_liste,LineærRegression_Valg[[#This Row],[Uafhængig variabel ID]]),INDEX(DataTitel_liste,IF(LineærRegression_Valg[[#This Row],[Afhængig variabel ID]]=1,2,1))),$B$7)</f>
        <v>Eksempel 2 (interval)</v>
      </c>
      <c r="H352" s="188">
        <f>_xlfn.AGGREGATE(2,5,LineærRegression_Valg[[#This Row],[Tabel ID]])</f>
        <v>1</v>
      </c>
    </row>
    <row r="353" spans="1:8" x14ac:dyDescent="0.2">
      <c r="A353">
        <f>ROW(LineærRegression_Valg[[#This Row],[Tabel ID]])-ROW(LineærRegression_Valg[[#Headers],[Tabel ID]])</f>
        <v>343</v>
      </c>
      <c r="B353" s="188">
        <f>ROUNDDOWN((LineærRegression_Valg[[#This Row],[Tabel ID]]-1)/$B$5,0)+1</f>
        <v>86</v>
      </c>
      <c r="C353" s="188">
        <f t="shared" si="5"/>
        <v>3</v>
      </c>
      <c r="D353" s="188" t="b">
        <f>LineærRegression_Valg[[#This Row],[Afhængig variabel ID]]&lt;&gt;LineærRegression_Valg[[#This Row],[Uafhængig variabel ID]]</f>
        <v>1</v>
      </c>
      <c r="E353" t="b">
        <f>LineærRegression_Valg[[#This Row],[Afhængig variabel ID]]&lt;=$B$5</f>
        <v>0</v>
      </c>
      <c r="F353" t="str" cm="1">
        <f t="array" ref="F353">IF(LineærRegression_Valg[[#This Row],[Indenfor range]],INDEX(DataTitel_liste,LineærRegression_Valg[[#This Row],[Afhængig variabel ID]]),INDEX(DataTitel_liste,1))</f>
        <v>Eksempel 1 (interval)</v>
      </c>
      <c r="G353" s="188" t="str" cm="1">
        <f t="array" ref="G353">IF(LineærRegression_Valg[[#This Row],[Indenfor range]],IF(LineærRegression_Valg[[#This Row],[Intet overlap]],INDEX(DataTitel_liste,LineærRegression_Valg[[#This Row],[Uafhængig variabel ID]]),INDEX(DataTitel_liste,IF(LineærRegression_Valg[[#This Row],[Afhængig variabel ID]]=1,2,1))),$B$7)</f>
        <v>Eksempel 2 (interval)</v>
      </c>
      <c r="H353" s="188">
        <f>_xlfn.AGGREGATE(2,5,LineærRegression_Valg[[#This Row],[Tabel ID]])</f>
        <v>1</v>
      </c>
    </row>
    <row r="354" spans="1:8" x14ac:dyDescent="0.2">
      <c r="A354">
        <f>ROW(LineærRegression_Valg[[#This Row],[Tabel ID]])-ROW(LineærRegression_Valg[[#Headers],[Tabel ID]])</f>
        <v>344</v>
      </c>
      <c r="B354" s="188">
        <f>ROUNDDOWN((LineærRegression_Valg[[#This Row],[Tabel ID]]-1)/$B$5,0)+1</f>
        <v>86</v>
      </c>
      <c r="C354" s="188">
        <f t="shared" si="5"/>
        <v>4</v>
      </c>
      <c r="D354" s="188" t="b">
        <f>LineærRegression_Valg[[#This Row],[Afhængig variabel ID]]&lt;&gt;LineærRegression_Valg[[#This Row],[Uafhængig variabel ID]]</f>
        <v>1</v>
      </c>
      <c r="E354" t="b">
        <f>LineærRegression_Valg[[#This Row],[Afhængig variabel ID]]&lt;=$B$5</f>
        <v>0</v>
      </c>
      <c r="F354" t="str" cm="1">
        <f t="array" ref="F354">IF(LineærRegression_Valg[[#This Row],[Indenfor range]],INDEX(DataTitel_liste,LineærRegression_Valg[[#This Row],[Afhængig variabel ID]]),INDEX(DataTitel_liste,1))</f>
        <v>Eksempel 1 (interval)</v>
      </c>
      <c r="G354" s="188" t="str" cm="1">
        <f t="array" ref="G354">IF(LineærRegression_Valg[[#This Row],[Indenfor range]],IF(LineærRegression_Valg[[#This Row],[Intet overlap]],INDEX(DataTitel_liste,LineærRegression_Valg[[#This Row],[Uafhængig variabel ID]]),INDEX(DataTitel_liste,IF(LineærRegression_Valg[[#This Row],[Afhængig variabel ID]]=1,2,1))),$B$7)</f>
        <v>Eksempel 2 (interval)</v>
      </c>
      <c r="H354" s="188">
        <f>_xlfn.AGGREGATE(2,5,LineærRegression_Valg[[#This Row],[Tabel ID]])</f>
        <v>1</v>
      </c>
    </row>
    <row r="355" spans="1:8" x14ac:dyDescent="0.2">
      <c r="A355">
        <f>ROW(LineærRegression_Valg[[#This Row],[Tabel ID]])-ROW(LineærRegression_Valg[[#Headers],[Tabel ID]])</f>
        <v>345</v>
      </c>
      <c r="B355" s="188">
        <f>ROUNDDOWN((LineærRegression_Valg[[#This Row],[Tabel ID]]-1)/$B$5,0)+1</f>
        <v>87</v>
      </c>
      <c r="C355" s="188">
        <f t="shared" si="5"/>
        <v>1</v>
      </c>
      <c r="D355" s="188" t="b">
        <f>LineærRegression_Valg[[#This Row],[Afhængig variabel ID]]&lt;&gt;LineærRegression_Valg[[#This Row],[Uafhængig variabel ID]]</f>
        <v>1</v>
      </c>
      <c r="E355" t="b">
        <f>LineærRegression_Valg[[#This Row],[Afhængig variabel ID]]&lt;=$B$5</f>
        <v>0</v>
      </c>
      <c r="F355" t="str" cm="1">
        <f t="array" ref="F355">IF(LineærRegression_Valg[[#This Row],[Indenfor range]],INDEX(DataTitel_liste,LineærRegression_Valg[[#This Row],[Afhængig variabel ID]]),INDEX(DataTitel_liste,1))</f>
        <v>Eksempel 1 (interval)</v>
      </c>
      <c r="G355" s="188" t="str" cm="1">
        <f t="array" ref="G355">IF(LineærRegression_Valg[[#This Row],[Indenfor range]],IF(LineærRegression_Valg[[#This Row],[Intet overlap]],INDEX(DataTitel_liste,LineærRegression_Valg[[#This Row],[Uafhængig variabel ID]]),INDEX(DataTitel_liste,IF(LineærRegression_Valg[[#This Row],[Afhængig variabel ID]]=1,2,1))),$B$7)</f>
        <v>Eksempel 2 (interval)</v>
      </c>
      <c r="H355" s="188">
        <f>_xlfn.AGGREGATE(2,5,LineærRegression_Valg[[#This Row],[Tabel ID]])</f>
        <v>1</v>
      </c>
    </row>
    <row r="356" spans="1:8" x14ac:dyDescent="0.2">
      <c r="A356">
        <f>ROW(LineærRegression_Valg[[#This Row],[Tabel ID]])-ROW(LineærRegression_Valg[[#Headers],[Tabel ID]])</f>
        <v>346</v>
      </c>
      <c r="B356" s="188">
        <f>ROUNDDOWN((LineærRegression_Valg[[#This Row],[Tabel ID]]-1)/$B$5,0)+1</f>
        <v>87</v>
      </c>
      <c r="C356" s="188">
        <f t="shared" si="5"/>
        <v>2</v>
      </c>
      <c r="D356" s="188" t="b">
        <f>LineærRegression_Valg[[#This Row],[Afhængig variabel ID]]&lt;&gt;LineærRegression_Valg[[#This Row],[Uafhængig variabel ID]]</f>
        <v>1</v>
      </c>
      <c r="E356" t="b">
        <f>LineærRegression_Valg[[#This Row],[Afhængig variabel ID]]&lt;=$B$5</f>
        <v>0</v>
      </c>
      <c r="F356" t="str" cm="1">
        <f t="array" ref="F356">IF(LineærRegression_Valg[[#This Row],[Indenfor range]],INDEX(DataTitel_liste,LineærRegression_Valg[[#This Row],[Afhængig variabel ID]]),INDEX(DataTitel_liste,1))</f>
        <v>Eksempel 1 (interval)</v>
      </c>
      <c r="G356" s="188" t="str" cm="1">
        <f t="array" ref="G356">IF(LineærRegression_Valg[[#This Row],[Indenfor range]],IF(LineærRegression_Valg[[#This Row],[Intet overlap]],INDEX(DataTitel_liste,LineærRegression_Valg[[#This Row],[Uafhængig variabel ID]]),INDEX(DataTitel_liste,IF(LineærRegression_Valg[[#This Row],[Afhængig variabel ID]]=1,2,1))),$B$7)</f>
        <v>Eksempel 2 (interval)</v>
      </c>
      <c r="H356" s="188">
        <f>_xlfn.AGGREGATE(2,5,LineærRegression_Valg[[#This Row],[Tabel ID]])</f>
        <v>1</v>
      </c>
    </row>
    <row r="357" spans="1:8" x14ac:dyDescent="0.2">
      <c r="A357">
        <f>ROW(LineærRegression_Valg[[#This Row],[Tabel ID]])-ROW(LineærRegression_Valg[[#Headers],[Tabel ID]])</f>
        <v>347</v>
      </c>
      <c r="B357" s="188">
        <f>ROUNDDOWN((LineærRegression_Valg[[#This Row],[Tabel ID]]-1)/$B$5,0)+1</f>
        <v>87</v>
      </c>
      <c r="C357" s="188">
        <f t="shared" si="5"/>
        <v>3</v>
      </c>
      <c r="D357" s="188" t="b">
        <f>LineærRegression_Valg[[#This Row],[Afhængig variabel ID]]&lt;&gt;LineærRegression_Valg[[#This Row],[Uafhængig variabel ID]]</f>
        <v>1</v>
      </c>
      <c r="E357" t="b">
        <f>LineærRegression_Valg[[#This Row],[Afhængig variabel ID]]&lt;=$B$5</f>
        <v>0</v>
      </c>
      <c r="F357" t="str" cm="1">
        <f t="array" ref="F357">IF(LineærRegression_Valg[[#This Row],[Indenfor range]],INDEX(DataTitel_liste,LineærRegression_Valg[[#This Row],[Afhængig variabel ID]]),INDEX(DataTitel_liste,1))</f>
        <v>Eksempel 1 (interval)</v>
      </c>
      <c r="G357" s="188" t="str" cm="1">
        <f t="array" ref="G357">IF(LineærRegression_Valg[[#This Row],[Indenfor range]],IF(LineærRegression_Valg[[#This Row],[Intet overlap]],INDEX(DataTitel_liste,LineærRegression_Valg[[#This Row],[Uafhængig variabel ID]]),INDEX(DataTitel_liste,IF(LineærRegression_Valg[[#This Row],[Afhængig variabel ID]]=1,2,1))),$B$7)</f>
        <v>Eksempel 2 (interval)</v>
      </c>
      <c r="H357" s="188">
        <f>_xlfn.AGGREGATE(2,5,LineærRegression_Valg[[#This Row],[Tabel ID]])</f>
        <v>1</v>
      </c>
    </row>
    <row r="358" spans="1:8" x14ac:dyDescent="0.2">
      <c r="A358">
        <f>ROW(LineærRegression_Valg[[#This Row],[Tabel ID]])-ROW(LineærRegression_Valg[[#Headers],[Tabel ID]])</f>
        <v>348</v>
      </c>
      <c r="B358" s="188">
        <f>ROUNDDOWN((LineærRegression_Valg[[#This Row],[Tabel ID]]-1)/$B$5,0)+1</f>
        <v>87</v>
      </c>
      <c r="C358" s="188">
        <f t="shared" si="5"/>
        <v>4</v>
      </c>
      <c r="D358" s="188" t="b">
        <f>LineærRegression_Valg[[#This Row],[Afhængig variabel ID]]&lt;&gt;LineærRegression_Valg[[#This Row],[Uafhængig variabel ID]]</f>
        <v>1</v>
      </c>
      <c r="E358" t="b">
        <f>LineærRegression_Valg[[#This Row],[Afhængig variabel ID]]&lt;=$B$5</f>
        <v>0</v>
      </c>
      <c r="F358" t="str" cm="1">
        <f t="array" ref="F358">IF(LineærRegression_Valg[[#This Row],[Indenfor range]],INDEX(DataTitel_liste,LineærRegression_Valg[[#This Row],[Afhængig variabel ID]]),INDEX(DataTitel_liste,1))</f>
        <v>Eksempel 1 (interval)</v>
      </c>
      <c r="G358" s="188" t="str" cm="1">
        <f t="array" ref="G358">IF(LineærRegression_Valg[[#This Row],[Indenfor range]],IF(LineærRegression_Valg[[#This Row],[Intet overlap]],INDEX(DataTitel_liste,LineærRegression_Valg[[#This Row],[Uafhængig variabel ID]]),INDEX(DataTitel_liste,IF(LineærRegression_Valg[[#This Row],[Afhængig variabel ID]]=1,2,1))),$B$7)</f>
        <v>Eksempel 2 (interval)</v>
      </c>
      <c r="H358" s="188">
        <f>_xlfn.AGGREGATE(2,5,LineærRegression_Valg[[#This Row],[Tabel ID]])</f>
        <v>1</v>
      </c>
    </row>
    <row r="359" spans="1:8" x14ac:dyDescent="0.2">
      <c r="A359">
        <f>ROW(LineærRegression_Valg[[#This Row],[Tabel ID]])-ROW(LineærRegression_Valg[[#Headers],[Tabel ID]])</f>
        <v>349</v>
      </c>
      <c r="B359" s="188">
        <f>ROUNDDOWN((LineærRegression_Valg[[#This Row],[Tabel ID]]-1)/$B$5,0)+1</f>
        <v>88</v>
      </c>
      <c r="C359" s="188">
        <f t="shared" si="5"/>
        <v>1</v>
      </c>
      <c r="D359" s="188" t="b">
        <f>LineærRegression_Valg[[#This Row],[Afhængig variabel ID]]&lt;&gt;LineærRegression_Valg[[#This Row],[Uafhængig variabel ID]]</f>
        <v>1</v>
      </c>
      <c r="E359" t="b">
        <f>LineærRegression_Valg[[#This Row],[Afhængig variabel ID]]&lt;=$B$5</f>
        <v>0</v>
      </c>
      <c r="F359" t="str" cm="1">
        <f t="array" ref="F359">IF(LineærRegression_Valg[[#This Row],[Indenfor range]],INDEX(DataTitel_liste,LineærRegression_Valg[[#This Row],[Afhængig variabel ID]]),INDEX(DataTitel_liste,1))</f>
        <v>Eksempel 1 (interval)</v>
      </c>
      <c r="G359" s="188" t="str" cm="1">
        <f t="array" ref="G359">IF(LineærRegression_Valg[[#This Row],[Indenfor range]],IF(LineærRegression_Valg[[#This Row],[Intet overlap]],INDEX(DataTitel_liste,LineærRegression_Valg[[#This Row],[Uafhængig variabel ID]]),INDEX(DataTitel_liste,IF(LineærRegression_Valg[[#This Row],[Afhængig variabel ID]]=1,2,1))),$B$7)</f>
        <v>Eksempel 2 (interval)</v>
      </c>
      <c r="H359" s="188">
        <f>_xlfn.AGGREGATE(2,5,LineærRegression_Valg[[#This Row],[Tabel ID]])</f>
        <v>1</v>
      </c>
    </row>
    <row r="360" spans="1:8" x14ac:dyDescent="0.2">
      <c r="A360">
        <f>ROW(LineærRegression_Valg[[#This Row],[Tabel ID]])-ROW(LineærRegression_Valg[[#Headers],[Tabel ID]])</f>
        <v>350</v>
      </c>
      <c r="B360" s="188">
        <f>ROUNDDOWN((LineærRegression_Valg[[#This Row],[Tabel ID]]-1)/$B$5,0)+1</f>
        <v>88</v>
      </c>
      <c r="C360" s="188">
        <f t="shared" si="5"/>
        <v>2</v>
      </c>
      <c r="D360" s="188" t="b">
        <f>LineærRegression_Valg[[#This Row],[Afhængig variabel ID]]&lt;&gt;LineærRegression_Valg[[#This Row],[Uafhængig variabel ID]]</f>
        <v>1</v>
      </c>
      <c r="E360" t="b">
        <f>LineærRegression_Valg[[#This Row],[Afhængig variabel ID]]&lt;=$B$5</f>
        <v>0</v>
      </c>
      <c r="F360" t="str" cm="1">
        <f t="array" ref="F360">IF(LineærRegression_Valg[[#This Row],[Indenfor range]],INDEX(DataTitel_liste,LineærRegression_Valg[[#This Row],[Afhængig variabel ID]]),INDEX(DataTitel_liste,1))</f>
        <v>Eksempel 1 (interval)</v>
      </c>
      <c r="G360" s="188" t="str" cm="1">
        <f t="array" ref="G360">IF(LineærRegression_Valg[[#This Row],[Indenfor range]],IF(LineærRegression_Valg[[#This Row],[Intet overlap]],INDEX(DataTitel_liste,LineærRegression_Valg[[#This Row],[Uafhængig variabel ID]]),INDEX(DataTitel_liste,IF(LineærRegression_Valg[[#This Row],[Afhængig variabel ID]]=1,2,1))),$B$7)</f>
        <v>Eksempel 2 (interval)</v>
      </c>
      <c r="H360" s="188">
        <f>_xlfn.AGGREGATE(2,5,LineærRegression_Valg[[#This Row],[Tabel ID]])</f>
        <v>1</v>
      </c>
    </row>
    <row r="361" spans="1:8" x14ac:dyDescent="0.2">
      <c r="A361">
        <f>ROW(LineærRegression_Valg[[#This Row],[Tabel ID]])-ROW(LineærRegression_Valg[[#Headers],[Tabel ID]])</f>
        <v>351</v>
      </c>
      <c r="B361" s="188">
        <f>ROUNDDOWN((LineærRegression_Valg[[#This Row],[Tabel ID]]-1)/$B$5,0)+1</f>
        <v>88</v>
      </c>
      <c r="C361" s="188">
        <f t="shared" si="5"/>
        <v>3</v>
      </c>
      <c r="D361" s="188" t="b">
        <f>LineærRegression_Valg[[#This Row],[Afhængig variabel ID]]&lt;&gt;LineærRegression_Valg[[#This Row],[Uafhængig variabel ID]]</f>
        <v>1</v>
      </c>
      <c r="E361" t="b">
        <f>LineærRegression_Valg[[#This Row],[Afhængig variabel ID]]&lt;=$B$5</f>
        <v>0</v>
      </c>
      <c r="F361" t="str" cm="1">
        <f t="array" ref="F361">IF(LineærRegression_Valg[[#This Row],[Indenfor range]],INDEX(DataTitel_liste,LineærRegression_Valg[[#This Row],[Afhængig variabel ID]]),INDEX(DataTitel_liste,1))</f>
        <v>Eksempel 1 (interval)</v>
      </c>
      <c r="G361" s="188" t="str" cm="1">
        <f t="array" ref="G361">IF(LineærRegression_Valg[[#This Row],[Indenfor range]],IF(LineærRegression_Valg[[#This Row],[Intet overlap]],INDEX(DataTitel_liste,LineærRegression_Valg[[#This Row],[Uafhængig variabel ID]]),INDEX(DataTitel_liste,IF(LineærRegression_Valg[[#This Row],[Afhængig variabel ID]]=1,2,1))),$B$7)</f>
        <v>Eksempel 2 (interval)</v>
      </c>
      <c r="H361" s="188">
        <f>_xlfn.AGGREGATE(2,5,LineærRegression_Valg[[#This Row],[Tabel ID]])</f>
        <v>1</v>
      </c>
    </row>
    <row r="362" spans="1:8" x14ac:dyDescent="0.2">
      <c r="A362">
        <f>ROW(LineærRegression_Valg[[#This Row],[Tabel ID]])-ROW(LineærRegression_Valg[[#Headers],[Tabel ID]])</f>
        <v>352</v>
      </c>
      <c r="B362" s="188">
        <f>ROUNDDOWN((LineærRegression_Valg[[#This Row],[Tabel ID]]-1)/$B$5,0)+1</f>
        <v>88</v>
      </c>
      <c r="C362" s="188">
        <f t="shared" si="5"/>
        <v>4</v>
      </c>
      <c r="D362" s="188" t="b">
        <f>LineærRegression_Valg[[#This Row],[Afhængig variabel ID]]&lt;&gt;LineærRegression_Valg[[#This Row],[Uafhængig variabel ID]]</f>
        <v>1</v>
      </c>
      <c r="E362" t="b">
        <f>LineærRegression_Valg[[#This Row],[Afhængig variabel ID]]&lt;=$B$5</f>
        <v>0</v>
      </c>
      <c r="F362" t="str" cm="1">
        <f t="array" ref="F362">IF(LineærRegression_Valg[[#This Row],[Indenfor range]],INDEX(DataTitel_liste,LineærRegression_Valg[[#This Row],[Afhængig variabel ID]]),INDEX(DataTitel_liste,1))</f>
        <v>Eksempel 1 (interval)</v>
      </c>
      <c r="G362" s="188" t="str" cm="1">
        <f t="array" ref="G362">IF(LineærRegression_Valg[[#This Row],[Indenfor range]],IF(LineærRegression_Valg[[#This Row],[Intet overlap]],INDEX(DataTitel_liste,LineærRegression_Valg[[#This Row],[Uafhængig variabel ID]]),INDEX(DataTitel_liste,IF(LineærRegression_Valg[[#This Row],[Afhængig variabel ID]]=1,2,1))),$B$7)</f>
        <v>Eksempel 2 (interval)</v>
      </c>
      <c r="H362" s="188">
        <f>_xlfn.AGGREGATE(2,5,LineærRegression_Valg[[#This Row],[Tabel ID]])</f>
        <v>1</v>
      </c>
    </row>
    <row r="363" spans="1:8" x14ac:dyDescent="0.2">
      <c r="A363">
        <f>ROW(LineærRegression_Valg[[#This Row],[Tabel ID]])-ROW(LineærRegression_Valg[[#Headers],[Tabel ID]])</f>
        <v>353</v>
      </c>
      <c r="B363" s="188">
        <f>ROUNDDOWN((LineærRegression_Valg[[#This Row],[Tabel ID]]-1)/$B$5,0)+1</f>
        <v>89</v>
      </c>
      <c r="C363" s="188">
        <f t="shared" si="5"/>
        <v>1</v>
      </c>
      <c r="D363" s="188" t="b">
        <f>LineærRegression_Valg[[#This Row],[Afhængig variabel ID]]&lt;&gt;LineærRegression_Valg[[#This Row],[Uafhængig variabel ID]]</f>
        <v>1</v>
      </c>
      <c r="E363" t="b">
        <f>LineærRegression_Valg[[#This Row],[Afhængig variabel ID]]&lt;=$B$5</f>
        <v>0</v>
      </c>
      <c r="F363" t="str" cm="1">
        <f t="array" ref="F363">IF(LineærRegression_Valg[[#This Row],[Indenfor range]],INDEX(DataTitel_liste,LineærRegression_Valg[[#This Row],[Afhængig variabel ID]]),INDEX(DataTitel_liste,1))</f>
        <v>Eksempel 1 (interval)</v>
      </c>
      <c r="G363" s="188" t="str" cm="1">
        <f t="array" ref="G363">IF(LineærRegression_Valg[[#This Row],[Indenfor range]],IF(LineærRegression_Valg[[#This Row],[Intet overlap]],INDEX(DataTitel_liste,LineærRegression_Valg[[#This Row],[Uafhængig variabel ID]]),INDEX(DataTitel_liste,IF(LineærRegression_Valg[[#This Row],[Afhængig variabel ID]]=1,2,1))),$B$7)</f>
        <v>Eksempel 2 (interval)</v>
      </c>
      <c r="H363" s="188">
        <f>_xlfn.AGGREGATE(2,5,LineærRegression_Valg[[#This Row],[Tabel ID]])</f>
        <v>1</v>
      </c>
    </row>
    <row r="364" spans="1:8" x14ac:dyDescent="0.2">
      <c r="A364">
        <f>ROW(LineærRegression_Valg[[#This Row],[Tabel ID]])-ROW(LineærRegression_Valg[[#Headers],[Tabel ID]])</f>
        <v>354</v>
      </c>
      <c r="B364" s="188">
        <f>ROUNDDOWN((LineærRegression_Valg[[#This Row],[Tabel ID]]-1)/$B$5,0)+1</f>
        <v>89</v>
      </c>
      <c r="C364" s="188">
        <f t="shared" si="5"/>
        <v>2</v>
      </c>
      <c r="D364" s="188" t="b">
        <f>LineærRegression_Valg[[#This Row],[Afhængig variabel ID]]&lt;&gt;LineærRegression_Valg[[#This Row],[Uafhængig variabel ID]]</f>
        <v>1</v>
      </c>
      <c r="E364" t="b">
        <f>LineærRegression_Valg[[#This Row],[Afhængig variabel ID]]&lt;=$B$5</f>
        <v>0</v>
      </c>
      <c r="F364" t="str" cm="1">
        <f t="array" ref="F364">IF(LineærRegression_Valg[[#This Row],[Indenfor range]],INDEX(DataTitel_liste,LineærRegression_Valg[[#This Row],[Afhængig variabel ID]]),INDEX(DataTitel_liste,1))</f>
        <v>Eksempel 1 (interval)</v>
      </c>
      <c r="G364" s="188" t="str" cm="1">
        <f t="array" ref="G364">IF(LineærRegression_Valg[[#This Row],[Indenfor range]],IF(LineærRegression_Valg[[#This Row],[Intet overlap]],INDEX(DataTitel_liste,LineærRegression_Valg[[#This Row],[Uafhængig variabel ID]]),INDEX(DataTitel_liste,IF(LineærRegression_Valg[[#This Row],[Afhængig variabel ID]]=1,2,1))),$B$7)</f>
        <v>Eksempel 2 (interval)</v>
      </c>
      <c r="H364" s="188">
        <f>_xlfn.AGGREGATE(2,5,LineærRegression_Valg[[#This Row],[Tabel ID]])</f>
        <v>1</v>
      </c>
    </row>
    <row r="365" spans="1:8" x14ac:dyDescent="0.2">
      <c r="A365">
        <f>ROW(LineærRegression_Valg[[#This Row],[Tabel ID]])-ROW(LineærRegression_Valg[[#Headers],[Tabel ID]])</f>
        <v>355</v>
      </c>
      <c r="B365" s="188">
        <f>ROUNDDOWN((LineærRegression_Valg[[#This Row],[Tabel ID]]-1)/$B$5,0)+1</f>
        <v>89</v>
      </c>
      <c r="C365" s="188">
        <f t="shared" si="5"/>
        <v>3</v>
      </c>
      <c r="D365" s="188" t="b">
        <f>LineærRegression_Valg[[#This Row],[Afhængig variabel ID]]&lt;&gt;LineærRegression_Valg[[#This Row],[Uafhængig variabel ID]]</f>
        <v>1</v>
      </c>
      <c r="E365" t="b">
        <f>LineærRegression_Valg[[#This Row],[Afhængig variabel ID]]&lt;=$B$5</f>
        <v>0</v>
      </c>
      <c r="F365" t="str" cm="1">
        <f t="array" ref="F365">IF(LineærRegression_Valg[[#This Row],[Indenfor range]],INDEX(DataTitel_liste,LineærRegression_Valg[[#This Row],[Afhængig variabel ID]]),INDEX(DataTitel_liste,1))</f>
        <v>Eksempel 1 (interval)</v>
      </c>
      <c r="G365" s="188" t="str" cm="1">
        <f t="array" ref="G365">IF(LineærRegression_Valg[[#This Row],[Indenfor range]],IF(LineærRegression_Valg[[#This Row],[Intet overlap]],INDEX(DataTitel_liste,LineærRegression_Valg[[#This Row],[Uafhængig variabel ID]]),INDEX(DataTitel_liste,IF(LineærRegression_Valg[[#This Row],[Afhængig variabel ID]]=1,2,1))),$B$7)</f>
        <v>Eksempel 2 (interval)</v>
      </c>
      <c r="H365" s="188">
        <f>_xlfn.AGGREGATE(2,5,LineærRegression_Valg[[#This Row],[Tabel ID]])</f>
        <v>1</v>
      </c>
    </row>
    <row r="366" spans="1:8" x14ac:dyDescent="0.2">
      <c r="A366">
        <f>ROW(LineærRegression_Valg[[#This Row],[Tabel ID]])-ROW(LineærRegression_Valg[[#Headers],[Tabel ID]])</f>
        <v>356</v>
      </c>
      <c r="B366" s="188">
        <f>ROUNDDOWN((LineærRegression_Valg[[#This Row],[Tabel ID]]-1)/$B$5,0)+1</f>
        <v>89</v>
      </c>
      <c r="C366" s="188">
        <f t="shared" si="5"/>
        <v>4</v>
      </c>
      <c r="D366" s="188" t="b">
        <f>LineærRegression_Valg[[#This Row],[Afhængig variabel ID]]&lt;&gt;LineærRegression_Valg[[#This Row],[Uafhængig variabel ID]]</f>
        <v>1</v>
      </c>
      <c r="E366" t="b">
        <f>LineærRegression_Valg[[#This Row],[Afhængig variabel ID]]&lt;=$B$5</f>
        <v>0</v>
      </c>
      <c r="F366" t="str" cm="1">
        <f t="array" ref="F366">IF(LineærRegression_Valg[[#This Row],[Indenfor range]],INDEX(DataTitel_liste,LineærRegression_Valg[[#This Row],[Afhængig variabel ID]]),INDEX(DataTitel_liste,1))</f>
        <v>Eksempel 1 (interval)</v>
      </c>
      <c r="G366" s="188" t="str" cm="1">
        <f t="array" ref="G366">IF(LineærRegression_Valg[[#This Row],[Indenfor range]],IF(LineærRegression_Valg[[#This Row],[Intet overlap]],INDEX(DataTitel_liste,LineærRegression_Valg[[#This Row],[Uafhængig variabel ID]]),INDEX(DataTitel_liste,IF(LineærRegression_Valg[[#This Row],[Afhængig variabel ID]]=1,2,1))),$B$7)</f>
        <v>Eksempel 2 (interval)</v>
      </c>
      <c r="H366" s="188">
        <f>_xlfn.AGGREGATE(2,5,LineærRegression_Valg[[#This Row],[Tabel ID]])</f>
        <v>1</v>
      </c>
    </row>
    <row r="367" spans="1:8" x14ac:dyDescent="0.2">
      <c r="A367">
        <f>ROW(LineærRegression_Valg[[#This Row],[Tabel ID]])-ROW(LineærRegression_Valg[[#Headers],[Tabel ID]])</f>
        <v>357</v>
      </c>
      <c r="B367" s="188">
        <f>ROUNDDOWN((LineærRegression_Valg[[#This Row],[Tabel ID]]-1)/$B$5,0)+1</f>
        <v>90</v>
      </c>
      <c r="C367" s="188">
        <f t="shared" si="5"/>
        <v>1</v>
      </c>
      <c r="D367" s="188" t="b">
        <f>LineærRegression_Valg[[#This Row],[Afhængig variabel ID]]&lt;&gt;LineærRegression_Valg[[#This Row],[Uafhængig variabel ID]]</f>
        <v>1</v>
      </c>
      <c r="E367" t="b">
        <f>LineærRegression_Valg[[#This Row],[Afhængig variabel ID]]&lt;=$B$5</f>
        <v>0</v>
      </c>
      <c r="F367" t="str" cm="1">
        <f t="array" ref="F367">IF(LineærRegression_Valg[[#This Row],[Indenfor range]],INDEX(DataTitel_liste,LineærRegression_Valg[[#This Row],[Afhængig variabel ID]]),INDEX(DataTitel_liste,1))</f>
        <v>Eksempel 1 (interval)</v>
      </c>
      <c r="G367" s="188" t="str" cm="1">
        <f t="array" ref="G367">IF(LineærRegression_Valg[[#This Row],[Indenfor range]],IF(LineærRegression_Valg[[#This Row],[Intet overlap]],INDEX(DataTitel_liste,LineærRegression_Valg[[#This Row],[Uafhængig variabel ID]]),INDEX(DataTitel_liste,IF(LineærRegression_Valg[[#This Row],[Afhængig variabel ID]]=1,2,1))),$B$7)</f>
        <v>Eksempel 2 (interval)</v>
      </c>
      <c r="H367" s="188">
        <f>_xlfn.AGGREGATE(2,5,LineærRegression_Valg[[#This Row],[Tabel ID]])</f>
        <v>1</v>
      </c>
    </row>
    <row r="368" spans="1:8" x14ac:dyDescent="0.2">
      <c r="A368">
        <f>ROW(LineærRegression_Valg[[#This Row],[Tabel ID]])-ROW(LineærRegression_Valg[[#Headers],[Tabel ID]])</f>
        <v>358</v>
      </c>
      <c r="B368" s="188">
        <f>ROUNDDOWN((LineærRegression_Valg[[#This Row],[Tabel ID]]-1)/$B$5,0)+1</f>
        <v>90</v>
      </c>
      <c r="C368" s="188">
        <f t="shared" si="5"/>
        <v>2</v>
      </c>
      <c r="D368" s="188" t="b">
        <f>LineærRegression_Valg[[#This Row],[Afhængig variabel ID]]&lt;&gt;LineærRegression_Valg[[#This Row],[Uafhængig variabel ID]]</f>
        <v>1</v>
      </c>
      <c r="E368" t="b">
        <f>LineærRegression_Valg[[#This Row],[Afhængig variabel ID]]&lt;=$B$5</f>
        <v>0</v>
      </c>
      <c r="F368" t="str" cm="1">
        <f t="array" ref="F368">IF(LineærRegression_Valg[[#This Row],[Indenfor range]],INDEX(DataTitel_liste,LineærRegression_Valg[[#This Row],[Afhængig variabel ID]]),INDEX(DataTitel_liste,1))</f>
        <v>Eksempel 1 (interval)</v>
      </c>
      <c r="G368" s="188" t="str" cm="1">
        <f t="array" ref="G368">IF(LineærRegression_Valg[[#This Row],[Indenfor range]],IF(LineærRegression_Valg[[#This Row],[Intet overlap]],INDEX(DataTitel_liste,LineærRegression_Valg[[#This Row],[Uafhængig variabel ID]]),INDEX(DataTitel_liste,IF(LineærRegression_Valg[[#This Row],[Afhængig variabel ID]]=1,2,1))),$B$7)</f>
        <v>Eksempel 2 (interval)</v>
      </c>
      <c r="H368" s="188">
        <f>_xlfn.AGGREGATE(2,5,LineærRegression_Valg[[#This Row],[Tabel ID]])</f>
        <v>1</v>
      </c>
    </row>
    <row r="369" spans="1:8" x14ac:dyDescent="0.2">
      <c r="A369">
        <f>ROW(LineærRegression_Valg[[#This Row],[Tabel ID]])-ROW(LineærRegression_Valg[[#Headers],[Tabel ID]])</f>
        <v>359</v>
      </c>
      <c r="B369" s="188">
        <f>ROUNDDOWN((LineærRegression_Valg[[#This Row],[Tabel ID]]-1)/$B$5,0)+1</f>
        <v>90</v>
      </c>
      <c r="C369" s="188">
        <f t="shared" si="5"/>
        <v>3</v>
      </c>
      <c r="D369" s="188" t="b">
        <f>LineærRegression_Valg[[#This Row],[Afhængig variabel ID]]&lt;&gt;LineærRegression_Valg[[#This Row],[Uafhængig variabel ID]]</f>
        <v>1</v>
      </c>
      <c r="E369" t="b">
        <f>LineærRegression_Valg[[#This Row],[Afhængig variabel ID]]&lt;=$B$5</f>
        <v>0</v>
      </c>
      <c r="F369" t="str" cm="1">
        <f t="array" ref="F369">IF(LineærRegression_Valg[[#This Row],[Indenfor range]],INDEX(DataTitel_liste,LineærRegression_Valg[[#This Row],[Afhængig variabel ID]]),INDEX(DataTitel_liste,1))</f>
        <v>Eksempel 1 (interval)</v>
      </c>
      <c r="G369" s="188" t="str" cm="1">
        <f t="array" ref="G369">IF(LineærRegression_Valg[[#This Row],[Indenfor range]],IF(LineærRegression_Valg[[#This Row],[Intet overlap]],INDEX(DataTitel_liste,LineærRegression_Valg[[#This Row],[Uafhængig variabel ID]]),INDEX(DataTitel_liste,IF(LineærRegression_Valg[[#This Row],[Afhængig variabel ID]]=1,2,1))),$B$7)</f>
        <v>Eksempel 2 (interval)</v>
      </c>
      <c r="H369" s="188">
        <f>_xlfn.AGGREGATE(2,5,LineærRegression_Valg[[#This Row],[Tabel ID]])</f>
        <v>1</v>
      </c>
    </row>
    <row r="370" spans="1:8" x14ac:dyDescent="0.2">
      <c r="A370">
        <f>ROW(LineærRegression_Valg[[#This Row],[Tabel ID]])-ROW(LineærRegression_Valg[[#Headers],[Tabel ID]])</f>
        <v>360</v>
      </c>
      <c r="B370" s="188">
        <f>ROUNDDOWN((LineærRegression_Valg[[#This Row],[Tabel ID]]-1)/$B$5,0)+1</f>
        <v>90</v>
      </c>
      <c r="C370" s="188">
        <f t="shared" si="5"/>
        <v>4</v>
      </c>
      <c r="D370" s="188" t="b">
        <f>LineærRegression_Valg[[#This Row],[Afhængig variabel ID]]&lt;&gt;LineærRegression_Valg[[#This Row],[Uafhængig variabel ID]]</f>
        <v>1</v>
      </c>
      <c r="E370" t="b">
        <f>LineærRegression_Valg[[#This Row],[Afhængig variabel ID]]&lt;=$B$5</f>
        <v>0</v>
      </c>
      <c r="F370" t="str" cm="1">
        <f t="array" ref="F370">IF(LineærRegression_Valg[[#This Row],[Indenfor range]],INDEX(DataTitel_liste,LineærRegression_Valg[[#This Row],[Afhængig variabel ID]]),INDEX(DataTitel_liste,1))</f>
        <v>Eksempel 1 (interval)</v>
      </c>
      <c r="G370" s="188" t="str" cm="1">
        <f t="array" ref="G370">IF(LineærRegression_Valg[[#This Row],[Indenfor range]],IF(LineærRegression_Valg[[#This Row],[Intet overlap]],INDEX(DataTitel_liste,LineærRegression_Valg[[#This Row],[Uafhængig variabel ID]]),INDEX(DataTitel_liste,IF(LineærRegression_Valg[[#This Row],[Afhængig variabel ID]]=1,2,1))),$B$7)</f>
        <v>Eksempel 2 (interval)</v>
      </c>
      <c r="H370" s="188">
        <f>_xlfn.AGGREGATE(2,5,LineærRegression_Valg[[#This Row],[Tabel ID]])</f>
        <v>1</v>
      </c>
    </row>
    <row r="371" spans="1:8" x14ac:dyDescent="0.2">
      <c r="A371">
        <f>ROW(LineærRegression_Valg[[#This Row],[Tabel ID]])-ROW(LineærRegression_Valg[[#Headers],[Tabel ID]])</f>
        <v>361</v>
      </c>
      <c r="B371" s="188">
        <f>ROUNDDOWN((LineærRegression_Valg[[#This Row],[Tabel ID]]-1)/$B$5,0)+1</f>
        <v>91</v>
      </c>
      <c r="C371" s="188">
        <f t="shared" si="5"/>
        <v>1</v>
      </c>
      <c r="D371" s="188" t="b">
        <f>LineærRegression_Valg[[#This Row],[Afhængig variabel ID]]&lt;&gt;LineærRegression_Valg[[#This Row],[Uafhængig variabel ID]]</f>
        <v>1</v>
      </c>
      <c r="E371" t="b">
        <f>LineærRegression_Valg[[#This Row],[Afhængig variabel ID]]&lt;=$B$5</f>
        <v>0</v>
      </c>
      <c r="F371" t="str" cm="1">
        <f t="array" ref="F371">IF(LineærRegression_Valg[[#This Row],[Indenfor range]],INDEX(DataTitel_liste,LineærRegression_Valg[[#This Row],[Afhængig variabel ID]]),INDEX(DataTitel_liste,1))</f>
        <v>Eksempel 1 (interval)</v>
      </c>
      <c r="G371" s="188" t="str" cm="1">
        <f t="array" ref="G371">IF(LineærRegression_Valg[[#This Row],[Indenfor range]],IF(LineærRegression_Valg[[#This Row],[Intet overlap]],INDEX(DataTitel_liste,LineærRegression_Valg[[#This Row],[Uafhængig variabel ID]]),INDEX(DataTitel_liste,IF(LineærRegression_Valg[[#This Row],[Afhængig variabel ID]]=1,2,1))),$B$7)</f>
        <v>Eksempel 2 (interval)</v>
      </c>
      <c r="H371" s="188">
        <f>_xlfn.AGGREGATE(2,5,LineærRegression_Valg[[#This Row],[Tabel ID]])</f>
        <v>1</v>
      </c>
    </row>
    <row r="372" spans="1:8" x14ac:dyDescent="0.2">
      <c r="A372">
        <f>ROW(LineærRegression_Valg[[#This Row],[Tabel ID]])-ROW(LineærRegression_Valg[[#Headers],[Tabel ID]])</f>
        <v>362</v>
      </c>
      <c r="B372" s="188">
        <f>ROUNDDOWN((LineærRegression_Valg[[#This Row],[Tabel ID]]-1)/$B$5,0)+1</f>
        <v>91</v>
      </c>
      <c r="C372" s="188">
        <f t="shared" si="5"/>
        <v>2</v>
      </c>
      <c r="D372" s="188" t="b">
        <f>LineærRegression_Valg[[#This Row],[Afhængig variabel ID]]&lt;&gt;LineærRegression_Valg[[#This Row],[Uafhængig variabel ID]]</f>
        <v>1</v>
      </c>
      <c r="E372" t="b">
        <f>LineærRegression_Valg[[#This Row],[Afhængig variabel ID]]&lt;=$B$5</f>
        <v>0</v>
      </c>
      <c r="F372" t="str" cm="1">
        <f t="array" ref="F372">IF(LineærRegression_Valg[[#This Row],[Indenfor range]],INDEX(DataTitel_liste,LineærRegression_Valg[[#This Row],[Afhængig variabel ID]]),INDEX(DataTitel_liste,1))</f>
        <v>Eksempel 1 (interval)</v>
      </c>
      <c r="G372" s="188" t="str" cm="1">
        <f t="array" ref="G372">IF(LineærRegression_Valg[[#This Row],[Indenfor range]],IF(LineærRegression_Valg[[#This Row],[Intet overlap]],INDEX(DataTitel_liste,LineærRegression_Valg[[#This Row],[Uafhængig variabel ID]]),INDEX(DataTitel_liste,IF(LineærRegression_Valg[[#This Row],[Afhængig variabel ID]]=1,2,1))),$B$7)</f>
        <v>Eksempel 2 (interval)</v>
      </c>
      <c r="H372" s="188">
        <f>_xlfn.AGGREGATE(2,5,LineærRegression_Valg[[#This Row],[Tabel ID]])</f>
        <v>1</v>
      </c>
    </row>
    <row r="373" spans="1:8" x14ac:dyDescent="0.2">
      <c r="A373">
        <f>ROW(LineærRegression_Valg[[#This Row],[Tabel ID]])-ROW(LineærRegression_Valg[[#Headers],[Tabel ID]])</f>
        <v>363</v>
      </c>
      <c r="B373" s="188">
        <f>ROUNDDOWN((LineærRegression_Valg[[#This Row],[Tabel ID]]-1)/$B$5,0)+1</f>
        <v>91</v>
      </c>
      <c r="C373" s="188">
        <f t="shared" si="5"/>
        <v>3</v>
      </c>
      <c r="D373" s="188" t="b">
        <f>LineærRegression_Valg[[#This Row],[Afhængig variabel ID]]&lt;&gt;LineærRegression_Valg[[#This Row],[Uafhængig variabel ID]]</f>
        <v>1</v>
      </c>
      <c r="E373" t="b">
        <f>LineærRegression_Valg[[#This Row],[Afhængig variabel ID]]&lt;=$B$5</f>
        <v>0</v>
      </c>
      <c r="F373" t="str" cm="1">
        <f t="array" ref="F373">IF(LineærRegression_Valg[[#This Row],[Indenfor range]],INDEX(DataTitel_liste,LineærRegression_Valg[[#This Row],[Afhængig variabel ID]]),INDEX(DataTitel_liste,1))</f>
        <v>Eksempel 1 (interval)</v>
      </c>
      <c r="G373" s="188" t="str" cm="1">
        <f t="array" ref="G373">IF(LineærRegression_Valg[[#This Row],[Indenfor range]],IF(LineærRegression_Valg[[#This Row],[Intet overlap]],INDEX(DataTitel_liste,LineærRegression_Valg[[#This Row],[Uafhængig variabel ID]]),INDEX(DataTitel_liste,IF(LineærRegression_Valg[[#This Row],[Afhængig variabel ID]]=1,2,1))),$B$7)</f>
        <v>Eksempel 2 (interval)</v>
      </c>
      <c r="H373" s="188">
        <f>_xlfn.AGGREGATE(2,5,LineærRegression_Valg[[#This Row],[Tabel ID]])</f>
        <v>1</v>
      </c>
    </row>
    <row r="374" spans="1:8" x14ac:dyDescent="0.2">
      <c r="A374">
        <f>ROW(LineærRegression_Valg[[#This Row],[Tabel ID]])-ROW(LineærRegression_Valg[[#Headers],[Tabel ID]])</f>
        <v>364</v>
      </c>
      <c r="B374" s="188">
        <f>ROUNDDOWN((LineærRegression_Valg[[#This Row],[Tabel ID]]-1)/$B$5,0)+1</f>
        <v>91</v>
      </c>
      <c r="C374" s="188">
        <f t="shared" si="5"/>
        <v>4</v>
      </c>
      <c r="D374" s="188" t="b">
        <f>LineærRegression_Valg[[#This Row],[Afhængig variabel ID]]&lt;&gt;LineærRegression_Valg[[#This Row],[Uafhængig variabel ID]]</f>
        <v>1</v>
      </c>
      <c r="E374" t="b">
        <f>LineærRegression_Valg[[#This Row],[Afhængig variabel ID]]&lt;=$B$5</f>
        <v>0</v>
      </c>
      <c r="F374" t="str" cm="1">
        <f t="array" ref="F374">IF(LineærRegression_Valg[[#This Row],[Indenfor range]],INDEX(DataTitel_liste,LineærRegression_Valg[[#This Row],[Afhængig variabel ID]]),INDEX(DataTitel_liste,1))</f>
        <v>Eksempel 1 (interval)</v>
      </c>
      <c r="G374" s="188" t="str" cm="1">
        <f t="array" ref="G374">IF(LineærRegression_Valg[[#This Row],[Indenfor range]],IF(LineærRegression_Valg[[#This Row],[Intet overlap]],INDEX(DataTitel_liste,LineærRegression_Valg[[#This Row],[Uafhængig variabel ID]]),INDEX(DataTitel_liste,IF(LineærRegression_Valg[[#This Row],[Afhængig variabel ID]]=1,2,1))),$B$7)</f>
        <v>Eksempel 2 (interval)</v>
      </c>
      <c r="H374" s="188">
        <f>_xlfn.AGGREGATE(2,5,LineærRegression_Valg[[#This Row],[Tabel ID]])</f>
        <v>1</v>
      </c>
    </row>
    <row r="375" spans="1:8" x14ac:dyDescent="0.2">
      <c r="A375">
        <f>ROW(LineærRegression_Valg[[#This Row],[Tabel ID]])-ROW(LineærRegression_Valg[[#Headers],[Tabel ID]])</f>
        <v>365</v>
      </c>
      <c r="B375" s="188">
        <f>ROUNDDOWN((LineærRegression_Valg[[#This Row],[Tabel ID]]-1)/$B$5,0)+1</f>
        <v>92</v>
      </c>
      <c r="C375" s="188">
        <f t="shared" si="5"/>
        <v>1</v>
      </c>
      <c r="D375" s="188" t="b">
        <f>LineærRegression_Valg[[#This Row],[Afhængig variabel ID]]&lt;&gt;LineærRegression_Valg[[#This Row],[Uafhængig variabel ID]]</f>
        <v>1</v>
      </c>
      <c r="E375" t="b">
        <f>LineærRegression_Valg[[#This Row],[Afhængig variabel ID]]&lt;=$B$5</f>
        <v>0</v>
      </c>
      <c r="F375" t="str" cm="1">
        <f t="array" ref="F375">IF(LineærRegression_Valg[[#This Row],[Indenfor range]],INDEX(DataTitel_liste,LineærRegression_Valg[[#This Row],[Afhængig variabel ID]]),INDEX(DataTitel_liste,1))</f>
        <v>Eksempel 1 (interval)</v>
      </c>
      <c r="G375" s="188" t="str" cm="1">
        <f t="array" ref="G375">IF(LineærRegression_Valg[[#This Row],[Indenfor range]],IF(LineærRegression_Valg[[#This Row],[Intet overlap]],INDEX(DataTitel_liste,LineærRegression_Valg[[#This Row],[Uafhængig variabel ID]]),INDEX(DataTitel_liste,IF(LineærRegression_Valg[[#This Row],[Afhængig variabel ID]]=1,2,1))),$B$7)</f>
        <v>Eksempel 2 (interval)</v>
      </c>
      <c r="H375" s="188">
        <f>_xlfn.AGGREGATE(2,5,LineærRegression_Valg[[#This Row],[Tabel ID]])</f>
        <v>1</v>
      </c>
    </row>
    <row r="376" spans="1:8" x14ac:dyDescent="0.2">
      <c r="A376">
        <f>ROW(LineærRegression_Valg[[#This Row],[Tabel ID]])-ROW(LineærRegression_Valg[[#Headers],[Tabel ID]])</f>
        <v>366</v>
      </c>
      <c r="B376" s="188">
        <f>ROUNDDOWN((LineærRegression_Valg[[#This Row],[Tabel ID]]-1)/$B$5,0)+1</f>
        <v>92</v>
      </c>
      <c r="C376" s="188">
        <f t="shared" si="5"/>
        <v>2</v>
      </c>
      <c r="D376" s="188" t="b">
        <f>LineærRegression_Valg[[#This Row],[Afhængig variabel ID]]&lt;&gt;LineærRegression_Valg[[#This Row],[Uafhængig variabel ID]]</f>
        <v>1</v>
      </c>
      <c r="E376" t="b">
        <f>LineærRegression_Valg[[#This Row],[Afhængig variabel ID]]&lt;=$B$5</f>
        <v>0</v>
      </c>
      <c r="F376" t="str" cm="1">
        <f t="array" ref="F376">IF(LineærRegression_Valg[[#This Row],[Indenfor range]],INDEX(DataTitel_liste,LineærRegression_Valg[[#This Row],[Afhængig variabel ID]]),INDEX(DataTitel_liste,1))</f>
        <v>Eksempel 1 (interval)</v>
      </c>
      <c r="G376" s="188" t="str" cm="1">
        <f t="array" ref="G376">IF(LineærRegression_Valg[[#This Row],[Indenfor range]],IF(LineærRegression_Valg[[#This Row],[Intet overlap]],INDEX(DataTitel_liste,LineærRegression_Valg[[#This Row],[Uafhængig variabel ID]]),INDEX(DataTitel_liste,IF(LineærRegression_Valg[[#This Row],[Afhængig variabel ID]]=1,2,1))),$B$7)</f>
        <v>Eksempel 2 (interval)</v>
      </c>
      <c r="H376" s="188">
        <f>_xlfn.AGGREGATE(2,5,LineærRegression_Valg[[#This Row],[Tabel ID]])</f>
        <v>1</v>
      </c>
    </row>
    <row r="377" spans="1:8" x14ac:dyDescent="0.2">
      <c r="A377">
        <f>ROW(LineærRegression_Valg[[#This Row],[Tabel ID]])-ROW(LineærRegression_Valg[[#Headers],[Tabel ID]])</f>
        <v>367</v>
      </c>
      <c r="B377" s="188">
        <f>ROUNDDOWN((LineærRegression_Valg[[#This Row],[Tabel ID]]-1)/$B$5,0)+1</f>
        <v>92</v>
      </c>
      <c r="C377" s="188">
        <f t="shared" si="5"/>
        <v>3</v>
      </c>
      <c r="D377" s="188" t="b">
        <f>LineærRegression_Valg[[#This Row],[Afhængig variabel ID]]&lt;&gt;LineærRegression_Valg[[#This Row],[Uafhængig variabel ID]]</f>
        <v>1</v>
      </c>
      <c r="E377" t="b">
        <f>LineærRegression_Valg[[#This Row],[Afhængig variabel ID]]&lt;=$B$5</f>
        <v>0</v>
      </c>
      <c r="F377" t="str" cm="1">
        <f t="array" ref="F377">IF(LineærRegression_Valg[[#This Row],[Indenfor range]],INDEX(DataTitel_liste,LineærRegression_Valg[[#This Row],[Afhængig variabel ID]]),INDEX(DataTitel_liste,1))</f>
        <v>Eksempel 1 (interval)</v>
      </c>
      <c r="G377" s="188" t="str" cm="1">
        <f t="array" ref="G377">IF(LineærRegression_Valg[[#This Row],[Indenfor range]],IF(LineærRegression_Valg[[#This Row],[Intet overlap]],INDEX(DataTitel_liste,LineærRegression_Valg[[#This Row],[Uafhængig variabel ID]]),INDEX(DataTitel_liste,IF(LineærRegression_Valg[[#This Row],[Afhængig variabel ID]]=1,2,1))),$B$7)</f>
        <v>Eksempel 2 (interval)</v>
      </c>
      <c r="H377" s="188">
        <f>_xlfn.AGGREGATE(2,5,LineærRegression_Valg[[#This Row],[Tabel ID]])</f>
        <v>1</v>
      </c>
    </row>
    <row r="378" spans="1:8" x14ac:dyDescent="0.2">
      <c r="A378">
        <f>ROW(LineærRegression_Valg[[#This Row],[Tabel ID]])-ROW(LineærRegression_Valg[[#Headers],[Tabel ID]])</f>
        <v>368</v>
      </c>
      <c r="B378" s="188">
        <f>ROUNDDOWN((LineærRegression_Valg[[#This Row],[Tabel ID]]-1)/$B$5,0)+1</f>
        <v>92</v>
      </c>
      <c r="C378" s="188">
        <f t="shared" si="5"/>
        <v>4</v>
      </c>
      <c r="D378" s="188" t="b">
        <f>LineærRegression_Valg[[#This Row],[Afhængig variabel ID]]&lt;&gt;LineærRegression_Valg[[#This Row],[Uafhængig variabel ID]]</f>
        <v>1</v>
      </c>
      <c r="E378" t="b">
        <f>LineærRegression_Valg[[#This Row],[Afhængig variabel ID]]&lt;=$B$5</f>
        <v>0</v>
      </c>
      <c r="F378" t="str" cm="1">
        <f t="array" ref="F378">IF(LineærRegression_Valg[[#This Row],[Indenfor range]],INDEX(DataTitel_liste,LineærRegression_Valg[[#This Row],[Afhængig variabel ID]]),INDEX(DataTitel_liste,1))</f>
        <v>Eksempel 1 (interval)</v>
      </c>
      <c r="G378" s="188" t="str" cm="1">
        <f t="array" ref="G378">IF(LineærRegression_Valg[[#This Row],[Indenfor range]],IF(LineærRegression_Valg[[#This Row],[Intet overlap]],INDEX(DataTitel_liste,LineærRegression_Valg[[#This Row],[Uafhængig variabel ID]]),INDEX(DataTitel_liste,IF(LineærRegression_Valg[[#This Row],[Afhængig variabel ID]]=1,2,1))),$B$7)</f>
        <v>Eksempel 2 (interval)</v>
      </c>
      <c r="H378" s="188">
        <f>_xlfn.AGGREGATE(2,5,LineærRegression_Valg[[#This Row],[Tabel ID]])</f>
        <v>1</v>
      </c>
    </row>
    <row r="379" spans="1:8" x14ac:dyDescent="0.2">
      <c r="A379">
        <f>ROW(LineærRegression_Valg[[#This Row],[Tabel ID]])-ROW(LineærRegression_Valg[[#Headers],[Tabel ID]])</f>
        <v>369</v>
      </c>
      <c r="B379" s="188">
        <f>ROUNDDOWN((LineærRegression_Valg[[#This Row],[Tabel ID]]-1)/$B$5,0)+1</f>
        <v>93</v>
      </c>
      <c r="C379" s="188">
        <f t="shared" si="5"/>
        <v>1</v>
      </c>
      <c r="D379" s="188" t="b">
        <f>LineærRegression_Valg[[#This Row],[Afhængig variabel ID]]&lt;&gt;LineærRegression_Valg[[#This Row],[Uafhængig variabel ID]]</f>
        <v>1</v>
      </c>
      <c r="E379" t="b">
        <f>LineærRegression_Valg[[#This Row],[Afhængig variabel ID]]&lt;=$B$5</f>
        <v>0</v>
      </c>
      <c r="F379" t="str" cm="1">
        <f t="array" ref="F379">IF(LineærRegression_Valg[[#This Row],[Indenfor range]],INDEX(DataTitel_liste,LineærRegression_Valg[[#This Row],[Afhængig variabel ID]]),INDEX(DataTitel_liste,1))</f>
        <v>Eksempel 1 (interval)</v>
      </c>
      <c r="G379" s="188" t="str" cm="1">
        <f t="array" ref="G379">IF(LineærRegression_Valg[[#This Row],[Indenfor range]],IF(LineærRegression_Valg[[#This Row],[Intet overlap]],INDEX(DataTitel_liste,LineærRegression_Valg[[#This Row],[Uafhængig variabel ID]]),INDEX(DataTitel_liste,IF(LineærRegression_Valg[[#This Row],[Afhængig variabel ID]]=1,2,1))),$B$7)</f>
        <v>Eksempel 2 (interval)</v>
      </c>
      <c r="H379" s="188">
        <f>_xlfn.AGGREGATE(2,5,LineærRegression_Valg[[#This Row],[Tabel ID]])</f>
        <v>1</v>
      </c>
    </row>
    <row r="380" spans="1:8" x14ac:dyDescent="0.2">
      <c r="A380">
        <f>ROW(LineærRegression_Valg[[#This Row],[Tabel ID]])-ROW(LineærRegression_Valg[[#Headers],[Tabel ID]])</f>
        <v>370</v>
      </c>
      <c r="B380" s="188">
        <f>ROUNDDOWN((LineærRegression_Valg[[#This Row],[Tabel ID]]-1)/$B$5,0)+1</f>
        <v>93</v>
      </c>
      <c r="C380" s="188">
        <f t="shared" si="5"/>
        <v>2</v>
      </c>
      <c r="D380" s="188" t="b">
        <f>LineærRegression_Valg[[#This Row],[Afhængig variabel ID]]&lt;&gt;LineærRegression_Valg[[#This Row],[Uafhængig variabel ID]]</f>
        <v>1</v>
      </c>
      <c r="E380" t="b">
        <f>LineærRegression_Valg[[#This Row],[Afhængig variabel ID]]&lt;=$B$5</f>
        <v>0</v>
      </c>
      <c r="F380" t="str" cm="1">
        <f t="array" ref="F380">IF(LineærRegression_Valg[[#This Row],[Indenfor range]],INDEX(DataTitel_liste,LineærRegression_Valg[[#This Row],[Afhængig variabel ID]]),INDEX(DataTitel_liste,1))</f>
        <v>Eksempel 1 (interval)</v>
      </c>
      <c r="G380" s="188" t="str" cm="1">
        <f t="array" ref="G380">IF(LineærRegression_Valg[[#This Row],[Indenfor range]],IF(LineærRegression_Valg[[#This Row],[Intet overlap]],INDEX(DataTitel_liste,LineærRegression_Valg[[#This Row],[Uafhængig variabel ID]]),INDEX(DataTitel_liste,IF(LineærRegression_Valg[[#This Row],[Afhængig variabel ID]]=1,2,1))),$B$7)</f>
        <v>Eksempel 2 (interval)</v>
      </c>
      <c r="H380" s="188">
        <f>_xlfn.AGGREGATE(2,5,LineærRegression_Valg[[#This Row],[Tabel ID]])</f>
        <v>1</v>
      </c>
    </row>
    <row r="381" spans="1:8" x14ac:dyDescent="0.2">
      <c r="A381">
        <f>ROW(LineærRegression_Valg[[#This Row],[Tabel ID]])-ROW(LineærRegression_Valg[[#Headers],[Tabel ID]])</f>
        <v>371</v>
      </c>
      <c r="B381" s="188">
        <f>ROUNDDOWN((LineærRegression_Valg[[#This Row],[Tabel ID]]-1)/$B$5,0)+1</f>
        <v>93</v>
      </c>
      <c r="C381" s="188">
        <f t="shared" si="5"/>
        <v>3</v>
      </c>
      <c r="D381" s="188" t="b">
        <f>LineærRegression_Valg[[#This Row],[Afhængig variabel ID]]&lt;&gt;LineærRegression_Valg[[#This Row],[Uafhængig variabel ID]]</f>
        <v>1</v>
      </c>
      <c r="E381" t="b">
        <f>LineærRegression_Valg[[#This Row],[Afhængig variabel ID]]&lt;=$B$5</f>
        <v>0</v>
      </c>
      <c r="F381" t="str" cm="1">
        <f t="array" ref="F381">IF(LineærRegression_Valg[[#This Row],[Indenfor range]],INDEX(DataTitel_liste,LineærRegression_Valg[[#This Row],[Afhængig variabel ID]]),INDEX(DataTitel_liste,1))</f>
        <v>Eksempel 1 (interval)</v>
      </c>
      <c r="G381" s="188" t="str" cm="1">
        <f t="array" ref="G381">IF(LineærRegression_Valg[[#This Row],[Indenfor range]],IF(LineærRegression_Valg[[#This Row],[Intet overlap]],INDEX(DataTitel_liste,LineærRegression_Valg[[#This Row],[Uafhængig variabel ID]]),INDEX(DataTitel_liste,IF(LineærRegression_Valg[[#This Row],[Afhængig variabel ID]]=1,2,1))),$B$7)</f>
        <v>Eksempel 2 (interval)</v>
      </c>
      <c r="H381" s="188">
        <f>_xlfn.AGGREGATE(2,5,LineærRegression_Valg[[#This Row],[Tabel ID]])</f>
        <v>1</v>
      </c>
    </row>
    <row r="382" spans="1:8" x14ac:dyDescent="0.2">
      <c r="A382">
        <f>ROW(LineærRegression_Valg[[#This Row],[Tabel ID]])-ROW(LineærRegression_Valg[[#Headers],[Tabel ID]])</f>
        <v>372</v>
      </c>
      <c r="B382" s="188">
        <f>ROUNDDOWN((LineærRegression_Valg[[#This Row],[Tabel ID]]-1)/$B$5,0)+1</f>
        <v>93</v>
      </c>
      <c r="C382" s="188">
        <f t="shared" si="5"/>
        <v>4</v>
      </c>
      <c r="D382" s="188" t="b">
        <f>LineærRegression_Valg[[#This Row],[Afhængig variabel ID]]&lt;&gt;LineærRegression_Valg[[#This Row],[Uafhængig variabel ID]]</f>
        <v>1</v>
      </c>
      <c r="E382" t="b">
        <f>LineærRegression_Valg[[#This Row],[Afhængig variabel ID]]&lt;=$B$5</f>
        <v>0</v>
      </c>
      <c r="F382" t="str" cm="1">
        <f t="array" ref="F382">IF(LineærRegression_Valg[[#This Row],[Indenfor range]],INDEX(DataTitel_liste,LineærRegression_Valg[[#This Row],[Afhængig variabel ID]]),INDEX(DataTitel_liste,1))</f>
        <v>Eksempel 1 (interval)</v>
      </c>
      <c r="G382" s="188" t="str" cm="1">
        <f t="array" ref="G382">IF(LineærRegression_Valg[[#This Row],[Indenfor range]],IF(LineærRegression_Valg[[#This Row],[Intet overlap]],INDEX(DataTitel_liste,LineærRegression_Valg[[#This Row],[Uafhængig variabel ID]]),INDEX(DataTitel_liste,IF(LineærRegression_Valg[[#This Row],[Afhængig variabel ID]]=1,2,1))),$B$7)</f>
        <v>Eksempel 2 (interval)</v>
      </c>
      <c r="H382" s="188">
        <f>_xlfn.AGGREGATE(2,5,LineærRegression_Valg[[#This Row],[Tabel ID]])</f>
        <v>1</v>
      </c>
    </row>
    <row r="383" spans="1:8" x14ac:dyDescent="0.2">
      <c r="A383">
        <f>ROW(LineærRegression_Valg[[#This Row],[Tabel ID]])-ROW(LineærRegression_Valg[[#Headers],[Tabel ID]])</f>
        <v>373</v>
      </c>
      <c r="B383" s="188">
        <f>ROUNDDOWN((LineærRegression_Valg[[#This Row],[Tabel ID]]-1)/$B$5,0)+1</f>
        <v>94</v>
      </c>
      <c r="C383" s="188">
        <f t="shared" si="5"/>
        <v>1</v>
      </c>
      <c r="D383" s="188" t="b">
        <f>LineærRegression_Valg[[#This Row],[Afhængig variabel ID]]&lt;&gt;LineærRegression_Valg[[#This Row],[Uafhængig variabel ID]]</f>
        <v>1</v>
      </c>
      <c r="E383" t="b">
        <f>LineærRegression_Valg[[#This Row],[Afhængig variabel ID]]&lt;=$B$5</f>
        <v>0</v>
      </c>
      <c r="F383" t="str" cm="1">
        <f t="array" ref="F383">IF(LineærRegression_Valg[[#This Row],[Indenfor range]],INDEX(DataTitel_liste,LineærRegression_Valg[[#This Row],[Afhængig variabel ID]]),INDEX(DataTitel_liste,1))</f>
        <v>Eksempel 1 (interval)</v>
      </c>
      <c r="G383" s="188" t="str" cm="1">
        <f t="array" ref="G383">IF(LineærRegression_Valg[[#This Row],[Indenfor range]],IF(LineærRegression_Valg[[#This Row],[Intet overlap]],INDEX(DataTitel_liste,LineærRegression_Valg[[#This Row],[Uafhængig variabel ID]]),INDEX(DataTitel_liste,IF(LineærRegression_Valg[[#This Row],[Afhængig variabel ID]]=1,2,1))),$B$7)</f>
        <v>Eksempel 2 (interval)</v>
      </c>
      <c r="H383" s="188">
        <f>_xlfn.AGGREGATE(2,5,LineærRegression_Valg[[#This Row],[Tabel ID]])</f>
        <v>1</v>
      </c>
    </row>
    <row r="384" spans="1:8" x14ac:dyDescent="0.2">
      <c r="A384">
        <f>ROW(LineærRegression_Valg[[#This Row],[Tabel ID]])-ROW(LineærRegression_Valg[[#Headers],[Tabel ID]])</f>
        <v>374</v>
      </c>
      <c r="B384" s="188">
        <f>ROUNDDOWN((LineærRegression_Valg[[#This Row],[Tabel ID]]-1)/$B$5,0)+1</f>
        <v>94</v>
      </c>
      <c r="C384" s="188">
        <f t="shared" si="5"/>
        <v>2</v>
      </c>
      <c r="D384" s="188" t="b">
        <f>LineærRegression_Valg[[#This Row],[Afhængig variabel ID]]&lt;&gt;LineærRegression_Valg[[#This Row],[Uafhængig variabel ID]]</f>
        <v>1</v>
      </c>
      <c r="E384" t="b">
        <f>LineærRegression_Valg[[#This Row],[Afhængig variabel ID]]&lt;=$B$5</f>
        <v>0</v>
      </c>
      <c r="F384" t="str" cm="1">
        <f t="array" ref="F384">IF(LineærRegression_Valg[[#This Row],[Indenfor range]],INDEX(DataTitel_liste,LineærRegression_Valg[[#This Row],[Afhængig variabel ID]]),INDEX(DataTitel_liste,1))</f>
        <v>Eksempel 1 (interval)</v>
      </c>
      <c r="G384" s="188" t="str" cm="1">
        <f t="array" ref="G384">IF(LineærRegression_Valg[[#This Row],[Indenfor range]],IF(LineærRegression_Valg[[#This Row],[Intet overlap]],INDEX(DataTitel_liste,LineærRegression_Valg[[#This Row],[Uafhængig variabel ID]]),INDEX(DataTitel_liste,IF(LineærRegression_Valg[[#This Row],[Afhængig variabel ID]]=1,2,1))),$B$7)</f>
        <v>Eksempel 2 (interval)</v>
      </c>
      <c r="H384" s="188">
        <f>_xlfn.AGGREGATE(2,5,LineærRegression_Valg[[#This Row],[Tabel ID]])</f>
        <v>1</v>
      </c>
    </row>
    <row r="385" spans="1:8" x14ac:dyDescent="0.2">
      <c r="A385">
        <f>ROW(LineærRegression_Valg[[#This Row],[Tabel ID]])-ROW(LineærRegression_Valg[[#Headers],[Tabel ID]])</f>
        <v>375</v>
      </c>
      <c r="B385" s="188">
        <f>ROUNDDOWN((LineærRegression_Valg[[#This Row],[Tabel ID]]-1)/$B$5,0)+1</f>
        <v>94</v>
      </c>
      <c r="C385" s="188">
        <f t="shared" si="5"/>
        <v>3</v>
      </c>
      <c r="D385" s="188" t="b">
        <f>LineærRegression_Valg[[#This Row],[Afhængig variabel ID]]&lt;&gt;LineærRegression_Valg[[#This Row],[Uafhængig variabel ID]]</f>
        <v>1</v>
      </c>
      <c r="E385" t="b">
        <f>LineærRegression_Valg[[#This Row],[Afhængig variabel ID]]&lt;=$B$5</f>
        <v>0</v>
      </c>
      <c r="F385" t="str" cm="1">
        <f t="array" ref="F385">IF(LineærRegression_Valg[[#This Row],[Indenfor range]],INDEX(DataTitel_liste,LineærRegression_Valg[[#This Row],[Afhængig variabel ID]]),INDEX(DataTitel_liste,1))</f>
        <v>Eksempel 1 (interval)</v>
      </c>
      <c r="G385" s="188" t="str" cm="1">
        <f t="array" ref="G385">IF(LineærRegression_Valg[[#This Row],[Indenfor range]],IF(LineærRegression_Valg[[#This Row],[Intet overlap]],INDEX(DataTitel_liste,LineærRegression_Valg[[#This Row],[Uafhængig variabel ID]]),INDEX(DataTitel_liste,IF(LineærRegression_Valg[[#This Row],[Afhængig variabel ID]]=1,2,1))),$B$7)</f>
        <v>Eksempel 2 (interval)</v>
      </c>
      <c r="H385" s="188">
        <f>_xlfn.AGGREGATE(2,5,LineærRegression_Valg[[#This Row],[Tabel ID]])</f>
        <v>1</v>
      </c>
    </row>
    <row r="386" spans="1:8" x14ac:dyDescent="0.2">
      <c r="A386">
        <f>ROW(LineærRegression_Valg[[#This Row],[Tabel ID]])-ROW(LineærRegression_Valg[[#Headers],[Tabel ID]])</f>
        <v>376</v>
      </c>
      <c r="B386" s="188">
        <f>ROUNDDOWN((LineærRegression_Valg[[#This Row],[Tabel ID]]-1)/$B$5,0)+1</f>
        <v>94</v>
      </c>
      <c r="C386" s="188">
        <f t="shared" si="5"/>
        <v>4</v>
      </c>
      <c r="D386" s="188" t="b">
        <f>LineærRegression_Valg[[#This Row],[Afhængig variabel ID]]&lt;&gt;LineærRegression_Valg[[#This Row],[Uafhængig variabel ID]]</f>
        <v>1</v>
      </c>
      <c r="E386" t="b">
        <f>LineærRegression_Valg[[#This Row],[Afhængig variabel ID]]&lt;=$B$5</f>
        <v>0</v>
      </c>
      <c r="F386" t="str" cm="1">
        <f t="array" ref="F386">IF(LineærRegression_Valg[[#This Row],[Indenfor range]],INDEX(DataTitel_liste,LineærRegression_Valg[[#This Row],[Afhængig variabel ID]]),INDEX(DataTitel_liste,1))</f>
        <v>Eksempel 1 (interval)</v>
      </c>
      <c r="G386" s="188" t="str" cm="1">
        <f t="array" ref="G386">IF(LineærRegression_Valg[[#This Row],[Indenfor range]],IF(LineærRegression_Valg[[#This Row],[Intet overlap]],INDEX(DataTitel_liste,LineærRegression_Valg[[#This Row],[Uafhængig variabel ID]]),INDEX(DataTitel_liste,IF(LineærRegression_Valg[[#This Row],[Afhængig variabel ID]]=1,2,1))),$B$7)</f>
        <v>Eksempel 2 (interval)</v>
      </c>
      <c r="H386" s="188">
        <f>_xlfn.AGGREGATE(2,5,LineærRegression_Valg[[#This Row],[Tabel ID]])</f>
        <v>1</v>
      </c>
    </row>
    <row r="387" spans="1:8" x14ac:dyDescent="0.2">
      <c r="A387">
        <f>ROW(LineærRegression_Valg[[#This Row],[Tabel ID]])-ROW(LineærRegression_Valg[[#Headers],[Tabel ID]])</f>
        <v>377</v>
      </c>
      <c r="B387" s="188">
        <f>ROUNDDOWN((LineærRegression_Valg[[#This Row],[Tabel ID]]-1)/$B$5,0)+1</f>
        <v>95</v>
      </c>
      <c r="C387" s="188">
        <f t="shared" si="5"/>
        <v>1</v>
      </c>
      <c r="D387" s="188" t="b">
        <f>LineærRegression_Valg[[#This Row],[Afhængig variabel ID]]&lt;&gt;LineærRegression_Valg[[#This Row],[Uafhængig variabel ID]]</f>
        <v>1</v>
      </c>
      <c r="E387" t="b">
        <f>LineærRegression_Valg[[#This Row],[Afhængig variabel ID]]&lt;=$B$5</f>
        <v>0</v>
      </c>
      <c r="F387" t="str" cm="1">
        <f t="array" ref="F387">IF(LineærRegression_Valg[[#This Row],[Indenfor range]],INDEX(DataTitel_liste,LineærRegression_Valg[[#This Row],[Afhængig variabel ID]]),INDEX(DataTitel_liste,1))</f>
        <v>Eksempel 1 (interval)</v>
      </c>
      <c r="G387" s="188" t="str" cm="1">
        <f t="array" ref="G387">IF(LineærRegression_Valg[[#This Row],[Indenfor range]],IF(LineærRegression_Valg[[#This Row],[Intet overlap]],INDEX(DataTitel_liste,LineærRegression_Valg[[#This Row],[Uafhængig variabel ID]]),INDEX(DataTitel_liste,IF(LineærRegression_Valg[[#This Row],[Afhængig variabel ID]]=1,2,1))),$B$7)</f>
        <v>Eksempel 2 (interval)</v>
      </c>
      <c r="H387" s="188">
        <f>_xlfn.AGGREGATE(2,5,LineærRegression_Valg[[#This Row],[Tabel ID]])</f>
        <v>1</v>
      </c>
    </row>
    <row r="388" spans="1:8" x14ac:dyDescent="0.2">
      <c r="A388">
        <f>ROW(LineærRegression_Valg[[#This Row],[Tabel ID]])-ROW(LineærRegression_Valg[[#Headers],[Tabel ID]])</f>
        <v>378</v>
      </c>
      <c r="B388" s="188">
        <f>ROUNDDOWN((LineærRegression_Valg[[#This Row],[Tabel ID]]-1)/$B$5,0)+1</f>
        <v>95</v>
      </c>
      <c r="C388" s="188">
        <f t="shared" si="5"/>
        <v>2</v>
      </c>
      <c r="D388" s="188" t="b">
        <f>LineærRegression_Valg[[#This Row],[Afhængig variabel ID]]&lt;&gt;LineærRegression_Valg[[#This Row],[Uafhængig variabel ID]]</f>
        <v>1</v>
      </c>
      <c r="E388" t="b">
        <f>LineærRegression_Valg[[#This Row],[Afhængig variabel ID]]&lt;=$B$5</f>
        <v>0</v>
      </c>
      <c r="F388" t="str" cm="1">
        <f t="array" ref="F388">IF(LineærRegression_Valg[[#This Row],[Indenfor range]],INDEX(DataTitel_liste,LineærRegression_Valg[[#This Row],[Afhængig variabel ID]]),INDEX(DataTitel_liste,1))</f>
        <v>Eksempel 1 (interval)</v>
      </c>
      <c r="G388" s="188" t="str" cm="1">
        <f t="array" ref="G388">IF(LineærRegression_Valg[[#This Row],[Indenfor range]],IF(LineærRegression_Valg[[#This Row],[Intet overlap]],INDEX(DataTitel_liste,LineærRegression_Valg[[#This Row],[Uafhængig variabel ID]]),INDEX(DataTitel_liste,IF(LineærRegression_Valg[[#This Row],[Afhængig variabel ID]]=1,2,1))),$B$7)</f>
        <v>Eksempel 2 (interval)</v>
      </c>
      <c r="H388" s="188">
        <f>_xlfn.AGGREGATE(2,5,LineærRegression_Valg[[#This Row],[Tabel ID]])</f>
        <v>1</v>
      </c>
    </row>
    <row r="389" spans="1:8" x14ac:dyDescent="0.2">
      <c r="A389">
        <f>ROW(LineærRegression_Valg[[#This Row],[Tabel ID]])-ROW(LineærRegression_Valg[[#Headers],[Tabel ID]])</f>
        <v>379</v>
      </c>
      <c r="B389" s="188">
        <f>ROUNDDOWN((LineærRegression_Valg[[#This Row],[Tabel ID]]-1)/$B$5,0)+1</f>
        <v>95</v>
      </c>
      <c r="C389" s="188">
        <f t="shared" si="5"/>
        <v>3</v>
      </c>
      <c r="D389" s="188" t="b">
        <f>LineærRegression_Valg[[#This Row],[Afhængig variabel ID]]&lt;&gt;LineærRegression_Valg[[#This Row],[Uafhængig variabel ID]]</f>
        <v>1</v>
      </c>
      <c r="E389" t="b">
        <f>LineærRegression_Valg[[#This Row],[Afhængig variabel ID]]&lt;=$B$5</f>
        <v>0</v>
      </c>
      <c r="F389" t="str" cm="1">
        <f t="array" ref="F389">IF(LineærRegression_Valg[[#This Row],[Indenfor range]],INDEX(DataTitel_liste,LineærRegression_Valg[[#This Row],[Afhængig variabel ID]]),INDEX(DataTitel_liste,1))</f>
        <v>Eksempel 1 (interval)</v>
      </c>
      <c r="G389" s="188" t="str" cm="1">
        <f t="array" ref="G389">IF(LineærRegression_Valg[[#This Row],[Indenfor range]],IF(LineærRegression_Valg[[#This Row],[Intet overlap]],INDEX(DataTitel_liste,LineærRegression_Valg[[#This Row],[Uafhængig variabel ID]]),INDEX(DataTitel_liste,IF(LineærRegression_Valg[[#This Row],[Afhængig variabel ID]]=1,2,1))),$B$7)</f>
        <v>Eksempel 2 (interval)</v>
      </c>
      <c r="H389" s="188">
        <f>_xlfn.AGGREGATE(2,5,LineærRegression_Valg[[#This Row],[Tabel ID]])</f>
        <v>1</v>
      </c>
    </row>
    <row r="390" spans="1:8" x14ac:dyDescent="0.2">
      <c r="A390">
        <f>ROW(LineærRegression_Valg[[#This Row],[Tabel ID]])-ROW(LineærRegression_Valg[[#Headers],[Tabel ID]])</f>
        <v>380</v>
      </c>
      <c r="B390" s="188">
        <f>ROUNDDOWN((LineærRegression_Valg[[#This Row],[Tabel ID]]-1)/$B$5,0)+1</f>
        <v>95</v>
      </c>
      <c r="C390" s="188">
        <f t="shared" si="5"/>
        <v>4</v>
      </c>
      <c r="D390" s="188" t="b">
        <f>LineærRegression_Valg[[#This Row],[Afhængig variabel ID]]&lt;&gt;LineærRegression_Valg[[#This Row],[Uafhængig variabel ID]]</f>
        <v>1</v>
      </c>
      <c r="E390" t="b">
        <f>LineærRegression_Valg[[#This Row],[Afhængig variabel ID]]&lt;=$B$5</f>
        <v>0</v>
      </c>
      <c r="F390" t="str" cm="1">
        <f t="array" ref="F390">IF(LineærRegression_Valg[[#This Row],[Indenfor range]],INDEX(DataTitel_liste,LineærRegression_Valg[[#This Row],[Afhængig variabel ID]]),INDEX(DataTitel_liste,1))</f>
        <v>Eksempel 1 (interval)</v>
      </c>
      <c r="G390" s="188" t="str" cm="1">
        <f t="array" ref="G390">IF(LineærRegression_Valg[[#This Row],[Indenfor range]],IF(LineærRegression_Valg[[#This Row],[Intet overlap]],INDEX(DataTitel_liste,LineærRegression_Valg[[#This Row],[Uafhængig variabel ID]]),INDEX(DataTitel_liste,IF(LineærRegression_Valg[[#This Row],[Afhængig variabel ID]]=1,2,1))),$B$7)</f>
        <v>Eksempel 2 (interval)</v>
      </c>
      <c r="H390" s="188">
        <f>_xlfn.AGGREGATE(2,5,LineærRegression_Valg[[#This Row],[Tabel ID]])</f>
        <v>1</v>
      </c>
    </row>
    <row r="391" spans="1:8" x14ac:dyDescent="0.2">
      <c r="A391">
        <f>ROW(LineærRegression_Valg[[#This Row],[Tabel ID]])-ROW(LineærRegression_Valg[[#Headers],[Tabel ID]])</f>
        <v>381</v>
      </c>
      <c r="B391" s="188">
        <f>ROUNDDOWN((LineærRegression_Valg[[#This Row],[Tabel ID]]-1)/$B$5,0)+1</f>
        <v>96</v>
      </c>
      <c r="C391" s="188">
        <f t="shared" si="5"/>
        <v>1</v>
      </c>
      <c r="D391" s="188" t="b">
        <f>LineærRegression_Valg[[#This Row],[Afhængig variabel ID]]&lt;&gt;LineærRegression_Valg[[#This Row],[Uafhængig variabel ID]]</f>
        <v>1</v>
      </c>
      <c r="E391" t="b">
        <f>LineærRegression_Valg[[#This Row],[Afhængig variabel ID]]&lt;=$B$5</f>
        <v>0</v>
      </c>
      <c r="F391" t="str" cm="1">
        <f t="array" ref="F391">IF(LineærRegression_Valg[[#This Row],[Indenfor range]],INDEX(DataTitel_liste,LineærRegression_Valg[[#This Row],[Afhængig variabel ID]]),INDEX(DataTitel_liste,1))</f>
        <v>Eksempel 1 (interval)</v>
      </c>
      <c r="G391" s="188" t="str" cm="1">
        <f t="array" ref="G391">IF(LineærRegression_Valg[[#This Row],[Indenfor range]],IF(LineærRegression_Valg[[#This Row],[Intet overlap]],INDEX(DataTitel_liste,LineærRegression_Valg[[#This Row],[Uafhængig variabel ID]]),INDEX(DataTitel_liste,IF(LineærRegression_Valg[[#This Row],[Afhængig variabel ID]]=1,2,1))),$B$7)</f>
        <v>Eksempel 2 (interval)</v>
      </c>
      <c r="H391" s="188">
        <f>_xlfn.AGGREGATE(2,5,LineærRegression_Valg[[#This Row],[Tabel ID]])</f>
        <v>1</v>
      </c>
    </row>
    <row r="392" spans="1:8" x14ac:dyDescent="0.2">
      <c r="A392">
        <f>ROW(LineærRegression_Valg[[#This Row],[Tabel ID]])-ROW(LineærRegression_Valg[[#Headers],[Tabel ID]])</f>
        <v>382</v>
      </c>
      <c r="B392" s="188">
        <f>ROUNDDOWN((LineærRegression_Valg[[#This Row],[Tabel ID]]-1)/$B$5,0)+1</f>
        <v>96</v>
      </c>
      <c r="C392" s="188">
        <f t="shared" si="5"/>
        <v>2</v>
      </c>
      <c r="D392" s="188" t="b">
        <f>LineærRegression_Valg[[#This Row],[Afhængig variabel ID]]&lt;&gt;LineærRegression_Valg[[#This Row],[Uafhængig variabel ID]]</f>
        <v>1</v>
      </c>
      <c r="E392" t="b">
        <f>LineærRegression_Valg[[#This Row],[Afhængig variabel ID]]&lt;=$B$5</f>
        <v>0</v>
      </c>
      <c r="F392" t="str" cm="1">
        <f t="array" ref="F392">IF(LineærRegression_Valg[[#This Row],[Indenfor range]],INDEX(DataTitel_liste,LineærRegression_Valg[[#This Row],[Afhængig variabel ID]]),INDEX(DataTitel_liste,1))</f>
        <v>Eksempel 1 (interval)</v>
      </c>
      <c r="G392" s="188" t="str" cm="1">
        <f t="array" ref="G392">IF(LineærRegression_Valg[[#This Row],[Indenfor range]],IF(LineærRegression_Valg[[#This Row],[Intet overlap]],INDEX(DataTitel_liste,LineærRegression_Valg[[#This Row],[Uafhængig variabel ID]]),INDEX(DataTitel_liste,IF(LineærRegression_Valg[[#This Row],[Afhængig variabel ID]]=1,2,1))),$B$7)</f>
        <v>Eksempel 2 (interval)</v>
      </c>
      <c r="H392" s="188">
        <f>_xlfn.AGGREGATE(2,5,LineærRegression_Valg[[#This Row],[Tabel ID]])</f>
        <v>1</v>
      </c>
    </row>
    <row r="393" spans="1:8" x14ac:dyDescent="0.2">
      <c r="A393">
        <f>ROW(LineærRegression_Valg[[#This Row],[Tabel ID]])-ROW(LineærRegression_Valg[[#Headers],[Tabel ID]])</f>
        <v>383</v>
      </c>
      <c r="B393" s="188">
        <f>ROUNDDOWN((LineærRegression_Valg[[#This Row],[Tabel ID]]-1)/$B$5,0)+1</f>
        <v>96</v>
      </c>
      <c r="C393" s="188">
        <f t="shared" si="5"/>
        <v>3</v>
      </c>
      <c r="D393" s="188" t="b">
        <f>LineærRegression_Valg[[#This Row],[Afhængig variabel ID]]&lt;&gt;LineærRegression_Valg[[#This Row],[Uafhængig variabel ID]]</f>
        <v>1</v>
      </c>
      <c r="E393" t="b">
        <f>LineærRegression_Valg[[#This Row],[Afhængig variabel ID]]&lt;=$B$5</f>
        <v>0</v>
      </c>
      <c r="F393" t="str" cm="1">
        <f t="array" ref="F393">IF(LineærRegression_Valg[[#This Row],[Indenfor range]],INDEX(DataTitel_liste,LineærRegression_Valg[[#This Row],[Afhængig variabel ID]]),INDEX(DataTitel_liste,1))</f>
        <v>Eksempel 1 (interval)</v>
      </c>
      <c r="G393" s="188" t="str" cm="1">
        <f t="array" ref="G393">IF(LineærRegression_Valg[[#This Row],[Indenfor range]],IF(LineærRegression_Valg[[#This Row],[Intet overlap]],INDEX(DataTitel_liste,LineærRegression_Valg[[#This Row],[Uafhængig variabel ID]]),INDEX(DataTitel_liste,IF(LineærRegression_Valg[[#This Row],[Afhængig variabel ID]]=1,2,1))),$B$7)</f>
        <v>Eksempel 2 (interval)</v>
      </c>
      <c r="H393" s="188">
        <f>_xlfn.AGGREGATE(2,5,LineærRegression_Valg[[#This Row],[Tabel ID]])</f>
        <v>1</v>
      </c>
    </row>
    <row r="394" spans="1:8" x14ac:dyDescent="0.2">
      <c r="A394">
        <f>ROW(LineærRegression_Valg[[#This Row],[Tabel ID]])-ROW(LineærRegression_Valg[[#Headers],[Tabel ID]])</f>
        <v>384</v>
      </c>
      <c r="B394" s="188">
        <f>ROUNDDOWN((LineærRegression_Valg[[#This Row],[Tabel ID]]-1)/$B$5,0)+1</f>
        <v>96</v>
      </c>
      <c r="C394" s="188">
        <f t="shared" si="5"/>
        <v>4</v>
      </c>
      <c r="D394" s="188" t="b">
        <f>LineærRegression_Valg[[#This Row],[Afhængig variabel ID]]&lt;&gt;LineærRegression_Valg[[#This Row],[Uafhængig variabel ID]]</f>
        <v>1</v>
      </c>
      <c r="E394" t="b">
        <f>LineærRegression_Valg[[#This Row],[Afhængig variabel ID]]&lt;=$B$5</f>
        <v>0</v>
      </c>
      <c r="F394" t="str" cm="1">
        <f t="array" ref="F394">IF(LineærRegression_Valg[[#This Row],[Indenfor range]],INDEX(DataTitel_liste,LineærRegression_Valg[[#This Row],[Afhængig variabel ID]]),INDEX(DataTitel_liste,1))</f>
        <v>Eksempel 1 (interval)</v>
      </c>
      <c r="G394" s="188" t="str" cm="1">
        <f t="array" ref="G394">IF(LineærRegression_Valg[[#This Row],[Indenfor range]],IF(LineærRegression_Valg[[#This Row],[Intet overlap]],INDEX(DataTitel_liste,LineærRegression_Valg[[#This Row],[Uafhængig variabel ID]]),INDEX(DataTitel_liste,IF(LineærRegression_Valg[[#This Row],[Afhængig variabel ID]]=1,2,1))),$B$7)</f>
        <v>Eksempel 2 (interval)</v>
      </c>
      <c r="H394" s="188">
        <f>_xlfn.AGGREGATE(2,5,LineærRegression_Valg[[#This Row],[Tabel ID]])</f>
        <v>1</v>
      </c>
    </row>
    <row r="395" spans="1:8" x14ac:dyDescent="0.2">
      <c r="A395">
        <f>ROW(LineærRegression_Valg[[#This Row],[Tabel ID]])-ROW(LineærRegression_Valg[[#Headers],[Tabel ID]])</f>
        <v>385</v>
      </c>
      <c r="B395" s="188">
        <f>ROUNDDOWN((LineærRegression_Valg[[#This Row],[Tabel ID]]-1)/$B$5,0)+1</f>
        <v>97</v>
      </c>
      <c r="C395" s="188">
        <f t="shared" ref="C395:C458" si="6">MOD(A395-1,$B$5)+1</f>
        <v>1</v>
      </c>
      <c r="D395" s="188" t="b">
        <f>LineærRegression_Valg[[#This Row],[Afhængig variabel ID]]&lt;&gt;LineærRegression_Valg[[#This Row],[Uafhængig variabel ID]]</f>
        <v>1</v>
      </c>
      <c r="E395" t="b">
        <f>LineærRegression_Valg[[#This Row],[Afhængig variabel ID]]&lt;=$B$5</f>
        <v>0</v>
      </c>
      <c r="F395" t="str" cm="1">
        <f t="array" ref="F395">IF(LineærRegression_Valg[[#This Row],[Indenfor range]],INDEX(DataTitel_liste,LineærRegression_Valg[[#This Row],[Afhængig variabel ID]]),INDEX(DataTitel_liste,1))</f>
        <v>Eksempel 1 (interval)</v>
      </c>
      <c r="G395" s="188" t="str" cm="1">
        <f t="array" ref="G395">IF(LineærRegression_Valg[[#This Row],[Indenfor range]],IF(LineærRegression_Valg[[#This Row],[Intet overlap]],INDEX(DataTitel_liste,LineærRegression_Valg[[#This Row],[Uafhængig variabel ID]]),INDEX(DataTitel_liste,IF(LineærRegression_Valg[[#This Row],[Afhængig variabel ID]]=1,2,1))),$B$7)</f>
        <v>Eksempel 2 (interval)</v>
      </c>
      <c r="H395" s="188">
        <f>_xlfn.AGGREGATE(2,5,LineærRegression_Valg[[#This Row],[Tabel ID]])</f>
        <v>1</v>
      </c>
    </row>
    <row r="396" spans="1:8" x14ac:dyDescent="0.2">
      <c r="A396">
        <f>ROW(LineærRegression_Valg[[#This Row],[Tabel ID]])-ROW(LineærRegression_Valg[[#Headers],[Tabel ID]])</f>
        <v>386</v>
      </c>
      <c r="B396" s="188">
        <f>ROUNDDOWN((LineærRegression_Valg[[#This Row],[Tabel ID]]-1)/$B$5,0)+1</f>
        <v>97</v>
      </c>
      <c r="C396" s="188">
        <f t="shared" si="6"/>
        <v>2</v>
      </c>
      <c r="D396" s="188" t="b">
        <f>LineærRegression_Valg[[#This Row],[Afhængig variabel ID]]&lt;&gt;LineærRegression_Valg[[#This Row],[Uafhængig variabel ID]]</f>
        <v>1</v>
      </c>
      <c r="E396" t="b">
        <f>LineærRegression_Valg[[#This Row],[Afhængig variabel ID]]&lt;=$B$5</f>
        <v>0</v>
      </c>
      <c r="F396" t="str" cm="1">
        <f t="array" ref="F396">IF(LineærRegression_Valg[[#This Row],[Indenfor range]],INDEX(DataTitel_liste,LineærRegression_Valg[[#This Row],[Afhængig variabel ID]]),INDEX(DataTitel_liste,1))</f>
        <v>Eksempel 1 (interval)</v>
      </c>
      <c r="G396" s="188" t="str" cm="1">
        <f t="array" ref="G396">IF(LineærRegression_Valg[[#This Row],[Indenfor range]],IF(LineærRegression_Valg[[#This Row],[Intet overlap]],INDEX(DataTitel_liste,LineærRegression_Valg[[#This Row],[Uafhængig variabel ID]]),INDEX(DataTitel_liste,IF(LineærRegression_Valg[[#This Row],[Afhængig variabel ID]]=1,2,1))),$B$7)</f>
        <v>Eksempel 2 (interval)</v>
      </c>
      <c r="H396" s="188">
        <f>_xlfn.AGGREGATE(2,5,LineærRegression_Valg[[#This Row],[Tabel ID]])</f>
        <v>1</v>
      </c>
    </row>
    <row r="397" spans="1:8" x14ac:dyDescent="0.2">
      <c r="A397">
        <f>ROW(LineærRegression_Valg[[#This Row],[Tabel ID]])-ROW(LineærRegression_Valg[[#Headers],[Tabel ID]])</f>
        <v>387</v>
      </c>
      <c r="B397" s="188">
        <f>ROUNDDOWN((LineærRegression_Valg[[#This Row],[Tabel ID]]-1)/$B$5,0)+1</f>
        <v>97</v>
      </c>
      <c r="C397" s="188">
        <f t="shared" si="6"/>
        <v>3</v>
      </c>
      <c r="D397" s="188" t="b">
        <f>LineærRegression_Valg[[#This Row],[Afhængig variabel ID]]&lt;&gt;LineærRegression_Valg[[#This Row],[Uafhængig variabel ID]]</f>
        <v>1</v>
      </c>
      <c r="E397" t="b">
        <f>LineærRegression_Valg[[#This Row],[Afhængig variabel ID]]&lt;=$B$5</f>
        <v>0</v>
      </c>
      <c r="F397" t="str" cm="1">
        <f t="array" ref="F397">IF(LineærRegression_Valg[[#This Row],[Indenfor range]],INDEX(DataTitel_liste,LineærRegression_Valg[[#This Row],[Afhængig variabel ID]]),INDEX(DataTitel_liste,1))</f>
        <v>Eksempel 1 (interval)</v>
      </c>
      <c r="G397" s="188" t="str" cm="1">
        <f t="array" ref="G397">IF(LineærRegression_Valg[[#This Row],[Indenfor range]],IF(LineærRegression_Valg[[#This Row],[Intet overlap]],INDEX(DataTitel_liste,LineærRegression_Valg[[#This Row],[Uafhængig variabel ID]]),INDEX(DataTitel_liste,IF(LineærRegression_Valg[[#This Row],[Afhængig variabel ID]]=1,2,1))),$B$7)</f>
        <v>Eksempel 2 (interval)</v>
      </c>
      <c r="H397" s="188">
        <f>_xlfn.AGGREGATE(2,5,LineærRegression_Valg[[#This Row],[Tabel ID]])</f>
        <v>1</v>
      </c>
    </row>
    <row r="398" spans="1:8" x14ac:dyDescent="0.2">
      <c r="A398">
        <f>ROW(LineærRegression_Valg[[#This Row],[Tabel ID]])-ROW(LineærRegression_Valg[[#Headers],[Tabel ID]])</f>
        <v>388</v>
      </c>
      <c r="B398" s="188">
        <f>ROUNDDOWN((LineærRegression_Valg[[#This Row],[Tabel ID]]-1)/$B$5,0)+1</f>
        <v>97</v>
      </c>
      <c r="C398" s="188">
        <f t="shared" si="6"/>
        <v>4</v>
      </c>
      <c r="D398" s="188" t="b">
        <f>LineærRegression_Valg[[#This Row],[Afhængig variabel ID]]&lt;&gt;LineærRegression_Valg[[#This Row],[Uafhængig variabel ID]]</f>
        <v>1</v>
      </c>
      <c r="E398" t="b">
        <f>LineærRegression_Valg[[#This Row],[Afhængig variabel ID]]&lt;=$B$5</f>
        <v>0</v>
      </c>
      <c r="F398" t="str" cm="1">
        <f t="array" ref="F398">IF(LineærRegression_Valg[[#This Row],[Indenfor range]],INDEX(DataTitel_liste,LineærRegression_Valg[[#This Row],[Afhængig variabel ID]]),INDEX(DataTitel_liste,1))</f>
        <v>Eksempel 1 (interval)</v>
      </c>
      <c r="G398" s="188" t="str" cm="1">
        <f t="array" ref="G398">IF(LineærRegression_Valg[[#This Row],[Indenfor range]],IF(LineærRegression_Valg[[#This Row],[Intet overlap]],INDEX(DataTitel_liste,LineærRegression_Valg[[#This Row],[Uafhængig variabel ID]]),INDEX(DataTitel_liste,IF(LineærRegression_Valg[[#This Row],[Afhængig variabel ID]]=1,2,1))),$B$7)</f>
        <v>Eksempel 2 (interval)</v>
      </c>
      <c r="H398" s="188">
        <f>_xlfn.AGGREGATE(2,5,LineærRegression_Valg[[#This Row],[Tabel ID]])</f>
        <v>1</v>
      </c>
    </row>
    <row r="399" spans="1:8" x14ac:dyDescent="0.2">
      <c r="A399">
        <f>ROW(LineærRegression_Valg[[#This Row],[Tabel ID]])-ROW(LineærRegression_Valg[[#Headers],[Tabel ID]])</f>
        <v>389</v>
      </c>
      <c r="B399" s="188">
        <f>ROUNDDOWN((LineærRegression_Valg[[#This Row],[Tabel ID]]-1)/$B$5,0)+1</f>
        <v>98</v>
      </c>
      <c r="C399" s="188">
        <f t="shared" si="6"/>
        <v>1</v>
      </c>
      <c r="D399" s="188" t="b">
        <f>LineærRegression_Valg[[#This Row],[Afhængig variabel ID]]&lt;&gt;LineærRegression_Valg[[#This Row],[Uafhængig variabel ID]]</f>
        <v>1</v>
      </c>
      <c r="E399" t="b">
        <f>LineærRegression_Valg[[#This Row],[Afhængig variabel ID]]&lt;=$B$5</f>
        <v>0</v>
      </c>
      <c r="F399" t="str" cm="1">
        <f t="array" ref="F399">IF(LineærRegression_Valg[[#This Row],[Indenfor range]],INDEX(DataTitel_liste,LineærRegression_Valg[[#This Row],[Afhængig variabel ID]]),INDEX(DataTitel_liste,1))</f>
        <v>Eksempel 1 (interval)</v>
      </c>
      <c r="G399" s="188" t="str" cm="1">
        <f t="array" ref="G399">IF(LineærRegression_Valg[[#This Row],[Indenfor range]],IF(LineærRegression_Valg[[#This Row],[Intet overlap]],INDEX(DataTitel_liste,LineærRegression_Valg[[#This Row],[Uafhængig variabel ID]]),INDEX(DataTitel_liste,IF(LineærRegression_Valg[[#This Row],[Afhængig variabel ID]]=1,2,1))),$B$7)</f>
        <v>Eksempel 2 (interval)</v>
      </c>
      <c r="H399" s="188">
        <f>_xlfn.AGGREGATE(2,5,LineærRegression_Valg[[#This Row],[Tabel ID]])</f>
        <v>1</v>
      </c>
    </row>
    <row r="400" spans="1:8" x14ac:dyDescent="0.2">
      <c r="A400">
        <f>ROW(LineærRegression_Valg[[#This Row],[Tabel ID]])-ROW(LineærRegression_Valg[[#Headers],[Tabel ID]])</f>
        <v>390</v>
      </c>
      <c r="B400" s="188">
        <f>ROUNDDOWN((LineærRegression_Valg[[#This Row],[Tabel ID]]-1)/$B$5,0)+1</f>
        <v>98</v>
      </c>
      <c r="C400" s="188">
        <f t="shared" si="6"/>
        <v>2</v>
      </c>
      <c r="D400" s="188" t="b">
        <f>LineærRegression_Valg[[#This Row],[Afhængig variabel ID]]&lt;&gt;LineærRegression_Valg[[#This Row],[Uafhængig variabel ID]]</f>
        <v>1</v>
      </c>
      <c r="E400" t="b">
        <f>LineærRegression_Valg[[#This Row],[Afhængig variabel ID]]&lt;=$B$5</f>
        <v>0</v>
      </c>
      <c r="F400" t="str" cm="1">
        <f t="array" ref="F400">IF(LineærRegression_Valg[[#This Row],[Indenfor range]],INDEX(DataTitel_liste,LineærRegression_Valg[[#This Row],[Afhængig variabel ID]]),INDEX(DataTitel_liste,1))</f>
        <v>Eksempel 1 (interval)</v>
      </c>
      <c r="G400" s="188" t="str" cm="1">
        <f t="array" ref="G400">IF(LineærRegression_Valg[[#This Row],[Indenfor range]],IF(LineærRegression_Valg[[#This Row],[Intet overlap]],INDEX(DataTitel_liste,LineærRegression_Valg[[#This Row],[Uafhængig variabel ID]]),INDEX(DataTitel_liste,IF(LineærRegression_Valg[[#This Row],[Afhængig variabel ID]]=1,2,1))),$B$7)</f>
        <v>Eksempel 2 (interval)</v>
      </c>
      <c r="H400" s="188">
        <f>_xlfn.AGGREGATE(2,5,LineærRegression_Valg[[#This Row],[Tabel ID]])</f>
        <v>1</v>
      </c>
    </row>
    <row r="401" spans="1:8" x14ac:dyDescent="0.2">
      <c r="A401">
        <f>ROW(LineærRegression_Valg[[#This Row],[Tabel ID]])-ROW(LineærRegression_Valg[[#Headers],[Tabel ID]])</f>
        <v>391</v>
      </c>
      <c r="B401" s="188">
        <f>ROUNDDOWN((LineærRegression_Valg[[#This Row],[Tabel ID]]-1)/$B$5,0)+1</f>
        <v>98</v>
      </c>
      <c r="C401" s="188">
        <f t="shared" si="6"/>
        <v>3</v>
      </c>
      <c r="D401" s="188" t="b">
        <f>LineærRegression_Valg[[#This Row],[Afhængig variabel ID]]&lt;&gt;LineærRegression_Valg[[#This Row],[Uafhængig variabel ID]]</f>
        <v>1</v>
      </c>
      <c r="E401" t="b">
        <f>LineærRegression_Valg[[#This Row],[Afhængig variabel ID]]&lt;=$B$5</f>
        <v>0</v>
      </c>
      <c r="F401" t="str" cm="1">
        <f t="array" ref="F401">IF(LineærRegression_Valg[[#This Row],[Indenfor range]],INDEX(DataTitel_liste,LineærRegression_Valg[[#This Row],[Afhængig variabel ID]]),INDEX(DataTitel_liste,1))</f>
        <v>Eksempel 1 (interval)</v>
      </c>
      <c r="G401" s="188" t="str" cm="1">
        <f t="array" ref="G401">IF(LineærRegression_Valg[[#This Row],[Indenfor range]],IF(LineærRegression_Valg[[#This Row],[Intet overlap]],INDEX(DataTitel_liste,LineærRegression_Valg[[#This Row],[Uafhængig variabel ID]]),INDEX(DataTitel_liste,IF(LineærRegression_Valg[[#This Row],[Afhængig variabel ID]]=1,2,1))),$B$7)</f>
        <v>Eksempel 2 (interval)</v>
      </c>
      <c r="H401" s="188">
        <f>_xlfn.AGGREGATE(2,5,LineærRegression_Valg[[#This Row],[Tabel ID]])</f>
        <v>1</v>
      </c>
    </row>
    <row r="402" spans="1:8" x14ac:dyDescent="0.2">
      <c r="A402">
        <f>ROW(LineærRegression_Valg[[#This Row],[Tabel ID]])-ROW(LineærRegression_Valg[[#Headers],[Tabel ID]])</f>
        <v>392</v>
      </c>
      <c r="B402" s="188">
        <f>ROUNDDOWN((LineærRegression_Valg[[#This Row],[Tabel ID]]-1)/$B$5,0)+1</f>
        <v>98</v>
      </c>
      <c r="C402" s="188">
        <f t="shared" si="6"/>
        <v>4</v>
      </c>
      <c r="D402" s="188" t="b">
        <f>LineærRegression_Valg[[#This Row],[Afhængig variabel ID]]&lt;&gt;LineærRegression_Valg[[#This Row],[Uafhængig variabel ID]]</f>
        <v>1</v>
      </c>
      <c r="E402" t="b">
        <f>LineærRegression_Valg[[#This Row],[Afhængig variabel ID]]&lt;=$B$5</f>
        <v>0</v>
      </c>
      <c r="F402" t="str" cm="1">
        <f t="array" ref="F402">IF(LineærRegression_Valg[[#This Row],[Indenfor range]],INDEX(DataTitel_liste,LineærRegression_Valg[[#This Row],[Afhængig variabel ID]]),INDEX(DataTitel_liste,1))</f>
        <v>Eksempel 1 (interval)</v>
      </c>
      <c r="G402" s="188" t="str" cm="1">
        <f t="array" ref="G402">IF(LineærRegression_Valg[[#This Row],[Indenfor range]],IF(LineærRegression_Valg[[#This Row],[Intet overlap]],INDEX(DataTitel_liste,LineærRegression_Valg[[#This Row],[Uafhængig variabel ID]]),INDEX(DataTitel_liste,IF(LineærRegression_Valg[[#This Row],[Afhængig variabel ID]]=1,2,1))),$B$7)</f>
        <v>Eksempel 2 (interval)</v>
      </c>
      <c r="H402" s="188">
        <f>_xlfn.AGGREGATE(2,5,LineærRegression_Valg[[#This Row],[Tabel ID]])</f>
        <v>1</v>
      </c>
    </row>
    <row r="403" spans="1:8" x14ac:dyDescent="0.2">
      <c r="A403">
        <f>ROW(LineærRegression_Valg[[#This Row],[Tabel ID]])-ROW(LineærRegression_Valg[[#Headers],[Tabel ID]])</f>
        <v>393</v>
      </c>
      <c r="B403" s="188">
        <f>ROUNDDOWN((LineærRegression_Valg[[#This Row],[Tabel ID]]-1)/$B$5,0)+1</f>
        <v>99</v>
      </c>
      <c r="C403" s="188">
        <f t="shared" si="6"/>
        <v>1</v>
      </c>
      <c r="D403" s="188" t="b">
        <f>LineærRegression_Valg[[#This Row],[Afhængig variabel ID]]&lt;&gt;LineærRegression_Valg[[#This Row],[Uafhængig variabel ID]]</f>
        <v>1</v>
      </c>
      <c r="E403" t="b">
        <f>LineærRegression_Valg[[#This Row],[Afhængig variabel ID]]&lt;=$B$5</f>
        <v>0</v>
      </c>
      <c r="F403" t="str" cm="1">
        <f t="array" ref="F403">IF(LineærRegression_Valg[[#This Row],[Indenfor range]],INDEX(DataTitel_liste,LineærRegression_Valg[[#This Row],[Afhængig variabel ID]]),INDEX(DataTitel_liste,1))</f>
        <v>Eksempel 1 (interval)</v>
      </c>
      <c r="G403" s="188" t="str" cm="1">
        <f t="array" ref="G403">IF(LineærRegression_Valg[[#This Row],[Indenfor range]],IF(LineærRegression_Valg[[#This Row],[Intet overlap]],INDEX(DataTitel_liste,LineærRegression_Valg[[#This Row],[Uafhængig variabel ID]]),INDEX(DataTitel_liste,IF(LineærRegression_Valg[[#This Row],[Afhængig variabel ID]]=1,2,1))),$B$7)</f>
        <v>Eksempel 2 (interval)</v>
      </c>
      <c r="H403" s="188">
        <f>_xlfn.AGGREGATE(2,5,LineærRegression_Valg[[#This Row],[Tabel ID]])</f>
        <v>1</v>
      </c>
    </row>
    <row r="404" spans="1:8" x14ac:dyDescent="0.2">
      <c r="A404">
        <f>ROW(LineærRegression_Valg[[#This Row],[Tabel ID]])-ROW(LineærRegression_Valg[[#Headers],[Tabel ID]])</f>
        <v>394</v>
      </c>
      <c r="B404" s="188">
        <f>ROUNDDOWN((LineærRegression_Valg[[#This Row],[Tabel ID]]-1)/$B$5,0)+1</f>
        <v>99</v>
      </c>
      <c r="C404" s="188">
        <f t="shared" si="6"/>
        <v>2</v>
      </c>
      <c r="D404" s="188" t="b">
        <f>LineærRegression_Valg[[#This Row],[Afhængig variabel ID]]&lt;&gt;LineærRegression_Valg[[#This Row],[Uafhængig variabel ID]]</f>
        <v>1</v>
      </c>
      <c r="E404" t="b">
        <f>LineærRegression_Valg[[#This Row],[Afhængig variabel ID]]&lt;=$B$5</f>
        <v>0</v>
      </c>
      <c r="F404" t="str" cm="1">
        <f t="array" ref="F404">IF(LineærRegression_Valg[[#This Row],[Indenfor range]],INDEX(DataTitel_liste,LineærRegression_Valg[[#This Row],[Afhængig variabel ID]]),INDEX(DataTitel_liste,1))</f>
        <v>Eksempel 1 (interval)</v>
      </c>
      <c r="G404" s="188" t="str" cm="1">
        <f t="array" ref="G404">IF(LineærRegression_Valg[[#This Row],[Indenfor range]],IF(LineærRegression_Valg[[#This Row],[Intet overlap]],INDEX(DataTitel_liste,LineærRegression_Valg[[#This Row],[Uafhængig variabel ID]]),INDEX(DataTitel_liste,IF(LineærRegression_Valg[[#This Row],[Afhængig variabel ID]]=1,2,1))),$B$7)</f>
        <v>Eksempel 2 (interval)</v>
      </c>
      <c r="H404" s="188">
        <f>_xlfn.AGGREGATE(2,5,LineærRegression_Valg[[#This Row],[Tabel ID]])</f>
        <v>1</v>
      </c>
    </row>
    <row r="405" spans="1:8" x14ac:dyDescent="0.2">
      <c r="A405">
        <f>ROW(LineærRegression_Valg[[#This Row],[Tabel ID]])-ROW(LineærRegression_Valg[[#Headers],[Tabel ID]])</f>
        <v>395</v>
      </c>
      <c r="B405" s="188">
        <f>ROUNDDOWN((LineærRegression_Valg[[#This Row],[Tabel ID]]-1)/$B$5,0)+1</f>
        <v>99</v>
      </c>
      <c r="C405" s="188">
        <f t="shared" si="6"/>
        <v>3</v>
      </c>
      <c r="D405" s="188" t="b">
        <f>LineærRegression_Valg[[#This Row],[Afhængig variabel ID]]&lt;&gt;LineærRegression_Valg[[#This Row],[Uafhængig variabel ID]]</f>
        <v>1</v>
      </c>
      <c r="E405" t="b">
        <f>LineærRegression_Valg[[#This Row],[Afhængig variabel ID]]&lt;=$B$5</f>
        <v>0</v>
      </c>
      <c r="F405" t="str" cm="1">
        <f t="array" ref="F405">IF(LineærRegression_Valg[[#This Row],[Indenfor range]],INDEX(DataTitel_liste,LineærRegression_Valg[[#This Row],[Afhængig variabel ID]]),INDEX(DataTitel_liste,1))</f>
        <v>Eksempel 1 (interval)</v>
      </c>
      <c r="G405" s="188" t="str" cm="1">
        <f t="array" ref="G405">IF(LineærRegression_Valg[[#This Row],[Indenfor range]],IF(LineærRegression_Valg[[#This Row],[Intet overlap]],INDEX(DataTitel_liste,LineærRegression_Valg[[#This Row],[Uafhængig variabel ID]]),INDEX(DataTitel_liste,IF(LineærRegression_Valg[[#This Row],[Afhængig variabel ID]]=1,2,1))),$B$7)</f>
        <v>Eksempel 2 (interval)</v>
      </c>
      <c r="H405" s="188">
        <f>_xlfn.AGGREGATE(2,5,LineærRegression_Valg[[#This Row],[Tabel ID]])</f>
        <v>1</v>
      </c>
    </row>
    <row r="406" spans="1:8" x14ac:dyDescent="0.2">
      <c r="A406">
        <f>ROW(LineærRegression_Valg[[#This Row],[Tabel ID]])-ROW(LineærRegression_Valg[[#Headers],[Tabel ID]])</f>
        <v>396</v>
      </c>
      <c r="B406" s="188">
        <f>ROUNDDOWN((LineærRegression_Valg[[#This Row],[Tabel ID]]-1)/$B$5,0)+1</f>
        <v>99</v>
      </c>
      <c r="C406" s="188">
        <f t="shared" si="6"/>
        <v>4</v>
      </c>
      <c r="D406" s="188" t="b">
        <f>LineærRegression_Valg[[#This Row],[Afhængig variabel ID]]&lt;&gt;LineærRegression_Valg[[#This Row],[Uafhængig variabel ID]]</f>
        <v>1</v>
      </c>
      <c r="E406" t="b">
        <f>LineærRegression_Valg[[#This Row],[Afhængig variabel ID]]&lt;=$B$5</f>
        <v>0</v>
      </c>
      <c r="F406" t="str" cm="1">
        <f t="array" ref="F406">IF(LineærRegression_Valg[[#This Row],[Indenfor range]],INDEX(DataTitel_liste,LineærRegression_Valg[[#This Row],[Afhængig variabel ID]]),INDEX(DataTitel_liste,1))</f>
        <v>Eksempel 1 (interval)</v>
      </c>
      <c r="G406" s="188" t="str" cm="1">
        <f t="array" ref="G406">IF(LineærRegression_Valg[[#This Row],[Indenfor range]],IF(LineærRegression_Valg[[#This Row],[Intet overlap]],INDEX(DataTitel_liste,LineærRegression_Valg[[#This Row],[Uafhængig variabel ID]]),INDEX(DataTitel_liste,IF(LineærRegression_Valg[[#This Row],[Afhængig variabel ID]]=1,2,1))),$B$7)</f>
        <v>Eksempel 2 (interval)</v>
      </c>
      <c r="H406" s="188">
        <f>_xlfn.AGGREGATE(2,5,LineærRegression_Valg[[#This Row],[Tabel ID]])</f>
        <v>1</v>
      </c>
    </row>
    <row r="407" spans="1:8" x14ac:dyDescent="0.2">
      <c r="A407">
        <f>ROW(LineærRegression_Valg[[#This Row],[Tabel ID]])-ROW(LineærRegression_Valg[[#Headers],[Tabel ID]])</f>
        <v>397</v>
      </c>
      <c r="B407" s="188">
        <f>ROUNDDOWN((LineærRegression_Valg[[#This Row],[Tabel ID]]-1)/$B$5,0)+1</f>
        <v>100</v>
      </c>
      <c r="C407" s="188">
        <f t="shared" si="6"/>
        <v>1</v>
      </c>
      <c r="D407" s="188" t="b">
        <f>LineærRegression_Valg[[#This Row],[Afhængig variabel ID]]&lt;&gt;LineærRegression_Valg[[#This Row],[Uafhængig variabel ID]]</f>
        <v>1</v>
      </c>
      <c r="E407" t="b">
        <f>LineærRegression_Valg[[#This Row],[Afhængig variabel ID]]&lt;=$B$5</f>
        <v>0</v>
      </c>
      <c r="F407" t="str" cm="1">
        <f t="array" ref="F407">IF(LineærRegression_Valg[[#This Row],[Indenfor range]],INDEX(DataTitel_liste,LineærRegression_Valg[[#This Row],[Afhængig variabel ID]]),INDEX(DataTitel_liste,1))</f>
        <v>Eksempel 1 (interval)</v>
      </c>
      <c r="G407" s="188" t="str" cm="1">
        <f t="array" ref="G407">IF(LineærRegression_Valg[[#This Row],[Indenfor range]],IF(LineærRegression_Valg[[#This Row],[Intet overlap]],INDEX(DataTitel_liste,LineærRegression_Valg[[#This Row],[Uafhængig variabel ID]]),INDEX(DataTitel_liste,IF(LineærRegression_Valg[[#This Row],[Afhængig variabel ID]]=1,2,1))),$B$7)</f>
        <v>Eksempel 2 (interval)</v>
      </c>
      <c r="H407" s="188">
        <f>_xlfn.AGGREGATE(2,5,LineærRegression_Valg[[#This Row],[Tabel ID]])</f>
        <v>1</v>
      </c>
    </row>
    <row r="408" spans="1:8" x14ac:dyDescent="0.2">
      <c r="A408">
        <f>ROW(LineærRegression_Valg[[#This Row],[Tabel ID]])-ROW(LineærRegression_Valg[[#Headers],[Tabel ID]])</f>
        <v>398</v>
      </c>
      <c r="B408" s="188">
        <f>ROUNDDOWN((LineærRegression_Valg[[#This Row],[Tabel ID]]-1)/$B$5,0)+1</f>
        <v>100</v>
      </c>
      <c r="C408" s="188">
        <f t="shared" si="6"/>
        <v>2</v>
      </c>
      <c r="D408" s="188" t="b">
        <f>LineærRegression_Valg[[#This Row],[Afhængig variabel ID]]&lt;&gt;LineærRegression_Valg[[#This Row],[Uafhængig variabel ID]]</f>
        <v>1</v>
      </c>
      <c r="E408" t="b">
        <f>LineærRegression_Valg[[#This Row],[Afhængig variabel ID]]&lt;=$B$5</f>
        <v>0</v>
      </c>
      <c r="F408" t="str" cm="1">
        <f t="array" ref="F408">IF(LineærRegression_Valg[[#This Row],[Indenfor range]],INDEX(DataTitel_liste,LineærRegression_Valg[[#This Row],[Afhængig variabel ID]]),INDEX(DataTitel_liste,1))</f>
        <v>Eksempel 1 (interval)</v>
      </c>
      <c r="G408" s="188" t="str" cm="1">
        <f t="array" ref="G408">IF(LineærRegression_Valg[[#This Row],[Indenfor range]],IF(LineærRegression_Valg[[#This Row],[Intet overlap]],INDEX(DataTitel_liste,LineærRegression_Valg[[#This Row],[Uafhængig variabel ID]]),INDEX(DataTitel_liste,IF(LineærRegression_Valg[[#This Row],[Afhængig variabel ID]]=1,2,1))),$B$7)</f>
        <v>Eksempel 2 (interval)</v>
      </c>
      <c r="H408" s="188">
        <f>_xlfn.AGGREGATE(2,5,LineærRegression_Valg[[#This Row],[Tabel ID]])</f>
        <v>1</v>
      </c>
    </row>
    <row r="409" spans="1:8" x14ac:dyDescent="0.2">
      <c r="A409">
        <f>ROW(LineærRegression_Valg[[#This Row],[Tabel ID]])-ROW(LineærRegression_Valg[[#Headers],[Tabel ID]])</f>
        <v>399</v>
      </c>
      <c r="B409" s="188">
        <f>ROUNDDOWN((LineærRegression_Valg[[#This Row],[Tabel ID]]-1)/$B$5,0)+1</f>
        <v>100</v>
      </c>
      <c r="C409" s="188">
        <f t="shared" si="6"/>
        <v>3</v>
      </c>
      <c r="D409" s="188" t="b">
        <f>LineærRegression_Valg[[#This Row],[Afhængig variabel ID]]&lt;&gt;LineærRegression_Valg[[#This Row],[Uafhængig variabel ID]]</f>
        <v>1</v>
      </c>
      <c r="E409" t="b">
        <f>LineærRegression_Valg[[#This Row],[Afhængig variabel ID]]&lt;=$B$5</f>
        <v>0</v>
      </c>
      <c r="F409" t="str" cm="1">
        <f t="array" ref="F409">IF(LineærRegression_Valg[[#This Row],[Indenfor range]],INDEX(DataTitel_liste,LineærRegression_Valg[[#This Row],[Afhængig variabel ID]]),INDEX(DataTitel_liste,1))</f>
        <v>Eksempel 1 (interval)</v>
      </c>
      <c r="G409" s="188" t="str" cm="1">
        <f t="array" ref="G409">IF(LineærRegression_Valg[[#This Row],[Indenfor range]],IF(LineærRegression_Valg[[#This Row],[Intet overlap]],INDEX(DataTitel_liste,LineærRegression_Valg[[#This Row],[Uafhængig variabel ID]]),INDEX(DataTitel_liste,IF(LineærRegression_Valg[[#This Row],[Afhængig variabel ID]]=1,2,1))),$B$7)</f>
        <v>Eksempel 2 (interval)</v>
      </c>
      <c r="H409" s="188">
        <f>_xlfn.AGGREGATE(2,5,LineærRegression_Valg[[#This Row],[Tabel ID]])</f>
        <v>1</v>
      </c>
    </row>
    <row r="410" spans="1:8" x14ac:dyDescent="0.2">
      <c r="A410">
        <f>ROW(LineærRegression_Valg[[#This Row],[Tabel ID]])-ROW(LineærRegression_Valg[[#Headers],[Tabel ID]])</f>
        <v>400</v>
      </c>
      <c r="B410" s="188">
        <f>ROUNDDOWN((LineærRegression_Valg[[#This Row],[Tabel ID]]-1)/$B$5,0)+1</f>
        <v>100</v>
      </c>
      <c r="C410" s="188">
        <f t="shared" si="6"/>
        <v>4</v>
      </c>
      <c r="D410" s="188" t="b">
        <f>LineærRegression_Valg[[#This Row],[Afhængig variabel ID]]&lt;&gt;LineærRegression_Valg[[#This Row],[Uafhængig variabel ID]]</f>
        <v>1</v>
      </c>
      <c r="E410" t="b">
        <f>LineærRegression_Valg[[#This Row],[Afhængig variabel ID]]&lt;=$B$5</f>
        <v>0</v>
      </c>
      <c r="F410" t="str" cm="1">
        <f t="array" ref="F410">IF(LineærRegression_Valg[[#This Row],[Indenfor range]],INDEX(DataTitel_liste,LineærRegression_Valg[[#This Row],[Afhængig variabel ID]]),INDEX(DataTitel_liste,1))</f>
        <v>Eksempel 1 (interval)</v>
      </c>
      <c r="G410" s="188" t="str" cm="1">
        <f t="array" ref="G410">IF(LineærRegression_Valg[[#This Row],[Indenfor range]],IF(LineærRegression_Valg[[#This Row],[Intet overlap]],INDEX(DataTitel_liste,LineærRegression_Valg[[#This Row],[Uafhængig variabel ID]]),INDEX(DataTitel_liste,IF(LineærRegression_Valg[[#This Row],[Afhængig variabel ID]]=1,2,1))),$B$7)</f>
        <v>Eksempel 2 (interval)</v>
      </c>
      <c r="H410" s="188">
        <f>_xlfn.AGGREGATE(2,5,LineærRegression_Valg[[#This Row],[Tabel ID]])</f>
        <v>1</v>
      </c>
    </row>
    <row r="411" spans="1:8" x14ac:dyDescent="0.2">
      <c r="A411">
        <f>ROW(LineærRegression_Valg[[#This Row],[Tabel ID]])-ROW(LineærRegression_Valg[[#Headers],[Tabel ID]])</f>
        <v>401</v>
      </c>
      <c r="B411" s="188">
        <f>ROUNDDOWN((LineærRegression_Valg[[#This Row],[Tabel ID]]-1)/$B$5,0)+1</f>
        <v>101</v>
      </c>
      <c r="C411" s="188">
        <f t="shared" si="6"/>
        <v>1</v>
      </c>
      <c r="D411" s="188" t="b">
        <f>LineærRegression_Valg[[#This Row],[Afhængig variabel ID]]&lt;&gt;LineærRegression_Valg[[#This Row],[Uafhængig variabel ID]]</f>
        <v>1</v>
      </c>
      <c r="E411" t="b">
        <f>LineærRegression_Valg[[#This Row],[Afhængig variabel ID]]&lt;=$B$5</f>
        <v>0</v>
      </c>
      <c r="F411" t="str" cm="1">
        <f t="array" ref="F411">IF(LineærRegression_Valg[[#This Row],[Indenfor range]],INDEX(DataTitel_liste,LineærRegression_Valg[[#This Row],[Afhængig variabel ID]]),INDEX(DataTitel_liste,1))</f>
        <v>Eksempel 1 (interval)</v>
      </c>
      <c r="G411" s="188" t="str" cm="1">
        <f t="array" ref="G411">IF(LineærRegression_Valg[[#This Row],[Indenfor range]],IF(LineærRegression_Valg[[#This Row],[Intet overlap]],INDEX(DataTitel_liste,LineærRegression_Valg[[#This Row],[Uafhængig variabel ID]]),INDEX(DataTitel_liste,IF(LineærRegression_Valg[[#This Row],[Afhængig variabel ID]]=1,2,1))),$B$7)</f>
        <v>Eksempel 2 (interval)</v>
      </c>
      <c r="H411" s="188">
        <f>_xlfn.AGGREGATE(2,5,LineærRegression_Valg[[#This Row],[Tabel ID]])</f>
        <v>1</v>
      </c>
    </row>
    <row r="412" spans="1:8" x14ac:dyDescent="0.2">
      <c r="A412">
        <f>ROW(LineærRegression_Valg[[#This Row],[Tabel ID]])-ROW(LineærRegression_Valg[[#Headers],[Tabel ID]])</f>
        <v>402</v>
      </c>
      <c r="B412" s="188">
        <f>ROUNDDOWN((LineærRegression_Valg[[#This Row],[Tabel ID]]-1)/$B$5,0)+1</f>
        <v>101</v>
      </c>
      <c r="C412" s="188">
        <f t="shared" si="6"/>
        <v>2</v>
      </c>
      <c r="D412" s="188" t="b">
        <f>LineærRegression_Valg[[#This Row],[Afhængig variabel ID]]&lt;&gt;LineærRegression_Valg[[#This Row],[Uafhængig variabel ID]]</f>
        <v>1</v>
      </c>
      <c r="E412" t="b">
        <f>LineærRegression_Valg[[#This Row],[Afhængig variabel ID]]&lt;=$B$5</f>
        <v>0</v>
      </c>
      <c r="F412" t="str" cm="1">
        <f t="array" ref="F412">IF(LineærRegression_Valg[[#This Row],[Indenfor range]],INDEX(DataTitel_liste,LineærRegression_Valg[[#This Row],[Afhængig variabel ID]]),INDEX(DataTitel_liste,1))</f>
        <v>Eksempel 1 (interval)</v>
      </c>
      <c r="G412" s="188" t="str" cm="1">
        <f t="array" ref="G412">IF(LineærRegression_Valg[[#This Row],[Indenfor range]],IF(LineærRegression_Valg[[#This Row],[Intet overlap]],INDEX(DataTitel_liste,LineærRegression_Valg[[#This Row],[Uafhængig variabel ID]]),INDEX(DataTitel_liste,IF(LineærRegression_Valg[[#This Row],[Afhængig variabel ID]]=1,2,1))),$B$7)</f>
        <v>Eksempel 2 (interval)</v>
      </c>
      <c r="H412" s="188">
        <f>_xlfn.AGGREGATE(2,5,LineærRegression_Valg[[#This Row],[Tabel ID]])</f>
        <v>1</v>
      </c>
    </row>
    <row r="413" spans="1:8" x14ac:dyDescent="0.2">
      <c r="A413">
        <f>ROW(LineærRegression_Valg[[#This Row],[Tabel ID]])-ROW(LineærRegression_Valg[[#Headers],[Tabel ID]])</f>
        <v>403</v>
      </c>
      <c r="B413" s="188">
        <f>ROUNDDOWN((LineærRegression_Valg[[#This Row],[Tabel ID]]-1)/$B$5,0)+1</f>
        <v>101</v>
      </c>
      <c r="C413" s="188">
        <f t="shared" si="6"/>
        <v>3</v>
      </c>
      <c r="D413" s="188" t="b">
        <f>LineærRegression_Valg[[#This Row],[Afhængig variabel ID]]&lt;&gt;LineærRegression_Valg[[#This Row],[Uafhængig variabel ID]]</f>
        <v>1</v>
      </c>
      <c r="E413" t="b">
        <f>LineærRegression_Valg[[#This Row],[Afhængig variabel ID]]&lt;=$B$5</f>
        <v>0</v>
      </c>
      <c r="F413" t="str" cm="1">
        <f t="array" ref="F413">IF(LineærRegression_Valg[[#This Row],[Indenfor range]],INDEX(DataTitel_liste,LineærRegression_Valg[[#This Row],[Afhængig variabel ID]]),INDEX(DataTitel_liste,1))</f>
        <v>Eksempel 1 (interval)</v>
      </c>
      <c r="G413" s="188" t="str" cm="1">
        <f t="array" ref="G413">IF(LineærRegression_Valg[[#This Row],[Indenfor range]],IF(LineærRegression_Valg[[#This Row],[Intet overlap]],INDEX(DataTitel_liste,LineærRegression_Valg[[#This Row],[Uafhængig variabel ID]]),INDEX(DataTitel_liste,IF(LineærRegression_Valg[[#This Row],[Afhængig variabel ID]]=1,2,1))),$B$7)</f>
        <v>Eksempel 2 (interval)</v>
      </c>
      <c r="H413" s="188">
        <f>_xlfn.AGGREGATE(2,5,LineærRegression_Valg[[#This Row],[Tabel ID]])</f>
        <v>1</v>
      </c>
    </row>
    <row r="414" spans="1:8" x14ac:dyDescent="0.2">
      <c r="A414">
        <f>ROW(LineærRegression_Valg[[#This Row],[Tabel ID]])-ROW(LineærRegression_Valg[[#Headers],[Tabel ID]])</f>
        <v>404</v>
      </c>
      <c r="B414" s="188">
        <f>ROUNDDOWN((LineærRegression_Valg[[#This Row],[Tabel ID]]-1)/$B$5,0)+1</f>
        <v>101</v>
      </c>
      <c r="C414" s="188">
        <f t="shared" si="6"/>
        <v>4</v>
      </c>
      <c r="D414" s="188" t="b">
        <f>LineærRegression_Valg[[#This Row],[Afhængig variabel ID]]&lt;&gt;LineærRegression_Valg[[#This Row],[Uafhængig variabel ID]]</f>
        <v>1</v>
      </c>
      <c r="E414" t="b">
        <f>LineærRegression_Valg[[#This Row],[Afhængig variabel ID]]&lt;=$B$5</f>
        <v>0</v>
      </c>
      <c r="F414" t="str" cm="1">
        <f t="array" ref="F414">IF(LineærRegression_Valg[[#This Row],[Indenfor range]],INDEX(DataTitel_liste,LineærRegression_Valg[[#This Row],[Afhængig variabel ID]]),INDEX(DataTitel_liste,1))</f>
        <v>Eksempel 1 (interval)</v>
      </c>
      <c r="G414" s="188" t="str" cm="1">
        <f t="array" ref="G414">IF(LineærRegression_Valg[[#This Row],[Indenfor range]],IF(LineærRegression_Valg[[#This Row],[Intet overlap]],INDEX(DataTitel_liste,LineærRegression_Valg[[#This Row],[Uafhængig variabel ID]]),INDEX(DataTitel_liste,IF(LineærRegression_Valg[[#This Row],[Afhængig variabel ID]]=1,2,1))),$B$7)</f>
        <v>Eksempel 2 (interval)</v>
      </c>
      <c r="H414" s="188">
        <f>_xlfn.AGGREGATE(2,5,LineærRegression_Valg[[#This Row],[Tabel ID]])</f>
        <v>1</v>
      </c>
    </row>
    <row r="415" spans="1:8" x14ac:dyDescent="0.2">
      <c r="A415">
        <f>ROW(LineærRegression_Valg[[#This Row],[Tabel ID]])-ROW(LineærRegression_Valg[[#Headers],[Tabel ID]])</f>
        <v>405</v>
      </c>
      <c r="B415" s="188">
        <f>ROUNDDOWN((LineærRegression_Valg[[#This Row],[Tabel ID]]-1)/$B$5,0)+1</f>
        <v>102</v>
      </c>
      <c r="C415" s="188">
        <f t="shared" si="6"/>
        <v>1</v>
      </c>
      <c r="D415" s="188" t="b">
        <f>LineærRegression_Valg[[#This Row],[Afhængig variabel ID]]&lt;&gt;LineærRegression_Valg[[#This Row],[Uafhængig variabel ID]]</f>
        <v>1</v>
      </c>
      <c r="E415" t="b">
        <f>LineærRegression_Valg[[#This Row],[Afhængig variabel ID]]&lt;=$B$5</f>
        <v>0</v>
      </c>
      <c r="F415" t="str" cm="1">
        <f t="array" ref="F415">IF(LineærRegression_Valg[[#This Row],[Indenfor range]],INDEX(DataTitel_liste,LineærRegression_Valg[[#This Row],[Afhængig variabel ID]]),INDEX(DataTitel_liste,1))</f>
        <v>Eksempel 1 (interval)</v>
      </c>
      <c r="G415" s="188" t="str" cm="1">
        <f t="array" ref="G415">IF(LineærRegression_Valg[[#This Row],[Indenfor range]],IF(LineærRegression_Valg[[#This Row],[Intet overlap]],INDEX(DataTitel_liste,LineærRegression_Valg[[#This Row],[Uafhængig variabel ID]]),INDEX(DataTitel_liste,IF(LineærRegression_Valg[[#This Row],[Afhængig variabel ID]]=1,2,1))),$B$7)</f>
        <v>Eksempel 2 (interval)</v>
      </c>
      <c r="H415" s="188">
        <f>_xlfn.AGGREGATE(2,5,LineærRegression_Valg[[#This Row],[Tabel ID]])</f>
        <v>1</v>
      </c>
    </row>
    <row r="416" spans="1:8" x14ac:dyDescent="0.2">
      <c r="A416">
        <f>ROW(LineærRegression_Valg[[#This Row],[Tabel ID]])-ROW(LineærRegression_Valg[[#Headers],[Tabel ID]])</f>
        <v>406</v>
      </c>
      <c r="B416" s="188">
        <f>ROUNDDOWN((LineærRegression_Valg[[#This Row],[Tabel ID]]-1)/$B$5,0)+1</f>
        <v>102</v>
      </c>
      <c r="C416" s="188">
        <f t="shared" si="6"/>
        <v>2</v>
      </c>
      <c r="D416" s="188" t="b">
        <f>LineærRegression_Valg[[#This Row],[Afhængig variabel ID]]&lt;&gt;LineærRegression_Valg[[#This Row],[Uafhængig variabel ID]]</f>
        <v>1</v>
      </c>
      <c r="E416" t="b">
        <f>LineærRegression_Valg[[#This Row],[Afhængig variabel ID]]&lt;=$B$5</f>
        <v>0</v>
      </c>
      <c r="F416" t="str" cm="1">
        <f t="array" ref="F416">IF(LineærRegression_Valg[[#This Row],[Indenfor range]],INDEX(DataTitel_liste,LineærRegression_Valg[[#This Row],[Afhængig variabel ID]]),INDEX(DataTitel_liste,1))</f>
        <v>Eksempel 1 (interval)</v>
      </c>
      <c r="G416" s="188" t="str" cm="1">
        <f t="array" ref="G416">IF(LineærRegression_Valg[[#This Row],[Indenfor range]],IF(LineærRegression_Valg[[#This Row],[Intet overlap]],INDEX(DataTitel_liste,LineærRegression_Valg[[#This Row],[Uafhængig variabel ID]]),INDEX(DataTitel_liste,IF(LineærRegression_Valg[[#This Row],[Afhængig variabel ID]]=1,2,1))),$B$7)</f>
        <v>Eksempel 2 (interval)</v>
      </c>
      <c r="H416" s="188">
        <f>_xlfn.AGGREGATE(2,5,LineærRegression_Valg[[#This Row],[Tabel ID]])</f>
        <v>1</v>
      </c>
    </row>
    <row r="417" spans="1:8" x14ac:dyDescent="0.2">
      <c r="A417">
        <f>ROW(LineærRegression_Valg[[#This Row],[Tabel ID]])-ROW(LineærRegression_Valg[[#Headers],[Tabel ID]])</f>
        <v>407</v>
      </c>
      <c r="B417" s="188">
        <f>ROUNDDOWN((LineærRegression_Valg[[#This Row],[Tabel ID]]-1)/$B$5,0)+1</f>
        <v>102</v>
      </c>
      <c r="C417" s="188">
        <f t="shared" si="6"/>
        <v>3</v>
      </c>
      <c r="D417" s="188" t="b">
        <f>LineærRegression_Valg[[#This Row],[Afhængig variabel ID]]&lt;&gt;LineærRegression_Valg[[#This Row],[Uafhængig variabel ID]]</f>
        <v>1</v>
      </c>
      <c r="E417" t="b">
        <f>LineærRegression_Valg[[#This Row],[Afhængig variabel ID]]&lt;=$B$5</f>
        <v>0</v>
      </c>
      <c r="F417" t="str" cm="1">
        <f t="array" ref="F417">IF(LineærRegression_Valg[[#This Row],[Indenfor range]],INDEX(DataTitel_liste,LineærRegression_Valg[[#This Row],[Afhængig variabel ID]]),INDEX(DataTitel_liste,1))</f>
        <v>Eksempel 1 (interval)</v>
      </c>
      <c r="G417" s="188" t="str" cm="1">
        <f t="array" ref="G417">IF(LineærRegression_Valg[[#This Row],[Indenfor range]],IF(LineærRegression_Valg[[#This Row],[Intet overlap]],INDEX(DataTitel_liste,LineærRegression_Valg[[#This Row],[Uafhængig variabel ID]]),INDEX(DataTitel_liste,IF(LineærRegression_Valg[[#This Row],[Afhængig variabel ID]]=1,2,1))),$B$7)</f>
        <v>Eksempel 2 (interval)</v>
      </c>
      <c r="H417" s="188">
        <f>_xlfn.AGGREGATE(2,5,LineærRegression_Valg[[#This Row],[Tabel ID]])</f>
        <v>1</v>
      </c>
    </row>
    <row r="418" spans="1:8" x14ac:dyDescent="0.2">
      <c r="A418">
        <f>ROW(LineærRegression_Valg[[#This Row],[Tabel ID]])-ROW(LineærRegression_Valg[[#Headers],[Tabel ID]])</f>
        <v>408</v>
      </c>
      <c r="B418" s="188">
        <f>ROUNDDOWN((LineærRegression_Valg[[#This Row],[Tabel ID]]-1)/$B$5,0)+1</f>
        <v>102</v>
      </c>
      <c r="C418" s="188">
        <f t="shared" si="6"/>
        <v>4</v>
      </c>
      <c r="D418" s="188" t="b">
        <f>LineærRegression_Valg[[#This Row],[Afhængig variabel ID]]&lt;&gt;LineærRegression_Valg[[#This Row],[Uafhængig variabel ID]]</f>
        <v>1</v>
      </c>
      <c r="E418" t="b">
        <f>LineærRegression_Valg[[#This Row],[Afhængig variabel ID]]&lt;=$B$5</f>
        <v>0</v>
      </c>
      <c r="F418" t="str" cm="1">
        <f t="array" ref="F418">IF(LineærRegression_Valg[[#This Row],[Indenfor range]],INDEX(DataTitel_liste,LineærRegression_Valg[[#This Row],[Afhængig variabel ID]]),INDEX(DataTitel_liste,1))</f>
        <v>Eksempel 1 (interval)</v>
      </c>
      <c r="G418" s="188" t="str" cm="1">
        <f t="array" ref="G418">IF(LineærRegression_Valg[[#This Row],[Indenfor range]],IF(LineærRegression_Valg[[#This Row],[Intet overlap]],INDEX(DataTitel_liste,LineærRegression_Valg[[#This Row],[Uafhængig variabel ID]]),INDEX(DataTitel_liste,IF(LineærRegression_Valg[[#This Row],[Afhængig variabel ID]]=1,2,1))),$B$7)</f>
        <v>Eksempel 2 (interval)</v>
      </c>
      <c r="H418" s="188">
        <f>_xlfn.AGGREGATE(2,5,LineærRegression_Valg[[#This Row],[Tabel ID]])</f>
        <v>1</v>
      </c>
    </row>
    <row r="419" spans="1:8" x14ac:dyDescent="0.2">
      <c r="A419">
        <f>ROW(LineærRegression_Valg[[#This Row],[Tabel ID]])-ROW(LineærRegression_Valg[[#Headers],[Tabel ID]])</f>
        <v>409</v>
      </c>
      <c r="B419" s="188">
        <f>ROUNDDOWN((LineærRegression_Valg[[#This Row],[Tabel ID]]-1)/$B$5,0)+1</f>
        <v>103</v>
      </c>
      <c r="C419" s="188">
        <f t="shared" si="6"/>
        <v>1</v>
      </c>
      <c r="D419" s="188" t="b">
        <f>LineærRegression_Valg[[#This Row],[Afhængig variabel ID]]&lt;&gt;LineærRegression_Valg[[#This Row],[Uafhængig variabel ID]]</f>
        <v>1</v>
      </c>
      <c r="E419" t="b">
        <f>LineærRegression_Valg[[#This Row],[Afhængig variabel ID]]&lt;=$B$5</f>
        <v>0</v>
      </c>
      <c r="F419" t="str" cm="1">
        <f t="array" ref="F419">IF(LineærRegression_Valg[[#This Row],[Indenfor range]],INDEX(DataTitel_liste,LineærRegression_Valg[[#This Row],[Afhængig variabel ID]]),INDEX(DataTitel_liste,1))</f>
        <v>Eksempel 1 (interval)</v>
      </c>
      <c r="G419" s="188" t="str" cm="1">
        <f t="array" ref="G419">IF(LineærRegression_Valg[[#This Row],[Indenfor range]],IF(LineærRegression_Valg[[#This Row],[Intet overlap]],INDEX(DataTitel_liste,LineærRegression_Valg[[#This Row],[Uafhængig variabel ID]]),INDEX(DataTitel_liste,IF(LineærRegression_Valg[[#This Row],[Afhængig variabel ID]]=1,2,1))),$B$7)</f>
        <v>Eksempel 2 (interval)</v>
      </c>
      <c r="H419" s="188">
        <f>_xlfn.AGGREGATE(2,5,LineærRegression_Valg[[#This Row],[Tabel ID]])</f>
        <v>1</v>
      </c>
    </row>
    <row r="420" spans="1:8" x14ac:dyDescent="0.2">
      <c r="A420">
        <f>ROW(LineærRegression_Valg[[#This Row],[Tabel ID]])-ROW(LineærRegression_Valg[[#Headers],[Tabel ID]])</f>
        <v>410</v>
      </c>
      <c r="B420" s="188">
        <f>ROUNDDOWN((LineærRegression_Valg[[#This Row],[Tabel ID]]-1)/$B$5,0)+1</f>
        <v>103</v>
      </c>
      <c r="C420" s="188">
        <f t="shared" si="6"/>
        <v>2</v>
      </c>
      <c r="D420" s="188" t="b">
        <f>LineærRegression_Valg[[#This Row],[Afhængig variabel ID]]&lt;&gt;LineærRegression_Valg[[#This Row],[Uafhængig variabel ID]]</f>
        <v>1</v>
      </c>
      <c r="E420" t="b">
        <f>LineærRegression_Valg[[#This Row],[Afhængig variabel ID]]&lt;=$B$5</f>
        <v>0</v>
      </c>
      <c r="F420" t="str" cm="1">
        <f t="array" ref="F420">IF(LineærRegression_Valg[[#This Row],[Indenfor range]],INDEX(DataTitel_liste,LineærRegression_Valg[[#This Row],[Afhængig variabel ID]]),INDEX(DataTitel_liste,1))</f>
        <v>Eksempel 1 (interval)</v>
      </c>
      <c r="G420" s="188" t="str" cm="1">
        <f t="array" ref="G420">IF(LineærRegression_Valg[[#This Row],[Indenfor range]],IF(LineærRegression_Valg[[#This Row],[Intet overlap]],INDEX(DataTitel_liste,LineærRegression_Valg[[#This Row],[Uafhængig variabel ID]]),INDEX(DataTitel_liste,IF(LineærRegression_Valg[[#This Row],[Afhængig variabel ID]]=1,2,1))),$B$7)</f>
        <v>Eksempel 2 (interval)</v>
      </c>
      <c r="H420" s="188">
        <f>_xlfn.AGGREGATE(2,5,LineærRegression_Valg[[#This Row],[Tabel ID]])</f>
        <v>1</v>
      </c>
    </row>
    <row r="421" spans="1:8" x14ac:dyDescent="0.2">
      <c r="A421">
        <f>ROW(LineærRegression_Valg[[#This Row],[Tabel ID]])-ROW(LineærRegression_Valg[[#Headers],[Tabel ID]])</f>
        <v>411</v>
      </c>
      <c r="B421" s="188">
        <f>ROUNDDOWN((LineærRegression_Valg[[#This Row],[Tabel ID]]-1)/$B$5,0)+1</f>
        <v>103</v>
      </c>
      <c r="C421" s="188">
        <f t="shared" si="6"/>
        <v>3</v>
      </c>
      <c r="D421" s="188" t="b">
        <f>LineærRegression_Valg[[#This Row],[Afhængig variabel ID]]&lt;&gt;LineærRegression_Valg[[#This Row],[Uafhængig variabel ID]]</f>
        <v>1</v>
      </c>
      <c r="E421" t="b">
        <f>LineærRegression_Valg[[#This Row],[Afhængig variabel ID]]&lt;=$B$5</f>
        <v>0</v>
      </c>
      <c r="F421" t="str" cm="1">
        <f t="array" ref="F421">IF(LineærRegression_Valg[[#This Row],[Indenfor range]],INDEX(DataTitel_liste,LineærRegression_Valg[[#This Row],[Afhængig variabel ID]]),INDEX(DataTitel_liste,1))</f>
        <v>Eksempel 1 (interval)</v>
      </c>
      <c r="G421" s="188" t="str" cm="1">
        <f t="array" ref="G421">IF(LineærRegression_Valg[[#This Row],[Indenfor range]],IF(LineærRegression_Valg[[#This Row],[Intet overlap]],INDEX(DataTitel_liste,LineærRegression_Valg[[#This Row],[Uafhængig variabel ID]]),INDEX(DataTitel_liste,IF(LineærRegression_Valg[[#This Row],[Afhængig variabel ID]]=1,2,1))),$B$7)</f>
        <v>Eksempel 2 (interval)</v>
      </c>
      <c r="H421" s="188">
        <f>_xlfn.AGGREGATE(2,5,LineærRegression_Valg[[#This Row],[Tabel ID]])</f>
        <v>1</v>
      </c>
    </row>
    <row r="422" spans="1:8" x14ac:dyDescent="0.2">
      <c r="A422">
        <f>ROW(LineærRegression_Valg[[#This Row],[Tabel ID]])-ROW(LineærRegression_Valg[[#Headers],[Tabel ID]])</f>
        <v>412</v>
      </c>
      <c r="B422" s="188">
        <f>ROUNDDOWN((LineærRegression_Valg[[#This Row],[Tabel ID]]-1)/$B$5,0)+1</f>
        <v>103</v>
      </c>
      <c r="C422" s="188">
        <f t="shared" si="6"/>
        <v>4</v>
      </c>
      <c r="D422" s="188" t="b">
        <f>LineærRegression_Valg[[#This Row],[Afhængig variabel ID]]&lt;&gt;LineærRegression_Valg[[#This Row],[Uafhængig variabel ID]]</f>
        <v>1</v>
      </c>
      <c r="E422" t="b">
        <f>LineærRegression_Valg[[#This Row],[Afhængig variabel ID]]&lt;=$B$5</f>
        <v>0</v>
      </c>
      <c r="F422" t="str" cm="1">
        <f t="array" ref="F422">IF(LineærRegression_Valg[[#This Row],[Indenfor range]],INDEX(DataTitel_liste,LineærRegression_Valg[[#This Row],[Afhængig variabel ID]]),INDEX(DataTitel_liste,1))</f>
        <v>Eksempel 1 (interval)</v>
      </c>
      <c r="G422" s="188" t="str" cm="1">
        <f t="array" ref="G422">IF(LineærRegression_Valg[[#This Row],[Indenfor range]],IF(LineærRegression_Valg[[#This Row],[Intet overlap]],INDEX(DataTitel_liste,LineærRegression_Valg[[#This Row],[Uafhængig variabel ID]]),INDEX(DataTitel_liste,IF(LineærRegression_Valg[[#This Row],[Afhængig variabel ID]]=1,2,1))),$B$7)</f>
        <v>Eksempel 2 (interval)</v>
      </c>
      <c r="H422" s="188">
        <f>_xlfn.AGGREGATE(2,5,LineærRegression_Valg[[#This Row],[Tabel ID]])</f>
        <v>1</v>
      </c>
    </row>
    <row r="423" spans="1:8" x14ac:dyDescent="0.2">
      <c r="A423">
        <f>ROW(LineærRegression_Valg[[#This Row],[Tabel ID]])-ROW(LineærRegression_Valg[[#Headers],[Tabel ID]])</f>
        <v>413</v>
      </c>
      <c r="B423" s="188">
        <f>ROUNDDOWN((LineærRegression_Valg[[#This Row],[Tabel ID]]-1)/$B$5,0)+1</f>
        <v>104</v>
      </c>
      <c r="C423" s="188">
        <f t="shared" si="6"/>
        <v>1</v>
      </c>
      <c r="D423" s="188" t="b">
        <f>LineærRegression_Valg[[#This Row],[Afhængig variabel ID]]&lt;&gt;LineærRegression_Valg[[#This Row],[Uafhængig variabel ID]]</f>
        <v>1</v>
      </c>
      <c r="E423" t="b">
        <f>LineærRegression_Valg[[#This Row],[Afhængig variabel ID]]&lt;=$B$5</f>
        <v>0</v>
      </c>
      <c r="F423" t="str" cm="1">
        <f t="array" ref="F423">IF(LineærRegression_Valg[[#This Row],[Indenfor range]],INDEX(DataTitel_liste,LineærRegression_Valg[[#This Row],[Afhængig variabel ID]]),INDEX(DataTitel_liste,1))</f>
        <v>Eksempel 1 (interval)</v>
      </c>
      <c r="G423" s="188" t="str" cm="1">
        <f t="array" ref="G423">IF(LineærRegression_Valg[[#This Row],[Indenfor range]],IF(LineærRegression_Valg[[#This Row],[Intet overlap]],INDEX(DataTitel_liste,LineærRegression_Valg[[#This Row],[Uafhængig variabel ID]]),INDEX(DataTitel_liste,IF(LineærRegression_Valg[[#This Row],[Afhængig variabel ID]]=1,2,1))),$B$7)</f>
        <v>Eksempel 2 (interval)</v>
      </c>
      <c r="H423" s="188">
        <f>_xlfn.AGGREGATE(2,5,LineærRegression_Valg[[#This Row],[Tabel ID]])</f>
        <v>1</v>
      </c>
    </row>
    <row r="424" spans="1:8" x14ac:dyDescent="0.2">
      <c r="A424">
        <f>ROW(LineærRegression_Valg[[#This Row],[Tabel ID]])-ROW(LineærRegression_Valg[[#Headers],[Tabel ID]])</f>
        <v>414</v>
      </c>
      <c r="B424" s="188">
        <f>ROUNDDOWN((LineærRegression_Valg[[#This Row],[Tabel ID]]-1)/$B$5,0)+1</f>
        <v>104</v>
      </c>
      <c r="C424" s="188">
        <f t="shared" si="6"/>
        <v>2</v>
      </c>
      <c r="D424" s="188" t="b">
        <f>LineærRegression_Valg[[#This Row],[Afhængig variabel ID]]&lt;&gt;LineærRegression_Valg[[#This Row],[Uafhængig variabel ID]]</f>
        <v>1</v>
      </c>
      <c r="E424" t="b">
        <f>LineærRegression_Valg[[#This Row],[Afhængig variabel ID]]&lt;=$B$5</f>
        <v>0</v>
      </c>
      <c r="F424" t="str" cm="1">
        <f t="array" ref="F424">IF(LineærRegression_Valg[[#This Row],[Indenfor range]],INDEX(DataTitel_liste,LineærRegression_Valg[[#This Row],[Afhængig variabel ID]]),INDEX(DataTitel_liste,1))</f>
        <v>Eksempel 1 (interval)</v>
      </c>
      <c r="G424" s="188" t="str" cm="1">
        <f t="array" ref="G424">IF(LineærRegression_Valg[[#This Row],[Indenfor range]],IF(LineærRegression_Valg[[#This Row],[Intet overlap]],INDEX(DataTitel_liste,LineærRegression_Valg[[#This Row],[Uafhængig variabel ID]]),INDEX(DataTitel_liste,IF(LineærRegression_Valg[[#This Row],[Afhængig variabel ID]]=1,2,1))),$B$7)</f>
        <v>Eksempel 2 (interval)</v>
      </c>
      <c r="H424" s="188">
        <f>_xlfn.AGGREGATE(2,5,LineærRegression_Valg[[#This Row],[Tabel ID]])</f>
        <v>1</v>
      </c>
    </row>
    <row r="425" spans="1:8" x14ac:dyDescent="0.2">
      <c r="A425">
        <f>ROW(LineærRegression_Valg[[#This Row],[Tabel ID]])-ROW(LineærRegression_Valg[[#Headers],[Tabel ID]])</f>
        <v>415</v>
      </c>
      <c r="B425" s="188">
        <f>ROUNDDOWN((LineærRegression_Valg[[#This Row],[Tabel ID]]-1)/$B$5,0)+1</f>
        <v>104</v>
      </c>
      <c r="C425" s="188">
        <f t="shared" si="6"/>
        <v>3</v>
      </c>
      <c r="D425" s="188" t="b">
        <f>LineærRegression_Valg[[#This Row],[Afhængig variabel ID]]&lt;&gt;LineærRegression_Valg[[#This Row],[Uafhængig variabel ID]]</f>
        <v>1</v>
      </c>
      <c r="E425" t="b">
        <f>LineærRegression_Valg[[#This Row],[Afhængig variabel ID]]&lt;=$B$5</f>
        <v>0</v>
      </c>
      <c r="F425" t="str" cm="1">
        <f t="array" ref="F425">IF(LineærRegression_Valg[[#This Row],[Indenfor range]],INDEX(DataTitel_liste,LineærRegression_Valg[[#This Row],[Afhængig variabel ID]]),INDEX(DataTitel_liste,1))</f>
        <v>Eksempel 1 (interval)</v>
      </c>
      <c r="G425" s="188" t="str" cm="1">
        <f t="array" ref="G425">IF(LineærRegression_Valg[[#This Row],[Indenfor range]],IF(LineærRegression_Valg[[#This Row],[Intet overlap]],INDEX(DataTitel_liste,LineærRegression_Valg[[#This Row],[Uafhængig variabel ID]]),INDEX(DataTitel_liste,IF(LineærRegression_Valg[[#This Row],[Afhængig variabel ID]]=1,2,1))),$B$7)</f>
        <v>Eksempel 2 (interval)</v>
      </c>
      <c r="H425" s="188">
        <f>_xlfn.AGGREGATE(2,5,LineærRegression_Valg[[#This Row],[Tabel ID]])</f>
        <v>1</v>
      </c>
    </row>
    <row r="426" spans="1:8" x14ac:dyDescent="0.2">
      <c r="A426">
        <f>ROW(LineærRegression_Valg[[#This Row],[Tabel ID]])-ROW(LineærRegression_Valg[[#Headers],[Tabel ID]])</f>
        <v>416</v>
      </c>
      <c r="B426" s="188">
        <f>ROUNDDOWN((LineærRegression_Valg[[#This Row],[Tabel ID]]-1)/$B$5,0)+1</f>
        <v>104</v>
      </c>
      <c r="C426" s="188">
        <f t="shared" si="6"/>
        <v>4</v>
      </c>
      <c r="D426" s="188" t="b">
        <f>LineærRegression_Valg[[#This Row],[Afhængig variabel ID]]&lt;&gt;LineærRegression_Valg[[#This Row],[Uafhængig variabel ID]]</f>
        <v>1</v>
      </c>
      <c r="E426" t="b">
        <f>LineærRegression_Valg[[#This Row],[Afhængig variabel ID]]&lt;=$B$5</f>
        <v>0</v>
      </c>
      <c r="F426" t="str" cm="1">
        <f t="array" ref="F426">IF(LineærRegression_Valg[[#This Row],[Indenfor range]],INDEX(DataTitel_liste,LineærRegression_Valg[[#This Row],[Afhængig variabel ID]]),INDEX(DataTitel_liste,1))</f>
        <v>Eksempel 1 (interval)</v>
      </c>
      <c r="G426" s="188" t="str" cm="1">
        <f t="array" ref="G426">IF(LineærRegression_Valg[[#This Row],[Indenfor range]],IF(LineærRegression_Valg[[#This Row],[Intet overlap]],INDEX(DataTitel_liste,LineærRegression_Valg[[#This Row],[Uafhængig variabel ID]]),INDEX(DataTitel_liste,IF(LineærRegression_Valg[[#This Row],[Afhængig variabel ID]]=1,2,1))),$B$7)</f>
        <v>Eksempel 2 (interval)</v>
      </c>
      <c r="H426" s="188">
        <f>_xlfn.AGGREGATE(2,5,LineærRegression_Valg[[#This Row],[Tabel ID]])</f>
        <v>1</v>
      </c>
    </row>
    <row r="427" spans="1:8" x14ac:dyDescent="0.2">
      <c r="A427">
        <f>ROW(LineærRegression_Valg[[#This Row],[Tabel ID]])-ROW(LineærRegression_Valg[[#Headers],[Tabel ID]])</f>
        <v>417</v>
      </c>
      <c r="B427" s="188">
        <f>ROUNDDOWN((LineærRegression_Valg[[#This Row],[Tabel ID]]-1)/$B$5,0)+1</f>
        <v>105</v>
      </c>
      <c r="C427" s="188">
        <f t="shared" si="6"/>
        <v>1</v>
      </c>
      <c r="D427" s="188" t="b">
        <f>LineærRegression_Valg[[#This Row],[Afhængig variabel ID]]&lt;&gt;LineærRegression_Valg[[#This Row],[Uafhængig variabel ID]]</f>
        <v>1</v>
      </c>
      <c r="E427" t="b">
        <f>LineærRegression_Valg[[#This Row],[Afhængig variabel ID]]&lt;=$B$5</f>
        <v>0</v>
      </c>
      <c r="F427" t="str" cm="1">
        <f t="array" ref="F427">IF(LineærRegression_Valg[[#This Row],[Indenfor range]],INDEX(DataTitel_liste,LineærRegression_Valg[[#This Row],[Afhængig variabel ID]]),INDEX(DataTitel_liste,1))</f>
        <v>Eksempel 1 (interval)</v>
      </c>
      <c r="G427" s="188" t="str" cm="1">
        <f t="array" ref="G427">IF(LineærRegression_Valg[[#This Row],[Indenfor range]],IF(LineærRegression_Valg[[#This Row],[Intet overlap]],INDEX(DataTitel_liste,LineærRegression_Valg[[#This Row],[Uafhængig variabel ID]]),INDEX(DataTitel_liste,IF(LineærRegression_Valg[[#This Row],[Afhængig variabel ID]]=1,2,1))),$B$7)</f>
        <v>Eksempel 2 (interval)</v>
      </c>
      <c r="H427" s="188">
        <f>_xlfn.AGGREGATE(2,5,LineærRegression_Valg[[#This Row],[Tabel ID]])</f>
        <v>1</v>
      </c>
    </row>
    <row r="428" spans="1:8" x14ac:dyDescent="0.2">
      <c r="A428">
        <f>ROW(LineærRegression_Valg[[#This Row],[Tabel ID]])-ROW(LineærRegression_Valg[[#Headers],[Tabel ID]])</f>
        <v>418</v>
      </c>
      <c r="B428" s="188">
        <f>ROUNDDOWN((LineærRegression_Valg[[#This Row],[Tabel ID]]-1)/$B$5,0)+1</f>
        <v>105</v>
      </c>
      <c r="C428" s="188">
        <f t="shared" si="6"/>
        <v>2</v>
      </c>
      <c r="D428" s="188" t="b">
        <f>LineærRegression_Valg[[#This Row],[Afhængig variabel ID]]&lt;&gt;LineærRegression_Valg[[#This Row],[Uafhængig variabel ID]]</f>
        <v>1</v>
      </c>
      <c r="E428" t="b">
        <f>LineærRegression_Valg[[#This Row],[Afhængig variabel ID]]&lt;=$B$5</f>
        <v>0</v>
      </c>
      <c r="F428" t="str" cm="1">
        <f t="array" ref="F428">IF(LineærRegression_Valg[[#This Row],[Indenfor range]],INDEX(DataTitel_liste,LineærRegression_Valg[[#This Row],[Afhængig variabel ID]]),INDEX(DataTitel_liste,1))</f>
        <v>Eksempel 1 (interval)</v>
      </c>
      <c r="G428" s="188" t="str" cm="1">
        <f t="array" ref="G428">IF(LineærRegression_Valg[[#This Row],[Indenfor range]],IF(LineærRegression_Valg[[#This Row],[Intet overlap]],INDEX(DataTitel_liste,LineærRegression_Valg[[#This Row],[Uafhængig variabel ID]]),INDEX(DataTitel_liste,IF(LineærRegression_Valg[[#This Row],[Afhængig variabel ID]]=1,2,1))),$B$7)</f>
        <v>Eksempel 2 (interval)</v>
      </c>
      <c r="H428" s="188">
        <f>_xlfn.AGGREGATE(2,5,LineærRegression_Valg[[#This Row],[Tabel ID]])</f>
        <v>1</v>
      </c>
    </row>
    <row r="429" spans="1:8" x14ac:dyDescent="0.2">
      <c r="A429">
        <f>ROW(LineærRegression_Valg[[#This Row],[Tabel ID]])-ROW(LineærRegression_Valg[[#Headers],[Tabel ID]])</f>
        <v>419</v>
      </c>
      <c r="B429" s="188">
        <f>ROUNDDOWN((LineærRegression_Valg[[#This Row],[Tabel ID]]-1)/$B$5,0)+1</f>
        <v>105</v>
      </c>
      <c r="C429" s="188">
        <f t="shared" si="6"/>
        <v>3</v>
      </c>
      <c r="D429" s="188" t="b">
        <f>LineærRegression_Valg[[#This Row],[Afhængig variabel ID]]&lt;&gt;LineærRegression_Valg[[#This Row],[Uafhængig variabel ID]]</f>
        <v>1</v>
      </c>
      <c r="E429" t="b">
        <f>LineærRegression_Valg[[#This Row],[Afhængig variabel ID]]&lt;=$B$5</f>
        <v>0</v>
      </c>
      <c r="F429" t="str" cm="1">
        <f t="array" ref="F429">IF(LineærRegression_Valg[[#This Row],[Indenfor range]],INDEX(DataTitel_liste,LineærRegression_Valg[[#This Row],[Afhængig variabel ID]]),INDEX(DataTitel_liste,1))</f>
        <v>Eksempel 1 (interval)</v>
      </c>
      <c r="G429" s="188" t="str" cm="1">
        <f t="array" ref="G429">IF(LineærRegression_Valg[[#This Row],[Indenfor range]],IF(LineærRegression_Valg[[#This Row],[Intet overlap]],INDEX(DataTitel_liste,LineærRegression_Valg[[#This Row],[Uafhængig variabel ID]]),INDEX(DataTitel_liste,IF(LineærRegression_Valg[[#This Row],[Afhængig variabel ID]]=1,2,1))),$B$7)</f>
        <v>Eksempel 2 (interval)</v>
      </c>
      <c r="H429" s="188">
        <f>_xlfn.AGGREGATE(2,5,LineærRegression_Valg[[#This Row],[Tabel ID]])</f>
        <v>1</v>
      </c>
    </row>
    <row r="430" spans="1:8" x14ac:dyDescent="0.2">
      <c r="A430">
        <f>ROW(LineærRegression_Valg[[#This Row],[Tabel ID]])-ROW(LineærRegression_Valg[[#Headers],[Tabel ID]])</f>
        <v>420</v>
      </c>
      <c r="B430" s="188">
        <f>ROUNDDOWN((LineærRegression_Valg[[#This Row],[Tabel ID]]-1)/$B$5,0)+1</f>
        <v>105</v>
      </c>
      <c r="C430" s="188">
        <f t="shared" si="6"/>
        <v>4</v>
      </c>
      <c r="D430" s="188" t="b">
        <f>LineærRegression_Valg[[#This Row],[Afhængig variabel ID]]&lt;&gt;LineærRegression_Valg[[#This Row],[Uafhængig variabel ID]]</f>
        <v>1</v>
      </c>
      <c r="E430" t="b">
        <f>LineærRegression_Valg[[#This Row],[Afhængig variabel ID]]&lt;=$B$5</f>
        <v>0</v>
      </c>
      <c r="F430" t="str" cm="1">
        <f t="array" ref="F430">IF(LineærRegression_Valg[[#This Row],[Indenfor range]],INDEX(DataTitel_liste,LineærRegression_Valg[[#This Row],[Afhængig variabel ID]]),INDEX(DataTitel_liste,1))</f>
        <v>Eksempel 1 (interval)</v>
      </c>
      <c r="G430" s="188" t="str" cm="1">
        <f t="array" ref="G430">IF(LineærRegression_Valg[[#This Row],[Indenfor range]],IF(LineærRegression_Valg[[#This Row],[Intet overlap]],INDEX(DataTitel_liste,LineærRegression_Valg[[#This Row],[Uafhængig variabel ID]]),INDEX(DataTitel_liste,IF(LineærRegression_Valg[[#This Row],[Afhængig variabel ID]]=1,2,1))),$B$7)</f>
        <v>Eksempel 2 (interval)</v>
      </c>
      <c r="H430" s="188">
        <f>_xlfn.AGGREGATE(2,5,LineærRegression_Valg[[#This Row],[Tabel ID]])</f>
        <v>1</v>
      </c>
    </row>
    <row r="431" spans="1:8" x14ac:dyDescent="0.2">
      <c r="A431">
        <f>ROW(LineærRegression_Valg[[#This Row],[Tabel ID]])-ROW(LineærRegression_Valg[[#Headers],[Tabel ID]])</f>
        <v>421</v>
      </c>
      <c r="B431" s="188">
        <f>ROUNDDOWN((LineærRegression_Valg[[#This Row],[Tabel ID]]-1)/$B$5,0)+1</f>
        <v>106</v>
      </c>
      <c r="C431" s="188">
        <f t="shared" si="6"/>
        <v>1</v>
      </c>
      <c r="D431" s="188" t="b">
        <f>LineærRegression_Valg[[#This Row],[Afhængig variabel ID]]&lt;&gt;LineærRegression_Valg[[#This Row],[Uafhængig variabel ID]]</f>
        <v>1</v>
      </c>
      <c r="E431" t="b">
        <f>LineærRegression_Valg[[#This Row],[Afhængig variabel ID]]&lt;=$B$5</f>
        <v>0</v>
      </c>
      <c r="F431" t="str" cm="1">
        <f t="array" ref="F431">IF(LineærRegression_Valg[[#This Row],[Indenfor range]],INDEX(DataTitel_liste,LineærRegression_Valg[[#This Row],[Afhængig variabel ID]]),INDEX(DataTitel_liste,1))</f>
        <v>Eksempel 1 (interval)</v>
      </c>
      <c r="G431" s="188" t="str" cm="1">
        <f t="array" ref="G431">IF(LineærRegression_Valg[[#This Row],[Indenfor range]],IF(LineærRegression_Valg[[#This Row],[Intet overlap]],INDEX(DataTitel_liste,LineærRegression_Valg[[#This Row],[Uafhængig variabel ID]]),INDEX(DataTitel_liste,IF(LineærRegression_Valg[[#This Row],[Afhængig variabel ID]]=1,2,1))),$B$7)</f>
        <v>Eksempel 2 (interval)</v>
      </c>
      <c r="H431" s="188">
        <f>_xlfn.AGGREGATE(2,5,LineærRegression_Valg[[#This Row],[Tabel ID]])</f>
        <v>1</v>
      </c>
    </row>
    <row r="432" spans="1:8" x14ac:dyDescent="0.2">
      <c r="A432">
        <f>ROW(LineærRegression_Valg[[#This Row],[Tabel ID]])-ROW(LineærRegression_Valg[[#Headers],[Tabel ID]])</f>
        <v>422</v>
      </c>
      <c r="B432" s="188">
        <f>ROUNDDOWN((LineærRegression_Valg[[#This Row],[Tabel ID]]-1)/$B$5,0)+1</f>
        <v>106</v>
      </c>
      <c r="C432" s="188">
        <f t="shared" si="6"/>
        <v>2</v>
      </c>
      <c r="D432" s="188" t="b">
        <f>LineærRegression_Valg[[#This Row],[Afhængig variabel ID]]&lt;&gt;LineærRegression_Valg[[#This Row],[Uafhængig variabel ID]]</f>
        <v>1</v>
      </c>
      <c r="E432" t="b">
        <f>LineærRegression_Valg[[#This Row],[Afhængig variabel ID]]&lt;=$B$5</f>
        <v>0</v>
      </c>
      <c r="F432" t="str" cm="1">
        <f t="array" ref="F432">IF(LineærRegression_Valg[[#This Row],[Indenfor range]],INDEX(DataTitel_liste,LineærRegression_Valg[[#This Row],[Afhængig variabel ID]]),INDEX(DataTitel_liste,1))</f>
        <v>Eksempel 1 (interval)</v>
      </c>
      <c r="G432" s="188" t="str" cm="1">
        <f t="array" ref="G432">IF(LineærRegression_Valg[[#This Row],[Indenfor range]],IF(LineærRegression_Valg[[#This Row],[Intet overlap]],INDEX(DataTitel_liste,LineærRegression_Valg[[#This Row],[Uafhængig variabel ID]]),INDEX(DataTitel_liste,IF(LineærRegression_Valg[[#This Row],[Afhængig variabel ID]]=1,2,1))),$B$7)</f>
        <v>Eksempel 2 (interval)</v>
      </c>
      <c r="H432" s="188">
        <f>_xlfn.AGGREGATE(2,5,LineærRegression_Valg[[#This Row],[Tabel ID]])</f>
        <v>1</v>
      </c>
    </row>
    <row r="433" spans="1:8" x14ac:dyDescent="0.2">
      <c r="A433">
        <f>ROW(LineærRegression_Valg[[#This Row],[Tabel ID]])-ROW(LineærRegression_Valg[[#Headers],[Tabel ID]])</f>
        <v>423</v>
      </c>
      <c r="B433" s="188">
        <f>ROUNDDOWN((LineærRegression_Valg[[#This Row],[Tabel ID]]-1)/$B$5,0)+1</f>
        <v>106</v>
      </c>
      <c r="C433" s="188">
        <f t="shared" si="6"/>
        <v>3</v>
      </c>
      <c r="D433" s="188" t="b">
        <f>LineærRegression_Valg[[#This Row],[Afhængig variabel ID]]&lt;&gt;LineærRegression_Valg[[#This Row],[Uafhængig variabel ID]]</f>
        <v>1</v>
      </c>
      <c r="E433" t="b">
        <f>LineærRegression_Valg[[#This Row],[Afhængig variabel ID]]&lt;=$B$5</f>
        <v>0</v>
      </c>
      <c r="F433" t="str" cm="1">
        <f t="array" ref="F433">IF(LineærRegression_Valg[[#This Row],[Indenfor range]],INDEX(DataTitel_liste,LineærRegression_Valg[[#This Row],[Afhængig variabel ID]]),INDEX(DataTitel_liste,1))</f>
        <v>Eksempel 1 (interval)</v>
      </c>
      <c r="G433" s="188" t="str" cm="1">
        <f t="array" ref="G433">IF(LineærRegression_Valg[[#This Row],[Indenfor range]],IF(LineærRegression_Valg[[#This Row],[Intet overlap]],INDEX(DataTitel_liste,LineærRegression_Valg[[#This Row],[Uafhængig variabel ID]]),INDEX(DataTitel_liste,IF(LineærRegression_Valg[[#This Row],[Afhængig variabel ID]]=1,2,1))),$B$7)</f>
        <v>Eksempel 2 (interval)</v>
      </c>
      <c r="H433" s="188">
        <f>_xlfn.AGGREGATE(2,5,LineærRegression_Valg[[#This Row],[Tabel ID]])</f>
        <v>1</v>
      </c>
    </row>
    <row r="434" spans="1:8" x14ac:dyDescent="0.2">
      <c r="A434">
        <f>ROW(LineærRegression_Valg[[#This Row],[Tabel ID]])-ROW(LineærRegression_Valg[[#Headers],[Tabel ID]])</f>
        <v>424</v>
      </c>
      <c r="B434" s="188">
        <f>ROUNDDOWN((LineærRegression_Valg[[#This Row],[Tabel ID]]-1)/$B$5,0)+1</f>
        <v>106</v>
      </c>
      <c r="C434" s="188">
        <f t="shared" si="6"/>
        <v>4</v>
      </c>
      <c r="D434" s="188" t="b">
        <f>LineærRegression_Valg[[#This Row],[Afhængig variabel ID]]&lt;&gt;LineærRegression_Valg[[#This Row],[Uafhængig variabel ID]]</f>
        <v>1</v>
      </c>
      <c r="E434" t="b">
        <f>LineærRegression_Valg[[#This Row],[Afhængig variabel ID]]&lt;=$B$5</f>
        <v>0</v>
      </c>
      <c r="F434" t="str" cm="1">
        <f t="array" ref="F434">IF(LineærRegression_Valg[[#This Row],[Indenfor range]],INDEX(DataTitel_liste,LineærRegression_Valg[[#This Row],[Afhængig variabel ID]]),INDEX(DataTitel_liste,1))</f>
        <v>Eksempel 1 (interval)</v>
      </c>
      <c r="G434" s="188" t="str" cm="1">
        <f t="array" ref="G434">IF(LineærRegression_Valg[[#This Row],[Indenfor range]],IF(LineærRegression_Valg[[#This Row],[Intet overlap]],INDEX(DataTitel_liste,LineærRegression_Valg[[#This Row],[Uafhængig variabel ID]]),INDEX(DataTitel_liste,IF(LineærRegression_Valg[[#This Row],[Afhængig variabel ID]]=1,2,1))),$B$7)</f>
        <v>Eksempel 2 (interval)</v>
      </c>
      <c r="H434" s="188">
        <f>_xlfn.AGGREGATE(2,5,LineærRegression_Valg[[#This Row],[Tabel ID]])</f>
        <v>1</v>
      </c>
    </row>
    <row r="435" spans="1:8" x14ac:dyDescent="0.2">
      <c r="A435">
        <f>ROW(LineærRegression_Valg[[#This Row],[Tabel ID]])-ROW(LineærRegression_Valg[[#Headers],[Tabel ID]])</f>
        <v>425</v>
      </c>
      <c r="B435" s="188">
        <f>ROUNDDOWN((LineærRegression_Valg[[#This Row],[Tabel ID]]-1)/$B$5,0)+1</f>
        <v>107</v>
      </c>
      <c r="C435" s="188">
        <f t="shared" si="6"/>
        <v>1</v>
      </c>
      <c r="D435" s="188" t="b">
        <f>LineærRegression_Valg[[#This Row],[Afhængig variabel ID]]&lt;&gt;LineærRegression_Valg[[#This Row],[Uafhængig variabel ID]]</f>
        <v>1</v>
      </c>
      <c r="E435" t="b">
        <f>LineærRegression_Valg[[#This Row],[Afhængig variabel ID]]&lt;=$B$5</f>
        <v>0</v>
      </c>
      <c r="F435" t="str" cm="1">
        <f t="array" ref="F435">IF(LineærRegression_Valg[[#This Row],[Indenfor range]],INDEX(DataTitel_liste,LineærRegression_Valg[[#This Row],[Afhængig variabel ID]]),INDEX(DataTitel_liste,1))</f>
        <v>Eksempel 1 (interval)</v>
      </c>
      <c r="G435" s="188" t="str" cm="1">
        <f t="array" ref="G435">IF(LineærRegression_Valg[[#This Row],[Indenfor range]],IF(LineærRegression_Valg[[#This Row],[Intet overlap]],INDEX(DataTitel_liste,LineærRegression_Valg[[#This Row],[Uafhængig variabel ID]]),INDEX(DataTitel_liste,IF(LineærRegression_Valg[[#This Row],[Afhængig variabel ID]]=1,2,1))),$B$7)</f>
        <v>Eksempel 2 (interval)</v>
      </c>
      <c r="H435" s="188">
        <f>_xlfn.AGGREGATE(2,5,LineærRegression_Valg[[#This Row],[Tabel ID]])</f>
        <v>1</v>
      </c>
    </row>
    <row r="436" spans="1:8" x14ac:dyDescent="0.2">
      <c r="A436">
        <f>ROW(LineærRegression_Valg[[#This Row],[Tabel ID]])-ROW(LineærRegression_Valg[[#Headers],[Tabel ID]])</f>
        <v>426</v>
      </c>
      <c r="B436" s="188">
        <f>ROUNDDOWN((LineærRegression_Valg[[#This Row],[Tabel ID]]-1)/$B$5,0)+1</f>
        <v>107</v>
      </c>
      <c r="C436" s="188">
        <f t="shared" si="6"/>
        <v>2</v>
      </c>
      <c r="D436" s="188" t="b">
        <f>LineærRegression_Valg[[#This Row],[Afhængig variabel ID]]&lt;&gt;LineærRegression_Valg[[#This Row],[Uafhængig variabel ID]]</f>
        <v>1</v>
      </c>
      <c r="E436" t="b">
        <f>LineærRegression_Valg[[#This Row],[Afhængig variabel ID]]&lt;=$B$5</f>
        <v>0</v>
      </c>
      <c r="F436" t="str" cm="1">
        <f t="array" ref="F436">IF(LineærRegression_Valg[[#This Row],[Indenfor range]],INDEX(DataTitel_liste,LineærRegression_Valg[[#This Row],[Afhængig variabel ID]]),INDEX(DataTitel_liste,1))</f>
        <v>Eksempel 1 (interval)</v>
      </c>
      <c r="G436" s="188" t="str" cm="1">
        <f t="array" ref="G436">IF(LineærRegression_Valg[[#This Row],[Indenfor range]],IF(LineærRegression_Valg[[#This Row],[Intet overlap]],INDEX(DataTitel_liste,LineærRegression_Valg[[#This Row],[Uafhængig variabel ID]]),INDEX(DataTitel_liste,IF(LineærRegression_Valg[[#This Row],[Afhængig variabel ID]]=1,2,1))),$B$7)</f>
        <v>Eksempel 2 (interval)</v>
      </c>
      <c r="H436" s="188">
        <f>_xlfn.AGGREGATE(2,5,LineærRegression_Valg[[#This Row],[Tabel ID]])</f>
        <v>1</v>
      </c>
    </row>
    <row r="437" spans="1:8" x14ac:dyDescent="0.2">
      <c r="A437">
        <f>ROW(LineærRegression_Valg[[#This Row],[Tabel ID]])-ROW(LineærRegression_Valg[[#Headers],[Tabel ID]])</f>
        <v>427</v>
      </c>
      <c r="B437" s="188">
        <f>ROUNDDOWN((LineærRegression_Valg[[#This Row],[Tabel ID]]-1)/$B$5,0)+1</f>
        <v>107</v>
      </c>
      <c r="C437" s="188">
        <f t="shared" si="6"/>
        <v>3</v>
      </c>
      <c r="D437" s="188" t="b">
        <f>LineærRegression_Valg[[#This Row],[Afhængig variabel ID]]&lt;&gt;LineærRegression_Valg[[#This Row],[Uafhængig variabel ID]]</f>
        <v>1</v>
      </c>
      <c r="E437" t="b">
        <f>LineærRegression_Valg[[#This Row],[Afhængig variabel ID]]&lt;=$B$5</f>
        <v>0</v>
      </c>
      <c r="F437" t="str" cm="1">
        <f t="array" ref="F437">IF(LineærRegression_Valg[[#This Row],[Indenfor range]],INDEX(DataTitel_liste,LineærRegression_Valg[[#This Row],[Afhængig variabel ID]]),INDEX(DataTitel_liste,1))</f>
        <v>Eksempel 1 (interval)</v>
      </c>
      <c r="G437" s="188" t="str" cm="1">
        <f t="array" ref="G437">IF(LineærRegression_Valg[[#This Row],[Indenfor range]],IF(LineærRegression_Valg[[#This Row],[Intet overlap]],INDEX(DataTitel_liste,LineærRegression_Valg[[#This Row],[Uafhængig variabel ID]]),INDEX(DataTitel_liste,IF(LineærRegression_Valg[[#This Row],[Afhængig variabel ID]]=1,2,1))),$B$7)</f>
        <v>Eksempel 2 (interval)</v>
      </c>
      <c r="H437" s="188">
        <f>_xlfn.AGGREGATE(2,5,LineærRegression_Valg[[#This Row],[Tabel ID]])</f>
        <v>1</v>
      </c>
    </row>
    <row r="438" spans="1:8" x14ac:dyDescent="0.2">
      <c r="A438">
        <f>ROW(LineærRegression_Valg[[#This Row],[Tabel ID]])-ROW(LineærRegression_Valg[[#Headers],[Tabel ID]])</f>
        <v>428</v>
      </c>
      <c r="B438" s="188">
        <f>ROUNDDOWN((LineærRegression_Valg[[#This Row],[Tabel ID]]-1)/$B$5,0)+1</f>
        <v>107</v>
      </c>
      <c r="C438" s="188">
        <f t="shared" si="6"/>
        <v>4</v>
      </c>
      <c r="D438" s="188" t="b">
        <f>LineærRegression_Valg[[#This Row],[Afhængig variabel ID]]&lt;&gt;LineærRegression_Valg[[#This Row],[Uafhængig variabel ID]]</f>
        <v>1</v>
      </c>
      <c r="E438" t="b">
        <f>LineærRegression_Valg[[#This Row],[Afhængig variabel ID]]&lt;=$B$5</f>
        <v>0</v>
      </c>
      <c r="F438" t="str" cm="1">
        <f t="array" ref="F438">IF(LineærRegression_Valg[[#This Row],[Indenfor range]],INDEX(DataTitel_liste,LineærRegression_Valg[[#This Row],[Afhængig variabel ID]]),INDEX(DataTitel_liste,1))</f>
        <v>Eksempel 1 (interval)</v>
      </c>
      <c r="G438" s="188" t="str" cm="1">
        <f t="array" ref="G438">IF(LineærRegression_Valg[[#This Row],[Indenfor range]],IF(LineærRegression_Valg[[#This Row],[Intet overlap]],INDEX(DataTitel_liste,LineærRegression_Valg[[#This Row],[Uafhængig variabel ID]]),INDEX(DataTitel_liste,IF(LineærRegression_Valg[[#This Row],[Afhængig variabel ID]]=1,2,1))),$B$7)</f>
        <v>Eksempel 2 (interval)</v>
      </c>
      <c r="H438" s="188">
        <f>_xlfn.AGGREGATE(2,5,LineærRegression_Valg[[#This Row],[Tabel ID]])</f>
        <v>1</v>
      </c>
    </row>
    <row r="439" spans="1:8" x14ac:dyDescent="0.2">
      <c r="A439">
        <f>ROW(LineærRegression_Valg[[#This Row],[Tabel ID]])-ROW(LineærRegression_Valg[[#Headers],[Tabel ID]])</f>
        <v>429</v>
      </c>
      <c r="B439" s="188">
        <f>ROUNDDOWN((LineærRegression_Valg[[#This Row],[Tabel ID]]-1)/$B$5,0)+1</f>
        <v>108</v>
      </c>
      <c r="C439" s="188">
        <f t="shared" si="6"/>
        <v>1</v>
      </c>
      <c r="D439" s="188" t="b">
        <f>LineærRegression_Valg[[#This Row],[Afhængig variabel ID]]&lt;&gt;LineærRegression_Valg[[#This Row],[Uafhængig variabel ID]]</f>
        <v>1</v>
      </c>
      <c r="E439" t="b">
        <f>LineærRegression_Valg[[#This Row],[Afhængig variabel ID]]&lt;=$B$5</f>
        <v>0</v>
      </c>
      <c r="F439" t="str" cm="1">
        <f t="array" ref="F439">IF(LineærRegression_Valg[[#This Row],[Indenfor range]],INDEX(DataTitel_liste,LineærRegression_Valg[[#This Row],[Afhængig variabel ID]]),INDEX(DataTitel_liste,1))</f>
        <v>Eksempel 1 (interval)</v>
      </c>
      <c r="G439" s="188" t="str" cm="1">
        <f t="array" ref="G439">IF(LineærRegression_Valg[[#This Row],[Indenfor range]],IF(LineærRegression_Valg[[#This Row],[Intet overlap]],INDEX(DataTitel_liste,LineærRegression_Valg[[#This Row],[Uafhængig variabel ID]]),INDEX(DataTitel_liste,IF(LineærRegression_Valg[[#This Row],[Afhængig variabel ID]]=1,2,1))),$B$7)</f>
        <v>Eksempel 2 (interval)</v>
      </c>
      <c r="H439" s="188">
        <f>_xlfn.AGGREGATE(2,5,LineærRegression_Valg[[#This Row],[Tabel ID]])</f>
        <v>1</v>
      </c>
    </row>
    <row r="440" spans="1:8" x14ac:dyDescent="0.2">
      <c r="A440">
        <f>ROW(LineærRegression_Valg[[#This Row],[Tabel ID]])-ROW(LineærRegression_Valg[[#Headers],[Tabel ID]])</f>
        <v>430</v>
      </c>
      <c r="B440" s="188">
        <f>ROUNDDOWN((LineærRegression_Valg[[#This Row],[Tabel ID]]-1)/$B$5,0)+1</f>
        <v>108</v>
      </c>
      <c r="C440" s="188">
        <f t="shared" si="6"/>
        <v>2</v>
      </c>
      <c r="D440" s="188" t="b">
        <f>LineærRegression_Valg[[#This Row],[Afhængig variabel ID]]&lt;&gt;LineærRegression_Valg[[#This Row],[Uafhængig variabel ID]]</f>
        <v>1</v>
      </c>
      <c r="E440" t="b">
        <f>LineærRegression_Valg[[#This Row],[Afhængig variabel ID]]&lt;=$B$5</f>
        <v>0</v>
      </c>
      <c r="F440" t="str" cm="1">
        <f t="array" ref="F440">IF(LineærRegression_Valg[[#This Row],[Indenfor range]],INDEX(DataTitel_liste,LineærRegression_Valg[[#This Row],[Afhængig variabel ID]]),INDEX(DataTitel_liste,1))</f>
        <v>Eksempel 1 (interval)</v>
      </c>
      <c r="G440" s="188" t="str" cm="1">
        <f t="array" ref="G440">IF(LineærRegression_Valg[[#This Row],[Indenfor range]],IF(LineærRegression_Valg[[#This Row],[Intet overlap]],INDEX(DataTitel_liste,LineærRegression_Valg[[#This Row],[Uafhængig variabel ID]]),INDEX(DataTitel_liste,IF(LineærRegression_Valg[[#This Row],[Afhængig variabel ID]]=1,2,1))),$B$7)</f>
        <v>Eksempel 2 (interval)</v>
      </c>
      <c r="H440" s="188">
        <f>_xlfn.AGGREGATE(2,5,LineærRegression_Valg[[#This Row],[Tabel ID]])</f>
        <v>1</v>
      </c>
    </row>
    <row r="441" spans="1:8" x14ac:dyDescent="0.2">
      <c r="A441">
        <f>ROW(LineærRegression_Valg[[#This Row],[Tabel ID]])-ROW(LineærRegression_Valg[[#Headers],[Tabel ID]])</f>
        <v>431</v>
      </c>
      <c r="B441" s="188">
        <f>ROUNDDOWN((LineærRegression_Valg[[#This Row],[Tabel ID]]-1)/$B$5,0)+1</f>
        <v>108</v>
      </c>
      <c r="C441" s="188">
        <f t="shared" si="6"/>
        <v>3</v>
      </c>
      <c r="D441" s="188" t="b">
        <f>LineærRegression_Valg[[#This Row],[Afhængig variabel ID]]&lt;&gt;LineærRegression_Valg[[#This Row],[Uafhængig variabel ID]]</f>
        <v>1</v>
      </c>
      <c r="E441" t="b">
        <f>LineærRegression_Valg[[#This Row],[Afhængig variabel ID]]&lt;=$B$5</f>
        <v>0</v>
      </c>
      <c r="F441" t="str" cm="1">
        <f t="array" ref="F441">IF(LineærRegression_Valg[[#This Row],[Indenfor range]],INDEX(DataTitel_liste,LineærRegression_Valg[[#This Row],[Afhængig variabel ID]]),INDEX(DataTitel_liste,1))</f>
        <v>Eksempel 1 (interval)</v>
      </c>
      <c r="G441" s="188" t="str" cm="1">
        <f t="array" ref="G441">IF(LineærRegression_Valg[[#This Row],[Indenfor range]],IF(LineærRegression_Valg[[#This Row],[Intet overlap]],INDEX(DataTitel_liste,LineærRegression_Valg[[#This Row],[Uafhængig variabel ID]]),INDEX(DataTitel_liste,IF(LineærRegression_Valg[[#This Row],[Afhængig variabel ID]]=1,2,1))),$B$7)</f>
        <v>Eksempel 2 (interval)</v>
      </c>
      <c r="H441" s="188">
        <f>_xlfn.AGGREGATE(2,5,LineærRegression_Valg[[#This Row],[Tabel ID]])</f>
        <v>1</v>
      </c>
    </row>
    <row r="442" spans="1:8" x14ac:dyDescent="0.2">
      <c r="A442">
        <f>ROW(LineærRegression_Valg[[#This Row],[Tabel ID]])-ROW(LineærRegression_Valg[[#Headers],[Tabel ID]])</f>
        <v>432</v>
      </c>
      <c r="B442" s="188">
        <f>ROUNDDOWN((LineærRegression_Valg[[#This Row],[Tabel ID]]-1)/$B$5,0)+1</f>
        <v>108</v>
      </c>
      <c r="C442" s="188">
        <f t="shared" si="6"/>
        <v>4</v>
      </c>
      <c r="D442" s="188" t="b">
        <f>LineærRegression_Valg[[#This Row],[Afhængig variabel ID]]&lt;&gt;LineærRegression_Valg[[#This Row],[Uafhængig variabel ID]]</f>
        <v>1</v>
      </c>
      <c r="E442" t="b">
        <f>LineærRegression_Valg[[#This Row],[Afhængig variabel ID]]&lt;=$B$5</f>
        <v>0</v>
      </c>
      <c r="F442" t="str" cm="1">
        <f t="array" ref="F442">IF(LineærRegression_Valg[[#This Row],[Indenfor range]],INDEX(DataTitel_liste,LineærRegression_Valg[[#This Row],[Afhængig variabel ID]]),INDEX(DataTitel_liste,1))</f>
        <v>Eksempel 1 (interval)</v>
      </c>
      <c r="G442" s="188" t="str" cm="1">
        <f t="array" ref="G442">IF(LineærRegression_Valg[[#This Row],[Indenfor range]],IF(LineærRegression_Valg[[#This Row],[Intet overlap]],INDEX(DataTitel_liste,LineærRegression_Valg[[#This Row],[Uafhængig variabel ID]]),INDEX(DataTitel_liste,IF(LineærRegression_Valg[[#This Row],[Afhængig variabel ID]]=1,2,1))),$B$7)</f>
        <v>Eksempel 2 (interval)</v>
      </c>
      <c r="H442" s="188">
        <f>_xlfn.AGGREGATE(2,5,LineærRegression_Valg[[#This Row],[Tabel ID]])</f>
        <v>1</v>
      </c>
    </row>
    <row r="443" spans="1:8" x14ac:dyDescent="0.2">
      <c r="A443">
        <f>ROW(LineærRegression_Valg[[#This Row],[Tabel ID]])-ROW(LineærRegression_Valg[[#Headers],[Tabel ID]])</f>
        <v>433</v>
      </c>
      <c r="B443" s="188">
        <f>ROUNDDOWN((LineærRegression_Valg[[#This Row],[Tabel ID]]-1)/$B$5,0)+1</f>
        <v>109</v>
      </c>
      <c r="C443" s="188">
        <f t="shared" si="6"/>
        <v>1</v>
      </c>
      <c r="D443" s="188" t="b">
        <f>LineærRegression_Valg[[#This Row],[Afhængig variabel ID]]&lt;&gt;LineærRegression_Valg[[#This Row],[Uafhængig variabel ID]]</f>
        <v>1</v>
      </c>
      <c r="E443" t="b">
        <f>LineærRegression_Valg[[#This Row],[Afhængig variabel ID]]&lt;=$B$5</f>
        <v>0</v>
      </c>
      <c r="F443" t="str" cm="1">
        <f t="array" ref="F443">IF(LineærRegression_Valg[[#This Row],[Indenfor range]],INDEX(DataTitel_liste,LineærRegression_Valg[[#This Row],[Afhængig variabel ID]]),INDEX(DataTitel_liste,1))</f>
        <v>Eksempel 1 (interval)</v>
      </c>
      <c r="G443" s="188" t="str" cm="1">
        <f t="array" ref="G443">IF(LineærRegression_Valg[[#This Row],[Indenfor range]],IF(LineærRegression_Valg[[#This Row],[Intet overlap]],INDEX(DataTitel_liste,LineærRegression_Valg[[#This Row],[Uafhængig variabel ID]]),INDEX(DataTitel_liste,IF(LineærRegression_Valg[[#This Row],[Afhængig variabel ID]]=1,2,1))),$B$7)</f>
        <v>Eksempel 2 (interval)</v>
      </c>
      <c r="H443" s="188">
        <f>_xlfn.AGGREGATE(2,5,LineærRegression_Valg[[#This Row],[Tabel ID]])</f>
        <v>1</v>
      </c>
    </row>
    <row r="444" spans="1:8" x14ac:dyDescent="0.2">
      <c r="A444">
        <f>ROW(LineærRegression_Valg[[#This Row],[Tabel ID]])-ROW(LineærRegression_Valg[[#Headers],[Tabel ID]])</f>
        <v>434</v>
      </c>
      <c r="B444" s="188">
        <f>ROUNDDOWN((LineærRegression_Valg[[#This Row],[Tabel ID]]-1)/$B$5,0)+1</f>
        <v>109</v>
      </c>
      <c r="C444" s="188">
        <f t="shared" si="6"/>
        <v>2</v>
      </c>
      <c r="D444" s="188" t="b">
        <f>LineærRegression_Valg[[#This Row],[Afhængig variabel ID]]&lt;&gt;LineærRegression_Valg[[#This Row],[Uafhængig variabel ID]]</f>
        <v>1</v>
      </c>
      <c r="E444" t="b">
        <f>LineærRegression_Valg[[#This Row],[Afhængig variabel ID]]&lt;=$B$5</f>
        <v>0</v>
      </c>
      <c r="F444" t="str" cm="1">
        <f t="array" ref="F444">IF(LineærRegression_Valg[[#This Row],[Indenfor range]],INDEX(DataTitel_liste,LineærRegression_Valg[[#This Row],[Afhængig variabel ID]]),INDEX(DataTitel_liste,1))</f>
        <v>Eksempel 1 (interval)</v>
      </c>
      <c r="G444" s="188" t="str" cm="1">
        <f t="array" ref="G444">IF(LineærRegression_Valg[[#This Row],[Indenfor range]],IF(LineærRegression_Valg[[#This Row],[Intet overlap]],INDEX(DataTitel_liste,LineærRegression_Valg[[#This Row],[Uafhængig variabel ID]]),INDEX(DataTitel_liste,IF(LineærRegression_Valg[[#This Row],[Afhængig variabel ID]]=1,2,1))),$B$7)</f>
        <v>Eksempel 2 (interval)</v>
      </c>
      <c r="H444" s="188">
        <f>_xlfn.AGGREGATE(2,5,LineærRegression_Valg[[#This Row],[Tabel ID]])</f>
        <v>1</v>
      </c>
    </row>
    <row r="445" spans="1:8" x14ac:dyDescent="0.2">
      <c r="A445">
        <f>ROW(LineærRegression_Valg[[#This Row],[Tabel ID]])-ROW(LineærRegression_Valg[[#Headers],[Tabel ID]])</f>
        <v>435</v>
      </c>
      <c r="B445" s="188">
        <f>ROUNDDOWN((LineærRegression_Valg[[#This Row],[Tabel ID]]-1)/$B$5,0)+1</f>
        <v>109</v>
      </c>
      <c r="C445" s="188">
        <f t="shared" si="6"/>
        <v>3</v>
      </c>
      <c r="D445" s="188" t="b">
        <f>LineærRegression_Valg[[#This Row],[Afhængig variabel ID]]&lt;&gt;LineærRegression_Valg[[#This Row],[Uafhængig variabel ID]]</f>
        <v>1</v>
      </c>
      <c r="E445" t="b">
        <f>LineærRegression_Valg[[#This Row],[Afhængig variabel ID]]&lt;=$B$5</f>
        <v>0</v>
      </c>
      <c r="F445" t="str" cm="1">
        <f t="array" ref="F445">IF(LineærRegression_Valg[[#This Row],[Indenfor range]],INDEX(DataTitel_liste,LineærRegression_Valg[[#This Row],[Afhængig variabel ID]]),INDEX(DataTitel_liste,1))</f>
        <v>Eksempel 1 (interval)</v>
      </c>
      <c r="G445" s="188" t="str" cm="1">
        <f t="array" ref="G445">IF(LineærRegression_Valg[[#This Row],[Indenfor range]],IF(LineærRegression_Valg[[#This Row],[Intet overlap]],INDEX(DataTitel_liste,LineærRegression_Valg[[#This Row],[Uafhængig variabel ID]]),INDEX(DataTitel_liste,IF(LineærRegression_Valg[[#This Row],[Afhængig variabel ID]]=1,2,1))),$B$7)</f>
        <v>Eksempel 2 (interval)</v>
      </c>
      <c r="H445" s="188">
        <f>_xlfn.AGGREGATE(2,5,LineærRegression_Valg[[#This Row],[Tabel ID]])</f>
        <v>1</v>
      </c>
    </row>
    <row r="446" spans="1:8" x14ac:dyDescent="0.2">
      <c r="A446">
        <f>ROW(LineærRegression_Valg[[#This Row],[Tabel ID]])-ROW(LineærRegression_Valg[[#Headers],[Tabel ID]])</f>
        <v>436</v>
      </c>
      <c r="B446" s="188">
        <f>ROUNDDOWN((LineærRegression_Valg[[#This Row],[Tabel ID]]-1)/$B$5,0)+1</f>
        <v>109</v>
      </c>
      <c r="C446" s="188">
        <f t="shared" si="6"/>
        <v>4</v>
      </c>
      <c r="D446" s="188" t="b">
        <f>LineærRegression_Valg[[#This Row],[Afhængig variabel ID]]&lt;&gt;LineærRegression_Valg[[#This Row],[Uafhængig variabel ID]]</f>
        <v>1</v>
      </c>
      <c r="E446" t="b">
        <f>LineærRegression_Valg[[#This Row],[Afhængig variabel ID]]&lt;=$B$5</f>
        <v>0</v>
      </c>
      <c r="F446" t="str" cm="1">
        <f t="array" ref="F446">IF(LineærRegression_Valg[[#This Row],[Indenfor range]],INDEX(DataTitel_liste,LineærRegression_Valg[[#This Row],[Afhængig variabel ID]]),INDEX(DataTitel_liste,1))</f>
        <v>Eksempel 1 (interval)</v>
      </c>
      <c r="G446" s="188" t="str" cm="1">
        <f t="array" ref="G446">IF(LineærRegression_Valg[[#This Row],[Indenfor range]],IF(LineærRegression_Valg[[#This Row],[Intet overlap]],INDEX(DataTitel_liste,LineærRegression_Valg[[#This Row],[Uafhængig variabel ID]]),INDEX(DataTitel_liste,IF(LineærRegression_Valg[[#This Row],[Afhængig variabel ID]]=1,2,1))),$B$7)</f>
        <v>Eksempel 2 (interval)</v>
      </c>
      <c r="H446" s="188">
        <f>_xlfn.AGGREGATE(2,5,LineærRegression_Valg[[#This Row],[Tabel ID]])</f>
        <v>1</v>
      </c>
    </row>
    <row r="447" spans="1:8" x14ac:dyDescent="0.2">
      <c r="A447">
        <f>ROW(LineærRegression_Valg[[#This Row],[Tabel ID]])-ROW(LineærRegression_Valg[[#Headers],[Tabel ID]])</f>
        <v>437</v>
      </c>
      <c r="B447" s="188">
        <f>ROUNDDOWN((LineærRegression_Valg[[#This Row],[Tabel ID]]-1)/$B$5,0)+1</f>
        <v>110</v>
      </c>
      <c r="C447" s="188">
        <f t="shared" si="6"/>
        <v>1</v>
      </c>
      <c r="D447" s="188" t="b">
        <f>LineærRegression_Valg[[#This Row],[Afhængig variabel ID]]&lt;&gt;LineærRegression_Valg[[#This Row],[Uafhængig variabel ID]]</f>
        <v>1</v>
      </c>
      <c r="E447" t="b">
        <f>LineærRegression_Valg[[#This Row],[Afhængig variabel ID]]&lt;=$B$5</f>
        <v>0</v>
      </c>
      <c r="F447" t="str" cm="1">
        <f t="array" ref="F447">IF(LineærRegression_Valg[[#This Row],[Indenfor range]],INDEX(DataTitel_liste,LineærRegression_Valg[[#This Row],[Afhængig variabel ID]]),INDEX(DataTitel_liste,1))</f>
        <v>Eksempel 1 (interval)</v>
      </c>
      <c r="G447" s="188" t="str" cm="1">
        <f t="array" ref="G447">IF(LineærRegression_Valg[[#This Row],[Indenfor range]],IF(LineærRegression_Valg[[#This Row],[Intet overlap]],INDEX(DataTitel_liste,LineærRegression_Valg[[#This Row],[Uafhængig variabel ID]]),INDEX(DataTitel_liste,IF(LineærRegression_Valg[[#This Row],[Afhængig variabel ID]]=1,2,1))),$B$7)</f>
        <v>Eksempel 2 (interval)</v>
      </c>
      <c r="H447" s="188">
        <f>_xlfn.AGGREGATE(2,5,LineærRegression_Valg[[#This Row],[Tabel ID]])</f>
        <v>1</v>
      </c>
    </row>
    <row r="448" spans="1:8" x14ac:dyDescent="0.2">
      <c r="A448">
        <f>ROW(LineærRegression_Valg[[#This Row],[Tabel ID]])-ROW(LineærRegression_Valg[[#Headers],[Tabel ID]])</f>
        <v>438</v>
      </c>
      <c r="B448" s="188">
        <f>ROUNDDOWN((LineærRegression_Valg[[#This Row],[Tabel ID]]-1)/$B$5,0)+1</f>
        <v>110</v>
      </c>
      <c r="C448" s="188">
        <f t="shared" si="6"/>
        <v>2</v>
      </c>
      <c r="D448" s="188" t="b">
        <f>LineærRegression_Valg[[#This Row],[Afhængig variabel ID]]&lt;&gt;LineærRegression_Valg[[#This Row],[Uafhængig variabel ID]]</f>
        <v>1</v>
      </c>
      <c r="E448" t="b">
        <f>LineærRegression_Valg[[#This Row],[Afhængig variabel ID]]&lt;=$B$5</f>
        <v>0</v>
      </c>
      <c r="F448" t="str" cm="1">
        <f t="array" ref="F448">IF(LineærRegression_Valg[[#This Row],[Indenfor range]],INDEX(DataTitel_liste,LineærRegression_Valg[[#This Row],[Afhængig variabel ID]]),INDEX(DataTitel_liste,1))</f>
        <v>Eksempel 1 (interval)</v>
      </c>
      <c r="G448" s="188" t="str" cm="1">
        <f t="array" ref="G448">IF(LineærRegression_Valg[[#This Row],[Indenfor range]],IF(LineærRegression_Valg[[#This Row],[Intet overlap]],INDEX(DataTitel_liste,LineærRegression_Valg[[#This Row],[Uafhængig variabel ID]]),INDEX(DataTitel_liste,IF(LineærRegression_Valg[[#This Row],[Afhængig variabel ID]]=1,2,1))),$B$7)</f>
        <v>Eksempel 2 (interval)</v>
      </c>
      <c r="H448" s="188">
        <f>_xlfn.AGGREGATE(2,5,LineærRegression_Valg[[#This Row],[Tabel ID]])</f>
        <v>1</v>
      </c>
    </row>
    <row r="449" spans="1:8" x14ac:dyDescent="0.2">
      <c r="A449">
        <f>ROW(LineærRegression_Valg[[#This Row],[Tabel ID]])-ROW(LineærRegression_Valg[[#Headers],[Tabel ID]])</f>
        <v>439</v>
      </c>
      <c r="B449" s="188">
        <f>ROUNDDOWN((LineærRegression_Valg[[#This Row],[Tabel ID]]-1)/$B$5,0)+1</f>
        <v>110</v>
      </c>
      <c r="C449" s="188">
        <f t="shared" si="6"/>
        <v>3</v>
      </c>
      <c r="D449" s="188" t="b">
        <f>LineærRegression_Valg[[#This Row],[Afhængig variabel ID]]&lt;&gt;LineærRegression_Valg[[#This Row],[Uafhængig variabel ID]]</f>
        <v>1</v>
      </c>
      <c r="E449" t="b">
        <f>LineærRegression_Valg[[#This Row],[Afhængig variabel ID]]&lt;=$B$5</f>
        <v>0</v>
      </c>
      <c r="F449" t="str" cm="1">
        <f t="array" ref="F449">IF(LineærRegression_Valg[[#This Row],[Indenfor range]],INDEX(DataTitel_liste,LineærRegression_Valg[[#This Row],[Afhængig variabel ID]]),INDEX(DataTitel_liste,1))</f>
        <v>Eksempel 1 (interval)</v>
      </c>
      <c r="G449" s="188" t="str" cm="1">
        <f t="array" ref="G449">IF(LineærRegression_Valg[[#This Row],[Indenfor range]],IF(LineærRegression_Valg[[#This Row],[Intet overlap]],INDEX(DataTitel_liste,LineærRegression_Valg[[#This Row],[Uafhængig variabel ID]]),INDEX(DataTitel_liste,IF(LineærRegression_Valg[[#This Row],[Afhængig variabel ID]]=1,2,1))),$B$7)</f>
        <v>Eksempel 2 (interval)</v>
      </c>
      <c r="H449" s="188">
        <f>_xlfn.AGGREGATE(2,5,LineærRegression_Valg[[#This Row],[Tabel ID]])</f>
        <v>1</v>
      </c>
    </row>
    <row r="450" spans="1:8" x14ac:dyDescent="0.2">
      <c r="A450">
        <f>ROW(LineærRegression_Valg[[#This Row],[Tabel ID]])-ROW(LineærRegression_Valg[[#Headers],[Tabel ID]])</f>
        <v>440</v>
      </c>
      <c r="B450" s="188">
        <f>ROUNDDOWN((LineærRegression_Valg[[#This Row],[Tabel ID]]-1)/$B$5,0)+1</f>
        <v>110</v>
      </c>
      <c r="C450" s="188">
        <f t="shared" si="6"/>
        <v>4</v>
      </c>
      <c r="D450" s="188" t="b">
        <f>LineærRegression_Valg[[#This Row],[Afhængig variabel ID]]&lt;&gt;LineærRegression_Valg[[#This Row],[Uafhængig variabel ID]]</f>
        <v>1</v>
      </c>
      <c r="E450" t="b">
        <f>LineærRegression_Valg[[#This Row],[Afhængig variabel ID]]&lt;=$B$5</f>
        <v>0</v>
      </c>
      <c r="F450" t="str" cm="1">
        <f t="array" ref="F450">IF(LineærRegression_Valg[[#This Row],[Indenfor range]],INDEX(DataTitel_liste,LineærRegression_Valg[[#This Row],[Afhængig variabel ID]]),INDEX(DataTitel_liste,1))</f>
        <v>Eksempel 1 (interval)</v>
      </c>
      <c r="G450" s="188" t="str" cm="1">
        <f t="array" ref="G450">IF(LineærRegression_Valg[[#This Row],[Indenfor range]],IF(LineærRegression_Valg[[#This Row],[Intet overlap]],INDEX(DataTitel_liste,LineærRegression_Valg[[#This Row],[Uafhængig variabel ID]]),INDEX(DataTitel_liste,IF(LineærRegression_Valg[[#This Row],[Afhængig variabel ID]]=1,2,1))),$B$7)</f>
        <v>Eksempel 2 (interval)</v>
      </c>
      <c r="H450" s="188">
        <f>_xlfn.AGGREGATE(2,5,LineærRegression_Valg[[#This Row],[Tabel ID]])</f>
        <v>1</v>
      </c>
    </row>
    <row r="451" spans="1:8" x14ac:dyDescent="0.2">
      <c r="A451">
        <f>ROW(LineærRegression_Valg[[#This Row],[Tabel ID]])-ROW(LineærRegression_Valg[[#Headers],[Tabel ID]])</f>
        <v>441</v>
      </c>
      <c r="B451" s="188">
        <f>ROUNDDOWN((LineærRegression_Valg[[#This Row],[Tabel ID]]-1)/$B$5,0)+1</f>
        <v>111</v>
      </c>
      <c r="C451" s="188">
        <f t="shared" si="6"/>
        <v>1</v>
      </c>
      <c r="D451" s="188" t="b">
        <f>LineærRegression_Valg[[#This Row],[Afhængig variabel ID]]&lt;&gt;LineærRegression_Valg[[#This Row],[Uafhængig variabel ID]]</f>
        <v>1</v>
      </c>
      <c r="E451" t="b">
        <f>LineærRegression_Valg[[#This Row],[Afhængig variabel ID]]&lt;=$B$5</f>
        <v>0</v>
      </c>
      <c r="F451" t="str" cm="1">
        <f t="array" ref="F451">IF(LineærRegression_Valg[[#This Row],[Indenfor range]],INDEX(DataTitel_liste,LineærRegression_Valg[[#This Row],[Afhængig variabel ID]]),INDEX(DataTitel_liste,1))</f>
        <v>Eksempel 1 (interval)</v>
      </c>
      <c r="G451" s="188" t="str" cm="1">
        <f t="array" ref="G451">IF(LineærRegression_Valg[[#This Row],[Indenfor range]],IF(LineærRegression_Valg[[#This Row],[Intet overlap]],INDEX(DataTitel_liste,LineærRegression_Valg[[#This Row],[Uafhængig variabel ID]]),INDEX(DataTitel_liste,IF(LineærRegression_Valg[[#This Row],[Afhængig variabel ID]]=1,2,1))),$B$7)</f>
        <v>Eksempel 2 (interval)</v>
      </c>
      <c r="H451" s="188">
        <f>_xlfn.AGGREGATE(2,5,LineærRegression_Valg[[#This Row],[Tabel ID]])</f>
        <v>1</v>
      </c>
    </row>
    <row r="452" spans="1:8" x14ac:dyDescent="0.2">
      <c r="A452">
        <f>ROW(LineærRegression_Valg[[#This Row],[Tabel ID]])-ROW(LineærRegression_Valg[[#Headers],[Tabel ID]])</f>
        <v>442</v>
      </c>
      <c r="B452" s="188">
        <f>ROUNDDOWN((LineærRegression_Valg[[#This Row],[Tabel ID]]-1)/$B$5,0)+1</f>
        <v>111</v>
      </c>
      <c r="C452" s="188">
        <f t="shared" si="6"/>
        <v>2</v>
      </c>
      <c r="D452" s="188" t="b">
        <f>LineærRegression_Valg[[#This Row],[Afhængig variabel ID]]&lt;&gt;LineærRegression_Valg[[#This Row],[Uafhængig variabel ID]]</f>
        <v>1</v>
      </c>
      <c r="E452" t="b">
        <f>LineærRegression_Valg[[#This Row],[Afhængig variabel ID]]&lt;=$B$5</f>
        <v>0</v>
      </c>
      <c r="F452" t="str" cm="1">
        <f t="array" ref="F452">IF(LineærRegression_Valg[[#This Row],[Indenfor range]],INDEX(DataTitel_liste,LineærRegression_Valg[[#This Row],[Afhængig variabel ID]]),INDEX(DataTitel_liste,1))</f>
        <v>Eksempel 1 (interval)</v>
      </c>
      <c r="G452" s="188" t="str" cm="1">
        <f t="array" ref="G452">IF(LineærRegression_Valg[[#This Row],[Indenfor range]],IF(LineærRegression_Valg[[#This Row],[Intet overlap]],INDEX(DataTitel_liste,LineærRegression_Valg[[#This Row],[Uafhængig variabel ID]]),INDEX(DataTitel_liste,IF(LineærRegression_Valg[[#This Row],[Afhængig variabel ID]]=1,2,1))),$B$7)</f>
        <v>Eksempel 2 (interval)</v>
      </c>
      <c r="H452" s="188">
        <f>_xlfn.AGGREGATE(2,5,LineærRegression_Valg[[#This Row],[Tabel ID]])</f>
        <v>1</v>
      </c>
    </row>
    <row r="453" spans="1:8" x14ac:dyDescent="0.2">
      <c r="A453">
        <f>ROW(LineærRegression_Valg[[#This Row],[Tabel ID]])-ROW(LineærRegression_Valg[[#Headers],[Tabel ID]])</f>
        <v>443</v>
      </c>
      <c r="B453" s="188">
        <f>ROUNDDOWN((LineærRegression_Valg[[#This Row],[Tabel ID]]-1)/$B$5,0)+1</f>
        <v>111</v>
      </c>
      <c r="C453" s="188">
        <f t="shared" si="6"/>
        <v>3</v>
      </c>
      <c r="D453" s="188" t="b">
        <f>LineærRegression_Valg[[#This Row],[Afhængig variabel ID]]&lt;&gt;LineærRegression_Valg[[#This Row],[Uafhængig variabel ID]]</f>
        <v>1</v>
      </c>
      <c r="E453" t="b">
        <f>LineærRegression_Valg[[#This Row],[Afhængig variabel ID]]&lt;=$B$5</f>
        <v>0</v>
      </c>
      <c r="F453" t="str" cm="1">
        <f t="array" ref="F453">IF(LineærRegression_Valg[[#This Row],[Indenfor range]],INDEX(DataTitel_liste,LineærRegression_Valg[[#This Row],[Afhængig variabel ID]]),INDEX(DataTitel_liste,1))</f>
        <v>Eksempel 1 (interval)</v>
      </c>
      <c r="G453" s="188" t="str" cm="1">
        <f t="array" ref="G453">IF(LineærRegression_Valg[[#This Row],[Indenfor range]],IF(LineærRegression_Valg[[#This Row],[Intet overlap]],INDEX(DataTitel_liste,LineærRegression_Valg[[#This Row],[Uafhængig variabel ID]]),INDEX(DataTitel_liste,IF(LineærRegression_Valg[[#This Row],[Afhængig variabel ID]]=1,2,1))),$B$7)</f>
        <v>Eksempel 2 (interval)</v>
      </c>
      <c r="H453" s="188">
        <f>_xlfn.AGGREGATE(2,5,LineærRegression_Valg[[#This Row],[Tabel ID]])</f>
        <v>1</v>
      </c>
    </row>
    <row r="454" spans="1:8" x14ac:dyDescent="0.2">
      <c r="A454">
        <f>ROW(LineærRegression_Valg[[#This Row],[Tabel ID]])-ROW(LineærRegression_Valg[[#Headers],[Tabel ID]])</f>
        <v>444</v>
      </c>
      <c r="B454" s="188">
        <f>ROUNDDOWN((LineærRegression_Valg[[#This Row],[Tabel ID]]-1)/$B$5,0)+1</f>
        <v>111</v>
      </c>
      <c r="C454" s="188">
        <f t="shared" si="6"/>
        <v>4</v>
      </c>
      <c r="D454" s="188" t="b">
        <f>LineærRegression_Valg[[#This Row],[Afhængig variabel ID]]&lt;&gt;LineærRegression_Valg[[#This Row],[Uafhængig variabel ID]]</f>
        <v>1</v>
      </c>
      <c r="E454" t="b">
        <f>LineærRegression_Valg[[#This Row],[Afhængig variabel ID]]&lt;=$B$5</f>
        <v>0</v>
      </c>
      <c r="F454" t="str" cm="1">
        <f t="array" ref="F454">IF(LineærRegression_Valg[[#This Row],[Indenfor range]],INDEX(DataTitel_liste,LineærRegression_Valg[[#This Row],[Afhængig variabel ID]]),INDEX(DataTitel_liste,1))</f>
        <v>Eksempel 1 (interval)</v>
      </c>
      <c r="G454" s="188" t="str" cm="1">
        <f t="array" ref="G454">IF(LineærRegression_Valg[[#This Row],[Indenfor range]],IF(LineærRegression_Valg[[#This Row],[Intet overlap]],INDEX(DataTitel_liste,LineærRegression_Valg[[#This Row],[Uafhængig variabel ID]]),INDEX(DataTitel_liste,IF(LineærRegression_Valg[[#This Row],[Afhængig variabel ID]]=1,2,1))),$B$7)</f>
        <v>Eksempel 2 (interval)</v>
      </c>
      <c r="H454" s="188">
        <f>_xlfn.AGGREGATE(2,5,LineærRegression_Valg[[#This Row],[Tabel ID]])</f>
        <v>1</v>
      </c>
    </row>
    <row r="455" spans="1:8" x14ac:dyDescent="0.2">
      <c r="A455">
        <f>ROW(LineærRegression_Valg[[#This Row],[Tabel ID]])-ROW(LineærRegression_Valg[[#Headers],[Tabel ID]])</f>
        <v>445</v>
      </c>
      <c r="B455" s="188">
        <f>ROUNDDOWN((LineærRegression_Valg[[#This Row],[Tabel ID]]-1)/$B$5,0)+1</f>
        <v>112</v>
      </c>
      <c r="C455" s="188">
        <f t="shared" si="6"/>
        <v>1</v>
      </c>
      <c r="D455" s="188" t="b">
        <f>LineærRegression_Valg[[#This Row],[Afhængig variabel ID]]&lt;&gt;LineærRegression_Valg[[#This Row],[Uafhængig variabel ID]]</f>
        <v>1</v>
      </c>
      <c r="E455" t="b">
        <f>LineærRegression_Valg[[#This Row],[Afhængig variabel ID]]&lt;=$B$5</f>
        <v>0</v>
      </c>
      <c r="F455" t="str" cm="1">
        <f t="array" ref="F455">IF(LineærRegression_Valg[[#This Row],[Indenfor range]],INDEX(DataTitel_liste,LineærRegression_Valg[[#This Row],[Afhængig variabel ID]]),INDEX(DataTitel_liste,1))</f>
        <v>Eksempel 1 (interval)</v>
      </c>
      <c r="G455" s="188" t="str" cm="1">
        <f t="array" ref="G455">IF(LineærRegression_Valg[[#This Row],[Indenfor range]],IF(LineærRegression_Valg[[#This Row],[Intet overlap]],INDEX(DataTitel_liste,LineærRegression_Valg[[#This Row],[Uafhængig variabel ID]]),INDEX(DataTitel_liste,IF(LineærRegression_Valg[[#This Row],[Afhængig variabel ID]]=1,2,1))),$B$7)</f>
        <v>Eksempel 2 (interval)</v>
      </c>
      <c r="H455" s="188">
        <f>_xlfn.AGGREGATE(2,5,LineærRegression_Valg[[#This Row],[Tabel ID]])</f>
        <v>1</v>
      </c>
    </row>
    <row r="456" spans="1:8" x14ac:dyDescent="0.2">
      <c r="A456">
        <f>ROW(LineærRegression_Valg[[#This Row],[Tabel ID]])-ROW(LineærRegression_Valg[[#Headers],[Tabel ID]])</f>
        <v>446</v>
      </c>
      <c r="B456" s="188">
        <f>ROUNDDOWN((LineærRegression_Valg[[#This Row],[Tabel ID]]-1)/$B$5,0)+1</f>
        <v>112</v>
      </c>
      <c r="C456" s="188">
        <f t="shared" si="6"/>
        <v>2</v>
      </c>
      <c r="D456" s="188" t="b">
        <f>LineærRegression_Valg[[#This Row],[Afhængig variabel ID]]&lt;&gt;LineærRegression_Valg[[#This Row],[Uafhængig variabel ID]]</f>
        <v>1</v>
      </c>
      <c r="E456" t="b">
        <f>LineærRegression_Valg[[#This Row],[Afhængig variabel ID]]&lt;=$B$5</f>
        <v>0</v>
      </c>
      <c r="F456" t="str" cm="1">
        <f t="array" ref="F456">IF(LineærRegression_Valg[[#This Row],[Indenfor range]],INDEX(DataTitel_liste,LineærRegression_Valg[[#This Row],[Afhængig variabel ID]]),INDEX(DataTitel_liste,1))</f>
        <v>Eksempel 1 (interval)</v>
      </c>
      <c r="G456" s="188" t="str" cm="1">
        <f t="array" ref="G456">IF(LineærRegression_Valg[[#This Row],[Indenfor range]],IF(LineærRegression_Valg[[#This Row],[Intet overlap]],INDEX(DataTitel_liste,LineærRegression_Valg[[#This Row],[Uafhængig variabel ID]]),INDEX(DataTitel_liste,IF(LineærRegression_Valg[[#This Row],[Afhængig variabel ID]]=1,2,1))),$B$7)</f>
        <v>Eksempel 2 (interval)</v>
      </c>
      <c r="H456" s="188">
        <f>_xlfn.AGGREGATE(2,5,LineærRegression_Valg[[#This Row],[Tabel ID]])</f>
        <v>1</v>
      </c>
    </row>
    <row r="457" spans="1:8" x14ac:dyDescent="0.2">
      <c r="A457">
        <f>ROW(LineærRegression_Valg[[#This Row],[Tabel ID]])-ROW(LineærRegression_Valg[[#Headers],[Tabel ID]])</f>
        <v>447</v>
      </c>
      <c r="B457" s="188">
        <f>ROUNDDOWN((LineærRegression_Valg[[#This Row],[Tabel ID]]-1)/$B$5,0)+1</f>
        <v>112</v>
      </c>
      <c r="C457" s="188">
        <f t="shared" si="6"/>
        <v>3</v>
      </c>
      <c r="D457" s="188" t="b">
        <f>LineærRegression_Valg[[#This Row],[Afhængig variabel ID]]&lt;&gt;LineærRegression_Valg[[#This Row],[Uafhængig variabel ID]]</f>
        <v>1</v>
      </c>
      <c r="E457" t="b">
        <f>LineærRegression_Valg[[#This Row],[Afhængig variabel ID]]&lt;=$B$5</f>
        <v>0</v>
      </c>
      <c r="F457" t="str" cm="1">
        <f t="array" ref="F457">IF(LineærRegression_Valg[[#This Row],[Indenfor range]],INDEX(DataTitel_liste,LineærRegression_Valg[[#This Row],[Afhængig variabel ID]]),INDEX(DataTitel_liste,1))</f>
        <v>Eksempel 1 (interval)</v>
      </c>
      <c r="G457" s="188" t="str" cm="1">
        <f t="array" ref="G457">IF(LineærRegression_Valg[[#This Row],[Indenfor range]],IF(LineærRegression_Valg[[#This Row],[Intet overlap]],INDEX(DataTitel_liste,LineærRegression_Valg[[#This Row],[Uafhængig variabel ID]]),INDEX(DataTitel_liste,IF(LineærRegression_Valg[[#This Row],[Afhængig variabel ID]]=1,2,1))),$B$7)</f>
        <v>Eksempel 2 (interval)</v>
      </c>
      <c r="H457" s="188">
        <f>_xlfn.AGGREGATE(2,5,LineærRegression_Valg[[#This Row],[Tabel ID]])</f>
        <v>1</v>
      </c>
    </row>
    <row r="458" spans="1:8" x14ac:dyDescent="0.2">
      <c r="A458">
        <f>ROW(LineærRegression_Valg[[#This Row],[Tabel ID]])-ROW(LineærRegression_Valg[[#Headers],[Tabel ID]])</f>
        <v>448</v>
      </c>
      <c r="B458" s="188">
        <f>ROUNDDOWN((LineærRegression_Valg[[#This Row],[Tabel ID]]-1)/$B$5,0)+1</f>
        <v>112</v>
      </c>
      <c r="C458" s="188">
        <f t="shared" si="6"/>
        <v>4</v>
      </c>
      <c r="D458" s="188" t="b">
        <f>LineærRegression_Valg[[#This Row],[Afhængig variabel ID]]&lt;&gt;LineærRegression_Valg[[#This Row],[Uafhængig variabel ID]]</f>
        <v>1</v>
      </c>
      <c r="E458" t="b">
        <f>LineærRegression_Valg[[#This Row],[Afhængig variabel ID]]&lt;=$B$5</f>
        <v>0</v>
      </c>
      <c r="F458" t="str" cm="1">
        <f t="array" ref="F458">IF(LineærRegression_Valg[[#This Row],[Indenfor range]],INDEX(DataTitel_liste,LineærRegression_Valg[[#This Row],[Afhængig variabel ID]]),INDEX(DataTitel_liste,1))</f>
        <v>Eksempel 1 (interval)</v>
      </c>
      <c r="G458" s="188" t="str" cm="1">
        <f t="array" ref="G458">IF(LineærRegression_Valg[[#This Row],[Indenfor range]],IF(LineærRegression_Valg[[#This Row],[Intet overlap]],INDEX(DataTitel_liste,LineærRegression_Valg[[#This Row],[Uafhængig variabel ID]]),INDEX(DataTitel_liste,IF(LineærRegression_Valg[[#This Row],[Afhængig variabel ID]]=1,2,1))),$B$7)</f>
        <v>Eksempel 2 (interval)</v>
      </c>
      <c r="H458" s="188">
        <f>_xlfn.AGGREGATE(2,5,LineærRegression_Valg[[#This Row],[Tabel ID]])</f>
        <v>1</v>
      </c>
    </row>
    <row r="459" spans="1:8" x14ac:dyDescent="0.2">
      <c r="A459">
        <f>ROW(LineærRegression_Valg[[#This Row],[Tabel ID]])-ROW(LineærRegression_Valg[[#Headers],[Tabel ID]])</f>
        <v>449</v>
      </c>
      <c r="B459" s="188">
        <f>ROUNDDOWN((LineærRegression_Valg[[#This Row],[Tabel ID]]-1)/$B$5,0)+1</f>
        <v>113</v>
      </c>
      <c r="C459" s="188">
        <f t="shared" ref="C459:C522" si="7">MOD(A459-1,$B$5)+1</f>
        <v>1</v>
      </c>
      <c r="D459" s="188" t="b">
        <f>LineærRegression_Valg[[#This Row],[Afhængig variabel ID]]&lt;&gt;LineærRegression_Valg[[#This Row],[Uafhængig variabel ID]]</f>
        <v>1</v>
      </c>
      <c r="E459" t="b">
        <f>LineærRegression_Valg[[#This Row],[Afhængig variabel ID]]&lt;=$B$5</f>
        <v>0</v>
      </c>
      <c r="F459" t="str" cm="1">
        <f t="array" ref="F459">IF(LineærRegression_Valg[[#This Row],[Indenfor range]],INDEX(DataTitel_liste,LineærRegression_Valg[[#This Row],[Afhængig variabel ID]]),INDEX(DataTitel_liste,1))</f>
        <v>Eksempel 1 (interval)</v>
      </c>
      <c r="G459" s="188" t="str" cm="1">
        <f t="array" ref="G459">IF(LineærRegression_Valg[[#This Row],[Indenfor range]],IF(LineærRegression_Valg[[#This Row],[Intet overlap]],INDEX(DataTitel_liste,LineærRegression_Valg[[#This Row],[Uafhængig variabel ID]]),INDEX(DataTitel_liste,IF(LineærRegression_Valg[[#This Row],[Afhængig variabel ID]]=1,2,1))),$B$7)</f>
        <v>Eksempel 2 (interval)</v>
      </c>
      <c r="H459" s="188">
        <f>_xlfn.AGGREGATE(2,5,LineærRegression_Valg[[#This Row],[Tabel ID]])</f>
        <v>1</v>
      </c>
    </row>
    <row r="460" spans="1:8" x14ac:dyDescent="0.2">
      <c r="A460">
        <f>ROW(LineærRegression_Valg[[#This Row],[Tabel ID]])-ROW(LineærRegression_Valg[[#Headers],[Tabel ID]])</f>
        <v>450</v>
      </c>
      <c r="B460" s="188">
        <f>ROUNDDOWN((LineærRegression_Valg[[#This Row],[Tabel ID]]-1)/$B$5,0)+1</f>
        <v>113</v>
      </c>
      <c r="C460" s="188">
        <f t="shared" si="7"/>
        <v>2</v>
      </c>
      <c r="D460" s="188" t="b">
        <f>LineærRegression_Valg[[#This Row],[Afhængig variabel ID]]&lt;&gt;LineærRegression_Valg[[#This Row],[Uafhængig variabel ID]]</f>
        <v>1</v>
      </c>
      <c r="E460" t="b">
        <f>LineærRegression_Valg[[#This Row],[Afhængig variabel ID]]&lt;=$B$5</f>
        <v>0</v>
      </c>
      <c r="F460" t="str" cm="1">
        <f t="array" ref="F460">IF(LineærRegression_Valg[[#This Row],[Indenfor range]],INDEX(DataTitel_liste,LineærRegression_Valg[[#This Row],[Afhængig variabel ID]]),INDEX(DataTitel_liste,1))</f>
        <v>Eksempel 1 (interval)</v>
      </c>
      <c r="G460" s="188" t="str" cm="1">
        <f t="array" ref="G460">IF(LineærRegression_Valg[[#This Row],[Indenfor range]],IF(LineærRegression_Valg[[#This Row],[Intet overlap]],INDEX(DataTitel_liste,LineærRegression_Valg[[#This Row],[Uafhængig variabel ID]]),INDEX(DataTitel_liste,IF(LineærRegression_Valg[[#This Row],[Afhængig variabel ID]]=1,2,1))),$B$7)</f>
        <v>Eksempel 2 (interval)</v>
      </c>
      <c r="H460" s="188">
        <f>_xlfn.AGGREGATE(2,5,LineærRegression_Valg[[#This Row],[Tabel ID]])</f>
        <v>1</v>
      </c>
    </row>
    <row r="461" spans="1:8" x14ac:dyDescent="0.2">
      <c r="A461">
        <f>ROW(LineærRegression_Valg[[#This Row],[Tabel ID]])-ROW(LineærRegression_Valg[[#Headers],[Tabel ID]])</f>
        <v>451</v>
      </c>
      <c r="B461" s="188">
        <f>ROUNDDOWN((LineærRegression_Valg[[#This Row],[Tabel ID]]-1)/$B$5,0)+1</f>
        <v>113</v>
      </c>
      <c r="C461" s="188">
        <f t="shared" si="7"/>
        <v>3</v>
      </c>
      <c r="D461" s="188" t="b">
        <f>LineærRegression_Valg[[#This Row],[Afhængig variabel ID]]&lt;&gt;LineærRegression_Valg[[#This Row],[Uafhængig variabel ID]]</f>
        <v>1</v>
      </c>
      <c r="E461" t="b">
        <f>LineærRegression_Valg[[#This Row],[Afhængig variabel ID]]&lt;=$B$5</f>
        <v>0</v>
      </c>
      <c r="F461" t="str" cm="1">
        <f t="array" ref="F461">IF(LineærRegression_Valg[[#This Row],[Indenfor range]],INDEX(DataTitel_liste,LineærRegression_Valg[[#This Row],[Afhængig variabel ID]]),INDEX(DataTitel_liste,1))</f>
        <v>Eksempel 1 (interval)</v>
      </c>
      <c r="G461" s="188" t="str" cm="1">
        <f t="array" ref="G461">IF(LineærRegression_Valg[[#This Row],[Indenfor range]],IF(LineærRegression_Valg[[#This Row],[Intet overlap]],INDEX(DataTitel_liste,LineærRegression_Valg[[#This Row],[Uafhængig variabel ID]]),INDEX(DataTitel_liste,IF(LineærRegression_Valg[[#This Row],[Afhængig variabel ID]]=1,2,1))),$B$7)</f>
        <v>Eksempel 2 (interval)</v>
      </c>
      <c r="H461" s="188">
        <f>_xlfn.AGGREGATE(2,5,LineærRegression_Valg[[#This Row],[Tabel ID]])</f>
        <v>1</v>
      </c>
    </row>
    <row r="462" spans="1:8" x14ac:dyDescent="0.2">
      <c r="A462">
        <f>ROW(LineærRegression_Valg[[#This Row],[Tabel ID]])-ROW(LineærRegression_Valg[[#Headers],[Tabel ID]])</f>
        <v>452</v>
      </c>
      <c r="B462" s="188">
        <f>ROUNDDOWN((LineærRegression_Valg[[#This Row],[Tabel ID]]-1)/$B$5,0)+1</f>
        <v>113</v>
      </c>
      <c r="C462" s="188">
        <f t="shared" si="7"/>
        <v>4</v>
      </c>
      <c r="D462" s="188" t="b">
        <f>LineærRegression_Valg[[#This Row],[Afhængig variabel ID]]&lt;&gt;LineærRegression_Valg[[#This Row],[Uafhængig variabel ID]]</f>
        <v>1</v>
      </c>
      <c r="E462" t="b">
        <f>LineærRegression_Valg[[#This Row],[Afhængig variabel ID]]&lt;=$B$5</f>
        <v>0</v>
      </c>
      <c r="F462" t="str" cm="1">
        <f t="array" ref="F462">IF(LineærRegression_Valg[[#This Row],[Indenfor range]],INDEX(DataTitel_liste,LineærRegression_Valg[[#This Row],[Afhængig variabel ID]]),INDEX(DataTitel_liste,1))</f>
        <v>Eksempel 1 (interval)</v>
      </c>
      <c r="G462" s="188" t="str" cm="1">
        <f t="array" ref="G462">IF(LineærRegression_Valg[[#This Row],[Indenfor range]],IF(LineærRegression_Valg[[#This Row],[Intet overlap]],INDEX(DataTitel_liste,LineærRegression_Valg[[#This Row],[Uafhængig variabel ID]]),INDEX(DataTitel_liste,IF(LineærRegression_Valg[[#This Row],[Afhængig variabel ID]]=1,2,1))),$B$7)</f>
        <v>Eksempel 2 (interval)</v>
      </c>
      <c r="H462" s="188">
        <f>_xlfn.AGGREGATE(2,5,LineærRegression_Valg[[#This Row],[Tabel ID]])</f>
        <v>1</v>
      </c>
    </row>
    <row r="463" spans="1:8" x14ac:dyDescent="0.2">
      <c r="A463">
        <f>ROW(LineærRegression_Valg[[#This Row],[Tabel ID]])-ROW(LineærRegression_Valg[[#Headers],[Tabel ID]])</f>
        <v>453</v>
      </c>
      <c r="B463" s="188">
        <f>ROUNDDOWN((LineærRegression_Valg[[#This Row],[Tabel ID]]-1)/$B$5,0)+1</f>
        <v>114</v>
      </c>
      <c r="C463" s="188">
        <f t="shared" si="7"/>
        <v>1</v>
      </c>
      <c r="D463" s="188" t="b">
        <f>LineærRegression_Valg[[#This Row],[Afhængig variabel ID]]&lt;&gt;LineærRegression_Valg[[#This Row],[Uafhængig variabel ID]]</f>
        <v>1</v>
      </c>
      <c r="E463" t="b">
        <f>LineærRegression_Valg[[#This Row],[Afhængig variabel ID]]&lt;=$B$5</f>
        <v>0</v>
      </c>
      <c r="F463" t="str" cm="1">
        <f t="array" ref="F463">IF(LineærRegression_Valg[[#This Row],[Indenfor range]],INDEX(DataTitel_liste,LineærRegression_Valg[[#This Row],[Afhængig variabel ID]]),INDEX(DataTitel_liste,1))</f>
        <v>Eksempel 1 (interval)</v>
      </c>
      <c r="G463" s="188" t="str" cm="1">
        <f t="array" ref="G463">IF(LineærRegression_Valg[[#This Row],[Indenfor range]],IF(LineærRegression_Valg[[#This Row],[Intet overlap]],INDEX(DataTitel_liste,LineærRegression_Valg[[#This Row],[Uafhængig variabel ID]]),INDEX(DataTitel_liste,IF(LineærRegression_Valg[[#This Row],[Afhængig variabel ID]]=1,2,1))),$B$7)</f>
        <v>Eksempel 2 (interval)</v>
      </c>
      <c r="H463" s="188">
        <f>_xlfn.AGGREGATE(2,5,LineærRegression_Valg[[#This Row],[Tabel ID]])</f>
        <v>1</v>
      </c>
    </row>
    <row r="464" spans="1:8" x14ac:dyDescent="0.2">
      <c r="A464">
        <f>ROW(LineærRegression_Valg[[#This Row],[Tabel ID]])-ROW(LineærRegression_Valg[[#Headers],[Tabel ID]])</f>
        <v>454</v>
      </c>
      <c r="B464" s="188">
        <f>ROUNDDOWN((LineærRegression_Valg[[#This Row],[Tabel ID]]-1)/$B$5,0)+1</f>
        <v>114</v>
      </c>
      <c r="C464" s="188">
        <f t="shared" si="7"/>
        <v>2</v>
      </c>
      <c r="D464" s="188" t="b">
        <f>LineærRegression_Valg[[#This Row],[Afhængig variabel ID]]&lt;&gt;LineærRegression_Valg[[#This Row],[Uafhængig variabel ID]]</f>
        <v>1</v>
      </c>
      <c r="E464" t="b">
        <f>LineærRegression_Valg[[#This Row],[Afhængig variabel ID]]&lt;=$B$5</f>
        <v>0</v>
      </c>
      <c r="F464" t="str" cm="1">
        <f t="array" ref="F464">IF(LineærRegression_Valg[[#This Row],[Indenfor range]],INDEX(DataTitel_liste,LineærRegression_Valg[[#This Row],[Afhængig variabel ID]]),INDEX(DataTitel_liste,1))</f>
        <v>Eksempel 1 (interval)</v>
      </c>
      <c r="G464" s="188" t="str" cm="1">
        <f t="array" ref="G464">IF(LineærRegression_Valg[[#This Row],[Indenfor range]],IF(LineærRegression_Valg[[#This Row],[Intet overlap]],INDEX(DataTitel_liste,LineærRegression_Valg[[#This Row],[Uafhængig variabel ID]]),INDEX(DataTitel_liste,IF(LineærRegression_Valg[[#This Row],[Afhængig variabel ID]]=1,2,1))),$B$7)</f>
        <v>Eksempel 2 (interval)</v>
      </c>
      <c r="H464" s="188">
        <f>_xlfn.AGGREGATE(2,5,LineærRegression_Valg[[#This Row],[Tabel ID]])</f>
        <v>1</v>
      </c>
    </row>
    <row r="465" spans="1:8" x14ac:dyDescent="0.2">
      <c r="A465">
        <f>ROW(LineærRegression_Valg[[#This Row],[Tabel ID]])-ROW(LineærRegression_Valg[[#Headers],[Tabel ID]])</f>
        <v>455</v>
      </c>
      <c r="B465" s="188">
        <f>ROUNDDOWN((LineærRegression_Valg[[#This Row],[Tabel ID]]-1)/$B$5,0)+1</f>
        <v>114</v>
      </c>
      <c r="C465" s="188">
        <f t="shared" si="7"/>
        <v>3</v>
      </c>
      <c r="D465" s="188" t="b">
        <f>LineærRegression_Valg[[#This Row],[Afhængig variabel ID]]&lt;&gt;LineærRegression_Valg[[#This Row],[Uafhængig variabel ID]]</f>
        <v>1</v>
      </c>
      <c r="E465" t="b">
        <f>LineærRegression_Valg[[#This Row],[Afhængig variabel ID]]&lt;=$B$5</f>
        <v>0</v>
      </c>
      <c r="F465" t="str" cm="1">
        <f t="array" ref="F465">IF(LineærRegression_Valg[[#This Row],[Indenfor range]],INDEX(DataTitel_liste,LineærRegression_Valg[[#This Row],[Afhængig variabel ID]]),INDEX(DataTitel_liste,1))</f>
        <v>Eksempel 1 (interval)</v>
      </c>
      <c r="G465" s="188" t="str" cm="1">
        <f t="array" ref="G465">IF(LineærRegression_Valg[[#This Row],[Indenfor range]],IF(LineærRegression_Valg[[#This Row],[Intet overlap]],INDEX(DataTitel_liste,LineærRegression_Valg[[#This Row],[Uafhængig variabel ID]]),INDEX(DataTitel_liste,IF(LineærRegression_Valg[[#This Row],[Afhængig variabel ID]]=1,2,1))),$B$7)</f>
        <v>Eksempel 2 (interval)</v>
      </c>
      <c r="H465" s="188">
        <f>_xlfn.AGGREGATE(2,5,LineærRegression_Valg[[#This Row],[Tabel ID]])</f>
        <v>1</v>
      </c>
    </row>
    <row r="466" spans="1:8" x14ac:dyDescent="0.2">
      <c r="A466">
        <f>ROW(LineærRegression_Valg[[#This Row],[Tabel ID]])-ROW(LineærRegression_Valg[[#Headers],[Tabel ID]])</f>
        <v>456</v>
      </c>
      <c r="B466" s="188">
        <f>ROUNDDOWN((LineærRegression_Valg[[#This Row],[Tabel ID]]-1)/$B$5,0)+1</f>
        <v>114</v>
      </c>
      <c r="C466" s="188">
        <f t="shared" si="7"/>
        <v>4</v>
      </c>
      <c r="D466" s="188" t="b">
        <f>LineærRegression_Valg[[#This Row],[Afhængig variabel ID]]&lt;&gt;LineærRegression_Valg[[#This Row],[Uafhængig variabel ID]]</f>
        <v>1</v>
      </c>
      <c r="E466" t="b">
        <f>LineærRegression_Valg[[#This Row],[Afhængig variabel ID]]&lt;=$B$5</f>
        <v>0</v>
      </c>
      <c r="F466" t="str" cm="1">
        <f t="array" ref="F466">IF(LineærRegression_Valg[[#This Row],[Indenfor range]],INDEX(DataTitel_liste,LineærRegression_Valg[[#This Row],[Afhængig variabel ID]]),INDEX(DataTitel_liste,1))</f>
        <v>Eksempel 1 (interval)</v>
      </c>
      <c r="G466" s="188" t="str" cm="1">
        <f t="array" ref="G466">IF(LineærRegression_Valg[[#This Row],[Indenfor range]],IF(LineærRegression_Valg[[#This Row],[Intet overlap]],INDEX(DataTitel_liste,LineærRegression_Valg[[#This Row],[Uafhængig variabel ID]]),INDEX(DataTitel_liste,IF(LineærRegression_Valg[[#This Row],[Afhængig variabel ID]]=1,2,1))),$B$7)</f>
        <v>Eksempel 2 (interval)</v>
      </c>
      <c r="H466" s="188">
        <f>_xlfn.AGGREGATE(2,5,LineærRegression_Valg[[#This Row],[Tabel ID]])</f>
        <v>1</v>
      </c>
    </row>
    <row r="467" spans="1:8" x14ac:dyDescent="0.2">
      <c r="A467">
        <f>ROW(LineærRegression_Valg[[#This Row],[Tabel ID]])-ROW(LineærRegression_Valg[[#Headers],[Tabel ID]])</f>
        <v>457</v>
      </c>
      <c r="B467" s="188">
        <f>ROUNDDOWN((LineærRegression_Valg[[#This Row],[Tabel ID]]-1)/$B$5,0)+1</f>
        <v>115</v>
      </c>
      <c r="C467" s="188">
        <f t="shared" si="7"/>
        <v>1</v>
      </c>
      <c r="D467" s="188" t="b">
        <f>LineærRegression_Valg[[#This Row],[Afhængig variabel ID]]&lt;&gt;LineærRegression_Valg[[#This Row],[Uafhængig variabel ID]]</f>
        <v>1</v>
      </c>
      <c r="E467" t="b">
        <f>LineærRegression_Valg[[#This Row],[Afhængig variabel ID]]&lt;=$B$5</f>
        <v>0</v>
      </c>
      <c r="F467" t="str" cm="1">
        <f t="array" ref="F467">IF(LineærRegression_Valg[[#This Row],[Indenfor range]],INDEX(DataTitel_liste,LineærRegression_Valg[[#This Row],[Afhængig variabel ID]]),INDEX(DataTitel_liste,1))</f>
        <v>Eksempel 1 (interval)</v>
      </c>
      <c r="G467" s="188" t="str" cm="1">
        <f t="array" ref="G467">IF(LineærRegression_Valg[[#This Row],[Indenfor range]],IF(LineærRegression_Valg[[#This Row],[Intet overlap]],INDEX(DataTitel_liste,LineærRegression_Valg[[#This Row],[Uafhængig variabel ID]]),INDEX(DataTitel_liste,IF(LineærRegression_Valg[[#This Row],[Afhængig variabel ID]]=1,2,1))),$B$7)</f>
        <v>Eksempel 2 (interval)</v>
      </c>
      <c r="H467" s="188">
        <f>_xlfn.AGGREGATE(2,5,LineærRegression_Valg[[#This Row],[Tabel ID]])</f>
        <v>1</v>
      </c>
    </row>
    <row r="468" spans="1:8" x14ac:dyDescent="0.2">
      <c r="A468">
        <f>ROW(LineærRegression_Valg[[#This Row],[Tabel ID]])-ROW(LineærRegression_Valg[[#Headers],[Tabel ID]])</f>
        <v>458</v>
      </c>
      <c r="B468" s="188">
        <f>ROUNDDOWN((LineærRegression_Valg[[#This Row],[Tabel ID]]-1)/$B$5,0)+1</f>
        <v>115</v>
      </c>
      <c r="C468" s="188">
        <f t="shared" si="7"/>
        <v>2</v>
      </c>
      <c r="D468" s="188" t="b">
        <f>LineærRegression_Valg[[#This Row],[Afhængig variabel ID]]&lt;&gt;LineærRegression_Valg[[#This Row],[Uafhængig variabel ID]]</f>
        <v>1</v>
      </c>
      <c r="E468" t="b">
        <f>LineærRegression_Valg[[#This Row],[Afhængig variabel ID]]&lt;=$B$5</f>
        <v>0</v>
      </c>
      <c r="F468" t="str" cm="1">
        <f t="array" ref="F468">IF(LineærRegression_Valg[[#This Row],[Indenfor range]],INDEX(DataTitel_liste,LineærRegression_Valg[[#This Row],[Afhængig variabel ID]]),INDEX(DataTitel_liste,1))</f>
        <v>Eksempel 1 (interval)</v>
      </c>
      <c r="G468" s="188" t="str" cm="1">
        <f t="array" ref="G468">IF(LineærRegression_Valg[[#This Row],[Indenfor range]],IF(LineærRegression_Valg[[#This Row],[Intet overlap]],INDEX(DataTitel_liste,LineærRegression_Valg[[#This Row],[Uafhængig variabel ID]]),INDEX(DataTitel_liste,IF(LineærRegression_Valg[[#This Row],[Afhængig variabel ID]]=1,2,1))),$B$7)</f>
        <v>Eksempel 2 (interval)</v>
      </c>
      <c r="H468" s="188">
        <f>_xlfn.AGGREGATE(2,5,LineærRegression_Valg[[#This Row],[Tabel ID]])</f>
        <v>1</v>
      </c>
    </row>
    <row r="469" spans="1:8" x14ac:dyDescent="0.2">
      <c r="A469">
        <f>ROW(LineærRegression_Valg[[#This Row],[Tabel ID]])-ROW(LineærRegression_Valg[[#Headers],[Tabel ID]])</f>
        <v>459</v>
      </c>
      <c r="B469" s="188">
        <f>ROUNDDOWN((LineærRegression_Valg[[#This Row],[Tabel ID]]-1)/$B$5,0)+1</f>
        <v>115</v>
      </c>
      <c r="C469" s="188">
        <f t="shared" si="7"/>
        <v>3</v>
      </c>
      <c r="D469" s="188" t="b">
        <f>LineærRegression_Valg[[#This Row],[Afhængig variabel ID]]&lt;&gt;LineærRegression_Valg[[#This Row],[Uafhængig variabel ID]]</f>
        <v>1</v>
      </c>
      <c r="E469" t="b">
        <f>LineærRegression_Valg[[#This Row],[Afhængig variabel ID]]&lt;=$B$5</f>
        <v>0</v>
      </c>
      <c r="F469" t="str" cm="1">
        <f t="array" ref="F469">IF(LineærRegression_Valg[[#This Row],[Indenfor range]],INDEX(DataTitel_liste,LineærRegression_Valg[[#This Row],[Afhængig variabel ID]]),INDEX(DataTitel_liste,1))</f>
        <v>Eksempel 1 (interval)</v>
      </c>
      <c r="G469" s="188" t="str" cm="1">
        <f t="array" ref="G469">IF(LineærRegression_Valg[[#This Row],[Indenfor range]],IF(LineærRegression_Valg[[#This Row],[Intet overlap]],INDEX(DataTitel_liste,LineærRegression_Valg[[#This Row],[Uafhængig variabel ID]]),INDEX(DataTitel_liste,IF(LineærRegression_Valg[[#This Row],[Afhængig variabel ID]]=1,2,1))),$B$7)</f>
        <v>Eksempel 2 (interval)</v>
      </c>
      <c r="H469" s="188">
        <f>_xlfn.AGGREGATE(2,5,LineærRegression_Valg[[#This Row],[Tabel ID]])</f>
        <v>1</v>
      </c>
    </row>
    <row r="470" spans="1:8" x14ac:dyDescent="0.2">
      <c r="A470">
        <f>ROW(LineærRegression_Valg[[#This Row],[Tabel ID]])-ROW(LineærRegression_Valg[[#Headers],[Tabel ID]])</f>
        <v>460</v>
      </c>
      <c r="B470" s="188">
        <f>ROUNDDOWN((LineærRegression_Valg[[#This Row],[Tabel ID]]-1)/$B$5,0)+1</f>
        <v>115</v>
      </c>
      <c r="C470" s="188">
        <f t="shared" si="7"/>
        <v>4</v>
      </c>
      <c r="D470" s="188" t="b">
        <f>LineærRegression_Valg[[#This Row],[Afhængig variabel ID]]&lt;&gt;LineærRegression_Valg[[#This Row],[Uafhængig variabel ID]]</f>
        <v>1</v>
      </c>
      <c r="E470" t="b">
        <f>LineærRegression_Valg[[#This Row],[Afhængig variabel ID]]&lt;=$B$5</f>
        <v>0</v>
      </c>
      <c r="F470" t="str" cm="1">
        <f t="array" ref="F470">IF(LineærRegression_Valg[[#This Row],[Indenfor range]],INDEX(DataTitel_liste,LineærRegression_Valg[[#This Row],[Afhængig variabel ID]]),INDEX(DataTitel_liste,1))</f>
        <v>Eksempel 1 (interval)</v>
      </c>
      <c r="G470" s="188" t="str" cm="1">
        <f t="array" ref="G470">IF(LineærRegression_Valg[[#This Row],[Indenfor range]],IF(LineærRegression_Valg[[#This Row],[Intet overlap]],INDEX(DataTitel_liste,LineærRegression_Valg[[#This Row],[Uafhængig variabel ID]]),INDEX(DataTitel_liste,IF(LineærRegression_Valg[[#This Row],[Afhængig variabel ID]]=1,2,1))),$B$7)</f>
        <v>Eksempel 2 (interval)</v>
      </c>
      <c r="H470" s="188">
        <f>_xlfn.AGGREGATE(2,5,LineærRegression_Valg[[#This Row],[Tabel ID]])</f>
        <v>1</v>
      </c>
    </row>
    <row r="471" spans="1:8" x14ac:dyDescent="0.2">
      <c r="A471">
        <f>ROW(LineærRegression_Valg[[#This Row],[Tabel ID]])-ROW(LineærRegression_Valg[[#Headers],[Tabel ID]])</f>
        <v>461</v>
      </c>
      <c r="B471" s="188">
        <f>ROUNDDOWN((LineærRegression_Valg[[#This Row],[Tabel ID]]-1)/$B$5,0)+1</f>
        <v>116</v>
      </c>
      <c r="C471" s="188">
        <f t="shared" si="7"/>
        <v>1</v>
      </c>
      <c r="D471" s="188" t="b">
        <f>LineærRegression_Valg[[#This Row],[Afhængig variabel ID]]&lt;&gt;LineærRegression_Valg[[#This Row],[Uafhængig variabel ID]]</f>
        <v>1</v>
      </c>
      <c r="E471" t="b">
        <f>LineærRegression_Valg[[#This Row],[Afhængig variabel ID]]&lt;=$B$5</f>
        <v>0</v>
      </c>
      <c r="F471" t="str" cm="1">
        <f t="array" ref="F471">IF(LineærRegression_Valg[[#This Row],[Indenfor range]],INDEX(DataTitel_liste,LineærRegression_Valg[[#This Row],[Afhængig variabel ID]]),INDEX(DataTitel_liste,1))</f>
        <v>Eksempel 1 (interval)</v>
      </c>
      <c r="G471" s="188" t="str" cm="1">
        <f t="array" ref="G471">IF(LineærRegression_Valg[[#This Row],[Indenfor range]],IF(LineærRegression_Valg[[#This Row],[Intet overlap]],INDEX(DataTitel_liste,LineærRegression_Valg[[#This Row],[Uafhængig variabel ID]]),INDEX(DataTitel_liste,IF(LineærRegression_Valg[[#This Row],[Afhængig variabel ID]]=1,2,1))),$B$7)</f>
        <v>Eksempel 2 (interval)</v>
      </c>
      <c r="H471" s="188">
        <f>_xlfn.AGGREGATE(2,5,LineærRegression_Valg[[#This Row],[Tabel ID]])</f>
        <v>1</v>
      </c>
    </row>
    <row r="472" spans="1:8" x14ac:dyDescent="0.2">
      <c r="A472">
        <f>ROW(LineærRegression_Valg[[#This Row],[Tabel ID]])-ROW(LineærRegression_Valg[[#Headers],[Tabel ID]])</f>
        <v>462</v>
      </c>
      <c r="B472" s="188">
        <f>ROUNDDOWN((LineærRegression_Valg[[#This Row],[Tabel ID]]-1)/$B$5,0)+1</f>
        <v>116</v>
      </c>
      <c r="C472" s="188">
        <f t="shared" si="7"/>
        <v>2</v>
      </c>
      <c r="D472" s="188" t="b">
        <f>LineærRegression_Valg[[#This Row],[Afhængig variabel ID]]&lt;&gt;LineærRegression_Valg[[#This Row],[Uafhængig variabel ID]]</f>
        <v>1</v>
      </c>
      <c r="E472" t="b">
        <f>LineærRegression_Valg[[#This Row],[Afhængig variabel ID]]&lt;=$B$5</f>
        <v>0</v>
      </c>
      <c r="F472" t="str" cm="1">
        <f t="array" ref="F472">IF(LineærRegression_Valg[[#This Row],[Indenfor range]],INDEX(DataTitel_liste,LineærRegression_Valg[[#This Row],[Afhængig variabel ID]]),INDEX(DataTitel_liste,1))</f>
        <v>Eksempel 1 (interval)</v>
      </c>
      <c r="G472" s="188" t="str" cm="1">
        <f t="array" ref="G472">IF(LineærRegression_Valg[[#This Row],[Indenfor range]],IF(LineærRegression_Valg[[#This Row],[Intet overlap]],INDEX(DataTitel_liste,LineærRegression_Valg[[#This Row],[Uafhængig variabel ID]]),INDEX(DataTitel_liste,IF(LineærRegression_Valg[[#This Row],[Afhængig variabel ID]]=1,2,1))),$B$7)</f>
        <v>Eksempel 2 (interval)</v>
      </c>
      <c r="H472" s="188">
        <f>_xlfn.AGGREGATE(2,5,LineærRegression_Valg[[#This Row],[Tabel ID]])</f>
        <v>1</v>
      </c>
    </row>
    <row r="473" spans="1:8" x14ac:dyDescent="0.2">
      <c r="A473">
        <f>ROW(LineærRegression_Valg[[#This Row],[Tabel ID]])-ROW(LineærRegression_Valg[[#Headers],[Tabel ID]])</f>
        <v>463</v>
      </c>
      <c r="B473" s="188">
        <f>ROUNDDOWN((LineærRegression_Valg[[#This Row],[Tabel ID]]-1)/$B$5,0)+1</f>
        <v>116</v>
      </c>
      <c r="C473" s="188">
        <f t="shared" si="7"/>
        <v>3</v>
      </c>
      <c r="D473" s="188" t="b">
        <f>LineærRegression_Valg[[#This Row],[Afhængig variabel ID]]&lt;&gt;LineærRegression_Valg[[#This Row],[Uafhængig variabel ID]]</f>
        <v>1</v>
      </c>
      <c r="E473" t="b">
        <f>LineærRegression_Valg[[#This Row],[Afhængig variabel ID]]&lt;=$B$5</f>
        <v>0</v>
      </c>
      <c r="F473" t="str" cm="1">
        <f t="array" ref="F473">IF(LineærRegression_Valg[[#This Row],[Indenfor range]],INDEX(DataTitel_liste,LineærRegression_Valg[[#This Row],[Afhængig variabel ID]]),INDEX(DataTitel_liste,1))</f>
        <v>Eksempel 1 (interval)</v>
      </c>
      <c r="G473" s="188" t="str" cm="1">
        <f t="array" ref="G473">IF(LineærRegression_Valg[[#This Row],[Indenfor range]],IF(LineærRegression_Valg[[#This Row],[Intet overlap]],INDEX(DataTitel_liste,LineærRegression_Valg[[#This Row],[Uafhængig variabel ID]]),INDEX(DataTitel_liste,IF(LineærRegression_Valg[[#This Row],[Afhængig variabel ID]]=1,2,1))),$B$7)</f>
        <v>Eksempel 2 (interval)</v>
      </c>
      <c r="H473" s="188">
        <f>_xlfn.AGGREGATE(2,5,LineærRegression_Valg[[#This Row],[Tabel ID]])</f>
        <v>1</v>
      </c>
    </row>
    <row r="474" spans="1:8" x14ac:dyDescent="0.2">
      <c r="A474">
        <f>ROW(LineærRegression_Valg[[#This Row],[Tabel ID]])-ROW(LineærRegression_Valg[[#Headers],[Tabel ID]])</f>
        <v>464</v>
      </c>
      <c r="B474" s="188">
        <f>ROUNDDOWN((LineærRegression_Valg[[#This Row],[Tabel ID]]-1)/$B$5,0)+1</f>
        <v>116</v>
      </c>
      <c r="C474" s="188">
        <f t="shared" si="7"/>
        <v>4</v>
      </c>
      <c r="D474" s="188" t="b">
        <f>LineærRegression_Valg[[#This Row],[Afhængig variabel ID]]&lt;&gt;LineærRegression_Valg[[#This Row],[Uafhængig variabel ID]]</f>
        <v>1</v>
      </c>
      <c r="E474" t="b">
        <f>LineærRegression_Valg[[#This Row],[Afhængig variabel ID]]&lt;=$B$5</f>
        <v>0</v>
      </c>
      <c r="F474" t="str" cm="1">
        <f t="array" ref="F474">IF(LineærRegression_Valg[[#This Row],[Indenfor range]],INDEX(DataTitel_liste,LineærRegression_Valg[[#This Row],[Afhængig variabel ID]]),INDEX(DataTitel_liste,1))</f>
        <v>Eksempel 1 (interval)</v>
      </c>
      <c r="G474" s="188" t="str" cm="1">
        <f t="array" ref="G474">IF(LineærRegression_Valg[[#This Row],[Indenfor range]],IF(LineærRegression_Valg[[#This Row],[Intet overlap]],INDEX(DataTitel_liste,LineærRegression_Valg[[#This Row],[Uafhængig variabel ID]]),INDEX(DataTitel_liste,IF(LineærRegression_Valg[[#This Row],[Afhængig variabel ID]]=1,2,1))),$B$7)</f>
        <v>Eksempel 2 (interval)</v>
      </c>
      <c r="H474" s="188">
        <f>_xlfn.AGGREGATE(2,5,LineærRegression_Valg[[#This Row],[Tabel ID]])</f>
        <v>1</v>
      </c>
    </row>
    <row r="475" spans="1:8" x14ac:dyDescent="0.2">
      <c r="A475">
        <f>ROW(LineærRegression_Valg[[#This Row],[Tabel ID]])-ROW(LineærRegression_Valg[[#Headers],[Tabel ID]])</f>
        <v>465</v>
      </c>
      <c r="B475" s="188">
        <f>ROUNDDOWN((LineærRegression_Valg[[#This Row],[Tabel ID]]-1)/$B$5,0)+1</f>
        <v>117</v>
      </c>
      <c r="C475" s="188">
        <f t="shared" si="7"/>
        <v>1</v>
      </c>
      <c r="D475" s="188" t="b">
        <f>LineærRegression_Valg[[#This Row],[Afhængig variabel ID]]&lt;&gt;LineærRegression_Valg[[#This Row],[Uafhængig variabel ID]]</f>
        <v>1</v>
      </c>
      <c r="E475" t="b">
        <f>LineærRegression_Valg[[#This Row],[Afhængig variabel ID]]&lt;=$B$5</f>
        <v>0</v>
      </c>
      <c r="F475" t="str" cm="1">
        <f t="array" ref="F475">IF(LineærRegression_Valg[[#This Row],[Indenfor range]],INDEX(DataTitel_liste,LineærRegression_Valg[[#This Row],[Afhængig variabel ID]]),INDEX(DataTitel_liste,1))</f>
        <v>Eksempel 1 (interval)</v>
      </c>
      <c r="G475" s="188" t="str" cm="1">
        <f t="array" ref="G475">IF(LineærRegression_Valg[[#This Row],[Indenfor range]],IF(LineærRegression_Valg[[#This Row],[Intet overlap]],INDEX(DataTitel_liste,LineærRegression_Valg[[#This Row],[Uafhængig variabel ID]]),INDEX(DataTitel_liste,IF(LineærRegression_Valg[[#This Row],[Afhængig variabel ID]]=1,2,1))),$B$7)</f>
        <v>Eksempel 2 (interval)</v>
      </c>
      <c r="H475" s="188">
        <f>_xlfn.AGGREGATE(2,5,LineærRegression_Valg[[#This Row],[Tabel ID]])</f>
        <v>1</v>
      </c>
    </row>
    <row r="476" spans="1:8" x14ac:dyDescent="0.2">
      <c r="A476">
        <f>ROW(LineærRegression_Valg[[#This Row],[Tabel ID]])-ROW(LineærRegression_Valg[[#Headers],[Tabel ID]])</f>
        <v>466</v>
      </c>
      <c r="B476" s="188">
        <f>ROUNDDOWN((LineærRegression_Valg[[#This Row],[Tabel ID]]-1)/$B$5,0)+1</f>
        <v>117</v>
      </c>
      <c r="C476" s="188">
        <f t="shared" si="7"/>
        <v>2</v>
      </c>
      <c r="D476" s="188" t="b">
        <f>LineærRegression_Valg[[#This Row],[Afhængig variabel ID]]&lt;&gt;LineærRegression_Valg[[#This Row],[Uafhængig variabel ID]]</f>
        <v>1</v>
      </c>
      <c r="E476" t="b">
        <f>LineærRegression_Valg[[#This Row],[Afhængig variabel ID]]&lt;=$B$5</f>
        <v>0</v>
      </c>
      <c r="F476" t="str" cm="1">
        <f t="array" ref="F476">IF(LineærRegression_Valg[[#This Row],[Indenfor range]],INDEX(DataTitel_liste,LineærRegression_Valg[[#This Row],[Afhængig variabel ID]]),INDEX(DataTitel_liste,1))</f>
        <v>Eksempel 1 (interval)</v>
      </c>
      <c r="G476" s="188" t="str" cm="1">
        <f t="array" ref="G476">IF(LineærRegression_Valg[[#This Row],[Indenfor range]],IF(LineærRegression_Valg[[#This Row],[Intet overlap]],INDEX(DataTitel_liste,LineærRegression_Valg[[#This Row],[Uafhængig variabel ID]]),INDEX(DataTitel_liste,IF(LineærRegression_Valg[[#This Row],[Afhængig variabel ID]]=1,2,1))),$B$7)</f>
        <v>Eksempel 2 (interval)</v>
      </c>
      <c r="H476" s="188">
        <f>_xlfn.AGGREGATE(2,5,LineærRegression_Valg[[#This Row],[Tabel ID]])</f>
        <v>1</v>
      </c>
    </row>
    <row r="477" spans="1:8" x14ac:dyDescent="0.2">
      <c r="A477">
        <f>ROW(LineærRegression_Valg[[#This Row],[Tabel ID]])-ROW(LineærRegression_Valg[[#Headers],[Tabel ID]])</f>
        <v>467</v>
      </c>
      <c r="B477" s="188">
        <f>ROUNDDOWN((LineærRegression_Valg[[#This Row],[Tabel ID]]-1)/$B$5,0)+1</f>
        <v>117</v>
      </c>
      <c r="C477" s="188">
        <f t="shared" si="7"/>
        <v>3</v>
      </c>
      <c r="D477" s="188" t="b">
        <f>LineærRegression_Valg[[#This Row],[Afhængig variabel ID]]&lt;&gt;LineærRegression_Valg[[#This Row],[Uafhængig variabel ID]]</f>
        <v>1</v>
      </c>
      <c r="E477" t="b">
        <f>LineærRegression_Valg[[#This Row],[Afhængig variabel ID]]&lt;=$B$5</f>
        <v>0</v>
      </c>
      <c r="F477" t="str" cm="1">
        <f t="array" ref="F477">IF(LineærRegression_Valg[[#This Row],[Indenfor range]],INDEX(DataTitel_liste,LineærRegression_Valg[[#This Row],[Afhængig variabel ID]]),INDEX(DataTitel_liste,1))</f>
        <v>Eksempel 1 (interval)</v>
      </c>
      <c r="G477" s="188" t="str" cm="1">
        <f t="array" ref="G477">IF(LineærRegression_Valg[[#This Row],[Indenfor range]],IF(LineærRegression_Valg[[#This Row],[Intet overlap]],INDEX(DataTitel_liste,LineærRegression_Valg[[#This Row],[Uafhængig variabel ID]]),INDEX(DataTitel_liste,IF(LineærRegression_Valg[[#This Row],[Afhængig variabel ID]]=1,2,1))),$B$7)</f>
        <v>Eksempel 2 (interval)</v>
      </c>
      <c r="H477" s="188">
        <f>_xlfn.AGGREGATE(2,5,LineærRegression_Valg[[#This Row],[Tabel ID]])</f>
        <v>1</v>
      </c>
    </row>
    <row r="478" spans="1:8" x14ac:dyDescent="0.2">
      <c r="A478">
        <f>ROW(LineærRegression_Valg[[#This Row],[Tabel ID]])-ROW(LineærRegression_Valg[[#Headers],[Tabel ID]])</f>
        <v>468</v>
      </c>
      <c r="B478" s="188">
        <f>ROUNDDOWN((LineærRegression_Valg[[#This Row],[Tabel ID]]-1)/$B$5,0)+1</f>
        <v>117</v>
      </c>
      <c r="C478" s="188">
        <f t="shared" si="7"/>
        <v>4</v>
      </c>
      <c r="D478" s="188" t="b">
        <f>LineærRegression_Valg[[#This Row],[Afhængig variabel ID]]&lt;&gt;LineærRegression_Valg[[#This Row],[Uafhængig variabel ID]]</f>
        <v>1</v>
      </c>
      <c r="E478" t="b">
        <f>LineærRegression_Valg[[#This Row],[Afhængig variabel ID]]&lt;=$B$5</f>
        <v>0</v>
      </c>
      <c r="F478" t="str" cm="1">
        <f t="array" ref="F478">IF(LineærRegression_Valg[[#This Row],[Indenfor range]],INDEX(DataTitel_liste,LineærRegression_Valg[[#This Row],[Afhængig variabel ID]]),INDEX(DataTitel_liste,1))</f>
        <v>Eksempel 1 (interval)</v>
      </c>
      <c r="G478" s="188" t="str" cm="1">
        <f t="array" ref="G478">IF(LineærRegression_Valg[[#This Row],[Indenfor range]],IF(LineærRegression_Valg[[#This Row],[Intet overlap]],INDEX(DataTitel_liste,LineærRegression_Valg[[#This Row],[Uafhængig variabel ID]]),INDEX(DataTitel_liste,IF(LineærRegression_Valg[[#This Row],[Afhængig variabel ID]]=1,2,1))),$B$7)</f>
        <v>Eksempel 2 (interval)</v>
      </c>
      <c r="H478" s="188">
        <f>_xlfn.AGGREGATE(2,5,LineærRegression_Valg[[#This Row],[Tabel ID]])</f>
        <v>1</v>
      </c>
    </row>
    <row r="479" spans="1:8" x14ac:dyDescent="0.2">
      <c r="A479">
        <f>ROW(LineærRegression_Valg[[#This Row],[Tabel ID]])-ROW(LineærRegression_Valg[[#Headers],[Tabel ID]])</f>
        <v>469</v>
      </c>
      <c r="B479" s="188">
        <f>ROUNDDOWN((LineærRegression_Valg[[#This Row],[Tabel ID]]-1)/$B$5,0)+1</f>
        <v>118</v>
      </c>
      <c r="C479" s="188">
        <f t="shared" si="7"/>
        <v>1</v>
      </c>
      <c r="D479" s="188" t="b">
        <f>LineærRegression_Valg[[#This Row],[Afhængig variabel ID]]&lt;&gt;LineærRegression_Valg[[#This Row],[Uafhængig variabel ID]]</f>
        <v>1</v>
      </c>
      <c r="E479" t="b">
        <f>LineærRegression_Valg[[#This Row],[Afhængig variabel ID]]&lt;=$B$5</f>
        <v>0</v>
      </c>
      <c r="F479" t="str" cm="1">
        <f t="array" ref="F479">IF(LineærRegression_Valg[[#This Row],[Indenfor range]],INDEX(DataTitel_liste,LineærRegression_Valg[[#This Row],[Afhængig variabel ID]]),INDEX(DataTitel_liste,1))</f>
        <v>Eksempel 1 (interval)</v>
      </c>
      <c r="G479" s="188" t="str" cm="1">
        <f t="array" ref="G479">IF(LineærRegression_Valg[[#This Row],[Indenfor range]],IF(LineærRegression_Valg[[#This Row],[Intet overlap]],INDEX(DataTitel_liste,LineærRegression_Valg[[#This Row],[Uafhængig variabel ID]]),INDEX(DataTitel_liste,IF(LineærRegression_Valg[[#This Row],[Afhængig variabel ID]]=1,2,1))),$B$7)</f>
        <v>Eksempel 2 (interval)</v>
      </c>
      <c r="H479" s="188">
        <f>_xlfn.AGGREGATE(2,5,LineærRegression_Valg[[#This Row],[Tabel ID]])</f>
        <v>1</v>
      </c>
    </row>
    <row r="480" spans="1:8" x14ac:dyDescent="0.2">
      <c r="A480">
        <f>ROW(LineærRegression_Valg[[#This Row],[Tabel ID]])-ROW(LineærRegression_Valg[[#Headers],[Tabel ID]])</f>
        <v>470</v>
      </c>
      <c r="B480" s="188">
        <f>ROUNDDOWN((LineærRegression_Valg[[#This Row],[Tabel ID]]-1)/$B$5,0)+1</f>
        <v>118</v>
      </c>
      <c r="C480" s="188">
        <f t="shared" si="7"/>
        <v>2</v>
      </c>
      <c r="D480" s="188" t="b">
        <f>LineærRegression_Valg[[#This Row],[Afhængig variabel ID]]&lt;&gt;LineærRegression_Valg[[#This Row],[Uafhængig variabel ID]]</f>
        <v>1</v>
      </c>
      <c r="E480" t="b">
        <f>LineærRegression_Valg[[#This Row],[Afhængig variabel ID]]&lt;=$B$5</f>
        <v>0</v>
      </c>
      <c r="F480" t="str" cm="1">
        <f t="array" ref="F480">IF(LineærRegression_Valg[[#This Row],[Indenfor range]],INDEX(DataTitel_liste,LineærRegression_Valg[[#This Row],[Afhængig variabel ID]]),INDEX(DataTitel_liste,1))</f>
        <v>Eksempel 1 (interval)</v>
      </c>
      <c r="G480" s="188" t="str" cm="1">
        <f t="array" ref="G480">IF(LineærRegression_Valg[[#This Row],[Indenfor range]],IF(LineærRegression_Valg[[#This Row],[Intet overlap]],INDEX(DataTitel_liste,LineærRegression_Valg[[#This Row],[Uafhængig variabel ID]]),INDEX(DataTitel_liste,IF(LineærRegression_Valg[[#This Row],[Afhængig variabel ID]]=1,2,1))),$B$7)</f>
        <v>Eksempel 2 (interval)</v>
      </c>
      <c r="H480" s="188">
        <f>_xlfn.AGGREGATE(2,5,LineærRegression_Valg[[#This Row],[Tabel ID]])</f>
        <v>1</v>
      </c>
    </row>
    <row r="481" spans="1:8" x14ac:dyDescent="0.2">
      <c r="A481">
        <f>ROW(LineærRegression_Valg[[#This Row],[Tabel ID]])-ROW(LineærRegression_Valg[[#Headers],[Tabel ID]])</f>
        <v>471</v>
      </c>
      <c r="B481" s="188">
        <f>ROUNDDOWN((LineærRegression_Valg[[#This Row],[Tabel ID]]-1)/$B$5,0)+1</f>
        <v>118</v>
      </c>
      <c r="C481" s="188">
        <f t="shared" si="7"/>
        <v>3</v>
      </c>
      <c r="D481" s="188" t="b">
        <f>LineærRegression_Valg[[#This Row],[Afhængig variabel ID]]&lt;&gt;LineærRegression_Valg[[#This Row],[Uafhængig variabel ID]]</f>
        <v>1</v>
      </c>
      <c r="E481" t="b">
        <f>LineærRegression_Valg[[#This Row],[Afhængig variabel ID]]&lt;=$B$5</f>
        <v>0</v>
      </c>
      <c r="F481" t="str" cm="1">
        <f t="array" ref="F481">IF(LineærRegression_Valg[[#This Row],[Indenfor range]],INDEX(DataTitel_liste,LineærRegression_Valg[[#This Row],[Afhængig variabel ID]]),INDEX(DataTitel_liste,1))</f>
        <v>Eksempel 1 (interval)</v>
      </c>
      <c r="G481" s="188" t="str" cm="1">
        <f t="array" ref="G481">IF(LineærRegression_Valg[[#This Row],[Indenfor range]],IF(LineærRegression_Valg[[#This Row],[Intet overlap]],INDEX(DataTitel_liste,LineærRegression_Valg[[#This Row],[Uafhængig variabel ID]]),INDEX(DataTitel_liste,IF(LineærRegression_Valg[[#This Row],[Afhængig variabel ID]]=1,2,1))),$B$7)</f>
        <v>Eksempel 2 (interval)</v>
      </c>
      <c r="H481" s="188">
        <f>_xlfn.AGGREGATE(2,5,LineærRegression_Valg[[#This Row],[Tabel ID]])</f>
        <v>1</v>
      </c>
    </row>
    <row r="482" spans="1:8" x14ac:dyDescent="0.2">
      <c r="A482">
        <f>ROW(LineærRegression_Valg[[#This Row],[Tabel ID]])-ROW(LineærRegression_Valg[[#Headers],[Tabel ID]])</f>
        <v>472</v>
      </c>
      <c r="B482" s="188">
        <f>ROUNDDOWN((LineærRegression_Valg[[#This Row],[Tabel ID]]-1)/$B$5,0)+1</f>
        <v>118</v>
      </c>
      <c r="C482" s="188">
        <f t="shared" si="7"/>
        <v>4</v>
      </c>
      <c r="D482" s="188" t="b">
        <f>LineærRegression_Valg[[#This Row],[Afhængig variabel ID]]&lt;&gt;LineærRegression_Valg[[#This Row],[Uafhængig variabel ID]]</f>
        <v>1</v>
      </c>
      <c r="E482" t="b">
        <f>LineærRegression_Valg[[#This Row],[Afhængig variabel ID]]&lt;=$B$5</f>
        <v>0</v>
      </c>
      <c r="F482" t="str" cm="1">
        <f t="array" ref="F482">IF(LineærRegression_Valg[[#This Row],[Indenfor range]],INDEX(DataTitel_liste,LineærRegression_Valg[[#This Row],[Afhængig variabel ID]]),INDEX(DataTitel_liste,1))</f>
        <v>Eksempel 1 (interval)</v>
      </c>
      <c r="G482" s="188" t="str" cm="1">
        <f t="array" ref="G482">IF(LineærRegression_Valg[[#This Row],[Indenfor range]],IF(LineærRegression_Valg[[#This Row],[Intet overlap]],INDEX(DataTitel_liste,LineærRegression_Valg[[#This Row],[Uafhængig variabel ID]]),INDEX(DataTitel_liste,IF(LineærRegression_Valg[[#This Row],[Afhængig variabel ID]]=1,2,1))),$B$7)</f>
        <v>Eksempel 2 (interval)</v>
      </c>
      <c r="H482" s="188">
        <f>_xlfn.AGGREGATE(2,5,LineærRegression_Valg[[#This Row],[Tabel ID]])</f>
        <v>1</v>
      </c>
    </row>
    <row r="483" spans="1:8" x14ac:dyDescent="0.2">
      <c r="A483">
        <f>ROW(LineærRegression_Valg[[#This Row],[Tabel ID]])-ROW(LineærRegression_Valg[[#Headers],[Tabel ID]])</f>
        <v>473</v>
      </c>
      <c r="B483" s="188">
        <f>ROUNDDOWN((LineærRegression_Valg[[#This Row],[Tabel ID]]-1)/$B$5,0)+1</f>
        <v>119</v>
      </c>
      <c r="C483" s="188">
        <f t="shared" si="7"/>
        <v>1</v>
      </c>
      <c r="D483" s="188" t="b">
        <f>LineærRegression_Valg[[#This Row],[Afhængig variabel ID]]&lt;&gt;LineærRegression_Valg[[#This Row],[Uafhængig variabel ID]]</f>
        <v>1</v>
      </c>
      <c r="E483" t="b">
        <f>LineærRegression_Valg[[#This Row],[Afhængig variabel ID]]&lt;=$B$5</f>
        <v>0</v>
      </c>
      <c r="F483" t="str" cm="1">
        <f t="array" ref="F483">IF(LineærRegression_Valg[[#This Row],[Indenfor range]],INDEX(DataTitel_liste,LineærRegression_Valg[[#This Row],[Afhængig variabel ID]]),INDEX(DataTitel_liste,1))</f>
        <v>Eksempel 1 (interval)</v>
      </c>
      <c r="G483" s="188" t="str" cm="1">
        <f t="array" ref="G483">IF(LineærRegression_Valg[[#This Row],[Indenfor range]],IF(LineærRegression_Valg[[#This Row],[Intet overlap]],INDEX(DataTitel_liste,LineærRegression_Valg[[#This Row],[Uafhængig variabel ID]]),INDEX(DataTitel_liste,IF(LineærRegression_Valg[[#This Row],[Afhængig variabel ID]]=1,2,1))),$B$7)</f>
        <v>Eksempel 2 (interval)</v>
      </c>
      <c r="H483" s="188">
        <f>_xlfn.AGGREGATE(2,5,LineærRegression_Valg[[#This Row],[Tabel ID]])</f>
        <v>1</v>
      </c>
    </row>
    <row r="484" spans="1:8" x14ac:dyDescent="0.2">
      <c r="A484">
        <f>ROW(LineærRegression_Valg[[#This Row],[Tabel ID]])-ROW(LineærRegression_Valg[[#Headers],[Tabel ID]])</f>
        <v>474</v>
      </c>
      <c r="B484" s="188">
        <f>ROUNDDOWN((LineærRegression_Valg[[#This Row],[Tabel ID]]-1)/$B$5,0)+1</f>
        <v>119</v>
      </c>
      <c r="C484" s="188">
        <f t="shared" si="7"/>
        <v>2</v>
      </c>
      <c r="D484" s="188" t="b">
        <f>LineærRegression_Valg[[#This Row],[Afhængig variabel ID]]&lt;&gt;LineærRegression_Valg[[#This Row],[Uafhængig variabel ID]]</f>
        <v>1</v>
      </c>
      <c r="E484" t="b">
        <f>LineærRegression_Valg[[#This Row],[Afhængig variabel ID]]&lt;=$B$5</f>
        <v>0</v>
      </c>
      <c r="F484" t="str" cm="1">
        <f t="array" ref="F484">IF(LineærRegression_Valg[[#This Row],[Indenfor range]],INDEX(DataTitel_liste,LineærRegression_Valg[[#This Row],[Afhængig variabel ID]]),INDEX(DataTitel_liste,1))</f>
        <v>Eksempel 1 (interval)</v>
      </c>
      <c r="G484" s="188" t="str" cm="1">
        <f t="array" ref="G484">IF(LineærRegression_Valg[[#This Row],[Indenfor range]],IF(LineærRegression_Valg[[#This Row],[Intet overlap]],INDEX(DataTitel_liste,LineærRegression_Valg[[#This Row],[Uafhængig variabel ID]]),INDEX(DataTitel_liste,IF(LineærRegression_Valg[[#This Row],[Afhængig variabel ID]]=1,2,1))),$B$7)</f>
        <v>Eksempel 2 (interval)</v>
      </c>
      <c r="H484" s="188">
        <f>_xlfn.AGGREGATE(2,5,LineærRegression_Valg[[#This Row],[Tabel ID]])</f>
        <v>1</v>
      </c>
    </row>
    <row r="485" spans="1:8" x14ac:dyDescent="0.2">
      <c r="A485">
        <f>ROW(LineærRegression_Valg[[#This Row],[Tabel ID]])-ROW(LineærRegression_Valg[[#Headers],[Tabel ID]])</f>
        <v>475</v>
      </c>
      <c r="B485" s="188">
        <f>ROUNDDOWN((LineærRegression_Valg[[#This Row],[Tabel ID]]-1)/$B$5,0)+1</f>
        <v>119</v>
      </c>
      <c r="C485" s="188">
        <f t="shared" si="7"/>
        <v>3</v>
      </c>
      <c r="D485" s="188" t="b">
        <f>LineærRegression_Valg[[#This Row],[Afhængig variabel ID]]&lt;&gt;LineærRegression_Valg[[#This Row],[Uafhængig variabel ID]]</f>
        <v>1</v>
      </c>
      <c r="E485" t="b">
        <f>LineærRegression_Valg[[#This Row],[Afhængig variabel ID]]&lt;=$B$5</f>
        <v>0</v>
      </c>
      <c r="F485" t="str" cm="1">
        <f t="array" ref="F485">IF(LineærRegression_Valg[[#This Row],[Indenfor range]],INDEX(DataTitel_liste,LineærRegression_Valg[[#This Row],[Afhængig variabel ID]]),INDEX(DataTitel_liste,1))</f>
        <v>Eksempel 1 (interval)</v>
      </c>
      <c r="G485" s="188" t="str" cm="1">
        <f t="array" ref="G485">IF(LineærRegression_Valg[[#This Row],[Indenfor range]],IF(LineærRegression_Valg[[#This Row],[Intet overlap]],INDEX(DataTitel_liste,LineærRegression_Valg[[#This Row],[Uafhængig variabel ID]]),INDEX(DataTitel_liste,IF(LineærRegression_Valg[[#This Row],[Afhængig variabel ID]]=1,2,1))),$B$7)</f>
        <v>Eksempel 2 (interval)</v>
      </c>
      <c r="H485" s="188">
        <f>_xlfn.AGGREGATE(2,5,LineærRegression_Valg[[#This Row],[Tabel ID]])</f>
        <v>1</v>
      </c>
    </row>
    <row r="486" spans="1:8" x14ac:dyDescent="0.2">
      <c r="A486">
        <f>ROW(LineærRegression_Valg[[#This Row],[Tabel ID]])-ROW(LineærRegression_Valg[[#Headers],[Tabel ID]])</f>
        <v>476</v>
      </c>
      <c r="B486" s="188">
        <f>ROUNDDOWN((LineærRegression_Valg[[#This Row],[Tabel ID]]-1)/$B$5,0)+1</f>
        <v>119</v>
      </c>
      <c r="C486" s="188">
        <f t="shared" si="7"/>
        <v>4</v>
      </c>
      <c r="D486" s="188" t="b">
        <f>LineærRegression_Valg[[#This Row],[Afhængig variabel ID]]&lt;&gt;LineærRegression_Valg[[#This Row],[Uafhængig variabel ID]]</f>
        <v>1</v>
      </c>
      <c r="E486" t="b">
        <f>LineærRegression_Valg[[#This Row],[Afhængig variabel ID]]&lt;=$B$5</f>
        <v>0</v>
      </c>
      <c r="F486" t="str" cm="1">
        <f t="array" ref="F486">IF(LineærRegression_Valg[[#This Row],[Indenfor range]],INDEX(DataTitel_liste,LineærRegression_Valg[[#This Row],[Afhængig variabel ID]]),INDEX(DataTitel_liste,1))</f>
        <v>Eksempel 1 (interval)</v>
      </c>
      <c r="G486" s="188" t="str" cm="1">
        <f t="array" ref="G486">IF(LineærRegression_Valg[[#This Row],[Indenfor range]],IF(LineærRegression_Valg[[#This Row],[Intet overlap]],INDEX(DataTitel_liste,LineærRegression_Valg[[#This Row],[Uafhængig variabel ID]]),INDEX(DataTitel_liste,IF(LineærRegression_Valg[[#This Row],[Afhængig variabel ID]]=1,2,1))),$B$7)</f>
        <v>Eksempel 2 (interval)</v>
      </c>
      <c r="H486" s="188">
        <f>_xlfn.AGGREGATE(2,5,LineærRegression_Valg[[#This Row],[Tabel ID]])</f>
        <v>1</v>
      </c>
    </row>
    <row r="487" spans="1:8" x14ac:dyDescent="0.2">
      <c r="A487">
        <f>ROW(LineærRegression_Valg[[#This Row],[Tabel ID]])-ROW(LineærRegression_Valg[[#Headers],[Tabel ID]])</f>
        <v>477</v>
      </c>
      <c r="B487" s="188">
        <f>ROUNDDOWN((LineærRegression_Valg[[#This Row],[Tabel ID]]-1)/$B$5,0)+1</f>
        <v>120</v>
      </c>
      <c r="C487" s="188">
        <f t="shared" si="7"/>
        <v>1</v>
      </c>
      <c r="D487" s="188" t="b">
        <f>LineærRegression_Valg[[#This Row],[Afhængig variabel ID]]&lt;&gt;LineærRegression_Valg[[#This Row],[Uafhængig variabel ID]]</f>
        <v>1</v>
      </c>
      <c r="E487" t="b">
        <f>LineærRegression_Valg[[#This Row],[Afhængig variabel ID]]&lt;=$B$5</f>
        <v>0</v>
      </c>
      <c r="F487" t="str" cm="1">
        <f t="array" ref="F487">IF(LineærRegression_Valg[[#This Row],[Indenfor range]],INDEX(DataTitel_liste,LineærRegression_Valg[[#This Row],[Afhængig variabel ID]]),INDEX(DataTitel_liste,1))</f>
        <v>Eksempel 1 (interval)</v>
      </c>
      <c r="G487" s="188" t="str" cm="1">
        <f t="array" ref="G487">IF(LineærRegression_Valg[[#This Row],[Indenfor range]],IF(LineærRegression_Valg[[#This Row],[Intet overlap]],INDEX(DataTitel_liste,LineærRegression_Valg[[#This Row],[Uafhængig variabel ID]]),INDEX(DataTitel_liste,IF(LineærRegression_Valg[[#This Row],[Afhængig variabel ID]]=1,2,1))),$B$7)</f>
        <v>Eksempel 2 (interval)</v>
      </c>
      <c r="H487" s="188">
        <f>_xlfn.AGGREGATE(2,5,LineærRegression_Valg[[#This Row],[Tabel ID]])</f>
        <v>1</v>
      </c>
    </row>
    <row r="488" spans="1:8" x14ac:dyDescent="0.2">
      <c r="A488">
        <f>ROW(LineærRegression_Valg[[#This Row],[Tabel ID]])-ROW(LineærRegression_Valg[[#Headers],[Tabel ID]])</f>
        <v>478</v>
      </c>
      <c r="B488" s="188">
        <f>ROUNDDOWN((LineærRegression_Valg[[#This Row],[Tabel ID]]-1)/$B$5,0)+1</f>
        <v>120</v>
      </c>
      <c r="C488" s="188">
        <f t="shared" si="7"/>
        <v>2</v>
      </c>
      <c r="D488" s="188" t="b">
        <f>LineærRegression_Valg[[#This Row],[Afhængig variabel ID]]&lt;&gt;LineærRegression_Valg[[#This Row],[Uafhængig variabel ID]]</f>
        <v>1</v>
      </c>
      <c r="E488" t="b">
        <f>LineærRegression_Valg[[#This Row],[Afhængig variabel ID]]&lt;=$B$5</f>
        <v>0</v>
      </c>
      <c r="F488" t="str" cm="1">
        <f t="array" ref="F488">IF(LineærRegression_Valg[[#This Row],[Indenfor range]],INDEX(DataTitel_liste,LineærRegression_Valg[[#This Row],[Afhængig variabel ID]]),INDEX(DataTitel_liste,1))</f>
        <v>Eksempel 1 (interval)</v>
      </c>
      <c r="G488" s="188" t="str" cm="1">
        <f t="array" ref="G488">IF(LineærRegression_Valg[[#This Row],[Indenfor range]],IF(LineærRegression_Valg[[#This Row],[Intet overlap]],INDEX(DataTitel_liste,LineærRegression_Valg[[#This Row],[Uafhængig variabel ID]]),INDEX(DataTitel_liste,IF(LineærRegression_Valg[[#This Row],[Afhængig variabel ID]]=1,2,1))),$B$7)</f>
        <v>Eksempel 2 (interval)</v>
      </c>
      <c r="H488" s="188">
        <f>_xlfn.AGGREGATE(2,5,LineærRegression_Valg[[#This Row],[Tabel ID]])</f>
        <v>1</v>
      </c>
    </row>
    <row r="489" spans="1:8" x14ac:dyDescent="0.2">
      <c r="A489">
        <f>ROW(LineærRegression_Valg[[#This Row],[Tabel ID]])-ROW(LineærRegression_Valg[[#Headers],[Tabel ID]])</f>
        <v>479</v>
      </c>
      <c r="B489" s="188">
        <f>ROUNDDOWN((LineærRegression_Valg[[#This Row],[Tabel ID]]-1)/$B$5,0)+1</f>
        <v>120</v>
      </c>
      <c r="C489" s="188">
        <f t="shared" si="7"/>
        <v>3</v>
      </c>
      <c r="D489" s="188" t="b">
        <f>LineærRegression_Valg[[#This Row],[Afhængig variabel ID]]&lt;&gt;LineærRegression_Valg[[#This Row],[Uafhængig variabel ID]]</f>
        <v>1</v>
      </c>
      <c r="E489" t="b">
        <f>LineærRegression_Valg[[#This Row],[Afhængig variabel ID]]&lt;=$B$5</f>
        <v>0</v>
      </c>
      <c r="F489" t="str" cm="1">
        <f t="array" ref="F489">IF(LineærRegression_Valg[[#This Row],[Indenfor range]],INDEX(DataTitel_liste,LineærRegression_Valg[[#This Row],[Afhængig variabel ID]]),INDEX(DataTitel_liste,1))</f>
        <v>Eksempel 1 (interval)</v>
      </c>
      <c r="G489" s="188" t="str" cm="1">
        <f t="array" ref="G489">IF(LineærRegression_Valg[[#This Row],[Indenfor range]],IF(LineærRegression_Valg[[#This Row],[Intet overlap]],INDEX(DataTitel_liste,LineærRegression_Valg[[#This Row],[Uafhængig variabel ID]]),INDEX(DataTitel_liste,IF(LineærRegression_Valg[[#This Row],[Afhængig variabel ID]]=1,2,1))),$B$7)</f>
        <v>Eksempel 2 (interval)</v>
      </c>
      <c r="H489" s="188">
        <f>_xlfn.AGGREGATE(2,5,LineærRegression_Valg[[#This Row],[Tabel ID]])</f>
        <v>1</v>
      </c>
    </row>
    <row r="490" spans="1:8" x14ac:dyDescent="0.2">
      <c r="A490">
        <f>ROW(LineærRegression_Valg[[#This Row],[Tabel ID]])-ROW(LineærRegression_Valg[[#Headers],[Tabel ID]])</f>
        <v>480</v>
      </c>
      <c r="B490" s="188">
        <f>ROUNDDOWN((LineærRegression_Valg[[#This Row],[Tabel ID]]-1)/$B$5,0)+1</f>
        <v>120</v>
      </c>
      <c r="C490" s="188">
        <f t="shared" si="7"/>
        <v>4</v>
      </c>
      <c r="D490" s="188" t="b">
        <f>LineærRegression_Valg[[#This Row],[Afhængig variabel ID]]&lt;&gt;LineærRegression_Valg[[#This Row],[Uafhængig variabel ID]]</f>
        <v>1</v>
      </c>
      <c r="E490" t="b">
        <f>LineærRegression_Valg[[#This Row],[Afhængig variabel ID]]&lt;=$B$5</f>
        <v>0</v>
      </c>
      <c r="F490" t="str" cm="1">
        <f t="array" ref="F490">IF(LineærRegression_Valg[[#This Row],[Indenfor range]],INDEX(DataTitel_liste,LineærRegression_Valg[[#This Row],[Afhængig variabel ID]]),INDEX(DataTitel_liste,1))</f>
        <v>Eksempel 1 (interval)</v>
      </c>
      <c r="G490" s="188" t="str" cm="1">
        <f t="array" ref="G490">IF(LineærRegression_Valg[[#This Row],[Indenfor range]],IF(LineærRegression_Valg[[#This Row],[Intet overlap]],INDEX(DataTitel_liste,LineærRegression_Valg[[#This Row],[Uafhængig variabel ID]]),INDEX(DataTitel_liste,IF(LineærRegression_Valg[[#This Row],[Afhængig variabel ID]]=1,2,1))),$B$7)</f>
        <v>Eksempel 2 (interval)</v>
      </c>
      <c r="H490" s="188">
        <f>_xlfn.AGGREGATE(2,5,LineærRegression_Valg[[#This Row],[Tabel ID]])</f>
        <v>1</v>
      </c>
    </row>
    <row r="491" spans="1:8" x14ac:dyDescent="0.2">
      <c r="A491">
        <f>ROW(LineærRegression_Valg[[#This Row],[Tabel ID]])-ROW(LineærRegression_Valg[[#Headers],[Tabel ID]])</f>
        <v>481</v>
      </c>
      <c r="B491" s="188">
        <f>ROUNDDOWN((LineærRegression_Valg[[#This Row],[Tabel ID]]-1)/$B$5,0)+1</f>
        <v>121</v>
      </c>
      <c r="C491" s="188">
        <f t="shared" si="7"/>
        <v>1</v>
      </c>
      <c r="D491" s="188" t="b">
        <f>LineærRegression_Valg[[#This Row],[Afhængig variabel ID]]&lt;&gt;LineærRegression_Valg[[#This Row],[Uafhængig variabel ID]]</f>
        <v>1</v>
      </c>
      <c r="E491" t="b">
        <f>LineærRegression_Valg[[#This Row],[Afhængig variabel ID]]&lt;=$B$5</f>
        <v>0</v>
      </c>
      <c r="F491" t="str" cm="1">
        <f t="array" ref="F491">IF(LineærRegression_Valg[[#This Row],[Indenfor range]],INDEX(DataTitel_liste,LineærRegression_Valg[[#This Row],[Afhængig variabel ID]]),INDEX(DataTitel_liste,1))</f>
        <v>Eksempel 1 (interval)</v>
      </c>
      <c r="G491" s="188" t="str" cm="1">
        <f t="array" ref="G491">IF(LineærRegression_Valg[[#This Row],[Indenfor range]],IF(LineærRegression_Valg[[#This Row],[Intet overlap]],INDEX(DataTitel_liste,LineærRegression_Valg[[#This Row],[Uafhængig variabel ID]]),INDEX(DataTitel_liste,IF(LineærRegression_Valg[[#This Row],[Afhængig variabel ID]]=1,2,1))),$B$7)</f>
        <v>Eksempel 2 (interval)</v>
      </c>
      <c r="H491" s="188">
        <f>_xlfn.AGGREGATE(2,5,LineærRegression_Valg[[#This Row],[Tabel ID]])</f>
        <v>1</v>
      </c>
    </row>
    <row r="492" spans="1:8" x14ac:dyDescent="0.2">
      <c r="A492">
        <f>ROW(LineærRegression_Valg[[#This Row],[Tabel ID]])-ROW(LineærRegression_Valg[[#Headers],[Tabel ID]])</f>
        <v>482</v>
      </c>
      <c r="B492" s="188">
        <f>ROUNDDOWN((LineærRegression_Valg[[#This Row],[Tabel ID]]-1)/$B$5,0)+1</f>
        <v>121</v>
      </c>
      <c r="C492" s="188">
        <f t="shared" si="7"/>
        <v>2</v>
      </c>
      <c r="D492" s="188" t="b">
        <f>LineærRegression_Valg[[#This Row],[Afhængig variabel ID]]&lt;&gt;LineærRegression_Valg[[#This Row],[Uafhængig variabel ID]]</f>
        <v>1</v>
      </c>
      <c r="E492" t="b">
        <f>LineærRegression_Valg[[#This Row],[Afhængig variabel ID]]&lt;=$B$5</f>
        <v>0</v>
      </c>
      <c r="F492" t="str" cm="1">
        <f t="array" ref="F492">IF(LineærRegression_Valg[[#This Row],[Indenfor range]],INDEX(DataTitel_liste,LineærRegression_Valg[[#This Row],[Afhængig variabel ID]]),INDEX(DataTitel_liste,1))</f>
        <v>Eksempel 1 (interval)</v>
      </c>
      <c r="G492" s="188" t="str" cm="1">
        <f t="array" ref="G492">IF(LineærRegression_Valg[[#This Row],[Indenfor range]],IF(LineærRegression_Valg[[#This Row],[Intet overlap]],INDEX(DataTitel_liste,LineærRegression_Valg[[#This Row],[Uafhængig variabel ID]]),INDEX(DataTitel_liste,IF(LineærRegression_Valg[[#This Row],[Afhængig variabel ID]]=1,2,1))),$B$7)</f>
        <v>Eksempel 2 (interval)</v>
      </c>
      <c r="H492" s="188">
        <f>_xlfn.AGGREGATE(2,5,LineærRegression_Valg[[#This Row],[Tabel ID]])</f>
        <v>1</v>
      </c>
    </row>
    <row r="493" spans="1:8" x14ac:dyDescent="0.2">
      <c r="A493">
        <f>ROW(LineærRegression_Valg[[#This Row],[Tabel ID]])-ROW(LineærRegression_Valg[[#Headers],[Tabel ID]])</f>
        <v>483</v>
      </c>
      <c r="B493" s="188">
        <f>ROUNDDOWN((LineærRegression_Valg[[#This Row],[Tabel ID]]-1)/$B$5,0)+1</f>
        <v>121</v>
      </c>
      <c r="C493" s="188">
        <f t="shared" si="7"/>
        <v>3</v>
      </c>
      <c r="D493" s="188" t="b">
        <f>LineærRegression_Valg[[#This Row],[Afhængig variabel ID]]&lt;&gt;LineærRegression_Valg[[#This Row],[Uafhængig variabel ID]]</f>
        <v>1</v>
      </c>
      <c r="E493" t="b">
        <f>LineærRegression_Valg[[#This Row],[Afhængig variabel ID]]&lt;=$B$5</f>
        <v>0</v>
      </c>
      <c r="F493" t="str" cm="1">
        <f t="array" ref="F493">IF(LineærRegression_Valg[[#This Row],[Indenfor range]],INDEX(DataTitel_liste,LineærRegression_Valg[[#This Row],[Afhængig variabel ID]]),INDEX(DataTitel_liste,1))</f>
        <v>Eksempel 1 (interval)</v>
      </c>
      <c r="G493" s="188" t="str" cm="1">
        <f t="array" ref="G493">IF(LineærRegression_Valg[[#This Row],[Indenfor range]],IF(LineærRegression_Valg[[#This Row],[Intet overlap]],INDEX(DataTitel_liste,LineærRegression_Valg[[#This Row],[Uafhængig variabel ID]]),INDEX(DataTitel_liste,IF(LineærRegression_Valg[[#This Row],[Afhængig variabel ID]]=1,2,1))),$B$7)</f>
        <v>Eksempel 2 (interval)</v>
      </c>
      <c r="H493" s="188">
        <f>_xlfn.AGGREGATE(2,5,LineærRegression_Valg[[#This Row],[Tabel ID]])</f>
        <v>1</v>
      </c>
    </row>
    <row r="494" spans="1:8" x14ac:dyDescent="0.2">
      <c r="A494">
        <f>ROW(LineærRegression_Valg[[#This Row],[Tabel ID]])-ROW(LineærRegression_Valg[[#Headers],[Tabel ID]])</f>
        <v>484</v>
      </c>
      <c r="B494" s="188">
        <f>ROUNDDOWN((LineærRegression_Valg[[#This Row],[Tabel ID]]-1)/$B$5,0)+1</f>
        <v>121</v>
      </c>
      <c r="C494" s="188">
        <f t="shared" si="7"/>
        <v>4</v>
      </c>
      <c r="D494" s="188" t="b">
        <f>LineærRegression_Valg[[#This Row],[Afhængig variabel ID]]&lt;&gt;LineærRegression_Valg[[#This Row],[Uafhængig variabel ID]]</f>
        <v>1</v>
      </c>
      <c r="E494" t="b">
        <f>LineærRegression_Valg[[#This Row],[Afhængig variabel ID]]&lt;=$B$5</f>
        <v>0</v>
      </c>
      <c r="F494" t="str" cm="1">
        <f t="array" ref="F494">IF(LineærRegression_Valg[[#This Row],[Indenfor range]],INDEX(DataTitel_liste,LineærRegression_Valg[[#This Row],[Afhængig variabel ID]]),INDEX(DataTitel_liste,1))</f>
        <v>Eksempel 1 (interval)</v>
      </c>
      <c r="G494" s="188" t="str" cm="1">
        <f t="array" ref="G494">IF(LineærRegression_Valg[[#This Row],[Indenfor range]],IF(LineærRegression_Valg[[#This Row],[Intet overlap]],INDEX(DataTitel_liste,LineærRegression_Valg[[#This Row],[Uafhængig variabel ID]]),INDEX(DataTitel_liste,IF(LineærRegression_Valg[[#This Row],[Afhængig variabel ID]]=1,2,1))),$B$7)</f>
        <v>Eksempel 2 (interval)</v>
      </c>
      <c r="H494" s="188">
        <f>_xlfn.AGGREGATE(2,5,LineærRegression_Valg[[#This Row],[Tabel ID]])</f>
        <v>1</v>
      </c>
    </row>
    <row r="495" spans="1:8" x14ac:dyDescent="0.2">
      <c r="A495">
        <f>ROW(LineærRegression_Valg[[#This Row],[Tabel ID]])-ROW(LineærRegression_Valg[[#Headers],[Tabel ID]])</f>
        <v>485</v>
      </c>
      <c r="B495" s="188">
        <f>ROUNDDOWN((LineærRegression_Valg[[#This Row],[Tabel ID]]-1)/$B$5,0)+1</f>
        <v>122</v>
      </c>
      <c r="C495" s="188">
        <f t="shared" si="7"/>
        <v>1</v>
      </c>
      <c r="D495" s="188" t="b">
        <f>LineærRegression_Valg[[#This Row],[Afhængig variabel ID]]&lt;&gt;LineærRegression_Valg[[#This Row],[Uafhængig variabel ID]]</f>
        <v>1</v>
      </c>
      <c r="E495" t="b">
        <f>LineærRegression_Valg[[#This Row],[Afhængig variabel ID]]&lt;=$B$5</f>
        <v>0</v>
      </c>
      <c r="F495" t="str" cm="1">
        <f t="array" ref="F495">IF(LineærRegression_Valg[[#This Row],[Indenfor range]],INDEX(DataTitel_liste,LineærRegression_Valg[[#This Row],[Afhængig variabel ID]]),INDEX(DataTitel_liste,1))</f>
        <v>Eksempel 1 (interval)</v>
      </c>
      <c r="G495" s="188" t="str" cm="1">
        <f t="array" ref="G495">IF(LineærRegression_Valg[[#This Row],[Indenfor range]],IF(LineærRegression_Valg[[#This Row],[Intet overlap]],INDEX(DataTitel_liste,LineærRegression_Valg[[#This Row],[Uafhængig variabel ID]]),INDEX(DataTitel_liste,IF(LineærRegression_Valg[[#This Row],[Afhængig variabel ID]]=1,2,1))),$B$7)</f>
        <v>Eksempel 2 (interval)</v>
      </c>
      <c r="H495" s="188">
        <f>_xlfn.AGGREGATE(2,5,LineærRegression_Valg[[#This Row],[Tabel ID]])</f>
        <v>1</v>
      </c>
    </row>
    <row r="496" spans="1:8" x14ac:dyDescent="0.2">
      <c r="A496">
        <f>ROW(LineærRegression_Valg[[#This Row],[Tabel ID]])-ROW(LineærRegression_Valg[[#Headers],[Tabel ID]])</f>
        <v>486</v>
      </c>
      <c r="B496" s="188">
        <f>ROUNDDOWN((LineærRegression_Valg[[#This Row],[Tabel ID]]-1)/$B$5,0)+1</f>
        <v>122</v>
      </c>
      <c r="C496" s="188">
        <f t="shared" si="7"/>
        <v>2</v>
      </c>
      <c r="D496" s="188" t="b">
        <f>LineærRegression_Valg[[#This Row],[Afhængig variabel ID]]&lt;&gt;LineærRegression_Valg[[#This Row],[Uafhængig variabel ID]]</f>
        <v>1</v>
      </c>
      <c r="E496" t="b">
        <f>LineærRegression_Valg[[#This Row],[Afhængig variabel ID]]&lt;=$B$5</f>
        <v>0</v>
      </c>
      <c r="F496" t="str" cm="1">
        <f t="array" ref="F496">IF(LineærRegression_Valg[[#This Row],[Indenfor range]],INDEX(DataTitel_liste,LineærRegression_Valg[[#This Row],[Afhængig variabel ID]]),INDEX(DataTitel_liste,1))</f>
        <v>Eksempel 1 (interval)</v>
      </c>
      <c r="G496" s="188" t="str" cm="1">
        <f t="array" ref="G496">IF(LineærRegression_Valg[[#This Row],[Indenfor range]],IF(LineærRegression_Valg[[#This Row],[Intet overlap]],INDEX(DataTitel_liste,LineærRegression_Valg[[#This Row],[Uafhængig variabel ID]]),INDEX(DataTitel_liste,IF(LineærRegression_Valg[[#This Row],[Afhængig variabel ID]]=1,2,1))),$B$7)</f>
        <v>Eksempel 2 (interval)</v>
      </c>
      <c r="H496" s="188">
        <f>_xlfn.AGGREGATE(2,5,LineærRegression_Valg[[#This Row],[Tabel ID]])</f>
        <v>1</v>
      </c>
    </row>
    <row r="497" spans="1:8" x14ac:dyDescent="0.2">
      <c r="A497">
        <f>ROW(LineærRegression_Valg[[#This Row],[Tabel ID]])-ROW(LineærRegression_Valg[[#Headers],[Tabel ID]])</f>
        <v>487</v>
      </c>
      <c r="B497" s="188">
        <f>ROUNDDOWN((LineærRegression_Valg[[#This Row],[Tabel ID]]-1)/$B$5,0)+1</f>
        <v>122</v>
      </c>
      <c r="C497" s="188">
        <f t="shared" si="7"/>
        <v>3</v>
      </c>
      <c r="D497" s="188" t="b">
        <f>LineærRegression_Valg[[#This Row],[Afhængig variabel ID]]&lt;&gt;LineærRegression_Valg[[#This Row],[Uafhængig variabel ID]]</f>
        <v>1</v>
      </c>
      <c r="E497" t="b">
        <f>LineærRegression_Valg[[#This Row],[Afhængig variabel ID]]&lt;=$B$5</f>
        <v>0</v>
      </c>
      <c r="F497" t="str" cm="1">
        <f t="array" ref="F497">IF(LineærRegression_Valg[[#This Row],[Indenfor range]],INDEX(DataTitel_liste,LineærRegression_Valg[[#This Row],[Afhængig variabel ID]]),INDEX(DataTitel_liste,1))</f>
        <v>Eksempel 1 (interval)</v>
      </c>
      <c r="G497" s="188" t="str" cm="1">
        <f t="array" ref="G497">IF(LineærRegression_Valg[[#This Row],[Indenfor range]],IF(LineærRegression_Valg[[#This Row],[Intet overlap]],INDEX(DataTitel_liste,LineærRegression_Valg[[#This Row],[Uafhængig variabel ID]]),INDEX(DataTitel_liste,IF(LineærRegression_Valg[[#This Row],[Afhængig variabel ID]]=1,2,1))),$B$7)</f>
        <v>Eksempel 2 (interval)</v>
      </c>
      <c r="H497" s="188">
        <f>_xlfn.AGGREGATE(2,5,LineærRegression_Valg[[#This Row],[Tabel ID]])</f>
        <v>1</v>
      </c>
    </row>
    <row r="498" spans="1:8" x14ac:dyDescent="0.2">
      <c r="A498">
        <f>ROW(LineærRegression_Valg[[#This Row],[Tabel ID]])-ROW(LineærRegression_Valg[[#Headers],[Tabel ID]])</f>
        <v>488</v>
      </c>
      <c r="B498" s="188">
        <f>ROUNDDOWN((LineærRegression_Valg[[#This Row],[Tabel ID]]-1)/$B$5,0)+1</f>
        <v>122</v>
      </c>
      <c r="C498" s="188">
        <f t="shared" si="7"/>
        <v>4</v>
      </c>
      <c r="D498" s="188" t="b">
        <f>LineærRegression_Valg[[#This Row],[Afhængig variabel ID]]&lt;&gt;LineærRegression_Valg[[#This Row],[Uafhængig variabel ID]]</f>
        <v>1</v>
      </c>
      <c r="E498" t="b">
        <f>LineærRegression_Valg[[#This Row],[Afhængig variabel ID]]&lt;=$B$5</f>
        <v>0</v>
      </c>
      <c r="F498" t="str" cm="1">
        <f t="array" ref="F498">IF(LineærRegression_Valg[[#This Row],[Indenfor range]],INDEX(DataTitel_liste,LineærRegression_Valg[[#This Row],[Afhængig variabel ID]]),INDEX(DataTitel_liste,1))</f>
        <v>Eksempel 1 (interval)</v>
      </c>
      <c r="G498" s="188" t="str" cm="1">
        <f t="array" ref="G498">IF(LineærRegression_Valg[[#This Row],[Indenfor range]],IF(LineærRegression_Valg[[#This Row],[Intet overlap]],INDEX(DataTitel_liste,LineærRegression_Valg[[#This Row],[Uafhængig variabel ID]]),INDEX(DataTitel_liste,IF(LineærRegression_Valg[[#This Row],[Afhængig variabel ID]]=1,2,1))),$B$7)</f>
        <v>Eksempel 2 (interval)</v>
      </c>
      <c r="H498" s="188">
        <f>_xlfn.AGGREGATE(2,5,LineærRegression_Valg[[#This Row],[Tabel ID]])</f>
        <v>1</v>
      </c>
    </row>
    <row r="499" spans="1:8" x14ac:dyDescent="0.2">
      <c r="A499">
        <f>ROW(LineærRegression_Valg[[#This Row],[Tabel ID]])-ROW(LineærRegression_Valg[[#Headers],[Tabel ID]])</f>
        <v>489</v>
      </c>
      <c r="B499" s="188">
        <f>ROUNDDOWN((LineærRegression_Valg[[#This Row],[Tabel ID]]-1)/$B$5,0)+1</f>
        <v>123</v>
      </c>
      <c r="C499" s="188">
        <f t="shared" si="7"/>
        <v>1</v>
      </c>
      <c r="D499" s="188" t="b">
        <f>LineærRegression_Valg[[#This Row],[Afhængig variabel ID]]&lt;&gt;LineærRegression_Valg[[#This Row],[Uafhængig variabel ID]]</f>
        <v>1</v>
      </c>
      <c r="E499" t="b">
        <f>LineærRegression_Valg[[#This Row],[Afhængig variabel ID]]&lt;=$B$5</f>
        <v>0</v>
      </c>
      <c r="F499" t="str" cm="1">
        <f t="array" ref="F499">IF(LineærRegression_Valg[[#This Row],[Indenfor range]],INDEX(DataTitel_liste,LineærRegression_Valg[[#This Row],[Afhængig variabel ID]]),INDEX(DataTitel_liste,1))</f>
        <v>Eksempel 1 (interval)</v>
      </c>
      <c r="G499" s="188" t="str" cm="1">
        <f t="array" ref="G499">IF(LineærRegression_Valg[[#This Row],[Indenfor range]],IF(LineærRegression_Valg[[#This Row],[Intet overlap]],INDEX(DataTitel_liste,LineærRegression_Valg[[#This Row],[Uafhængig variabel ID]]),INDEX(DataTitel_liste,IF(LineærRegression_Valg[[#This Row],[Afhængig variabel ID]]=1,2,1))),$B$7)</f>
        <v>Eksempel 2 (interval)</v>
      </c>
      <c r="H499" s="188">
        <f>_xlfn.AGGREGATE(2,5,LineærRegression_Valg[[#This Row],[Tabel ID]])</f>
        <v>1</v>
      </c>
    </row>
    <row r="500" spans="1:8" x14ac:dyDescent="0.2">
      <c r="A500">
        <f>ROW(LineærRegression_Valg[[#This Row],[Tabel ID]])-ROW(LineærRegression_Valg[[#Headers],[Tabel ID]])</f>
        <v>490</v>
      </c>
      <c r="B500" s="188">
        <f>ROUNDDOWN((LineærRegression_Valg[[#This Row],[Tabel ID]]-1)/$B$5,0)+1</f>
        <v>123</v>
      </c>
      <c r="C500" s="188">
        <f t="shared" si="7"/>
        <v>2</v>
      </c>
      <c r="D500" s="188" t="b">
        <f>LineærRegression_Valg[[#This Row],[Afhængig variabel ID]]&lt;&gt;LineærRegression_Valg[[#This Row],[Uafhængig variabel ID]]</f>
        <v>1</v>
      </c>
      <c r="E500" t="b">
        <f>LineærRegression_Valg[[#This Row],[Afhængig variabel ID]]&lt;=$B$5</f>
        <v>0</v>
      </c>
      <c r="F500" t="str" cm="1">
        <f t="array" ref="F500">IF(LineærRegression_Valg[[#This Row],[Indenfor range]],INDEX(DataTitel_liste,LineærRegression_Valg[[#This Row],[Afhængig variabel ID]]),INDEX(DataTitel_liste,1))</f>
        <v>Eksempel 1 (interval)</v>
      </c>
      <c r="G500" s="188" t="str" cm="1">
        <f t="array" ref="G500">IF(LineærRegression_Valg[[#This Row],[Indenfor range]],IF(LineærRegression_Valg[[#This Row],[Intet overlap]],INDEX(DataTitel_liste,LineærRegression_Valg[[#This Row],[Uafhængig variabel ID]]),INDEX(DataTitel_liste,IF(LineærRegression_Valg[[#This Row],[Afhængig variabel ID]]=1,2,1))),$B$7)</f>
        <v>Eksempel 2 (interval)</v>
      </c>
      <c r="H500" s="188">
        <f>_xlfn.AGGREGATE(2,5,LineærRegression_Valg[[#This Row],[Tabel ID]])</f>
        <v>1</v>
      </c>
    </row>
    <row r="501" spans="1:8" x14ac:dyDescent="0.2">
      <c r="A501">
        <f>ROW(LineærRegression_Valg[[#This Row],[Tabel ID]])-ROW(LineærRegression_Valg[[#Headers],[Tabel ID]])</f>
        <v>491</v>
      </c>
      <c r="B501" s="188">
        <f>ROUNDDOWN((LineærRegression_Valg[[#This Row],[Tabel ID]]-1)/$B$5,0)+1</f>
        <v>123</v>
      </c>
      <c r="C501" s="188">
        <f t="shared" si="7"/>
        <v>3</v>
      </c>
      <c r="D501" s="188" t="b">
        <f>LineærRegression_Valg[[#This Row],[Afhængig variabel ID]]&lt;&gt;LineærRegression_Valg[[#This Row],[Uafhængig variabel ID]]</f>
        <v>1</v>
      </c>
      <c r="E501" t="b">
        <f>LineærRegression_Valg[[#This Row],[Afhængig variabel ID]]&lt;=$B$5</f>
        <v>0</v>
      </c>
      <c r="F501" t="str" cm="1">
        <f t="array" ref="F501">IF(LineærRegression_Valg[[#This Row],[Indenfor range]],INDEX(DataTitel_liste,LineærRegression_Valg[[#This Row],[Afhængig variabel ID]]),INDEX(DataTitel_liste,1))</f>
        <v>Eksempel 1 (interval)</v>
      </c>
      <c r="G501" s="188" t="str" cm="1">
        <f t="array" ref="G501">IF(LineærRegression_Valg[[#This Row],[Indenfor range]],IF(LineærRegression_Valg[[#This Row],[Intet overlap]],INDEX(DataTitel_liste,LineærRegression_Valg[[#This Row],[Uafhængig variabel ID]]),INDEX(DataTitel_liste,IF(LineærRegression_Valg[[#This Row],[Afhængig variabel ID]]=1,2,1))),$B$7)</f>
        <v>Eksempel 2 (interval)</v>
      </c>
      <c r="H501" s="188">
        <f>_xlfn.AGGREGATE(2,5,LineærRegression_Valg[[#This Row],[Tabel ID]])</f>
        <v>1</v>
      </c>
    </row>
    <row r="502" spans="1:8" x14ac:dyDescent="0.2">
      <c r="A502">
        <f>ROW(LineærRegression_Valg[[#This Row],[Tabel ID]])-ROW(LineærRegression_Valg[[#Headers],[Tabel ID]])</f>
        <v>492</v>
      </c>
      <c r="B502" s="188">
        <f>ROUNDDOWN((LineærRegression_Valg[[#This Row],[Tabel ID]]-1)/$B$5,0)+1</f>
        <v>123</v>
      </c>
      <c r="C502" s="188">
        <f t="shared" si="7"/>
        <v>4</v>
      </c>
      <c r="D502" s="188" t="b">
        <f>LineærRegression_Valg[[#This Row],[Afhængig variabel ID]]&lt;&gt;LineærRegression_Valg[[#This Row],[Uafhængig variabel ID]]</f>
        <v>1</v>
      </c>
      <c r="E502" t="b">
        <f>LineærRegression_Valg[[#This Row],[Afhængig variabel ID]]&lt;=$B$5</f>
        <v>0</v>
      </c>
      <c r="F502" t="str" cm="1">
        <f t="array" ref="F502">IF(LineærRegression_Valg[[#This Row],[Indenfor range]],INDEX(DataTitel_liste,LineærRegression_Valg[[#This Row],[Afhængig variabel ID]]),INDEX(DataTitel_liste,1))</f>
        <v>Eksempel 1 (interval)</v>
      </c>
      <c r="G502" s="188" t="str" cm="1">
        <f t="array" ref="G502">IF(LineærRegression_Valg[[#This Row],[Indenfor range]],IF(LineærRegression_Valg[[#This Row],[Intet overlap]],INDEX(DataTitel_liste,LineærRegression_Valg[[#This Row],[Uafhængig variabel ID]]),INDEX(DataTitel_liste,IF(LineærRegression_Valg[[#This Row],[Afhængig variabel ID]]=1,2,1))),$B$7)</f>
        <v>Eksempel 2 (interval)</v>
      </c>
      <c r="H502" s="188">
        <f>_xlfn.AGGREGATE(2,5,LineærRegression_Valg[[#This Row],[Tabel ID]])</f>
        <v>1</v>
      </c>
    </row>
    <row r="503" spans="1:8" x14ac:dyDescent="0.2">
      <c r="A503">
        <f>ROW(LineærRegression_Valg[[#This Row],[Tabel ID]])-ROW(LineærRegression_Valg[[#Headers],[Tabel ID]])</f>
        <v>493</v>
      </c>
      <c r="B503" s="188">
        <f>ROUNDDOWN((LineærRegression_Valg[[#This Row],[Tabel ID]]-1)/$B$5,0)+1</f>
        <v>124</v>
      </c>
      <c r="C503" s="188">
        <f t="shared" si="7"/>
        <v>1</v>
      </c>
      <c r="D503" s="188" t="b">
        <f>LineærRegression_Valg[[#This Row],[Afhængig variabel ID]]&lt;&gt;LineærRegression_Valg[[#This Row],[Uafhængig variabel ID]]</f>
        <v>1</v>
      </c>
      <c r="E503" t="b">
        <f>LineærRegression_Valg[[#This Row],[Afhængig variabel ID]]&lt;=$B$5</f>
        <v>0</v>
      </c>
      <c r="F503" t="str" cm="1">
        <f t="array" ref="F503">IF(LineærRegression_Valg[[#This Row],[Indenfor range]],INDEX(DataTitel_liste,LineærRegression_Valg[[#This Row],[Afhængig variabel ID]]),INDEX(DataTitel_liste,1))</f>
        <v>Eksempel 1 (interval)</v>
      </c>
      <c r="G503" s="188" t="str" cm="1">
        <f t="array" ref="G503">IF(LineærRegression_Valg[[#This Row],[Indenfor range]],IF(LineærRegression_Valg[[#This Row],[Intet overlap]],INDEX(DataTitel_liste,LineærRegression_Valg[[#This Row],[Uafhængig variabel ID]]),INDEX(DataTitel_liste,IF(LineærRegression_Valg[[#This Row],[Afhængig variabel ID]]=1,2,1))),$B$7)</f>
        <v>Eksempel 2 (interval)</v>
      </c>
      <c r="H503" s="188">
        <f>_xlfn.AGGREGATE(2,5,LineærRegression_Valg[[#This Row],[Tabel ID]])</f>
        <v>1</v>
      </c>
    </row>
    <row r="504" spans="1:8" x14ac:dyDescent="0.2">
      <c r="A504">
        <f>ROW(LineærRegression_Valg[[#This Row],[Tabel ID]])-ROW(LineærRegression_Valg[[#Headers],[Tabel ID]])</f>
        <v>494</v>
      </c>
      <c r="B504" s="188">
        <f>ROUNDDOWN((LineærRegression_Valg[[#This Row],[Tabel ID]]-1)/$B$5,0)+1</f>
        <v>124</v>
      </c>
      <c r="C504" s="188">
        <f t="shared" si="7"/>
        <v>2</v>
      </c>
      <c r="D504" s="188" t="b">
        <f>LineærRegression_Valg[[#This Row],[Afhængig variabel ID]]&lt;&gt;LineærRegression_Valg[[#This Row],[Uafhængig variabel ID]]</f>
        <v>1</v>
      </c>
      <c r="E504" t="b">
        <f>LineærRegression_Valg[[#This Row],[Afhængig variabel ID]]&lt;=$B$5</f>
        <v>0</v>
      </c>
      <c r="F504" t="str" cm="1">
        <f t="array" ref="F504">IF(LineærRegression_Valg[[#This Row],[Indenfor range]],INDEX(DataTitel_liste,LineærRegression_Valg[[#This Row],[Afhængig variabel ID]]),INDEX(DataTitel_liste,1))</f>
        <v>Eksempel 1 (interval)</v>
      </c>
      <c r="G504" s="188" t="str" cm="1">
        <f t="array" ref="G504">IF(LineærRegression_Valg[[#This Row],[Indenfor range]],IF(LineærRegression_Valg[[#This Row],[Intet overlap]],INDEX(DataTitel_liste,LineærRegression_Valg[[#This Row],[Uafhængig variabel ID]]),INDEX(DataTitel_liste,IF(LineærRegression_Valg[[#This Row],[Afhængig variabel ID]]=1,2,1))),$B$7)</f>
        <v>Eksempel 2 (interval)</v>
      </c>
      <c r="H504" s="188">
        <f>_xlfn.AGGREGATE(2,5,LineærRegression_Valg[[#This Row],[Tabel ID]])</f>
        <v>1</v>
      </c>
    </row>
    <row r="505" spans="1:8" x14ac:dyDescent="0.2">
      <c r="A505">
        <f>ROW(LineærRegression_Valg[[#This Row],[Tabel ID]])-ROW(LineærRegression_Valg[[#Headers],[Tabel ID]])</f>
        <v>495</v>
      </c>
      <c r="B505" s="188">
        <f>ROUNDDOWN((LineærRegression_Valg[[#This Row],[Tabel ID]]-1)/$B$5,0)+1</f>
        <v>124</v>
      </c>
      <c r="C505" s="188">
        <f t="shared" si="7"/>
        <v>3</v>
      </c>
      <c r="D505" s="188" t="b">
        <f>LineærRegression_Valg[[#This Row],[Afhængig variabel ID]]&lt;&gt;LineærRegression_Valg[[#This Row],[Uafhængig variabel ID]]</f>
        <v>1</v>
      </c>
      <c r="E505" t="b">
        <f>LineærRegression_Valg[[#This Row],[Afhængig variabel ID]]&lt;=$B$5</f>
        <v>0</v>
      </c>
      <c r="F505" t="str" cm="1">
        <f t="array" ref="F505">IF(LineærRegression_Valg[[#This Row],[Indenfor range]],INDEX(DataTitel_liste,LineærRegression_Valg[[#This Row],[Afhængig variabel ID]]),INDEX(DataTitel_liste,1))</f>
        <v>Eksempel 1 (interval)</v>
      </c>
      <c r="G505" s="188" t="str" cm="1">
        <f t="array" ref="G505">IF(LineærRegression_Valg[[#This Row],[Indenfor range]],IF(LineærRegression_Valg[[#This Row],[Intet overlap]],INDEX(DataTitel_liste,LineærRegression_Valg[[#This Row],[Uafhængig variabel ID]]),INDEX(DataTitel_liste,IF(LineærRegression_Valg[[#This Row],[Afhængig variabel ID]]=1,2,1))),$B$7)</f>
        <v>Eksempel 2 (interval)</v>
      </c>
      <c r="H505" s="188">
        <f>_xlfn.AGGREGATE(2,5,LineærRegression_Valg[[#This Row],[Tabel ID]])</f>
        <v>1</v>
      </c>
    </row>
    <row r="506" spans="1:8" x14ac:dyDescent="0.2">
      <c r="A506">
        <f>ROW(LineærRegression_Valg[[#This Row],[Tabel ID]])-ROW(LineærRegression_Valg[[#Headers],[Tabel ID]])</f>
        <v>496</v>
      </c>
      <c r="B506" s="188">
        <f>ROUNDDOWN((LineærRegression_Valg[[#This Row],[Tabel ID]]-1)/$B$5,0)+1</f>
        <v>124</v>
      </c>
      <c r="C506" s="188">
        <f t="shared" si="7"/>
        <v>4</v>
      </c>
      <c r="D506" s="188" t="b">
        <f>LineærRegression_Valg[[#This Row],[Afhængig variabel ID]]&lt;&gt;LineærRegression_Valg[[#This Row],[Uafhængig variabel ID]]</f>
        <v>1</v>
      </c>
      <c r="E506" t="b">
        <f>LineærRegression_Valg[[#This Row],[Afhængig variabel ID]]&lt;=$B$5</f>
        <v>0</v>
      </c>
      <c r="F506" t="str" cm="1">
        <f t="array" ref="F506">IF(LineærRegression_Valg[[#This Row],[Indenfor range]],INDEX(DataTitel_liste,LineærRegression_Valg[[#This Row],[Afhængig variabel ID]]),INDEX(DataTitel_liste,1))</f>
        <v>Eksempel 1 (interval)</v>
      </c>
      <c r="G506" s="188" t="str" cm="1">
        <f t="array" ref="G506">IF(LineærRegression_Valg[[#This Row],[Indenfor range]],IF(LineærRegression_Valg[[#This Row],[Intet overlap]],INDEX(DataTitel_liste,LineærRegression_Valg[[#This Row],[Uafhængig variabel ID]]),INDEX(DataTitel_liste,IF(LineærRegression_Valg[[#This Row],[Afhængig variabel ID]]=1,2,1))),$B$7)</f>
        <v>Eksempel 2 (interval)</v>
      </c>
      <c r="H506" s="188">
        <f>_xlfn.AGGREGATE(2,5,LineærRegression_Valg[[#This Row],[Tabel ID]])</f>
        <v>1</v>
      </c>
    </row>
    <row r="507" spans="1:8" x14ac:dyDescent="0.2">
      <c r="A507">
        <f>ROW(LineærRegression_Valg[[#This Row],[Tabel ID]])-ROW(LineærRegression_Valg[[#Headers],[Tabel ID]])</f>
        <v>497</v>
      </c>
      <c r="B507" s="188">
        <f>ROUNDDOWN((LineærRegression_Valg[[#This Row],[Tabel ID]]-1)/$B$5,0)+1</f>
        <v>125</v>
      </c>
      <c r="C507" s="188">
        <f t="shared" si="7"/>
        <v>1</v>
      </c>
      <c r="D507" s="188" t="b">
        <f>LineærRegression_Valg[[#This Row],[Afhængig variabel ID]]&lt;&gt;LineærRegression_Valg[[#This Row],[Uafhængig variabel ID]]</f>
        <v>1</v>
      </c>
      <c r="E507" t="b">
        <f>LineærRegression_Valg[[#This Row],[Afhængig variabel ID]]&lt;=$B$5</f>
        <v>0</v>
      </c>
      <c r="F507" t="str" cm="1">
        <f t="array" ref="F507">IF(LineærRegression_Valg[[#This Row],[Indenfor range]],INDEX(DataTitel_liste,LineærRegression_Valg[[#This Row],[Afhængig variabel ID]]),INDEX(DataTitel_liste,1))</f>
        <v>Eksempel 1 (interval)</v>
      </c>
      <c r="G507" s="188" t="str" cm="1">
        <f t="array" ref="G507">IF(LineærRegression_Valg[[#This Row],[Indenfor range]],IF(LineærRegression_Valg[[#This Row],[Intet overlap]],INDEX(DataTitel_liste,LineærRegression_Valg[[#This Row],[Uafhængig variabel ID]]),INDEX(DataTitel_liste,IF(LineærRegression_Valg[[#This Row],[Afhængig variabel ID]]=1,2,1))),$B$7)</f>
        <v>Eksempel 2 (interval)</v>
      </c>
      <c r="H507" s="188">
        <f>_xlfn.AGGREGATE(2,5,LineærRegression_Valg[[#This Row],[Tabel ID]])</f>
        <v>1</v>
      </c>
    </row>
    <row r="508" spans="1:8" x14ac:dyDescent="0.2">
      <c r="A508">
        <f>ROW(LineærRegression_Valg[[#This Row],[Tabel ID]])-ROW(LineærRegression_Valg[[#Headers],[Tabel ID]])</f>
        <v>498</v>
      </c>
      <c r="B508" s="188">
        <f>ROUNDDOWN((LineærRegression_Valg[[#This Row],[Tabel ID]]-1)/$B$5,0)+1</f>
        <v>125</v>
      </c>
      <c r="C508" s="188">
        <f t="shared" si="7"/>
        <v>2</v>
      </c>
      <c r="D508" s="188" t="b">
        <f>LineærRegression_Valg[[#This Row],[Afhængig variabel ID]]&lt;&gt;LineærRegression_Valg[[#This Row],[Uafhængig variabel ID]]</f>
        <v>1</v>
      </c>
      <c r="E508" t="b">
        <f>LineærRegression_Valg[[#This Row],[Afhængig variabel ID]]&lt;=$B$5</f>
        <v>0</v>
      </c>
      <c r="F508" t="str" cm="1">
        <f t="array" ref="F508">IF(LineærRegression_Valg[[#This Row],[Indenfor range]],INDEX(DataTitel_liste,LineærRegression_Valg[[#This Row],[Afhængig variabel ID]]),INDEX(DataTitel_liste,1))</f>
        <v>Eksempel 1 (interval)</v>
      </c>
      <c r="G508" s="188" t="str" cm="1">
        <f t="array" ref="G508">IF(LineærRegression_Valg[[#This Row],[Indenfor range]],IF(LineærRegression_Valg[[#This Row],[Intet overlap]],INDEX(DataTitel_liste,LineærRegression_Valg[[#This Row],[Uafhængig variabel ID]]),INDEX(DataTitel_liste,IF(LineærRegression_Valg[[#This Row],[Afhængig variabel ID]]=1,2,1))),$B$7)</f>
        <v>Eksempel 2 (interval)</v>
      </c>
      <c r="H508" s="188">
        <f>_xlfn.AGGREGATE(2,5,LineærRegression_Valg[[#This Row],[Tabel ID]])</f>
        <v>1</v>
      </c>
    </row>
    <row r="509" spans="1:8" x14ac:dyDescent="0.2">
      <c r="A509">
        <f>ROW(LineærRegression_Valg[[#This Row],[Tabel ID]])-ROW(LineærRegression_Valg[[#Headers],[Tabel ID]])</f>
        <v>499</v>
      </c>
      <c r="B509" s="188">
        <f>ROUNDDOWN((LineærRegression_Valg[[#This Row],[Tabel ID]]-1)/$B$5,0)+1</f>
        <v>125</v>
      </c>
      <c r="C509" s="188">
        <f t="shared" si="7"/>
        <v>3</v>
      </c>
      <c r="D509" s="188" t="b">
        <f>LineærRegression_Valg[[#This Row],[Afhængig variabel ID]]&lt;&gt;LineærRegression_Valg[[#This Row],[Uafhængig variabel ID]]</f>
        <v>1</v>
      </c>
      <c r="E509" t="b">
        <f>LineærRegression_Valg[[#This Row],[Afhængig variabel ID]]&lt;=$B$5</f>
        <v>0</v>
      </c>
      <c r="F509" t="str" cm="1">
        <f t="array" ref="F509">IF(LineærRegression_Valg[[#This Row],[Indenfor range]],INDEX(DataTitel_liste,LineærRegression_Valg[[#This Row],[Afhængig variabel ID]]),INDEX(DataTitel_liste,1))</f>
        <v>Eksempel 1 (interval)</v>
      </c>
      <c r="G509" s="188" t="str" cm="1">
        <f t="array" ref="G509">IF(LineærRegression_Valg[[#This Row],[Indenfor range]],IF(LineærRegression_Valg[[#This Row],[Intet overlap]],INDEX(DataTitel_liste,LineærRegression_Valg[[#This Row],[Uafhængig variabel ID]]),INDEX(DataTitel_liste,IF(LineærRegression_Valg[[#This Row],[Afhængig variabel ID]]=1,2,1))),$B$7)</f>
        <v>Eksempel 2 (interval)</v>
      </c>
      <c r="H509" s="188">
        <f>_xlfn.AGGREGATE(2,5,LineærRegression_Valg[[#This Row],[Tabel ID]])</f>
        <v>1</v>
      </c>
    </row>
    <row r="510" spans="1:8" x14ac:dyDescent="0.2">
      <c r="A510">
        <f>ROW(LineærRegression_Valg[[#This Row],[Tabel ID]])-ROW(LineærRegression_Valg[[#Headers],[Tabel ID]])</f>
        <v>500</v>
      </c>
      <c r="B510" s="188">
        <f>ROUNDDOWN((LineærRegression_Valg[[#This Row],[Tabel ID]]-1)/$B$5,0)+1</f>
        <v>125</v>
      </c>
      <c r="C510" s="188">
        <f t="shared" si="7"/>
        <v>4</v>
      </c>
      <c r="D510" s="188" t="b">
        <f>LineærRegression_Valg[[#This Row],[Afhængig variabel ID]]&lt;&gt;LineærRegression_Valg[[#This Row],[Uafhængig variabel ID]]</f>
        <v>1</v>
      </c>
      <c r="E510" t="b">
        <f>LineærRegression_Valg[[#This Row],[Afhængig variabel ID]]&lt;=$B$5</f>
        <v>0</v>
      </c>
      <c r="F510" t="str" cm="1">
        <f t="array" ref="F510">IF(LineærRegression_Valg[[#This Row],[Indenfor range]],INDEX(DataTitel_liste,LineærRegression_Valg[[#This Row],[Afhængig variabel ID]]),INDEX(DataTitel_liste,1))</f>
        <v>Eksempel 1 (interval)</v>
      </c>
      <c r="G510" s="188" t="str" cm="1">
        <f t="array" ref="G510">IF(LineærRegression_Valg[[#This Row],[Indenfor range]],IF(LineærRegression_Valg[[#This Row],[Intet overlap]],INDEX(DataTitel_liste,LineærRegression_Valg[[#This Row],[Uafhængig variabel ID]]),INDEX(DataTitel_liste,IF(LineærRegression_Valg[[#This Row],[Afhængig variabel ID]]=1,2,1))),$B$7)</f>
        <v>Eksempel 2 (interval)</v>
      </c>
      <c r="H510" s="188">
        <f>_xlfn.AGGREGATE(2,5,LineærRegression_Valg[[#This Row],[Tabel ID]])</f>
        <v>1</v>
      </c>
    </row>
    <row r="511" spans="1:8" x14ac:dyDescent="0.2">
      <c r="A511">
        <f>ROW(LineærRegression_Valg[[#This Row],[Tabel ID]])-ROW(LineærRegression_Valg[[#Headers],[Tabel ID]])</f>
        <v>501</v>
      </c>
      <c r="B511" s="188">
        <f>ROUNDDOWN((LineærRegression_Valg[[#This Row],[Tabel ID]]-1)/$B$5,0)+1</f>
        <v>126</v>
      </c>
      <c r="C511" s="188">
        <f t="shared" si="7"/>
        <v>1</v>
      </c>
      <c r="D511" s="188" t="b">
        <f>LineærRegression_Valg[[#This Row],[Afhængig variabel ID]]&lt;&gt;LineærRegression_Valg[[#This Row],[Uafhængig variabel ID]]</f>
        <v>1</v>
      </c>
      <c r="E511" t="b">
        <f>LineærRegression_Valg[[#This Row],[Afhængig variabel ID]]&lt;=$B$5</f>
        <v>0</v>
      </c>
      <c r="F511" t="str" cm="1">
        <f t="array" ref="F511">IF(LineærRegression_Valg[[#This Row],[Indenfor range]],INDEX(DataTitel_liste,LineærRegression_Valg[[#This Row],[Afhængig variabel ID]]),INDEX(DataTitel_liste,1))</f>
        <v>Eksempel 1 (interval)</v>
      </c>
      <c r="G511" s="188" t="str" cm="1">
        <f t="array" ref="G511">IF(LineærRegression_Valg[[#This Row],[Indenfor range]],IF(LineærRegression_Valg[[#This Row],[Intet overlap]],INDEX(DataTitel_liste,LineærRegression_Valg[[#This Row],[Uafhængig variabel ID]]),INDEX(DataTitel_liste,IF(LineærRegression_Valg[[#This Row],[Afhængig variabel ID]]=1,2,1))),$B$7)</f>
        <v>Eksempel 2 (interval)</v>
      </c>
      <c r="H511" s="188">
        <f>_xlfn.AGGREGATE(2,5,LineærRegression_Valg[[#This Row],[Tabel ID]])</f>
        <v>1</v>
      </c>
    </row>
    <row r="512" spans="1:8" x14ac:dyDescent="0.2">
      <c r="A512">
        <f>ROW(LineærRegression_Valg[[#This Row],[Tabel ID]])-ROW(LineærRegression_Valg[[#Headers],[Tabel ID]])</f>
        <v>502</v>
      </c>
      <c r="B512" s="188">
        <f>ROUNDDOWN((LineærRegression_Valg[[#This Row],[Tabel ID]]-1)/$B$5,0)+1</f>
        <v>126</v>
      </c>
      <c r="C512" s="188">
        <f t="shared" si="7"/>
        <v>2</v>
      </c>
      <c r="D512" s="188" t="b">
        <f>LineærRegression_Valg[[#This Row],[Afhængig variabel ID]]&lt;&gt;LineærRegression_Valg[[#This Row],[Uafhængig variabel ID]]</f>
        <v>1</v>
      </c>
      <c r="E512" t="b">
        <f>LineærRegression_Valg[[#This Row],[Afhængig variabel ID]]&lt;=$B$5</f>
        <v>0</v>
      </c>
      <c r="F512" t="str" cm="1">
        <f t="array" ref="F512">IF(LineærRegression_Valg[[#This Row],[Indenfor range]],INDEX(DataTitel_liste,LineærRegression_Valg[[#This Row],[Afhængig variabel ID]]),INDEX(DataTitel_liste,1))</f>
        <v>Eksempel 1 (interval)</v>
      </c>
      <c r="G512" s="188" t="str" cm="1">
        <f t="array" ref="G512">IF(LineærRegression_Valg[[#This Row],[Indenfor range]],IF(LineærRegression_Valg[[#This Row],[Intet overlap]],INDEX(DataTitel_liste,LineærRegression_Valg[[#This Row],[Uafhængig variabel ID]]),INDEX(DataTitel_liste,IF(LineærRegression_Valg[[#This Row],[Afhængig variabel ID]]=1,2,1))),$B$7)</f>
        <v>Eksempel 2 (interval)</v>
      </c>
      <c r="H512" s="188">
        <f>_xlfn.AGGREGATE(2,5,LineærRegression_Valg[[#This Row],[Tabel ID]])</f>
        <v>1</v>
      </c>
    </row>
    <row r="513" spans="1:8" x14ac:dyDescent="0.2">
      <c r="A513">
        <f>ROW(LineærRegression_Valg[[#This Row],[Tabel ID]])-ROW(LineærRegression_Valg[[#Headers],[Tabel ID]])</f>
        <v>503</v>
      </c>
      <c r="B513" s="188">
        <f>ROUNDDOWN((LineærRegression_Valg[[#This Row],[Tabel ID]]-1)/$B$5,0)+1</f>
        <v>126</v>
      </c>
      <c r="C513" s="188">
        <f t="shared" si="7"/>
        <v>3</v>
      </c>
      <c r="D513" s="188" t="b">
        <f>LineærRegression_Valg[[#This Row],[Afhængig variabel ID]]&lt;&gt;LineærRegression_Valg[[#This Row],[Uafhængig variabel ID]]</f>
        <v>1</v>
      </c>
      <c r="E513" t="b">
        <f>LineærRegression_Valg[[#This Row],[Afhængig variabel ID]]&lt;=$B$5</f>
        <v>0</v>
      </c>
      <c r="F513" t="str" cm="1">
        <f t="array" ref="F513">IF(LineærRegression_Valg[[#This Row],[Indenfor range]],INDEX(DataTitel_liste,LineærRegression_Valg[[#This Row],[Afhængig variabel ID]]),INDEX(DataTitel_liste,1))</f>
        <v>Eksempel 1 (interval)</v>
      </c>
      <c r="G513" s="188" t="str" cm="1">
        <f t="array" ref="G513">IF(LineærRegression_Valg[[#This Row],[Indenfor range]],IF(LineærRegression_Valg[[#This Row],[Intet overlap]],INDEX(DataTitel_liste,LineærRegression_Valg[[#This Row],[Uafhængig variabel ID]]),INDEX(DataTitel_liste,IF(LineærRegression_Valg[[#This Row],[Afhængig variabel ID]]=1,2,1))),$B$7)</f>
        <v>Eksempel 2 (interval)</v>
      </c>
      <c r="H513" s="188">
        <f>_xlfn.AGGREGATE(2,5,LineærRegression_Valg[[#This Row],[Tabel ID]])</f>
        <v>1</v>
      </c>
    </row>
    <row r="514" spans="1:8" x14ac:dyDescent="0.2">
      <c r="A514">
        <f>ROW(LineærRegression_Valg[[#This Row],[Tabel ID]])-ROW(LineærRegression_Valg[[#Headers],[Tabel ID]])</f>
        <v>504</v>
      </c>
      <c r="B514" s="188">
        <f>ROUNDDOWN((LineærRegression_Valg[[#This Row],[Tabel ID]]-1)/$B$5,0)+1</f>
        <v>126</v>
      </c>
      <c r="C514" s="188">
        <f t="shared" si="7"/>
        <v>4</v>
      </c>
      <c r="D514" s="188" t="b">
        <f>LineærRegression_Valg[[#This Row],[Afhængig variabel ID]]&lt;&gt;LineærRegression_Valg[[#This Row],[Uafhængig variabel ID]]</f>
        <v>1</v>
      </c>
      <c r="E514" t="b">
        <f>LineærRegression_Valg[[#This Row],[Afhængig variabel ID]]&lt;=$B$5</f>
        <v>0</v>
      </c>
      <c r="F514" t="str" cm="1">
        <f t="array" ref="F514">IF(LineærRegression_Valg[[#This Row],[Indenfor range]],INDEX(DataTitel_liste,LineærRegression_Valg[[#This Row],[Afhængig variabel ID]]),INDEX(DataTitel_liste,1))</f>
        <v>Eksempel 1 (interval)</v>
      </c>
      <c r="G514" s="188" t="str" cm="1">
        <f t="array" ref="G514">IF(LineærRegression_Valg[[#This Row],[Indenfor range]],IF(LineærRegression_Valg[[#This Row],[Intet overlap]],INDEX(DataTitel_liste,LineærRegression_Valg[[#This Row],[Uafhængig variabel ID]]),INDEX(DataTitel_liste,IF(LineærRegression_Valg[[#This Row],[Afhængig variabel ID]]=1,2,1))),$B$7)</f>
        <v>Eksempel 2 (interval)</v>
      </c>
      <c r="H514" s="188">
        <f>_xlfn.AGGREGATE(2,5,LineærRegression_Valg[[#This Row],[Tabel ID]])</f>
        <v>1</v>
      </c>
    </row>
    <row r="515" spans="1:8" x14ac:dyDescent="0.2">
      <c r="A515">
        <f>ROW(LineærRegression_Valg[[#This Row],[Tabel ID]])-ROW(LineærRegression_Valg[[#Headers],[Tabel ID]])</f>
        <v>505</v>
      </c>
      <c r="B515" s="188">
        <f>ROUNDDOWN((LineærRegression_Valg[[#This Row],[Tabel ID]]-1)/$B$5,0)+1</f>
        <v>127</v>
      </c>
      <c r="C515" s="188">
        <f t="shared" si="7"/>
        <v>1</v>
      </c>
      <c r="D515" s="188" t="b">
        <f>LineærRegression_Valg[[#This Row],[Afhængig variabel ID]]&lt;&gt;LineærRegression_Valg[[#This Row],[Uafhængig variabel ID]]</f>
        <v>1</v>
      </c>
      <c r="E515" t="b">
        <f>LineærRegression_Valg[[#This Row],[Afhængig variabel ID]]&lt;=$B$5</f>
        <v>0</v>
      </c>
      <c r="F515" t="str" cm="1">
        <f t="array" ref="F515">IF(LineærRegression_Valg[[#This Row],[Indenfor range]],INDEX(DataTitel_liste,LineærRegression_Valg[[#This Row],[Afhængig variabel ID]]),INDEX(DataTitel_liste,1))</f>
        <v>Eksempel 1 (interval)</v>
      </c>
      <c r="G515" s="188" t="str" cm="1">
        <f t="array" ref="G515">IF(LineærRegression_Valg[[#This Row],[Indenfor range]],IF(LineærRegression_Valg[[#This Row],[Intet overlap]],INDEX(DataTitel_liste,LineærRegression_Valg[[#This Row],[Uafhængig variabel ID]]),INDEX(DataTitel_liste,IF(LineærRegression_Valg[[#This Row],[Afhængig variabel ID]]=1,2,1))),$B$7)</f>
        <v>Eksempel 2 (interval)</v>
      </c>
      <c r="H515" s="188">
        <f>_xlfn.AGGREGATE(2,5,LineærRegression_Valg[[#This Row],[Tabel ID]])</f>
        <v>1</v>
      </c>
    </row>
    <row r="516" spans="1:8" x14ac:dyDescent="0.2">
      <c r="A516">
        <f>ROW(LineærRegression_Valg[[#This Row],[Tabel ID]])-ROW(LineærRegression_Valg[[#Headers],[Tabel ID]])</f>
        <v>506</v>
      </c>
      <c r="B516" s="188">
        <f>ROUNDDOWN((LineærRegression_Valg[[#This Row],[Tabel ID]]-1)/$B$5,0)+1</f>
        <v>127</v>
      </c>
      <c r="C516" s="188">
        <f t="shared" si="7"/>
        <v>2</v>
      </c>
      <c r="D516" s="188" t="b">
        <f>LineærRegression_Valg[[#This Row],[Afhængig variabel ID]]&lt;&gt;LineærRegression_Valg[[#This Row],[Uafhængig variabel ID]]</f>
        <v>1</v>
      </c>
      <c r="E516" t="b">
        <f>LineærRegression_Valg[[#This Row],[Afhængig variabel ID]]&lt;=$B$5</f>
        <v>0</v>
      </c>
      <c r="F516" t="str" cm="1">
        <f t="array" ref="F516">IF(LineærRegression_Valg[[#This Row],[Indenfor range]],INDEX(DataTitel_liste,LineærRegression_Valg[[#This Row],[Afhængig variabel ID]]),INDEX(DataTitel_liste,1))</f>
        <v>Eksempel 1 (interval)</v>
      </c>
      <c r="G516" s="188" t="str" cm="1">
        <f t="array" ref="G516">IF(LineærRegression_Valg[[#This Row],[Indenfor range]],IF(LineærRegression_Valg[[#This Row],[Intet overlap]],INDEX(DataTitel_liste,LineærRegression_Valg[[#This Row],[Uafhængig variabel ID]]),INDEX(DataTitel_liste,IF(LineærRegression_Valg[[#This Row],[Afhængig variabel ID]]=1,2,1))),$B$7)</f>
        <v>Eksempel 2 (interval)</v>
      </c>
      <c r="H516" s="188">
        <f>_xlfn.AGGREGATE(2,5,LineærRegression_Valg[[#This Row],[Tabel ID]])</f>
        <v>1</v>
      </c>
    </row>
    <row r="517" spans="1:8" x14ac:dyDescent="0.2">
      <c r="A517">
        <f>ROW(LineærRegression_Valg[[#This Row],[Tabel ID]])-ROW(LineærRegression_Valg[[#Headers],[Tabel ID]])</f>
        <v>507</v>
      </c>
      <c r="B517" s="188">
        <f>ROUNDDOWN((LineærRegression_Valg[[#This Row],[Tabel ID]]-1)/$B$5,0)+1</f>
        <v>127</v>
      </c>
      <c r="C517" s="188">
        <f t="shared" si="7"/>
        <v>3</v>
      </c>
      <c r="D517" s="188" t="b">
        <f>LineærRegression_Valg[[#This Row],[Afhængig variabel ID]]&lt;&gt;LineærRegression_Valg[[#This Row],[Uafhængig variabel ID]]</f>
        <v>1</v>
      </c>
      <c r="E517" t="b">
        <f>LineærRegression_Valg[[#This Row],[Afhængig variabel ID]]&lt;=$B$5</f>
        <v>0</v>
      </c>
      <c r="F517" t="str" cm="1">
        <f t="array" ref="F517">IF(LineærRegression_Valg[[#This Row],[Indenfor range]],INDEX(DataTitel_liste,LineærRegression_Valg[[#This Row],[Afhængig variabel ID]]),INDEX(DataTitel_liste,1))</f>
        <v>Eksempel 1 (interval)</v>
      </c>
      <c r="G517" s="188" t="str" cm="1">
        <f t="array" ref="G517">IF(LineærRegression_Valg[[#This Row],[Indenfor range]],IF(LineærRegression_Valg[[#This Row],[Intet overlap]],INDEX(DataTitel_liste,LineærRegression_Valg[[#This Row],[Uafhængig variabel ID]]),INDEX(DataTitel_liste,IF(LineærRegression_Valg[[#This Row],[Afhængig variabel ID]]=1,2,1))),$B$7)</f>
        <v>Eksempel 2 (interval)</v>
      </c>
      <c r="H517" s="188">
        <f>_xlfn.AGGREGATE(2,5,LineærRegression_Valg[[#This Row],[Tabel ID]])</f>
        <v>1</v>
      </c>
    </row>
    <row r="518" spans="1:8" x14ac:dyDescent="0.2">
      <c r="A518">
        <f>ROW(LineærRegression_Valg[[#This Row],[Tabel ID]])-ROW(LineærRegression_Valg[[#Headers],[Tabel ID]])</f>
        <v>508</v>
      </c>
      <c r="B518" s="188">
        <f>ROUNDDOWN((LineærRegression_Valg[[#This Row],[Tabel ID]]-1)/$B$5,0)+1</f>
        <v>127</v>
      </c>
      <c r="C518" s="188">
        <f t="shared" si="7"/>
        <v>4</v>
      </c>
      <c r="D518" s="188" t="b">
        <f>LineærRegression_Valg[[#This Row],[Afhængig variabel ID]]&lt;&gt;LineærRegression_Valg[[#This Row],[Uafhængig variabel ID]]</f>
        <v>1</v>
      </c>
      <c r="E518" t="b">
        <f>LineærRegression_Valg[[#This Row],[Afhængig variabel ID]]&lt;=$B$5</f>
        <v>0</v>
      </c>
      <c r="F518" t="str" cm="1">
        <f t="array" ref="F518">IF(LineærRegression_Valg[[#This Row],[Indenfor range]],INDEX(DataTitel_liste,LineærRegression_Valg[[#This Row],[Afhængig variabel ID]]),INDEX(DataTitel_liste,1))</f>
        <v>Eksempel 1 (interval)</v>
      </c>
      <c r="G518" s="188" t="str" cm="1">
        <f t="array" ref="G518">IF(LineærRegression_Valg[[#This Row],[Indenfor range]],IF(LineærRegression_Valg[[#This Row],[Intet overlap]],INDEX(DataTitel_liste,LineærRegression_Valg[[#This Row],[Uafhængig variabel ID]]),INDEX(DataTitel_liste,IF(LineærRegression_Valg[[#This Row],[Afhængig variabel ID]]=1,2,1))),$B$7)</f>
        <v>Eksempel 2 (interval)</v>
      </c>
      <c r="H518" s="188">
        <f>_xlfn.AGGREGATE(2,5,LineærRegression_Valg[[#This Row],[Tabel ID]])</f>
        <v>1</v>
      </c>
    </row>
    <row r="519" spans="1:8" x14ac:dyDescent="0.2">
      <c r="A519">
        <f>ROW(LineærRegression_Valg[[#This Row],[Tabel ID]])-ROW(LineærRegression_Valg[[#Headers],[Tabel ID]])</f>
        <v>509</v>
      </c>
      <c r="B519" s="188">
        <f>ROUNDDOWN((LineærRegression_Valg[[#This Row],[Tabel ID]]-1)/$B$5,0)+1</f>
        <v>128</v>
      </c>
      <c r="C519" s="188">
        <f t="shared" si="7"/>
        <v>1</v>
      </c>
      <c r="D519" s="188" t="b">
        <f>LineærRegression_Valg[[#This Row],[Afhængig variabel ID]]&lt;&gt;LineærRegression_Valg[[#This Row],[Uafhængig variabel ID]]</f>
        <v>1</v>
      </c>
      <c r="E519" t="b">
        <f>LineærRegression_Valg[[#This Row],[Afhængig variabel ID]]&lt;=$B$5</f>
        <v>0</v>
      </c>
      <c r="F519" t="str" cm="1">
        <f t="array" ref="F519">IF(LineærRegression_Valg[[#This Row],[Indenfor range]],INDEX(DataTitel_liste,LineærRegression_Valg[[#This Row],[Afhængig variabel ID]]),INDEX(DataTitel_liste,1))</f>
        <v>Eksempel 1 (interval)</v>
      </c>
      <c r="G519" s="188" t="str" cm="1">
        <f t="array" ref="G519">IF(LineærRegression_Valg[[#This Row],[Indenfor range]],IF(LineærRegression_Valg[[#This Row],[Intet overlap]],INDEX(DataTitel_liste,LineærRegression_Valg[[#This Row],[Uafhængig variabel ID]]),INDEX(DataTitel_liste,IF(LineærRegression_Valg[[#This Row],[Afhængig variabel ID]]=1,2,1))),$B$7)</f>
        <v>Eksempel 2 (interval)</v>
      </c>
      <c r="H519" s="188">
        <f>_xlfn.AGGREGATE(2,5,LineærRegression_Valg[[#This Row],[Tabel ID]])</f>
        <v>1</v>
      </c>
    </row>
    <row r="520" spans="1:8" x14ac:dyDescent="0.2">
      <c r="A520">
        <f>ROW(LineærRegression_Valg[[#This Row],[Tabel ID]])-ROW(LineærRegression_Valg[[#Headers],[Tabel ID]])</f>
        <v>510</v>
      </c>
      <c r="B520" s="188">
        <f>ROUNDDOWN((LineærRegression_Valg[[#This Row],[Tabel ID]]-1)/$B$5,0)+1</f>
        <v>128</v>
      </c>
      <c r="C520" s="188">
        <f t="shared" si="7"/>
        <v>2</v>
      </c>
      <c r="D520" s="188" t="b">
        <f>LineærRegression_Valg[[#This Row],[Afhængig variabel ID]]&lt;&gt;LineærRegression_Valg[[#This Row],[Uafhængig variabel ID]]</f>
        <v>1</v>
      </c>
      <c r="E520" t="b">
        <f>LineærRegression_Valg[[#This Row],[Afhængig variabel ID]]&lt;=$B$5</f>
        <v>0</v>
      </c>
      <c r="F520" t="str" cm="1">
        <f t="array" ref="F520">IF(LineærRegression_Valg[[#This Row],[Indenfor range]],INDEX(DataTitel_liste,LineærRegression_Valg[[#This Row],[Afhængig variabel ID]]),INDEX(DataTitel_liste,1))</f>
        <v>Eksempel 1 (interval)</v>
      </c>
      <c r="G520" s="188" t="str" cm="1">
        <f t="array" ref="G520">IF(LineærRegression_Valg[[#This Row],[Indenfor range]],IF(LineærRegression_Valg[[#This Row],[Intet overlap]],INDEX(DataTitel_liste,LineærRegression_Valg[[#This Row],[Uafhængig variabel ID]]),INDEX(DataTitel_liste,IF(LineærRegression_Valg[[#This Row],[Afhængig variabel ID]]=1,2,1))),$B$7)</f>
        <v>Eksempel 2 (interval)</v>
      </c>
      <c r="H520" s="188">
        <f>_xlfn.AGGREGATE(2,5,LineærRegression_Valg[[#This Row],[Tabel ID]])</f>
        <v>1</v>
      </c>
    </row>
    <row r="521" spans="1:8" x14ac:dyDescent="0.2">
      <c r="A521">
        <f>ROW(LineærRegression_Valg[[#This Row],[Tabel ID]])-ROW(LineærRegression_Valg[[#Headers],[Tabel ID]])</f>
        <v>511</v>
      </c>
      <c r="B521" s="188">
        <f>ROUNDDOWN((LineærRegression_Valg[[#This Row],[Tabel ID]]-1)/$B$5,0)+1</f>
        <v>128</v>
      </c>
      <c r="C521" s="188">
        <f t="shared" si="7"/>
        <v>3</v>
      </c>
      <c r="D521" s="188" t="b">
        <f>LineærRegression_Valg[[#This Row],[Afhængig variabel ID]]&lt;&gt;LineærRegression_Valg[[#This Row],[Uafhængig variabel ID]]</f>
        <v>1</v>
      </c>
      <c r="E521" t="b">
        <f>LineærRegression_Valg[[#This Row],[Afhængig variabel ID]]&lt;=$B$5</f>
        <v>0</v>
      </c>
      <c r="F521" t="str" cm="1">
        <f t="array" ref="F521">IF(LineærRegression_Valg[[#This Row],[Indenfor range]],INDEX(DataTitel_liste,LineærRegression_Valg[[#This Row],[Afhængig variabel ID]]),INDEX(DataTitel_liste,1))</f>
        <v>Eksempel 1 (interval)</v>
      </c>
      <c r="G521" s="188" t="str" cm="1">
        <f t="array" ref="G521">IF(LineærRegression_Valg[[#This Row],[Indenfor range]],IF(LineærRegression_Valg[[#This Row],[Intet overlap]],INDEX(DataTitel_liste,LineærRegression_Valg[[#This Row],[Uafhængig variabel ID]]),INDEX(DataTitel_liste,IF(LineærRegression_Valg[[#This Row],[Afhængig variabel ID]]=1,2,1))),$B$7)</f>
        <v>Eksempel 2 (interval)</v>
      </c>
      <c r="H521" s="188">
        <f>_xlfn.AGGREGATE(2,5,LineærRegression_Valg[[#This Row],[Tabel ID]])</f>
        <v>1</v>
      </c>
    </row>
    <row r="522" spans="1:8" x14ac:dyDescent="0.2">
      <c r="A522">
        <f>ROW(LineærRegression_Valg[[#This Row],[Tabel ID]])-ROW(LineærRegression_Valg[[#Headers],[Tabel ID]])</f>
        <v>512</v>
      </c>
      <c r="B522" s="188">
        <f>ROUNDDOWN((LineærRegression_Valg[[#This Row],[Tabel ID]]-1)/$B$5,0)+1</f>
        <v>128</v>
      </c>
      <c r="C522" s="188">
        <f t="shared" si="7"/>
        <v>4</v>
      </c>
      <c r="D522" s="188" t="b">
        <f>LineærRegression_Valg[[#This Row],[Afhængig variabel ID]]&lt;&gt;LineærRegression_Valg[[#This Row],[Uafhængig variabel ID]]</f>
        <v>1</v>
      </c>
      <c r="E522" t="b">
        <f>LineærRegression_Valg[[#This Row],[Afhængig variabel ID]]&lt;=$B$5</f>
        <v>0</v>
      </c>
      <c r="F522" t="str" cm="1">
        <f t="array" ref="F522">IF(LineærRegression_Valg[[#This Row],[Indenfor range]],INDEX(DataTitel_liste,LineærRegression_Valg[[#This Row],[Afhængig variabel ID]]),INDEX(DataTitel_liste,1))</f>
        <v>Eksempel 1 (interval)</v>
      </c>
      <c r="G522" s="188" t="str" cm="1">
        <f t="array" ref="G522">IF(LineærRegression_Valg[[#This Row],[Indenfor range]],IF(LineærRegression_Valg[[#This Row],[Intet overlap]],INDEX(DataTitel_liste,LineærRegression_Valg[[#This Row],[Uafhængig variabel ID]]),INDEX(DataTitel_liste,IF(LineærRegression_Valg[[#This Row],[Afhængig variabel ID]]=1,2,1))),$B$7)</f>
        <v>Eksempel 2 (interval)</v>
      </c>
      <c r="H522" s="188">
        <f>_xlfn.AGGREGATE(2,5,LineærRegression_Valg[[#This Row],[Tabel ID]])</f>
        <v>1</v>
      </c>
    </row>
    <row r="523" spans="1:8" x14ac:dyDescent="0.2">
      <c r="A523">
        <f>ROW(LineærRegression_Valg[[#This Row],[Tabel ID]])-ROW(LineærRegression_Valg[[#Headers],[Tabel ID]])</f>
        <v>513</v>
      </c>
      <c r="B523" s="188">
        <f>ROUNDDOWN((LineærRegression_Valg[[#This Row],[Tabel ID]]-1)/$B$5,0)+1</f>
        <v>129</v>
      </c>
      <c r="C523" s="188">
        <f t="shared" ref="C523:C586" si="8">MOD(A523-1,$B$5)+1</f>
        <v>1</v>
      </c>
      <c r="D523" s="188" t="b">
        <f>LineærRegression_Valg[[#This Row],[Afhængig variabel ID]]&lt;&gt;LineærRegression_Valg[[#This Row],[Uafhængig variabel ID]]</f>
        <v>1</v>
      </c>
      <c r="E523" t="b">
        <f>LineærRegression_Valg[[#This Row],[Afhængig variabel ID]]&lt;=$B$5</f>
        <v>0</v>
      </c>
      <c r="F523" t="str" cm="1">
        <f t="array" ref="F523">IF(LineærRegression_Valg[[#This Row],[Indenfor range]],INDEX(DataTitel_liste,LineærRegression_Valg[[#This Row],[Afhængig variabel ID]]),INDEX(DataTitel_liste,1))</f>
        <v>Eksempel 1 (interval)</v>
      </c>
      <c r="G523" s="188" t="str" cm="1">
        <f t="array" ref="G523">IF(LineærRegression_Valg[[#This Row],[Indenfor range]],IF(LineærRegression_Valg[[#This Row],[Intet overlap]],INDEX(DataTitel_liste,LineærRegression_Valg[[#This Row],[Uafhængig variabel ID]]),INDEX(DataTitel_liste,IF(LineærRegression_Valg[[#This Row],[Afhængig variabel ID]]=1,2,1))),$B$7)</f>
        <v>Eksempel 2 (interval)</v>
      </c>
      <c r="H523" s="188">
        <f>_xlfn.AGGREGATE(2,5,LineærRegression_Valg[[#This Row],[Tabel ID]])</f>
        <v>1</v>
      </c>
    </row>
    <row r="524" spans="1:8" x14ac:dyDescent="0.2">
      <c r="A524">
        <f>ROW(LineærRegression_Valg[[#This Row],[Tabel ID]])-ROW(LineærRegression_Valg[[#Headers],[Tabel ID]])</f>
        <v>514</v>
      </c>
      <c r="B524" s="188">
        <f>ROUNDDOWN((LineærRegression_Valg[[#This Row],[Tabel ID]]-1)/$B$5,0)+1</f>
        <v>129</v>
      </c>
      <c r="C524" s="188">
        <f t="shared" si="8"/>
        <v>2</v>
      </c>
      <c r="D524" s="188" t="b">
        <f>LineærRegression_Valg[[#This Row],[Afhængig variabel ID]]&lt;&gt;LineærRegression_Valg[[#This Row],[Uafhængig variabel ID]]</f>
        <v>1</v>
      </c>
      <c r="E524" t="b">
        <f>LineærRegression_Valg[[#This Row],[Afhængig variabel ID]]&lt;=$B$5</f>
        <v>0</v>
      </c>
      <c r="F524" t="str" cm="1">
        <f t="array" ref="F524">IF(LineærRegression_Valg[[#This Row],[Indenfor range]],INDEX(DataTitel_liste,LineærRegression_Valg[[#This Row],[Afhængig variabel ID]]),INDEX(DataTitel_liste,1))</f>
        <v>Eksempel 1 (interval)</v>
      </c>
      <c r="G524" s="188" t="str" cm="1">
        <f t="array" ref="G524">IF(LineærRegression_Valg[[#This Row],[Indenfor range]],IF(LineærRegression_Valg[[#This Row],[Intet overlap]],INDEX(DataTitel_liste,LineærRegression_Valg[[#This Row],[Uafhængig variabel ID]]),INDEX(DataTitel_liste,IF(LineærRegression_Valg[[#This Row],[Afhængig variabel ID]]=1,2,1))),$B$7)</f>
        <v>Eksempel 2 (interval)</v>
      </c>
      <c r="H524" s="188">
        <f>_xlfn.AGGREGATE(2,5,LineærRegression_Valg[[#This Row],[Tabel ID]])</f>
        <v>1</v>
      </c>
    </row>
    <row r="525" spans="1:8" x14ac:dyDescent="0.2">
      <c r="A525">
        <f>ROW(LineærRegression_Valg[[#This Row],[Tabel ID]])-ROW(LineærRegression_Valg[[#Headers],[Tabel ID]])</f>
        <v>515</v>
      </c>
      <c r="B525" s="188">
        <f>ROUNDDOWN((LineærRegression_Valg[[#This Row],[Tabel ID]]-1)/$B$5,0)+1</f>
        <v>129</v>
      </c>
      <c r="C525" s="188">
        <f t="shared" si="8"/>
        <v>3</v>
      </c>
      <c r="D525" s="188" t="b">
        <f>LineærRegression_Valg[[#This Row],[Afhængig variabel ID]]&lt;&gt;LineærRegression_Valg[[#This Row],[Uafhængig variabel ID]]</f>
        <v>1</v>
      </c>
      <c r="E525" t="b">
        <f>LineærRegression_Valg[[#This Row],[Afhængig variabel ID]]&lt;=$B$5</f>
        <v>0</v>
      </c>
      <c r="F525" t="str" cm="1">
        <f t="array" ref="F525">IF(LineærRegression_Valg[[#This Row],[Indenfor range]],INDEX(DataTitel_liste,LineærRegression_Valg[[#This Row],[Afhængig variabel ID]]),INDEX(DataTitel_liste,1))</f>
        <v>Eksempel 1 (interval)</v>
      </c>
      <c r="G525" s="188" t="str" cm="1">
        <f t="array" ref="G525">IF(LineærRegression_Valg[[#This Row],[Indenfor range]],IF(LineærRegression_Valg[[#This Row],[Intet overlap]],INDEX(DataTitel_liste,LineærRegression_Valg[[#This Row],[Uafhængig variabel ID]]),INDEX(DataTitel_liste,IF(LineærRegression_Valg[[#This Row],[Afhængig variabel ID]]=1,2,1))),$B$7)</f>
        <v>Eksempel 2 (interval)</v>
      </c>
      <c r="H525" s="188">
        <f>_xlfn.AGGREGATE(2,5,LineærRegression_Valg[[#This Row],[Tabel ID]])</f>
        <v>1</v>
      </c>
    </row>
    <row r="526" spans="1:8" x14ac:dyDescent="0.2">
      <c r="A526">
        <f>ROW(LineærRegression_Valg[[#This Row],[Tabel ID]])-ROW(LineærRegression_Valg[[#Headers],[Tabel ID]])</f>
        <v>516</v>
      </c>
      <c r="B526" s="188">
        <f>ROUNDDOWN((LineærRegression_Valg[[#This Row],[Tabel ID]]-1)/$B$5,0)+1</f>
        <v>129</v>
      </c>
      <c r="C526" s="188">
        <f t="shared" si="8"/>
        <v>4</v>
      </c>
      <c r="D526" s="188" t="b">
        <f>LineærRegression_Valg[[#This Row],[Afhængig variabel ID]]&lt;&gt;LineærRegression_Valg[[#This Row],[Uafhængig variabel ID]]</f>
        <v>1</v>
      </c>
      <c r="E526" t="b">
        <f>LineærRegression_Valg[[#This Row],[Afhængig variabel ID]]&lt;=$B$5</f>
        <v>0</v>
      </c>
      <c r="F526" t="str" cm="1">
        <f t="array" ref="F526">IF(LineærRegression_Valg[[#This Row],[Indenfor range]],INDEX(DataTitel_liste,LineærRegression_Valg[[#This Row],[Afhængig variabel ID]]),INDEX(DataTitel_liste,1))</f>
        <v>Eksempel 1 (interval)</v>
      </c>
      <c r="G526" s="188" t="str" cm="1">
        <f t="array" ref="G526">IF(LineærRegression_Valg[[#This Row],[Indenfor range]],IF(LineærRegression_Valg[[#This Row],[Intet overlap]],INDEX(DataTitel_liste,LineærRegression_Valg[[#This Row],[Uafhængig variabel ID]]),INDEX(DataTitel_liste,IF(LineærRegression_Valg[[#This Row],[Afhængig variabel ID]]=1,2,1))),$B$7)</f>
        <v>Eksempel 2 (interval)</v>
      </c>
      <c r="H526" s="188">
        <f>_xlfn.AGGREGATE(2,5,LineærRegression_Valg[[#This Row],[Tabel ID]])</f>
        <v>1</v>
      </c>
    </row>
    <row r="527" spans="1:8" x14ac:dyDescent="0.2">
      <c r="A527">
        <f>ROW(LineærRegression_Valg[[#This Row],[Tabel ID]])-ROW(LineærRegression_Valg[[#Headers],[Tabel ID]])</f>
        <v>517</v>
      </c>
      <c r="B527" s="188">
        <f>ROUNDDOWN((LineærRegression_Valg[[#This Row],[Tabel ID]]-1)/$B$5,0)+1</f>
        <v>130</v>
      </c>
      <c r="C527" s="188">
        <f t="shared" si="8"/>
        <v>1</v>
      </c>
      <c r="D527" s="188" t="b">
        <f>LineærRegression_Valg[[#This Row],[Afhængig variabel ID]]&lt;&gt;LineærRegression_Valg[[#This Row],[Uafhængig variabel ID]]</f>
        <v>1</v>
      </c>
      <c r="E527" t="b">
        <f>LineærRegression_Valg[[#This Row],[Afhængig variabel ID]]&lt;=$B$5</f>
        <v>0</v>
      </c>
      <c r="F527" t="str" cm="1">
        <f t="array" ref="F527">IF(LineærRegression_Valg[[#This Row],[Indenfor range]],INDEX(DataTitel_liste,LineærRegression_Valg[[#This Row],[Afhængig variabel ID]]),INDEX(DataTitel_liste,1))</f>
        <v>Eksempel 1 (interval)</v>
      </c>
      <c r="G527" s="188" t="str" cm="1">
        <f t="array" ref="G527">IF(LineærRegression_Valg[[#This Row],[Indenfor range]],IF(LineærRegression_Valg[[#This Row],[Intet overlap]],INDEX(DataTitel_liste,LineærRegression_Valg[[#This Row],[Uafhængig variabel ID]]),INDEX(DataTitel_liste,IF(LineærRegression_Valg[[#This Row],[Afhængig variabel ID]]=1,2,1))),$B$7)</f>
        <v>Eksempel 2 (interval)</v>
      </c>
      <c r="H527" s="188">
        <f>_xlfn.AGGREGATE(2,5,LineærRegression_Valg[[#This Row],[Tabel ID]])</f>
        <v>1</v>
      </c>
    </row>
    <row r="528" spans="1:8" x14ac:dyDescent="0.2">
      <c r="A528">
        <f>ROW(LineærRegression_Valg[[#This Row],[Tabel ID]])-ROW(LineærRegression_Valg[[#Headers],[Tabel ID]])</f>
        <v>518</v>
      </c>
      <c r="B528" s="188">
        <f>ROUNDDOWN((LineærRegression_Valg[[#This Row],[Tabel ID]]-1)/$B$5,0)+1</f>
        <v>130</v>
      </c>
      <c r="C528" s="188">
        <f t="shared" si="8"/>
        <v>2</v>
      </c>
      <c r="D528" s="188" t="b">
        <f>LineærRegression_Valg[[#This Row],[Afhængig variabel ID]]&lt;&gt;LineærRegression_Valg[[#This Row],[Uafhængig variabel ID]]</f>
        <v>1</v>
      </c>
      <c r="E528" t="b">
        <f>LineærRegression_Valg[[#This Row],[Afhængig variabel ID]]&lt;=$B$5</f>
        <v>0</v>
      </c>
      <c r="F528" t="str" cm="1">
        <f t="array" ref="F528">IF(LineærRegression_Valg[[#This Row],[Indenfor range]],INDEX(DataTitel_liste,LineærRegression_Valg[[#This Row],[Afhængig variabel ID]]),INDEX(DataTitel_liste,1))</f>
        <v>Eksempel 1 (interval)</v>
      </c>
      <c r="G528" s="188" t="str" cm="1">
        <f t="array" ref="G528">IF(LineærRegression_Valg[[#This Row],[Indenfor range]],IF(LineærRegression_Valg[[#This Row],[Intet overlap]],INDEX(DataTitel_liste,LineærRegression_Valg[[#This Row],[Uafhængig variabel ID]]),INDEX(DataTitel_liste,IF(LineærRegression_Valg[[#This Row],[Afhængig variabel ID]]=1,2,1))),$B$7)</f>
        <v>Eksempel 2 (interval)</v>
      </c>
      <c r="H528" s="188">
        <f>_xlfn.AGGREGATE(2,5,LineærRegression_Valg[[#This Row],[Tabel ID]])</f>
        <v>1</v>
      </c>
    </row>
    <row r="529" spans="1:8" x14ac:dyDescent="0.2">
      <c r="A529">
        <f>ROW(LineærRegression_Valg[[#This Row],[Tabel ID]])-ROW(LineærRegression_Valg[[#Headers],[Tabel ID]])</f>
        <v>519</v>
      </c>
      <c r="B529" s="188">
        <f>ROUNDDOWN((LineærRegression_Valg[[#This Row],[Tabel ID]]-1)/$B$5,0)+1</f>
        <v>130</v>
      </c>
      <c r="C529" s="188">
        <f t="shared" si="8"/>
        <v>3</v>
      </c>
      <c r="D529" s="188" t="b">
        <f>LineærRegression_Valg[[#This Row],[Afhængig variabel ID]]&lt;&gt;LineærRegression_Valg[[#This Row],[Uafhængig variabel ID]]</f>
        <v>1</v>
      </c>
      <c r="E529" t="b">
        <f>LineærRegression_Valg[[#This Row],[Afhængig variabel ID]]&lt;=$B$5</f>
        <v>0</v>
      </c>
      <c r="F529" t="str" cm="1">
        <f t="array" ref="F529">IF(LineærRegression_Valg[[#This Row],[Indenfor range]],INDEX(DataTitel_liste,LineærRegression_Valg[[#This Row],[Afhængig variabel ID]]),INDEX(DataTitel_liste,1))</f>
        <v>Eksempel 1 (interval)</v>
      </c>
      <c r="G529" s="188" t="str" cm="1">
        <f t="array" ref="G529">IF(LineærRegression_Valg[[#This Row],[Indenfor range]],IF(LineærRegression_Valg[[#This Row],[Intet overlap]],INDEX(DataTitel_liste,LineærRegression_Valg[[#This Row],[Uafhængig variabel ID]]),INDEX(DataTitel_liste,IF(LineærRegression_Valg[[#This Row],[Afhængig variabel ID]]=1,2,1))),$B$7)</f>
        <v>Eksempel 2 (interval)</v>
      </c>
      <c r="H529" s="188">
        <f>_xlfn.AGGREGATE(2,5,LineærRegression_Valg[[#This Row],[Tabel ID]])</f>
        <v>1</v>
      </c>
    </row>
    <row r="530" spans="1:8" x14ac:dyDescent="0.2">
      <c r="A530">
        <f>ROW(LineærRegression_Valg[[#This Row],[Tabel ID]])-ROW(LineærRegression_Valg[[#Headers],[Tabel ID]])</f>
        <v>520</v>
      </c>
      <c r="B530" s="188">
        <f>ROUNDDOWN((LineærRegression_Valg[[#This Row],[Tabel ID]]-1)/$B$5,0)+1</f>
        <v>130</v>
      </c>
      <c r="C530" s="188">
        <f t="shared" si="8"/>
        <v>4</v>
      </c>
      <c r="D530" s="188" t="b">
        <f>LineærRegression_Valg[[#This Row],[Afhængig variabel ID]]&lt;&gt;LineærRegression_Valg[[#This Row],[Uafhængig variabel ID]]</f>
        <v>1</v>
      </c>
      <c r="E530" t="b">
        <f>LineærRegression_Valg[[#This Row],[Afhængig variabel ID]]&lt;=$B$5</f>
        <v>0</v>
      </c>
      <c r="F530" t="str" cm="1">
        <f t="array" ref="F530">IF(LineærRegression_Valg[[#This Row],[Indenfor range]],INDEX(DataTitel_liste,LineærRegression_Valg[[#This Row],[Afhængig variabel ID]]),INDEX(DataTitel_liste,1))</f>
        <v>Eksempel 1 (interval)</v>
      </c>
      <c r="G530" s="188" t="str" cm="1">
        <f t="array" ref="G530">IF(LineærRegression_Valg[[#This Row],[Indenfor range]],IF(LineærRegression_Valg[[#This Row],[Intet overlap]],INDEX(DataTitel_liste,LineærRegression_Valg[[#This Row],[Uafhængig variabel ID]]),INDEX(DataTitel_liste,IF(LineærRegression_Valg[[#This Row],[Afhængig variabel ID]]=1,2,1))),$B$7)</f>
        <v>Eksempel 2 (interval)</v>
      </c>
      <c r="H530" s="188">
        <f>_xlfn.AGGREGATE(2,5,LineærRegression_Valg[[#This Row],[Tabel ID]])</f>
        <v>1</v>
      </c>
    </row>
    <row r="531" spans="1:8" x14ac:dyDescent="0.2">
      <c r="A531">
        <f>ROW(LineærRegression_Valg[[#This Row],[Tabel ID]])-ROW(LineærRegression_Valg[[#Headers],[Tabel ID]])</f>
        <v>521</v>
      </c>
      <c r="B531" s="188">
        <f>ROUNDDOWN((LineærRegression_Valg[[#This Row],[Tabel ID]]-1)/$B$5,0)+1</f>
        <v>131</v>
      </c>
      <c r="C531" s="188">
        <f t="shared" si="8"/>
        <v>1</v>
      </c>
      <c r="D531" s="188" t="b">
        <f>LineærRegression_Valg[[#This Row],[Afhængig variabel ID]]&lt;&gt;LineærRegression_Valg[[#This Row],[Uafhængig variabel ID]]</f>
        <v>1</v>
      </c>
      <c r="E531" t="b">
        <f>LineærRegression_Valg[[#This Row],[Afhængig variabel ID]]&lt;=$B$5</f>
        <v>0</v>
      </c>
      <c r="F531" t="str" cm="1">
        <f t="array" ref="F531">IF(LineærRegression_Valg[[#This Row],[Indenfor range]],INDEX(DataTitel_liste,LineærRegression_Valg[[#This Row],[Afhængig variabel ID]]),INDEX(DataTitel_liste,1))</f>
        <v>Eksempel 1 (interval)</v>
      </c>
      <c r="G531" s="188" t="str" cm="1">
        <f t="array" ref="G531">IF(LineærRegression_Valg[[#This Row],[Indenfor range]],IF(LineærRegression_Valg[[#This Row],[Intet overlap]],INDEX(DataTitel_liste,LineærRegression_Valg[[#This Row],[Uafhængig variabel ID]]),INDEX(DataTitel_liste,IF(LineærRegression_Valg[[#This Row],[Afhængig variabel ID]]=1,2,1))),$B$7)</f>
        <v>Eksempel 2 (interval)</v>
      </c>
      <c r="H531" s="188">
        <f>_xlfn.AGGREGATE(2,5,LineærRegression_Valg[[#This Row],[Tabel ID]])</f>
        <v>1</v>
      </c>
    </row>
    <row r="532" spans="1:8" x14ac:dyDescent="0.2">
      <c r="A532">
        <f>ROW(LineærRegression_Valg[[#This Row],[Tabel ID]])-ROW(LineærRegression_Valg[[#Headers],[Tabel ID]])</f>
        <v>522</v>
      </c>
      <c r="B532" s="188">
        <f>ROUNDDOWN((LineærRegression_Valg[[#This Row],[Tabel ID]]-1)/$B$5,0)+1</f>
        <v>131</v>
      </c>
      <c r="C532" s="188">
        <f t="shared" si="8"/>
        <v>2</v>
      </c>
      <c r="D532" s="188" t="b">
        <f>LineærRegression_Valg[[#This Row],[Afhængig variabel ID]]&lt;&gt;LineærRegression_Valg[[#This Row],[Uafhængig variabel ID]]</f>
        <v>1</v>
      </c>
      <c r="E532" t="b">
        <f>LineærRegression_Valg[[#This Row],[Afhængig variabel ID]]&lt;=$B$5</f>
        <v>0</v>
      </c>
      <c r="F532" t="str" cm="1">
        <f t="array" ref="F532">IF(LineærRegression_Valg[[#This Row],[Indenfor range]],INDEX(DataTitel_liste,LineærRegression_Valg[[#This Row],[Afhængig variabel ID]]),INDEX(DataTitel_liste,1))</f>
        <v>Eksempel 1 (interval)</v>
      </c>
      <c r="G532" s="188" t="str" cm="1">
        <f t="array" ref="G532">IF(LineærRegression_Valg[[#This Row],[Indenfor range]],IF(LineærRegression_Valg[[#This Row],[Intet overlap]],INDEX(DataTitel_liste,LineærRegression_Valg[[#This Row],[Uafhængig variabel ID]]),INDEX(DataTitel_liste,IF(LineærRegression_Valg[[#This Row],[Afhængig variabel ID]]=1,2,1))),$B$7)</f>
        <v>Eksempel 2 (interval)</v>
      </c>
      <c r="H532" s="188">
        <f>_xlfn.AGGREGATE(2,5,LineærRegression_Valg[[#This Row],[Tabel ID]])</f>
        <v>1</v>
      </c>
    </row>
    <row r="533" spans="1:8" x14ac:dyDescent="0.2">
      <c r="A533">
        <f>ROW(LineærRegression_Valg[[#This Row],[Tabel ID]])-ROW(LineærRegression_Valg[[#Headers],[Tabel ID]])</f>
        <v>523</v>
      </c>
      <c r="B533" s="188">
        <f>ROUNDDOWN((LineærRegression_Valg[[#This Row],[Tabel ID]]-1)/$B$5,0)+1</f>
        <v>131</v>
      </c>
      <c r="C533" s="188">
        <f t="shared" si="8"/>
        <v>3</v>
      </c>
      <c r="D533" s="188" t="b">
        <f>LineærRegression_Valg[[#This Row],[Afhængig variabel ID]]&lt;&gt;LineærRegression_Valg[[#This Row],[Uafhængig variabel ID]]</f>
        <v>1</v>
      </c>
      <c r="E533" t="b">
        <f>LineærRegression_Valg[[#This Row],[Afhængig variabel ID]]&lt;=$B$5</f>
        <v>0</v>
      </c>
      <c r="F533" t="str" cm="1">
        <f t="array" ref="F533">IF(LineærRegression_Valg[[#This Row],[Indenfor range]],INDEX(DataTitel_liste,LineærRegression_Valg[[#This Row],[Afhængig variabel ID]]),INDEX(DataTitel_liste,1))</f>
        <v>Eksempel 1 (interval)</v>
      </c>
      <c r="G533" s="188" t="str" cm="1">
        <f t="array" ref="G533">IF(LineærRegression_Valg[[#This Row],[Indenfor range]],IF(LineærRegression_Valg[[#This Row],[Intet overlap]],INDEX(DataTitel_liste,LineærRegression_Valg[[#This Row],[Uafhængig variabel ID]]),INDEX(DataTitel_liste,IF(LineærRegression_Valg[[#This Row],[Afhængig variabel ID]]=1,2,1))),$B$7)</f>
        <v>Eksempel 2 (interval)</v>
      </c>
      <c r="H533" s="188">
        <f>_xlfn.AGGREGATE(2,5,LineærRegression_Valg[[#This Row],[Tabel ID]])</f>
        <v>1</v>
      </c>
    </row>
    <row r="534" spans="1:8" x14ac:dyDescent="0.2">
      <c r="A534">
        <f>ROW(LineærRegression_Valg[[#This Row],[Tabel ID]])-ROW(LineærRegression_Valg[[#Headers],[Tabel ID]])</f>
        <v>524</v>
      </c>
      <c r="B534" s="188">
        <f>ROUNDDOWN((LineærRegression_Valg[[#This Row],[Tabel ID]]-1)/$B$5,0)+1</f>
        <v>131</v>
      </c>
      <c r="C534" s="188">
        <f t="shared" si="8"/>
        <v>4</v>
      </c>
      <c r="D534" s="188" t="b">
        <f>LineærRegression_Valg[[#This Row],[Afhængig variabel ID]]&lt;&gt;LineærRegression_Valg[[#This Row],[Uafhængig variabel ID]]</f>
        <v>1</v>
      </c>
      <c r="E534" t="b">
        <f>LineærRegression_Valg[[#This Row],[Afhængig variabel ID]]&lt;=$B$5</f>
        <v>0</v>
      </c>
      <c r="F534" t="str" cm="1">
        <f t="array" ref="F534">IF(LineærRegression_Valg[[#This Row],[Indenfor range]],INDEX(DataTitel_liste,LineærRegression_Valg[[#This Row],[Afhængig variabel ID]]),INDEX(DataTitel_liste,1))</f>
        <v>Eksempel 1 (interval)</v>
      </c>
      <c r="G534" s="188" t="str" cm="1">
        <f t="array" ref="G534">IF(LineærRegression_Valg[[#This Row],[Indenfor range]],IF(LineærRegression_Valg[[#This Row],[Intet overlap]],INDEX(DataTitel_liste,LineærRegression_Valg[[#This Row],[Uafhængig variabel ID]]),INDEX(DataTitel_liste,IF(LineærRegression_Valg[[#This Row],[Afhængig variabel ID]]=1,2,1))),$B$7)</f>
        <v>Eksempel 2 (interval)</v>
      </c>
      <c r="H534" s="188">
        <f>_xlfn.AGGREGATE(2,5,LineærRegression_Valg[[#This Row],[Tabel ID]])</f>
        <v>1</v>
      </c>
    </row>
    <row r="535" spans="1:8" x14ac:dyDescent="0.2">
      <c r="A535">
        <f>ROW(LineærRegression_Valg[[#This Row],[Tabel ID]])-ROW(LineærRegression_Valg[[#Headers],[Tabel ID]])</f>
        <v>525</v>
      </c>
      <c r="B535" s="188">
        <f>ROUNDDOWN((LineærRegression_Valg[[#This Row],[Tabel ID]]-1)/$B$5,0)+1</f>
        <v>132</v>
      </c>
      <c r="C535" s="188">
        <f t="shared" si="8"/>
        <v>1</v>
      </c>
      <c r="D535" s="188" t="b">
        <f>LineærRegression_Valg[[#This Row],[Afhængig variabel ID]]&lt;&gt;LineærRegression_Valg[[#This Row],[Uafhængig variabel ID]]</f>
        <v>1</v>
      </c>
      <c r="E535" t="b">
        <f>LineærRegression_Valg[[#This Row],[Afhængig variabel ID]]&lt;=$B$5</f>
        <v>0</v>
      </c>
      <c r="F535" t="str" cm="1">
        <f t="array" ref="F535">IF(LineærRegression_Valg[[#This Row],[Indenfor range]],INDEX(DataTitel_liste,LineærRegression_Valg[[#This Row],[Afhængig variabel ID]]),INDEX(DataTitel_liste,1))</f>
        <v>Eksempel 1 (interval)</v>
      </c>
      <c r="G535" s="188" t="str" cm="1">
        <f t="array" ref="G535">IF(LineærRegression_Valg[[#This Row],[Indenfor range]],IF(LineærRegression_Valg[[#This Row],[Intet overlap]],INDEX(DataTitel_liste,LineærRegression_Valg[[#This Row],[Uafhængig variabel ID]]),INDEX(DataTitel_liste,IF(LineærRegression_Valg[[#This Row],[Afhængig variabel ID]]=1,2,1))),$B$7)</f>
        <v>Eksempel 2 (interval)</v>
      </c>
      <c r="H535" s="188">
        <f>_xlfn.AGGREGATE(2,5,LineærRegression_Valg[[#This Row],[Tabel ID]])</f>
        <v>1</v>
      </c>
    </row>
    <row r="536" spans="1:8" x14ac:dyDescent="0.2">
      <c r="A536">
        <f>ROW(LineærRegression_Valg[[#This Row],[Tabel ID]])-ROW(LineærRegression_Valg[[#Headers],[Tabel ID]])</f>
        <v>526</v>
      </c>
      <c r="B536" s="188">
        <f>ROUNDDOWN((LineærRegression_Valg[[#This Row],[Tabel ID]]-1)/$B$5,0)+1</f>
        <v>132</v>
      </c>
      <c r="C536" s="188">
        <f t="shared" si="8"/>
        <v>2</v>
      </c>
      <c r="D536" s="188" t="b">
        <f>LineærRegression_Valg[[#This Row],[Afhængig variabel ID]]&lt;&gt;LineærRegression_Valg[[#This Row],[Uafhængig variabel ID]]</f>
        <v>1</v>
      </c>
      <c r="E536" t="b">
        <f>LineærRegression_Valg[[#This Row],[Afhængig variabel ID]]&lt;=$B$5</f>
        <v>0</v>
      </c>
      <c r="F536" t="str" cm="1">
        <f t="array" ref="F536">IF(LineærRegression_Valg[[#This Row],[Indenfor range]],INDEX(DataTitel_liste,LineærRegression_Valg[[#This Row],[Afhængig variabel ID]]),INDEX(DataTitel_liste,1))</f>
        <v>Eksempel 1 (interval)</v>
      </c>
      <c r="G536" s="188" t="str" cm="1">
        <f t="array" ref="G536">IF(LineærRegression_Valg[[#This Row],[Indenfor range]],IF(LineærRegression_Valg[[#This Row],[Intet overlap]],INDEX(DataTitel_liste,LineærRegression_Valg[[#This Row],[Uafhængig variabel ID]]),INDEX(DataTitel_liste,IF(LineærRegression_Valg[[#This Row],[Afhængig variabel ID]]=1,2,1))),$B$7)</f>
        <v>Eksempel 2 (interval)</v>
      </c>
      <c r="H536" s="188">
        <f>_xlfn.AGGREGATE(2,5,LineærRegression_Valg[[#This Row],[Tabel ID]])</f>
        <v>1</v>
      </c>
    </row>
    <row r="537" spans="1:8" x14ac:dyDescent="0.2">
      <c r="A537">
        <f>ROW(LineærRegression_Valg[[#This Row],[Tabel ID]])-ROW(LineærRegression_Valg[[#Headers],[Tabel ID]])</f>
        <v>527</v>
      </c>
      <c r="B537" s="188">
        <f>ROUNDDOWN((LineærRegression_Valg[[#This Row],[Tabel ID]]-1)/$B$5,0)+1</f>
        <v>132</v>
      </c>
      <c r="C537" s="188">
        <f t="shared" si="8"/>
        <v>3</v>
      </c>
      <c r="D537" s="188" t="b">
        <f>LineærRegression_Valg[[#This Row],[Afhængig variabel ID]]&lt;&gt;LineærRegression_Valg[[#This Row],[Uafhængig variabel ID]]</f>
        <v>1</v>
      </c>
      <c r="E537" t="b">
        <f>LineærRegression_Valg[[#This Row],[Afhængig variabel ID]]&lt;=$B$5</f>
        <v>0</v>
      </c>
      <c r="F537" t="str" cm="1">
        <f t="array" ref="F537">IF(LineærRegression_Valg[[#This Row],[Indenfor range]],INDEX(DataTitel_liste,LineærRegression_Valg[[#This Row],[Afhængig variabel ID]]),INDEX(DataTitel_liste,1))</f>
        <v>Eksempel 1 (interval)</v>
      </c>
      <c r="G537" s="188" t="str" cm="1">
        <f t="array" ref="G537">IF(LineærRegression_Valg[[#This Row],[Indenfor range]],IF(LineærRegression_Valg[[#This Row],[Intet overlap]],INDEX(DataTitel_liste,LineærRegression_Valg[[#This Row],[Uafhængig variabel ID]]),INDEX(DataTitel_liste,IF(LineærRegression_Valg[[#This Row],[Afhængig variabel ID]]=1,2,1))),$B$7)</f>
        <v>Eksempel 2 (interval)</v>
      </c>
      <c r="H537" s="188">
        <f>_xlfn.AGGREGATE(2,5,LineærRegression_Valg[[#This Row],[Tabel ID]])</f>
        <v>1</v>
      </c>
    </row>
    <row r="538" spans="1:8" x14ac:dyDescent="0.2">
      <c r="A538">
        <f>ROW(LineærRegression_Valg[[#This Row],[Tabel ID]])-ROW(LineærRegression_Valg[[#Headers],[Tabel ID]])</f>
        <v>528</v>
      </c>
      <c r="B538" s="188">
        <f>ROUNDDOWN((LineærRegression_Valg[[#This Row],[Tabel ID]]-1)/$B$5,0)+1</f>
        <v>132</v>
      </c>
      <c r="C538" s="188">
        <f t="shared" si="8"/>
        <v>4</v>
      </c>
      <c r="D538" s="188" t="b">
        <f>LineærRegression_Valg[[#This Row],[Afhængig variabel ID]]&lt;&gt;LineærRegression_Valg[[#This Row],[Uafhængig variabel ID]]</f>
        <v>1</v>
      </c>
      <c r="E538" t="b">
        <f>LineærRegression_Valg[[#This Row],[Afhængig variabel ID]]&lt;=$B$5</f>
        <v>0</v>
      </c>
      <c r="F538" t="str" cm="1">
        <f t="array" ref="F538">IF(LineærRegression_Valg[[#This Row],[Indenfor range]],INDEX(DataTitel_liste,LineærRegression_Valg[[#This Row],[Afhængig variabel ID]]),INDEX(DataTitel_liste,1))</f>
        <v>Eksempel 1 (interval)</v>
      </c>
      <c r="G538" s="188" t="str" cm="1">
        <f t="array" ref="G538">IF(LineærRegression_Valg[[#This Row],[Indenfor range]],IF(LineærRegression_Valg[[#This Row],[Intet overlap]],INDEX(DataTitel_liste,LineærRegression_Valg[[#This Row],[Uafhængig variabel ID]]),INDEX(DataTitel_liste,IF(LineærRegression_Valg[[#This Row],[Afhængig variabel ID]]=1,2,1))),$B$7)</f>
        <v>Eksempel 2 (interval)</v>
      </c>
      <c r="H538" s="188">
        <f>_xlfn.AGGREGATE(2,5,LineærRegression_Valg[[#This Row],[Tabel ID]])</f>
        <v>1</v>
      </c>
    </row>
    <row r="539" spans="1:8" x14ac:dyDescent="0.2">
      <c r="A539">
        <f>ROW(LineærRegression_Valg[[#This Row],[Tabel ID]])-ROW(LineærRegression_Valg[[#Headers],[Tabel ID]])</f>
        <v>529</v>
      </c>
      <c r="B539" s="188">
        <f>ROUNDDOWN((LineærRegression_Valg[[#This Row],[Tabel ID]]-1)/$B$5,0)+1</f>
        <v>133</v>
      </c>
      <c r="C539" s="188">
        <f t="shared" si="8"/>
        <v>1</v>
      </c>
      <c r="D539" s="188" t="b">
        <f>LineærRegression_Valg[[#This Row],[Afhængig variabel ID]]&lt;&gt;LineærRegression_Valg[[#This Row],[Uafhængig variabel ID]]</f>
        <v>1</v>
      </c>
      <c r="E539" t="b">
        <f>LineærRegression_Valg[[#This Row],[Afhængig variabel ID]]&lt;=$B$5</f>
        <v>0</v>
      </c>
      <c r="F539" t="str" cm="1">
        <f t="array" ref="F539">IF(LineærRegression_Valg[[#This Row],[Indenfor range]],INDEX(DataTitel_liste,LineærRegression_Valg[[#This Row],[Afhængig variabel ID]]),INDEX(DataTitel_liste,1))</f>
        <v>Eksempel 1 (interval)</v>
      </c>
      <c r="G539" s="188" t="str" cm="1">
        <f t="array" ref="G539">IF(LineærRegression_Valg[[#This Row],[Indenfor range]],IF(LineærRegression_Valg[[#This Row],[Intet overlap]],INDEX(DataTitel_liste,LineærRegression_Valg[[#This Row],[Uafhængig variabel ID]]),INDEX(DataTitel_liste,IF(LineærRegression_Valg[[#This Row],[Afhængig variabel ID]]=1,2,1))),$B$7)</f>
        <v>Eksempel 2 (interval)</v>
      </c>
      <c r="H539" s="188">
        <f>_xlfn.AGGREGATE(2,5,LineærRegression_Valg[[#This Row],[Tabel ID]])</f>
        <v>1</v>
      </c>
    </row>
    <row r="540" spans="1:8" x14ac:dyDescent="0.2">
      <c r="A540">
        <f>ROW(LineærRegression_Valg[[#This Row],[Tabel ID]])-ROW(LineærRegression_Valg[[#Headers],[Tabel ID]])</f>
        <v>530</v>
      </c>
      <c r="B540" s="188">
        <f>ROUNDDOWN((LineærRegression_Valg[[#This Row],[Tabel ID]]-1)/$B$5,0)+1</f>
        <v>133</v>
      </c>
      <c r="C540" s="188">
        <f t="shared" si="8"/>
        <v>2</v>
      </c>
      <c r="D540" s="188" t="b">
        <f>LineærRegression_Valg[[#This Row],[Afhængig variabel ID]]&lt;&gt;LineærRegression_Valg[[#This Row],[Uafhængig variabel ID]]</f>
        <v>1</v>
      </c>
      <c r="E540" t="b">
        <f>LineærRegression_Valg[[#This Row],[Afhængig variabel ID]]&lt;=$B$5</f>
        <v>0</v>
      </c>
      <c r="F540" t="str" cm="1">
        <f t="array" ref="F540">IF(LineærRegression_Valg[[#This Row],[Indenfor range]],INDEX(DataTitel_liste,LineærRegression_Valg[[#This Row],[Afhængig variabel ID]]),INDEX(DataTitel_liste,1))</f>
        <v>Eksempel 1 (interval)</v>
      </c>
      <c r="G540" s="188" t="str" cm="1">
        <f t="array" ref="G540">IF(LineærRegression_Valg[[#This Row],[Indenfor range]],IF(LineærRegression_Valg[[#This Row],[Intet overlap]],INDEX(DataTitel_liste,LineærRegression_Valg[[#This Row],[Uafhængig variabel ID]]),INDEX(DataTitel_liste,IF(LineærRegression_Valg[[#This Row],[Afhængig variabel ID]]=1,2,1))),$B$7)</f>
        <v>Eksempel 2 (interval)</v>
      </c>
      <c r="H540" s="188">
        <f>_xlfn.AGGREGATE(2,5,LineærRegression_Valg[[#This Row],[Tabel ID]])</f>
        <v>1</v>
      </c>
    </row>
    <row r="541" spans="1:8" x14ac:dyDescent="0.2">
      <c r="A541">
        <f>ROW(LineærRegression_Valg[[#This Row],[Tabel ID]])-ROW(LineærRegression_Valg[[#Headers],[Tabel ID]])</f>
        <v>531</v>
      </c>
      <c r="B541" s="188">
        <f>ROUNDDOWN((LineærRegression_Valg[[#This Row],[Tabel ID]]-1)/$B$5,0)+1</f>
        <v>133</v>
      </c>
      <c r="C541" s="188">
        <f t="shared" si="8"/>
        <v>3</v>
      </c>
      <c r="D541" s="188" t="b">
        <f>LineærRegression_Valg[[#This Row],[Afhængig variabel ID]]&lt;&gt;LineærRegression_Valg[[#This Row],[Uafhængig variabel ID]]</f>
        <v>1</v>
      </c>
      <c r="E541" t="b">
        <f>LineærRegression_Valg[[#This Row],[Afhængig variabel ID]]&lt;=$B$5</f>
        <v>0</v>
      </c>
      <c r="F541" t="str" cm="1">
        <f t="array" ref="F541">IF(LineærRegression_Valg[[#This Row],[Indenfor range]],INDEX(DataTitel_liste,LineærRegression_Valg[[#This Row],[Afhængig variabel ID]]),INDEX(DataTitel_liste,1))</f>
        <v>Eksempel 1 (interval)</v>
      </c>
      <c r="G541" s="188" t="str" cm="1">
        <f t="array" ref="G541">IF(LineærRegression_Valg[[#This Row],[Indenfor range]],IF(LineærRegression_Valg[[#This Row],[Intet overlap]],INDEX(DataTitel_liste,LineærRegression_Valg[[#This Row],[Uafhængig variabel ID]]),INDEX(DataTitel_liste,IF(LineærRegression_Valg[[#This Row],[Afhængig variabel ID]]=1,2,1))),$B$7)</f>
        <v>Eksempel 2 (interval)</v>
      </c>
      <c r="H541" s="188">
        <f>_xlfn.AGGREGATE(2,5,LineærRegression_Valg[[#This Row],[Tabel ID]])</f>
        <v>1</v>
      </c>
    </row>
    <row r="542" spans="1:8" x14ac:dyDescent="0.2">
      <c r="A542">
        <f>ROW(LineærRegression_Valg[[#This Row],[Tabel ID]])-ROW(LineærRegression_Valg[[#Headers],[Tabel ID]])</f>
        <v>532</v>
      </c>
      <c r="B542" s="188">
        <f>ROUNDDOWN((LineærRegression_Valg[[#This Row],[Tabel ID]]-1)/$B$5,0)+1</f>
        <v>133</v>
      </c>
      <c r="C542" s="188">
        <f t="shared" si="8"/>
        <v>4</v>
      </c>
      <c r="D542" s="188" t="b">
        <f>LineærRegression_Valg[[#This Row],[Afhængig variabel ID]]&lt;&gt;LineærRegression_Valg[[#This Row],[Uafhængig variabel ID]]</f>
        <v>1</v>
      </c>
      <c r="E542" t="b">
        <f>LineærRegression_Valg[[#This Row],[Afhængig variabel ID]]&lt;=$B$5</f>
        <v>0</v>
      </c>
      <c r="F542" t="str" cm="1">
        <f t="array" ref="F542">IF(LineærRegression_Valg[[#This Row],[Indenfor range]],INDEX(DataTitel_liste,LineærRegression_Valg[[#This Row],[Afhængig variabel ID]]),INDEX(DataTitel_liste,1))</f>
        <v>Eksempel 1 (interval)</v>
      </c>
      <c r="G542" s="188" t="str" cm="1">
        <f t="array" ref="G542">IF(LineærRegression_Valg[[#This Row],[Indenfor range]],IF(LineærRegression_Valg[[#This Row],[Intet overlap]],INDEX(DataTitel_liste,LineærRegression_Valg[[#This Row],[Uafhængig variabel ID]]),INDEX(DataTitel_liste,IF(LineærRegression_Valg[[#This Row],[Afhængig variabel ID]]=1,2,1))),$B$7)</f>
        <v>Eksempel 2 (interval)</v>
      </c>
      <c r="H542" s="188">
        <f>_xlfn.AGGREGATE(2,5,LineærRegression_Valg[[#This Row],[Tabel ID]])</f>
        <v>1</v>
      </c>
    </row>
    <row r="543" spans="1:8" x14ac:dyDescent="0.2">
      <c r="A543">
        <f>ROW(LineærRegression_Valg[[#This Row],[Tabel ID]])-ROW(LineærRegression_Valg[[#Headers],[Tabel ID]])</f>
        <v>533</v>
      </c>
      <c r="B543" s="188">
        <f>ROUNDDOWN((LineærRegression_Valg[[#This Row],[Tabel ID]]-1)/$B$5,0)+1</f>
        <v>134</v>
      </c>
      <c r="C543" s="188">
        <f t="shared" si="8"/>
        <v>1</v>
      </c>
      <c r="D543" s="188" t="b">
        <f>LineærRegression_Valg[[#This Row],[Afhængig variabel ID]]&lt;&gt;LineærRegression_Valg[[#This Row],[Uafhængig variabel ID]]</f>
        <v>1</v>
      </c>
      <c r="E543" t="b">
        <f>LineærRegression_Valg[[#This Row],[Afhængig variabel ID]]&lt;=$B$5</f>
        <v>0</v>
      </c>
      <c r="F543" t="str" cm="1">
        <f t="array" ref="F543">IF(LineærRegression_Valg[[#This Row],[Indenfor range]],INDEX(DataTitel_liste,LineærRegression_Valg[[#This Row],[Afhængig variabel ID]]),INDEX(DataTitel_liste,1))</f>
        <v>Eksempel 1 (interval)</v>
      </c>
      <c r="G543" s="188" t="str" cm="1">
        <f t="array" ref="G543">IF(LineærRegression_Valg[[#This Row],[Indenfor range]],IF(LineærRegression_Valg[[#This Row],[Intet overlap]],INDEX(DataTitel_liste,LineærRegression_Valg[[#This Row],[Uafhængig variabel ID]]),INDEX(DataTitel_liste,IF(LineærRegression_Valg[[#This Row],[Afhængig variabel ID]]=1,2,1))),$B$7)</f>
        <v>Eksempel 2 (interval)</v>
      </c>
      <c r="H543" s="188">
        <f>_xlfn.AGGREGATE(2,5,LineærRegression_Valg[[#This Row],[Tabel ID]])</f>
        <v>1</v>
      </c>
    </row>
    <row r="544" spans="1:8" x14ac:dyDescent="0.2">
      <c r="A544">
        <f>ROW(LineærRegression_Valg[[#This Row],[Tabel ID]])-ROW(LineærRegression_Valg[[#Headers],[Tabel ID]])</f>
        <v>534</v>
      </c>
      <c r="B544" s="188">
        <f>ROUNDDOWN((LineærRegression_Valg[[#This Row],[Tabel ID]]-1)/$B$5,0)+1</f>
        <v>134</v>
      </c>
      <c r="C544" s="188">
        <f t="shared" si="8"/>
        <v>2</v>
      </c>
      <c r="D544" s="188" t="b">
        <f>LineærRegression_Valg[[#This Row],[Afhængig variabel ID]]&lt;&gt;LineærRegression_Valg[[#This Row],[Uafhængig variabel ID]]</f>
        <v>1</v>
      </c>
      <c r="E544" t="b">
        <f>LineærRegression_Valg[[#This Row],[Afhængig variabel ID]]&lt;=$B$5</f>
        <v>0</v>
      </c>
      <c r="F544" t="str" cm="1">
        <f t="array" ref="F544">IF(LineærRegression_Valg[[#This Row],[Indenfor range]],INDEX(DataTitel_liste,LineærRegression_Valg[[#This Row],[Afhængig variabel ID]]),INDEX(DataTitel_liste,1))</f>
        <v>Eksempel 1 (interval)</v>
      </c>
      <c r="G544" s="188" t="str" cm="1">
        <f t="array" ref="G544">IF(LineærRegression_Valg[[#This Row],[Indenfor range]],IF(LineærRegression_Valg[[#This Row],[Intet overlap]],INDEX(DataTitel_liste,LineærRegression_Valg[[#This Row],[Uafhængig variabel ID]]),INDEX(DataTitel_liste,IF(LineærRegression_Valg[[#This Row],[Afhængig variabel ID]]=1,2,1))),$B$7)</f>
        <v>Eksempel 2 (interval)</v>
      </c>
      <c r="H544" s="188">
        <f>_xlfn.AGGREGATE(2,5,LineærRegression_Valg[[#This Row],[Tabel ID]])</f>
        <v>1</v>
      </c>
    </row>
    <row r="545" spans="1:8" x14ac:dyDescent="0.2">
      <c r="A545">
        <f>ROW(LineærRegression_Valg[[#This Row],[Tabel ID]])-ROW(LineærRegression_Valg[[#Headers],[Tabel ID]])</f>
        <v>535</v>
      </c>
      <c r="B545" s="188">
        <f>ROUNDDOWN((LineærRegression_Valg[[#This Row],[Tabel ID]]-1)/$B$5,0)+1</f>
        <v>134</v>
      </c>
      <c r="C545" s="188">
        <f t="shared" si="8"/>
        <v>3</v>
      </c>
      <c r="D545" s="188" t="b">
        <f>LineærRegression_Valg[[#This Row],[Afhængig variabel ID]]&lt;&gt;LineærRegression_Valg[[#This Row],[Uafhængig variabel ID]]</f>
        <v>1</v>
      </c>
      <c r="E545" t="b">
        <f>LineærRegression_Valg[[#This Row],[Afhængig variabel ID]]&lt;=$B$5</f>
        <v>0</v>
      </c>
      <c r="F545" t="str" cm="1">
        <f t="array" ref="F545">IF(LineærRegression_Valg[[#This Row],[Indenfor range]],INDEX(DataTitel_liste,LineærRegression_Valg[[#This Row],[Afhængig variabel ID]]),INDEX(DataTitel_liste,1))</f>
        <v>Eksempel 1 (interval)</v>
      </c>
      <c r="G545" s="188" t="str" cm="1">
        <f t="array" ref="G545">IF(LineærRegression_Valg[[#This Row],[Indenfor range]],IF(LineærRegression_Valg[[#This Row],[Intet overlap]],INDEX(DataTitel_liste,LineærRegression_Valg[[#This Row],[Uafhængig variabel ID]]),INDEX(DataTitel_liste,IF(LineærRegression_Valg[[#This Row],[Afhængig variabel ID]]=1,2,1))),$B$7)</f>
        <v>Eksempel 2 (interval)</v>
      </c>
      <c r="H545" s="188">
        <f>_xlfn.AGGREGATE(2,5,LineærRegression_Valg[[#This Row],[Tabel ID]])</f>
        <v>1</v>
      </c>
    </row>
    <row r="546" spans="1:8" x14ac:dyDescent="0.2">
      <c r="A546">
        <f>ROW(LineærRegression_Valg[[#This Row],[Tabel ID]])-ROW(LineærRegression_Valg[[#Headers],[Tabel ID]])</f>
        <v>536</v>
      </c>
      <c r="B546" s="188">
        <f>ROUNDDOWN((LineærRegression_Valg[[#This Row],[Tabel ID]]-1)/$B$5,0)+1</f>
        <v>134</v>
      </c>
      <c r="C546" s="188">
        <f t="shared" si="8"/>
        <v>4</v>
      </c>
      <c r="D546" s="188" t="b">
        <f>LineærRegression_Valg[[#This Row],[Afhængig variabel ID]]&lt;&gt;LineærRegression_Valg[[#This Row],[Uafhængig variabel ID]]</f>
        <v>1</v>
      </c>
      <c r="E546" t="b">
        <f>LineærRegression_Valg[[#This Row],[Afhængig variabel ID]]&lt;=$B$5</f>
        <v>0</v>
      </c>
      <c r="F546" t="str" cm="1">
        <f t="array" ref="F546">IF(LineærRegression_Valg[[#This Row],[Indenfor range]],INDEX(DataTitel_liste,LineærRegression_Valg[[#This Row],[Afhængig variabel ID]]),INDEX(DataTitel_liste,1))</f>
        <v>Eksempel 1 (interval)</v>
      </c>
      <c r="G546" s="188" t="str" cm="1">
        <f t="array" ref="G546">IF(LineærRegression_Valg[[#This Row],[Indenfor range]],IF(LineærRegression_Valg[[#This Row],[Intet overlap]],INDEX(DataTitel_liste,LineærRegression_Valg[[#This Row],[Uafhængig variabel ID]]),INDEX(DataTitel_liste,IF(LineærRegression_Valg[[#This Row],[Afhængig variabel ID]]=1,2,1))),$B$7)</f>
        <v>Eksempel 2 (interval)</v>
      </c>
      <c r="H546" s="188">
        <f>_xlfn.AGGREGATE(2,5,LineærRegression_Valg[[#This Row],[Tabel ID]])</f>
        <v>1</v>
      </c>
    </row>
    <row r="547" spans="1:8" x14ac:dyDescent="0.2">
      <c r="A547">
        <f>ROW(LineærRegression_Valg[[#This Row],[Tabel ID]])-ROW(LineærRegression_Valg[[#Headers],[Tabel ID]])</f>
        <v>537</v>
      </c>
      <c r="B547" s="188">
        <f>ROUNDDOWN((LineærRegression_Valg[[#This Row],[Tabel ID]]-1)/$B$5,0)+1</f>
        <v>135</v>
      </c>
      <c r="C547" s="188">
        <f t="shared" si="8"/>
        <v>1</v>
      </c>
      <c r="D547" s="188" t="b">
        <f>LineærRegression_Valg[[#This Row],[Afhængig variabel ID]]&lt;&gt;LineærRegression_Valg[[#This Row],[Uafhængig variabel ID]]</f>
        <v>1</v>
      </c>
      <c r="E547" t="b">
        <f>LineærRegression_Valg[[#This Row],[Afhængig variabel ID]]&lt;=$B$5</f>
        <v>0</v>
      </c>
      <c r="F547" t="str" cm="1">
        <f t="array" ref="F547">IF(LineærRegression_Valg[[#This Row],[Indenfor range]],INDEX(DataTitel_liste,LineærRegression_Valg[[#This Row],[Afhængig variabel ID]]),INDEX(DataTitel_liste,1))</f>
        <v>Eksempel 1 (interval)</v>
      </c>
      <c r="G547" s="188" t="str" cm="1">
        <f t="array" ref="G547">IF(LineærRegression_Valg[[#This Row],[Indenfor range]],IF(LineærRegression_Valg[[#This Row],[Intet overlap]],INDEX(DataTitel_liste,LineærRegression_Valg[[#This Row],[Uafhængig variabel ID]]),INDEX(DataTitel_liste,IF(LineærRegression_Valg[[#This Row],[Afhængig variabel ID]]=1,2,1))),$B$7)</f>
        <v>Eksempel 2 (interval)</v>
      </c>
      <c r="H547" s="188">
        <f>_xlfn.AGGREGATE(2,5,LineærRegression_Valg[[#This Row],[Tabel ID]])</f>
        <v>1</v>
      </c>
    </row>
    <row r="548" spans="1:8" x14ac:dyDescent="0.2">
      <c r="A548">
        <f>ROW(LineærRegression_Valg[[#This Row],[Tabel ID]])-ROW(LineærRegression_Valg[[#Headers],[Tabel ID]])</f>
        <v>538</v>
      </c>
      <c r="B548" s="188">
        <f>ROUNDDOWN((LineærRegression_Valg[[#This Row],[Tabel ID]]-1)/$B$5,0)+1</f>
        <v>135</v>
      </c>
      <c r="C548" s="188">
        <f t="shared" si="8"/>
        <v>2</v>
      </c>
      <c r="D548" s="188" t="b">
        <f>LineærRegression_Valg[[#This Row],[Afhængig variabel ID]]&lt;&gt;LineærRegression_Valg[[#This Row],[Uafhængig variabel ID]]</f>
        <v>1</v>
      </c>
      <c r="E548" t="b">
        <f>LineærRegression_Valg[[#This Row],[Afhængig variabel ID]]&lt;=$B$5</f>
        <v>0</v>
      </c>
      <c r="F548" t="str" cm="1">
        <f t="array" ref="F548">IF(LineærRegression_Valg[[#This Row],[Indenfor range]],INDEX(DataTitel_liste,LineærRegression_Valg[[#This Row],[Afhængig variabel ID]]),INDEX(DataTitel_liste,1))</f>
        <v>Eksempel 1 (interval)</v>
      </c>
      <c r="G548" s="188" t="str" cm="1">
        <f t="array" ref="G548">IF(LineærRegression_Valg[[#This Row],[Indenfor range]],IF(LineærRegression_Valg[[#This Row],[Intet overlap]],INDEX(DataTitel_liste,LineærRegression_Valg[[#This Row],[Uafhængig variabel ID]]),INDEX(DataTitel_liste,IF(LineærRegression_Valg[[#This Row],[Afhængig variabel ID]]=1,2,1))),$B$7)</f>
        <v>Eksempel 2 (interval)</v>
      </c>
      <c r="H548" s="188">
        <f>_xlfn.AGGREGATE(2,5,LineærRegression_Valg[[#This Row],[Tabel ID]])</f>
        <v>1</v>
      </c>
    </row>
    <row r="549" spans="1:8" x14ac:dyDescent="0.2">
      <c r="A549">
        <f>ROW(LineærRegression_Valg[[#This Row],[Tabel ID]])-ROW(LineærRegression_Valg[[#Headers],[Tabel ID]])</f>
        <v>539</v>
      </c>
      <c r="B549" s="188">
        <f>ROUNDDOWN((LineærRegression_Valg[[#This Row],[Tabel ID]]-1)/$B$5,0)+1</f>
        <v>135</v>
      </c>
      <c r="C549" s="188">
        <f t="shared" si="8"/>
        <v>3</v>
      </c>
      <c r="D549" s="188" t="b">
        <f>LineærRegression_Valg[[#This Row],[Afhængig variabel ID]]&lt;&gt;LineærRegression_Valg[[#This Row],[Uafhængig variabel ID]]</f>
        <v>1</v>
      </c>
      <c r="E549" t="b">
        <f>LineærRegression_Valg[[#This Row],[Afhængig variabel ID]]&lt;=$B$5</f>
        <v>0</v>
      </c>
      <c r="F549" t="str" cm="1">
        <f t="array" ref="F549">IF(LineærRegression_Valg[[#This Row],[Indenfor range]],INDEX(DataTitel_liste,LineærRegression_Valg[[#This Row],[Afhængig variabel ID]]),INDEX(DataTitel_liste,1))</f>
        <v>Eksempel 1 (interval)</v>
      </c>
      <c r="G549" s="188" t="str" cm="1">
        <f t="array" ref="G549">IF(LineærRegression_Valg[[#This Row],[Indenfor range]],IF(LineærRegression_Valg[[#This Row],[Intet overlap]],INDEX(DataTitel_liste,LineærRegression_Valg[[#This Row],[Uafhængig variabel ID]]),INDEX(DataTitel_liste,IF(LineærRegression_Valg[[#This Row],[Afhængig variabel ID]]=1,2,1))),$B$7)</f>
        <v>Eksempel 2 (interval)</v>
      </c>
      <c r="H549" s="188">
        <f>_xlfn.AGGREGATE(2,5,LineærRegression_Valg[[#This Row],[Tabel ID]])</f>
        <v>1</v>
      </c>
    </row>
    <row r="550" spans="1:8" x14ac:dyDescent="0.2">
      <c r="A550">
        <f>ROW(LineærRegression_Valg[[#This Row],[Tabel ID]])-ROW(LineærRegression_Valg[[#Headers],[Tabel ID]])</f>
        <v>540</v>
      </c>
      <c r="B550" s="188">
        <f>ROUNDDOWN((LineærRegression_Valg[[#This Row],[Tabel ID]]-1)/$B$5,0)+1</f>
        <v>135</v>
      </c>
      <c r="C550" s="188">
        <f t="shared" si="8"/>
        <v>4</v>
      </c>
      <c r="D550" s="188" t="b">
        <f>LineærRegression_Valg[[#This Row],[Afhængig variabel ID]]&lt;&gt;LineærRegression_Valg[[#This Row],[Uafhængig variabel ID]]</f>
        <v>1</v>
      </c>
      <c r="E550" t="b">
        <f>LineærRegression_Valg[[#This Row],[Afhængig variabel ID]]&lt;=$B$5</f>
        <v>0</v>
      </c>
      <c r="F550" t="str" cm="1">
        <f t="array" ref="F550">IF(LineærRegression_Valg[[#This Row],[Indenfor range]],INDEX(DataTitel_liste,LineærRegression_Valg[[#This Row],[Afhængig variabel ID]]),INDEX(DataTitel_liste,1))</f>
        <v>Eksempel 1 (interval)</v>
      </c>
      <c r="G550" s="188" t="str" cm="1">
        <f t="array" ref="G550">IF(LineærRegression_Valg[[#This Row],[Indenfor range]],IF(LineærRegression_Valg[[#This Row],[Intet overlap]],INDEX(DataTitel_liste,LineærRegression_Valg[[#This Row],[Uafhængig variabel ID]]),INDEX(DataTitel_liste,IF(LineærRegression_Valg[[#This Row],[Afhængig variabel ID]]=1,2,1))),$B$7)</f>
        <v>Eksempel 2 (interval)</v>
      </c>
      <c r="H550" s="188">
        <f>_xlfn.AGGREGATE(2,5,LineærRegression_Valg[[#This Row],[Tabel ID]])</f>
        <v>1</v>
      </c>
    </row>
    <row r="551" spans="1:8" x14ac:dyDescent="0.2">
      <c r="A551">
        <f>ROW(LineærRegression_Valg[[#This Row],[Tabel ID]])-ROW(LineærRegression_Valg[[#Headers],[Tabel ID]])</f>
        <v>541</v>
      </c>
      <c r="B551" s="188">
        <f>ROUNDDOWN((LineærRegression_Valg[[#This Row],[Tabel ID]]-1)/$B$5,0)+1</f>
        <v>136</v>
      </c>
      <c r="C551" s="188">
        <f t="shared" si="8"/>
        <v>1</v>
      </c>
      <c r="D551" s="188" t="b">
        <f>LineærRegression_Valg[[#This Row],[Afhængig variabel ID]]&lt;&gt;LineærRegression_Valg[[#This Row],[Uafhængig variabel ID]]</f>
        <v>1</v>
      </c>
      <c r="E551" t="b">
        <f>LineærRegression_Valg[[#This Row],[Afhængig variabel ID]]&lt;=$B$5</f>
        <v>0</v>
      </c>
      <c r="F551" t="str" cm="1">
        <f t="array" ref="F551">IF(LineærRegression_Valg[[#This Row],[Indenfor range]],INDEX(DataTitel_liste,LineærRegression_Valg[[#This Row],[Afhængig variabel ID]]),INDEX(DataTitel_liste,1))</f>
        <v>Eksempel 1 (interval)</v>
      </c>
      <c r="G551" s="188" t="str" cm="1">
        <f t="array" ref="G551">IF(LineærRegression_Valg[[#This Row],[Indenfor range]],IF(LineærRegression_Valg[[#This Row],[Intet overlap]],INDEX(DataTitel_liste,LineærRegression_Valg[[#This Row],[Uafhængig variabel ID]]),INDEX(DataTitel_liste,IF(LineærRegression_Valg[[#This Row],[Afhængig variabel ID]]=1,2,1))),$B$7)</f>
        <v>Eksempel 2 (interval)</v>
      </c>
      <c r="H551" s="188">
        <f>_xlfn.AGGREGATE(2,5,LineærRegression_Valg[[#This Row],[Tabel ID]])</f>
        <v>1</v>
      </c>
    </row>
    <row r="552" spans="1:8" x14ac:dyDescent="0.2">
      <c r="A552">
        <f>ROW(LineærRegression_Valg[[#This Row],[Tabel ID]])-ROW(LineærRegression_Valg[[#Headers],[Tabel ID]])</f>
        <v>542</v>
      </c>
      <c r="B552" s="188">
        <f>ROUNDDOWN((LineærRegression_Valg[[#This Row],[Tabel ID]]-1)/$B$5,0)+1</f>
        <v>136</v>
      </c>
      <c r="C552" s="188">
        <f t="shared" si="8"/>
        <v>2</v>
      </c>
      <c r="D552" s="188" t="b">
        <f>LineærRegression_Valg[[#This Row],[Afhængig variabel ID]]&lt;&gt;LineærRegression_Valg[[#This Row],[Uafhængig variabel ID]]</f>
        <v>1</v>
      </c>
      <c r="E552" t="b">
        <f>LineærRegression_Valg[[#This Row],[Afhængig variabel ID]]&lt;=$B$5</f>
        <v>0</v>
      </c>
      <c r="F552" t="str" cm="1">
        <f t="array" ref="F552">IF(LineærRegression_Valg[[#This Row],[Indenfor range]],INDEX(DataTitel_liste,LineærRegression_Valg[[#This Row],[Afhængig variabel ID]]),INDEX(DataTitel_liste,1))</f>
        <v>Eksempel 1 (interval)</v>
      </c>
      <c r="G552" s="188" t="str" cm="1">
        <f t="array" ref="G552">IF(LineærRegression_Valg[[#This Row],[Indenfor range]],IF(LineærRegression_Valg[[#This Row],[Intet overlap]],INDEX(DataTitel_liste,LineærRegression_Valg[[#This Row],[Uafhængig variabel ID]]),INDEX(DataTitel_liste,IF(LineærRegression_Valg[[#This Row],[Afhængig variabel ID]]=1,2,1))),$B$7)</f>
        <v>Eksempel 2 (interval)</v>
      </c>
      <c r="H552" s="188">
        <f>_xlfn.AGGREGATE(2,5,LineærRegression_Valg[[#This Row],[Tabel ID]])</f>
        <v>1</v>
      </c>
    </row>
    <row r="553" spans="1:8" x14ac:dyDescent="0.2">
      <c r="A553">
        <f>ROW(LineærRegression_Valg[[#This Row],[Tabel ID]])-ROW(LineærRegression_Valg[[#Headers],[Tabel ID]])</f>
        <v>543</v>
      </c>
      <c r="B553" s="188">
        <f>ROUNDDOWN((LineærRegression_Valg[[#This Row],[Tabel ID]]-1)/$B$5,0)+1</f>
        <v>136</v>
      </c>
      <c r="C553" s="188">
        <f t="shared" si="8"/>
        <v>3</v>
      </c>
      <c r="D553" s="188" t="b">
        <f>LineærRegression_Valg[[#This Row],[Afhængig variabel ID]]&lt;&gt;LineærRegression_Valg[[#This Row],[Uafhængig variabel ID]]</f>
        <v>1</v>
      </c>
      <c r="E553" t="b">
        <f>LineærRegression_Valg[[#This Row],[Afhængig variabel ID]]&lt;=$B$5</f>
        <v>0</v>
      </c>
      <c r="F553" t="str" cm="1">
        <f t="array" ref="F553">IF(LineærRegression_Valg[[#This Row],[Indenfor range]],INDEX(DataTitel_liste,LineærRegression_Valg[[#This Row],[Afhængig variabel ID]]),INDEX(DataTitel_liste,1))</f>
        <v>Eksempel 1 (interval)</v>
      </c>
      <c r="G553" s="188" t="str" cm="1">
        <f t="array" ref="G553">IF(LineærRegression_Valg[[#This Row],[Indenfor range]],IF(LineærRegression_Valg[[#This Row],[Intet overlap]],INDEX(DataTitel_liste,LineærRegression_Valg[[#This Row],[Uafhængig variabel ID]]),INDEX(DataTitel_liste,IF(LineærRegression_Valg[[#This Row],[Afhængig variabel ID]]=1,2,1))),$B$7)</f>
        <v>Eksempel 2 (interval)</v>
      </c>
      <c r="H553" s="188">
        <f>_xlfn.AGGREGATE(2,5,LineærRegression_Valg[[#This Row],[Tabel ID]])</f>
        <v>1</v>
      </c>
    </row>
    <row r="554" spans="1:8" x14ac:dyDescent="0.2">
      <c r="A554">
        <f>ROW(LineærRegression_Valg[[#This Row],[Tabel ID]])-ROW(LineærRegression_Valg[[#Headers],[Tabel ID]])</f>
        <v>544</v>
      </c>
      <c r="B554" s="188">
        <f>ROUNDDOWN((LineærRegression_Valg[[#This Row],[Tabel ID]]-1)/$B$5,0)+1</f>
        <v>136</v>
      </c>
      <c r="C554" s="188">
        <f t="shared" si="8"/>
        <v>4</v>
      </c>
      <c r="D554" s="188" t="b">
        <f>LineærRegression_Valg[[#This Row],[Afhængig variabel ID]]&lt;&gt;LineærRegression_Valg[[#This Row],[Uafhængig variabel ID]]</f>
        <v>1</v>
      </c>
      <c r="E554" t="b">
        <f>LineærRegression_Valg[[#This Row],[Afhængig variabel ID]]&lt;=$B$5</f>
        <v>0</v>
      </c>
      <c r="F554" t="str" cm="1">
        <f t="array" ref="F554">IF(LineærRegression_Valg[[#This Row],[Indenfor range]],INDEX(DataTitel_liste,LineærRegression_Valg[[#This Row],[Afhængig variabel ID]]),INDEX(DataTitel_liste,1))</f>
        <v>Eksempel 1 (interval)</v>
      </c>
      <c r="G554" s="188" t="str" cm="1">
        <f t="array" ref="G554">IF(LineærRegression_Valg[[#This Row],[Indenfor range]],IF(LineærRegression_Valg[[#This Row],[Intet overlap]],INDEX(DataTitel_liste,LineærRegression_Valg[[#This Row],[Uafhængig variabel ID]]),INDEX(DataTitel_liste,IF(LineærRegression_Valg[[#This Row],[Afhængig variabel ID]]=1,2,1))),$B$7)</f>
        <v>Eksempel 2 (interval)</v>
      </c>
      <c r="H554" s="188">
        <f>_xlfn.AGGREGATE(2,5,LineærRegression_Valg[[#This Row],[Tabel ID]])</f>
        <v>1</v>
      </c>
    </row>
    <row r="555" spans="1:8" x14ac:dyDescent="0.2">
      <c r="A555">
        <f>ROW(LineærRegression_Valg[[#This Row],[Tabel ID]])-ROW(LineærRegression_Valg[[#Headers],[Tabel ID]])</f>
        <v>545</v>
      </c>
      <c r="B555" s="188">
        <f>ROUNDDOWN((LineærRegression_Valg[[#This Row],[Tabel ID]]-1)/$B$5,0)+1</f>
        <v>137</v>
      </c>
      <c r="C555" s="188">
        <f t="shared" si="8"/>
        <v>1</v>
      </c>
      <c r="D555" s="188" t="b">
        <f>LineærRegression_Valg[[#This Row],[Afhængig variabel ID]]&lt;&gt;LineærRegression_Valg[[#This Row],[Uafhængig variabel ID]]</f>
        <v>1</v>
      </c>
      <c r="E555" t="b">
        <f>LineærRegression_Valg[[#This Row],[Afhængig variabel ID]]&lt;=$B$5</f>
        <v>0</v>
      </c>
      <c r="F555" t="str" cm="1">
        <f t="array" ref="F555">IF(LineærRegression_Valg[[#This Row],[Indenfor range]],INDEX(DataTitel_liste,LineærRegression_Valg[[#This Row],[Afhængig variabel ID]]),INDEX(DataTitel_liste,1))</f>
        <v>Eksempel 1 (interval)</v>
      </c>
      <c r="G555" s="188" t="str" cm="1">
        <f t="array" ref="G555">IF(LineærRegression_Valg[[#This Row],[Indenfor range]],IF(LineærRegression_Valg[[#This Row],[Intet overlap]],INDEX(DataTitel_liste,LineærRegression_Valg[[#This Row],[Uafhængig variabel ID]]),INDEX(DataTitel_liste,IF(LineærRegression_Valg[[#This Row],[Afhængig variabel ID]]=1,2,1))),$B$7)</f>
        <v>Eksempel 2 (interval)</v>
      </c>
      <c r="H555" s="188">
        <f>_xlfn.AGGREGATE(2,5,LineærRegression_Valg[[#This Row],[Tabel ID]])</f>
        <v>1</v>
      </c>
    </row>
    <row r="556" spans="1:8" x14ac:dyDescent="0.2">
      <c r="A556">
        <f>ROW(LineærRegression_Valg[[#This Row],[Tabel ID]])-ROW(LineærRegression_Valg[[#Headers],[Tabel ID]])</f>
        <v>546</v>
      </c>
      <c r="B556" s="188">
        <f>ROUNDDOWN((LineærRegression_Valg[[#This Row],[Tabel ID]]-1)/$B$5,0)+1</f>
        <v>137</v>
      </c>
      <c r="C556" s="188">
        <f t="shared" si="8"/>
        <v>2</v>
      </c>
      <c r="D556" s="188" t="b">
        <f>LineærRegression_Valg[[#This Row],[Afhængig variabel ID]]&lt;&gt;LineærRegression_Valg[[#This Row],[Uafhængig variabel ID]]</f>
        <v>1</v>
      </c>
      <c r="E556" t="b">
        <f>LineærRegression_Valg[[#This Row],[Afhængig variabel ID]]&lt;=$B$5</f>
        <v>0</v>
      </c>
      <c r="F556" t="str" cm="1">
        <f t="array" ref="F556">IF(LineærRegression_Valg[[#This Row],[Indenfor range]],INDEX(DataTitel_liste,LineærRegression_Valg[[#This Row],[Afhængig variabel ID]]),INDEX(DataTitel_liste,1))</f>
        <v>Eksempel 1 (interval)</v>
      </c>
      <c r="G556" s="188" t="str" cm="1">
        <f t="array" ref="G556">IF(LineærRegression_Valg[[#This Row],[Indenfor range]],IF(LineærRegression_Valg[[#This Row],[Intet overlap]],INDEX(DataTitel_liste,LineærRegression_Valg[[#This Row],[Uafhængig variabel ID]]),INDEX(DataTitel_liste,IF(LineærRegression_Valg[[#This Row],[Afhængig variabel ID]]=1,2,1))),$B$7)</f>
        <v>Eksempel 2 (interval)</v>
      </c>
      <c r="H556" s="188">
        <f>_xlfn.AGGREGATE(2,5,LineærRegression_Valg[[#This Row],[Tabel ID]])</f>
        <v>1</v>
      </c>
    </row>
    <row r="557" spans="1:8" x14ac:dyDescent="0.2">
      <c r="A557">
        <f>ROW(LineærRegression_Valg[[#This Row],[Tabel ID]])-ROW(LineærRegression_Valg[[#Headers],[Tabel ID]])</f>
        <v>547</v>
      </c>
      <c r="B557" s="188">
        <f>ROUNDDOWN((LineærRegression_Valg[[#This Row],[Tabel ID]]-1)/$B$5,0)+1</f>
        <v>137</v>
      </c>
      <c r="C557" s="188">
        <f t="shared" si="8"/>
        <v>3</v>
      </c>
      <c r="D557" s="188" t="b">
        <f>LineærRegression_Valg[[#This Row],[Afhængig variabel ID]]&lt;&gt;LineærRegression_Valg[[#This Row],[Uafhængig variabel ID]]</f>
        <v>1</v>
      </c>
      <c r="E557" t="b">
        <f>LineærRegression_Valg[[#This Row],[Afhængig variabel ID]]&lt;=$B$5</f>
        <v>0</v>
      </c>
      <c r="F557" t="str" cm="1">
        <f t="array" ref="F557">IF(LineærRegression_Valg[[#This Row],[Indenfor range]],INDEX(DataTitel_liste,LineærRegression_Valg[[#This Row],[Afhængig variabel ID]]),INDEX(DataTitel_liste,1))</f>
        <v>Eksempel 1 (interval)</v>
      </c>
      <c r="G557" s="188" t="str" cm="1">
        <f t="array" ref="G557">IF(LineærRegression_Valg[[#This Row],[Indenfor range]],IF(LineærRegression_Valg[[#This Row],[Intet overlap]],INDEX(DataTitel_liste,LineærRegression_Valg[[#This Row],[Uafhængig variabel ID]]),INDEX(DataTitel_liste,IF(LineærRegression_Valg[[#This Row],[Afhængig variabel ID]]=1,2,1))),$B$7)</f>
        <v>Eksempel 2 (interval)</v>
      </c>
      <c r="H557" s="188">
        <f>_xlfn.AGGREGATE(2,5,LineærRegression_Valg[[#This Row],[Tabel ID]])</f>
        <v>1</v>
      </c>
    </row>
    <row r="558" spans="1:8" x14ac:dyDescent="0.2">
      <c r="A558">
        <f>ROW(LineærRegression_Valg[[#This Row],[Tabel ID]])-ROW(LineærRegression_Valg[[#Headers],[Tabel ID]])</f>
        <v>548</v>
      </c>
      <c r="B558" s="188">
        <f>ROUNDDOWN((LineærRegression_Valg[[#This Row],[Tabel ID]]-1)/$B$5,0)+1</f>
        <v>137</v>
      </c>
      <c r="C558" s="188">
        <f t="shared" si="8"/>
        <v>4</v>
      </c>
      <c r="D558" s="188" t="b">
        <f>LineærRegression_Valg[[#This Row],[Afhængig variabel ID]]&lt;&gt;LineærRegression_Valg[[#This Row],[Uafhængig variabel ID]]</f>
        <v>1</v>
      </c>
      <c r="E558" t="b">
        <f>LineærRegression_Valg[[#This Row],[Afhængig variabel ID]]&lt;=$B$5</f>
        <v>0</v>
      </c>
      <c r="F558" t="str" cm="1">
        <f t="array" ref="F558">IF(LineærRegression_Valg[[#This Row],[Indenfor range]],INDEX(DataTitel_liste,LineærRegression_Valg[[#This Row],[Afhængig variabel ID]]),INDEX(DataTitel_liste,1))</f>
        <v>Eksempel 1 (interval)</v>
      </c>
      <c r="G558" s="188" t="str" cm="1">
        <f t="array" ref="G558">IF(LineærRegression_Valg[[#This Row],[Indenfor range]],IF(LineærRegression_Valg[[#This Row],[Intet overlap]],INDEX(DataTitel_liste,LineærRegression_Valg[[#This Row],[Uafhængig variabel ID]]),INDEX(DataTitel_liste,IF(LineærRegression_Valg[[#This Row],[Afhængig variabel ID]]=1,2,1))),$B$7)</f>
        <v>Eksempel 2 (interval)</v>
      </c>
      <c r="H558" s="188">
        <f>_xlfn.AGGREGATE(2,5,LineærRegression_Valg[[#This Row],[Tabel ID]])</f>
        <v>1</v>
      </c>
    </row>
    <row r="559" spans="1:8" x14ac:dyDescent="0.2">
      <c r="A559">
        <f>ROW(LineærRegression_Valg[[#This Row],[Tabel ID]])-ROW(LineærRegression_Valg[[#Headers],[Tabel ID]])</f>
        <v>549</v>
      </c>
      <c r="B559" s="188">
        <f>ROUNDDOWN((LineærRegression_Valg[[#This Row],[Tabel ID]]-1)/$B$5,0)+1</f>
        <v>138</v>
      </c>
      <c r="C559" s="188">
        <f t="shared" si="8"/>
        <v>1</v>
      </c>
      <c r="D559" s="188" t="b">
        <f>LineærRegression_Valg[[#This Row],[Afhængig variabel ID]]&lt;&gt;LineærRegression_Valg[[#This Row],[Uafhængig variabel ID]]</f>
        <v>1</v>
      </c>
      <c r="E559" t="b">
        <f>LineærRegression_Valg[[#This Row],[Afhængig variabel ID]]&lt;=$B$5</f>
        <v>0</v>
      </c>
      <c r="F559" t="str" cm="1">
        <f t="array" ref="F559">IF(LineærRegression_Valg[[#This Row],[Indenfor range]],INDEX(DataTitel_liste,LineærRegression_Valg[[#This Row],[Afhængig variabel ID]]),INDEX(DataTitel_liste,1))</f>
        <v>Eksempel 1 (interval)</v>
      </c>
      <c r="G559" s="188" t="str" cm="1">
        <f t="array" ref="G559">IF(LineærRegression_Valg[[#This Row],[Indenfor range]],IF(LineærRegression_Valg[[#This Row],[Intet overlap]],INDEX(DataTitel_liste,LineærRegression_Valg[[#This Row],[Uafhængig variabel ID]]),INDEX(DataTitel_liste,IF(LineærRegression_Valg[[#This Row],[Afhængig variabel ID]]=1,2,1))),$B$7)</f>
        <v>Eksempel 2 (interval)</v>
      </c>
      <c r="H559" s="188">
        <f>_xlfn.AGGREGATE(2,5,LineærRegression_Valg[[#This Row],[Tabel ID]])</f>
        <v>1</v>
      </c>
    </row>
    <row r="560" spans="1:8" x14ac:dyDescent="0.2">
      <c r="A560">
        <f>ROW(LineærRegression_Valg[[#This Row],[Tabel ID]])-ROW(LineærRegression_Valg[[#Headers],[Tabel ID]])</f>
        <v>550</v>
      </c>
      <c r="B560" s="188">
        <f>ROUNDDOWN((LineærRegression_Valg[[#This Row],[Tabel ID]]-1)/$B$5,0)+1</f>
        <v>138</v>
      </c>
      <c r="C560" s="188">
        <f t="shared" si="8"/>
        <v>2</v>
      </c>
      <c r="D560" s="188" t="b">
        <f>LineærRegression_Valg[[#This Row],[Afhængig variabel ID]]&lt;&gt;LineærRegression_Valg[[#This Row],[Uafhængig variabel ID]]</f>
        <v>1</v>
      </c>
      <c r="E560" t="b">
        <f>LineærRegression_Valg[[#This Row],[Afhængig variabel ID]]&lt;=$B$5</f>
        <v>0</v>
      </c>
      <c r="F560" t="str" cm="1">
        <f t="array" ref="F560">IF(LineærRegression_Valg[[#This Row],[Indenfor range]],INDEX(DataTitel_liste,LineærRegression_Valg[[#This Row],[Afhængig variabel ID]]),INDEX(DataTitel_liste,1))</f>
        <v>Eksempel 1 (interval)</v>
      </c>
      <c r="G560" s="188" t="str" cm="1">
        <f t="array" ref="G560">IF(LineærRegression_Valg[[#This Row],[Indenfor range]],IF(LineærRegression_Valg[[#This Row],[Intet overlap]],INDEX(DataTitel_liste,LineærRegression_Valg[[#This Row],[Uafhængig variabel ID]]),INDEX(DataTitel_liste,IF(LineærRegression_Valg[[#This Row],[Afhængig variabel ID]]=1,2,1))),$B$7)</f>
        <v>Eksempel 2 (interval)</v>
      </c>
      <c r="H560" s="188">
        <f>_xlfn.AGGREGATE(2,5,LineærRegression_Valg[[#This Row],[Tabel ID]])</f>
        <v>1</v>
      </c>
    </row>
    <row r="561" spans="1:8" x14ac:dyDescent="0.2">
      <c r="A561">
        <f>ROW(LineærRegression_Valg[[#This Row],[Tabel ID]])-ROW(LineærRegression_Valg[[#Headers],[Tabel ID]])</f>
        <v>551</v>
      </c>
      <c r="B561" s="188">
        <f>ROUNDDOWN((LineærRegression_Valg[[#This Row],[Tabel ID]]-1)/$B$5,0)+1</f>
        <v>138</v>
      </c>
      <c r="C561" s="188">
        <f t="shared" si="8"/>
        <v>3</v>
      </c>
      <c r="D561" s="188" t="b">
        <f>LineærRegression_Valg[[#This Row],[Afhængig variabel ID]]&lt;&gt;LineærRegression_Valg[[#This Row],[Uafhængig variabel ID]]</f>
        <v>1</v>
      </c>
      <c r="E561" t="b">
        <f>LineærRegression_Valg[[#This Row],[Afhængig variabel ID]]&lt;=$B$5</f>
        <v>0</v>
      </c>
      <c r="F561" t="str" cm="1">
        <f t="array" ref="F561">IF(LineærRegression_Valg[[#This Row],[Indenfor range]],INDEX(DataTitel_liste,LineærRegression_Valg[[#This Row],[Afhængig variabel ID]]),INDEX(DataTitel_liste,1))</f>
        <v>Eksempel 1 (interval)</v>
      </c>
      <c r="G561" s="188" t="str" cm="1">
        <f t="array" ref="G561">IF(LineærRegression_Valg[[#This Row],[Indenfor range]],IF(LineærRegression_Valg[[#This Row],[Intet overlap]],INDEX(DataTitel_liste,LineærRegression_Valg[[#This Row],[Uafhængig variabel ID]]),INDEX(DataTitel_liste,IF(LineærRegression_Valg[[#This Row],[Afhængig variabel ID]]=1,2,1))),$B$7)</f>
        <v>Eksempel 2 (interval)</v>
      </c>
      <c r="H561" s="188">
        <f>_xlfn.AGGREGATE(2,5,LineærRegression_Valg[[#This Row],[Tabel ID]])</f>
        <v>1</v>
      </c>
    </row>
    <row r="562" spans="1:8" x14ac:dyDescent="0.2">
      <c r="A562">
        <f>ROW(LineærRegression_Valg[[#This Row],[Tabel ID]])-ROW(LineærRegression_Valg[[#Headers],[Tabel ID]])</f>
        <v>552</v>
      </c>
      <c r="B562" s="188">
        <f>ROUNDDOWN((LineærRegression_Valg[[#This Row],[Tabel ID]]-1)/$B$5,0)+1</f>
        <v>138</v>
      </c>
      <c r="C562" s="188">
        <f t="shared" si="8"/>
        <v>4</v>
      </c>
      <c r="D562" s="188" t="b">
        <f>LineærRegression_Valg[[#This Row],[Afhængig variabel ID]]&lt;&gt;LineærRegression_Valg[[#This Row],[Uafhængig variabel ID]]</f>
        <v>1</v>
      </c>
      <c r="E562" t="b">
        <f>LineærRegression_Valg[[#This Row],[Afhængig variabel ID]]&lt;=$B$5</f>
        <v>0</v>
      </c>
      <c r="F562" t="str" cm="1">
        <f t="array" ref="F562">IF(LineærRegression_Valg[[#This Row],[Indenfor range]],INDEX(DataTitel_liste,LineærRegression_Valg[[#This Row],[Afhængig variabel ID]]),INDEX(DataTitel_liste,1))</f>
        <v>Eksempel 1 (interval)</v>
      </c>
      <c r="G562" s="188" t="str" cm="1">
        <f t="array" ref="G562">IF(LineærRegression_Valg[[#This Row],[Indenfor range]],IF(LineærRegression_Valg[[#This Row],[Intet overlap]],INDEX(DataTitel_liste,LineærRegression_Valg[[#This Row],[Uafhængig variabel ID]]),INDEX(DataTitel_liste,IF(LineærRegression_Valg[[#This Row],[Afhængig variabel ID]]=1,2,1))),$B$7)</f>
        <v>Eksempel 2 (interval)</v>
      </c>
      <c r="H562" s="188">
        <f>_xlfn.AGGREGATE(2,5,LineærRegression_Valg[[#This Row],[Tabel ID]])</f>
        <v>1</v>
      </c>
    </row>
    <row r="563" spans="1:8" x14ac:dyDescent="0.2">
      <c r="A563">
        <f>ROW(LineærRegression_Valg[[#This Row],[Tabel ID]])-ROW(LineærRegression_Valg[[#Headers],[Tabel ID]])</f>
        <v>553</v>
      </c>
      <c r="B563" s="188">
        <f>ROUNDDOWN((LineærRegression_Valg[[#This Row],[Tabel ID]]-1)/$B$5,0)+1</f>
        <v>139</v>
      </c>
      <c r="C563" s="188">
        <f t="shared" si="8"/>
        <v>1</v>
      </c>
      <c r="D563" s="188" t="b">
        <f>LineærRegression_Valg[[#This Row],[Afhængig variabel ID]]&lt;&gt;LineærRegression_Valg[[#This Row],[Uafhængig variabel ID]]</f>
        <v>1</v>
      </c>
      <c r="E563" t="b">
        <f>LineærRegression_Valg[[#This Row],[Afhængig variabel ID]]&lt;=$B$5</f>
        <v>0</v>
      </c>
      <c r="F563" t="str" cm="1">
        <f t="array" ref="F563">IF(LineærRegression_Valg[[#This Row],[Indenfor range]],INDEX(DataTitel_liste,LineærRegression_Valg[[#This Row],[Afhængig variabel ID]]),INDEX(DataTitel_liste,1))</f>
        <v>Eksempel 1 (interval)</v>
      </c>
      <c r="G563" s="188" t="str" cm="1">
        <f t="array" ref="G563">IF(LineærRegression_Valg[[#This Row],[Indenfor range]],IF(LineærRegression_Valg[[#This Row],[Intet overlap]],INDEX(DataTitel_liste,LineærRegression_Valg[[#This Row],[Uafhængig variabel ID]]),INDEX(DataTitel_liste,IF(LineærRegression_Valg[[#This Row],[Afhængig variabel ID]]=1,2,1))),$B$7)</f>
        <v>Eksempel 2 (interval)</v>
      </c>
      <c r="H563" s="188">
        <f>_xlfn.AGGREGATE(2,5,LineærRegression_Valg[[#This Row],[Tabel ID]])</f>
        <v>1</v>
      </c>
    </row>
    <row r="564" spans="1:8" x14ac:dyDescent="0.2">
      <c r="A564">
        <f>ROW(LineærRegression_Valg[[#This Row],[Tabel ID]])-ROW(LineærRegression_Valg[[#Headers],[Tabel ID]])</f>
        <v>554</v>
      </c>
      <c r="B564" s="188">
        <f>ROUNDDOWN((LineærRegression_Valg[[#This Row],[Tabel ID]]-1)/$B$5,0)+1</f>
        <v>139</v>
      </c>
      <c r="C564" s="188">
        <f t="shared" si="8"/>
        <v>2</v>
      </c>
      <c r="D564" s="188" t="b">
        <f>LineærRegression_Valg[[#This Row],[Afhængig variabel ID]]&lt;&gt;LineærRegression_Valg[[#This Row],[Uafhængig variabel ID]]</f>
        <v>1</v>
      </c>
      <c r="E564" t="b">
        <f>LineærRegression_Valg[[#This Row],[Afhængig variabel ID]]&lt;=$B$5</f>
        <v>0</v>
      </c>
      <c r="F564" t="str" cm="1">
        <f t="array" ref="F564">IF(LineærRegression_Valg[[#This Row],[Indenfor range]],INDEX(DataTitel_liste,LineærRegression_Valg[[#This Row],[Afhængig variabel ID]]),INDEX(DataTitel_liste,1))</f>
        <v>Eksempel 1 (interval)</v>
      </c>
      <c r="G564" s="188" t="str" cm="1">
        <f t="array" ref="G564">IF(LineærRegression_Valg[[#This Row],[Indenfor range]],IF(LineærRegression_Valg[[#This Row],[Intet overlap]],INDEX(DataTitel_liste,LineærRegression_Valg[[#This Row],[Uafhængig variabel ID]]),INDEX(DataTitel_liste,IF(LineærRegression_Valg[[#This Row],[Afhængig variabel ID]]=1,2,1))),$B$7)</f>
        <v>Eksempel 2 (interval)</v>
      </c>
      <c r="H564" s="188">
        <f>_xlfn.AGGREGATE(2,5,LineærRegression_Valg[[#This Row],[Tabel ID]])</f>
        <v>1</v>
      </c>
    </row>
    <row r="565" spans="1:8" x14ac:dyDescent="0.2">
      <c r="A565">
        <f>ROW(LineærRegression_Valg[[#This Row],[Tabel ID]])-ROW(LineærRegression_Valg[[#Headers],[Tabel ID]])</f>
        <v>555</v>
      </c>
      <c r="B565" s="188">
        <f>ROUNDDOWN((LineærRegression_Valg[[#This Row],[Tabel ID]]-1)/$B$5,0)+1</f>
        <v>139</v>
      </c>
      <c r="C565" s="188">
        <f t="shared" si="8"/>
        <v>3</v>
      </c>
      <c r="D565" s="188" t="b">
        <f>LineærRegression_Valg[[#This Row],[Afhængig variabel ID]]&lt;&gt;LineærRegression_Valg[[#This Row],[Uafhængig variabel ID]]</f>
        <v>1</v>
      </c>
      <c r="E565" t="b">
        <f>LineærRegression_Valg[[#This Row],[Afhængig variabel ID]]&lt;=$B$5</f>
        <v>0</v>
      </c>
      <c r="F565" t="str" cm="1">
        <f t="array" ref="F565">IF(LineærRegression_Valg[[#This Row],[Indenfor range]],INDEX(DataTitel_liste,LineærRegression_Valg[[#This Row],[Afhængig variabel ID]]),INDEX(DataTitel_liste,1))</f>
        <v>Eksempel 1 (interval)</v>
      </c>
      <c r="G565" s="188" t="str" cm="1">
        <f t="array" ref="G565">IF(LineærRegression_Valg[[#This Row],[Indenfor range]],IF(LineærRegression_Valg[[#This Row],[Intet overlap]],INDEX(DataTitel_liste,LineærRegression_Valg[[#This Row],[Uafhængig variabel ID]]),INDEX(DataTitel_liste,IF(LineærRegression_Valg[[#This Row],[Afhængig variabel ID]]=1,2,1))),$B$7)</f>
        <v>Eksempel 2 (interval)</v>
      </c>
      <c r="H565" s="188">
        <f>_xlfn.AGGREGATE(2,5,LineærRegression_Valg[[#This Row],[Tabel ID]])</f>
        <v>1</v>
      </c>
    </row>
    <row r="566" spans="1:8" x14ac:dyDescent="0.2">
      <c r="A566">
        <f>ROW(LineærRegression_Valg[[#This Row],[Tabel ID]])-ROW(LineærRegression_Valg[[#Headers],[Tabel ID]])</f>
        <v>556</v>
      </c>
      <c r="B566" s="188">
        <f>ROUNDDOWN((LineærRegression_Valg[[#This Row],[Tabel ID]]-1)/$B$5,0)+1</f>
        <v>139</v>
      </c>
      <c r="C566" s="188">
        <f t="shared" si="8"/>
        <v>4</v>
      </c>
      <c r="D566" s="188" t="b">
        <f>LineærRegression_Valg[[#This Row],[Afhængig variabel ID]]&lt;&gt;LineærRegression_Valg[[#This Row],[Uafhængig variabel ID]]</f>
        <v>1</v>
      </c>
      <c r="E566" t="b">
        <f>LineærRegression_Valg[[#This Row],[Afhængig variabel ID]]&lt;=$B$5</f>
        <v>0</v>
      </c>
      <c r="F566" t="str" cm="1">
        <f t="array" ref="F566">IF(LineærRegression_Valg[[#This Row],[Indenfor range]],INDEX(DataTitel_liste,LineærRegression_Valg[[#This Row],[Afhængig variabel ID]]),INDEX(DataTitel_liste,1))</f>
        <v>Eksempel 1 (interval)</v>
      </c>
      <c r="G566" s="188" t="str" cm="1">
        <f t="array" ref="G566">IF(LineærRegression_Valg[[#This Row],[Indenfor range]],IF(LineærRegression_Valg[[#This Row],[Intet overlap]],INDEX(DataTitel_liste,LineærRegression_Valg[[#This Row],[Uafhængig variabel ID]]),INDEX(DataTitel_liste,IF(LineærRegression_Valg[[#This Row],[Afhængig variabel ID]]=1,2,1))),$B$7)</f>
        <v>Eksempel 2 (interval)</v>
      </c>
      <c r="H566" s="188">
        <f>_xlfn.AGGREGATE(2,5,LineærRegression_Valg[[#This Row],[Tabel ID]])</f>
        <v>1</v>
      </c>
    </row>
    <row r="567" spans="1:8" x14ac:dyDescent="0.2">
      <c r="A567">
        <f>ROW(LineærRegression_Valg[[#This Row],[Tabel ID]])-ROW(LineærRegression_Valg[[#Headers],[Tabel ID]])</f>
        <v>557</v>
      </c>
      <c r="B567" s="188">
        <f>ROUNDDOWN((LineærRegression_Valg[[#This Row],[Tabel ID]]-1)/$B$5,0)+1</f>
        <v>140</v>
      </c>
      <c r="C567" s="188">
        <f t="shared" si="8"/>
        <v>1</v>
      </c>
      <c r="D567" s="188" t="b">
        <f>LineærRegression_Valg[[#This Row],[Afhængig variabel ID]]&lt;&gt;LineærRegression_Valg[[#This Row],[Uafhængig variabel ID]]</f>
        <v>1</v>
      </c>
      <c r="E567" t="b">
        <f>LineærRegression_Valg[[#This Row],[Afhængig variabel ID]]&lt;=$B$5</f>
        <v>0</v>
      </c>
      <c r="F567" t="str" cm="1">
        <f t="array" ref="F567">IF(LineærRegression_Valg[[#This Row],[Indenfor range]],INDEX(DataTitel_liste,LineærRegression_Valg[[#This Row],[Afhængig variabel ID]]),INDEX(DataTitel_liste,1))</f>
        <v>Eksempel 1 (interval)</v>
      </c>
      <c r="G567" s="188" t="str" cm="1">
        <f t="array" ref="G567">IF(LineærRegression_Valg[[#This Row],[Indenfor range]],IF(LineærRegression_Valg[[#This Row],[Intet overlap]],INDEX(DataTitel_liste,LineærRegression_Valg[[#This Row],[Uafhængig variabel ID]]),INDEX(DataTitel_liste,IF(LineærRegression_Valg[[#This Row],[Afhængig variabel ID]]=1,2,1))),$B$7)</f>
        <v>Eksempel 2 (interval)</v>
      </c>
      <c r="H567" s="188">
        <f>_xlfn.AGGREGATE(2,5,LineærRegression_Valg[[#This Row],[Tabel ID]])</f>
        <v>1</v>
      </c>
    </row>
    <row r="568" spans="1:8" x14ac:dyDescent="0.2">
      <c r="A568">
        <f>ROW(LineærRegression_Valg[[#This Row],[Tabel ID]])-ROW(LineærRegression_Valg[[#Headers],[Tabel ID]])</f>
        <v>558</v>
      </c>
      <c r="B568" s="188">
        <f>ROUNDDOWN((LineærRegression_Valg[[#This Row],[Tabel ID]]-1)/$B$5,0)+1</f>
        <v>140</v>
      </c>
      <c r="C568" s="188">
        <f t="shared" si="8"/>
        <v>2</v>
      </c>
      <c r="D568" s="188" t="b">
        <f>LineærRegression_Valg[[#This Row],[Afhængig variabel ID]]&lt;&gt;LineærRegression_Valg[[#This Row],[Uafhængig variabel ID]]</f>
        <v>1</v>
      </c>
      <c r="E568" t="b">
        <f>LineærRegression_Valg[[#This Row],[Afhængig variabel ID]]&lt;=$B$5</f>
        <v>0</v>
      </c>
      <c r="F568" t="str" cm="1">
        <f t="array" ref="F568">IF(LineærRegression_Valg[[#This Row],[Indenfor range]],INDEX(DataTitel_liste,LineærRegression_Valg[[#This Row],[Afhængig variabel ID]]),INDEX(DataTitel_liste,1))</f>
        <v>Eksempel 1 (interval)</v>
      </c>
      <c r="G568" s="188" t="str" cm="1">
        <f t="array" ref="G568">IF(LineærRegression_Valg[[#This Row],[Indenfor range]],IF(LineærRegression_Valg[[#This Row],[Intet overlap]],INDEX(DataTitel_liste,LineærRegression_Valg[[#This Row],[Uafhængig variabel ID]]),INDEX(DataTitel_liste,IF(LineærRegression_Valg[[#This Row],[Afhængig variabel ID]]=1,2,1))),$B$7)</f>
        <v>Eksempel 2 (interval)</v>
      </c>
      <c r="H568" s="188">
        <f>_xlfn.AGGREGATE(2,5,LineærRegression_Valg[[#This Row],[Tabel ID]])</f>
        <v>1</v>
      </c>
    </row>
    <row r="569" spans="1:8" x14ac:dyDescent="0.2">
      <c r="A569">
        <f>ROW(LineærRegression_Valg[[#This Row],[Tabel ID]])-ROW(LineærRegression_Valg[[#Headers],[Tabel ID]])</f>
        <v>559</v>
      </c>
      <c r="B569" s="188">
        <f>ROUNDDOWN((LineærRegression_Valg[[#This Row],[Tabel ID]]-1)/$B$5,0)+1</f>
        <v>140</v>
      </c>
      <c r="C569" s="188">
        <f t="shared" si="8"/>
        <v>3</v>
      </c>
      <c r="D569" s="188" t="b">
        <f>LineærRegression_Valg[[#This Row],[Afhængig variabel ID]]&lt;&gt;LineærRegression_Valg[[#This Row],[Uafhængig variabel ID]]</f>
        <v>1</v>
      </c>
      <c r="E569" t="b">
        <f>LineærRegression_Valg[[#This Row],[Afhængig variabel ID]]&lt;=$B$5</f>
        <v>0</v>
      </c>
      <c r="F569" t="str" cm="1">
        <f t="array" ref="F569">IF(LineærRegression_Valg[[#This Row],[Indenfor range]],INDEX(DataTitel_liste,LineærRegression_Valg[[#This Row],[Afhængig variabel ID]]),INDEX(DataTitel_liste,1))</f>
        <v>Eksempel 1 (interval)</v>
      </c>
      <c r="G569" s="188" t="str" cm="1">
        <f t="array" ref="G569">IF(LineærRegression_Valg[[#This Row],[Indenfor range]],IF(LineærRegression_Valg[[#This Row],[Intet overlap]],INDEX(DataTitel_liste,LineærRegression_Valg[[#This Row],[Uafhængig variabel ID]]),INDEX(DataTitel_liste,IF(LineærRegression_Valg[[#This Row],[Afhængig variabel ID]]=1,2,1))),$B$7)</f>
        <v>Eksempel 2 (interval)</v>
      </c>
      <c r="H569" s="188">
        <f>_xlfn.AGGREGATE(2,5,LineærRegression_Valg[[#This Row],[Tabel ID]])</f>
        <v>1</v>
      </c>
    </row>
    <row r="570" spans="1:8" x14ac:dyDescent="0.2">
      <c r="A570">
        <f>ROW(LineærRegression_Valg[[#This Row],[Tabel ID]])-ROW(LineærRegression_Valg[[#Headers],[Tabel ID]])</f>
        <v>560</v>
      </c>
      <c r="B570" s="188">
        <f>ROUNDDOWN((LineærRegression_Valg[[#This Row],[Tabel ID]]-1)/$B$5,0)+1</f>
        <v>140</v>
      </c>
      <c r="C570" s="188">
        <f t="shared" si="8"/>
        <v>4</v>
      </c>
      <c r="D570" s="188" t="b">
        <f>LineærRegression_Valg[[#This Row],[Afhængig variabel ID]]&lt;&gt;LineærRegression_Valg[[#This Row],[Uafhængig variabel ID]]</f>
        <v>1</v>
      </c>
      <c r="E570" t="b">
        <f>LineærRegression_Valg[[#This Row],[Afhængig variabel ID]]&lt;=$B$5</f>
        <v>0</v>
      </c>
      <c r="F570" t="str" cm="1">
        <f t="array" ref="F570">IF(LineærRegression_Valg[[#This Row],[Indenfor range]],INDEX(DataTitel_liste,LineærRegression_Valg[[#This Row],[Afhængig variabel ID]]),INDEX(DataTitel_liste,1))</f>
        <v>Eksempel 1 (interval)</v>
      </c>
      <c r="G570" s="188" t="str" cm="1">
        <f t="array" ref="G570">IF(LineærRegression_Valg[[#This Row],[Indenfor range]],IF(LineærRegression_Valg[[#This Row],[Intet overlap]],INDEX(DataTitel_liste,LineærRegression_Valg[[#This Row],[Uafhængig variabel ID]]),INDEX(DataTitel_liste,IF(LineærRegression_Valg[[#This Row],[Afhængig variabel ID]]=1,2,1))),$B$7)</f>
        <v>Eksempel 2 (interval)</v>
      </c>
      <c r="H570" s="188">
        <f>_xlfn.AGGREGATE(2,5,LineærRegression_Valg[[#This Row],[Tabel ID]])</f>
        <v>1</v>
      </c>
    </row>
    <row r="571" spans="1:8" x14ac:dyDescent="0.2">
      <c r="A571">
        <f>ROW(LineærRegression_Valg[[#This Row],[Tabel ID]])-ROW(LineærRegression_Valg[[#Headers],[Tabel ID]])</f>
        <v>561</v>
      </c>
      <c r="B571" s="188">
        <f>ROUNDDOWN((LineærRegression_Valg[[#This Row],[Tabel ID]]-1)/$B$5,0)+1</f>
        <v>141</v>
      </c>
      <c r="C571" s="188">
        <f t="shared" si="8"/>
        <v>1</v>
      </c>
      <c r="D571" s="188" t="b">
        <f>LineærRegression_Valg[[#This Row],[Afhængig variabel ID]]&lt;&gt;LineærRegression_Valg[[#This Row],[Uafhængig variabel ID]]</f>
        <v>1</v>
      </c>
      <c r="E571" t="b">
        <f>LineærRegression_Valg[[#This Row],[Afhængig variabel ID]]&lt;=$B$5</f>
        <v>0</v>
      </c>
      <c r="F571" t="str" cm="1">
        <f t="array" ref="F571">IF(LineærRegression_Valg[[#This Row],[Indenfor range]],INDEX(DataTitel_liste,LineærRegression_Valg[[#This Row],[Afhængig variabel ID]]),INDEX(DataTitel_liste,1))</f>
        <v>Eksempel 1 (interval)</v>
      </c>
      <c r="G571" s="188" t="str" cm="1">
        <f t="array" ref="G571">IF(LineærRegression_Valg[[#This Row],[Indenfor range]],IF(LineærRegression_Valg[[#This Row],[Intet overlap]],INDEX(DataTitel_liste,LineærRegression_Valg[[#This Row],[Uafhængig variabel ID]]),INDEX(DataTitel_liste,IF(LineærRegression_Valg[[#This Row],[Afhængig variabel ID]]=1,2,1))),$B$7)</f>
        <v>Eksempel 2 (interval)</v>
      </c>
      <c r="H571" s="188">
        <f>_xlfn.AGGREGATE(2,5,LineærRegression_Valg[[#This Row],[Tabel ID]])</f>
        <v>1</v>
      </c>
    </row>
    <row r="572" spans="1:8" x14ac:dyDescent="0.2">
      <c r="A572">
        <f>ROW(LineærRegression_Valg[[#This Row],[Tabel ID]])-ROW(LineærRegression_Valg[[#Headers],[Tabel ID]])</f>
        <v>562</v>
      </c>
      <c r="B572" s="188">
        <f>ROUNDDOWN((LineærRegression_Valg[[#This Row],[Tabel ID]]-1)/$B$5,0)+1</f>
        <v>141</v>
      </c>
      <c r="C572" s="188">
        <f t="shared" si="8"/>
        <v>2</v>
      </c>
      <c r="D572" s="188" t="b">
        <f>LineærRegression_Valg[[#This Row],[Afhængig variabel ID]]&lt;&gt;LineærRegression_Valg[[#This Row],[Uafhængig variabel ID]]</f>
        <v>1</v>
      </c>
      <c r="E572" t="b">
        <f>LineærRegression_Valg[[#This Row],[Afhængig variabel ID]]&lt;=$B$5</f>
        <v>0</v>
      </c>
      <c r="F572" t="str" cm="1">
        <f t="array" ref="F572">IF(LineærRegression_Valg[[#This Row],[Indenfor range]],INDEX(DataTitel_liste,LineærRegression_Valg[[#This Row],[Afhængig variabel ID]]),INDEX(DataTitel_liste,1))</f>
        <v>Eksempel 1 (interval)</v>
      </c>
      <c r="G572" s="188" t="str" cm="1">
        <f t="array" ref="G572">IF(LineærRegression_Valg[[#This Row],[Indenfor range]],IF(LineærRegression_Valg[[#This Row],[Intet overlap]],INDEX(DataTitel_liste,LineærRegression_Valg[[#This Row],[Uafhængig variabel ID]]),INDEX(DataTitel_liste,IF(LineærRegression_Valg[[#This Row],[Afhængig variabel ID]]=1,2,1))),$B$7)</f>
        <v>Eksempel 2 (interval)</v>
      </c>
      <c r="H572" s="188">
        <f>_xlfn.AGGREGATE(2,5,LineærRegression_Valg[[#This Row],[Tabel ID]])</f>
        <v>1</v>
      </c>
    </row>
    <row r="573" spans="1:8" x14ac:dyDescent="0.2">
      <c r="A573">
        <f>ROW(LineærRegression_Valg[[#This Row],[Tabel ID]])-ROW(LineærRegression_Valg[[#Headers],[Tabel ID]])</f>
        <v>563</v>
      </c>
      <c r="B573" s="188">
        <f>ROUNDDOWN((LineærRegression_Valg[[#This Row],[Tabel ID]]-1)/$B$5,0)+1</f>
        <v>141</v>
      </c>
      <c r="C573" s="188">
        <f t="shared" si="8"/>
        <v>3</v>
      </c>
      <c r="D573" s="188" t="b">
        <f>LineærRegression_Valg[[#This Row],[Afhængig variabel ID]]&lt;&gt;LineærRegression_Valg[[#This Row],[Uafhængig variabel ID]]</f>
        <v>1</v>
      </c>
      <c r="E573" t="b">
        <f>LineærRegression_Valg[[#This Row],[Afhængig variabel ID]]&lt;=$B$5</f>
        <v>0</v>
      </c>
      <c r="F573" t="str" cm="1">
        <f t="array" ref="F573">IF(LineærRegression_Valg[[#This Row],[Indenfor range]],INDEX(DataTitel_liste,LineærRegression_Valg[[#This Row],[Afhængig variabel ID]]),INDEX(DataTitel_liste,1))</f>
        <v>Eksempel 1 (interval)</v>
      </c>
      <c r="G573" s="188" t="str" cm="1">
        <f t="array" ref="G573">IF(LineærRegression_Valg[[#This Row],[Indenfor range]],IF(LineærRegression_Valg[[#This Row],[Intet overlap]],INDEX(DataTitel_liste,LineærRegression_Valg[[#This Row],[Uafhængig variabel ID]]),INDEX(DataTitel_liste,IF(LineærRegression_Valg[[#This Row],[Afhængig variabel ID]]=1,2,1))),$B$7)</f>
        <v>Eksempel 2 (interval)</v>
      </c>
      <c r="H573" s="188">
        <f>_xlfn.AGGREGATE(2,5,LineærRegression_Valg[[#This Row],[Tabel ID]])</f>
        <v>1</v>
      </c>
    </row>
    <row r="574" spans="1:8" x14ac:dyDescent="0.2">
      <c r="A574">
        <f>ROW(LineærRegression_Valg[[#This Row],[Tabel ID]])-ROW(LineærRegression_Valg[[#Headers],[Tabel ID]])</f>
        <v>564</v>
      </c>
      <c r="B574" s="188">
        <f>ROUNDDOWN((LineærRegression_Valg[[#This Row],[Tabel ID]]-1)/$B$5,0)+1</f>
        <v>141</v>
      </c>
      <c r="C574" s="188">
        <f t="shared" si="8"/>
        <v>4</v>
      </c>
      <c r="D574" s="188" t="b">
        <f>LineærRegression_Valg[[#This Row],[Afhængig variabel ID]]&lt;&gt;LineærRegression_Valg[[#This Row],[Uafhængig variabel ID]]</f>
        <v>1</v>
      </c>
      <c r="E574" t="b">
        <f>LineærRegression_Valg[[#This Row],[Afhængig variabel ID]]&lt;=$B$5</f>
        <v>0</v>
      </c>
      <c r="F574" t="str" cm="1">
        <f t="array" ref="F574">IF(LineærRegression_Valg[[#This Row],[Indenfor range]],INDEX(DataTitel_liste,LineærRegression_Valg[[#This Row],[Afhængig variabel ID]]),INDEX(DataTitel_liste,1))</f>
        <v>Eksempel 1 (interval)</v>
      </c>
      <c r="G574" s="188" t="str" cm="1">
        <f t="array" ref="G574">IF(LineærRegression_Valg[[#This Row],[Indenfor range]],IF(LineærRegression_Valg[[#This Row],[Intet overlap]],INDEX(DataTitel_liste,LineærRegression_Valg[[#This Row],[Uafhængig variabel ID]]),INDEX(DataTitel_liste,IF(LineærRegression_Valg[[#This Row],[Afhængig variabel ID]]=1,2,1))),$B$7)</f>
        <v>Eksempel 2 (interval)</v>
      </c>
      <c r="H574" s="188">
        <f>_xlfn.AGGREGATE(2,5,LineærRegression_Valg[[#This Row],[Tabel ID]])</f>
        <v>1</v>
      </c>
    </row>
    <row r="575" spans="1:8" x14ac:dyDescent="0.2">
      <c r="A575">
        <f>ROW(LineærRegression_Valg[[#This Row],[Tabel ID]])-ROW(LineærRegression_Valg[[#Headers],[Tabel ID]])</f>
        <v>565</v>
      </c>
      <c r="B575" s="188">
        <f>ROUNDDOWN((LineærRegression_Valg[[#This Row],[Tabel ID]]-1)/$B$5,0)+1</f>
        <v>142</v>
      </c>
      <c r="C575" s="188">
        <f t="shared" si="8"/>
        <v>1</v>
      </c>
      <c r="D575" s="188" t="b">
        <f>LineærRegression_Valg[[#This Row],[Afhængig variabel ID]]&lt;&gt;LineærRegression_Valg[[#This Row],[Uafhængig variabel ID]]</f>
        <v>1</v>
      </c>
      <c r="E575" t="b">
        <f>LineærRegression_Valg[[#This Row],[Afhængig variabel ID]]&lt;=$B$5</f>
        <v>0</v>
      </c>
      <c r="F575" t="str" cm="1">
        <f t="array" ref="F575">IF(LineærRegression_Valg[[#This Row],[Indenfor range]],INDEX(DataTitel_liste,LineærRegression_Valg[[#This Row],[Afhængig variabel ID]]),INDEX(DataTitel_liste,1))</f>
        <v>Eksempel 1 (interval)</v>
      </c>
      <c r="G575" s="188" t="str" cm="1">
        <f t="array" ref="G575">IF(LineærRegression_Valg[[#This Row],[Indenfor range]],IF(LineærRegression_Valg[[#This Row],[Intet overlap]],INDEX(DataTitel_liste,LineærRegression_Valg[[#This Row],[Uafhængig variabel ID]]),INDEX(DataTitel_liste,IF(LineærRegression_Valg[[#This Row],[Afhængig variabel ID]]=1,2,1))),$B$7)</f>
        <v>Eksempel 2 (interval)</v>
      </c>
      <c r="H575" s="188">
        <f>_xlfn.AGGREGATE(2,5,LineærRegression_Valg[[#This Row],[Tabel ID]])</f>
        <v>1</v>
      </c>
    </row>
    <row r="576" spans="1:8" x14ac:dyDescent="0.2">
      <c r="A576">
        <f>ROW(LineærRegression_Valg[[#This Row],[Tabel ID]])-ROW(LineærRegression_Valg[[#Headers],[Tabel ID]])</f>
        <v>566</v>
      </c>
      <c r="B576" s="188">
        <f>ROUNDDOWN((LineærRegression_Valg[[#This Row],[Tabel ID]]-1)/$B$5,0)+1</f>
        <v>142</v>
      </c>
      <c r="C576" s="188">
        <f t="shared" si="8"/>
        <v>2</v>
      </c>
      <c r="D576" s="188" t="b">
        <f>LineærRegression_Valg[[#This Row],[Afhængig variabel ID]]&lt;&gt;LineærRegression_Valg[[#This Row],[Uafhængig variabel ID]]</f>
        <v>1</v>
      </c>
      <c r="E576" t="b">
        <f>LineærRegression_Valg[[#This Row],[Afhængig variabel ID]]&lt;=$B$5</f>
        <v>0</v>
      </c>
      <c r="F576" t="str" cm="1">
        <f t="array" ref="F576">IF(LineærRegression_Valg[[#This Row],[Indenfor range]],INDEX(DataTitel_liste,LineærRegression_Valg[[#This Row],[Afhængig variabel ID]]),INDEX(DataTitel_liste,1))</f>
        <v>Eksempel 1 (interval)</v>
      </c>
      <c r="G576" s="188" t="str" cm="1">
        <f t="array" ref="G576">IF(LineærRegression_Valg[[#This Row],[Indenfor range]],IF(LineærRegression_Valg[[#This Row],[Intet overlap]],INDEX(DataTitel_liste,LineærRegression_Valg[[#This Row],[Uafhængig variabel ID]]),INDEX(DataTitel_liste,IF(LineærRegression_Valg[[#This Row],[Afhængig variabel ID]]=1,2,1))),$B$7)</f>
        <v>Eksempel 2 (interval)</v>
      </c>
      <c r="H576" s="188">
        <f>_xlfn.AGGREGATE(2,5,LineærRegression_Valg[[#This Row],[Tabel ID]])</f>
        <v>1</v>
      </c>
    </row>
    <row r="577" spans="1:8" x14ac:dyDescent="0.2">
      <c r="A577">
        <f>ROW(LineærRegression_Valg[[#This Row],[Tabel ID]])-ROW(LineærRegression_Valg[[#Headers],[Tabel ID]])</f>
        <v>567</v>
      </c>
      <c r="B577" s="188">
        <f>ROUNDDOWN((LineærRegression_Valg[[#This Row],[Tabel ID]]-1)/$B$5,0)+1</f>
        <v>142</v>
      </c>
      <c r="C577" s="188">
        <f t="shared" si="8"/>
        <v>3</v>
      </c>
      <c r="D577" s="188" t="b">
        <f>LineærRegression_Valg[[#This Row],[Afhængig variabel ID]]&lt;&gt;LineærRegression_Valg[[#This Row],[Uafhængig variabel ID]]</f>
        <v>1</v>
      </c>
      <c r="E577" t="b">
        <f>LineærRegression_Valg[[#This Row],[Afhængig variabel ID]]&lt;=$B$5</f>
        <v>0</v>
      </c>
      <c r="F577" t="str" cm="1">
        <f t="array" ref="F577">IF(LineærRegression_Valg[[#This Row],[Indenfor range]],INDEX(DataTitel_liste,LineærRegression_Valg[[#This Row],[Afhængig variabel ID]]),INDEX(DataTitel_liste,1))</f>
        <v>Eksempel 1 (interval)</v>
      </c>
      <c r="G577" s="188" t="str" cm="1">
        <f t="array" ref="G577">IF(LineærRegression_Valg[[#This Row],[Indenfor range]],IF(LineærRegression_Valg[[#This Row],[Intet overlap]],INDEX(DataTitel_liste,LineærRegression_Valg[[#This Row],[Uafhængig variabel ID]]),INDEX(DataTitel_liste,IF(LineærRegression_Valg[[#This Row],[Afhængig variabel ID]]=1,2,1))),$B$7)</f>
        <v>Eksempel 2 (interval)</v>
      </c>
      <c r="H577" s="188">
        <f>_xlfn.AGGREGATE(2,5,LineærRegression_Valg[[#This Row],[Tabel ID]])</f>
        <v>1</v>
      </c>
    </row>
    <row r="578" spans="1:8" x14ac:dyDescent="0.2">
      <c r="A578">
        <f>ROW(LineærRegression_Valg[[#This Row],[Tabel ID]])-ROW(LineærRegression_Valg[[#Headers],[Tabel ID]])</f>
        <v>568</v>
      </c>
      <c r="B578" s="188">
        <f>ROUNDDOWN((LineærRegression_Valg[[#This Row],[Tabel ID]]-1)/$B$5,0)+1</f>
        <v>142</v>
      </c>
      <c r="C578" s="188">
        <f t="shared" si="8"/>
        <v>4</v>
      </c>
      <c r="D578" s="188" t="b">
        <f>LineærRegression_Valg[[#This Row],[Afhængig variabel ID]]&lt;&gt;LineærRegression_Valg[[#This Row],[Uafhængig variabel ID]]</f>
        <v>1</v>
      </c>
      <c r="E578" t="b">
        <f>LineærRegression_Valg[[#This Row],[Afhængig variabel ID]]&lt;=$B$5</f>
        <v>0</v>
      </c>
      <c r="F578" t="str" cm="1">
        <f t="array" ref="F578">IF(LineærRegression_Valg[[#This Row],[Indenfor range]],INDEX(DataTitel_liste,LineærRegression_Valg[[#This Row],[Afhængig variabel ID]]),INDEX(DataTitel_liste,1))</f>
        <v>Eksempel 1 (interval)</v>
      </c>
      <c r="G578" s="188" t="str" cm="1">
        <f t="array" ref="G578">IF(LineærRegression_Valg[[#This Row],[Indenfor range]],IF(LineærRegression_Valg[[#This Row],[Intet overlap]],INDEX(DataTitel_liste,LineærRegression_Valg[[#This Row],[Uafhængig variabel ID]]),INDEX(DataTitel_liste,IF(LineærRegression_Valg[[#This Row],[Afhængig variabel ID]]=1,2,1))),$B$7)</f>
        <v>Eksempel 2 (interval)</v>
      </c>
      <c r="H578" s="188">
        <f>_xlfn.AGGREGATE(2,5,LineærRegression_Valg[[#This Row],[Tabel ID]])</f>
        <v>1</v>
      </c>
    </row>
    <row r="579" spans="1:8" x14ac:dyDescent="0.2">
      <c r="A579">
        <f>ROW(LineærRegression_Valg[[#This Row],[Tabel ID]])-ROW(LineærRegression_Valg[[#Headers],[Tabel ID]])</f>
        <v>569</v>
      </c>
      <c r="B579" s="188">
        <f>ROUNDDOWN((LineærRegression_Valg[[#This Row],[Tabel ID]]-1)/$B$5,0)+1</f>
        <v>143</v>
      </c>
      <c r="C579" s="188">
        <f t="shared" si="8"/>
        <v>1</v>
      </c>
      <c r="D579" s="188" t="b">
        <f>LineærRegression_Valg[[#This Row],[Afhængig variabel ID]]&lt;&gt;LineærRegression_Valg[[#This Row],[Uafhængig variabel ID]]</f>
        <v>1</v>
      </c>
      <c r="E579" t="b">
        <f>LineærRegression_Valg[[#This Row],[Afhængig variabel ID]]&lt;=$B$5</f>
        <v>0</v>
      </c>
      <c r="F579" t="str" cm="1">
        <f t="array" ref="F579">IF(LineærRegression_Valg[[#This Row],[Indenfor range]],INDEX(DataTitel_liste,LineærRegression_Valg[[#This Row],[Afhængig variabel ID]]),INDEX(DataTitel_liste,1))</f>
        <v>Eksempel 1 (interval)</v>
      </c>
      <c r="G579" s="188" t="str" cm="1">
        <f t="array" ref="G579">IF(LineærRegression_Valg[[#This Row],[Indenfor range]],IF(LineærRegression_Valg[[#This Row],[Intet overlap]],INDEX(DataTitel_liste,LineærRegression_Valg[[#This Row],[Uafhængig variabel ID]]),INDEX(DataTitel_liste,IF(LineærRegression_Valg[[#This Row],[Afhængig variabel ID]]=1,2,1))),$B$7)</f>
        <v>Eksempel 2 (interval)</v>
      </c>
      <c r="H579" s="188">
        <f>_xlfn.AGGREGATE(2,5,LineærRegression_Valg[[#This Row],[Tabel ID]])</f>
        <v>1</v>
      </c>
    </row>
    <row r="580" spans="1:8" x14ac:dyDescent="0.2">
      <c r="A580">
        <f>ROW(LineærRegression_Valg[[#This Row],[Tabel ID]])-ROW(LineærRegression_Valg[[#Headers],[Tabel ID]])</f>
        <v>570</v>
      </c>
      <c r="B580" s="188">
        <f>ROUNDDOWN((LineærRegression_Valg[[#This Row],[Tabel ID]]-1)/$B$5,0)+1</f>
        <v>143</v>
      </c>
      <c r="C580" s="188">
        <f t="shared" si="8"/>
        <v>2</v>
      </c>
      <c r="D580" s="188" t="b">
        <f>LineærRegression_Valg[[#This Row],[Afhængig variabel ID]]&lt;&gt;LineærRegression_Valg[[#This Row],[Uafhængig variabel ID]]</f>
        <v>1</v>
      </c>
      <c r="E580" t="b">
        <f>LineærRegression_Valg[[#This Row],[Afhængig variabel ID]]&lt;=$B$5</f>
        <v>0</v>
      </c>
      <c r="F580" t="str" cm="1">
        <f t="array" ref="F580">IF(LineærRegression_Valg[[#This Row],[Indenfor range]],INDEX(DataTitel_liste,LineærRegression_Valg[[#This Row],[Afhængig variabel ID]]),INDEX(DataTitel_liste,1))</f>
        <v>Eksempel 1 (interval)</v>
      </c>
      <c r="G580" s="188" t="str" cm="1">
        <f t="array" ref="G580">IF(LineærRegression_Valg[[#This Row],[Indenfor range]],IF(LineærRegression_Valg[[#This Row],[Intet overlap]],INDEX(DataTitel_liste,LineærRegression_Valg[[#This Row],[Uafhængig variabel ID]]),INDEX(DataTitel_liste,IF(LineærRegression_Valg[[#This Row],[Afhængig variabel ID]]=1,2,1))),$B$7)</f>
        <v>Eksempel 2 (interval)</v>
      </c>
      <c r="H580" s="188">
        <f>_xlfn.AGGREGATE(2,5,LineærRegression_Valg[[#This Row],[Tabel ID]])</f>
        <v>1</v>
      </c>
    </row>
    <row r="581" spans="1:8" x14ac:dyDescent="0.2">
      <c r="A581">
        <f>ROW(LineærRegression_Valg[[#This Row],[Tabel ID]])-ROW(LineærRegression_Valg[[#Headers],[Tabel ID]])</f>
        <v>571</v>
      </c>
      <c r="B581" s="188">
        <f>ROUNDDOWN((LineærRegression_Valg[[#This Row],[Tabel ID]]-1)/$B$5,0)+1</f>
        <v>143</v>
      </c>
      <c r="C581" s="188">
        <f t="shared" si="8"/>
        <v>3</v>
      </c>
      <c r="D581" s="188" t="b">
        <f>LineærRegression_Valg[[#This Row],[Afhængig variabel ID]]&lt;&gt;LineærRegression_Valg[[#This Row],[Uafhængig variabel ID]]</f>
        <v>1</v>
      </c>
      <c r="E581" t="b">
        <f>LineærRegression_Valg[[#This Row],[Afhængig variabel ID]]&lt;=$B$5</f>
        <v>0</v>
      </c>
      <c r="F581" t="str" cm="1">
        <f t="array" ref="F581">IF(LineærRegression_Valg[[#This Row],[Indenfor range]],INDEX(DataTitel_liste,LineærRegression_Valg[[#This Row],[Afhængig variabel ID]]),INDEX(DataTitel_liste,1))</f>
        <v>Eksempel 1 (interval)</v>
      </c>
      <c r="G581" s="188" t="str" cm="1">
        <f t="array" ref="G581">IF(LineærRegression_Valg[[#This Row],[Indenfor range]],IF(LineærRegression_Valg[[#This Row],[Intet overlap]],INDEX(DataTitel_liste,LineærRegression_Valg[[#This Row],[Uafhængig variabel ID]]),INDEX(DataTitel_liste,IF(LineærRegression_Valg[[#This Row],[Afhængig variabel ID]]=1,2,1))),$B$7)</f>
        <v>Eksempel 2 (interval)</v>
      </c>
      <c r="H581" s="188">
        <f>_xlfn.AGGREGATE(2,5,LineærRegression_Valg[[#This Row],[Tabel ID]])</f>
        <v>1</v>
      </c>
    </row>
    <row r="582" spans="1:8" x14ac:dyDescent="0.2">
      <c r="A582">
        <f>ROW(LineærRegression_Valg[[#This Row],[Tabel ID]])-ROW(LineærRegression_Valg[[#Headers],[Tabel ID]])</f>
        <v>572</v>
      </c>
      <c r="B582" s="188">
        <f>ROUNDDOWN((LineærRegression_Valg[[#This Row],[Tabel ID]]-1)/$B$5,0)+1</f>
        <v>143</v>
      </c>
      <c r="C582" s="188">
        <f t="shared" si="8"/>
        <v>4</v>
      </c>
      <c r="D582" s="188" t="b">
        <f>LineærRegression_Valg[[#This Row],[Afhængig variabel ID]]&lt;&gt;LineærRegression_Valg[[#This Row],[Uafhængig variabel ID]]</f>
        <v>1</v>
      </c>
      <c r="E582" t="b">
        <f>LineærRegression_Valg[[#This Row],[Afhængig variabel ID]]&lt;=$B$5</f>
        <v>0</v>
      </c>
      <c r="F582" t="str" cm="1">
        <f t="array" ref="F582">IF(LineærRegression_Valg[[#This Row],[Indenfor range]],INDEX(DataTitel_liste,LineærRegression_Valg[[#This Row],[Afhængig variabel ID]]),INDEX(DataTitel_liste,1))</f>
        <v>Eksempel 1 (interval)</v>
      </c>
      <c r="G582" s="188" t="str" cm="1">
        <f t="array" ref="G582">IF(LineærRegression_Valg[[#This Row],[Indenfor range]],IF(LineærRegression_Valg[[#This Row],[Intet overlap]],INDEX(DataTitel_liste,LineærRegression_Valg[[#This Row],[Uafhængig variabel ID]]),INDEX(DataTitel_liste,IF(LineærRegression_Valg[[#This Row],[Afhængig variabel ID]]=1,2,1))),$B$7)</f>
        <v>Eksempel 2 (interval)</v>
      </c>
      <c r="H582" s="188">
        <f>_xlfn.AGGREGATE(2,5,LineærRegression_Valg[[#This Row],[Tabel ID]])</f>
        <v>1</v>
      </c>
    </row>
    <row r="583" spans="1:8" x14ac:dyDescent="0.2">
      <c r="A583">
        <f>ROW(LineærRegression_Valg[[#This Row],[Tabel ID]])-ROW(LineærRegression_Valg[[#Headers],[Tabel ID]])</f>
        <v>573</v>
      </c>
      <c r="B583" s="188">
        <f>ROUNDDOWN((LineærRegression_Valg[[#This Row],[Tabel ID]]-1)/$B$5,0)+1</f>
        <v>144</v>
      </c>
      <c r="C583" s="188">
        <f t="shared" si="8"/>
        <v>1</v>
      </c>
      <c r="D583" s="188" t="b">
        <f>LineærRegression_Valg[[#This Row],[Afhængig variabel ID]]&lt;&gt;LineærRegression_Valg[[#This Row],[Uafhængig variabel ID]]</f>
        <v>1</v>
      </c>
      <c r="E583" t="b">
        <f>LineærRegression_Valg[[#This Row],[Afhængig variabel ID]]&lt;=$B$5</f>
        <v>0</v>
      </c>
      <c r="F583" t="str" cm="1">
        <f t="array" ref="F583">IF(LineærRegression_Valg[[#This Row],[Indenfor range]],INDEX(DataTitel_liste,LineærRegression_Valg[[#This Row],[Afhængig variabel ID]]),INDEX(DataTitel_liste,1))</f>
        <v>Eksempel 1 (interval)</v>
      </c>
      <c r="G583" s="188" t="str" cm="1">
        <f t="array" ref="G583">IF(LineærRegression_Valg[[#This Row],[Indenfor range]],IF(LineærRegression_Valg[[#This Row],[Intet overlap]],INDEX(DataTitel_liste,LineærRegression_Valg[[#This Row],[Uafhængig variabel ID]]),INDEX(DataTitel_liste,IF(LineærRegression_Valg[[#This Row],[Afhængig variabel ID]]=1,2,1))),$B$7)</f>
        <v>Eksempel 2 (interval)</v>
      </c>
      <c r="H583" s="188">
        <f>_xlfn.AGGREGATE(2,5,LineærRegression_Valg[[#This Row],[Tabel ID]])</f>
        <v>1</v>
      </c>
    </row>
    <row r="584" spans="1:8" x14ac:dyDescent="0.2">
      <c r="A584">
        <f>ROW(LineærRegression_Valg[[#This Row],[Tabel ID]])-ROW(LineærRegression_Valg[[#Headers],[Tabel ID]])</f>
        <v>574</v>
      </c>
      <c r="B584" s="188">
        <f>ROUNDDOWN((LineærRegression_Valg[[#This Row],[Tabel ID]]-1)/$B$5,0)+1</f>
        <v>144</v>
      </c>
      <c r="C584" s="188">
        <f t="shared" si="8"/>
        <v>2</v>
      </c>
      <c r="D584" s="188" t="b">
        <f>LineærRegression_Valg[[#This Row],[Afhængig variabel ID]]&lt;&gt;LineærRegression_Valg[[#This Row],[Uafhængig variabel ID]]</f>
        <v>1</v>
      </c>
      <c r="E584" t="b">
        <f>LineærRegression_Valg[[#This Row],[Afhængig variabel ID]]&lt;=$B$5</f>
        <v>0</v>
      </c>
      <c r="F584" t="str" cm="1">
        <f t="array" ref="F584">IF(LineærRegression_Valg[[#This Row],[Indenfor range]],INDEX(DataTitel_liste,LineærRegression_Valg[[#This Row],[Afhængig variabel ID]]),INDEX(DataTitel_liste,1))</f>
        <v>Eksempel 1 (interval)</v>
      </c>
      <c r="G584" s="188" t="str" cm="1">
        <f t="array" ref="G584">IF(LineærRegression_Valg[[#This Row],[Indenfor range]],IF(LineærRegression_Valg[[#This Row],[Intet overlap]],INDEX(DataTitel_liste,LineærRegression_Valg[[#This Row],[Uafhængig variabel ID]]),INDEX(DataTitel_liste,IF(LineærRegression_Valg[[#This Row],[Afhængig variabel ID]]=1,2,1))),$B$7)</f>
        <v>Eksempel 2 (interval)</v>
      </c>
      <c r="H584" s="188">
        <f>_xlfn.AGGREGATE(2,5,LineærRegression_Valg[[#This Row],[Tabel ID]])</f>
        <v>1</v>
      </c>
    </row>
    <row r="585" spans="1:8" x14ac:dyDescent="0.2">
      <c r="A585">
        <f>ROW(LineærRegression_Valg[[#This Row],[Tabel ID]])-ROW(LineærRegression_Valg[[#Headers],[Tabel ID]])</f>
        <v>575</v>
      </c>
      <c r="B585" s="188">
        <f>ROUNDDOWN((LineærRegression_Valg[[#This Row],[Tabel ID]]-1)/$B$5,0)+1</f>
        <v>144</v>
      </c>
      <c r="C585" s="188">
        <f t="shared" si="8"/>
        <v>3</v>
      </c>
      <c r="D585" s="188" t="b">
        <f>LineærRegression_Valg[[#This Row],[Afhængig variabel ID]]&lt;&gt;LineærRegression_Valg[[#This Row],[Uafhængig variabel ID]]</f>
        <v>1</v>
      </c>
      <c r="E585" t="b">
        <f>LineærRegression_Valg[[#This Row],[Afhængig variabel ID]]&lt;=$B$5</f>
        <v>0</v>
      </c>
      <c r="F585" t="str" cm="1">
        <f t="array" ref="F585">IF(LineærRegression_Valg[[#This Row],[Indenfor range]],INDEX(DataTitel_liste,LineærRegression_Valg[[#This Row],[Afhængig variabel ID]]),INDEX(DataTitel_liste,1))</f>
        <v>Eksempel 1 (interval)</v>
      </c>
      <c r="G585" s="188" t="str" cm="1">
        <f t="array" ref="G585">IF(LineærRegression_Valg[[#This Row],[Indenfor range]],IF(LineærRegression_Valg[[#This Row],[Intet overlap]],INDEX(DataTitel_liste,LineærRegression_Valg[[#This Row],[Uafhængig variabel ID]]),INDEX(DataTitel_liste,IF(LineærRegression_Valg[[#This Row],[Afhængig variabel ID]]=1,2,1))),$B$7)</f>
        <v>Eksempel 2 (interval)</v>
      </c>
      <c r="H585" s="188">
        <f>_xlfn.AGGREGATE(2,5,LineærRegression_Valg[[#This Row],[Tabel ID]])</f>
        <v>1</v>
      </c>
    </row>
    <row r="586" spans="1:8" x14ac:dyDescent="0.2">
      <c r="A586">
        <f>ROW(LineærRegression_Valg[[#This Row],[Tabel ID]])-ROW(LineærRegression_Valg[[#Headers],[Tabel ID]])</f>
        <v>576</v>
      </c>
      <c r="B586" s="188">
        <f>ROUNDDOWN((LineærRegression_Valg[[#This Row],[Tabel ID]]-1)/$B$5,0)+1</f>
        <v>144</v>
      </c>
      <c r="C586" s="188">
        <f t="shared" si="8"/>
        <v>4</v>
      </c>
      <c r="D586" s="188" t="b">
        <f>LineærRegression_Valg[[#This Row],[Afhængig variabel ID]]&lt;&gt;LineærRegression_Valg[[#This Row],[Uafhængig variabel ID]]</f>
        <v>1</v>
      </c>
      <c r="E586" t="b">
        <f>LineærRegression_Valg[[#This Row],[Afhængig variabel ID]]&lt;=$B$5</f>
        <v>0</v>
      </c>
      <c r="F586" t="str" cm="1">
        <f t="array" ref="F586">IF(LineærRegression_Valg[[#This Row],[Indenfor range]],INDEX(DataTitel_liste,LineærRegression_Valg[[#This Row],[Afhængig variabel ID]]),INDEX(DataTitel_liste,1))</f>
        <v>Eksempel 1 (interval)</v>
      </c>
      <c r="G586" s="188" t="str" cm="1">
        <f t="array" ref="G586">IF(LineærRegression_Valg[[#This Row],[Indenfor range]],IF(LineærRegression_Valg[[#This Row],[Intet overlap]],INDEX(DataTitel_liste,LineærRegression_Valg[[#This Row],[Uafhængig variabel ID]]),INDEX(DataTitel_liste,IF(LineærRegression_Valg[[#This Row],[Afhængig variabel ID]]=1,2,1))),$B$7)</f>
        <v>Eksempel 2 (interval)</v>
      </c>
      <c r="H586" s="188">
        <f>_xlfn.AGGREGATE(2,5,LineærRegression_Valg[[#This Row],[Tabel ID]])</f>
        <v>1</v>
      </c>
    </row>
    <row r="587" spans="1:8" x14ac:dyDescent="0.2">
      <c r="A587">
        <f>ROW(LineærRegression_Valg[[#This Row],[Tabel ID]])-ROW(LineærRegression_Valg[[#Headers],[Tabel ID]])</f>
        <v>577</v>
      </c>
      <c r="B587" s="188">
        <f>ROUNDDOWN((LineærRegression_Valg[[#This Row],[Tabel ID]]-1)/$B$5,0)+1</f>
        <v>145</v>
      </c>
      <c r="C587" s="188">
        <f t="shared" ref="C587:C650" si="9">MOD(A587-1,$B$5)+1</f>
        <v>1</v>
      </c>
      <c r="D587" s="188" t="b">
        <f>LineærRegression_Valg[[#This Row],[Afhængig variabel ID]]&lt;&gt;LineærRegression_Valg[[#This Row],[Uafhængig variabel ID]]</f>
        <v>1</v>
      </c>
      <c r="E587" t="b">
        <f>LineærRegression_Valg[[#This Row],[Afhængig variabel ID]]&lt;=$B$5</f>
        <v>0</v>
      </c>
      <c r="F587" t="str" cm="1">
        <f t="array" ref="F587">IF(LineærRegression_Valg[[#This Row],[Indenfor range]],INDEX(DataTitel_liste,LineærRegression_Valg[[#This Row],[Afhængig variabel ID]]),INDEX(DataTitel_liste,1))</f>
        <v>Eksempel 1 (interval)</v>
      </c>
      <c r="G587" s="188" t="str" cm="1">
        <f t="array" ref="G587">IF(LineærRegression_Valg[[#This Row],[Indenfor range]],IF(LineærRegression_Valg[[#This Row],[Intet overlap]],INDEX(DataTitel_liste,LineærRegression_Valg[[#This Row],[Uafhængig variabel ID]]),INDEX(DataTitel_liste,IF(LineærRegression_Valg[[#This Row],[Afhængig variabel ID]]=1,2,1))),$B$7)</f>
        <v>Eksempel 2 (interval)</v>
      </c>
      <c r="H587" s="188">
        <f>_xlfn.AGGREGATE(2,5,LineærRegression_Valg[[#This Row],[Tabel ID]])</f>
        <v>1</v>
      </c>
    </row>
    <row r="588" spans="1:8" x14ac:dyDescent="0.2">
      <c r="A588">
        <f>ROW(LineærRegression_Valg[[#This Row],[Tabel ID]])-ROW(LineærRegression_Valg[[#Headers],[Tabel ID]])</f>
        <v>578</v>
      </c>
      <c r="B588" s="188">
        <f>ROUNDDOWN((LineærRegression_Valg[[#This Row],[Tabel ID]]-1)/$B$5,0)+1</f>
        <v>145</v>
      </c>
      <c r="C588" s="188">
        <f t="shared" si="9"/>
        <v>2</v>
      </c>
      <c r="D588" s="188" t="b">
        <f>LineærRegression_Valg[[#This Row],[Afhængig variabel ID]]&lt;&gt;LineærRegression_Valg[[#This Row],[Uafhængig variabel ID]]</f>
        <v>1</v>
      </c>
      <c r="E588" t="b">
        <f>LineærRegression_Valg[[#This Row],[Afhængig variabel ID]]&lt;=$B$5</f>
        <v>0</v>
      </c>
      <c r="F588" t="str" cm="1">
        <f t="array" ref="F588">IF(LineærRegression_Valg[[#This Row],[Indenfor range]],INDEX(DataTitel_liste,LineærRegression_Valg[[#This Row],[Afhængig variabel ID]]),INDEX(DataTitel_liste,1))</f>
        <v>Eksempel 1 (interval)</v>
      </c>
      <c r="G588" s="188" t="str" cm="1">
        <f t="array" ref="G588">IF(LineærRegression_Valg[[#This Row],[Indenfor range]],IF(LineærRegression_Valg[[#This Row],[Intet overlap]],INDEX(DataTitel_liste,LineærRegression_Valg[[#This Row],[Uafhængig variabel ID]]),INDEX(DataTitel_liste,IF(LineærRegression_Valg[[#This Row],[Afhængig variabel ID]]=1,2,1))),$B$7)</f>
        <v>Eksempel 2 (interval)</v>
      </c>
      <c r="H588" s="188">
        <f>_xlfn.AGGREGATE(2,5,LineærRegression_Valg[[#This Row],[Tabel ID]])</f>
        <v>1</v>
      </c>
    </row>
    <row r="589" spans="1:8" x14ac:dyDescent="0.2">
      <c r="A589">
        <f>ROW(LineærRegression_Valg[[#This Row],[Tabel ID]])-ROW(LineærRegression_Valg[[#Headers],[Tabel ID]])</f>
        <v>579</v>
      </c>
      <c r="B589" s="188">
        <f>ROUNDDOWN((LineærRegression_Valg[[#This Row],[Tabel ID]]-1)/$B$5,0)+1</f>
        <v>145</v>
      </c>
      <c r="C589" s="188">
        <f t="shared" si="9"/>
        <v>3</v>
      </c>
      <c r="D589" s="188" t="b">
        <f>LineærRegression_Valg[[#This Row],[Afhængig variabel ID]]&lt;&gt;LineærRegression_Valg[[#This Row],[Uafhængig variabel ID]]</f>
        <v>1</v>
      </c>
      <c r="E589" t="b">
        <f>LineærRegression_Valg[[#This Row],[Afhængig variabel ID]]&lt;=$B$5</f>
        <v>0</v>
      </c>
      <c r="F589" t="str" cm="1">
        <f t="array" ref="F589">IF(LineærRegression_Valg[[#This Row],[Indenfor range]],INDEX(DataTitel_liste,LineærRegression_Valg[[#This Row],[Afhængig variabel ID]]),INDEX(DataTitel_liste,1))</f>
        <v>Eksempel 1 (interval)</v>
      </c>
      <c r="G589" s="188" t="str" cm="1">
        <f t="array" ref="G589">IF(LineærRegression_Valg[[#This Row],[Indenfor range]],IF(LineærRegression_Valg[[#This Row],[Intet overlap]],INDEX(DataTitel_liste,LineærRegression_Valg[[#This Row],[Uafhængig variabel ID]]),INDEX(DataTitel_liste,IF(LineærRegression_Valg[[#This Row],[Afhængig variabel ID]]=1,2,1))),$B$7)</f>
        <v>Eksempel 2 (interval)</v>
      </c>
      <c r="H589" s="188">
        <f>_xlfn.AGGREGATE(2,5,LineærRegression_Valg[[#This Row],[Tabel ID]])</f>
        <v>1</v>
      </c>
    </row>
    <row r="590" spans="1:8" x14ac:dyDescent="0.2">
      <c r="A590">
        <f>ROW(LineærRegression_Valg[[#This Row],[Tabel ID]])-ROW(LineærRegression_Valg[[#Headers],[Tabel ID]])</f>
        <v>580</v>
      </c>
      <c r="B590" s="188">
        <f>ROUNDDOWN((LineærRegression_Valg[[#This Row],[Tabel ID]]-1)/$B$5,0)+1</f>
        <v>145</v>
      </c>
      <c r="C590" s="188">
        <f t="shared" si="9"/>
        <v>4</v>
      </c>
      <c r="D590" s="188" t="b">
        <f>LineærRegression_Valg[[#This Row],[Afhængig variabel ID]]&lt;&gt;LineærRegression_Valg[[#This Row],[Uafhængig variabel ID]]</f>
        <v>1</v>
      </c>
      <c r="E590" t="b">
        <f>LineærRegression_Valg[[#This Row],[Afhængig variabel ID]]&lt;=$B$5</f>
        <v>0</v>
      </c>
      <c r="F590" t="str" cm="1">
        <f t="array" ref="F590">IF(LineærRegression_Valg[[#This Row],[Indenfor range]],INDEX(DataTitel_liste,LineærRegression_Valg[[#This Row],[Afhængig variabel ID]]),INDEX(DataTitel_liste,1))</f>
        <v>Eksempel 1 (interval)</v>
      </c>
      <c r="G590" s="188" t="str" cm="1">
        <f t="array" ref="G590">IF(LineærRegression_Valg[[#This Row],[Indenfor range]],IF(LineærRegression_Valg[[#This Row],[Intet overlap]],INDEX(DataTitel_liste,LineærRegression_Valg[[#This Row],[Uafhængig variabel ID]]),INDEX(DataTitel_liste,IF(LineærRegression_Valg[[#This Row],[Afhængig variabel ID]]=1,2,1))),$B$7)</f>
        <v>Eksempel 2 (interval)</v>
      </c>
      <c r="H590" s="188">
        <f>_xlfn.AGGREGATE(2,5,LineærRegression_Valg[[#This Row],[Tabel ID]])</f>
        <v>1</v>
      </c>
    </row>
    <row r="591" spans="1:8" x14ac:dyDescent="0.2">
      <c r="A591">
        <f>ROW(LineærRegression_Valg[[#This Row],[Tabel ID]])-ROW(LineærRegression_Valg[[#Headers],[Tabel ID]])</f>
        <v>581</v>
      </c>
      <c r="B591" s="188">
        <f>ROUNDDOWN((LineærRegression_Valg[[#This Row],[Tabel ID]]-1)/$B$5,0)+1</f>
        <v>146</v>
      </c>
      <c r="C591" s="188">
        <f t="shared" si="9"/>
        <v>1</v>
      </c>
      <c r="D591" s="188" t="b">
        <f>LineærRegression_Valg[[#This Row],[Afhængig variabel ID]]&lt;&gt;LineærRegression_Valg[[#This Row],[Uafhængig variabel ID]]</f>
        <v>1</v>
      </c>
      <c r="E591" t="b">
        <f>LineærRegression_Valg[[#This Row],[Afhængig variabel ID]]&lt;=$B$5</f>
        <v>0</v>
      </c>
      <c r="F591" t="str" cm="1">
        <f t="array" ref="F591">IF(LineærRegression_Valg[[#This Row],[Indenfor range]],INDEX(DataTitel_liste,LineærRegression_Valg[[#This Row],[Afhængig variabel ID]]),INDEX(DataTitel_liste,1))</f>
        <v>Eksempel 1 (interval)</v>
      </c>
      <c r="G591" s="188" t="str" cm="1">
        <f t="array" ref="G591">IF(LineærRegression_Valg[[#This Row],[Indenfor range]],IF(LineærRegression_Valg[[#This Row],[Intet overlap]],INDEX(DataTitel_liste,LineærRegression_Valg[[#This Row],[Uafhængig variabel ID]]),INDEX(DataTitel_liste,IF(LineærRegression_Valg[[#This Row],[Afhængig variabel ID]]=1,2,1))),$B$7)</f>
        <v>Eksempel 2 (interval)</v>
      </c>
      <c r="H591" s="188">
        <f>_xlfn.AGGREGATE(2,5,LineærRegression_Valg[[#This Row],[Tabel ID]])</f>
        <v>1</v>
      </c>
    </row>
    <row r="592" spans="1:8" x14ac:dyDescent="0.2">
      <c r="A592">
        <f>ROW(LineærRegression_Valg[[#This Row],[Tabel ID]])-ROW(LineærRegression_Valg[[#Headers],[Tabel ID]])</f>
        <v>582</v>
      </c>
      <c r="B592" s="188">
        <f>ROUNDDOWN((LineærRegression_Valg[[#This Row],[Tabel ID]]-1)/$B$5,0)+1</f>
        <v>146</v>
      </c>
      <c r="C592" s="188">
        <f t="shared" si="9"/>
        <v>2</v>
      </c>
      <c r="D592" s="188" t="b">
        <f>LineærRegression_Valg[[#This Row],[Afhængig variabel ID]]&lt;&gt;LineærRegression_Valg[[#This Row],[Uafhængig variabel ID]]</f>
        <v>1</v>
      </c>
      <c r="E592" t="b">
        <f>LineærRegression_Valg[[#This Row],[Afhængig variabel ID]]&lt;=$B$5</f>
        <v>0</v>
      </c>
      <c r="F592" t="str" cm="1">
        <f t="array" ref="F592">IF(LineærRegression_Valg[[#This Row],[Indenfor range]],INDEX(DataTitel_liste,LineærRegression_Valg[[#This Row],[Afhængig variabel ID]]),INDEX(DataTitel_liste,1))</f>
        <v>Eksempel 1 (interval)</v>
      </c>
      <c r="G592" s="188" t="str" cm="1">
        <f t="array" ref="G592">IF(LineærRegression_Valg[[#This Row],[Indenfor range]],IF(LineærRegression_Valg[[#This Row],[Intet overlap]],INDEX(DataTitel_liste,LineærRegression_Valg[[#This Row],[Uafhængig variabel ID]]),INDEX(DataTitel_liste,IF(LineærRegression_Valg[[#This Row],[Afhængig variabel ID]]=1,2,1))),$B$7)</f>
        <v>Eksempel 2 (interval)</v>
      </c>
      <c r="H592" s="188">
        <f>_xlfn.AGGREGATE(2,5,LineærRegression_Valg[[#This Row],[Tabel ID]])</f>
        <v>1</v>
      </c>
    </row>
    <row r="593" spans="1:8" x14ac:dyDescent="0.2">
      <c r="A593">
        <f>ROW(LineærRegression_Valg[[#This Row],[Tabel ID]])-ROW(LineærRegression_Valg[[#Headers],[Tabel ID]])</f>
        <v>583</v>
      </c>
      <c r="B593" s="188">
        <f>ROUNDDOWN((LineærRegression_Valg[[#This Row],[Tabel ID]]-1)/$B$5,0)+1</f>
        <v>146</v>
      </c>
      <c r="C593" s="188">
        <f t="shared" si="9"/>
        <v>3</v>
      </c>
      <c r="D593" s="188" t="b">
        <f>LineærRegression_Valg[[#This Row],[Afhængig variabel ID]]&lt;&gt;LineærRegression_Valg[[#This Row],[Uafhængig variabel ID]]</f>
        <v>1</v>
      </c>
      <c r="E593" t="b">
        <f>LineærRegression_Valg[[#This Row],[Afhængig variabel ID]]&lt;=$B$5</f>
        <v>0</v>
      </c>
      <c r="F593" t="str" cm="1">
        <f t="array" ref="F593">IF(LineærRegression_Valg[[#This Row],[Indenfor range]],INDEX(DataTitel_liste,LineærRegression_Valg[[#This Row],[Afhængig variabel ID]]),INDEX(DataTitel_liste,1))</f>
        <v>Eksempel 1 (interval)</v>
      </c>
      <c r="G593" s="188" t="str" cm="1">
        <f t="array" ref="G593">IF(LineærRegression_Valg[[#This Row],[Indenfor range]],IF(LineærRegression_Valg[[#This Row],[Intet overlap]],INDEX(DataTitel_liste,LineærRegression_Valg[[#This Row],[Uafhængig variabel ID]]),INDEX(DataTitel_liste,IF(LineærRegression_Valg[[#This Row],[Afhængig variabel ID]]=1,2,1))),$B$7)</f>
        <v>Eksempel 2 (interval)</v>
      </c>
      <c r="H593" s="188">
        <f>_xlfn.AGGREGATE(2,5,LineærRegression_Valg[[#This Row],[Tabel ID]])</f>
        <v>1</v>
      </c>
    </row>
    <row r="594" spans="1:8" x14ac:dyDescent="0.2">
      <c r="A594">
        <f>ROW(LineærRegression_Valg[[#This Row],[Tabel ID]])-ROW(LineærRegression_Valg[[#Headers],[Tabel ID]])</f>
        <v>584</v>
      </c>
      <c r="B594" s="188">
        <f>ROUNDDOWN((LineærRegression_Valg[[#This Row],[Tabel ID]]-1)/$B$5,0)+1</f>
        <v>146</v>
      </c>
      <c r="C594" s="188">
        <f t="shared" si="9"/>
        <v>4</v>
      </c>
      <c r="D594" s="188" t="b">
        <f>LineærRegression_Valg[[#This Row],[Afhængig variabel ID]]&lt;&gt;LineærRegression_Valg[[#This Row],[Uafhængig variabel ID]]</f>
        <v>1</v>
      </c>
      <c r="E594" t="b">
        <f>LineærRegression_Valg[[#This Row],[Afhængig variabel ID]]&lt;=$B$5</f>
        <v>0</v>
      </c>
      <c r="F594" t="str" cm="1">
        <f t="array" ref="F594">IF(LineærRegression_Valg[[#This Row],[Indenfor range]],INDEX(DataTitel_liste,LineærRegression_Valg[[#This Row],[Afhængig variabel ID]]),INDEX(DataTitel_liste,1))</f>
        <v>Eksempel 1 (interval)</v>
      </c>
      <c r="G594" s="188" t="str" cm="1">
        <f t="array" ref="G594">IF(LineærRegression_Valg[[#This Row],[Indenfor range]],IF(LineærRegression_Valg[[#This Row],[Intet overlap]],INDEX(DataTitel_liste,LineærRegression_Valg[[#This Row],[Uafhængig variabel ID]]),INDEX(DataTitel_liste,IF(LineærRegression_Valg[[#This Row],[Afhængig variabel ID]]=1,2,1))),$B$7)</f>
        <v>Eksempel 2 (interval)</v>
      </c>
      <c r="H594" s="188">
        <f>_xlfn.AGGREGATE(2,5,LineærRegression_Valg[[#This Row],[Tabel ID]])</f>
        <v>1</v>
      </c>
    </row>
    <row r="595" spans="1:8" x14ac:dyDescent="0.2">
      <c r="A595">
        <f>ROW(LineærRegression_Valg[[#This Row],[Tabel ID]])-ROW(LineærRegression_Valg[[#Headers],[Tabel ID]])</f>
        <v>585</v>
      </c>
      <c r="B595" s="188">
        <f>ROUNDDOWN((LineærRegression_Valg[[#This Row],[Tabel ID]]-1)/$B$5,0)+1</f>
        <v>147</v>
      </c>
      <c r="C595" s="188">
        <f t="shared" si="9"/>
        <v>1</v>
      </c>
      <c r="D595" s="188" t="b">
        <f>LineærRegression_Valg[[#This Row],[Afhængig variabel ID]]&lt;&gt;LineærRegression_Valg[[#This Row],[Uafhængig variabel ID]]</f>
        <v>1</v>
      </c>
      <c r="E595" t="b">
        <f>LineærRegression_Valg[[#This Row],[Afhængig variabel ID]]&lt;=$B$5</f>
        <v>0</v>
      </c>
      <c r="F595" t="str" cm="1">
        <f t="array" ref="F595">IF(LineærRegression_Valg[[#This Row],[Indenfor range]],INDEX(DataTitel_liste,LineærRegression_Valg[[#This Row],[Afhængig variabel ID]]),INDEX(DataTitel_liste,1))</f>
        <v>Eksempel 1 (interval)</v>
      </c>
      <c r="G595" s="188" t="str" cm="1">
        <f t="array" ref="G595">IF(LineærRegression_Valg[[#This Row],[Indenfor range]],IF(LineærRegression_Valg[[#This Row],[Intet overlap]],INDEX(DataTitel_liste,LineærRegression_Valg[[#This Row],[Uafhængig variabel ID]]),INDEX(DataTitel_liste,IF(LineærRegression_Valg[[#This Row],[Afhængig variabel ID]]=1,2,1))),$B$7)</f>
        <v>Eksempel 2 (interval)</v>
      </c>
      <c r="H595" s="188">
        <f>_xlfn.AGGREGATE(2,5,LineærRegression_Valg[[#This Row],[Tabel ID]])</f>
        <v>1</v>
      </c>
    </row>
    <row r="596" spans="1:8" x14ac:dyDescent="0.2">
      <c r="A596">
        <f>ROW(LineærRegression_Valg[[#This Row],[Tabel ID]])-ROW(LineærRegression_Valg[[#Headers],[Tabel ID]])</f>
        <v>586</v>
      </c>
      <c r="B596" s="188">
        <f>ROUNDDOWN((LineærRegression_Valg[[#This Row],[Tabel ID]]-1)/$B$5,0)+1</f>
        <v>147</v>
      </c>
      <c r="C596" s="188">
        <f t="shared" si="9"/>
        <v>2</v>
      </c>
      <c r="D596" s="188" t="b">
        <f>LineærRegression_Valg[[#This Row],[Afhængig variabel ID]]&lt;&gt;LineærRegression_Valg[[#This Row],[Uafhængig variabel ID]]</f>
        <v>1</v>
      </c>
      <c r="E596" t="b">
        <f>LineærRegression_Valg[[#This Row],[Afhængig variabel ID]]&lt;=$B$5</f>
        <v>0</v>
      </c>
      <c r="F596" t="str" cm="1">
        <f t="array" ref="F596">IF(LineærRegression_Valg[[#This Row],[Indenfor range]],INDEX(DataTitel_liste,LineærRegression_Valg[[#This Row],[Afhængig variabel ID]]),INDEX(DataTitel_liste,1))</f>
        <v>Eksempel 1 (interval)</v>
      </c>
      <c r="G596" s="188" t="str" cm="1">
        <f t="array" ref="G596">IF(LineærRegression_Valg[[#This Row],[Indenfor range]],IF(LineærRegression_Valg[[#This Row],[Intet overlap]],INDEX(DataTitel_liste,LineærRegression_Valg[[#This Row],[Uafhængig variabel ID]]),INDEX(DataTitel_liste,IF(LineærRegression_Valg[[#This Row],[Afhængig variabel ID]]=1,2,1))),$B$7)</f>
        <v>Eksempel 2 (interval)</v>
      </c>
      <c r="H596" s="188">
        <f>_xlfn.AGGREGATE(2,5,LineærRegression_Valg[[#This Row],[Tabel ID]])</f>
        <v>1</v>
      </c>
    </row>
    <row r="597" spans="1:8" x14ac:dyDescent="0.2">
      <c r="A597">
        <f>ROW(LineærRegression_Valg[[#This Row],[Tabel ID]])-ROW(LineærRegression_Valg[[#Headers],[Tabel ID]])</f>
        <v>587</v>
      </c>
      <c r="B597" s="188">
        <f>ROUNDDOWN((LineærRegression_Valg[[#This Row],[Tabel ID]]-1)/$B$5,0)+1</f>
        <v>147</v>
      </c>
      <c r="C597" s="188">
        <f t="shared" si="9"/>
        <v>3</v>
      </c>
      <c r="D597" s="188" t="b">
        <f>LineærRegression_Valg[[#This Row],[Afhængig variabel ID]]&lt;&gt;LineærRegression_Valg[[#This Row],[Uafhængig variabel ID]]</f>
        <v>1</v>
      </c>
      <c r="E597" t="b">
        <f>LineærRegression_Valg[[#This Row],[Afhængig variabel ID]]&lt;=$B$5</f>
        <v>0</v>
      </c>
      <c r="F597" t="str" cm="1">
        <f t="array" ref="F597">IF(LineærRegression_Valg[[#This Row],[Indenfor range]],INDEX(DataTitel_liste,LineærRegression_Valg[[#This Row],[Afhængig variabel ID]]),INDEX(DataTitel_liste,1))</f>
        <v>Eksempel 1 (interval)</v>
      </c>
      <c r="G597" s="188" t="str" cm="1">
        <f t="array" ref="G597">IF(LineærRegression_Valg[[#This Row],[Indenfor range]],IF(LineærRegression_Valg[[#This Row],[Intet overlap]],INDEX(DataTitel_liste,LineærRegression_Valg[[#This Row],[Uafhængig variabel ID]]),INDEX(DataTitel_liste,IF(LineærRegression_Valg[[#This Row],[Afhængig variabel ID]]=1,2,1))),$B$7)</f>
        <v>Eksempel 2 (interval)</v>
      </c>
      <c r="H597" s="188">
        <f>_xlfn.AGGREGATE(2,5,LineærRegression_Valg[[#This Row],[Tabel ID]])</f>
        <v>1</v>
      </c>
    </row>
    <row r="598" spans="1:8" x14ac:dyDescent="0.2">
      <c r="A598">
        <f>ROW(LineærRegression_Valg[[#This Row],[Tabel ID]])-ROW(LineærRegression_Valg[[#Headers],[Tabel ID]])</f>
        <v>588</v>
      </c>
      <c r="B598" s="188">
        <f>ROUNDDOWN((LineærRegression_Valg[[#This Row],[Tabel ID]]-1)/$B$5,0)+1</f>
        <v>147</v>
      </c>
      <c r="C598" s="188">
        <f t="shared" si="9"/>
        <v>4</v>
      </c>
      <c r="D598" s="188" t="b">
        <f>LineærRegression_Valg[[#This Row],[Afhængig variabel ID]]&lt;&gt;LineærRegression_Valg[[#This Row],[Uafhængig variabel ID]]</f>
        <v>1</v>
      </c>
      <c r="E598" t="b">
        <f>LineærRegression_Valg[[#This Row],[Afhængig variabel ID]]&lt;=$B$5</f>
        <v>0</v>
      </c>
      <c r="F598" t="str" cm="1">
        <f t="array" ref="F598">IF(LineærRegression_Valg[[#This Row],[Indenfor range]],INDEX(DataTitel_liste,LineærRegression_Valg[[#This Row],[Afhængig variabel ID]]),INDEX(DataTitel_liste,1))</f>
        <v>Eksempel 1 (interval)</v>
      </c>
      <c r="G598" s="188" t="str" cm="1">
        <f t="array" ref="G598">IF(LineærRegression_Valg[[#This Row],[Indenfor range]],IF(LineærRegression_Valg[[#This Row],[Intet overlap]],INDEX(DataTitel_liste,LineærRegression_Valg[[#This Row],[Uafhængig variabel ID]]),INDEX(DataTitel_liste,IF(LineærRegression_Valg[[#This Row],[Afhængig variabel ID]]=1,2,1))),$B$7)</f>
        <v>Eksempel 2 (interval)</v>
      </c>
      <c r="H598" s="188">
        <f>_xlfn.AGGREGATE(2,5,LineærRegression_Valg[[#This Row],[Tabel ID]])</f>
        <v>1</v>
      </c>
    </row>
    <row r="599" spans="1:8" x14ac:dyDescent="0.2">
      <c r="A599">
        <f>ROW(LineærRegression_Valg[[#This Row],[Tabel ID]])-ROW(LineærRegression_Valg[[#Headers],[Tabel ID]])</f>
        <v>589</v>
      </c>
      <c r="B599" s="188">
        <f>ROUNDDOWN((LineærRegression_Valg[[#This Row],[Tabel ID]]-1)/$B$5,0)+1</f>
        <v>148</v>
      </c>
      <c r="C599" s="188">
        <f t="shared" si="9"/>
        <v>1</v>
      </c>
      <c r="D599" s="188" t="b">
        <f>LineærRegression_Valg[[#This Row],[Afhængig variabel ID]]&lt;&gt;LineærRegression_Valg[[#This Row],[Uafhængig variabel ID]]</f>
        <v>1</v>
      </c>
      <c r="E599" t="b">
        <f>LineærRegression_Valg[[#This Row],[Afhængig variabel ID]]&lt;=$B$5</f>
        <v>0</v>
      </c>
      <c r="F599" t="str" cm="1">
        <f t="array" ref="F599">IF(LineærRegression_Valg[[#This Row],[Indenfor range]],INDEX(DataTitel_liste,LineærRegression_Valg[[#This Row],[Afhængig variabel ID]]),INDEX(DataTitel_liste,1))</f>
        <v>Eksempel 1 (interval)</v>
      </c>
      <c r="G599" s="188" t="str" cm="1">
        <f t="array" ref="G599">IF(LineærRegression_Valg[[#This Row],[Indenfor range]],IF(LineærRegression_Valg[[#This Row],[Intet overlap]],INDEX(DataTitel_liste,LineærRegression_Valg[[#This Row],[Uafhængig variabel ID]]),INDEX(DataTitel_liste,IF(LineærRegression_Valg[[#This Row],[Afhængig variabel ID]]=1,2,1))),$B$7)</f>
        <v>Eksempel 2 (interval)</v>
      </c>
      <c r="H599" s="188">
        <f>_xlfn.AGGREGATE(2,5,LineærRegression_Valg[[#This Row],[Tabel ID]])</f>
        <v>1</v>
      </c>
    </row>
    <row r="600" spans="1:8" x14ac:dyDescent="0.2">
      <c r="A600">
        <f>ROW(LineærRegression_Valg[[#This Row],[Tabel ID]])-ROW(LineærRegression_Valg[[#Headers],[Tabel ID]])</f>
        <v>590</v>
      </c>
      <c r="B600" s="188">
        <f>ROUNDDOWN((LineærRegression_Valg[[#This Row],[Tabel ID]]-1)/$B$5,0)+1</f>
        <v>148</v>
      </c>
      <c r="C600" s="188">
        <f t="shared" si="9"/>
        <v>2</v>
      </c>
      <c r="D600" s="188" t="b">
        <f>LineærRegression_Valg[[#This Row],[Afhængig variabel ID]]&lt;&gt;LineærRegression_Valg[[#This Row],[Uafhængig variabel ID]]</f>
        <v>1</v>
      </c>
      <c r="E600" t="b">
        <f>LineærRegression_Valg[[#This Row],[Afhængig variabel ID]]&lt;=$B$5</f>
        <v>0</v>
      </c>
      <c r="F600" t="str" cm="1">
        <f t="array" ref="F600">IF(LineærRegression_Valg[[#This Row],[Indenfor range]],INDEX(DataTitel_liste,LineærRegression_Valg[[#This Row],[Afhængig variabel ID]]),INDEX(DataTitel_liste,1))</f>
        <v>Eksempel 1 (interval)</v>
      </c>
      <c r="G600" s="188" t="str" cm="1">
        <f t="array" ref="G600">IF(LineærRegression_Valg[[#This Row],[Indenfor range]],IF(LineærRegression_Valg[[#This Row],[Intet overlap]],INDEX(DataTitel_liste,LineærRegression_Valg[[#This Row],[Uafhængig variabel ID]]),INDEX(DataTitel_liste,IF(LineærRegression_Valg[[#This Row],[Afhængig variabel ID]]=1,2,1))),$B$7)</f>
        <v>Eksempel 2 (interval)</v>
      </c>
      <c r="H600" s="188">
        <f>_xlfn.AGGREGATE(2,5,LineærRegression_Valg[[#This Row],[Tabel ID]])</f>
        <v>1</v>
      </c>
    </row>
    <row r="601" spans="1:8" x14ac:dyDescent="0.2">
      <c r="A601">
        <f>ROW(LineærRegression_Valg[[#This Row],[Tabel ID]])-ROW(LineærRegression_Valg[[#Headers],[Tabel ID]])</f>
        <v>591</v>
      </c>
      <c r="B601" s="188">
        <f>ROUNDDOWN((LineærRegression_Valg[[#This Row],[Tabel ID]]-1)/$B$5,0)+1</f>
        <v>148</v>
      </c>
      <c r="C601" s="188">
        <f t="shared" si="9"/>
        <v>3</v>
      </c>
      <c r="D601" s="188" t="b">
        <f>LineærRegression_Valg[[#This Row],[Afhængig variabel ID]]&lt;&gt;LineærRegression_Valg[[#This Row],[Uafhængig variabel ID]]</f>
        <v>1</v>
      </c>
      <c r="E601" t="b">
        <f>LineærRegression_Valg[[#This Row],[Afhængig variabel ID]]&lt;=$B$5</f>
        <v>0</v>
      </c>
      <c r="F601" t="str" cm="1">
        <f t="array" ref="F601">IF(LineærRegression_Valg[[#This Row],[Indenfor range]],INDEX(DataTitel_liste,LineærRegression_Valg[[#This Row],[Afhængig variabel ID]]),INDEX(DataTitel_liste,1))</f>
        <v>Eksempel 1 (interval)</v>
      </c>
      <c r="G601" s="188" t="str" cm="1">
        <f t="array" ref="G601">IF(LineærRegression_Valg[[#This Row],[Indenfor range]],IF(LineærRegression_Valg[[#This Row],[Intet overlap]],INDEX(DataTitel_liste,LineærRegression_Valg[[#This Row],[Uafhængig variabel ID]]),INDEX(DataTitel_liste,IF(LineærRegression_Valg[[#This Row],[Afhængig variabel ID]]=1,2,1))),$B$7)</f>
        <v>Eksempel 2 (interval)</v>
      </c>
      <c r="H601" s="188">
        <f>_xlfn.AGGREGATE(2,5,LineærRegression_Valg[[#This Row],[Tabel ID]])</f>
        <v>1</v>
      </c>
    </row>
    <row r="602" spans="1:8" x14ac:dyDescent="0.2">
      <c r="A602">
        <f>ROW(LineærRegression_Valg[[#This Row],[Tabel ID]])-ROW(LineærRegression_Valg[[#Headers],[Tabel ID]])</f>
        <v>592</v>
      </c>
      <c r="B602" s="188">
        <f>ROUNDDOWN((LineærRegression_Valg[[#This Row],[Tabel ID]]-1)/$B$5,0)+1</f>
        <v>148</v>
      </c>
      <c r="C602" s="188">
        <f t="shared" si="9"/>
        <v>4</v>
      </c>
      <c r="D602" s="188" t="b">
        <f>LineærRegression_Valg[[#This Row],[Afhængig variabel ID]]&lt;&gt;LineærRegression_Valg[[#This Row],[Uafhængig variabel ID]]</f>
        <v>1</v>
      </c>
      <c r="E602" t="b">
        <f>LineærRegression_Valg[[#This Row],[Afhængig variabel ID]]&lt;=$B$5</f>
        <v>0</v>
      </c>
      <c r="F602" t="str" cm="1">
        <f t="array" ref="F602">IF(LineærRegression_Valg[[#This Row],[Indenfor range]],INDEX(DataTitel_liste,LineærRegression_Valg[[#This Row],[Afhængig variabel ID]]),INDEX(DataTitel_liste,1))</f>
        <v>Eksempel 1 (interval)</v>
      </c>
      <c r="G602" s="188" t="str" cm="1">
        <f t="array" ref="G602">IF(LineærRegression_Valg[[#This Row],[Indenfor range]],IF(LineærRegression_Valg[[#This Row],[Intet overlap]],INDEX(DataTitel_liste,LineærRegression_Valg[[#This Row],[Uafhængig variabel ID]]),INDEX(DataTitel_liste,IF(LineærRegression_Valg[[#This Row],[Afhængig variabel ID]]=1,2,1))),$B$7)</f>
        <v>Eksempel 2 (interval)</v>
      </c>
      <c r="H602" s="188">
        <f>_xlfn.AGGREGATE(2,5,LineærRegression_Valg[[#This Row],[Tabel ID]])</f>
        <v>1</v>
      </c>
    </row>
    <row r="603" spans="1:8" x14ac:dyDescent="0.2">
      <c r="A603">
        <f>ROW(LineærRegression_Valg[[#This Row],[Tabel ID]])-ROW(LineærRegression_Valg[[#Headers],[Tabel ID]])</f>
        <v>593</v>
      </c>
      <c r="B603" s="188">
        <f>ROUNDDOWN((LineærRegression_Valg[[#This Row],[Tabel ID]]-1)/$B$5,0)+1</f>
        <v>149</v>
      </c>
      <c r="C603" s="188">
        <f t="shared" si="9"/>
        <v>1</v>
      </c>
      <c r="D603" s="188" t="b">
        <f>LineærRegression_Valg[[#This Row],[Afhængig variabel ID]]&lt;&gt;LineærRegression_Valg[[#This Row],[Uafhængig variabel ID]]</f>
        <v>1</v>
      </c>
      <c r="E603" t="b">
        <f>LineærRegression_Valg[[#This Row],[Afhængig variabel ID]]&lt;=$B$5</f>
        <v>0</v>
      </c>
      <c r="F603" t="str" cm="1">
        <f t="array" ref="F603">IF(LineærRegression_Valg[[#This Row],[Indenfor range]],INDEX(DataTitel_liste,LineærRegression_Valg[[#This Row],[Afhængig variabel ID]]),INDEX(DataTitel_liste,1))</f>
        <v>Eksempel 1 (interval)</v>
      </c>
      <c r="G603" s="188" t="str" cm="1">
        <f t="array" ref="G603">IF(LineærRegression_Valg[[#This Row],[Indenfor range]],IF(LineærRegression_Valg[[#This Row],[Intet overlap]],INDEX(DataTitel_liste,LineærRegression_Valg[[#This Row],[Uafhængig variabel ID]]),INDEX(DataTitel_liste,IF(LineærRegression_Valg[[#This Row],[Afhængig variabel ID]]=1,2,1))),$B$7)</f>
        <v>Eksempel 2 (interval)</v>
      </c>
      <c r="H603" s="188">
        <f>_xlfn.AGGREGATE(2,5,LineærRegression_Valg[[#This Row],[Tabel ID]])</f>
        <v>1</v>
      </c>
    </row>
    <row r="604" spans="1:8" x14ac:dyDescent="0.2">
      <c r="A604">
        <f>ROW(LineærRegression_Valg[[#This Row],[Tabel ID]])-ROW(LineærRegression_Valg[[#Headers],[Tabel ID]])</f>
        <v>594</v>
      </c>
      <c r="B604" s="188">
        <f>ROUNDDOWN((LineærRegression_Valg[[#This Row],[Tabel ID]]-1)/$B$5,0)+1</f>
        <v>149</v>
      </c>
      <c r="C604" s="188">
        <f t="shared" si="9"/>
        <v>2</v>
      </c>
      <c r="D604" s="188" t="b">
        <f>LineærRegression_Valg[[#This Row],[Afhængig variabel ID]]&lt;&gt;LineærRegression_Valg[[#This Row],[Uafhængig variabel ID]]</f>
        <v>1</v>
      </c>
      <c r="E604" t="b">
        <f>LineærRegression_Valg[[#This Row],[Afhængig variabel ID]]&lt;=$B$5</f>
        <v>0</v>
      </c>
      <c r="F604" t="str" cm="1">
        <f t="array" ref="F604">IF(LineærRegression_Valg[[#This Row],[Indenfor range]],INDEX(DataTitel_liste,LineærRegression_Valg[[#This Row],[Afhængig variabel ID]]),INDEX(DataTitel_liste,1))</f>
        <v>Eksempel 1 (interval)</v>
      </c>
      <c r="G604" s="188" t="str" cm="1">
        <f t="array" ref="G604">IF(LineærRegression_Valg[[#This Row],[Indenfor range]],IF(LineærRegression_Valg[[#This Row],[Intet overlap]],INDEX(DataTitel_liste,LineærRegression_Valg[[#This Row],[Uafhængig variabel ID]]),INDEX(DataTitel_liste,IF(LineærRegression_Valg[[#This Row],[Afhængig variabel ID]]=1,2,1))),$B$7)</f>
        <v>Eksempel 2 (interval)</v>
      </c>
      <c r="H604" s="188">
        <f>_xlfn.AGGREGATE(2,5,LineærRegression_Valg[[#This Row],[Tabel ID]])</f>
        <v>1</v>
      </c>
    </row>
    <row r="605" spans="1:8" x14ac:dyDescent="0.2">
      <c r="A605">
        <f>ROW(LineærRegression_Valg[[#This Row],[Tabel ID]])-ROW(LineærRegression_Valg[[#Headers],[Tabel ID]])</f>
        <v>595</v>
      </c>
      <c r="B605" s="188">
        <f>ROUNDDOWN((LineærRegression_Valg[[#This Row],[Tabel ID]]-1)/$B$5,0)+1</f>
        <v>149</v>
      </c>
      <c r="C605" s="188">
        <f t="shared" si="9"/>
        <v>3</v>
      </c>
      <c r="D605" s="188" t="b">
        <f>LineærRegression_Valg[[#This Row],[Afhængig variabel ID]]&lt;&gt;LineærRegression_Valg[[#This Row],[Uafhængig variabel ID]]</f>
        <v>1</v>
      </c>
      <c r="E605" t="b">
        <f>LineærRegression_Valg[[#This Row],[Afhængig variabel ID]]&lt;=$B$5</f>
        <v>0</v>
      </c>
      <c r="F605" t="str" cm="1">
        <f t="array" ref="F605">IF(LineærRegression_Valg[[#This Row],[Indenfor range]],INDEX(DataTitel_liste,LineærRegression_Valg[[#This Row],[Afhængig variabel ID]]),INDEX(DataTitel_liste,1))</f>
        <v>Eksempel 1 (interval)</v>
      </c>
      <c r="G605" s="188" t="str" cm="1">
        <f t="array" ref="G605">IF(LineærRegression_Valg[[#This Row],[Indenfor range]],IF(LineærRegression_Valg[[#This Row],[Intet overlap]],INDEX(DataTitel_liste,LineærRegression_Valg[[#This Row],[Uafhængig variabel ID]]),INDEX(DataTitel_liste,IF(LineærRegression_Valg[[#This Row],[Afhængig variabel ID]]=1,2,1))),$B$7)</f>
        <v>Eksempel 2 (interval)</v>
      </c>
      <c r="H605" s="188">
        <f>_xlfn.AGGREGATE(2,5,LineærRegression_Valg[[#This Row],[Tabel ID]])</f>
        <v>1</v>
      </c>
    </row>
    <row r="606" spans="1:8" x14ac:dyDescent="0.2">
      <c r="A606">
        <f>ROW(LineærRegression_Valg[[#This Row],[Tabel ID]])-ROW(LineærRegression_Valg[[#Headers],[Tabel ID]])</f>
        <v>596</v>
      </c>
      <c r="B606" s="188">
        <f>ROUNDDOWN((LineærRegression_Valg[[#This Row],[Tabel ID]]-1)/$B$5,0)+1</f>
        <v>149</v>
      </c>
      <c r="C606" s="188">
        <f t="shared" si="9"/>
        <v>4</v>
      </c>
      <c r="D606" s="188" t="b">
        <f>LineærRegression_Valg[[#This Row],[Afhængig variabel ID]]&lt;&gt;LineærRegression_Valg[[#This Row],[Uafhængig variabel ID]]</f>
        <v>1</v>
      </c>
      <c r="E606" t="b">
        <f>LineærRegression_Valg[[#This Row],[Afhængig variabel ID]]&lt;=$B$5</f>
        <v>0</v>
      </c>
      <c r="F606" t="str" cm="1">
        <f t="array" ref="F606">IF(LineærRegression_Valg[[#This Row],[Indenfor range]],INDEX(DataTitel_liste,LineærRegression_Valg[[#This Row],[Afhængig variabel ID]]),INDEX(DataTitel_liste,1))</f>
        <v>Eksempel 1 (interval)</v>
      </c>
      <c r="G606" s="188" t="str" cm="1">
        <f t="array" ref="G606">IF(LineærRegression_Valg[[#This Row],[Indenfor range]],IF(LineærRegression_Valg[[#This Row],[Intet overlap]],INDEX(DataTitel_liste,LineærRegression_Valg[[#This Row],[Uafhængig variabel ID]]),INDEX(DataTitel_liste,IF(LineærRegression_Valg[[#This Row],[Afhængig variabel ID]]=1,2,1))),$B$7)</f>
        <v>Eksempel 2 (interval)</v>
      </c>
      <c r="H606" s="188">
        <f>_xlfn.AGGREGATE(2,5,LineærRegression_Valg[[#This Row],[Tabel ID]])</f>
        <v>1</v>
      </c>
    </row>
    <row r="607" spans="1:8" x14ac:dyDescent="0.2">
      <c r="A607">
        <f>ROW(LineærRegression_Valg[[#This Row],[Tabel ID]])-ROW(LineærRegression_Valg[[#Headers],[Tabel ID]])</f>
        <v>597</v>
      </c>
      <c r="B607" s="188">
        <f>ROUNDDOWN((LineærRegression_Valg[[#This Row],[Tabel ID]]-1)/$B$5,0)+1</f>
        <v>150</v>
      </c>
      <c r="C607" s="188">
        <f t="shared" si="9"/>
        <v>1</v>
      </c>
      <c r="D607" s="188" t="b">
        <f>LineærRegression_Valg[[#This Row],[Afhængig variabel ID]]&lt;&gt;LineærRegression_Valg[[#This Row],[Uafhængig variabel ID]]</f>
        <v>1</v>
      </c>
      <c r="E607" t="b">
        <f>LineærRegression_Valg[[#This Row],[Afhængig variabel ID]]&lt;=$B$5</f>
        <v>0</v>
      </c>
      <c r="F607" t="str" cm="1">
        <f t="array" ref="F607">IF(LineærRegression_Valg[[#This Row],[Indenfor range]],INDEX(DataTitel_liste,LineærRegression_Valg[[#This Row],[Afhængig variabel ID]]),INDEX(DataTitel_liste,1))</f>
        <v>Eksempel 1 (interval)</v>
      </c>
      <c r="G607" s="188" t="str" cm="1">
        <f t="array" ref="G607">IF(LineærRegression_Valg[[#This Row],[Indenfor range]],IF(LineærRegression_Valg[[#This Row],[Intet overlap]],INDEX(DataTitel_liste,LineærRegression_Valg[[#This Row],[Uafhængig variabel ID]]),INDEX(DataTitel_liste,IF(LineærRegression_Valg[[#This Row],[Afhængig variabel ID]]=1,2,1))),$B$7)</f>
        <v>Eksempel 2 (interval)</v>
      </c>
      <c r="H607" s="188">
        <f>_xlfn.AGGREGATE(2,5,LineærRegression_Valg[[#This Row],[Tabel ID]])</f>
        <v>1</v>
      </c>
    </row>
    <row r="608" spans="1:8" x14ac:dyDescent="0.2">
      <c r="A608">
        <f>ROW(LineærRegression_Valg[[#This Row],[Tabel ID]])-ROW(LineærRegression_Valg[[#Headers],[Tabel ID]])</f>
        <v>598</v>
      </c>
      <c r="B608" s="188">
        <f>ROUNDDOWN((LineærRegression_Valg[[#This Row],[Tabel ID]]-1)/$B$5,0)+1</f>
        <v>150</v>
      </c>
      <c r="C608" s="188">
        <f t="shared" si="9"/>
        <v>2</v>
      </c>
      <c r="D608" s="188" t="b">
        <f>LineærRegression_Valg[[#This Row],[Afhængig variabel ID]]&lt;&gt;LineærRegression_Valg[[#This Row],[Uafhængig variabel ID]]</f>
        <v>1</v>
      </c>
      <c r="E608" t="b">
        <f>LineærRegression_Valg[[#This Row],[Afhængig variabel ID]]&lt;=$B$5</f>
        <v>0</v>
      </c>
      <c r="F608" t="str" cm="1">
        <f t="array" ref="F608">IF(LineærRegression_Valg[[#This Row],[Indenfor range]],INDEX(DataTitel_liste,LineærRegression_Valg[[#This Row],[Afhængig variabel ID]]),INDEX(DataTitel_liste,1))</f>
        <v>Eksempel 1 (interval)</v>
      </c>
      <c r="G608" s="188" t="str" cm="1">
        <f t="array" ref="G608">IF(LineærRegression_Valg[[#This Row],[Indenfor range]],IF(LineærRegression_Valg[[#This Row],[Intet overlap]],INDEX(DataTitel_liste,LineærRegression_Valg[[#This Row],[Uafhængig variabel ID]]),INDEX(DataTitel_liste,IF(LineærRegression_Valg[[#This Row],[Afhængig variabel ID]]=1,2,1))),$B$7)</f>
        <v>Eksempel 2 (interval)</v>
      </c>
      <c r="H608" s="188">
        <f>_xlfn.AGGREGATE(2,5,LineærRegression_Valg[[#This Row],[Tabel ID]])</f>
        <v>1</v>
      </c>
    </row>
    <row r="609" spans="1:8" x14ac:dyDescent="0.2">
      <c r="A609">
        <f>ROW(LineærRegression_Valg[[#This Row],[Tabel ID]])-ROW(LineærRegression_Valg[[#Headers],[Tabel ID]])</f>
        <v>599</v>
      </c>
      <c r="B609" s="188">
        <f>ROUNDDOWN((LineærRegression_Valg[[#This Row],[Tabel ID]]-1)/$B$5,0)+1</f>
        <v>150</v>
      </c>
      <c r="C609" s="188">
        <f t="shared" si="9"/>
        <v>3</v>
      </c>
      <c r="D609" s="188" t="b">
        <f>LineærRegression_Valg[[#This Row],[Afhængig variabel ID]]&lt;&gt;LineærRegression_Valg[[#This Row],[Uafhængig variabel ID]]</f>
        <v>1</v>
      </c>
      <c r="E609" t="b">
        <f>LineærRegression_Valg[[#This Row],[Afhængig variabel ID]]&lt;=$B$5</f>
        <v>0</v>
      </c>
      <c r="F609" t="str" cm="1">
        <f t="array" ref="F609">IF(LineærRegression_Valg[[#This Row],[Indenfor range]],INDEX(DataTitel_liste,LineærRegression_Valg[[#This Row],[Afhængig variabel ID]]),INDEX(DataTitel_liste,1))</f>
        <v>Eksempel 1 (interval)</v>
      </c>
      <c r="G609" s="188" t="str" cm="1">
        <f t="array" ref="G609">IF(LineærRegression_Valg[[#This Row],[Indenfor range]],IF(LineærRegression_Valg[[#This Row],[Intet overlap]],INDEX(DataTitel_liste,LineærRegression_Valg[[#This Row],[Uafhængig variabel ID]]),INDEX(DataTitel_liste,IF(LineærRegression_Valg[[#This Row],[Afhængig variabel ID]]=1,2,1))),$B$7)</f>
        <v>Eksempel 2 (interval)</v>
      </c>
      <c r="H609" s="188">
        <f>_xlfn.AGGREGATE(2,5,LineærRegression_Valg[[#This Row],[Tabel ID]])</f>
        <v>1</v>
      </c>
    </row>
    <row r="610" spans="1:8" x14ac:dyDescent="0.2">
      <c r="A610">
        <f>ROW(LineærRegression_Valg[[#This Row],[Tabel ID]])-ROW(LineærRegression_Valg[[#Headers],[Tabel ID]])</f>
        <v>600</v>
      </c>
      <c r="B610" s="188">
        <f>ROUNDDOWN((LineærRegression_Valg[[#This Row],[Tabel ID]]-1)/$B$5,0)+1</f>
        <v>150</v>
      </c>
      <c r="C610" s="188">
        <f t="shared" si="9"/>
        <v>4</v>
      </c>
      <c r="D610" s="188" t="b">
        <f>LineærRegression_Valg[[#This Row],[Afhængig variabel ID]]&lt;&gt;LineærRegression_Valg[[#This Row],[Uafhængig variabel ID]]</f>
        <v>1</v>
      </c>
      <c r="E610" t="b">
        <f>LineærRegression_Valg[[#This Row],[Afhængig variabel ID]]&lt;=$B$5</f>
        <v>0</v>
      </c>
      <c r="F610" t="str" cm="1">
        <f t="array" ref="F610">IF(LineærRegression_Valg[[#This Row],[Indenfor range]],INDEX(DataTitel_liste,LineærRegression_Valg[[#This Row],[Afhængig variabel ID]]),INDEX(DataTitel_liste,1))</f>
        <v>Eksempel 1 (interval)</v>
      </c>
      <c r="G610" s="188" t="str" cm="1">
        <f t="array" ref="G610">IF(LineærRegression_Valg[[#This Row],[Indenfor range]],IF(LineærRegression_Valg[[#This Row],[Intet overlap]],INDEX(DataTitel_liste,LineærRegression_Valg[[#This Row],[Uafhængig variabel ID]]),INDEX(DataTitel_liste,IF(LineærRegression_Valg[[#This Row],[Afhængig variabel ID]]=1,2,1))),$B$7)</f>
        <v>Eksempel 2 (interval)</v>
      </c>
      <c r="H610" s="188">
        <f>_xlfn.AGGREGATE(2,5,LineærRegression_Valg[[#This Row],[Tabel ID]])</f>
        <v>1</v>
      </c>
    </row>
    <row r="611" spans="1:8" x14ac:dyDescent="0.2">
      <c r="A611">
        <f>ROW(LineærRegression_Valg[[#This Row],[Tabel ID]])-ROW(LineærRegression_Valg[[#Headers],[Tabel ID]])</f>
        <v>601</v>
      </c>
      <c r="B611" s="188">
        <f>ROUNDDOWN((LineærRegression_Valg[[#This Row],[Tabel ID]]-1)/$B$5,0)+1</f>
        <v>151</v>
      </c>
      <c r="C611" s="188">
        <f t="shared" si="9"/>
        <v>1</v>
      </c>
      <c r="D611" s="188" t="b">
        <f>LineærRegression_Valg[[#This Row],[Afhængig variabel ID]]&lt;&gt;LineærRegression_Valg[[#This Row],[Uafhængig variabel ID]]</f>
        <v>1</v>
      </c>
      <c r="E611" t="b">
        <f>LineærRegression_Valg[[#This Row],[Afhængig variabel ID]]&lt;=$B$5</f>
        <v>0</v>
      </c>
      <c r="F611" t="str" cm="1">
        <f t="array" ref="F611">IF(LineærRegression_Valg[[#This Row],[Indenfor range]],INDEX(DataTitel_liste,LineærRegression_Valg[[#This Row],[Afhængig variabel ID]]),INDEX(DataTitel_liste,1))</f>
        <v>Eksempel 1 (interval)</v>
      </c>
      <c r="G611" s="188" t="str" cm="1">
        <f t="array" ref="G611">IF(LineærRegression_Valg[[#This Row],[Indenfor range]],IF(LineærRegression_Valg[[#This Row],[Intet overlap]],INDEX(DataTitel_liste,LineærRegression_Valg[[#This Row],[Uafhængig variabel ID]]),INDEX(DataTitel_liste,IF(LineærRegression_Valg[[#This Row],[Afhængig variabel ID]]=1,2,1))),$B$7)</f>
        <v>Eksempel 2 (interval)</v>
      </c>
      <c r="H611" s="188">
        <f>_xlfn.AGGREGATE(2,5,LineærRegression_Valg[[#This Row],[Tabel ID]])</f>
        <v>1</v>
      </c>
    </row>
    <row r="612" spans="1:8" x14ac:dyDescent="0.2">
      <c r="A612">
        <f>ROW(LineærRegression_Valg[[#This Row],[Tabel ID]])-ROW(LineærRegression_Valg[[#Headers],[Tabel ID]])</f>
        <v>602</v>
      </c>
      <c r="B612" s="188">
        <f>ROUNDDOWN((LineærRegression_Valg[[#This Row],[Tabel ID]]-1)/$B$5,0)+1</f>
        <v>151</v>
      </c>
      <c r="C612" s="188">
        <f t="shared" si="9"/>
        <v>2</v>
      </c>
      <c r="D612" s="188" t="b">
        <f>LineærRegression_Valg[[#This Row],[Afhængig variabel ID]]&lt;&gt;LineærRegression_Valg[[#This Row],[Uafhængig variabel ID]]</f>
        <v>1</v>
      </c>
      <c r="E612" t="b">
        <f>LineærRegression_Valg[[#This Row],[Afhængig variabel ID]]&lt;=$B$5</f>
        <v>0</v>
      </c>
      <c r="F612" t="str" cm="1">
        <f t="array" ref="F612">IF(LineærRegression_Valg[[#This Row],[Indenfor range]],INDEX(DataTitel_liste,LineærRegression_Valg[[#This Row],[Afhængig variabel ID]]),INDEX(DataTitel_liste,1))</f>
        <v>Eksempel 1 (interval)</v>
      </c>
      <c r="G612" s="188" t="str" cm="1">
        <f t="array" ref="G612">IF(LineærRegression_Valg[[#This Row],[Indenfor range]],IF(LineærRegression_Valg[[#This Row],[Intet overlap]],INDEX(DataTitel_liste,LineærRegression_Valg[[#This Row],[Uafhængig variabel ID]]),INDEX(DataTitel_liste,IF(LineærRegression_Valg[[#This Row],[Afhængig variabel ID]]=1,2,1))),$B$7)</f>
        <v>Eksempel 2 (interval)</v>
      </c>
      <c r="H612" s="188">
        <f>_xlfn.AGGREGATE(2,5,LineærRegression_Valg[[#This Row],[Tabel ID]])</f>
        <v>1</v>
      </c>
    </row>
    <row r="613" spans="1:8" x14ac:dyDescent="0.2">
      <c r="A613">
        <f>ROW(LineærRegression_Valg[[#This Row],[Tabel ID]])-ROW(LineærRegression_Valg[[#Headers],[Tabel ID]])</f>
        <v>603</v>
      </c>
      <c r="B613" s="188">
        <f>ROUNDDOWN((LineærRegression_Valg[[#This Row],[Tabel ID]]-1)/$B$5,0)+1</f>
        <v>151</v>
      </c>
      <c r="C613" s="188">
        <f t="shared" si="9"/>
        <v>3</v>
      </c>
      <c r="D613" s="188" t="b">
        <f>LineærRegression_Valg[[#This Row],[Afhængig variabel ID]]&lt;&gt;LineærRegression_Valg[[#This Row],[Uafhængig variabel ID]]</f>
        <v>1</v>
      </c>
      <c r="E613" t="b">
        <f>LineærRegression_Valg[[#This Row],[Afhængig variabel ID]]&lt;=$B$5</f>
        <v>0</v>
      </c>
      <c r="F613" t="str" cm="1">
        <f t="array" ref="F613">IF(LineærRegression_Valg[[#This Row],[Indenfor range]],INDEX(DataTitel_liste,LineærRegression_Valg[[#This Row],[Afhængig variabel ID]]),INDEX(DataTitel_liste,1))</f>
        <v>Eksempel 1 (interval)</v>
      </c>
      <c r="G613" s="188" t="str" cm="1">
        <f t="array" ref="G613">IF(LineærRegression_Valg[[#This Row],[Indenfor range]],IF(LineærRegression_Valg[[#This Row],[Intet overlap]],INDEX(DataTitel_liste,LineærRegression_Valg[[#This Row],[Uafhængig variabel ID]]),INDEX(DataTitel_liste,IF(LineærRegression_Valg[[#This Row],[Afhængig variabel ID]]=1,2,1))),$B$7)</f>
        <v>Eksempel 2 (interval)</v>
      </c>
      <c r="H613" s="188">
        <f>_xlfn.AGGREGATE(2,5,LineærRegression_Valg[[#This Row],[Tabel ID]])</f>
        <v>1</v>
      </c>
    </row>
    <row r="614" spans="1:8" x14ac:dyDescent="0.2">
      <c r="A614">
        <f>ROW(LineærRegression_Valg[[#This Row],[Tabel ID]])-ROW(LineærRegression_Valg[[#Headers],[Tabel ID]])</f>
        <v>604</v>
      </c>
      <c r="B614" s="188">
        <f>ROUNDDOWN((LineærRegression_Valg[[#This Row],[Tabel ID]]-1)/$B$5,0)+1</f>
        <v>151</v>
      </c>
      <c r="C614" s="188">
        <f t="shared" si="9"/>
        <v>4</v>
      </c>
      <c r="D614" s="188" t="b">
        <f>LineærRegression_Valg[[#This Row],[Afhængig variabel ID]]&lt;&gt;LineærRegression_Valg[[#This Row],[Uafhængig variabel ID]]</f>
        <v>1</v>
      </c>
      <c r="E614" t="b">
        <f>LineærRegression_Valg[[#This Row],[Afhængig variabel ID]]&lt;=$B$5</f>
        <v>0</v>
      </c>
      <c r="F614" t="str" cm="1">
        <f t="array" ref="F614">IF(LineærRegression_Valg[[#This Row],[Indenfor range]],INDEX(DataTitel_liste,LineærRegression_Valg[[#This Row],[Afhængig variabel ID]]),INDEX(DataTitel_liste,1))</f>
        <v>Eksempel 1 (interval)</v>
      </c>
      <c r="G614" s="188" t="str" cm="1">
        <f t="array" ref="G614">IF(LineærRegression_Valg[[#This Row],[Indenfor range]],IF(LineærRegression_Valg[[#This Row],[Intet overlap]],INDEX(DataTitel_liste,LineærRegression_Valg[[#This Row],[Uafhængig variabel ID]]),INDEX(DataTitel_liste,IF(LineærRegression_Valg[[#This Row],[Afhængig variabel ID]]=1,2,1))),$B$7)</f>
        <v>Eksempel 2 (interval)</v>
      </c>
      <c r="H614" s="188">
        <f>_xlfn.AGGREGATE(2,5,LineærRegression_Valg[[#This Row],[Tabel ID]])</f>
        <v>1</v>
      </c>
    </row>
    <row r="615" spans="1:8" x14ac:dyDescent="0.2">
      <c r="A615">
        <f>ROW(LineærRegression_Valg[[#This Row],[Tabel ID]])-ROW(LineærRegression_Valg[[#Headers],[Tabel ID]])</f>
        <v>605</v>
      </c>
      <c r="B615" s="188">
        <f>ROUNDDOWN((LineærRegression_Valg[[#This Row],[Tabel ID]]-1)/$B$5,0)+1</f>
        <v>152</v>
      </c>
      <c r="C615" s="188">
        <f t="shared" si="9"/>
        <v>1</v>
      </c>
      <c r="D615" s="188" t="b">
        <f>LineærRegression_Valg[[#This Row],[Afhængig variabel ID]]&lt;&gt;LineærRegression_Valg[[#This Row],[Uafhængig variabel ID]]</f>
        <v>1</v>
      </c>
      <c r="E615" t="b">
        <f>LineærRegression_Valg[[#This Row],[Afhængig variabel ID]]&lt;=$B$5</f>
        <v>0</v>
      </c>
      <c r="F615" t="str" cm="1">
        <f t="array" ref="F615">IF(LineærRegression_Valg[[#This Row],[Indenfor range]],INDEX(DataTitel_liste,LineærRegression_Valg[[#This Row],[Afhængig variabel ID]]),INDEX(DataTitel_liste,1))</f>
        <v>Eksempel 1 (interval)</v>
      </c>
      <c r="G615" s="188" t="str" cm="1">
        <f t="array" ref="G615">IF(LineærRegression_Valg[[#This Row],[Indenfor range]],IF(LineærRegression_Valg[[#This Row],[Intet overlap]],INDEX(DataTitel_liste,LineærRegression_Valg[[#This Row],[Uafhængig variabel ID]]),INDEX(DataTitel_liste,IF(LineærRegression_Valg[[#This Row],[Afhængig variabel ID]]=1,2,1))),$B$7)</f>
        <v>Eksempel 2 (interval)</v>
      </c>
      <c r="H615" s="188">
        <f>_xlfn.AGGREGATE(2,5,LineærRegression_Valg[[#This Row],[Tabel ID]])</f>
        <v>1</v>
      </c>
    </row>
    <row r="616" spans="1:8" x14ac:dyDescent="0.2">
      <c r="A616">
        <f>ROW(LineærRegression_Valg[[#This Row],[Tabel ID]])-ROW(LineærRegression_Valg[[#Headers],[Tabel ID]])</f>
        <v>606</v>
      </c>
      <c r="B616" s="188">
        <f>ROUNDDOWN((LineærRegression_Valg[[#This Row],[Tabel ID]]-1)/$B$5,0)+1</f>
        <v>152</v>
      </c>
      <c r="C616" s="188">
        <f t="shared" si="9"/>
        <v>2</v>
      </c>
      <c r="D616" s="188" t="b">
        <f>LineærRegression_Valg[[#This Row],[Afhængig variabel ID]]&lt;&gt;LineærRegression_Valg[[#This Row],[Uafhængig variabel ID]]</f>
        <v>1</v>
      </c>
      <c r="E616" t="b">
        <f>LineærRegression_Valg[[#This Row],[Afhængig variabel ID]]&lt;=$B$5</f>
        <v>0</v>
      </c>
      <c r="F616" t="str" cm="1">
        <f t="array" ref="F616">IF(LineærRegression_Valg[[#This Row],[Indenfor range]],INDEX(DataTitel_liste,LineærRegression_Valg[[#This Row],[Afhængig variabel ID]]),INDEX(DataTitel_liste,1))</f>
        <v>Eksempel 1 (interval)</v>
      </c>
      <c r="G616" s="188" t="str" cm="1">
        <f t="array" ref="G616">IF(LineærRegression_Valg[[#This Row],[Indenfor range]],IF(LineærRegression_Valg[[#This Row],[Intet overlap]],INDEX(DataTitel_liste,LineærRegression_Valg[[#This Row],[Uafhængig variabel ID]]),INDEX(DataTitel_liste,IF(LineærRegression_Valg[[#This Row],[Afhængig variabel ID]]=1,2,1))),$B$7)</f>
        <v>Eksempel 2 (interval)</v>
      </c>
      <c r="H616" s="188">
        <f>_xlfn.AGGREGATE(2,5,LineærRegression_Valg[[#This Row],[Tabel ID]])</f>
        <v>1</v>
      </c>
    </row>
    <row r="617" spans="1:8" x14ac:dyDescent="0.2">
      <c r="A617">
        <f>ROW(LineærRegression_Valg[[#This Row],[Tabel ID]])-ROW(LineærRegression_Valg[[#Headers],[Tabel ID]])</f>
        <v>607</v>
      </c>
      <c r="B617" s="188">
        <f>ROUNDDOWN((LineærRegression_Valg[[#This Row],[Tabel ID]]-1)/$B$5,0)+1</f>
        <v>152</v>
      </c>
      <c r="C617" s="188">
        <f t="shared" si="9"/>
        <v>3</v>
      </c>
      <c r="D617" s="188" t="b">
        <f>LineærRegression_Valg[[#This Row],[Afhængig variabel ID]]&lt;&gt;LineærRegression_Valg[[#This Row],[Uafhængig variabel ID]]</f>
        <v>1</v>
      </c>
      <c r="E617" t="b">
        <f>LineærRegression_Valg[[#This Row],[Afhængig variabel ID]]&lt;=$B$5</f>
        <v>0</v>
      </c>
      <c r="F617" t="str" cm="1">
        <f t="array" ref="F617">IF(LineærRegression_Valg[[#This Row],[Indenfor range]],INDEX(DataTitel_liste,LineærRegression_Valg[[#This Row],[Afhængig variabel ID]]),INDEX(DataTitel_liste,1))</f>
        <v>Eksempel 1 (interval)</v>
      </c>
      <c r="G617" s="188" t="str" cm="1">
        <f t="array" ref="G617">IF(LineærRegression_Valg[[#This Row],[Indenfor range]],IF(LineærRegression_Valg[[#This Row],[Intet overlap]],INDEX(DataTitel_liste,LineærRegression_Valg[[#This Row],[Uafhængig variabel ID]]),INDEX(DataTitel_liste,IF(LineærRegression_Valg[[#This Row],[Afhængig variabel ID]]=1,2,1))),$B$7)</f>
        <v>Eksempel 2 (interval)</v>
      </c>
      <c r="H617" s="188">
        <f>_xlfn.AGGREGATE(2,5,LineærRegression_Valg[[#This Row],[Tabel ID]])</f>
        <v>1</v>
      </c>
    </row>
    <row r="618" spans="1:8" x14ac:dyDescent="0.2">
      <c r="A618">
        <f>ROW(LineærRegression_Valg[[#This Row],[Tabel ID]])-ROW(LineærRegression_Valg[[#Headers],[Tabel ID]])</f>
        <v>608</v>
      </c>
      <c r="B618" s="188">
        <f>ROUNDDOWN((LineærRegression_Valg[[#This Row],[Tabel ID]]-1)/$B$5,0)+1</f>
        <v>152</v>
      </c>
      <c r="C618" s="188">
        <f t="shared" si="9"/>
        <v>4</v>
      </c>
      <c r="D618" s="188" t="b">
        <f>LineærRegression_Valg[[#This Row],[Afhængig variabel ID]]&lt;&gt;LineærRegression_Valg[[#This Row],[Uafhængig variabel ID]]</f>
        <v>1</v>
      </c>
      <c r="E618" t="b">
        <f>LineærRegression_Valg[[#This Row],[Afhængig variabel ID]]&lt;=$B$5</f>
        <v>0</v>
      </c>
      <c r="F618" t="str" cm="1">
        <f t="array" ref="F618">IF(LineærRegression_Valg[[#This Row],[Indenfor range]],INDEX(DataTitel_liste,LineærRegression_Valg[[#This Row],[Afhængig variabel ID]]),INDEX(DataTitel_liste,1))</f>
        <v>Eksempel 1 (interval)</v>
      </c>
      <c r="G618" s="188" t="str" cm="1">
        <f t="array" ref="G618">IF(LineærRegression_Valg[[#This Row],[Indenfor range]],IF(LineærRegression_Valg[[#This Row],[Intet overlap]],INDEX(DataTitel_liste,LineærRegression_Valg[[#This Row],[Uafhængig variabel ID]]),INDEX(DataTitel_liste,IF(LineærRegression_Valg[[#This Row],[Afhængig variabel ID]]=1,2,1))),$B$7)</f>
        <v>Eksempel 2 (interval)</v>
      </c>
      <c r="H618" s="188">
        <f>_xlfn.AGGREGATE(2,5,LineærRegression_Valg[[#This Row],[Tabel ID]])</f>
        <v>1</v>
      </c>
    </row>
    <row r="619" spans="1:8" x14ac:dyDescent="0.2">
      <c r="A619">
        <f>ROW(LineærRegression_Valg[[#This Row],[Tabel ID]])-ROW(LineærRegression_Valg[[#Headers],[Tabel ID]])</f>
        <v>609</v>
      </c>
      <c r="B619" s="188">
        <f>ROUNDDOWN((LineærRegression_Valg[[#This Row],[Tabel ID]]-1)/$B$5,0)+1</f>
        <v>153</v>
      </c>
      <c r="C619" s="188">
        <f t="shared" si="9"/>
        <v>1</v>
      </c>
      <c r="D619" s="188" t="b">
        <f>LineærRegression_Valg[[#This Row],[Afhængig variabel ID]]&lt;&gt;LineærRegression_Valg[[#This Row],[Uafhængig variabel ID]]</f>
        <v>1</v>
      </c>
      <c r="E619" t="b">
        <f>LineærRegression_Valg[[#This Row],[Afhængig variabel ID]]&lt;=$B$5</f>
        <v>0</v>
      </c>
      <c r="F619" t="str" cm="1">
        <f t="array" ref="F619">IF(LineærRegression_Valg[[#This Row],[Indenfor range]],INDEX(DataTitel_liste,LineærRegression_Valg[[#This Row],[Afhængig variabel ID]]),INDEX(DataTitel_liste,1))</f>
        <v>Eksempel 1 (interval)</v>
      </c>
      <c r="G619" s="188" t="str" cm="1">
        <f t="array" ref="G619">IF(LineærRegression_Valg[[#This Row],[Indenfor range]],IF(LineærRegression_Valg[[#This Row],[Intet overlap]],INDEX(DataTitel_liste,LineærRegression_Valg[[#This Row],[Uafhængig variabel ID]]),INDEX(DataTitel_liste,IF(LineærRegression_Valg[[#This Row],[Afhængig variabel ID]]=1,2,1))),$B$7)</f>
        <v>Eksempel 2 (interval)</v>
      </c>
      <c r="H619" s="188">
        <f>_xlfn.AGGREGATE(2,5,LineærRegression_Valg[[#This Row],[Tabel ID]])</f>
        <v>1</v>
      </c>
    </row>
    <row r="620" spans="1:8" x14ac:dyDescent="0.2">
      <c r="A620">
        <f>ROW(LineærRegression_Valg[[#This Row],[Tabel ID]])-ROW(LineærRegression_Valg[[#Headers],[Tabel ID]])</f>
        <v>610</v>
      </c>
      <c r="B620" s="188">
        <f>ROUNDDOWN((LineærRegression_Valg[[#This Row],[Tabel ID]]-1)/$B$5,0)+1</f>
        <v>153</v>
      </c>
      <c r="C620" s="188">
        <f t="shared" si="9"/>
        <v>2</v>
      </c>
      <c r="D620" s="188" t="b">
        <f>LineærRegression_Valg[[#This Row],[Afhængig variabel ID]]&lt;&gt;LineærRegression_Valg[[#This Row],[Uafhængig variabel ID]]</f>
        <v>1</v>
      </c>
      <c r="E620" t="b">
        <f>LineærRegression_Valg[[#This Row],[Afhængig variabel ID]]&lt;=$B$5</f>
        <v>0</v>
      </c>
      <c r="F620" t="str" cm="1">
        <f t="array" ref="F620">IF(LineærRegression_Valg[[#This Row],[Indenfor range]],INDEX(DataTitel_liste,LineærRegression_Valg[[#This Row],[Afhængig variabel ID]]),INDEX(DataTitel_liste,1))</f>
        <v>Eksempel 1 (interval)</v>
      </c>
      <c r="G620" s="188" t="str" cm="1">
        <f t="array" ref="G620">IF(LineærRegression_Valg[[#This Row],[Indenfor range]],IF(LineærRegression_Valg[[#This Row],[Intet overlap]],INDEX(DataTitel_liste,LineærRegression_Valg[[#This Row],[Uafhængig variabel ID]]),INDEX(DataTitel_liste,IF(LineærRegression_Valg[[#This Row],[Afhængig variabel ID]]=1,2,1))),$B$7)</f>
        <v>Eksempel 2 (interval)</v>
      </c>
      <c r="H620" s="188">
        <f>_xlfn.AGGREGATE(2,5,LineærRegression_Valg[[#This Row],[Tabel ID]])</f>
        <v>1</v>
      </c>
    </row>
    <row r="621" spans="1:8" x14ac:dyDescent="0.2">
      <c r="A621">
        <f>ROW(LineærRegression_Valg[[#This Row],[Tabel ID]])-ROW(LineærRegression_Valg[[#Headers],[Tabel ID]])</f>
        <v>611</v>
      </c>
      <c r="B621" s="188">
        <f>ROUNDDOWN((LineærRegression_Valg[[#This Row],[Tabel ID]]-1)/$B$5,0)+1</f>
        <v>153</v>
      </c>
      <c r="C621" s="188">
        <f t="shared" si="9"/>
        <v>3</v>
      </c>
      <c r="D621" s="188" t="b">
        <f>LineærRegression_Valg[[#This Row],[Afhængig variabel ID]]&lt;&gt;LineærRegression_Valg[[#This Row],[Uafhængig variabel ID]]</f>
        <v>1</v>
      </c>
      <c r="E621" t="b">
        <f>LineærRegression_Valg[[#This Row],[Afhængig variabel ID]]&lt;=$B$5</f>
        <v>0</v>
      </c>
      <c r="F621" t="str" cm="1">
        <f t="array" ref="F621">IF(LineærRegression_Valg[[#This Row],[Indenfor range]],INDEX(DataTitel_liste,LineærRegression_Valg[[#This Row],[Afhængig variabel ID]]),INDEX(DataTitel_liste,1))</f>
        <v>Eksempel 1 (interval)</v>
      </c>
      <c r="G621" s="188" t="str" cm="1">
        <f t="array" ref="G621">IF(LineærRegression_Valg[[#This Row],[Indenfor range]],IF(LineærRegression_Valg[[#This Row],[Intet overlap]],INDEX(DataTitel_liste,LineærRegression_Valg[[#This Row],[Uafhængig variabel ID]]),INDEX(DataTitel_liste,IF(LineærRegression_Valg[[#This Row],[Afhængig variabel ID]]=1,2,1))),$B$7)</f>
        <v>Eksempel 2 (interval)</v>
      </c>
      <c r="H621" s="188">
        <f>_xlfn.AGGREGATE(2,5,LineærRegression_Valg[[#This Row],[Tabel ID]])</f>
        <v>1</v>
      </c>
    </row>
    <row r="622" spans="1:8" x14ac:dyDescent="0.2">
      <c r="A622">
        <f>ROW(LineærRegression_Valg[[#This Row],[Tabel ID]])-ROW(LineærRegression_Valg[[#Headers],[Tabel ID]])</f>
        <v>612</v>
      </c>
      <c r="B622" s="188">
        <f>ROUNDDOWN((LineærRegression_Valg[[#This Row],[Tabel ID]]-1)/$B$5,0)+1</f>
        <v>153</v>
      </c>
      <c r="C622" s="188">
        <f t="shared" si="9"/>
        <v>4</v>
      </c>
      <c r="D622" s="188" t="b">
        <f>LineærRegression_Valg[[#This Row],[Afhængig variabel ID]]&lt;&gt;LineærRegression_Valg[[#This Row],[Uafhængig variabel ID]]</f>
        <v>1</v>
      </c>
      <c r="E622" t="b">
        <f>LineærRegression_Valg[[#This Row],[Afhængig variabel ID]]&lt;=$B$5</f>
        <v>0</v>
      </c>
      <c r="F622" t="str" cm="1">
        <f t="array" ref="F622">IF(LineærRegression_Valg[[#This Row],[Indenfor range]],INDEX(DataTitel_liste,LineærRegression_Valg[[#This Row],[Afhængig variabel ID]]),INDEX(DataTitel_liste,1))</f>
        <v>Eksempel 1 (interval)</v>
      </c>
      <c r="G622" s="188" t="str" cm="1">
        <f t="array" ref="G622">IF(LineærRegression_Valg[[#This Row],[Indenfor range]],IF(LineærRegression_Valg[[#This Row],[Intet overlap]],INDEX(DataTitel_liste,LineærRegression_Valg[[#This Row],[Uafhængig variabel ID]]),INDEX(DataTitel_liste,IF(LineærRegression_Valg[[#This Row],[Afhængig variabel ID]]=1,2,1))),$B$7)</f>
        <v>Eksempel 2 (interval)</v>
      </c>
      <c r="H622" s="188">
        <f>_xlfn.AGGREGATE(2,5,LineærRegression_Valg[[#This Row],[Tabel ID]])</f>
        <v>1</v>
      </c>
    </row>
    <row r="623" spans="1:8" x14ac:dyDescent="0.2">
      <c r="A623">
        <f>ROW(LineærRegression_Valg[[#This Row],[Tabel ID]])-ROW(LineærRegression_Valg[[#Headers],[Tabel ID]])</f>
        <v>613</v>
      </c>
      <c r="B623" s="188">
        <f>ROUNDDOWN((LineærRegression_Valg[[#This Row],[Tabel ID]]-1)/$B$5,0)+1</f>
        <v>154</v>
      </c>
      <c r="C623" s="188">
        <f t="shared" si="9"/>
        <v>1</v>
      </c>
      <c r="D623" s="188" t="b">
        <f>LineærRegression_Valg[[#This Row],[Afhængig variabel ID]]&lt;&gt;LineærRegression_Valg[[#This Row],[Uafhængig variabel ID]]</f>
        <v>1</v>
      </c>
      <c r="E623" t="b">
        <f>LineærRegression_Valg[[#This Row],[Afhængig variabel ID]]&lt;=$B$5</f>
        <v>0</v>
      </c>
      <c r="F623" t="str" cm="1">
        <f t="array" ref="F623">IF(LineærRegression_Valg[[#This Row],[Indenfor range]],INDEX(DataTitel_liste,LineærRegression_Valg[[#This Row],[Afhængig variabel ID]]),INDEX(DataTitel_liste,1))</f>
        <v>Eksempel 1 (interval)</v>
      </c>
      <c r="G623" s="188" t="str" cm="1">
        <f t="array" ref="G623">IF(LineærRegression_Valg[[#This Row],[Indenfor range]],IF(LineærRegression_Valg[[#This Row],[Intet overlap]],INDEX(DataTitel_liste,LineærRegression_Valg[[#This Row],[Uafhængig variabel ID]]),INDEX(DataTitel_liste,IF(LineærRegression_Valg[[#This Row],[Afhængig variabel ID]]=1,2,1))),$B$7)</f>
        <v>Eksempel 2 (interval)</v>
      </c>
      <c r="H623" s="188">
        <f>_xlfn.AGGREGATE(2,5,LineærRegression_Valg[[#This Row],[Tabel ID]])</f>
        <v>1</v>
      </c>
    </row>
    <row r="624" spans="1:8" x14ac:dyDescent="0.2">
      <c r="A624">
        <f>ROW(LineærRegression_Valg[[#This Row],[Tabel ID]])-ROW(LineærRegression_Valg[[#Headers],[Tabel ID]])</f>
        <v>614</v>
      </c>
      <c r="B624" s="188">
        <f>ROUNDDOWN((LineærRegression_Valg[[#This Row],[Tabel ID]]-1)/$B$5,0)+1</f>
        <v>154</v>
      </c>
      <c r="C624" s="188">
        <f t="shared" si="9"/>
        <v>2</v>
      </c>
      <c r="D624" s="188" t="b">
        <f>LineærRegression_Valg[[#This Row],[Afhængig variabel ID]]&lt;&gt;LineærRegression_Valg[[#This Row],[Uafhængig variabel ID]]</f>
        <v>1</v>
      </c>
      <c r="E624" t="b">
        <f>LineærRegression_Valg[[#This Row],[Afhængig variabel ID]]&lt;=$B$5</f>
        <v>0</v>
      </c>
      <c r="F624" t="str" cm="1">
        <f t="array" ref="F624">IF(LineærRegression_Valg[[#This Row],[Indenfor range]],INDEX(DataTitel_liste,LineærRegression_Valg[[#This Row],[Afhængig variabel ID]]),INDEX(DataTitel_liste,1))</f>
        <v>Eksempel 1 (interval)</v>
      </c>
      <c r="G624" s="188" t="str" cm="1">
        <f t="array" ref="G624">IF(LineærRegression_Valg[[#This Row],[Indenfor range]],IF(LineærRegression_Valg[[#This Row],[Intet overlap]],INDEX(DataTitel_liste,LineærRegression_Valg[[#This Row],[Uafhængig variabel ID]]),INDEX(DataTitel_liste,IF(LineærRegression_Valg[[#This Row],[Afhængig variabel ID]]=1,2,1))),$B$7)</f>
        <v>Eksempel 2 (interval)</v>
      </c>
      <c r="H624" s="188">
        <f>_xlfn.AGGREGATE(2,5,LineærRegression_Valg[[#This Row],[Tabel ID]])</f>
        <v>1</v>
      </c>
    </row>
    <row r="625" spans="1:8" x14ac:dyDescent="0.2">
      <c r="A625">
        <f>ROW(LineærRegression_Valg[[#This Row],[Tabel ID]])-ROW(LineærRegression_Valg[[#Headers],[Tabel ID]])</f>
        <v>615</v>
      </c>
      <c r="B625" s="188">
        <f>ROUNDDOWN((LineærRegression_Valg[[#This Row],[Tabel ID]]-1)/$B$5,0)+1</f>
        <v>154</v>
      </c>
      <c r="C625" s="188">
        <f t="shared" si="9"/>
        <v>3</v>
      </c>
      <c r="D625" s="188" t="b">
        <f>LineærRegression_Valg[[#This Row],[Afhængig variabel ID]]&lt;&gt;LineærRegression_Valg[[#This Row],[Uafhængig variabel ID]]</f>
        <v>1</v>
      </c>
      <c r="E625" t="b">
        <f>LineærRegression_Valg[[#This Row],[Afhængig variabel ID]]&lt;=$B$5</f>
        <v>0</v>
      </c>
      <c r="F625" t="str" cm="1">
        <f t="array" ref="F625">IF(LineærRegression_Valg[[#This Row],[Indenfor range]],INDEX(DataTitel_liste,LineærRegression_Valg[[#This Row],[Afhængig variabel ID]]),INDEX(DataTitel_liste,1))</f>
        <v>Eksempel 1 (interval)</v>
      </c>
      <c r="G625" s="188" t="str" cm="1">
        <f t="array" ref="G625">IF(LineærRegression_Valg[[#This Row],[Indenfor range]],IF(LineærRegression_Valg[[#This Row],[Intet overlap]],INDEX(DataTitel_liste,LineærRegression_Valg[[#This Row],[Uafhængig variabel ID]]),INDEX(DataTitel_liste,IF(LineærRegression_Valg[[#This Row],[Afhængig variabel ID]]=1,2,1))),$B$7)</f>
        <v>Eksempel 2 (interval)</v>
      </c>
      <c r="H625" s="188">
        <f>_xlfn.AGGREGATE(2,5,LineærRegression_Valg[[#This Row],[Tabel ID]])</f>
        <v>1</v>
      </c>
    </row>
    <row r="626" spans="1:8" x14ac:dyDescent="0.2">
      <c r="A626">
        <f>ROW(LineærRegression_Valg[[#This Row],[Tabel ID]])-ROW(LineærRegression_Valg[[#Headers],[Tabel ID]])</f>
        <v>616</v>
      </c>
      <c r="B626" s="188">
        <f>ROUNDDOWN((LineærRegression_Valg[[#This Row],[Tabel ID]]-1)/$B$5,0)+1</f>
        <v>154</v>
      </c>
      <c r="C626" s="188">
        <f t="shared" si="9"/>
        <v>4</v>
      </c>
      <c r="D626" s="188" t="b">
        <f>LineærRegression_Valg[[#This Row],[Afhængig variabel ID]]&lt;&gt;LineærRegression_Valg[[#This Row],[Uafhængig variabel ID]]</f>
        <v>1</v>
      </c>
      <c r="E626" t="b">
        <f>LineærRegression_Valg[[#This Row],[Afhængig variabel ID]]&lt;=$B$5</f>
        <v>0</v>
      </c>
      <c r="F626" t="str" cm="1">
        <f t="array" ref="F626">IF(LineærRegression_Valg[[#This Row],[Indenfor range]],INDEX(DataTitel_liste,LineærRegression_Valg[[#This Row],[Afhængig variabel ID]]),INDEX(DataTitel_liste,1))</f>
        <v>Eksempel 1 (interval)</v>
      </c>
      <c r="G626" s="188" t="str" cm="1">
        <f t="array" ref="G626">IF(LineærRegression_Valg[[#This Row],[Indenfor range]],IF(LineærRegression_Valg[[#This Row],[Intet overlap]],INDEX(DataTitel_liste,LineærRegression_Valg[[#This Row],[Uafhængig variabel ID]]),INDEX(DataTitel_liste,IF(LineærRegression_Valg[[#This Row],[Afhængig variabel ID]]=1,2,1))),$B$7)</f>
        <v>Eksempel 2 (interval)</v>
      </c>
      <c r="H626" s="188">
        <f>_xlfn.AGGREGATE(2,5,LineærRegression_Valg[[#This Row],[Tabel ID]])</f>
        <v>1</v>
      </c>
    </row>
    <row r="627" spans="1:8" x14ac:dyDescent="0.2">
      <c r="A627">
        <f>ROW(LineærRegression_Valg[[#This Row],[Tabel ID]])-ROW(LineærRegression_Valg[[#Headers],[Tabel ID]])</f>
        <v>617</v>
      </c>
      <c r="B627" s="188">
        <f>ROUNDDOWN((LineærRegression_Valg[[#This Row],[Tabel ID]]-1)/$B$5,0)+1</f>
        <v>155</v>
      </c>
      <c r="C627" s="188">
        <f t="shared" si="9"/>
        <v>1</v>
      </c>
      <c r="D627" s="188" t="b">
        <f>LineærRegression_Valg[[#This Row],[Afhængig variabel ID]]&lt;&gt;LineærRegression_Valg[[#This Row],[Uafhængig variabel ID]]</f>
        <v>1</v>
      </c>
      <c r="E627" t="b">
        <f>LineærRegression_Valg[[#This Row],[Afhængig variabel ID]]&lt;=$B$5</f>
        <v>0</v>
      </c>
      <c r="F627" t="str" cm="1">
        <f t="array" ref="F627">IF(LineærRegression_Valg[[#This Row],[Indenfor range]],INDEX(DataTitel_liste,LineærRegression_Valg[[#This Row],[Afhængig variabel ID]]),INDEX(DataTitel_liste,1))</f>
        <v>Eksempel 1 (interval)</v>
      </c>
      <c r="G627" s="188" t="str" cm="1">
        <f t="array" ref="G627">IF(LineærRegression_Valg[[#This Row],[Indenfor range]],IF(LineærRegression_Valg[[#This Row],[Intet overlap]],INDEX(DataTitel_liste,LineærRegression_Valg[[#This Row],[Uafhængig variabel ID]]),INDEX(DataTitel_liste,IF(LineærRegression_Valg[[#This Row],[Afhængig variabel ID]]=1,2,1))),$B$7)</f>
        <v>Eksempel 2 (interval)</v>
      </c>
      <c r="H627" s="188">
        <f>_xlfn.AGGREGATE(2,5,LineærRegression_Valg[[#This Row],[Tabel ID]])</f>
        <v>1</v>
      </c>
    </row>
    <row r="628" spans="1:8" x14ac:dyDescent="0.2">
      <c r="A628">
        <f>ROW(LineærRegression_Valg[[#This Row],[Tabel ID]])-ROW(LineærRegression_Valg[[#Headers],[Tabel ID]])</f>
        <v>618</v>
      </c>
      <c r="B628" s="188">
        <f>ROUNDDOWN((LineærRegression_Valg[[#This Row],[Tabel ID]]-1)/$B$5,0)+1</f>
        <v>155</v>
      </c>
      <c r="C628" s="188">
        <f t="shared" si="9"/>
        <v>2</v>
      </c>
      <c r="D628" s="188" t="b">
        <f>LineærRegression_Valg[[#This Row],[Afhængig variabel ID]]&lt;&gt;LineærRegression_Valg[[#This Row],[Uafhængig variabel ID]]</f>
        <v>1</v>
      </c>
      <c r="E628" t="b">
        <f>LineærRegression_Valg[[#This Row],[Afhængig variabel ID]]&lt;=$B$5</f>
        <v>0</v>
      </c>
      <c r="F628" t="str" cm="1">
        <f t="array" ref="F628">IF(LineærRegression_Valg[[#This Row],[Indenfor range]],INDEX(DataTitel_liste,LineærRegression_Valg[[#This Row],[Afhængig variabel ID]]),INDEX(DataTitel_liste,1))</f>
        <v>Eksempel 1 (interval)</v>
      </c>
      <c r="G628" s="188" t="str" cm="1">
        <f t="array" ref="G628">IF(LineærRegression_Valg[[#This Row],[Indenfor range]],IF(LineærRegression_Valg[[#This Row],[Intet overlap]],INDEX(DataTitel_liste,LineærRegression_Valg[[#This Row],[Uafhængig variabel ID]]),INDEX(DataTitel_liste,IF(LineærRegression_Valg[[#This Row],[Afhængig variabel ID]]=1,2,1))),$B$7)</f>
        <v>Eksempel 2 (interval)</v>
      </c>
      <c r="H628" s="188">
        <f>_xlfn.AGGREGATE(2,5,LineærRegression_Valg[[#This Row],[Tabel ID]])</f>
        <v>1</v>
      </c>
    </row>
    <row r="629" spans="1:8" x14ac:dyDescent="0.2">
      <c r="A629">
        <f>ROW(LineærRegression_Valg[[#This Row],[Tabel ID]])-ROW(LineærRegression_Valg[[#Headers],[Tabel ID]])</f>
        <v>619</v>
      </c>
      <c r="B629" s="188">
        <f>ROUNDDOWN((LineærRegression_Valg[[#This Row],[Tabel ID]]-1)/$B$5,0)+1</f>
        <v>155</v>
      </c>
      <c r="C629" s="188">
        <f t="shared" si="9"/>
        <v>3</v>
      </c>
      <c r="D629" s="188" t="b">
        <f>LineærRegression_Valg[[#This Row],[Afhængig variabel ID]]&lt;&gt;LineærRegression_Valg[[#This Row],[Uafhængig variabel ID]]</f>
        <v>1</v>
      </c>
      <c r="E629" t="b">
        <f>LineærRegression_Valg[[#This Row],[Afhængig variabel ID]]&lt;=$B$5</f>
        <v>0</v>
      </c>
      <c r="F629" t="str" cm="1">
        <f t="array" ref="F629">IF(LineærRegression_Valg[[#This Row],[Indenfor range]],INDEX(DataTitel_liste,LineærRegression_Valg[[#This Row],[Afhængig variabel ID]]),INDEX(DataTitel_liste,1))</f>
        <v>Eksempel 1 (interval)</v>
      </c>
      <c r="G629" s="188" t="str" cm="1">
        <f t="array" ref="G629">IF(LineærRegression_Valg[[#This Row],[Indenfor range]],IF(LineærRegression_Valg[[#This Row],[Intet overlap]],INDEX(DataTitel_liste,LineærRegression_Valg[[#This Row],[Uafhængig variabel ID]]),INDEX(DataTitel_liste,IF(LineærRegression_Valg[[#This Row],[Afhængig variabel ID]]=1,2,1))),$B$7)</f>
        <v>Eksempel 2 (interval)</v>
      </c>
      <c r="H629" s="188">
        <f>_xlfn.AGGREGATE(2,5,LineærRegression_Valg[[#This Row],[Tabel ID]])</f>
        <v>1</v>
      </c>
    </row>
    <row r="630" spans="1:8" x14ac:dyDescent="0.2">
      <c r="A630">
        <f>ROW(LineærRegression_Valg[[#This Row],[Tabel ID]])-ROW(LineærRegression_Valg[[#Headers],[Tabel ID]])</f>
        <v>620</v>
      </c>
      <c r="B630" s="188">
        <f>ROUNDDOWN((LineærRegression_Valg[[#This Row],[Tabel ID]]-1)/$B$5,0)+1</f>
        <v>155</v>
      </c>
      <c r="C630" s="188">
        <f t="shared" si="9"/>
        <v>4</v>
      </c>
      <c r="D630" s="188" t="b">
        <f>LineærRegression_Valg[[#This Row],[Afhængig variabel ID]]&lt;&gt;LineærRegression_Valg[[#This Row],[Uafhængig variabel ID]]</f>
        <v>1</v>
      </c>
      <c r="E630" t="b">
        <f>LineærRegression_Valg[[#This Row],[Afhængig variabel ID]]&lt;=$B$5</f>
        <v>0</v>
      </c>
      <c r="F630" t="str" cm="1">
        <f t="array" ref="F630">IF(LineærRegression_Valg[[#This Row],[Indenfor range]],INDEX(DataTitel_liste,LineærRegression_Valg[[#This Row],[Afhængig variabel ID]]),INDEX(DataTitel_liste,1))</f>
        <v>Eksempel 1 (interval)</v>
      </c>
      <c r="G630" s="188" t="str" cm="1">
        <f t="array" ref="G630">IF(LineærRegression_Valg[[#This Row],[Indenfor range]],IF(LineærRegression_Valg[[#This Row],[Intet overlap]],INDEX(DataTitel_liste,LineærRegression_Valg[[#This Row],[Uafhængig variabel ID]]),INDEX(DataTitel_liste,IF(LineærRegression_Valg[[#This Row],[Afhængig variabel ID]]=1,2,1))),$B$7)</f>
        <v>Eksempel 2 (interval)</v>
      </c>
      <c r="H630" s="188">
        <f>_xlfn.AGGREGATE(2,5,LineærRegression_Valg[[#This Row],[Tabel ID]])</f>
        <v>1</v>
      </c>
    </row>
    <row r="631" spans="1:8" x14ac:dyDescent="0.2">
      <c r="A631">
        <f>ROW(LineærRegression_Valg[[#This Row],[Tabel ID]])-ROW(LineærRegression_Valg[[#Headers],[Tabel ID]])</f>
        <v>621</v>
      </c>
      <c r="B631" s="188">
        <f>ROUNDDOWN((LineærRegression_Valg[[#This Row],[Tabel ID]]-1)/$B$5,0)+1</f>
        <v>156</v>
      </c>
      <c r="C631" s="188">
        <f t="shared" si="9"/>
        <v>1</v>
      </c>
      <c r="D631" s="188" t="b">
        <f>LineærRegression_Valg[[#This Row],[Afhængig variabel ID]]&lt;&gt;LineærRegression_Valg[[#This Row],[Uafhængig variabel ID]]</f>
        <v>1</v>
      </c>
      <c r="E631" t="b">
        <f>LineærRegression_Valg[[#This Row],[Afhængig variabel ID]]&lt;=$B$5</f>
        <v>0</v>
      </c>
      <c r="F631" t="str" cm="1">
        <f t="array" ref="F631">IF(LineærRegression_Valg[[#This Row],[Indenfor range]],INDEX(DataTitel_liste,LineærRegression_Valg[[#This Row],[Afhængig variabel ID]]),INDEX(DataTitel_liste,1))</f>
        <v>Eksempel 1 (interval)</v>
      </c>
      <c r="G631" s="188" t="str" cm="1">
        <f t="array" ref="G631">IF(LineærRegression_Valg[[#This Row],[Indenfor range]],IF(LineærRegression_Valg[[#This Row],[Intet overlap]],INDEX(DataTitel_liste,LineærRegression_Valg[[#This Row],[Uafhængig variabel ID]]),INDEX(DataTitel_liste,IF(LineærRegression_Valg[[#This Row],[Afhængig variabel ID]]=1,2,1))),$B$7)</f>
        <v>Eksempel 2 (interval)</v>
      </c>
      <c r="H631" s="188">
        <f>_xlfn.AGGREGATE(2,5,LineærRegression_Valg[[#This Row],[Tabel ID]])</f>
        <v>1</v>
      </c>
    </row>
    <row r="632" spans="1:8" x14ac:dyDescent="0.2">
      <c r="A632">
        <f>ROW(LineærRegression_Valg[[#This Row],[Tabel ID]])-ROW(LineærRegression_Valg[[#Headers],[Tabel ID]])</f>
        <v>622</v>
      </c>
      <c r="B632" s="188">
        <f>ROUNDDOWN((LineærRegression_Valg[[#This Row],[Tabel ID]]-1)/$B$5,0)+1</f>
        <v>156</v>
      </c>
      <c r="C632" s="188">
        <f t="shared" si="9"/>
        <v>2</v>
      </c>
      <c r="D632" s="188" t="b">
        <f>LineærRegression_Valg[[#This Row],[Afhængig variabel ID]]&lt;&gt;LineærRegression_Valg[[#This Row],[Uafhængig variabel ID]]</f>
        <v>1</v>
      </c>
      <c r="E632" t="b">
        <f>LineærRegression_Valg[[#This Row],[Afhængig variabel ID]]&lt;=$B$5</f>
        <v>0</v>
      </c>
      <c r="F632" t="str" cm="1">
        <f t="array" ref="F632">IF(LineærRegression_Valg[[#This Row],[Indenfor range]],INDEX(DataTitel_liste,LineærRegression_Valg[[#This Row],[Afhængig variabel ID]]),INDEX(DataTitel_liste,1))</f>
        <v>Eksempel 1 (interval)</v>
      </c>
      <c r="G632" s="188" t="str" cm="1">
        <f t="array" ref="G632">IF(LineærRegression_Valg[[#This Row],[Indenfor range]],IF(LineærRegression_Valg[[#This Row],[Intet overlap]],INDEX(DataTitel_liste,LineærRegression_Valg[[#This Row],[Uafhængig variabel ID]]),INDEX(DataTitel_liste,IF(LineærRegression_Valg[[#This Row],[Afhængig variabel ID]]=1,2,1))),$B$7)</f>
        <v>Eksempel 2 (interval)</v>
      </c>
      <c r="H632" s="188">
        <f>_xlfn.AGGREGATE(2,5,LineærRegression_Valg[[#This Row],[Tabel ID]])</f>
        <v>1</v>
      </c>
    </row>
    <row r="633" spans="1:8" x14ac:dyDescent="0.2">
      <c r="A633">
        <f>ROW(LineærRegression_Valg[[#This Row],[Tabel ID]])-ROW(LineærRegression_Valg[[#Headers],[Tabel ID]])</f>
        <v>623</v>
      </c>
      <c r="B633" s="188">
        <f>ROUNDDOWN((LineærRegression_Valg[[#This Row],[Tabel ID]]-1)/$B$5,0)+1</f>
        <v>156</v>
      </c>
      <c r="C633" s="188">
        <f t="shared" si="9"/>
        <v>3</v>
      </c>
      <c r="D633" s="188" t="b">
        <f>LineærRegression_Valg[[#This Row],[Afhængig variabel ID]]&lt;&gt;LineærRegression_Valg[[#This Row],[Uafhængig variabel ID]]</f>
        <v>1</v>
      </c>
      <c r="E633" t="b">
        <f>LineærRegression_Valg[[#This Row],[Afhængig variabel ID]]&lt;=$B$5</f>
        <v>0</v>
      </c>
      <c r="F633" t="str" cm="1">
        <f t="array" ref="F633">IF(LineærRegression_Valg[[#This Row],[Indenfor range]],INDEX(DataTitel_liste,LineærRegression_Valg[[#This Row],[Afhængig variabel ID]]),INDEX(DataTitel_liste,1))</f>
        <v>Eksempel 1 (interval)</v>
      </c>
      <c r="G633" s="188" t="str" cm="1">
        <f t="array" ref="G633">IF(LineærRegression_Valg[[#This Row],[Indenfor range]],IF(LineærRegression_Valg[[#This Row],[Intet overlap]],INDEX(DataTitel_liste,LineærRegression_Valg[[#This Row],[Uafhængig variabel ID]]),INDEX(DataTitel_liste,IF(LineærRegression_Valg[[#This Row],[Afhængig variabel ID]]=1,2,1))),$B$7)</f>
        <v>Eksempel 2 (interval)</v>
      </c>
      <c r="H633" s="188">
        <f>_xlfn.AGGREGATE(2,5,LineærRegression_Valg[[#This Row],[Tabel ID]])</f>
        <v>1</v>
      </c>
    </row>
    <row r="634" spans="1:8" x14ac:dyDescent="0.2">
      <c r="A634">
        <f>ROW(LineærRegression_Valg[[#This Row],[Tabel ID]])-ROW(LineærRegression_Valg[[#Headers],[Tabel ID]])</f>
        <v>624</v>
      </c>
      <c r="B634" s="188">
        <f>ROUNDDOWN((LineærRegression_Valg[[#This Row],[Tabel ID]]-1)/$B$5,0)+1</f>
        <v>156</v>
      </c>
      <c r="C634" s="188">
        <f t="shared" si="9"/>
        <v>4</v>
      </c>
      <c r="D634" s="188" t="b">
        <f>LineærRegression_Valg[[#This Row],[Afhængig variabel ID]]&lt;&gt;LineærRegression_Valg[[#This Row],[Uafhængig variabel ID]]</f>
        <v>1</v>
      </c>
      <c r="E634" t="b">
        <f>LineærRegression_Valg[[#This Row],[Afhængig variabel ID]]&lt;=$B$5</f>
        <v>0</v>
      </c>
      <c r="F634" t="str" cm="1">
        <f t="array" ref="F634">IF(LineærRegression_Valg[[#This Row],[Indenfor range]],INDEX(DataTitel_liste,LineærRegression_Valg[[#This Row],[Afhængig variabel ID]]),INDEX(DataTitel_liste,1))</f>
        <v>Eksempel 1 (interval)</v>
      </c>
      <c r="G634" s="188" t="str" cm="1">
        <f t="array" ref="G634">IF(LineærRegression_Valg[[#This Row],[Indenfor range]],IF(LineærRegression_Valg[[#This Row],[Intet overlap]],INDEX(DataTitel_liste,LineærRegression_Valg[[#This Row],[Uafhængig variabel ID]]),INDEX(DataTitel_liste,IF(LineærRegression_Valg[[#This Row],[Afhængig variabel ID]]=1,2,1))),$B$7)</f>
        <v>Eksempel 2 (interval)</v>
      </c>
      <c r="H634" s="188">
        <f>_xlfn.AGGREGATE(2,5,LineærRegression_Valg[[#This Row],[Tabel ID]])</f>
        <v>1</v>
      </c>
    </row>
    <row r="635" spans="1:8" x14ac:dyDescent="0.2">
      <c r="A635">
        <f>ROW(LineærRegression_Valg[[#This Row],[Tabel ID]])-ROW(LineærRegression_Valg[[#Headers],[Tabel ID]])</f>
        <v>625</v>
      </c>
      <c r="B635" s="188">
        <f>ROUNDDOWN((LineærRegression_Valg[[#This Row],[Tabel ID]]-1)/$B$5,0)+1</f>
        <v>157</v>
      </c>
      <c r="C635" s="188">
        <f t="shared" si="9"/>
        <v>1</v>
      </c>
      <c r="D635" s="188" t="b">
        <f>LineærRegression_Valg[[#This Row],[Afhængig variabel ID]]&lt;&gt;LineærRegression_Valg[[#This Row],[Uafhængig variabel ID]]</f>
        <v>1</v>
      </c>
      <c r="E635" t="b">
        <f>LineærRegression_Valg[[#This Row],[Afhængig variabel ID]]&lt;=$B$5</f>
        <v>0</v>
      </c>
      <c r="F635" t="str" cm="1">
        <f t="array" ref="F635">IF(LineærRegression_Valg[[#This Row],[Indenfor range]],INDEX(DataTitel_liste,LineærRegression_Valg[[#This Row],[Afhængig variabel ID]]),INDEX(DataTitel_liste,1))</f>
        <v>Eksempel 1 (interval)</v>
      </c>
      <c r="G635" s="188" t="str" cm="1">
        <f t="array" ref="G635">IF(LineærRegression_Valg[[#This Row],[Indenfor range]],IF(LineærRegression_Valg[[#This Row],[Intet overlap]],INDEX(DataTitel_liste,LineærRegression_Valg[[#This Row],[Uafhængig variabel ID]]),INDEX(DataTitel_liste,IF(LineærRegression_Valg[[#This Row],[Afhængig variabel ID]]=1,2,1))),$B$7)</f>
        <v>Eksempel 2 (interval)</v>
      </c>
      <c r="H635" s="188">
        <f>_xlfn.AGGREGATE(2,5,LineærRegression_Valg[[#This Row],[Tabel ID]])</f>
        <v>1</v>
      </c>
    </row>
    <row r="636" spans="1:8" x14ac:dyDescent="0.2">
      <c r="A636">
        <f>ROW(LineærRegression_Valg[[#This Row],[Tabel ID]])-ROW(LineærRegression_Valg[[#Headers],[Tabel ID]])</f>
        <v>626</v>
      </c>
      <c r="B636" s="188">
        <f>ROUNDDOWN((LineærRegression_Valg[[#This Row],[Tabel ID]]-1)/$B$5,0)+1</f>
        <v>157</v>
      </c>
      <c r="C636" s="188">
        <f t="shared" si="9"/>
        <v>2</v>
      </c>
      <c r="D636" s="188" t="b">
        <f>LineærRegression_Valg[[#This Row],[Afhængig variabel ID]]&lt;&gt;LineærRegression_Valg[[#This Row],[Uafhængig variabel ID]]</f>
        <v>1</v>
      </c>
      <c r="E636" t="b">
        <f>LineærRegression_Valg[[#This Row],[Afhængig variabel ID]]&lt;=$B$5</f>
        <v>0</v>
      </c>
      <c r="F636" t="str" cm="1">
        <f t="array" ref="F636">IF(LineærRegression_Valg[[#This Row],[Indenfor range]],INDEX(DataTitel_liste,LineærRegression_Valg[[#This Row],[Afhængig variabel ID]]),INDEX(DataTitel_liste,1))</f>
        <v>Eksempel 1 (interval)</v>
      </c>
      <c r="G636" s="188" t="str" cm="1">
        <f t="array" ref="G636">IF(LineærRegression_Valg[[#This Row],[Indenfor range]],IF(LineærRegression_Valg[[#This Row],[Intet overlap]],INDEX(DataTitel_liste,LineærRegression_Valg[[#This Row],[Uafhængig variabel ID]]),INDEX(DataTitel_liste,IF(LineærRegression_Valg[[#This Row],[Afhængig variabel ID]]=1,2,1))),$B$7)</f>
        <v>Eksempel 2 (interval)</v>
      </c>
      <c r="H636" s="188">
        <f>_xlfn.AGGREGATE(2,5,LineærRegression_Valg[[#This Row],[Tabel ID]])</f>
        <v>1</v>
      </c>
    </row>
    <row r="637" spans="1:8" x14ac:dyDescent="0.2">
      <c r="A637">
        <f>ROW(LineærRegression_Valg[[#This Row],[Tabel ID]])-ROW(LineærRegression_Valg[[#Headers],[Tabel ID]])</f>
        <v>627</v>
      </c>
      <c r="B637" s="188">
        <f>ROUNDDOWN((LineærRegression_Valg[[#This Row],[Tabel ID]]-1)/$B$5,0)+1</f>
        <v>157</v>
      </c>
      <c r="C637" s="188">
        <f t="shared" si="9"/>
        <v>3</v>
      </c>
      <c r="D637" s="188" t="b">
        <f>LineærRegression_Valg[[#This Row],[Afhængig variabel ID]]&lt;&gt;LineærRegression_Valg[[#This Row],[Uafhængig variabel ID]]</f>
        <v>1</v>
      </c>
      <c r="E637" t="b">
        <f>LineærRegression_Valg[[#This Row],[Afhængig variabel ID]]&lt;=$B$5</f>
        <v>0</v>
      </c>
      <c r="F637" t="str" cm="1">
        <f t="array" ref="F637">IF(LineærRegression_Valg[[#This Row],[Indenfor range]],INDEX(DataTitel_liste,LineærRegression_Valg[[#This Row],[Afhængig variabel ID]]),INDEX(DataTitel_liste,1))</f>
        <v>Eksempel 1 (interval)</v>
      </c>
      <c r="G637" s="188" t="str" cm="1">
        <f t="array" ref="G637">IF(LineærRegression_Valg[[#This Row],[Indenfor range]],IF(LineærRegression_Valg[[#This Row],[Intet overlap]],INDEX(DataTitel_liste,LineærRegression_Valg[[#This Row],[Uafhængig variabel ID]]),INDEX(DataTitel_liste,IF(LineærRegression_Valg[[#This Row],[Afhængig variabel ID]]=1,2,1))),$B$7)</f>
        <v>Eksempel 2 (interval)</v>
      </c>
      <c r="H637" s="188">
        <f>_xlfn.AGGREGATE(2,5,LineærRegression_Valg[[#This Row],[Tabel ID]])</f>
        <v>1</v>
      </c>
    </row>
    <row r="638" spans="1:8" x14ac:dyDescent="0.2">
      <c r="A638">
        <f>ROW(LineærRegression_Valg[[#This Row],[Tabel ID]])-ROW(LineærRegression_Valg[[#Headers],[Tabel ID]])</f>
        <v>628</v>
      </c>
      <c r="B638" s="188">
        <f>ROUNDDOWN((LineærRegression_Valg[[#This Row],[Tabel ID]]-1)/$B$5,0)+1</f>
        <v>157</v>
      </c>
      <c r="C638" s="188">
        <f t="shared" si="9"/>
        <v>4</v>
      </c>
      <c r="D638" s="188" t="b">
        <f>LineærRegression_Valg[[#This Row],[Afhængig variabel ID]]&lt;&gt;LineærRegression_Valg[[#This Row],[Uafhængig variabel ID]]</f>
        <v>1</v>
      </c>
      <c r="E638" t="b">
        <f>LineærRegression_Valg[[#This Row],[Afhængig variabel ID]]&lt;=$B$5</f>
        <v>0</v>
      </c>
      <c r="F638" t="str" cm="1">
        <f t="array" ref="F638">IF(LineærRegression_Valg[[#This Row],[Indenfor range]],INDEX(DataTitel_liste,LineærRegression_Valg[[#This Row],[Afhængig variabel ID]]),INDEX(DataTitel_liste,1))</f>
        <v>Eksempel 1 (interval)</v>
      </c>
      <c r="G638" s="188" t="str" cm="1">
        <f t="array" ref="G638">IF(LineærRegression_Valg[[#This Row],[Indenfor range]],IF(LineærRegression_Valg[[#This Row],[Intet overlap]],INDEX(DataTitel_liste,LineærRegression_Valg[[#This Row],[Uafhængig variabel ID]]),INDEX(DataTitel_liste,IF(LineærRegression_Valg[[#This Row],[Afhængig variabel ID]]=1,2,1))),$B$7)</f>
        <v>Eksempel 2 (interval)</v>
      </c>
      <c r="H638" s="188">
        <f>_xlfn.AGGREGATE(2,5,LineærRegression_Valg[[#This Row],[Tabel ID]])</f>
        <v>1</v>
      </c>
    </row>
    <row r="639" spans="1:8" x14ac:dyDescent="0.2">
      <c r="A639">
        <f>ROW(LineærRegression_Valg[[#This Row],[Tabel ID]])-ROW(LineærRegression_Valg[[#Headers],[Tabel ID]])</f>
        <v>629</v>
      </c>
      <c r="B639" s="188">
        <f>ROUNDDOWN((LineærRegression_Valg[[#This Row],[Tabel ID]]-1)/$B$5,0)+1</f>
        <v>158</v>
      </c>
      <c r="C639" s="188">
        <f t="shared" si="9"/>
        <v>1</v>
      </c>
      <c r="D639" s="188" t="b">
        <f>LineærRegression_Valg[[#This Row],[Afhængig variabel ID]]&lt;&gt;LineærRegression_Valg[[#This Row],[Uafhængig variabel ID]]</f>
        <v>1</v>
      </c>
      <c r="E639" t="b">
        <f>LineærRegression_Valg[[#This Row],[Afhængig variabel ID]]&lt;=$B$5</f>
        <v>0</v>
      </c>
      <c r="F639" t="str" cm="1">
        <f t="array" ref="F639">IF(LineærRegression_Valg[[#This Row],[Indenfor range]],INDEX(DataTitel_liste,LineærRegression_Valg[[#This Row],[Afhængig variabel ID]]),INDEX(DataTitel_liste,1))</f>
        <v>Eksempel 1 (interval)</v>
      </c>
      <c r="G639" s="188" t="str" cm="1">
        <f t="array" ref="G639">IF(LineærRegression_Valg[[#This Row],[Indenfor range]],IF(LineærRegression_Valg[[#This Row],[Intet overlap]],INDEX(DataTitel_liste,LineærRegression_Valg[[#This Row],[Uafhængig variabel ID]]),INDEX(DataTitel_liste,IF(LineærRegression_Valg[[#This Row],[Afhængig variabel ID]]=1,2,1))),$B$7)</f>
        <v>Eksempel 2 (interval)</v>
      </c>
      <c r="H639" s="188">
        <f>_xlfn.AGGREGATE(2,5,LineærRegression_Valg[[#This Row],[Tabel ID]])</f>
        <v>1</v>
      </c>
    </row>
    <row r="640" spans="1:8" x14ac:dyDescent="0.2">
      <c r="A640">
        <f>ROW(LineærRegression_Valg[[#This Row],[Tabel ID]])-ROW(LineærRegression_Valg[[#Headers],[Tabel ID]])</f>
        <v>630</v>
      </c>
      <c r="B640" s="188">
        <f>ROUNDDOWN((LineærRegression_Valg[[#This Row],[Tabel ID]]-1)/$B$5,0)+1</f>
        <v>158</v>
      </c>
      <c r="C640" s="188">
        <f t="shared" si="9"/>
        <v>2</v>
      </c>
      <c r="D640" s="188" t="b">
        <f>LineærRegression_Valg[[#This Row],[Afhængig variabel ID]]&lt;&gt;LineærRegression_Valg[[#This Row],[Uafhængig variabel ID]]</f>
        <v>1</v>
      </c>
      <c r="E640" t="b">
        <f>LineærRegression_Valg[[#This Row],[Afhængig variabel ID]]&lt;=$B$5</f>
        <v>0</v>
      </c>
      <c r="F640" t="str" cm="1">
        <f t="array" ref="F640">IF(LineærRegression_Valg[[#This Row],[Indenfor range]],INDEX(DataTitel_liste,LineærRegression_Valg[[#This Row],[Afhængig variabel ID]]),INDEX(DataTitel_liste,1))</f>
        <v>Eksempel 1 (interval)</v>
      </c>
      <c r="G640" s="188" t="str" cm="1">
        <f t="array" ref="G640">IF(LineærRegression_Valg[[#This Row],[Indenfor range]],IF(LineærRegression_Valg[[#This Row],[Intet overlap]],INDEX(DataTitel_liste,LineærRegression_Valg[[#This Row],[Uafhængig variabel ID]]),INDEX(DataTitel_liste,IF(LineærRegression_Valg[[#This Row],[Afhængig variabel ID]]=1,2,1))),$B$7)</f>
        <v>Eksempel 2 (interval)</v>
      </c>
      <c r="H640" s="188">
        <f>_xlfn.AGGREGATE(2,5,LineærRegression_Valg[[#This Row],[Tabel ID]])</f>
        <v>1</v>
      </c>
    </row>
    <row r="641" spans="1:8" x14ac:dyDescent="0.2">
      <c r="A641">
        <f>ROW(LineærRegression_Valg[[#This Row],[Tabel ID]])-ROW(LineærRegression_Valg[[#Headers],[Tabel ID]])</f>
        <v>631</v>
      </c>
      <c r="B641" s="188">
        <f>ROUNDDOWN((LineærRegression_Valg[[#This Row],[Tabel ID]]-1)/$B$5,0)+1</f>
        <v>158</v>
      </c>
      <c r="C641" s="188">
        <f t="shared" si="9"/>
        <v>3</v>
      </c>
      <c r="D641" s="188" t="b">
        <f>LineærRegression_Valg[[#This Row],[Afhængig variabel ID]]&lt;&gt;LineærRegression_Valg[[#This Row],[Uafhængig variabel ID]]</f>
        <v>1</v>
      </c>
      <c r="E641" t="b">
        <f>LineærRegression_Valg[[#This Row],[Afhængig variabel ID]]&lt;=$B$5</f>
        <v>0</v>
      </c>
      <c r="F641" t="str" cm="1">
        <f t="array" ref="F641">IF(LineærRegression_Valg[[#This Row],[Indenfor range]],INDEX(DataTitel_liste,LineærRegression_Valg[[#This Row],[Afhængig variabel ID]]),INDEX(DataTitel_liste,1))</f>
        <v>Eksempel 1 (interval)</v>
      </c>
      <c r="G641" s="188" t="str" cm="1">
        <f t="array" ref="G641">IF(LineærRegression_Valg[[#This Row],[Indenfor range]],IF(LineærRegression_Valg[[#This Row],[Intet overlap]],INDEX(DataTitel_liste,LineærRegression_Valg[[#This Row],[Uafhængig variabel ID]]),INDEX(DataTitel_liste,IF(LineærRegression_Valg[[#This Row],[Afhængig variabel ID]]=1,2,1))),$B$7)</f>
        <v>Eksempel 2 (interval)</v>
      </c>
      <c r="H641" s="188">
        <f>_xlfn.AGGREGATE(2,5,LineærRegression_Valg[[#This Row],[Tabel ID]])</f>
        <v>1</v>
      </c>
    </row>
    <row r="642" spans="1:8" x14ac:dyDescent="0.2">
      <c r="A642">
        <f>ROW(LineærRegression_Valg[[#This Row],[Tabel ID]])-ROW(LineærRegression_Valg[[#Headers],[Tabel ID]])</f>
        <v>632</v>
      </c>
      <c r="B642" s="188">
        <f>ROUNDDOWN((LineærRegression_Valg[[#This Row],[Tabel ID]]-1)/$B$5,0)+1</f>
        <v>158</v>
      </c>
      <c r="C642" s="188">
        <f t="shared" si="9"/>
        <v>4</v>
      </c>
      <c r="D642" s="188" t="b">
        <f>LineærRegression_Valg[[#This Row],[Afhængig variabel ID]]&lt;&gt;LineærRegression_Valg[[#This Row],[Uafhængig variabel ID]]</f>
        <v>1</v>
      </c>
      <c r="E642" t="b">
        <f>LineærRegression_Valg[[#This Row],[Afhængig variabel ID]]&lt;=$B$5</f>
        <v>0</v>
      </c>
      <c r="F642" t="str" cm="1">
        <f t="array" ref="F642">IF(LineærRegression_Valg[[#This Row],[Indenfor range]],INDEX(DataTitel_liste,LineærRegression_Valg[[#This Row],[Afhængig variabel ID]]),INDEX(DataTitel_liste,1))</f>
        <v>Eksempel 1 (interval)</v>
      </c>
      <c r="G642" s="188" t="str" cm="1">
        <f t="array" ref="G642">IF(LineærRegression_Valg[[#This Row],[Indenfor range]],IF(LineærRegression_Valg[[#This Row],[Intet overlap]],INDEX(DataTitel_liste,LineærRegression_Valg[[#This Row],[Uafhængig variabel ID]]),INDEX(DataTitel_liste,IF(LineærRegression_Valg[[#This Row],[Afhængig variabel ID]]=1,2,1))),$B$7)</f>
        <v>Eksempel 2 (interval)</v>
      </c>
      <c r="H642" s="188">
        <f>_xlfn.AGGREGATE(2,5,LineærRegression_Valg[[#This Row],[Tabel ID]])</f>
        <v>1</v>
      </c>
    </row>
    <row r="643" spans="1:8" x14ac:dyDescent="0.2">
      <c r="A643">
        <f>ROW(LineærRegression_Valg[[#This Row],[Tabel ID]])-ROW(LineærRegression_Valg[[#Headers],[Tabel ID]])</f>
        <v>633</v>
      </c>
      <c r="B643" s="188">
        <f>ROUNDDOWN((LineærRegression_Valg[[#This Row],[Tabel ID]]-1)/$B$5,0)+1</f>
        <v>159</v>
      </c>
      <c r="C643" s="188">
        <f t="shared" si="9"/>
        <v>1</v>
      </c>
      <c r="D643" s="188" t="b">
        <f>LineærRegression_Valg[[#This Row],[Afhængig variabel ID]]&lt;&gt;LineærRegression_Valg[[#This Row],[Uafhængig variabel ID]]</f>
        <v>1</v>
      </c>
      <c r="E643" t="b">
        <f>LineærRegression_Valg[[#This Row],[Afhængig variabel ID]]&lt;=$B$5</f>
        <v>0</v>
      </c>
      <c r="F643" t="str" cm="1">
        <f t="array" ref="F643">IF(LineærRegression_Valg[[#This Row],[Indenfor range]],INDEX(DataTitel_liste,LineærRegression_Valg[[#This Row],[Afhængig variabel ID]]),INDEX(DataTitel_liste,1))</f>
        <v>Eksempel 1 (interval)</v>
      </c>
      <c r="G643" s="188" t="str" cm="1">
        <f t="array" ref="G643">IF(LineærRegression_Valg[[#This Row],[Indenfor range]],IF(LineærRegression_Valg[[#This Row],[Intet overlap]],INDEX(DataTitel_liste,LineærRegression_Valg[[#This Row],[Uafhængig variabel ID]]),INDEX(DataTitel_liste,IF(LineærRegression_Valg[[#This Row],[Afhængig variabel ID]]=1,2,1))),$B$7)</f>
        <v>Eksempel 2 (interval)</v>
      </c>
      <c r="H643" s="188">
        <f>_xlfn.AGGREGATE(2,5,LineærRegression_Valg[[#This Row],[Tabel ID]])</f>
        <v>1</v>
      </c>
    </row>
    <row r="644" spans="1:8" x14ac:dyDescent="0.2">
      <c r="A644">
        <f>ROW(LineærRegression_Valg[[#This Row],[Tabel ID]])-ROW(LineærRegression_Valg[[#Headers],[Tabel ID]])</f>
        <v>634</v>
      </c>
      <c r="B644" s="188">
        <f>ROUNDDOWN((LineærRegression_Valg[[#This Row],[Tabel ID]]-1)/$B$5,0)+1</f>
        <v>159</v>
      </c>
      <c r="C644" s="188">
        <f t="shared" si="9"/>
        <v>2</v>
      </c>
      <c r="D644" s="188" t="b">
        <f>LineærRegression_Valg[[#This Row],[Afhængig variabel ID]]&lt;&gt;LineærRegression_Valg[[#This Row],[Uafhængig variabel ID]]</f>
        <v>1</v>
      </c>
      <c r="E644" t="b">
        <f>LineærRegression_Valg[[#This Row],[Afhængig variabel ID]]&lt;=$B$5</f>
        <v>0</v>
      </c>
      <c r="F644" t="str" cm="1">
        <f t="array" ref="F644">IF(LineærRegression_Valg[[#This Row],[Indenfor range]],INDEX(DataTitel_liste,LineærRegression_Valg[[#This Row],[Afhængig variabel ID]]),INDEX(DataTitel_liste,1))</f>
        <v>Eksempel 1 (interval)</v>
      </c>
      <c r="G644" s="188" t="str" cm="1">
        <f t="array" ref="G644">IF(LineærRegression_Valg[[#This Row],[Indenfor range]],IF(LineærRegression_Valg[[#This Row],[Intet overlap]],INDEX(DataTitel_liste,LineærRegression_Valg[[#This Row],[Uafhængig variabel ID]]),INDEX(DataTitel_liste,IF(LineærRegression_Valg[[#This Row],[Afhængig variabel ID]]=1,2,1))),$B$7)</f>
        <v>Eksempel 2 (interval)</v>
      </c>
      <c r="H644" s="188">
        <f>_xlfn.AGGREGATE(2,5,LineærRegression_Valg[[#This Row],[Tabel ID]])</f>
        <v>1</v>
      </c>
    </row>
    <row r="645" spans="1:8" x14ac:dyDescent="0.2">
      <c r="A645">
        <f>ROW(LineærRegression_Valg[[#This Row],[Tabel ID]])-ROW(LineærRegression_Valg[[#Headers],[Tabel ID]])</f>
        <v>635</v>
      </c>
      <c r="B645" s="188">
        <f>ROUNDDOWN((LineærRegression_Valg[[#This Row],[Tabel ID]]-1)/$B$5,0)+1</f>
        <v>159</v>
      </c>
      <c r="C645" s="188">
        <f t="shared" si="9"/>
        <v>3</v>
      </c>
      <c r="D645" s="188" t="b">
        <f>LineærRegression_Valg[[#This Row],[Afhængig variabel ID]]&lt;&gt;LineærRegression_Valg[[#This Row],[Uafhængig variabel ID]]</f>
        <v>1</v>
      </c>
      <c r="E645" t="b">
        <f>LineærRegression_Valg[[#This Row],[Afhængig variabel ID]]&lt;=$B$5</f>
        <v>0</v>
      </c>
      <c r="F645" t="str" cm="1">
        <f t="array" ref="F645">IF(LineærRegression_Valg[[#This Row],[Indenfor range]],INDEX(DataTitel_liste,LineærRegression_Valg[[#This Row],[Afhængig variabel ID]]),INDEX(DataTitel_liste,1))</f>
        <v>Eksempel 1 (interval)</v>
      </c>
      <c r="G645" s="188" t="str" cm="1">
        <f t="array" ref="G645">IF(LineærRegression_Valg[[#This Row],[Indenfor range]],IF(LineærRegression_Valg[[#This Row],[Intet overlap]],INDEX(DataTitel_liste,LineærRegression_Valg[[#This Row],[Uafhængig variabel ID]]),INDEX(DataTitel_liste,IF(LineærRegression_Valg[[#This Row],[Afhængig variabel ID]]=1,2,1))),$B$7)</f>
        <v>Eksempel 2 (interval)</v>
      </c>
      <c r="H645" s="188">
        <f>_xlfn.AGGREGATE(2,5,LineærRegression_Valg[[#This Row],[Tabel ID]])</f>
        <v>1</v>
      </c>
    </row>
    <row r="646" spans="1:8" x14ac:dyDescent="0.2">
      <c r="A646">
        <f>ROW(LineærRegression_Valg[[#This Row],[Tabel ID]])-ROW(LineærRegression_Valg[[#Headers],[Tabel ID]])</f>
        <v>636</v>
      </c>
      <c r="B646" s="188">
        <f>ROUNDDOWN((LineærRegression_Valg[[#This Row],[Tabel ID]]-1)/$B$5,0)+1</f>
        <v>159</v>
      </c>
      <c r="C646" s="188">
        <f t="shared" si="9"/>
        <v>4</v>
      </c>
      <c r="D646" s="188" t="b">
        <f>LineærRegression_Valg[[#This Row],[Afhængig variabel ID]]&lt;&gt;LineærRegression_Valg[[#This Row],[Uafhængig variabel ID]]</f>
        <v>1</v>
      </c>
      <c r="E646" t="b">
        <f>LineærRegression_Valg[[#This Row],[Afhængig variabel ID]]&lt;=$B$5</f>
        <v>0</v>
      </c>
      <c r="F646" t="str" cm="1">
        <f t="array" ref="F646">IF(LineærRegression_Valg[[#This Row],[Indenfor range]],INDEX(DataTitel_liste,LineærRegression_Valg[[#This Row],[Afhængig variabel ID]]),INDEX(DataTitel_liste,1))</f>
        <v>Eksempel 1 (interval)</v>
      </c>
      <c r="G646" s="188" t="str" cm="1">
        <f t="array" ref="G646">IF(LineærRegression_Valg[[#This Row],[Indenfor range]],IF(LineærRegression_Valg[[#This Row],[Intet overlap]],INDEX(DataTitel_liste,LineærRegression_Valg[[#This Row],[Uafhængig variabel ID]]),INDEX(DataTitel_liste,IF(LineærRegression_Valg[[#This Row],[Afhængig variabel ID]]=1,2,1))),$B$7)</f>
        <v>Eksempel 2 (interval)</v>
      </c>
      <c r="H646" s="188">
        <f>_xlfn.AGGREGATE(2,5,LineærRegression_Valg[[#This Row],[Tabel ID]])</f>
        <v>1</v>
      </c>
    </row>
    <row r="647" spans="1:8" x14ac:dyDescent="0.2">
      <c r="A647">
        <f>ROW(LineærRegression_Valg[[#This Row],[Tabel ID]])-ROW(LineærRegression_Valg[[#Headers],[Tabel ID]])</f>
        <v>637</v>
      </c>
      <c r="B647" s="188">
        <f>ROUNDDOWN((LineærRegression_Valg[[#This Row],[Tabel ID]]-1)/$B$5,0)+1</f>
        <v>160</v>
      </c>
      <c r="C647" s="188">
        <f t="shared" si="9"/>
        <v>1</v>
      </c>
      <c r="D647" s="188" t="b">
        <f>LineærRegression_Valg[[#This Row],[Afhængig variabel ID]]&lt;&gt;LineærRegression_Valg[[#This Row],[Uafhængig variabel ID]]</f>
        <v>1</v>
      </c>
      <c r="E647" t="b">
        <f>LineærRegression_Valg[[#This Row],[Afhængig variabel ID]]&lt;=$B$5</f>
        <v>0</v>
      </c>
      <c r="F647" t="str" cm="1">
        <f t="array" ref="F647">IF(LineærRegression_Valg[[#This Row],[Indenfor range]],INDEX(DataTitel_liste,LineærRegression_Valg[[#This Row],[Afhængig variabel ID]]),INDEX(DataTitel_liste,1))</f>
        <v>Eksempel 1 (interval)</v>
      </c>
      <c r="G647" s="188" t="str" cm="1">
        <f t="array" ref="G647">IF(LineærRegression_Valg[[#This Row],[Indenfor range]],IF(LineærRegression_Valg[[#This Row],[Intet overlap]],INDEX(DataTitel_liste,LineærRegression_Valg[[#This Row],[Uafhængig variabel ID]]),INDEX(DataTitel_liste,IF(LineærRegression_Valg[[#This Row],[Afhængig variabel ID]]=1,2,1))),$B$7)</f>
        <v>Eksempel 2 (interval)</v>
      </c>
      <c r="H647" s="188">
        <f>_xlfn.AGGREGATE(2,5,LineærRegression_Valg[[#This Row],[Tabel ID]])</f>
        <v>1</v>
      </c>
    </row>
    <row r="648" spans="1:8" x14ac:dyDescent="0.2">
      <c r="A648">
        <f>ROW(LineærRegression_Valg[[#This Row],[Tabel ID]])-ROW(LineærRegression_Valg[[#Headers],[Tabel ID]])</f>
        <v>638</v>
      </c>
      <c r="B648" s="188">
        <f>ROUNDDOWN((LineærRegression_Valg[[#This Row],[Tabel ID]]-1)/$B$5,0)+1</f>
        <v>160</v>
      </c>
      <c r="C648" s="188">
        <f t="shared" si="9"/>
        <v>2</v>
      </c>
      <c r="D648" s="188" t="b">
        <f>LineærRegression_Valg[[#This Row],[Afhængig variabel ID]]&lt;&gt;LineærRegression_Valg[[#This Row],[Uafhængig variabel ID]]</f>
        <v>1</v>
      </c>
      <c r="E648" t="b">
        <f>LineærRegression_Valg[[#This Row],[Afhængig variabel ID]]&lt;=$B$5</f>
        <v>0</v>
      </c>
      <c r="F648" t="str" cm="1">
        <f t="array" ref="F648">IF(LineærRegression_Valg[[#This Row],[Indenfor range]],INDEX(DataTitel_liste,LineærRegression_Valg[[#This Row],[Afhængig variabel ID]]),INDEX(DataTitel_liste,1))</f>
        <v>Eksempel 1 (interval)</v>
      </c>
      <c r="G648" s="188" t="str" cm="1">
        <f t="array" ref="G648">IF(LineærRegression_Valg[[#This Row],[Indenfor range]],IF(LineærRegression_Valg[[#This Row],[Intet overlap]],INDEX(DataTitel_liste,LineærRegression_Valg[[#This Row],[Uafhængig variabel ID]]),INDEX(DataTitel_liste,IF(LineærRegression_Valg[[#This Row],[Afhængig variabel ID]]=1,2,1))),$B$7)</f>
        <v>Eksempel 2 (interval)</v>
      </c>
      <c r="H648" s="188">
        <f>_xlfn.AGGREGATE(2,5,LineærRegression_Valg[[#This Row],[Tabel ID]])</f>
        <v>1</v>
      </c>
    </row>
    <row r="649" spans="1:8" x14ac:dyDescent="0.2">
      <c r="A649">
        <f>ROW(LineærRegression_Valg[[#This Row],[Tabel ID]])-ROW(LineærRegression_Valg[[#Headers],[Tabel ID]])</f>
        <v>639</v>
      </c>
      <c r="B649" s="188">
        <f>ROUNDDOWN((LineærRegression_Valg[[#This Row],[Tabel ID]]-1)/$B$5,0)+1</f>
        <v>160</v>
      </c>
      <c r="C649" s="188">
        <f t="shared" si="9"/>
        <v>3</v>
      </c>
      <c r="D649" s="188" t="b">
        <f>LineærRegression_Valg[[#This Row],[Afhængig variabel ID]]&lt;&gt;LineærRegression_Valg[[#This Row],[Uafhængig variabel ID]]</f>
        <v>1</v>
      </c>
      <c r="E649" t="b">
        <f>LineærRegression_Valg[[#This Row],[Afhængig variabel ID]]&lt;=$B$5</f>
        <v>0</v>
      </c>
      <c r="F649" t="str" cm="1">
        <f t="array" ref="F649">IF(LineærRegression_Valg[[#This Row],[Indenfor range]],INDEX(DataTitel_liste,LineærRegression_Valg[[#This Row],[Afhængig variabel ID]]),INDEX(DataTitel_liste,1))</f>
        <v>Eksempel 1 (interval)</v>
      </c>
      <c r="G649" s="188" t="str" cm="1">
        <f t="array" ref="G649">IF(LineærRegression_Valg[[#This Row],[Indenfor range]],IF(LineærRegression_Valg[[#This Row],[Intet overlap]],INDEX(DataTitel_liste,LineærRegression_Valg[[#This Row],[Uafhængig variabel ID]]),INDEX(DataTitel_liste,IF(LineærRegression_Valg[[#This Row],[Afhængig variabel ID]]=1,2,1))),$B$7)</f>
        <v>Eksempel 2 (interval)</v>
      </c>
      <c r="H649" s="188">
        <f>_xlfn.AGGREGATE(2,5,LineærRegression_Valg[[#This Row],[Tabel ID]])</f>
        <v>1</v>
      </c>
    </row>
    <row r="650" spans="1:8" x14ac:dyDescent="0.2">
      <c r="A650">
        <f>ROW(LineærRegression_Valg[[#This Row],[Tabel ID]])-ROW(LineærRegression_Valg[[#Headers],[Tabel ID]])</f>
        <v>640</v>
      </c>
      <c r="B650" s="188">
        <f>ROUNDDOWN((LineærRegression_Valg[[#This Row],[Tabel ID]]-1)/$B$5,0)+1</f>
        <v>160</v>
      </c>
      <c r="C650" s="188">
        <f t="shared" si="9"/>
        <v>4</v>
      </c>
      <c r="D650" s="188" t="b">
        <f>LineærRegression_Valg[[#This Row],[Afhængig variabel ID]]&lt;&gt;LineærRegression_Valg[[#This Row],[Uafhængig variabel ID]]</f>
        <v>1</v>
      </c>
      <c r="E650" t="b">
        <f>LineærRegression_Valg[[#This Row],[Afhængig variabel ID]]&lt;=$B$5</f>
        <v>0</v>
      </c>
      <c r="F650" t="str" cm="1">
        <f t="array" ref="F650">IF(LineærRegression_Valg[[#This Row],[Indenfor range]],INDEX(DataTitel_liste,LineærRegression_Valg[[#This Row],[Afhængig variabel ID]]),INDEX(DataTitel_liste,1))</f>
        <v>Eksempel 1 (interval)</v>
      </c>
      <c r="G650" s="188" t="str" cm="1">
        <f t="array" ref="G650">IF(LineærRegression_Valg[[#This Row],[Indenfor range]],IF(LineærRegression_Valg[[#This Row],[Intet overlap]],INDEX(DataTitel_liste,LineærRegression_Valg[[#This Row],[Uafhængig variabel ID]]),INDEX(DataTitel_liste,IF(LineærRegression_Valg[[#This Row],[Afhængig variabel ID]]=1,2,1))),$B$7)</f>
        <v>Eksempel 2 (interval)</v>
      </c>
      <c r="H650" s="188">
        <f>_xlfn.AGGREGATE(2,5,LineærRegression_Valg[[#This Row],[Tabel ID]])</f>
        <v>1</v>
      </c>
    </row>
    <row r="651" spans="1:8" x14ac:dyDescent="0.2">
      <c r="A651">
        <f>ROW(LineærRegression_Valg[[#This Row],[Tabel ID]])-ROW(LineærRegression_Valg[[#Headers],[Tabel ID]])</f>
        <v>641</v>
      </c>
      <c r="B651" s="188">
        <f>ROUNDDOWN((LineærRegression_Valg[[#This Row],[Tabel ID]]-1)/$B$5,0)+1</f>
        <v>161</v>
      </c>
      <c r="C651" s="188">
        <f t="shared" ref="C651:C714" si="10">MOD(A651-1,$B$5)+1</f>
        <v>1</v>
      </c>
      <c r="D651" s="188" t="b">
        <f>LineærRegression_Valg[[#This Row],[Afhængig variabel ID]]&lt;&gt;LineærRegression_Valg[[#This Row],[Uafhængig variabel ID]]</f>
        <v>1</v>
      </c>
      <c r="E651" t="b">
        <f>LineærRegression_Valg[[#This Row],[Afhængig variabel ID]]&lt;=$B$5</f>
        <v>0</v>
      </c>
      <c r="F651" t="str" cm="1">
        <f t="array" ref="F651">IF(LineærRegression_Valg[[#This Row],[Indenfor range]],INDEX(DataTitel_liste,LineærRegression_Valg[[#This Row],[Afhængig variabel ID]]),INDEX(DataTitel_liste,1))</f>
        <v>Eksempel 1 (interval)</v>
      </c>
      <c r="G651" s="188" t="str" cm="1">
        <f t="array" ref="G651">IF(LineærRegression_Valg[[#This Row],[Indenfor range]],IF(LineærRegression_Valg[[#This Row],[Intet overlap]],INDEX(DataTitel_liste,LineærRegression_Valg[[#This Row],[Uafhængig variabel ID]]),INDEX(DataTitel_liste,IF(LineærRegression_Valg[[#This Row],[Afhængig variabel ID]]=1,2,1))),$B$7)</f>
        <v>Eksempel 2 (interval)</v>
      </c>
      <c r="H651" s="188">
        <f>_xlfn.AGGREGATE(2,5,LineærRegression_Valg[[#This Row],[Tabel ID]])</f>
        <v>1</v>
      </c>
    </row>
    <row r="652" spans="1:8" x14ac:dyDescent="0.2">
      <c r="A652">
        <f>ROW(LineærRegression_Valg[[#This Row],[Tabel ID]])-ROW(LineærRegression_Valg[[#Headers],[Tabel ID]])</f>
        <v>642</v>
      </c>
      <c r="B652" s="188">
        <f>ROUNDDOWN((LineærRegression_Valg[[#This Row],[Tabel ID]]-1)/$B$5,0)+1</f>
        <v>161</v>
      </c>
      <c r="C652" s="188">
        <f t="shared" si="10"/>
        <v>2</v>
      </c>
      <c r="D652" s="188" t="b">
        <f>LineærRegression_Valg[[#This Row],[Afhængig variabel ID]]&lt;&gt;LineærRegression_Valg[[#This Row],[Uafhængig variabel ID]]</f>
        <v>1</v>
      </c>
      <c r="E652" t="b">
        <f>LineærRegression_Valg[[#This Row],[Afhængig variabel ID]]&lt;=$B$5</f>
        <v>0</v>
      </c>
      <c r="F652" t="str" cm="1">
        <f t="array" ref="F652">IF(LineærRegression_Valg[[#This Row],[Indenfor range]],INDEX(DataTitel_liste,LineærRegression_Valg[[#This Row],[Afhængig variabel ID]]),INDEX(DataTitel_liste,1))</f>
        <v>Eksempel 1 (interval)</v>
      </c>
      <c r="G652" s="188" t="str" cm="1">
        <f t="array" ref="G652">IF(LineærRegression_Valg[[#This Row],[Indenfor range]],IF(LineærRegression_Valg[[#This Row],[Intet overlap]],INDEX(DataTitel_liste,LineærRegression_Valg[[#This Row],[Uafhængig variabel ID]]),INDEX(DataTitel_liste,IF(LineærRegression_Valg[[#This Row],[Afhængig variabel ID]]=1,2,1))),$B$7)</f>
        <v>Eksempel 2 (interval)</v>
      </c>
      <c r="H652" s="188">
        <f>_xlfn.AGGREGATE(2,5,LineærRegression_Valg[[#This Row],[Tabel ID]])</f>
        <v>1</v>
      </c>
    </row>
    <row r="653" spans="1:8" x14ac:dyDescent="0.2">
      <c r="A653">
        <f>ROW(LineærRegression_Valg[[#This Row],[Tabel ID]])-ROW(LineærRegression_Valg[[#Headers],[Tabel ID]])</f>
        <v>643</v>
      </c>
      <c r="B653" s="188">
        <f>ROUNDDOWN((LineærRegression_Valg[[#This Row],[Tabel ID]]-1)/$B$5,0)+1</f>
        <v>161</v>
      </c>
      <c r="C653" s="188">
        <f t="shared" si="10"/>
        <v>3</v>
      </c>
      <c r="D653" s="188" t="b">
        <f>LineærRegression_Valg[[#This Row],[Afhængig variabel ID]]&lt;&gt;LineærRegression_Valg[[#This Row],[Uafhængig variabel ID]]</f>
        <v>1</v>
      </c>
      <c r="E653" t="b">
        <f>LineærRegression_Valg[[#This Row],[Afhængig variabel ID]]&lt;=$B$5</f>
        <v>0</v>
      </c>
      <c r="F653" t="str" cm="1">
        <f t="array" ref="F653">IF(LineærRegression_Valg[[#This Row],[Indenfor range]],INDEX(DataTitel_liste,LineærRegression_Valg[[#This Row],[Afhængig variabel ID]]),INDEX(DataTitel_liste,1))</f>
        <v>Eksempel 1 (interval)</v>
      </c>
      <c r="G653" s="188" t="str" cm="1">
        <f t="array" ref="G653">IF(LineærRegression_Valg[[#This Row],[Indenfor range]],IF(LineærRegression_Valg[[#This Row],[Intet overlap]],INDEX(DataTitel_liste,LineærRegression_Valg[[#This Row],[Uafhængig variabel ID]]),INDEX(DataTitel_liste,IF(LineærRegression_Valg[[#This Row],[Afhængig variabel ID]]=1,2,1))),$B$7)</f>
        <v>Eksempel 2 (interval)</v>
      </c>
      <c r="H653" s="188">
        <f>_xlfn.AGGREGATE(2,5,LineærRegression_Valg[[#This Row],[Tabel ID]])</f>
        <v>1</v>
      </c>
    </row>
    <row r="654" spans="1:8" x14ac:dyDescent="0.2">
      <c r="A654">
        <f>ROW(LineærRegression_Valg[[#This Row],[Tabel ID]])-ROW(LineærRegression_Valg[[#Headers],[Tabel ID]])</f>
        <v>644</v>
      </c>
      <c r="B654" s="188">
        <f>ROUNDDOWN((LineærRegression_Valg[[#This Row],[Tabel ID]]-1)/$B$5,0)+1</f>
        <v>161</v>
      </c>
      <c r="C654" s="188">
        <f t="shared" si="10"/>
        <v>4</v>
      </c>
      <c r="D654" s="188" t="b">
        <f>LineærRegression_Valg[[#This Row],[Afhængig variabel ID]]&lt;&gt;LineærRegression_Valg[[#This Row],[Uafhængig variabel ID]]</f>
        <v>1</v>
      </c>
      <c r="E654" t="b">
        <f>LineærRegression_Valg[[#This Row],[Afhængig variabel ID]]&lt;=$B$5</f>
        <v>0</v>
      </c>
      <c r="F654" t="str" cm="1">
        <f t="array" ref="F654">IF(LineærRegression_Valg[[#This Row],[Indenfor range]],INDEX(DataTitel_liste,LineærRegression_Valg[[#This Row],[Afhængig variabel ID]]),INDEX(DataTitel_liste,1))</f>
        <v>Eksempel 1 (interval)</v>
      </c>
      <c r="G654" s="188" t="str" cm="1">
        <f t="array" ref="G654">IF(LineærRegression_Valg[[#This Row],[Indenfor range]],IF(LineærRegression_Valg[[#This Row],[Intet overlap]],INDEX(DataTitel_liste,LineærRegression_Valg[[#This Row],[Uafhængig variabel ID]]),INDEX(DataTitel_liste,IF(LineærRegression_Valg[[#This Row],[Afhængig variabel ID]]=1,2,1))),$B$7)</f>
        <v>Eksempel 2 (interval)</v>
      </c>
      <c r="H654" s="188">
        <f>_xlfn.AGGREGATE(2,5,LineærRegression_Valg[[#This Row],[Tabel ID]])</f>
        <v>1</v>
      </c>
    </row>
    <row r="655" spans="1:8" x14ac:dyDescent="0.2">
      <c r="A655">
        <f>ROW(LineærRegression_Valg[[#This Row],[Tabel ID]])-ROW(LineærRegression_Valg[[#Headers],[Tabel ID]])</f>
        <v>645</v>
      </c>
      <c r="B655" s="188">
        <f>ROUNDDOWN((LineærRegression_Valg[[#This Row],[Tabel ID]]-1)/$B$5,0)+1</f>
        <v>162</v>
      </c>
      <c r="C655" s="188">
        <f t="shared" si="10"/>
        <v>1</v>
      </c>
      <c r="D655" s="188" t="b">
        <f>LineærRegression_Valg[[#This Row],[Afhængig variabel ID]]&lt;&gt;LineærRegression_Valg[[#This Row],[Uafhængig variabel ID]]</f>
        <v>1</v>
      </c>
      <c r="E655" t="b">
        <f>LineærRegression_Valg[[#This Row],[Afhængig variabel ID]]&lt;=$B$5</f>
        <v>0</v>
      </c>
      <c r="F655" t="str" cm="1">
        <f t="array" ref="F655">IF(LineærRegression_Valg[[#This Row],[Indenfor range]],INDEX(DataTitel_liste,LineærRegression_Valg[[#This Row],[Afhængig variabel ID]]),INDEX(DataTitel_liste,1))</f>
        <v>Eksempel 1 (interval)</v>
      </c>
      <c r="G655" s="188" t="str" cm="1">
        <f t="array" ref="G655">IF(LineærRegression_Valg[[#This Row],[Indenfor range]],IF(LineærRegression_Valg[[#This Row],[Intet overlap]],INDEX(DataTitel_liste,LineærRegression_Valg[[#This Row],[Uafhængig variabel ID]]),INDEX(DataTitel_liste,IF(LineærRegression_Valg[[#This Row],[Afhængig variabel ID]]=1,2,1))),$B$7)</f>
        <v>Eksempel 2 (interval)</v>
      </c>
      <c r="H655" s="188">
        <f>_xlfn.AGGREGATE(2,5,LineærRegression_Valg[[#This Row],[Tabel ID]])</f>
        <v>1</v>
      </c>
    </row>
    <row r="656" spans="1:8" x14ac:dyDescent="0.2">
      <c r="A656">
        <f>ROW(LineærRegression_Valg[[#This Row],[Tabel ID]])-ROW(LineærRegression_Valg[[#Headers],[Tabel ID]])</f>
        <v>646</v>
      </c>
      <c r="B656" s="188">
        <f>ROUNDDOWN((LineærRegression_Valg[[#This Row],[Tabel ID]]-1)/$B$5,0)+1</f>
        <v>162</v>
      </c>
      <c r="C656" s="188">
        <f t="shared" si="10"/>
        <v>2</v>
      </c>
      <c r="D656" s="188" t="b">
        <f>LineærRegression_Valg[[#This Row],[Afhængig variabel ID]]&lt;&gt;LineærRegression_Valg[[#This Row],[Uafhængig variabel ID]]</f>
        <v>1</v>
      </c>
      <c r="E656" t="b">
        <f>LineærRegression_Valg[[#This Row],[Afhængig variabel ID]]&lt;=$B$5</f>
        <v>0</v>
      </c>
      <c r="F656" t="str" cm="1">
        <f t="array" ref="F656">IF(LineærRegression_Valg[[#This Row],[Indenfor range]],INDEX(DataTitel_liste,LineærRegression_Valg[[#This Row],[Afhængig variabel ID]]),INDEX(DataTitel_liste,1))</f>
        <v>Eksempel 1 (interval)</v>
      </c>
      <c r="G656" s="188" t="str" cm="1">
        <f t="array" ref="G656">IF(LineærRegression_Valg[[#This Row],[Indenfor range]],IF(LineærRegression_Valg[[#This Row],[Intet overlap]],INDEX(DataTitel_liste,LineærRegression_Valg[[#This Row],[Uafhængig variabel ID]]),INDEX(DataTitel_liste,IF(LineærRegression_Valg[[#This Row],[Afhængig variabel ID]]=1,2,1))),$B$7)</f>
        <v>Eksempel 2 (interval)</v>
      </c>
      <c r="H656" s="188">
        <f>_xlfn.AGGREGATE(2,5,LineærRegression_Valg[[#This Row],[Tabel ID]])</f>
        <v>1</v>
      </c>
    </row>
    <row r="657" spans="1:8" x14ac:dyDescent="0.2">
      <c r="A657">
        <f>ROW(LineærRegression_Valg[[#This Row],[Tabel ID]])-ROW(LineærRegression_Valg[[#Headers],[Tabel ID]])</f>
        <v>647</v>
      </c>
      <c r="B657" s="188">
        <f>ROUNDDOWN((LineærRegression_Valg[[#This Row],[Tabel ID]]-1)/$B$5,0)+1</f>
        <v>162</v>
      </c>
      <c r="C657" s="188">
        <f t="shared" si="10"/>
        <v>3</v>
      </c>
      <c r="D657" s="188" t="b">
        <f>LineærRegression_Valg[[#This Row],[Afhængig variabel ID]]&lt;&gt;LineærRegression_Valg[[#This Row],[Uafhængig variabel ID]]</f>
        <v>1</v>
      </c>
      <c r="E657" t="b">
        <f>LineærRegression_Valg[[#This Row],[Afhængig variabel ID]]&lt;=$B$5</f>
        <v>0</v>
      </c>
      <c r="F657" t="str" cm="1">
        <f t="array" ref="F657">IF(LineærRegression_Valg[[#This Row],[Indenfor range]],INDEX(DataTitel_liste,LineærRegression_Valg[[#This Row],[Afhængig variabel ID]]),INDEX(DataTitel_liste,1))</f>
        <v>Eksempel 1 (interval)</v>
      </c>
      <c r="G657" s="188" t="str" cm="1">
        <f t="array" ref="G657">IF(LineærRegression_Valg[[#This Row],[Indenfor range]],IF(LineærRegression_Valg[[#This Row],[Intet overlap]],INDEX(DataTitel_liste,LineærRegression_Valg[[#This Row],[Uafhængig variabel ID]]),INDEX(DataTitel_liste,IF(LineærRegression_Valg[[#This Row],[Afhængig variabel ID]]=1,2,1))),$B$7)</f>
        <v>Eksempel 2 (interval)</v>
      </c>
      <c r="H657" s="188">
        <f>_xlfn.AGGREGATE(2,5,LineærRegression_Valg[[#This Row],[Tabel ID]])</f>
        <v>1</v>
      </c>
    </row>
    <row r="658" spans="1:8" x14ac:dyDescent="0.2">
      <c r="A658">
        <f>ROW(LineærRegression_Valg[[#This Row],[Tabel ID]])-ROW(LineærRegression_Valg[[#Headers],[Tabel ID]])</f>
        <v>648</v>
      </c>
      <c r="B658" s="188">
        <f>ROUNDDOWN((LineærRegression_Valg[[#This Row],[Tabel ID]]-1)/$B$5,0)+1</f>
        <v>162</v>
      </c>
      <c r="C658" s="188">
        <f t="shared" si="10"/>
        <v>4</v>
      </c>
      <c r="D658" s="188" t="b">
        <f>LineærRegression_Valg[[#This Row],[Afhængig variabel ID]]&lt;&gt;LineærRegression_Valg[[#This Row],[Uafhængig variabel ID]]</f>
        <v>1</v>
      </c>
      <c r="E658" t="b">
        <f>LineærRegression_Valg[[#This Row],[Afhængig variabel ID]]&lt;=$B$5</f>
        <v>0</v>
      </c>
      <c r="F658" t="str" cm="1">
        <f t="array" ref="F658">IF(LineærRegression_Valg[[#This Row],[Indenfor range]],INDEX(DataTitel_liste,LineærRegression_Valg[[#This Row],[Afhængig variabel ID]]),INDEX(DataTitel_liste,1))</f>
        <v>Eksempel 1 (interval)</v>
      </c>
      <c r="G658" s="188" t="str" cm="1">
        <f t="array" ref="G658">IF(LineærRegression_Valg[[#This Row],[Indenfor range]],IF(LineærRegression_Valg[[#This Row],[Intet overlap]],INDEX(DataTitel_liste,LineærRegression_Valg[[#This Row],[Uafhængig variabel ID]]),INDEX(DataTitel_liste,IF(LineærRegression_Valg[[#This Row],[Afhængig variabel ID]]=1,2,1))),$B$7)</f>
        <v>Eksempel 2 (interval)</v>
      </c>
      <c r="H658" s="188">
        <f>_xlfn.AGGREGATE(2,5,LineærRegression_Valg[[#This Row],[Tabel ID]])</f>
        <v>1</v>
      </c>
    </row>
    <row r="659" spans="1:8" x14ac:dyDescent="0.2">
      <c r="A659">
        <f>ROW(LineærRegression_Valg[[#This Row],[Tabel ID]])-ROW(LineærRegression_Valg[[#Headers],[Tabel ID]])</f>
        <v>649</v>
      </c>
      <c r="B659" s="188">
        <f>ROUNDDOWN((LineærRegression_Valg[[#This Row],[Tabel ID]]-1)/$B$5,0)+1</f>
        <v>163</v>
      </c>
      <c r="C659" s="188">
        <f t="shared" si="10"/>
        <v>1</v>
      </c>
      <c r="D659" s="188" t="b">
        <f>LineærRegression_Valg[[#This Row],[Afhængig variabel ID]]&lt;&gt;LineærRegression_Valg[[#This Row],[Uafhængig variabel ID]]</f>
        <v>1</v>
      </c>
      <c r="E659" t="b">
        <f>LineærRegression_Valg[[#This Row],[Afhængig variabel ID]]&lt;=$B$5</f>
        <v>0</v>
      </c>
      <c r="F659" t="str" cm="1">
        <f t="array" ref="F659">IF(LineærRegression_Valg[[#This Row],[Indenfor range]],INDEX(DataTitel_liste,LineærRegression_Valg[[#This Row],[Afhængig variabel ID]]),INDEX(DataTitel_liste,1))</f>
        <v>Eksempel 1 (interval)</v>
      </c>
      <c r="G659" s="188" t="str" cm="1">
        <f t="array" ref="G659">IF(LineærRegression_Valg[[#This Row],[Indenfor range]],IF(LineærRegression_Valg[[#This Row],[Intet overlap]],INDEX(DataTitel_liste,LineærRegression_Valg[[#This Row],[Uafhængig variabel ID]]),INDEX(DataTitel_liste,IF(LineærRegression_Valg[[#This Row],[Afhængig variabel ID]]=1,2,1))),$B$7)</f>
        <v>Eksempel 2 (interval)</v>
      </c>
      <c r="H659" s="188">
        <f>_xlfn.AGGREGATE(2,5,LineærRegression_Valg[[#This Row],[Tabel ID]])</f>
        <v>1</v>
      </c>
    </row>
    <row r="660" spans="1:8" x14ac:dyDescent="0.2">
      <c r="A660">
        <f>ROW(LineærRegression_Valg[[#This Row],[Tabel ID]])-ROW(LineærRegression_Valg[[#Headers],[Tabel ID]])</f>
        <v>650</v>
      </c>
      <c r="B660" s="188">
        <f>ROUNDDOWN((LineærRegression_Valg[[#This Row],[Tabel ID]]-1)/$B$5,0)+1</f>
        <v>163</v>
      </c>
      <c r="C660" s="188">
        <f t="shared" si="10"/>
        <v>2</v>
      </c>
      <c r="D660" s="188" t="b">
        <f>LineærRegression_Valg[[#This Row],[Afhængig variabel ID]]&lt;&gt;LineærRegression_Valg[[#This Row],[Uafhængig variabel ID]]</f>
        <v>1</v>
      </c>
      <c r="E660" t="b">
        <f>LineærRegression_Valg[[#This Row],[Afhængig variabel ID]]&lt;=$B$5</f>
        <v>0</v>
      </c>
      <c r="F660" t="str" cm="1">
        <f t="array" ref="F660">IF(LineærRegression_Valg[[#This Row],[Indenfor range]],INDEX(DataTitel_liste,LineærRegression_Valg[[#This Row],[Afhængig variabel ID]]),INDEX(DataTitel_liste,1))</f>
        <v>Eksempel 1 (interval)</v>
      </c>
      <c r="G660" s="188" t="str" cm="1">
        <f t="array" ref="G660">IF(LineærRegression_Valg[[#This Row],[Indenfor range]],IF(LineærRegression_Valg[[#This Row],[Intet overlap]],INDEX(DataTitel_liste,LineærRegression_Valg[[#This Row],[Uafhængig variabel ID]]),INDEX(DataTitel_liste,IF(LineærRegression_Valg[[#This Row],[Afhængig variabel ID]]=1,2,1))),$B$7)</f>
        <v>Eksempel 2 (interval)</v>
      </c>
      <c r="H660" s="188">
        <f>_xlfn.AGGREGATE(2,5,LineærRegression_Valg[[#This Row],[Tabel ID]])</f>
        <v>1</v>
      </c>
    </row>
    <row r="661" spans="1:8" x14ac:dyDescent="0.2">
      <c r="A661">
        <f>ROW(LineærRegression_Valg[[#This Row],[Tabel ID]])-ROW(LineærRegression_Valg[[#Headers],[Tabel ID]])</f>
        <v>651</v>
      </c>
      <c r="B661" s="188">
        <f>ROUNDDOWN((LineærRegression_Valg[[#This Row],[Tabel ID]]-1)/$B$5,0)+1</f>
        <v>163</v>
      </c>
      <c r="C661" s="188">
        <f t="shared" si="10"/>
        <v>3</v>
      </c>
      <c r="D661" s="188" t="b">
        <f>LineærRegression_Valg[[#This Row],[Afhængig variabel ID]]&lt;&gt;LineærRegression_Valg[[#This Row],[Uafhængig variabel ID]]</f>
        <v>1</v>
      </c>
      <c r="E661" t="b">
        <f>LineærRegression_Valg[[#This Row],[Afhængig variabel ID]]&lt;=$B$5</f>
        <v>0</v>
      </c>
      <c r="F661" t="str" cm="1">
        <f t="array" ref="F661">IF(LineærRegression_Valg[[#This Row],[Indenfor range]],INDEX(DataTitel_liste,LineærRegression_Valg[[#This Row],[Afhængig variabel ID]]),INDEX(DataTitel_liste,1))</f>
        <v>Eksempel 1 (interval)</v>
      </c>
      <c r="G661" s="188" t="str" cm="1">
        <f t="array" ref="G661">IF(LineærRegression_Valg[[#This Row],[Indenfor range]],IF(LineærRegression_Valg[[#This Row],[Intet overlap]],INDEX(DataTitel_liste,LineærRegression_Valg[[#This Row],[Uafhængig variabel ID]]),INDEX(DataTitel_liste,IF(LineærRegression_Valg[[#This Row],[Afhængig variabel ID]]=1,2,1))),$B$7)</f>
        <v>Eksempel 2 (interval)</v>
      </c>
      <c r="H661" s="188">
        <f>_xlfn.AGGREGATE(2,5,LineærRegression_Valg[[#This Row],[Tabel ID]])</f>
        <v>1</v>
      </c>
    </row>
    <row r="662" spans="1:8" x14ac:dyDescent="0.2">
      <c r="A662">
        <f>ROW(LineærRegression_Valg[[#This Row],[Tabel ID]])-ROW(LineærRegression_Valg[[#Headers],[Tabel ID]])</f>
        <v>652</v>
      </c>
      <c r="B662" s="188">
        <f>ROUNDDOWN((LineærRegression_Valg[[#This Row],[Tabel ID]]-1)/$B$5,0)+1</f>
        <v>163</v>
      </c>
      <c r="C662" s="188">
        <f t="shared" si="10"/>
        <v>4</v>
      </c>
      <c r="D662" s="188" t="b">
        <f>LineærRegression_Valg[[#This Row],[Afhængig variabel ID]]&lt;&gt;LineærRegression_Valg[[#This Row],[Uafhængig variabel ID]]</f>
        <v>1</v>
      </c>
      <c r="E662" t="b">
        <f>LineærRegression_Valg[[#This Row],[Afhængig variabel ID]]&lt;=$B$5</f>
        <v>0</v>
      </c>
      <c r="F662" t="str" cm="1">
        <f t="array" ref="F662">IF(LineærRegression_Valg[[#This Row],[Indenfor range]],INDEX(DataTitel_liste,LineærRegression_Valg[[#This Row],[Afhængig variabel ID]]),INDEX(DataTitel_liste,1))</f>
        <v>Eksempel 1 (interval)</v>
      </c>
      <c r="G662" s="188" t="str" cm="1">
        <f t="array" ref="G662">IF(LineærRegression_Valg[[#This Row],[Indenfor range]],IF(LineærRegression_Valg[[#This Row],[Intet overlap]],INDEX(DataTitel_liste,LineærRegression_Valg[[#This Row],[Uafhængig variabel ID]]),INDEX(DataTitel_liste,IF(LineærRegression_Valg[[#This Row],[Afhængig variabel ID]]=1,2,1))),$B$7)</f>
        <v>Eksempel 2 (interval)</v>
      </c>
      <c r="H662" s="188">
        <f>_xlfn.AGGREGATE(2,5,LineærRegression_Valg[[#This Row],[Tabel ID]])</f>
        <v>1</v>
      </c>
    </row>
    <row r="663" spans="1:8" x14ac:dyDescent="0.2">
      <c r="A663">
        <f>ROW(LineærRegression_Valg[[#This Row],[Tabel ID]])-ROW(LineærRegression_Valg[[#Headers],[Tabel ID]])</f>
        <v>653</v>
      </c>
      <c r="B663" s="188">
        <f>ROUNDDOWN((LineærRegression_Valg[[#This Row],[Tabel ID]]-1)/$B$5,0)+1</f>
        <v>164</v>
      </c>
      <c r="C663" s="188">
        <f t="shared" si="10"/>
        <v>1</v>
      </c>
      <c r="D663" s="188" t="b">
        <f>LineærRegression_Valg[[#This Row],[Afhængig variabel ID]]&lt;&gt;LineærRegression_Valg[[#This Row],[Uafhængig variabel ID]]</f>
        <v>1</v>
      </c>
      <c r="E663" t="b">
        <f>LineærRegression_Valg[[#This Row],[Afhængig variabel ID]]&lt;=$B$5</f>
        <v>0</v>
      </c>
      <c r="F663" t="str" cm="1">
        <f t="array" ref="F663">IF(LineærRegression_Valg[[#This Row],[Indenfor range]],INDEX(DataTitel_liste,LineærRegression_Valg[[#This Row],[Afhængig variabel ID]]),INDEX(DataTitel_liste,1))</f>
        <v>Eksempel 1 (interval)</v>
      </c>
      <c r="G663" s="188" t="str" cm="1">
        <f t="array" ref="G663">IF(LineærRegression_Valg[[#This Row],[Indenfor range]],IF(LineærRegression_Valg[[#This Row],[Intet overlap]],INDEX(DataTitel_liste,LineærRegression_Valg[[#This Row],[Uafhængig variabel ID]]),INDEX(DataTitel_liste,IF(LineærRegression_Valg[[#This Row],[Afhængig variabel ID]]=1,2,1))),$B$7)</f>
        <v>Eksempel 2 (interval)</v>
      </c>
      <c r="H663" s="188">
        <f>_xlfn.AGGREGATE(2,5,LineærRegression_Valg[[#This Row],[Tabel ID]])</f>
        <v>1</v>
      </c>
    </row>
    <row r="664" spans="1:8" x14ac:dyDescent="0.2">
      <c r="A664">
        <f>ROW(LineærRegression_Valg[[#This Row],[Tabel ID]])-ROW(LineærRegression_Valg[[#Headers],[Tabel ID]])</f>
        <v>654</v>
      </c>
      <c r="B664" s="188">
        <f>ROUNDDOWN((LineærRegression_Valg[[#This Row],[Tabel ID]]-1)/$B$5,0)+1</f>
        <v>164</v>
      </c>
      <c r="C664" s="188">
        <f t="shared" si="10"/>
        <v>2</v>
      </c>
      <c r="D664" s="188" t="b">
        <f>LineærRegression_Valg[[#This Row],[Afhængig variabel ID]]&lt;&gt;LineærRegression_Valg[[#This Row],[Uafhængig variabel ID]]</f>
        <v>1</v>
      </c>
      <c r="E664" t="b">
        <f>LineærRegression_Valg[[#This Row],[Afhængig variabel ID]]&lt;=$B$5</f>
        <v>0</v>
      </c>
      <c r="F664" t="str" cm="1">
        <f t="array" ref="F664">IF(LineærRegression_Valg[[#This Row],[Indenfor range]],INDEX(DataTitel_liste,LineærRegression_Valg[[#This Row],[Afhængig variabel ID]]),INDEX(DataTitel_liste,1))</f>
        <v>Eksempel 1 (interval)</v>
      </c>
      <c r="G664" s="188" t="str" cm="1">
        <f t="array" ref="G664">IF(LineærRegression_Valg[[#This Row],[Indenfor range]],IF(LineærRegression_Valg[[#This Row],[Intet overlap]],INDEX(DataTitel_liste,LineærRegression_Valg[[#This Row],[Uafhængig variabel ID]]),INDEX(DataTitel_liste,IF(LineærRegression_Valg[[#This Row],[Afhængig variabel ID]]=1,2,1))),$B$7)</f>
        <v>Eksempel 2 (interval)</v>
      </c>
      <c r="H664" s="188">
        <f>_xlfn.AGGREGATE(2,5,LineærRegression_Valg[[#This Row],[Tabel ID]])</f>
        <v>1</v>
      </c>
    </row>
    <row r="665" spans="1:8" x14ac:dyDescent="0.2">
      <c r="A665">
        <f>ROW(LineærRegression_Valg[[#This Row],[Tabel ID]])-ROW(LineærRegression_Valg[[#Headers],[Tabel ID]])</f>
        <v>655</v>
      </c>
      <c r="B665" s="188">
        <f>ROUNDDOWN((LineærRegression_Valg[[#This Row],[Tabel ID]]-1)/$B$5,0)+1</f>
        <v>164</v>
      </c>
      <c r="C665" s="188">
        <f t="shared" si="10"/>
        <v>3</v>
      </c>
      <c r="D665" s="188" t="b">
        <f>LineærRegression_Valg[[#This Row],[Afhængig variabel ID]]&lt;&gt;LineærRegression_Valg[[#This Row],[Uafhængig variabel ID]]</f>
        <v>1</v>
      </c>
      <c r="E665" t="b">
        <f>LineærRegression_Valg[[#This Row],[Afhængig variabel ID]]&lt;=$B$5</f>
        <v>0</v>
      </c>
      <c r="F665" t="str" cm="1">
        <f t="array" ref="F665">IF(LineærRegression_Valg[[#This Row],[Indenfor range]],INDEX(DataTitel_liste,LineærRegression_Valg[[#This Row],[Afhængig variabel ID]]),INDEX(DataTitel_liste,1))</f>
        <v>Eksempel 1 (interval)</v>
      </c>
      <c r="G665" s="188" t="str" cm="1">
        <f t="array" ref="G665">IF(LineærRegression_Valg[[#This Row],[Indenfor range]],IF(LineærRegression_Valg[[#This Row],[Intet overlap]],INDEX(DataTitel_liste,LineærRegression_Valg[[#This Row],[Uafhængig variabel ID]]),INDEX(DataTitel_liste,IF(LineærRegression_Valg[[#This Row],[Afhængig variabel ID]]=1,2,1))),$B$7)</f>
        <v>Eksempel 2 (interval)</v>
      </c>
      <c r="H665" s="188">
        <f>_xlfn.AGGREGATE(2,5,LineærRegression_Valg[[#This Row],[Tabel ID]])</f>
        <v>1</v>
      </c>
    </row>
    <row r="666" spans="1:8" x14ac:dyDescent="0.2">
      <c r="A666">
        <f>ROW(LineærRegression_Valg[[#This Row],[Tabel ID]])-ROW(LineærRegression_Valg[[#Headers],[Tabel ID]])</f>
        <v>656</v>
      </c>
      <c r="B666" s="188">
        <f>ROUNDDOWN((LineærRegression_Valg[[#This Row],[Tabel ID]]-1)/$B$5,0)+1</f>
        <v>164</v>
      </c>
      <c r="C666" s="188">
        <f t="shared" si="10"/>
        <v>4</v>
      </c>
      <c r="D666" s="188" t="b">
        <f>LineærRegression_Valg[[#This Row],[Afhængig variabel ID]]&lt;&gt;LineærRegression_Valg[[#This Row],[Uafhængig variabel ID]]</f>
        <v>1</v>
      </c>
      <c r="E666" t="b">
        <f>LineærRegression_Valg[[#This Row],[Afhængig variabel ID]]&lt;=$B$5</f>
        <v>0</v>
      </c>
      <c r="F666" t="str" cm="1">
        <f t="array" ref="F666">IF(LineærRegression_Valg[[#This Row],[Indenfor range]],INDEX(DataTitel_liste,LineærRegression_Valg[[#This Row],[Afhængig variabel ID]]),INDEX(DataTitel_liste,1))</f>
        <v>Eksempel 1 (interval)</v>
      </c>
      <c r="G666" s="188" t="str" cm="1">
        <f t="array" ref="G666">IF(LineærRegression_Valg[[#This Row],[Indenfor range]],IF(LineærRegression_Valg[[#This Row],[Intet overlap]],INDEX(DataTitel_liste,LineærRegression_Valg[[#This Row],[Uafhængig variabel ID]]),INDEX(DataTitel_liste,IF(LineærRegression_Valg[[#This Row],[Afhængig variabel ID]]=1,2,1))),$B$7)</f>
        <v>Eksempel 2 (interval)</v>
      </c>
      <c r="H666" s="188">
        <f>_xlfn.AGGREGATE(2,5,LineærRegression_Valg[[#This Row],[Tabel ID]])</f>
        <v>1</v>
      </c>
    </row>
    <row r="667" spans="1:8" x14ac:dyDescent="0.2">
      <c r="A667">
        <f>ROW(LineærRegression_Valg[[#This Row],[Tabel ID]])-ROW(LineærRegression_Valg[[#Headers],[Tabel ID]])</f>
        <v>657</v>
      </c>
      <c r="B667" s="188">
        <f>ROUNDDOWN((LineærRegression_Valg[[#This Row],[Tabel ID]]-1)/$B$5,0)+1</f>
        <v>165</v>
      </c>
      <c r="C667" s="188">
        <f t="shared" si="10"/>
        <v>1</v>
      </c>
      <c r="D667" s="188" t="b">
        <f>LineærRegression_Valg[[#This Row],[Afhængig variabel ID]]&lt;&gt;LineærRegression_Valg[[#This Row],[Uafhængig variabel ID]]</f>
        <v>1</v>
      </c>
      <c r="E667" t="b">
        <f>LineærRegression_Valg[[#This Row],[Afhængig variabel ID]]&lt;=$B$5</f>
        <v>0</v>
      </c>
      <c r="F667" t="str" cm="1">
        <f t="array" ref="F667">IF(LineærRegression_Valg[[#This Row],[Indenfor range]],INDEX(DataTitel_liste,LineærRegression_Valg[[#This Row],[Afhængig variabel ID]]),INDEX(DataTitel_liste,1))</f>
        <v>Eksempel 1 (interval)</v>
      </c>
      <c r="G667" s="188" t="str" cm="1">
        <f t="array" ref="G667">IF(LineærRegression_Valg[[#This Row],[Indenfor range]],IF(LineærRegression_Valg[[#This Row],[Intet overlap]],INDEX(DataTitel_liste,LineærRegression_Valg[[#This Row],[Uafhængig variabel ID]]),INDEX(DataTitel_liste,IF(LineærRegression_Valg[[#This Row],[Afhængig variabel ID]]=1,2,1))),$B$7)</f>
        <v>Eksempel 2 (interval)</v>
      </c>
      <c r="H667" s="188">
        <f>_xlfn.AGGREGATE(2,5,LineærRegression_Valg[[#This Row],[Tabel ID]])</f>
        <v>1</v>
      </c>
    </row>
    <row r="668" spans="1:8" x14ac:dyDescent="0.2">
      <c r="A668">
        <f>ROW(LineærRegression_Valg[[#This Row],[Tabel ID]])-ROW(LineærRegression_Valg[[#Headers],[Tabel ID]])</f>
        <v>658</v>
      </c>
      <c r="B668" s="188">
        <f>ROUNDDOWN((LineærRegression_Valg[[#This Row],[Tabel ID]]-1)/$B$5,0)+1</f>
        <v>165</v>
      </c>
      <c r="C668" s="188">
        <f t="shared" si="10"/>
        <v>2</v>
      </c>
      <c r="D668" s="188" t="b">
        <f>LineærRegression_Valg[[#This Row],[Afhængig variabel ID]]&lt;&gt;LineærRegression_Valg[[#This Row],[Uafhængig variabel ID]]</f>
        <v>1</v>
      </c>
      <c r="E668" t="b">
        <f>LineærRegression_Valg[[#This Row],[Afhængig variabel ID]]&lt;=$B$5</f>
        <v>0</v>
      </c>
      <c r="F668" t="str" cm="1">
        <f t="array" ref="F668">IF(LineærRegression_Valg[[#This Row],[Indenfor range]],INDEX(DataTitel_liste,LineærRegression_Valg[[#This Row],[Afhængig variabel ID]]),INDEX(DataTitel_liste,1))</f>
        <v>Eksempel 1 (interval)</v>
      </c>
      <c r="G668" s="188" t="str" cm="1">
        <f t="array" ref="G668">IF(LineærRegression_Valg[[#This Row],[Indenfor range]],IF(LineærRegression_Valg[[#This Row],[Intet overlap]],INDEX(DataTitel_liste,LineærRegression_Valg[[#This Row],[Uafhængig variabel ID]]),INDEX(DataTitel_liste,IF(LineærRegression_Valg[[#This Row],[Afhængig variabel ID]]=1,2,1))),$B$7)</f>
        <v>Eksempel 2 (interval)</v>
      </c>
      <c r="H668" s="188">
        <f>_xlfn.AGGREGATE(2,5,LineærRegression_Valg[[#This Row],[Tabel ID]])</f>
        <v>1</v>
      </c>
    </row>
    <row r="669" spans="1:8" x14ac:dyDescent="0.2">
      <c r="A669">
        <f>ROW(LineærRegression_Valg[[#This Row],[Tabel ID]])-ROW(LineærRegression_Valg[[#Headers],[Tabel ID]])</f>
        <v>659</v>
      </c>
      <c r="B669" s="188">
        <f>ROUNDDOWN((LineærRegression_Valg[[#This Row],[Tabel ID]]-1)/$B$5,0)+1</f>
        <v>165</v>
      </c>
      <c r="C669" s="188">
        <f t="shared" si="10"/>
        <v>3</v>
      </c>
      <c r="D669" s="188" t="b">
        <f>LineærRegression_Valg[[#This Row],[Afhængig variabel ID]]&lt;&gt;LineærRegression_Valg[[#This Row],[Uafhængig variabel ID]]</f>
        <v>1</v>
      </c>
      <c r="E669" t="b">
        <f>LineærRegression_Valg[[#This Row],[Afhængig variabel ID]]&lt;=$B$5</f>
        <v>0</v>
      </c>
      <c r="F669" t="str" cm="1">
        <f t="array" ref="F669">IF(LineærRegression_Valg[[#This Row],[Indenfor range]],INDEX(DataTitel_liste,LineærRegression_Valg[[#This Row],[Afhængig variabel ID]]),INDEX(DataTitel_liste,1))</f>
        <v>Eksempel 1 (interval)</v>
      </c>
      <c r="G669" s="188" t="str" cm="1">
        <f t="array" ref="G669">IF(LineærRegression_Valg[[#This Row],[Indenfor range]],IF(LineærRegression_Valg[[#This Row],[Intet overlap]],INDEX(DataTitel_liste,LineærRegression_Valg[[#This Row],[Uafhængig variabel ID]]),INDEX(DataTitel_liste,IF(LineærRegression_Valg[[#This Row],[Afhængig variabel ID]]=1,2,1))),$B$7)</f>
        <v>Eksempel 2 (interval)</v>
      </c>
      <c r="H669" s="188">
        <f>_xlfn.AGGREGATE(2,5,LineærRegression_Valg[[#This Row],[Tabel ID]])</f>
        <v>1</v>
      </c>
    </row>
    <row r="670" spans="1:8" x14ac:dyDescent="0.2">
      <c r="A670">
        <f>ROW(LineærRegression_Valg[[#This Row],[Tabel ID]])-ROW(LineærRegression_Valg[[#Headers],[Tabel ID]])</f>
        <v>660</v>
      </c>
      <c r="B670" s="188">
        <f>ROUNDDOWN((LineærRegression_Valg[[#This Row],[Tabel ID]]-1)/$B$5,0)+1</f>
        <v>165</v>
      </c>
      <c r="C670" s="188">
        <f t="shared" si="10"/>
        <v>4</v>
      </c>
      <c r="D670" s="188" t="b">
        <f>LineærRegression_Valg[[#This Row],[Afhængig variabel ID]]&lt;&gt;LineærRegression_Valg[[#This Row],[Uafhængig variabel ID]]</f>
        <v>1</v>
      </c>
      <c r="E670" t="b">
        <f>LineærRegression_Valg[[#This Row],[Afhængig variabel ID]]&lt;=$B$5</f>
        <v>0</v>
      </c>
      <c r="F670" t="str" cm="1">
        <f t="array" ref="F670">IF(LineærRegression_Valg[[#This Row],[Indenfor range]],INDEX(DataTitel_liste,LineærRegression_Valg[[#This Row],[Afhængig variabel ID]]),INDEX(DataTitel_liste,1))</f>
        <v>Eksempel 1 (interval)</v>
      </c>
      <c r="G670" s="188" t="str" cm="1">
        <f t="array" ref="G670">IF(LineærRegression_Valg[[#This Row],[Indenfor range]],IF(LineærRegression_Valg[[#This Row],[Intet overlap]],INDEX(DataTitel_liste,LineærRegression_Valg[[#This Row],[Uafhængig variabel ID]]),INDEX(DataTitel_liste,IF(LineærRegression_Valg[[#This Row],[Afhængig variabel ID]]=1,2,1))),$B$7)</f>
        <v>Eksempel 2 (interval)</v>
      </c>
      <c r="H670" s="188">
        <f>_xlfn.AGGREGATE(2,5,LineærRegression_Valg[[#This Row],[Tabel ID]])</f>
        <v>1</v>
      </c>
    </row>
    <row r="671" spans="1:8" x14ac:dyDescent="0.2">
      <c r="A671">
        <f>ROW(LineærRegression_Valg[[#This Row],[Tabel ID]])-ROW(LineærRegression_Valg[[#Headers],[Tabel ID]])</f>
        <v>661</v>
      </c>
      <c r="B671" s="188">
        <f>ROUNDDOWN((LineærRegression_Valg[[#This Row],[Tabel ID]]-1)/$B$5,0)+1</f>
        <v>166</v>
      </c>
      <c r="C671" s="188">
        <f t="shared" si="10"/>
        <v>1</v>
      </c>
      <c r="D671" s="188" t="b">
        <f>LineærRegression_Valg[[#This Row],[Afhængig variabel ID]]&lt;&gt;LineærRegression_Valg[[#This Row],[Uafhængig variabel ID]]</f>
        <v>1</v>
      </c>
      <c r="E671" t="b">
        <f>LineærRegression_Valg[[#This Row],[Afhængig variabel ID]]&lt;=$B$5</f>
        <v>0</v>
      </c>
      <c r="F671" t="str" cm="1">
        <f t="array" ref="F671">IF(LineærRegression_Valg[[#This Row],[Indenfor range]],INDEX(DataTitel_liste,LineærRegression_Valg[[#This Row],[Afhængig variabel ID]]),INDEX(DataTitel_liste,1))</f>
        <v>Eksempel 1 (interval)</v>
      </c>
      <c r="G671" s="188" t="str" cm="1">
        <f t="array" ref="G671">IF(LineærRegression_Valg[[#This Row],[Indenfor range]],IF(LineærRegression_Valg[[#This Row],[Intet overlap]],INDEX(DataTitel_liste,LineærRegression_Valg[[#This Row],[Uafhængig variabel ID]]),INDEX(DataTitel_liste,IF(LineærRegression_Valg[[#This Row],[Afhængig variabel ID]]=1,2,1))),$B$7)</f>
        <v>Eksempel 2 (interval)</v>
      </c>
      <c r="H671" s="188">
        <f>_xlfn.AGGREGATE(2,5,LineærRegression_Valg[[#This Row],[Tabel ID]])</f>
        <v>1</v>
      </c>
    </row>
    <row r="672" spans="1:8" x14ac:dyDescent="0.2">
      <c r="A672">
        <f>ROW(LineærRegression_Valg[[#This Row],[Tabel ID]])-ROW(LineærRegression_Valg[[#Headers],[Tabel ID]])</f>
        <v>662</v>
      </c>
      <c r="B672" s="188">
        <f>ROUNDDOWN((LineærRegression_Valg[[#This Row],[Tabel ID]]-1)/$B$5,0)+1</f>
        <v>166</v>
      </c>
      <c r="C672" s="188">
        <f t="shared" si="10"/>
        <v>2</v>
      </c>
      <c r="D672" s="188" t="b">
        <f>LineærRegression_Valg[[#This Row],[Afhængig variabel ID]]&lt;&gt;LineærRegression_Valg[[#This Row],[Uafhængig variabel ID]]</f>
        <v>1</v>
      </c>
      <c r="E672" t="b">
        <f>LineærRegression_Valg[[#This Row],[Afhængig variabel ID]]&lt;=$B$5</f>
        <v>0</v>
      </c>
      <c r="F672" t="str" cm="1">
        <f t="array" ref="F672">IF(LineærRegression_Valg[[#This Row],[Indenfor range]],INDEX(DataTitel_liste,LineærRegression_Valg[[#This Row],[Afhængig variabel ID]]),INDEX(DataTitel_liste,1))</f>
        <v>Eksempel 1 (interval)</v>
      </c>
      <c r="G672" s="188" t="str" cm="1">
        <f t="array" ref="G672">IF(LineærRegression_Valg[[#This Row],[Indenfor range]],IF(LineærRegression_Valg[[#This Row],[Intet overlap]],INDEX(DataTitel_liste,LineærRegression_Valg[[#This Row],[Uafhængig variabel ID]]),INDEX(DataTitel_liste,IF(LineærRegression_Valg[[#This Row],[Afhængig variabel ID]]=1,2,1))),$B$7)</f>
        <v>Eksempel 2 (interval)</v>
      </c>
      <c r="H672" s="188">
        <f>_xlfn.AGGREGATE(2,5,LineærRegression_Valg[[#This Row],[Tabel ID]])</f>
        <v>1</v>
      </c>
    </row>
    <row r="673" spans="1:8" x14ac:dyDescent="0.2">
      <c r="A673">
        <f>ROW(LineærRegression_Valg[[#This Row],[Tabel ID]])-ROW(LineærRegression_Valg[[#Headers],[Tabel ID]])</f>
        <v>663</v>
      </c>
      <c r="B673" s="188">
        <f>ROUNDDOWN((LineærRegression_Valg[[#This Row],[Tabel ID]]-1)/$B$5,0)+1</f>
        <v>166</v>
      </c>
      <c r="C673" s="188">
        <f t="shared" si="10"/>
        <v>3</v>
      </c>
      <c r="D673" s="188" t="b">
        <f>LineærRegression_Valg[[#This Row],[Afhængig variabel ID]]&lt;&gt;LineærRegression_Valg[[#This Row],[Uafhængig variabel ID]]</f>
        <v>1</v>
      </c>
      <c r="E673" t="b">
        <f>LineærRegression_Valg[[#This Row],[Afhængig variabel ID]]&lt;=$B$5</f>
        <v>0</v>
      </c>
      <c r="F673" t="str" cm="1">
        <f t="array" ref="F673">IF(LineærRegression_Valg[[#This Row],[Indenfor range]],INDEX(DataTitel_liste,LineærRegression_Valg[[#This Row],[Afhængig variabel ID]]),INDEX(DataTitel_liste,1))</f>
        <v>Eksempel 1 (interval)</v>
      </c>
      <c r="G673" s="188" t="str" cm="1">
        <f t="array" ref="G673">IF(LineærRegression_Valg[[#This Row],[Indenfor range]],IF(LineærRegression_Valg[[#This Row],[Intet overlap]],INDEX(DataTitel_liste,LineærRegression_Valg[[#This Row],[Uafhængig variabel ID]]),INDEX(DataTitel_liste,IF(LineærRegression_Valg[[#This Row],[Afhængig variabel ID]]=1,2,1))),$B$7)</f>
        <v>Eksempel 2 (interval)</v>
      </c>
      <c r="H673" s="188">
        <f>_xlfn.AGGREGATE(2,5,LineærRegression_Valg[[#This Row],[Tabel ID]])</f>
        <v>1</v>
      </c>
    </row>
    <row r="674" spans="1:8" x14ac:dyDescent="0.2">
      <c r="A674">
        <f>ROW(LineærRegression_Valg[[#This Row],[Tabel ID]])-ROW(LineærRegression_Valg[[#Headers],[Tabel ID]])</f>
        <v>664</v>
      </c>
      <c r="B674" s="188">
        <f>ROUNDDOWN((LineærRegression_Valg[[#This Row],[Tabel ID]]-1)/$B$5,0)+1</f>
        <v>166</v>
      </c>
      <c r="C674" s="188">
        <f t="shared" si="10"/>
        <v>4</v>
      </c>
      <c r="D674" s="188" t="b">
        <f>LineærRegression_Valg[[#This Row],[Afhængig variabel ID]]&lt;&gt;LineærRegression_Valg[[#This Row],[Uafhængig variabel ID]]</f>
        <v>1</v>
      </c>
      <c r="E674" t="b">
        <f>LineærRegression_Valg[[#This Row],[Afhængig variabel ID]]&lt;=$B$5</f>
        <v>0</v>
      </c>
      <c r="F674" t="str" cm="1">
        <f t="array" ref="F674">IF(LineærRegression_Valg[[#This Row],[Indenfor range]],INDEX(DataTitel_liste,LineærRegression_Valg[[#This Row],[Afhængig variabel ID]]),INDEX(DataTitel_liste,1))</f>
        <v>Eksempel 1 (interval)</v>
      </c>
      <c r="G674" s="188" t="str" cm="1">
        <f t="array" ref="G674">IF(LineærRegression_Valg[[#This Row],[Indenfor range]],IF(LineærRegression_Valg[[#This Row],[Intet overlap]],INDEX(DataTitel_liste,LineærRegression_Valg[[#This Row],[Uafhængig variabel ID]]),INDEX(DataTitel_liste,IF(LineærRegression_Valg[[#This Row],[Afhængig variabel ID]]=1,2,1))),$B$7)</f>
        <v>Eksempel 2 (interval)</v>
      </c>
      <c r="H674" s="188">
        <f>_xlfn.AGGREGATE(2,5,LineærRegression_Valg[[#This Row],[Tabel ID]])</f>
        <v>1</v>
      </c>
    </row>
    <row r="675" spans="1:8" x14ac:dyDescent="0.2">
      <c r="A675">
        <f>ROW(LineærRegression_Valg[[#This Row],[Tabel ID]])-ROW(LineærRegression_Valg[[#Headers],[Tabel ID]])</f>
        <v>665</v>
      </c>
      <c r="B675" s="188">
        <f>ROUNDDOWN((LineærRegression_Valg[[#This Row],[Tabel ID]]-1)/$B$5,0)+1</f>
        <v>167</v>
      </c>
      <c r="C675" s="188">
        <f t="shared" si="10"/>
        <v>1</v>
      </c>
      <c r="D675" s="188" t="b">
        <f>LineærRegression_Valg[[#This Row],[Afhængig variabel ID]]&lt;&gt;LineærRegression_Valg[[#This Row],[Uafhængig variabel ID]]</f>
        <v>1</v>
      </c>
      <c r="E675" t="b">
        <f>LineærRegression_Valg[[#This Row],[Afhængig variabel ID]]&lt;=$B$5</f>
        <v>0</v>
      </c>
      <c r="F675" t="str" cm="1">
        <f t="array" ref="F675">IF(LineærRegression_Valg[[#This Row],[Indenfor range]],INDEX(DataTitel_liste,LineærRegression_Valg[[#This Row],[Afhængig variabel ID]]),INDEX(DataTitel_liste,1))</f>
        <v>Eksempel 1 (interval)</v>
      </c>
      <c r="G675" s="188" t="str" cm="1">
        <f t="array" ref="G675">IF(LineærRegression_Valg[[#This Row],[Indenfor range]],IF(LineærRegression_Valg[[#This Row],[Intet overlap]],INDEX(DataTitel_liste,LineærRegression_Valg[[#This Row],[Uafhængig variabel ID]]),INDEX(DataTitel_liste,IF(LineærRegression_Valg[[#This Row],[Afhængig variabel ID]]=1,2,1))),$B$7)</f>
        <v>Eksempel 2 (interval)</v>
      </c>
      <c r="H675" s="188">
        <f>_xlfn.AGGREGATE(2,5,LineærRegression_Valg[[#This Row],[Tabel ID]])</f>
        <v>1</v>
      </c>
    </row>
    <row r="676" spans="1:8" x14ac:dyDescent="0.2">
      <c r="A676">
        <f>ROW(LineærRegression_Valg[[#This Row],[Tabel ID]])-ROW(LineærRegression_Valg[[#Headers],[Tabel ID]])</f>
        <v>666</v>
      </c>
      <c r="B676" s="188">
        <f>ROUNDDOWN((LineærRegression_Valg[[#This Row],[Tabel ID]]-1)/$B$5,0)+1</f>
        <v>167</v>
      </c>
      <c r="C676" s="188">
        <f t="shared" si="10"/>
        <v>2</v>
      </c>
      <c r="D676" s="188" t="b">
        <f>LineærRegression_Valg[[#This Row],[Afhængig variabel ID]]&lt;&gt;LineærRegression_Valg[[#This Row],[Uafhængig variabel ID]]</f>
        <v>1</v>
      </c>
      <c r="E676" t="b">
        <f>LineærRegression_Valg[[#This Row],[Afhængig variabel ID]]&lt;=$B$5</f>
        <v>0</v>
      </c>
      <c r="F676" t="str" cm="1">
        <f t="array" ref="F676">IF(LineærRegression_Valg[[#This Row],[Indenfor range]],INDEX(DataTitel_liste,LineærRegression_Valg[[#This Row],[Afhængig variabel ID]]),INDEX(DataTitel_liste,1))</f>
        <v>Eksempel 1 (interval)</v>
      </c>
      <c r="G676" s="188" t="str" cm="1">
        <f t="array" ref="G676">IF(LineærRegression_Valg[[#This Row],[Indenfor range]],IF(LineærRegression_Valg[[#This Row],[Intet overlap]],INDEX(DataTitel_liste,LineærRegression_Valg[[#This Row],[Uafhængig variabel ID]]),INDEX(DataTitel_liste,IF(LineærRegression_Valg[[#This Row],[Afhængig variabel ID]]=1,2,1))),$B$7)</f>
        <v>Eksempel 2 (interval)</v>
      </c>
      <c r="H676" s="188">
        <f>_xlfn.AGGREGATE(2,5,LineærRegression_Valg[[#This Row],[Tabel ID]])</f>
        <v>1</v>
      </c>
    </row>
    <row r="677" spans="1:8" x14ac:dyDescent="0.2">
      <c r="A677">
        <f>ROW(LineærRegression_Valg[[#This Row],[Tabel ID]])-ROW(LineærRegression_Valg[[#Headers],[Tabel ID]])</f>
        <v>667</v>
      </c>
      <c r="B677" s="188">
        <f>ROUNDDOWN((LineærRegression_Valg[[#This Row],[Tabel ID]]-1)/$B$5,0)+1</f>
        <v>167</v>
      </c>
      <c r="C677" s="188">
        <f t="shared" si="10"/>
        <v>3</v>
      </c>
      <c r="D677" s="188" t="b">
        <f>LineærRegression_Valg[[#This Row],[Afhængig variabel ID]]&lt;&gt;LineærRegression_Valg[[#This Row],[Uafhængig variabel ID]]</f>
        <v>1</v>
      </c>
      <c r="E677" t="b">
        <f>LineærRegression_Valg[[#This Row],[Afhængig variabel ID]]&lt;=$B$5</f>
        <v>0</v>
      </c>
      <c r="F677" t="str" cm="1">
        <f t="array" ref="F677">IF(LineærRegression_Valg[[#This Row],[Indenfor range]],INDEX(DataTitel_liste,LineærRegression_Valg[[#This Row],[Afhængig variabel ID]]),INDEX(DataTitel_liste,1))</f>
        <v>Eksempel 1 (interval)</v>
      </c>
      <c r="G677" s="188" t="str" cm="1">
        <f t="array" ref="G677">IF(LineærRegression_Valg[[#This Row],[Indenfor range]],IF(LineærRegression_Valg[[#This Row],[Intet overlap]],INDEX(DataTitel_liste,LineærRegression_Valg[[#This Row],[Uafhængig variabel ID]]),INDEX(DataTitel_liste,IF(LineærRegression_Valg[[#This Row],[Afhængig variabel ID]]=1,2,1))),$B$7)</f>
        <v>Eksempel 2 (interval)</v>
      </c>
      <c r="H677" s="188">
        <f>_xlfn.AGGREGATE(2,5,LineærRegression_Valg[[#This Row],[Tabel ID]])</f>
        <v>1</v>
      </c>
    </row>
    <row r="678" spans="1:8" x14ac:dyDescent="0.2">
      <c r="A678">
        <f>ROW(LineærRegression_Valg[[#This Row],[Tabel ID]])-ROW(LineærRegression_Valg[[#Headers],[Tabel ID]])</f>
        <v>668</v>
      </c>
      <c r="B678" s="188">
        <f>ROUNDDOWN((LineærRegression_Valg[[#This Row],[Tabel ID]]-1)/$B$5,0)+1</f>
        <v>167</v>
      </c>
      <c r="C678" s="188">
        <f t="shared" si="10"/>
        <v>4</v>
      </c>
      <c r="D678" s="188" t="b">
        <f>LineærRegression_Valg[[#This Row],[Afhængig variabel ID]]&lt;&gt;LineærRegression_Valg[[#This Row],[Uafhængig variabel ID]]</f>
        <v>1</v>
      </c>
      <c r="E678" t="b">
        <f>LineærRegression_Valg[[#This Row],[Afhængig variabel ID]]&lt;=$B$5</f>
        <v>0</v>
      </c>
      <c r="F678" t="str" cm="1">
        <f t="array" ref="F678">IF(LineærRegression_Valg[[#This Row],[Indenfor range]],INDEX(DataTitel_liste,LineærRegression_Valg[[#This Row],[Afhængig variabel ID]]),INDEX(DataTitel_liste,1))</f>
        <v>Eksempel 1 (interval)</v>
      </c>
      <c r="G678" s="188" t="str" cm="1">
        <f t="array" ref="G678">IF(LineærRegression_Valg[[#This Row],[Indenfor range]],IF(LineærRegression_Valg[[#This Row],[Intet overlap]],INDEX(DataTitel_liste,LineærRegression_Valg[[#This Row],[Uafhængig variabel ID]]),INDEX(DataTitel_liste,IF(LineærRegression_Valg[[#This Row],[Afhængig variabel ID]]=1,2,1))),$B$7)</f>
        <v>Eksempel 2 (interval)</v>
      </c>
      <c r="H678" s="188">
        <f>_xlfn.AGGREGATE(2,5,LineærRegression_Valg[[#This Row],[Tabel ID]])</f>
        <v>1</v>
      </c>
    </row>
    <row r="679" spans="1:8" x14ac:dyDescent="0.2">
      <c r="A679">
        <f>ROW(LineærRegression_Valg[[#This Row],[Tabel ID]])-ROW(LineærRegression_Valg[[#Headers],[Tabel ID]])</f>
        <v>669</v>
      </c>
      <c r="B679" s="188">
        <f>ROUNDDOWN((LineærRegression_Valg[[#This Row],[Tabel ID]]-1)/$B$5,0)+1</f>
        <v>168</v>
      </c>
      <c r="C679" s="188">
        <f t="shared" si="10"/>
        <v>1</v>
      </c>
      <c r="D679" s="188" t="b">
        <f>LineærRegression_Valg[[#This Row],[Afhængig variabel ID]]&lt;&gt;LineærRegression_Valg[[#This Row],[Uafhængig variabel ID]]</f>
        <v>1</v>
      </c>
      <c r="E679" t="b">
        <f>LineærRegression_Valg[[#This Row],[Afhængig variabel ID]]&lt;=$B$5</f>
        <v>0</v>
      </c>
      <c r="F679" t="str" cm="1">
        <f t="array" ref="F679">IF(LineærRegression_Valg[[#This Row],[Indenfor range]],INDEX(DataTitel_liste,LineærRegression_Valg[[#This Row],[Afhængig variabel ID]]),INDEX(DataTitel_liste,1))</f>
        <v>Eksempel 1 (interval)</v>
      </c>
      <c r="G679" s="188" t="str" cm="1">
        <f t="array" ref="G679">IF(LineærRegression_Valg[[#This Row],[Indenfor range]],IF(LineærRegression_Valg[[#This Row],[Intet overlap]],INDEX(DataTitel_liste,LineærRegression_Valg[[#This Row],[Uafhængig variabel ID]]),INDEX(DataTitel_liste,IF(LineærRegression_Valg[[#This Row],[Afhængig variabel ID]]=1,2,1))),$B$7)</f>
        <v>Eksempel 2 (interval)</v>
      </c>
      <c r="H679" s="188">
        <f>_xlfn.AGGREGATE(2,5,LineærRegression_Valg[[#This Row],[Tabel ID]])</f>
        <v>1</v>
      </c>
    </row>
    <row r="680" spans="1:8" x14ac:dyDescent="0.2">
      <c r="A680">
        <f>ROW(LineærRegression_Valg[[#This Row],[Tabel ID]])-ROW(LineærRegression_Valg[[#Headers],[Tabel ID]])</f>
        <v>670</v>
      </c>
      <c r="B680" s="188">
        <f>ROUNDDOWN((LineærRegression_Valg[[#This Row],[Tabel ID]]-1)/$B$5,0)+1</f>
        <v>168</v>
      </c>
      <c r="C680" s="188">
        <f t="shared" si="10"/>
        <v>2</v>
      </c>
      <c r="D680" s="188" t="b">
        <f>LineærRegression_Valg[[#This Row],[Afhængig variabel ID]]&lt;&gt;LineærRegression_Valg[[#This Row],[Uafhængig variabel ID]]</f>
        <v>1</v>
      </c>
      <c r="E680" t="b">
        <f>LineærRegression_Valg[[#This Row],[Afhængig variabel ID]]&lt;=$B$5</f>
        <v>0</v>
      </c>
      <c r="F680" t="str" cm="1">
        <f t="array" ref="F680">IF(LineærRegression_Valg[[#This Row],[Indenfor range]],INDEX(DataTitel_liste,LineærRegression_Valg[[#This Row],[Afhængig variabel ID]]),INDEX(DataTitel_liste,1))</f>
        <v>Eksempel 1 (interval)</v>
      </c>
      <c r="G680" s="188" t="str" cm="1">
        <f t="array" ref="G680">IF(LineærRegression_Valg[[#This Row],[Indenfor range]],IF(LineærRegression_Valg[[#This Row],[Intet overlap]],INDEX(DataTitel_liste,LineærRegression_Valg[[#This Row],[Uafhængig variabel ID]]),INDEX(DataTitel_liste,IF(LineærRegression_Valg[[#This Row],[Afhængig variabel ID]]=1,2,1))),$B$7)</f>
        <v>Eksempel 2 (interval)</v>
      </c>
      <c r="H680" s="188">
        <f>_xlfn.AGGREGATE(2,5,LineærRegression_Valg[[#This Row],[Tabel ID]])</f>
        <v>1</v>
      </c>
    </row>
    <row r="681" spans="1:8" x14ac:dyDescent="0.2">
      <c r="A681">
        <f>ROW(LineærRegression_Valg[[#This Row],[Tabel ID]])-ROW(LineærRegression_Valg[[#Headers],[Tabel ID]])</f>
        <v>671</v>
      </c>
      <c r="B681" s="188">
        <f>ROUNDDOWN((LineærRegression_Valg[[#This Row],[Tabel ID]]-1)/$B$5,0)+1</f>
        <v>168</v>
      </c>
      <c r="C681" s="188">
        <f t="shared" si="10"/>
        <v>3</v>
      </c>
      <c r="D681" s="188" t="b">
        <f>LineærRegression_Valg[[#This Row],[Afhængig variabel ID]]&lt;&gt;LineærRegression_Valg[[#This Row],[Uafhængig variabel ID]]</f>
        <v>1</v>
      </c>
      <c r="E681" t="b">
        <f>LineærRegression_Valg[[#This Row],[Afhængig variabel ID]]&lt;=$B$5</f>
        <v>0</v>
      </c>
      <c r="F681" t="str" cm="1">
        <f t="array" ref="F681">IF(LineærRegression_Valg[[#This Row],[Indenfor range]],INDEX(DataTitel_liste,LineærRegression_Valg[[#This Row],[Afhængig variabel ID]]),INDEX(DataTitel_liste,1))</f>
        <v>Eksempel 1 (interval)</v>
      </c>
      <c r="G681" s="188" t="str" cm="1">
        <f t="array" ref="G681">IF(LineærRegression_Valg[[#This Row],[Indenfor range]],IF(LineærRegression_Valg[[#This Row],[Intet overlap]],INDEX(DataTitel_liste,LineærRegression_Valg[[#This Row],[Uafhængig variabel ID]]),INDEX(DataTitel_liste,IF(LineærRegression_Valg[[#This Row],[Afhængig variabel ID]]=1,2,1))),$B$7)</f>
        <v>Eksempel 2 (interval)</v>
      </c>
      <c r="H681" s="188">
        <f>_xlfn.AGGREGATE(2,5,LineærRegression_Valg[[#This Row],[Tabel ID]])</f>
        <v>1</v>
      </c>
    </row>
    <row r="682" spans="1:8" x14ac:dyDescent="0.2">
      <c r="A682">
        <f>ROW(LineærRegression_Valg[[#This Row],[Tabel ID]])-ROW(LineærRegression_Valg[[#Headers],[Tabel ID]])</f>
        <v>672</v>
      </c>
      <c r="B682" s="188">
        <f>ROUNDDOWN((LineærRegression_Valg[[#This Row],[Tabel ID]]-1)/$B$5,0)+1</f>
        <v>168</v>
      </c>
      <c r="C682" s="188">
        <f t="shared" si="10"/>
        <v>4</v>
      </c>
      <c r="D682" s="188" t="b">
        <f>LineærRegression_Valg[[#This Row],[Afhængig variabel ID]]&lt;&gt;LineærRegression_Valg[[#This Row],[Uafhængig variabel ID]]</f>
        <v>1</v>
      </c>
      <c r="E682" t="b">
        <f>LineærRegression_Valg[[#This Row],[Afhængig variabel ID]]&lt;=$B$5</f>
        <v>0</v>
      </c>
      <c r="F682" t="str" cm="1">
        <f t="array" ref="F682">IF(LineærRegression_Valg[[#This Row],[Indenfor range]],INDEX(DataTitel_liste,LineærRegression_Valg[[#This Row],[Afhængig variabel ID]]),INDEX(DataTitel_liste,1))</f>
        <v>Eksempel 1 (interval)</v>
      </c>
      <c r="G682" s="188" t="str" cm="1">
        <f t="array" ref="G682">IF(LineærRegression_Valg[[#This Row],[Indenfor range]],IF(LineærRegression_Valg[[#This Row],[Intet overlap]],INDEX(DataTitel_liste,LineærRegression_Valg[[#This Row],[Uafhængig variabel ID]]),INDEX(DataTitel_liste,IF(LineærRegression_Valg[[#This Row],[Afhængig variabel ID]]=1,2,1))),$B$7)</f>
        <v>Eksempel 2 (interval)</v>
      </c>
      <c r="H682" s="188">
        <f>_xlfn.AGGREGATE(2,5,LineærRegression_Valg[[#This Row],[Tabel ID]])</f>
        <v>1</v>
      </c>
    </row>
    <row r="683" spans="1:8" x14ac:dyDescent="0.2">
      <c r="A683">
        <f>ROW(LineærRegression_Valg[[#This Row],[Tabel ID]])-ROW(LineærRegression_Valg[[#Headers],[Tabel ID]])</f>
        <v>673</v>
      </c>
      <c r="B683" s="188">
        <f>ROUNDDOWN((LineærRegression_Valg[[#This Row],[Tabel ID]]-1)/$B$5,0)+1</f>
        <v>169</v>
      </c>
      <c r="C683" s="188">
        <f t="shared" si="10"/>
        <v>1</v>
      </c>
      <c r="D683" s="188" t="b">
        <f>LineærRegression_Valg[[#This Row],[Afhængig variabel ID]]&lt;&gt;LineærRegression_Valg[[#This Row],[Uafhængig variabel ID]]</f>
        <v>1</v>
      </c>
      <c r="E683" t="b">
        <f>LineærRegression_Valg[[#This Row],[Afhængig variabel ID]]&lt;=$B$5</f>
        <v>0</v>
      </c>
      <c r="F683" t="str" cm="1">
        <f t="array" ref="F683">IF(LineærRegression_Valg[[#This Row],[Indenfor range]],INDEX(DataTitel_liste,LineærRegression_Valg[[#This Row],[Afhængig variabel ID]]),INDEX(DataTitel_liste,1))</f>
        <v>Eksempel 1 (interval)</v>
      </c>
      <c r="G683" s="188" t="str" cm="1">
        <f t="array" ref="G683">IF(LineærRegression_Valg[[#This Row],[Indenfor range]],IF(LineærRegression_Valg[[#This Row],[Intet overlap]],INDEX(DataTitel_liste,LineærRegression_Valg[[#This Row],[Uafhængig variabel ID]]),INDEX(DataTitel_liste,IF(LineærRegression_Valg[[#This Row],[Afhængig variabel ID]]=1,2,1))),$B$7)</f>
        <v>Eksempel 2 (interval)</v>
      </c>
      <c r="H683" s="188">
        <f>_xlfn.AGGREGATE(2,5,LineærRegression_Valg[[#This Row],[Tabel ID]])</f>
        <v>1</v>
      </c>
    </row>
    <row r="684" spans="1:8" x14ac:dyDescent="0.2">
      <c r="A684">
        <f>ROW(LineærRegression_Valg[[#This Row],[Tabel ID]])-ROW(LineærRegression_Valg[[#Headers],[Tabel ID]])</f>
        <v>674</v>
      </c>
      <c r="B684" s="188">
        <f>ROUNDDOWN((LineærRegression_Valg[[#This Row],[Tabel ID]]-1)/$B$5,0)+1</f>
        <v>169</v>
      </c>
      <c r="C684" s="188">
        <f t="shared" si="10"/>
        <v>2</v>
      </c>
      <c r="D684" s="188" t="b">
        <f>LineærRegression_Valg[[#This Row],[Afhængig variabel ID]]&lt;&gt;LineærRegression_Valg[[#This Row],[Uafhængig variabel ID]]</f>
        <v>1</v>
      </c>
      <c r="E684" t="b">
        <f>LineærRegression_Valg[[#This Row],[Afhængig variabel ID]]&lt;=$B$5</f>
        <v>0</v>
      </c>
      <c r="F684" t="str" cm="1">
        <f t="array" ref="F684">IF(LineærRegression_Valg[[#This Row],[Indenfor range]],INDEX(DataTitel_liste,LineærRegression_Valg[[#This Row],[Afhængig variabel ID]]),INDEX(DataTitel_liste,1))</f>
        <v>Eksempel 1 (interval)</v>
      </c>
      <c r="G684" s="188" t="str" cm="1">
        <f t="array" ref="G684">IF(LineærRegression_Valg[[#This Row],[Indenfor range]],IF(LineærRegression_Valg[[#This Row],[Intet overlap]],INDEX(DataTitel_liste,LineærRegression_Valg[[#This Row],[Uafhængig variabel ID]]),INDEX(DataTitel_liste,IF(LineærRegression_Valg[[#This Row],[Afhængig variabel ID]]=1,2,1))),$B$7)</f>
        <v>Eksempel 2 (interval)</v>
      </c>
      <c r="H684" s="188">
        <f>_xlfn.AGGREGATE(2,5,LineærRegression_Valg[[#This Row],[Tabel ID]])</f>
        <v>1</v>
      </c>
    </row>
    <row r="685" spans="1:8" x14ac:dyDescent="0.2">
      <c r="A685">
        <f>ROW(LineærRegression_Valg[[#This Row],[Tabel ID]])-ROW(LineærRegression_Valg[[#Headers],[Tabel ID]])</f>
        <v>675</v>
      </c>
      <c r="B685" s="188">
        <f>ROUNDDOWN((LineærRegression_Valg[[#This Row],[Tabel ID]]-1)/$B$5,0)+1</f>
        <v>169</v>
      </c>
      <c r="C685" s="188">
        <f t="shared" si="10"/>
        <v>3</v>
      </c>
      <c r="D685" s="188" t="b">
        <f>LineærRegression_Valg[[#This Row],[Afhængig variabel ID]]&lt;&gt;LineærRegression_Valg[[#This Row],[Uafhængig variabel ID]]</f>
        <v>1</v>
      </c>
      <c r="E685" t="b">
        <f>LineærRegression_Valg[[#This Row],[Afhængig variabel ID]]&lt;=$B$5</f>
        <v>0</v>
      </c>
      <c r="F685" t="str" cm="1">
        <f t="array" ref="F685">IF(LineærRegression_Valg[[#This Row],[Indenfor range]],INDEX(DataTitel_liste,LineærRegression_Valg[[#This Row],[Afhængig variabel ID]]),INDEX(DataTitel_liste,1))</f>
        <v>Eksempel 1 (interval)</v>
      </c>
      <c r="G685" s="188" t="str" cm="1">
        <f t="array" ref="G685">IF(LineærRegression_Valg[[#This Row],[Indenfor range]],IF(LineærRegression_Valg[[#This Row],[Intet overlap]],INDEX(DataTitel_liste,LineærRegression_Valg[[#This Row],[Uafhængig variabel ID]]),INDEX(DataTitel_liste,IF(LineærRegression_Valg[[#This Row],[Afhængig variabel ID]]=1,2,1))),$B$7)</f>
        <v>Eksempel 2 (interval)</v>
      </c>
      <c r="H685" s="188">
        <f>_xlfn.AGGREGATE(2,5,LineærRegression_Valg[[#This Row],[Tabel ID]])</f>
        <v>1</v>
      </c>
    </row>
    <row r="686" spans="1:8" x14ac:dyDescent="0.2">
      <c r="A686">
        <f>ROW(LineærRegression_Valg[[#This Row],[Tabel ID]])-ROW(LineærRegression_Valg[[#Headers],[Tabel ID]])</f>
        <v>676</v>
      </c>
      <c r="B686" s="188">
        <f>ROUNDDOWN((LineærRegression_Valg[[#This Row],[Tabel ID]]-1)/$B$5,0)+1</f>
        <v>169</v>
      </c>
      <c r="C686" s="188">
        <f t="shared" si="10"/>
        <v>4</v>
      </c>
      <c r="D686" s="188" t="b">
        <f>LineærRegression_Valg[[#This Row],[Afhængig variabel ID]]&lt;&gt;LineærRegression_Valg[[#This Row],[Uafhængig variabel ID]]</f>
        <v>1</v>
      </c>
      <c r="E686" t="b">
        <f>LineærRegression_Valg[[#This Row],[Afhængig variabel ID]]&lt;=$B$5</f>
        <v>0</v>
      </c>
      <c r="F686" t="str" cm="1">
        <f t="array" ref="F686">IF(LineærRegression_Valg[[#This Row],[Indenfor range]],INDEX(DataTitel_liste,LineærRegression_Valg[[#This Row],[Afhængig variabel ID]]),INDEX(DataTitel_liste,1))</f>
        <v>Eksempel 1 (interval)</v>
      </c>
      <c r="G686" s="188" t="str" cm="1">
        <f t="array" ref="G686">IF(LineærRegression_Valg[[#This Row],[Indenfor range]],IF(LineærRegression_Valg[[#This Row],[Intet overlap]],INDEX(DataTitel_liste,LineærRegression_Valg[[#This Row],[Uafhængig variabel ID]]),INDEX(DataTitel_liste,IF(LineærRegression_Valg[[#This Row],[Afhængig variabel ID]]=1,2,1))),$B$7)</f>
        <v>Eksempel 2 (interval)</v>
      </c>
      <c r="H686" s="188">
        <f>_xlfn.AGGREGATE(2,5,LineærRegression_Valg[[#This Row],[Tabel ID]])</f>
        <v>1</v>
      </c>
    </row>
    <row r="687" spans="1:8" x14ac:dyDescent="0.2">
      <c r="A687">
        <f>ROW(LineærRegression_Valg[[#This Row],[Tabel ID]])-ROW(LineærRegression_Valg[[#Headers],[Tabel ID]])</f>
        <v>677</v>
      </c>
      <c r="B687" s="188">
        <f>ROUNDDOWN((LineærRegression_Valg[[#This Row],[Tabel ID]]-1)/$B$5,0)+1</f>
        <v>170</v>
      </c>
      <c r="C687" s="188">
        <f t="shared" si="10"/>
        <v>1</v>
      </c>
      <c r="D687" s="188" t="b">
        <f>LineærRegression_Valg[[#This Row],[Afhængig variabel ID]]&lt;&gt;LineærRegression_Valg[[#This Row],[Uafhængig variabel ID]]</f>
        <v>1</v>
      </c>
      <c r="E687" t="b">
        <f>LineærRegression_Valg[[#This Row],[Afhængig variabel ID]]&lt;=$B$5</f>
        <v>0</v>
      </c>
      <c r="F687" t="str" cm="1">
        <f t="array" ref="F687">IF(LineærRegression_Valg[[#This Row],[Indenfor range]],INDEX(DataTitel_liste,LineærRegression_Valg[[#This Row],[Afhængig variabel ID]]),INDEX(DataTitel_liste,1))</f>
        <v>Eksempel 1 (interval)</v>
      </c>
      <c r="G687" s="188" t="str" cm="1">
        <f t="array" ref="G687">IF(LineærRegression_Valg[[#This Row],[Indenfor range]],IF(LineærRegression_Valg[[#This Row],[Intet overlap]],INDEX(DataTitel_liste,LineærRegression_Valg[[#This Row],[Uafhængig variabel ID]]),INDEX(DataTitel_liste,IF(LineærRegression_Valg[[#This Row],[Afhængig variabel ID]]=1,2,1))),$B$7)</f>
        <v>Eksempel 2 (interval)</v>
      </c>
      <c r="H687" s="188">
        <f>_xlfn.AGGREGATE(2,5,LineærRegression_Valg[[#This Row],[Tabel ID]])</f>
        <v>1</v>
      </c>
    </row>
    <row r="688" spans="1:8" x14ac:dyDescent="0.2">
      <c r="A688">
        <f>ROW(LineærRegression_Valg[[#This Row],[Tabel ID]])-ROW(LineærRegression_Valg[[#Headers],[Tabel ID]])</f>
        <v>678</v>
      </c>
      <c r="B688" s="188">
        <f>ROUNDDOWN((LineærRegression_Valg[[#This Row],[Tabel ID]]-1)/$B$5,0)+1</f>
        <v>170</v>
      </c>
      <c r="C688" s="188">
        <f t="shared" si="10"/>
        <v>2</v>
      </c>
      <c r="D688" s="188" t="b">
        <f>LineærRegression_Valg[[#This Row],[Afhængig variabel ID]]&lt;&gt;LineærRegression_Valg[[#This Row],[Uafhængig variabel ID]]</f>
        <v>1</v>
      </c>
      <c r="E688" t="b">
        <f>LineærRegression_Valg[[#This Row],[Afhængig variabel ID]]&lt;=$B$5</f>
        <v>0</v>
      </c>
      <c r="F688" t="str" cm="1">
        <f t="array" ref="F688">IF(LineærRegression_Valg[[#This Row],[Indenfor range]],INDEX(DataTitel_liste,LineærRegression_Valg[[#This Row],[Afhængig variabel ID]]),INDEX(DataTitel_liste,1))</f>
        <v>Eksempel 1 (interval)</v>
      </c>
      <c r="G688" s="188" t="str" cm="1">
        <f t="array" ref="G688">IF(LineærRegression_Valg[[#This Row],[Indenfor range]],IF(LineærRegression_Valg[[#This Row],[Intet overlap]],INDEX(DataTitel_liste,LineærRegression_Valg[[#This Row],[Uafhængig variabel ID]]),INDEX(DataTitel_liste,IF(LineærRegression_Valg[[#This Row],[Afhængig variabel ID]]=1,2,1))),$B$7)</f>
        <v>Eksempel 2 (interval)</v>
      </c>
      <c r="H688" s="188">
        <f>_xlfn.AGGREGATE(2,5,LineærRegression_Valg[[#This Row],[Tabel ID]])</f>
        <v>1</v>
      </c>
    </row>
    <row r="689" spans="1:8" x14ac:dyDescent="0.2">
      <c r="A689">
        <f>ROW(LineærRegression_Valg[[#This Row],[Tabel ID]])-ROW(LineærRegression_Valg[[#Headers],[Tabel ID]])</f>
        <v>679</v>
      </c>
      <c r="B689" s="188">
        <f>ROUNDDOWN((LineærRegression_Valg[[#This Row],[Tabel ID]]-1)/$B$5,0)+1</f>
        <v>170</v>
      </c>
      <c r="C689" s="188">
        <f t="shared" si="10"/>
        <v>3</v>
      </c>
      <c r="D689" s="188" t="b">
        <f>LineærRegression_Valg[[#This Row],[Afhængig variabel ID]]&lt;&gt;LineærRegression_Valg[[#This Row],[Uafhængig variabel ID]]</f>
        <v>1</v>
      </c>
      <c r="E689" t="b">
        <f>LineærRegression_Valg[[#This Row],[Afhængig variabel ID]]&lt;=$B$5</f>
        <v>0</v>
      </c>
      <c r="F689" t="str" cm="1">
        <f t="array" ref="F689">IF(LineærRegression_Valg[[#This Row],[Indenfor range]],INDEX(DataTitel_liste,LineærRegression_Valg[[#This Row],[Afhængig variabel ID]]),INDEX(DataTitel_liste,1))</f>
        <v>Eksempel 1 (interval)</v>
      </c>
      <c r="G689" s="188" t="str" cm="1">
        <f t="array" ref="G689">IF(LineærRegression_Valg[[#This Row],[Indenfor range]],IF(LineærRegression_Valg[[#This Row],[Intet overlap]],INDEX(DataTitel_liste,LineærRegression_Valg[[#This Row],[Uafhængig variabel ID]]),INDEX(DataTitel_liste,IF(LineærRegression_Valg[[#This Row],[Afhængig variabel ID]]=1,2,1))),$B$7)</f>
        <v>Eksempel 2 (interval)</v>
      </c>
      <c r="H689" s="188">
        <f>_xlfn.AGGREGATE(2,5,LineærRegression_Valg[[#This Row],[Tabel ID]])</f>
        <v>1</v>
      </c>
    </row>
    <row r="690" spans="1:8" x14ac:dyDescent="0.2">
      <c r="A690">
        <f>ROW(LineærRegression_Valg[[#This Row],[Tabel ID]])-ROW(LineærRegression_Valg[[#Headers],[Tabel ID]])</f>
        <v>680</v>
      </c>
      <c r="B690" s="188">
        <f>ROUNDDOWN((LineærRegression_Valg[[#This Row],[Tabel ID]]-1)/$B$5,0)+1</f>
        <v>170</v>
      </c>
      <c r="C690" s="188">
        <f t="shared" si="10"/>
        <v>4</v>
      </c>
      <c r="D690" s="188" t="b">
        <f>LineærRegression_Valg[[#This Row],[Afhængig variabel ID]]&lt;&gt;LineærRegression_Valg[[#This Row],[Uafhængig variabel ID]]</f>
        <v>1</v>
      </c>
      <c r="E690" t="b">
        <f>LineærRegression_Valg[[#This Row],[Afhængig variabel ID]]&lt;=$B$5</f>
        <v>0</v>
      </c>
      <c r="F690" t="str" cm="1">
        <f t="array" ref="F690">IF(LineærRegression_Valg[[#This Row],[Indenfor range]],INDEX(DataTitel_liste,LineærRegression_Valg[[#This Row],[Afhængig variabel ID]]),INDEX(DataTitel_liste,1))</f>
        <v>Eksempel 1 (interval)</v>
      </c>
      <c r="G690" s="188" t="str" cm="1">
        <f t="array" ref="G690">IF(LineærRegression_Valg[[#This Row],[Indenfor range]],IF(LineærRegression_Valg[[#This Row],[Intet overlap]],INDEX(DataTitel_liste,LineærRegression_Valg[[#This Row],[Uafhængig variabel ID]]),INDEX(DataTitel_liste,IF(LineærRegression_Valg[[#This Row],[Afhængig variabel ID]]=1,2,1))),$B$7)</f>
        <v>Eksempel 2 (interval)</v>
      </c>
      <c r="H690" s="188">
        <f>_xlfn.AGGREGATE(2,5,LineærRegression_Valg[[#This Row],[Tabel ID]])</f>
        <v>1</v>
      </c>
    </row>
    <row r="691" spans="1:8" x14ac:dyDescent="0.2">
      <c r="A691">
        <f>ROW(LineærRegression_Valg[[#This Row],[Tabel ID]])-ROW(LineærRegression_Valg[[#Headers],[Tabel ID]])</f>
        <v>681</v>
      </c>
      <c r="B691" s="188">
        <f>ROUNDDOWN((LineærRegression_Valg[[#This Row],[Tabel ID]]-1)/$B$5,0)+1</f>
        <v>171</v>
      </c>
      <c r="C691" s="188">
        <f t="shared" si="10"/>
        <v>1</v>
      </c>
      <c r="D691" s="188" t="b">
        <f>LineærRegression_Valg[[#This Row],[Afhængig variabel ID]]&lt;&gt;LineærRegression_Valg[[#This Row],[Uafhængig variabel ID]]</f>
        <v>1</v>
      </c>
      <c r="E691" t="b">
        <f>LineærRegression_Valg[[#This Row],[Afhængig variabel ID]]&lt;=$B$5</f>
        <v>0</v>
      </c>
      <c r="F691" t="str" cm="1">
        <f t="array" ref="F691">IF(LineærRegression_Valg[[#This Row],[Indenfor range]],INDEX(DataTitel_liste,LineærRegression_Valg[[#This Row],[Afhængig variabel ID]]),INDEX(DataTitel_liste,1))</f>
        <v>Eksempel 1 (interval)</v>
      </c>
      <c r="G691" s="188" t="str" cm="1">
        <f t="array" ref="G691">IF(LineærRegression_Valg[[#This Row],[Indenfor range]],IF(LineærRegression_Valg[[#This Row],[Intet overlap]],INDEX(DataTitel_liste,LineærRegression_Valg[[#This Row],[Uafhængig variabel ID]]),INDEX(DataTitel_liste,IF(LineærRegression_Valg[[#This Row],[Afhængig variabel ID]]=1,2,1))),$B$7)</f>
        <v>Eksempel 2 (interval)</v>
      </c>
      <c r="H691" s="188">
        <f>_xlfn.AGGREGATE(2,5,LineærRegression_Valg[[#This Row],[Tabel ID]])</f>
        <v>1</v>
      </c>
    </row>
    <row r="692" spans="1:8" x14ac:dyDescent="0.2">
      <c r="A692">
        <f>ROW(LineærRegression_Valg[[#This Row],[Tabel ID]])-ROW(LineærRegression_Valg[[#Headers],[Tabel ID]])</f>
        <v>682</v>
      </c>
      <c r="B692" s="188">
        <f>ROUNDDOWN((LineærRegression_Valg[[#This Row],[Tabel ID]]-1)/$B$5,0)+1</f>
        <v>171</v>
      </c>
      <c r="C692" s="188">
        <f t="shared" si="10"/>
        <v>2</v>
      </c>
      <c r="D692" s="188" t="b">
        <f>LineærRegression_Valg[[#This Row],[Afhængig variabel ID]]&lt;&gt;LineærRegression_Valg[[#This Row],[Uafhængig variabel ID]]</f>
        <v>1</v>
      </c>
      <c r="E692" t="b">
        <f>LineærRegression_Valg[[#This Row],[Afhængig variabel ID]]&lt;=$B$5</f>
        <v>0</v>
      </c>
      <c r="F692" t="str" cm="1">
        <f t="array" ref="F692">IF(LineærRegression_Valg[[#This Row],[Indenfor range]],INDEX(DataTitel_liste,LineærRegression_Valg[[#This Row],[Afhængig variabel ID]]),INDEX(DataTitel_liste,1))</f>
        <v>Eksempel 1 (interval)</v>
      </c>
      <c r="G692" s="188" t="str" cm="1">
        <f t="array" ref="G692">IF(LineærRegression_Valg[[#This Row],[Indenfor range]],IF(LineærRegression_Valg[[#This Row],[Intet overlap]],INDEX(DataTitel_liste,LineærRegression_Valg[[#This Row],[Uafhængig variabel ID]]),INDEX(DataTitel_liste,IF(LineærRegression_Valg[[#This Row],[Afhængig variabel ID]]=1,2,1))),$B$7)</f>
        <v>Eksempel 2 (interval)</v>
      </c>
      <c r="H692" s="188">
        <f>_xlfn.AGGREGATE(2,5,LineærRegression_Valg[[#This Row],[Tabel ID]])</f>
        <v>1</v>
      </c>
    </row>
    <row r="693" spans="1:8" x14ac:dyDescent="0.2">
      <c r="A693">
        <f>ROW(LineærRegression_Valg[[#This Row],[Tabel ID]])-ROW(LineærRegression_Valg[[#Headers],[Tabel ID]])</f>
        <v>683</v>
      </c>
      <c r="B693" s="188">
        <f>ROUNDDOWN((LineærRegression_Valg[[#This Row],[Tabel ID]]-1)/$B$5,0)+1</f>
        <v>171</v>
      </c>
      <c r="C693" s="188">
        <f t="shared" si="10"/>
        <v>3</v>
      </c>
      <c r="D693" s="188" t="b">
        <f>LineærRegression_Valg[[#This Row],[Afhængig variabel ID]]&lt;&gt;LineærRegression_Valg[[#This Row],[Uafhængig variabel ID]]</f>
        <v>1</v>
      </c>
      <c r="E693" t="b">
        <f>LineærRegression_Valg[[#This Row],[Afhængig variabel ID]]&lt;=$B$5</f>
        <v>0</v>
      </c>
      <c r="F693" t="str" cm="1">
        <f t="array" ref="F693">IF(LineærRegression_Valg[[#This Row],[Indenfor range]],INDEX(DataTitel_liste,LineærRegression_Valg[[#This Row],[Afhængig variabel ID]]),INDEX(DataTitel_liste,1))</f>
        <v>Eksempel 1 (interval)</v>
      </c>
      <c r="G693" s="188" t="str" cm="1">
        <f t="array" ref="G693">IF(LineærRegression_Valg[[#This Row],[Indenfor range]],IF(LineærRegression_Valg[[#This Row],[Intet overlap]],INDEX(DataTitel_liste,LineærRegression_Valg[[#This Row],[Uafhængig variabel ID]]),INDEX(DataTitel_liste,IF(LineærRegression_Valg[[#This Row],[Afhængig variabel ID]]=1,2,1))),$B$7)</f>
        <v>Eksempel 2 (interval)</v>
      </c>
      <c r="H693" s="188">
        <f>_xlfn.AGGREGATE(2,5,LineærRegression_Valg[[#This Row],[Tabel ID]])</f>
        <v>1</v>
      </c>
    </row>
    <row r="694" spans="1:8" x14ac:dyDescent="0.2">
      <c r="A694">
        <f>ROW(LineærRegression_Valg[[#This Row],[Tabel ID]])-ROW(LineærRegression_Valg[[#Headers],[Tabel ID]])</f>
        <v>684</v>
      </c>
      <c r="B694" s="188">
        <f>ROUNDDOWN((LineærRegression_Valg[[#This Row],[Tabel ID]]-1)/$B$5,0)+1</f>
        <v>171</v>
      </c>
      <c r="C694" s="188">
        <f t="shared" si="10"/>
        <v>4</v>
      </c>
      <c r="D694" s="188" t="b">
        <f>LineærRegression_Valg[[#This Row],[Afhængig variabel ID]]&lt;&gt;LineærRegression_Valg[[#This Row],[Uafhængig variabel ID]]</f>
        <v>1</v>
      </c>
      <c r="E694" t="b">
        <f>LineærRegression_Valg[[#This Row],[Afhængig variabel ID]]&lt;=$B$5</f>
        <v>0</v>
      </c>
      <c r="F694" t="str" cm="1">
        <f t="array" ref="F694">IF(LineærRegression_Valg[[#This Row],[Indenfor range]],INDEX(DataTitel_liste,LineærRegression_Valg[[#This Row],[Afhængig variabel ID]]),INDEX(DataTitel_liste,1))</f>
        <v>Eksempel 1 (interval)</v>
      </c>
      <c r="G694" s="188" t="str" cm="1">
        <f t="array" ref="G694">IF(LineærRegression_Valg[[#This Row],[Indenfor range]],IF(LineærRegression_Valg[[#This Row],[Intet overlap]],INDEX(DataTitel_liste,LineærRegression_Valg[[#This Row],[Uafhængig variabel ID]]),INDEX(DataTitel_liste,IF(LineærRegression_Valg[[#This Row],[Afhængig variabel ID]]=1,2,1))),$B$7)</f>
        <v>Eksempel 2 (interval)</v>
      </c>
      <c r="H694" s="188">
        <f>_xlfn.AGGREGATE(2,5,LineærRegression_Valg[[#This Row],[Tabel ID]])</f>
        <v>1</v>
      </c>
    </row>
    <row r="695" spans="1:8" x14ac:dyDescent="0.2">
      <c r="A695">
        <f>ROW(LineærRegression_Valg[[#This Row],[Tabel ID]])-ROW(LineærRegression_Valg[[#Headers],[Tabel ID]])</f>
        <v>685</v>
      </c>
      <c r="B695" s="188">
        <f>ROUNDDOWN((LineærRegression_Valg[[#This Row],[Tabel ID]]-1)/$B$5,0)+1</f>
        <v>172</v>
      </c>
      <c r="C695" s="188">
        <f t="shared" si="10"/>
        <v>1</v>
      </c>
      <c r="D695" s="188" t="b">
        <f>LineærRegression_Valg[[#This Row],[Afhængig variabel ID]]&lt;&gt;LineærRegression_Valg[[#This Row],[Uafhængig variabel ID]]</f>
        <v>1</v>
      </c>
      <c r="E695" t="b">
        <f>LineærRegression_Valg[[#This Row],[Afhængig variabel ID]]&lt;=$B$5</f>
        <v>0</v>
      </c>
      <c r="F695" t="str" cm="1">
        <f t="array" ref="F695">IF(LineærRegression_Valg[[#This Row],[Indenfor range]],INDEX(DataTitel_liste,LineærRegression_Valg[[#This Row],[Afhængig variabel ID]]),INDEX(DataTitel_liste,1))</f>
        <v>Eksempel 1 (interval)</v>
      </c>
      <c r="G695" s="188" t="str" cm="1">
        <f t="array" ref="G695">IF(LineærRegression_Valg[[#This Row],[Indenfor range]],IF(LineærRegression_Valg[[#This Row],[Intet overlap]],INDEX(DataTitel_liste,LineærRegression_Valg[[#This Row],[Uafhængig variabel ID]]),INDEX(DataTitel_liste,IF(LineærRegression_Valg[[#This Row],[Afhængig variabel ID]]=1,2,1))),$B$7)</f>
        <v>Eksempel 2 (interval)</v>
      </c>
      <c r="H695" s="188">
        <f>_xlfn.AGGREGATE(2,5,LineærRegression_Valg[[#This Row],[Tabel ID]])</f>
        <v>1</v>
      </c>
    </row>
    <row r="696" spans="1:8" x14ac:dyDescent="0.2">
      <c r="A696">
        <f>ROW(LineærRegression_Valg[[#This Row],[Tabel ID]])-ROW(LineærRegression_Valg[[#Headers],[Tabel ID]])</f>
        <v>686</v>
      </c>
      <c r="B696" s="188">
        <f>ROUNDDOWN((LineærRegression_Valg[[#This Row],[Tabel ID]]-1)/$B$5,0)+1</f>
        <v>172</v>
      </c>
      <c r="C696" s="188">
        <f t="shared" si="10"/>
        <v>2</v>
      </c>
      <c r="D696" s="188" t="b">
        <f>LineærRegression_Valg[[#This Row],[Afhængig variabel ID]]&lt;&gt;LineærRegression_Valg[[#This Row],[Uafhængig variabel ID]]</f>
        <v>1</v>
      </c>
      <c r="E696" t="b">
        <f>LineærRegression_Valg[[#This Row],[Afhængig variabel ID]]&lt;=$B$5</f>
        <v>0</v>
      </c>
      <c r="F696" t="str" cm="1">
        <f t="array" ref="F696">IF(LineærRegression_Valg[[#This Row],[Indenfor range]],INDEX(DataTitel_liste,LineærRegression_Valg[[#This Row],[Afhængig variabel ID]]),INDEX(DataTitel_liste,1))</f>
        <v>Eksempel 1 (interval)</v>
      </c>
      <c r="G696" s="188" t="str" cm="1">
        <f t="array" ref="G696">IF(LineærRegression_Valg[[#This Row],[Indenfor range]],IF(LineærRegression_Valg[[#This Row],[Intet overlap]],INDEX(DataTitel_liste,LineærRegression_Valg[[#This Row],[Uafhængig variabel ID]]),INDEX(DataTitel_liste,IF(LineærRegression_Valg[[#This Row],[Afhængig variabel ID]]=1,2,1))),$B$7)</f>
        <v>Eksempel 2 (interval)</v>
      </c>
      <c r="H696" s="188">
        <f>_xlfn.AGGREGATE(2,5,LineærRegression_Valg[[#This Row],[Tabel ID]])</f>
        <v>1</v>
      </c>
    </row>
    <row r="697" spans="1:8" x14ac:dyDescent="0.2">
      <c r="A697">
        <f>ROW(LineærRegression_Valg[[#This Row],[Tabel ID]])-ROW(LineærRegression_Valg[[#Headers],[Tabel ID]])</f>
        <v>687</v>
      </c>
      <c r="B697" s="188">
        <f>ROUNDDOWN((LineærRegression_Valg[[#This Row],[Tabel ID]]-1)/$B$5,0)+1</f>
        <v>172</v>
      </c>
      <c r="C697" s="188">
        <f t="shared" si="10"/>
        <v>3</v>
      </c>
      <c r="D697" s="188" t="b">
        <f>LineærRegression_Valg[[#This Row],[Afhængig variabel ID]]&lt;&gt;LineærRegression_Valg[[#This Row],[Uafhængig variabel ID]]</f>
        <v>1</v>
      </c>
      <c r="E697" t="b">
        <f>LineærRegression_Valg[[#This Row],[Afhængig variabel ID]]&lt;=$B$5</f>
        <v>0</v>
      </c>
      <c r="F697" t="str" cm="1">
        <f t="array" ref="F697">IF(LineærRegression_Valg[[#This Row],[Indenfor range]],INDEX(DataTitel_liste,LineærRegression_Valg[[#This Row],[Afhængig variabel ID]]),INDEX(DataTitel_liste,1))</f>
        <v>Eksempel 1 (interval)</v>
      </c>
      <c r="G697" s="188" t="str" cm="1">
        <f t="array" ref="G697">IF(LineærRegression_Valg[[#This Row],[Indenfor range]],IF(LineærRegression_Valg[[#This Row],[Intet overlap]],INDEX(DataTitel_liste,LineærRegression_Valg[[#This Row],[Uafhængig variabel ID]]),INDEX(DataTitel_liste,IF(LineærRegression_Valg[[#This Row],[Afhængig variabel ID]]=1,2,1))),$B$7)</f>
        <v>Eksempel 2 (interval)</v>
      </c>
      <c r="H697" s="188">
        <f>_xlfn.AGGREGATE(2,5,LineærRegression_Valg[[#This Row],[Tabel ID]])</f>
        <v>1</v>
      </c>
    </row>
    <row r="698" spans="1:8" x14ac:dyDescent="0.2">
      <c r="A698">
        <f>ROW(LineærRegression_Valg[[#This Row],[Tabel ID]])-ROW(LineærRegression_Valg[[#Headers],[Tabel ID]])</f>
        <v>688</v>
      </c>
      <c r="B698" s="188">
        <f>ROUNDDOWN((LineærRegression_Valg[[#This Row],[Tabel ID]]-1)/$B$5,0)+1</f>
        <v>172</v>
      </c>
      <c r="C698" s="188">
        <f t="shared" si="10"/>
        <v>4</v>
      </c>
      <c r="D698" s="188" t="b">
        <f>LineærRegression_Valg[[#This Row],[Afhængig variabel ID]]&lt;&gt;LineærRegression_Valg[[#This Row],[Uafhængig variabel ID]]</f>
        <v>1</v>
      </c>
      <c r="E698" t="b">
        <f>LineærRegression_Valg[[#This Row],[Afhængig variabel ID]]&lt;=$B$5</f>
        <v>0</v>
      </c>
      <c r="F698" t="str" cm="1">
        <f t="array" ref="F698">IF(LineærRegression_Valg[[#This Row],[Indenfor range]],INDEX(DataTitel_liste,LineærRegression_Valg[[#This Row],[Afhængig variabel ID]]),INDEX(DataTitel_liste,1))</f>
        <v>Eksempel 1 (interval)</v>
      </c>
      <c r="G698" s="188" t="str" cm="1">
        <f t="array" ref="G698">IF(LineærRegression_Valg[[#This Row],[Indenfor range]],IF(LineærRegression_Valg[[#This Row],[Intet overlap]],INDEX(DataTitel_liste,LineærRegression_Valg[[#This Row],[Uafhængig variabel ID]]),INDEX(DataTitel_liste,IF(LineærRegression_Valg[[#This Row],[Afhængig variabel ID]]=1,2,1))),$B$7)</f>
        <v>Eksempel 2 (interval)</v>
      </c>
      <c r="H698" s="188">
        <f>_xlfn.AGGREGATE(2,5,LineærRegression_Valg[[#This Row],[Tabel ID]])</f>
        <v>1</v>
      </c>
    </row>
    <row r="699" spans="1:8" x14ac:dyDescent="0.2">
      <c r="A699">
        <f>ROW(LineærRegression_Valg[[#This Row],[Tabel ID]])-ROW(LineærRegression_Valg[[#Headers],[Tabel ID]])</f>
        <v>689</v>
      </c>
      <c r="B699" s="188">
        <f>ROUNDDOWN((LineærRegression_Valg[[#This Row],[Tabel ID]]-1)/$B$5,0)+1</f>
        <v>173</v>
      </c>
      <c r="C699" s="188">
        <f t="shared" si="10"/>
        <v>1</v>
      </c>
      <c r="D699" s="188" t="b">
        <f>LineærRegression_Valg[[#This Row],[Afhængig variabel ID]]&lt;&gt;LineærRegression_Valg[[#This Row],[Uafhængig variabel ID]]</f>
        <v>1</v>
      </c>
      <c r="E699" t="b">
        <f>LineærRegression_Valg[[#This Row],[Afhængig variabel ID]]&lt;=$B$5</f>
        <v>0</v>
      </c>
      <c r="F699" t="str" cm="1">
        <f t="array" ref="F699">IF(LineærRegression_Valg[[#This Row],[Indenfor range]],INDEX(DataTitel_liste,LineærRegression_Valg[[#This Row],[Afhængig variabel ID]]),INDEX(DataTitel_liste,1))</f>
        <v>Eksempel 1 (interval)</v>
      </c>
      <c r="G699" s="188" t="str" cm="1">
        <f t="array" ref="G699">IF(LineærRegression_Valg[[#This Row],[Indenfor range]],IF(LineærRegression_Valg[[#This Row],[Intet overlap]],INDEX(DataTitel_liste,LineærRegression_Valg[[#This Row],[Uafhængig variabel ID]]),INDEX(DataTitel_liste,IF(LineærRegression_Valg[[#This Row],[Afhængig variabel ID]]=1,2,1))),$B$7)</f>
        <v>Eksempel 2 (interval)</v>
      </c>
      <c r="H699" s="188">
        <f>_xlfn.AGGREGATE(2,5,LineærRegression_Valg[[#This Row],[Tabel ID]])</f>
        <v>1</v>
      </c>
    </row>
    <row r="700" spans="1:8" x14ac:dyDescent="0.2">
      <c r="A700">
        <f>ROW(LineærRegression_Valg[[#This Row],[Tabel ID]])-ROW(LineærRegression_Valg[[#Headers],[Tabel ID]])</f>
        <v>690</v>
      </c>
      <c r="B700" s="188">
        <f>ROUNDDOWN((LineærRegression_Valg[[#This Row],[Tabel ID]]-1)/$B$5,0)+1</f>
        <v>173</v>
      </c>
      <c r="C700" s="188">
        <f t="shared" si="10"/>
        <v>2</v>
      </c>
      <c r="D700" s="188" t="b">
        <f>LineærRegression_Valg[[#This Row],[Afhængig variabel ID]]&lt;&gt;LineærRegression_Valg[[#This Row],[Uafhængig variabel ID]]</f>
        <v>1</v>
      </c>
      <c r="E700" t="b">
        <f>LineærRegression_Valg[[#This Row],[Afhængig variabel ID]]&lt;=$B$5</f>
        <v>0</v>
      </c>
      <c r="F700" t="str" cm="1">
        <f t="array" ref="F700">IF(LineærRegression_Valg[[#This Row],[Indenfor range]],INDEX(DataTitel_liste,LineærRegression_Valg[[#This Row],[Afhængig variabel ID]]),INDEX(DataTitel_liste,1))</f>
        <v>Eksempel 1 (interval)</v>
      </c>
      <c r="G700" s="188" t="str" cm="1">
        <f t="array" ref="G700">IF(LineærRegression_Valg[[#This Row],[Indenfor range]],IF(LineærRegression_Valg[[#This Row],[Intet overlap]],INDEX(DataTitel_liste,LineærRegression_Valg[[#This Row],[Uafhængig variabel ID]]),INDEX(DataTitel_liste,IF(LineærRegression_Valg[[#This Row],[Afhængig variabel ID]]=1,2,1))),$B$7)</f>
        <v>Eksempel 2 (interval)</v>
      </c>
      <c r="H700" s="188">
        <f>_xlfn.AGGREGATE(2,5,LineærRegression_Valg[[#This Row],[Tabel ID]])</f>
        <v>1</v>
      </c>
    </row>
    <row r="701" spans="1:8" x14ac:dyDescent="0.2">
      <c r="A701">
        <f>ROW(LineærRegression_Valg[[#This Row],[Tabel ID]])-ROW(LineærRegression_Valg[[#Headers],[Tabel ID]])</f>
        <v>691</v>
      </c>
      <c r="B701" s="188">
        <f>ROUNDDOWN((LineærRegression_Valg[[#This Row],[Tabel ID]]-1)/$B$5,0)+1</f>
        <v>173</v>
      </c>
      <c r="C701" s="188">
        <f t="shared" si="10"/>
        <v>3</v>
      </c>
      <c r="D701" s="188" t="b">
        <f>LineærRegression_Valg[[#This Row],[Afhængig variabel ID]]&lt;&gt;LineærRegression_Valg[[#This Row],[Uafhængig variabel ID]]</f>
        <v>1</v>
      </c>
      <c r="E701" t="b">
        <f>LineærRegression_Valg[[#This Row],[Afhængig variabel ID]]&lt;=$B$5</f>
        <v>0</v>
      </c>
      <c r="F701" t="str" cm="1">
        <f t="array" ref="F701">IF(LineærRegression_Valg[[#This Row],[Indenfor range]],INDEX(DataTitel_liste,LineærRegression_Valg[[#This Row],[Afhængig variabel ID]]),INDEX(DataTitel_liste,1))</f>
        <v>Eksempel 1 (interval)</v>
      </c>
      <c r="G701" s="188" t="str" cm="1">
        <f t="array" ref="G701">IF(LineærRegression_Valg[[#This Row],[Indenfor range]],IF(LineærRegression_Valg[[#This Row],[Intet overlap]],INDEX(DataTitel_liste,LineærRegression_Valg[[#This Row],[Uafhængig variabel ID]]),INDEX(DataTitel_liste,IF(LineærRegression_Valg[[#This Row],[Afhængig variabel ID]]=1,2,1))),$B$7)</f>
        <v>Eksempel 2 (interval)</v>
      </c>
      <c r="H701" s="188">
        <f>_xlfn.AGGREGATE(2,5,LineærRegression_Valg[[#This Row],[Tabel ID]])</f>
        <v>1</v>
      </c>
    </row>
    <row r="702" spans="1:8" x14ac:dyDescent="0.2">
      <c r="A702">
        <f>ROW(LineærRegression_Valg[[#This Row],[Tabel ID]])-ROW(LineærRegression_Valg[[#Headers],[Tabel ID]])</f>
        <v>692</v>
      </c>
      <c r="B702" s="188">
        <f>ROUNDDOWN((LineærRegression_Valg[[#This Row],[Tabel ID]]-1)/$B$5,0)+1</f>
        <v>173</v>
      </c>
      <c r="C702" s="188">
        <f t="shared" si="10"/>
        <v>4</v>
      </c>
      <c r="D702" s="188" t="b">
        <f>LineærRegression_Valg[[#This Row],[Afhængig variabel ID]]&lt;&gt;LineærRegression_Valg[[#This Row],[Uafhængig variabel ID]]</f>
        <v>1</v>
      </c>
      <c r="E702" t="b">
        <f>LineærRegression_Valg[[#This Row],[Afhængig variabel ID]]&lt;=$B$5</f>
        <v>0</v>
      </c>
      <c r="F702" t="str" cm="1">
        <f t="array" ref="F702">IF(LineærRegression_Valg[[#This Row],[Indenfor range]],INDEX(DataTitel_liste,LineærRegression_Valg[[#This Row],[Afhængig variabel ID]]),INDEX(DataTitel_liste,1))</f>
        <v>Eksempel 1 (interval)</v>
      </c>
      <c r="G702" s="188" t="str" cm="1">
        <f t="array" ref="G702">IF(LineærRegression_Valg[[#This Row],[Indenfor range]],IF(LineærRegression_Valg[[#This Row],[Intet overlap]],INDEX(DataTitel_liste,LineærRegression_Valg[[#This Row],[Uafhængig variabel ID]]),INDEX(DataTitel_liste,IF(LineærRegression_Valg[[#This Row],[Afhængig variabel ID]]=1,2,1))),$B$7)</f>
        <v>Eksempel 2 (interval)</v>
      </c>
      <c r="H702" s="188">
        <f>_xlfn.AGGREGATE(2,5,LineærRegression_Valg[[#This Row],[Tabel ID]])</f>
        <v>1</v>
      </c>
    </row>
    <row r="703" spans="1:8" x14ac:dyDescent="0.2">
      <c r="A703">
        <f>ROW(LineærRegression_Valg[[#This Row],[Tabel ID]])-ROW(LineærRegression_Valg[[#Headers],[Tabel ID]])</f>
        <v>693</v>
      </c>
      <c r="B703" s="188">
        <f>ROUNDDOWN((LineærRegression_Valg[[#This Row],[Tabel ID]]-1)/$B$5,0)+1</f>
        <v>174</v>
      </c>
      <c r="C703" s="188">
        <f t="shared" si="10"/>
        <v>1</v>
      </c>
      <c r="D703" s="188" t="b">
        <f>LineærRegression_Valg[[#This Row],[Afhængig variabel ID]]&lt;&gt;LineærRegression_Valg[[#This Row],[Uafhængig variabel ID]]</f>
        <v>1</v>
      </c>
      <c r="E703" t="b">
        <f>LineærRegression_Valg[[#This Row],[Afhængig variabel ID]]&lt;=$B$5</f>
        <v>0</v>
      </c>
      <c r="F703" t="str" cm="1">
        <f t="array" ref="F703">IF(LineærRegression_Valg[[#This Row],[Indenfor range]],INDEX(DataTitel_liste,LineærRegression_Valg[[#This Row],[Afhængig variabel ID]]),INDEX(DataTitel_liste,1))</f>
        <v>Eksempel 1 (interval)</v>
      </c>
      <c r="G703" s="188" t="str" cm="1">
        <f t="array" ref="G703">IF(LineærRegression_Valg[[#This Row],[Indenfor range]],IF(LineærRegression_Valg[[#This Row],[Intet overlap]],INDEX(DataTitel_liste,LineærRegression_Valg[[#This Row],[Uafhængig variabel ID]]),INDEX(DataTitel_liste,IF(LineærRegression_Valg[[#This Row],[Afhængig variabel ID]]=1,2,1))),$B$7)</f>
        <v>Eksempel 2 (interval)</v>
      </c>
      <c r="H703" s="188">
        <f>_xlfn.AGGREGATE(2,5,LineærRegression_Valg[[#This Row],[Tabel ID]])</f>
        <v>1</v>
      </c>
    </row>
    <row r="704" spans="1:8" x14ac:dyDescent="0.2">
      <c r="A704">
        <f>ROW(LineærRegression_Valg[[#This Row],[Tabel ID]])-ROW(LineærRegression_Valg[[#Headers],[Tabel ID]])</f>
        <v>694</v>
      </c>
      <c r="B704" s="188">
        <f>ROUNDDOWN((LineærRegression_Valg[[#This Row],[Tabel ID]]-1)/$B$5,0)+1</f>
        <v>174</v>
      </c>
      <c r="C704" s="188">
        <f t="shared" si="10"/>
        <v>2</v>
      </c>
      <c r="D704" s="188" t="b">
        <f>LineærRegression_Valg[[#This Row],[Afhængig variabel ID]]&lt;&gt;LineærRegression_Valg[[#This Row],[Uafhængig variabel ID]]</f>
        <v>1</v>
      </c>
      <c r="E704" t="b">
        <f>LineærRegression_Valg[[#This Row],[Afhængig variabel ID]]&lt;=$B$5</f>
        <v>0</v>
      </c>
      <c r="F704" t="str" cm="1">
        <f t="array" ref="F704">IF(LineærRegression_Valg[[#This Row],[Indenfor range]],INDEX(DataTitel_liste,LineærRegression_Valg[[#This Row],[Afhængig variabel ID]]),INDEX(DataTitel_liste,1))</f>
        <v>Eksempel 1 (interval)</v>
      </c>
      <c r="G704" s="188" t="str" cm="1">
        <f t="array" ref="G704">IF(LineærRegression_Valg[[#This Row],[Indenfor range]],IF(LineærRegression_Valg[[#This Row],[Intet overlap]],INDEX(DataTitel_liste,LineærRegression_Valg[[#This Row],[Uafhængig variabel ID]]),INDEX(DataTitel_liste,IF(LineærRegression_Valg[[#This Row],[Afhængig variabel ID]]=1,2,1))),$B$7)</f>
        <v>Eksempel 2 (interval)</v>
      </c>
      <c r="H704" s="188">
        <f>_xlfn.AGGREGATE(2,5,LineærRegression_Valg[[#This Row],[Tabel ID]])</f>
        <v>1</v>
      </c>
    </row>
    <row r="705" spans="1:8" x14ac:dyDescent="0.2">
      <c r="A705">
        <f>ROW(LineærRegression_Valg[[#This Row],[Tabel ID]])-ROW(LineærRegression_Valg[[#Headers],[Tabel ID]])</f>
        <v>695</v>
      </c>
      <c r="B705" s="188">
        <f>ROUNDDOWN((LineærRegression_Valg[[#This Row],[Tabel ID]]-1)/$B$5,0)+1</f>
        <v>174</v>
      </c>
      <c r="C705" s="188">
        <f t="shared" si="10"/>
        <v>3</v>
      </c>
      <c r="D705" s="188" t="b">
        <f>LineærRegression_Valg[[#This Row],[Afhængig variabel ID]]&lt;&gt;LineærRegression_Valg[[#This Row],[Uafhængig variabel ID]]</f>
        <v>1</v>
      </c>
      <c r="E705" t="b">
        <f>LineærRegression_Valg[[#This Row],[Afhængig variabel ID]]&lt;=$B$5</f>
        <v>0</v>
      </c>
      <c r="F705" t="str" cm="1">
        <f t="array" ref="F705">IF(LineærRegression_Valg[[#This Row],[Indenfor range]],INDEX(DataTitel_liste,LineærRegression_Valg[[#This Row],[Afhængig variabel ID]]),INDEX(DataTitel_liste,1))</f>
        <v>Eksempel 1 (interval)</v>
      </c>
      <c r="G705" s="188" t="str" cm="1">
        <f t="array" ref="G705">IF(LineærRegression_Valg[[#This Row],[Indenfor range]],IF(LineærRegression_Valg[[#This Row],[Intet overlap]],INDEX(DataTitel_liste,LineærRegression_Valg[[#This Row],[Uafhængig variabel ID]]),INDEX(DataTitel_liste,IF(LineærRegression_Valg[[#This Row],[Afhængig variabel ID]]=1,2,1))),$B$7)</f>
        <v>Eksempel 2 (interval)</v>
      </c>
      <c r="H705" s="188">
        <f>_xlfn.AGGREGATE(2,5,LineærRegression_Valg[[#This Row],[Tabel ID]])</f>
        <v>1</v>
      </c>
    </row>
    <row r="706" spans="1:8" x14ac:dyDescent="0.2">
      <c r="A706">
        <f>ROW(LineærRegression_Valg[[#This Row],[Tabel ID]])-ROW(LineærRegression_Valg[[#Headers],[Tabel ID]])</f>
        <v>696</v>
      </c>
      <c r="B706" s="188">
        <f>ROUNDDOWN((LineærRegression_Valg[[#This Row],[Tabel ID]]-1)/$B$5,0)+1</f>
        <v>174</v>
      </c>
      <c r="C706" s="188">
        <f t="shared" si="10"/>
        <v>4</v>
      </c>
      <c r="D706" s="188" t="b">
        <f>LineærRegression_Valg[[#This Row],[Afhængig variabel ID]]&lt;&gt;LineærRegression_Valg[[#This Row],[Uafhængig variabel ID]]</f>
        <v>1</v>
      </c>
      <c r="E706" t="b">
        <f>LineærRegression_Valg[[#This Row],[Afhængig variabel ID]]&lt;=$B$5</f>
        <v>0</v>
      </c>
      <c r="F706" t="str" cm="1">
        <f t="array" ref="F706">IF(LineærRegression_Valg[[#This Row],[Indenfor range]],INDEX(DataTitel_liste,LineærRegression_Valg[[#This Row],[Afhængig variabel ID]]),INDEX(DataTitel_liste,1))</f>
        <v>Eksempel 1 (interval)</v>
      </c>
      <c r="G706" s="188" t="str" cm="1">
        <f t="array" ref="G706">IF(LineærRegression_Valg[[#This Row],[Indenfor range]],IF(LineærRegression_Valg[[#This Row],[Intet overlap]],INDEX(DataTitel_liste,LineærRegression_Valg[[#This Row],[Uafhængig variabel ID]]),INDEX(DataTitel_liste,IF(LineærRegression_Valg[[#This Row],[Afhængig variabel ID]]=1,2,1))),$B$7)</f>
        <v>Eksempel 2 (interval)</v>
      </c>
      <c r="H706" s="188">
        <f>_xlfn.AGGREGATE(2,5,LineærRegression_Valg[[#This Row],[Tabel ID]])</f>
        <v>1</v>
      </c>
    </row>
    <row r="707" spans="1:8" x14ac:dyDescent="0.2">
      <c r="A707">
        <f>ROW(LineærRegression_Valg[[#This Row],[Tabel ID]])-ROW(LineærRegression_Valg[[#Headers],[Tabel ID]])</f>
        <v>697</v>
      </c>
      <c r="B707" s="188">
        <f>ROUNDDOWN((LineærRegression_Valg[[#This Row],[Tabel ID]]-1)/$B$5,0)+1</f>
        <v>175</v>
      </c>
      <c r="C707" s="188">
        <f t="shared" si="10"/>
        <v>1</v>
      </c>
      <c r="D707" s="188" t="b">
        <f>LineærRegression_Valg[[#This Row],[Afhængig variabel ID]]&lt;&gt;LineærRegression_Valg[[#This Row],[Uafhængig variabel ID]]</f>
        <v>1</v>
      </c>
      <c r="E707" t="b">
        <f>LineærRegression_Valg[[#This Row],[Afhængig variabel ID]]&lt;=$B$5</f>
        <v>0</v>
      </c>
      <c r="F707" t="str" cm="1">
        <f t="array" ref="F707">IF(LineærRegression_Valg[[#This Row],[Indenfor range]],INDEX(DataTitel_liste,LineærRegression_Valg[[#This Row],[Afhængig variabel ID]]),INDEX(DataTitel_liste,1))</f>
        <v>Eksempel 1 (interval)</v>
      </c>
      <c r="G707" s="188" t="str" cm="1">
        <f t="array" ref="G707">IF(LineærRegression_Valg[[#This Row],[Indenfor range]],IF(LineærRegression_Valg[[#This Row],[Intet overlap]],INDEX(DataTitel_liste,LineærRegression_Valg[[#This Row],[Uafhængig variabel ID]]),INDEX(DataTitel_liste,IF(LineærRegression_Valg[[#This Row],[Afhængig variabel ID]]=1,2,1))),$B$7)</f>
        <v>Eksempel 2 (interval)</v>
      </c>
      <c r="H707" s="188">
        <f>_xlfn.AGGREGATE(2,5,LineærRegression_Valg[[#This Row],[Tabel ID]])</f>
        <v>1</v>
      </c>
    </row>
    <row r="708" spans="1:8" x14ac:dyDescent="0.2">
      <c r="A708">
        <f>ROW(LineærRegression_Valg[[#This Row],[Tabel ID]])-ROW(LineærRegression_Valg[[#Headers],[Tabel ID]])</f>
        <v>698</v>
      </c>
      <c r="B708" s="188">
        <f>ROUNDDOWN((LineærRegression_Valg[[#This Row],[Tabel ID]]-1)/$B$5,0)+1</f>
        <v>175</v>
      </c>
      <c r="C708" s="188">
        <f t="shared" si="10"/>
        <v>2</v>
      </c>
      <c r="D708" s="188" t="b">
        <f>LineærRegression_Valg[[#This Row],[Afhængig variabel ID]]&lt;&gt;LineærRegression_Valg[[#This Row],[Uafhængig variabel ID]]</f>
        <v>1</v>
      </c>
      <c r="E708" t="b">
        <f>LineærRegression_Valg[[#This Row],[Afhængig variabel ID]]&lt;=$B$5</f>
        <v>0</v>
      </c>
      <c r="F708" t="str" cm="1">
        <f t="array" ref="F708">IF(LineærRegression_Valg[[#This Row],[Indenfor range]],INDEX(DataTitel_liste,LineærRegression_Valg[[#This Row],[Afhængig variabel ID]]),INDEX(DataTitel_liste,1))</f>
        <v>Eksempel 1 (interval)</v>
      </c>
      <c r="G708" s="188" t="str" cm="1">
        <f t="array" ref="G708">IF(LineærRegression_Valg[[#This Row],[Indenfor range]],IF(LineærRegression_Valg[[#This Row],[Intet overlap]],INDEX(DataTitel_liste,LineærRegression_Valg[[#This Row],[Uafhængig variabel ID]]),INDEX(DataTitel_liste,IF(LineærRegression_Valg[[#This Row],[Afhængig variabel ID]]=1,2,1))),$B$7)</f>
        <v>Eksempel 2 (interval)</v>
      </c>
      <c r="H708" s="188">
        <f>_xlfn.AGGREGATE(2,5,LineærRegression_Valg[[#This Row],[Tabel ID]])</f>
        <v>1</v>
      </c>
    </row>
    <row r="709" spans="1:8" x14ac:dyDescent="0.2">
      <c r="A709">
        <f>ROW(LineærRegression_Valg[[#This Row],[Tabel ID]])-ROW(LineærRegression_Valg[[#Headers],[Tabel ID]])</f>
        <v>699</v>
      </c>
      <c r="B709" s="188">
        <f>ROUNDDOWN((LineærRegression_Valg[[#This Row],[Tabel ID]]-1)/$B$5,0)+1</f>
        <v>175</v>
      </c>
      <c r="C709" s="188">
        <f t="shared" si="10"/>
        <v>3</v>
      </c>
      <c r="D709" s="188" t="b">
        <f>LineærRegression_Valg[[#This Row],[Afhængig variabel ID]]&lt;&gt;LineærRegression_Valg[[#This Row],[Uafhængig variabel ID]]</f>
        <v>1</v>
      </c>
      <c r="E709" t="b">
        <f>LineærRegression_Valg[[#This Row],[Afhængig variabel ID]]&lt;=$B$5</f>
        <v>0</v>
      </c>
      <c r="F709" t="str" cm="1">
        <f t="array" ref="F709">IF(LineærRegression_Valg[[#This Row],[Indenfor range]],INDEX(DataTitel_liste,LineærRegression_Valg[[#This Row],[Afhængig variabel ID]]),INDEX(DataTitel_liste,1))</f>
        <v>Eksempel 1 (interval)</v>
      </c>
      <c r="G709" s="188" t="str" cm="1">
        <f t="array" ref="G709">IF(LineærRegression_Valg[[#This Row],[Indenfor range]],IF(LineærRegression_Valg[[#This Row],[Intet overlap]],INDEX(DataTitel_liste,LineærRegression_Valg[[#This Row],[Uafhængig variabel ID]]),INDEX(DataTitel_liste,IF(LineærRegression_Valg[[#This Row],[Afhængig variabel ID]]=1,2,1))),$B$7)</f>
        <v>Eksempel 2 (interval)</v>
      </c>
      <c r="H709" s="188">
        <f>_xlfn.AGGREGATE(2,5,LineærRegression_Valg[[#This Row],[Tabel ID]])</f>
        <v>1</v>
      </c>
    </row>
    <row r="710" spans="1:8" x14ac:dyDescent="0.2">
      <c r="A710">
        <f>ROW(LineærRegression_Valg[[#This Row],[Tabel ID]])-ROW(LineærRegression_Valg[[#Headers],[Tabel ID]])</f>
        <v>700</v>
      </c>
      <c r="B710" s="188">
        <f>ROUNDDOWN((LineærRegression_Valg[[#This Row],[Tabel ID]]-1)/$B$5,0)+1</f>
        <v>175</v>
      </c>
      <c r="C710" s="188">
        <f t="shared" si="10"/>
        <v>4</v>
      </c>
      <c r="D710" s="188" t="b">
        <f>LineærRegression_Valg[[#This Row],[Afhængig variabel ID]]&lt;&gt;LineærRegression_Valg[[#This Row],[Uafhængig variabel ID]]</f>
        <v>1</v>
      </c>
      <c r="E710" t="b">
        <f>LineærRegression_Valg[[#This Row],[Afhængig variabel ID]]&lt;=$B$5</f>
        <v>0</v>
      </c>
      <c r="F710" t="str" cm="1">
        <f t="array" ref="F710">IF(LineærRegression_Valg[[#This Row],[Indenfor range]],INDEX(DataTitel_liste,LineærRegression_Valg[[#This Row],[Afhængig variabel ID]]),INDEX(DataTitel_liste,1))</f>
        <v>Eksempel 1 (interval)</v>
      </c>
      <c r="G710" s="188" t="str" cm="1">
        <f t="array" ref="G710">IF(LineærRegression_Valg[[#This Row],[Indenfor range]],IF(LineærRegression_Valg[[#This Row],[Intet overlap]],INDEX(DataTitel_liste,LineærRegression_Valg[[#This Row],[Uafhængig variabel ID]]),INDEX(DataTitel_liste,IF(LineærRegression_Valg[[#This Row],[Afhængig variabel ID]]=1,2,1))),$B$7)</f>
        <v>Eksempel 2 (interval)</v>
      </c>
      <c r="H710" s="188">
        <f>_xlfn.AGGREGATE(2,5,LineærRegression_Valg[[#This Row],[Tabel ID]])</f>
        <v>1</v>
      </c>
    </row>
    <row r="711" spans="1:8" x14ac:dyDescent="0.2">
      <c r="A711">
        <f>ROW(LineærRegression_Valg[[#This Row],[Tabel ID]])-ROW(LineærRegression_Valg[[#Headers],[Tabel ID]])</f>
        <v>701</v>
      </c>
      <c r="B711" s="188">
        <f>ROUNDDOWN((LineærRegression_Valg[[#This Row],[Tabel ID]]-1)/$B$5,0)+1</f>
        <v>176</v>
      </c>
      <c r="C711" s="188">
        <f t="shared" si="10"/>
        <v>1</v>
      </c>
      <c r="D711" s="188" t="b">
        <f>LineærRegression_Valg[[#This Row],[Afhængig variabel ID]]&lt;&gt;LineærRegression_Valg[[#This Row],[Uafhængig variabel ID]]</f>
        <v>1</v>
      </c>
      <c r="E711" t="b">
        <f>LineærRegression_Valg[[#This Row],[Afhængig variabel ID]]&lt;=$B$5</f>
        <v>0</v>
      </c>
      <c r="F711" t="str" cm="1">
        <f t="array" ref="F711">IF(LineærRegression_Valg[[#This Row],[Indenfor range]],INDEX(DataTitel_liste,LineærRegression_Valg[[#This Row],[Afhængig variabel ID]]),INDEX(DataTitel_liste,1))</f>
        <v>Eksempel 1 (interval)</v>
      </c>
      <c r="G711" s="188" t="str" cm="1">
        <f t="array" ref="G711">IF(LineærRegression_Valg[[#This Row],[Indenfor range]],IF(LineærRegression_Valg[[#This Row],[Intet overlap]],INDEX(DataTitel_liste,LineærRegression_Valg[[#This Row],[Uafhængig variabel ID]]),INDEX(DataTitel_liste,IF(LineærRegression_Valg[[#This Row],[Afhængig variabel ID]]=1,2,1))),$B$7)</f>
        <v>Eksempel 2 (interval)</v>
      </c>
      <c r="H711" s="188">
        <f>_xlfn.AGGREGATE(2,5,LineærRegression_Valg[[#This Row],[Tabel ID]])</f>
        <v>1</v>
      </c>
    </row>
    <row r="712" spans="1:8" x14ac:dyDescent="0.2">
      <c r="A712">
        <f>ROW(LineærRegression_Valg[[#This Row],[Tabel ID]])-ROW(LineærRegression_Valg[[#Headers],[Tabel ID]])</f>
        <v>702</v>
      </c>
      <c r="B712" s="188">
        <f>ROUNDDOWN((LineærRegression_Valg[[#This Row],[Tabel ID]]-1)/$B$5,0)+1</f>
        <v>176</v>
      </c>
      <c r="C712" s="188">
        <f t="shared" si="10"/>
        <v>2</v>
      </c>
      <c r="D712" s="188" t="b">
        <f>LineærRegression_Valg[[#This Row],[Afhængig variabel ID]]&lt;&gt;LineærRegression_Valg[[#This Row],[Uafhængig variabel ID]]</f>
        <v>1</v>
      </c>
      <c r="E712" t="b">
        <f>LineærRegression_Valg[[#This Row],[Afhængig variabel ID]]&lt;=$B$5</f>
        <v>0</v>
      </c>
      <c r="F712" t="str" cm="1">
        <f t="array" ref="F712">IF(LineærRegression_Valg[[#This Row],[Indenfor range]],INDEX(DataTitel_liste,LineærRegression_Valg[[#This Row],[Afhængig variabel ID]]),INDEX(DataTitel_liste,1))</f>
        <v>Eksempel 1 (interval)</v>
      </c>
      <c r="G712" s="188" t="str" cm="1">
        <f t="array" ref="G712">IF(LineærRegression_Valg[[#This Row],[Indenfor range]],IF(LineærRegression_Valg[[#This Row],[Intet overlap]],INDEX(DataTitel_liste,LineærRegression_Valg[[#This Row],[Uafhængig variabel ID]]),INDEX(DataTitel_liste,IF(LineærRegression_Valg[[#This Row],[Afhængig variabel ID]]=1,2,1))),$B$7)</f>
        <v>Eksempel 2 (interval)</v>
      </c>
      <c r="H712" s="188">
        <f>_xlfn.AGGREGATE(2,5,LineærRegression_Valg[[#This Row],[Tabel ID]])</f>
        <v>1</v>
      </c>
    </row>
    <row r="713" spans="1:8" x14ac:dyDescent="0.2">
      <c r="A713">
        <f>ROW(LineærRegression_Valg[[#This Row],[Tabel ID]])-ROW(LineærRegression_Valg[[#Headers],[Tabel ID]])</f>
        <v>703</v>
      </c>
      <c r="B713" s="188">
        <f>ROUNDDOWN((LineærRegression_Valg[[#This Row],[Tabel ID]]-1)/$B$5,0)+1</f>
        <v>176</v>
      </c>
      <c r="C713" s="188">
        <f t="shared" si="10"/>
        <v>3</v>
      </c>
      <c r="D713" s="188" t="b">
        <f>LineærRegression_Valg[[#This Row],[Afhængig variabel ID]]&lt;&gt;LineærRegression_Valg[[#This Row],[Uafhængig variabel ID]]</f>
        <v>1</v>
      </c>
      <c r="E713" t="b">
        <f>LineærRegression_Valg[[#This Row],[Afhængig variabel ID]]&lt;=$B$5</f>
        <v>0</v>
      </c>
      <c r="F713" t="str" cm="1">
        <f t="array" ref="F713">IF(LineærRegression_Valg[[#This Row],[Indenfor range]],INDEX(DataTitel_liste,LineærRegression_Valg[[#This Row],[Afhængig variabel ID]]),INDEX(DataTitel_liste,1))</f>
        <v>Eksempel 1 (interval)</v>
      </c>
      <c r="G713" s="188" t="str" cm="1">
        <f t="array" ref="G713">IF(LineærRegression_Valg[[#This Row],[Indenfor range]],IF(LineærRegression_Valg[[#This Row],[Intet overlap]],INDEX(DataTitel_liste,LineærRegression_Valg[[#This Row],[Uafhængig variabel ID]]),INDEX(DataTitel_liste,IF(LineærRegression_Valg[[#This Row],[Afhængig variabel ID]]=1,2,1))),$B$7)</f>
        <v>Eksempel 2 (interval)</v>
      </c>
      <c r="H713" s="188">
        <f>_xlfn.AGGREGATE(2,5,LineærRegression_Valg[[#This Row],[Tabel ID]])</f>
        <v>1</v>
      </c>
    </row>
    <row r="714" spans="1:8" x14ac:dyDescent="0.2">
      <c r="A714">
        <f>ROW(LineærRegression_Valg[[#This Row],[Tabel ID]])-ROW(LineærRegression_Valg[[#Headers],[Tabel ID]])</f>
        <v>704</v>
      </c>
      <c r="B714" s="188">
        <f>ROUNDDOWN((LineærRegression_Valg[[#This Row],[Tabel ID]]-1)/$B$5,0)+1</f>
        <v>176</v>
      </c>
      <c r="C714" s="188">
        <f t="shared" si="10"/>
        <v>4</v>
      </c>
      <c r="D714" s="188" t="b">
        <f>LineærRegression_Valg[[#This Row],[Afhængig variabel ID]]&lt;&gt;LineærRegression_Valg[[#This Row],[Uafhængig variabel ID]]</f>
        <v>1</v>
      </c>
      <c r="E714" t="b">
        <f>LineærRegression_Valg[[#This Row],[Afhængig variabel ID]]&lt;=$B$5</f>
        <v>0</v>
      </c>
      <c r="F714" t="str" cm="1">
        <f t="array" ref="F714">IF(LineærRegression_Valg[[#This Row],[Indenfor range]],INDEX(DataTitel_liste,LineærRegression_Valg[[#This Row],[Afhængig variabel ID]]),INDEX(DataTitel_liste,1))</f>
        <v>Eksempel 1 (interval)</v>
      </c>
      <c r="G714" s="188" t="str" cm="1">
        <f t="array" ref="G714">IF(LineærRegression_Valg[[#This Row],[Indenfor range]],IF(LineærRegression_Valg[[#This Row],[Intet overlap]],INDEX(DataTitel_liste,LineærRegression_Valg[[#This Row],[Uafhængig variabel ID]]),INDEX(DataTitel_liste,IF(LineærRegression_Valg[[#This Row],[Afhængig variabel ID]]=1,2,1))),$B$7)</f>
        <v>Eksempel 2 (interval)</v>
      </c>
      <c r="H714" s="188">
        <f>_xlfn.AGGREGATE(2,5,LineærRegression_Valg[[#This Row],[Tabel ID]])</f>
        <v>1</v>
      </c>
    </row>
    <row r="715" spans="1:8" x14ac:dyDescent="0.2">
      <c r="A715">
        <f>ROW(LineærRegression_Valg[[#This Row],[Tabel ID]])-ROW(LineærRegression_Valg[[#Headers],[Tabel ID]])</f>
        <v>705</v>
      </c>
      <c r="B715" s="188">
        <f>ROUNDDOWN((LineærRegression_Valg[[#This Row],[Tabel ID]]-1)/$B$5,0)+1</f>
        <v>177</v>
      </c>
      <c r="C715" s="188">
        <f t="shared" ref="C715:C778" si="11">MOD(A715-1,$B$5)+1</f>
        <v>1</v>
      </c>
      <c r="D715" s="188" t="b">
        <f>LineærRegression_Valg[[#This Row],[Afhængig variabel ID]]&lt;&gt;LineærRegression_Valg[[#This Row],[Uafhængig variabel ID]]</f>
        <v>1</v>
      </c>
      <c r="E715" t="b">
        <f>LineærRegression_Valg[[#This Row],[Afhængig variabel ID]]&lt;=$B$5</f>
        <v>0</v>
      </c>
      <c r="F715" t="str" cm="1">
        <f t="array" ref="F715">IF(LineærRegression_Valg[[#This Row],[Indenfor range]],INDEX(DataTitel_liste,LineærRegression_Valg[[#This Row],[Afhængig variabel ID]]),INDEX(DataTitel_liste,1))</f>
        <v>Eksempel 1 (interval)</v>
      </c>
      <c r="G715" s="188" t="str" cm="1">
        <f t="array" ref="G715">IF(LineærRegression_Valg[[#This Row],[Indenfor range]],IF(LineærRegression_Valg[[#This Row],[Intet overlap]],INDEX(DataTitel_liste,LineærRegression_Valg[[#This Row],[Uafhængig variabel ID]]),INDEX(DataTitel_liste,IF(LineærRegression_Valg[[#This Row],[Afhængig variabel ID]]=1,2,1))),$B$7)</f>
        <v>Eksempel 2 (interval)</v>
      </c>
      <c r="H715" s="188">
        <f>_xlfn.AGGREGATE(2,5,LineærRegression_Valg[[#This Row],[Tabel ID]])</f>
        <v>1</v>
      </c>
    </row>
    <row r="716" spans="1:8" x14ac:dyDescent="0.2">
      <c r="A716">
        <f>ROW(LineærRegression_Valg[[#This Row],[Tabel ID]])-ROW(LineærRegression_Valg[[#Headers],[Tabel ID]])</f>
        <v>706</v>
      </c>
      <c r="B716" s="188">
        <f>ROUNDDOWN((LineærRegression_Valg[[#This Row],[Tabel ID]]-1)/$B$5,0)+1</f>
        <v>177</v>
      </c>
      <c r="C716" s="188">
        <f t="shared" si="11"/>
        <v>2</v>
      </c>
      <c r="D716" s="188" t="b">
        <f>LineærRegression_Valg[[#This Row],[Afhængig variabel ID]]&lt;&gt;LineærRegression_Valg[[#This Row],[Uafhængig variabel ID]]</f>
        <v>1</v>
      </c>
      <c r="E716" t="b">
        <f>LineærRegression_Valg[[#This Row],[Afhængig variabel ID]]&lt;=$B$5</f>
        <v>0</v>
      </c>
      <c r="F716" t="str" cm="1">
        <f t="array" ref="F716">IF(LineærRegression_Valg[[#This Row],[Indenfor range]],INDEX(DataTitel_liste,LineærRegression_Valg[[#This Row],[Afhængig variabel ID]]),INDEX(DataTitel_liste,1))</f>
        <v>Eksempel 1 (interval)</v>
      </c>
      <c r="G716" s="188" t="str" cm="1">
        <f t="array" ref="G716">IF(LineærRegression_Valg[[#This Row],[Indenfor range]],IF(LineærRegression_Valg[[#This Row],[Intet overlap]],INDEX(DataTitel_liste,LineærRegression_Valg[[#This Row],[Uafhængig variabel ID]]),INDEX(DataTitel_liste,IF(LineærRegression_Valg[[#This Row],[Afhængig variabel ID]]=1,2,1))),$B$7)</f>
        <v>Eksempel 2 (interval)</v>
      </c>
      <c r="H716" s="188">
        <f>_xlfn.AGGREGATE(2,5,LineærRegression_Valg[[#This Row],[Tabel ID]])</f>
        <v>1</v>
      </c>
    </row>
    <row r="717" spans="1:8" x14ac:dyDescent="0.2">
      <c r="A717">
        <f>ROW(LineærRegression_Valg[[#This Row],[Tabel ID]])-ROW(LineærRegression_Valg[[#Headers],[Tabel ID]])</f>
        <v>707</v>
      </c>
      <c r="B717" s="188">
        <f>ROUNDDOWN((LineærRegression_Valg[[#This Row],[Tabel ID]]-1)/$B$5,0)+1</f>
        <v>177</v>
      </c>
      <c r="C717" s="188">
        <f t="shared" si="11"/>
        <v>3</v>
      </c>
      <c r="D717" s="188" t="b">
        <f>LineærRegression_Valg[[#This Row],[Afhængig variabel ID]]&lt;&gt;LineærRegression_Valg[[#This Row],[Uafhængig variabel ID]]</f>
        <v>1</v>
      </c>
      <c r="E717" t="b">
        <f>LineærRegression_Valg[[#This Row],[Afhængig variabel ID]]&lt;=$B$5</f>
        <v>0</v>
      </c>
      <c r="F717" t="str" cm="1">
        <f t="array" ref="F717">IF(LineærRegression_Valg[[#This Row],[Indenfor range]],INDEX(DataTitel_liste,LineærRegression_Valg[[#This Row],[Afhængig variabel ID]]),INDEX(DataTitel_liste,1))</f>
        <v>Eksempel 1 (interval)</v>
      </c>
      <c r="G717" s="188" t="str" cm="1">
        <f t="array" ref="G717">IF(LineærRegression_Valg[[#This Row],[Indenfor range]],IF(LineærRegression_Valg[[#This Row],[Intet overlap]],INDEX(DataTitel_liste,LineærRegression_Valg[[#This Row],[Uafhængig variabel ID]]),INDEX(DataTitel_liste,IF(LineærRegression_Valg[[#This Row],[Afhængig variabel ID]]=1,2,1))),$B$7)</f>
        <v>Eksempel 2 (interval)</v>
      </c>
      <c r="H717" s="188">
        <f>_xlfn.AGGREGATE(2,5,LineærRegression_Valg[[#This Row],[Tabel ID]])</f>
        <v>1</v>
      </c>
    </row>
    <row r="718" spans="1:8" x14ac:dyDescent="0.2">
      <c r="A718">
        <f>ROW(LineærRegression_Valg[[#This Row],[Tabel ID]])-ROW(LineærRegression_Valg[[#Headers],[Tabel ID]])</f>
        <v>708</v>
      </c>
      <c r="B718" s="188">
        <f>ROUNDDOWN((LineærRegression_Valg[[#This Row],[Tabel ID]]-1)/$B$5,0)+1</f>
        <v>177</v>
      </c>
      <c r="C718" s="188">
        <f t="shared" si="11"/>
        <v>4</v>
      </c>
      <c r="D718" s="188" t="b">
        <f>LineærRegression_Valg[[#This Row],[Afhængig variabel ID]]&lt;&gt;LineærRegression_Valg[[#This Row],[Uafhængig variabel ID]]</f>
        <v>1</v>
      </c>
      <c r="E718" t="b">
        <f>LineærRegression_Valg[[#This Row],[Afhængig variabel ID]]&lt;=$B$5</f>
        <v>0</v>
      </c>
      <c r="F718" t="str" cm="1">
        <f t="array" ref="F718">IF(LineærRegression_Valg[[#This Row],[Indenfor range]],INDEX(DataTitel_liste,LineærRegression_Valg[[#This Row],[Afhængig variabel ID]]),INDEX(DataTitel_liste,1))</f>
        <v>Eksempel 1 (interval)</v>
      </c>
      <c r="G718" s="188" t="str" cm="1">
        <f t="array" ref="G718">IF(LineærRegression_Valg[[#This Row],[Indenfor range]],IF(LineærRegression_Valg[[#This Row],[Intet overlap]],INDEX(DataTitel_liste,LineærRegression_Valg[[#This Row],[Uafhængig variabel ID]]),INDEX(DataTitel_liste,IF(LineærRegression_Valg[[#This Row],[Afhængig variabel ID]]=1,2,1))),$B$7)</f>
        <v>Eksempel 2 (interval)</v>
      </c>
      <c r="H718" s="188">
        <f>_xlfn.AGGREGATE(2,5,LineærRegression_Valg[[#This Row],[Tabel ID]])</f>
        <v>1</v>
      </c>
    </row>
    <row r="719" spans="1:8" x14ac:dyDescent="0.2">
      <c r="A719">
        <f>ROW(LineærRegression_Valg[[#This Row],[Tabel ID]])-ROW(LineærRegression_Valg[[#Headers],[Tabel ID]])</f>
        <v>709</v>
      </c>
      <c r="B719" s="188">
        <f>ROUNDDOWN((LineærRegression_Valg[[#This Row],[Tabel ID]]-1)/$B$5,0)+1</f>
        <v>178</v>
      </c>
      <c r="C719" s="188">
        <f t="shared" si="11"/>
        <v>1</v>
      </c>
      <c r="D719" s="188" t="b">
        <f>LineærRegression_Valg[[#This Row],[Afhængig variabel ID]]&lt;&gt;LineærRegression_Valg[[#This Row],[Uafhængig variabel ID]]</f>
        <v>1</v>
      </c>
      <c r="E719" t="b">
        <f>LineærRegression_Valg[[#This Row],[Afhængig variabel ID]]&lt;=$B$5</f>
        <v>0</v>
      </c>
      <c r="F719" t="str" cm="1">
        <f t="array" ref="F719">IF(LineærRegression_Valg[[#This Row],[Indenfor range]],INDEX(DataTitel_liste,LineærRegression_Valg[[#This Row],[Afhængig variabel ID]]),INDEX(DataTitel_liste,1))</f>
        <v>Eksempel 1 (interval)</v>
      </c>
      <c r="G719" s="188" t="str" cm="1">
        <f t="array" ref="G719">IF(LineærRegression_Valg[[#This Row],[Indenfor range]],IF(LineærRegression_Valg[[#This Row],[Intet overlap]],INDEX(DataTitel_liste,LineærRegression_Valg[[#This Row],[Uafhængig variabel ID]]),INDEX(DataTitel_liste,IF(LineærRegression_Valg[[#This Row],[Afhængig variabel ID]]=1,2,1))),$B$7)</f>
        <v>Eksempel 2 (interval)</v>
      </c>
      <c r="H719" s="188">
        <f>_xlfn.AGGREGATE(2,5,LineærRegression_Valg[[#This Row],[Tabel ID]])</f>
        <v>1</v>
      </c>
    </row>
    <row r="720" spans="1:8" x14ac:dyDescent="0.2">
      <c r="A720">
        <f>ROW(LineærRegression_Valg[[#This Row],[Tabel ID]])-ROW(LineærRegression_Valg[[#Headers],[Tabel ID]])</f>
        <v>710</v>
      </c>
      <c r="B720" s="188">
        <f>ROUNDDOWN((LineærRegression_Valg[[#This Row],[Tabel ID]]-1)/$B$5,0)+1</f>
        <v>178</v>
      </c>
      <c r="C720" s="188">
        <f t="shared" si="11"/>
        <v>2</v>
      </c>
      <c r="D720" s="188" t="b">
        <f>LineærRegression_Valg[[#This Row],[Afhængig variabel ID]]&lt;&gt;LineærRegression_Valg[[#This Row],[Uafhængig variabel ID]]</f>
        <v>1</v>
      </c>
      <c r="E720" t="b">
        <f>LineærRegression_Valg[[#This Row],[Afhængig variabel ID]]&lt;=$B$5</f>
        <v>0</v>
      </c>
      <c r="F720" t="str" cm="1">
        <f t="array" ref="F720">IF(LineærRegression_Valg[[#This Row],[Indenfor range]],INDEX(DataTitel_liste,LineærRegression_Valg[[#This Row],[Afhængig variabel ID]]),INDEX(DataTitel_liste,1))</f>
        <v>Eksempel 1 (interval)</v>
      </c>
      <c r="G720" s="188" t="str" cm="1">
        <f t="array" ref="G720">IF(LineærRegression_Valg[[#This Row],[Indenfor range]],IF(LineærRegression_Valg[[#This Row],[Intet overlap]],INDEX(DataTitel_liste,LineærRegression_Valg[[#This Row],[Uafhængig variabel ID]]),INDEX(DataTitel_liste,IF(LineærRegression_Valg[[#This Row],[Afhængig variabel ID]]=1,2,1))),$B$7)</f>
        <v>Eksempel 2 (interval)</v>
      </c>
      <c r="H720" s="188">
        <f>_xlfn.AGGREGATE(2,5,LineærRegression_Valg[[#This Row],[Tabel ID]])</f>
        <v>1</v>
      </c>
    </row>
    <row r="721" spans="1:8" x14ac:dyDescent="0.2">
      <c r="A721">
        <f>ROW(LineærRegression_Valg[[#This Row],[Tabel ID]])-ROW(LineærRegression_Valg[[#Headers],[Tabel ID]])</f>
        <v>711</v>
      </c>
      <c r="B721" s="188">
        <f>ROUNDDOWN((LineærRegression_Valg[[#This Row],[Tabel ID]]-1)/$B$5,0)+1</f>
        <v>178</v>
      </c>
      <c r="C721" s="188">
        <f t="shared" si="11"/>
        <v>3</v>
      </c>
      <c r="D721" s="188" t="b">
        <f>LineærRegression_Valg[[#This Row],[Afhængig variabel ID]]&lt;&gt;LineærRegression_Valg[[#This Row],[Uafhængig variabel ID]]</f>
        <v>1</v>
      </c>
      <c r="E721" t="b">
        <f>LineærRegression_Valg[[#This Row],[Afhængig variabel ID]]&lt;=$B$5</f>
        <v>0</v>
      </c>
      <c r="F721" t="str" cm="1">
        <f t="array" ref="F721">IF(LineærRegression_Valg[[#This Row],[Indenfor range]],INDEX(DataTitel_liste,LineærRegression_Valg[[#This Row],[Afhængig variabel ID]]),INDEX(DataTitel_liste,1))</f>
        <v>Eksempel 1 (interval)</v>
      </c>
      <c r="G721" s="188" t="str" cm="1">
        <f t="array" ref="G721">IF(LineærRegression_Valg[[#This Row],[Indenfor range]],IF(LineærRegression_Valg[[#This Row],[Intet overlap]],INDEX(DataTitel_liste,LineærRegression_Valg[[#This Row],[Uafhængig variabel ID]]),INDEX(DataTitel_liste,IF(LineærRegression_Valg[[#This Row],[Afhængig variabel ID]]=1,2,1))),$B$7)</f>
        <v>Eksempel 2 (interval)</v>
      </c>
      <c r="H721" s="188">
        <f>_xlfn.AGGREGATE(2,5,LineærRegression_Valg[[#This Row],[Tabel ID]])</f>
        <v>1</v>
      </c>
    </row>
    <row r="722" spans="1:8" x14ac:dyDescent="0.2">
      <c r="A722">
        <f>ROW(LineærRegression_Valg[[#This Row],[Tabel ID]])-ROW(LineærRegression_Valg[[#Headers],[Tabel ID]])</f>
        <v>712</v>
      </c>
      <c r="B722" s="188">
        <f>ROUNDDOWN((LineærRegression_Valg[[#This Row],[Tabel ID]]-1)/$B$5,0)+1</f>
        <v>178</v>
      </c>
      <c r="C722" s="188">
        <f t="shared" si="11"/>
        <v>4</v>
      </c>
      <c r="D722" s="188" t="b">
        <f>LineærRegression_Valg[[#This Row],[Afhængig variabel ID]]&lt;&gt;LineærRegression_Valg[[#This Row],[Uafhængig variabel ID]]</f>
        <v>1</v>
      </c>
      <c r="E722" t="b">
        <f>LineærRegression_Valg[[#This Row],[Afhængig variabel ID]]&lt;=$B$5</f>
        <v>0</v>
      </c>
      <c r="F722" t="str" cm="1">
        <f t="array" ref="F722">IF(LineærRegression_Valg[[#This Row],[Indenfor range]],INDEX(DataTitel_liste,LineærRegression_Valg[[#This Row],[Afhængig variabel ID]]),INDEX(DataTitel_liste,1))</f>
        <v>Eksempel 1 (interval)</v>
      </c>
      <c r="G722" s="188" t="str" cm="1">
        <f t="array" ref="G722">IF(LineærRegression_Valg[[#This Row],[Indenfor range]],IF(LineærRegression_Valg[[#This Row],[Intet overlap]],INDEX(DataTitel_liste,LineærRegression_Valg[[#This Row],[Uafhængig variabel ID]]),INDEX(DataTitel_liste,IF(LineærRegression_Valg[[#This Row],[Afhængig variabel ID]]=1,2,1))),$B$7)</f>
        <v>Eksempel 2 (interval)</v>
      </c>
      <c r="H722" s="188">
        <f>_xlfn.AGGREGATE(2,5,LineærRegression_Valg[[#This Row],[Tabel ID]])</f>
        <v>1</v>
      </c>
    </row>
    <row r="723" spans="1:8" x14ac:dyDescent="0.2">
      <c r="A723">
        <f>ROW(LineærRegression_Valg[[#This Row],[Tabel ID]])-ROW(LineærRegression_Valg[[#Headers],[Tabel ID]])</f>
        <v>713</v>
      </c>
      <c r="B723" s="188">
        <f>ROUNDDOWN((LineærRegression_Valg[[#This Row],[Tabel ID]]-1)/$B$5,0)+1</f>
        <v>179</v>
      </c>
      <c r="C723" s="188">
        <f t="shared" si="11"/>
        <v>1</v>
      </c>
      <c r="D723" s="188" t="b">
        <f>LineærRegression_Valg[[#This Row],[Afhængig variabel ID]]&lt;&gt;LineærRegression_Valg[[#This Row],[Uafhængig variabel ID]]</f>
        <v>1</v>
      </c>
      <c r="E723" t="b">
        <f>LineærRegression_Valg[[#This Row],[Afhængig variabel ID]]&lt;=$B$5</f>
        <v>0</v>
      </c>
      <c r="F723" t="str" cm="1">
        <f t="array" ref="F723">IF(LineærRegression_Valg[[#This Row],[Indenfor range]],INDEX(DataTitel_liste,LineærRegression_Valg[[#This Row],[Afhængig variabel ID]]),INDEX(DataTitel_liste,1))</f>
        <v>Eksempel 1 (interval)</v>
      </c>
      <c r="G723" s="188" t="str" cm="1">
        <f t="array" ref="G723">IF(LineærRegression_Valg[[#This Row],[Indenfor range]],IF(LineærRegression_Valg[[#This Row],[Intet overlap]],INDEX(DataTitel_liste,LineærRegression_Valg[[#This Row],[Uafhængig variabel ID]]),INDEX(DataTitel_liste,IF(LineærRegression_Valg[[#This Row],[Afhængig variabel ID]]=1,2,1))),$B$7)</f>
        <v>Eksempel 2 (interval)</v>
      </c>
      <c r="H723" s="188">
        <f>_xlfn.AGGREGATE(2,5,LineærRegression_Valg[[#This Row],[Tabel ID]])</f>
        <v>1</v>
      </c>
    </row>
    <row r="724" spans="1:8" x14ac:dyDescent="0.2">
      <c r="A724">
        <f>ROW(LineærRegression_Valg[[#This Row],[Tabel ID]])-ROW(LineærRegression_Valg[[#Headers],[Tabel ID]])</f>
        <v>714</v>
      </c>
      <c r="B724" s="188">
        <f>ROUNDDOWN((LineærRegression_Valg[[#This Row],[Tabel ID]]-1)/$B$5,0)+1</f>
        <v>179</v>
      </c>
      <c r="C724" s="188">
        <f t="shared" si="11"/>
        <v>2</v>
      </c>
      <c r="D724" s="188" t="b">
        <f>LineærRegression_Valg[[#This Row],[Afhængig variabel ID]]&lt;&gt;LineærRegression_Valg[[#This Row],[Uafhængig variabel ID]]</f>
        <v>1</v>
      </c>
      <c r="E724" t="b">
        <f>LineærRegression_Valg[[#This Row],[Afhængig variabel ID]]&lt;=$B$5</f>
        <v>0</v>
      </c>
      <c r="F724" t="str" cm="1">
        <f t="array" ref="F724">IF(LineærRegression_Valg[[#This Row],[Indenfor range]],INDEX(DataTitel_liste,LineærRegression_Valg[[#This Row],[Afhængig variabel ID]]),INDEX(DataTitel_liste,1))</f>
        <v>Eksempel 1 (interval)</v>
      </c>
      <c r="G724" s="188" t="str" cm="1">
        <f t="array" ref="G724">IF(LineærRegression_Valg[[#This Row],[Indenfor range]],IF(LineærRegression_Valg[[#This Row],[Intet overlap]],INDEX(DataTitel_liste,LineærRegression_Valg[[#This Row],[Uafhængig variabel ID]]),INDEX(DataTitel_liste,IF(LineærRegression_Valg[[#This Row],[Afhængig variabel ID]]=1,2,1))),$B$7)</f>
        <v>Eksempel 2 (interval)</v>
      </c>
      <c r="H724" s="188">
        <f>_xlfn.AGGREGATE(2,5,LineærRegression_Valg[[#This Row],[Tabel ID]])</f>
        <v>1</v>
      </c>
    </row>
    <row r="725" spans="1:8" x14ac:dyDescent="0.2">
      <c r="A725">
        <f>ROW(LineærRegression_Valg[[#This Row],[Tabel ID]])-ROW(LineærRegression_Valg[[#Headers],[Tabel ID]])</f>
        <v>715</v>
      </c>
      <c r="B725" s="188">
        <f>ROUNDDOWN((LineærRegression_Valg[[#This Row],[Tabel ID]]-1)/$B$5,0)+1</f>
        <v>179</v>
      </c>
      <c r="C725" s="188">
        <f t="shared" si="11"/>
        <v>3</v>
      </c>
      <c r="D725" s="188" t="b">
        <f>LineærRegression_Valg[[#This Row],[Afhængig variabel ID]]&lt;&gt;LineærRegression_Valg[[#This Row],[Uafhængig variabel ID]]</f>
        <v>1</v>
      </c>
      <c r="E725" t="b">
        <f>LineærRegression_Valg[[#This Row],[Afhængig variabel ID]]&lt;=$B$5</f>
        <v>0</v>
      </c>
      <c r="F725" t="str" cm="1">
        <f t="array" ref="F725">IF(LineærRegression_Valg[[#This Row],[Indenfor range]],INDEX(DataTitel_liste,LineærRegression_Valg[[#This Row],[Afhængig variabel ID]]),INDEX(DataTitel_liste,1))</f>
        <v>Eksempel 1 (interval)</v>
      </c>
      <c r="G725" s="188" t="str" cm="1">
        <f t="array" ref="G725">IF(LineærRegression_Valg[[#This Row],[Indenfor range]],IF(LineærRegression_Valg[[#This Row],[Intet overlap]],INDEX(DataTitel_liste,LineærRegression_Valg[[#This Row],[Uafhængig variabel ID]]),INDEX(DataTitel_liste,IF(LineærRegression_Valg[[#This Row],[Afhængig variabel ID]]=1,2,1))),$B$7)</f>
        <v>Eksempel 2 (interval)</v>
      </c>
      <c r="H725" s="188">
        <f>_xlfn.AGGREGATE(2,5,LineærRegression_Valg[[#This Row],[Tabel ID]])</f>
        <v>1</v>
      </c>
    </row>
    <row r="726" spans="1:8" x14ac:dyDescent="0.2">
      <c r="A726">
        <f>ROW(LineærRegression_Valg[[#This Row],[Tabel ID]])-ROW(LineærRegression_Valg[[#Headers],[Tabel ID]])</f>
        <v>716</v>
      </c>
      <c r="B726" s="188">
        <f>ROUNDDOWN((LineærRegression_Valg[[#This Row],[Tabel ID]]-1)/$B$5,0)+1</f>
        <v>179</v>
      </c>
      <c r="C726" s="188">
        <f t="shared" si="11"/>
        <v>4</v>
      </c>
      <c r="D726" s="188" t="b">
        <f>LineærRegression_Valg[[#This Row],[Afhængig variabel ID]]&lt;&gt;LineærRegression_Valg[[#This Row],[Uafhængig variabel ID]]</f>
        <v>1</v>
      </c>
      <c r="E726" t="b">
        <f>LineærRegression_Valg[[#This Row],[Afhængig variabel ID]]&lt;=$B$5</f>
        <v>0</v>
      </c>
      <c r="F726" t="str" cm="1">
        <f t="array" ref="F726">IF(LineærRegression_Valg[[#This Row],[Indenfor range]],INDEX(DataTitel_liste,LineærRegression_Valg[[#This Row],[Afhængig variabel ID]]),INDEX(DataTitel_liste,1))</f>
        <v>Eksempel 1 (interval)</v>
      </c>
      <c r="G726" s="188" t="str" cm="1">
        <f t="array" ref="G726">IF(LineærRegression_Valg[[#This Row],[Indenfor range]],IF(LineærRegression_Valg[[#This Row],[Intet overlap]],INDEX(DataTitel_liste,LineærRegression_Valg[[#This Row],[Uafhængig variabel ID]]),INDEX(DataTitel_liste,IF(LineærRegression_Valg[[#This Row],[Afhængig variabel ID]]=1,2,1))),$B$7)</f>
        <v>Eksempel 2 (interval)</v>
      </c>
      <c r="H726" s="188">
        <f>_xlfn.AGGREGATE(2,5,LineærRegression_Valg[[#This Row],[Tabel ID]])</f>
        <v>1</v>
      </c>
    </row>
    <row r="727" spans="1:8" x14ac:dyDescent="0.2">
      <c r="A727">
        <f>ROW(LineærRegression_Valg[[#This Row],[Tabel ID]])-ROW(LineærRegression_Valg[[#Headers],[Tabel ID]])</f>
        <v>717</v>
      </c>
      <c r="B727" s="188">
        <f>ROUNDDOWN((LineærRegression_Valg[[#This Row],[Tabel ID]]-1)/$B$5,0)+1</f>
        <v>180</v>
      </c>
      <c r="C727" s="188">
        <f t="shared" si="11"/>
        <v>1</v>
      </c>
      <c r="D727" s="188" t="b">
        <f>LineærRegression_Valg[[#This Row],[Afhængig variabel ID]]&lt;&gt;LineærRegression_Valg[[#This Row],[Uafhængig variabel ID]]</f>
        <v>1</v>
      </c>
      <c r="E727" t="b">
        <f>LineærRegression_Valg[[#This Row],[Afhængig variabel ID]]&lt;=$B$5</f>
        <v>0</v>
      </c>
      <c r="F727" t="str" cm="1">
        <f t="array" ref="F727">IF(LineærRegression_Valg[[#This Row],[Indenfor range]],INDEX(DataTitel_liste,LineærRegression_Valg[[#This Row],[Afhængig variabel ID]]),INDEX(DataTitel_liste,1))</f>
        <v>Eksempel 1 (interval)</v>
      </c>
      <c r="G727" s="188" t="str" cm="1">
        <f t="array" ref="G727">IF(LineærRegression_Valg[[#This Row],[Indenfor range]],IF(LineærRegression_Valg[[#This Row],[Intet overlap]],INDEX(DataTitel_liste,LineærRegression_Valg[[#This Row],[Uafhængig variabel ID]]),INDEX(DataTitel_liste,IF(LineærRegression_Valg[[#This Row],[Afhængig variabel ID]]=1,2,1))),$B$7)</f>
        <v>Eksempel 2 (interval)</v>
      </c>
      <c r="H727" s="188">
        <f>_xlfn.AGGREGATE(2,5,LineærRegression_Valg[[#This Row],[Tabel ID]])</f>
        <v>1</v>
      </c>
    </row>
    <row r="728" spans="1:8" x14ac:dyDescent="0.2">
      <c r="A728">
        <f>ROW(LineærRegression_Valg[[#This Row],[Tabel ID]])-ROW(LineærRegression_Valg[[#Headers],[Tabel ID]])</f>
        <v>718</v>
      </c>
      <c r="B728" s="188">
        <f>ROUNDDOWN((LineærRegression_Valg[[#This Row],[Tabel ID]]-1)/$B$5,0)+1</f>
        <v>180</v>
      </c>
      <c r="C728" s="188">
        <f t="shared" si="11"/>
        <v>2</v>
      </c>
      <c r="D728" s="188" t="b">
        <f>LineærRegression_Valg[[#This Row],[Afhængig variabel ID]]&lt;&gt;LineærRegression_Valg[[#This Row],[Uafhængig variabel ID]]</f>
        <v>1</v>
      </c>
      <c r="E728" t="b">
        <f>LineærRegression_Valg[[#This Row],[Afhængig variabel ID]]&lt;=$B$5</f>
        <v>0</v>
      </c>
      <c r="F728" t="str" cm="1">
        <f t="array" ref="F728">IF(LineærRegression_Valg[[#This Row],[Indenfor range]],INDEX(DataTitel_liste,LineærRegression_Valg[[#This Row],[Afhængig variabel ID]]),INDEX(DataTitel_liste,1))</f>
        <v>Eksempel 1 (interval)</v>
      </c>
      <c r="G728" s="188" t="str" cm="1">
        <f t="array" ref="G728">IF(LineærRegression_Valg[[#This Row],[Indenfor range]],IF(LineærRegression_Valg[[#This Row],[Intet overlap]],INDEX(DataTitel_liste,LineærRegression_Valg[[#This Row],[Uafhængig variabel ID]]),INDEX(DataTitel_liste,IF(LineærRegression_Valg[[#This Row],[Afhængig variabel ID]]=1,2,1))),$B$7)</f>
        <v>Eksempel 2 (interval)</v>
      </c>
      <c r="H728" s="188">
        <f>_xlfn.AGGREGATE(2,5,LineærRegression_Valg[[#This Row],[Tabel ID]])</f>
        <v>1</v>
      </c>
    </row>
    <row r="729" spans="1:8" x14ac:dyDescent="0.2">
      <c r="A729">
        <f>ROW(LineærRegression_Valg[[#This Row],[Tabel ID]])-ROW(LineærRegression_Valg[[#Headers],[Tabel ID]])</f>
        <v>719</v>
      </c>
      <c r="B729" s="188">
        <f>ROUNDDOWN((LineærRegression_Valg[[#This Row],[Tabel ID]]-1)/$B$5,0)+1</f>
        <v>180</v>
      </c>
      <c r="C729" s="188">
        <f t="shared" si="11"/>
        <v>3</v>
      </c>
      <c r="D729" s="188" t="b">
        <f>LineærRegression_Valg[[#This Row],[Afhængig variabel ID]]&lt;&gt;LineærRegression_Valg[[#This Row],[Uafhængig variabel ID]]</f>
        <v>1</v>
      </c>
      <c r="E729" t="b">
        <f>LineærRegression_Valg[[#This Row],[Afhængig variabel ID]]&lt;=$B$5</f>
        <v>0</v>
      </c>
      <c r="F729" t="str" cm="1">
        <f t="array" ref="F729">IF(LineærRegression_Valg[[#This Row],[Indenfor range]],INDEX(DataTitel_liste,LineærRegression_Valg[[#This Row],[Afhængig variabel ID]]),INDEX(DataTitel_liste,1))</f>
        <v>Eksempel 1 (interval)</v>
      </c>
      <c r="G729" s="188" t="str" cm="1">
        <f t="array" ref="G729">IF(LineærRegression_Valg[[#This Row],[Indenfor range]],IF(LineærRegression_Valg[[#This Row],[Intet overlap]],INDEX(DataTitel_liste,LineærRegression_Valg[[#This Row],[Uafhængig variabel ID]]),INDEX(DataTitel_liste,IF(LineærRegression_Valg[[#This Row],[Afhængig variabel ID]]=1,2,1))),$B$7)</f>
        <v>Eksempel 2 (interval)</v>
      </c>
      <c r="H729" s="188">
        <f>_xlfn.AGGREGATE(2,5,LineærRegression_Valg[[#This Row],[Tabel ID]])</f>
        <v>1</v>
      </c>
    </row>
    <row r="730" spans="1:8" x14ac:dyDescent="0.2">
      <c r="A730">
        <f>ROW(LineærRegression_Valg[[#This Row],[Tabel ID]])-ROW(LineærRegression_Valg[[#Headers],[Tabel ID]])</f>
        <v>720</v>
      </c>
      <c r="B730" s="188">
        <f>ROUNDDOWN((LineærRegression_Valg[[#This Row],[Tabel ID]]-1)/$B$5,0)+1</f>
        <v>180</v>
      </c>
      <c r="C730" s="188">
        <f t="shared" si="11"/>
        <v>4</v>
      </c>
      <c r="D730" s="188" t="b">
        <f>LineærRegression_Valg[[#This Row],[Afhængig variabel ID]]&lt;&gt;LineærRegression_Valg[[#This Row],[Uafhængig variabel ID]]</f>
        <v>1</v>
      </c>
      <c r="E730" t="b">
        <f>LineærRegression_Valg[[#This Row],[Afhængig variabel ID]]&lt;=$B$5</f>
        <v>0</v>
      </c>
      <c r="F730" t="str" cm="1">
        <f t="array" ref="F730">IF(LineærRegression_Valg[[#This Row],[Indenfor range]],INDEX(DataTitel_liste,LineærRegression_Valg[[#This Row],[Afhængig variabel ID]]),INDEX(DataTitel_liste,1))</f>
        <v>Eksempel 1 (interval)</v>
      </c>
      <c r="G730" s="188" t="str" cm="1">
        <f t="array" ref="G730">IF(LineærRegression_Valg[[#This Row],[Indenfor range]],IF(LineærRegression_Valg[[#This Row],[Intet overlap]],INDEX(DataTitel_liste,LineærRegression_Valg[[#This Row],[Uafhængig variabel ID]]),INDEX(DataTitel_liste,IF(LineærRegression_Valg[[#This Row],[Afhængig variabel ID]]=1,2,1))),$B$7)</f>
        <v>Eksempel 2 (interval)</v>
      </c>
      <c r="H730" s="188">
        <f>_xlfn.AGGREGATE(2,5,LineærRegression_Valg[[#This Row],[Tabel ID]])</f>
        <v>1</v>
      </c>
    </row>
    <row r="731" spans="1:8" x14ac:dyDescent="0.2">
      <c r="A731">
        <f>ROW(LineærRegression_Valg[[#This Row],[Tabel ID]])-ROW(LineærRegression_Valg[[#Headers],[Tabel ID]])</f>
        <v>721</v>
      </c>
      <c r="B731" s="188">
        <f>ROUNDDOWN((LineærRegression_Valg[[#This Row],[Tabel ID]]-1)/$B$5,0)+1</f>
        <v>181</v>
      </c>
      <c r="C731" s="188">
        <f t="shared" si="11"/>
        <v>1</v>
      </c>
      <c r="D731" s="188" t="b">
        <f>LineærRegression_Valg[[#This Row],[Afhængig variabel ID]]&lt;&gt;LineærRegression_Valg[[#This Row],[Uafhængig variabel ID]]</f>
        <v>1</v>
      </c>
      <c r="E731" t="b">
        <f>LineærRegression_Valg[[#This Row],[Afhængig variabel ID]]&lt;=$B$5</f>
        <v>0</v>
      </c>
      <c r="F731" t="str" cm="1">
        <f t="array" ref="F731">IF(LineærRegression_Valg[[#This Row],[Indenfor range]],INDEX(DataTitel_liste,LineærRegression_Valg[[#This Row],[Afhængig variabel ID]]),INDEX(DataTitel_liste,1))</f>
        <v>Eksempel 1 (interval)</v>
      </c>
      <c r="G731" s="188" t="str" cm="1">
        <f t="array" ref="G731">IF(LineærRegression_Valg[[#This Row],[Indenfor range]],IF(LineærRegression_Valg[[#This Row],[Intet overlap]],INDEX(DataTitel_liste,LineærRegression_Valg[[#This Row],[Uafhængig variabel ID]]),INDEX(DataTitel_liste,IF(LineærRegression_Valg[[#This Row],[Afhængig variabel ID]]=1,2,1))),$B$7)</f>
        <v>Eksempel 2 (interval)</v>
      </c>
      <c r="H731" s="188">
        <f>_xlfn.AGGREGATE(2,5,LineærRegression_Valg[[#This Row],[Tabel ID]])</f>
        <v>1</v>
      </c>
    </row>
    <row r="732" spans="1:8" x14ac:dyDescent="0.2">
      <c r="A732">
        <f>ROW(LineærRegression_Valg[[#This Row],[Tabel ID]])-ROW(LineærRegression_Valg[[#Headers],[Tabel ID]])</f>
        <v>722</v>
      </c>
      <c r="B732" s="188">
        <f>ROUNDDOWN((LineærRegression_Valg[[#This Row],[Tabel ID]]-1)/$B$5,0)+1</f>
        <v>181</v>
      </c>
      <c r="C732" s="188">
        <f t="shared" si="11"/>
        <v>2</v>
      </c>
      <c r="D732" s="188" t="b">
        <f>LineærRegression_Valg[[#This Row],[Afhængig variabel ID]]&lt;&gt;LineærRegression_Valg[[#This Row],[Uafhængig variabel ID]]</f>
        <v>1</v>
      </c>
      <c r="E732" t="b">
        <f>LineærRegression_Valg[[#This Row],[Afhængig variabel ID]]&lt;=$B$5</f>
        <v>0</v>
      </c>
      <c r="F732" t="str" cm="1">
        <f t="array" ref="F732">IF(LineærRegression_Valg[[#This Row],[Indenfor range]],INDEX(DataTitel_liste,LineærRegression_Valg[[#This Row],[Afhængig variabel ID]]),INDEX(DataTitel_liste,1))</f>
        <v>Eksempel 1 (interval)</v>
      </c>
      <c r="G732" s="188" t="str" cm="1">
        <f t="array" ref="G732">IF(LineærRegression_Valg[[#This Row],[Indenfor range]],IF(LineærRegression_Valg[[#This Row],[Intet overlap]],INDEX(DataTitel_liste,LineærRegression_Valg[[#This Row],[Uafhængig variabel ID]]),INDEX(DataTitel_liste,IF(LineærRegression_Valg[[#This Row],[Afhængig variabel ID]]=1,2,1))),$B$7)</f>
        <v>Eksempel 2 (interval)</v>
      </c>
      <c r="H732" s="188">
        <f>_xlfn.AGGREGATE(2,5,LineærRegression_Valg[[#This Row],[Tabel ID]])</f>
        <v>1</v>
      </c>
    </row>
    <row r="733" spans="1:8" x14ac:dyDescent="0.2">
      <c r="A733">
        <f>ROW(LineærRegression_Valg[[#This Row],[Tabel ID]])-ROW(LineærRegression_Valg[[#Headers],[Tabel ID]])</f>
        <v>723</v>
      </c>
      <c r="B733" s="188">
        <f>ROUNDDOWN((LineærRegression_Valg[[#This Row],[Tabel ID]]-1)/$B$5,0)+1</f>
        <v>181</v>
      </c>
      <c r="C733" s="188">
        <f t="shared" si="11"/>
        <v>3</v>
      </c>
      <c r="D733" s="188" t="b">
        <f>LineærRegression_Valg[[#This Row],[Afhængig variabel ID]]&lt;&gt;LineærRegression_Valg[[#This Row],[Uafhængig variabel ID]]</f>
        <v>1</v>
      </c>
      <c r="E733" t="b">
        <f>LineærRegression_Valg[[#This Row],[Afhængig variabel ID]]&lt;=$B$5</f>
        <v>0</v>
      </c>
      <c r="F733" t="str" cm="1">
        <f t="array" ref="F733">IF(LineærRegression_Valg[[#This Row],[Indenfor range]],INDEX(DataTitel_liste,LineærRegression_Valg[[#This Row],[Afhængig variabel ID]]),INDEX(DataTitel_liste,1))</f>
        <v>Eksempel 1 (interval)</v>
      </c>
      <c r="G733" s="188" t="str" cm="1">
        <f t="array" ref="G733">IF(LineærRegression_Valg[[#This Row],[Indenfor range]],IF(LineærRegression_Valg[[#This Row],[Intet overlap]],INDEX(DataTitel_liste,LineærRegression_Valg[[#This Row],[Uafhængig variabel ID]]),INDEX(DataTitel_liste,IF(LineærRegression_Valg[[#This Row],[Afhængig variabel ID]]=1,2,1))),$B$7)</f>
        <v>Eksempel 2 (interval)</v>
      </c>
      <c r="H733" s="188">
        <f>_xlfn.AGGREGATE(2,5,LineærRegression_Valg[[#This Row],[Tabel ID]])</f>
        <v>1</v>
      </c>
    </row>
    <row r="734" spans="1:8" x14ac:dyDescent="0.2">
      <c r="A734">
        <f>ROW(LineærRegression_Valg[[#This Row],[Tabel ID]])-ROW(LineærRegression_Valg[[#Headers],[Tabel ID]])</f>
        <v>724</v>
      </c>
      <c r="B734" s="188">
        <f>ROUNDDOWN((LineærRegression_Valg[[#This Row],[Tabel ID]]-1)/$B$5,0)+1</f>
        <v>181</v>
      </c>
      <c r="C734" s="188">
        <f t="shared" si="11"/>
        <v>4</v>
      </c>
      <c r="D734" s="188" t="b">
        <f>LineærRegression_Valg[[#This Row],[Afhængig variabel ID]]&lt;&gt;LineærRegression_Valg[[#This Row],[Uafhængig variabel ID]]</f>
        <v>1</v>
      </c>
      <c r="E734" t="b">
        <f>LineærRegression_Valg[[#This Row],[Afhængig variabel ID]]&lt;=$B$5</f>
        <v>0</v>
      </c>
      <c r="F734" t="str" cm="1">
        <f t="array" ref="F734">IF(LineærRegression_Valg[[#This Row],[Indenfor range]],INDEX(DataTitel_liste,LineærRegression_Valg[[#This Row],[Afhængig variabel ID]]),INDEX(DataTitel_liste,1))</f>
        <v>Eksempel 1 (interval)</v>
      </c>
      <c r="G734" s="188" t="str" cm="1">
        <f t="array" ref="G734">IF(LineærRegression_Valg[[#This Row],[Indenfor range]],IF(LineærRegression_Valg[[#This Row],[Intet overlap]],INDEX(DataTitel_liste,LineærRegression_Valg[[#This Row],[Uafhængig variabel ID]]),INDEX(DataTitel_liste,IF(LineærRegression_Valg[[#This Row],[Afhængig variabel ID]]=1,2,1))),$B$7)</f>
        <v>Eksempel 2 (interval)</v>
      </c>
      <c r="H734" s="188">
        <f>_xlfn.AGGREGATE(2,5,LineærRegression_Valg[[#This Row],[Tabel ID]])</f>
        <v>1</v>
      </c>
    </row>
    <row r="735" spans="1:8" x14ac:dyDescent="0.2">
      <c r="A735">
        <f>ROW(LineærRegression_Valg[[#This Row],[Tabel ID]])-ROW(LineærRegression_Valg[[#Headers],[Tabel ID]])</f>
        <v>725</v>
      </c>
      <c r="B735" s="188">
        <f>ROUNDDOWN((LineærRegression_Valg[[#This Row],[Tabel ID]]-1)/$B$5,0)+1</f>
        <v>182</v>
      </c>
      <c r="C735" s="188">
        <f t="shared" si="11"/>
        <v>1</v>
      </c>
      <c r="D735" s="188" t="b">
        <f>LineærRegression_Valg[[#This Row],[Afhængig variabel ID]]&lt;&gt;LineærRegression_Valg[[#This Row],[Uafhængig variabel ID]]</f>
        <v>1</v>
      </c>
      <c r="E735" t="b">
        <f>LineærRegression_Valg[[#This Row],[Afhængig variabel ID]]&lt;=$B$5</f>
        <v>0</v>
      </c>
      <c r="F735" t="str" cm="1">
        <f t="array" ref="F735">IF(LineærRegression_Valg[[#This Row],[Indenfor range]],INDEX(DataTitel_liste,LineærRegression_Valg[[#This Row],[Afhængig variabel ID]]),INDEX(DataTitel_liste,1))</f>
        <v>Eksempel 1 (interval)</v>
      </c>
      <c r="G735" s="188" t="str" cm="1">
        <f t="array" ref="G735">IF(LineærRegression_Valg[[#This Row],[Indenfor range]],IF(LineærRegression_Valg[[#This Row],[Intet overlap]],INDEX(DataTitel_liste,LineærRegression_Valg[[#This Row],[Uafhængig variabel ID]]),INDEX(DataTitel_liste,IF(LineærRegression_Valg[[#This Row],[Afhængig variabel ID]]=1,2,1))),$B$7)</f>
        <v>Eksempel 2 (interval)</v>
      </c>
      <c r="H735" s="188">
        <f>_xlfn.AGGREGATE(2,5,LineærRegression_Valg[[#This Row],[Tabel ID]])</f>
        <v>1</v>
      </c>
    </row>
    <row r="736" spans="1:8" x14ac:dyDescent="0.2">
      <c r="A736">
        <f>ROW(LineærRegression_Valg[[#This Row],[Tabel ID]])-ROW(LineærRegression_Valg[[#Headers],[Tabel ID]])</f>
        <v>726</v>
      </c>
      <c r="B736" s="188">
        <f>ROUNDDOWN((LineærRegression_Valg[[#This Row],[Tabel ID]]-1)/$B$5,0)+1</f>
        <v>182</v>
      </c>
      <c r="C736" s="188">
        <f t="shared" si="11"/>
        <v>2</v>
      </c>
      <c r="D736" s="188" t="b">
        <f>LineærRegression_Valg[[#This Row],[Afhængig variabel ID]]&lt;&gt;LineærRegression_Valg[[#This Row],[Uafhængig variabel ID]]</f>
        <v>1</v>
      </c>
      <c r="E736" t="b">
        <f>LineærRegression_Valg[[#This Row],[Afhængig variabel ID]]&lt;=$B$5</f>
        <v>0</v>
      </c>
      <c r="F736" t="str" cm="1">
        <f t="array" ref="F736">IF(LineærRegression_Valg[[#This Row],[Indenfor range]],INDEX(DataTitel_liste,LineærRegression_Valg[[#This Row],[Afhængig variabel ID]]),INDEX(DataTitel_liste,1))</f>
        <v>Eksempel 1 (interval)</v>
      </c>
      <c r="G736" s="188" t="str" cm="1">
        <f t="array" ref="G736">IF(LineærRegression_Valg[[#This Row],[Indenfor range]],IF(LineærRegression_Valg[[#This Row],[Intet overlap]],INDEX(DataTitel_liste,LineærRegression_Valg[[#This Row],[Uafhængig variabel ID]]),INDEX(DataTitel_liste,IF(LineærRegression_Valg[[#This Row],[Afhængig variabel ID]]=1,2,1))),$B$7)</f>
        <v>Eksempel 2 (interval)</v>
      </c>
      <c r="H736" s="188">
        <f>_xlfn.AGGREGATE(2,5,LineærRegression_Valg[[#This Row],[Tabel ID]])</f>
        <v>1</v>
      </c>
    </row>
    <row r="737" spans="1:8" x14ac:dyDescent="0.2">
      <c r="A737">
        <f>ROW(LineærRegression_Valg[[#This Row],[Tabel ID]])-ROW(LineærRegression_Valg[[#Headers],[Tabel ID]])</f>
        <v>727</v>
      </c>
      <c r="B737" s="188">
        <f>ROUNDDOWN((LineærRegression_Valg[[#This Row],[Tabel ID]]-1)/$B$5,0)+1</f>
        <v>182</v>
      </c>
      <c r="C737" s="188">
        <f t="shared" si="11"/>
        <v>3</v>
      </c>
      <c r="D737" s="188" t="b">
        <f>LineærRegression_Valg[[#This Row],[Afhængig variabel ID]]&lt;&gt;LineærRegression_Valg[[#This Row],[Uafhængig variabel ID]]</f>
        <v>1</v>
      </c>
      <c r="E737" t="b">
        <f>LineærRegression_Valg[[#This Row],[Afhængig variabel ID]]&lt;=$B$5</f>
        <v>0</v>
      </c>
      <c r="F737" t="str" cm="1">
        <f t="array" ref="F737">IF(LineærRegression_Valg[[#This Row],[Indenfor range]],INDEX(DataTitel_liste,LineærRegression_Valg[[#This Row],[Afhængig variabel ID]]),INDEX(DataTitel_liste,1))</f>
        <v>Eksempel 1 (interval)</v>
      </c>
      <c r="G737" s="188" t="str" cm="1">
        <f t="array" ref="G737">IF(LineærRegression_Valg[[#This Row],[Indenfor range]],IF(LineærRegression_Valg[[#This Row],[Intet overlap]],INDEX(DataTitel_liste,LineærRegression_Valg[[#This Row],[Uafhængig variabel ID]]),INDEX(DataTitel_liste,IF(LineærRegression_Valg[[#This Row],[Afhængig variabel ID]]=1,2,1))),$B$7)</f>
        <v>Eksempel 2 (interval)</v>
      </c>
      <c r="H737" s="188">
        <f>_xlfn.AGGREGATE(2,5,LineærRegression_Valg[[#This Row],[Tabel ID]])</f>
        <v>1</v>
      </c>
    </row>
    <row r="738" spans="1:8" x14ac:dyDescent="0.2">
      <c r="A738">
        <f>ROW(LineærRegression_Valg[[#This Row],[Tabel ID]])-ROW(LineærRegression_Valg[[#Headers],[Tabel ID]])</f>
        <v>728</v>
      </c>
      <c r="B738" s="188">
        <f>ROUNDDOWN((LineærRegression_Valg[[#This Row],[Tabel ID]]-1)/$B$5,0)+1</f>
        <v>182</v>
      </c>
      <c r="C738" s="188">
        <f t="shared" si="11"/>
        <v>4</v>
      </c>
      <c r="D738" s="188" t="b">
        <f>LineærRegression_Valg[[#This Row],[Afhængig variabel ID]]&lt;&gt;LineærRegression_Valg[[#This Row],[Uafhængig variabel ID]]</f>
        <v>1</v>
      </c>
      <c r="E738" t="b">
        <f>LineærRegression_Valg[[#This Row],[Afhængig variabel ID]]&lt;=$B$5</f>
        <v>0</v>
      </c>
      <c r="F738" t="str" cm="1">
        <f t="array" ref="F738">IF(LineærRegression_Valg[[#This Row],[Indenfor range]],INDEX(DataTitel_liste,LineærRegression_Valg[[#This Row],[Afhængig variabel ID]]),INDEX(DataTitel_liste,1))</f>
        <v>Eksempel 1 (interval)</v>
      </c>
      <c r="G738" s="188" t="str" cm="1">
        <f t="array" ref="G738">IF(LineærRegression_Valg[[#This Row],[Indenfor range]],IF(LineærRegression_Valg[[#This Row],[Intet overlap]],INDEX(DataTitel_liste,LineærRegression_Valg[[#This Row],[Uafhængig variabel ID]]),INDEX(DataTitel_liste,IF(LineærRegression_Valg[[#This Row],[Afhængig variabel ID]]=1,2,1))),$B$7)</f>
        <v>Eksempel 2 (interval)</v>
      </c>
      <c r="H738" s="188">
        <f>_xlfn.AGGREGATE(2,5,LineærRegression_Valg[[#This Row],[Tabel ID]])</f>
        <v>1</v>
      </c>
    </row>
    <row r="739" spans="1:8" x14ac:dyDescent="0.2">
      <c r="A739">
        <f>ROW(LineærRegression_Valg[[#This Row],[Tabel ID]])-ROW(LineærRegression_Valg[[#Headers],[Tabel ID]])</f>
        <v>729</v>
      </c>
      <c r="B739" s="188">
        <f>ROUNDDOWN((LineærRegression_Valg[[#This Row],[Tabel ID]]-1)/$B$5,0)+1</f>
        <v>183</v>
      </c>
      <c r="C739" s="188">
        <f t="shared" si="11"/>
        <v>1</v>
      </c>
      <c r="D739" s="188" t="b">
        <f>LineærRegression_Valg[[#This Row],[Afhængig variabel ID]]&lt;&gt;LineærRegression_Valg[[#This Row],[Uafhængig variabel ID]]</f>
        <v>1</v>
      </c>
      <c r="E739" t="b">
        <f>LineærRegression_Valg[[#This Row],[Afhængig variabel ID]]&lt;=$B$5</f>
        <v>0</v>
      </c>
      <c r="F739" t="str" cm="1">
        <f t="array" ref="F739">IF(LineærRegression_Valg[[#This Row],[Indenfor range]],INDEX(DataTitel_liste,LineærRegression_Valg[[#This Row],[Afhængig variabel ID]]),INDEX(DataTitel_liste,1))</f>
        <v>Eksempel 1 (interval)</v>
      </c>
      <c r="G739" s="188" t="str" cm="1">
        <f t="array" ref="G739">IF(LineærRegression_Valg[[#This Row],[Indenfor range]],IF(LineærRegression_Valg[[#This Row],[Intet overlap]],INDEX(DataTitel_liste,LineærRegression_Valg[[#This Row],[Uafhængig variabel ID]]),INDEX(DataTitel_liste,IF(LineærRegression_Valg[[#This Row],[Afhængig variabel ID]]=1,2,1))),$B$7)</f>
        <v>Eksempel 2 (interval)</v>
      </c>
      <c r="H739" s="188">
        <f>_xlfn.AGGREGATE(2,5,LineærRegression_Valg[[#This Row],[Tabel ID]])</f>
        <v>1</v>
      </c>
    </row>
    <row r="740" spans="1:8" x14ac:dyDescent="0.2">
      <c r="A740">
        <f>ROW(LineærRegression_Valg[[#This Row],[Tabel ID]])-ROW(LineærRegression_Valg[[#Headers],[Tabel ID]])</f>
        <v>730</v>
      </c>
      <c r="B740" s="188">
        <f>ROUNDDOWN((LineærRegression_Valg[[#This Row],[Tabel ID]]-1)/$B$5,0)+1</f>
        <v>183</v>
      </c>
      <c r="C740" s="188">
        <f t="shared" si="11"/>
        <v>2</v>
      </c>
      <c r="D740" s="188" t="b">
        <f>LineærRegression_Valg[[#This Row],[Afhængig variabel ID]]&lt;&gt;LineærRegression_Valg[[#This Row],[Uafhængig variabel ID]]</f>
        <v>1</v>
      </c>
      <c r="E740" t="b">
        <f>LineærRegression_Valg[[#This Row],[Afhængig variabel ID]]&lt;=$B$5</f>
        <v>0</v>
      </c>
      <c r="F740" t="str" cm="1">
        <f t="array" ref="F740">IF(LineærRegression_Valg[[#This Row],[Indenfor range]],INDEX(DataTitel_liste,LineærRegression_Valg[[#This Row],[Afhængig variabel ID]]),INDEX(DataTitel_liste,1))</f>
        <v>Eksempel 1 (interval)</v>
      </c>
      <c r="G740" s="188" t="str" cm="1">
        <f t="array" ref="G740">IF(LineærRegression_Valg[[#This Row],[Indenfor range]],IF(LineærRegression_Valg[[#This Row],[Intet overlap]],INDEX(DataTitel_liste,LineærRegression_Valg[[#This Row],[Uafhængig variabel ID]]),INDEX(DataTitel_liste,IF(LineærRegression_Valg[[#This Row],[Afhængig variabel ID]]=1,2,1))),$B$7)</f>
        <v>Eksempel 2 (interval)</v>
      </c>
      <c r="H740" s="188">
        <f>_xlfn.AGGREGATE(2,5,LineærRegression_Valg[[#This Row],[Tabel ID]])</f>
        <v>1</v>
      </c>
    </row>
    <row r="741" spans="1:8" x14ac:dyDescent="0.2">
      <c r="A741">
        <f>ROW(LineærRegression_Valg[[#This Row],[Tabel ID]])-ROW(LineærRegression_Valg[[#Headers],[Tabel ID]])</f>
        <v>731</v>
      </c>
      <c r="B741" s="188">
        <f>ROUNDDOWN((LineærRegression_Valg[[#This Row],[Tabel ID]]-1)/$B$5,0)+1</f>
        <v>183</v>
      </c>
      <c r="C741" s="188">
        <f t="shared" si="11"/>
        <v>3</v>
      </c>
      <c r="D741" s="188" t="b">
        <f>LineærRegression_Valg[[#This Row],[Afhængig variabel ID]]&lt;&gt;LineærRegression_Valg[[#This Row],[Uafhængig variabel ID]]</f>
        <v>1</v>
      </c>
      <c r="E741" t="b">
        <f>LineærRegression_Valg[[#This Row],[Afhængig variabel ID]]&lt;=$B$5</f>
        <v>0</v>
      </c>
      <c r="F741" t="str" cm="1">
        <f t="array" ref="F741">IF(LineærRegression_Valg[[#This Row],[Indenfor range]],INDEX(DataTitel_liste,LineærRegression_Valg[[#This Row],[Afhængig variabel ID]]),INDEX(DataTitel_liste,1))</f>
        <v>Eksempel 1 (interval)</v>
      </c>
      <c r="G741" s="188" t="str" cm="1">
        <f t="array" ref="G741">IF(LineærRegression_Valg[[#This Row],[Indenfor range]],IF(LineærRegression_Valg[[#This Row],[Intet overlap]],INDEX(DataTitel_liste,LineærRegression_Valg[[#This Row],[Uafhængig variabel ID]]),INDEX(DataTitel_liste,IF(LineærRegression_Valg[[#This Row],[Afhængig variabel ID]]=1,2,1))),$B$7)</f>
        <v>Eksempel 2 (interval)</v>
      </c>
      <c r="H741" s="188">
        <f>_xlfn.AGGREGATE(2,5,LineærRegression_Valg[[#This Row],[Tabel ID]])</f>
        <v>1</v>
      </c>
    </row>
    <row r="742" spans="1:8" x14ac:dyDescent="0.2">
      <c r="A742">
        <f>ROW(LineærRegression_Valg[[#This Row],[Tabel ID]])-ROW(LineærRegression_Valg[[#Headers],[Tabel ID]])</f>
        <v>732</v>
      </c>
      <c r="B742" s="188">
        <f>ROUNDDOWN((LineærRegression_Valg[[#This Row],[Tabel ID]]-1)/$B$5,0)+1</f>
        <v>183</v>
      </c>
      <c r="C742" s="188">
        <f t="shared" si="11"/>
        <v>4</v>
      </c>
      <c r="D742" s="188" t="b">
        <f>LineærRegression_Valg[[#This Row],[Afhængig variabel ID]]&lt;&gt;LineærRegression_Valg[[#This Row],[Uafhængig variabel ID]]</f>
        <v>1</v>
      </c>
      <c r="E742" t="b">
        <f>LineærRegression_Valg[[#This Row],[Afhængig variabel ID]]&lt;=$B$5</f>
        <v>0</v>
      </c>
      <c r="F742" t="str" cm="1">
        <f t="array" ref="F742">IF(LineærRegression_Valg[[#This Row],[Indenfor range]],INDEX(DataTitel_liste,LineærRegression_Valg[[#This Row],[Afhængig variabel ID]]),INDEX(DataTitel_liste,1))</f>
        <v>Eksempel 1 (interval)</v>
      </c>
      <c r="G742" s="188" t="str" cm="1">
        <f t="array" ref="G742">IF(LineærRegression_Valg[[#This Row],[Indenfor range]],IF(LineærRegression_Valg[[#This Row],[Intet overlap]],INDEX(DataTitel_liste,LineærRegression_Valg[[#This Row],[Uafhængig variabel ID]]),INDEX(DataTitel_liste,IF(LineærRegression_Valg[[#This Row],[Afhængig variabel ID]]=1,2,1))),$B$7)</f>
        <v>Eksempel 2 (interval)</v>
      </c>
      <c r="H742" s="188">
        <f>_xlfn.AGGREGATE(2,5,LineærRegression_Valg[[#This Row],[Tabel ID]])</f>
        <v>1</v>
      </c>
    </row>
    <row r="743" spans="1:8" x14ac:dyDescent="0.2">
      <c r="A743">
        <f>ROW(LineærRegression_Valg[[#This Row],[Tabel ID]])-ROW(LineærRegression_Valg[[#Headers],[Tabel ID]])</f>
        <v>733</v>
      </c>
      <c r="B743" s="188">
        <f>ROUNDDOWN((LineærRegression_Valg[[#This Row],[Tabel ID]]-1)/$B$5,0)+1</f>
        <v>184</v>
      </c>
      <c r="C743" s="188">
        <f t="shared" si="11"/>
        <v>1</v>
      </c>
      <c r="D743" s="188" t="b">
        <f>LineærRegression_Valg[[#This Row],[Afhængig variabel ID]]&lt;&gt;LineærRegression_Valg[[#This Row],[Uafhængig variabel ID]]</f>
        <v>1</v>
      </c>
      <c r="E743" t="b">
        <f>LineærRegression_Valg[[#This Row],[Afhængig variabel ID]]&lt;=$B$5</f>
        <v>0</v>
      </c>
      <c r="F743" t="str" cm="1">
        <f t="array" ref="F743">IF(LineærRegression_Valg[[#This Row],[Indenfor range]],INDEX(DataTitel_liste,LineærRegression_Valg[[#This Row],[Afhængig variabel ID]]),INDEX(DataTitel_liste,1))</f>
        <v>Eksempel 1 (interval)</v>
      </c>
      <c r="G743" s="188" t="str" cm="1">
        <f t="array" ref="G743">IF(LineærRegression_Valg[[#This Row],[Indenfor range]],IF(LineærRegression_Valg[[#This Row],[Intet overlap]],INDEX(DataTitel_liste,LineærRegression_Valg[[#This Row],[Uafhængig variabel ID]]),INDEX(DataTitel_liste,IF(LineærRegression_Valg[[#This Row],[Afhængig variabel ID]]=1,2,1))),$B$7)</f>
        <v>Eksempel 2 (interval)</v>
      </c>
      <c r="H743" s="188">
        <f>_xlfn.AGGREGATE(2,5,LineærRegression_Valg[[#This Row],[Tabel ID]])</f>
        <v>1</v>
      </c>
    </row>
    <row r="744" spans="1:8" x14ac:dyDescent="0.2">
      <c r="A744">
        <f>ROW(LineærRegression_Valg[[#This Row],[Tabel ID]])-ROW(LineærRegression_Valg[[#Headers],[Tabel ID]])</f>
        <v>734</v>
      </c>
      <c r="B744" s="188">
        <f>ROUNDDOWN((LineærRegression_Valg[[#This Row],[Tabel ID]]-1)/$B$5,0)+1</f>
        <v>184</v>
      </c>
      <c r="C744" s="188">
        <f t="shared" si="11"/>
        <v>2</v>
      </c>
      <c r="D744" s="188" t="b">
        <f>LineærRegression_Valg[[#This Row],[Afhængig variabel ID]]&lt;&gt;LineærRegression_Valg[[#This Row],[Uafhængig variabel ID]]</f>
        <v>1</v>
      </c>
      <c r="E744" t="b">
        <f>LineærRegression_Valg[[#This Row],[Afhængig variabel ID]]&lt;=$B$5</f>
        <v>0</v>
      </c>
      <c r="F744" t="str" cm="1">
        <f t="array" ref="F744">IF(LineærRegression_Valg[[#This Row],[Indenfor range]],INDEX(DataTitel_liste,LineærRegression_Valg[[#This Row],[Afhængig variabel ID]]),INDEX(DataTitel_liste,1))</f>
        <v>Eksempel 1 (interval)</v>
      </c>
      <c r="G744" s="188" t="str" cm="1">
        <f t="array" ref="G744">IF(LineærRegression_Valg[[#This Row],[Indenfor range]],IF(LineærRegression_Valg[[#This Row],[Intet overlap]],INDEX(DataTitel_liste,LineærRegression_Valg[[#This Row],[Uafhængig variabel ID]]),INDEX(DataTitel_liste,IF(LineærRegression_Valg[[#This Row],[Afhængig variabel ID]]=1,2,1))),$B$7)</f>
        <v>Eksempel 2 (interval)</v>
      </c>
      <c r="H744" s="188">
        <f>_xlfn.AGGREGATE(2,5,LineærRegression_Valg[[#This Row],[Tabel ID]])</f>
        <v>1</v>
      </c>
    </row>
    <row r="745" spans="1:8" x14ac:dyDescent="0.2">
      <c r="A745">
        <f>ROW(LineærRegression_Valg[[#This Row],[Tabel ID]])-ROW(LineærRegression_Valg[[#Headers],[Tabel ID]])</f>
        <v>735</v>
      </c>
      <c r="B745" s="188">
        <f>ROUNDDOWN((LineærRegression_Valg[[#This Row],[Tabel ID]]-1)/$B$5,0)+1</f>
        <v>184</v>
      </c>
      <c r="C745" s="188">
        <f t="shared" si="11"/>
        <v>3</v>
      </c>
      <c r="D745" s="188" t="b">
        <f>LineærRegression_Valg[[#This Row],[Afhængig variabel ID]]&lt;&gt;LineærRegression_Valg[[#This Row],[Uafhængig variabel ID]]</f>
        <v>1</v>
      </c>
      <c r="E745" t="b">
        <f>LineærRegression_Valg[[#This Row],[Afhængig variabel ID]]&lt;=$B$5</f>
        <v>0</v>
      </c>
      <c r="F745" t="str" cm="1">
        <f t="array" ref="F745">IF(LineærRegression_Valg[[#This Row],[Indenfor range]],INDEX(DataTitel_liste,LineærRegression_Valg[[#This Row],[Afhængig variabel ID]]),INDEX(DataTitel_liste,1))</f>
        <v>Eksempel 1 (interval)</v>
      </c>
      <c r="G745" s="188" t="str" cm="1">
        <f t="array" ref="G745">IF(LineærRegression_Valg[[#This Row],[Indenfor range]],IF(LineærRegression_Valg[[#This Row],[Intet overlap]],INDEX(DataTitel_liste,LineærRegression_Valg[[#This Row],[Uafhængig variabel ID]]),INDEX(DataTitel_liste,IF(LineærRegression_Valg[[#This Row],[Afhængig variabel ID]]=1,2,1))),$B$7)</f>
        <v>Eksempel 2 (interval)</v>
      </c>
      <c r="H745" s="188">
        <f>_xlfn.AGGREGATE(2,5,LineærRegression_Valg[[#This Row],[Tabel ID]])</f>
        <v>1</v>
      </c>
    </row>
    <row r="746" spans="1:8" x14ac:dyDescent="0.2">
      <c r="A746">
        <f>ROW(LineærRegression_Valg[[#This Row],[Tabel ID]])-ROW(LineærRegression_Valg[[#Headers],[Tabel ID]])</f>
        <v>736</v>
      </c>
      <c r="B746" s="188">
        <f>ROUNDDOWN((LineærRegression_Valg[[#This Row],[Tabel ID]]-1)/$B$5,0)+1</f>
        <v>184</v>
      </c>
      <c r="C746" s="188">
        <f t="shared" si="11"/>
        <v>4</v>
      </c>
      <c r="D746" s="188" t="b">
        <f>LineærRegression_Valg[[#This Row],[Afhængig variabel ID]]&lt;&gt;LineærRegression_Valg[[#This Row],[Uafhængig variabel ID]]</f>
        <v>1</v>
      </c>
      <c r="E746" t="b">
        <f>LineærRegression_Valg[[#This Row],[Afhængig variabel ID]]&lt;=$B$5</f>
        <v>0</v>
      </c>
      <c r="F746" t="str" cm="1">
        <f t="array" ref="F746">IF(LineærRegression_Valg[[#This Row],[Indenfor range]],INDEX(DataTitel_liste,LineærRegression_Valg[[#This Row],[Afhængig variabel ID]]),INDEX(DataTitel_liste,1))</f>
        <v>Eksempel 1 (interval)</v>
      </c>
      <c r="G746" s="188" t="str" cm="1">
        <f t="array" ref="G746">IF(LineærRegression_Valg[[#This Row],[Indenfor range]],IF(LineærRegression_Valg[[#This Row],[Intet overlap]],INDEX(DataTitel_liste,LineærRegression_Valg[[#This Row],[Uafhængig variabel ID]]),INDEX(DataTitel_liste,IF(LineærRegression_Valg[[#This Row],[Afhængig variabel ID]]=1,2,1))),$B$7)</f>
        <v>Eksempel 2 (interval)</v>
      </c>
      <c r="H746" s="188">
        <f>_xlfn.AGGREGATE(2,5,LineærRegression_Valg[[#This Row],[Tabel ID]])</f>
        <v>1</v>
      </c>
    </row>
    <row r="747" spans="1:8" x14ac:dyDescent="0.2">
      <c r="A747">
        <f>ROW(LineærRegression_Valg[[#This Row],[Tabel ID]])-ROW(LineærRegression_Valg[[#Headers],[Tabel ID]])</f>
        <v>737</v>
      </c>
      <c r="B747" s="188">
        <f>ROUNDDOWN((LineærRegression_Valg[[#This Row],[Tabel ID]]-1)/$B$5,0)+1</f>
        <v>185</v>
      </c>
      <c r="C747" s="188">
        <f t="shared" si="11"/>
        <v>1</v>
      </c>
      <c r="D747" s="188" t="b">
        <f>LineærRegression_Valg[[#This Row],[Afhængig variabel ID]]&lt;&gt;LineærRegression_Valg[[#This Row],[Uafhængig variabel ID]]</f>
        <v>1</v>
      </c>
      <c r="E747" t="b">
        <f>LineærRegression_Valg[[#This Row],[Afhængig variabel ID]]&lt;=$B$5</f>
        <v>0</v>
      </c>
      <c r="F747" t="str" cm="1">
        <f t="array" ref="F747">IF(LineærRegression_Valg[[#This Row],[Indenfor range]],INDEX(DataTitel_liste,LineærRegression_Valg[[#This Row],[Afhængig variabel ID]]),INDEX(DataTitel_liste,1))</f>
        <v>Eksempel 1 (interval)</v>
      </c>
      <c r="G747" s="188" t="str" cm="1">
        <f t="array" ref="G747">IF(LineærRegression_Valg[[#This Row],[Indenfor range]],IF(LineærRegression_Valg[[#This Row],[Intet overlap]],INDEX(DataTitel_liste,LineærRegression_Valg[[#This Row],[Uafhængig variabel ID]]),INDEX(DataTitel_liste,IF(LineærRegression_Valg[[#This Row],[Afhængig variabel ID]]=1,2,1))),$B$7)</f>
        <v>Eksempel 2 (interval)</v>
      </c>
      <c r="H747" s="188">
        <f>_xlfn.AGGREGATE(2,5,LineærRegression_Valg[[#This Row],[Tabel ID]])</f>
        <v>1</v>
      </c>
    </row>
    <row r="748" spans="1:8" x14ac:dyDescent="0.2">
      <c r="A748">
        <f>ROW(LineærRegression_Valg[[#This Row],[Tabel ID]])-ROW(LineærRegression_Valg[[#Headers],[Tabel ID]])</f>
        <v>738</v>
      </c>
      <c r="B748" s="188">
        <f>ROUNDDOWN((LineærRegression_Valg[[#This Row],[Tabel ID]]-1)/$B$5,0)+1</f>
        <v>185</v>
      </c>
      <c r="C748" s="188">
        <f t="shared" si="11"/>
        <v>2</v>
      </c>
      <c r="D748" s="188" t="b">
        <f>LineærRegression_Valg[[#This Row],[Afhængig variabel ID]]&lt;&gt;LineærRegression_Valg[[#This Row],[Uafhængig variabel ID]]</f>
        <v>1</v>
      </c>
      <c r="E748" t="b">
        <f>LineærRegression_Valg[[#This Row],[Afhængig variabel ID]]&lt;=$B$5</f>
        <v>0</v>
      </c>
      <c r="F748" t="str" cm="1">
        <f t="array" ref="F748">IF(LineærRegression_Valg[[#This Row],[Indenfor range]],INDEX(DataTitel_liste,LineærRegression_Valg[[#This Row],[Afhængig variabel ID]]),INDEX(DataTitel_liste,1))</f>
        <v>Eksempel 1 (interval)</v>
      </c>
      <c r="G748" s="188" t="str" cm="1">
        <f t="array" ref="G748">IF(LineærRegression_Valg[[#This Row],[Indenfor range]],IF(LineærRegression_Valg[[#This Row],[Intet overlap]],INDEX(DataTitel_liste,LineærRegression_Valg[[#This Row],[Uafhængig variabel ID]]),INDEX(DataTitel_liste,IF(LineærRegression_Valg[[#This Row],[Afhængig variabel ID]]=1,2,1))),$B$7)</f>
        <v>Eksempel 2 (interval)</v>
      </c>
      <c r="H748" s="188">
        <f>_xlfn.AGGREGATE(2,5,LineærRegression_Valg[[#This Row],[Tabel ID]])</f>
        <v>1</v>
      </c>
    </row>
    <row r="749" spans="1:8" x14ac:dyDescent="0.2">
      <c r="A749">
        <f>ROW(LineærRegression_Valg[[#This Row],[Tabel ID]])-ROW(LineærRegression_Valg[[#Headers],[Tabel ID]])</f>
        <v>739</v>
      </c>
      <c r="B749" s="188">
        <f>ROUNDDOWN((LineærRegression_Valg[[#This Row],[Tabel ID]]-1)/$B$5,0)+1</f>
        <v>185</v>
      </c>
      <c r="C749" s="188">
        <f t="shared" si="11"/>
        <v>3</v>
      </c>
      <c r="D749" s="188" t="b">
        <f>LineærRegression_Valg[[#This Row],[Afhængig variabel ID]]&lt;&gt;LineærRegression_Valg[[#This Row],[Uafhængig variabel ID]]</f>
        <v>1</v>
      </c>
      <c r="E749" t="b">
        <f>LineærRegression_Valg[[#This Row],[Afhængig variabel ID]]&lt;=$B$5</f>
        <v>0</v>
      </c>
      <c r="F749" t="str" cm="1">
        <f t="array" ref="F749">IF(LineærRegression_Valg[[#This Row],[Indenfor range]],INDEX(DataTitel_liste,LineærRegression_Valg[[#This Row],[Afhængig variabel ID]]),INDEX(DataTitel_liste,1))</f>
        <v>Eksempel 1 (interval)</v>
      </c>
      <c r="G749" s="188" t="str" cm="1">
        <f t="array" ref="G749">IF(LineærRegression_Valg[[#This Row],[Indenfor range]],IF(LineærRegression_Valg[[#This Row],[Intet overlap]],INDEX(DataTitel_liste,LineærRegression_Valg[[#This Row],[Uafhængig variabel ID]]),INDEX(DataTitel_liste,IF(LineærRegression_Valg[[#This Row],[Afhængig variabel ID]]=1,2,1))),$B$7)</f>
        <v>Eksempel 2 (interval)</v>
      </c>
      <c r="H749" s="188">
        <f>_xlfn.AGGREGATE(2,5,LineærRegression_Valg[[#This Row],[Tabel ID]])</f>
        <v>1</v>
      </c>
    </row>
    <row r="750" spans="1:8" x14ac:dyDescent="0.2">
      <c r="A750">
        <f>ROW(LineærRegression_Valg[[#This Row],[Tabel ID]])-ROW(LineærRegression_Valg[[#Headers],[Tabel ID]])</f>
        <v>740</v>
      </c>
      <c r="B750" s="188">
        <f>ROUNDDOWN((LineærRegression_Valg[[#This Row],[Tabel ID]]-1)/$B$5,0)+1</f>
        <v>185</v>
      </c>
      <c r="C750" s="188">
        <f t="shared" si="11"/>
        <v>4</v>
      </c>
      <c r="D750" s="188" t="b">
        <f>LineærRegression_Valg[[#This Row],[Afhængig variabel ID]]&lt;&gt;LineærRegression_Valg[[#This Row],[Uafhængig variabel ID]]</f>
        <v>1</v>
      </c>
      <c r="E750" t="b">
        <f>LineærRegression_Valg[[#This Row],[Afhængig variabel ID]]&lt;=$B$5</f>
        <v>0</v>
      </c>
      <c r="F750" t="str" cm="1">
        <f t="array" ref="F750">IF(LineærRegression_Valg[[#This Row],[Indenfor range]],INDEX(DataTitel_liste,LineærRegression_Valg[[#This Row],[Afhængig variabel ID]]),INDEX(DataTitel_liste,1))</f>
        <v>Eksempel 1 (interval)</v>
      </c>
      <c r="G750" s="188" t="str" cm="1">
        <f t="array" ref="G750">IF(LineærRegression_Valg[[#This Row],[Indenfor range]],IF(LineærRegression_Valg[[#This Row],[Intet overlap]],INDEX(DataTitel_liste,LineærRegression_Valg[[#This Row],[Uafhængig variabel ID]]),INDEX(DataTitel_liste,IF(LineærRegression_Valg[[#This Row],[Afhængig variabel ID]]=1,2,1))),$B$7)</f>
        <v>Eksempel 2 (interval)</v>
      </c>
      <c r="H750" s="188">
        <f>_xlfn.AGGREGATE(2,5,LineærRegression_Valg[[#This Row],[Tabel ID]])</f>
        <v>1</v>
      </c>
    </row>
    <row r="751" spans="1:8" x14ac:dyDescent="0.2">
      <c r="A751">
        <f>ROW(LineærRegression_Valg[[#This Row],[Tabel ID]])-ROW(LineærRegression_Valg[[#Headers],[Tabel ID]])</f>
        <v>741</v>
      </c>
      <c r="B751" s="188">
        <f>ROUNDDOWN((LineærRegression_Valg[[#This Row],[Tabel ID]]-1)/$B$5,0)+1</f>
        <v>186</v>
      </c>
      <c r="C751" s="188">
        <f t="shared" si="11"/>
        <v>1</v>
      </c>
      <c r="D751" s="188" t="b">
        <f>LineærRegression_Valg[[#This Row],[Afhængig variabel ID]]&lt;&gt;LineærRegression_Valg[[#This Row],[Uafhængig variabel ID]]</f>
        <v>1</v>
      </c>
      <c r="E751" t="b">
        <f>LineærRegression_Valg[[#This Row],[Afhængig variabel ID]]&lt;=$B$5</f>
        <v>0</v>
      </c>
      <c r="F751" t="str" cm="1">
        <f t="array" ref="F751">IF(LineærRegression_Valg[[#This Row],[Indenfor range]],INDEX(DataTitel_liste,LineærRegression_Valg[[#This Row],[Afhængig variabel ID]]),INDEX(DataTitel_liste,1))</f>
        <v>Eksempel 1 (interval)</v>
      </c>
      <c r="G751" s="188" t="str" cm="1">
        <f t="array" ref="G751">IF(LineærRegression_Valg[[#This Row],[Indenfor range]],IF(LineærRegression_Valg[[#This Row],[Intet overlap]],INDEX(DataTitel_liste,LineærRegression_Valg[[#This Row],[Uafhængig variabel ID]]),INDEX(DataTitel_liste,IF(LineærRegression_Valg[[#This Row],[Afhængig variabel ID]]=1,2,1))),$B$7)</f>
        <v>Eksempel 2 (interval)</v>
      </c>
      <c r="H751" s="188">
        <f>_xlfn.AGGREGATE(2,5,LineærRegression_Valg[[#This Row],[Tabel ID]])</f>
        <v>1</v>
      </c>
    </row>
    <row r="752" spans="1:8" x14ac:dyDescent="0.2">
      <c r="A752">
        <f>ROW(LineærRegression_Valg[[#This Row],[Tabel ID]])-ROW(LineærRegression_Valg[[#Headers],[Tabel ID]])</f>
        <v>742</v>
      </c>
      <c r="B752" s="188">
        <f>ROUNDDOWN((LineærRegression_Valg[[#This Row],[Tabel ID]]-1)/$B$5,0)+1</f>
        <v>186</v>
      </c>
      <c r="C752" s="188">
        <f t="shared" si="11"/>
        <v>2</v>
      </c>
      <c r="D752" s="188" t="b">
        <f>LineærRegression_Valg[[#This Row],[Afhængig variabel ID]]&lt;&gt;LineærRegression_Valg[[#This Row],[Uafhængig variabel ID]]</f>
        <v>1</v>
      </c>
      <c r="E752" t="b">
        <f>LineærRegression_Valg[[#This Row],[Afhængig variabel ID]]&lt;=$B$5</f>
        <v>0</v>
      </c>
      <c r="F752" t="str" cm="1">
        <f t="array" ref="F752">IF(LineærRegression_Valg[[#This Row],[Indenfor range]],INDEX(DataTitel_liste,LineærRegression_Valg[[#This Row],[Afhængig variabel ID]]),INDEX(DataTitel_liste,1))</f>
        <v>Eksempel 1 (interval)</v>
      </c>
      <c r="G752" s="188" t="str" cm="1">
        <f t="array" ref="G752">IF(LineærRegression_Valg[[#This Row],[Indenfor range]],IF(LineærRegression_Valg[[#This Row],[Intet overlap]],INDEX(DataTitel_liste,LineærRegression_Valg[[#This Row],[Uafhængig variabel ID]]),INDEX(DataTitel_liste,IF(LineærRegression_Valg[[#This Row],[Afhængig variabel ID]]=1,2,1))),$B$7)</f>
        <v>Eksempel 2 (interval)</v>
      </c>
      <c r="H752" s="188">
        <f>_xlfn.AGGREGATE(2,5,LineærRegression_Valg[[#This Row],[Tabel ID]])</f>
        <v>1</v>
      </c>
    </row>
    <row r="753" spans="1:8" x14ac:dyDescent="0.2">
      <c r="A753">
        <f>ROW(LineærRegression_Valg[[#This Row],[Tabel ID]])-ROW(LineærRegression_Valg[[#Headers],[Tabel ID]])</f>
        <v>743</v>
      </c>
      <c r="B753" s="188">
        <f>ROUNDDOWN((LineærRegression_Valg[[#This Row],[Tabel ID]]-1)/$B$5,0)+1</f>
        <v>186</v>
      </c>
      <c r="C753" s="188">
        <f t="shared" si="11"/>
        <v>3</v>
      </c>
      <c r="D753" s="188" t="b">
        <f>LineærRegression_Valg[[#This Row],[Afhængig variabel ID]]&lt;&gt;LineærRegression_Valg[[#This Row],[Uafhængig variabel ID]]</f>
        <v>1</v>
      </c>
      <c r="E753" t="b">
        <f>LineærRegression_Valg[[#This Row],[Afhængig variabel ID]]&lt;=$B$5</f>
        <v>0</v>
      </c>
      <c r="F753" t="str" cm="1">
        <f t="array" ref="F753">IF(LineærRegression_Valg[[#This Row],[Indenfor range]],INDEX(DataTitel_liste,LineærRegression_Valg[[#This Row],[Afhængig variabel ID]]),INDEX(DataTitel_liste,1))</f>
        <v>Eksempel 1 (interval)</v>
      </c>
      <c r="G753" s="188" t="str" cm="1">
        <f t="array" ref="G753">IF(LineærRegression_Valg[[#This Row],[Indenfor range]],IF(LineærRegression_Valg[[#This Row],[Intet overlap]],INDEX(DataTitel_liste,LineærRegression_Valg[[#This Row],[Uafhængig variabel ID]]),INDEX(DataTitel_liste,IF(LineærRegression_Valg[[#This Row],[Afhængig variabel ID]]=1,2,1))),$B$7)</f>
        <v>Eksempel 2 (interval)</v>
      </c>
      <c r="H753" s="188">
        <f>_xlfn.AGGREGATE(2,5,LineærRegression_Valg[[#This Row],[Tabel ID]])</f>
        <v>1</v>
      </c>
    </row>
    <row r="754" spans="1:8" x14ac:dyDescent="0.2">
      <c r="A754">
        <f>ROW(LineærRegression_Valg[[#This Row],[Tabel ID]])-ROW(LineærRegression_Valg[[#Headers],[Tabel ID]])</f>
        <v>744</v>
      </c>
      <c r="B754" s="188">
        <f>ROUNDDOWN((LineærRegression_Valg[[#This Row],[Tabel ID]]-1)/$B$5,0)+1</f>
        <v>186</v>
      </c>
      <c r="C754" s="188">
        <f t="shared" si="11"/>
        <v>4</v>
      </c>
      <c r="D754" s="188" t="b">
        <f>LineærRegression_Valg[[#This Row],[Afhængig variabel ID]]&lt;&gt;LineærRegression_Valg[[#This Row],[Uafhængig variabel ID]]</f>
        <v>1</v>
      </c>
      <c r="E754" t="b">
        <f>LineærRegression_Valg[[#This Row],[Afhængig variabel ID]]&lt;=$B$5</f>
        <v>0</v>
      </c>
      <c r="F754" t="str" cm="1">
        <f t="array" ref="F754">IF(LineærRegression_Valg[[#This Row],[Indenfor range]],INDEX(DataTitel_liste,LineærRegression_Valg[[#This Row],[Afhængig variabel ID]]),INDEX(DataTitel_liste,1))</f>
        <v>Eksempel 1 (interval)</v>
      </c>
      <c r="G754" s="188" t="str" cm="1">
        <f t="array" ref="G754">IF(LineærRegression_Valg[[#This Row],[Indenfor range]],IF(LineærRegression_Valg[[#This Row],[Intet overlap]],INDEX(DataTitel_liste,LineærRegression_Valg[[#This Row],[Uafhængig variabel ID]]),INDEX(DataTitel_liste,IF(LineærRegression_Valg[[#This Row],[Afhængig variabel ID]]=1,2,1))),$B$7)</f>
        <v>Eksempel 2 (interval)</v>
      </c>
      <c r="H754" s="188">
        <f>_xlfn.AGGREGATE(2,5,LineærRegression_Valg[[#This Row],[Tabel ID]])</f>
        <v>1</v>
      </c>
    </row>
    <row r="755" spans="1:8" x14ac:dyDescent="0.2">
      <c r="A755">
        <f>ROW(LineærRegression_Valg[[#This Row],[Tabel ID]])-ROW(LineærRegression_Valg[[#Headers],[Tabel ID]])</f>
        <v>745</v>
      </c>
      <c r="B755" s="188">
        <f>ROUNDDOWN((LineærRegression_Valg[[#This Row],[Tabel ID]]-1)/$B$5,0)+1</f>
        <v>187</v>
      </c>
      <c r="C755" s="188">
        <f t="shared" si="11"/>
        <v>1</v>
      </c>
      <c r="D755" s="188" t="b">
        <f>LineærRegression_Valg[[#This Row],[Afhængig variabel ID]]&lt;&gt;LineærRegression_Valg[[#This Row],[Uafhængig variabel ID]]</f>
        <v>1</v>
      </c>
      <c r="E755" t="b">
        <f>LineærRegression_Valg[[#This Row],[Afhængig variabel ID]]&lt;=$B$5</f>
        <v>0</v>
      </c>
      <c r="F755" t="str" cm="1">
        <f t="array" ref="F755">IF(LineærRegression_Valg[[#This Row],[Indenfor range]],INDEX(DataTitel_liste,LineærRegression_Valg[[#This Row],[Afhængig variabel ID]]),INDEX(DataTitel_liste,1))</f>
        <v>Eksempel 1 (interval)</v>
      </c>
      <c r="G755" s="188" t="str" cm="1">
        <f t="array" ref="G755">IF(LineærRegression_Valg[[#This Row],[Indenfor range]],IF(LineærRegression_Valg[[#This Row],[Intet overlap]],INDEX(DataTitel_liste,LineærRegression_Valg[[#This Row],[Uafhængig variabel ID]]),INDEX(DataTitel_liste,IF(LineærRegression_Valg[[#This Row],[Afhængig variabel ID]]=1,2,1))),$B$7)</f>
        <v>Eksempel 2 (interval)</v>
      </c>
      <c r="H755" s="188">
        <f>_xlfn.AGGREGATE(2,5,LineærRegression_Valg[[#This Row],[Tabel ID]])</f>
        <v>1</v>
      </c>
    </row>
    <row r="756" spans="1:8" x14ac:dyDescent="0.2">
      <c r="A756">
        <f>ROW(LineærRegression_Valg[[#This Row],[Tabel ID]])-ROW(LineærRegression_Valg[[#Headers],[Tabel ID]])</f>
        <v>746</v>
      </c>
      <c r="B756" s="188">
        <f>ROUNDDOWN((LineærRegression_Valg[[#This Row],[Tabel ID]]-1)/$B$5,0)+1</f>
        <v>187</v>
      </c>
      <c r="C756" s="188">
        <f t="shared" si="11"/>
        <v>2</v>
      </c>
      <c r="D756" s="188" t="b">
        <f>LineærRegression_Valg[[#This Row],[Afhængig variabel ID]]&lt;&gt;LineærRegression_Valg[[#This Row],[Uafhængig variabel ID]]</f>
        <v>1</v>
      </c>
      <c r="E756" t="b">
        <f>LineærRegression_Valg[[#This Row],[Afhængig variabel ID]]&lt;=$B$5</f>
        <v>0</v>
      </c>
      <c r="F756" t="str" cm="1">
        <f t="array" ref="F756">IF(LineærRegression_Valg[[#This Row],[Indenfor range]],INDEX(DataTitel_liste,LineærRegression_Valg[[#This Row],[Afhængig variabel ID]]),INDEX(DataTitel_liste,1))</f>
        <v>Eksempel 1 (interval)</v>
      </c>
      <c r="G756" s="188" t="str" cm="1">
        <f t="array" ref="G756">IF(LineærRegression_Valg[[#This Row],[Indenfor range]],IF(LineærRegression_Valg[[#This Row],[Intet overlap]],INDEX(DataTitel_liste,LineærRegression_Valg[[#This Row],[Uafhængig variabel ID]]),INDEX(DataTitel_liste,IF(LineærRegression_Valg[[#This Row],[Afhængig variabel ID]]=1,2,1))),$B$7)</f>
        <v>Eksempel 2 (interval)</v>
      </c>
      <c r="H756" s="188">
        <f>_xlfn.AGGREGATE(2,5,LineærRegression_Valg[[#This Row],[Tabel ID]])</f>
        <v>1</v>
      </c>
    </row>
    <row r="757" spans="1:8" x14ac:dyDescent="0.2">
      <c r="A757">
        <f>ROW(LineærRegression_Valg[[#This Row],[Tabel ID]])-ROW(LineærRegression_Valg[[#Headers],[Tabel ID]])</f>
        <v>747</v>
      </c>
      <c r="B757" s="188">
        <f>ROUNDDOWN((LineærRegression_Valg[[#This Row],[Tabel ID]]-1)/$B$5,0)+1</f>
        <v>187</v>
      </c>
      <c r="C757" s="188">
        <f t="shared" si="11"/>
        <v>3</v>
      </c>
      <c r="D757" s="188" t="b">
        <f>LineærRegression_Valg[[#This Row],[Afhængig variabel ID]]&lt;&gt;LineærRegression_Valg[[#This Row],[Uafhængig variabel ID]]</f>
        <v>1</v>
      </c>
      <c r="E757" t="b">
        <f>LineærRegression_Valg[[#This Row],[Afhængig variabel ID]]&lt;=$B$5</f>
        <v>0</v>
      </c>
      <c r="F757" t="str" cm="1">
        <f t="array" ref="F757">IF(LineærRegression_Valg[[#This Row],[Indenfor range]],INDEX(DataTitel_liste,LineærRegression_Valg[[#This Row],[Afhængig variabel ID]]),INDEX(DataTitel_liste,1))</f>
        <v>Eksempel 1 (interval)</v>
      </c>
      <c r="G757" s="188" t="str" cm="1">
        <f t="array" ref="G757">IF(LineærRegression_Valg[[#This Row],[Indenfor range]],IF(LineærRegression_Valg[[#This Row],[Intet overlap]],INDEX(DataTitel_liste,LineærRegression_Valg[[#This Row],[Uafhængig variabel ID]]),INDEX(DataTitel_liste,IF(LineærRegression_Valg[[#This Row],[Afhængig variabel ID]]=1,2,1))),$B$7)</f>
        <v>Eksempel 2 (interval)</v>
      </c>
      <c r="H757" s="188">
        <f>_xlfn.AGGREGATE(2,5,LineærRegression_Valg[[#This Row],[Tabel ID]])</f>
        <v>1</v>
      </c>
    </row>
    <row r="758" spans="1:8" x14ac:dyDescent="0.2">
      <c r="A758">
        <f>ROW(LineærRegression_Valg[[#This Row],[Tabel ID]])-ROW(LineærRegression_Valg[[#Headers],[Tabel ID]])</f>
        <v>748</v>
      </c>
      <c r="B758" s="188">
        <f>ROUNDDOWN((LineærRegression_Valg[[#This Row],[Tabel ID]]-1)/$B$5,0)+1</f>
        <v>187</v>
      </c>
      <c r="C758" s="188">
        <f t="shared" si="11"/>
        <v>4</v>
      </c>
      <c r="D758" s="188" t="b">
        <f>LineærRegression_Valg[[#This Row],[Afhængig variabel ID]]&lt;&gt;LineærRegression_Valg[[#This Row],[Uafhængig variabel ID]]</f>
        <v>1</v>
      </c>
      <c r="E758" t="b">
        <f>LineærRegression_Valg[[#This Row],[Afhængig variabel ID]]&lt;=$B$5</f>
        <v>0</v>
      </c>
      <c r="F758" t="str" cm="1">
        <f t="array" ref="F758">IF(LineærRegression_Valg[[#This Row],[Indenfor range]],INDEX(DataTitel_liste,LineærRegression_Valg[[#This Row],[Afhængig variabel ID]]),INDEX(DataTitel_liste,1))</f>
        <v>Eksempel 1 (interval)</v>
      </c>
      <c r="G758" s="188" t="str" cm="1">
        <f t="array" ref="G758">IF(LineærRegression_Valg[[#This Row],[Indenfor range]],IF(LineærRegression_Valg[[#This Row],[Intet overlap]],INDEX(DataTitel_liste,LineærRegression_Valg[[#This Row],[Uafhængig variabel ID]]),INDEX(DataTitel_liste,IF(LineærRegression_Valg[[#This Row],[Afhængig variabel ID]]=1,2,1))),$B$7)</f>
        <v>Eksempel 2 (interval)</v>
      </c>
      <c r="H758" s="188">
        <f>_xlfn.AGGREGATE(2,5,LineærRegression_Valg[[#This Row],[Tabel ID]])</f>
        <v>1</v>
      </c>
    </row>
    <row r="759" spans="1:8" x14ac:dyDescent="0.2">
      <c r="A759">
        <f>ROW(LineærRegression_Valg[[#This Row],[Tabel ID]])-ROW(LineærRegression_Valg[[#Headers],[Tabel ID]])</f>
        <v>749</v>
      </c>
      <c r="B759" s="188">
        <f>ROUNDDOWN((LineærRegression_Valg[[#This Row],[Tabel ID]]-1)/$B$5,0)+1</f>
        <v>188</v>
      </c>
      <c r="C759" s="188">
        <f t="shared" si="11"/>
        <v>1</v>
      </c>
      <c r="D759" s="188" t="b">
        <f>LineærRegression_Valg[[#This Row],[Afhængig variabel ID]]&lt;&gt;LineærRegression_Valg[[#This Row],[Uafhængig variabel ID]]</f>
        <v>1</v>
      </c>
      <c r="E759" t="b">
        <f>LineærRegression_Valg[[#This Row],[Afhængig variabel ID]]&lt;=$B$5</f>
        <v>0</v>
      </c>
      <c r="F759" t="str" cm="1">
        <f t="array" ref="F759">IF(LineærRegression_Valg[[#This Row],[Indenfor range]],INDEX(DataTitel_liste,LineærRegression_Valg[[#This Row],[Afhængig variabel ID]]),INDEX(DataTitel_liste,1))</f>
        <v>Eksempel 1 (interval)</v>
      </c>
      <c r="G759" s="188" t="str" cm="1">
        <f t="array" ref="G759">IF(LineærRegression_Valg[[#This Row],[Indenfor range]],IF(LineærRegression_Valg[[#This Row],[Intet overlap]],INDEX(DataTitel_liste,LineærRegression_Valg[[#This Row],[Uafhængig variabel ID]]),INDEX(DataTitel_liste,IF(LineærRegression_Valg[[#This Row],[Afhængig variabel ID]]=1,2,1))),$B$7)</f>
        <v>Eksempel 2 (interval)</v>
      </c>
      <c r="H759" s="188">
        <f>_xlfn.AGGREGATE(2,5,LineærRegression_Valg[[#This Row],[Tabel ID]])</f>
        <v>1</v>
      </c>
    </row>
    <row r="760" spans="1:8" x14ac:dyDescent="0.2">
      <c r="A760">
        <f>ROW(LineærRegression_Valg[[#This Row],[Tabel ID]])-ROW(LineærRegression_Valg[[#Headers],[Tabel ID]])</f>
        <v>750</v>
      </c>
      <c r="B760" s="188">
        <f>ROUNDDOWN((LineærRegression_Valg[[#This Row],[Tabel ID]]-1)/$B$5,0)+1</f>
        <v>188</v>
      </c>
      <c r="C760" s="188">
        <f t="shared" si="11"/>
        <v>2</v>
      </c>
      <c r="D760" s="188" t="b">
        <f>LineærRegression_Valg[[#This Row],[Afhængig variabel ID]]&lt;&gt;LineærRegression_Valg[[#This Row],[Uafhængig variabel ID]]</f>
        <v>1</v>
      </c>
      <c r="E760" t="b">
        <f>LineærRegression_Valg[[#This Row],[Afhængig variabel ID]]&lt;=$B$5</f>
        <v>0</v>
      </c>
      <c r="F760" t="str" cm="1">
        <f t="array" ref="F760">IF(LineærRegression_Valg[[#This Row],[Indenfor range]],INDEX(DataTitel_liste,LineærRegression_Valg[[#This Row],[Afhængig variabel ID]]),INDEX(DataTitel_liste,1))</f>
        <v>Eksempel 1 (interval)</v>
      </c>
      <c r="G760" s="188" t="str" cm="1">
        <f t="array" ref="G760">IF(LineærRegression_Valg[[#This Row],[Indenfor range]],IF(LineærRegression_Valg[[#This Row],[Intet overlap]],INDEX(DataTitel_liste,LineærRegression_Valg[[#This Row],[Uafhængig variabel ID]]),INDEX(DataTitel_liste,IF(LineærRegression_Valg[[#This Row],[Afhængig variabel ID]]=1,2,1))),$B$7)</f>
        <v>Eksempel 2 (interval)</v>
      </c>
      <c r="H760" s="188">
        <f>_xlfn.AGGREGATE(2,5,LineærRegression_Valg[[#This Row],[Tabel ID]])</f>
        <v>1</v>
      </c>
    </row>
    <row r="761" spans="1:8" x14ac:dyDescent="0.2">
      <c r="A761">
        <f>ROW(LineærRegression_Valg[[#This Row],[Tabel ID]])-ROW(LineærRegression_Valg[[#Headers],[Tabel ID]])</f>
        <v>751</v>
      </c>
      <c r="B761" s="188">
        <f>ROUNDDOWN((LineærRegression_Valg[[#This Row],[Tabel ID]]-1)/$B$5,0)+1</f>
        <v>188</v>
      </c>
      <c r="C761" s="188">
        <f t="shared" si="11"/>
        <v>3</v>
      </c>
      <c r="D761" s="188" t="b">
        <f>LineærRegression_Valg[[#This Row],[Afhængig variabel ID]]&lt;&gt;LineærRegression_Valg[[#This Row],[Uafhængig variabel ID]]</f>
        <v>1</v>
      </c>
      <c r="E761" t="b">
        <f>LineærRegression_Valg[[#This Row],[Afhængig variabel ID]]&lt;=$B$5</f>
        <v>0</v>
      </c>
      <c r="F761" t="str" cm="1">
        <f t="array" ref="F761">IF(LineærRegression_Valg[[#This Row],[Indenfor range]],INDEX(DataTitel_liste,LineærRegression_Valg[[#This Row],[Afhængig variabel ID]]),INDEX(DataTitel_liste,1))</f>
        <v>Eksempel 1 (interval)</v>
      </c>
      <c r="G761" s="188" t="str" cm="1">
        <f t="array" ref="G761">IF(LineærRegression_Valg[[#This Row],[Indenfor range]],IF(LineærRegression_Valg[[#This Row],[Intet overlap]],INDEX(DataTitel_liste,LineærRegression_Valg[[#This Row],[Uafhængig variabel ID]]),INDEX(DataTitel_liste,IF(LineærRegression_Valg[[#This Row],[Afhængig variabel ID]]=1,2,1))),$B$7)</f>
        <v>Eksempel 2 (interval)</v>
      </c>
      <c r="H761" s="188">
        <f>_xlfn.AGGREGATE(2,5,LineærRegression_Valg[[#This Row],[Tabel ID]])</f>
        <v>1</v>
      </c>
    </row>
    <row r="762" spans="1:8" x14ac:dyDescent="0.2">
      <c r="A762">
        <f>ROW(LineærRegression_Valg[[#This Row],[Tabel ID]])-ROW(LineærRegression_Valg[[#Headers],[Tabel ID]])</f>
        <v>752</v>
      </c>
      <c r="B762" s="188">
        <f>ROUNDDOWN((LineærRegression_Valg[[#This Row],[Tabel ID]]-1)/$B$5,0)+1</f>
        <v>188</v>
      </c>
      <c r="C762" s="188">
        <f t="shared" si="11"/>
        <v>4</v>
      </c>
      <c r="D762" s="188" t="b">
        <f>LineærRegression_Valg[[#This Row],[Afhængig variabel ID]]&lt;&gt;LineærRegression_Valg[[#This Row],[Uafhængig variabel ID]]</f>
        <v>1</v>
      </c>
      <c r="E762" t="b">
        <f>LineærRegression_Valg[[#This Row],[Afhængig variabel ID]]&lt;=$B$5</f>
        <v>0</v>
      </c>
      <c r="F762" t="str" cm="1">
        <f t="array" ref="F762">IF(LineærRegression_Valg[[#This Row],[Indenfor range]],INDEX(DataTitel_liste,LineærRegression_Valg[[#This Row],[Afhængig variabel ID]]),INDEX(DataTitel_liste,1))</f>
        <v>Eksempel 1 (interval)</v>
      </c>
      <c r="G762" s="188" t="str" cm="1">
        <f t="array" ref="G762">IF(LineærRegression_Valg[[#This Row],[Indenfor range]],IF(LineærRegression_Valg[[#This Row],[Intet overlap]],INDEX(DataTitel_liste,LineærRegression_Valg[[#This Row],[Uafhængig variabel ID]]),INDEX(DataTitel_liste,IF(LineærRegression_Valg[[#This Row],[Afhængig variabel ID]]=1,2,1))),$B$7)</f>
        <v>Eksempel 2 (interval)</v>
      </c>
      <c r="H762" s="188">
        <f>_xlfn.AGGREGATE(2,5,LineærRegression_Valg[[#This Row],[Tabel ID]])</f>
        <v>1</v>
      </c>
    </row>
    <row r="763" spans="1:8" x14ac:dyDescent="0.2">
      <c r="A763">
        <f>ROW(LineærRegression_Valg[[#This Row],[Tabel ID]])-ROW(LineærRegression_Valg[[#Headers],[Tabel ID]])</f>
        <v>753</v>
      </c>
      <c r="B763" s="188">
        <f>ROUNDDOWN((LineærRegression_Valg[[#This Row],[Tabel ID]]-1)/$B$5,0)+1</f>
        <v>189</v>
      </c>
      <c r="C763" s="188">
        <f t="shared" si="11"/>
        <v>1</v>
      </c>
      <c r="D763" s="188" t="b">
        <f>LineærRegression_Valg[[#This Row],[Afhængig variabel ID]]&lt;&gt;LineærRegression_Valg[[#This Row],[Uafhængig variabel ID]]</f>
        <v>1</v>
      </c>
      <c r="E763" t="b">
        <f>LineærRegression_Valg[[#This Row],[Afhængig variabel ID]]&lt;=$B$5</f>
        <v>0</v>
      </c>
      <c r="F763" t="str" cm="1">
        <f t="array" ref="F763">IF(LineærRegression_Valg[[#This Row],[Indenfor range]],INDEX(DataTitel_liste,LineærRegression_Valg[[#This Row],[Afhængig variabel ID]]),INDEX(DataTitel_liste,1))</f>
        <v>Eksempel 1 (interval)</v>
      </c>
      <c r="G763" s="188" t="str" cm="1">
        <f t="array" ref="G763">IF(LineærRegression_Valg[[#This Row],[Indenfor range]],IF(LineærRegression_Valg[[#This Row],[Intet overlap]],INDEX(DataTitel_liste,LineærRegression_Valg[[#This Row],[Uafhængig variabel ID]]),INDEX(DataTitel_liste,IF(LineærRegression_Valg[[#This Row],[Afhængig variabel ID]]=1,2,1))),$B$7)</f>
        <v>Eksempel 2 (interval)</v>
      </c>
      <c r="H763" s="188">
        <f>_xlfn.AGGREGATE(2,5,LineærRegression_Valg[[#This Row],[Tabel ID]])</f>
        <v>1</v>
      </c>
    </row>
    <row r="764" spans="1:8" x14ac:dyDescent="0.2">
      <c r="A764">
        <f>ROW(LineærRegression_Valg[[#This Row],[Tabel ID]])-ROW(LineærRegression_Valg[[#Headers],[Tabel ID]])</f>
        <v>754</v>
      </c>
      <c r="B764" s="188">
        <f>ROUNDDOWN((LineærRegression_Valg[[#This Row],[Tabel ID]]-1)/$B$5,0)+1</f>
        <v>189</v>
      </c>
      <c r="C764" s="188">
        <f t="shared" si="11"/>
        <v>2</v>
      </c>
      <c r="D764" s="188" t="b">
        <f>LineærRegression_Valg[[#This Row],[Afhængig variabel ID]]&lt;&gt;LineærRegression_Valg[[#This Row],[Uafhængig variabel ID]]</f>
        <v>1</v>
      </c>
      <c r="E764" t="b">
        <f>LineærRegression_Valg[[#This Row],[Afhængig variabel ID]]&lt;=$B$5</f>
        <v>0</v>
      </c>
      <c r="F764" t="str" cm="1">
        <f t="array" ref="F764">IF(LineærRegression_Valg[[#This Row],[Indenfor range]],INDEX(DataTitel_liste,LineærRegression_Valg[[#This Row],[Afhængig variabel ID]]),INDEX(DataTitel_liste,1))</f>
        <v>Eksempel 1 (interval)</v>
      </c>
      <c r="G764" s="188" t="str" cm="1">
        <f t="array" ref="G764">IF(LineærRegression_Valg[[#This Row],[Indenfor range]],IF(LineærRegression_Valg[[#This Row],[Intet overlap]],INDEX(DataTitel_liste,LineærRegression_Valg[[#This Row],[Uafhængig variabel ID]]),INDEX(DataTitel_liste,IF(LineærRegression_Valg[[#This Row],[Afhængig variabel ID]]=1,2,1))),$B$7)</f>
        <v>Eksempel 2 (interval)</v>
      </c>
      <c r="H764" s="188">
        <f>_xlfn.AGGREGATE(2,5,LineærRegression_Valg[[#This Row],[Tabel ID]])</f>
        <v>1</v>
      </c>
    </row>
    <row r="765" spans="1:8" x14ac:dyDescent="0.2">
      <c r="A765">
        <f>ROW(LineærRegression_Valg[[#This Row],[Tabel ID]])-ROW(LineærRegression_Valg[[#Headers],[Tabel ID]])</f>
        <v>755</v>
      </c>
      <c r="B765" s="188">
        <f>ROUNDDOWN((LineærRegression_Valg[[#This Row],[Tabel ID]]-1)/$B$5,0)+1</f>
        <v>189</v>
      </c>
      <c r="C765" s="188">
        <f t="shared" si="11"/>
        <v>3</v>
      </c>
      <c r="D765" s="188" t="b">
        <f>LineærRegression_Valg[[#This Row],[Afhængig variabel ID]]&lt;&gt;LineærRegression_Valg[[#This Row],[Uafhængig variabel ID]]</f>
        <v>1</v>
      </c>
      <c r="E765" t="b">
        <f>LineærRegression_Valg[[#This Row],[Afhængig variabel ID]]&lt;=$B$5</f>
        <v>0</v>
      </c>
      <c r="F765" t="str" cm="1">
        <f t="array" ref="F765">IF(LineærRegression_Valg[[#This Row],[Indenfor range]],INDEX(DataTitel_liste,LineærRegression_Valg[[#This Row],[Afhængig variabel ID]]),INDEX(DataTitel_liste,1))</f>
        <v>Eksempel 1 (interval)</v>
      </c>
      <c r="G765" s="188" t="str" cm="1">
        <f t="array" ref="G765">IF(LineærRegression_Valg[[#This Row],[Indenfor range]],IF(LineærRegression_Valg[[#This Row],[Intet overlap]],INDEX(DataTitel_liste,LineærRegression_Valg[[#This Row],[Uafhængig variabel ID]]),INDEX(DataTitel_liste,IF(LineærRegression_Valg[[#This Row],[Afhængig variabel ID]]=1,2,1))),$B$7)</f>
        <v>Eksempel 2 (interval)</v>
      </c>
      <c r="H765" s="188">
        <f>_xlfn.AGGREGATE(2,5,LineærRegression_Valg[[#This Row],[Tabel ID]])</f>
        <v>1</v>
      </c>
    </row>
    <row r="766" spans="1:8" x14ac:dyDescent="0.2">
      <c r="A766">
        <f>ROW(LineærRegression_Valg[[#This Row],[Tabel ID]])-ROW(LineærRegression_Valg[[#Headers],[Tabel ID]])</f>
        <v>756</v>
      </c>
      <c r="B766" s="188">
        <f>ROUNDDOWN((LineærRegression_Valg[[#This Row],[Tabel ID]]-1)/$B$5,0)+1</f>
        <v>189</v>
      </c>
      <c r="C766" s="188">
        <f t="shared" si="11"/>
        <v>4</v>
      </c>
      <c r="D766" s="188" t="b">
        <f>LineærRegression_Valg[[#This Row],[Afhængig variabel ID]]&lt;&gt;LineærRegression_Valg[[#This Row],[Uafhængig variabel ID]]</f>
        <v>1</v>
      </c>
      <c r="E766" t="b">
        <f>LineærRegression_Valg[[#This Row],[Afhængig variabel ID]]&lt;=$B$5</f>
        <v>0</v>
      </c>
      <c r="F766" t="str" cm="1">
        <f t="array" ref="F766">IF(LineærRegression_Valg[[#This Row],[Indenfor range]],INDEX(DataTitel_liste,LineærRegression_Valg[[#This Row],[Afhængig variabel ID]]),INDEX(DataTitel_liste,1))</f>
        <v>Eksempel 1 (interval)</v>
      </c>
      <c r="G766" s="188" t="str" cm="1">
        <f t="array" ref="G766">IF(LineærRegression_Valg[[#This Row],[Indenfor range]],IF(LineærRegression_Valg[[#This Row],[Intet overlap]],INDEX(DataTitel_liste,LineærRegression_Valg[[#This Row],[Uafhængig variabel ID]]),INDEX(DataTitel_liste,IF(LineærRegression_Valg[[#This Row],[Afhængig variabel ID]]=1,2,1))),$B$7)</f>
        <v>Eksempel 2 (interval)</v>
      </c>
      <c r="H766" s="188">
        <f>_xlfn.AGGREGATE(2,5,LineærRegression_Valg[[#This Row],[Tabel ID]])</f>
        <v>1</v>
      </c>
    </row>
    <row r="767" spans="1:8" x14ac:dyDescent="0.2">
      <c r="A767">
        <f>ROW(LineærRegression_Valg[[#This Row],[Tabel ID]])-ROW(LineærRegression_Valg[[#Headers],[Tabel ID]])</f>
        <v>757</v>
      </c>
      <c r="B767" s="188">
        <f>ROUNDDOWN((LineærRegression_Valg[[#This Row],[Tabel ID]]-1)/$B$5,0)+1</f>
        <v>190</v>
      </c>
      <c r="C767" s="188">
        <f t="shared" si="11"/>
        <v>1</v>
      </c>
      <c r="D767" s="188" t="b">
        <f>LineærRegression_Valg[[#This Row],[Afhængig variabel ID]]&lt;&gt;LineærRegression_Valg[[#This Row],[Uafhængig variabel ID]]</f>
        <v>1</v>
      </c>
      <c r="E767" t="b">
        <f>LineærRegression_Valg[[#This Row],[Afhængig variabel ID]]&lt;=$B$5</f>
        <v>0</v>
      </c>
      <c r="F767" t="str" cm="1">
        <f t="array" ref="F767">IF(LineærRegression_Valg[[#This Row],[Indenfor range]],INDEX(DataTitel_liste,LineærRegression_Valg[[#This Row],[Afhængig variabel ID]]),INDEX(DataTitel_liste,1))</f>
        <v>Eksempel 1 (interval)</v>
      </c>
      <c r="G767" s="188" t="str" cm="1">
        <f t="array" ref="G767">IF(LineærRegression_Valg[[#This Row],[Indenfor range]],IF(LineærRegression_Valg[[#This Row],[Intet overlap]],INDEX(DataTitel_liste,LineærRegression_Valg[[#This Row],[Uafhængig variabel ID]]),INDEX(DataTitel_liste,IF(LineærRegression_Valg[[#This Row],[Afhængig variabel ID]]=1,2,1))),$B$7)</f>
        <v>Eksempel 2 (interval)</v>
      </c>
      <c r="H767" s="188">
        <f>_xlfn.AGGREGATE(2,5,LineærRegression_Valg[[#This Row],[Tabel ID]])</f>
        <v>1</v>
      </c>
    </row>
    <row r="768" spans="1:8" x14ac:dyDescent="0.2">
      <c r="A768">
        <f>ROW(LineærRegression_Valg[[#This Row],[Tabel ID]])-ROW(LineærRegression_Valg[[#Headers],[Tabel ID]])</f>
        <v>758</v>
      </c>
      <c r="B768" s="188">
        <f>ROUNDDOWN((LineærRegression_Valg[[#This Row],[Tabel ID]]-1)/$B$5,0)+1</f>
        <v>190</v>
      </c>
      <c r="C768" s="188">
        <f t="shared" si="11"/>
        <v>2</v>
      </c>
      <c r="D768" s="188" t="b">
        <f>LineærRegression_Valg[[#This Row],[Afhængig variabel ID]]&lt;&gt;LineærRegression_Valg[[#This Row],[Uafhængig variabel ID]]</f>
        <v>1</v>
      </c>
      <c r="E768" t="b">
        <f>LineærRegression_Valg[[#This Row],[Afhængig variabel ID]]&lt;=$B$5</f>
        <v>0</v>
      </c>
      <c r="F768" t="str" cm="1">
        <f t="array" ref="F768">IF(LineærRegression_Valg[[#This Row],[Indenfor range]],INDEX(DataTitel_liste,LineærRegression_Valg[[#This Row],[Afhængig variabel ID]]),INDEX(DataTitel_liste,1))</f>
        <v>Eksempel 1 (interval)</v>
      </c>
      <c r="G768" s="188" t="str" cm="1">
        <f t="array" ref="G768">IF(LineærRegression_Valg[[#This Row],[Indenfor range]],IF(LineærRegression_Valg[[#This Row],[Intet overlap]],INDEX(DataTitel_liste,LineærRegression_Valg[[#This Row],[Uafhængig variabel ID]]),INDEX(DataTitel_liste,IF(LineærRegression_Valg[[#This Row],[Afhængig variabel ID]]=1,2,1))),$B$7)</f>
        <v>Eksempel 2 (interval)</v>
      </c>
      <c r="H768" s="188">
        <f>_xlfn.AGGREGATE(2,5,LineærRegression_Valg[[#This Row],[Tabel ID]])</f>
        <v>1</v>
      </c>
    </row>
    <row r="769" spans="1:8" x14ac:dyDescent="0.2">
      <c r="A769">
        <f>ROW(LineærRegression_Valg[[#This Row],[Tabel ID]])-ROW(LineærRegression_Valg[[#Headers],[Tabel ID]])</f>
        <v>759</v>
      </c>
      <c r="B769" s="188">
        <f>ROUNDDOWN((LineærRegression_Valg[[#This Row],[Tabel ID]]-1)/$B$5,0)+1</f>
        <v>190</v>
      </c>
      <c r="C769" s="188">
        <f t="shared" si="11"/>
        <v>3</v>
      </c>
      <c r="D769" s="188" t="b">
        <f>LineærRegression_Valg[[#This Row],[Afhængig variabel ID]]&lt;&gt;LineærRegression_Valg[[#This Row],[Uafhængig variabel ID]]</f>
        <v>1</v>
      </c>
      <c r="E769" t="b">
        <f>LineærRegression_Valg[[#This Row],[Afhængig variabel ID]]&lt;=$B$5</f>
        <v>0</v>
      </c>
      <c r="F769" t="str" cm="1">
        <f t="array" ref="F769">IF(LineærRegression_Valg[[#This Row],[Indenfor range]],INDEX(DataTitel_liste,LineærRegression_Valg[[#This Row],[Afhængig variabel ID]]),INDEX(DataTitel_liste,1))</f>
        <v>Eksempel 1 (interval)</v>
      </c>
      <c r="G769" s="188" t="str" cm="1">
        <f t="array" ref="G769">IF(LineærRegression_Valg[[#This Row],[Indenfor range]],IF(LineærRegression_Valg[[#This Row],[Intet overlap]],INDEX(DataTitel_liste,LineærRegression_Valg[[#This Row],[Uafhængig variabel ID]]),INDEX(DataTitel_liste,IF(LineærRegression_Valg[[#This Row],[Afhængig variabel ID]]=1,2,1))),$B$7)</f>
        <v>Eksempel 2 (interval)</v>
      </c>
      <c r="H769" s="188">
        <f>_xlfn.AGGREGATE(2,5,LineærRegression_Valg[[#This Row],[Tabel ID]])</f>
        <v>1</v>
      </c>
    </row>
    <row r="770" spans="1:8" x14ac:dyDescent="0.2">
      <c r="A770">
        <f>ROW(LineærRegression_Valg[[#This Row],[Tabel ID]])-ROW(LineærRegression_Valg[[#Headers],[Tabel ID]])</f>
        <v>760</v>
      </c>
      <c r="B770" s="188">
        <f>ROUNDDOWN((LineærRegression_Valg[[#This Row],[Tabel ID]]-1)/$B$5,0)+1</f>
        <v>190</v>
      </c>
      <c r="C770" s="188">
        <f t="shared" si="11"/>
        <v>4</v>
      </c>
      <c r="D770" s="188" t="b">
        <f>LineærRegression_Valg[[#This Row],[Afhængig variabel ID]]&lt;&gt;LineærRegression_Valg[[#This Row],[Uafhængig variabel ID]]</f>
        <v>1</v>
      </c>
      <c r="E770" t="b">
        <f>LineærRegression_Valg[[#This Row],[Afhængig variabel ID]]&lt;=$B$5</f>
        <v>0</v>
      </c>
      <c r="F770" t="str" cm="1">
        <f t="array" ref="F770">IF(LineærRegression_Valg[[#This Row],[Indenfor range]],INDEX(DataTitel_liste,LineærRegression_Valg[[#This Row],[Afhængig variabel ID]]),INDEX(DataTitel_liste,1))</f>
        <v>Eksempel 1 (interval)</v>
      </c>
      <c r="G770" s="188" t="str" cm="1">
        <f t="array" ref="G770">IF(LineærRegression_Valg[[#This Row],[Indenfor range]],IF(LineærRegression_Valg[[#This Row],[Intet overlap]],INDEX(DataTitel_liste,LineærRegression_Valg[[#This Row],[Uafhængig variabel ID]]),INDEX(DataTitel_liste,IF(LineærRegression_Valg[[#This Row],[Afhængig variabel ID]]=1,2,1))),$B$7)</f>
        <v>Eksempel 2 (interval)</v>
      </c>
      <c r="H770" s="188">
        <f>_xlfn.AGGREGATE(2,5,LineærRegression_Valg[[#This Row],[Tabel ID]])</f>
        <v>1</v>
      </c>
    </row>
    <row r="771" spans="1:8" x14ac:dyDescent="0.2">
      <c r="A771">
        <f>ROW(LineærRegression_Valg[[#This Row],[Tabel ID]])-ROW(LineærRegression_Valg[[#Headers],[Tabel ID]])</f>
        <v>761</v>
      </c>
      <c r="B771" s="188">
        <f>ROUNDDOWN((LineærRegression_Valg[[#This Row],[Tabel ID]]-1)/$B$5,0)+1</f>
        <v>191</v>
      </c>
      <c r="C771" s="188">
        <f t="shared" si="11"/>
        <v>1</v>
      </c>
      <c r="D771" s="188" t="b">
        <f>LineærRegression_Valg[[#This Row],[Afhængig variabel ID]]&lt;&gt;LineærRegression_Valg[[#This Row],[Uafhængig variabel ID]]</f>
        <v>1</v>
      </c>
      <c r="E771" t="b">
        <f>LineærRegression_Valg[[#This Row],[Afhængig variabel ID]]&lt;=$B$5</f>
        <v>0</v>
      </c>
      <c r="F771" t="str" cm="1">
        <f t="array" ref="F771">IF(LineærRegression_Valg[[#This Row],[Indenfor range]],INDEX(DataTitel_liste,LineærRegression_Valg[[#This Row],[Afhængig variabel ID]]),INDEX(DataTitel_liste,1))</f>
        <v>Eksempel 1 (interval)</v>
      </c>
      <c r="G771" s="188" t="str" cm="1">
        <f t="array" ref="G771">IF(LineærRegression_Valg[[#This Row],[Indenfor range]],IF(LineærRegression_Valg[[#This Row],[Intet overlap]],INDEX(DataTitel_liste,LineærRegression_Valg[[#This Row],[Uafhængig variabel ID]]),INDEX(DataTitel_liste,IF(LineærRegression_Valg[[#This Row],[Afhængig variabel ID]]=1,2,1))),$B$7)</f>
        <v>Eksempel 2 (interval)</v>
      </c>
      <c r="H771" s="188">
        <f>_xlfn.AGGREGATE(2,5,LineærRegression_Valg[[#This Row],[Tabel ID]])</f>
        <v>1</v>
      </c>
    </row>
    <row r="772" spans="1:8" x14ac:dyDescent="0.2">
      <c r="A772">
        <f>ROW(LineærRegression_Valg[[#This Row],[Tabel ID]])-ROW(LineærRegression_Valg[[#Headers],[Tabel ID]])</f>
        <v>762</v>
      </c>
      <c r="B772" s="188">
        <f>ROUNDDOWN((LineærRegression_Valg[[#This Row],[Tabel ID]]-1)/$B$5,0)+1</f>
        <v>191</v>
      </c>
      <c r="C772" s="188">
        <f t="shared" si="11"/>
        <v>2</v>
      </c>
      <c r="D772" s="188" t="b">
        <f>LineærRegression_Valg[[#This Row],[Afhængig variabel ID]]&lt;&gt;LineærRegression_Valg[[#This Row],[Uafhængig variabel ID]]</f>
        <v>1</v>
      </c>
      <c r="E772" t="b">
        <f>LineærRegression_Valg[[#This Row],[Afhængig variabel ID]]&lt;=$B$5</f>
        <v>0</v>
      </c>
      <c r="F772" t="str" cm="1">
        <f t="array" ref="F772">IF(LineærRegression_Valg[[#This Row],[Indenfor range]],INDEX(DataTitel_liste,LineærRegression_Valg[[#This Row],[Afhængig variabel ID]]),INDEX(DataTitel_liste,1))</f>
        <v>Eksempel 1 (interval)</v>
      </c>
      <c r="G772" s="188" t="str" cm="1">
        <f t="array" ref="G772">IF(LineærRegression_Valg[[#This Row],[Indenfor range]],IF(LineærRegression_Valg[[#This Row],[Intet overlap]],INDEX(DataTitel_liste,LineærRegression_Valg[[#This Row],[Uafhængig variabel ID]]),INDEX(DataTitel_liste,IF(LineærRegression_Valg[[#This Row],[Afhængig variabel ID]]=1,2,1))),$B$7)</f>
        <v>Eksempel 2 (interval)</v>
      </c>
      <c r="H772" s="188">
        <f>_xlfn.AGGREGATE(2,5,LineærRegression_Valg[[#This Row],[Tabel ID]])</f>
        <v>1</v>
      </c>
    </row>
    <row r="773" spans="1:8" x14ac:dyDescent="0.2">
      <c r="A773">
        <f>ROW(LineærRegression_Valg[[#This Row],[Tabel ID]])-ROW(LineærRegression_Valg[[#Headers],[Tabel ID]])</f>
        <v>763</v>
      </c>
      <c r="B773" s="188">
        <f>ROUNDDOWN((LineærRegression_Valg[[#This Row],[Tabel ID]]-1)/$B$5,0)+1</f>
        <v>191</v>
      </c>
      <c r="C773" s="188">
        <f t="shared" si="11"/>
        <v>3</v>
      </c>
      <c r="D773" s="188" t="b">
        <f>LineærRegression_Valg[[#This Row],[Afhængig variabel ID]]&lt;&gt;LineærRegression_Valg[[#This Row],[Uafhængig variabel ID]]</f>
        <v>1</v>
      </c>
      <c r="E773" t="b">
        <f>LineærRegression_Valg[[#This Row],[Afhængig variabel ID]]&lt;=$B$5</f>
        <v>0</v>
      </c>
      <c r="F773" t="str" cm="1">
        <f t="array" ref="F773">IF(LineærRegression_Valg[[#This Row],[Indenfor range]],INDEX(DataTitel_liste,LineærRegression_Valg[[#This Row],[Afhængig variabel ID]]),INDEX(DataTitel_liste,1))</f>
        <v>Eksempel 1 (interval)</v>
      </c>
      <c r="G773" s="188" t="str" cm="1">
        <f t="array" ref="G773">IF(LineærRegression_Valg[[#This Row],[Indenfor range]],IF(LineærRegression_Valg[[#This Row],[Intet overlap]],INDEX(DataTitel_liste,LineærRegression_Valg[[#This Row],[Uafhængig variabel ID]]),INDEX(DataTitel_liste,IF(LineærRegression_Valg[[#This Row],[Afhængig variabel ID]]=1,2,1))),$B$7)</f>
        <v>Eksempel 2 (interval)</v>
      </c>
      <c r="H773" s="188">
        <f>_xlfn.AGGREGATE(2,5,LineærRegression_Valg[[#This Row],[Tabel ID]])</f>
        <v>1</v>
      </c>
    </row>
    <row r="774" spans="1:8" x14ac:dyDescent="0.2">
      <c r="A774">
        <f>ROW(LineærRegression_Valg[[#This Row],[Tabel ID]])-ROW(LineærRegression_Valg[[#Headers],[Tabel ID]])</f>
        <v>764</v>
      </c>
      <c r="B774" s="188">
        <f>ROUNDDOWN((LineærRegression_Valg[[#This Row],[Tabel ID]]-1)/$B$5,0)+1</f>
        <v>191</v>
      </c>
      <c r="C774" s="188">
        <f t="shared" si="11"/>
        <v>4</v>
      </c>
      <c r="D774" s="188" t="b">
        <f>LineærRegression_Valg[[#This Row],[Afhængig variabel ID]]&lt;&gt;LineærRegression_Valg[[#This Row],[Uafhængig variabel ID]]</f>
        <v>1</v>
      </c>
      <c r="E774" t="b">
        <f>LineærRegression_Valg[[#This Row],[Afhængig variabel ID]]&lt;=$B$5</f>
        <v>0</v>
      </c>
      <c r="F774" t="str" cm="1">
        <f t="array" ref="F774">IF(LineærRegression_Valg[[#This Row],[Indenfor range]],INDEX(DataTitel_liste,LineærRegression_Valg[[#This Row],[Afhængig variabel ID]]),INDEX(DataTitel_liste,1))</f>
        <v>Eksempel 1 (interval)</v>
      </c>
      <c r="G774" s="188" t="str" cm="1">
        <f t="array" ref="G774">IF(LineærRegression_Valg[[#This Row],[Indenfor range]],IF(LineærRegression_Valg[[#This Row],[Intet overlap]],INDEX(DataTitel_liste,LineærRegression_Valg[[#This Row],[Uafhængig variabel ID]]),INDEX(DataTitel_liste,IF(LineærRegression_Valg[[#This Row],[Afhængig variabel ID]]=1,2,1))),$B$7)</f>
        <v>Eksempel 2 (interval)</v>
      </c>
      <c r="H774" s="188">
        <f>_xlfn.AGGREGATE(2,5,LineærRegression_Valg[[#This Row],[Tabel ID]])</f>
        <v>1</v>
      </c>
    </row>
    <row r="775" spans="1:8" x14ac:dyDescent="0.2">
      <c r="A775">
        <f>ROW(LineærRegression_Valg[[#This Row],[Tabel ID]])-ROW(LineærRegression_Valg[[#Headers],[Tabel ID]])</f>
        <v>765</v>
      </c>
      <c r="B775" s="188">
        <f>ROUNDDOWN((LineærRegression_Valg[[#This Row],[Tabel ID]]-1)/$B$5,0)+1</f>
        <v>192</v>
      </c>
      <c r="C775" s="188">
        <f t="shared" si="11"/>
        <v>1</v>
      </c>
      <c r="D775" s="188" t="b">
        <f>LineærRegression_Valg[[#This Row],[Afhængig variabel ID]]&lt;&gt;LineærRegression_Valg[[#This Row],[Uafhængig variabel ID]]</f>
        <v>1</v>
      </c>
      <c r="E775" t="b">
        <f>LineærRegression_Valg[[#This Row],[Afhængig variabel ID]]&lt;=$B$5</f>
        <v>0</v>
      </c>
      <c r="F775" t="str" cm="1">
        <f t="array" ref="F775">IF(LineærRegression_Valg[[#This Row],[Indenfor range]],INDEX(DataTitel_liste,LineærRegression_Valg[[#This Row],[Afhængig variabel ID]]),INDEX(DataTitel_liste,1))</f>
        <v>Eksempel 1 (interval)</v>
      </c>
      <c r="G775" s="188" t="str" cm="1">
        <f t="array" ref="G775">IF(LineærRegression_Valg[[#This Row],[Indenfor range]],IF(LineærRegression_Valg[[#This Row],[Intet overlap]],INDEX(DataTitel_liste,LineærRegression_Valg[[#This Row],[Uafhængig variabel ID]]),INDEX(DataTitel_liste,IF(LineærRegression_Valg[[#This Row],[Afhængig variabel ID]]=1,2,1))),$B$7)</f>
        <v>Eksempel 2 (interval)</v>
      </c>
      <c r="H775" s="188">
        <f>_xlfn.AGGREGATE(2,5,LineærRegression_Valg[[#This Row],[Tabel ID]])</f>
        <v>1</v>
      </c>
    </row>
    <row r="776" spans="1:8" x14ac:dyDescent="0.2">
      <c r="A776">
        <f>ROW(LineærRegression_Valg[[#This Row],[Tabel ID]])-ROW(LineærRegression_Valg[[#Headers],[Tabel ID]])</f>
        <v>766</v>
      </c>
      <c r="B776" s="188">
        <f>ROUNDDOWN((LineærRegression_Valg[[#This Row],[Tabel ID]]-1)/$B$5,0)+1</f>
        <v>192</v>
      </c>
      <c r="C776" s="188">
        <f t="shared" si="11"/>
        <v>2</v>
      </c>
      <c r="D776" s="188" t="b">
        <f>LineærRegression_Valg[[#This Row],[Afhængig variabel ID]]&lt;&gt;LineærRegression_Valg[[#This Row],[Uafhængig variabel ID]]</f>
        <v>1</v>
      </c>
      <c r="E776" t="b">
        <f>LineærRegression_Valg[[#This Row],[Afhængig variabel ID]]&lt;=$B$5</f>
        <v>0</v>
      </c>
      <c r="F776" t="str" cm="1">
        <f t="array" ref="F776">IF(LineærRegression_Valg[[#This Row],[Indenfor range]],INDEX(DataTitel_liste,LineærRegression_Valg[[#This Row],[Afhængig variabel ID]]),INDEX(DataTitel_liste,1))</f>
        <v>Eksempel 1 (interval)</v>
      </c>
      <c r="G776" s="188" t="str" cm="1">
        <f t="array" ref="G776">IF(LineærRegression_Valg[[#This Row],[Indenfor range]],IF(LineærRegression_Valg[[#This Row],[Intet overlap]],INDEX(DataTitel_liste,LineærRegression_Valg[[#This Row],[Uafhængig variabel ID]]),INDEX(DataTitel_liste,IF(LineærRegression_Valg[[#This Row],[Afhængig variabel ID]]=1,2,1))),$B$7)</f>
        <v>Eksempel 2 (interval)</v>
      </c>
      <c r="H776" s="188">
        <f>_xlfn.AGGREGATE(2,5,LineærRegression_Valg[[#This Row],[Tabel ID]])</f>
        <v>1</v>
      </c>
    </row>
    <row r="777" spans="1:8" x14ac:dyDescent="0.2">
      <c r="A777">
        <f>ROW(LineærRegression_Valg[[#This Row],[Tabel ID]])-ROW(LineærRegression_Valg[[#Headers],[Tabel ID]])</f>
        <v>767</v>
      </c>
      <c r="B777" s="188">
        <f>ROUNDDOWN((LineærRegression_Valg[[#This Row],[Tabel ID]]-1)/$B$5,0)+1</f>
        <v>192</v>
      </c>
      <c r="C777" s="188">
        <f t="shared" si="11"/>
        <v>3</v>
      </c>
      <c r="D777" s="188" t="b">
        <f>LineærRegression_Valg[[#This Row],[Afhængig variabel ID]]&lt;&gt;LineærRegression_Valg[[#This Row],[Uafhængig variabel ID]]</f>
        <v>1</v>
      </c>
      <c r="E777" t="b">
        <f>LineærRegression_Valg[[#This Row],[Afhængig variabel ID]]&lt;=$B$5</f>
        <v>0</v>
      </c>
      <c r="F777" t="str" cm="1">
        <f t="array" ref="F777">IF(LineærRegression_Valg[[#This Row],[Indenfor range]],INDEX(DataTitel_liste,LineærRegression_Valg[[#This Row],[Afhængig variabel ID]]),INDEX(DataTitel_liste,1))</f>
        <v>Eksempel 1 (interval)</v>
      </c>
      <c r="G777" s="188" t="str" cm="1">
        <f t="array" ref="G777">IF(LineærRegression_Valg[[#This Row],[Indenfor range]],IF(LineærRegression_Valg[[#This Row],[Intet overlap]],INDEX(DataTitel_liste,LineærRegression_Valg[[#This Row],[Uafhængig variabel ID]]),INDEX(DataTitel_liste,IF(LineærRegression_Valg[[#This Row],[Afhængig variabel ID]]=1,2,1))),$B$7)</f>
        <v>Eksempel 2 (interval)</v>
      </c>
      <c r="H777" s="188">
        <f>_xlfn.AGGREGATE(2,5,LineærRegression_Valg[[#This Row],[Tabel ID]])</f>
        <v>1</v>
      </c>
    </row>
    <row r="778" spans="1:8" x14ac:dyDescent="0.2">
      <c r="A778">
        <f>ROW(LineærRegression_Valg[[#This Row],[Tabel ID]])-ROW(LineærRegression_Valg[[#Headers],[Tabel ID]])</f>
        <v>768</v>
      </c>
      <c r="B778" s="188">
        <f>ROUNDDOWN((LineærRegression_Valg[[#This Row],[Tabel ID]]-1)/$B$5,0)+1</f>
        <v>192</v>
      </c>
      <c r="C778" s="188">
        <f t="shared" si="11"/>
        <v>4</v>
      </c>
      <c r="D778" s="188" t="b">
        <f>LineærRegression_Valg[[#This Row],[Afhængig variabel ID]]&lt;&gt;LineærRegression_Valg[[#This Row],[Uafhængig variabel ID]]</f>
        <v>1</v>
      </c>
      <c r="E778" t="b">
        <f>LineærRegression_Valg[[#This Row],[Afhængig variabel ID]]&lt;=$B$5</f>
        <v>0</v>
      </c>
      <c r="F778" t="str" cm="1">
        <f t="array" ref="F778">IF(LineærRegression_Valg[[#This Row],[Indenfor range]],INDEX(DataTitel_liste,LineærRegression_Valg[[#This Row],[Afhængig variabel ID]]),INDEX(DataTitel_liste,1))</f>
        <v>Eksempel 1 (interval)</v>
      </c>
      <c r="G778" s="188" t="str" cm="1">
        <f t="array" ref="G778">IF(LineærRegression_Valg[[#This Row],[Indenfor range]],IF(LineærRegression_Valg[[#This Row],[Intet overlap]],INDEX(DataTitel_liste,LineærRegression_Valg[[#This Row],[Uafhængig variabel ID]]),INDEX(DataTitel_liste,IF(LineærRegression_Valg[[#This Row],[Afhængig variabel ID]]=1,2,1))),$B$7)</f>
        <v>Eksempel 2 (interval)</v>
      </c>
      <c r="H778" s="188">
        <f>_xlfn.AGGREGATE(2,5,LineærRegression_Valg[[#This Row],[Tabel ID]])</f>
        <v>1</v>
      </c>
    </row>
    <row r="779" spans="1:8" x14ac:dyDescent="0.2">
      <c r="A779">
        <f>ROW(LineærRegression_Valg[[#This Row],[Tabel ID]])-ROW(LineærRegression_Valg[[#Headers],[Tabel ID]])</f>
        <v>769</v>
      </c>
      <c r="B779" s="188">
        <f>ROUNDDOWN((LineærRegression_Valg[[#This Row],[Tabel ID]]-1)/$B$5,0)+1</f>
        <v>193</v>
      </c>
      <c r="C779" s="188">
        <f t="shared" ref="C779:C842" si="12">MOD(A779-1,$B$5)+1</f>
        <v>1</v>
      </c>
      <c r="D779" s="188" t="b">
        <f>LineærRegression_Valg[[#This Row],[Afhængig variabel ID]]&lt;&gt;LineærRegression_Valg[[#This Row],[Uafhængig variabel ID]]</f>
        <v>1</v>
      </c>
      <c r="E779" t="b">
        <f>LineærRegression_Valg[[#This Row],[Afhængig variabel ID]]&lt;=$B$5</f>
        <v>0</v>
      </c>
      <c r="F779" t="str" cm="1">
        <f t="array" ref="F779">IF(LineærRegression_Valg[[#This Row],[Indenfor range]],INDEX(DataTitel_liste,LineærRegression_Valg[[#This Row],[Afhængig variabel ID]]),INDEX(DataTitel_liste,1))</f>
        <v>Eksempel 1 (interval)</v>
      </c>
      <c r="G779" s="188" t="str" cm="1">
        <f t="array" ref="G779">IF(LineærRegression_Valg[[#This Row],[Indenfor range]],IF(LineærRegression_Valg[[#This Row],[Intet overlap]],INDEX(DataTitel_liste,LineærRegression_Valg[[#This Row],[Uafhængig variabel ID]]),INDEX(DataTitel_liste,IF(LineærRegression_Valg[[#This Row],[Afhængig variabel ID]]=1,2,1))),$B$7)</f>
        <v>Eksempel 2 (interval)</v>
      </c>
      <c r="H779" s="188">
        <f>_xlfn.AGGREGATE(2,5,LineærRegression_Valg[[#This Row],[Tabel ID]])</f>
        <v>1</v>
      </c>
    </row>
    <row r="780" spans="1:8" x14ac:dyDescent="0.2">
      <c r="A780">
        <f>ROW(LineærRegression_Valg[[#This Row],[Tabel ID]])-ROW(LineærRegression_Valg[[#Headers],[Tabel ID]])</f>
        <v>770</v>
      </c>
      <c r="B780" s="188">
        <f>ROUNDDOWN((LineærRegression_Valg[[#This Row],[Tabel ID]]-1)/$B$5,0)+1</f>
        <v>193</v>
      </c>
      <c r="C780" s="188">
        <f t="shared" si="12"/>
        <v>2</v>
      </c>
      <c r="D780" s="188" t="b">
        <f>LineærRegression_Valg[[#This Row],[Afhængig variabel ID]]&lt;&gt;LineærRegression_Valg[[#This Row],[Uafhængig variabel ID]]</f>
        <v>1</v>
      </c>
      <c r="E780" t="b">
        <f>LineærRegression_Valg[[#This Row],[Afhængig variabel ID]]&lt;=$B$5</f>
        <v>0</v>
      </c>
      <c r="F780" t="str" cm="1">
        <f t="array" ref="F780">IF(LineærRegression_Valg[[#This Row],[Indenfor range]],INDEX(DataTitel_liste,LineærRegression_Valg[[#This Row],[Afhængig variabel ID]]),INDEX(DataTitel_liste,1))</f>
        <v>Eksempel 1 (interval)</v>
      </c>
      <c r="G780" s="188" t="str" cm="1">
        <f t="array" ref="G780">IF(LineærRegression_Valg[[#This Row],[Indenfor range]],IF(LineærRegression_Valg[[#This Row],[Intet overlap]],INDEX(DataTitel_liste,LineærRegression_Valg[[#This Row],[Uafhængig variabel ID]]),INDEX(DataTitel_liste,IF(LineærRegression_Valg[[#This Row],[Afhængig variabel ID]]=1,2,1))),$B$7)</f>
        <v>Eksempel 2 (interval)</v>
      </c>
      <c r="H780" s="188">
        <f>_xlfn.AGGREGATE(2,5,LineærRegression_Valg[[#This Row],[Tabel ID]])</f>
        <v>1</v>
      </c>
    </row>
    <row r="781" spans="1:8" x14ac:dyDescent="0.2">
      <c r="A781">
        <f>ROW(LineærRegression_Valg[[#This Row],[Tabel ID]])-ROW(LineærRegression_Valg[[#Headers],[Tabel ID]])</f>
        <v>771</v>
      </c>
      <c r="B781" s="188">
        <f>ROUNDDOWN((LineærRegression_Valg[[#This Row],[Tabel ID]]-1)/$B$5,0)+1</f>
        <v>193</v>
      </c>
      <c r="C781" s="188">
        <f t="shared" si="12"/>
        <v>3</v>
      </c>
      <c r="D781" s="188" t="b">
        <f>LineærRegression_Valg[[#This Row],[Afhængig variabel ID]]&lt;&gt;LineærRegression_Valg[[#This Row],[Uafhængig variabel ID]]</f>
        <v>1</v>
      </c>
      <c r="E781" t="b">
        <f>LineærRegression_Valg[[#This Row],[Afhængig variabel ID]]&lt;=$B$5</f>
        <v>0</v>
      </c>
      <c r="F781" t="str" cm="1">
        <f t="array" ref="F781">IF(LineærRegression_Valg[[#This Row],[Indenfor range]],INDEX(DataTitel_liste,LineærRegression_Valg[[#This Row],[Afhængig variabel ID]]),INDEX(DataTitel_liste,1))</f>
        <v>Eksempel 1 (interval)</v>
      </c>
      <c r="G781" s="188" t="str" cm="1">
        <f t="array" ref="G781">IF(LineærRegression_Valg[[#This Row],[Indenfor range]],IF(LineærRegression_Valg[[#This Row],[Intet overlap]],INDEX(DataTitel_liste,LineærRegression_Valg[[#This Row],[Uafhængig variabel ID]]),INDEX(DataTitel_liste,IF(LineærRegression_Valg[[#This Row],[Afhængig variabel ID]]=1,2,1))),$B$7)</f>
        <v>Eksempel 2 (interval)</v>
      </c>
      <c r="H781" s="188">
        <f>_xlfn.AGGREGATE(2,5,LineærRegression_Valg[[#This Row],[Tabel ID]])</f>
        <v>1</v>
      </c>
    </row>
    <row r="782" spans="1:8" x14ac:dyDescent="0.2">
      <c r="A782">
        <f>ROW(LineærRegression_Valg[[#This Row],[Tabel ID]])-ROW(LineærRegression_Valg[[#Headers],[Tabel ID]])</f>
        <v>772</v>
      </c>
      <c r="B782" s="188">
        <f>ROUNDDOWN((LineærRegression_Valg[[#This Row],[Tabel ID]]-1)/$B$5,0)+1</f>
        <v>193</v>
      </c>
      <c r="C782" s="188">
        <f t="shared" si="12"/>
        <v>4</v>
      </c>
      <c r="D782" s="188" t="b">
        <f>LineærRegression_Valg[[#This Row],[Afhængig variabel ID]]&lt;&gt;LineærRegression_Valg[[#This Row],[Uafhængig variabel ID]]</f>
        <v>1</v>
      </c>
      <c r="E782" t="b">
        <f>LineærRegression_Valg[[#This Row],[Afhængig variabel ID]]&lt;=$B$5</f>
        <v>0</v>
      </c>
      <c r="F782" t="str" cm="1">
        <f t="array" ref="F782">IF(LineærRegression_Valg[[#This Row],[Indenfor range]],INDEX(DataTitel_liste,LineærRegression_Valg[[#This Row],[Afhængig variabel ID]]),INDEX(DataTitel_liste,1))</f>
        <v>Eksempel 1 (interval)</v>
      </c>
      <c r="G782" s="188" t="str" cm="1">
        <f t="array" ref="G782">IF(LineærRegression_Valg[[#This Row],[Indenfor range]],IF(LineærRegression_Valg[[#This Row],[Intet overlap]],INDEX(DataTitel_liste,LineærRegression_Valg[[#This Row],[Uafhængig variabel ID]]),INDEX(DataTitel_liste,IF(LineærRegression_Valg[[#This Row],[Afhængig variabel ID]]=1,2,1))),$B$7)</f>
        <v>Eksempel 2 (interval)</v>
      </c>
      <c r="H782" s="188">
        <f>_xlfn.AGGREGATE(2,5,LineærRegression_Valg[[#This Row],[Tabel ID]])</f>
        <v>1</v>
      </c>
    </row>
    <row r="783" spans="1:8" x14ac:dyDescent="0.2">
      <c r="A783">
        <f>ROW(LineærRegression_Valg[[#This Row],[Tabel ID]])-ROW(LineærRegression_Valg[[#Headers],[Tabel ID]])</f>
        <v>773</v>
      </c>
      <c r="B783" s="188">
        <f>ROUNDDOWN((LineærRegression_Valg[[#This Row],[Tabel ID]]-1)/$B$5,0)+1</f>
        <v>194</v>
      </c>
      <c r="C783" s="188">
        <f t="shared" si="12"/>
        <v>1</v>
      </c>
      <c r="D783" s="188" t="b">
        <f>LineærRegression_Valg[[#This Row],[Afhængig variabel ID]]&lt;&gt;LineærRegression_Valg[[#This Row],[Uafhængig variabel ID]]</f>
        <v>1</v>
      </c>
      <c r="E783" t="b">
        <f>LineærRegression_Valg[[#This Row],[Afhængig variabel ID]]&lt;=$B$5</f>
        <v>0</v>
      </c>
      <c r="F783" t="str" cm="1">
        <f t="array" ref="F783">IF(LineærRegression_Valg[[#This Row],[Indenfor range]],INDEX(DataTitel_liste,LineærRegression_Valg[[#This Row],[Afhængig variabel ID]]),INDEX(DataTitel_liste,1))</f>
        <v>Eksempel 1 (interval)</v>
      </c>
      <c r="G783" s="188" t="str" cm="1">
        <f t="array" ref="G783">IF(LineærRegression_Valg[[#This Row],[Indenfor range]],IF(LineærRegression_Valg[[#This Row],[Intet overlap]],INDEX(DataTitel_liste,LineærRegression_Valg[[#This Row],[Uafhængig variabel ID]]),INDEX(DataTitel_liste,IF(LineærRegression_Valg[[#This Row],[Afhængig variabel ID]]=1,2,1))),$B$7)</f>
        <v>Eksempel 2 (interval)</v>
      </c>
      <c r="H783" s="188">
        <f>_xlfn.AGGREGATE(2,5,LineærRegression_Valg[[#This Row],[Tabel ID]])</f>
        <v>1</v>
      </c>
    </row>
    <row r="784" spans="1:8" x14ac:dyDescent="0.2">
      <c r="A784">
        <f>ROW(LineærRegression_Valg[[#This Row],[Tabel ID]])-ROW(LineærRegression_Valg[[#Headers],[Tabel ID]])</f>
        <v>774</v>
      </c>
      <c r="B784" s="188">
        <f>ROUNDDOWN((LineærRegression_Valg[[#This Row],[Tabel ID]]-1)/$B$5,0)+1</f>
        <v>194</v>
      </c>
      <c r="C784" s="188">
        <f t="shared" si="12"/>
        <v>2</v>
      </c>
      <c r="D784" s="188" t="b">
        <f>LineærRegression_Valg[[#This Row],[Afhængig variabel ID]]&lt;&gt;LineærRegression_Valg[[#This Row],[Uafhængig variabel ID]]</f>
        <v>1</v>
      </c>
      <c r="E784" t="b">
        <f>LineærRegression_Valg[[#This Row],[Afhængig variabel ID]]&lt;=$B$5</f>
        <v>0</v>
      </c>
      <c r="F784" t="str" cm="1">
        <f t="array" ref="F784">IF(LineærRegression_Valg[[#This Row],[Indenfor range]],INDEX(DataTitel_liste,LineærRegression_Valg[[#This Row],[Afhængig variabel ID]]),INDEX(DataTitel_liste,1))</f>
        <v>Eksempel 1 (interval)</v>
      </c>
      <c r="G784" s="188" t="str" cm="1">
        <f t="array" ref="G784">IF(LineærRegression_Valg[[#This Row],[Indenfor range]],IF(LineærRegression_Valg[[#This Row],[Intet overlap]],INDEX(DataTitel_liste,LineærRegression_Valg[[#This Row],[Uafhængig variabel ID]]),INDEX(DataTitel_liste,IF(LineærRegression_Valg[[#This Row],[Afhængig variabel ID]]=1,2,1))),$B$7)</f>
        <v>Eksempel 2 (interval)</v>
      </c>
      <c r="H784" s="188">
        <f>_xlfn.AGGREGATE(2,5,LineærRegression_Valg[[#This Row],[Tabel ID]])</f>
        <v>1</v>
      </c>
    </row>
    <row r="785" spans="1:8" x14ac:dyDescent="0.2">
      <c r="A785">
        <f>ROW(LineærRegression_Valg[[#This Row],[Tabel ID]])-ROW(LineærRegression_Valg[[#Headers],[Tabel ID]])</f>
        <v>775</v>
      </c>
      <c r="B785" s="188">
        <f>ROUNDDOWN((LineærRegression_Valg[[#This Row],[Tabel ID]]-1)/$B$5,0)+1</f>
        <v>194</v>
      </c>
      <c r="C785" s="188">
        <f t="shared" si="12"/>
        <v>3</v>
      </c>
      <c r="D785" s="188" t="b">
        <f>LineærRegression_Valg[[#This Row],[Afhængig variabel ID]]&lt;&gt;LineærRegression_Valg[[#This Row],[Uafhængig variabel ID]]</f>
        <v>1</v>
      </c>
      <c r="E785" t="b">
        <f>LineærRegression_Valg[[#This Row],[Afhængig variabel ID]]&lt;=$B$5</f>
        <v>0</v>
      </c>
      <c r="F785" t="str" cm="1">
        <f t="array" ref="F785">IF(LineærRegression_Valg[[#This Row],[Indenfor range]],INDEX(DataTitel_liste,LineærRegression_Valg[[#This Row],[Afhængig variabel ID]]),INDEX(DataTitel_liste,1))</f>
        <v>Eksempel 1 (interval)</v>
      </c>
      <c r="G785" s="188" t="str" cm="1">
        <f t="array" ref="G785">IF(LineærRegression_Valg[[#This Row],[Indenfor range]],IF(LineærRegression_Valg[[#This Row],[Intet overlap]],INDEX(DataTitel_liste,LineærRegression_Valg[[#This Row],[Uafhængig variabel ID]]),INDEX(DataTitel_liste,IF(LineærRegression_Valg[[#This Row],[Afhængig variabel ID]]=1,2,1))),$B$7)</f>
        <v>Eksempel 2 (interval)</v>
      </c>
      <c r="H785" s="188">
        <f>_xlfn.AGGREGATE(2,5,LineærRegression_Valg[[#This Row],[Tabel ID]])</f>
        <v>1</v>
      </c>
    </row>
    <row r="786" spans="1:8" x14ac:dyDescent="0.2">
      <c r="A786">
        <f>ROW(LineærRegression_Valg[[#This Row],[Tabel ID]])-ROW(LineærRegression_Valg[[#Headers],[Tabel ID]])</f>
        <v>776</v>
      </c>
      <c r="B786" s="188">
        <f>ROUNDDOWN((LineærRegression_Valg[[#This Row],[Tabel ID]]-1)/$B$5,0)+1</f>
        <v>194</v>
      </c>
      <c r="C786" s="188">
        <f t="shared" si="12"/>
        <v>4</v>
      </c>
      <c r="D786" s="188" t="b">
        <f>LineærRegression_Valg[[#This Row],[Afhængig variabel ID]]&lt;&gt;LineærRegression_Valg[[#This Row],[Uafhængig variabel ID]]</f>
        <v>1</v>
      </c>
      <c r="E786" t="b">
        <f>LineærRegression_Valg[[#This Row],[Afhængig variabel ID]]&lt;=$B$5</f>
        <v>0</v>
      </c>
      <c r="F786" t="str" cm="1">
        <f t="array" ref="F786">IF(LineærRegression_Valg[[#This Row],[Indenfor range]],INDEX(DataTitel_liste,LineærRegression_Valg[[#This Row],[Afhængig variabel ID]]),INDEX(DataTitel_liste,1))</f>
        <v>Eksempel 1 (interval)</v>
      </c>
      <c r="G786" s="188" t="str" cm="1">
        <f t="array" ref="G786">IF(LineærRegression_Valg[[#This Row],[Indenfor range]],IF(LineærRegression_Valg[[#This Row],[Intet overlap]],INDEX(DataTitel_liste,LineærRegression_Valg[[#This Row],[Uafhængig variabel ID]]),INDEX(DataTitel_liste,IF(LineærRegression_Valg[[#This Row],[Afhængig variabel ID]]=1,2,1))),$B$7)</f>
        <v>Eksempel 2 (interval)</v>
      </c>
      <c r="H786" s="188">
        <f>_xlfn.AGGREGATE(2,5,LineærRegression_Valg[[#This Row],[Tabel ID]])</f>
        <v>1</v>
      </c>
    </row>
    <row r="787" spans="1:8" x14ac:dyDescent="0.2">
      <c r="A787">
        <f>ROW(LineærRegression_Valg[[#This Row],[Tabel ID]])-ROW(LineærRegression_Valg[[#Headers],[Tabel ID]])</f>
        <v>777</v>
      </c>
      <c r="B787" s="188">
        <f>ROUNDDOWN((LineærRegression_Valg[[#This Row],[Tabel ID]]-1)/$B$5,0)+1</f>
        <v>195</v>
      </c>
      <c r="C787" s="188">
        <f t="shared" si="12"/>
        <v>1</v>
      </c>
      <c r="D787" s="188" t="b">
        <f>LineærRegression_Valg[[#This Row],[Afhængig variabel ID]]&lt;&gt;LineærRegression_Valg[[#This Row],[Uafhængig variabel ID]]</f>
        <v>1</v>
      </c>
      <c r="E787" t="b">
        <f>LineærRegression_Valg[[#This Row],[Afhængig variabel ID]]&lt;=$B$5</f>
        <v>0</v>
      </c>
      <c r="F787" t="str" cm="1">
        <f t="array" ref="F787">IF(LineærRegression_Valg[[#This Row],[Indenfor range]],INDEX(DataTitel_liste,LineærRegression_Valg[[#This Row],[Afhængig variabel ID]]),INDEX(DataTitel_liste,1))</f>
        <v>Eksempel 1 (interval)</v>
      </c>
      <c r="G787" s="188" t="str" cm="1">
        <f t="array" ref="G787">IF(LineærRegression_Valg[[#This Row],[Indenfor range]],IF(LineærRegression_Valg[[#This Row],[Intet overlap]],INDEX(DataTitel_liste,LineærRegression_Valg[[#This Row],[Uafhængig variabel ID]]),INDEX(DataTitel_liste,IF(LineærRegression_Valg[[#This Row],[Afhængig variabel ID]]=1,2,1))),$B$7)</f>
        <v>Eksempel 2 (interval)</v>
      </c>
      <c r="H787" s="188">
        <f>_xlfn.AGGREGATE(2,5,LineærRegression_Valg[[#This Row],[Tabel ID]])</f>
        <v>1</v>
      </c>
    </row>
    <row r="788" spans="1:8" x14ac:dyDescent="0.2">
      <c r="A788">
        <f>ROW(LineærRegression_Valg[[#This Row],[Tabel ID]])-ROW(LineærRegression_Valg[[#Headers],[Tabel ID]])</f>
        <v>778</v>
      </c>
      <c r="B788" s="188">
        <f>ROUNDDOWN((LineærRegression_Valg[[#This Row],[Tabel ID]]-1)/$B$5,0)+1</f>
        <v>195</v>
      </c>
      <c r="C788" s="188">
        <f t="shared" si="12"/>
        <v>2</v>
      </c>
      <c r="D788" s="188" t="b">
        <f>LineærRegression_Valg[[#This Row],[Afhængig variabel ID]]&lt;&gt;LineærRegression_Valg[[#This Row],[Uafhængig variabel ID]]</f>
        <v>1</v>
      </c>
      <c r="E788" t="b">
        <f>LineærRegression_Valg[[#This Row],[Afhængig variabel ID]]&lt;=$B$5</f>
        <v>0</v>
      </c>
      <c r="F788" t="str" cm="1">
        <f t="array" ref="F788">IF(LineærRegression_Valg[[#This Row],[Indenfor range]],INDEX(DataTitel_liste,LineærRegression_Valg[[#This Row],[Afhængig variabel ID]]),INDEX(DataTitel_liste,1))</f>
        <v>Eksempel 1 (interval)</v>
      </c>
      <c r="G788" s="188" t="str" cm="1">
        <f t="array" ref="G788">IF(LineærRegression_Valg[[#This Row],[Indenfor range]],IF(LineærRegression_Valg[[#This Row],[Intet overlap]],INDEX(DataTitel_liste,LineærRegression_Valg[[#This Row],[Uafhængig variabel ID]]),INDEX(DataTitel_liste,IF(LineærRegression_Valg[[#This Row],[Afhængig variabel ID]]=1,2,1))),$B$7)</f>
        <v>Eksempel 2 (interval)</v>
      </c>
      <c r="H788" s="188">
        <f>_xlfn.AGGREGATE(2,5,LineærRegression_Valg[[#This Row],[Tabel ID]])</f>
        <v>1</v>
      </c>
    </row>
    <row r="789" spans="1:8" x14ac:dyDescent="0.2">
      <c r="A789">
        <f>ROW(LineærRegression_Valg[[#This Row],[Tabel ID]])-ROW(LineærRegression_Valg[[#Headers],[Tabel ID]])</f>
        <v>779</v>
      </c>
      <c r="B789" s="188">
        <f>ROUNDDOWN((LineærRegression_Valg[[#This Row],[Tabel ID]]-1)/$B$5,0)+1</f>
        <v>195</v>
      </c>
      <c r="C789" s="188">
        <f t="shared" si="12"/>
        <v>3</v>
      </c>
      <c r="D789" s="188" t="b">
        <f>LineærRegression_Valg[[#This Row],[Afhængig variabel ID]]&lt;&gt;LineærRegression_Valg[[#This Row],[Uafhængig variabel ID]]</f>
        <v>1</v>
      </c>
      <c r="E789" t="b">
        <f>LineærRegression_Valg[[#This Row],[Afhængig variabel ID]]&lt;=$B$5</f>
        <v>0</v>
      </c>
      <c r="F789" t="str" cm="1">
        <f t="array" ref="F789">IF(LineærRegression_Valg[[#This Row],[Indenfor range]],INDEX(DataTitel_liste,LineærRegression_Valg[[#This Row],[Afhængig variabel ID]]),INDEX(DataTitel_liste,1))</f>
        <v>Eksempel 1 (interval)</v>
      </c>
      <c r="G789" s="188" t="str" cm="1">
        <f t="array" ref="G789">IF(LineærRegression_Valg[[#This Row],[Indenfor range]],IF(LineærRegression_Valg[[#This Row],[Intet overlap]],INDEX(DataTitel_liste,LineærRegression_Valg[[#This Row],[Uafhængig variabel ID]]),INDEX(DataTitel_liste,IF(LineærRegression_Valg[[#This Row],[Afhængig variabel ID]]=1,2,1))),$B$7)</f>
        <v>Eksempel 2 (interval)</v>
      </c>
      <c r="H789" s="188">
        <f>_xlfn.AGGREGATE(2,5,LineærRegression_Valg[[#This Row],[Tabel ID]])</f>
        <v>1</v>
      </c>
    </row>
    <row r="790" spans="1:8" x14ac:dyDescent="0.2">
      <c r="A790">
        <f>ROW(LineærRegression_Valg[[#This Row],[Tabel ID]])-ROW(LineærRegression_Valg[[#Headers],[Tabel ID]])</f>
        <v>780</v>
      </c>
      <c r="B790" s="188">
        <f>ROUNDDOWN((LineærRegression_Valg[[#This Row],[Tabel ID]]-1)/$B$5,0)+1</f>
        <v>195</v>
      </c>
      <c r="C790" s="188">
        <f t="shared" si="12"/>
        <v>4</v>
      </c>
      <c r="D790" s="188" t="b">
        <f>LineærRegression_Valg[[#This Row],[Afhængig variabel ID]]&lt;&gt;LineærRegression_Valg[[#This Row],[Uafhængig variabel ID]]</f>
        <v>1</v>
      </c>
      <c r="E790" t="b">
        <f>LineærRegression_Valg[[#This Row],[Afhængig variabel ID]]&lt;=$B$5</f>
        <v>0</v>
      </c>
      <c r="F790" t="str" cm="1">
        <f t="array" ref="F790">IF(LineærRegression_Valg[[#This Row],[Indenfor range]],INDEX(DataTitel_liste,LineærRegression_Valg[[#This Row],[Afhængig variabel ID]]),INDEX(DataTitel_liste,1))</f>
        <v>Eksempel 1 (interval)</v>
      </c>
      <c r="G790" s="188" t="str" cm="1">
        <f t="array" ref="G790">IF(LineærRegression_Valg[[#This Row],[Indenfor range]],IF(LineærRegression_Valg[[#This Row],[Intet overlap]],INDEX(DataTitel_liste,LineærRegression_Valg[[#This Row],[Uafhængig variabel ID]]),INDEX(DataTitel_liste,IF(LineærRegression_Valg[[#This Row],[Afhængig variabel ID]]=1,2,1))),$B$7)</f>
        <v>Eksempel 2 (interval)</v>
      </c>
      <c r="H790" s="188">
        <f>_xlfn.AGGREGATE(2,5,LineærRegression_Valg[[#This Row],[Tabel ID]])</f>
        <v>1</v>
      </c>
    </row>
    <row r="791" spans="1:8" x14ac:dyDescent="0.2">
      <c r="A791">
        <f>ROW(LineærRegression_Valg[[#This Row],[Tabel ID]])-ROW(LineærRegression_Valg[[#Headers],[Tabel ID]])</f>
        <v>781</v>
      </c>
      <c r="B791" s="188">
        <f>ROUNDDOWN((LineærRegression_Valg[[#This Row],[Tabel ID]]-1)/$B$5,0)+1</f>
        <v>196</v>
      </c>
      <c r="C791" s="188">
        <f t="shared" si="12"/>
        <v>1</v>
      </c>
      <c r="D791" s="188" t="b">
        <f>LineærRegression_Valg[[#This Row],[Afhængig variabel ID]]&lt;&gt;LineærRegression_Valg[[#This Row],[Uafhængig variabel ID]]</f>
        <v>1</v>
      </c>
      <c r="E791" t="b">
        <f>LineærRegression_Valg[[#This Row],[Afhængig variabel ID]]&lt;=$B$5</f>
        <v>0</v>
      </c>
      <c r="F791" t="str" cm="1">
        <f t="array" ref="F791">IF(LineærRegression_Valg[[#This Row],[Indenfor range]],INDEX(DataTitel_liste,LineærRegression_Valg[[#This Row],[Afhængig variabel ID]]),INDEX(DataTitel_liste,1))</f>
        <v>Eksempel 1 (interval)</v>
      </c>
      <c r="G791" s="188" t="str" cm="1">
        <f t="array" ref="G791">IF(LineærRegression_Valg[[#This Row],[Indenfor range]],IF(LineærRegression_Valg[[#This Row],[Intet overlap]],INDEX(DataTitel_liste,LineærRegression_Valg[[#This Row],[Uafhængig variabel ID]]),INDEX(DataTitel_liste,IF(LineærRegression_Valg[[#This Row],[Afhængig variabel ID]]=1,2,1))),$B$7)</f>
        <v>Eksempel 2 (interval)</v>
      </c>
      <c r="H791" s="188">
        <f>_xlfn.AGGREGATE(2,5,LineærRegression_Valg[[#This Row],[Tabel ID]])</f>
        <v>1</v>
      </c>
    </row>
    <row r="792" spans="1:8" x14ac:dyDescent="0.2">
      <c r="A792">
        <f>ROW(LineærRegression_Valg[[#This Row],[Tabel ID]])-ROW(LineærRegression_Valg[[#Headers],[Tabel ID]])</f>
        <v>782</v>
      </c>
      <c r="B792" s="188">
        <f>ROUNDDOWN((LineærRegression_Valg[[#This Row],[Tabel ID]]-1)/$B$5,0)+1</f>
        <v>196</v>
      </c>
      <c r="C792" s="188">
        <f t="shared" si="12"/>
        <v>2</v>
      </c>
      <c r="D792" s="188" t="b">
        <f>LineærRegression_Valg[[#This Row],[Afhængig variabel ID]]&lt;&gt;LineærRegression_Valg[[#This Row],[Uafhængig variabel ID]]</f>
        <v>1</v>
      </c>
      <c r="E792" t="b">
        <f>LineærRegression_Valg[[#This Row],[Afhængig variabel ID]]&lt;=$B$5</f>
        <v>0</v>
      </c>
      <c r="F792" t="str" cm="1">
        <f t="array" ref="F792">IF(LineærRegression_Valg[[#This Row],[Indenfor range]],INDEX(DataTitel_liste,LineærRegression_Valg[[#This Row],[Afhængig variabel ID]]),INDEX(DataTitel_liste,1))</f>
        <v>Eksempel 1 (interval)</v>
      </c>
      <c r="G792" s="188" t="str" cm="1">
        <f t="array" ref="G792">IF(LineærRegression_Valg[[#This Row],[Indenfor range]],IF(LineærRegression_Valg[[#This Row],[Intet overlap]],INDEX(DataTitel_liste,LineærRegression_Valg[[#This Row],[Uafhængig variabel ID]]),INDEX(DataTitel_liste,IF(LineærRegression_Valg[[#This Row],[Afhængig variabel ID]]=1,2,1))),$B$7)</f>
        <v>Eksempel 2 (interval)</v>
      </c>
      <c r="H792" s="188">
        <f>_xlfn.AGGREGATE(2,5,LineærRegression_Valg[[#This Row],[Tabel ID]])</f>
        <v>1</v>
      </c>
    </row>
    <row r="793" spans="1:8" x14ac:dyDescent="0.2">
      <c r="A793">
        <f>ROW(LineærRegression_Valg[[#This Row],[Tabel ID]])-ROW(LineærRegression_Valg[[#Headers],[Tabel ID]])</f>
        <v>783</v>
      </c>
      <c r="B793" s="188">
        <f>ROUNDDOWN((LineærRegression_Valg[[#This Row],[Tabel ID]]-1)/$B$5,0)+1</f>
        <v>196</v>
      </c>
      <c r="C793" s="188">
        <f t="shared" si="12"/>
        <v>3</v>
      </c>
      <c r="D793" s="188" t="b">
        <f>LineærRegression_Valg[[#This Row],[Afhængig variabel ID]]&lt;&gt;LineærRegression_Valg[[#This Row],[Uafhængig variabel ID]]</f>
        <v>1</v>
      </c>
      <c r="E793" t="b">
        <f>LineærRegression_Valg[[#This Row],[Afhængig variabel ID]]&lt;=$B$5</f>
        <v>0</v>
      </c>
      <c r="F793" t="str" cm="1">
        <f t="array" ref="F793">IF(LineærRegression_Valg[[#This Row],[Indenfor range]],INDEX(DataTitel_liste,LineærRegression_Valg[[#This Row],[Afhængig variabel ID]]),INDEX(DataTitel_liste,1))</f>
        <v>Eksempel 1 (interval)</v>
      </c>
      <c r="G793" s="188" t="str" cm="1">
        <f t="array" ref="G793">IF(LineærRegression_Valg[[#This Row],[Indenfor range]],IF(LineærRegression_Valg[[#This Row],[Intet overlap]],INDEX(DataTitel_liste,LineærRegression_Valg[[#This Row],[Uafhængig variabel ID]]),INDEX(DataTitel_liste,IF(LineærRegression_Valg[[#This Row],[Afhængig variabel ID]]=1,2,1))),$B$7)</f>
        <v>Eksempel 2 (interval)</v>
      </c>
      <c r="H793" s="188">
        <f>_xlfn.AGGREGATE(2,5,LineærRegression_Valg[[#This Row],[Tabel ID]])</f>
        <v>1</v>
      </c>
    </row>
    <row r="794" spans="1:8" x14ac:dyDescent="0.2">
      <c r="A794">
        <f>ROW(LineærRegression_Valg[[#This Row],[Tabel ID]])-ROW(LineærRegression_Valg[[#Headers],[Tabel ID]])</f>
        <v>784</v>
      </c>
      <c r="B794" s="188">
        <f>ROUNDDOWN((LineærRegression_Valg[[#This Row],[Tabel ID]]-1)/$B$5,0)+1</f>
        <v>196</v>
      </c>
      <c r="C794" s="188">
        <f t="shared" si="12"/>
        <v>4</v>
      </c>
      <c r="D794" s="188" t="b">
        <f>LineærRegression_Valg[[#This Row],[Afhængig variabel ID]]&lt;&gt;LineærRegression_Valg[[#This Row],[Uafhængig variabel ID]]</f>
        <v>1</v>
      </c>
      <c r="E794" t="b">
        <f>LineærRegression_Valg[[#This Row],[Afhængig variabel ID]]&lt;=$B$5</f>
        <v>0</v>
      </c>
      <c r="F794" t="str" cm="1">
        <f t="array" ref="F794">IF(LineærRegression_Valg[[#This Row],[Indenfor range]],INDEX(DataTitel_liste,LineærRegression_Valg[[#This Row],[Afhængig variabel ID]]),INDEX(DataTitel_liste,1))</f>
        <v>Eksempel 1 (interval)</v>
      </c>
      <c r="G794" s="188" t="str" cm="1">
        <f t="array" ref="G794">IF(LineærRegression_Valg[[#This Row],[Indenfor range]],IF(LineærRegression_Valg[[#This Row],[Intet overlap]],INDEX(DataTitel_liste,LineærRegression_Valg[[#This Row],[Uafhængig variabel ID]]),INDEX(DataTitel_liste,IF(LineærRegression_Valg[[#This Row],[Afhængig variabel ID]]=1,2,1))),$B$7)</f>
        <v>Eksempel 2 (interval)</v>
      </c>
      <c r="H794" s="188">
        <f>_xlfn.AGGREGATE(2,5,LineærRegression_Valg[[#This Row],[Tabel ID]])</f>
        <v>1</v>
      </c>
    </row>
    <row r="795" spans="1:8" x14ac:dyDescent="0.2">
      <c r="A795">
        <f>ROW(LineærRegression_Valg[[#This Row],[Tabel ID]])-ROW(LineærRegression_Valg[[#Headers],[Tabel ID]])</f>
        <v>785</v>
      </c>
      <c r="B795" s="188">
        <f>ROUNDDOWN((LineærRegression_Valg[[#This Row],[Tabel ID]]-1)/$B$5,0)+1</f>
        <v>197</v>
      </c>
      <c r="C795" s="188">
        <f t="shared" si="12"/>
        <v>1</v>
      </c>
      <c r="D795" s="188" t="b">
        <f>LineærRegression_Valg[[#This Row],[Afhængig variabel ID]]&lt;&gt;LineærRegression_Valg[[#This Row],[Uafhængig variabel ID]]</f>
        <v>1</v>
      </c>
      <c r="E795" t="b">
        <f>LineærRegression_Valg[[#This Row],[Afhængig variabel ID]]&lt;=$B$5</f>
        <v>0</v>
      </c>
      <c r="F795" t="str" cm="1">
        <f t="array" ref="F795">IF(LineærRegression_Valg[[#This Row],[Indenfor range]],INDEX(DataTitel_liste,LineærRegression_Valg[[#This Row],[Afhængig variabel ID]]),INDEX(DataTitel_liste,1))</f>
        <v>Eksempel 1 (interval)</v>
      </c>
      <c r="G795" s="188" t="str" cm="1">
        <f t="array" ref="G795">IF(LineærRegression_Valg[[#This Row],[Indenfor range]],IF(LineærRegression_Valg[[#This Row],[Intet overlap]],INDEX(DataTitel_liste,LineærRegression_Valg[[#This Row],[Uafhængig variabel ID]]),INDEX(DataTitel_liste,IF(LineærRegression_Valg[[#This Row],[Afhængig variabel ID]]=1,2,1))),$B$7)</f>
        <v>Eksempel 2 (interval)</v>
      </c>
      <c r="H795" s="188">
        <f>_xlfn.AGGREGATE(2,5,LineærRegression_Valg[[#This Row],[Tabel ID]])</f>
        <v>1</v>
      </c>
    </row>
    <row r="796" spans="1:8" x14ac:dyDescent="0.2">
      <c r="A796">
        <f>ROW(LineærRegression_Valg[[#This Row],[Tabel ID]])-ROW(LineærRegression_Valg[[#Headers],[Tabel ID]])</f>
        <v>786</v>
      </c>
      <c r="B796" s="188">
        <f>ROUNDDOWN((LineærRegression_Valg[[#This Row],[Tabel ID]]-1)/$B$5,0)+1</f>
        <v>197</v>
      </c>
      <c r="C796" s="188">
        <f t="shared" si="12"/>
        <v>2</v>
      </c>
      <c r="D796" s="188" t="b">
        <f>LineærRegression_Valg[[#This Row],[Afhængig variabel ID]]&lt;&gt;LineærRegression_Valg[[#This Row],[Uafhængig variabel ID]]</f>
        <v>1</v>
      </c>
      <c r="E796" t="b">
        <f>LineærRegression_Valg[[#This Row],[Afhængig variabel ID]]&lt;=$B$5</f>
        <v>0</v>
      </c>
      <c r="F796" t="str" cm="1">
        <f t="array" ref="F796">IF(LineærRegression_Valg[[#This Row],[Indenfor range]],INDEX(DataTitel_liste,LineærRegression_Valg[[#This Row],[Afhængig variabel ID]]),INDEX(DataTitel_liste,1))</f>
        <v>Eksempel 1 (interval)</v>
      </c>
      <c r="G796" s="188" t="str" cm="1">
        <f t="array" ref="G796">IF(LineærRegression_Valg[[#This Row],[Indenfor range]],IF(LineærRegression_Valg[[#This Row],[Intet overlap]],INDEX(DataTitel_liste,LineærRegression_Valg[[#This Row],[Uafhængig variabel ID]]),INDEX(DataTitel_liste,IF(LineærRegression_Valg[[#This Row],[Afhængig variabel ID]]=1,2,1))),$B$7)</f>
        <v>Eksempel 2 (interval)</v>
      </c>
      <c r="H796" s="188">
        <f>_xlfn.AGGREGATE(2,5,LineærRegression_Valg[[#This Row],[Tabel ID]])</f>
        <v>1</v>
      </c>
    </row>
    <row r="797" spans="1:8" x14ac:dyDescent="0.2">
      <c r="A797">
        <f>ROW(LineærRegression_Valg[[#This Row],[Tabel ID]])-ROW(LineærRegression_Valg[[#Headers],[Tabel ID]])</f>
        <v>787</v>
      </c>
      <c r="B797" s="188">
        <f>ROUNDDOWN((LineærRegression_Valg[[#This Row],[Tabel ID]]-1)/$B$5,0)+1</f>
        <v>197</v>
      </c>
      <c r="C797" s="188">
        <f t="shared" si="12"/>
        <v>3</v>
      </c>
      <c r="D797" s="188" t="b">
        <f>LineærRegression_Valg[[#This Row],[Afhængig variabel ID]]&lt;&gt;LineærRegression_Valg[[#This Row],[Uafhængig variabel ID]]</f>
        <v>1</v>
      </c>
      <c r="E797" t="b">
        <f>LineærRegression_Valg[[#This Row],[Afhængig variabel ID]]&lt;=$B$5</f>
        <v>0</v>
      </c>
      <c r="F797" t="str" cm="1">
        <f t="array" ref="F797">IF(LineærRegression_Valg[[#This Row],[Indenfor range]],INDEX(DataTitel_liste,LineærRegression_Valg[[#This Row],[Afhængig variabel ID]]),INDEX(DataTitel_liste,1))</f>
        <v>Eksempel 1 (interval)</v>
      </c>
      <c r="G797" s="188" t="str" cm="1">
        <f t="array" ref="G797">IF(LineærRegression_Valg[[#This Row],[Indenfor range]],IF(LineærRegression_Valg[[#This Row],[Intet overlap]],INDEX(DataTitel_liste,LineærRegression_Valg[[#This Row],[Uafhængig variabel ID]]),INDEX(DataTitel_liste,IF(LineærRegression_Valg[[#This Row],[Afhængig variabel ID]]=1,2,1))),$B$7)</f>
        <v>Eksempel 2 (interval)</v>
      </c>
      <c r="H797" s="188">
        <f>_xlfn.AGGREGATE(2,5,LineærRegression_Valg[[#This Row],[Tabel ID]])</f>
        <v>1</v>
      </c>
    </row>
    <row r="798" spans="1:8" x14ac:dyDescent="0.2">
      <c r="A798">
        <f>ROW(LineærRegression_Valg[[#This Row],[Tabel ID]])-ROW(LineærRegression_Valg[[#Headers],[Tabel ID]])</f>
        <v>788</v>
      </c>
      <c r="B798" s="188">
        <f>ROUNDDOWN((LineærRegression_Valg[[#This Row],[Tabel ID]]-1)/$B$5,0)+1</f>
        <v>197</v>
      </c>
      <c r="C798" s="188">
        <f t="shared" si="12"/>
        <v>4</v>
      </c>
      <c r="D798" s="188" t="b">
        <f>LineærRegression_Valg[[#This Row],[Afhængig variabel ID]]&lt;&gt;LineærRegression_Valg[[#This Row],[Uafhængig variabel ID]]</f>
        <v>1</v>
      </c>
      <c r="E798" t="b">
        <f>LineærRegression_Valg[[#This Row],[Afhængig variabel ID]]&lt;=$B$5</f>
        <v>0</v>
      </c>
      <c r="F798" t="str" cm="1">
        <f t="array" ref="F798">IF(LineærRegression_Valg[[#This Row],[Indenfor range]],INDEX(DataTitel_liste,LineærRegression_Valg[[#This Row],[Afhængig variabel ID]]),INDEX(DataTitel_liste,1))</f>
        <v>Eksempel 1 (interval)</v>
      </c>
      <c r="G798" s="188" t="str" cm="1">
        <f t="array" ref="G798">IF(LineærRegression_Valg[[#This Row],[Indenfor range]],IF(LineærRegression_Valg[[#This Row],[Intet overlap]],INDEX(DataTitel_liste,LineærRegression_Valg[[#This Row],[Uafhængig variabel ID]]),INDEX(DataTitel_liste,IF(LineærRegression_Valg[[#This Row],[Afhængig variabel ID]]=1,2,1))),$B$7)</f>
        <v>Eksempel 2 (interval)</v>
      </c>
      <c r="H798" s="188">
        <f>_xlfn.AGGREGATE(2,5,LineærRegression_Valg[[#This Row],[Tabel ID]])</f>
        <v>1</v>
      </c>
    </row>
    <row r="799" spans="1:8" x14ac:dyDescent="0.2">
      <c r="A799">
        <f>ROW(LineærRegression_Valg[[#This Row],[Tabel ID]])-ROW(LineærRegression_Valg[[#Headers],[Tabel ID]])</f>
        <v>789</v>
      </c>
      <c r="B799" s="188">
        <f>ROUNDDOWN((LineærRegression_Valg[[#This Row],[Tabel ID]]-1)/$B$5,0)+1</f>
        <v>198</v>
      </c>
      <c r="C799" s="188">
        <f t="shared" si="12"/>
        <v>1</v>
      </c>
      <c r="D799" s="188" t="b">
        <f>LineærRegression_Valg[[#This Row],[Afhængig variabel ID]]&lt;&gt;LineærRegression_Valg[[#This Row],[Uafhængig variabel ID]]</f>
        <v>1</v>
      </c>
      <c r="E799" t="b">
        <f>LineærRegression_Valg[[#This Row],[Afhængig variabel ID]]&lt;=$B$5</f>
        <v>0</v>
      </c>
      <c r="F799" t="str" cm="1">
        <f t="array" ref="F799">IF(LineærRegression_Valg[[#This Row],[Indenfor range]],INDEX(DataTitel_liste,LineærRegression_Valg[[#This Row],[Afhængig variabel ID]]),INDEX(DataTitel_liste,1))</f>
        <v>Eksempel 1 (interval)</v>
      </c>
      <c r="G799" s="188" t="str" cm="1">
        <f t="array" ref="G799">IF(LineærRegression_Valg[[#This Row],[Indenfor range]],IF(LineærRegression_Valg[[#This Row],[Intet overlap]],INDEX(DataTitel_liste,LineærRegression_Valg[[#This Row],[Uafhængig variabel ID]]),INDEX(DataTitel_liste,IF(LineærRegression_Valg[[#This Row],[Afhængig variabel ID]]=1,2,1))),$B$7)</f>
        <v>Eksempel 2 (interval)</v>
      </c>
      <c r="H799" s="188">
        <f>_xlfn.AGGREGATE(2,5,LineærRegression_Valg[[#This Row],[Tabel ID]])</f>
        <v>1</v>
      </c>
    </row>
    <row r="800" spans="1:8" x14ac:dyDescent="0.2">
      <c r="A800">
        <f>ROW(LineærRegression_Valg[[#This Row],[Tabel ID]])-ROW(LineærRegression_Valg[[#Headers],[Tabel ID]])</f>
        <v>790</v>
      </c>
      <c r="B800" s="188">
        <f>ROUNDDOWN((LineærRegression_Valg[[#This Row],[Tabel ID]]-1)/$B$5,0)+1</f>
        <v>198</v>
      </c>
      <c r="C800" s="188">
        <f t="shared" si="12"/>
        <v>2</v>
      </c>
      <c r="D800" s="188" t="b">
        <f>LineærRegression_Valg[[#This Row],[Afhængig variabel ID]]&lt;&gt;LineærRegression_Valg[[#This Row],[Uafhængig variabel ID]]</f>
        <v>1</v>
      </c>
      <c r="E800" t="b">
        <f>LineærRegression_Valg[[#This Row],[Afhængig variabel ID]]&lt;=$B$5</f>
        <v>0</v>
      </c>
      <c r="F800" t="str" cm="1">
        <f t="array" ref="F800">IF(LineærRegression_Valg[[#This Row],[Indenfor range]],INDEX(DataTitel_liste,LineærRegression_Valg[[#This Row],[Afhængig variabel ID]]),INDEX(DataTitel_liste,1))</f>
        <v>Eksempel 1 (interval)</v>
      </c>
      <c r="G800" s="188" t="str" cm="1">
        <f t="array" ref="G800">IF(LineærRegression_Valg[[#This Row],[Indenfor range]],IF(LineærRegression_Valg[[#This Row],[Intet overlap]],INDEX(DataTitel_liste,LineærRegression_Valg[[#This Row],[Uafhængig variabel ID]]),INDEX(DataTitel_liste,IF(LineærRegression_Valg[[#This Row],[Afhængig variabel ID]]=1,2,1))),$B$7)</f>
        <v>Eksempel 2 (interval)</v>
      </c>
      <c r="H800" s="188">
        <f>_xlfn.AGGREGATE(2,5,LineærRegression_Valg[[#This Row],[Tabel ID]])</f>
        <v>1</v>
      </c>
    </row>
    <row r="801" spans="1:8" x14ac:dyDescent="0.2">
      <c r="A801">
        <f>ROW(LineærRegression_Valg[[#This Row],[Tabel ID]])-ROW(LineærRegression_Valg[[#Headers],[Tabel ID]])</f>
        <v>791</v>
      </c>
      <c r="B801" s="188">
        <f>ROUNDDOWN((LineærRegression_Valg[[#This Row],[Tabel ID]]-1)/$B$5,0)+1</f>
        <v>198</v>
      </c>
      <c r="C801" s="188">
        <f t="shared" si="12"/>
        <v>3</v>
      </c>
      <c r="D801" s="188" t="b">
        <f>LineærRegression_Valg[[#This Row],[Afhængig variabel ID]]&lt;&gt;LineærRegression_Valg[[#This Row],[Uafhængig variabel ID]]</f>
        <v>1</v>
      </c>
      <c r="E801" t="b">
        <f>LineærRegression_Valg[[#This Row],[Afhængig variabel ID]]&lt;=$B$5</f>
        <v>0</v>
      </c>
      <c r="F801" t="str" cm="1">
        <f t="array" ref="F801">IF(LineærRegression_Valg[[#This Row],[Indenfor range]],INDEX(DataTitel_liste,LineærRegression_Valg[[#This Row],[Afhængig variabel ID]]),INDEX(DataTitel_liste,1))</f>
        <v>Eksempel 1 (interval)</v>
      </c>
      <c r="G801" s="188" t="str" cm="1">
        <f t="array" ref="G801">IF(LineærRegression_Valg[[#This Row],[Indenfor range]],IF(LineærRegression_Valg[[#This Row],[Intet overlap]],INDEX(DataTitel_liste,LineærRegression_Valg[[#This Row],[Uafhængig variabel ID]]),INDEX(DataTitel_liste,IF(LineærRegression_Valg[[#This Row],[Afhængig variabel ID]]=1,2,1))),$B$7)</f>
        <v>Eksempel 2 (interval)</v>
      </c>
      <c r="H801" s="188">
        <f>_xlfn.AGGREGATE(2,5,LineærRegression_Valg[[#This Row],[Tabel ID]])</f>
        <v>1</v>
      </c>
    </row>
    <row r="802" spans="1:8" x14ac:dyDescent="0.2">
      <c r="A802">
        <f>ROW(LineærRegression_Valg[[#This Row],[Tabel ID]])-ROW(LineærRegression_Valg[[#Headers],[Tabel ID]])</f>
        <v>792</v>
      </c>
      <c r="B802" s="188">
        <f>ROUNDDOWN((LineærRegression_Valg[[#This Row],[Tabel ID]]-1)/$B$5,0)+1</f>
        <v>198</v>
      </c>
      <c r="C802" s="188">
        <f t="shared" si="12"/>
        <v>4</v>
      </c>
      <c r="D802" s="188" t="b">
        <f>LineærRegression_Valg[[#This Row],[Afhængig variabel ID]]&lt;&gt;LineærRegression_Valg[[#This Row],[Uafhængig variabel ID]]</f>
        <v>1</v>
      </c>
      <c r="E802" t="b">
        <f>LineærRegression_Valg[[#This Row],[Afhængig variabel ID]]&lt;=$B$5</f>
        <v>0</v>
      </c>
      <c r="F802" t="str" cm="1">
        <f t="array" ref="F802">IF(LineærRegression_Valg[[#This Row],[Indenfor range]],INDEX(DataTitel_liste,LineærRegression_Valg[[#This Row],[Afhængig variabel ID]]),INDEX(DataTitel_liste,1))</f>
        <v>Eksempel 1 (interval)</v>
      </c>
      <c r="G802" s="188" t="str" cm="1">
        <f t="array" ref="G802">IF(LineærRegression_Valg[[#This Row],[Indenfor range]],IF(LineærRegression_Valg[[#This Row],[Intet overlap]],INDEX(DataTitel_liste,LineærRegression_Valg[[#This Row],[Uafhængig variabel ID]]),INDEX(DataTitel_liste,IF(LineærRegression_Valg[[#This Row],[Afhængig variabel ID]]=1,2,1))),$B$7)</f>
        <v>Eksempel 2 (interval)</v>
      </c>
      <c r="H802" s="188">
        <f>_xlfn.AGGREGATE(2,5,LineærRegression_Valg[[#This Row],[Tabel ID]])</f>
        <v>1</v>
      </c>
    </row>
    <row r="803" spans="1:8" x14ac:dyDescent="0.2">
      <c r="A803">
        <f>ROW(LineærRegression_Valg[[#This Row],[Tabel ID]])-ROW(LineærRegression_Valg[[#Headers],[Tabel ID]])</f>
        <v>793</v>
      </c>
      <c r="B803" s="188">
        <f>ROUNDDOWN((LineærRegression_Valg[[#This Row],[Tabel ID]]-1)/$B$5,0)+1</f>
        <v>199</v>
      </c>
      <c r="C803" s="188">
        <f t="shared" si="12"/>
        <v>1</v>
      </c>
      <c r="D803" s="188" t="b">
        <f>LineærRegression_Valg[[#This Row],[Afhængig variabel ID]]&lt;&gt;LineærRegression_Valg[[#This Row],[Uafhængig variabel ID]]</f>
        <v>1</v>
      </c>
      <c r="E803" t="b">
        <f>LineærRegression_Valg[[#This Row],[Afhængig variabel ID]]&lt;=$B$5</f>
        <v>0</v>
      </c>
      <c r="F803" t="str" cm="1">
        <f t="array" ref="F803">IF(LineærRegression_Valg[[#This Row],[Indenfor range]],INDEX(DataTitel_liste,LineærRegression_Valg[[#This Row],[Afhængig variabel ID]]),INDEX(DataTitel_liste,1))</f>
        <v>Eksempel 1 (interval)</v>
      </c>
      <c r="G803" s="188" t="str" cm="1">
        <f t="array" ref="G803">IF(LineærRegression_Valg[[#This Row],[Indenfor range]],IF(LineærRegression_Valg[[#This Row],[Intet overlap]],INDEX(DataTitel_liste,LineærRegression_Valg[[#This Row],[Uafhængig variabel ID]]),INDEX(DataTitel_liste,IF(LineærRegression_Valg[[#This Row],[Afhængig variabel ID]]=1,2,1))),$B$7)</f>
        <v>Eksempel 2 (interval)</v>
      </c>
      <c r="H803" s="188">
        <f>_xlfn.AGGREGATE(2,5,LineærRegression_Valg[[#This Row],[Tabel ID]])</f>
        <v>1</v>
      </c>
    </row>
    <row r="804" spans="1:8" x14ac:dyDescent="0.2">
      <c r="A804">
        <f>ROW(LineærRegression_Valg[[#This Row],[Tabel ID]])-ROW(LineærRegression_Valg[[#Headers],[Tabel ID]])</f>
        <v>794</v>
      </c>
      <c r="B804" s="188">
        <f>ROUNDDOWN((LineærRegression_Valg[[#This Row],[Tabel ID]]-1)/$B$5,0)+1</f>
        <v>199</v>
      </c>
      <c r="C804" s="188">
        <f t="shared" si="12"/>
        <v>2</v>
      </c>
      <c r="D804" s="188" t="b">
        <f>LineærRegression_Valg[[#This Row],[Afhængig variabel ID]]&lt;&gt;LineærRegression_Valg[[#This Row],[Uafhængig variabel ID]]</f>
        <v>1</v>
      </c>
      <c r="E804" t="b">
        <f>LineærRegression_Valg[[#This Row],[Afhængig variabel ID]]&lt;=$B$5</f>
        <v>0</v>
      </c>
      <c r="F804" t="str" cm="1">
        <f t="array" ref="F804">IF(LineærRegression_Valg[[#This Row],[Indenfor range]],INDEX(DataTitel_liste,LineærRegression_Valg[[#This Row],[Afhængig variabel ID]]),INDEX(DataTitel_liste,1))</f>
        <v>Eksempel 1 (interval)</v>
      </c>
      <c r="G804" s="188" t="str" cm="1">
        <f t="array" ref="G804">IF(LineærRegression_Valg[[#This Row],[Indenfor range]],IF(LineærRegression_Valg[[#This Row],[Intet overlap]],INDEX(DataTitel_liste,LineærRegression_Valg[[#This Row],[Uafhængig variabel ID]]),INDEX(DataTitel_liste,IF(LineærRegression_Valg[[#This Row],[Afhængig variabel ID]]=1,2,1))),$B$7)</f>
        <v>Eksempel 2 (interval)</v>
      </c>
      <c r="H804" s="188">
        <f>_xlfn.AGGREGATE(2,5,LineærRegression_Valg[[#This Row],[Tabel ID]])</f>
        <v>1</v>
      </c>
    </row>
    <row r="805" spans="1:8" x14ac:dyDescent="0.2">
      <c r="A805">
        <f>ROW(LineærRegression_Valg[[#This Row],[Tabel ID]])-ROW(LineærRegression_Valg[[#Headers],[Tabel ID]])</f>
        <v>795</v>
      </c>
      <c r="B805" s="188">
        <f>ROUNDDOWN((LineærRegression_Valg[[#This Row],[Tabel ID]]-1)/$B$5,0)+1</f>
        <v>199</v>
      </c>
      <c r="C805" s="188">
        <f t="shared" si="12"/>
        <v>3</v>
      </c>
      <c r="D805" s="188" t="b">
        <f>LineærRegression_Valg[[#This Row],[Afhængig variabel ID]]&lt;&gt;LineærRegression_Valg[[#This Row],[Uafhængig variabel ID]]</f>
        <v>1</v>
      </c>
      <c r="E805" t="b">
        <f>LineærRegression_Valg[[#This Row],[Afhængig variabel ID]]&lt;=$B$5</f>
        <v>0</v>
      </c>
      <c r="F805" t="str" cm="1">
        <f t="array" ref="F805">IF(LineærRegression_Valg[[#This Row],[Indenfor range]],INDEX(DataTitel_liste,LineærRegression_Valg[[#This Row],[Afhængig variabel ID]]),INDEX(DataTitel_liste,1))</f>
        <v>Eksempel 1 (interval)</v>
      </c>
      <c r="G805" s="188" t="str" cm="1">
        <f t="array" ref="G805">IF(LineærRegression_Valg[[#This Row],[Indenfor range]],IF(LineærRegression_Valg[[#This Row],[Intet overlap]],INDEX(DataTitel_liste,LineærRegression_Valg[[#This Row],[Uafhængig variabel ID]]),INDEX(DataTitel_liste,IF(LineærRegression_Valg[[#This Row],[Afhængig variabel ID]]=1,2,1))),$B$7)</f>
        <v>Eksempel 2 (interval)</v>
      </c>
      <c r="H805" s="188">
        <f>_xlfn.AGGREGATE(2,5,LineærRegression_Valg[[#This Row],[Tabel ID]])</f>
        <v>1</v>
      </c>
    </row>
    <row r="806" spans="1:8" x14ac:dyDescent="0.2">
      <c r="A806">
        <f>ROW(LineærRegression_Valg[[#This Row],[Tabel ID]])-ROW(LineærRegression_Valg[[#Headers],[Tabel ID]])</f>
        <v>796</v>
      </c>
      <c r="B806" s="188">
        <f>ROUNDDOWN((LineærRegression_Valg[[#This Row],[Tabel ID]]-1)/$B$5,0)+1</f>
        <v>199</v>
      </c>
      <c r="C806" s="188">
        <f t="shared" si="12"/>
        <v>4</v>
      </c>
      <c r="D806" s="188" t="b">
        <f>LineærRegression_Valg[[#This Row],[Afhængig variabel ID]]&lt;&gt;LineærRegression_Valg[[#This Row],[Uafhængig variabel ID]]</f>
        <v>1</v>
      </c>
      <c r="E806" t="b">
        <f>LineærRegression_Valg[[#This Row],[Afhængig variabel ID]]&lt;=$B$5</f>
        <v>0</v>
      </c>
      <c r="F806" t="str" cm="1">
        <f t="array" ref="F806">IF(LineærRegression_Valg[[#This Row],[Indenfor range]],INDEX(DataTitel_liste,LineærRegression_Valg[[#This Row],[Afhængig variabel ID]]),INDEX(DataTitel_liste,1))</f>
        <v>Eksempel 1 (interval)</v>
      </c>
      <c r="G806" s="188" t="str" cm="1">
        <f t="array" ref="G806">IF(LineærRegression_Valg[[#This Row],[Indenfor range]],IF(LineærRegression_Valg[[#This Row],[Intet overlap]],INDEX(DataTitel_liste,LineærRegression_Valg[[#This Row],[Uafhængig variabel ID]]),INDEX(DataTitel_liste,IF(LineærRegression_Valg[[#This Row],[Afhængig variabel ID]]=1,2,1))),$B$7)</f>
        <v>Eksempel 2 (interval)</v>
      </c>
      <c r="H806" s="188">
        <f>_xlfn.AGGREGATE(2,5,LineærRegression_Valg[[#This Row],[Tabel ID]])</f>
        <v>1</v>
      </c>
    </row>
    <row r="807" spans="1:8" x14ac:dyDescent="0.2">
      <c r="A807">
        <f>ROW(LineærRegression_Valg[[#This Row],[Tabel ID]])-ROW(LineærRegression_Valg[[#Headers],[Tabel ID]])</f>
        <v>797</v>
      </c>
      <c r="B807" s="188">
        <f>ROUNDDOWN((LineærRegression_Valg[[#This Row],[Tabel ID]]-1)/$B$5,0)+1</f>
        <v>200</v>
      </c>
      <c r="C807" s="188">
        <f t="shared" si="12"/>
        <v>1</v>
      </c>
      <c r="D807" s="188" t="b">
        <f>LineærRegression_Valg[[#This Row],[Afhængig variabel ID]]&lt;&gt;LineærRegression_Valg[[#This Row],[Uafhængig variabel ID]]</f>
        <v>1</v>
      </c>
      <c r="E807" t="b">
        <f>LineærRegression_Valg[[#This Row],[Afhængig variabel ID]]&lt;=$B$5</f>
        <v>0</v>
      </c>
      <c r="F807" t="str" cm="1">
        <f t="array" ref="F807">IF(LineærRegression_Valg[[#This Row],[Indenfor range]],INDEX(DataTitel_liste,LineærRegression_Valg[[#This Row],[Afhængig variabel ID]]),INDEX(DataTitel_liste,1))</f>
        <v>Eksempel 1 (interval)</v>
      </c>
      <c r="G807" s="188" t="str" cm="1">
        <f t="array" ref="G807">IF(LineærRegression_Valg[[#This Row],[Indenfor range]],IF(LineærRegression_Valg[[#This Row],[Intet overlap]],INDEX(DataTitel_liste,LineærRegression_Valg[[#This Row],[Uafhængig variabel ID]]),INDEX(DataTitel_liste,IF(LineærRegression_Valg[[#This Row],[Afhængig variabel ID]]=1,2,1))),$B$7)</f>
        <v>Eksempel 2 (interval)</v>
      </c>
      <c r="H807" s="188">
        <f>_xlfn.AGGREGATE(2,5,LineærRegression_Valg[[#This Row],[Tabel ID]])</f>
        <v>1</v>
      </c>
    </row>
    <row r="808" spans="1:8" x14ac:dyDescent="0.2">
      <c r="A808">
        <f>ROW(LineærRegression_Valg[[#This Row],[Tabel ID]])-ROW(LineærRegression_Valg[[#Headers],[Tabel ID]])</f>
        <v>798</v>
      </c>
      <c r="B808" s="188">
        <f>ROUNDDOWN((LineærRegression_Valg[[#This Row],[Tabel ID]]-1)/$B$5,0)+1</f>
        <v>200</v>
      </c>
      <c r="C808" s="188">
        <f t="shared" si="12"/>
        <v>2</v>
      </c>
      <c r="D808" s="188" t="b">
        <f>LineærRegression_Valg[[#This Row],[Afhængig variabel ID]]&lt;&gt;LineærRegression_Valg[[#This Row],[Uafhængig variabel ID]]</f>
        <v>1</v>
      </c>
      <c r="E808" t="b">
        <f>LineærRegression_Valg[[#This Row],[Afhængig variabel ID]]&lt;=$B$5</f>
        <v>0</v>
      </c>
      <c r="F808" t="str" cm="1">
        <f t="array" ref="F808">IF(LineærRegression_Valg[[#This Row],[Indenfor range]],INDEX(DataTitel_liste,LineærRegression_Valg[[#This Row],[Afhængig variabel ID]]),INDEX(DataTitel_liste,1))</f>
        <v>Eksempel 1 (interval)</v>
      </c>
      <c r="G808" s="188" t="str" cm="1">
        <f t="array" ref="G808">IF(LineærRegression_Valg[[#This Row],[Indenfor range]],IF(LineærRegression_Valg[[#This Row],[Intet overlap]],INDEX(DataTitel_liste,LineærRegression_Valg[[#This Row],[Uafhængig variabel ID]]),INDEX(DataTitel_liste,IF(LineærRegression_Valg[[#This Row],[Afhængig variabel ID]]=1,2,1))),$B$7)</f>
        <v>Eksempel 2 (interval)</v>
      </c>
      <c r="H808" s="188">
        <f>_xlfn.AGGREGATE(2,5,LineærRegression_Valg[[#This Row],[Tabel ID]])</f>
        <v>1</v>
      </c>
    </row>
    <row r="809" spans="1:8" x14ac:dyDescent="0.2">
      <c r="A809">
        <f>ROW(LineærRegression_Valg[[#This Row],[Tabel ID]])-ROW(LineærRegression_Valg[[#Headers],[Tabel ID]])</f>
        <v>799</v>
      </c>
      <c r="B809" s="188">
        <f>ROUNDDOWN((LineærRegression_Valg[[#This Row],[Tabel ID]]-1)/$B$5,0)+1</f>
        <v>200</v>
      </c>
      <c r="C809" s="188">
        <f t="shared" si="12"/>
        <v>3</v>
      </c>
      <c r="D809" s="188" t="b">
        <f>LineærRegression_Valg[[#This Row],[Afhængig variabel ID]]&lt;&gt;LineærRegression_Valg[[#This Row],[Uafhængig variabel ID]]</f>
        <v>1</v>
      </c>
      <c r="E809" t="b">
        <f>LineærRegression_Valg[[#This Row],[Afhængig variabel ID]]&lt;=$B$5</f>
        <v>0</v>
      </c>
      <c r="F809" t="str" cm="1">
        <f t="array" ref="F809">IF(LineærRegression_Valg[[#This Row],[Indenfor range]],INDEX(DataTitel_liste,LineærRegression_Valg[[#This Row],[Afhængig variabel ID]]),INDEX(DataTitel_liste,1))</f>
        <v>Eksempel 1 (interval)</v>
      </c>
      <c r="G809" s="188" t="str" cm="1">
        <f t="array" ref="G809">IF(LineærRegression_Valg[[#This Row],[Indenfor range]],IF(LineærRegression_Valg[[#This Row],[Intet overlap]],INDEX(DataTitel_liste,LineærRegression_Valg[[#This Row],[Uafhængig variabel ID]]),INDEX(DataTitel_liste,IF(LineærRegression_Valg[[#This Row],[Afhængig variabel ID]]=1,2,1))),$B$7)</f>
        <v>Eksempel 2 (interval)</v>
      </c>
      <c r="H809" s="188">
        <f>_xlfn.AGGREGATE(2,5,LineærRegression_Valg[[#This Row],[Tabel ID]])</f>
        <v>1</v>
      </c>
    </row>
    <row r="810" spans="1:8" x14ac:dyDescent="0.2">
      <c r="A810">
        <f>ROW(LineærRegression_Valg[[#This Row],[Tabel ID]])-ROW(LineærRegression_Valg[[#Headers],[Tabel ID]])</f>
        <v>800</v>
      </c>
      <c r="B810" s="188">
        <f>ROUNDDOWN((LineærRegression_Valg[[#This Row],[Tabel ID]]-1)/$B$5,0)+1</f>
        <v>200</v>
      </c>
      <c r="C810" s="188">
        <f t="shared" si="12"/>
        <v>4</v>
      </c>
      <c r="D810" s="188" t="b">
        <f>LineærRegression_Valg[[#This Row],[Afhængig variabel ID]]&lt;&gt;LineærRegression_Valg[[#This Row],[Uafhængig variabel ID]]</f>
        <v>1</v>
      </c>
      <c r="E810" t="b">
        <f>LineærRegression_Valg[[#This Row],[Afhængig variabel ID]]&lt;=$B$5</f>
        <v>0</v>
      </c>
      <c r="F810" t="str" cm="1">
        <f t="array" ref="F810">IF(LineærRegression_Valg[[#This Row],[Indenfor range]],INDEX(DataTitel_liste,LineærRegression_Valg[[#This Row],[Afhængig variabel ID]]),INDEX(DataTitel_liste,1))</f>
        <v>Eksempel 1 (interval)</v>
      </c>
      <c r="G810" s="188" t="str" cm="1">
        <f t="array" ref="G810">IF(LineærRegression_Valg[[#This Row],[Indenfor range]],IF(LineærRegression_Valg[[#This Row],[Intet overlap]],INDEX(DataTitel_liste,LineærRegression_Valg[[#This Row],[Uafhængig variabel ID]]),INDEX(DataTitel_liste,IF(LineærRegression_Valg[[#This Row],[Afhængig variabel ID]]=1,2,1))),$B$7)</f>
        <v>Eksempel 2 (interval)</v>
      </c>
      <c r="H810" s="188">
        <f>_xlfn.AGGREGATE(2,5,LineærRegression_Valg[[#This Row],[Tabel ID]])</f>
        <v>1</v>
      </c>
    </row>
    <row r="811" spans="1:8" x14ac:dyDescent="0.2">
      <c r="A811">
        <f>ROW(LineærRegression_Valg[[#This Row],[Tabel ID]])-ROW(LineærRegression_Valg[[#Headers],[Tabel ID]])</f>
        <v>801</v>
      </c>
      <c r="B811" s="188">
        <f>ROUNDDOWN((LineærRegression_Valg[[#This Row],[Tabel ID]]-1)/$B$5,0)+1</f>
        <v>201</v>
      </c>
      <c r="C811" s="188">
        <f t="shared" si="12"/>
        <v>1</v>
      </c>
      <c r="D811" s="188" t="b">
        <f>LineærRegression_Valg[[#This Row],[Afhængig variabel ID]]&lt;&gt;LineærRegression_Valg[[#This Row],[Uafhængig variabel ID]]</f>
        <v>1</v>
      </c>
      <c r="E811" t="b">
        <f>LineærRegression_Valg[[#This Row],[Afhængig variabel ID]]&lt;=$B$5</f>
        <v>0</v>
      </c>
      <c r="F811" t="str" cm="1">
        <f t="array" ref="F811">IF(LineærRegression_Valg[[#This Row],[Indenfor range]],INDEX(DataTitel_liste,LineærRegression_Valg[[#This Row],[Afhængig variabel ID]]),INDEX(DataTitel_liste,1))</f>
        <v>Eksempel 1 (interval)</v>
      </c>
      <c r="G811" s="188" t="str" cm="1">
        <f t="array" ref="G811">IF(LineærRegression_Valg[[#This Row],[Indenfor range]],IF(LineærRegression_Valg[[#This Row],[Intet overlap]],INDEX(DataTitel_liste,LineærRegression_Valg[[#This Row],[Uafhængig variabel ID]]),INDEX(DataTitel_liste,IF(LineærRegression_Valg[[#This Row],[Afhængig variabel ID]]=1,2,1))),$B$7)</f>
        <v>Eksempel 2 (interval)</v>
      </c>
      <c r="H811" s="188">
        <f>_xlfn.AGGREGATE(2,5,LineærRegression_Valg[[#This Row],[Tabel ID]])</f>
        <v>1</v>
      </c>
    </row>
    <row r="812" spans="1:8" x14ac:dyDescent="0.2">
      <c r="A812">
        <f>ROW(LineærRegression_Valg[[#This Row],[Tabel ID]])-ROW(LineærRegression_Valg[[#Headers],[Tabel ID]])</f>
        <v>802</v>
      </c>
      <c r="B812" s="188">
        <f>ROUNDDOWN((LineærRegression_Valg[[#This Row],[Tabel ID]]-1)/$B$5,0)+1</f>
        <v>201</v>
      </c>
      <c r="C812" s="188">
        <f t="shared" si="12"/>
        <v>2</v>
      </c>
      <c r="D812" s="188" t="b">
        <f>LineærRegression_Valg[[#This Row],[Afhængig variabel ID]]&lt;&gt;LineærRegression_Valg[[#This Row],[Uafhængig variabel ID]]</f>
        <v>1</v>
      </c>
      <c r="E812" t="b">
        <f>LineærRegression_Valg[[#This Row],[Afhængig variabel ID]]&lt;=$B$5</f>
        <v>0</v>
      </c>
      <c r="F812" t="str" cm="1">
        <f t="array" ref="F812">IF(LineærRegression_Valg[[#This Row],[Indenfor range]],INDEX(DataTitel_liste,LineærRegression_Valg[[#This Row],[Afhængig variabel ID]]),INDEX(DataTitel_liste,1))</f>
        <v>Eksempel 1 (interval)</v>
      </c>
      <c r="G812" s="188" t="str" cm="1">
        <f t="array" ref="G812">IF(LineærRegression_Valg[[#This Row],[Indenfor range]],IF(LineærRegression_Valg[[#This Row],[Intet overlap]],INDEX(DataTitel_liste,LineærRegression_Valg[[#This Row],[Uafhængig variabel ID]]),INDEX(DataTitel_liste,IF(LineærRegression_Valg[[#This Row],[Afhængig variabel ID]]=1,2,1))),$B$7)</f>
        <v>Eksempel 2 (interval)</v>
      </c>
      <c r="H812" s="188">
        <f>_xlfn.AGGREGATE(2,5,LineærRegression_Valg[[#This Row],[Tabel ID]])</f>
        <v>1</v>
      </c>
    </row>
    <row r="813" spans="1:8" x14ac:dyDescent="0.2">
      <c r="A813">
        <f>ROW(LineærRegression_Valg[[#This Row],[Tabel ID]])-ROW(LineærRegression_Valg[[#Headers],[Tabel ID]])</f>
        <v>803</v>
      </c>
      <c r="B813" s="188">
        <f>ROUNDDOWN((LineærRegression_Valg[[#This Row],[Tabel ID]]-1)/$B$5,0)+1</f>
        <v>201</v>
      </c>
      <c r="C813" s="188">
        <f t="shared" si="12"/>
        <v>3</v>
      </c>
      <c r="D813" s="188" t="b">
        <f>LineærRegression_Valg[[#This Row],[Afhængig variabel ID]]&lt;&gt;LineærRegression_Valg[[#This Row],[Uafhængig variabel ID]]</f>
        <v>1</v>
      </c>
      <c r="E813" t="b">
        <f>LineærRegression_Valg[[#This Row],[Afhængig variabel ID]]&lt;=$B$5</f>
        <v>0</v>
      </c>
      <c r="F813" t="str" cm="1">
        <f t="array" ref="F813">IF(LineærRegression_Valg[[#This Row],[Indenfor range]],INDEX(DataTitel_liste,LineærRegression_Valg[[#This Row],[Afhængig variabel ID]]),INDEX(DataTitel_liste,1))</f>
        <v>Eksempel 1 (interval)</v>
      </c>
      <c r="G813" s="188" t="str" cm="1">
        <f t="array" ref="G813">IF(LineærRegression_Valg[[#This Row],[Indenfor range]],IF(LineærRegression_Valg[[#This Row],[Intet overlap]],INDEX(DataTitel_liste,LineærRegression_Valg[[#This Row],[Uafhængig variabel ID]]),INDEX(DataTitel_liste,IF(LineærRegression_Valg[[#This Row],[Afhængig variabel ID]]=1,2,1))),$B$7)</f>
        <v>Eksempel 2 (interval)</v>
      </c>
      <c r="H813" s="188">
        <f>_xlfn.AGGREGATE(2,5,LineærRegression_Valg[[#This Row],[Tabel ID]])</f>
        <v>1</v>
      </c>
    </row>
    <row r="814" spans="1:8" x14ac:dyDescent="0.2">
      <c r="A814">
        <f>ROW(LineærRegression_Valg[[#This Row],[Tabel ID]])-ROW(LineærRegression_Valg[[#Headers],[Tabel ID]])</f>
        <v>804</v>
      </c>
      <c r="B814" s="188">
        <f>ROUNDDOWN((LineærRegression_Valg[[#This Row],[Tabel ID]]-1)/$B$5,0)+1</f>
        <v>201</v>
      </c>
      <c r="C814" s="188">
        <f t="shared" si="12"/>
        <v>4</v>
      </c>
      <c r="D814" s="188" t="b">
        <f>LineærRegression_Valg[[#This Row],[Afhængig variabel ID]]&lt;&gt;LineærRegression_Valg[[#This Row],[Uafhængig variabel ID]]</f>
        <v>1</v>
      </c>
      <c r="E814" t="b">
        <f>LineærRegression_Valg[[#This Row],[Afhængig variabel ID]]&lt;=$B$5</f>
        <v>0</v>
      </c>
      <c r="F814" t="str" cm="1">
        <f t="array" ref="F814">IF(LineærRegression_Valg[[#This Row],[Indenfor range]],INDEX(DataTitel_liste,LineærRegression_Valg[[#This Row],[Afhængig variabel ID]]),INDEX(DataTitel_liste,1))</f>
        <v>Eksempel 1 (interval)</v>
      </c>
      <c r="G814" s="188" t="str" cm="1">
        <f t="array" ref="G814">IF(LineærRegression_Valg[[#This Row],[Indenfor range]],IF(LineærRegression_Valg[[#This Row],[Intet overlap]],INDEX(DataTitel_liste,LineærRegression_Valg[[#This Row],[Uafhængig variabel ID]]),INDEX(DataTitel_liste,IF(LineærRegression_Valg[[#This Row],[Afhængig variabel ID]]=1,2,1))),$B$7)</f>
        <v>Eksempel 2 (interval)</v>
      </c>
      <c r="H814" s="188">
        <f>_xlfn.AGGREGATE(2,5,LineærRegression_Valg[[#This Row],[Tabel ID]])</f>
        <v>1</v>
      </c>
    </row>
    <row r="815" spans="1:8" x14ac:dyDescent="0.2">
      <c r="A815">
        <f>ROW(LineærRegression_Valg[[#This Row],[Tabel ID]])-ROW(LineærRegression_Valg[[#Headers],[Tabel ID]])</f>
        <v>805</v>
      </c>
      <c r="B815" s="188">
        <f>ROUNDDOWN((LineærRegression_Valg[[#This Row],[Tabel ID]]-1)/$B$5,0)+1</f>
        <v>202</v>
      </c>
      <c r="C815" s="188">
        <f t="shared" si="12"/>
        <v>1</v>
      </c>
      <c r="D815" s="188" t="b">
        <f>LineærRegression_Valg[[#This Row],[Afhængig variabel ID]]&lt;&gt;LineærRegression_Valg[[#This Row],[Uafhængig variabel ID]]</f>
        <v>1</v>
      </c>
      <c r="E815" t="b">
        <f>LineærRegression_Valg[[#This Row],[Afhængig variabel ID]]&lt;=$B$5</f>
        <v>0</v>
      </c>
      <c r="F815" t="str" cm="1">
        <f t="array" ref="F815">IF(LineærRegression_Valg[[#This Row],[Indenfor range]],INDEX(DataTitel_liste,LineærRegression_Valg[[#This Row],[Afhængig variabel ID]]),INDEX(DataTitel_liste,1))</f>
        <v>Eksempel 1 (interval)</v>
      </c>
      <c r="G815" s="188" t="str" cm="1">
        <f t="array" ref="G815">IF(LineærRegression_Valg[[#This Row],[Indenfor range]],IF(LineærRegression_Valg[[#This Row],[Intet overlap]],INDEX(DataTitel_liste,LineærRegression_Valg[[#This Row],[Uafhængig variabel ID]]),INDEX(DataTitel_liste,IF(LineærRegression_Valg[[#This Row],[Afhængig variabel ID]]=1,2,1))),$B$7)</f>
        <v>Eksempel 2 (interval)</v>
      </c>
      <c r="H815" s="188">
        <f>_xlfn.AGGREGATE(2,5,LineærRegression_Valg[[#This Row],[Tabel ID]])</f>
        <v>1</v>
      </c>
    </row>
    <row r="816" spans="1:8" x14ac:dyDescent="0.2">
      <c r="A816">
        <f>ROW(LineærRegression_Valg[[#This Row],[Tabel ID]])-ROW(LineærRegression_Valg[[#Headers],[Tabel ID]])</f>
        <v>806</v>
      </c>
      <c r="B816" s="188">
        <f>ROUNDDOWN((LineærRegression_Valg[[#This Row],[Tabel ID]]-1)/$B$5,0)+1</f>
        <v>202</v>
      </c>
      <c r="C816" s="188">
        <f t="shared" si="12"/>
        <v>2</v>
      </c>
      <c r="D816" s="188" t="b">
        <f>LineærRegression_Valg[[#This Row],[Afhængig variabel ID]]&lt;&gt;LineærRegression_Valg[[#This Row],[Uafhængig variabel ID]]</f>
        <v>1</v>
      </c>
      <c r="E816" t="b">
        <f>LineærRegression_Valg[[#This Row],[Afhængig variabel ID]]&lt;=$B$5</f>
        <v>0</v>
      </c>
      <c r="F816" t="str" cm="1">
        <f t="array" ref="F816">IF(LineærRegression_Valg[[#This Row],[Indenfor range]],INDEX(DataTitel_liste,LineærRegression_Valg[[#This Row],[Afhængig variabel ID]]),INDEX(DataTitel_liste,1))</f>
        <v>Eksempel 1 (interval)</v>
      </c>
      <c r="G816" s="188" t="str" cm="1">
        <f t="array" ref="G816">IF(LineærRegression_Valg[[#This Row],[Indenfor range]],IF(LineærRegression_Valg[[#This Row],[Intet overlap]],INDEX(DataTitel_liste,LineærRegression_Valg[[#This Row],[Uafhængig variabel ID]]),INDEX(DataTitel_liste,IF(LineærRegression_Valg[[#This Row],[Afhængig variabel ID]]=1,2,1))),$B$7)</f>
        <v>Eksempel 2 (interval)</v>
      </c>
      <c r="H816" s="188">
        <f>_xlfn.AGGREGATE(2,5,LineærRegression_Valg[[#This Row],[Tabel ID]])</f>
        <v>1</v>
      </c>
    </row>
    <row r="817" spans="1:8" x14ac:dyDescent="0.2">
      <c r="A817">
        <f>ROW(LineærRegression_Valg[[#This Row],[Tabel ID]])-ROW(LineærRegression_Valg[[#Headers],[Tabel ID]])</f>
        <v>807</v>
      </c>
      <c r="B817" s="188">
        <f>ROUNDDOWN((LineærRegression_Valg[[#This Row],[Tabel ID]]-1)/$B$5,0)+1</f>
        <v>202</v>
      </c>
      <c r="C817" s="188">
        <f t="shared" si="12"/>
        <v>3</v>
      </c>
      <c r="D817" s="188" t="b">
        <f>LineærRegression_Valg[[#This Row],[Afhængig variabel ID]]&lt;&gt;LineærRegression_Valg[[#This Row],[Uafhængig variabel ID]]</f>
        <v>1</v>
      </c>
      <c r="E817" t="b">
        <f>LineærRegression_Valg[[#This Row],[Afhængig variabel ID]]&lt;=$B$5</f>
        <v>0</v>
      </c>
      <c r="F817" t="str" cm="1">
        <f t="array" ref="F817">IF(LineærRegression_Valg[[#This Row],[Indenfor range]],INDEX(DataTitel_liste,LineærRegression_Valg[[#This Row],[Afhængig variabel ID]]),INDEX(DataTitel_liste,1))</f>
        <v>Eksempel 1 (interval)</v>
      </c>
      <c r="G817" s="188" t="str" cm="1">
        <f t="array" ref="G817">IF(LineærRegression_Valg[[#This Row],[Indenfor range]],IF(LineærRegression_Valg[[#This Row],[Intet overlap]],INDEX(DataTitel_liste,LineærRegression_Valg[[#This Row],[Uafhængig variabel ID]]),INDEX(DataTitel_liste,IF(LineærRegression_Valg[[#This Row],[Afhængig variabel ID]]=1,2,1))),$B$7)</f>
        <v>Eksempel 2 (interval)</v>
      </c>
      <c r="H817" s="188">
        <f>_xlfn.AGGREGATE(2,5,LineærRegression_Valg[[#This Row],[Tabel ID]])</f>
        <v>1</v>
      </c>
    </row>
    <row r="818" spans="1:8" x14ac:dyDescent="0.2">
      <c r="A818">
        <f>ROW(LineærRegression_Valg[[#This Row],[Tabel ID]])-ROW(LineærRegression_Valg[[#Headers],[Tabel ID]])</f>
        <v>808</v>
      </c>
      <c r="B818" s="188">
        <f>ROUNDDOWN((LineærRegression_Valg[[#This Row],[Tabel ID]]-1)/$B$5,0)+1</f>
        <v>202</v>
      </c>
      <c r="C818" s="188">
        <f t="shared" si="12"/>
        <v>4</v>
      </c>
      <c r="D818" s="188" t="b">
        <f>LineærRegression_Valg[[#This Row],[Afhængig variabel ID]]&lt;&gt;LineærRegression_Valg[[#This Row],[Uafhængig variabel ID]]</f>
        <v>1</v>
      </c>
      <c r="E818" t="b">
        <f>LineærRegression_Valg[[#This Row],[Afhængig variabel ID]]&lt;=$B$5</f>
        <v>0</v>
      </c>
      <c r="F818" t="str" cm="1">
        <f t="array" ref="F818">IF(LineærRegression_Valg[[#This Row],[Indenfor range]],INDEX(DataTitel_liste,LineærRegression_Valg[[#This Row],[Afhængig variabel ID]]),INDEX(DataTitel_liste,1))</f>
        <v>Eksempel 1 (interval)</v>
      </c>
      <c r="G818" s="188" t="str" cm="1">
        <f t="array" ref="G818">IF(LineærRegression_Valg[[#This Row],[Indenfor range]],IF(LineærRegression_Valg[[#This Row],[Intet overlap]],INDEX(DataTitel_liste,LineærRegression_Valg[[#This Row],[Uafhængig variabel ID]]),INDEX(DataTitel_liste,IF(LineærRegression_Valg[[#This Row],[Afhængig variabel ID]]=1,2,1))),$B$7)</f>
        <v>Eksempel 2 (interval)</v>
      </c>
      <c r="H818" s="188">
        <f>_xlfn.AGGREGATE(2,5,LineærRegression_Valg[[#This Row],[Tabel ID]])</f>
        <v>1</v>
      </c>
    </row>
    <row r="819" spans="1:8" x14ac:dyDescent="0.2">
      <c r="A819">
        <f>ROW(LineærRegression_Valg[[#This Row],[Tabel ID]])-ROW(LineærRegression_Valg[[#Headers],[Tabel ID]])</f>
        <v>809</v>
      </c>
      <c r="B819" s="188">
        <f>ROUNDDOWN((LineærRegression_Valg[[#This Row],[Tabel ID]]-1)/$B$5,0)+1</f>
        <v>203</v>
      </c>
      <c r="C819" s="188">
        <f t="shared" si="12"/>
        <v>1</v>
      </c>
      <c r="D819" s="188" t="b">
        <f>LineærRegression_Valg[[#This Row],[Afhængig variabel ID]]&lt;&gt;LineærRegression_Valg[[#This Row],[Uafhængig variabel ID]]</f>
        <v>1</v>
      </c>
      <c r="E819" t="b">
        <f>LineærRegression_Valg[[#This Row],[Afhængig variabel ID]]&lt;=$B$5</f>
        <v>0</v>
      </c>
      <c r="F819" t="str" cm="1">
        <f t="array" ref="F819">IF(LineærRegression_Valg[[#This Row],[Indenfor range]],INDEX(DataTitel_liste,LineærRegression_Valg[[#This Row],[Afhængig variabel ID]]),INDEX(DataTitel_liste,1))</f>
        <v>Eksempel 1 (interval)</v>
      </c>
      <c r="G819" s="188" t="str" cm="1">
        <f t="array" ref="G819">IF(LineærRegression_Valg[[#This Row],[Indenfor range]],IF(LineærRegression_Valg[[#This Row],[Intet overlap]],INDEX(DataTitel_liste,LineærRegression_Valg[[#This Row],[Uafhængig variabel ID]]),INDEX(DataTitel_liste,IF(LineærRegression_Valg[[#This Row],[Afhængig variabel ID]]=1,2,1))),$B$7)</f>
        <v>Eksempel 2 (interval)</v>
      </c>
      <c r="H819" s="188">
        <f>_xlfn.AGGREGATE(2,5,LineærRegression_Valg[[#This Row],[Tabel ID]])</f>
        <v>1</v>
      </c>
    </row>
    <row r="820" spans="1:8" x14ac:dyDescent="0.2">
      <c r="A820">
        <f>ROW(LineærRegression_Valg[[#This Row],[Tabel ID]])-ROW(LineærRegression_Valg[[#Headers],[Tabel ID]])</f>
        <v>810</v>
      </c>
      <c r="B820" s="188">
        <f>ROUNDDOWN((LineærRegression_Valg[[#This Row],[Tabel ID]]-1)/$B$5,0)+1</f>
        <v>203</v>
      </c>
      <c r="C820" s="188">
        <f t="shared" si="12"/>
        <v>2</v>
      </c>
      <c r="D820" s="188" t="b">
        <f>LineærRegression_Valg[[#This Row],[Afhængig variabel ID]]&lt;&gt;LineærRegression_Valg[[#This Row],[Uafhængig variabel ID]]</f>
        <v>1</v>
      </c>
      <c r="E820" t="b">
        <f>LineærRegression_Valg[[#This Row],[Afhængig variabel ID]]&lt;=$B$5</f>
        <v>0</v>
      </c>
      <c r="F820" t="str" cm="1">
        <f t="array" ref="F820">IF(LineærRegression_Valg[[#This Row],[Indenfor range]],INDEX(DataTitel_liste,LineærRegression_Valg[[#This Row],[Afhængig variabel ID]]),INDEX(DataTitel_liste,1))</f>
        <v>Eksempel 1 (interval)</v>
      </c>
      <c r="G820" s="188" t="str" cm="1">
        <f t="array" ref="G820">IF(LineærRegression_Valg[[#This Row],[Indenfor range]],IF(LineærRegression_Valg[[#This Row],[Intet overlap]],INDEX(DataTitel_liste,LineærRegression_Valg[[#This Row],[Uafhængig variabel ID]]),INDEX(DataTitel_liste,IF(LineærRegression_Valg[[#This Row],[Afhængig variabel ID]]=1,2,1))),$B$7)</f>
        <v>Eksempel 2 (interval)</v>
      </c>
      <c r="H820" s="188">
        <f>_xlfn.AGGREGATE(2,5,LineærRegression_Valg[[#This Row],[Tabel ID]])</f>
        <v>1</v>
      </c>
    </row>
    <row r="821" spans="1:8" x14ac:dyDescent="0.2">
      <c r="A821">
        <f>ROW(LineærRegression_Valg[[#This Row],[Tabel ID]])-ROW(LineærRegression_Valg[[#Headers],[Tabel ID]])</f>
        <v>811</v>
      </c>
      <c r="B821" s="188">
        <f>ROUNDDOWN((LineærRegression_Valg[[#This Row],[Tabel ID]]-1)/$B$5,0)+1</f>
        <v>203</v>
      </c>
      <c r="C821" s="188">
        <f t="shared" si="12"/>
        <v>3</v>
      </c>
      <c r="D821" s="188" t="b">
        <f>LineærRegression_Valg[[#This Row],[Afhængig variabel ID]]&lt;&gt;LineærRegression_Valg[[#This Row],[Uafhængig variabel ID]]</f>
        <v>1</v>
      </c>
      <c r="E821" t="b">
        <f>LineærRegression_Valg[[#This Row],[Afhængig variabel ID]]&lt;=$B$5</f>
        <v>0</v>
      </c>
      <c r="F821" t="str" cm="1">
        <f t="array" ref="F821">IF(LineærRegression_Valg[[#This Row],[Indenfor range]],INDEX(DataTitel_liste,LineærRegression_Valg[[#This Row],[Afhængig variabel ID]]),INDEX(DataTitel_liste,1))</f>
        <v>Eksempel 1 (interval)</v>
      </c>
      <c r="G821" s="188" t="str" cm="1">
        <f t="array" ref="G821">IF(LineærRegression_Valg[[#This Row],[Indenfor range]],IF(LineærRegression_Valg[[#This Row],[Intet overlap]],INDEX(DataTitel_liste,LineærRegression_Valg[[#This Row],[Uafhængig variabel ID]]),INDEX(DataTitel_liste,IF(LineærRegression_Valg[[#This Row],[Afhængig variabel ID]]=1,2,1))),$B$7)</f>
        <v>Eksempel 2 (interval)</v>
      </c>
      <c r="H821" s="188">
        <f>_xlfn.AGGREGATE(2,5,LineærRegression_Valg[[#This Row],[Tabel ID]])</f>
        <v>1</v>
      </c>
    </row>
    <row r="822" spans="1:8" x14ac:dyDescent="0.2">
      <c r="A822">
        <f>ROW(LineærRegression_Valg[[#This Row],[Tabel ID]])-ROW(LineærRegression_Valg[[#Headers],[Tabel ID]])</f>
        <v>812</v>
      </c>
      <c r="B822" s="188">
        <f>ROUNDDOWN((LineærRegression_Valg[[#This Row],[Tabel ID]]-1)/$B$5,0)+1</f>
        <v>203</v>
      </c>
      <c r="C822" s="188">
        <f t="shared" si="12"/>
        <v>4</v>
      </c>
      <c r="D822" s="188" t="b">
        <f>LineærRegression_Valg[[#This Row],[Afhængig variabel ID]]&lt;&gt;LineærRegression_Valg[[#This Row],[Uafhængig variabel ID]]</f>
        <v>1</v>
      </c>
      <c r="E822" t="b">
        <f>LineærRegression_Valg[[#This Row],[Afhængig variabel ID]]&lt;=$B$5</f>
        <v>0</v>
      </c>
      <c r="F822" t="str" cm="1">
        <f t="array" ref="F822">IF(LineærRegression_Valg[[#This Row],[Indenfor range]],INDEX(DataTitel_liste,LineærRegression_Valg[[#This Row],[Afhængig variabel ID]]),INDEX(DataTitel_liste,1))</f>
        <v>Eksempel 1 (interval)</v>
      </c>
      <c r="G822" s="188" t="str" cm="1">
        <f t="array" ref="G822">IF(LineærRegression_Valg[[#This Row],[Indenfor range]],IF(LineærRegression_Valg[[#This Row],[Intet overlap]],INDEX(DataTitel_liste,LineærRegression_Valg[[#This Row],[Uafhængig variabel ID]]),INDEX(DataTitel_liste,IF(LineærRegression_Valg[[#This Row],[Afhængig variabel ID]]=1,2,1))),$B$7)</f>
        <v>Eksempel 2 (interval)</v>
      </c>
      <c r="H822" s="188">
        <f>_xlfn.AGGREGATE(2,5,LineærRegression_Valg[[#This Row],[Tabel ID]])</f>
        <v>1</v>
      </c>
    </row>
    <row r="823" spans="1:8" x14ac:dyDescent="0.2">
      <c r="A823">
        <f>ROW(LineærRegression_Valg[[#This Row],[Tabel ID]])-ROW(LineærRegression_Valg[[#Headers],[Tabel ID]])</f>
        <v>813</v>
      </c>
      <c r="B823" s="188">
        <f>ROUNDDOWN((LineærRegression_Valg[[#This Row],[Tabel ID]]-1)/$B$5,0)+1</f>
        <v>204</v>
      </c>
      <c r="C823" s="188">
        <f t="shared" si="12"/>
        <v>1</v>
      </c>
      <c r="D823" s="188" t="b">
        <f>LineærRegression_Valg[[#This Row],[Afhængig variabel ID]]&lt;&gt;LineærRegression_Valg[[#This Row],[Uafhængig variabel ID]]</f>
        <v>1</v>
      </c>
      <c r="E823" t="b">
        <f>LineærRegression_Valg[[#This Row],[Afhængig variabel ID]]&lt;=$B$5</f>
        <v>0</v>
      </c>
      <c r="F823" t="str" cm="1">
        <f t="array" ref="F823">IF(LineærRegression_Valg[[#This Row],[Indenfor range]],INDEX(DataTitel_liste,LineærRegression_Valg[[#This Row],[Afhængig variabel ID]]),INDEX(DataTitel_liste,1))</f>
        <v>Eksempel 1 (interval)</v>
      </c>
      <c r="G823" s="188" t="str" cm="1">
        <f t="array" ref="G823">IF(LineærRegression_Valg[[#This Row],[Indenfor range]],IF(LineærRegression_Valg[[#This Row],[Intet overlap]],INDEX(DataTitel_liste,LineærRegression_Valg[[#This Row],[Uafhængig variabel ID]]),INDEX(DataTitel_liste,IF(LineærRegression_Valg[[#This Row],[Afhængig variabel ID]]=1,2,1))),$B$7)</f>
        <v>Eksempel 2 (interval)</v>
      </c>
      <c r="H823" s="188">
        <f>_xlfn.AGGREGATE(2,5,LineærRegression_Valg[[#This Row],[Tabel ID]])</f>
        <v>1</v>
      </c>
    </row>
    <row r="824" spans="1:8" x14ac:dyDescent="0.2">
      <c r="A824">
        <f>ROW(LineærRegression_Valg[[#This Row],[Tabel ID]])-ROW(LineærRegression_Valg[[#Headers],[Tabel ID]])</f>
        <v>814</v>
      </c>
      <c r="B824" s="188">
        <f>ROUNDDOWN((LineærRegression_Valg[[#This Row],[Tabel ID]]-1)/$B$5,0)+1</f>
        <v>204</v>
      </c>
      <c r="C824" s="188">
        <f t="shared" si="12"/>
        <v>2</v>
      </c>
      <c r="D824" s="188" t="b">
        <f>LineærRegression_Valg[[#This Row],[Afhængig variabel ID]]&lt;&gt;LineærRegression_Valg[[#This Row],[Uafhængig variabel ID]]</f>
        <v>1</v>
      </c>
      <c r="E824" t="b">
        <f>LineærRegression_Valg[[#This Row],[Afhængig variabel ID]]&lt;=$B$5</f>
        <v>0</v>
      </c>
      <c r="F824" t="str" cm="1">
        <f t="array" ref="F824">IF(LineærRegression_Valg[[#This Row],[Indenfor range]],INDEX(DataTitel_liste,LineærRegression_Valg[[#This Row],[Afhængig variabel ID]]),INDEX(DataTitel_liste,1))</f>
        <v>Eksempel 1 (interval)</v>
      </c>
      <c r="G824" s="188" t="str" cm="1">
        <f t="array" ref="G824">IF(LineærRegression_Valg[[#This Row],[Indenfor range]],IF(LineærRegression_Valg[[#This Row],[Intet overlap]],INDEX(DataTitel_liste,LineærRegression_Valg[[#This Row],[Uafhængig variabel ID]]),INDEX(DataTitel_liste,IF(LineærRegression_Valg[[#This Row],[Afhængig variabel ID]]=1,2,1))),$B$7)</f>
        <v>Eksempel 2 (interval)</v>
      </c>
      <c r="H824" s="188">
        <f>_xlfn.AGGREGATE(2,5,LineærRegression_Valg[[#This Row],[Tabel ID]])</f>
        <v>1</v>
      </c>
    </row>
    <row r="825" spans="1:8" x14ac:dyDescent="0.2">
      <c r="A825">
        <f>ROW(LineærRegression_Valg[[#This Row],[Tabel ID]])-ROW(LineærRegression_Valg[[#Headers],[Tabel ID]])</f>
        <v>815</v>
      </c>
      <c r="B825" s="188">
        <f>ROUNDDOWN((LineærRegression_Valg[[#This Row],[Tabel ID]]-1)/$B$5,0)+1</f>
        <v>204</v>
      </c>
      <c r="C825" s="188">
        <f t="shared" si="12"/>
        <v>3</v>
      </c>
      <c r="D825" s="188" t="b">
        <f>LineærRegression_Valg[[#This Row],[Afhængig variabel ID]]&lt;&gt;LineærRegression_Valg[[#This Row],[Uafhængig variabel ID]]</f>
        <v>1</v>
      </c>
      <c r="E825" t="b">
        <f>LineærRegression_Valg[[#This Row],[Afhængig variabel ID]]&lt;=$B$5</f>
        <v>0</v>
      </c>
      <c r="F825" t="str" cm="1">
        <f t="array" ref="F825">IF(LineærRegression_Valg[[#This Row],[Indenfor range]],INDEX(DataTitel_liste,LineærRegression_Valg[[#This Row],[Afhængig variabel ID]]),INDEX(DataTitel_liste,1))</f>
        <v>Eksempel 1 (interval)</v>
      </c>
      <c r="G825" s="188" t="str" cm="1">
        <f t="array" ref="G825">IF(LineærRegression_Valg[[#This Row],[Indenfor range]],IF(LineærRegression_Valg[[#This Row],[Intet overlap]],INDEX(DataTitel_liste,LineærRegression_Valg[[#This Row],[Uafhængig variabel ID]]),INDEX(DataTitel_liste,IF(LineærRegression_Valg[[#This Row],[Afhængig variabel ID]]=1,2,1))),$B$7)</f>
        <v>Eksempel 2 (interval)</v>
      </c>
      <c r="H825" s="188">
        <f>_xlfn.AGGREGATE(2,5,LineærRegression_Valg[[#This Row],[Tabel ID]])</f>
        <v>1</v>
      </c>
    </row>
    <row r="826" spans="1:8" x14ac:dyDescent="0.2">
      <c r="A826">
        <f>ROW(LineærRegression_Valg[[#This Row],[Tabel ID]])-ROW(LineærRegression_Valg[[#Headers],[Tabel ID]])</f>
        <v>816</v>
      </c>
      <c r="B826" s="188">
        <f>ROUNDDOWN((LineærRegression_Valg[[#This Row],[Tabel ID]]-1)/$B$5,0)+1</f>
        <v>204</v>
      </c>
      <c r="C826" s="188">
        <f t="shared" si="12"/>
        <v>4</v>
      </c>
      <c r="D826" s="188" t="b">
        <f>LineærRegression_Valg[[#This Row],[Afhængig variabel ID]]&lt;&gt;LineærRegression_Valg[[#This Row],[Uafhængig variabel ID]]</f>
        <v>1</v>
      </c>
      <c r="E826" t="b">
        <f>LineærRegression_Valg[[#This Row],[Afhængig variabel ID]]&lt;=$B$5</f>
        <v>0</v>
      </c>
      <c r="F826" t="str" cm="1">
        <f t="array" ref="F826">IF(LineærRegression_Valg[[#This Row],[Indenfor range]],INDEX(DataTitel_liste,LineærRegression_Valg[[#This Row],[Afhængig variabel ID]]),INDEX(DataTitel_liste,1))</f>
        <v>Eksempel 1 (interval)</v>
      </c>
      <c r="G826" s="188" t="str" cm="1">
        <f t="array" ref="G826">IF(LineærRegression_Valg[[#This Row],[Indenfor range]],IF(LineærRegression_Valg[[#This Row],[Intet overlap]],INDEX(DataTitel_liste,LineærRegression_Valg[[#This Row],[Uafhængig variabel ID]]),INDEX(DataTitel_liste,IF(LineærRegression_Valg[[#This Row],[Afhængig variabel ID]]=1,2,1))),$B$7)</f>
        <v>Eksempel 2 (interval)</v>
      </c>
      <c r="H826" s="188">
        <f>_xlfn.AGGREGATE(2,5,LineærRegression_Valg[[#This Row],[Tabel ID]])</f>
        <v>1</v>
      </c>
    </row>
    <row r="827" spans="1:8" x14ac:dyDescent="0.2">
      <c r="A827">
        <f>ROW(LineærRegression_Valg[[#This Row],[Tabel ID]])-ROW(LineærRegression_Valg[[#Headers],[Tabel ID]])</f>
        <v>817</v>
      </c>
      <c r="B827" s="188">
        <f>ROUNDDOWN((LineærRegression_Valg[[#This Row],[Tabel ID]]-1)/$B$5,0)+1</f>
        <v>205</v>
      </c>
      <c r="C827" s="188">
        <f t="shared" si="12"/>
        <v>1</v>
      </c>
      <c r="D827" s="188" t="b">
        <f>LineærRegression_Valg[[#This Row],[Afhængig variabel ID]]&lt;&gt;LineærRegression_Valg[[#This Row],[Uafhængig variabel ID]]</f>
        <v>1</v>
      </c>
      <c r="E827" t="b">
        <f>LineærRegression_Valg[[#This Row],[Afhængig variabel ID]]&lt;=$B$5</f>
        <v>0</v>
      </c>
      <c r="F827" t="str" cm="1">
        <f t="array" ref="F827">IF(LineærRegression_Valg[[#This Row],[Indenfor range]],INDEX(DataTitel_liste,LineærRegression_Valg[[#This Row],[Afhængig variabel ID]]),INDEX(DataTitel_liste,1))</f>
        <v>Eksempel 1 (interval)</v>
      </c>
      <c r="G827" s="188" t="str" cm="1">
        <f t="array" ref="G827">IF(LineærRegression_Valg[[#This Row],[Indenfor range]],IF(LineærRegression_Valg[[#This Row],[Intet overlap]],INDEX(DataTitel_liste,LineærRegression_Valg[[#This Row],[Uafhængig variabel ID]]),INDEX(DataTitel_liste,IF(LineærRegression_Valg[[#This Row],[Afhængig variabel ID]]=1,2,1))),$B$7)</f>
        <v>Eksempel 2 (interval)</v>
      </c>
      <c r="H827" s="188">
        <f>_xlfn.AGGREGATE(2,5,LineærRegression_Valg[[#This Row],[Tabel ID]])</f>
        <v>1</v>
      </c>
    </row>
    <row r="828" spans="1:8" x14ac:dyDescent="0.2">
      <c r="A828">
        <f>ROW(LineærRegression_Valg[[#This Row],[Tabel ID]])-ROW(LineærRegression_Valg[[#Headers],[Tabel ID]])</f>
        <v>818</v>
      </c>
      <c r="B828" s="188">
        <f>ROUNDDOWN((LineærRegression_Valg[[#This Row],[Tabel ID]]-1)/$B$5,0)+1</f>
        <v>205</v>
      </c>
      <c r="C828" s="188">
        <f t="shared" si="12"/>
        <v>2</v>
      </c>
      <c r="D828" s="188" t="b">
        <f>LineærRegression_Valg[[#This Row],[Afhængig variabel ID]]&lt;&gt;LineærRegression_Valg[[#This Row],[Uafhængig variabel ID]]</f>
        <v>1</v>
      </c>
      <c r="E828" t="b">
        <f>LineærRegression_Valg[[#This Row],[Afhængig variabel ID]]&lt;=$B$5</f>
        <v>0</v>
      </c>
      <c r="F828" t="str" cm="1">
        <f t="array" ref="F828">IF(LineærRegression_Valg[[#This Row],[Indenfor range]],INDEX(DataTitel_liste,LineærRegression_Valg[[#This Row],[Afhængig variabel ID]]),INDEX(DataTitel_liste,1))</f>
        <v>Eksempel 1 (interval)</v>
      </c>
      <c r="G828" s="188" t="str" cm="1">
        <f t="array" ref="G828">IF(LineærRegression_Valg[[#This Row],[Indenfor range]],IF(LineærRegression_Valg[[#This Row],[Intet overlap]],INDEX(DataTitel_liste,LineærRegression_Valg[[#This Row],[Uafhængig variabel ID]]),INDEX(DataTitel_liste,IF(LineærRegression_Valg[[#This Row],[Afhængig variabel ID]]=1,2,1))),$B$7)</f>
        <v>Eksempel 2 (interval)</v>
      </c>
      <c r="H828" s="188">
        <f>_xlfn.AGGREGATE(2,5,LineærRegression_Valg[[#This Row],[Tabel ID]])</f>
        <v>1</v>
      </c>
    </row>
    <row r="829" spans="1:8" x14ac:dyDescent="0.2">
      <c r="A829">
        <f>ROW(LineærRegression_Valg[[#This Row],[Tabel ID]])-ROW(LineærRegression_Valg[[#Headers],[Tabel ID]])</f>
        <v>819</v>
      </c>
      <c r="B829" s="188">
        <f>ROUNDDOWN((LineærRegression_Valg[[#This Row],[Tabel ID]]-1)/$B$5,0)+1</f>
        <v>205</v>
      </c>
      <c r="C829" s="188">
        <f t="shared" si="12"/>
        <v>3</v>
      </c>
      <c r="D829" s="188" t="b">
        <f>LineærRegression_Valg[[#This Row],[Afhængig variabel ID]]&lt;&gt;LineærRegression_Valg[[#This Row],[Uafhængig variabel ID]]</f>
        <v>1</v>
      </c>
      <c r="E829" t="b">
        <f>LineærRegression_Valg[[#This Row],[Afhængig variabel ID]]&lt;=$B$5</f>
        <v>0</v>
      </c>
      <c r="F829" t="str" cm="1">
        <f t="array" ref="F829">IF(LineærRegression_Valg[[#This Row],[Indenfor range]],INDEX(DataTitel_liste,LineærRegression_Valg[[#This Row],[Afhængig variabel ID]]),INDEX(DataTitel_liste,1))</f>
        <v>Eksempel 1 (interval)</v>
      </c>
      <c r="G829" s="188" t="str" cm="1">
        <f t="array" ref="G829">IF(LineærRegression_Valg[[#This Row],[Indenfor range]],IF(LineærRegression_Valg[[#This Row],[Intet overlap]],INDEX(DataTitel_liste,LineærRegression_Valg[[#This Row],[Uafhængig variabel ID]]),INDEX(DataTitel_liste,IF(LineærRegression_Valg[[#This Row],[Afhængig variabel ID]]=1,2,1))),$B$7)</f>
        <v>Eksempel 2 (interval)</v>
      </c>
      <c r="H829" s="188">
        <f>_xlfn.AGGREGATE(2,5,LineærRegression_Valg[[#This Row],[Tabel ID]])</f>
        <v>1</v>
      </c>
    </row>
    <row r="830" spans="1:8" x14ac:dyDescent="0.2">
      <c r="A830">
        <f>ROW(LineærRegression_Valg[[#This Row],[Tabel ID]])-ROW(LineærRegression_Valg[[#Headers],[Tabel ID]])</f>
        <v>820</v>
      </c>
      <c r="B830" s="188">
        <f>ROUNDDOWN((LineærRegression_Valg[[#This Row],[Tabel ID]]-1)/$B$5,0)+1</f>
        <v>205</v>
      </c>
      <c r="C830" s="188">
        <f t="shared" si="12"/>
        <v>4</v>
      </c>
      <c r="D830" s="188" t="b">
        <f>LineærRegression_Valg[[#This Row],[Afhængig variabel ID]]&lt;&gt;LineærRegression_Valg[[#This Row],[Uafhængig variabel ID]]</f>
        <v>1</v>
      </c>
      <c r="E830" t="b">
        <f>LineærRegression_Valg[[#This Row],[Afhængig variabel ID]]&lt;=$B$5</f>
        <v>0</v>
      </c>
      <c r="F830" t="str" cm="1">
        <f t="array" ref="F830">IF(LineærRegression_Valg[[#This Row],[Indenfor range]],INDEX(DataTitel_liste,LineærRegression_Valg[[#This Row],[Afhængig variabel ID]]),INDEX(DataTitel_liste,1))</f>
        <v>Eksempel 1 (interval)</v>
      </c>
      <c r="G830" s="188" t="str" cm="1">
        <f t="array" ref="G830">IF(LineærRegression_Valg[[#This Row],[Indenfor range]],IF(LineærRegression_Valg[[#This Row],[Intet overlap]],INDEX(DataTitel_liste,LineærRegression_Valg[[#This Row],[Uafhængig variabel ID]]),INDEX(DataTitel_liste,IF(LineærRegression_Valg[[#This Row],[Afhængig variabel ID]]=1,2,1))),$B$7)</f>
        <v>Eksempel 2 (interval)</v>
      </c>
      <c r="H830" s="188">
        <f>_xlfn.AGGREGATE(2,5,LineærRegression_Valg[[#This Row],[Tabel ID]])</f>
        <v>1</v>
      </c>
    </row>
    <row r="831" spans="1:8" x14ac:dyDescent="0.2">
      <c r="A831">
        <f>ROW(LineærRegression_Valg[[#This Row],[Tabel ID]])-ROW(LineærRegression_Valg[[#Headers],[Tabel ID]])</f>
        <v>821</v>
      </c>
      <c r="B831" s="188">
        <f>ROUNDDOWN((LineærRegression_Valg[[#This Row],[Tabel ID]]-1)/$B$5,0)+1</f>
        <v>206</v>
      </c>
      <c r="C831" s="188">
        <f t="shared" si="12"/>
        <v>1</v>
      </c>
      <c r="D831" s="188" t="b">
        <f>LineærRegression_Valg[[#This Row],[Afhængig variabel ID]]&lt;&gt;LineærRegression_Valg[[#This Row],[Uafhængig variabel ID]]</f>
        <v>1</v>
      </c>
      <c r="E831" t="b">
        <f>LineærRegression_Valg[[#This Row],[Afhængig variabel ID]]&lt;=$B$5</f>
        <v>0</v>
      </c>
      <c r="F831" t="str" cm="1">
        <f t="array" ref="F831">IF(LineærRegression_Valg[[#This Row],[Indenfor range]],INDEX(DataTitel_liste,LineærRegression_Valg[[#This Row],[Afhængig variabel ID]]),INDEX(DataTitel_liste,1))</f>
        <v>Eksempel 1 (interval)</v>
      </c>
      <c r="G831" s="188" t="str" cm="1">
        <f t="array" ref="G831">IF(LineærRegression_Valg[[#This Row],[Indenfor range]],IF(LineærRegression_Valg[[#This Row],[Intet overlap]],INDEX(DataTitel_liste,LineærRegression_Valg[[#This Row],[Uafhængig variabel ID]]),INDEX(DataTitel_liste,IF(LineærRegression_Valg[[#This Row],[Afhængig variabel ID]]=1,2,1))),$B$7)</f>
        <v>Eksempel 2 (interval)</v>
      </c>
      <c r="H831" s="188">
        <f>_xlfn.AGGREGATE(2,5,LineærRegression_Valg[[#This Row],[Tabel ID]])</f>
        <v>1</v>
      </c>
    </row>
    <row r="832" spans="1:8" x14ac:dyDescent="0.2">
      <c r="A832">
        <f>ROW(LineærRegression_Valg[[#This Row],[Tabel ID]])-ROW(LineærRegression_Valg[[#Headers],[Tabel ID]])</f>
        <v>822</v>
      </c>
      <c r="B832" s="188">
        <f>ROUNDDOWN((LineærRegression_Valg[[#This Row],[Tabel ID]]-1)/$B$5,0)+1</f>
        <v>206</v>
      </c>
      <c r="C832" s="188">
        <f t="shared" si="12"/>
        <v>2</v>
      </c>
      <c r="D832" s="188" t="b">
        <f>LineærRegression_Valg[[#This Row],[Afhængig variabel ID]]&lt;&gt;LineærRegression_Valg[[#This Row],[Uafhængig variabel ID]]</f>
        <v>1</v>
      </c>
      <c r="E832" t="b">
        <f>LineærRegression_Valg[[#This Row],[Afhængig variabel ID]]&lt;=$B$5</f>
        <v>0</v>
      </c>
      <c r="F832" t="str" cm="1">
        <f t="array" ref="F832">IF(LineærRegression_Valg[[#This Row],[Indenfor range]],INDEX(DataTitel_liste,LineærRegression_Valg[[#This Row],[Afhængig variabel ID]]),INDEX(DataTitel_liste,1))</f>
        <v>Eksempel 1 (interval)</v>
      </c>
      <c r="G832" s="188" t="str" cm="1">
        <f t="array" ref="G832">IF(LineærRegression_Valg[[#This Row],[Indenfor range]],IF(LineærRegression_Valg[[#This Row],[Intet overlap]],INDEX(DataTitel_liste,LineærRegression_Valg[[#This Row],[Uafhængig variabel ID]]),INDEX(DataTitel_liste,IF(LineærRegression_Valg[[#This Row],[Afhængig variabel ID]]=1,2,1))),$B$7)</f>
        <v>Eksempel 2 (interval)</v>
      </c>
      <c r="H832" s="188">
        <f>_xlfn.AGGREGATE(2,5,LineærRegression_Valg[[#This Row],[Tabel ID]])</f>
        <v>1</v>
      </c>
    </row>
    <row r="833" spans="1:8" x14ac:dyDescent="0.2">
      <c r="A833">
        <f>ROW(LineærRegression_Valg[[#This Row],[Tabel ID]])-ROW(LineærRegression_Valg[[#Headers],[Tabel ID]])</f>
        <v>823</v>
      </c>
      <c r="B833" s="188">
        <f>ROUNDDOWN((LineærRegression_Valg[[#This Row],[Tabel ID]]-1)/$B$5,0)+1</f>
        <v>206</v>
      </c>
      <c r="C833" s="188">
        <f t="shared" si="12"/>
        <v>3</v>
      </c>
      <c r="D833" s="188" t="b">
        <f>LineærRegression_Valg[[#This Row],[Afhængig variabel ID]]&lt;&gt;LineærRegression_Valg[[#This Row],[Uafhængig variabel ID]]</f>
        <v>1</v>
      </c>
      <c r="E833" t="b">
        <f>LineærRegression_Valg[[#This Row],[Afhængig variabel ID]]&lt;=$B$5</f>
        <v>0</v>
      </c>
      <c r="F833" t="str" cm="1">
        <f t="array" ref="F833">IF(LineærRegression_Valg[[#This Row],[Indenfor range]],INDEX(DataTitel_liste,LineærRegression_Valg[[#This Row],[Afhængig variabel ID]]),INDEX(DataTitel_liste,1))</f>
        <v>Eksempel 1 (interval)</v>
      </c>
      <c r="G833" s="188" t="str" cm="1">
        <f t="array" ref="G833">IF(LineærRegression_Valg[[#This Row],[Indenfor range]],IF(LineærRegression_Valg[[#This Row],[Intet overlap]],INDEX(DataTitel_liste,LineærRegression_Valg[[#This Row],[Uafhængig variabel ID]]),INDEX(DataTitel_liste,IF(LineærRegression_Valg[[#This Row],[Afhængig variabel ID]]=1,2,1))),$B$7)</f>
        <v>Eksempel 2 (interval)</v>
      </c>
      <c r="H833" s="188">
        <f>_xlfn.AGGREGATE(2,5,LineærRegression_Valg[[#This Row],[Tabel ID]])</f>
        <v>1</v>
      </c>
    </row>
    <row r="834" spans="1:8" x14ac:dyDescent="0.2">
      <c r="A834">
        <f>ROW(LineærRegression_Valg[[#This Row],[Tabel ID]])-ROW(LineærRegression_Valg[[#Headers],[Tabel ID]])</f>
        <v>824</v>
      </c>
      <c r="B834" s="188">
        <f>ROUNDDOWN((LineærRegression_Valg[[#This Row],[Tabel ID]]-1)/$B$5,0)+1</f>
        <v>206</v>
      </c>
      <c r="C834" s="188">
        <f t="shared" si="12"/>
        <v>4</v>
      </c>
      <c r="D834" s="188" t="b">
        <f>LineærRegression_Valg[[#This Row],[Afhængig variabel ID]]&lt;&gt;LineærRegression_Valg[[#This Row],[Uafhængig variabel ID]]</f>
        <v>1</v>
      </c>
      <c r="E834" t="b">
        <f>LineærRegression_Valg[[#This Row],[Afhængig variabel ID]]&lt;=$B$5</f>
        <v>0</v>
      </c>
      <c r="F834" t="str" cm="1">
        <f t="array" ref="F834">IF(LineærRegression_Valg[[#This Row],[Indenfor range]],INDEX(DataTitel_liste,LineærRegression_Valg[[#This Row],[Afhængig variabel ID]]),INDEX(DataTitel_liste,1))</f>
        <v>Eksempel 1 (interval)</v>
      </c>
      <c r="G834" s="188" t="str" cm="1">
        <f t="array" ref="G834">IF(LineærRegression_Valg[[#This Row],[Indenfor range]],IF(LineærRegression_Valg[[#This Row],[Intet overlap]],INDEX(DataTitel_liste,LineærRegression_Valg[[#This Row],[Uafhængig variabel ID]]),INDEX(DataTitel_liste,IF(LineærRegression_Valg[[#This Row],[Afhængig variabel ID]]=1,2,1))),$B$7)</f>
        <v>Eksempel 2 (interval)</v>
      </c>
      <c r="H834" s="188">
        <f>_xlfn.AGGREGATE(2,5,LineærRegression_Valg[[#This Row],[Tabel ID]])</f>
        <v>1</v>
      </c>
    </row>
    <row r="835" spans="1:8" x14ac:dyDescent="0.2">
      <c r="A835">
        <f>ROW(LineærRegression_Valg[[#This Row],[Tabel ID]])-ROW(LineærRegression_Valg[[#Headers],[Tabel ID]])</f>
        <v>825</v>
      </c>
      <c r="B835" s="188">
        <f>ROUNDDOWN((LineærRegression_Valg[[#This Row],[Tabel ID]]-1)/$B$5,0)+1</f>
        <v>207</v>
      </c>
      <c r="C835" s="188">
        <f t="shared" si="12"/>
        <v>1</v>
      </c>
      <c r="D835" s="188" t="b">
        <f>LineærRegression_Valg[[#This Row],[Afhængig variabel ID]]&lt;&gt;LineærRegression_Valg[[#This Row],[Uafhængig variabel ID]]</f>
        <v>1</v>
      </c>
      <c r="E835" t="b">
        <f>LineærRegression_Valg[[#This Row],[Afhængig variabel ID]]&lt;=$B$5</f>
        <v>0</v>
      </c>
      <c r="F835" t="str" cm="1">
        <f t="array" ref="F835">IF(LineærRegression_Valg[[#This Row],[Indenfor range]],INDEX(DataTitel_liste,LineærRegression_Valg[[#This Row],[Afhængig variabel ID]]),INDEX(DataTitel_liste,1))</f>
        <v>Eksempel 1 (interval)</v>
      </c>
      <c r="G835" s="188" t="str" cm="1">
        <f t="array" ref="G835">IF(LineærRegression_Valg[[#This Row],[Indenfor range]],IF(LineærRegression_Valg[[#This Row],[Intet overlap]],INDEX(DataTitel_liste,LineærRegression_Valg[[#This Row],[Uafhængig variabel ID]]),INDEX(DataTitel_liste,IF(LineærRegression_Valg[[#This Row],[Afhængig variabel ID]]=1,2,1))),$B$7)</f>
        <v>Eksempel 2 (interval)</v>
      </c>
      <c r="H835" s="188">
        <f>_xlfn.AGGREGATE(2,5,LineærRegression_Valg[[#This Row],[Tabel ID]])</f>
        <v>1</v>
      </c>
    </row>
    <row r="836" spans="1:8" x14ac:dyDescent="0.2">
      <c r="A836">
        <f>ROW(LineærRegression_Valg[[#This Row],[Tabel ID]])-ROW(LineærRegression_Valg[[#Headers],[Tabel ID]])</f>
        <v>826</v>
      </c>
      <c r="B836" s="188">
        <f>ROUNDDOWN((LineærRegression_Valg[[#This Row],[Tabel ID]]-1)/$B$5,0)+1</f>
        <v>207</v>
      </c>
      <c r="C836" s="188">
        <f t="shared" si="12"/>
        <v>2</v>
      </c>
      <c r="D836" s="188" t="b">
        <f>LineærRegression_Valg[[#This Row],[Afhængig variabel ID]]&lt;&gt;LineærRegression_Valg[[#This Row],[Uafhængig variabel ID]]</f>
        <v>1</v>
      </c>
      <c r="E836" t="b">
        <f>LineærRegression_Valg[[#This Row],[Afhængig variabel ID]]&lt;=$B$5</f>
        <v>0</v>
      </c>
      <c r="F836" t="str" cm="1">
        <f t="array" ref="F836">IF(LineærRegression_Valg[[#This Row],[Indenfor range]],INDEX(DataTitel_liste,LineærRegression_Valg[[#This Row],[Afhængig variabel ID]]),INDEX(DataTitel_liste,1))</f>
        <v>Eksempel 1 (interval)</v>
      </c>
      <c r="G836" s="188" t="str" cm="1">
        <f t="array" ref="G836">IF(LineærRegression_Valg[[#This Row],[Indenfor range]],IF(LineærRegression_Valg[[#This Row],[Intet overlap]],INDEX(DataTitel_liste,LineærRegression_Valg[[#This Row],[Uafhængig variabel ID]]),INDEX(DataTitel_liste,IF(LineærRegression_Valg[[#This Row],[Afhængig variabel ID]]=1,2,1))),$B$7)</f>
        <v>Eksempel 2 (interval)</v>
      </c>
      <c r="H836" s="188">
        <f>_xlfn.AGGREGATE(2,5,LineærRegression_Valg[[#This Row],[Tabel ID]])</f>
        <v>1</v>
      </c>
    </row>
    <row r="837" spans="1:8" x14ac:dyDescent="0.2">
      <c r="A837">
        <f>ROW(LineærRegression_Valg[[#This Row],[Tabel ID]])-ROW(LineærRegression_Valg[[#Headers],[Tabel ID]])</f>
        <v>827</v>
      </c>
      <c r="B837" s="188">
        <f>ROUNDDOWN((LineærRegression_Valg[[#This Row],[Tabel ID]]-1)/$B$5,0)+1</f>
        <v>207</v>
      </c>
      <c r="C837" s="188">
        <f t="shared" si="12"/>
        <v>3</v>
      </c>
      <c r="D837" s="188" t="b">
        <f>LineærRegression_Valg[[#This Row],[Afhængig variabel ID]]&lt;&gt;LineærRegression_Valg[[#This Row],[Uafhængig variabel ID]]</f>
        <v>1</v>
      </c>
      <c r="E837" t="b">
        <f>LineærRegression_Valg[[#This Row],[Afhængig variabel ID]]&lt;=$B$5</f>
        <v>0</v>
      </c>
      <c r="F837" t="str" cm="1">
        <f t="array" ref="F837">IF(LineærRegression_Valg[[#This Row],[Indenfor range]],INDEX(DataTitel_liste,LineærRegression_Valg[[#This Row],[Afhængig variabel ID]]),INDEX(DataTitel_liste,1))</f>
        <v>Eksempel 1 (interval)</v>
      </c>
      <c r="G837" s="188" t="str" cm="1">
        <f t="array" ref="G837">IF(LineærRegression_Valg[[#This Row],[Indenfor range]],IF(LineærRegression_Valg[[#This Row],[Intet overlap]],INDEX(DataTitel_liste,LineærRegression_Valg[[#This Row],[Uafhængig variabel ID]]),INDEX(DataTitel_liste,IF(LineærRegression_Valg[[#This Row],[Afhængig variabel ID]]=1,2,1))),$B$7)</f>
        <v>Eksempel 2 (interval)</v>
      </c>
      <c r="H837" s="188">
        <f>_xlfn.AGGREGATE(2,5,LineærRegression_Valg[[#This Row],[Tabel ID]])</f>
        <v>1</v>
      </c>
    </row>
    <row r="838" spans="1:8" x14ac:dyDescent="0.2">
      <c r="A838">
        <f>ROW(LineærRegression_Valg[[#This Row],[Tabel ID]])-ROW(LineærRegression_Valg[[#Headers],[Tabel ID]])</f>
        <v>828</v>
      </c>
      <c r="B838" s="188">
        <f>ROUNDDOWN((LineærRegression_Valg[[#This Row],[Tabel ID]]-1)/$B$5,0)+1</f>
        <v>207</v>
      </c>
      <c r="C838" s="188">
        <f t="shared" si="12"/>
        <v>4</v>
      </c>
      <c r="D838" s="188" t="b">
        <f>LineærRegression_Valg[[#This Row],[Afhængig variabel ID]]&lt;&gt;LineærRegression_Valg[[#This Row],[Uafhængig variabel ID]]</f>
        <v>1</v>
      </c>
      <c r="E838" t="b">
        <f>LineærRegression_Valg[[#This Row],[Afhængig variabel ID]]&lt;=$B$5</f>
        <v>0</v>
      </c>
      <c r="F838" t="str" cm="1">
        <f t="array" ref="F838">IF(LineærRegression_Valg[[#This Row],[Indenfor range]],INDEX(DataTitel_liste,LineærRegression_Valg[[#This Row],[Afhængig variabel ID]]),INDEX(DataTitel_liste,1))</f>
        <v>Eksempel 1 (interval)</v>
      </c>
      <c r="G838" s="188" t="str" cm="1">
        <f t="array" ref="G838">IF(LineærRegression_Valg[[#This Row],[Indenfor range]],IF(LineærRegression_Valg[[#This Row],[Intet overlap]],INDEX(DataTitel_liste,LineærRegression_Valg[[#This Row],[Uafhængig variabel ID]]),INDEX(DataTitel_liste,IF(LineærRegression_Valg[[#This Row],[Afhængig variabel ID]]=1,2,1))),$B$7)</f>
        <v>Eksempel 2 (interval)</v>
      </c>
      <c r="H838" s="188">
        <f>_xlfn.AGGREGATE(2,5,LineærRegression_Valg[[#This Row],[Tabel ID]])</f>
        <v>1</v>
      </c>
    </row>
    <row r="839" spans="1:8" x14ac:dyDescent="0.2">
      <c r="A839">
        <f>ROW(LineærRegression_Valg[[#This Row],[Tabel ID]])-ROW(LineærRegression_Valg[[#Headers],[Tabel ID]])</f>
        <v>829</v>
      </c>
      <c r="B839" s="188">
        <f>ROUNDDOWN((LineærRegression_Valg[[#This Row],[Tabel ID]]-1)/$B$5,0)+1</f>
        <v>208</v>
      </c>
      <c r="C839" s="188">
        <f t="shared" si="12"/>
        <v>1</v>
      </c>
      <c r="D839" s="188" t="b">
        <f>LineærRegression_Valg[[#This Row],[Afhængig variabel ID]]&lt;&gt;LineærRegression_Valg[[#This Row],[Uafhængig variabel ID]]</f>
        <v>1</v>
      </c>
      <c r="E839" t="b">
        <f>LineærRegression_Valg[[#This Row],[Afhængig variabel ID]]&lt;=$B$5</f>
        <v>0</v>
      </c>
      <c r="F839" t="str" cm="1">
        <f t="array" ref="F839">IF(LineærRegression_Valg[[#This Row],[Indenfor range]],INDEX(DataTitel_liste,LineærRegression_Valg[[#This Row],[Afhængig variabel ID]]),INDEX(DataTitel_liste,1))</f>
        <v>Eksempel 1 (interval)</v>
      </c>
      <c r="G839" s="188" t="str" cm="1">
        <f t="array" ref="G839">IF(LineærRegression_Valg[[#This Row],[Indenfor range]],IF(LineærRegression_Valg[[#This Row],[Intet overlap]],INDEX(DataTitel_liste,LineærRegression_Valg[[#This Row],[Uafhængig variabel ID]]),INDEX(DataTitel_liste,IF(LineærRegression_Valg[[#This Row],[Afhængig variabel ID]]=1,2,1))),$B$7)</f>
        <v>Eksempel 2 (interval)</v>
      </c>
      <c r="H839" s="188">
        <f>_xlfn.AGGREGATE(2,5,LineærRegression_Valg[[#This Row],[Tabel ID]])</f>
        <v>1</v>
      </c>
    </row>
    <row r="840" spans="1:8" x14ac:dyDescent="0.2">
      <c r="A840">
        <f>ROW(LineærRegression_Valg[[#This Row],[Tabel ID]])-ROW(LineærRegression_Valg[[#Headers],[Tabel ID]])</f>
        <v>830</v>
      </c>
      <c r="B840" s="188">
        <f>ROUNDDOWN((LineærRegression_Valg[[#This Row],[Tabel ID]]-1)/$B$5,0)+1</f>
        <v>208</v>
      </c>
      <c r="C840" s="188">
        <f t="shared" si="12"/>
        <v>2</v>
      </c>
      <c r="D840" s="188" t="b">
        <f>LineærRegression_Valg[[#This Row],[Afhængig variabel ID]]&lt;&gt;LineærRegression_Valg[[#This Row],[Uafhængig variabel ID]]</f>
        <v>1</v>
      </c>
      <c r="E840" t="b">
        <f>LineærRegression_Valg[[#This Row],[Afhængig variabel ID]]&lt;=$B$5</f>
        <v>0</v>
      </c>
      <c r="F840" t="str" cm="1">
        <f t="array" ref="F840">IF(LineærRegression_Valg[[#This Row],[Indenfor range]],INDEX(DataTitel_liste,LineærRegression_Valg[[#This Row],[Afhængig variabel ID]]),INDEX(DataTitel_liste,1))</f>
        <v>Eksempel 1 (interval)</v>
      </c>
      <c r="G840" s="188" t="str" cm="1">
        <f t="array" ref="G840">IF(LineærRegression_Valg[[#This Row],[Indenfor range]],IF(LineærRegression_Valg[[#This Row],[Intet overlap]],INDEX(DataTitel_liste,LineærRegression_Valg[[#This Row],[Uafhængig variabel ID]]),INDEX(DataTitel_liste,IF(LineærRegression_Valg[[#This Row],[Afhængig variabel ID]]=1,2,1))),$B$7)</f>
        <v>Eksempel 2 (interval)</v>
      </c>
      <c r="H840" s="188">
        <f>_xlfn.AGGREGATE(2,5,LineærRegression_Valg[[#This Row],[Tabel ID]])</f>
        <v>1</v>
      </c>
    </row>
    <row r="841" spans="1:8" x14ac:dyDescent="0.2">
      <c r="A841">
        <f>ROW(LineærRegression_Valg[[#This Row],[Tabel ID]])-ROW(LineærRegression_Valg[[#Headers],[Tabel ID]])</f>
        <v>831</v>
      </c>
      <c r="B841" s="188">
        <f>ROUNDDOWN((LineærRegression_Valg[[#This Row],[Tabel ID]]-1)/$B$5,0)+1</f>
        <v>208</v>
      </c>
      <c r="C841" s="188">
        <f t="shared" si="12"/>
        <v>3</v>
      </c>
      <c r="D841" s="188" t="b">
        <f>LineærRegression_Valg[[#This Row],[Afhængig variabel ID]]&lt;&gt;LineærRegression_Valg[[#This Row],[Uafhængig variabel ID]]</f>
        <v>1</v>
      </c>
      <c r="E841" t="b">
        <f>LineærRegression_Valg[[#This Row],[Afhængig variabel ID]]&lt;=$B$5</f>
        <v>0</v>
      </c>
      <c r="F841" t="str" cm="1">
        <f t="array" ref="F841">IF(LineærRegression_Valg[[#This Row],[Indenfor range]],INDEX(DataTitel_liste,LineærRegression_Valg[[#This Row],[Afhængig variabel ID]]),INDEX(DataTitel_liste,1))</f>
        <v>Eksempel 1 (interval)</v>
      </c>
      <c r="G841" s="188" t="str" cm="1">
        <f t="array" ref="G841">IF(LineærRegression_Valg[[#This Row],[Indenfor range]],IF(LineærRegression_Valg[[#This Row],[Intet overlap]],INDEX(DataTitel_liste,LineærRegression_Valg[[#This Row],[Uafhængig variabel ID]]),INDEX(DataTitel_liste,IF(LineærRegression_Valg[[#This Row],[Afhængig variabel ID]]=1,2,1))),$B$7)</f>
        <v>Eksempel 2 (interval)</v>
      </c>
      <c r="H841" s="188">
        <f>_xlfn.AGGREGATE(2,5,LineærRegression_Valg[[#This Row],[Tabel ID]])</f>
        <v>1</v>
      </c>
    </row>
    <row r="842" spans="1:8" x14ac:dyDescent="0.2">
      <c r="A842">
        <f>ROW(LineærRegression_Valg[[#This Row],[Tabel ID]])-ROW(LineærRegression_Valg[[#Headers],[Tabel ID]])</f>
        <v>832</v>
      </c>
      <c r="B842" s="188">
        <f>ROUNDDOWN((LineærRegression_Valg[[#This Row],[Tabel ID]]-1)/$B$5,0)+1</f>
        <v>208</v>
      </c>
      <c r="C842" s="188">
        <f t="shared" si="12"/>
        <v>4</v>
      </c>
      <c r="D842" s="188" t="b">
        <f>LineærRegression_Valg[[#This Row],[Afhængig variabel ID]]&lt;&gt;LineærRegression_Valg[[#This Row],[Uafhængig variabel ID]]</f>
        <v>1</v>
      </c>
      <c r="E842" t="b">
        <f>LineærRegression_Valg[[#This Row],[Afhængig variabel ID]]&lt;=$B$5</f>
        <v>0</v>
      </c>
      <c r="F842" t="str" cm="1">
        <f t="array" ref="F842">IF(LineærRegression_Valg[[#This Row],[Indenfor range]],INDEX(DataTitel_liste,LineærRegression_Valg[[#This Row],[Afhængig variabel ID]]),INDEX(DataTitel_liste,1))</f>
        <v>Eksempel 1 (interval)</v>
      </c>
      <c r="G842" s="188" t="str" cm="1">
        <f t="array" ref="G842">IF(LineærRegression_Valg[[#This Row],[Indenfor range]],IF(LineærRegression_Valg[[#This Row],[Intet overlap]],INDEX(DataTitel_liste,LineærRegression_Valg[[#This Row],[Uafhængig variabel ID]]),INDEX(DataTitel_liste,IF(LineærRegression_Valg[[#This Row],[Afhængig variabel ID]]=1,2,1))),$B$7)</f>
        <v>Eksempel 2 (interval)</v>
      </c>
      <c r="H842" s="188">
        <f>_xlfn.AGGREGATE(2,5,LineærRegression_Valg[[#This Row],[Tabel ID]])</f>
        <v>1</v>
      </c>
    </row>
    <row r="843" spans="1:8" x14ac:dyDescent="0.2">
      <c r="A843">
        <f>ROW(LineærRegression_Valg[[#This Row],[Tabel ID]])-ROW(LineærRegression_Valg[[#Headers],[Tabel ID]])</f>
        <v>833</v>
      </c>
      <c r="B843" s="188">
        <f>ROUNDDOWN((LineærRegression_Valg[[#This Row],[Tabel ID]]-1)/$B$5,0)+1</f>
        <v>209</v>
      </c>
      <c r="C843" s="188">
        <f t="shared" ref="C843:C906" si="13">MOD(A843-1,$B$5)+1</f>
        <v>1</v>
      </c>
      <c r="D843" s="188" t="b">
        <f>LineærRegression_Valg[[#This Row],[Afhængig variabel ID]]&lt;&gt;LineærRegression_Valg[[#This Row],[Uafhængig variabel ID]]</f>
        <v>1</v>
      </c>
      <c r="E843" t="b">
        <f>LineærRegression_Valg[[#This Row],[Afhængig variabel ID]]&lt;=$B$5</f>
        <v>0</v>
      </c>
      <c r="F843" t="str" cm="1">
        <f t="array" ref="F843">IF(LineærRegression_Valg[[#This Row],[Indenfor range]],INDEX(DataTitel_liste,LineærRegression_Valg[[#This Row],[Afhængig variabel ID]]),INDEX(DataTitel_liste,1))</f>
        <v>Eksempel 1 (interval)</v>
      </c>
      <c r="G843" s="188" t="str" cm="1">
        <f t="array" ref="G843">IF(LineærRegression_Valg[[#This Row],[Indenfor range]],IF(LineærRegression_Valg[[#This Row],[Intet overlap]],INDEX(DataTitel_liste,LineærRegression_Valg[[#This Row],[Uafhængig variabel ID]]),INDEX(DataTitel_liste,IF(LineærRegression_Valg[[#This Row],[Afhængig variabel ID]]=1,2,1))),$B$7)</f>
        <v>Eksempel 2 (interval)</v>
      </c>
      <c r="H843" s="188">
        <f>_xlfn.AGGREGATE(2,5,LineærRegression_Valg[[#This Row],[Tabel ID]])</f>
        <v>1</v>
      </c>
    </row>
    <row r="844" spans="1:8" x14ac:dyDescent="0.2">
      <c r="A844">
        <f>ROW(LineærRegression_Valg[[#This Row],[Tabel ID]])-ROW(LineærRegression_Valg[[#Headers],[Tabel ID]])</f>
        <v>834</v>
      </c>
      <c r="B844" s="188">
        <f>ROUNDDOWN((LineærRegression_Valg[[#This Row],[Tabel ID]]-1)/$B$5,0)+1</f>
        <v>209</v>
      </c>
      <c r="C844" s="188">
        <f t="shared" si="13"/>
        <v>2</v>
      </c>
      <c r="D844" s="188" t="b">
        <f>LineærRegression_Valg[[#This Row],[Afhængig variabel ID]]&lt;&gt;LineærRegression_Valg[[#This Row],[Uafhængig variabel ID]]</f>
        <v>1</v>
      </c>
      <c r="E844" t="b">
        <f>LineærRegression_Valg[[#This Row],[Afhængig variabel ID]]&lt;=$B$5</f>
        <v>0</v>
      </c>
      <c r="F844" t="str" cm="1">
        <f t="array" ref="F844">IF(LineærRegression_Valg[[#This Row],[Indenfor range]],INDEX(DataTitel_liste,LineærRegression_Valg[[#This Row],[Afhængig variabel ID]]),INDEX(DataTitel_liste,1))</f>
        <v>Eksempel 1 (interval)</v>
      </c>
      <c r="G844" s="188" t="str" cm="1">
        <f t="array" ref="G844">IF(LineærRegression_Valg[[#This Row],[Indenfor range]],IF(LineærRegression_Valg[[#This Row],[Intet overlap]],INDEX(DataTitel_liste,LineærRegression_Valg[[#This Row],[Uafhængig variabel ID]]),INDEX(DataTitel_liste,IF(LineærRegression_Valg[[#This Row],[Afhængig variabel ID]]=1,2,1))),$B$7)</f>
        <v>Eksempel 2 (interval)</v>
      </c>
      <c r="H844" s="188">
        <f>_xlfn.AGGREGATE(2,5,LineærRegression_Valg[[#This Row],[Tabel ID]])</f>
        <v>1</v>
      </c>
    </row>
    <row r="845" spans="1:8" x14ac:dyDescent="0.2">
      <c r="A845">
        <f>ROW(LineærRegression_Valg[[#This Row],[Tabel ID]])-ROW(LineærRegression_Valg[[#Headers],[Tabel ID]])</f>
        <v>835</v>
      </c>
      <c r="B845" s="188">
        <f>ROUNDDOWN((LineærRegression_Valg[[#This Row],[Tabel ID]]-1)/$B$5,0)+1</f>
        <v>209</v>
      </c>
      <c r="C845" s="188">
        <f t="shared" si="13"/>
        <v>3</v>
      </c>
      <c r="D845" s="188" t="b">
        <f>LineærRegression_Valg[[#This Row],[Afhængig variabel ID]]&lt;&gt;LineærRegression_Valg[[#This Row],[Uafhængig variabel ID]]</f>
        <v>1</v>
      </c>
      <c r="E845" t="b">
        <f>LineærRegression_Valg[[#This Row],[Afhængig variabel ID]]&lt;=$B$5</f>
        <v>0</v>
      </c>
      <c r="F845" t="str" cm="1">
        <f t="array" ref="F845">IF(LineærRegression_Valg[[#This Row],[Indenfor range]],INDEX(DataTitel_liste,LineærRegression_Valg[[#This Row],[Afhængig variabel ID]]),INDEX(DataTitel_liste,1))</f>
        <v>Eksempel 1 (interval)</v>
      </c>
      <c r="G845" s="188" t="str" cm="1">
        <f t="array" ref="G845">IF(LineærRegression_Valg[[#This Row],[Indenfor range]],IF(LineærRegression_Valg[[#This Row],[Intet overlap]],INDEX(DataTitel_liste,LineærRegression_Valg[[#This Row],[Uafhængig variabel ID]]),INDEX(DataTitel_liste,IF(LineærRegression_Valg[[#This Row],[Afhængig variabel ID]]=1,2,1))),$B$7)</f>
        <v>Eksempel 2 (interval)</v>
      </c>
      <c r="H845" s="188">
        <f>_xlfn.AGGREGATE(2,5,LineærRegression_Valg[[#This Row],[Tabel ID]])</f>
        <v>1</v>
      </c>
    </row>
    <row r="846" spans="1:8" x14ac:dyDescent="0.2">
      <c r="A846">
        <f>ROW(LineærRegression_Valg[[#This Row],[Tabel ID]])-ROW(LineærRegression_Valg[[#Headers],[Tabel ID]])</f>
        <v>836</v>
      </c>
      <c r="B846" s="188">
        <f>ROUNDDOWN((LineærRegression_Valg[[#This Row],[Tabel ID]]-1)/$B$5,0)+1</f>
        <v>209</v>
      </c>
      <c r="C846" s="188">
        <f t="shared" si="13"/>
        <v>4</v>
      </c>
      <c r="D846" s="188" t="b">
        <f>LineærRegression_Valg[[#This Row],[Afhængig variabel ID]]&lt;&gt;LineærRegression_Valg[[#This Row],[Uafhængig variabel ID]]</f>
        <v>1</v>
      </c>
      <c r="E846" t="b">
        <f>LineærRegression_Valg[[#This Row],[Afhængig variabel ID]]&lt;=$B$5</f>
        <v>0</v>
      </c>
      <c r="F846" t="str" cm="1">
        <f t="array" ref="F846">IF(LineærRegression_Valg[[#This Row],[Indenfor range]],INDEX(DataTitel_liste,LineærRegression_Valg[[#This Row],[Afhængig variabel ID]]),INDEX(DataTitel_liste,1))</f>
        <v>Eksempel 1 (interval)</v>
      </c>
      <c r="G846" s="188" t="str" cm="1">
        <f t="array" ref="G846">IF(LineærRegression_Valg[[#This Row],[Indenfor range]],IF(LineærRegression_Valg[[#This Row],[Intet overlap]],INDEX(DataTitel_liste,LineærRegression_Valg[[#This Row],[Uafhængig variabel ID]]),INDEX(DataTitel_liste,IF(LineærRegression_Valg[[#This Row],[Afhængig variabel ID]]=1,2,1))),$B$7)</f>
        <v>Eksempel 2 (interval)</v>
      </c>
      <c r="H846" s="188">
        <f>_xlfn.AGGREGATE(2,5,LineærRegression_Valg[[#This Row],[Tabel ID]])</f>
        <v>1</v>
      </c>
    </row>
    <row r="847" spans="1:8" x14ac:dyDescent="0.2">
      <c r="A847">
        <f>ROW(LineærRegression_Valg[[#This Row],[Tabel ID]])-ROW(LineærRegression_Valg[[#Headers],[Tabel ID]])</f>
        <v>837</v>
      </c>
      <c r="B847" s="188">
        <f>ROUNDDOWN((LineærRegression_Valg[[#This Row],[Tabel ID]]-1)/$B$5,0)+1</f>
        <v>210</v>
      </c>
      <c r="C847" s="188">
        <f t="shared" si="13"/>
        <v>1</v>
      </c>
      <c r="D847" s="188" t="b">
        <f>LineærRegression_Valg[[#This Row],[Afhængig variabel ID]]&lt;&gt;LineærRegression_Valg[[#This Row],[Uafhængig variabel ID]]</f>
        <v>1</v>
      </c>
      <c r="E847" t="b">
        <f>LineærRegression_Valg[[#This Row],[Afhængig variabel ID]]&lt;=$B$5</f>
        <v>0</v>
      </c>
      <c r="F847" t="str" cm="1">
        <f t="array" ref="F847">IF(LineærRegression_Valg[[#This Row],[Indenfor range]],INDEX(DataTitel_liste,LineærRegression_Valg[[#This Row],[Afhængig variabel ID]]),INDEX(DataTitel_liste,1))</f>
        <v>Eksempel 1 (interval)</v>
      </c>
      <c r="G847" s="188" t="str" cm="1">
        <f t="array" ref="G847">IF(LineærRegression_Valg[[#This Row],[Indenfor range]],IF(LineærRegression_Valg[[#This Row],[Intet overlap]],INDEX(DataTitel_liste,LineærRegression_Valg[[#This Row],[Uafhængig variabel ID]]),INDEX(DataTitel_liste,IF(LineærRegression_Valg[[#This Row],[Afhængig variabel ID]]=1,2,1))),$B$7)</f>
        <v>Eksempel 2 (interval)</v>
      </c>
      <c r="H847" s="188">
        <f>_xlfn.AGGREGATE(2,5,LineærRegression_Valg[[#This Row],[Tabel ID]])</f>
        <v>1</v>
      </c>
    </row>
    <row r="848" spans="1:8" x14ac:dyDescent="0.2">
      <c r="A848">
        <f>ROW(LineærRegression_Valg[[#This Row],[Tabel ID]])-ROW(LineærRegression_Valg[[#Headers],[Tabel ID]])</f>
        <v>838</v>
      </c>
      <c r="B848" s="188">
        <f>ROUNDDOWN((LineærRegression_Valg[[#This Row],[Tabel ID]]-1)/$B$5,0)+1</f>
        <v>210</v>
      </c>
      <c r="C848" s="188">
        <f t="shared" si="13"/>
        <v>2</v>
      </c>
      <c r="D848" s="188" t="b">
        <f>LineærRegression_Valg[[#This Row],[Afhængig variabel ID]]&lt;&gt;LineærRegression_Valg[[#This Row],[Uafhængig variabel ID]]</f>
        <v>1</v>
      </c>
      <c r="E848" t="b">
        <f>LineærRegression_Valg[[#This Row],[Afhængig variabel ID]]&lt;=$B$5</f>
        <v>0</v>
      </c>
      <c r="F848" t="str" cm="1">
        <f t="array" ref="F848">IF(LineærRegression_Valg[[#This Row],[Indenfor range]],INDEX(DataTitel_liste,LineærRegression_Valg[[#This Row],[Afhængig variabel ID]]),INDEX(DataTitel_liste,1))</f>
        <v>Eksempel 1 (interval)</v>
      </c>
      <c r="G848" s="188" t="str" cm="1">
        <f t="array" ref="G848">IF(LineærRegression_Valg[[#This Row],[Indenfor range]],IF(LineærRegression_Valg[[#This Row],[Intet overlap]],INDEX(DataTitel_liste,LineærRegression_Valg[[#This Row],[Uafhængig variabel ID]]),INDEX(DataTitel_liste,IF(LineærRegression_Valg[[#This Row],[Afhængig variabel ID]]=1,2,1))),$B$7)</f>
        <v>Eksempel 2 (interval)</v>
      </c>
      <c r="H848" s="188">
        <f>_xlfn.AGGREGATE(2,5,LineærRegression_Valg[[#This Row],[Tabel ID]])</f>
        <v>1</v>
      </c>
    </row>
    <row r="849" spans="1:8" x14ac:dyDescent="0.2">
      <c r="A849">
        <f>ROW(LineærRegression_Valg[[#This Row],[Tabel ID]])-ROW(LineærRegression_Valg[[#Headers],[Tabel ID]])</f>
        <v>839</v>
      </c>
      <c r="B849" s="188">
        <f>ROUNDDOWN((LineærRegression_Valg[[#This Row],[Tabel ID]]-1)/$B$5,0)+1</f>
        <v>210</v>
      </c>
      <c r="C849" s="188">
        <f t="shared" si="13"/>
        <v>3</v>
      </c>
      <c r="D849" s="188" t="b">
        <f>LineærRegression_Valg[[#This Row],[Afhængig variabel ID]]&lt;&gt;LineærRegression_Valg[[#This Row],[Uafhængig variabel ID]]</f>
        <v>1</v>
      </c>
      <c r="E849" t="b">
        <f>LineærRegression_Valg[[#This Row],[Afhængig variabel ID]]&lt;=$B$5</f>
        <v>0</v>
      </c>
      <c r="F849" t="str" cm="1">
        <f t="array" ref="F849">IF(LineærRegression_Valg[[#This Row],[Indenfor range]],INDEX(DataTitel_liste,LineærRegression_Valg[[#This Row],[Afhængig variabel ID]]),INDEX(DataTitel_liste,1))</f>
        <v>Eksempel 1 (interval)</v>
      </c>
      <c r="G849" s="188" t="str" cm="1">
        <f t="array" ref="G849">IF(LineærRegression_Valg[[#This Row],[Indenfor range]],IF(LineærRegression_Valg[[#This Row],[Intet overlap]],INDEX(DataTitel_liste,LineærRegression_Valg[[#This Row],[Uafhængig variabel ID]]),INDEX(DataTitel_liste,IF(LineærRegression_Valg[[#This Row],[Afhængig variabel ID]]=1,2,1))),$B$7)</f>
        <v>Eksempel 2 (interval)</v>
      </c>
      <c r="H849" s="188">
        <f>_xlfn.AGGREGATE(2,5,LineærRegression_Valg[[#This Row],[Tabel ID]])</f>
        <v>1</v>
      </c>
    </row>
    <row r="850" spans="1:8" x14ac:dyDescent="0.2">
      <c r="A850">
        <f>ROW(LineærRegression_Valg[[#This Row],[Tabel ID]])-ROW(LineærRegression_Valg[[#Headers],[Tabel ID]])</f>
        <v>840</v>
      </c>
      <c r="B850" s="188">
        <f>ROUNDDOWN((LineærRegression_Valg[[#This Row],[Tabel ID]]-1)/$B$5,0)+1</f>
        <v>210</v>
      </c>
      <c r="C850" s="188">
        <f t="shared" si="13"/>
        <v>4</v>
      </c>
      <c r="D850" s="188" t="b">
        <f>LineærRegression_Valg[[#This Row],[Afhængig variabel ID]]&lt;&gt;LineærRegression_Valg[[#This Row],[Uafhængig variabel ID]]</f>
        <v>1</v>
      </c>
      <c r="E850" t="b">
        <f>LineærRegression_Valg[[#This Row],[Afhængig variabel ID]]&lt;=$B$5</f>
        <v>0</v>
      </c>
      <c r="F850" t="str" cm="1">
        <f t="array" ref="F850">IF(LineærRegression_Valg[[#This Row],[Indenfor range]],INDEX(DataTitel_liste,LineærRegression_Valg[[#This Row],[Afhængig variabel ID]]),INDEX(DataTitel_liste,1))</f>
        <v>Eksempel 1 (interval)</v>
      </c>
      <c r="G850" s="188" t="str" cm="1">
        <f t="array" ref="G850">IF(LineærRegression_Valg[[#This Row],[Indenfor range]],IF(LineærRegression_Valg[[#This Row],[Intet overlap]],INDEX(DataTitel_liste,LineærRegression_Valg[[#This Row],[Uafhængig variabel ID]]),INDEX(DataTitel_liste,IF(LineærRegression_Valg[[#This Row],[Afhængig variabel ID]]=1,2,1))),$B$7)</f>
        <v>Eksempel 2 (interval)</v>
      </c>
      <c r="H850" s="188">
        <f>_xlfn.AGGREGATE(2,5,LineærRegression_Valg[[#This Row],[Tabel ID]])</f>
        <v>1</v>
      </c>
    </row>
    <row r="851" spans="1:8" x14ac:dyDescent="0.2">
      <c r="A851">
        <f>ROW(LineærRegression_Valg[[#This Row],[Tabel ID]])-ROW(LineærRegression_Valg[[#Headers],[Tabel ID]])</f>
        <v>841</v>
      </c>
      <c r="B851" s="188">
        <f>ROUNDDOWN((LineærRegression_Valg[[#This Row],[Tabel ID]]-1)/$B$5,0)+1</f>
        <v>211</v>
      </c>
      <c r="C851" s="188">
        <f t="shared" si="13"/>
        <v>1</v>
      </c>
      <c r="D851" s="188" t="b">
        <f>LineærRegression_Valg[[#This Row],[Afhængig variabel ID]]&lt;&gt;LineærRegression_Valg[[#This Row],[Uafhængig variabel ID]]</f>
        <v>1</v>
      </c>
      <c r="E851" t="b">
        <f>LineærRegression_Valg[[#This Row],[Afhængig variabel ID]]&lt;=$B$5</f>
        <v>0</v>
      </c>
      <c r="F851" t="str" cm="1">
        <f t="array" ref="F851">IF(LineærRegression_Valg[[#This Row],[Indenfor range]],INDEX(DataTitel_liste,LineærRegression_Valg[[#This Row],[Afhængig variabel ID]]),INDEX(DataTitel_liste,1))</f>
        <v>Eksempel 1 (interval)</v>
      </c>
      <c r="G851" s="188" t="str" cm="1">
        <f t="array" ref="G851">IF(LineærRegression_Valg[[#This Row],[Indenfor range]],IF(LineærRegression_Valg[[#This Row],[Intet overlap]],INDEX(DataTitel_liste,LineærRegression_Valg[[#This Row],[Uafhængig variabel ID]]),INDEX(DataTitel_liste,IF(LineærRegression_Valg[[#This Row],[Afhængig variabel ID]]=1,2,1))),$B$7)</f>
        <v>Eksempel 2 (interval)</v>
      </c>
      <c r="H851" s="188">
        <f>_xlfn.AGGREGATE(2,5,LineærRegression_Valg[[#This Row],[Tabel ID]])</f>
        <v>1</v>
      </c>
    </row>
    <row r="852" spans="1:8" x14ac:dyDescent="0.2">
      <c r="A852">
        <f>ROW(LineærRegression_Valg[[#This Row],[Tabel ID]])-ROW(LineærRegression_Valg[[#Headers],[Tabel ID]])</f>
        <v>842</v>
      </c>
      <c r="B852" s="188">
        <f>ROUNDDOWN((LineærRegression_Valg[[#This Row],[Tabel ID]]-1)/$B$5,0)+1</f>
        <v>211</v>
      </c>
      <c r="C852" s="188">
        <f t="shared" si="13"/>
        <v>2</v>
      </c>
      <c r="D852" s="188" t="b">
        <f>LineærRegression_Valg[[#This Row],[Afhængig variabel ID]]&lt;&gt;LineærRegression_Valg[[#This Row],[Uafhængig variabel ID]]</f>
        <v>1</v>
      </c>
      <c r="E852" t="b">
        <f>LineærRegression_Valg[[#This Row],[Afhængig variabel ID]]&lt;=$B$5</f>
        <v>0</v>
      </c>
      <c r="F852" t="str" cm="1">
        <f t="array" ref="F852">IF(LineærRegression_Valg[[#This Row],[Indenfor range]],INDEX(DataTitel_liste,LineærRegression_Valg[[#This Row],[Afhængig variabel ID]]),INDEX(DataTitel_liste,1))</f>
        <v>Eksempel 1 (interval)</v>
      </c>
      <c r="G852" s="188" t="str" cm="1">
        <f t="array" ref="G852">IF(LineærRegression_Valg[[#This Row],[Indenfor range]],IF(LineærRegression_Valg[[#This Row],[Intet overlap]],INDEX(DataTitel_liste,LineærRegression_Valg[[#This Row],[Uafhængig variabel ID]]),INDEX(DataTitel_liste,IF(LineærRegression_Valg[[#This Row],[Afhængig variabel ID]]=1,2,1))),$B$7)</f>
        <v>Eksempel 2 (interval)</v>
      </c>
      <c r="H852" s="188">
        <f>_xlfn.AGGREGATE(2,5,LineærRegression_Valg[[#This Row],[Tabel ID]])</f>
        <v>1</v>
      </c>
    </row>
    <row r="853" spans="1:8" x14ac:dyDescent="0.2">
      <c r="A853">
        <f>ROW(LineærRegression_Valg[[#This Row],[Tabel ID]])-ROW(LineærRegression_Valg[[#Headers],[Tabel ID]])</f>
        <v>843</v>
      </c>
      <c r="B853" s="188">
        <f>ROUNDDOWN((LineærRegression_Valg[[#This Row],[Tabel ID]]-1)/$B$5,0)+1</f>
        <v>211</v>
      </c>
      <c r="C853" s="188">
        <f t="shared" si="13"/>
        <v>3</v>
      </c>
      <c r="D853" s="188" t="b">
        <f>LineærRegression_Valg[[#This Row],[Afhængig variabel ID]]&lt;&gt;LineærRegression_Valg[[#This Row],[Uafhængig variabel ID]]</f>
        <v>1</v>
      </c>
      <c r="E853" t="b">
        <f>LineærRegression_Valg[[#This Row],[Afhængig variabel ID]]&lt;=$B$5</f>
        <v>0</v>
      </c>
      <c r="F853" t="str" cm="1">
        <f t="array" ref="F853">IF(LineærRegression_Valg[[#This Row],[Indenfor range]],INDEX(DataTitel_liste,LineærRegression_Valg[[#This Row],[Afhængig variabel ID]]),INDEX(DataTitel_liste,1))</f>
        <v>Eksempel 1 (interval)</v>
      </c>
      <c r="G853" s="188" t="str" cm="1">
        <f t="array" ref="G853">IF(LineærRegression_Valg[[#This Row],[Indenfor range]],IF(LineærRegression_Valg[[#This Row],[Intet overlap]],INDEX(DataTitel_liste,LineærRegression_Valg[[#This Row],[Uafhængig variabel ID]]),INDEX(DataTitel_liste,IF(LineærRegression_Valg[[#This Row],[Afhængig variabel ID]]=1,2,1))),$B$7)</f>
        <v>Eksempel 2 (interval)</v>
      </c>
      <c r="H853" s="188">
        <f>_xlfn.AGGREGATE(2,5,LineærRegression_Valg[[#This Row],[Tabel ID]])</f>
        <v>1</v>
      </c>
    </row>
    <row r="854" spans="1:8" x14ac:dyDescent="0.2">
      <c r="A854">
        <f>ROW(LineærRegression_Valg[[#This Row],[Tabel ID]])-ROW(LineærRegression_Valg[[#Headers],[Tabel ID]])</f>
        <v>844</v>
      </c>
      <c r="B854" s="188">
        <f>ROUNDDOWN((LineærRegression_Valg[[#This Row],[Tabel ID]]-1)/$B$5,0)+1</f>
        <v>211</v>
      </c>
      <c r="C854" s="188">
        <f t="shared" si="13"/>
        <v>4</v>
      </c>
      <c r="D854" s="188" t="b">
        <f>LineærRegression_Valg[[#This Row],[Afhængig variabel ID]]&lt;&gt;LineærRegression_Valg[[#This Row],[Uafhængig variabel ID]]</f>
        <v>1</v>
      </c>
      <c r="E854" t="b">
        <f>LineærRegression_Valg[[#This Row],[Afhængig variabel ID]]&lt;=$B$5</f>
        <v>0</v>
      </c>
      <c r="F854" t="str" cm="1">
        <f t="array" ref="F854">IF(LineærRegression_Valg[[#This Row],[Indenfor range]],INDEX(DataTitel_liste,LineærRegression_Valg[[#This Row],[Afhængig variabel ID]]),INDEX(DataTitel_liste,1))</f>
        <v>Eksempel 1 (interval)</v>
      </c>
      <c r="G854" s="188" t="str" cm="1">
        <f t="array" ref="G854">IF(LineærRegression_Valg[[#This Row],[Indenfor range]],IF(LineærRegression_Valg[[#This Row],[Intet overlap]],INDEX(DataTitel_liste,LineærRegression_Valg[[#This Row],[Uafhængig variabel ID]]),INDEX(DataTitel_liste,IF(LineærRegression_Valg[[#This Row],[Afhængig variabel ID]]=1,2,1))),$B$7)</f>
        <v>Eksempel 2 (interval)</v>
      </c>
      <c r="H854" s="188">
        <f>_xlfn.AGGREGATE(2,5,LineærRegression_Valg[[#This Row],[Tabel ID]])</f>
        <v>1</v>
      </c>
    </row>
    <row r="855" spans="1:8" x14ac:dyDescent="0.2">
      <c r="A855">
        <f>ROW(LineærRegression_Valg[[#This Row],[Tabel ID]])-ROW(LineærRegression_Valg[[#Headers],[Tabel ID]])</f>
        <v>845</v>
      </c>
      <c r="B855" s="188">
        <f>ROUNDDOWN((LineærRegression_Valg[[#This Row],[Tabel ID]]-1)/$B$5,0)+1</f>
        <v>212</v>
      </c>
      <c r="C855" s="188">
        <f t="shared" si="13"/>
        <v>1</v>
      </c>
      <c r="D855" s="188" t="b">
        <f>LineærRegression_Valg[[#This Row],[Afhængig variabel ID]]&lt;&gt;LineærRegression_Valg[[#This Row],[Uafhængig variabel ID]]</f>
        <v>1</v>
      </c>
      <c r="E855" t="b">
        <f>LineærRegression_Valg[[#This Row],[Afhængig variabel ID]]&lt;=$B$5</f>
        <v>0</v>
      </c>
      <c r="F855" t="str" cm="1">
        <f t="array" ref="F855">IF(LineærRegression_Valg[[#This Row],[Indenfor range]],INDEX(DataTitel_liste,LineærRegression_Valg[[#This Row],[Afhængig variabel ID]]),INDEX(DataTitel_liste,1))</f>
        <v>Eksempel 1 (interval)</v>
      </c>
      <c r="G855" s="188" t="str" cm="1">
        <f t="array" ref="G855">IF(LineærRegression_Valg[[#This Row],[Indenfor range]],IF(LineærRegression_Valg[[#This Row],[Intet overlap]],INDEX(DataTitel_liste,LineærRegression_Valg[[#This Row],[Uafhængig variabel ID]]),INDEX(DataTitel_liste,IF(LineærRegression_Valg[[#This Row],[Afhængig variabel ID]]=1,2,1))),$B$7)</f>
        <v>Eksempel 2 (interval)</v>
      </c>
      <c r="H855" s="188">
        <f>_xlfn.AGGREGATE(2,5,LineærRegression_Valg[[#This Row],[Tabel ID]])</f>
        <v>1</v>
      </c>
    </row>
    <row r="856" spans="1:8" x14ac:dyDescent="0.2">
      <c r="A856">
        <f>ROW(LineærRegression_Valg[[#This Row],[Tabel ID]])-ROW(LineærRegression_Valg[[#Headers],[Tabel ID]])</f>
        <v>846</v>
      </c>
      <c r="B856" s="188">
        <f>ROUNDDOWN((LineærRegression_Valg[[#This Row],[Tabel ID]]-1)/$B$5,0)+1</f>
        <v>212</v>
      </c>
      <c r="C856" s="188">
        <f t="shared" si="13"/>
        <v>2</v>
      </c>
      <c r="D856" s="188" t="b">
        <f>LineærRegression_Valg[[#This Row],[Afhængig variabel ID]]&lt;&gt;LineærRegression_Valg[[#This Row],[Uafhængig variabel ID]]</f>
        <v>1</v>
      </c>
      <c r="E856" t="b">
        <f>LineærRegression_Valg[[#This Row],[Afhængig variabel ID]]&lt;=$B$5</f>
        <v>0</v>
      </c>
      <c r="F856" t="str" cm="1">
        <f t="array" ref="F856">IF(LineærRegression_Valg[[#This Row],[Indenfor range]],INDEX(DataTitel_liste,LineærRegression_Valg[[#This Row],[Afhængig variabel ID]]),INDEX(DataTitel_liste,1))</f>
        <v>Eksempel 1 (interval)</v>
      </c>
      <c r="G856" s="188" t="str" cm="1">
        <f t="array" ref="G856">IF(LineærRegression_Valg[[#This Row],[Indenfor range]],IF(LineærRegression_Valg[[#This Row],[Intet overlap]],INDEX(DataTitel_liste,LineærRegression_Valg[[#This Row],[Uafhængig variabel ID]]),INDEX(DataTitel_liste,IF(LineærRegression_Valg[[#This Row],[Afhængig variabel ID]]=1,2,1))),$B$7)</f>
        <v>Eksempel 2 (interval)</v>
      </c>
      <c r="H856" s="188">
        <f>_xlfn.AGGREGATE(2,5,LineærRegression_Valg[[#This Row],[Tabel ID]])</f>
        <v>1</v>
      </c>
    </row>
    <row r="857" spans="1:8" x14ac:dyDescent="0.2">
      <c r="A857">
        <f>ROW(LineærRegression_Valg[[#This Row],[Tabel ID]])-ROW(LineærRegression_Valg[[#Headers],[Tabel ID]])</f>
        <v>847</v>
      </c>
      <c r="B857" s="188">
        <f>ROUNDDOWN((LineærRegression_Valg[[#This Row],[Tabel ID]]-1)/$B$5,0)+1</f>
        <v>212</v>
      </c>
      <c r="C857" s="188">
        <f t="shared" si="13"/>
        <v>3</v>
      </c>
      <c r="D857" s="188" t="b">
        <f>LineærRegression_Valg[[#This Row],[Afhængig variabel ID]]&lt;&gt;LineærRegression_Valg[[#This Row],[Uafhængig variabel ID]]</f>
        <v>1</v>
      </c>
      <c r="E857" t="b">
        <f>LineærRegression_Valg[[#This Row],[Afhængig variabel ID]]&lt;=$B$5</f>
        <v>0</v>
      </c>
      <c r="F857" t="str" cm="1">
        <f t="array" ref="F857">IF(LineærRegression_Valg[[#This Row],[Indenfor range]],INDEX(DataTitel_liste,LineærRegression_Valg[[#This Row],[Afhængig variabel ID]]),INDEX(DataTitel_liste,1))</f>
        <v>Eksempel 1 (interval)</v>
      </c>
      <c r="G857" s="188" t="str" cm="1">
        <f t="array" ref="G857">IF(LineærRegression_Valg[[#This Row],[Indenfor range]],IF(LineærRegression_Valg[[#This Row],[Intet overlap]],INDEX(DataTitel_liste,LineærRegression_Valg[[#This Row],[Uafhængig variabel ID]]),INDEX(DataTitel_liste,IF(LineærRegression_Valg[[#This Row],[Afhængig variabel ID]]=1,2,1))),$B$7)</f>
        <v>Eksempel 2 (interval)</v>
      </c>
      <c r="H857" s="188">
        <f>_xlfn.AGGREGATE(2,5,LineærRegression_Valg[[#This Row],[Tabel ID]])</f>
        <v>1</v>
      </c>
    </row>
    <row r="858" spans="1:8" x14ac:dyDescent="0.2">
      <c r="A858">
        <f>ROW(LineærRegression_Valg[[#This Row],[Tabel ID]])-ROW(LineærRegression_Valg[[#Headers],[Tabel ID]])</f>
        <v>848</v>
      </c>
      <c r="B858" s="188">
        <f>ROUNDDOWN((LineærRegression_Valg[[#This Row],[Tabel ID]]-1)/$B$5,0)+1</f>
        <v>212</v>
      </c>
      <c r="C858" s="188">
        <f t="shared" si="13"/>
        <v>4</v>
      </c>
      <c r="D858" s="188" t="b">
        <f>LineærRegression_Valg[[#This Row],[Afhængig variabel ID]]&lt;&gt;LineærRegression_Valg[[#This Row],[Uafhængig variabel ID]]</f>
        <v>1</v>
      </c>
      <c r="E858" t="b">
        <f>LineærRegression_Valg[[#This Row],[Afhængig variabel ID]]&lt;=$B$5</f>
        <v>0</v>
      </c>
      <c r="F858" t="str" cm="1">
        <f t="array" ref="F858">IF(LineærRegression_Valg[[#This Row],[Indenfor range]],INDEX(DataTitel_liste,LineærRegression_Valg[[#This Row],[Afhængig variabel ID]]),INDEX(DataTitel_liste,1))</f>
        <v>Eksempel 1 (interval)</v>
      </c>
      <c r="G858" s="188" t="str" cm="1">
        <f t="array" ref="G858">IF(LineærRegression_Valg[[#This Row],[Indenfor range]],IF(LineærRegression_Valg[[#This Row],[Intet overlap]],INDEX(DataTitel_liste,LineærRegression_Valg[[#This Row],[Uafhængig variabel ID]]),INDEX(DataTitel_liste,IF(LineærRegression_Valg[[#This Row],[Afhængig variabel ID]]=1,2,1))),$B$7)</f>
        <v>Eksempel 2 (interval)</v>
      </c>
      <c r="H858" s="188">
        <f>_xlfn.AGGREGATE(2,5,LineærRegression_Valg[[#This Row],[Tabel ID]])</f>
        <v>1</v>
      </c>
    </row>
    <row r="859" spans="1:8" x14ac:dyDescent="0.2">
      <c r="A859">
        <f>ROW(LineærRegression_Valg[[#This Row],[Tabel ID]])-ROW(LineærRegression_Valg[[#Headers],[Tabel ID]])</f>
        <v>849</v>
      </c>
      <c r="B859" s="188">
        <f>ROUNDDOWN((LineærRegression_Valg[[#This Row],[Tabel ID]]-1)/$B$5,0)+1</f>
        <v>213</v>
      </c>
      <c r="C859" s="188">
        <f t="shared" si="13"/>
        <v>1</v>
      </c>
      <c r="D859" s="188" t="b">
        <f>LineærRegression_Valg[[#This Row],[Afhængig variabel ID]]&lt;&gt;LineærRegression_Valg[[#This Row],[Uafhængig variabel ID]]</f>
        <v>1</v>
      </c>
      <c r="E859" t="b">
        <f>LineærRegression_Valg[[#This Row],[Afhængig variabel ID]]&lt;=$B$5</f>
        <v>0</v>
      </c>
      <c r="F859" t="str" cm="1">
        <f t="array" ref="F859">IF(LineærRegression_Valg[[#This Row],[Indenfor range]],INDEX(DataTitel_liste,LineærRegression_Valg[[#This Row],[Afhængig variabel ID]]),INDEX(DataTitel_liste,1))</f>
        <v>Eksempel 1 (interval)</v>
      </c>
      <c r="G859" s="188" t="str" cm="1">
        <f t="array" ref="G859">IF(LineærRegression_Valg[[#This Row],[Indenfor range]],IF(LineærRegression_Valg[[#This Row],[Intet overlap]],INDEX(DataTitel_liste,LineærRegression_Valg[[#This Row],[Uafhængig variabel ID]]),INDEX(DataTitel_liste,IF(LineærRegression_Valg[[#This Row],[Afhængig variabel ID]]=1,2,1))),$B$7)</f>
        <v>Eksempel 2 (interval)</v>
      </c>
      <c r="H859" s="188">
        <f>_xlfn.AGGREGATE(2,5,LineærRegression_Valg[[#This Row],[Tabel ID]])</f>
        <v>1</v>
      </c>
    </row>
    <row r="860" spans="1:8" x14ac:dyDescent="0.2">
      <c r="A860">
        <f>ROW(LineærRegression_Valg[[#This Row],[Tabel ID]])-ROW(LineærRegression_Valg[[#Headers],[Tabel ID]])</f>
        <v>850</v>
      </c>
      <c r="B860" s="188">
        <f>ROUNDDOWN((LineærRegression_Valg[[#This Row],[Tabel ID]]-1)/$B$5,0)+1</f>
        <v>213</v>
      </c>
      <c r="C860" s="188">
        <f t="shared" si="13"/>
        <v>2</v>
      </c>
      <c r="D860" s="188" t="b">
        <f>LineærRegression_Valg[[#This Row],[Afhængig variabel ID]]&lt;&gt;LineærRegression_Valg[[#This Row],[Uafhængig variabel ID]]</f>
        <v>1</v>
      </c>
      <c r="E860" t="b">
        <f>LineærRegression_Valg[[#This Row],[Afhængig variabel ID]]&lt;=$B$5</f>
        <v>0</v>
      </c>
      <c r="F860" t="str" cm="1">
        <f t="array" ref="F860">IF(LineærRegression_Valg[[#This Row],[Indenfor range]],INDEX(DataTitel_liste,LineærRegression_Valg[[#This Row],[Afhængig variabel ID]]),INDEX(DataTitel_liste,1))</f>
        <v>Eksempel 1 (interval)</v>
      </c>
      <c r="G860" s="188" t="str" cm="1">
        <f t="array" ref="G860">IF(LineærRegression_Valg[[#This Row],[Indenfor range]],IF(LineærRegression_Valg[[#This Row],[Intet overlap]],INDEX(DataTitel_liste,LineærRegression_Valg[[#This Row],[Uafhængig variabel ID]]),INDEX(DataTitel_liste,IF(LineærRegression_Valg[[#This Row],[Afhængig variabel ID]]=1,2,1))),$B$7)</f>
        <v>Eksempel 2 (interval)</v>
      </c>
      <c r="H860" s="188">
        <f>_xlfn.AGGREGATE(2,5,LineærRegression_Valg[[#This Row],[Tabel ID]])</f>
        <v>1</v>
      </c>
    </row>
    <row r="861" spans="1:8" x14ac:dyDescent="0.2">
      <c r="A861">
        <f>ROW(LineærRegression_Valg[[#This Row],[Tabel ID]])-ROW(LineærRegression_Valg[[#Headers],[Tabel ID]])</f>
        <v>851</v>
      </c>
      <c r="B861" s="188">
        <f>ROUNDDOWN((LineærRegression_Valg[[#This Row],[Tabel ID]]-1)/$B$5,0)+1</f>
        <v>213</v>
      </c>
      <c r="C861" s="188">
        <f t="shared" si="13"/>
        <v>3</v>
      </c>
      <c r="D861" s="188" t="b">
        <f>LineærRegression_Valg[[#This Row],[Afhængig variabel ID]]&lt;&gt;LineærRegression_Valg[[#This Row],[Uafhængig variabel ID]]</f>
        <v>1</v>
      </c>
      <c r="E861" t="b">
        <f>LineærRegression_Valg[[#This Row],[Afhængig variabel ID]]&lt;=$B$5</f>
        <v>0</v>
      </c>
      <c r="F861" t="str" cm="1">
        <f t="array" ref="F861">IF(LineærRegression_Valg[[#This Row],[Indenfor range]],INDEX(DataTitel_liste,LineærRegression_Valg[[#This Row],[Afhængig variabel ID]]),INDEX(DataTitel_liste,1))</f>
        <v>Eksempel 1 (interval)</v>
      </c>
      <c r="G861" s="188" t="str" cm="1">
        <f t="array" ref="G861">IF(LineærRegression_Valg[[#This Row],[Indenfor range]],IF(LineærRegression_Valg[[#This Row],[Intet overlap]],INDEX(DataTitel_liste,LineærRegression_Valg[[#This Row],[Uafhængig variabel ID]]),INDEX(DataTitel_liste,IF(LineærRegression_Valg[[#This Row],[Afhængig variabel ID]]=1,2,1))),$B$7)</f>
        <v>Eksempel 2 (interval)</v>
      </c>
      <c r="H861" s="188">
        <f>_xlfn.AGGREGATE(2,5,LineærRegression_Valg[[#This Row],[Tabel ID]])</f>
        <v>1</v>
      </c>
    </row>
    <row r="862" spans="1:8" x14ac:dyDescent="0.2">
      <c r="A862">
        <f>ROW(LineærRegression_Valg[[#This Row],[Tabel ID]])-ROW(LineærRegression_Valg[[#Headers],[Tabel ID]])</f>
        <v>852</v>
      </c>
      <c r="B862" s="188">
        <f>ROUNDDOWN((LineærRegression_Valg[[#This Row],[Tabel ID]]-1)/$B$5,0)+1</f>
        <v>213</v>
      </c>
      <c r="C862" s="188">
        <f t="shared" si="13"/>
        <v>4</v>
      </c>
      <c r="D862" s="188" t="b">
        <f>LineærRegression_Valg[[#This Row],[Afhængig variabel ID]]&lt;&gt;LineærRegression_Valg[[#This Row],[Uafhængig variabel ID]]</f>
        <v>1</v>
      </c>
      <c r="E862" t="b">
        <f>LineærRegression_Valg[[#This Row],[Afhængig variabel ID]]&lt;=$B$5</f>
        <v>0</v>
      </c>
      <c r="F862" t="str" cm="1">
        <f t="array" ref="F862">IF(LineærRegression_Valg[[#This Row],[Indenfor range]],INDEX(DataTitel_liste,LineærRegression_Valg[[#This Row],[Afhængig variabel ID]]),INDEX(DataTitel_liste,1))</f>
        <v>Eksempel 1 (interval)</v>
      </c>
      <c r="G862" s="188" t="str" cm="1">
        <f t="array" ref="G862">IF(LineærRegression_Valg[[#This Row],[Indenfor range]],IF(LineærRegression_Valg[[#This Row],[Intet overlap]],INDEX(DataTitel_liste,LineærRegression_Valg[[#This Row],[Uafhængig variabel ID]]),INDEX(DataTitel_liste,IF(LineærRegression_Valg[[#This Row],[Afhængig variabel ID]]=1,2,1))),$B$7)</f>
        <v>Eksempel 2 (interval)</v>
      </c>
      <c r="H862" s="188">
        <f>_xlfn.AGGREGATE(2,5,LineærRegression_Valg[[#This Row],[Tabel ID]])</f>
        <v>1</v>
      </c>
    </row>
    <row r="863" spans="1:8" x14ac:dyDescent="0.2">
      <c r="A863">
        <f>ROW(LineærRegression_Valg[[#This Row],[Tabel ID]])-ROW(LineærRegression_Valg[[#Headers],[Tabel ID]])</f>
        <v>853</v>
      </c>
      <c r="B863" s="188">
        <f>ROUNDDOWN((LineærRegression_Valg[[#This Row],[Tabel ID]]-1)/$B$5,0)+1</f>
        <v>214</v>
      </c>
      <c r="C863" s="188">
        <f t="shared" si="13"/>
        <v>1</v>
      </c>
      <c r="D863" s="188" t="b">
        <f>LineærRegression_Valg[[#This Row],[Afhængig variabel ID]]&lt;&gt;LineærRegression_Valg[[#This Row],[Uafhængig variabel ID]]</f>
        <v>1</v>
      </c>
      <c r="E863" t="b">
        <f>LineærRegression_Valg[[#This Row],[Afhængig variabel ID]]&lt;=$B$5</f>
        <v>0</v>
      </c>
      <c r="F863" t="str" cm="1">
        <f t="array" ref="F863">IF(LineærRegression_Valg[[#This Row],[Indenfor range]],INDEX(DataTitel_liste,LineærRegression_Valg[[#This Row],[Afhængig variabel ID]]),INDEX(DataTitel_liste,1))</f>
        <v>Eksempel 1 (interval)</v>
      </c>
      <c r="G863" s="188" t="str" cm="1">
        <f t="array" ref="G863">IF(LineærRegression_Valg[[#This Row],[Indenfor range]],IF(LineærRegression_Valg[[#This Row],[Intet overlap]],INDEX(DataTitel_liste,LineærRegression_Valg[[#This Row],[Uafhængig variabel ID]]),INDEX(DataTitel_liste,IF(LineærRegression_Valg[[#This Row],[Afhængig variabel ID]]=1,2,1))),$B$7)</f>
        <v>Eksempel 2 (interval)</v>
      </c>
      <c r="H863" s="188">
        <f>_xlfn.AGGREGATE(2,5,LineærRegression_Valg[[#This Row],[Tabel ID]])</f>
        <v>1</v>
      </c>
    </row>
    <row r="864" spans="1:8" x14ac:dyDescent="0.2">
      <c r="A864">
        <f>ROW(LineærRegression_Valg[[#This Row],[Tabel ID]])-ROW(LineærRegression_Valg[[#Headers],[Tabel ID]])</f>
        <v>854</v>
      </c>
      <c r="B864" s="188">
        <f>ROUNDDOWN((LineærRegression_Valg[[#This Row],[Tabel ID]]-1)/$B$5,0)+1</f>
        <v>214</v>
      </c>
      <c r="C864" s="188">
        <f t="shared" si="13"/>
        <v>2</v>
      </c>
      <c r="D864" s="188" t="b">
        <f>LineærRegression_Valg[[#This Row],[Afhængig variabel ID]]&lt;&gt;LineærRegression_Valg[[#This Row],[Uafhængig variabel ID]]</f>
        <v>1</v>
      </c>
      <c r="E864" t="b">
        <f>LineærRegression_Valg[[#This Row],[Afhængig variabel ID]]&lt;=$B$5</f>
        <v>0</v>
      </c>
      <c r="F864" t="str" cm="1">
        <f t="array" ref="F864">IF(LineærRegression_Valg[[#This Row],[Indenfor range]],INDEX(DataTitel_liste,LineærRegression_Valg[[#This Row],[Afhængig variabel ID]]),INDEX(DataTitel_liste,1))</f>
        <v>Eksempel 1 (interval)</v>
      </c>
      <c r="G864" s="188" t="str" cm="1">
        <f t="array" ref="G864">IF(LineærRegression_Valg[[#This Row],[Indenfor range]],IF(LineærRegression_Valg[[#This Row],[Intet overlap]],INDEX(DataTitel_liste,LineærRegression_Valg[[#This Row],[Uafhængig variabel ID]]),INDEX(DataTitel_liste,IF(LineærRegression_Valg[[#This Row],[Afhængig variabel ID]]=1,2,1))),$B$7)</f>
        <v>Eksempel 2 (interval)</v>
      </c>
      <c r="H864" s="188">
        <f>_xlfn.AGGREGATE(2,5,LineærRegression_Valg[[#This Row],[Tabel ID]])</f>
        <v>1</v>
      </c>
    </row>
    <row r="865" spans="1:8" x14ac:dyDescent="0.2">
      <c r="A865">
        <f>ROW(LineærRegression_Valg[[#This Row],[Tabel ID]])-ROW(LineærRegression_Valg[[#Headers],[Tabel ID]])</f>
        <v>855</v>
      </c>
      <c r="B865" s="188">
        <f>ROUNDDOWN((LineærRegression_Valg[[#This Row],[Tabel ID]]-1)/$B$5,0)+1</f>
        <v>214</v>
      </c>
      <c r="C865" s="188">
        <f t="shared" si="13"/>
        <v>3</v>
      </c>
      <c r="D865" s="188" t="b">
        <f>LineærRegression_Valg[[#This Row],[Afhængig variabel ID]]&lt;&gt;LineærRegression_Valg[[#This Row],[Uafhængig variabel ID]]</f>
        <v>1</v>
      </c>
      <c r="E865" t="b">
        <f>LineærRegression_Valg[[#This Row],[Afhængig variabel ID]]&lt;=$B$5</f>
        <v>0</v>
      </c>
      <c r="F865" t="str" cm="1">
        <f t="array" ref="F865">IF(LineærRegression_Valg[[#This Row],[Indenfor range]],INDEX(DataTitel_liste,LineærRegression_Valg[[#This Row],[Afhængig variabel ID]]),INDEX(DataTitel_liste,1))</f>
        <v>Eksempel 1 (interval)</v>
      </c>
      <c r="G865" s="188" t="str" cm="1">
        <f t="array" ref="G865">IF(LineærRegression_Valg[[#This Row],[Indenfor range]],IF(LineærRegression_Valg[[#This Row],[Intet overlap]],INDEX(DataTitel_liste,LineærRegression_Valg[[#This Row],[Uafhængig variabel ID]]),INDEX(DataTitel_liste,IF(LineærRegression_Valg[[#This Row],[Afhængig variabel ID]]=1,2,1))),$B$7)</f>
        <v>Eksempel 2 (interval)</v>
      </c>
      <c r="H865" s="188">
        <f>_xlfn.AGGREGATE(2,5,LineærRegression_Valg[[#This Row],[Tabel ID]])</f>
        <v>1</v>
      </c>
    </row>
    <row r="866" spans="1:8" x14ac:dyDescent="0.2">
      <c r="A866">
        <f>ROW(LineærRegression_Valg[[#This Row],[Tabel ID]])-ROW(LineærRegression_Valg[[#Headers],[Tabel ID]])</f>
        <v>856</v>
      </c>
      <c r="B866" s="188">
        <f>ROUNDDOWN((LineærRegression_Valg[[#This Row],[Tabel ID]]-1)/$B$5,0)+1</f>
        <v>214</v>
      </c>
      <c r="C866" s="188">
        <f t="shared" si="13"/>
        <v>4</v>
      </c>
      <c r="D866" s="188" t="b">
        <f>LineærRegression_Valg[[#This Row],[Afhængig variabel ID]]&lt;&gt;LineærRegression_Valg[[#This Row],[Uafhængig variabel ID]]</f>
        <v>1</v>
      </c>
      <c r="E866" t="b">
        <f>LineærRegression_Valg[[#This Row],[Afhængig variabel ID]]&lt;=$B$5</f>
        <v>0</v>
      </c>
      <c r="F866" t="str" cm="1">
        <f t="array" ref="F866">IF(LineærRegression_Valg[[#This Row],[Indenfor range]],INDEX(DataTitel_liste,LineærRegression_Valg[[#This Row],[Afhængig variabel ID]]),INDEX(DataTitel_liste,1))</f>
        <v>Eksempel 1 (interval)</v>
      </c>
      <c r="G866" s="188" t="str" cm="1">
        <f t="array" ref="G866">IF(LineærRegression_Valg[[#This Row],[Indenfor range]],IF(LineærRegression_Valg[[#This Row],[Intet overlap]],INDEX(DataTitel_liste,LineærRegression_Valg[[#This Row],[Uafhængig variabel ID]]),INDEX(DataTitel_liste,IF(LineærRegression_Valg[[#This Row],[Afhængig variabel ID]]=1,2,1))),$B$7)</f>
        <v>Eksempel 2 (interval)</v>
      </c>
      <c r="H866" s="188">
        <f>_xlfn.AGGREGATE(2,5,LineærRegression_Valg[[#This Row],[Tabel ID]])</f>
        <v>1</v>
      </c>
    </row>
    <row r="867" spans="1:8" x14ac:dyDescent="0.2">
      <c r="A867">
        <f>ROW(LineærRegression_Valg[[#This Row],[Tabel ID]])-ROW(LineærRegression_Valg[[#Headers],[Tabel ID]])</f>
        <v>857</v>
      </c>
      <c r="B867" s="188">
        <f>ROUNDDOWN((LineærRegression_Valg[[#This Row],[Tabel ID]]-1)/$B$5,0)+1</f>
        <v>215</v>
      </c>
      <c r="C867" s="188">
        <f t="shared" si="13"/>
        <v>1</v>
      </c>
      <c r="D867" s="188" t="b">
        <f>LineærRegression_Valg[[#This Row],[Afhængig variabel ID]]&lt;&gt;LineærRegression_Valg[[#This Row],[Uafhængig variabel ID]]</f>
        <v>1</v>
      </c>
      <c r="E867" t="b">
        <f>LineærRegression_Valg[[#This Row],[Afhængig variabel ID]]&lt;=$B$5</f>
        <v>0</v>
      </c>
      <c r="F867" t="str" cm="1">
        <f t="array" ref="F867">IF(LineærRegression_Valg[[#This Row],[Indenfor range]],INDEX(DataTitel_liste,LineærRegression_Valg[[#This Row],[Afhængig variabel ID]]),INDEX(DataTitel_liste,1))</f>
        <v>Eksempel 1 (interval)</v>
      </c>
      <c r="G867" s="188" t="str" cm="1">
        <f t="array" ref="G867">IF(LineærRegression_Valg[[#This Row],[Indenfor range]],IF(LineærRegression_Valg[[#This Row],[Intet overlap]],INDEX(DataTitel_liste,LineærRegression_Valg[[#This Row],[Uafhængig variabel ID]]),INDEX(DataTitel_liste,IF(LineærRegression_Valg[[#This Row],[Afhængig variabel ID]]=1,2,1))),$B$7)</f>
        <v>Eksempel 2 (interval)</v>
      </c>
      <c r="H867" s="188">
        <f>_xlfn.AGGREGATE(2,5,LineærRegression_Valg[[#This Row],[Tabel ID]])</f>
        <v>1</v>
      </c>
    </row>
    <row r="868" spans="1:8" x14ac:dyDescent="0.2">
      <c r="A868">
        <f>ROW(LineærRegression_Valg[[#This Row],[Tabel ID]])-ROW(LineærRegression_Valg[[#Headers],[Tabel ID]])</f>
        <v>858</v>
      </c>
      <c r="B868" s="188">
        <f>ROUNDDOWN((LineærRegression_Valg[[#This Row],[Tabel ID]]-1)/$B$5,0)+1</f>
        <v>215</v>
      </c>
      <c r="C868" s="188">
        <f t="shared" si="13"/>
        <v>2</v>
      </c>
      <c r="D868" s="188" t="b">
        <f>LineærRegression_Valg[[#This Row],[Afhængig variabel ID]]&lt;&gt;LineærRegression_Valg[[#This Row],[Uafhængig variabel ID]]</f>
        <v>1</v>
      </c>
      <c r="E868" t="b">
        <f>LineærRegression_Valg[[#This Row],[Afhængig variabel ID]]&lt;=$B$5</f>
        <v>0</v>
      </c>
      <c r="F868" t="str" cm="1">
        <f t="array" ref="F868">IF(LineærRegression_Valg[[#This Row],[Indenfor range]],INDEX(DataTitel_liste,LineærRegression_Valg[[#This Row],[Afhængig variabel ID]]),INDEX(DataTitel_liste,1))</f>
        <v>Eksempel 1 (interval)</v>
      </c>
      <c r="G868" s="188" t="str" cm="1">
        <f t="array" ref="G868">IF(LineærRegression_Valg[[#This Row],[Indenfor range]],IF(LineærRegression_Valg[[#This Row],[Intet overlap]],INDEX(DataTitel_liste,LineærRegression_Valg[[#This Row],[Uafhængig variabel ID]]),INDEX(DataTitel_liste,IF(LineærRegression_Valg[[#This Row],[Afhængig variabel ID]]=1,2,1))),$B$7)</f>
        <v>Eksempel 2 (interval)</v>
      </c>
      <c r="H868" s="188">
        <f>_xlfn.AGGREGATE(2,5,LineærRegression_Valg[[#This Row],[Tabel ID]])</f>
        <v>1</v>
      </c>
    </row>
    <row r="869" spans="1:8" x14ac:dyDescent="0.2">
      <c r="A869">
        <f>ROW(LineærRegression_Valg[[#This Row],[Tabel ID]])-ROW(LineærRegression_Valg[[#Headers],[Tabel ID]])</f>
        <v>859</v>
      </c>
      <c r="B869" s="188">
        <f>ROUNDDOWN((LineærRegression_Valg[[#This Row],[Tabel ID]]-1)/$B$5,0)+1</f>
        <v>215</v>
      </c>
      <c r="C869" s="188">
        <f t="shared" si="13"/>
        <v>3</v>
      </c>
      <c r="D869" s="188" t="b">
        <f>LineærRegression_Valg[[#This Row],[Afhængig variabel ID]]&lt;&gt;LineærRegression_Valg[[#This Row],[Uafhængig variabel ID]]</f>
        <v>1</v>
      </c>
      <c r="E869" t="b">
        <f>LineærRegression_Valg[[#This Row],[Afhængig variabel ID]]&lt;=$B$5</f>
        <v>0</v>
      </c>
      <c r="F869" t="str" cm="1">
        <f t="array" ref="F869">IF(LineærRegression_Valg[[#This Row],[Indenfor range]],INDEX(DataTitel_liste,LineærRegression_Valg[[#This Row],[Afhængig variabel ID]]),INDEX(DataTitel_liste,1))</f>
        <v>Eksempel 1 (interval)</v>
      </c>
      <c r="G869" s="188" t="str" cm="1">
        <f t="array" ref="G869">IF(LineærRegression_Valg[[#This Row],[Indenfor range]],IF(LineærRegression_Valg[[#This Row],[Intet overlap]],INDEX(DataTitel_liste,LineærRegression_Valg[[#This Row],[Uafhængig variabel ID]]),INDEX(DataTitel_liste,IF(LineærRegression_Valg[[#This Row],[Afhængig variabel ID]]=1,2,1))),$B$7)</f>
        <v>Eksempel 2 (interval)</v>
      </c>
      <c r="H869" s="188">
        <f>_xlfn.AGGREGATE(2,5,LineærRegression_Valg[[#This Row],[Tabel ID]])</f>
        <v>1</v>
      </c>
    </row>
    <row r="870" spans="1:8" x14ac:dyDescent="0.2">
      <c r="A870">
        <f>ROW(LineærRegression_Valg[[#This Row],[Tabel ID]])-ROW(LineærRegression_Valg[[#Headers],[Tabel ID]])</f>
        <v>860</v>
      </c>
      <c r="B870" s="188">
        <f>ROUNDDOWN((LineærRegression_Valg[[#This Row],[Tabel ID]]-1)/$B$5,0)+1</f>
        <v>215</v>
      </c>
      <c r="C870" s="188">
        <f t="shared" si="13"/>
        <v>4</v>
      </c>
      <c r="D870" s="188" t="b">
        <f>LineærRegression_Valg[[#This Row],[Afhængig variabel ID]]&lt;&gt;LineærRegression_Valg[[#This Row],[Uafhængig variabel ID]]</f>
        <v>1</v>
      </c>
      <c r="E870" t="b">
        <f>LineærRegression_Valg[[#This Row],[Afhængig variabel ID]]&lt;=$B$5</f>
        <v>0</v>
      </c>
      <c r="F870" t="str" cm="1">
        <f t="array" ref="F870">IF(LineærRegression_Valg[[#This Row],[Indenfor range]],INDEX(DataTitel_liste,LineærRegression_Valg[[#This Row],[Afhængig variabel ID]]),INDEX(DataTitel_liste,1))</f>
        <v>Eksempel 1 (interval)</v>
      </c>
      <c r="G870" s="188" t="str" cm="1">
        <f t="array" ref="G870">IF(LineærRegression_Valg[[#This Row],[Indenfor range]],IF(LineærRegression_Valg[[#This Row],[Intet overlap]],INDEX(DataTitel_liste,LineærRegression_Valg[[#This Row],[Uafhængig variabel ID]]),INDEX(DataTitel_liste,IF(LineærRegression_Valg[[#This Row],[Afhængig variabel ID]]=1,2,1))),$B$7)</f>
        <v>Eksempel 2 (interval)</v>
      </c>
      <c r="H870" s="188">
        <f>_xlfn.AGGREGATE(2,5,LineærRegression_Valg[[#This Row],[Tabel ID]])</f>
        <v>1</v>
      </c>
    </row>
    <row r="871" spans="1:8" x14ac:dyDescent="0.2">
      <c r="A871">
        <f>ROW(LineærRegression_Valg[[#This Row],[Tabel ID]])-ROW(LineærRegression_Valg[[#Headers],[Tabel ID]])</f>
        <v>861</v>
      </c>
      <c r="B871" s="188">
        <f>ROUNDDOWN((LineærRegression_Valg[[#This Row],[Tabel ID]]-1)/$B$5,0)+1</f>
        <v>216</v>
      </c>
      <c r="C871" s="188">
        <f t="shared" si="13"/>
        <v>1</v>
      </c>
      <c r="D871" s="188" t="b">
        <f>LineærRegression_Valg[[#This Row],[Afhængig variabel ID]]&lt;&gt;LineærRegression_Valg[[#This Row],[Uafhængig variabel ID]]</f>
        <v>1</v>
      </c>
      <c r="E871" t="b">
        <f>LineærRegression_Valg[[#This Row],[Afhængig variabel ID]]&lt;=$B$5</f>
        <v>0</v>
      </c>
      <c r="F871" t="str" cm="1">
        <f t="array" ref="F871">IF(LineærRegression_Valg[[#This Row],[Indenfor range]],INDEX(DataTitel_liste,LineærRegression_Valg[[#This Row],[Afhængig variabel ID]]),INDEX(DataTitel_liste,1))</f>
        <v>Eksempel 1 (interval)</v>
      </c>
      <c r="G871" s="188" t="str" cm="1">
        <f t="array" ref="G871">IF(LineærRegression_Valg[[#This Row],[Indenfor range]],IF(LineærRegression_Valg[[#This Row],[Intet overlap]],INDEX(DataTitel_liste,LineærRegression_Valg[[#This Row],[Uafhængig variabel ID]]),INDEX(DataTitel_liste,IF(LineærRegression_Valg[[#This Row],[Afhængig variabel ID]]=1,2,1))),$B$7)</f>
        <v>Eksempel 2 (interval)</v>
      </c>
      <c r="H871" s="188">
        <f>_xlfn.AGGREGATE(2,5,LineærRegression_Valg[[#This Row],[Tabel ID]])</f>
        <v>1</v>
      </c>
    </row>
    <row r="872" spans="1:8" x14ac:dyDescent="0.2">
      <c r="A872">
        <f>ROW(LineærRegression_Valg[[#This Row],[Tabel ID]])-ROW(LineærRegression_Valg[[#Headers],[Tabel ID]])</f>
        <v>862</v>
      </c>
      <c r="B872" s="188">
        <f>ROUNDDOWN((LineærRegression_Valg[[#This Row],[Tabel ID]]-1)/$B$5,0)+1</f>
        <v>216</v>
      </c>
      <c r="C872" s="188">
        <f t="shared" si="13"/>
        <v>2</v>
      </c>
      <c r="D872" s="188" t="b">
        <f>LineærRegression_Valg[[#This Row],[Afhængig variabel ID]]&lt;&gt;LineærRegression_Valg[[#This Row],[Uafhængig variabel ID]]</f>
        <v>1</v>
      </c>
      <c r="E872" t="b">
        <f>LineærRegression_Valg[[#This Row],[Afhængig variabel ID]]&lt;=$B$5</f>
        <v>0</v>
      </c>
      <c r="F872" t="str" cm="1">
        <f t="array" ref="F872">IF(LineærRegression_Valg[[#This Row],[Indenfor range]],INDEX(DataTitel_liste,LineærRegression_Valg[[#This Row],[Afhængig variabel ID]]),INDEX(DataTitel_liste,1))</f>
        <v>Eksempel 1 (interval)</v>
      </c>
      <c r="G872" s="188" t="str" cm="1">
        <f t="array" ref="G872">IF(LineærRegression_Valg[[#This Row],[Indenfor range]],IF(LineærRegression_Valg[[#This Row],[Intet overlap]],INDEX(DataTitel_liste,LineærRegression_Valg[[#This Row],[Uafhængig variabel ID]]),INDEX(DataTitel_liste,IF(LineærRegression_Valg[[#This Row],[Afhængig variabel ID]]=1,2,1))),$B$7)</f>
        <v>Eksempel 2 (interval)</v>
      </c>
      <c r="H872" s="188">
        <f>_xlfn.AGGREGATE(2,5,LineærRegression_Valg[[#This Row],[Tabel ID]])</f>
        <v>1</v>
      </c>
    </row>
    <row r="873" spans="1:8" x14ac:dyDescent="0.2">
      <c r="A873">
        <f>ROW(LineærRegression_Valg[[#This Row],[Tabel ID]])-ROW(LineærRegression_Valg[[#Headers],[Tabel ID]])</f>
        <v>863</v>
      </c>
      <c r="B873" s="188">
        <f>ROUNDDOWN((LineærRegression_Valg[[#This Row],[Tabel ID]]-1)/$B$5,0)+1</f>
        <v>216</v>
      </c>
      <c r="C873" s="188">
        <f t="shared" si="13"/>
        <v>3</v>
      </c>
      <c r="D873" s="188" t="b">
        <f>LineærRegression_Valg[[#This Row],[Afhængig variabel ID]]&lt;&gt;LineærRegression_Valg[[#This Row],[Uafhængig variabel ID]]</f>
        <v>1</v>
      </c>
      <c r="E873" t="b">
        <f>LineærRegression_Valg[[#This Row],[Afhængig variabel ID]]&lt;=$B$5</f>
        <v>0</v>
      </c>
      <c r="F873" t="str" cm="1">
        <f t="array" ref="F873">IF(LineærRegression_Valg[[#This Row],[Indenfor range]],INDEX(DataTitel_liste,LineærRegression_Valg[[#This Row],[Afhængig variabel ID]]),INDEX(DataTitel_liste,1))</f>
        <v>Eksempel 1 (interval)</v>
      </c>
      <c r="G873" s="188" t="str" cm="1">
        <f t="array" ref="G873">IF(LineærRegression_Valg[[#This Row],[Indenfor range]],IF(LineærRegression_Valg[[#This Row],[Intet overlap]],INDEX(DataTitel_liste,LineærRegression_Valg[[#This Row],[Uafhængig variabel ID]]),INDEX(DataTitel_liste,IF(LineærRegression_Valg[[#This Row],[Afhængig variabel ID]]=1,2,1))),$B$7)</f>
        <v>Eksempel 2 (interval)</v>
      </c>
      <c r="H873" s="188">
        <f>_xlfn.AGGREGATE(2,5,LineærRegression_Valg[[#This Row],[Tabel ID]])</f>
        <v>1</v>
      </c>
    </row>
    <row r="874" spans="1:8" x14ac:dyDescent="0.2">
      <c r="A874">
        <f>ROW(LineærRegression_Valg[[#This Row],[Tabel ID]])-ROW(LineærRegression_Valg[[#Headers],[Tabel ID]])</f>
        <v>864</v>
      </c>
      <c r="B874" s="188">
        <f>ROUNDDOWN((LineærRegression_Valg[[#This Row],[Tabel ID]]-1)/$B$5,0)+1</f>
        <v>216</v>
      </c>
      <c r="C874" s="188">
        <f t="shared" si="13"/>
        <v>4</v>
      </c>
      <c r="D874" s="188" t="b">
        <f>LineærRegression_Valg[[#This Row],[Afhængig variabel ID]]&lt;&gt;LineærRegression_Valg[[#This Row],[Uafhængig variabel ID]]</f>
        <v>1</v>
      </c>
      <c r="E874" t="b">
        <f>LineærRegression_Valg[[#This Row],[Afhængig variabel ID]]&lt;=$B$5</f>
        <v>0</v>
      </c>
      <c r="F874" t="str" cm="1">
        <f t="array" ref="F874">IF(LineærRegression_Valg[[#This Row],[Indenfor range]],INDEX(DataTitel_liste,LineærRegression_Valg[[#This Row],[Afhængig variabel ID]]),INDEX(DataTitel_liste,1))</f>
        <v>Eksempel 1 (interval)</v>
      </c>
      <c r="G874" s="188" t="str" cm="1">
        <f t="array" ref="G874">IF(LineærRegression_Valg[[#This Row],[Indenfor range]],IF(LineærRegression_Valg[[#This Row],[Intet overlap]],INDEX(DataTitel_liste,LineærRegression_Valg[[#This Row],[Uafhængig variabel ID]]),INDEX(DataTitel_liste,IF(LineærRegression_Valg[[#This Row],[Afhængig variabel ID]]=1,2,1))),$B$7)</f>
        <v>Eksempel 2 (interval)</v>
      </c>
      <c r="H874" s="188">
        <f>_xlfn.AGGREGATE(2,5,LineærRegression_Valg[[#This Row],[Tabel ID]])</f>
        <v>1</v>
      </c>
    </row>
    <row r="875" spans="1:8" x14ac:dyDescent="0.2">
      <c r="A875">
        <f>ROW(LineærRegression_Valg[[#This Row],[Tabel ID]])-ROW(LineærRegression_Valg[[#Headers],[Tabel ID]])</f>
        <v>865</v>
      </c>
      <c r="B875" s="188">
        <f>ROUNDDOWN((LineærRegression_Valg[[#This Row],[Tabel ID]]-1)/$B$5,0)+1</f>
        <v>217</v>
      </c>
      <c r="C875" s="188">
        <f t="shared" si="13"/>
        <v>1</v>
      </c>
      <c r="D875" s="188" t="b">
        <f>LineærRegression_Valg[[#This Row],[Afhængig variabel ID]]&lt;&gt;LineærRegression_Valg[[#This Row],[Uafhængig variabel ID]]</f>
        <v>1</v>
      </c>
      <c r="E875" t="b">
        <f>LineærRegression_Valg[[#This Row],[Afhængig variabel ID]]&lt;=$B$5</f>
        <v>0</v>
      </c>
      <c r="F875" t="str" cm="1">
        <f t="array" ref="F875">IF(LineærRegression_Valg[[#This Row],[Indenfor range]],INDEX(DataTitel_liste,LineærRegression_Valg[[#This Row],[Afhængig variabel ID]]),INDEX(DataTitel_liste,1))</f>
        <v>Eksempel 1 (interval)</v>
      </c>
      <c r="G875" s="188" t="str" cm="1">
        <f t="array" ref="G875">IF(LineærRegression_Valg[[#This Row],[Indenfor range]],IF(LineærRegression_Valg[[#This Row],[Intet overlap]],INDEX(DataTitel_liste,LineærRegression_Valg[[#This Row],[Uafhængig variabel ID]]),INDEX(DataTitel_liste,IF(LineærRegression_Valg[[#This Row],[Afhængig variabel ID]]=1,2,1))),$B$7)</f>
        <v>Eksempel 2 (interval)</v>
      </c>
      <c r="H875" s="188">
        <f>_xlfn.AGGREGATE(2,5,LineærRegression_Valg[[#This Row],[Tabel ID]])</f>
        <v>1</v>
      </c>
    </row>
    <row r="876" spans="1:8" x14ac:dyDescent="0.2">
      <c r="A876">
        <f>ROW(LineærRegression_Valg[[#This Row],[Tabel ID]])-ROW(LineærRegression_Valg[[#Headers],[Tabel ID]])</f>
        <v>866</v>
      </c>
      <c r="B876" s="188">
        <f>ROUNDDOWN((LineærRegression_Valg[[#This Row],[Tabel ID]]-1)/$B$5,0)+1</f>
        <v>217</v>
      </c>
      <c r="C876" s="188">
        <f t="shared" si="13"/>
        <v>2</v>
      </c>
      <c r="D876" s="188" t="b">
        <f>LineærRegression_Valg[[#This Row],[Afhængig variabel ID]]&lt;&gt;LineærRegression_Valg[[#This Row],[Uafhængig variabel ID]]</f>
        <v>1</v>
      </c>
      <c r="E876" t="b">
        <f>LineærRegression_Valg[[#This Row],[Afhængig variabel ID]]&lt;=$B$5</f>
        <v>0</v>
      </c>
      <c r="F876" t="str" cm="1">
        <f t="array" ref="F876">IF(LineærRegression_Valg[[#This Row],[Indenfor range]],INDEX(DataTitel_liste,LineærRegression_Valg[[#This Row],[Afhængig variabel ID]]),INDEX(DataTitel_liste,1))</f>
        <v>Eksempel 1 (interval)</v>
      </c>
      <c r="G876" s="188" t="str" cm="1">
        <f t="array" ref="G876">IF(LineærRegression_Valg[[#This Row],[Indenfor range]],IF(LineærRegression_Valg[[#This Row],[Intet overlap]],INDEX(DataTitel_liste,LineærRegression_Valg[[#This Row],[Uafhængig variabel ID]]),INDEX(DataTitel_liste,IF(LineærRegression_Valg[[#This Row],[Afhængig variabel ID]]=1,2,1))),$B$7)</f>
        <v>Eksempel 2 (interval)</v>
      </c>
      <c r="H876" s="188">
        <f>_xlfn.AGGREGATE(2,5,LineærRegression_Valg[[#This Row],[Tabel ID]])</f>
        <v>1</v>
      </c>
    </row>
    <row r="877" spans="1:8" x14ac:dyDescent="0.2">
      <c r="A877">
        <f>ROW(LineærRegression_Valg[[#This Row],[Tabel ID]])-ROW(LineærRegression_Valg[[#Headers],[Tabel ID]])</f>
        <v>867</v>
      </c>
      <c r="B877" s="188">
        <f>ROUNDDOWN((LineærRegression_Valg[[#This Row],[Tabel ID]]-1)/$B$5,0)+1</f>
        <v>217</v>
      </c>
      <c r="C877" s="188">
        <f t="shared" si="13"/>
        <v>3</v>
      </c>
      <c r="D877" s="188" t="b">
        <f>LineærRegression_Valg[[#This Row],[Afhængig variabel ID]]&lt;&gt;LineærRegression_Valg[[#This Row],[Uafhængig variabel ID]]</f>
        <v>1</v>
      </c>
      <c r="E877" t="b">
        <f>LineærRegression_Valg[[#This Row],[Afhængig variabel ID]]&lt;=$B$5</f>
        <v>0</v>
      </c>
      <c r="F877" t="str" cm="1">
        <f t="array" ref="F877">IF(LineærRegression_Valg[[#This Row],[Indenfor range]],INDEX(DataTitel_liste,LineærRegression_Valg[[#This Row],[Afhængig variabel ID]]),INDEX(DataTitel_liste,1))</f>
        <v>Eksempel 1 (interval)</v>
      </c>
      <c r="G877" s="188" t="str" cm="1">
        <f t="array" ref="G877">IF(LineærRegression_Valg[[#This Row],[Indenfor range]],IF(LineærRegression_Valg[[#This Row],[Intet overlap]],INDEX(DataTitel_liste,LineærRegression_Valg[[#This Row],[Uafhængig variabel ID]]),INDEX(DataTitel_liste,IF(LineærRegression_Valg[[#This Row],[Afhængig variabel ID]]=1,2,1))),$B$7)</f>
        <v>Eksempel 2 (interval)</v>
      </c>
      <c r="H877" s="188">
        <f>_xlfn.AGGREGATE(2,5,LineærRegression_Valg[[#This Row],[Tabel ID]])</f>
        <v>1</v>
      </c>
    </row>
    <row r="878" spans="1:8" x14ac:dyDescent="0.2">
      <c r="A878">
        <f>ROW(LineærRegression_Valg[[#This Row],[Tabel ID]])-ROW(LineærRegression_Valg[[#Headers],[Tabel ID]])</f>
        <v>868</v>
      </c>
      <c r="B878" s="188">
        <f>ROUNDDOWN((LineærRegression_Valg[[#This Row],[Tabel ID]]-1)/$B$5,0)+1</f>
        <v>217</v>
      </c>
      <c r="C878" s="188">
        <f t="shared" si="13"/>
        <v>4</v>
      </c>
      <c r="D878" s="188" t="b">
        <f>LineærRegression_Valg[[#This Row],[Afhængig variabel ID]]&lt;&gt;LineærRegression_Valg[[#This Row],[Uafhængig variabel ID]]</f>
        <v>1</v>
      </c>
      <c r="E878" t="b">
        <f>LineærRegression_Valg[[#This Row],[Afhængig variabel ID]]&lt;=$B$5</f>
        <v>0</v>
      </c>
      <c r="F878" t="str" cm="1">
        <f t="array" ref="F878">IF(LineærRegression_Valg[[#This Row],[Indenfor range]],INDEX(DataTitel_liste,LineærRegression_Valg[[#This Row],[Afhængig variabel ID]]),INDEX(DataTitel_liste,1))</f>
        <v>Eksempel 1 (interval)</v>
      </c>
      <c r="G878" s="188" t="str" cm="1">
        <f t="array" ref="G878">IF(LineærRegression_Valg[[#This Row],[Indenfor range]],IF(LineærRegression_Valg[[#This Row],[Intet overlap]],INDEX(DataTitel_liste,LineærRegression_Valg[[#This Row],[Uafhængig variabel ID]]),INDEX(DataTitel_liste,IF(LineærRegression_Valg[[#This Row],[Afhængig variabel ID]]=1,2,1))),$B$7)</f>
        <v>Eksempel 2 (interval)</v>
      </c>
      <c r="H878" s="188">
        <f>_xlfn.AGGREGATE(2,5,LineærRegression_Valg[[#This Row],[Tabel ID]])</f>
        <v>1</v>
      </c>
    </row>
    <row r="879" spans="1:8" x14ac:dyDescent="0.2">
      <c r="A879">
        <f>ROW(LineærRegression_Valg[[#This Row],[Tabel ID]])-ROW(LineærRegression_Valg[[#Headers],[Tabel ID]])</f>
        <v>869</v>
      </c>
      <c r="B879" s="188">
        <f>ROUNDDOWN((LineærRegression_Valg[[#This Row],[Tabel ID]]-1)/$B$5,0)+1</f>
        <v>218</v>
      </c>
      <c r="C879" s="188">
        <f t="shared" si="13"/>
        <v>1</v>
      </c>
      <c r="D879" s="188" t="b">
        <f>LineærRegression_Valg[[#This Row],[Afhængig variabel ID]]&lt;&gt;LineærRegression_Valg[[#This Row],[Uafhængig variabel ID]]</f>
        <v>1</v>
      </c>
      <c r="E879" t="b">
        <f>LineærRegression_Valg[[#This Row],[Afhængig variabel ID]]&lt;=$B$5</f>
        <v>0</v>
      </c>
      <c r="F879" t="str" cm="1">
        <f t="array" ref="F879">IF(LineærRegression_Valg[[#This Row],[Indenfor range]],INDEX(DataTitel_liste,LineærRegression_Valg[[#This Row],[Afhængig variabel ID]]),INDEX(DataTitel_liste,1))</f>
        <v>Eksempel 1 (interval)</v>
      </c>
      <c r="G879" s="188" t="str" cm="1">
        <f t="array" ref="G879">IF(LineærRegression_Valg[[#This Row],[Indenfor range]],IF(LineærRegression_Valg[[#This Row],[Intet overlap]],INDEX(DataTitel_liste,LineærRegression_Valg[[#This Row],[Uafhængig variabel ID]]),INDEX(DataTitel_liste,IF(LineærRegression_Valg[[#This Row],[Afhængig variabel ID]]=1,2,1))),$B$7)</f>
        <v>Eksempel 2 (interval)</v>
      </c>
      <c r="H879" s="188">
        <f>_xlfn.AGGREGATE(2,5,LineærRegression_Valg[[#This Row],[Tabel ID]])</f>
        <v>1</v>
      </c>
    </row>
    <row r="880" spans="1:8" x14ac:dyDescent="0.2">
      <c r="A880">
        <f>ROW(LineærRegression_Valg[[#This Row],[Tabel ID]])-ROW(LineærRegression_Valg[[#Headers],[Tabel ID]])</f>
        <v>870</v>
      </c>
      <c r="B880" s="188">
        <f>ROUNDDOWN((LineærRegression_Valg[[#This Row],[Tabel ID]]-1)/$B$5,0)+1</f>
        <v>218</v>
      </c>
      <c r="C880" s="188">
        <f t="shared" si="13"/>
        <v>2</v>
      </c>
      <c r="D880" s="188" t="b">
        <f>LineærRegression_Valg[[#This Row],[Afhængig variabel ID]]&lt;&gt;LineærRegression_Valg[[#This Row],[Uafhængig variabel ID]]</f>
        <v>1</v>
      </c>
      <c r="E880" t="b">
        <f>LineærRegression_Valg[[#This Row],[Afhængig variabel ID]]&lt;=$B$5</f>
        <v>0</v>
      </c>
      <c r="F880" t="str" cm="1">
        <f t="array" ref="F880">IF(LineærRegression_Valg[[#This Row],[Indenfor range]],INDEX(DataTitel_liste,LineærRegression_Valg[[#This Row],[Afhængig variabel ID]]),INDEX(DataTitel_liste,1))</f>
        <v>Eksempel 1 (interval)</v>
      </c>
      <c r="G880" s="188" t="str" cm="1">
        <f t="array" ref="G880">IF(LineærRegression_Valg[[#This Row],[Indenfor range]],IF(LineærRegression_Valg[[#This Row],[Intet overlap]],INDEX(DataTitel_liste,LineærRegression_Valg[[#This Row],[Uafhængig variabel ID]]),INDEX(DataTitel_liste,IF(LineærRegression_Valg[[#This Row],[Afhængig variabel ID]]=1,2,1))),$B$7)</f>
        <v>Eksempel 2 (interval)</v>
      </c>
      <c r="H880" s="188">
        <f>_xlfn.AGGREGATE(2,5,LineærRegression_Valg[[#This Row],[Tabel ID]])</f>
        <v>1</v>
      </c>
    </row>
    <row r="881" spans="1:8" x14ac:dyDescent="0.2">
      <c r="A881">
        <f>ROW(LineærRegression_Valg[[#This Row],[Tabel ID]])-ROW(LineærRegression_Valg[[#Headers],[Tabel ID]])</f>
        <v>871</v>
      </c>
      <c r="B881" s="188">
        <f>ROUNDDOWN((LineærRegression_Valg[[#This Row],[Tabel ID]]-1)/$B$5,0)+1</f>
        <v>218</v>
      </c>
      <c r="C881" s="188">
        <f t="shared" si="13"/>
        <v>3</v>
      </c>
      <c r="D881" s="188" t="b">
        <f>LineærRegression_Valg[[#This Row],[Afhængig variabel ID]]&lt;&gt;LineærRegression_Valg[[#This Row],[Uafhængig variabel ID]]</f>
        <v>1</v>
      </c>
      <c r="E881" t="b">
        <f>LineærRegression_Valg[[#This Row],[Afhængig variabel ID]]&lt;=$B$5</f>
        <v>0</v>
      </c>
      <c r="F881" t="str" cm="1">
        <f t="array" ref="F881">IF(LineærRegression_Valg[[#This Row],[Indenfor range]],INDEX(DataTitel_liste,LineærRegression_Valg[[#This Row],[Afhængig variabel ID]]),INDEX(DataTitel_liste,1))</f>
        <v>Eksempel 1 (interval)</v>
      </c>
      <c r="G881" s="188" t="str" cm="1">
        <f t="array" ref="G881">IF(LineærRegression_Valg[[#This Row],[Indenfor range]],IF(LineærRegression_Valg[[#This Row],[Intet overlap]],INDEX(DataTitel_liste,LineærRegression_Valg[[#This Row],[Uafhængig variabel ID]]),INDEX(DataTitel_liste,IF(LineærRegression_Valg[[#This Row],[Afhængig variabel ID]]=1,2,1))),$B$7)</f>
        <v>Eksempel 2 (interval)</v>
      </c>
      <c r="H881" s="188">
        <f>_xlfn.AGGREGATE(2,5,LineærRegression_Valg[[#This Row],[Tabel ID]])</f>
        <v>1</v>
      </c>
    </row>
    <row r="882" spans="1:8" x14ac:dyDescent="0.2">
      <c r="A882">
        <f>ROW(LineærRegression_Valg[[#This Row],[Tabel ID]])-ROW(LineærRegression_Valg[[#Headers],[Tabel ID]])</f>
        <v>872</v>
      </c>
      <c r="B882" s="188">
        <f>ROUNDDOWN((LineærRegression_Valg[[#This Row],[Tabel ID]]-1)/$B$5,0)+1</f>
        <v>218</v>
      </c>
      <c r="C882" s="188">
        <f t="shared" si="13"/>
        <v>4</v>
      </c>
      <c r="D882" s="188" t="b">
        <f>LineærRegression_Valg[[#This Row],[Afhængig variabel ID]]&lt;&gt;LineærRegression_Valg[[#This Row],[Uafhængig variabel ID]]</f>
        <v>1</v>
      </c>
      <c r="E882" t="b">
        <f>LineærRegression_Valg[[#This Row],[Afhængig variabel ID]]&lt;=$B$5</f>
        <v>0</v>
      </c>
      <c r="F882" t="str" cm="1">
        <f t="array" ref="F882">IF(LineærRegression_Valg[[#This Row],[Indenfor range]],INDEX(DataTitel_liste,LineærRegression_Valg[[#This Row],[Afhængig variabel ID]]),INDEX(DataTitel_liste,1))</f>
        <v>Eksempel 1 (interval)</v>
      </c>
      <c r="G882" s="188" t="str" cm="1">
        <f t="array" ref="G882">IF(LineærRegression_Valg[[#This Row],[Indenfor range]],IF(LineærRegression_Valg[[#This Row],[Intet overlap]],INDEX(DataTitel_liste,LineærRegression_Valg[[#This Row],[Uafhængig variabel ID]]),INDEX(DataTitel_liste,IF(LineærRegression_Valg[[#This Row],[Afhængig variabel ID]]=1,2,1))),$B$7)</f>
        <v>Eksempel 2 (interval)</v>
      </c>
      <c r="H882" s="188">
        <f>_xlfn.AGGREGATE(2,5,LineærRegression_Valg[[#This Row],[Tabel ID]])</f>
        <v>1</v>
      </c>
    </row>
    <row r="883" spans="1:8" x14ac:dyDescent="0.2">
      <c r="A883">
        <f>ROW(LineærRegression_Valg[[#This Row],[Tabel ID]])-ROW(LineærRegression_Valg[[#Headers],[Tabel ID]])</f>
        <v>873</v>
      </c>
      <c r="B883" s="188">
        <f>ROUNDDOWN((LineærRegression_Valg[[#This Row],[Tabel ID]]-1)/$B$5,0)+1</f>
        <v>219</v>
      </c>
      <c r="C883" s="188">
        <f t="shared" si="13"/>
        <v>1</v>
      </c>
      <c r="D883" s="188" t="b">
        <f>LineærRegression_Valg[[#This Row],[Afhængig variabel ID]]&lt;&gt;LineærRegression_Valg[[#This Row],[Uafhængig variabel ID]]</f>
        <v>1</v>
      </c>
      <c r="E883" t="b">
        <f>LineærRegression_Valg[[#This Row],[Afhængig variabel ID]]&lt;=$B$5</f>
        <v>0</v>
      </c>
      <c r="F883" t="str" cm="1">
        <f t="array" ref="F883">IF(LineærRegression_Valg[[#This Row],[Indenfor range]],INDEX(DataTitel_liste,LineærRegression_Valg[[#This Row],[Afhængig variabel ID]]),INDEX(DataTitel_liste,1))</f>
        <v>Eksempel 1 (interval)</v>
      </c>
      <c r="G883" s="188" t="str" cm="1">
        <f t="array" ref="G883">IF(LineærRegression_Valg[[#This Row],[Indenfor range]],IF(LineærRegression_Valg[[#This Row],[Intet overlap]],INDEX(DataTitel_liste,LineærRegression_Valg[[#This Row],[Uafhængig variabel ID]]),INDEX(DataTitel_liste,IF(LineærRegression_Valg[[#This Row],[Afhængig variabel ID]]=1,2,1))),$B$7)</f>
        <v>Eksempel 2 (interval)</v>
      </c>
      <c r="H883" s="188">
        <f>_xlfn.AGGREGATE(2,5,LineærRegression_Valg[[#This Row],[Tabel ID]])</f>
        <v>1</v>
      </c>
    </row>
    <row r="884" spans="1:8" x14ac:dyDescent="0.2">
      <c r="A884">
        <f>ROW(LineærRegression_Valg[[#This Row],[Tabel ID]])-ROW(LineærRegression_Valg[[#Headers],[Tabel ID]])</f>
        <v>874</v>
      </c>
      <c r="B884" s="188">
        <f>ROUNDDOWN((LineærRegression_Valg[[#This Row],[Tabel ID]]-1)/$B$5,0)+1</f>
        <v>219</v>
      </c>
      <c r="C884" s="188">
        <f t="shared" si="13"/>
        <v>2</v>
      </c>
      <c r="D884" s="188" t="b">
        <f>LineærRegression_Valg[[#This Row],[Afhængig variabel ID]]&lt;&gt;LineærRegression_Valg[[#This Row],[Uafhængig variabel ID]]</f>
        <v>1</v>
      </c>
      <c r="E884" t="b">
        <f>LineærRegression_Valg[[#This Row],[Afhængig variabel ID]]&lt;=$B$5</f>
        <v>0</v>
      </c>
      <c r="F884" t="str" cm="1">
        <f t="array" ref="F884">IF(LineærRegression_Valg[[#This Row],[Indenfor range]],INDEX(DataTitel_liste,LineærRegression_Valg[[#This Row],[Afhængig variabel ID]]),INDEX(DataTitel_liste,1))</f>
        <v>Eksempel 1 (interval)</v>
      </c>
      <c r="G884" s="188" t="str" cm="1">
        <f t="array" ref="G884">IF(LineærRegression_Valg[[#This Row],[Indenfor range]],IF(LineærRegression_Valg[[#This Row],[Intet overlap]],INDEX(DataTitel_liste,LineærRegression_Valg[[#This Row],[Uafhængig variabel ID]]),INDEX(DataTitel_liste,IF(LineærRegression_Valg[[#This Row],[Afhængig variabel ID]]=1,2,1))),$B$7)</f>
        <v>Eksempel 2 (interval)</v>
      </c>
      <c r="H884" s="188">
        <f>_xlfn.AGGREGATE(2,5,LineærRegression_Valg[[#This Row],[Tabel ID]])</f>
        <v>1</v>
      </c>
    </row>
    <row r="885" spans="1:8" x14ac:dyDescent="0.2">
      <c r="A885">
        <f>ROW(LineærRegression_Valg[[#This Row],[Tabel ID]])-ROW(LineærRegression_Valg[[#Headers],[Tabel ID]])</f>
        <v>875</v>
      </c>
      <c r="B885" s="188">
        <f>ROUNDDOWN((LineærRegression_Valg[[#This Row],[Tabel ID]]-1)/$B$5,0)+1</f>
        <v>219</v>
      </c>
      <c r="C885" s="188">
        <f t="shared" si="13"/>
        <v>3</v>
      </c>
      <c r="D885" s="188" t="b">
        <f>LineærRegression_Valg[[#This Row],[Afhængig variabel ID]]&lt;&gt;LineærRegression_Valg[[#This Row],[Uafhængig variabel ID]]</f>
        <v>1</v>
      </c>
      <c r="E885" t="b">
        <f>LineærRegression_Valg[[#This Row],[Afhængig variabel ID]]&lt;=$B$5</f>
        <v>0</v>
      </c>
      <c r="F885" t="str" cm="1">
        <f t="array" ref="F885">IF(LineærRegression_Valg[[#This Row],[Indenfor range]],INDEX(DataTitel_liste,LineærRegression_Valg[[#This Row],[Afhængig variabel ID]]),INDEX(DataTitel_liste,1))</f>
        <v>Eksempel 1 (interval)</v>
      </c>
      <c r="G885" s="188" t="str" cm="1">
        <f t="array" ref="G885">IF(LineærRegression_Valg[[#This Row],[Indenfor range]],IF(LineærRegression_Valg[[#This Row],[Intet overlap]],INDEX(DataTitel_liste,LineærRegression_Valg[[#This Row],[Uafhængig variabel ID]]),INDEX(DataTitel_liste,IF(LineærRegression_Valg[[#This Row],[Afhængig variabel ID]]=1,2,1))),$B$7)</f>
        <v>Eksempel 2 (interval)</v>
      </c>
      <c r="H885" s="188">
        <f>_xlfn.AGGREGATE(2,5,LineærRegression_Valg[[#This Row],[Tabel ID]])</f>
        <v>1</v>
      </c>
    </row>
    <row r="886" spans="1:8" x14ac:dyDescent="0.2">
      <c r="A886">
        <f>ROW(LineærRegression_Valg[[#This Row],[Tabel ID]])-ROW(LineærRegression_Valg[[#Headers],[Tabel ID]])</f>
        <v>876</v>
      </c>
      <c r="B886" s="188">
        <f>ROUNDDOWN((LineærRegression_Valg[[#This Row],[Tabel ID]]-1)/$B$5,0)+1</f>
        <v>219</v>
      </c>
      <c r="C886" s="188">
        <f t="shared" si="13"/>
        <v>4</v>
      </c>
      <c r="D886" s="188" t="b">
        <f>LineærRegression_Valg[[#This Row],[Afhængig variabel ID]]&lt;&gt;LineærRegression_Valg[[#This Row],[Uafhængig variabel ID]]</f>
        <v>1</v>
      </c>
      <c r="E886" t="b">
        <f>LineærRegression_Valg[[#This Row],[Afhængig variabel ID]]&lt;=$B$5</f>
        <v>0</v>
      </c>
      <c r="F886" t="str" cm="1">
        <f t="array" ref="F886">IF(LineærRegression_Valg[[#This Row],[Indenfor range]],INDEX(DataTitel_liste,LineærRegression_Valg[[#This Row],[Afhængig variabel ID]]),INDEX(DataTitel_liste,1))</f>
        <v>Eksempel 1 (interval)</v>
      </c>
      <c r="G886" s="188" t="str" cm="1">
        <f t="array" ref="G886">IF(LineærRegression_Valg[[#This Row],[Indenfor range]],IF(LineærRegression_Valg[[#This Row],[Intet overlap]],INDEX(DataTitel_liste,LineærRegression_Valg[[#This Row],[Uafhængig variabel ID]]),INDEX(DataTitel_liste,IF(LineærRegression_Valg[[#This Row],[Afhængig variabel ID]]=1,2,1))),$B$7)</f>
        <v>Eksempel 2 (interval)</v>
      </c>
      <c r="H886" s="188">
        <f>_xlfn.AGGREGATE(2,5,LineærRegression_Valg[[#This Row],[Tabel ID]])</f>
        <v>1</v>
      </c>
    </row>
    <row r="887" spans="1:8" x14ac:dyDescent="0.2">
      <c r="A887">
        <f>ROW(LineærRegression_Valg[[#This Row],[Tabel ID]])-ROW(LineærRegression_Valg[[#Headers],[Tabel ID]])</f>
        <v>877</v>
      </c>
      <c r="B887" s="188">
        <f>ROUNDDOWN((LineærRegression_Valg[[#This Row],[Tabel ID]]-1)/$B$5,0)+1</f>
        <v>220</v>
      </c>
      <c r="C887" s="188">
        <f t="shared" si="13"/>
        <v>1</v>
      </c>
      <c r="D887" s="188" t="b">
        <f>LineærRegression_Valg[[#This Row],[Afhængig variabel ID]]&lt;&gt;LineærRegression_Valg[[#This Row],[Uafhængig variabel ID]]</f>
        <v>1</v>
      </c>
      <c r="E887" t="b">
        <f>LineærRegression_Valg[[#This Row],[Afhængig variabel ID]]&lt;=$B$5</f>
        <v>0</v>
      </c>
      <c r="F887" t="str" cm="1">
        <f t="array" ref="F887">IF(LineærRegression_Valg[[#This Row],[Indenfor range]],INDEX(DataTitel_liste,LineærRegression_Valg[[#This Row],[Afhængig variabel ID]]),INDEX(DataTitel_liste,1))</f>
        <v>Eksempel 1 (interval)</v>
      </c>
      <c r="G887" s="188" t="str" cm="1">
        <f t="array" ref="G887">IF(LineærRegression_Valg[[#This Row],[Indenfor range]],IF(LineærRegression_Valg[[#This Row],[Intet overlap]],INDEX(DataTitel_liste,LineærRegression_Valg[[#This Row],[Uafhængig variabel ID]]),INDEX(DataTitel_liste,IF(LineærRegression_Valg[[#This Row],[Afhængig variabel ID]]=1,2,1))),$B$7)</f>
        <v>Eksempel 2 (interval)</v>
      </c>
      <c r="H887" s="188">
        <f>_xlfn.AGGREGATE(2,5,LineærRegression_Valg[[#This Row],[Tabel ID]])</f>
        <v>1</v>
      </c>
    </row>
    <row r="888" spans="1:8" x14ac:dyDescent="0.2">
      <c r="A888">
        <f>ROW(LineærRegression_Valg[[#This Row],[Tabel ID]])-ROW(LineærRegression_Valg[[#Headers],[Tabel ID]])</f>
        <v>878</v>
      </c>
      <c r="B888" s="188">
        <f>ROUNDDOWN((LineærRegression_Valg[[#This Row],[Tabel ID]]-1)/$B$5,0)+1</f>
        <v>220</v>
      </c>
      <c r="C888" s="188">
        <f t="shared" si="13"/>
        <v>2</v>
      </c>
      <c r="D888" s="188" t="b">
        <f>LineærRegression_Valg[[#This Row],[Afhængig variabel ID]]&lt;&gt;LineærRegression_Valg[[#This Row],[Uafhængig variabel ID]]</f>
        <v>1</v>
      </c>
      <c r="E888" t="b">
        <f>LineærRegression_Valg[[#This Row],[Afhængig variabel ID]]&lt;=$B$5</f>
        <v>0</v>
      </c>
      <c r="F888" t="str" cm="1">
        <f t="array" ref="F888">IF(LineærRegression_Valg[[#This Row],[Indenfor range]],INDEX(DataTitel_liste,LineærRegression_Valg[[#This Row],[Afhængig variabel ID]]),INDEX(DataTitel_liste,1))</f>
        <v>Eksempel 1 (interval)</v>
      </c>
      <c r="G888" s="188" t="str" cm="1">
        <f t="array" ref="G888">IF(LineærRegression_Valg[[#This Row],[Indenfor range]],IF(LineærRegression_Valg[[#This Row],[Intet overlap]],INDEX(DataTitel_liste,LineærRegression_Valg[[#This Row],[Uafhængig variabel ID]]),INDEX(DataTitel_liste,IF(LineærRegression_Valg[[#This Row],[Afhængig variabel ID]]=1,2,1))),$B$7)</f>
        <v>Eksempel 2 (interval)</v>
      </c>
      <c r="H888" s="188">
        <f>_xlfn.AGGREGATE(2,5,LineærRegression_Valg[[#This Row],[Tabel ID]])</f>
        <v>1</v>
      </c>
    </row>
    <row r="889" spans="1:8" x14ac:dyDescent="0.2">
      <c r="A889">
        <f>ROW(LineærRegression_Valg[[#This Row],[Tabel ID]])-ROW(LineærRegression_Valg[[#Headers],[Tabel ID]])</f>
        <v>879</v>
      </c>
      <c r="B889" s="188">
        <f>ROUNDDOWN((LineærRegression_Valg[[#This Row],[Tabel ID]]-1)/$B$5,0)+1</f>
        <v>220</v>
      </c>
      <c r="C889" s="188">
        <f t="shared" si="13"/>
        <v>3</v>
      </c>
      <c r="D889" s="188" t="b">
        <f>LineærRegression_Valg[[#This Row],[Afhængig variabel ID]]&lt;&gt;LineærRegression_Valg[[#This Row],[Uafhængig variabel ID]]</f>
        <v>1</v>
      </c>
      <c r="E889" t="b">
        <f>LineærRegression_Valg[[#This Row],[Afhængig variabel ID]]&lt;=$B$5</f>
        <v>0</v>
      </c>
      <c r="F889" t="str" cm="1">
        <f t="array" ref="F889">IF(LineærRegression_Valg[[#This Row],[Indenfor range]],INDEX(DataTitel_liste,LineærRegression_Valg[[#This Row],[Afhængig variabel ID]]),INDEX(DataTitel_liste,1))</f>
        <v>Eksempel 1 (interval)</v>
      </c>
      <c r="G889" s="188" t="str" cm="1">
        <f t="array" ref="G889">IF(LineærRegression_Valg[[#This Row],[Indenfor range]],IF(LineærRegression_Valg[[#This Row],[Intet overlap]],INDEX(DataTitel_liste,LineærRegression_Valg[[#This Row],[Uafhængig variabel ID]]),INDEX(DataTitel_liste,IF(LineærRegression_Valg[[#This Row],[Afhængig variabel ID]]=1,2,1))),$B$7)</f>
        <v>Eksempel 2 (interval)</v>
      </c>
      <c r="H889" s="188">
        <f>_xlfn.AGGREGATE(2,5,LineærRegression_Valg[[#This Row],[Tabel ID]])</f>
        <v>1</v>
      </c>
    </row>
    <row r="890" spans="1:8" x14ac:dyDescent="0.2">
      <c r="A890">
        <f>ROW(LineærRegression_Valg[[#This Row],[Tabel ID]])-ROW(LineærRegression_Valg[[#Headers],[Tabel ID]])</f>
        <v>880</v>
      </c>
      <c r="B890" s="188">
        <f>ROUNDDOWN((LineærRegression_Valg[[#This Row],[Tabel ID]]-1)/$B$5,0)+1</f>
        <v>220</v>
      </c>
      <c r="C890" s="188">
        <f t="shared" si="13"/>
        <v>4</v>
      </c>
      <c r="D890" s="188" t="b">
        <f>LineærRegression_Valg[[#This Row],[Afhængig variabel ID]]&lt;&gt;LineærRegression_Valg[[#This Row],[Uafhængig variabel ID]]</f>
        <v>1</v>
      </c>
      <c r="E890" t="b">
        <f>LineærRegression_Valg[[#This Row],[Afhængig variabel ID]]&lt;=$B$5</f>
        <v>0</v>
      </c>
      <c r="F890" t="str" cm="1">
        <f t="array" ref="F890">IF(LineærRegression_Valg[[#This Row],[Indenfor range]],INDEX(DataTitel_liste,LineærRegression_Valg[[#This Row],[Afhængig variabel ID]]),INDEX(DataTitel_liste,1))</f>
        <v>Eksempel 1 (interval)</v>
      </c>
      <c r="G890" s="188" t="str" cm="1">
        <f t="array" ref="G890">IF(LineærRegression_Valg[[#This Row],[Indenfor range]],IF(LineærRegression_Valg[[#This Row],[Intet overlap]],INDEX(DataTitel_liste,LineærRegression_Valg[[#This Row],[Uafhængig variabel ID]]),INDEX(DataTitel_liste,IF(LineærRegression_Valg[[#This Row],[Afhængig variabel ID]]=1,2,1))),$B$7)</f>
        <v>Eksempel 2 (interval)</v>
      </c>
      <c r="H890" s="188">
        <f>_xlfn.AGGREGATE(2,5,LineærRegression_Valg[[#This Row],[Tabel ID]])</f>
        <v>1</v>
      </c>
    </row>
    <row r="891" spans="1:8" x14ac:dyDescent="0.2">
      <c r="A891">
        <f>ROW(LineærRegression_Valg[[#This Row],[Tabel ID]])-ROW(LineærRegression_Valg[[#Headers],[Tabel ID]])</f>
        <v>881</v>
      </c>
      <c r="B891" s="188">
        <f>ROUNDDOWN((LineærRegression_Valg[[#This Row],[Tabel ID]]-1)/$B$5,0)+1</f>
        <v>221</v>
      </c>
      <c r="C891" s="188">
        <f t="shared" si="13"/>
        <v>1</v>
      </c>
      <c r="D891" s="188" t="b">
        <f>LineærRegression_Valg[[#This Row],[Afhængig variabel ID]]&lt;&gt;LineærRegression_Valg[[#This Row],[Uafhængig variabel ID]]</f>
        <v>1</v>
      </c>
      <c r="E891" t="b">
        <f>LineærRegression_Valg[[#This Row],[Afhængig variabel ID]]&lt;=$B$5</f>
        <v>0</v>
      </c>
      <c r="F891" t="str" cm="1">
        <f t="array" ref="F891">IF(LineærRegression_Valg[[#This Row],[Indenfor range]],INDEX(DataTitel_liste,LineærRegression_Valg[[#This Row],[Afhængig variabel ID]]),INDEX(DataTitel_liste,1))</f>
        <v>Eksempel 1 (interval)</v>
      </c>
      <c r="G891" s="188" t="str" cm="1">
        <f t="array" ref="G891">IF(LineærRegression_Valg[[#This Row],[Indenfor range]],IF(LineærRegression_Valg[[#This Row],[Intet overlap]],INDEX(DataTitel_liste,LineærRegression_Valg[[#This Row],[Uafhængig variabel ID]]),INDEX(DataTitel_liste,IF(LineærRegression_Valg[[#This Row],[Afhængig variabel ID]]=1,2,1))),$B$7)</f>
        <v>Eksempel 2 (interval)</v>
      </c>
      <c r="H891" s="188">
        <f>_xlfn.AGGREGATE(2,5,LineærRegression_Valg[[#This Row],[Tabel ID]])</f>
        <v>1</v>
      </c>
    </row>
    <row r="892" spans="1:8" x14ac:dyDescent="0.2">
      <c r="A892">
        <f>ROW(LineærRegression_Valg[[#This Row],[Tabel ID]])-ROW(LineærRegression_Valg[[#Headers],[Tabel ID]])</f>
        <v>882</v>
      </c>
      <c r="B892" s="188">
        <f>ROUNDDOWN((LineærRegression_Valg[[#This Row],[Tabel ID]]-1)/$B$5,0)+1</f>
        <v>221</v>
      </c>
      <c r="C892" s="188">
        <f t="shared" si="13"/>
        <v>2</v>
      </c>
      <c r="D892" s="188" t="b">
        <f>LineærRegression_Valg[[#This Row],[Afhængig variabel ID]]&lt;&gt;LineærRegression_Valg[[#This Row],[Uafhængig variabel ID]]</f>
        <v>1</v>
      </c>
      <c r="E892" t="b">
        <f>LineærRegression_Valg[[#This Row],[Afhængig variabel ID]]&lt;=$B$5</f>
        <v>0</v>
      </c>
      <c r="F892" t="str" cm="1">
        <f t="array" ref="F892">IF(LineærRegression_Valg[[#This Row],[Indenfor range]],INDEX(DataTitel_liste,LineærRegression_Valg[[#This Row],[Afhængig variabel ID]]),INDEX(DataTitel_liste,1))</f>
        <v>Eksempel 1 (interval)</v>
      </c>
      <c r="G892" s="188" t="str" cm="1">
        <f t="array" ref="G892">IF(LineærRegression_Valg[[#This Row],[Indenfor range]],IF(LineærRegression_Valg[[#This Row],[Intet overlap]],INDEX(DataTitel_liste,LineærRegression_Valg[[#This Row],[Uafhængig variabel ID]]),INDEX(DataTitel_liste,IF(LineærRegression_Valg[[#This Row],[Afhængig variabel ID]]=1,2,1))),$B$7)</f>
        <v>Eksempel 2 (interval)</v>
      </c>
      <c r="H892" s="188">
        <f>_xlfn.AGGREGATE(2,5,LineærRegression_Valg[[#This Row],[Tabel ID]])</f>
        <v>1</v>
      </c>
    </row>
    <row r="893" spans="1:8" x14ac:dyDescent="0.2">
      <c r="A893">
        <f>ROW(LineærRegression_Valg[[#This Row],[Tabel ID]])-ROW(LineærRegression_Valg[[#Headers],[Tabel ID]])</f>
        <v>883</v>
      </c>
      <c r="B893" s="188">
        <f>ROUNDDOWN((LineærRegression_Valg[[#This Row],[Tabel ID]]-1)/$B$5,0)+1</f>
        <v>221</v>
      </c>
      <c r="C893" s="188">
        <f t="shared" si="13"/>
        <v>3</v>
      </c>
      <c r="D893" s="188" t="b">
        <f>LineærRegression_Valg[[#This Row],[Afhængig variabel ID]]&lt;&gt;LineærRegression_Valg[[#This Row],[Uafhængig variabel ID]]</f>
        <v>1</v>
      </c>
      <c r="E893" t="b">
        <f>LineærRegression_Valg[[#This Row],[Afhængig variabel ID]]&lt;=$B$5</f>
        <v>0</v>
      </c>
      <c r="F893" t="str" cm="1">
        <f t="array" ref="F893">IF(LineærRegression_Valg[[#This Row],[Indenfor range]],INDEX(DataTitel_liste,LineærRegression_Valg[[#This Row],[Afhængig variabel ID]]),INDEX(DataTitel_liste,1))</f>
        <v>Eksempel 1 (interval)</v>
      </c>
      <c r="G893" s="188" t="str" cm="1">
        <f t="array" ref="G893">IF(LineærRegression_Valg[[#This Row],[Indenfor range]],IF(LineærRegression_Valg[[#This Row],[Intet overlap]],INDEX(DataTitel_liste,LineærRegression_Valg[[#This Row],[Uafhængig variabel ID]]),INDEX(DataTitel_liste,IF(LineærRegression_Valg[[#This Row],[Afhængig variabel ID]]=1,2,1))),$B$7)</f>
        <v>Eksempel 2 (interval)</v>
      </c>
      <c r="H893" s="188">
        <f>_xlfn.AGGREGATE(2,5,LineærRegression_Valg[[#This Row],[Tabel ID]])</f>
        <v>1</v>
      </c>
    </row>
    <row r="894" spans="1:8" x14ac:dyDescent="0.2">
      <c r="A894">
        <f>ROW(LineærRegression_Valg[[#This Row],[Tabel ID]])-ROW(LineærRegression_Valg[[#Headers],[Tabel ID]])</f>
        <v>884</v>
      </c>
      <c r="B894" s="188">
        <f>ROUNDDOWN((LineærRegression_Valg[[#This Row],[Tabel ID]]-1)/$B$5,0)+1</f>
        <v>221</v>
      </c>
      <c r="C894" s="188">
        <f t="shared" si="13"/>
        <v>4</v>
      </c>
      <c r="D894" s="188" t="b">
        <f>LineærRegression_Valg[[#This Row],[Afhængig variabel ID]]&lt;&gt;LineærRegression_Valg[[#This Row],[Uafhængig variabel ID]]</f>
        <v>1</v>
      </c>
      <c r="E894" t="b">
        <f>LineærRegression_Valg[[#This Row],[Afhængig variabel ID]]&lt;=$B$5</f>
        <v>0</v>
      </c>
      <c r="F894" t="str" cm="1">
        <f t="array" ref="F894">IF(LineærRegression_Valg[[#This Row],[Indenfor range]],INDEX(DataTitel_liste,LineærRegression_Valg[[#This Row],[Afhængig variabel ID]]),INDEX(DataTitel_liste,1))</f>
        <v>Eksempel 1 (interval)</v>
      </c>
      <c r="G894" s="188" t="str" cm="1">
        <f t="array" ref="G894">IF(LineærRegression_Valg[[#This Row],[Indenfor range]],IF(LineærRegression_Valg[[#This Row],[Intet overlap]],INDEX(DataTitel_liste,LineærRegression_Valg[[#This Row],[Uafhængig variabel ID]]),INDEX(DataTitel_liste,IF(LineærRegression_Valg[[#This Row],[Afhængig variabel ID]]=1,2,1))),$B$7)</f>
        <v>Eksempel 2 (interval)</v>
      </c>
      <c r="H894" s="188">
        <f>_xlfn.AGGREGATE(2,5,LineærRegression_Valg[[#This Row],[Tabel ID]])</f>
        <v>1</v>
      </c>
    </row>
    <row r="895" spans="1:8" x14ac:dyDescent="0.2">
      <c r="A895">
        <f>ROW(LineærRegression_Valg[[#This Row],[Tabel ID]])-ROW(LineærRegression_Valg[[#Headers],[Tabel ID]])</f>
        <v>885</v>
      </c>
      <c r="B895" s="188">
        <f>ROUNDDOWN((LineærRegression_Valg[[#This Row],[Tabel ID]]-1)/$B$5,0)+1</f>
        <v>222</v>
      </c>
      <c r="C895" s="188">
        <f t="shared" si="13"/>
        <v>1</v>
      </c>
      <c r="D895" s="188" t="b">
        <f>LineærRegression_Valg[[#This Row],[Afhængig variabel ID]]&lt;&gt;LineærRegression_Valg[[#This Row],[Uafhængig variabel ID]]</f>
        <v>1</v>
      </c>
      <c r="E895" t="b">
        <f>LineærRegression_Valg[[#This Row],[Afhængig variabel ID]]&lt;=$B$5</f>
        <v>0</v>
      </c>
      <c r="F895" t="str" cm="1">
        <f t="array" ref="F895">IF(LineærRegression_Valg[[#This Row],[Indenfor range]],INDEX(DataTitel_liste,LineærRegression_Valg[[#This Row],[Afhængig variabel ID]]),INDEX(DataTitel_liste,1))</f>
        <v>Eksempel 1 (interval)</v>
      </c>
      <c r="G895" s="188" t="str" cm="1">
        <f t="array" ref="G895">IF(LineærRegression_Valg[[#This Row],[Indenfor range]],IF(LineærRegression_Valg[[#This Row],[Intet overlap]],INDEX(DataTitel_liste,LineærRegression_Valg[[#This Row],[Uafhængig variabel ID]]),INDEX(DataTitel_liste,IF(LineærRegression_Valg[[#This Row],[Afhængig variabel ID]]=1,2,1))),$B$7)</f>
        <v>Eksempel 2 (interval)</v>
      </c>
      <c r="H895" s="188">
        <f>_xlfn.AGGREGATE(2,5,LineærRegression_Valg[[#This Row],[Tabel ID]])</f>
        <v>1</v>
      </c>
    </row>
    <row r="896" spans="1:8" x14ac:dyDescent="0.2">
      <c r="A896">
        <f>ROW(LineærRegression_Valg[[#This Row],[Tabel ID]])-ROW(LineærRegression_Valg[[#Headers],[Tabel ID]])</f>
        <v>886</v>
      </c>
      <c r="B896" s="188">
        <f>ROUNDDOWN((LineærRegression_Valg[[#This Row],[Tabel ID]]-1)/$B$5,0)+1</f>
        <v>222</v>
      </c>
      <c r="C896" s="188">
        <f t="shared" si="13"/>
        <v>2</v>
      </c>
      <c r="D896" s="188" t="b">
        <f>LineærRegression_Valg[[#This Row],[Afhængig variabel ID]]&lt;&gt;LineærRegression_Valg[[#This Row],[Uafhængig variabel ID]]</f>
        <v>1</v>
      </c>
      <c r="E896" t="b">
        <f>LineærRegression_Valg[[#This Row],[Afhængig variabel ID]]&lt;=$B$5</f>
        <v>0</v>
      </c>
      <c r="F896" t="str" cm="1">
        <f t="array" ref="F896">IF(LineærRegression_Valg[[#This Row],[Indenfor range]],INDEX(DataTitel_liste,LineærRegression_Valg[[#This Row],[Afhængig variabel ID]]),INDEX(DataTitel_liste,1))</f>
        <v>Eksempel 1 (interval)</v>
      </c>
      <c r="G896" s="188" t="str" cm="1">
        <f t="array" ref="G896">IF(LineærRegression_Valg[[#This Row],[Indenfor range]],IF(LineærRegression_Valg[[#This Row],[Intet overlap]],INDEX(DataTitel_liste,LineærRegression_Valg[[#This Row],[Uafhængig variabel ID]]),INDEX(DataTitel_liste,IF(LineærRegression_Valg[[#This Row],[Afhængig variabel ID]]=1,2,1))),$B$7)</f>
        <v>Eksempel 2 (interval)</v>
      </c>
      <c r="H896" s="188">
        <f>_xlfn.AGGREGATE(2,5,LineærRegression_Valg[[#This Row],[Tabel ID]])</f>
        <v>1</v>
      </c>
    </row>
    <row r="897" spans="1:8" x14ac:dyDescent="0.2">
      <c r="A897">
        <f>ROW(LineærRegression_Valg[[#This Row],[Tabel ID]])-ROW(LineærRegression_Valg[[#Headers],[Tabel ID]])</f>
        <v>887</v>
      </c>
      <c r="B897" s="188">
        <f>ROUNDDOWN((LineærRegression_Valg[[#This Row],[Tabel ID]]-1)/$B$5,0)+1</f>
        <v>222</v>
      </c>
      <c r="C897" s="188">
        <f t="shared" si="13"/>
        <v>3</v>
      </c>
      <c r="D897" s="188" t="b">
        <f>LineærRegression_Valg[[#This Row],[Afhængig variabel ID]]&lt;&gt;LineærRegression_Valg[[#This Row],[Uafhængig variabel ID]]</f>
        <v>1</v>
      </c>
      <c r="E897" t="b">
        <f>LineærRegression_Valg[[#This Row],[Afhængig variabel ID]]&lt;=$B$5</f>
        <v>0</v>
      </c>
      <c r="F897" t="str" cm="1">
        <f t="array" ref="F897">IF(LineærRegression_Valg[[#This Row],[Indenfor range]],INDEX(DataTitel_liste,LineærRegression_Valg[[#This Row],[Afhængig variabel ID]]),INDEX(DataTitel_liste,1))</f>
        <v>Eksempel 1 (interval)</v>
      </c>
      <c r="G897" s="188" t="str" cm="1">
        <f t="array" ref="G897">IF(LineærRegression_Valg[[#This Row],[Indenfor range]],IF(LineærRegression_Valg[[#This Row],[Intet overlap]],INDEX(DataTitel_liste,LineærRegression_Valg[[#This Row],[Uafhængig variabel ID]]),INDEX(DataTitel_liste,IF(LineærRegression_Valg[[#This Row],[Afhængig variabel ID]]=1,2,1))),$B$7)</f>
        <v>Eksempel 2 (interval)</v>
      </c>
      <c r="H897" s="188">
        <f>_xlfn.AGGREGATE(2,5,LineærRegression_Valg[[#This Row],[Tabel ID]])</f>
        <v>1</v>
      </c>
    </row>
    <row r="898" spans="1:8" x14ac:dyDescent="0.2">
      <c r="A898">
        <f>ROW(LineærRegression_Valg[[#This Row],[Tabel ID]])-ROW(LineærRegression_Valg[[#Headers],[Tabel ID]])</f>
        <v>888</v>
      </c>
      <c r="B898" s="188">
        <f>ROUNDDOWN((LineærRegression_Valg[[#This Row],[Tabel ID]]-1)/$B$5,0)+1</f>
        <v>222</v>
      </c>
      <c r="C898" s="188">
        <f t="shared" si="13"/>
        <v>4</v>
      </c>
      <c r="D898" s="188" t="b">
        <f>LineærRegression_Valg[[#This Row],[Afhængig variabel ID]]&lt;&gt;LineærRegression_Valg[[#This Row],[Uafhængig variabel ID]]</f>
        <v>1</v>
      </c>
      <c r="E898" t="b">
        <f>LineærRegression_Valg[[#This Row],[Afhængig variabel ID]]&lt;=$B$5</f>
        <v>0</v>
      </c>
      <c r="F898" t="str" cm="1">
        <f t="array" ref="F898">IF(LineærRegression_Valg[[#This Row],[Indenfor range]],INDEX(DataTitel_liste,LineærRegression_Valg[[#This Row],[Afhængig variabel ID]]),INDEX(DataTitel_liste,1))</f>
        <v>Eksempel 1 (interval)</v>
      </c>
      <c r="G898" s="188" t="str" cm="1">
        <f t="array" ref="G898">IF(LineærRegression_Valg[[#This Row],[Indenfor range]],IF(LineærRegression_Valg[[#This Row],[Intet overlap]],INDEX(DataTitel_liste,LineærRegression_Valg[[#This Row],[Uafhængig variabel ID]]),INDEX(DataTitel_liste,IF(LineærRegression_Valg[[#This Row],[Afhængig variabel ID]]=1,2,1))),$B$7)</f>
        <v>Eksempel 2 (interval)</v>
      </c>
      <c r="H898" s="188">
        <f>_xlfn.AGGREGATE(2,5,LineærRegression_Valg[[#This Row],[Tabel ID]])</f>
        <v>1</v>
      </c>
    </row>
    <row r="899" spans="1:8" x14ac:dyDescent="0.2">
      <c r="A899">
        <f>ROW(LineærRegression_Valg[[#This Row],[Tabel ID]])-ROW(LineærRegression_Valg[[#Headers],[Tabel ID]])</f>
        <v>889</v>
      </c>
      <c r="B899" s="188">
        <f>ROUNDDOWN((LineærRegression_Valg[[#This Row],[Tabel ID]]-1)/$B$5,0)+1</f>
        <v>223</v>
      </c>
      <c r="C899" s="188">
        <f t="shared" si="13"/>
        <v>1</v>
      </c>
      <c r="D899" s="188" t="b">
        <f>LineærRegression_Valg[[#This Row],[Afhængig variabel ID]]&lt;&gt;LineærRegression_Valg[[#This Row],[Uafhængig variabel ID]]</f>
        <v>1</v>
      </c>
      <c r="E899" t="b">
        <f>LineærRegression_Valg[[#This Row],[Afhængig variabel ID]]&lt;=$B$5</f>
        <v>0</v>
      </c>
      <c r="F899" t="str" cm="1">
        <f t="array" ref="F899">IF(LineærRegression_Valg[[#This Row],[Indenfor range]],INDEX(DataTitel_liste,LineærRegression_Valg[[#This Row],[Afhængig variabel ID]]),INDEX(DataTitel_liste,1))</f>
        <v>Eksempel 1 (interval)</v>
      </c>
      <c r="G899" s="188" t="str" cm="1">
        <f t="array" ref="G899">IF(LineærRegression_Valg[[#This Row],[Indenfor range]],IF(LineærRegression_Valg[[#This Row],[Intet overlap]],INDEX(DataTitel_liste,LineærRegression_Valg[[#This Row],[Uafhængig variabel ID]]),INDEX(DataTitel_liste,IF(LineærRegression_Valg[[#This Row],[Afhængig variabel ID]]=1,2,1))),$B$7)</f>
        <v>Eksempel 2 (interval)</v>
      </c>
      <c r="H899" s="188">
        <f>_xlfn.AGGREGATE(2,5,LineærRegression_Valg[[#This Row],[Tabel ID]])</f>
        <v>1</v>
      </c>
    </row>
    <row r="900" spans="1:8" x14ac:dyDescent="0.2">
      <c r="A900">
        <f>ROW(LineærRegression_Valg[[#This Row],[Tabel ID]])-ROW(LineærRegression_Valg[[#Headers],[Tabel ID]])</f>
        <v>890</v>
      </c>
      <c r="B900" s="188">
        <f>ROUNDDOWN((LineærRegression_Valg[[#This Row],[Tabel ID]]-1)/$B$5,0)+1</f>
        <v>223</v>
      </c>
      <c r="C900" s="188">
        <f t="shared" si="13"/>
        <v>2</v>
      </c>
      <c r="D900" s="188" t="b">
        <f>LineærRegression_Valg[[#This Row],[Afhængig variabel ID]]&lt;&gt;LineærRegression_Valg[[#This Row],[Uafhængig variabel ID]]</f>
        <v>1</v>
      </c>
      <c r="E900" t="b">
        <f>LineærRegression_Valg[[#This Row],[Afhængig variabel ID]]&lt;=$B$5</f>
        <v>0</v>
      </c>
      <c r="F900" t="str" cm="1">
        <f t="array" ref="F900">IF(LineærRegression_Valg[[#This Row],[Indenfor range]],INDEX(DataTitel_liste,LineærRegression_Valg[[#This Row],[Afhængig variabel ID]]),INDEX(DataTitel_liste,1))</f>
        <v>Eksempel 1 (interval)</v>
      </c>
      <c r="G900" s="188" t="str" cm="1">
        <f t="array" ref="G900">IF(LineærRegression_Valg[[#This Row],[Indenfor range]],IF(LineærRegression_Valg[[#This Row],[Intet overlap]],INDEX(DataTitel_liste,LineærRegression_Valg[[#This Row],[Uafhængig variabel ID]]),INDEX(DataTitel_liste,IF(LineærRegression_Valg[[#This Row],[Afhængig variabel ID]]=1,2,1))),$B$7)</f>
        <v>Eksempel 2 (interval)</v>
      </c>
      <c r="H900" s="188">
        <f>_xlfn.AGGREGATE(2,5,LineærRegression_Valg[[#This Row],[Tabel ID]])</f>
        <v>1</v>
      </c>
    </row>
    <row r="901" spans="1:8" x14ac:dyDescent="0.2">
      <c r="A901">
        <f>ROW(LineærRegression_Valg[[#This Row],[Tabel ID]])-ROW(LineærRegression_Valg[[#Headers],[Tabel ID]])</f>
        <v>891</v>
      </c>
      <c r="B901" s="188">
        <f>ROUNDDOWN((LineærRegression_Valg[[#This Row],[Tabel ID]]-1)/$B$5,0)+1</f>
        <v>223</v>
      </c>
      <c r="C901" s="188">
        <f t="shared" si="13"/>
        <v>3</v>
      </c>
      <c r="D901" s="188" t="b">
        <f>LineærRegression_Valg[[#This Row],[Afhængig variabel ID]]&lt;&gt;LineærRegression_Valg[[#This Row],[Uafhængig variabel ID]]</f>
        <v>1</v>
      </c>
      <c r="E901" t="b">
        <f>LineærRegression_Valg[[#This Row],[Afhængig variabel ID]]&lt;=$B$5</f>
        <v>0</v>
      </c>
      <c r="F901" t="str" cm="1">
        <f t="array" ref="F901">IF(LineærRegression_Valg[[#This Row],[Indenfor range]],INDEX(DataTitel_liste,LineærRegression_Valg[[#This Row],[Afhængig variabel ID]]),INDEX(DataTitel_liste,1))</f>
        <v>Eksempel 1 (interval)</v>
      </c>
      <c r="G901" s="188" t="str" cm="1">
        <f t="array" ref="G901">IF(LineærRegression_Valg[[#This Row],[Indenfor range]],IF(LineærRegression_Valg[[#This Row],[Intet overlap]],INDEX(DataTitel_liste,LineærRegression_Valg[[#This Row],[Uafhængig variabel ID]]),INDEX(DataTitel_liste,IF(LineærRegression_Valg[[#This Row],[Afhængig variabel ID]]=1,2,1))),$B$7)</f>
        <v>Eksempel 2 (interval)</v>
      </c>
      <c r="H901" s="188">
        <f>_xlfn.AGGREGATE(2,5,LineærRegression_Valg[[#This Row],[Tabel ID]])</f>
        <v>1</v>
      </c>
    </row>
    <row r="902" spans="1:8" x14ac:dyDescent="0.2">
      <c r="A902">
        <f>ROW(LineærRegression_Valg[[#This Row],[Tabel ID]])-ROW(LineærRegression_Valg[[#Headers],[Tabel ID]])</f>
        <v>892</v>
      </c>
      <c r="B902" s="188">
        <f>ROUNDDOWN((LineærRegression_Valg[[#This Row],[Tabel ID]]-1)/$B$5,0)+1</f>
        <v>223</v>
      </c>
      <c r="C902" s="188">
        <f t="shared" si="13"/>
        <v>4</v>
      </c>
      <c r="D902" s="188" t="b">
        <f>LineærRegression_Valg[[#This Row],[Afhængig variabel ID]]&lt;&gt;LineærRegression_Valg[[#This Row],[Uafhængig variabel ID]]</f>
        <v>1</v>
      </c>
      <c r="E902" t="b">
        <f>LineærRegression_Valg[[#This Row],[Afhængig variabel ID]]&lt;=$B$5</f>
        <v>0</v>
      </c>
      <c r="F902" t="str" cm="1">
        <f t="array" ref="F902">IF(LineærRegression_Valg[[#This Row],[Indenfor range]],INDEX(DataTitel_liste,LineærRegression_Valg[[#This Row],[Afhængig variabel ID]]),INDEX(DataTitel_liste,1))</f>
        <v>Eksempel 1 (interval)</v>
      </c>
      <c r="G902" s="188" t="str" cm="1">
        <f t="array" ref="G902">IF(LineærRegression_Valg[[#This Row],[Indenfor range]],IF(LineærRegression_Valg[[#This Row],[Intet overlap]],INDEX(DataTitel_liste,LineærRegression_Valg[[#This Row],[Uafhængig variabel ID]]),INDEX(DataTitel_liste,IF(LineærRegression_Valg[[#This Row],[Afhængig variabel ID]]=1,2,1))),$B$7)</f>
        <v>Eksempel 2 (interval)</v>
      </c>
      <c r="H902" s="188">
        <f>_xlfn.AGGREGATE(2,5,LineærRegression_Valg[[#This Row],[Tabel ID]])</f>
        <v>1</v>
      </c>
    </row>
    <row r="903" spans="1:8" x14ac:dyDescent="0.2">
      <c r="A903">
        <f>ROW(LineærRegression_Valg[[#This Row],[Tabel ID]])-ROW(LineærRegression_Valg[[#Headers],[Tabel ID]])</f>
        <v>893</v>
      </c>
      <c r="B903" s="188">
        <f>ROUNDDOWN((LineærRegression_Valg[[#This Row],[Tabel ID]]-1)/$B$5,0)+1</f>
        <v>224</v>
      </c>
      <c r="C903" s="188">
        <f t="shared" si="13"/>
        <v>1</v>
      </c>
      <c r="D903" s="188" t="b">
        <f>LineærRegression_Valg[[#This Row],[Afhængig variabel ID]]&lt;&gt;LineærRegression_Valg[[#This Row],[Uafhængig variabel ID]]</f>
        <v>1</v>
      </c>
      <c r="E903" t="b">
        <f>LineærRegression_Valg[[#This Row],[Afhængig variabel ID]]&lt;=$B$5</f>
        <v>0</v>
      </c>
      <c r="F903" t="str" cm="1">
        <f t="array" ref="F903">IF(LineærRegression_Valg[[#This Row],[Indenfor range]],INDEX(DataTitel_liste,LineærRegression_Valg[[#This Row],[Afhængig variabel ID]]),INDEX(DataTitel_liste,1))</f>
        <v>Eksempel 1 (interval)</v>
      </c>
      <c r="G903" s="188" t="str" cm="1">
        <f t="array" ref="G903">IF(LineærRegression_Valg[[#This Row],[Indenfor range]],IF(LineærRegression_Valg[[#This Row],[Intet overlap]],INDEX(DataTitel_liste,LineærRegression_Valg[[#This Row],[Uafhængig variabel ID]]),INDEX(DataTitel_liste,IF(LineærRegression_Valg[[#This Row],[Afhængig variabel ID]]=1,2,1))),$B$7)</f>
        <v>Eksempel 2 (interval)</v>
      </c>
      <c r="H903" s="188">
        <f>_xlfn.AGGREGATE(2,5,LineærRegression_Valg[[#This Row],[Tabel ID]])</f>
        <v>1</v>
      </c>
    </row>
    <row r="904" spans="1:8" x14ac:dyDescent="0.2">
      <c r="A904">
        <f>ROW(LineærRegression_Valg[[#This Row],[Tabel ID]])-ROW(LineærRegression_Valg[[#Headers],[Tabel ID]])</f>
        <v>894</v>
      </c>
      <c r="B904" s="188">
        <f>ROUNDDOWN((LineærRegression_Valg[[#This Row],[Tabel ID]]-1)/$B$5,0)+1</f>
        <v>224</v>
      </c>
      <c r="C904" s="188">
        <f t="shared" si="13"/>
        <v>2</v>
      </c>
      <c r="D904" s="188" t="b">
        <f>LineærRegression_Valg[[#This Row],[Afhængig variabel ID]]&lt;&gt;LineærRegression_Valg[[#This Row],[Uafhængig variabel ID]]</f>
        <v>1</v>
      </c>
      <c r="E904" t="b">
        <f>LineærRegression_Valg[[#This Row],[Afhængig variabel ID]]&lt;=$B$5</f>
        <v>0</v>
      </c>
      <c r="F904" t="str" cm="1">
        <f t="array" ref="F904">IF(LineærRegression_Valg[[#This Row],[Indenfor range]],INDEX(DataTitel_liste,LineærRegression_Valg[[#This Row],[Afhængig variabel ID]]),INDEX(DataTitel_liste,1))</f>
        <v>Eksempel 1 (interval)</v>
      </c>
      <c r="G904" s="188" t="str" cm="1">
        <f t="array" ref="G904">IF(LineærRegression_Valg[[#This Row],[Indenfor range]],IF(LineærRegression_Valg[[#This Row],[Intet overlap]],INDEX(DataTitel_liste,LineærRegression_Valg[[#This Row],[Uafhængig variabel ID]]),INDEX(DataTitel_liste,IF(LineærRegression_Valg[[#This Row],[Afhængig variabel ID]]=1,2,1))),$B$7)</f>
        <v>Eksempel 2 (interval)</v>
      </c>
      <c r="H904" s="188">
        <f>_xlfn.AGGREGATE(2,5,LineærRegression_Valg[[#This Row],[Tabel ID]])</f>
        <v>1</v>
      </c>
    </row>
    <row r="905" spans="1:8" x14ac:dyDescent="0.2">
      <c r="A905">
        <f>ROW(LineærRegression_Valg[[#This Row],[Tabel ID]])-ROW(LineærRegression_Valg[[#Headers],[Tabel ID]])</f>
        <v>895</v>
      </c>
      <c r="B905" s="188">
        <f>ROUNDDOWN((LineærRegression_Valg[[#This Row],[Tabel ID]]-1)/$B$5,0)+1</f>
        <v>224</v>
      </c>
      <c r="C905" s="188">
        <f t="shared" si="13"/>
        <v>3</v>
      </c>
      <c r="D905" s="188" t="b">
        <f>LineærRegression_Valg[[#This Row],[Afhængig variabel ID]]&lt;&gt;LineærRegression_Valg[[#This Row],[Uafhængig variabel ID]]</f>
        <v>1</v>
      </c>
      <c r="E905" t="b">
        <f>LineærRegression_Valg[[#This Row],[Afhængig variabel ID]]&lt;=$B$5</f>
        <v>0</v>
      </c>
      <c r="F905" t="str" cm="1">
        <f t="array" ref="F905">IF(LineærRegression_Valg[[#This Row],[Indenfor range]],INDEX(DataTitel_liste,LineærRegression_Valg[[#This Row],[Afhængig variabel ID]]),INDEX(DataTitel_liste,1))</f>
        <v>Eksempel 1 (interval)</v>
      </c>
      <c r="G905" s="188" t="str" cm="1">
        <f t="array" ref="G905">IF(LineærRegression_Valg[[#This Row],[Indenfor range]],IF(LineærRegression_Valg[[#This Row],[Intet overlap]],INDEX(DataTitel_liste,LineærRegression_Valg[[#This Row],[Uafhængig variabel ID]]),INDEX(DataTitel_liste,IF(LineærRegression_Valg[[#This Row],[Afhængig variabel ID]]=1,2,1))),$B$7)</f>
        <v>Eksempel 2 (interval)</v>
      </c>
      <c r="H905" s="188">
        <f>_xlfn.AGGREGATE(2,5,LineærRegression_Valg[[#This Row],[Tabel ID]])</f>
        <v>1</v>
      </c>
    </row>
    <row r="906" spans="1:8" x14ac:dyDescent="0.2">
      <c r="A906">
        <f>ROW(LineærRegression_Valg[[#This Row],[Tabel ID]])-ROW(LineærRegression_Valg[[#Headers],[Tabel ID]])</f>
        <v>896</v>
      </c>
      <c r="B906" s="188">
        <f>ROUNDDOWN((LineærRegression_Valg[[#This Row],[Tabel ID]]-1)/$B$5,0)+1</f>
        <v>224</v>
      </c>
      <c r="C906" s="188">
        <f t="shared" si="13"/>
        <v>4</v>
      </c>
      <c r="D906" s="188" t="b">
        <f>LineærRegression_Valg[[#This Row],[Afhængig variabel ID]]&lt;&gt;LineærRegression_Valg[[#This Row],[Uafhængig variabel ID]]</f>
        <v>1</v>
      </c>
      <c r="E906" t="b">
        <f>LineærRegression_Valg[[#This Row],[Afhængig variabel ID]]&lt;=$B$5</f>
        <v>0</v>
      </c>
      <c r="F906" t="str" cm="1">
        <f t="array" ref="F906">IF(LineærRegression_Valg[[#This Row],[Indenfor range]],INDEX(DataTitel_liste,LineærRegression_Valg[[#This Row],[Afhængig variabel ID]]),INDEX(DataTitel_liste,1))</f>
        <v>Eksempel 1 (interval)</v>
      </c>
      <c r="G906" s="188" t="str" cm="1">
        <f t="array" ref="G906">IF(LineærRegression_Valg[[#This Row],[Indenfor range]],IF(LineærRegression_Valg[[#This Row],[Intet overlap]],INDEX(DataTitel_liste,LineærRegression_Valg[[#This Row],[Uafhængig variabel ID]]),INDEX(DataTitel_liste,IF(LineærRegression_Valg[[#This Row],[Afhængig variabel ID]]=1,2,1))),$B$7)</f>
        <v>Eksempel 2 (interval)</v>
      </c>
      <c r="H906" s="188">
        <f>_xlfn.AGGREGATE(2,5,LineærRegression_Valg[[#This Row],[Tabel ID]])</f>
        <v>1</v>
      </c>
    </row>
    <row r="907" spans="1:8" x14ac:dyDescent="0.2">
      <c r="A907">
        <f>ROW(LineærRegression_Valg[[#This Row],[Tabel ID]])-ROW(LineærRegression_Valg[[#Headers],[Tabel ID]])</f>
        <v>897</v>
      </c>
      <c r="B907" s="188">
        <f>ROUNDDOWN((LineærRegression_Valg[[#This Row],[Tabel ID]]-1)/$B$5,0)+1</f>
        <v>225</v>
      </c>
      <c r="C907" s="188">
        <f t="shared" ref="C907:C970" si="14">MOD(A907-1,$B$5)+1</f>
        <v>1</v>
      </c>
      <c r="D907" s="188" t="b">
        <f>LineærRegression_Valg[[#This Row],[Afhængig variabel ID]]&lt;&gt;LineærRegression_Valg[[#This Row],[Uafhængig variabel ID]]</f>
        <v>1</v>
      </c>
      <c r="E907" t="b">
        <f>LineærRegression_Valg[[#This Row],[Afhængig variabel ID]]&lt;=$B$5</f>
        <v>0</v>
      </c>
      <c r="F907" t="str" cm="1">
        <f t="array" ref="F907">IF(LineærRegression_Valg[[#This Row],[Indenfor range]],INDEX(DataTitel_liste,LineærRegression_Valg[[#This Row],[Afhængig variabel ID]]),INDEX(DataTitel_liste,1))</f>
        <v>Eksempel 1 (interval)</v>
      </c>
      <c r="G907" s="188" t="str" cm="1">
        <f t="array" ref="G907">IF(LineærRegression_Valg[[#This Row],[Indenfor range]],IF(LineærRegression_Valg[[#This Row],[Intet overlap]],INDEX(DataTitel_liste,LineærRegression_Valg[[#This Row],[Uafhængig variabel ID]]),INDEX(DataTitel_liste,IF(LineærRegression_Valg[[#This Row],[Afhængig variabel ID]]=1,2,1))),$B$7)</f>
        <v>Eksempel 2 (interval)</v>
      </c>
      <c r="H907" s="188">
        <f>_xlfn.AGGREGATE(2,5,LineærRegression_Valg[[#This Row],[Tabel ID]])</f>
        <v>1</v>
      </c>
    </row>
    <row r="908" spans="1:8" x14ac:dyDescent="0.2">
      <c r="A908">
        <f>ROW(LineærRegression_Valg[[#This Row],[Tabel ID]])-ROW(LineærRegression_Valg[[#Headers],[Tabel ID]])</f>
        <v>898</v>
      </c>
      <c r="B908" s="188">
        <f>ROUNDDOWN((LineærRegression_Valg[[#This Row],[Tabel ID]]-1)/$B$5,0)+1</f>
        <v>225</v>
      </c>
      <c r="C908" s="188">
        <f t="shared" si="14"/>
        <v>2</v>
      </c>
      <c r="D908" s="188" t="b">
        <f>LineærRegression_Valg[[#This Row],[Afhængig variabel ID]]&lt;&gt;LineærRegression_Valg[[#This Row],[Uafhængig variabel ID]]</f>
        <v>1</v>
      </c>
      <c r="E908" t="b">
        <f>LineærRegression_Valg[[#This Row],[Afhængig variabel ID]]&lt;=$B$5</f>
        <v>0</v>
      </c>
      <c r="F908" t="str" cm="1">
        <f t="array" ref="F908">IF(LineærRegression_Valg[[#This Row],[Indenfor range]],INDEX(DataTitel_liste,LineærRegression_Valg[[#This Row],[Afhængig variabel ID]]),INDEX(DataTitel_liste,1))</f>
        <v>Eksempel 1 (interval)</v>
      </c>
      <c r="G908" s="188" t="str" cm="1">
        <f t="array" ref="G908">IF(LineærRegression_Valg[[#This Row],[Indenfor range]],IF(LineærRegression_Valg[[#This Row],[Intet overlap]],INDEX(DataTitel_liste,LineærRegression_Valg[[#This Row],[Uafhængig variabel ID]]),INDEX(DataTitel_liste,IF(LineærRegression_Valg[[#This Row],[Afhængig variabel ID]]=1,2,1))),$B$7)</f>
        <v>Eksempel 2 (interval)</v>
      </c>
      <c r="H908" s="188">
        <f>_xlfn.AGGREGATE(2,5,LineærRegression_Valg[[#This Row],[Tabel ID]])</f>
        <v>1</v>
      </c>
    </row>
    <row r="909" spans="1:8" x14ac:dyDescent="0.2">
      <c r="A909">
        <f>ROW(LineærRegression_Valg[[#This Row],[Tabel ID]])-ROW(LineærRegression_Valg[[#Headers],[Tabel ID]])</f>
        <v>899</v>
      </c>
      <c r="B909" s="188">
        <f>ROUNDDOWN((LineærRegression_Valg[[#This Row],[Tabel ID]]-1)/$B$5,0)+1</f>
        <v>225</v>
      </c>
      <c r="C909" s="188">
        <f t="shared" si="14"/>
        <v>3</v>
      </c>
      <c r="D909" s="188" t="b">
        <f>LineærRegression_Valg[[#This Row],[Afhængig variabel ID]]&lt;&gt;LineærRegression_Valg[[#This Row],[Uafhængig variabel ID]]</f>
        <v>1</v>
      </c>
      <c r="E909" t="b">
        <f>LineærRegression_Valg[[#This Row],[Afhængig variabel ID]]&lt;=$B$5</f>
        <v>0</v>
      </c>
      <c r="F909" t="str" cm="1">
        <f t="array" ref="F909">IF(LineærRegression_Valg[[#This Row],[Indenfor range]],INDEX(DataTitel_liste,LineærRegression_Valg[[#This Row],[Afhængig variabel ID]]),INDEX(DataTitel_liste,1))</f>
        <v>Eksempel 1 (interval)</v>
      </c>
      <c r="G909" s="188" t="str" cm="1">
        <f t="array" ref="G909">IF(LineærRegression_Valg[[#This Row],[Indenfor range]],IF(LineærRegression_Valg[[#This Row],[Intet overlap]],INDEX(DataTitel_liste,LineærRegression_Valg[[#This Row],[Uafhængig variabel ID]]),INDEX(DataTitel_liste,IF(LineærRegression_Valg[[#This Row],[Afhængig variabel ID]]=1,2,1))),$B$7)</f>
        <v>Eksempel 2 (interval)</v>
      </c>
      <c r="H909" s="188">
        <f>_xlfn.AGGREGATE(2,5,LineærRegression_Valg[[#This Row],[Tabel ID]])</f>
        <v>1</v>
      </c>
    </row>
    <row r="910" spans="1:8" x14ac:dyDescent="0.2">
      <c r="A910">
        <f>ROW(LineærRegression_Valg[[#This Row],[Tabel ID]])-ROW(LineærRegression_Valg[[#Headers],[Tabel ID]])</f>
        <v>900</v>
      </c>
      <c r="B910" s="188">
        <f>ROUNDDOWN((LineærRegression_Valg[[#This Row],[Tabel ID]]-1)/$B$5,0)+1</f>
        <v>225</v>
      </c>
      <c r="C910" s="188">
        <f t="shared" si="14"/>
        <v>4</v>
      </c>
      <c r="D910" s="188" t="b">
        <f>LineærRegression_Valg[[#This Row],[Afhængig variabel ID]]&lt;&gt;LineærRegression_Valg[[#This Row],[Uafhængig variabel ID]]</f>
        <v>1</v>
      </c>
      <c r="E910" t="b">
        <f>LineærRegression_Valg[[#This Row],[Afhængig variabel ID]]&lt;=$B$5</f>
        <v>0</v>
      </c>
      <c r="F910" t="str" cm="1">
        <f t="array" ref="F910">IF(LineærRegression_Valg[[#This Row],[Indenfor range]],INDEX(DataTitel_liste,LineærRegression_Valg[[#This Row],[Afhængig variabel ID]]),INDEX(DataTitel_liste,1))</f>
        <v>Eksempel 1 (interval)</v>
      </c>
      <c r="G910" s="188" t="str" cm="1">
        <f t="array" ref="G910">IF(LineærRegression_Valg[[#This Row],[Indenfor range]],IF(LineærRegression_Valg[[#This Row],[Intet overlap]],INDEX(DataTitel_liste,LineærRegression_Valg[[#This Row],[Uafhængig variabel ID]]),INDEX(DataTitel_liste,IF(LineærRegression_Valg[[#This Row],[Afhængig variabel ID]]=1,2,1))),$B$7)</f>
        <v>Eksempel 2 (interval)</v>
      </c>
      <c r="H910" s="188">
        <f>_xlfn.AGGREGATE(2,5,LineærRegression_Valg[[#This Row],[Tabel ID]])</f>
        <v>1</v>
      </c>
    </row>
    <row r="911" spans="1:8" x14ac:dyDescent="0.2">
      <c r="A911">
        <f>ROW(LineærRegression_Valg[[#This Row],[Tabel ID]])-ROW(LineærRegression_Valg[[#Headers],[Tabel ID]])</f>
        <v>901</v>
      </c>
      <c r="B911" s="188">
        <f>ROUNDDOWN((LineærRegression_Valg[[#This Row],[Tabel ID]]-1)/$B$5,0)+1</f>
        <v>226</v>
      </c>
      <c r="C911" s="188">
        <f t="shared" si="14"/>
        <v>1</v>
      </c>
      <c r="D911" s="188" t="b">
        <f>LineærRegression_Valg[[#This Row],[Afhængig variabel ID]]&lt;&gt;LineærRegression_Valg[[#This Row],[Uafhængig variabel ID]]</f>
        <v>1</v>
      </c>
      <c r="E911" t="b">
        <f>LineærRegression_Valg[[#This Row],[Afhængig variabel ID]]&lt;=$B$5</f>
        <v>0</v>
      </c>
      <c r="F911" t="str" cm="1">
        <f t="array" ref="F911">IF(LineærRegression_Valg[[#This Row],[Indenfor range]],INDEX(DataTitel_liste,LineærRegression_Valg[[#This Row],[Afhængig variabel ID]]),INDEX(DataTitel_liste,1))</f>
        <v>Eksempel 1 (interval)</v>
      </c>
      <c r="G911" s="188" t="str" cm="1">
        <f t="array" ref="G911">IF(LineærRegression_Valg[[#This Row],[Indenfor range]],IF(LineærRegression_Valg[[#This Row],[Intet overlap]],INDEX(DataTitel_liste,LineærRegression_Valg[[#This Row],[Uafhængig variabel ID]]),INDEX(DataTitel_liste,IF(LineærRegression_Valg[[#This Row],[Afhængig variabel ID]]=1,2,1))),$B$7)</f>
        <v>Eksempel 2 (interval)</v>
      </c>
      <c r="H911" s="188">
        <f>_xlfn.AGGREGATE(2,5,LineærRegression_Valg[[#This Row],[Tabel ID]])</f>
        <v>1</v>
      </c>
    </row>
    <row r="912" spans="1:8" x14ac:dyDescent="0.2">
      <c r="A912">
        <f>ROW(LineærRegression_Valg[[#This Row],[Tabel ID]])-ROW(LineærRegression_Valg[[#Headers],[Tabel ID]])</f>
        <v>902</v>
      </c>
      <c r="B912" s="188">
        <f>ROUNDDOWN((LineærRegression_Valg[[#This Row],[Tabel ID]]-1)/$B$5,0)+1</f>
        <v>226</v>
      </c>
      <c r="C912" s="188">
        <f t="shared" si="14"/>
        <v>2</v>
      </c>
      <c r="D912" s="188" t="b">
        <f>LineærRegression_Valg[[#This Row],[Afhængig variabel ID]]&lt;&gt;LineærRegression_Valg[[#This Row],[Uafhængig variabel ID]]</f>
        <v>1</v>
      </c>
      <c r="E912" t="b">
        <f>LineærRegression_Valg[[#This Row],[Afhængig variabel ID]]&lt;=$B$5</f>
        <v>0</v>
      </c>
      <c r="F912" t="str" cm="1">
        <f t="array" ref="F912">IF(LineærRegression_Valg[[#This Row],[Indenfor range]],INDEX(DataTitel_liste,LineærRegression_Valg[[#This Row],[Afhængig variabel ID]]),INDEX(DataTitel_liste,1))</f>
        <v>Eksempel 1 (interval)</v>
      </c>
      <c r="G912" s="188" t="str" cm="1">
        <f t="array" ref="G912">IF(LineærRegression_Valg[[#This Row],[Indenfor range]],IF(LineærRegression_Valg[[#This Row],[Intet overlap]],INDEX(DataTitel_liste,LineærRegression_Valg[[#This Row],[Uafhængig variabel ID]]),INDEX(DataTitel_liste,IF(LineærRegression_Valg[[#This Row],[Afhængig variabel ID]]=1,2,1))),$B$7)</f>
        <v>Eksempel 2 (interval)</v>
      </c>
      <c r="H912" s="188">
        <f>_xlfn.AGGREGATE(2,5,LineærRegression_Valg[[#This Row],[Tabel ID]])</f>
        <v>1</v>
      </c>
    </row>
    <row r="913" spans="1:8" x14ac:dyDescent="0.2">
      <c r="A913">
        <f>ROW(LineærRegression_Valg[[#This Row],[Tabel ID]])-ROW(LineærRegression_Valg[[#Headers],[Tabel ID]])</f>
        <v>903</v>
      </c>
      <c r="B913" s="188">
        <f>ROUNDDOWN((LineærRegression_Valg[[#This Row],[Tabel ID]]-1)/$B$5,0)+1</f>
        <v>226</v>
      </c>
      <c r="C913" s="188">
        <f t="shared" si="14"/>
        <v>3</v>
      </c>
      <c r="D913" s="188" t="b">
        <f>LineærRegression_Valg[[#This Row],[Afhængig variabel ID]]&lt;&gt;LineærRegression_Valg[[#This Row],[Uafhængig variabel ID]]</f>
        <v>1</v>
      </c>
      <c r="E913" t="b">
        <f>LineærRegression_Valg[[#This Row],[Afhængig variabel ID]]&lt;=$B$5</f>
        <v>0</v>
      </c>
      <c r="F913" t="str" cm="1">
        <f t="array" ref="F913">IF(LineærRegression_Valg[[#This Row],[Indenfor range]],INDEX(DataTitel_liste,LineærRegression_Valg[[#This Row],[Afhængig variabel ID]]),INDEX(DataTitel_liste,1))</f>
        <v>Eksempel 1 (interval)</v>
      </c>
      <c r="G913" s="188" t="str" cm="1">
        <f t="array" ref="G913">IF(LineærRegression_Valg[[#This Row],[Indenfor range]],IF(LineærRegression_Valg[[#This Row],[Intet overlap]],INDEX(DataTitel_liste,LineærRegression_Valg[[#This Row],[Uafhængig variabel ID]]),INDEX(DataTitel_liste,IF(LineærRegression_Valg[[#This Row],[Afhængig variabel ID]]=1,2,1))),$B$7)</f>
        <v>Eksempel 2 (interval)</v>
      </c>
      <c r="H913" s="188">
        <f>_xlfn.AGGREGATE(2,5,LineærRegression_Valg[[#This Row],[Tabel ID]])</f>
        <v>1</v>
      </c>
    </row>
    <row r="914" spans="1:8" x14ac:dyDescent="0.2">
      <c r="A914">
        <f>ROW(LineærRegression_Valg[[#This Row],[Tabel ID]])-ROW(LineærRegression_Valg[[#Headers],[Tabel ID]])</f>
        <v>904</v>
      </c>
      <c r="B914" s="188">
        <f>ROUNDDOWN((LineærRegression_Valg[[#This Row],[Tabel ID]]-1)/$B$5,0)+1</f>
        <v>226</v>
      </c>
      <c r="C914" s="188">
        <f t="shared" si="14"/>
        <v>4</v>
      </c>
      <c r="D914" s="188" t="b">
        <f>LineærRegression_Valg[[#This Row],[Afhængig variabel ID]]&lt;&gt;LineærRegression_Valg[[#This Row],[Uafhængig variabel ID]]</f>
        <v>1</v>
      </c>
      <c r="E914" t="b">
        <f>LineærRegression_Valg[[#This Row],[Afhængig variabel ID]]&lt;=$B$5</f>
        <v>0</v>
      </c>
      <c r="F914" t="str" cm="1">
        <f t="array" ref="F914">IF(LineærRegression_Valg[[#This Row],[Indenfor range]],INDEX(DataTitel_liste,LineærRegression_Valg[[#This Row],[Afhængig variabel ID]]),INDEX(DataTitel_liste,1))</f>
        <v>Eksempel 1 (interval)</v>
      </c>
      <c r="G914" s="188" t="str" cm="1">
        <f t="array" ref="G914">IF(LineærRegression_Valg[[#This Row],[Indenfor range]],IF(LineærRegression_Valg[[#This Row],[Intet overlap]],INDEX(DataTitel_liste,LineærRegression_Valg[[#This Row],[Uafhængig variabel ID]]),INDEX(DataTitel_liste,IF(LineærRegression_Valg[[#This Row],[Afhængig variabel ID]]=1,2,1))),$B$7)</f>
        <v>Eksempel 2 (interval)</v>
      </c>
      <c r="H914" s="188">
        <f>_xlfn.AGGREGATE(2,5,LineærRegression_Valg[[#This Row],[Tabel ID]])</f>
        <v>1</v>
      </c>
    </row>
    <row r="915" spans="1:8" x14ac:dyDescent="0.2">
      <c r="A915">
        <f>ROW(LineærRegression_Valg[[#This Row],[Tabel ID]])-ROW(LineærRegression_Valg[[#Headers],[Tabel ID]])</f>
        <v>905</v>
      </c>
      <c r="B915" s="188">
        <f>ROUNDDOWN((LineærRegression_Valg[[#This Row],[Tabel ID]]-1)/$B$5,0)+1</f>
        <v>227</v>
      </c>
      <c r="C915" s="188">
        <f t="shared" si="14"/>
        <v>1</v>
      </c>
      <c r="D915" s="188" t="b">
        <f>LineærRegression_Valg[[#This Row],[Afhængig variabel ID]]&lt;&gt;LineærRegression_Valg[[#This Row],[Uafhængig variabel ID]]</f>
        <v>1</v>
      </c>
      <c r="E915" t="b">
        <f>LineærRegression_Valg[[#This Row],[Afhængig variabel ID]]&lt;=$B$5</f>
        <v>0</v>
      </c>
      <c r="F915" t="str" cm="1">
        <f t="array" ref="F915">IF(LineærRegression_Valg[[#This Row],[Indenfor range]],INDEX(DataTitel_liste,LineærRegression_Valg[[#This Row],[Afhængig variabel ID]]),INDEX(DataTitel_liste,1))</f>
        <v>Eksempel 1 (interval)</v>
      </c>
      <c r="G915" s="188" t="str" cm="1">
        <f t="array" ref="G915">IF(LineærRegression_Valg[[#This Row],[Indenfor range]],IF(LineærRegression_Valg[[#This Row],[Intet overlap]],INDEX(DataTitel_liste,LineærRegression_Valg[[#This Row],[Uafhængig variabel ID]]),INDEX(DataTitel_liste,IF(LineærRegression_Valg[[#This Row],[Afhængig variabel ID]]=1,2,1))),$B$7)</f>
        <v>Eksempel 2 (interval)</v>
      </c>
      <c r="H915" s="188">
        <f>_xlfn.AGGREGATE(2,5,LineærRegression_Valg[[#This Row],[Tabel ID]])</f>
        <v>1</v>
      </c>
    </row>
    <row r="916" spans="1:8" x14ac:dyDescent="0.2">
      <c r="A916">
        <f>ROW(LineærRegression_Valg[[#This Row],[Tabel ID]])-ROW(LineærRegression_Valg[[#Headers],[Tabel ID]])</f>
        <v>906</v>
      </c>
      <c r="B916" s="188">
        <f>ROUNDDOWN((LineærRegression_Valg[[#This Row],[Tabel ID]]-1)/$B$5,0)+1</f>
        <v>227</v>
      </c>
      <c r="C916" s="188">
        <f t="shared" si="14"/>
        <v>2</v>
      </c>
      <c r="D916" s="188" t="b">
        <f>LineærRegression_Valg[[#This Row],[Afhængig variabel ID]]&lt;&gt;LineærRegression_Valg[[#This Row],[Uafhængig variabel ID]]</f>
        <v>1</v>
      </c>
      <c r="E916" t="b">
        <f>LineærRegression_Valg[[#This Row],[Afhængig variabel ID]]&lt;=$B$5</f>
        <v>0</v>
      </c>
      <c r="F916" t="str" cm="1">
        <f t="array" ref="F916">IF(LineærRegression_Valg[[#This Row],[Indenfor range]],INDEX(DataTitel_liste,LineærRegression_Valg[[#This Row],[Afhængig variabel ID]]),INDEX(DataTitel_liste,1))</f>
        <v>Eksempel 1 (interval)</v>
      </c>
      <c r="G916" s="188" t="str" cm="1">
        <f t="array" ref="G916">IF(LineærRegression_Valg[[#This Row],[Indenfor range]],IF(LineærRegression_Valg[[#This Row],[Intet overlap]],INDEX(DataTitel_liste,LineærRegression_Valg[[#This Row],[Uafhængig variabel ID]]),INDEX(DataTitel_liste,IF(LineærRegression_Valg[[#This Row],[Afhængig variabel ID]]=1,2,1))),$B$7)</f>
        <v>Eksempel 2 (interval)</v>
      </c>
      <c r="H916" s="188">
        <f>_xlfn.AGGREGATE(2,5,LineærRegression_Valg[[#This Row],[Tabel ID]])</f>
        <v>1</v>
      </c>
    </row>
    <row r="917" spans="1:8" x14ac:dyDescent="0.2">
      <c r="A917">
        <f>ROW(LineærRegression_Valg[[#This Row],[Tabel ID]])-ROW(LineærRegression_Valg[[#Headers],[Tabel ID]])</f>
        <v>907</v>
      </c>
      <c r="B917" s="188">
        <f>ROUNDDOWN((LineærRegression_Valg[[#This Row],[Tabel ID]]-1)/$B$5,0)+1</f>
        <v>227</v>
      </c>
      <c r="C917" s="188">
        <f t="shared" si="14"/>
        <v>3</v>
      </c>
      <c r="D917" s="188" t="b">
        <f>LineærRegression_Valg[[#This Row],[Afhængig variabel ID]]&lt;&gt;LineærRegression_Valg[[#This Row],[Uafhængig variabel ID]]</f>
        <v>1</v>
      </c>
      <c r="E917" t="b">
        <f>LineærRegression_Valg[[#This Row],[Afhængig variabel ID]]&lt;=$B$5</f>
        <v>0</v>
      </c>
      <c r="F917" t="str" cm="1">
        <f t="array" ref="F917">IF(LineærRegression_Valg[[#This Row],[Indenfor range]],INDEX(DataTitel_liste,LineærRegression_Valg[[#This Row],[Afhængig variabel ID]]),INDEX(DataTitel_liste,1))</f>
        <v>Eksempel 1 (interval)</v>
      </c>
      <c r="G917" s="188" t="str" cm="1">
        <f t="array" ref="G917">IF(LineærRegression_Valg[[#This Row],[Indenfor range]],IF(LineærRegression_Valg[[#This Row],[Intet overlap]],INDEX(DataTitel_liste,LineærRegression_Valg[[#This Row],[Uafhængig variabel ID]]),INDEX(DataTitel_liste,IF(LineærRegression_Valg[[#This Row],[Afhængig variabel ID]]=1,2,1))),$B$7)</f>
        <v>Eksempel 2 (interval)</v>
      </c>
      <c r="H917" s="188">
        <f>_xlfn.AGGREGATE(2,5,LineærRegression_Valg[[#This Row],[Tabel ID]])</f>
        <v>1</v>
      </c>
    </row>
    <row r="918" spans="1:8" x14ac:dyDescent="0.2">
      <c r="A918">
        <f>ROW(LineærRegression_Valg[[#This Row],[Tabel ID]])-ROW(LineærRegression_Valg[[#Headers],[Tabel ID]])</f>
        <v>908</v>
      </c>
      <c r="B918" s="188">
        <f>ROUNDDOWN((LineærRegression_Valg[[#This Row],[Tabel ID]]-1)/$B$5,0)+1</f>
        <v>227</v>
      </c>
      <c r="C918" s="188">
        <f t="shared" si="14"/>
        <v>4</v>
      </c>
      <c r="D918" s="188" t="b">
        <f>LineærRegression_Valg[[#This Row],[Afhængig variabel ID]]&lt;&gt;LineærRegression_Valg[[#This Row],[Uafhængig variabel ID]]</f>
        <v>1</v>
      </c>
      <c r="E918" t="b">
        <f>LineærRegression_Valg[[#This Row],[Afhængig variabel ID]]&lt;=$B$5</f>
        <v>0</v>
      </c>
      <c r="F918" t="str" cm="1">
        <f t="array" ref="F918">IF(LineærRegression_Valg[[#This Row],[Indenfor range]],INDEX(DataTitel_liste,LineærRegression_Valg[[#This Row],[Afhængig variabel ID]]),INDEX(DataTitel_liste,1))</f>
        <v>Eksempel 1 (interval)</v>
      </c>
      <c r="G918" s="188" t="str" cm="1">
        <f t="array" ref="G918">IF(LineærRegression_Valg[[#This Row],[Indenfor range]],IF(LineærRegression_Valg[[#This Row],[Intet overlap]],INDEX(DataTitel_liste,LineærRegression_Valg[[#This Row],[Uafhængig variabel ID]]),INDEX(DataTitel_liste,IF(LineærRegression_Valg[[#This Row],[Afhængig variabel ID]]=1,2,1))),$B$7)</f>
        <v>Eksempel 2 (interval)</v>
      </c>
      <c r="H918" s="188">
        <f>_xlfn.AGGREGATE(2,5,LineærRegression_Valg[[#This Row],[Tabel ID]])</f>
        <v>1</v>
      </c>
    </row>
    <row r="919" spans="1:8" x14ac:dyDescent="0.2">
      <c r="A919">
        <f>ROW(LineærRegression_Valg[[#This Row],[Tabel ID]])-ROW(LineærRegression_Valg[[#Headers],[Tabel ID]])</f>
        <v>909</v>
      </c>
      <c r="B919" s="188">
        <f>ROUNDDOWN((LineærRegression_Valg[[#This Row],[Tabel ID]]-1)/$B$5,0)+1</f>
        <v>228</v>
      </c>
      <c r="C919" s="188">
        <f t="shared" si="14"/>
        <v>1</v>
      </c>
      <c r="D919" s="188" t="b">
        <f>LineærRegression_Valg[[#This Row],[Afhængig variabel ID]]&lt;&gt;LineærRegression_Valg[[#This Row],[Uafhængig variabel ID]]</f>
        <v>1</v>
      </c>
      <c r="E919" t="b">
        <f>LineærRegression_Valg[[#This Row],[Afhængig variabel ID]]&lt;=$B$5</f>
        <v>0</v>
      </c>
      <c r="F919" t="str" cm="1">
        <f t="array" ref="F919">IF(LineærRegression_Valg[[#This Row],[Indenfor range]],INDEX(DataTitel_liste,LineærRegression_Valg[[#This Row],[Afhængig variabel ID]]),INDEX(DataTitel_liste,1))</f>
        <v>Eksempel 1 (interval)</v>
      </c>
      <c r="G919" s="188" t="str" cm="1">
        <f t="array" ref="G919">IF(LineærRegression_Valg[[#This Row],[Indenfor range]],IF(LineærRegression_Valg[[#This Row],[Intet overlap]],INDEX(DataTitel_liste,LineærRegression_Valg[[#This Row],[Uafhængig variabel ID]]),INDEX(DataTitel_liste,IF(LineærRegression_Valg[[#This Row],[Afhængig variabel ID]]=1,2,1))),$B$7)</f>
        <v>Eksempel 2 (interval)</v>
      </c>
      <c r="H919" s="188">
        <f>_xlfn.AGGREGATE(2,5,LineærRegression_Valg[[#This Row],[Tabel ID]])</f>
        <v>1</v>
      </c>
    </row>
    <row r="920" spans="1:8" x14ac:dyDescent="0.2">
      <c r="A920">
        <f>ROW(LineærRegression_Valg[[#This Row],[Tabel ID]])-ROW(LineærRegression_Valg[[#Headers],[Tabel ID]])</f>
        <v>910</v>
      </c>
      <c r="B920" s="188">
        <f>ROUNDDOWN((LineærRegression_Valg[[#This Row],[Tabel ID]]-1)/$B$5,0)+1</f>
        <v>228</v>
      </c>
      <c r="C920" s="188">
        <f t="shared" si="14"/>
        <v>2</v>
      </c>
      <c r="D920" s="188" t="b">
        <f>LineærRegression_Valg[[#This Row],[Afhængig variabel ID]]&lt;&gt;LineærRegression_Valg[[#This Row],[Uafhængig variabel ID]]</f>
        <v>1</v>
      </c>
      <c r="E920" t="b">
        <f>LineærRegression_Valg[[#This Row],[Afhængig variabel ID]]&lt;=$B$5</f>
        <v>0</v>
      </c>
      <c r="F920" t="str" cm="1">
        <f t="array" ref="F920">IF(LineærRegression_Valg[[#This Row],[Indenfor range]],INDEX(DataTitel_liste,LineærRegression_Valg[[#This Row],[Afhængig variabel ID]]),INDEX(DataTitel_liste,1))</f>
        <v>Eksempel 1 (interval)</v>
      </c>
      <c r="G920" s="188" t="str" cm="1">
        <f t="array" ref="G920">IF(LineærRegression_Valg[[#This Row],[Indenfor range]],IF(LineærRegression_Valg[[#This Row],[Intet overlap]],INDEX(DataTitel_liste,LineærRegression_Valg[[#This Row],[Uafhængig variabel ID]]),INDEX(DataTitel_liste,IF(LineærRegression_Valg[[#This Row],[Afhængig variabel ID]]=1,2,1))),$B$7)</f>
        <v>Eksempel 2 (interval)</v>
      </c>
      <c r="H920" s="188">
        <f>_xlfn.AGGREGATE(2,5,LineærRegression_Valg[[#This Row],[Tabel ID]])</f>
        <v>1</v>
      </c>
    </row>
    <row r="921" spans="1:8" x14ac:dyDescent="0.2">
      <c r="A921">
        <f>ROW(LineærRegression_Valg[[#This Row],[Tabel ID]])-ROW(LineærRegression_Valg[[#Headers],[Tabel ID]])</f>
        <v>911</v>
      </c>
      <c r="B921" s="188">
        <f>ROUNDDOWN((LineærRegression_Valg[[#This Row],[Tabel ID]]-1)/$B$5,0)+1</f>
        <v>228</v>
      </c>
      <c r="C921" s="188">
        <f t="shared" si="14"/>
        <v>3</v>
      </c>
      <c r="D921" s="188" t="b">
        <f>LineærRegression_Valg[[#This Row],[Afhængig variabel ID]]&lt;&gt;LineærRegression_Valg[[#This Row],[Uafhængig variabel ID]]</f>
        <v>1</v>
      </c>
      <c r="E921" t="b">
        <f>LineærRegression_Valg[[#This Row],[Afhængig variabel ID]]&lt;=$B$5</f>
        <v>0</v>
      </c>
      <c r="F921" t="str" cm="1">
        <f t="array" ref="F921">IF(LineærRegression_Valg[[#This Row],[Indenfor range]],INDEX(DataTitel_liste,LineærRegression_Valg[[#This Row],[Afhængig variabel ID]]),INDEX(DataTitel_liste,1))</f>
        <v>Eksempel 1 (interval)</v>
      </c>
      <c r="G921" s="188" t="str" cm="1">
        <f t="array" ref="G921">IF(LineærRegression_Valg[[#This Row],[Indenfor range]],IF(LineærRegression_Valg[[#This Row],[Intet overlap]],INDEX(DataTitel_liste,LineærRegression_Valg[[#This Row],[Uafhængig variabel ID]]),INDEX(DataTitel_liste,IF(LineærRegression_Valg[[#This Row],[Afhængig variabel ID]]=1,2,1))),$B$7)</f>
        <v>Eksempel 2 (interval)</v>
      </c>
      <c r="H921" s="188">
        <f>_xlfn.AGGREGATE(2,5,LineærRegression_Valg[[#This Row],[Tabel ID]])</f>
        <v>1</v>
      </c>
    </row>
    <row r="922" spans="1:8" x14ac:dyDescent="0.2">
      <c r="A922">
        <f>ROW(LineærRegression_Valg[[#This Row],[Tabel ID]])-ROW(LineærRegression_Valg[[#Headers],[Tabel ID]])</f>
        <v>912</v>
      </c>
      <c r="B922" s="188">
        <f>ROUNDDOWN((LineærRegression_Valg[[#This Row],[Tabel ID]]-1)/$B$5,0)+1</f>
        <v>228</v>
      </c>
      <c r="C922" s="188">
        <f t="shared" si="14"/>
        <v>4</v>
      </c>
      <c r="D922" s="188" t="b">
        <f>LineærRegression_Valg[[#This Row],[Afhængig variabel ID]]&lt;&gt;LineærRegression_Valg[[#This Row],[Uafhængig variabel ID]]</f>
        <v>1</v>
      </c>
      <c r="E922" t="b">
        <f>LineærRegression_Valg[[#This Row],[Afhængig variabel ID]]&lt;=$B$5</f>
        <v>0</v>
      </c>
      <c r="F922" t="str" cm="1">
        <f t="array" ref="F922">IF(LineærRegression_Valg[[#This Row],[Indenfor range]],INDEX(DataTitel_liste,LineærRegression_Valg[[#This Row],[Afhængig variabel ID]]),INDEX(DataTitel_liste,1))</f>
        <v>Eksempel 1 (interval)</v>
      </c>
      <c r="G922" s="188" t="str" cm="1">
        <f t="array" ref="G922">IF(LineærRegression_Valg[[#This Row],[Indenfor range]],IF(LineærRegression_Valg[[#This Row],[Intet overlap]],INDEX(DataTitel_liste,LineærRegression_Valg[[#This Row],[Uafhængig variabel ID]]),INDEX(DataTitel_liste,IF(LineærRegression_Valg[[#This Row],[Afhængig variabel ID]]=1,2,1))),$B$7)</f>
        <v>Eksempel 2 (interval)</v>
      </c>
      <c r="H922" s="188">
        <f>_xlfn.AGGREGATE(2,5,LineærRegression_Valg[[#This Row],[Tabel ID]])</f>
        <v>1</v>
      </c>
    </row>
    <row r="923" spans="1:8" x14ac:dyDescent="0.2">
      <c r="A923">
        <f>ROW(LineærRegression_Valg[[#This Row],[Tabel ID]])-ROW(LineærRegression_Valg[[#Headers],[Tabel ID]])</f>
        <v>913</v>
      </c>
      <c r="B923" s="188">
        <f>ROUNDDOWN((LineærRegression_Valg[[#This Row],[Tabel ID]]-1)/$B$5,0)+1</f>
        <v>229</v>
      </c>
      <c r="C923" s="188">
        <f t="shared" si="14"/>
        <v>1</v>
      </c>
      <c r="D923" s="188" t="b">
        <f>LineærRegression_Valg[[#This Row],[Afhængig variabel ID]]&lt;&gt;LineærRegression_Valg[[#This Row],[Uafhængig variabel ID]]</f>
        <v>1</v>
      </c>
      <c r="E923" t="b">
        <f>LineærRegression_Valg[[#This Row],[Afhængig variabel ID]]&lt;=$B$5</f>
        <v>0</v>
      </c>
      <c r="F923" t="str" cm="1">
        <f t="array" ref="F923">IF(LineærRegression_Valg[[#This Row],[Indenfor range]],INDEX(DataTitel_liste,LineærRegression_Valg[[#This Row],[Afhængig variabel ID]]),INDEX(DataTitel_liste,1))</f>
        <v>Eksempel 1 (interval)</v>
      </c>
      <c r="G923" s="188" t="str" cm="1">
        <f t="array" ref="G923">IF(LineærRegression_Valg[[#This Row],[Indenfor range]],IF(LineærRegression_Valg[[#This Row],[Intet overlap]],INDEX(DataTitel_liste,LineærRegression_Valg[[#This Row],[Uafhængig variabel ID]]),INDEX(DataTitel_liste,IF(LineærRegression_Valg[[#This Row],[Afhængig variabel ID]]=1,2,1))),$B$7)</f>
        <v>Eksempel 2 (interval)</v>
      </c>
      <c r="H923" s="188">
        <f>_xlfn.AGGREGATE(2,5,LineærRegression_Valg[[#This Row],[Tabel ID]])</f>
        <v>1</v>
      </c>
    </row>
    <row r="924" spans="1:8" x14ac:dyDescent="0.2">
      <c r="A924">
        <f>ROW(LineærRegression_Valg[[#This Row],[Tabel ID]])-ROW(LineærRegression_Valg[[#Headers],[Tabel ID]])</f>
        <v>914</v>
      </c>
      <c r="B924" s="188">
        <f>ROUNDDOWN((LineærRegression_Valg[[#This Row],[Tabel ID]]-1)/$B$5,0)+1</f>
        <v>229</v>
      </c>
      <c r="C924" s="188">
        <f t="shared" si="14"/>
        <v>2</v>
      </c>
      <c r="D924" s="188" t="b">
        <f>LineærRegression_Valg[[#This Row],[Afhængig variabel ID]]&lt;&gt;LineærRegression_Valg[[#This Row],[Uafhængig variabel ID]]</f>
        <v>1</v>
      </c>
      <c r="E924" t="b">
        <f>LineærRegression_Valg[[#This Row],[Afhængig variabel ID]]&lt;=$B$5</f>
        <v>0</v>
      </c>
      <c r="F924" t="str" cm="1">
        <f t="array" ref="F924">IF(LineærRegression_Valg[[#This Row],[Indenfor range]],INDEX(DataTitel_liste,LineærRegression_Valg[[#This Row],[Afhængig variabel ID]]),INDEX(DataTitel_liste,1))</f>
        <v>Eksempel 1 (interval)</v>
      </c>
      <c r="G924" s="188" t="str" cm="1">
        <f t="array" ref="G924">IF(LineærRegression_Valg[[#This Row],[Indenfor range]],IF(LineærRegression_Valg[[#This Row],[Intet overlap]],INDEX(DataTitel_liste,LineærRegression_Valg[[#This Row],[Uafhængig variabel ID]]),INDEX(DataTitel_liste,IF(LineærRegression_Valg[[#This Row],[Afhængig variabel ID]]=1,2,1))),$B$7)</f>
        <v>Eksempel 2 (interval)</v>
      </c>
      <c r="H924" s="188">
        <f>_xlfn.AGGREGATE(2,5,LineærRegression_Valg[[#This Row],[Tabel ID]])</f>
        <v>1</v>
      </c>
    </row>
    <row r="925" spans="1:8" x14ac:dyDescent="0.2">
      <c r="A925">
        <f>ROW(LineærRegression_Valg[[#This Row],[Tabel ID]])-ROW(LineærRegression_Valg[[#Headers],[Tabel ID]])</f>
        <v>915</v>
      </c>
      <c r="B925" s="188">
        <f>ROUNDDOWN((LineærRegression_Valg[[#This Row],[Tabel ID]]-1)/$B$5,0)+1</f>
        <v>229</v>
      </c>
      <c r="C925" s="188">
        <f t="shared" si="14"/>
        <v>3</v>
      </c>
      <c r="D925" s="188" t="b">
        <f>LineærRegression_Valg[[#This Row],[Afhængig variabel ID]]&lt;&gt;LineærRegression_Valg[[#This Row],[Uafhængig variabel ID]]</f>
        <v>1</v>
      </c>
      <c r="E925" t="b">
        <f>LineærRegression_Valg[[#This Row],[Afhængig variabel ID]]&lt;=$B$5</f>
        <v>0</v>
      </c>
      <c r="F925" t="str" cm="1">
        <f t="array" ref="F925">IF(LineærRegression_Valg[[#This Row],[Indenfor range]],INDEX(DataTitel_liste,LineærRegression_Valg[[#This Row],[Afhængig variabel ID]]),INDEX(DataTitel_liste,1))</f>
        <v>Eksempel 1 (interval)</v>
      </c>
      <c r="G925" s="188" t="str" cm="1">
        <f t="array" ref="G925">IF(LineærRegression_Valg[[#This Row],[Indenfor range]],IF(LineærRegression_Valg[[#This Row],[Intet overlap]],INDEX(DataTitel_liste,LineærRegression_Valg[[#This Row],[Uafhængig variabel ID]]),INDEX(DataTitel_liste,IF(LineærRegression_Valg[[#This Row],[Afhængig variabel ID]]=1,2,1))),$B$7)</f>
        <v>Eksempel 2 (interval)</v>
      </c>
      <c r="H925" s="188">
        <f>_xlfn.AGGREGATE(2,5,LineærRegression_Valg[[#This Row],[Tabel ID]])</f>
        <v>1</v>
      </c>
    </row>
    <row r="926" spans="1:8" x14ac:dyDescent="0.2">
      <c r="A926">
        <f>ROW(LineærRegression_Valg[[#This Row],[Tabel ID]])-ROW(LineærRegression_Valg[[#Headers],[Tabel ID]])</f>
        <v>916</v>
      </c>
      <c r="B926" s="188">
        <f>ROUNDDOWN((LineærRegression_Valg[[#This Row],[Tabel ID]]-1)/$B$5,0)+1</f>
        <v>229</v>
      </c>
      <c r="C926" s="188">
        <f t="shared" si="14"/>
        <v>4</v>
      </c>
      <c r="D926" s="188" t="b">
        <f>LineærRegression_Valg[[#This Row],[Afhængig variabel ID]]&lt;&gt;LineærRegression_Valg[[#This Row],[Uafhængig variabel ID]]</f>
        <v>1</v>
      </c>
      <c r="E926" t="b">
        <f>LineærRegression_Valg[[#This Row],[Afhængig variabel ID]]&lt;=$B$5</f>
        <v>0</v>
      </c>
      <c r="F926" t="str" cm="1">
        <f t="array" ref="F926">IF(LineærRegression_Valg[[#This Row],[Indenfor range]],INDEX(DataTitel_liste,LineærRegression_Valg[[#This Row],[Afhængig variabel ID]]),INDEX(DataTitel_liste,1))</f>
        <v>Eksempel 1 (interval)</v>
      </c>
      <c r="G926" s="188" t="str" cm="1">
        <f t="array" ref="G926">IF(LineærRegression_Valg[[#This Row],[Indenfor range]],IF(LineærRegression_Valg[[#This Row],[Intet overlap]],INDEX(DataTitel_liste,LineærRegression_Valg[[#This Row],[Uafhængig variabel ID]]),INDEX(DataTitel_liste,IF(LineærRegression_Valg[[#This Row],[Afhængig variabel ID]]=1,2,1))),$B$7)</f>
        <v>Eksempel 2 (interval)</v>
      </c>
      <c r="H926" s="188">
        <f>_xlfn.AGGREGATE(2,5,LineærRegression_Valg[[#This Row],[Tabel ID]])</f>
        <v>1</v>
      </c>
    </row>
    <row r="927" spans="1:8" x14ac:dyDescent="0.2">
      <c r="A927">
        <f>ROW(LineærRegression_Valg[[#This Row],[Tabel ID]])-ROW(LineærRegression_Valg[[#Headers],[Tabel ID]])</f>
        <v>917</v>
      </c>
      <c r="B927" s="188">
        <f>ROUNDDOWN((LineærRegression_Valg[[#This Row],[Tabel ID]]-1)/$B$5,0)+1</f>
        <v>230</v>
      </c>
      <c r="C927" s="188">
        <f t="shared" si="14"/>
        <v>1</v>
      </c>
      <c r="D927" s="188" t="b">
        <f>LineærRegression_Valg[[#This Row],[Afhængig variabel ID]]&lt;&gt;LineærRegression_Valg[[#This Row],[Uafhængig variabel ID]]</f>
        <v>1</v>
      </c>
      <c r="E927" t="b">
        <f>LineærRegression_Valg[[#This Row],[Afhængig variabel ID]]&lt;=$B$5</f>
        <v>0</v>
      </c>
      <c r="F927" t="str" cm="1">
        <f t="array" ref="F927">IF(LineærRegression_Valg[[#This Row],[Indenfor range]],INDEX(DataTitel_liste,LineærRegression_Valg[[#This Row],[Afhængig variabel ID]]),INDEX(DataTitel_liste,1))</f>
        <v>Eksempel 1 (interval)</v>
      </c>
      <c r="G927" s="188" t="str" cm="1">
        <f t="array" ref="G927">IF(LineærRegression_Valg[[#This Row],[Indenfor range]],IF(LineærRegression_Valg[[#This Row],[Intet overlap]],INDEX(DataTitel_liste,LineærRegression_Valg[[#This Row],[Uafhængig variabel ID]]),INDEX(DataTitel_liste,IF(LineærRegression_Valg[[#This Row],[Afhængig variabel ID]]=1,2,1))),$B$7)</f>
        <v>Eksempel 2 (interval)</v>
      </c>
      <c r="H927" s="188">
        <f>_xlfn.AGGREGATE(2,5,LineærRegression_Valg[[#This Row],[Tabel ID]])</f>
        <v>1</v>
      </c>
    </row>
    <row r="928" spans="1:8" x14ac:dyDescent="0.2">
      <c r="A928">
        <f>ROW(LineærRegression_Valg[[#This Row],[Tabel ID]])-ROW(LineærRegression_Valg[[#Headers],[Tabel ID]])</f>
        <v>918</v>
      </c>
      <c r="B928" s="188">
        <f>ROUNDDOWN((LineærRegression_Valg[[#This Row],[Tabel ID]]-1)/$B$5,0)+1</f>
        <v>230</v>
      </c>
      <c r="C928" s="188">
        <f t="shared" si="14"/>
        <v>2</v>
      </c>
      <c r="D928" s="188" t="b">
        <f>LineærRegression_Valg[[#This Row],[Afhængig variabel ID]]&lt;&gt;LineærRegression_Valg[[#This Row],[Uafhængig variabel ID]]</f>
        <v>1</v>
      </c>
      <c r="E928" t="b">
        <f>LineærRegression_Valg[[#This Row],[Afhængig variabel ID]]&lt;=$B$5</f>
        <v>0</v>
      </c>
      <c r="F928" t="str" cm="1">
        <f t="array" ref="F928">IF(LineærRegression_Valg[[#This Row],[Indenfor range]],INDEX(DataTitel_liste,LineærRegression_Valg[[#This Row],[Afhængig variabel ID]]),INDEX(DataTitel_liste,1))</f>
        <v>Eksempel 1 (interval)</v>
      </c>
      <c r="G928" s="188" t="str" cm="1">
        <f t="array" ref="G928">IF(LineærRegression_Valg[[#This Row],[Indenfor range]],IF(LineærRegression_Valg[[#This Row],[Intet overlap]],INDEX(DataTitel_liste,LineærRegression_Valg[[#This Row],[Uafhængig variabel ID]]),INDEX(DataTitel_liste,IF(LineærRegression_Valg[[#This Row],[Afhængig variabel ID]]=1,2,1))),$B$7)</f>
        <v>Eksempel 2 (interval)</v>
      </c>
      <c r="H928" s="188">
        <f>_xlfn.AGGREGATE(2,5,LineærRegression_Valg[[#This Row],[Tabel ID]])</f>
        <v>1</v>
      </c>
    </row>
    <row r="929" spans="1:8" x14ac:dyDescent="0.2">
      <c r="A929">
        <f>ROW(LineærRegression_Valg[[#This Row],[Tabel ID]])-ROW(LineærRegression_Valg[[#Headers],[Tabel ID]])</f>
        <v>919</v>
      </c>
      <c r="B929" s="188">
        <f>ROUNDDOWN((LineærRegression_Valg[[#This Row],[Tabel ID]]-1)/$B$5,0)+1</f>
        <v>230</v>
      </c>
      <c r="C929" s="188">
        <f t="shared" si="14"/>
        <v>3</v>
      </c>
      <c r="D929" s="188" t="b">
        <f>LineærRegression_Valg[[#This Row],[Afhængig variabel ID]]&lt;&gt;LineærRegression_Valg[[#This Row],[Uafhængig variabel ID]]</f>
        <v>1</v>
      </c>
      <c r="E929" t="b">
        <f>LineærRegression_Valg[[#This Row],[Afhængig variabel ID]]&lt;=$B$5</f>
        <v>0</v>
      </c>
      <c r="F929" t="str" cm="1">
        <f t="array" ref="F929">IF(LineærRegression_Valg[[#This Row],[Indenfor range]],INDEX(DataTitel_liste,LineærRegression_Valg[[#This Row],[Afhængig variabel ID]]),INDEX(DataTitel_liste,1))</f>
        <v>Eksempel 1 (interval)</v>
      </c>
      <c r="G929" s="188" t="str" cm="1">
        <f t="array" ref="G929">IF(LineærRegression_Valg[[#This Row],[Indenfor range]],IF(LineærRegression_Valg[[#This Row],[Intet overlap]],INDEX(DataTitel_liste,LineærRegression_Valg[[#This Row],[Uafhængig variabel ID]]),INDEX(DataTitel_liste,IF(LineærRegression_Valg[[#This Row],[Afhængig variabel ID]]=1,2,1))),$B$7)</f>
        <v>Eksempel 2 (interval)</v>
      </c>
      <c r="H929" s="188">
        <f>_xlfn.AGGREGATE(2,5,LineærRegression_Valg[[#This Row],[Tabel ID]])</f>
        <v>1</v>
      </c>
    </row>
    <row r="930" spans="1:8" x14ac:dyDescent="0.2">
      <c r="A930">
        <f>ROW(LineærRegression_Valg[[#This Row],[Tabel ID]])-ROW(LineærRegression_Valg[[#Headers],[Tabel ID]])</f>
        <v>920</v>
      </c>
      <c r="B930" s="188">
        <f>ROUNDDOWN((LineærRegression_Valg[[#This Row],[Tabel ID]]-1)/$B$5,0)+1</f>
        <v>230</v>
      </c>
      <c r="C930" s="188">
        <f t="shared" si="14"/>
        <v>4</v>
      </c>
      <c r="D930" s="188" t="b">
        <f>LineærRegression_Valg[[#This Row],[Afhængig variabel ID]]&lt;&gt;LineærRegression_Valg[[#This Row],[Uafhængig variabel ID]]</f>
        <v>1</v>
      </c>
      <c r="E930" t="b">
        <f>LineærRegression_Valg[[#This Row],[Afhængig variabel ID]]&lt;=$B$5</f>
        <v>0</v>
      </c>
      <c r="F930" t="str" cm="1">
        <f t="array" ref="F930">IF(LineærRegression_Valg[[#This Row],[Indenfor range]],INDEX(DataTitel_liste,LineærRegression_Valg[[#This Row],[Afhængig variabel ID]]),INDEX(DataTitel_liste,1))</f>
        <v>Eksempel 1 (interval)</v>
      </c>
      <c r="G930" s="188" t="str" cm="1">
        <f t="array" ref="G930">IF(LineærRegression_Valg[[#This Row],[Indenfor range]],IF(LineærRegression_Valg[[#This Row],[Intet overlap]],INDEX(DataTitel_liste,LineærRegression_Valg[[#This Row],[Uafhængig variabel ID]]),INDEX(DataTitel_liste,IF(LineærRegression_Valg[[#This Row],[Afhængig variabel ID]]=1,2,1))),$B$7)</f>
        <v>Eksempel 2 (interval)</v>
      </c>
      <c r="H930" s="188">
        <f>_xlfn.AGGREGATE(2,5,LineærRegression_Valg[[#This Row],[Tabel ID]])</f>
        <v>1</v>
      </c>
    </row>
    <row r="931" spans="1:8" x14ac:dyDescent="0.2">
      <c r="A931">
        <f>ROW(LineærRegression_Valg[[#This Row],[Tabel ID]])-ROW(LineærRegression_Valg[[#Headers],[Tabel ID]])</f>
        <v>921</v>
      </c>
      <c r="B931" s="188">
        <f>ROUNDDOWN((LineærRegression_Valg[[#This Row],[Tabel ID]]-1)/$B$5,0)+1</f>
        <v>231</v>
      </c>
      <c r="C931" s="188">
        <f t="shared" si="14"/>
        <v>1</v>
      </c>
      <c r="D931" s="188" t="b">
        <f>LineærRegression_Valg[[#This Row],[Afhængig variabel ID]]&lt;&gt;LineærRegression_Valg[[#This Row],[Uafhængig variabel ID]]</f>
        <v>1</v>
      </c>
      <c r="E931" t="b">
        <f>LineærRegression_Valg[[#This Row],[Afhængig variabel ID]]&lt;=$B$5</f>
        <v>0</v>
      </c>
      <c r="F931" t="str" cm="1">
        <f t="array" ref="F931">IF(LineærRegression_Valg[[#This Row],[Indenfor range]],INDEX(DataTitel_liste,LineærRegression_Valg[[#This Row],[Afhængig variabel ID]]),INDEX(DataTitel_liste,1))</f>
        <v>Eksempel 1 (interval)</v>
      </c>
      <c r="G931" s="188" t="str" cm="1">
        <f t="array" ref="G931">IF(LineærRegression_Valg[[#This Row],[Indenfor range]],IF(LineærRegression_Valg[[#This Row],[Intet overlap]],INDEX(DataTitel_liste,LineærRegression_Valg[[#This Row],[Uafhængig variabel ID]]),INDEX(DataTitel_liste,IF(LineærRegression_Valg[[#This Row],[Afhængig variabel ID]]=1,2,1))),$B$7)</f>
        <v>Eksempel 2 (interval)</v>
      </c>
      <c r="H931" s="188">
        <f>_xlfn.AGGREGATE(2,5,LineærRegression_Valg[[#This Row],[Tabel ID]])</f>
        <v>1</v>
      </c>
    </row>
    <row r="932" spans="1:8" x14ac:dyDescent="0.2">
      <c r="A932">
        <f>ROW(LineærRegression_Valg[[#This Row],[Tabel ID]])-ROW(LineærRegression_Valg[[#Headers],[Tabel ID]])</f>
        <v>922</v>
      </c>
      <c r="B932" s="188">
        <f>ROUNDDOWN((LineærRegression_Valg[[#This Row],[Tabel ID]]-1)/$B$5,0)+1</f>
        <v>231</v>
      </c>
      <c r="C932" s="188">
        <f t="shared" si="14"/>
        <v>2</v>
      </c>
      <c r="D932" s="188" t="b">
        <f>LineærRegression_Valg[[#This Row],[Afhængig variabel ID]]&lt;&gt;LineærRegression_Valg[[#This Row],[Uafhængig variabel ID]]</f>
        <v>1</v>
      </c>
      <c r="E932" t="b">
        <f>LineærRegression_Valg[[#This Row],[Afhængig variabel ID]]&lt;=$B$5</f>
        <v>0</v>
      </c>
      <c r="F932" t="str" cm="1">
        <f t="array" ref="F932">IF(LineærRegression_Valg[[#This Row],[Indenfor range]],INDEX(DataTitel_liste,LineærRegression_Valg[[#This Row],[Afhængig variabel ID]]),INDEX(DataTitel_liste,1))</f>
        <v>Eksempel 1 (interval)</v>
      </c>
      <c r="G932" s="188" t="str" cm="1">
        <f t="array" ref="G932">IF(LineærRegression_Valg[[#This Row],[Indenfor range]],IF(LineærRegression_Valg[[#This Row],[Intet overlap]],INDEX(DataTitel_liste,LineærRegression_Valg[[#This Row],[Uafhængig variabel ID]]),INDEX(DataTitel_liste,IF(LineærRegression_Valg[[#This Row],[Afhængig variabel ID]]=1,2,1))),$B$7)</f>
        <v>Eksempel 2 (interval)</v>
      </c>
      <c r="H932" s="188">
        <f>_xlfn.AGGREGATE(2,5,LineærRegression_Valg[[#This Row],[Tabel ID]])</f>
        <v>1</v>
      </c>
    </row>
    <row r="933" spans="1:8" x14ac:dyDescent="0.2">
      <c r="A933">
        <f>ROW(LineærRegression_Valg[[#This Row],[Tabel ID]])-ROW(LineærRegression_Valg[[#Headers],[Tabel ID]])</f>
        <v>923</v>
      </c>
      <c r="B933" s="188">
        <f>ROUNDDOWN((LineærRegression_Valg[[#This Row],[Tabel ID]]-1)/$B$5,0)+1</f>
        <v>231</v>
      </c>
      <c r="C933" s="188">
        <f t="shared" si="14"/>
        <v>3</v>
      </c>
      <c r="D933" s="188" t="b">
        <f>LineærRegression_Valg[[#This Row],[Afhængig variabel ID]]&lt;&gt;LineærRegression_Valg[[#This Row],[Uafhængig variabel ID]]</f>
        <v>1</v>
      </c>
      <c r="E933" t="b">
        <f>LineærRegression_Valg[[#This Row],[Afhængig variabel ID]]&lt;=$B$5</f>
        <v>0</v>
      </c>
      <c r="F933" t="str" cm="1">
        <f t="array" ref="F933">IF(LineærRegression_Valg[[#This Row],[Indenfor range]],INDEX(DataTitel_liste,LineærRegression_Valg[[#This Row],[Afhængig variabel ID]]),INDEX(DataTitel_liste,1))</f>
        <v>Eksempel 1 (interval)</v>
      </c>
      <c r="G933" s="188" t="str" cm="1">
        <f t="array" ref="G933">IF(LineærRegression_Valg[[#This Row],[Indenfor range]],IF(LineærRegression_Valg[[#This Row],[Intet overlap]],INDEX(DataTitel_liste,LineærRegression_Valg[[#This Row],[Uafhængig variabel ID]]),INDEX(DataTitel_liste,IF(LineærRegression_Valg[[#This Row],[Afhængig variabel ID]]=1,2,1))),$B$7)</f>
        <v>Eksempel 2 (interval)</v>
      </c>
      <c r="H933" s="188">
        <f>_xlfn.AGGREGATE(2,5,LineærRegression_Valg[[#This Row],[Tabel ID]])</f>
        <v>1</v>
      </c>
    </row>
    <row r="934" spans="1:8" x14ac:dyDescent="0.2">
      <c r="A934">
        <f>ROW(LineærRegression_Valg[[#This Row],[Tabel ID]])-ROW(LineærRegression_Valg[[#Headers],[Tabel ID]])</f>
        <v>924</v>
      </c>
      <c r="B934" s="188">
        <f>ROUNDDOWN((LineærRegression_Valg[[#This Row],[Tabel ID]]-1)/$B$5,0)+1</f>
        <v>231</v>
      </c>
      <c r="C934" s="188">
        <f t="shared" si="14"/>
        <v>4</v>
      </c>
      <c r="D934" s="188" t="b">
        <f>LineærRegression_Valg[[#This Row],[Afhængig variabel ID]]&lt;&gt;LineærRegression_Valg[[#This Row],[Uafhængig variabel ID]]</f>
        <v>1</v>
      </c>
      <c r="E934" t="b">
        <f>LineærRegression_Valg[[#This Row],[Afhængig variabel ID]]&lt;=$B$5</f>
        <v>0</v>
      </c>
      <c r="F934" t="str" cm="1">
        <f t="array" ref="F934">IF(LineærRegression_Valg[[#This Row],[Indenfor range]],INDEX(DataTitel_liste,LineærRegression_Valg[[#This Row],[Afhængig variabel ID]]),INDEX(DataTitel_liste,1))</f>
        <v>Eksempel 1 (interval)</v>
      </c>
      <c r="G934" s="188" t="str" cm="1">
        <f t="array" ref="G934">IF(LineærRegression_Valg[[#This Row],[Indenfor range]],IF(LineærRegression_Valg[[#This Row],[Intet overlap]],INDEX(DataTitel_liste,LineærRegression_Valg[[#This Row],[Uafhængig variabel ID]]),INDEX(DataTitel_liste,IF(LineærRegression_Valg[[#This Row],[Afhængig variabel ID]]=1,2,1))),$B$7)</f>
        <v>Eksempel 2 (interval)</v>
      </c>
      <c r="H934" s="188">
        <f>_xlfn.AGGREGATE(2,5,LineærRegression_Valg[[#This Row],[Tabel ID]])</f>
        <v>1</v>
      </c>
    </row>
    <row r="935" spans="1:8" x14ac:dyDescent="0.2">
      <c r="A935">
        <f>ROW(LineærRegression_Valg[[#This Row],[Tabel ID]])-ROW(LineærRegression_Valg[[#Headers],[Tabel ID]])</f>
        <v>925</v>
      </c>
      <c r="B935" s="188">
        <f>ROUNDDOWN((LineærRegression_Valg[[#This Row],[Tabel ID]]-1)/$B$5,0)+1</f>
        <v>232</v>
      </c>
      <c r="C935" s="188">
        <f t="shared" si="14"/>
        <v>1</v>
      </c>
      <c r="D935" s="188" t="b">
        <f>LineærRegression_Valg[[#This Row],[Afhængig variabel ID]]&lt;&gt;LineærRegression_Valg[[#This Row],[Uafhængig variabel ID]]</f>
        <v>1</v>
      </c>
      <c r="E935" t="b">
        <f>LineærRegression_Valg[[#This Row],[Afhængig variabel ID]]&lt;=$B$5</f>
        <v>0</v>
      </c>
      <c r="F935" t="str" cm="1">
        <f t="array" ref="F935">IF(LineærRegression_Valg[[#This Row],[Indenfor range]],INDEX(DataTitel_liste,LineærRegression_Valg[[#This Row],[Afhængig variabel ID]]),INDEX(DataTitel_liste,1))</f>
        <v>Eksempel 1 (interval)</v>
      </c>
      <c r="G935" s="188" t="str" cm="1">
        <f t="array" ref="G935">IF(LineærRegression_Valg[[#This Row],[Indenfor range]],IF(LineærRegression_Valg[[#This Row],[Intet overlap]],INDEX(DataTitel_liste,LineærRegression_Valg[[#This Row],[Uafhængig variabel ID]]),INDEX(DataTitel_liste,IF(LineærRegression_Valg[[#This Row],[Afhængig variabel ID]]=1,2,1))),$B$7)</f>
        <v>Eksempel 2 (interval)</v>
      </c>
      <c r="H935" s="188">
        <f>_xlfn.AGGREGATE(2,5,LineærRegression_Valg[[#This Row],[Tabel ID]])</f>
        <v>1</v>
      </c>
    </row>
    <row r="936" spans="1:8" x14ac:dyDescent="0.2">
      <c r="A936">
        <f>ROW(LineærRegression_Valg[[#This Row],[Tabel ID]])-ROW(LineærRegression_Valg[[#Headers],[Tabel ID]])</f>
        <v>926</v>
      </c>
      <c r="B936" s="188">
        <f>ROUNDDOWN((LineærRegression_Valg[[#This Row],[Tabel ID]]-1)/$B$5,0)+1</f>
        <v>232</v>
      </c>
      <c r="C936" s="188">
        <f t="shared" si="14"/>
        <v>2</v>
      </c>
      <c r="D936" s="188" t="b">
        <f>LineærRegression_Valg[[#This Row],[Afhængig variabel ID]]&lt;&gt;LineærRegression_Valg[[#This Row],[Uafhængig variabel ID]]</f>
        <v>1</v>
      </c>
      <c r="E936" t="b">
        <f>LineærRegression_Valg[[#This Row],[Afhængig variabel ID]]&lt;=$B$5</f>
        <v>0</v>
      </c>
      <c r="F936" t="str" cm="1">
        <f t="array" ref="F936">IF(LineærRegression_Valg[[#This Row],[Indenfor range]],INDEX(DataTitel_liste,LineærRegression_Valg[[#This Row],[Afhængig variabel ID]]),INDEX(DataTitel_liste,1))</f>
        <v>Eksempel 1 (interval)</v>
      </c>
      <c r="G936" s="188" t="str" cm="1">
        <f t="array" ref="G936">IF(LineærRegression_Valg[[#This Row],[Indenfor range]],IF(LineærRegression_Valg[[#This Row],[Intet overlap]],INDEX(DataTitel_liste,LineærRegression_Valg[[#This Row],[Uafhængig variabel ID]]),INDEX(DataTitel_liste,IF(LineærRegression_Valg[[#This Row],[Afhængig variabel ID]]=1,2,1))),$B$7)</f>
        <v>Eksempel 2 (interval)</v>
      </c>
      <c r="H936" s="188">
        <f>_xlfn.AGGREGATE(2,5,LineærRegression_Valg[[#This Row],[Tabel ID]])</f>
        <v>1</v>
      </c>
    </row>
    <row r="937" spans="1:8" x14ac:dyDescent="0.2">
      <c r="A937">
        <f>ROW(LineærRegression_Valg[[#This Row],[Tabel ID]])-ROW(LineærRegression_Valg[[#Headers],[Tabel ID]])</f>
        <v>927</v>
      </c>
      <c r="B937" s="188">
        <f>ROUNDDOWN((LineærRegression_Valg[[#This Row],[Tabel ID]]-1)/$B$5,0)+1</f>
        <v>232</v>
      </c>
      <c r="C937" s="188">
        <f t="shared" si="14"/>
        <v>3</v>
      </c>
      <c r="D937" s="188" t="b">
        <f>LineærRegression_Valg[[#This Row],[Afhængig variabel ID]]&lt;&gt;LineærRegression_Valg[[#This Row],[Uafhængig variabel ID]]</f>
        <v>1</v>
      </c>
      <c r="E937" t="b">
        <f>LineærRegression_Valg[[#This Row],[Afhængig variabel ID]]&lt;=$B$5</f>
        <v>0</v>
      </c>
      <c r="F937" t="str" cm="1">
        <f t="array" ref="F937">IF(LineærRegression_Valg[[#This Row],[Indenfor range]],INDEX(DataTitel_liste,LineærRegression_Valg[[#This Row],[Afhængig variabel ID]]),INDEX(DataTitel_liste,1))</f>
        <v>Eksempel 1 (interval)</v>
      </c>
      <c r="G937" s="188" t="str" cm="1">
        <f t="array" ref="G937">IF(LineærRegression_Valg[[#This Row],[Indenfor range]],IF(LineærRegression_Valg[[#This Row],[Intet overlap]],INDEX(DataTitel_liste,LineærRegression_Valg[[#This Row],[Uafhængig variabel ID]]),INDEX(DataTitel_liste,IF(LineærRegression_Valg[[#This Row],[Afhængig variabel ID]]=1,2,1))),$B$7)</f>
        <v>Eksempel 2 (interval)</v>
      </c>
      <c r="H937" s="188">
        <f>_xlfn.AGGREGATE(2,5,LineærRegression_Valg[[#This Row],[Tabel ID]])</f>
        <v>1</v>
      </c>
    </row>
    <row r="938" spans="1:8" x14ac:dyDescent="0.2">
      <c r="A938">
        <f>ROW(LineærRegression_Valg[[#This Row],[Tabel ID]])-ROW(LineærRegression_Valg[[#Headers],[Tabel ID]])</f>
        <v>928</v>
      </c>
      <c r="B938" s="188">
        <f>ROUNDDOWN((LineærRegression_Valg[[#This Row],[Tabel ID]]-1)/$B$5,0)+1</f>
        <v>232</v>
      </c>
      <c r="C938" s="188">
        <f t="shared" si="14"/>
        <v>4</v>
      </c>
      <c r="D938" s="188" t="b">
        <f>LineærRegression_Valg[[#This Row],[Afhængig variabel ID]]&lt;&gt;LineærRegression_Valg[[#This Row],[Uafhængig variabel ID]]</f>
        <v>1</v>
      </c>
      <c r="E938" t="b">
        <f>LineærRegression_Valg[[#This Row],[Afhængig variabel ID]]&lt;=$B$5</f>
        <v>0</v>
      </c>
      <c r="F938" t="str" cm="1">
        <f t="array" ref="F938">IF(LineærRegression_Valg[[#This Row],[Indenfor range]],INDEX(DataTitel_liste,LineærRegression_Valg[[#This Row],[Afhængig variabel ID]]),INDEX(DataTitel_liste,1))</f>
        <v>Eksempel 1 (interval)</v>
      </c>
      <c r="G938" s="188" t="str" cm="1">
        <f t="array" ref="G938">IF(LineærRegression_Valg[[#This Row],[Indenfor range]],IF(LineærRegression_Valg[[#This Row],[Intet overlap]],INDEX(DataTitel_liste,LineærRegression_Valg[[#This Row],[Uafhængig variabel ID]]),INDEX(DataTitel_liste,IF(LineærRegression_Valg[[#This Row],[Afhængig variabel ID]]=1,2,1))),$B$7)</f>
        <v>Eksempel 2 (interval)</v>
      </c>
      <c r="H938" s="188">
        <f>_xlfn.AGGREGATE(2,5,LineærRegression_Valg[[#This Row],[Tabel ID]])</f>
        <v>1</v>
      </c>
    </row>
    <row r="939" spans="1:8" x14ac:dyDescent="0.2">
      <c r="A939">
        <f>ROW(LineærRegression_Valg[[#This Row],[Tabel ID]])-ROW(LineærRegression_Valg[[#Headers],[Tabel ID]])</f>
        <v>929</v>
      </c>
      <c r="B939" s="188">
        <f>ROUNDDOWN((LineærRegression_Valg[[#This Row],[Tabel ID]]-1)/$B$5,0)+1</f>
        <v>233</v>
      </c>
      <c r="C939" s="188">
        <f t="shared" si="14"/>
        <v>1</v>
      </c>
      <c r="D939" s="188" t="b">
        <f>LineærRegression_Valg[[#This Row],[Afhængig variabel ID]]&lt;&gt;LineærRegression_Valg[[#This Row],[Uafhængig variabel ID]]</f>
        <v>1</v>
      </c>
      <c r="E939" t="b">
        <f>LineærRegression_Valg[[#This Row],[Afhængig variabel ID]]&lt;=$B$5</f>
        <v>0</v>
      </c>
      <c r="F939" t="str" cm="1">
        <f t="array" ref="F939">IF(LineærRegression_Valg[[#This Row],[Indenfor range]],INDEX(DataTitel_liste,LineærRegression_Valg[[#This Row],[Afhængig variabel ID]]),INDEX(DataTitel_liste,1))</f>
        <v>Eksempel 1 (interval)</v>
      </c>
      <c r="G939" s="188" t="str" cm="1">
        <f t="array" ref="G939">IF(LineærRegression_Valg[[#This Row],[Indenfor range]],IF(LineærRegression_Valg[[#This Row],[Intet overlap]],INDEX(DataTitel_liste,LineærRegression_Valg[[#This Row],[Uafhængig variabel ID]]),INDEX(DataTitel_liste,IF(LineærRegression_Valg[[#This Row],[Afhængig variabel ID]]=1,2,1))),$B$7)</f>
        <v>Eksempel 2 (interval)</v>
      </c>
      <c r="H939" s="188">
        <f>_xlfn.AGGREGATE(2,5,LineærRegression_Valg[[#This Row],[Tabel ID]])</f>
        <v>1</v>
      </c>
    </row>
    <row r="940" spans="1:8" x14ac:dyDescent="0.2">
      <c r="A940">
        <f>ROW(LineærRegression_Valg[[#This Row],[Tabel ID]])-ROW(LineærRegression_Valg[[#Headers],[Tabel ID]])</f>
        <v>930</v>
      </c>
      <c r="B940" s="188">
        <f>ROUNDDOWN((LineærRegression_Valg[[#This Row],[Tabel ID]]-1)/$B$5,0)+1</f>
        <v>233</v>
      </c>
      <c r="C940" s="188">
        <f t="shared" si="14"/>
        <v>2</v>
      </c>
      <c r="D940" s="188" t="b">
        <f>LineærRegression_Valg[[#This Row],[Afhængig variabel ID]]&lt;&gt;LineærRegression_Valg[[#This Row],[Uafhængig variabel ID]]</f>
        <v>1</v>
      </c>
      <c r="E940" t="b">
        <f>LineærRegression_Valg[[#This Row],[Afhængig variabel ID]]&lt;=$B$5</f>
        <v>0</v>
      </c>
      <c r="F940" t="str" cm="1">
        <f t="array" ref="F940">IF(LineærRegression_Valg[[#This Row],[Indenfor range]],INDEX(DataTitel_liste,LineærRegression_Valg[[#This Row],[Afhængig variabel ID]]),INDEX(DataTitel_liste,1))</f>
        <v>Eksempel 1 (interval)</v>
      </c>
      <c r="G940" s="188" t="str" cm="1">
        <f t="array" ref="G940">IF(LineærRegression_Valg[[#This Row],[Indenfor range]],IF(LineærRegression_Valg[[#This Row],[Intet overlap]],INDEX(DataTitel_liste,LineærRegression_Valg[[#This Row],[Uafhængig variabel ID]]),INDEX(DataTitel_liste,IF(LineærRegression_Valg[[#This Row],[Afhængig variabel ID]]=1,2,1))),$B$7)</f>
        <v>Eksempel 2 (interval)</v>
      </c>
      <c r="H940" s="188">
        <f>_xlfn.AGGREGATE(2,5,LineærRegression_Valg[[#This Row],[Tabel ID]])</f>
        <v>1</v>
      </c>
    </row>
    <row r="941" spans="1:8" x14ac:dyDescent="0.2">
      <c r="A941">
        <f>ROW(LineærRegression_Valg[[#This Row],[Tabel ID]])-ROW(LineærRegression_Valg[[#Headers],[Tabel ID]])</f>
        <v>931</v>
      </c>
      <c r="B941" s="188">
        <f>ROUNDDOWN((LineærRegression_Valg[[#This Row],[Tabel ID]]-1)/$B$5,0)+1</f>
        <v>233</v>
      </c>
      <c r="C941" s="188">
        <f t="shared" si="14"/>
        <v>3</v>
      </c>
      <c r="D941" s="188" t="b">
        <f>LineærRegression_Valg[[#This Row],[Afhængig variabel ID]]&lt;&gt;LineærRegression_Valg[[#This Row],[Uafhængig variabel ID]]</f>
        <v>1</v>
      </c>
      <c r="E941" t="b">
        <f>LineærRegression_Valg[[#This Row],[Afhængig variabel ID]]&lt;=$B$5</f>
        <v>0</v>
      </c>
      <c r="F941" t="str" cm="1">
        <f t="array" ref="F941">IF(LineærRegression_Valg[[#This Row],[Indenfor range]],INDEX(DataTitel_liste,LineærRegression_Valg[[#This Row],[Afhængig variabel ID]]),INDEX(DataTitel_liste,1))</f>
        <v>Eksempel 1 (interval)</v>
      </c>
      <c r="G941" s="188" t="str" cm="1">
        <f t="array" ref="G941">IF(LineærRegression_Valg[[#This Row],[Indenfor range]],IF(LineærRegression_Valg[[#This Row],[Intet overlap]],INDEX(DataTitel_liste,LineærRegression_Valg[[#This Row],[Uafhængig variabel ID]]),INDEX(DataTitel_liste,IF(LineærRegression_Valg[[#This Row],[Afhængig variabel ID]]=1,2,1))),$B$7)</f>
        <v>Eksempel 2 (interval)</v>
      </c>
      <c r="H941" s="188">
        <f>_xlfn.AGGREGATE(2,5,LineærRegression_Valg[[#This Row],[Tabel ID]])</f>
        <v>1</v>
      </c>
    </row>
    <row r="942" spans="1:8" x14ac:dyDescent="0.2">
      <c r="A942">
        <f>ROW(LineærRegression_Valg[[#This Row],[Tabel ID]])-ROW(LineærRegression_Valg[[#Headers],[Tabel ID]])</f>
        <v>932</v>
      </c>
      <c r="B942" s="188">
        <f>ROUNDDOWN((LineærRegression_Valg[[#This Row],[Tabel ID]]-1)/$B$5,0)+1</f>
        <v>233</v>
      </c>
      <c r="C942" s="188">
        <f t="shared" si="14"/>
        <v>4</v>
      </c>
      <c r="D942" s="188" t="b">
        <f>LineærRegression_Valg[[#This Row],[Afhængig variabel ID]]&lt;&gt;LineærRegression_Valg[[#This Row],[Uafhængig variabel ID]]</f>
        <v>1</v>
      </c>
      <c r="E942" t="b">
        <f>LineærRegression_Valg[[#This Row],[Afhængig variabel ID]]&lt;=$B$5</f>
        <v>0</v>
      </c>
      <c r="F942" t="str" cm="1">
        <f t="array" ref="F942">IF(LineærRegression_Valg[[#This Row],[Indenfor range]],INDEX(DataTitel_liste,LineærRegression_Valg[[#This Row],[Afhængig variabel ID]]),INDEX(DataTitel_liste,1))</f>
        <v>Eksempel 1 (interval)</v>
      </c>
      <c r="G942" s="188" t="str" cm="1">
        <f t="array" ref="G942">IF(LineærRegression_Valg[[#This Row],[Indenfor range]],IF(LineærRegression_Valg[[#This Row],[Intet overlap]],INDEX(DataTitel_liste,LineærRegression_Valg[[#This Row],[Uafhængig variabel ID]]),INDEX(DataTitel_liste,IF(LineærRegression_Valg[[#This Row],[Afhængig variabel ID]]=1,2,1))),$B$7)</f>
        <v>Eksempel 2 (interval)</v>
      </c>
      <c r="H942" s="188">
        <f>_xlfn.AGGREGATE(2,5,LineærRegression_Valg[[#This Row],[Tabel ID]])</f>
        <v>1</v>
      </c>
    </row>
    <row r="943" spans="1:8" x14ac:dyDescent="0.2">
      <c r="A943">
        <f>ROW(LineærRegression_Valg[[#This Row],[Tabel ID]])-ROW(LineærRegression_Valg[[#Headers],[Tabel ID]])</f>
        <v>933</v>
      </c>
      <c r="B943" s="188">
        <f>ROUNDDOWN((LineærRegression_Valg[[#This Row],[Tabel ID]]-1)/$B$5,0)+1</f>
        <v>234</v>
      </c>
      <c r="C943" s="188">
        <f t="shared" si="14"/>
        <v>1</v>
      </c>
      <c r="D943" s="188" t="b">
        <f>LineærRegression_Valg[[#This Row],[Afhængig variabel ID]]&lt;&gt;LineærRegression_Valg[[#This Row],[Uafhængig variabel ID]]</f>
        <v>1</v>
      </c>
      <c r="E943" t="b">
        <f>LineærRegression_Valg[[#This Row],[Afhængig variabel ID]]&lt;=$B$5</f>
        <v>0</v>
      </c>
      <c r="F943" t="str" cm="1">
        <f t="array" ref="F943">IF(LineærRegression_Valg[[#This Row],[Indenfor range]],INDEX(DataTitel_liste,LineærRegression_Valg[[#This Row],[Afhængig variabel ID]]),INDEX(DataTitel_liste,1))</f>
        <v>Eksempel 1 (interval)</v>
      </c>
      <c r="G943" s="188" t="str" cm="1">
        <f t="array" ref="G943">IF(LineærRegression_Valg[[#This Row],[Indenfor range]],IF(LineærRegression_Valg[[#This Row],[Intet overlap]],INDEX(DataTitel_liste,LineærRegression_Valg[[#This Row],[Uafhængig variabel ID]]),INDEX(DataTitel_liste,IF(LineærRegression_Valg[[#This Row],[Afhængig variabel ID]]=1,2,1))),$B$7)</f>
        <v>Eksempel 2 (interval)</v>
      </c>
      <c r="H943" s="188">
        <f>_xlfn.AGGREGATE(2,5,LineærRegression_Valg[[#This Row],[Tabel ID]])</f>
        <v>1</v>
      </c>
    </row>
    <row r="944" spans="1:8" x14ac:dyDescent="0.2">
      <c r="A944">
        <f>ROW(LineærRegression_Valg[[#This Row],[Tabel ID]])-ROW(LineærRegression_Valg[[#Headers],[Tabel ID]])</f>
        <v>934</v>
      </c>
      <c r="B944" s="188">
        <f>ROUNDDOWN((LineærRegression_Valg[[#This Row],[Tabel ID]]-1)/$B$5,0)+1</f>
        <v>234</v>
      </c>
      <c r="C944" s="188">
        <f t="shared" si="14"/>
        <v>2</v>
      </c>
      <c r="D944" s="188" t="b">
        <f>LineærRegression_Valg[[#This Row],[Afhængig variabel ID]]&lt;&gt;LineærRegression_Valg[[#This Row],[Uafhængig variabel ID]]</f>
        <v>1</v>
      </c>
      <c r="E944" t="b">
        <f>LineærRegression_Valg[[#This Row],[Afhængig variabel ID]]&lt;=$B$5</f>
        <v>0</v>
      </c>
      <c r="F944" t="str" cm="1">
        <f t="array" ref="F944">IF(LineærRegression_Valg[[#This Row],[Indenfor range]],INDEX(DataTitel_liste,LineærRegression_Valg[[#This Row],[Afhængig variabel ID]]),INDEX(DataTitel_liste,1))</f>
        <v>Eksempel 1 (interval)</v>
      </c>
      <c r="G944" s="188" t="str" cm="1">
        <f t="array" ref="G944">IF(LineærRegression_Valg[[#This Row],[Indenfor range]],IF(LineærRegression_Valg[[#This Row],[Intet overlap]],INDEX(DataTitel_liste,LineærRegression_Valg[[#This Row],[Uafhængig variabel ID]]),INDEX(DataTitel_liste,IF(LineærRegression_Valg[[#This Row],[Afhængig variabel ID]]=1,2,1))),$B$7)</f>
        <v>Eksempel 2 (interval)</v>
      </c>
      <c r="H944" s="188">
        <f>_xlfn.AGGREGATE(2,5,LineærRegression_Valg[[#This Row],[Tabel ID]])</f>
        <v>1</v>
      </c>
    </row>
    <row r="945" spans="1:8" x14ac:dyDescent="0.2">
      <c r="A945">
        <f>ROW(LineærRegression_Valg[[#This Row],[Tabel ID]])-ROW(LineærRegression_Valg[[#Headers],[Tabel ID]])</f>
        <v>935</v>
      </c>
      <c r="B945" s="188">
        <f>ROUNDDOWN((LineærRegression_Valg[[#This Row],[Tabel ID]]-1)/$B$5,0)+1</f>
        <v>234</v>
      </c>
      <c r="C945" s="188">
        <f t="shared" si="14"/>
        <v>3</v>
      </c>
      <c r="D945" s="188" t="b">
        <f>LineærRegression_Valg[[#This Row],[Afhængig variabel ID]]&lt;&gt;LineærRegression_Valg[[#This Row],[Uafhængig variabel ID]]</f>
        <v>1</v>
      </c>
      <c r="E945" t="b">
        <f>LineærRegression_Valg[[#This Row],[Afhængig variabel ID]]&lt;=$B$5</f>
        <v>0</v>
      </c>
      <c r="F945" t="str" cm="1">
        <f t="array" ref="F945">IF(LineærRegression_Valg[[#This Row],[Indenfor range]],INDEX(DataTitel_liste,LineærRegression_Valg[[#This Row],[Afhængig variabel ID]]),INDEX(DataTitel_liste,1))</f>
        <v>Eksempel 1 (interval)</v>
      </c>
      <c r="G945" s="188" t="str" cm="1">
        <f t="array" ref="G945">IF(LineærRegression_Valg[[#This Row],[Indenfor range]],IF(LineærRegression_Valg[[#This Row],[Intet overlap]],INDEX(DataTitel_liste,LineærRegression_Valg[[#This Row],[Uafhængig variabel ID]]),INDEX(DataTitel_liste,IF(LineærRegression_Valg[[#This Row],[Afhængig variabel ID]]=1,2,1))),$B$7)</f>
        <v>Eksempel 2 (interval)</v>
      </c>
      <c r="H945" s="188">
        <f>_xlfn.AGGREGATE(2,5,LineærRegression_Valg[[#This Row],[Tabel ID]])</f>
        <v>1</v>
      </c>
    </row>
    <row r="946" spans="1:8" x14ac:dyDescent="0.2">
      <c r="A946">
        <f>ROW(LineærRegression_Valg[[#This Row],[Tabel ID]])-ROW(LineærRegression_Valg[[#Headers],[Tabel ID]])</f>
        <v>936</v>
      </c>
      <c r="B946" s="188">
        <f>ROUNDDOWN((LineærRegression_Valg[[#This Row],[Tabel ID]]-1)/$B$5,0)+1</f>
        <v>234</v>
      </c>
      <c r="C946" s="188">
        <f t="shared" si="14"/>
        <v>4</v>
      </c>
      <c r="D946" s="188" t="b">
        <f>LineærRegression_Valg[[#This Row],[Afhængig variabel ID]]&lt;&gt;LineærRegression_Valg[[#This Row],[Uafhængig variabel ID]]</f>
        <v>1</v>
      </c>
      <c r="E946" t="b">
        <f>LineærRegression_Valg[[#This Row],[Afhængig variabel ID]]&lt;=$B$5</f>
        <v>0</v>
      </c>
      <c r="F946" t="str" cm="1">
        <f t="array" ref="F946">IF(LineærRegression_Valg[[#This Row],[Indenfor range]],INDEX(DataTitel_liste,LineærRegression_Valg[[#This Row],[Afhængig variabel ID]]),INDEX(DataTitel_liste,1))</f>
        <v>Eksempel 1 (interval)</v>
      </c>
      <c r="G946" s="188" t="str" cm="1">
        <f t="array" ref="G946">IF(LineærRegression_Valg[[#This Row],[Indenfor range]],IF(LineærRegression_Valg[[#This Row],[Intet overlap]],INDEX(DataTitel_liste,LineærRegression_Valg[[#This Row],[Uafhængig variabel ID]]),INDEX(DataTitel_liste,IF(LineærRegression_Valg[[#This Row],[Afhængig variabel ID]]=1,2,1))),$B$7)</f>
        <v>Eksempel 2 (interval)</v>
      </c>
      <c r="H946" s="188">
        <f>_xlfn.AGGREGATE(2,5,LineærRegression_Valg[[#This Row],[Tabel ID]])</f>
        <v>1</v>
      </c>
    </row>
    <row r="947" spans="1:8" x14ac:dyDescent="0.2">
      <c r="A947">
        <f>ROW(LineærRegression_Valg[[#This Row],[Tabel ID]])-ROW(LineærRegression_Valg[[#Headers],[Tabel ID]])</f>
        <v>937</v>
      </c>
      <c r="B947" s="188">
        <f>ROUNDDOWN((LineærRegression_Valg[[#This Row],[Tabel ID]]-1)/$B$5,0)+1</f>
        <v>235</v>
      </c>
      <c r="C947" s="188">
        <f t="shared" si="14"/>
        <v>1</v>
      </c>
      <c r="D947" s="188" t="b">
        <f>LineærRegression_Valg[[#This Row],[Afhængig variabel ID]]&lt;&gt;LineærRegression_Valg[[#This Row],[Uafhængig variabel ID]]</f>
        <v>1</v>
      </c>
      <c r="E947" t="b">
        <f>LineærRegression_Valg[[#This Row],[Afhængig variabel ID]]&lt;=$B$5</f>
        <v>0</v>
      </c>
      <c r="F947" t="str" cm="1">
        <f t="array" ref="F947">IF(LineærRegression_Valg[[#This Row],[Indenfor range]],INDEX(DataTitel_liste,LineærRegression_Valg[[#This Row],[Afhængig variabel ID]]),INDEX(DataTitel_liste,1))</f>
        <v>Eksempel 1 (interval)</v>
      </c>
      <c r="G947" s="188" t="str" cm="1">
        <f t="array" ref="G947">IF(LineærRegression_Valg[[#This Row],[Indenfor range]],IF(LineærRegression_Valg[[#This Row],[Intet overlap]],INDEX(DataTitel_liste,LineærRegression_Valg[[#This Row],[Uafhængig variabel ID]]),INDEX(DataTitel_liste,IF(LineærRegression_Valg[[#This Row],[Afhængig variabel ID]]=1,2,1))),$B$7)</f>
        <v>Eksempel 2 (interval)</v>
      </c>
      <c r="H947" s="188">
        <f>_xlfn.AGGREGATE(2,5,LineærRegression_Valg[[#This Row],[Tabel ID]])</f>
        <v>1</v>
      </c>
    </row>
    <row r="948" spans="1:8" x14ac:dyDescent="0.2">
      <c r="A948">
        <f>ROW(LineærRegression_Valg[[#This Row],[Tabel ID]])-ROW(LineærRegression_Valg[[#Headers],[Tabel ID]])</f>
        <v>938</v>
      </c>
      <c r="B948" s="188">
        <f>ROUNDDOWN((LineærRegression_Valg[[#This Row],[Tabel ID]]-1)/$B$5,0)+1</f>
        <v>235</v>
      </c>
      <c r="C948" s="188">
        <f t="shared" si="14"/>
        <v>2</v>
      </c>
      <c r="D948" s="188" t="b">
        <f>LineærRegression_Valg[[#This Row],[Afhængig variabel ID]]&lt;&gt;LineærRegression_Valg[[#This Row],[Uafhængig variabel ID]]</f>
        <v>1</v>
      </c>
      <c r="E948" t="b">
        <f>LineærRegression_Valg[[#This Row],[Afhængig variabel ID]]&lt;=$B$5</f>
        <v>0</v>
      </c>
      <c r="F948" t="str" cm="1">
        <f t="array" ref="F948">IF(LineærRegression_Valg[[#This Row],[Indenfor range]],INDEX(DataTitel_liste,LineærRegression_Valg[[#This Row],[Afhængig variabel ID]]),INDEX(DataTitel_liste,1))</f>
        <v>Eksempel 1 (interval)</v>
      </c>
      <c r="G948" s="188" t="str" cm="1">
        <f t="array" ref="G948">IF(LineærRegression_Valg[[#This Row],[Indenfor range]],IF(LineærRegression_Valg[[#This Row],[Intet overlap]],INDEX(DataTitel_liste,LineærRegression_Valg[[#This Row],[Uafhængig variabel ID]]),INDEX(DataTitel_liste,IF(LineærRegression_Valg[[#This Row],[Afhængig variabel ID]]=1,2,1))),$B$7)</f>
        <v>Eksempel 2 (interval)</v>
      </c>
      <c r="H948" s="188">
        <f>_xlfn.AGGREGATE(2,5,LineærRegression_Valg[[#This Row],[Tabel ID]])</f>
        <v>1</v>
      </c>
    </row>
    <row r="949" spans="1:8" x14ac:dyDescent="0.2">
      <c r="A949">
        <f>ROW(LineærRegression_Valg[[#This Row],[Tabel ID]])-ROW(LineærRegression_Valg[[#Headers],[Tabel ID]])</f>
        <v>939</v>
      </c>
      <c r="B949" s="188">
        <f>ROUNDDOWN((LineærRegression_Valg[[#This Row],[Tabel ID]]-1)/$B$5,0)+1</f>
        <v>235</v>
      </c>
      <c r="C949" s="188">
        <f t="shared" si="14"/>
        <v>3</v>
      </c>
      <c r="D949" s="188" t="b">
        <f>LineærRegression_Valg[[#This Row],[Afhængig variabel ID]]&lt;&gt;LineærRegression_Valg[[#This Row],[Uafhængig variabel ID]]</f>
        <v>1</v>
      </c>
      <c r="E949" t="b">
        <f>LineærRegression_Valg[[#This Row],[Afhængig variabel ID]]&lt;=$B$5</f>
        <v>0</v>
      </c>
      <c r="F949" t="str" cm="1">
        <f t="array" ref="F949">IF(LineærRegression_Valg[[#This Row],[Indenfor range]],INDEX(DataTitel_liste,LineærRegression_Valg[[#This Row],[Afhængig variabel ID]]),INDEX(DataTitel_liste,1))</f>
        <v>Eksempel 1 (interval)</v>
      </c>
      <c r="G949" s="188" t="str" cm="1">
        <f t="array" ref="G949">IF(LineærRegression_Valg[[#This Row],[Indenfor range]],IF(LineærRegression_Valg[[#This Row],[Intet overlap]],INDEX(DataTitel_liste,LineærRegression_Valg[[#This Row],[Uafhængig variabel ID]]),INDEX(DataTitel_liste,IF(LineærRegression_Valg[[#This Row],[Afhængig variabel ID]]=1,2,1))),$B$7)</f>
        <v>Eksempel 2 (interval)</v>
      </c>
      <c r="H949" s="188">
        <f>_xlfn.AGGREGATE(2,5,LineærRegression_Valg[[#This Row],[Tabel ID]])</f>
        <v>1</v>
      </c>
    </row>
    <row r="950" spans="1:8" x14ac:dyDescent="0.2">
      <c r="A950">
        <f>ROW(LineærRegression_Valg[[#This Row],[Tabel ID]])-ROW(LineærRegression_Valg[[#Headers],[Tabel ID]])</f>
        <v>940</v>
      </c>
      <c r="B950" s="188">
        <f>ROUNDDOWN((LineærRegression_Valg[[#This Row],[Tabel ID]]-1)/$B$5,0)+1</f>
        <v>235</v>
      </c>
      <c r="C950" s="188">
        <f t="shared" si="14"/>
        <v>4</v>
      </c>
      <c r="D950" s="188" t="b">
        <f>LineærRegression_Valg[[#This Row],[Afhængig variabel ID]]&lt;&gt;LineærRegression_Valg[[#This Row],[Uafhængig variabel ID]]</f>
        <v>1</v>
      </c>
      <c r="E950" t="b">
        <f>LineærRegression_Valg[[#This Row],[Afhængig variabel ID]]&lt;=$B$5</f>
        <v>0</v>
      </c>
      <c r="F950" t="str" cm="1">
        <f t="array" ref="F950">IF(LineærRegression_Valg[[#This Row],[Indenfor range]],INDEX(DataTitel_liste,LineærRegression_Valg[[#This Row],[Afhængig variabel ID]]),INDEX(DataTitel_liste,1))</f>
        <v>Eksempel 1 (interval)</v>
      </c>
      <c r="G950" s="188" t="str" cm="1">
        <f t="array" ref="G950">IF(LineærRegression_Valg[[#This Row],[Indenfor range]],IF(LineærRegression_Valg[[#This Row],[Intet overlap]],INDEX(DataTitel_liste,LineærRegression_Valg[[#This Row],[Uafhængig variabel ID]]),INDEX(DataTitel_liste,IF(LineærRegression_Valg[[#This Row],[Afhængig variabel ID]]=1,2,1))),$B$7)</f>
        <v>Eksempel 2 (interval)</v>
      </c>
      <c r="H950" s="188">
        <f>_xlfn.AGGREGATE(2,5,LineærRegression_Valg[[#This Row],[Tabel ID]])</f>
        <v>1</v>
      </c>
    </row>
    <row r="951" spans="1:8" x14ac:dyDescent="0.2">
      <c r="A951">
        <f>ROW(LineærRegression_Valg[[#This Row],[Tabel ID]])-ROW(LineærRegression_Valg[[#Headers],[Tabel ID]])</f>
        <v>941</v>
      </c>
      <c r="B951" s="188">
        <f>ROUNDDOWN((LineærRegression_Valg[[#This Row],[Tabel ID]]-1)/$B$5,0)+1</f>
        <v>236</v>
      </c>
      <c r="C951" s="188">
        <f t="shared" si="14"/>
        <v>1</v>
      </c>
      <c r="D951" s="188" t="b">
        <f>LineærRegression_Valg[[#This Row],[Afhængig variabel ID]]&lt;&gt;LineærRegression_Valg[[#This Row],[Uafhængig variabel ID]]</f>
        <v>1</v>
      </c>
      <c r="E951" t="b">
        <f>LineærRegression_Valg[[#This Row],[Afhængig variabel ID]]&lt;=$B$5</f>
        <v>0</v>
      </c>
      <c r="F951" t="str" cm="1">
        <f t="array" ref="F951">IF(LineærRegression_Valg[[#This Row],[Indenfor range]],INDEX(DataTitel_liste,LineærRegression_Valg[[#This Row],[Afhængig variabel ID]]),INDEX(DataTitel_liste,1))</f>
        <v>Eksempel 1 (interval)</v>
      </c>
      <c r="G951" s="188" t="str" cm="1">
        <f t="array" ref="G951">IF(LineærRegression_Valg[[#This Row],[Indenfor range]],IF(LineærRegression_Valg[[#This Row],[Intet overlap]],INDEX(DataTitel_liste,LineærRegression_Valg[[#This Row],[Uafhængig variabel ID]]),INDEX(DataTitel_liste,IF(LineærRegression_Valg[[#This Row],[Afhængig variabel ID]]=1,2,1))),$B$7)</f>
        <v>Eksempel 2 (interval)</v>
      </c>
      <c r="H951" s="188">
        <f>_xlfn.AGGREGATE(2,5,LineærRegression_Valg[[#This Row],[Tabel ID]])</f>
        <v>1</v>
      </c>
    </row>
    <row r="952" spans="1:8" x14ac:dyDescent="0.2">
      <c r="A952">
        <f>ROW(LineærRegression_Valg[[#This Row],[Tabel ID]])-ROW(LineærRegression_Valg[[#Headers],[Tabel ID]])</f>
        <v>942</v>
      </c>
      <c r="B952" s="188">
        <f>ROUNDDOWN((LineærRegression_Valg[[#This Row],[Tabel ID]]-1)/$B$5,0)+1</f>
        <v>236</v>
      </c>
      <c r="C952" s="188">
        <f t="shared" si="14"/>
        <v>2</v>
      </c>
      <c r="D952" s="188" t="b">
        <f>LineærRegression_Valg[[#This Row],[Afhængig variabel ID]]&lt;&gt;LineærRegression_Valg[[#This Row],[Uafhængig variabel ID]]</f>
        <v>1</v>
      </c>
      <c r="E952" t="b">
        <f>LineærRegression_Valg[[#This Row],[Afhængig variabel ID]]&lt;=$B$5</f>
        <v>0</v>
      </c>
      <c r="F952" t="str" cm="1">
        <f t="array" ref="F952">IF(LineærRegression_Valg[[#This Row],[Indenfor range]],INDEX(DataTitel_liste,LineærRegression_Valg[[#This Row],[Afhængig variabel ID]]),INDEX(DataTitel_liste,1))</f>
        <v>Eksempel 1 (interval)</v>
      </c>
      <c r="G952" s="188" t="str" cm="1">
        <f t="array" ref="G952">IF(LineærRegression_Valg[[#This Row],[Indenfor range]],IF(LineærRegression_Valg[[#This Row],[Intet overlap]],INDEX(DataTitel_liste,LineærRegression_Valg[[#This Row],[Uafhængig variabel ID]]),INDEX(DataTitel_liste,IF(LineærRegression_Valg[[#This Row],[Afhængig variabel ID]]=1,2,1))),$B$7)</f>
        <v>Eksempel 2 (interval)</v>
      </c>
      <c r="H952" s="188">
        <f>_xlfn.AGGREGATE(2,5,LineærRegression_Valg[[#This Row],[Tabel ID]])</f>
        <v>1</v>
      </c>
    </row>
    <row r="953" spans="1:8" x14ac:dyDescent="0.2">
      <c r="A953">
        <f>ROW(LineærRegression_Valg[[#This Row],[Tabel ID]])-ROW(LineærRegression_Valg[[#Headers],[Tabel ID]])</f>
        <v>943</v>
      </c>
      <c r="B953" s="188">
        <f>ROUNDDOWN((LineærRegression_Valg[[#This Row],[Tabel ID]]-1)/$B$5,0)+1</f>
        <v>236</v>
      </c>
      <c r="C953" s="188">
        <f t="shared" si="14"/>
        <v>3</v>
      </c>
      <c r="D953" s="188" t="b">
        <f>LineærRegression_Valg[[#This Row],[Afhængig variabel ID]]&lt;&gt;LineærRegression_Valg[[#This Row],[Uafhængig variabel ID]]</f>
        <v>1</v>
      </c>
      <c r="E953" t="b">
        <f>LineærRegression_Valg[[#This Row],[Afhængig variabel ID]]&lt;=$B$5</f>
        <v>0</v>
      </c>
      <c r="F953" t="str" cm="1">
        <f t="array" ref="F953">IF(LineærRegression_Valg[[#This Row],[Indenfor range]],INDEX(DataTitel_liste,LineærRegression_Valg[[#This Row],[Afhængig variabel ID]]),INDEX(DataTitel_liste,1))</f>
        <v>Eksempel 1 (interval)</v>
      </c>
      <c r="G953" s="188" t="str" cm="1">
        <f t="array" ref="G953">IF(LineærRegression_Valg[[#This Row],[Indenfor range]],IF(LineærRegression_Valg[[#This Row],[Intet overlap]],INDEX(DataTitel_liste,LineærRegression_Valg[[#This Row],[Uafhængig variabel ID]]),INDEX(DataTitel_liste,IF(LineærRegression_Valg[[#This Row],[Afhængig variabel ID]]=1,2,1))),$B$7)</f>
        <v>Eksempel 2 (interval)</v>
      </c>
      <c r="H953" s="188">
        <f>_xlfn.AGGREGATE(2,5,LineærRegression_Valg[[#This Row],[Tabel ID]])</f>
        <v>1</v>
      </c>
    </row>
    <row r="954" spans="1:8" x14ac:dyDescent="0.2">
      <c r="A954">
        <f>ROW(LineærRegression_Valg[[#This Row],[Tabel ID]])-ROW(LineærRegression_Valg[[#Headers],[Tabel ID]])</f>
        <v>944</v>
      </c>
      <c r="B954" s="188">
        <f>ROUNDDOWN((LineærRegression_Valg[[#This Row],[Tabel ID]]-1)/$B$5,0)+1</f>
        <v>236</v>
      </c>
      <c r="C954" s="188">
        <f t="shared" si="14"/>
        <v>4</v>
      </c>
      <c r="D954" s="188" t="b">
        <f>LineærRegression_Valg[[#This Row],[Afhængig variabel ID]]&lt;&gt;LineærRegression_Valg[[#This Row],[Uafhængig variabel ID]]</f>
        <v>1</v>
      </c>
      <c r="E954" t="b">
        <f>LineærRegression_Valg[[#This Row],[Afhængig variabel ID]]&lt;=$B$5</f>
        <v>0</v>
      </c>
      <c r="F954" t="str" cm="1">
        <f t="array" ref="F954">IF(LineærRegression_Valg[[#This Row],[Indenfor range]],INDEX(DataTitel_liste,LineærRegression_Valg[[#This Row],[Afhængig variabel ID]]),INDEX(DataTitel_liste,1))</f>
        <v>Eksempel 1 (interval)</v>
      </c>
      <c r="G954" s="188" t="str" cm="1">
        <f t="array" ref="G954">IF(LineærRegression_Valg[[#This Row],[Indenfor range]],IF(LineærRegression_Valg[[#This Row],[Intet overlap]],INDEX(DataTitel_liste,LineærRegression_Valg[[#This Row],[Uafhængig variabel ID]]),INDEX(DataTitel_liste,IF(LineærRegression_Valg[[#This Row],[Afhængig variabel ID]]=1,2,1))),$B$7)</f>
        <v>Eksempel 2 (interval)</v>
      </c>
      <c r="H954" s="188">
        <f>_xlfn.AGGREGATE(2,5,LineærRegression_Valg[[#This Row],[Tabel ID]])</f>
        <v>1</v>
      </c>
    </row>
    <row r="955" spans="1:8" x14ac:dyDescent="0.2">
      <c r="A955">
        <f>ROW(LineærRegression_Valg[[#This Row],[Tabel ID]])-ROW(LineærRegression_Valg[[#Headers],[Tabel ID]])</f>
        <v>945</v>
      </c>
      <c r="B955" s="188">
        <f>ROUNDDOWN((LineærRegression_Valg[[#This Row],[Tabel ID]]-1)/$B$5,0)+1</f>
        <v>237</v>
      </c>
      <c r="C955" s="188">
        <f t="shared" si="14"/>
        <v>1</v>
      </c>
      <c r="D955" s="188" t="b">
        <f>LineærRegression_Valg[[#This Row],[Afhængig variabel ID]]&lt;&gt;LineærRegression_Valg[[#This Row],[Uafhængig variabel ID]]</f>
        <v>1</v>
      </c>
      <c r="E955" t="b">
        <f>LineærRegression_Valg[[#This Row],[Afhængig variabel ID]]&lt;=$B$5</f>
        <v>0</v>
      </c>
      <c r="F955" t="str" cm="1">
        <f t="array" ref="F955">IF(LineærRegression_Valg[[#This Row],[Indenfor range]],INDEX(DataTitel_liste,LineærRegression_Valg[[#This Row],[Afhængig variabel ID]]),INDEX(DataTitel_liste,1))</f>
        <v>Eksempel 1 (interval)</v>
      </c>
      <c r="G955" s="188" t="str" cm="1">
        <f t="array" ref="G955">IF(LineærRegression_Valg[[#This Row],[Indenfor range]],IF(LineærRegression_Valg[[#This Row],[Intet overlap]],INDEX(DataTitel_liste,LineærRegression_Valg[[#This Row],[Uafhængig variabel ID]]),INDEX(DataTitel_liste,IF(LineærRegression_Valg[[#This Row],[Afhængig variabel ID]]=1,2,1))),$B$7)</f>
        <v>Eksempel 2 (interval)</v>
      </c>
      <c r="H955" s="188">
        <f>_xlfn.AGGREGATE(2,5,LineærRegression_Valg[[#This Row],[Tabel ID]])</f>
        <v>1</v>
      </c>
    </row>
    <row r="956" spans="1:8" x14ac:dyDescent="0.2">
      <c r="A956">
        <f>ROW(LineærRegression_Valg[[#This Row],[Tabel ID]])-ROW(LineærRegression_Valg[[#Headers],[Tabel ID]])</f>
        <v>946</v>
      </c>
      <c r="B956" s="188">
        <f>ROUNDDOWN((LineærRegression_Valg[[#This Row],[Tabel ID]]-1)/$B$5,0)+1</f>
        <v>237</v>
      </c>
      <c r="C956" s="188">
        <f t="shared" si="14"/>
        <v>2</v>
      </c>
      <c r="D956" s="188" t="b">
        <f>LineærRegression_Valg[[#This Row],[Afhængig variabel ID]]&lt;&gt;LineærRegression_Valg[[#This Row],[Uafhængig variabel ID]]</f>
        <v>1</v>
      </c>
      <c r="E956" t="b">
        <f>LineærRegression_Valg[[#This Row],[Afhængig variabel ID]]&lt;=$B$5</f>
        <v>0</v>
      </c>
      <c r="F956" t="str" cm="1">
        <f t="array" ref="F956">IF(LineærRegression_Valg[[#This Row],[Indenfor range]],INDEX(DataTitel_liste,LineærRegression_Valg[[#This Row],[Afhængig variabel ID]]),INDEX(DataTitel_liste,1))</f>
        <v>Eksempel 1 (interval)</v>
      </c>
      <c r="G956" s="188" t="str" cm="1">
        <f t="array" ref="G956">IF(LineærRegression_Valg[[#This Row],[Indenfor range]],IF(LineærRegression_Valg[[#This Row],[Intet overlap]],INDEX(DataTitel_liste,LineærRegression_Valg[[#This Row],[Uafhængig variabel ID]]),INDEX(DataTitel_liste,IF(LineærRegression_Valg[[#This Row],[Afhængig variabel ID]]=1,2,1))),$B$7)</f>
        <v>Eksempel 2 (interval)</v>
      </c>
      <c r="H956" s="188">
        <f>_xlfn.AGGREGATE(2,5,LineærRegression_Valg[[#This Row],[Tabel ID]])</f>
        <v>1</v>
      </c>
    </row>
    <row r="957" spans="1:8" x14ac:dyDescent="0.2">
      <c r="A957">
        <f>ROW(LineærRegression_Valg[[#This Row],[Tabel ID]])-ROW(LineærRegression_Valg[[#Headers],[Tabel ID]])</f>
        <v>947</v>
      </c>
      <c r="B957" s="188">
        <f>ROUNDDOWN((LineærRegression_Valg[[#This Row],[Tabel ID]]-1)/$B$5,0)+1</f>
        <v>237</v>
      </c>
      <c r="C957" s="188">
        <f t="shared" si="14"/>
        <v>3</v>
      </c>
      <c r="D957" s="188" t="b">
        <f>LineærRegression_Valg[[#This Row],[Afhængig variabel ID]]&lt;&gt;LineærRegression_Valg[[#This Row],[Uafhængig variabel ID]]</f>
        <v>1</v>
      </c>
      <c r="E957" t="b">
        <f>LineærRegression_Valg[[#This Row],[Afhængig variabel ID]]&lt;=$B$5</f>
        <v>0</v>
      </c>
      <c r="F957" t="str" cm="1">
        <f t="array" ref="F957">IF(LineærRegression_Valg[[#This Row],[Indenfor range]],INDEX(DataTitel_liste,LineærRegression_Valg[[#This Row],[Afhængig variabel ID]]),INDEX(DataTitel_liste,1))</f>
        <v>Eksempel 1 (interval)</v>
      </c>
      <c r="G957" s="188" t="str" cm="1">
        <f t="array" ref="G957">IF(LineærRegression_Valg[[#This Row],[Indenfor range]],IF(LineærRegression_Valg[[#This Row],[Intet overlap]],INDEX(DataTitel_liste,LineærRegression_Valg[[#This Row],[Uafhængig variabel ID]]),INDEX(DataTitel_liste,IF(LineærRegression_Valg[[#This Row],[Afhængig variabel ID]]=1,2,1))),$B$7)</f>
        <v>Eksempel 2 (interval)</v>
      </c>
      <c r="H957" s="188">
        <f>_xlfn.AGGREGATE(2,5,LineærRegression_Valg[[#This Row],[Tabel ID]])</f>
        <v>1</v>
      </c>
    </row>
    <row r="958" spans="1:8" x14ac:dyDescent="0.2">
      <c r="A958">
        <f>ROW(LineærRegression_Valg[[#This Row],[Tabel ID]])-ROW(LineærRegression_Valg[[#Headers],[Tabel ID]])</f>
        <v>948</v>
      </c>
      <c r="B958" s="188">
        <f>ROUNDDOWN((LineærRegression_Valg[[#This Row],[Tabel ID]]-1)/$B$5,0)+1</f>
        <v>237</v>
      </c>
      <c r="C958" s="188">
        <f t="shared" si="14"/>
        <v>4</v>
      </c>
      <c r="D958" s="188" t="b">
        <f>LineærRegression_Valg[[#This Row],[Afhængig variabel ID]]&lt;&gt;LineærRegression_Valg[[#This Row],[Uafhængig variabel ID]]</f>
        <v>1</v>
      </c>
      <c r="E958" t="b">
        <f>LineærRegression_Valg[[#This Row],[Afhængig variabel ID]]&lt;=$B$5</f>
        <v>0</v>
      </c>
      <c r="F958" t="str" cm="1">
        <f t="array" ref="F958">IF(LineærRegression_Valg[[#This Row],[Indenfor range]],INDEX(DataTitel_liste,LineærRegression_Valg[[#This Row],[Afhængig variabel ID]]),INDEX(DataTitel_liste,1))</f>
        <v>Eksempel 1 (interval)</v>
      </c>
      <c r="G958" s="188" t="str" cm="1">
        <f t="array" ref="G958">IF(LineærRegression_Valg[[#This Row],[Indenfor range]],IF(LineærRegression_Valg[[#This Row],[Intet overlap]],INDEX(DataTitel_liste,LineærRegression_Valg[[#This Row],[Uafhængig variabel ID]]),INDEX(DataTitel_liste,IF(LineærRegression_Valg[[#This Row],[Afhængig variabel ID]]=1,2,1))),$B$7)</f>
        <v>Eksempel 2 (interval)</v>
      </c>
      <c r="H958" s="188">
        <f>_xlfn.AGGREGATE(2,5,LineærRegression_Valg[[#This Row],[Tabel ID]])</f>
        <v>1</v>
      </c>
    </row>
    <row r="959" spans="1:8" x14ac:dyDescent="0.2">
      <c r="A959">
        <f>ROW(LineærRegression_Valg[[#This Row],[Tabel ID]])-ROW(LineærRegression_Valg[[#Headers],[Tabel ID]])</f>
        <v>949</v>
      </c>
      <c r="B959" s="188">
        <f>ROUNDDOWN((LineærRegression_Valg[[#This Row],[Tabel ID]]-1)/$B$5,0)+1</f>
        <v>238</v>
      </c>
      <c r="C959" s="188">
        <f t="shared" si="14"/>
        <v>1</v>
      </c>
      <c r="D959" s="188" t="b">
        <f>LineærRegression_Valg[[#This Row],[Afhængig variabel ID]]&lt;&gt;LineærRegression_Valg[[#This Row],[Uafhængig variabel ID]]</f>
        <v>1</v>
      </c>
      <c r="E959" t="b">
        <f>LineærRegression_Valg[[#This Row],[Afhængig variabel ID]]&lt;=$B$5</f>
        <v>0</v>
      </c>
      <c r="F959" t="str" cm="1">
        <f t="array" ref="F959">IF(LineærRegression_Valg[[#This Row],[Indenfor range]],INDEX(DataTitel_liste,LineærRegression_Valg[[#This Row],[Afhængig variabel ID]]),INDEX(DataTitel_liste,1))</f>
        <v>Eksempel 1 (interval)</v>
      </c>
      <c r="G959" s="188" t="str" cm="1">
        <f t="array" ref="G959">IF(LineærRegression_Valg[[#This Row],[Indenfor range]],IF(LineærRegression_Valg[[#This Row],[Intet overlap]],INDEX(DataTitel_liste,LineærRegression_Valg[[#This Row],[Uafhængig variabel ID]]),INDEX(DataTitel_liste,IF(LineærRegression_Valg[[#This Row],[Afhængig variabel ID]]=1,2,1))),$B$7)</f>
        <v>Eksempel 2 (interval)</v>
      </c>
      <c r="H959" s="188">
        <f>_xlfn.AGGREGATE(2,5,LineærRegression_Valg[[#This Row],[Tabel ID]])</f>
        <v>1</v>
      </c>
    </row>
    <row r="960" spans="1:8" x14ac:dyDescent="0.2">
      <c r="A960">
        <f>ROW(LineærRegression_Valg[[#This Row],[Tabel ID]])-ROW(LineærRegression_Valg[[#Headers],[Tabel ID]])</f>
        <v>950</v>
      </c>
      <c r="B960" s="188">
        <f>ROUNDDOWN((LineærRegression_Valg[[#This Row],[Tabel ID]]-1)/$B$5,0)+1</f>
        <v>238</v>
      </c>
      <c r="C960" s="188">
        <f t="shared" si="14"/>
        <v>2</v>
      </c>
      <c r="D960" s="188" t="b">
        <f>LineærRegression_Valg[[#This Row],[Afhængig variabel ID]]&lt;&gt;LineærRegression_Valg[[#This Row],[Uafhængig variabel ID]]</f>
        <v>1</v>
      </c>
      <c r="E960" t="b">
        <f>LineærRegression_Valg[[#This Row],[Afhængig variabel ID]]&lt;=$B$5</f>
        <v>0</v>
      </c>
      <c r="F960" t="str" cm="1">
        <f t="array" ref="F960">IF(LineærRegression_Valg[[#This Row],[Indenfor range]],INDEX(DataTitel_liste,LineærRegression_Valg[[#This Row],[Afhængig variabel ID]]),INDEX(DataTitel_liste,1))</f>
        <v>Eksempel 1 (interval)</v>
      </c>
      <c r="G960" s="188" t="str" cm="1">
        <f t="array" ref="G960">IF(LineærRegression_Valg[[#This Row],[Indenfor range]],IF(LineærRegression_Valg[[#This Row],[Intet overlap]],INDEX(DataTitel_liste,LineærRegression_Valg[[#This Row],[Uafhængig variabel ID]]),INDEX(DataTitel_liste,IF(LineærRegression_Valg[[#This Row],[Afhængig variabel ID]]=1,2,1))),$B$7)</f>
        <v>Eksempel 2 (interval)</v>
      </c>
      <c r="H960" s="188">
        <f>_xlfn.AGGREGATE(2,5,LineærRegression_Valg[[#This Row],[Tabel ID]])</f>
        <v>1</v>
      </c>
    </row>
    <row r="961" spans="1:8" x14ac:dyDescent="0.2">
      <c r="A961">
        <f>ROW(LineærRegression_Valg[[#This Row],[Tabel ID]])-ROW(LineærRegression_Valg[[#Headers],[Tabel ID]])</f>
        <v>951</v>
      </c>
      <c r="B961" s="188">
        <f>ROUNDDOWN((LineærRegression_Valg[[#This Row],[Tabel ID]]-1)/$B$5,0)+1</f>
        <v>238</v>
      </c>
      <c r="C961" s="188">
        <f t="shared" si="14"/>
        <v>3</v>
      </c>
      <c r="D961" s="188" t="b">
        <f>LineærRegression_Valg[[#This Row],[Afhængig variabel ID]]&lt;&gt;LineærRegression_Valg[[#This Row],[Uafhængig variabel ID]]</f>
        <v>1</v>
      </c>
      <c r="E961" t="b">
        <f>LineærRegression_Valg[[#This Row],[Afhængig variabel ID]]&lt;=$B$5</f>
        <v>0</v>
      </c>
      <c r="F961" t="str" cm="1">
        <f t="array" ref="F961">IF(LineærRegression_Valg[[#This Row],[Indenfor range]],INDEX(DataTitel_liste,LineærRegression_Valg[[#This Row],[Afhængig variabel ID]]),INDEX(DataTitel_liste,1))</f>
        <v>Eksempel 1 (interval)</v>
      </c>
      <c r="G961" s="188" t="str" cm="1">
        <f t="array" ref="G961">IF(LineærRegression_Valg[[#This Row],[Indenfor range]],IF(LineærRegression_Valg[[#This Row],[Intet overlap]],INDEX(DataTitel_liste,LineærRegression_Valg[[#This Row],[Uafhængig variabel ID]]),INDEX(DataTitel_liste,IF(LineærRegression_Valg[[#This Row],[Afhængig variabel ID]]=1,2,1))),$B$7)</f>
        <v>Eksempel 2 (interval)</v>
      </c>
      <c r="H961" s="188">
        <f>_xlfn.AGGREGATE(2,5,LineærRegression_Valg[[#This Row],[Tabel ID]])</f>
        <v>1</v>
      </c>
    </row>
    <row r="962" spans="1:8" x14ac:dyDescent="0.2">
      <c r="A962">
        <f>ROW(LineærRegression_Valg[[#This Row],[Tabel ID]])-ROW(LineærRegression_Valg[[#Headers],[Tabel ID]])</f>
        <v>952</v>
      </c>
      <c r="B962" s="188">
        <f>ROUNDDOWN((LineærRegression_Valg[[#This Row],[Tabel ID]]-1)/$B$5,0)+1</f>
        <v>238</v>
      </c>
      <c r="C962" s="188">
        <f t="shared" si="14"/>
        <v>4</v>
      </c>
      <c r="D962" s="188" t="b">
        <f>LineærRegression_Valg[[#This Row],[Afhængig variabel ID]]&lt;&gt;LineærRegression_Valg[[#This Row],[Uafhængig variabel ID]]</f>
        <v>1</v>
      </c>
      <c r="E962" t="b">
        <f>LineærRegression_Valg[[#This Row],[Afhængig variabel ID]]&lt;=$B$5</f>
        <v>0</v>
      </c>
      <c r="F962" t="str" cm="1">
        <f t="array" ref="F962">IF(LineærRegression_Valg[[#This Row],[Indenfor range]],INDEX(DataTitel_liste,LineærRegression_Valg[[#This Row],[Afhængig variabel ID]]),INDEX(DataTitel_liste,1))</f>
        <v>Eksempel 1 (interval)</v>
      </c>
      <c r="G962" s="188" t="str" cm="1">
        <f t="array" ref="G962">IF(LineærRegression_Valg[[#This Row],[Indenfor range]],IF(LineærRegression_Valg[[#This Row],[Intet overlap]],INDEX(DataTitel_liste,LineærRegression_Valg[[#This Row],[Uafhængig variabel ID]]),INDEX(DataTitel_liste,IF(LineærRegression_Valg[[#This Row],[Afhængig variabel ID]]=1,2,1))),$B$7)</f>
        <v>Eksempel 2 (interval)</v>
      </c>
      <c r="H962" s="188">
        <f>_xlfn.AGGREGATE(2,5,LineærRegression_Valg[[#This Row],[Tabel ID]])</f>
        <v>1</v>
      </c>
    </row>
    <row r="963" spans="1:8" x14ac:dyDescent="0.2">
      <c r="A963">
        <f>ROW(LineærRegression_Valg[[#This Row],[Tabel ID]])-ROW(LineærRegression_Valg[[#Headers],[Tabel ID]])</f>
        <v>953</v>
      </c>
      <c r="B963" s="188">
        <f>ROUNDDOWN((LineærRegression_Valg[[#This Row],[Tabel ID]]-1)/$B$5,0)+1</f>
        <v>239</v>
      </c>
      <c r="C963" s="188">
        <f t="shared" si="14"/>
        <v>1</v>
      </c>
      <c r="D963" s="188" t="b">
        <f>LineærRegression_Valg[[#This Row],[Afhængig variabel ID]]&lt;&gt;LineærRegression_Valg[[#This Row],[Uafhængig variabel ID]]</f>
        <v>1</v>
      </c>
      <c r="E963" t="b">
        <f>LineærRegression_Valg[[#This Row],[Afhængig variabel ID]]&lt;=$B$5</f>
        <v>0</v>
      </c>
      <c r="F963" t="str" cm="1">
        <f t="array" ref="F963">IF(LineærRegression_Valg[[#This Row],[Indenfor range]],INDEX(DataTitel_liste,LineærRegression_Valg[[#This Row],[Afhængig variabel ID]]),INDEX(DataTitel_liste,1))</f>
        <v>Eksempel 1 (interval)</v>
      </c>
      <c r="G963" s="188" t="str" cm="1">
        <f t="array" ref="G963">IF(LineærRegression_Valg[[#This Row],[Indenfor range]],IF(LineærRegression_Valg[[#This Row],[Intet overlap]],INDEX(DataTitel_liste,LineærRegression_Valg[[#This Row],[Uafhængig variabel ID]]),INDEX(DataTitel_liste,IF(LineærRegression_Valg[[#This Row],[Afhængig variabel ID]]=1,2,1))),$B$7)</f>
        <v>Eksempel 2 (interval)</v>
      </c>
      <c r="H963" s="188">
        <f>_xlfn.AGGREGATE(2,5,LineærRegression_Valg[[#This Row],[Tabel ID]])</f>
        <v>1</v>
      </c>
    </row>
    <row r="964" spans="1:8" x14ac:dyDescent="0.2">
      <c r="A964">
        <f>ROW(LineærRegression_Valg[[#This Row],[Tabel ID]])-ROW(LineærRegression_Valg[[#Headers],[Tabel ID]])</f>
        <v>954</v>
      </c>
      <c r="B964" s="188">
        <f>ROUNDDOWN((LineærRegression_Valg[[#This Row],[Tabel ID]]-1)/$B$5,0)+1</f>
        <v>239</v>
      </c>
      <c r="C964" s="188">
        <f t="shared" si="14"/>
        <v>2</v>
      </c>
      <c r="D964" s="188" t="b">
        <f>LineærRegression_Valg[[#This Row],[Afhængig variabel ID]]&lt;&gt;LineærRegression_Valg[[#This Row],[Uafhængig variabel ID]]</f>
        <v>1</v>
      </c>
      <c r="E964" t="b">
        <f>LineærRegression_Valg[[#This Row],[Afhængig variabel ID]]&lt;=$B$5</f>
        <v>0</v>
      </c>
      <c r="F964" t="str" cm="1">
        <f t="array" ref="F964">IF(LineærRegression_Valg[[#This Row],[Indenfor range]],INDEX(DataTitel_liste,LineærRegression_Valg[[#This Row],[Afhængig variabel ID]]),INDEX(DataTitel_liste,1))</f>
        <v>Eksempel 1 (interval)</v>
      </c>
      <c r="G964" s="188" t="str" cm="1">
        <f t="array" ref="G964">IF(LineærRegression_Valg[[#This Row],[Indenfor range]],IF(LineærRegression_Valg[[#This Row],[Intet overlap]],INDEX(DataTitel_liste,LineærRegression_Valg[[#This Row],[Uafhængig variabel ID]]),INDEX(DataTitel_liste,IF(LineærRegression_Valg[[#This Row],[Afhængig variabel ID]]=1,2,1))),$B$7)</f>
        <v>Eksempel 2 (interval)</v>
      </c>
      <c r="H964" s="188">
        <f>_xlfn.AGGREGATE(2,5,LineærRegression_Valg[[#This Row],[Tabel ID]])</f>
        <v>1</v>
      </c>
    </row>
    <row r="965" spans="1:8" x14ac:dyDescent="0.2">
      <c r="A965">
        <f>ROW(LineærRegression_Valg[[#This Row],[Tabel ID]])-ROW(LineærRegression_Valg[[#Headers],[Tabel ID]])</f>
        <v>955</v>
      </c>
      <c r="B965" s="188">
        <f>ROUNDDOWN((LineærRegression_Valg[[#This Row],[Tabel ID]]-1)/$B$5,0)+1</f>
        <v>239</v>
      </c>
      <c r="C965" s="188">
        <f t="shared" si="14"/>
        <v>3</v>
      </c>
      <c r="D965" s="188" t="b">
        <f>LineærRegression_Valg[[#This Row],[Afhængig variabel ID]]&lt;&gt;LineærRegression_Valg[[#This Row],[Uafhængig variabel ID]]</f>
        <v>1</v>
      </c>
      <c r="E965" t="b">
        <f>LineærRegression_Valg[[#This Row],[Afhængig variabel ID]]&lt;=$B$5</f>
        <v>0</v>
      </c>
      <c r="F965" t="str" cm="1">
        <f t="array" ref="F965">IF(LineærRegression_Valg[[#This Row],[Indenfor range]],INDEX(DataTitel_liste,LineærRegression_Valg[[#This Row],[Afhængig variabel ID]]),INDEX(DataTitel_liste,1))</f>
        <v>Eksempel 1 (interval)</v>
      </c>
      <c r="G965" s="188" t="str" cm="1">
        <f t="array" ref="G965">IF(LineærRegression_Valg[[#This Row],[Indenfor range]],IF(LineærRegression_Valg[[#This Row],[Intet overlap]],INDEX(DataTitel_liste,LineærRegression_Valg[[#This Row],[Uafhængig variabel ID]]),INDEX(DataTitel_liste,IF(LineærRegression_Valg[[#This Row],[Afhængig variabel ID]]=1,2,1))),$B$7)</f>
        <v>Eksempel 2 (interval)</v>
      </c>
      <c r="H965" s="188">
        <f>_xlfn.AGGREGATE(2,5,LineærRegression_Valg[[#This Row],[Tabel ID]])</f>
        <v>1</v>
      </c>
    </row>
    <row r="966" spans="1:8" x14ac:dyDescent="0.2">
      <c r="A966">
        <f>ROW(LineærRegression_Valg[[#This Row],[Tabel ID]])-ROW(LineærRegression_Valg[[#Headers],[Tabel ID]])</f>
        <v>956</v>
      </c>
      <c r="B966" s="188">
        <f>ROUNDDOWN((LineærRegression_Valg[[#This Row],[Tabel ID]]-1)/$B$5,0)+1</f>
        <v>239</v>
      </c>
      <c r="C966" s="188">
        <f t="shared" si="14"/>
        <v>4</v>
      </c>
      <c r="D966" s="188" t="b">
        <f>LineærRegression_Valg[[#This Row],[Afhængig variabel ID]]&lt;&gt;LineærRegression_Valg[[#This Row],[Uafhængig variabel ID]]</f>
        <v>1</v>
      </c>
      <c r="E966" t="b">
        <f>LineærRegression_Valg[[#This Row],[Afhængig variabel ID]]&lt;=$B$5</f>
        <v>0</v>
      </c>
      <c r="F966" t="str" cm="1">
        <f t="array" ref="F966">IF(LineærRegression_Valg[[#This Row],[Indenfor range]],INDEX(DataTitel_liste,LineærRegression_Valg[[#This Row],[Afhængig variabel ID]]),INDEX(DataTitel_liste,1))</f>
        <v>Eksempel 1 (interval)</v>
      </c>
      <c r="G966" s="188" t="str" cm="1">
        <f t="array" ref="G966">IF(LineærRegression_Valg[[#This Row],[Indenfor range]],IF(LineærRegression_Valg[[#This Row],[Intet overlap]],INDEX(DataTitel_liste,LineærRegression_Valg[[#This Row],[Uafhængig variabel ID]]),INDEX(DataTitel_liste,IF(LineærRegression_Valg[[#This Row],[Afhængig variabel ID]]=1,2,1))),$B$7)</f>
        <v>Eksempel 2 (interval)</v>
      </c>
      <c r="H966" s="188">
        <f>_xlfn.AGGREGATE(2,5,LineærRegression_Valg[[#This Row],[Tabel ID]])</f>
        <v>1</v>
      </c>
    </row>
    <row r="967" spans="1:8" x14ac:dyDescent="0.2">
      <c r="A967">
        <f>ROW(LineærRegression_Valg[[#This Row],[Tabel ID]])-ROW(LineærRegression_Valg[[#Headers],[Tabel ID]])</f>
        <v>957</v>
      </c>
      <c r="B967" s="188">
        <f>ROUNDDOWN((LineærRegression_Valg[[#This Row],[Tabel ID]]-1)/$B$5,0)+1</f>
        <v>240</v>
      </c>
      <c r="C967" s="188">
        <f t="shared" si="14"/>
        <v>1</v>
      </c>
      <c r="D967" s="188" t="b">
        <f>LineærRegression_Valg[[#This Row],[Afhængig variabel ID]]&lt;&gt;LineærRegression_Valg[[#This Row],[Uafhængig variabel ID]]</f>
        <v>1</v>
      </c>
      <c r="E967" t="b">
        <f>LineærRegression_Valg[[#This Row],[Afhængig variabel ID]]&lt;=$B$5</f>
        <v>0</v>
      </c>
      <c r="F967" t="str" cm="1">
        <f t="array" ref="F967">IF(LineærRegression_Valg[[#This Row],[Indenfor range]],INDEX(DataTitel_liste,LineærRegression_Valg[[#This Row],[Afhængig variabel ID]]),INDEX(DataTitel_liste,1))</f>
        <v>Eksempel 1 (interval)</v>
      </c>
      <c r="G967" s="188" t="str" cm="1">
        <f t="array" ref="G967">IF(LineærRegression_Valg[[#This Row],[Indenfor range]],IF(LineærRegression_Valg[[#This Row],[Intet overlap]],INDEX(DataTitel_liste,LineærRegression_Valg[[#This Row],[Uafhængig variabel ID]]),INDEX(DataTitel_liste,IF(LineærRegression_Valg[[#This Row],[Afhængig variabel ID]]=1,2,1))),$B$7)</f>
        <v>Eksempel 2 (interval)</v>
      </c>
      <c r="H967" s="188">
        <f>_xlfn.AGGREGATE(2,5,LineærRegression_Valg[[#This Row],[Tabel ID]])</f>
        <v>1</v>
      </c>
    </row>
    <row r="968" spans="1:8" x14ac:dyDescent="0.2">
      <c r="A968">
        <f>ROW(LineærRegression_Valg[[#This Row],[Tabel ID]])-ROW(LineærRegression_Valg[[#Headers],[Tabel ID]])</f>
        <v>958</v>
      </c>
      <c r="B968" s="188">
        <f>ROUNDDOWN((LineærRegression_Valg[[#This Row],[Tabel ID]]-1)/$B$5,0)+1</f>
        <v>240</v>
      </c>
      <c r="C968" s="188">
        <f t="shared" si="14"/>
        <v>2</v>
      </c>
      <c r="D968" s="188" t="b">
        <f>LineærRegression_Valg[[#This Row],[Afhængig variabel ID]]&lt;&gt;LineærRegression_Valg[[#This Row],[Uafhængig variabel ID]]</f>
        <v>1</v>
      </c>
      <c r="E968" t="b">
        <f>LineærRegression_Valg[[#This Row],[Afhængig variabel ID]]&lt;=$B$5</f>
        <v>0</v>
      </c>
      <c r="F968" t="str" cm="1">
        <f t="array" ref="F968">IF(LineærRegression_Valg[[#This Row],[Indenfor range]],INDEX(DataTitel_liste,LineærRegression_Valg[[#This Row],[Afhængig variabel ID]]),INDEX(DataTitel_liste,1))</f>
        <v>Eksempel 1 (interval)</v>
      </c>
      <c r="G968" s="188" t="str" cm="1">
        <f t="array" ref="G968">IF(LineærRegression_Valg[[#This Row],[Indenfor range]],IF(LineærRegression_Valg[[#This Row],[Intet overlap]],INDEX(DataTitel_liste,LineærRegression_Valg[[#This Row],[Uafhængig variabel ID]]),INDEX(DataTitel_liste,IF(LineærRegression_Valg[[#This Row],[Afhængig variabel ID]]=1,2,1))),$B$7)</f>
        <v>Eksempel 2 (interval)</v>
      </c>
      <c r="H968" s="188">
        <f>_xlfn.AGGREGATE(2,5,LineærRegression_Valg[[#This Row],[Tabel ID]])</f>
        <v>1</v>
      </c>
    </row>
    <row r="969" spans="1:8" x14ac:dyDescent="0.2">
      <c r="A969">
        <f>ROW(LineærRegression_Valg[[#This Row],[Tabel ID]])-ROW(LineærRegression_Valg[[#Headers],[Tabel ID]])</f>
        <v>959</v>
      </c>
      <c r="B969" s="188">
        <f>ROUNDDOWN((LineærRegression_Valg[[#This Row],[Tabel ID]]-1)/$B$5,0)+1</f>
        <v>240</v>
      </c>
      <c r="C969" s="188">
        <f t="shared" si="14"/>
        <v>3</v>
      </c>
      <c r="D969" s="188" t="b">
        <f>LineærRegression_Valg[[#This Row],[Afhængig variabel ID]]&lt;&gt;LineærRegression_Valg[[#This Row],[Uafhængig variabel ID]]</f>
        <v>1</v>
      </c>
      <c r="E969" t="b">
        <f>LineærRegression_Valg[[#This Row],[Afhængig variabel ID]]&lt;=$B$5</f>
        <v>0</v>
      </c>
      <c r="F969" t="str" cm="1">
        <f t="array" ref="F969">IF(LineærRegression_Valg[[#This Row],[Indenfor range]],INDEX(DataTitel_liste,LineærRegression_Valg[[#This Row],[Afhængig variabel ID]]),INDEX(DataTitel_liste,1))</f>
        <v>Eksempel 1 (interval)</v>
      </c>
      <c r="G969" s="188" t="str" cm="1">
        <f t="array" ref="G969">IF(LineærRegression_Valg[[#This Row],[Indenfor range]],IF(LineærRegression_Valg[[#This Row],[Intet overlap]],INDEX(DataTitel_liste,LineærRegression_Valg[[#This Row],[Uafhængig variabel ID]]),INDEX(DataTitel_liste,IF(LineærRegression_Valg[[#This Row],[Afhængig variabel ID]]=1,2,1))),$B$7)</f>
        <v>Eksempel 2 (interval)</v>
      </c>
      <c r="H969" s="188">
        <f>_xlfn.AGGREGATE(2,5,LineærRegression_Valg[[#This Row],[Tabel ID]])</f>
        <v>1</v>
      </c>
    </row>
    <row r="970" spans="1:8" x14ac:dyDescent="0.2">
      <c r="A970">
        <f>ROW(LineærRegression_Valg[[#This Row],[Tabel ID]])-ROW(LineærRegression_Valg[[#Headers],[Tabel ID]])</f>
        <v>960</v>
      </c>
      <c r="B970" s="188">
        <f>ROUNDDOWN((LineærRegression_Valg[[#This Row],[Tabel ID]]-1)/$B$5,0)+1</f>
        <v>240</v>
      </c>
      <c r="C970" s="188">
        <f t="shared" si="14"/>
        <v>4</v>
      </c>
      <c r="D970" s="188" t="b">
        <f>LineærRegression_Valg[[#This Row],[Afhængig variabel ID]]&lt;&gt;LineærRegression_Valg[[#This Row],[Uafhængig variabel ID]]</f>
        <v>1</v>
      </c>
      <c r="E970" t="b">
        <f>LineærRegression_Valg[[#This Row],[Afhængig variabel ID]]&lt;=$B$5</f>
        <v>0</v>
      </c>
      <c r="F970" t="str" cm="1">
        <f t="array" ref="F970">IF(LineærRegression_Valg[[#This Row],[Indenfor range]],INDEX(DataTitel_liste,LineærRegression_Valg[[#This Row],[Afhængig variabel ID]]),INDEX(DataTitel_liste,1))</f>
        <v>Eksempel 1 (interval)</v>
      </c>
      <c r="G970" s="188" t="str" cm="1">
        <f t="array" ref="G970">IF(LineærRegression_Valg[[#This Row],[Indenfor range]],IF(LineærRegression_Valg[[#This Row],[Intet overlap]],INDEX(DataTitel_liste,LineærRegression_Valg[[#This Row],[Uafhængig variabel ID]]),INDEX(DataTitel_liste,IF(LineærRegression_Valg[[#This Row],[Afhængig variabel ID]]=1,2,1))),$B$7)</f>
        <v>Eksempel 2 (interval)</v>
      </c>
      <c r="H970" s="188">
        <f>_xlfn.AGGREGATE(2,5,LineærRegression_Valg[[#This Row],[Tabel ID]])</f>
        <v>1</v>
      </c>
    </row>
    <row r="971" spans="1:8" x14ac:dyDescent="0.2">
      <c r="A971">
        <f>ROW(LineærRegression_Valg[[#This Row],[Tabel ID]])-ROW(LineærRegression_Valg[[#Headers],[Tabel ID]])</f>
        <v>961</v>
      </c>
      <c r="B971" s="188">
        <f>ROUNDDOWN((LineærRegression_Valg[[#This Row],[Tabel ID]]-1)/$B$5,0)+1</f>
        <v>241</v>
      </c>
      <c r="C971" s="188">
        <f t="shared" ref="C971:C1034" si="15">MOD(A971-1,$B$5)+1</f>
        <v>1</v>
      </c>
      <c r="D971" s="188" t="b">
        <f>LineærRegression_Valg[[#This Row],[Afhængig variabel ID]]&lt;&gt;LineærRegression_Valg[[#This Row],[Uafhængig variabel ID]]</f>
        <v>1</v>
      </c>
      <c r="E971" t="b">
        <f>LineærRegression_Valg[[#This Row],[Afhængig variabel ID]]&lt;=$B$5</f>
        <v>0</v>
      </c>
      <c r="F971" t="str" cm="1">
        <f t="array" ref="F971">IF(LineærRegression_Valg[[#This Row],[Indenfor range]],INDEX(DataTitel_liste,LineærRegression_Valg[[#This Row],[Afhængig variabel ID]]),INDEX(DataTitel_liste,1))</f>
        <v>Eksempel 1 (interval)</v>
      </c>
      <c r="G971" s="188" t="str" cm="1">
        <f t="array" ref="G971">IF(LineærRegression_Valg[[#This Row],[Indenfor range]],IF(LineærRegression_Valg[[#This Row],[Intet overlap]],INDEX(DataTitel_liste,LineærRegression_Valg[[#This Row],[Uafhængig variabel ID]]),INDEX(DataTitel_liste,IF(LineærRegression_Valg[[#This Row],[Afhængig variabel ID]]=1,2,1))),$B$7)</f>
        <v>Eksempel 2 (interval)</v>
      </c>
      <c r="H971" s="188">
        <f>_xlfn.AGGREGATE(2,5,LineærRegression_Valg[[#This Row],[Tabel ID]])</f>
        <v>1</v>
      </c>
    </row>
    <row r="972" spans="1:8" x14ac:dyDescent="0.2">
      <c r="A972">
        <f>ROW(LineærRegression_Valg[[#This Row],[Tabel ID]])-ROW(LineærRegression_Valg[[#Headers],[Tabel ID]])</f>
        <v>962</v>
      </c>
      <c r="B972" s="188">
        <f>ROUNDDOWN((LineærRegression_Valg[[#This Row],[Tabel ID]]-1)/$B$5,0)+1</f>
        <v>241</v>
      </c>
      <c r="C972" s="188">
        <f t="shared" si="15"/>
        <v>2</v>
      </c>
      <c r="D972" s="188" t="b">
        <f>LineærRegression_Valg[[#This Row],[Afhængig variabel ID]]&lt;&gt;LineærRegression_Valg[[#This Row],[Uafhængig variabel ID]]</f>
        <v>1</v>
      </c>
      <c r="E972" t="b">
        <f>LineærRegression_Valg[[#This Row],[Afhængig variabel ID]]&lt;=$B$5</f>
        <v>0</v>
      </c>
      <c r="F972" t="str" cm="1">
        <f t="array" ref="F972">IF(LineærRegression_Valg[[#This Row],[Indenfor range]],INDEX(DataTitel_liste,LineærRegression_Valg[[#This Row],[Afhængig variabel ID]]),INDEX(DataTitel_liste,1))</f>
        <v>Eksempel 1 (interval)</v>
      </c>
      <c r="G972" s="188" t="str" cm="1">
        <f t="array" ref="G972">IF(LineærRegression_Valg[[#This Row],[Indenfor range]],IF(LineærRegression_Valg[[#This Row],[Intet overlap]],INDEX(DataTitel_liste,LineærRegression_Valg[[#This Row],[Uafhængig variabel ID]]),INDEX(DataTitel_liste,IF(LineærRegression_Valg[[#This Row],[Afhængig variabel ID]]=1,2,1))),$B$7)</f>
        <v>Eksempel 2 (interval)</v>
      </c>
      <c r="H972" s="188">
        <f>_xlfn.AGGREGATE(2,5,LineærRegression_Valg[[#This Row],[Tabel ID]])</f>
        <v>1</v>
      </c>
    </row>
    <row r="973" spans="1:8" x14ac:dyDescent="0.2">
      <c r="A973">
        <f>ROW(LineærRegression_Valg[[#This Row],[Tabel ID]])-ROW(LineærRegression_Valg[[#Headers],[Tabel ID]])</f>
        <v>963</v>
      </c>
      <c r="B973" s="188">
        <f>ROUNDDOWN((LineærRegression_Valg[[#This Row],[Tabel ID]]-1)/$B$5,0)+1</f>
        <v>241</v>
      </c>
      <c r="C973" s="188">
        <f t="shared" si="15"/>
        <v>3</v>
      </c>
      <c r="D973" s="188" t="b">
        <f>LineærRegression_Valg[[#This Row],[Afhængig variabel ID]]&lt;&gt;LineærRegression_Valg[[#This Row],[Uafhængig variabel ID]]</f>
        <v>1</v>
      </c>
      <c r="E973" t="b">
        <f>LineærRegression_Valg[[#This Row],[Afhængig variabel ID]]&lt;=$B$5</f>
        <v>0</v>
      </c>
      <c r="F973" t="str" cm="1">
        <f t="array" ref="F973">IF(LineærRegression_Valg[[#This Row],[Indenfor range]],INDEX(DataTitel_liste,LineærRegression_Valg[[#This Row],[Afhængig variabel ID]]),INDEX(DataTitel_liste,1))</f>
        <v>Eksempel 1 (interval)</v>
      </c>
      <c r="G973" s="188" t="str" cm="1">
        <f t="array" ref="G973">IF(LineærRegression_Valg[[#This Row],[Indenfor range]],IF(LineærRegression_Valg[[#This Row],[Intet overlap]],INDEX(DataTitel_liste,LineærRegression_Valg[[#This Row],[Uafhængig variabel ID]]),INDEX(DataTitel_liste,IF(LineærRegression_Valg[[#This Row],[Afhængig variabel ID]]=1,2,1))),$B$7)</f>
        <v>Eksempel 2 (interval)</v>
      </c>
      <c r="H973" s="188">
        <f>_xlfn.AGGREGATE(2,5,LineærRegression_Valg[[#This Row],[Tabel ID]])</f>
        <v>1</v>
      </c>
    </row>
    <row r="974" spans="1:8" x14ac:dyDescent="0.2">
      <c r="A974">
        <f>ROW(LineærRegression_Valg[[#This Row],[Tabel ID]])-ROW(LineærRegression_Valg[[#Headers],[Tabel ID]])</f>
        <v>964</v>
      </c>
      <c r="B974" s="188">
        <f>ROUNDDOWN((LineærRegression_Valg[[#This Row],[Tabel ID]]-1)/$B$5,0)+1</f>
        <v>241</v>
      </c>
      <c r="C974" s="188">
        <f t="shared" si="15"/>
        <v>4</v>
      </c>
      <c r="D974" s="188" t="b">
        <f>LineærRegression_Valg[[#This Row],[Afhængig variabel ID]]&lt;&gt;LineærRegression_Valg[[#This Row],[Uafhængig variabel ID]]</f>
        <v>1</v>
      </c>
      <c r="E974" t="b">
        <f>LineærRegression_Valg[[#This Row],[Afhængig variabel ID]]&lt;=$B$5</f>
        <v>0</v>
      </c>
      <c r="F974" t="str" cm="1">
        <f t="array" ref="F974">IF(LineærRegression_Valg[[#This Row],[Indenfor range]],INDEX(DataTitel_liste,LineærRegression_Valg[[#This Row],[Afhængig variabel ID]]),INDEX(DataTitel_liste,1))</f>
        <v>Eksempel 1 (interval)</v>
      </c>
      <c r="G974" s="188" t="str" cm="1">
        <f t="array" ref="G974">IF(LineærRegression_Valg[[#This Row],[Indenfor range]],IF(LineærRegression_Valg[[#This Row],[Intet overlap]],INDEX(DataTitel_liste,LineærRegression_Valg[[#This Row],[Uafhængig variabel ID]]),INDEX(DataTitel_liste,IF(LineærRegression_Valg[[#This Row],[Afhængig variabel ID]]=1,2,1))),$B$7)</f>
        <v>Eksempel 2 (interval)</v>
      </c>
      <c r="H974" s="188">
        <f>_xlfn.AGGREGATE(2,5,LineærRegression_Valg[[#This Row],[Tabel ID]])</f>
        <v>1</v>
      </c>
    </row>
    <row r="975" spans="1:8" x14ac:dyDescent="0.2">
      <c r="A975">
        <f>ROW(LineærRegression_Valg[[#This Row],[Tabel ID]])-ROW(LineærRegression_Valg[[#Headers],[Tabel ID]])</f>
        <v>965</v>
      </c>
      <c r="B975" s="188">
        <f>ROUNDDOWN((LineærRegression_Valg[[#This Row],[Tabel ID]]-1)/$B$5,0)+1</f>
        <v>242</v>
      </c>
      <c r="C975" s="188">
        <f t="shared" si="15"/>
        <v>1</v>
      </c>
      <c r="D975" s="188" t="b">
        <f>LineærRegression_Valg[[#This Row],[Afhængig variabel ID]]&lt;&gt;LineærRegression_Valg[[#This Row],[Uafhængig variabel ID]]</f>
        <v>1</v>
      </c>
      <c r="E975" t="b">
        <f>LineærRegression_Valg[[#This Row],[Afhængig variabel ID]]&lt;=$B$5</f>
        <v>0</v>
      </c>
      <c r="F975" t="str" cm="1">
        <f t="array" ref="F975">IF(LineærRegression_Valg[[#This Row],[Indenfor range]],INDEX(DataTitel_liste,LineærRegression_Valg[[#This Row],[Afhængig variabel ID]]),INDEX(DataTitel_liste,1))</f>
        <v>Eksempel 1 (interval)</v>
      </c>
      <c r="G975" s="188" t="str" cm="1">
        <f t="array" ref="G975">IF(LineærRegression_Valg[[#This Row],[Indenfor range]],IF(LineærRegression_Valg[[#This Row],[Intet overlap]],INDEX(DataTitel_liste,LineærRegression_Valg[[#This Row],[Uafhængig variabel ID]]),INDEX(DataTitel_liste,IF(LineærRegression_Valg[[#This Row],[Afhængig variabel ID]]=1,2,1))),$B$7)</f>
        <v>Eksempel 2 (interval)</v>
      </c>
      <c r="H975" s="188">
        <f>_xlfn.AGGREGATE(2,5,LineærRegression_Valg[[#This Row],[Tabel ID]])</f>
        <v>1</v>
      </c>
    </row>
    <row r="976" spans="1:8" x14ac:dyDescent="0.2">
      <c r="A976">
        <f>ROW(LineærRegression_Valg[[#This Row],[Tabel ID]])-ROW(LineærRegression_Valg[[#Headers],[Tabel ID]])</f>
        <v>966</v>
      </c>
      <c r="B976" s="188">
        <f>ROUNDDOWN((LineærRegression_Valg[[#This Row],[Tabel ID]]-1)/$B$5,0)+1</f>
        <v>242</v>
      </c>
      <c r="C976" s="188">
        <f t="shared" si="15"/>
        <v>2</v>
      </c>
      <c r="D976" s="188" t="b">
        <f>LineærRegression_Valg[[#This Row],[Afhængig variabel ID]]&lt;&gt;LineærRegression_Valg[[#This Row],[Uafhængig variabel ID]]</f>
        <v>1</v>
      </c>
      <c r="E976" t="b">
        <f>LineærRegression_Valg[[#This Row],[Afhængig variabel ID]]&lt;=$B$5</f>
        <v>0</v>
      </c>
      <c r="F976" t="str" cm="1">
        <f t="array" ref="F976">IF(LineærRegression_Valg[[#This Row],[Indenfor range]],INDEX(DataTitel_liste,LineærRegression_Valg[[#This Row],[Afhængig variabel ID]]),INDEX(DataTitel_liste,1))</f>
        <v>Eksempel 1 (interval)</v>
      </c>
      <c r="G976" s="188" t="str" cm="1">
        <f t="array" ref="G976">IF(LineærRegression_Valg[[#This Row],[Indenfor range]],IF(LineærRegression_Valg[[#This Row],[Intet overlap]],INDEX(DataTitel_liste,LineærRegression_Valg[[#This Row],[Uafhængig variabel ID]]),INDEX(DataTitel_liste,IF(LineærRegression_Valg[[#This Row],[Afhængig variabel ID]]=1,2,1))),$B$7)</f>
        <v>Eksempel 2 (interval)</v>
      </c>
      <c r="H976" s="188">
        <f>_xlfn.AGGREGATE(2,5,LineærRegression_Valg[[#This Row],[Tabel ID]])</f>
        <v>1</v>
      </c>
    </row>
    <row r="977" spans="1:8" x14ac:dyDescent="0.2">
      <c r="A977">
        <f>ROW(LineærRegression_Valg[[#This Row],[Tabel ID]])-ROW(LineærRegression_Valg[[#Headers],[Tabel ID]])</f>
        <v>967</v>
      </c>
      <c r="B977" s="188">
        <f>ROUNDDOWN((LineærRegression_Valg[[#This Row],[Tabel ID]]-1)/$B$5,0)+1</f>
        <v>242</v>
      </c>
      <c r="C977" s="188">
        <f t="shared" si="15"/>
        <v>3</v>
      </c>
      <c r="D977" s="188" t="b">
        <f>LineærRegression_Valg[[#This Row],[Afhængig variabel ID]]&lt;&gt;LineærRegression_Valg[[#This Row],[Uafhængig variabel ID]]</f>
        <v>1</v>
      </c>
      <c r="E977" t="b">
        <f>LineærRegression_Valg[[#This Row],[Afhængig variabel ID]]&lt;=$B$5</f>
        <v>0</v>
      </c>
      <c r="F977" t="str" cm="1">
        <f t="array" ref="F977">IF(LineærRegression_Valg[[#This Row],[Indenfor range]],INDEX(DataTitel_liste,LineærRegression_Valg[[#This Row],[Afhængig variabel ID]]),INDEX(DataTitel_liste,1))</f>
        <v>Eksempel 1 (interval)</v>
      </c>
      <c r="G977" s="188" t="str" cm="1">
        <f t="array" ref="G977">IF(LineærRegression_Valg[[#This Row],[Indenfor range]],IF(LineærRegression_Valg[[#This Row],[Intet overlap]],INDEX(DataTitel_liste,LineærRegression_Valg[[#This Row],[Uafhængig variabel ID]]),INDEX(DataTitel_liste,IF(LineærRegression_Valg[[#This Row],[Afhængig variabel ID]]=1,2,1))),$B$7)</f>
        <v>Eksempel 2 (interval)</v>
      </c>
      <c r="H977" s="188">
        <f>_xlfn.AGGREGATE(2,5,LineærRegression_Valg[[#This Row],[Tabel ID]])</f>
        <v>1</v>
      </c>
    </row>
    <row r="978" spans="1:8" x14ac:dyDescent="0.2">
      <c r="A978">
        <f>ROW(LineærRegression_Valg[[#This Row],[Tabel ID]])-ROW(LineærRegression_Valg[[#Headers],[Tabel ID]])</f>
        <v>968</v>
      </c>
      <c r="B978" s="188">
        <f>ROUNDDOWN((LineærRegression_Valg[[#This Row],[Tabel ID]]-1)/$B$5,0)+1</f>
        <v>242</v>
      </c>
      <c r="C978" s="188">
        <f t="shared" si="15"/>
        <v>4</v>
      </c>
      <c r="D978" s="188" t="b">
        <f>LineærRegression_Valg[[#This Row],[Afhængig variabel ID]]&lt;&gt;LineærRegression_Valg[[#This Row],[Uafhængig variabel ID]]</f>
        <v>1</v>
      </c>
      <c r="E978" t="b">
        <f>LineærRegression_Valg[[#This Row],[Afhængig variabel ID]]&lt;=$B$5</f>
        <v>0</v>
      </c>
      <c r="F978" t="str" cm="1">
        <f t="array" ref="F978">IF(LineærRegression_Valg[[#This Row],[Indenfor range]],INDEX(DataTitel_liste,LineærRegression_Valg[[#This Row],[Afhængig variabel ID]]),INDEX(DataTitel_liste,1))</f>
        <v>Eksempel 1 (interval)</v>
      </c>
      <c r="G978" s="188" t="str" cm="1">
        <f t="array" ref="G978">IF(LineærRegression_Valg[[#This Row],[Indenfor range]],IF(LineærRegression_Valg[[#This Row],[Intet overlap]],INDEX(DataTitel_liste,LineærRegression_Valg[[#This Row],[Uafhængig variabel ID]]),INDEX(DataTitel_liste,IF(LineærRegression_Valg[[#This Row],[Afhængig variabel ID]]=1,2,1))),$B$7)</f>
        <v>Eksempel 2 (interval)</v>
      </c>
      <c r="H978" s="188">
        <f>_xlfn.AGGREGATE(2,5,LineærRegression_Valg[[#This Row],[Tabel ID]])</f>
        <v>1</v>
      </c>
    </row>
    <row r="979" spans="1:8" x14ac:dyDescent="0.2">
      <c r="A979">
        <f>ROW(LineærRegression_Valg[[#This Row],[Tabel ID]])-ROW(LineærRegression_Valg[[#Headers],[Tabel ID]])</f>
        <v>969</v>
      </c>
      <c r="B979" s="188">
        <f>ROUNDDOWN((LineærRegression_Valg[[#This Row],[Tabel ID]]-1)/$B$5,0)+1</f>
        <v>243</v>
      </c>
      <c r="C979" s="188">
        <f t="shared" si="15"/>
        <v>1</v>
      </c>
      <c r="D979" s="188" t="b">
        <f>LineærRegression_Valg[[#This Row],[Afhængig variabel ID]]&lt;&gt;LineærRegression_Valg[[#This Row],[Uafhængig variabel ID]]</f>
        <v>1</v>
      </c>
      <c r="E979" t="b">
        <f>LineærRegression_Valg[[#This Row],[Afhængig variabel ID]]&lt;=$B$5</f>
        <v>0</v>
      </c>
      <c r="F979" t="str" cm="1">
        <f t="array" ref="F979">IF(LineærRegression_Valg[[#This Row],[Indenfor range]],INDEX(DataTitel_liste,LineærRegression_Valg[[#This Row],[Afhængig variabel ID]]),INDEX(DataTitel_liste,1))</f>
        <v>Eksempel 1 (interval)</v>
      </c>
      <c r="G979" s="188" t="str" cm="1">
        <f t="array" ref="G979">IF(LineærRegression_Valg[[#This Row],[Indenfor range]],IF(LineærRegression_Valg[[#This Row],[Intet overlap]],INDEX(DataTitel_liste,LineærRegression_Valg[[#This Row],[Uafhængig variabel ID]]),INDEX(DataTitel_liste,IF(LineærRegression_Valg[[#This Row],[Afhængig variabel ID]]=1,2,1))),$B$7)</f>
        <v>Eksempel 2 (interval)</v>
      </c>
      <c r="H979" s="188">
        <f>_xlfn.AGGREGATE(2,5,LineærRegression_Valg[[#This Row],[Tabel ID]])</f>
        <v>1</v>
      </c>
    </row>
    <row r="980" spans="1:8" x14ac:dyDescent="0.2">
      <c r="A980">
        <f>ROW(LineærRegression_Valg[[#This Row],[Tabel ID]])-ROW(LineærRegression_Valg[[#Headers],[Tabel ID]])</f>
        <v>970</v>
      </c>
      <c r="B980" s="188">
        <f>ROUNDDOWN((LineærRegression_Valg[[#This Row],[Tabel ID]]-1)/$B$5,0)+1</f>
        <v>243</v>
      </c>
      <c r="C980" s="188">
        <f t="shared" si="15"/>
        <v>2</v>
      </c>
      <c r="D980" s="188" t="b">
        <f>LineærRegression_Valg[[#This Row],[Afhængig variabel ID]]&lt;&gt;LineærRegression_Valg[[#This Row],[Uafhængig variabel ID]]</f>
        <v>1</v>
      </c>
      <c r="E980" t="b">
        <f>LineærRegression_Valg[[#This Row],[Afhængig variabel ID]]&lt;=$B$5</f>
        <v>0</v>
      </c>
      <c r="F980" t="str" cm="1">
        <f t="array" ref="F980">IF(LineærRegression_Valg[[#This Row],[Indenfor range]],INDEX(DataTitel_liste,LineærRegression_Valg[[#This Row],[Afhængig variabel ID]]),INDEX(DataTitel_liste,1))</f>
        <v>Eksempel 1 (interval)</v>
      </c>
      <c r="G980" s="188" t="str" cm="1">
        <f t="array" ref="G980">IF(LineærRegression_Valg[[#This Row],[Indenfor range]],IF(LineærRegression_Valg[[#This Row],[Intet overlap]],INDEX(DataTitel_liste,LineærRegression_Valg[[#This Row],[Uafhængig variabel ID]]),INDEX(DataTitel_liste,IF(LineærRegression_Valg[[#This Row],[Afhængig variabel ID]]=1,2,1))),$B$7)</f>
        <v>Eksempel 2 (interval)</v>
      </c>
      <c r="H980" s="188">
        <f>_xlfn.AGGREGATE(2,5,LineærRegression_Valg[[#This Row],[Tabel ID]])</f>
        <v>1</v>
      </c>
    </row>
    <row r="981" spans="1:8" x14ac:dyDescent="0.2">
      <c r="A981">
        <f>ROW(LineærRegression_Valg[[#This Row],[Tabel ID]])-ROW(LineærRegression_Valg[[#Headers],[Tabel ID]])</f>
        <v>971</v>
      </c>
      <c r="B981" s="188">
        <f>ROUNDDOWN((LineærRegression_Valg[[#This Row],[Tabel ID]]-1)/$B$5,0)+1</f>
        <v>243</v>
      </c>
      <c r="C981" s="188">
        <f t="shared" si="15"/>
        <v>3</v>
      </c>
      <c r="D981" s="188" t="b">
        <f>LineærRegression_Valg[[#This Row],[Afhængig variabel ID]]&lt;&gt;LineærRegression_Valg[[#This Row],[Uafhængig variabel ID]]</f>
        <v>1</v>
      </c>
      <c r="E981" t="b">
        <f>LineærRegression_Valg[[#This Row],[Afhængig variabel ID]]&lt;=$B$5</f>
        <v>0</v>
      </c>
      <c r="F981" t="str" cm="1">
        <f t="array" ref="F981">IF(LineærRegression_Valg[[#This Row],[Indenfor range]],INDEX(DataTitel_liste,LineærRegression_Valg[[#This Row],[Afhængig variabel ID]]),INDEX(DataTitel_liste,1))</f>
        <v>Eksempel 1 (interval)</v>
      </c>
      <c r="G981" s="188" t="str" cm="1">
        <f t="array" ref="G981">IF(LineærRegression_Valg[[#This Row],[Indenfor range]],IF(LineærRegression_Valg[[#This Row],[Intet overlap]],INDEX(DataTitel_liste,LineærRegression_Valg[[#This Row],[Uafhængig variabel ID]]),INDEX(DataTitel_liste,IF(LineærRegression_Valg[[#This Row],[Afhængig variabel ID]]=1,2,1))),$B$7)</f>
        <v>Eksempel 2 (interval)</v>
      </c>
      <c r="H981" s="188">
        <f>_xlfn.AGGREGATE(2,5,LineærRegression_Valg[[#This Row],[Tabel ID]])</f>
        <v>1</v>
      </c>
    </row>
    <row r="982" spans="1:8" x14ac:dyDescent="0.2">
      <c r="A982">
        <f>ROW(LineærRegression_Valg[[#This Row],[Tabel ID]])-ROW(LineærRegression_Valg[[#Headers],[Tabel ID]])</f>
        <v>972</v>
      </c>
      <c r="B982" s="188">
        <f>ROUNDDOWN((LineærRegression_Valg[[#This Row],[Tabel ID]]-1)/$B$5,0)+1</f>
        <v>243</v>
      </c>
      <c r="C982" s="188">
        <f t="shared" si="15"/>
        <v>4</v>
      </c>
      <c r="D982" s="188" t="b">
        <f>LineærRegression_Valg[[#This Row],[Afhængig variabel ID]]&lt;&gt;LineærRegression_Valg[[#This Row],[Uafhængig variabel ID]]</f>
        <v>1</v>
      </c>
      <c r="E982" t="b">
        <f>LineærRegression_Valg[[#This Row],[Afhængig variabel ID]]&lt;=$B$5</f>
        <v>0</v>
      </c>
      <c r="F982" t="str" cm="1">
        <f t="array" ref="F982">IF(LineærRegression_Valg[[#This Row],[Indenfor range]],INDEX(DataTitel_liste,LineærRegression_Valg[[#This Row],[Afhængig variabel ID]]),INDEX(DataTitel_liste,1))</f>
        <v>Eksempel 1 (interval)</v>
      </c>
      <c r="G982" s="188" t="str" cm="1">
        <f t="array" ref="G982">IF(LineærRegression_Valg[[#This Row],[Indenfor range]],IF(LineærRegression_Valg[[#This Row],[Intet overlap]],INDEX(DataTitel_liste,LineærRegression_Valg[[#This Row],[Uafhængig variabel ID]]),INDEX(DataTitel_liste,IF(LineærRegression_Valg[[#This Row],[Afhængig variabel ID]]=1,2,1))),$B$7)</f>
        <v>Eksempel 2 (interval)</v>
      </c>
      <c r="H982" s="188">
        <f>_xlfn.AGGREGATE(2,5,LineærRegression_Valg[[#This Row],[Tabel ID]])</f>
        <v>1</v>
      </c>
    </row>
    <row r="983" spans="1:8" x14ac:dyDescent="0.2">
      <c r="A983">
        <f>ROW(LineærRegression_Valg[[#This Row],[Tabel ID]])-ROW(LineærRegression_Valg[[#Headers],[Tabel ID]])</f>
        <v>973</v>
      </c>
      <c r="B983" s="188">
        <f>ROUNDDOWN((LineærRegression_Valg[[#This Row],[Tabel ID]]-1)/$B$5,0)+1</f>
        <v>244</v>
      </c>
      <c r="C983" s="188">
        <f t="shared" si="15"/>
        <v>1</v>
      </c>
      <c r="D983" s="188" t="b">
        <f>LineærRegression_Valg[[#This Row],[Afhængig variabel ID]]&lt;&gt;LineærRegression_Valg[[#This Row],[Uafhængig variabel ID]]</f>
        <v>1</v>
      </c>
      <c r="E983" t="b">
        <f>LineærRegression_Valg[[#This Row],[Afhængig variabel ID]]&lt;=$B$5</f>
        <v>0</v>
      </c>
      <c r="F983" t="str" cm="1">
        <f t="array" ref="F983">IF(LineærRegression_Valg[[#This Row],[Indenfor range]],INDEX(DataTitel_liste,LineærRegression_Valg[[#This Row],[Afhængig variabel ID]]),INDEX(DataTitel_liste,1))</f>
        <v>Eksempel 1 (interval)</v>
      </c>
      <c r="G983" s="188" t="str" cm="1">
        <f t="array" ref="G983">IF(LineærRegression_Valg[[#This Row],[Indenfor range]],IF(LineærRegression_Valg[[#This Row],[Intet overlap]],INDEX(DataTitel_liste,LineærRegression_Valg[[#This Row],[Uafhængig variabel ID]]),INDEX(DataTitel_liste,IF(LineærRegression_Valg[[#This Row],[Afhængig variabel ID]]=1,2,1))),$B$7)</f>
        <v>Eksempel 2 (interval)</v>
      </c>
      <c r="H983" s="188">
        <f>_xlfn.AGGREGATE(2,5,LineærRegression_Valg[[#This Row],[Tabel ID]])</f>
        <v>1</v>
      </c>
    </row>
    <row r="984" spans="1:8" x14ac:dyDescent="0.2">
      <c r="A984">
        <f>ROW(LineærRegression_Valg[[#This Row],[Tabel ID]])-ROW(LineærRegression_Valg[[#Headers],[Tabel ID]])</f>
        <v>974</v>
      </c>
      <c r="B984" s="188">
        <f>ROUNDDOWN((LineærRegression_Valg[[#This Row],[Tabel ID]]-1)/$B$5,0)+1</f>
        <v>244</v>
      </c>
      <c r="C984" s="188">
        <f t="shared" si="15"/>
        <v>2</v>
      </c>
      <c r="D984" s="188" t="b">
        <f>LineærRegression_Valg[[#This Row],[Afhængig variabel ID]]&lt;&gt;LineærRegression_Valg[[#This Row],[Uafhængig variabel ID]]</f>
        <v>1</v>
      </c>
      <c r="E984" t="b">
        <f>LineærRegression_Valg[[#This Row],[Afhængig variabel ID]]&lt;=$B$5</f>
        <v>0</v>
      </c>
      <c r="F984" t="str" cm="1">
        <f t="array" ref="F984">IF(LineærRegression_Valg[[#This Row],[Indenfor range]],INDEX(DataTitel_liste,LineærRegression_Valg[[#This Row],[Afhængig variabel ID]]),INDEX(DataTitel_liste,1))</f>
        <v>Eksempel 1 (interval)</v>
      </c>
      <c r="G984" s="188" t="str" cm="1">
        <f t="array" ref="G984">IF(LineærRegression_Valg[[#This Row],[Indenfor range]],IF(LineærRegression_Valg[[#This Row],[Intet overlap]],INDEX(DataTitel_liste,LineærRegression_Valg[[#This Row],[Uafhængig variabel ID]]),INDEX(DataTitel_liste,IF(LineærRegression_Valg[[#This Row],[Afhængig variabel ID]]=1,2,1))),$B$7)</f>
        <v>Eksempel 2 (interval)</v>
      </c>
      <c r="H984" s="188">
        <f>_xlfn.AGGREGATE(2,5,LineærRegression_Valg[[#This Row],[Tabel ID]])</f>
        <v>1</v>
      </c>
    </row>
    <row r="985" spans="1:8" x14ac:dyDescent="0.2">
      <c r="A985">
        <f>ROW(LineærRegression_Valg[[#This Row],[Tabel ID]])-ROW(LineærRegression_Valg[[#Headers],[Tabel ID]])</f>
        <v>975</v>
      </c>
      <c r="B985" s="188">
        <f>ROUNDDOWN((LineærRegression_Valg[[#This Row],[Tabel ID]]-1)/$B$5,0)+1</f>
        <v>244</v>
      </c>
      <c r="C985" s="188">
        <f t="shared" si="15"/>
        <v>3</v>
      </c>
      <c r="D985" s="188" t="b">
        <f>LineærRegression_Valg[[#This Row],[Afhængig variabel ID]]&lt;&gt;LineærRegression_Valg[[#This Row],[Uafhængig variabel ID]]</f>
        <v>1</v>
      </c>
      <c r="E985" t="b">
        <f>LineærRegression_Valg[[#This Row],[Afhængig variabel ID]]&lt;=$B$5</f>
        <v>0</v>
      </c>
      <c r="F985" t="str" cm="1">
        <f t="array" ref="F985">IF(LineærRegression_Valg[[#This Row],[Indenfor range]],INDEX(DataTitel_liste,LineærRegression_Valg[[#This Row],[Afhængig variabel ID]]),INDEX(DataTitel_liste,1))</f>
        <v>Eksempel 1 (interval)</v>
      </c>
      <c r="G985" s="188" t="str" cm="1">
        <f t="array" ref="G985">IF(LineærRegression_Valg[[#This Row],[Indenfor range]],IF(LineærRegression_Valg[[#This Row],[Intet overlap]],INDEX(DataTitel_liste,LineærRegression_Valg[[#This Row],[Uafhængig variabel ID]]),INDEX(DataTitel_liste,IF(LineærRegression_Valg[[#This Row],[Afhængig variabel ID]]=1,2,1))),$B$7)</f>
        <v>Eksempel 2 (interval)</v>
      </c>
      <c r="H985" s="188">
        <f>_xlfn.AGGREGATE(2,5,LineærRegression_Valg[[#This Row],[Tabel ID]])</f>
        <v>1</v>
      </c>
    </row>
    <row r="986" spans="1:8" x14ac:dyDescent="0.2">
      <c r="A986">
        <f>ROW(LineærRegression_Valg[[#This Row],[Tabel ID]])-ROW(LineærRegression_Valg[[#Headers],[Tabel ID]])</f>
        <v>976</v>
      </c>
      <c r="B986" s="188">
        <f>ROUNDDOWN((LineærRegression_Valg[[#This Row],[Tabel ID]]-1)/$B$5,0)+1</f>
        <v>244</v>
      </c>
      <c r="C986" s="188">
        <f t="shared" si="15"/>
        <v>4</v>
      </c>
      <c r="D986" s="188" t="b">
        <f>LineærRegression_Valg[[#This Row],[Afhængig variabel ID]]&lt;&gt;LineærRegression_Valg[[#This Row],[Uafhængig variabel ID]]</f>
        <v>1</v>
      </c>
      <c r="E986" t="b">
        <f>LineærRegression_Valg[[#This Row],[Afhængig variabel ID]]&lt;=$B$5</f>
        <v>0</v>
      </c>
      <c r="F986" t="str" cm="1">
        <f t="array" ref="F986">IF(LineærRegression_Valg[[#This Row],[Indenfor range]],INDEX(DataTitel_liste,LineærRegression_Valg[[#This Row],[Afhængig variabel ID]]),INDEX(DataTitel_liste,1))</f>
        <v>Eksempel 1 (interval)</v>
      </c>
      <c r="G986" s="188" t="str" cm="1">
        <f t="array" ref="G986">IF(LineærRegression_Valg[[#This Row],[Indenfor range]],IF(LineærRegression_Valg[[#This Row],[Intet overlap]],INDEX(DataTitel_liste,LineærRegression_Valg[[#This Row],[Uafhængig variabel ID]]),INDEX(DataTitel_liste,IF(LineærRegression_Valg[[#This Row],[Afhængig variabel ID]]=1,2,1))),$B$7)</f>
        <v>Eksempel 2 (interval)</v>
      </c>
      <c r="H986" s="188">
        <f>_xlfn.AGGREGATE(2,5,LineærRegression_Valg[[#This Row],[Tabel ID]])</f>
        <v>1</v>
      </c>
    </row>
    <row r="987" spans="1:8" x14ac:dyDescent="0.2">
      <c r="A987">
        <f>ROW(LineærRegression_Valg[[#This Row],[Tabel ID]])-ROW(LineærRegression_Valg[[#Headers],[Tabel ID]])</f>
        <v>977</v>
      </c>
      <c r="B987" s="188">
        <f>ROUNDDOWN((LineærRegression_Valg[[#This Row],[Tabel ID]]-1)/$B$5,0)+1</f>
        <v>245</v>
      </c>
      <c r="C987" s="188">
        <f t="shared" si="15"/>
        <v>1</v>
      </c>
      <c r="D987" s="188" t="b">
        <f>LineærRegression_Valg[[#This Row],[Afhængig variabel ID]]&lt;&gt;LineærRegression_Valg[[#This Row],[Uafhængig variabel ID]]</f>
        <v>1</v>
      </c>
      <c r="E987" t="b">
        <f>LineærRegression_Valg[[#This Row],[Afhængig variabel ID]]&lt;=$B$5</f>
        <v>0</v>
      </c>
      <c r="F987" t="str" cm="1">
        <f t="array" ref="F987">IF(LineærRegression_Valg[[#This Row],[Indenfor range]],INDEX(DataTitel_liste,LineærRegression_Valg[[#This Row],[Afhængig variabel ID]]),INDEX(DataTitel_liste,1))</f>
        <v>Eksempel 1 (interval)</v>
      </c>
      <c r="G987" s="188" t="str" cm="1">
        <f t="array" ref="G987">IF(LineærRegression_Valg[[#This Row],[Indenfor range]],IF(LineærRegression_Valg[[#This Row],[Intet overlap]],INDEX(DataTitel_liste,LineærRegression_Valg[[#This Row],[Uafhængig variabel ID]]),INDEX(DataTitel_liste,IF(LineærRegression_Valg[[#This Row],[Afhængig variabel ID]]=1,2,1))),$B$7)</f>
        <v>Eksempel 2 (interval)</v>
      </c>
      <c r="H987" s="188">
        <f>_xlfn.AGGREGATE(2,5,LineærRegression_Valg[[#This Row],[Tabel ID]])</f>
        <v>1</v>
      </c>
    </row>
    <row r="988" spans="1:8" x14ac:dyDescent="0.2">
      <c r="A988">
        <f>ROW(LineærRegression_Valg[[#This Row],[Tabel ID]])-ROW(LineærRegression_Valg[[#Headers],[Tabel ID]])</f>
        <v>978</v>
      </c>
      <c r="B988" s="188">
        <f>ROUNDDOWN((LineærRegression_Valg[[#This Row],[Tabel ID]]-1)/$B$5,0)+1</f>
        <v>245</v>
      </c>
      <c r="C988" s="188">
        <f t="shared" si="15"/>
        <v>2</v>
      </c>
      <c r="D988" s="188" t="b">
        <f>LineærRegression_Valg[[#This Row],[Afhængig variabel ID]]&lt;&gt;LineærRegression_Valg[[#This Row],[Uafhængig variabel ID]]</f>
        <v>1</v>
      </c>
      <c r="E988" t="b">
        <f>LineærRegression_Valg[[#This Row],[Afhængig variabel ID]]&lt;=$B$5</f>
        <v>0</v>
      </c>
      <c r="F988" t="str" cm="1">
        <f t="array" ref="F988">IF(LineærRegression_Valg[[#This Row],[Indenfor range]],INDEX(DataTitel_liste,LineærRegression_Valg[[#This Row],[Afhængig variabel ID]]),INDEX(DataTitel_liste,1))</f>
        <v>Eksempel 1 (interval)</v>
      </c>
      <c r="G988" s="188" t="str" cm="1">
        <f t="array" ref="G988">IF(LineærRegression_Valg[[#This Row],[Indenfor range]],IF(LineærRegression_Valg[[#This Row],[Intet overlap]],INDEX(DataTitel_liste,LineærRegression_Valg[[#This Row],[Uafhængig variabel ID]]),INDEX(DataTitel_liste,IF(LineærRegression_Valg[[#This Row],[Afhængig variabel ID]]=1,2,1))),$B$7)</f>
        <v>Eksempel 2 (interval)</v>
      </c>
      <c r="H988" s="188">
        <f>_xlfn.AGGREGATE(2,5,LineærRegression_Valg[[#This Row],[Tabel ID]])</f>
        <v>1</v>
      </c>
    </row>
    <row r="989" spans="1:8" x14ac:dyDescent="0.2">
      <c r="A989">
        <f>ROW(LineærRegression_Valg[[#This Row],[Tabel ID]])-ROW(LineærRegression_Valg[[#Headers],[Tabel ID]])</f>
        <v>979</v>
      </c>
      <c r="B989" s="188">
        <f>ROUNDDOWN((LineærRegression_Valg[[#This Row],[Tabel ID]]-1)/$B$5,0)+1</f>
        <v>245</v>
      </c>
      <c r="C989" s="188">
        <f t="shared" si="15"/>
        <v>3</v>
      </c>
      <c r="D989" s="188" t="b">
        <f>LineærRegression_Valg[[#This Row],[Afhængig variabel ID]]&lt;&gt;LineærRegression_Valg[[#This Row],[Uafhængig variabel ID]]</f>
        <v>1</v>
      </c>
      <c r="E989" t="b">
        <f>LineærRegression_Valg[[#This Row],[Afhængig variabel ID]]&lt;=$B$5</f>
        <v>0</v>
      </c>
      <c r="F989" t="str" cm="1">
        <f t="array" ref="F989">IF(LineærRegression_Valg[[#This Row],[Indenfor range]],INDEX(DataTitel_liste,LineærRegression_Valg[[#This Row],[Afhængig variabel ID]]),INDEX(DataTitel_liste,1))</f>
        <v>Eksempel 1 (interval)</v>
      </c>
      <c r="G989" s="188" t="str" cm="1">
        <f t="array" ref="G989">IF(LineærRegression_Valg[[#This Row],[Indenfor range]],IF(LineærRegression_Valg[[#This Row],[Intet overlap]],INDEX(DataTitel_liste,LineærRegression_Valg[[#This Row],[Uafhængig variabel ID]]),INDEX(DataTitel_liste,IF(LineærRegression_Valg[[#This Row],[Afhængig variabel ID]]=1,2,1))),$B$7)</f>
        <v>Eksempel 2 (interval)</v>
      </c>
      <c r="H989" s="188">
        <f>_xlfn.AGGREGATE(2,5,LineærRegression_Valg[[#This Row],[Tabel ID]])</f>
        <v>1</v>
      </c>
    </row>
    <row r="990" spans="1:8" x14ac:dyDescent="0.2">
      <c r="A990">
        <f>ROW(LineærRegression_Valg[[#This Row],[Tabel ID]])-ROW(LineærRegression_Valg[[#Headers],[Tabel ID]])</f>
        <v>980</v>
      </c>
      <c r="B990" s="188">
        <f>ROUNDDOWN((LineærRegression_Valg[[#This Row],[Tabel ID]]-1)/$B$5,0)+1</f>
        <v>245</v>
      </c>
      <c r="C990" s="188">
        <f t="shared" si="15"/>
        <v>4</v>
      </c>
      <c r="D990" s="188" t="b">
        <f>LineærRegression_Valg[[#This Row],[Afhængig variabel ID]]&lt;&gt;LineærRegression_Valg[[#This Row],[Uafhængig variabel ID]]</f>
        <v>1</v>
      </c>
      <c r="E990" t="b">
        <f>LineærRegression_Valg[[#This Row],[Afhængig variabel ID]]&lt;=$B$5</f>
        <v>0</v>
      </c>
      <c r="F990" t="str" cm="1">
        <f t="array" ref="F990">IF(LineærRegression_Valg[[#This Row],[Indenfor range]],INDEX(DataTitel_liste,LineærRegression_Valg[[#This Row],[Afhængig variabel ID]]),INDEX(DataTitel_liste,1))</f>
        <v>Eksempel 1 (interval)</v>
      </c>
      <c r="G990" s="188" t="str" cm="1">
        <f t="array" ref="G990">IF(LineærRegression_Valg[[#This Row],[Indenfor range]],IF(LineærRegression_Valg[[#This Row],[Intet overlap]],INDEX(DataTitel_liste,LineærRegression_Valg[[#This Row],[Uafhængig variabel ID]]),INDEX(DataTitel_liste,IF(LineærRegression_Valg[[#This Row],[Afhængig variabel ID]]=1,2,1))),$B$7)</f>
        <v>Eksempel 2 (interval)</v>
      </c>
      <c r="H990" s="188">
        <f>_xlfn.AGGREGATE(2,5,LineærRegression_Valg[[#This Row],[Tabel ID]])</f>
        <v>1</v>
      </c>
    </row>
    <row r="991" spans="1:8" x14ac:dyDescent="0.2">
      <c r="A991">
        <f>ROW(LineærRegression_Valg[[#This Row],[Tabel ID]])-ROW(LineærRegression_Valg[[#Headers],[Tabel ID]])</f>
        <v>981</v>
      </c>
      <c r="B991" s="188">
        <f>ROUNDDOWN((LineærRegression_Valg[[#This Row],[Tabel ID]]-1)/$B$5,0)+1</f>
        <v>246</v>
      </c>
      <c r="C991" s="188">
        <f t="shared" si="15"/>
        <v>1</v>
      </c>
      <c r="D991" s="188" t="b">
        <f>LineærRegression_Valg[[#This Row],[Afhængig variabel ID]]&lt;&gt;LineærRegression_Valg[[#This Row],[Uafhængig variabel ID]]</f>
        <v>1</v>
      </c>
      <c r="E991" t="b">
        <f>LineærRegression_Valg[[#This Row],[Afhængig variabel ID]]&lt;=$B$5</f>
        <v>0</v>
      </c>
      <c r="F991" t="str" cm="1">
        <f t="array" ref="F991">IF(LineærRegression_Valg[[#This Row],[Indenfor range]],INDEX(DataTitel_liste,LineærRegression_Valg[[#This Row],[Afhængig variabel ID]]),INDEX(DataTitel_liste,1))</f>
        <v>Eksempel 1 (interval)</v>
      </c>
      <c r="G991" s="188" t="str" cm="1">
        <f t="array" ref="G991">IF(LineærRegression_Valg[[#This Row],[Indenfor range]],IF(LineærRegression_Valg[[#This Row],[Intet overlap]],INDEX(DataTitel_liste,LineærRegression_Valg[[#This Row],[Uafhængig variabel ID]]),INDEX(DataTitel_liste,IF(LineærRegression_Valg[[#This Row],[Afhængig variabel ID]]=1,2,1))),$B$7)</f>
        <v>Eksempel 2 (interval)</v>
      </c>
      <c r="H991" s="188">
        <f>_xlfn.AGGREGATE(2,5,LineærRegression_Valg[[#This Row],[Tabel ID]])</f>
        <v>1</v>
      </c>
    </row>
    <row r="992" spans="1:8" x14ac:dyDescent="0.2">
      <c r="A992">
        <f>ROW(LineærRegression_Valg[[#This Row],[Tabel ID]])-ROW(LineærRegression_Valg[[#Headers],[Tabel ID]])</f>
        <v>982</v>
      </c>
      <c r="B992" s="188">
        <f>ROUNDDOWN((LineærRegression_Valg[[#This Row],[Tabel ID]]-1)/$B$5,0)+1</f>
        <v>246</v>
      </c>
      <c r="C992" s="188">
        <f t="shared" si="15"/>
        <v>2</v>
      </c>
      <c r="D992" s="188" t="b">
        <f>LineærRegression_Valg[[#This Row],[Afhængig variabel ID]]&lt;&gt;LineærRegression_Valg[[#This Row],[Uafhængig variabel ID]]</f>
        <v>1</v>
      </c>
      <c r="E992" t="b">
        <f>LineærRegression_Valg[[#This Row],[Afhængig variabel ID]]&lt;=$B$5</f>
        <v>0</v>
      </c>
      <c r="F992" t="str" cm="1">
        <f t="array" ref="F992">IF(LineærRegression_Valg[[#This Row],[Indenfor range]],INDEX(DataTitel_liste,LineærRegression_Valg[[#This Row],[Afhængig variabel ID]]),INDEX(DataTitel_liste,1))</f>
        <v>Eksempel 1 (interval)</v>
      </c>
      <c r="G992" s="188" t="str" cm="1">
        <f t="array" ref="G992">IF(LineærRegression_Valg[[#This Row],[Indenfor range]],IF(LineærRegression_Valg[[#This Row],[Intet overlap]],INDEX(DataTitel_liste,LineærRegression_Valg[[#This Row],[Uafhængig variabel ID]]),INDEX(DataTitel_liste,IF(LineærRegression_Valg[[#This Row],[Afhængig variabel ID]]=1,2,1))),$B$7)</f>
        <v>Eksempel 2 (interval)</v>
      </c>
      <c r="H992" s="188">
        <f>_xlfn.AGGREGATE(2,5,LineærRegression_Valg[[#This Row],[Tabel ID]])</f>
        <v>1</v>
      </c>
    </row>
    <row r="993" spans="1:8" x14ac:dyDescent="0.2">
      <c r="A993">
        <f>ROW(LineærRegression_Valg[[#This Row],[Tabel ID]])-ROW(LineærRegression_Valg[[#Headers],[Tabel ID]])</f>
        <v>983</v>
      </c>
      <c r="B993" s="188">
        <f>ROUNDDOWN((LineærRegression_Valg[[#This Row],[Tabel ID]]-1)/$B$5,0)+1</f>
        <v>246</v>
      </c>
      <c r="C993" s="188">
        <f t="shared" si="15"/>
        <v>3</v>
      </c>
      <c r="D993" s="188" t="b">
        <f>LineærRegression_Valg[[#This Row],[Afhængig variabel ID]]&lt;&gt;LineærRegression_Valg[[#This Row],[Uafhængig variabel ID]]</f>
        <v>1</v>
      </c>
      <c r="E993" t="b">
        <f>LineærRegression_Valg[[#This Row],[Afhængig variabel ID]]&lt;=$B$5</f>
        <v>0</v>
      </c>
      <c r="F993" t="str" cm="1">
        <f t="array" ref="F993">IF(LineærRegression_Valg[[#This Row],[Indenfor range]],INDEX(DataTitel_liste,LineærRegression_Valg[[#This Row],[Afhængig variabel ID]]),INDEX(DataTitel_liste,1))</f>
        <v>Eksempel 1 (interval)</v>
      </c>
      <c r="G993" s="188" t="str" cm="1">
        <f t="array" ref="G993">IF(LineærRegression_Valg[[#This Row],[Indenfor range]],IF(LineærRegression_Valg[[#This Row],[Intet overlap]],INDEX(DataTitel_liste,LineærRegression_Valg[[#This Row],[Uafhængig variabel ID]]),INDEX(DataTitel_liste,IF(LineærRegression_Valg[[#This Row],[Afhængig variabel ID]]=1,2,1))),$B$7)</f>
        <v>Eksempel 2 (interval)</v>
      </c>
      <c r="H993" s="188">
        <f>_xlfn.AGGREGATE(2,5,LineærRegression_Valg[[#This Row],[Tabel ID]])</f>
        <v>1</v>
      </c>
    </row>
    <row r="994" spans="1:8" x14ac:dyDescent="0.2">
      <c r="A994">
        <f>ROW(LineærRegression_Valg[[#This Row],[Tabel ID]])-ROW(LineærRegression_Valg[[#Headers],[Tabel ID]])</f>
        <v>984</v>
      </c>
      <c r="B994" s="188">
        <f>ROUNDDOWN((LineærRegression_Valg[[#This Row],[Tabel ID]]-1)/$B$5,0)+1</f>
        <v>246</v>
      </c>
      <c r="C994" s="188">
        <f t="shared" si="15"/>
        <v>4</v>
      </c>
      <c r="D994" s="188" t="b">
        <f>LineærRegression_Valg[[#This Row],[Afhængig variabel ID]]&lt;&gt;LineærRegression_Valg[[#This Row],[Uafhængig variabel ID]]</f>
        <v>1</v>
      </c>
      <c r="E994" t="b">
        <f>LineærRegression_Valg[[#This Row],[Afhængig variabel ID]]&lt;=$B$5</f>
        <v>0</v>
      </c>
      <c r="F994" t="str" cm="1">
        <f t="array" ref="F994">IF(LineærRegression_Valg[[#This Row],[Indenfor range]],INDEX(DataTitel_liste,LineærRegression_Valg[[#This Row],[Afhængig variabel ID]]),INDEX(DataTitel_liste,1))</f>
        <v>Eksempel 1 (interval)</v>
      </c>
      <c r="G994" s="188" t="str" cm="1">
        <f t="array" ref="G994">IF(LineærRegression_Valg[[#This Row],[Indenfor range]],IF(LineærRegression_Valg[[#This Row],[Intet overlap]],INDEX(DataTitel_liste,LineærRegression_Valg[[#This Row],[Uafhængig variabel ID]]),INDEX(DataTitel_liste,IF(LineærRegression_Valg[[#This Row],[Afhængig variabel ID]]=1,2,1))),$B$7)</f>
        <v>Eksempel 2 (interval)</v>
      </c>
      <c r="H994" s="188">
        <f>_xlfn.AGGREGATE(2,5,LineærRegression_Valg[[#This Row],[Tabel ID]])</f>
        <v>1</v>
      </c>
    </row>
    <row r="995" spans="1:8" x14ac:dyDescent="0.2">
      <c r="A995">
        <f>ROW(LineærRegression_Valg[[#This Row],[Tabel ID]])-ROW(LineærRegression_Valg[[#Headers],[Tabel ID]])</f>
        <v>985</v>
      </c>
      <c r="B995" s="188">
        <f>ROUNDDOWN((LineærRegression_Valg[[#This Row],[Tabel ID]]-1)/$B$5,0)+1</f>
        <v>247</v>
      </c>
      <c r="C995" s="188">
        <f t="shared" si="15"/>
        <v>1</v>
      </c>
      <c r="D995" s="188" t="b">
        <f>LineærRegression_Valg[[#This Row],[Afhængig variabel ID]]&lt;&gt;LineærRegression_Valg[[#This Row],[Uafhængig variabel ID]]</f>
        <v>1</v>
      </c>
      <c r="E995" t="b">
        <f>LineærRegression_Valg[[#This Row],[Afhængig variabel ID]]&lt;=$B$5</f>
        <v>0</v>
      </c>
      <c r="F995" t="str" cm="1">
        <f t="array" ref="F995">IF(LineærRegression_Valg[[#This Row],[Indenfor range]],INDEX(DataTitel_liste,LineærRegression_Valg[[#This Row],[Afhængig variabel ID]]),INDEX(DataTitel_liste,1))</f>
        <v>Eksempel 1 (interval)</v>
      </c>
      <c r="G995" s="188" t="str" cm="1">
        <f t="array" ref="G995">IF(LineærRegression_Valg[[#This Row],[Indenfor range]],IF(LineærRegression_Valg[[#This Row],[Intet overlap]],INDEX(DataTitel_liste,LineærRegression_Valg[[#This Row],[Uafhængig variabel ID]]),INDEX(DataTitel_liste,IF(LineærRegression_Valg[[#This Row],[Afhængig variabel ID]]=1,2,1))),$B$7)</f>
        <v>Eksempel 2 (interval)</v>
      </c>
      <c r="H995" s="188">
        <f>_xlfn.AGGREGATE(2,5,LineærRegression_Valg[[#This Row],[Tabel ID]])</f>
        <v>1</v>
      </c>
    </row>
    <row r="996" spans="1:8" x14ac:dyDescent="0.2">
      <c r="A996">
        <f>ROW(LineærRegression_Valg[[#This Row],[Tabel ID]])-ROW(LineærRegression_Valg[[#Headers],[Tabel ID]])</f>
        <v>986</v>
      </c>
      <c r="B996" s="188">
        <f>ROUNDDOWN((LineærRegression_Valg[[#This Row],[Tabel ID]]-1)/$B$5,0)+1</f>
        <v>247</v>
      </c>
      <c r="C996" s="188">
        <f t="shared" si="15"/>
        <v>2</v>
      </c>
      <c r="D996" s="188" t="b">
        <f>LineærRegression_Valg[[#This Row],[Afhængig variabel ID]]&lt;&gt;LineærRegression_Valg[[#This Row],[Uafhængig variabel ID]]</f>
        <v>1</v>
      </c>
      <c r="E996" t="b">
        <f>LineærRegression_Valg[[#This Row],[Afhængig variabel ID]]&lt;=$B$5</f>
        <v>0</v>
      </c>
      <c r="F996" t="str" cm="1">
        <f t="array" ref="F996">IF(LineærRegression_Valg[[#This Row],[Indenfor range]],INDEX(DataTitel_liste,LineærRegression_Valg[[#This Row],[Afhængig variabel ID]]),INDEX(DataTitel_liste,1))</f>
        <v>Eksempel 1 (interval)</v>
      </c>
      <c r="G996" s="188" t="str" cm="1">
        <f t="array" ref="G996">IF(LineærRegression_Valg[[#This Row],[Indenfor range]],IF(LineærRegression_Valg[[#This Row],[Intet overlap]],INDEX(DataTitel_liste,LineærRegression_Valg[[#This Row],[Uafhængig variabel ID]]),INDEX(DataTitel_liste,IF(LineærRegression_Valg[[#This Row],[Afhængig variabel ID]]=1,2,1))),$B$7)</f>
        <v>Eksempel 2 (interval)</v>
      </c>
      <c r="H996" s="188">
        <f>_xlfn.AGGREGATE(2,5,LineærRegression_Valg[[#This Row],[Tabel ID]])</f>
        <v>1</v>
      </c>
    </row>
    <row r="997" spans="1:8" x14ac:dyDescent="0.2">
      <c r="A997">
        <f>ROW(LineærRegression_Valg[[#This Row],[Tabel ID]])-ROW(LineærRegression_Valg[[#Headers],[Tabel ID]])</f>
        <v>987</v>
      </c>
      <c r="B997" s="188">
        <f>ROUNDDOWN((LineærRegression_Valg[[#This Row],[Tabel ID]]-1)/$B$5,0)+1</f>
        <v>247</v>
      </c>
      <c r="C997" s="188">
        <f t="shared" si="15"/>
        <v>3</v>
      </c>
      <c r="D997" s="188" t="b">
        <f>LineærRegression_Valg[[#This Row],[Afhængig variabel ID]]&lt;&gt;LineærRegression_Valg[[#This Row],[Uafhængig variabel ID]]</f>
        <v>1</v>
      </c>
      <c r="E997" t="b">
        <f>LineærRegression_Valg[[#This Row],[Afhængig variabel ID]]&lt;=$B$5</f>
        <v>0</v>
      </c>
      <c r="F997" t="str" cm="1">
        <f t="array" ref="F997">IF(LineærRegression_Valg[[#This Row],[Indenfor range]],INDEX(DataTitel_liste,LineærRegression_Valg[[#This Row],[Afhængig variabel ID]]),INDEX(DataTitel_liste,1))</f>
        <v>Eksempel 1 (interval)</v>
      </c>
      <c r="G997" s="188" t="str" cm="1">
        <f t="array" ref="G997">IF(LineærRegression_Valg[[#This Row],[Indenfor range]],IF(LineærRegression_Valg[[#This Row],[Intet overlap]],INDEX(DataTitel_liste,LineærRegression_Valg[[#This Row],[Uafhængig variabel ID]]),INDEX(DataTitel_liste,IF(LineærRegression_Valg[[#This Row],[Afhængig variabel ID]]=1,2,1))),$B$7)</f>
        <v>Eksempel 2 (interval)</v>
      </c>
      <c r="H997" s="188">
        <f>_xlfn.AGGREGATE(2,5,LineærRegression_Valg[[#This Row],[Tabel ID]])</f>
        <v>1</v>
      </c>
    </row>
    <row r="998" spans="1:8" x14ac:dyDescent="0.2">
      <c r="A998">
        <f>ROW(LineærRegression_Valg[[#This Row],[Tabel ID]])-ROW(LineærRegression_Valg[[#Headers],[Tabel ID]])</f>
        <v>988</v>
      </c>
      <c r="B998" s="188">
        <f>ROUNDDOWN((LineærRegression_Valg[[#This Row],[Tabel ID]]-1)/$B$5,0)+1</f>
        <v>247</v>
      </c>
      <c r="C998" s="188">
        <f t="shared" si="15"/>
        <v>4</v>
      </c>
      <c r="D998" s="188" t="b">
        <f>LineærRegression_Valg[[#This Row],[Afhængig variabel ID]]&lt;&gt;LineærRegression_Valg[[#This Row],[Uafhængig variabel ID]]</f>
        <v>1</v>
      </c>
      <c r="E998" t="b">
        <f>LineærRegression_Valg[[#This Row],[Afhængig variabel ID]]&lt;=$B$5</f>
        <v>0</v>
      </c>
      <c r="F998" t="str" cm="1">
        <f t="array" ref="F998">IF(LineærRegression_Valg[[#This Row],[Indenfor range]],INDEX(DataTitel_liste,LineærRegression_Valg[[#This Row],[Afhængig variabel ID]]),INDEX(DataTitel_liste,1))</f>
        <v>Eksempel 1 (interval)</v>
      </c>
      <c r="G998" s="188" t="str" cm="1">
        <f t="array" ref="G998">IF(LineærRegression_Valg[[#This Row],[Indenfor range]],IF(LineærRegression_Valg[[#This Row],[Intet overlap]],INDEX(DataTitel_liste,LineærRegression_Valg[[#This Row],[Uafhængig variabel ID]]),INDEX(DataTitel_liste,IF(LineærRegression_Valg[[#This Row],[Afhængig variabel ID]]=1,2,1))),$B$7)</f>
        <v>Eksempel 2 (interval)</v>
      </c>
      <c r="H998" s="188">
        <f>_xlfn.AGGREGATE(2,5,LineærRegression_Valg[[#This Row],[Tabel ID]])</f>
        <v>1</v>
      </c>
    </row>
    <row r="999" spans="1:8" x14ac:dyDescent="0.2">
      <c r="A999">
        <f>ROW(LineærRegression_Valg[[#This Row],[Tabel ID]])-ROW(LineærRegression_Valg[[#Headers],[Tabel ID]])</f>
        <v>989</v>
      </c>
      <c r="B999" s="188">
        <f>ROUNDDOWN((LineærRegression_Valg[[#This Row],[Tabel ID]]-1)/$B$5,0)+1</f>
        <v>248</v>
      </c>
      <c r="C999" s="188">
        <f t="shared" si="15"/>
        <v>1</v>
      </c>
      <c r="D999" s="188" t="b">
        <f>LineærRegression_Valg[[#This Row],[Afhængig variabel ID]]&lt;&gt;LineærRegression_Valg[[#This Row],[Uafhængig variabel ID]]</f>
        <v>1</v>
      </c>
      <c r="E999" t="b">
        <f>LineærRegression_Valg[[#This Row],[Afhængig variabel ID]]&lt;=$B$5</f>
        <v>0</v>
      </c>
      <c r="F999" t="str" cm="1">
        <f t="array" ref="F999">IF(LineærRegression_Valg[[#This Row],[Indenfor range]],INDEX(DataTitel_liste,LineærRegression_Valg[[#This Row],[Afhængig variabel ID]]),INDEX(DataTitel_liste,1))</f>
        <v>Eksempel 1 (interval)</v>
      </c>
      <c r="G999" s="188" t="str" cm="1">
        <f t="array" ref="G999">IF(LineærRegression_Valg[[#This Row],[Indenfor range]],IF(LineærRegression_Valg[[#This Row],[Intet overlap]],INDEX(DataTitel_liste,LineærRegression_Valg[[#This Row],[Uafhængig variabel ID]]),INDEX(DataTitel_liste,IF(LineærRegression_Valg[[#This Row],[Afhængig variabel ID]]=1,2,1))),$B$7)</f>
        <v>Eksempel 2 (interval)</v>
      </c>
      <c r="H999" s="188">
        <f>_xlfn.AGGREGATE(2,5,LineærRegression_Valg[[#This Row],[Tabel ID]])</f>
        <v>1</v>
      </c>
    </row>
    <row r="1000" spans="1:8" x14ac:dyDescent="0.2">
      <c r="A1000">
        <f>ROW(LineærRegression_Valg[[#This Row],[Tabel ID]])-ROW(LineærRegression_Valg[[#Headers],[Tabel ID]])</f>
        <v>990</v>
      </c>
      <c r="B1000" s="188">
        <f>ROUNDDOWN((LineærRegression_Valg[[#This Row],[Tabel ID]]-1)/$B$5,0)+1</f>
        <v>248</v>
      </c>
      <c r="C1000" s="188">
        <f t="shared" si="15"/>
        <v>2</v>
      </c>
      <c r="D1000" s="188" t="b">
        <f>LineærRegression_Valg[[#This Row],[Afhængig variabel ID]]&lt;&gt;LineærRegression_Valg[[#This Row],[Uafhængig variabel ID]]</f>
        <v>1</v>
      </c>
      <c r="E1000" t="b">
        <f>LineærRegression_Valg[[#This Row],[Afhængig variabel ID]]&lt;=$B$5</f>
        <v>0</v>
      </c>
      <c r="F1000" t="str" cm="1">
        <f t="array" ref="F1000">IF(LineærRegression_Valg[[#This Row],[Indenfor range]],INDEX(DataTitel_liste,LineærRegression_Valg[[#This Row],[Afhængig variabel ID]]),INDEX(DataTitel_liste,1))</f>
        <v>Eksempel 1 (interval)</v>
      </c>
      <c r="G1000" s="188" t="str" cm="1">
        <f t="array" ref="G1000">IF(LineærRegression_Valg[[#This Row],[Indenfor range]],IF(LineærRegression_Valg[[#This Row],[Intet overlap]],INDEX(DataTitel_liste,LineærRegression_Valg[[#This Row],[Uafhængig variabel ID]]),INDEX(DataTitel_liste,IF(LineærRegression_Valg[[#This Row],[Afhængig variabel ID]]=1,2,1))),$B$7)</f>
        <v>Eksempel 2 (interval)</v>
      </c>
      <c r="H1000" s="188">
        <f>_xlfn.AGGREGATE(2,5,LineærRegression_Valg[[#This Row],[Tabel ID]])</f>
        <v>1</v>
      </c>
    </row>
    <row r="1001" spans="1:8" x14ac:dyDescent="0.2">
      <c r="A1001">
        <f>ROW(LineærRegression_Valg[[#This Row],[Tabel ID]])-ROW(LineærRegression_Valg[[#Headers],[Tabel ID]])</f>
        <v>991</v>
      </c>
      <c r="B1001" s="188">
        <f>ROUNDDOWN((LineærRegression_Valg[[#This Row],[Tabel ID]]-1)/$B$5,0)+1</f>
        <v>248</v>
      </c>
      <c r="C1001" s="188">
        <f t="shared" si="15"/>
        <v>3</v>
      </c>
      <c r="D1001" s="188" t="b">
        <f>LineærRegression_Valg[[#This Row],[Afhængig variabel ID]]&lt;&gt;LineærRegression_Valg[[#This Row],[Uafhængig variabel ID]]</f>
        <v>1</v>
      </c>
      <c r="E1001" t="b">
        <f>LineærRegression_Valg[[#This Row],[Afhængig variabel ID]]&lt;=$B$5</f>
        <v>0</v>
      </c>
      <c r="F1001" t="str" cm="1">
        <f t="array" ref="F1001">IF(LineærRegression_Valg[[#This Row],[Indenfor range]],INDEX(DataTitel_liste,LineærRegression_Valg[[#This Row],[Afhængig variabel ID]]),INDEX(DataTitel_liste,1))</f>
        <v>Eksempel 1 (interval)</v>
      </c>
      <c r="G1001" s="188" t="str" cm="1">
        <f t="array" ref="G1001">IF(LineærRegression_Valg[[#This Row],[Indenfor range]],IF(LineærRegression_Valg[[#This Row],[Intet overlap]],INDEX(DataTitel_liste,LineærRegression_Valg[[#This Row],[Uafhængig variabel ID]]),INDEX(DataTitel_liste,IF(LineærRegression_Valg[[#This Row],[Afhængig variabel ID]]=1,2,1))),$B$7)</f>
        <v>Eksempel 2 (interval)</v>
      </c>
      <c r="H1001" s="188">
        <f>_xlfn.AGGREGATE(2,5,LineærRegression_Valg[[#This Row],[Tabel ID]])</f>
        <v>1</v>
      </c>
    </row>
    <row r="1002" spans="1:8" x14ac:dyDescent="0.2">
      <c r="A1002">
        <f>ROW(LineærRegression_Valg[[#This Row],[Tabel ID]])-ROW(LineærRegression_Valg[[#Headers],[Tabel ID]])</f>
        <v>992</v>
      </c>
      <c r="B1002" s="188">
        <f>ROUNDDOWN((LineærRegression_Valg[[#This Row],[Tabel ID]]-1)/$B$5,0)+1</f>
        <v>248</v>
      </c>
      <c r="C1002" s="188">
        <f t="shared" si="15"/>
        <v>4</v>
      </c>
      <c r="D1002" s="188" t="b">
        <f>LineærRegression_Valg[[#This Row],[Afhængig variabel ID]]&lt;&gt;LineærRegression_Valg[[#This Row],[Uafhængig variabel ID]]</f>
        <v>1</v>
      </c>
      <c r="E1002" t="b">
        <f>LineærRegression_Valg[[#This Row],[Afhængig variabel ID]]&lt;=$B$5</f>
        <v>0</v>
      </c>
      <c r="F1002" t="str" cm="1">
        <f t="array" ref="F1002">IF(LineærRegression_Valg[[#This Row],[Indenfor range]],INDEX(DataTitel_liste,LineærRegression_Valg[[#This Row],[Afhængig variabel ID]]),INDEX(DataTitel_liste,1))</f>
        <v>Eksempel 1 (interval)</v>
      </c>
      <c r="G1002" s="188" t="str" cm="1">
        <f t="array" ref="G1002">IF(LineærRegression_Valg[[#This Row],[Indenfor range]],IF(LineærRegression_Valg[[#This Row],[Intet overlap]],INDEX(DataTitel_liste,LineærRegression_Valg[[#This Row],[Uafhængig variabel ID]]),INDEX(DataTitel_liste,IF(LineærRegression_Valg[[#This Row],[Afhængig variabel ID]]=1,2,1))),$B$7)</f>
        <v>Eksempel 2 (interval)</v>
      </c>
      <c r="H1002" s="188">
        <f>_xlfn.AGGREGATE(2,5,LineærRegression_Valg[[#This Row],[Tabel ID]])</f>
        <v>1</v>
      </c>
    </row>
    <row r="1003" spans="1:8" x14ac:dyDescent="0.2">
      <c r="A1003">
        <f>ROW(LineærRegression_Valg[[#This Row],[Tabel ID]])-ROW(LineærRegression_Valg[[#Headers],[Tabel ID]])</f>
        <v>993</v>
      </c>
      <c r="B1003" s="188">
        <f>ROUNDDOWN((LineærRegression_Valg[[#This Row],[Tabel ID]]-1)/$B$5,0)+1</f>
        <v>249</v>
      </c>
      <c r="C1003" s="188">
        <f t="shared" si="15"/>
        <v>1</v>
      </c>
      <c r="D1003" s="188" t="b">
        <f>LineærRegression_Valg[[#This Row],[Afhængig variabel ID]]&lt;&gt;LineærRegression_Valg[[#This Row],[Uafhængig variabel ID]]</f>
        <v>1</v>
      </c>
      <c r="E1003" t="b">
        <f>LineærRegression_Valg[[#This Row],[Afhængig variabel ID]]&lt;=$B$5</f>
        <v>0</v>
      </c>
      <c r="F1003" t="str" cm="1">
        <f t="array" ref="F1003">IF(LineærRegression_Valg[[#This Row],[Indenfor range]],INDEX(DataTitel_liste,LineærRegression_Valg[[#This Row],[Afhængig variabel ID]]),INDEX(DataTitel_liste,1))</f>
        <v>Eksempel 1 (interval)</v>
      </c>
      <c r="G1003" s="188" t="str" cm="1">
        <f t="array" ref="G1003">IF(LineærRegression_Valg[[#This Row],[Indenfor range]],IF(LineærRegression_Valg[[#This Row],[Intet overlap]],INDEX(DataTitel_liste,LineærRegression_Valg[[#This Row],[Uafhængig variabel ID]]),INDEX(DataTitel_liste,IF(LineærRegression_Valg[[#This Row],[Afhængig variabel ID]]=1,2,1))),$B$7)</f>
        <v>Eksempel 2 (interval)</v>
      </c>
      <c r="H1003" s="188">
        <f>_xlfn.AGGREGATE(2,5,LineærRegression_Valg[[#This Row],[Tabel ID]])</f>
        <v>1</v>
      </c>
    </row>
    <row r="1004" spans="1:8" x14ac:dyDescent="0.2">
      <c r="A1004">
        <f>ROW(LineærRegression_Valg[[#This Row],[Tabel ID]])-ROW(LineærRegression_Valg[[#Headers],[Tabel ID]])</f>
        <v>994</v>
      </c>
      <c r="B1004" s="188">
        <f>ROUNDDOWN((LineærRegression_Valg[[#This Row],[Tabel ID]]-1)/$B$5,0)+1</f>
        <v>249</v>
      </c>
      <c r="C1004" s="188">
        <f t="shared" si="15"/>
        <v>2</v>
      </c>
      <c r="D1004" s="188" t="b">
        <f>LineærRegression_Valg[[#This Row],[Afhængig variabel ID]]&lt;&gt;LineærRegression_Valg[[#This Row],[Uafhængig variabel ID]]</f>
        <v>1</v>
      </c>
      <c r="E1004" t="b">
        <f>LineærRegression_Valg[[#This Row],[Afhængig variabel ID]]&lt;=$B$5</f>
        <v>0</v>
      </c>
      <c r="F1004" t="str" cm="1">
        <f t="array" ref="F1004">IF(LineærRegression_Valg[[#This Row],[Indenfor range]],INDEX(DataTitel_liste,LineærRegression_Valg[[#This Row],[Afhængig variabel ID]]),INDEX(DataTitel_liste,1))</f>
        <v>Eksempel 1 (interval)</v>
      </c>
      <c r="G1004" s="188" t="str" cm="1">
        <f t="array" ref="G1004">IF(LineærRegression_Valg[[#This Row],[Indenfor range]],IF(LineærRegression_Valg[[#This Row],[Intet overlap]],INDEX(DataTitel_liste,LineærRegression_Valg[[#This Row],[Uafhængig variabel ID]]),INDEX(DataTitel_liste,IF(LineærRegression_Valg[[#This Row],[Afhængig variabel ID]]=1,2,1))),$B$7)</f>
        <v>Eksempel 2 (interval)</v>
      </c>
      <c r="H1004" s="188">
        <f>_xlfn.AGGREGATE(2,5,LineærRegression_Valg[[#This Row],[Tabel ID]])</f>
        <v>1</v>
      </c>
    </row>
    <row r="1005" spans="1:8" x14ac:dyDescent="0.2">
      <c r="A1005">
        <f>ROW(LineærRegression_Valg[[#This Row],[Tabel ID]])-ROW(LineærRegression_Valg[[#Headers],[Tabel ID]])</f>
        <v>995</v>
      </c>
      <c r="B1005" s="188">
        <f>ROUNDDOWN((LineærRegression_Valg[[#This Row],[Tabel ID]]-1)/$B$5,0)+1</f>
        <v>249</v>
      </c>
      <c r="C1005" s="188">
        <f t="shared" si="15"/>
        <v>3</v>
      </c>
      <c r="D1005" s="188" t="b">
        <f>LineærRegression_Valg[[#This Row],[Afhængig variabel ID]]&lt;&gt;LineærRegression_Valg[[#This Row],[Uafhængig variabel ID]]</f>
        <v>1</v>
      </c>
      <c r="E1005" t="b">
        <f>LineærRegression_Valg[[#This Row],[Afhængig variabel ID]]&lt;=$B$5</f>
        <v>0</v>
      </c>
      <c r="F1005" t="str" cm="1">
        <f t="array" ref="F1005">IF(LineærRegression_Valg[[#This Row],[Indenfor range]],INDEX(DataTitel_liste,LineærRegression_Valg[[#This Row],[Afhængig variabel ID]]),INDEX(DataTitel_liste,1))</f>
        <v>Eksempel 1 (interval)</v>
      </c>
      <c r="G1005" s="188" t="str" cm="1">
        <f t="array" ref="G1005">IF(LineærRegression_Valg[[#This Row],[Indenfor range]],IF(LineærRegression_Valg[[#This Row],[Intet overlap]],INDEX(DataTitel_liste,LineærRegression_Valg[[#This Row],[Uafhængig variabel ID]]),INDEX(DataTitel_liste,IF(LineærRegression_Valg[[#This Row],[Afhængig variabel ID]]=1,2,1))),$B$7)</f>
        <v>Eksempel 2 (interval)</v>
      </c>
      <c r="H1005" s="188">
        <f>_xlfn.AGGREGATE(2,5,LineærRegression_Valg[[#This Row],[Tabel ID]])</f>
        <v>1</v>
      </c>
    </row>
    <row r="1006" spans="1:8" x14ac:dyDescent="0.2">
      <c r="A1006">
        <f>ROW(LineærRegression_Valg[[#This Row],[Tabel ID]])-ROW(LineærRegression_Valg[[#Headers],[Tabel ID]])</f>
        <v>996</v>
      </c>
      <c r="B1006" s="188">
        <f>ROUNDDOWN((LineærRegression_Valg[[#This Row],[Tabel ID]]-1)/$B$5,0)+1</f>
        <v>249</v>
      </c>
      <c r="C1006" s="188">
        <f t="shared" si="15"/>
        <v>4</v>
      </c>
      <c r="D1006" s="188" t="b">
        <f>LineærRegression_Valg[[#This Row],[Afhængig variabel ID]]&lt;&gt;LineærRegression_Valg[[#This Row],[Uafhængig variabel ID]]</f>
        <v>1</v>
      </c>
      <c r="E1006" t="b">
        <f>LineærRegression_Valg[[#This Row],[Afhængig variabel ID]]&lt;=$B$5</f>
        <v>0</v>
      </c>
      <c r="F1006" t="str" cm="1">
        <f t="array" ref="F1006">IF(LineærRegression_Valg[[#This Row],[Indenfor range]],INDEX(DataTitel_liste,LineærRegression_Valg[[#This Row],[Afhængig variabel ID]]),INDEX(DataTitel_liste,1))</f>
        <v>Eksempel 1 (interval)</v>
      </c>
      <c r="G1006" s="188" t="str" cm="1">
        <f t="array" ref="G1006">IF(LineærRegression_Valg[[#This Row],[Indenfor range]],IF(LineærRegression_Valg[[#This Row],[Intet overlap]],INDEX(DataTitel_liste,LineærRegression_Valg[[#This Row],[Uafhængig variabel ID]]),INDEX(DataTitel_liste,IF(LineærRegression_Valg[[#This Row],[Afhængig variabel ID]]=1,2,1))),$B$7)</f>
        <v>Eksempel 2 (interval)</v>
      </c>
      <c r="H1006" s="188">
        <f>_xlfn.AGGREGATE(2,5,LineærRegression_Valg[[#This Row],[Tabel ID]])</f>
        <v>1</v>
      </c>
    </row>
    <row r="1007" spans="1:8" x14ac:dyDescent="0.2">
      <c r="A1007">
        <f>ROW(LineærRegression_Valg[[#This Row],[Tabel ID]])-ROW(LineærRegression_Valg[[#Headers],[Tabel ID]])</f>
        <v>997</v>
      </c>
      <c r="B1007" s="188">
        <f>ROUNDDOWN((LineærRegression_Valg[[#This Row],[Tabel ID]]-1)/$B$5,0)+1</f>
        <v>250</v>
      </c>
      <c r="C1007" s="188">
        <f t="shared" si="15"/>
        <v>1</v>
      </c>
      <c r="D1007" s="188" t="b">
        <f>LineærRegression_Valg[[#This Row],[Afhængig variabel ID]]&lt;&gt;LineærRegression_Valg[[#This Row],[Uafhængig variabel ID]]</f>
        <v>1</v>
      </c>
      <c r="E1007" t="b">
        <f>LineærRegression_Valg[[#This Row],[Afhængig variabel ID]]&lt;=$B$5</f>
        <v>0</v>
      </c>
      <c r="F1007" t="str" cm="1">
        <f t="array" ref="F1007">IF(LineærRegression_Valg[[#This Row],[Indenfor range]],INDEX(DataTitel_liste,LineærRegression_Valg[[#This Row],[Afhængig variabel ID]]),INDEX(DataTitel_liste,1))</f>
        <v>Eksempel 1 (interval)</v>
      </c>
      <c r="G1007" s="188" t="str" cm="1">
        <f t="array" ref="G1007">IF(LineærRegression_Valg[[#This Row],[Indenfor range]],IF(LineærRegression_Valg[[#This Row],[Intet overlap]],INDEX(DataTitel_liste,LineærRegression_Valg[[#This Row],[Uafhængig variabel ID]]),INDEX(DataTitel_liste,IF(LineærRegression_Valg[[#This Row],[Afhængig variabel ID]]=1,2,1))),$B$7)</f>
        <v>Eksempel 2 (interval)</v>
      </c>
      <c r="H1007" s="188">
        <f>_xlfn.AGGREGATE(2,5,LineærRegression_Valg[[#This Row],[Tabel ID]])</f>
        <v>1</v>
      </c>
    </row>
    <row r="1008" spans="1:8" x14ac:dyDescent="0.2">
      <c r="A1008">
        <f>ROW(LineærRegression_Valg[[#This Row],[Tabel ID]])-ROW(LineærRegression_Valg[[#Headers],[Tabel ID]])</f>
        <v>998</v>
      </c>
      <c r="B1008" s="188">
        <f>ROUNDDOWN((LineærRegression_Valg[[#This Row],[Tabel ID]]-1)/$B$5,0)+1</f>
        <v>250</v>
      </c>
      <c r="C1008" s="188">
        <f t="shared" si="15"/>
        <v>2</v>
      </c>
      <c r="D1008" s="188" t="b">
        <f>LineærRegression_Valg[[#This Row],[Afhængig variabel ID]]&lt;&gt;LineærRegression_Valg[[#This Row],[Uafhængig variabel ID]]</f>
        <v>1</v>
      </c>
      <c r="E1008" t="b">
        <f>LineærRegression_Valg[[#This Row],[Afhængig variabel ID]]&lt;=$B$5</f>
        <v>0</v>
      </c>
      <c r="F1008" t="str" cm="1">
        <f t="array" ref="F1008">IF(LineærRegression_Valg[[#This Row],[Indenfor range]],INDEX(DataTitel_liste,LineærRegression_Valg[[#This Row],[Afhængig variabel ID]]),INDEX(DataTitel_liste,1))</f>
        <v>Eksempel 1 (interval)</v>
      </c>
      <c r="G1008" s="188" t="str" cm="1">
        <f t="array" ref="G1008">IF(LineærRegression_Valg[[#This Row],[Indenfor range]],IF(LineærRegression_Valg[[#This Row],[Intet overlap]],INDEX(DataTitel_liste,LineærRegression_Valg[[#This Row],[Uafhængig variabel ID]]),INDEX(DataTitel_liste,IF(LineærRegression_Valg[[#This Row],[Afhængig variabel ID]]=1,2,1))),$B$7)</f>
        <v>Eksempel 2 (interval)</v>
      </c>
      <c r="H1008" s="188">
        <f>_xlfn.AGGREGATE(2,5,LineærRegression_Valg[[#This Row],[Tabel ID]])</f>
        <v>1</v>
      </c>
    </row>
    <row r="1009" spans="1:8" x14ac:dyDescent="0.2">
      <c r="A1009">
        <f>ROW(LineærRegression_Valg[[#This Row],[Tabel ID]])-ROW(LineærRegression_Valg[[#Headers],[Tabel ID]])</f>
        <v>999</v>
      </c>
      <c r="B1009" s="188">
        <f>ROUNDDOWN((LineærRegression_Valg[[#This Row],[Tabel ID]]-1)/$B$5,0)+1</f>
        <v>250</v>
      </c>
      <c r="C1009" s="188">
        <f t="shared" si="15"/>
        <v>3</v>
      </c>
      <c r="D1009" s="188" t="b">
        <f>LineærRegression_Valg[[#This Row],[Afhængig variabel ID]]&lt;&gt;LineærRegression_Valg[[#This Row],[Uafhængig variabel ID]]</f>
        <v>1</v>
      </c>
      <c r="E1009" t="b">
        <f>LineærRegression_Valg[[#This Row],[Afhængig variabel ID]]&lt;=$B$5</f>
        <v>0</v>
      </c>
      <c r="F1009" t="str" cm="1">
        <f t="array" ref="F1009">IF(LineærRegression_Valg[[#This Row],[Indenfor range]],INDEX(DataTitel_liste,LineærRegression_Valg[[#This Row],[Afhængig variabel ID]]),INDEX(DataTitel_liste,1))</f>
        <v>Eksempel 1 (interval)</v>
      </c>
      <c r="G1009" s="188" t="str" cm="1">
        <f t="array" ref="G1009">IF(LineærRegression_Valg[[#This Row],[Indenfor range]],IF(LineærRegression_Valg[[#This Row],[Intet overlap]],INDEX(DataTitel_liste,LineærRegression_Valg[[#This Row],[Uafhængig variabel ID]]),INDEX(DataTitel_liste,IF(LineærRegression_Valg[[#This Row],[Afhængig variabel ID]]=1,2,1))),$B$7)</f>
        <v>Eksempel 2 (interval)</v>
      </c>
      <c r="H1009" s="188">
        <f>_xlfn.AGGREGATE(2,5,LineærRegression_Valg[[#This Row],[Tabel ID]])</f>
        <v>1</v>
      </c>
    </row>
    <row r="1010" spans="1:8" x14ac:dyDescent="0.2">
      <c r="A1010">
        <f>ROW(LineærRegression_Valg[[#This Row],[Tabel ID]])-ROW(LineærRegression_Valg[[#Headers],[Tabel ID]])</f>
        <v>1000</v>
      </c>
      <c r="B1010" s="188">
        <f>ROUNDDOWN((LineærRegression_Valg[[#This Row],[Tabel ID]]-1)/$B$5,0)+1</f>
        <v>250</v>
      </c>
      <c r="C1010" s="188">
        <f t="shared" si="15"/>
        <v>4</v>
      </c>
      <c r="D1010" s="188" t="b">
        <f>LineærRegression_Valg[[#This Row],[Afhængig variabel ID]]&lt;&gt;LineærRegression_Valg[[#This Row],[Uafhængig variabel ID]]</f>
        <v>1</v>
      </c>
      <c r="E1010" t="b">
        <f>LineærRegression_Valg[[#This Row],[Afhængig variabel ID]]&lt;=$B$5</f>
        <v>0</v>
      </c>
      <c r="F1010" t="str" cm="1">
        <f t="array" ref="F1010">IF(LineærRegression_Valg[[#This Row],[Indenfor range]],INDEX(DataTitel_liste,LineærRegression_Valg[[#This Row],[Afhængig variabel ID]]),INDEX(DataTitel_liste,1))</f>
        <v>Eksempel 1 (interval)</v>
      </c>
      <c r="G1010" s="188" t="str" cm="1">
        <f t="array" ref="G1010">IF(LineærRegression_Valg[[#This Row],[Indenfor range]],IF(LineærRegression_Valg[[#This Row],[Intet overlap]],INDEX(DataTitel_liste,LineærRegression_Valg[[#This Row],[Uafhængig variabel ID]]),INDEX(DataTitel_liste,IF(LineærRegression_Valg[[#This Row],[Afhængig variabel ID]]=1,2,1))),$B$7)</f>
        <v>Eksempel 2 (interval)</v>
      </c>
      <c r="H1010" s="188">
        <f>_xlfn.AGGREGATE(2,5,LineærRegression_Valg[[#This Row],[Tabel ID]])</f>
        <v>1</v>
      </c>
    </row>
    <row r="1011" spans="1:8" x14ac:dyDescent="0.2">
      <c r="A1011">
        <f>ROW(LineærRegression_Valg[[#This Row],[Tabel ID]])-ROW(LineærRegression_Valg[[#Headers],[Tabel ID]])</f>
        <v>1001</v>
      </c>
      <c r="B1011" s="188">
        <f>ROUNDDOWN((LineærRegression_Valg[[#This Row],[Tabel ID]]-1)/$B$5,0)+1</f>
        <v>251</v>
      </c>
      <c r="C1011" s="188">
        <f t="shared" si="15"/>
        <v>1</v>
      </c>
      <c r="D1011" s="188" t="b">
        <f>LineærRegression_Valg[[#This Row],[Afhængig variabel ID]]&lt;&gt;LineærRegression_Valg[[#This Row],[Uafhængig variabel ID]]</f>
        <v>1</v>
      </c>
      <c r="E1011" t="b">
        <f>LineærRegression_Valg[[#This Row],[Afhængig variabel ID]]&lt;=$B$5</f>
        <v>0</v>
      </c>
      <c r="F1011" t="str" cm="1">
        <f t="array" ref="F1011">IF(LineærRegression_Valg[[#This Row],[Indenfor range]],INDEX(DataTitel_liste,LineærRegression_Valg[[#This Row],[Afhængig variabel ID]]),INDEX(DataTitel_liste,1))</f>
        <v>Eksempel 1 (interval)</v>
      </c>
      <c r="G1011" s="188" t="str" cm="1">
        <f t="array" ref="G1011">IF(LineærRegression_Valg[[#This Row],[Indenfor range]],IF(LineærRegression_Valg[[#This Row],[Intet overlap]],INDEX(DataTitel_liste,LineærRegression_Valg[[#This Row],[Uafhængig variabel ID]]),INDEX(DataTitel_liste,IF(LineærRegression_Valg[[#This Row],[Afhængig variabel ID]]=1,2,1))),$B$7)</f>
        <v>Eksempel 2 (interval)</v>
      </c>
      <c r="H1011" s="188">
        <f>_xlfn.AGGREGATE(2,5,LineærRegression_Valg[[#This Row],[Tabel ID]])</f>
        <v>1</v>
      </c>
    </row>
    <row r="1012" spans="1:8" x14ac:dyDescent="0.2">
      <c r="A1012">
        <f>ROW(LineærRegression_Valg[[#This Row],[Tabel ID]])-ROW(LineærRegression_Valg[[#Headers],[Tabel ID]])</f>
        <v>1002</v>
      </c>
      <c r="B1012" s="188">
        <f>ROUNDDOWN((LineærRegression_Valg[[#This Row],[Tabel ID]]-1)/$B$5,0)+1</f>
        <v>251</v>
      </c>
      <c r="C1012" s="188">
        <f t="shared" si="15"/>
        <v>2</v>
      </c>
      <c r="D1012" s="188" t="b">
        <f>LineærRegression_Valg[[#This Row],[Afhængig variabel ID]]&lt;&gt;LineærRegression_Valg[[#This Row],[Uafhængig variabel ID]]</f>
        <v>1</v>
      </c>
      <c r="E1012" t="b">
        <f>LineærRegression_Valg[[#This Row],[Afhængig variabel ID]]&lt;=$B$5</f>
        <v>0</v>
      </c>
      <c r="F1012" t="str" cm="1">
        <f t="array" ref="F1012">IF(LineærRegression_Valg[[#This Row],[Indenfor range]],INDEX(DataTitel_liste,LineærRegression_Valg[[#This Row],[Afhængig variabel ID]]),INDEX(DataTitel_liste,1))</f>
        <v>Eksempel 1 (interval)</v>
      </c>
      <c r="G1012" s="188" t="str" cm="1">
        <f t="array" ref="G1012">IF(LineærRegression_Valg[[#This Row],[Indenfor range]],IF(LineærRegression_Valg[[#This Row],[Intet overlap]],INDEX(DataTitel_liste,LineærRegression_Valg[[#This Row],[Uafhængig variabel ID]]),INDEX(DataTitel_liste,IF(LineærRegression_Valg[[#This Row],[Afhængig variabel ID]]=1,2,1))),$B$7)</f>
        <v>Eksempel 2 (interval)</v>
      </c>
      <c r="H1012" s="188">
        <f>_xlfn.AGGREGATE(2,5,LineærRegression_Valg[[#This Row],[Tabel ID]])</f>
        <v>1</v>
      </c>
    </row>
    <row r="1013" spans="1:8" x14ac:dyDescent="0.2">
      <c r="A1013">
        <f>ROW(LineærRegression_Valg[[#This Row],[Tabel ID]])-ROW(LineærRegression_Valg[[#Headers],[Tabel ID]])</f>
        <v>1003</v>
      </c>
      <c r="B1013" s="188">
        <f>ROUNDDOWN((LineærRegression_Valg[[#This Row],[Tabel ID]]-1)/$B$5,0)+1</f>
        <v>251</v>
      </c>
      <c r="C1013" s="188">
        <f t="shared" si="15"/>
        <v>3</v>
      </c>
      <c r="D1013" s="188" t="b">
        <f>LineærRegression_Valg[[#This Row],[Afhængig variabel ID]]&lt;&gt;LineærRegression_Valg[[#This Row],[Uafhængig variabel ID]]</f>
        <v>1</v>
      </c>
      <c r="E1013" t="b">
        <f>LineærRegression_Valg[[#This Row],[Afhængig variabel ID]]&lt;=$B$5</f>
        <v>0</v>
      </c>
      <c r="F1013" t="str" cm="1">
        <f t="array" ref="F1013">IF(LineærRegression_Valg[[#This Row],[Indenfor range]],INDEX(DataTitel_liste,LineærRegression_Valg[[#This Row],[Afhængig variabel ID]]),INDEX(DataTitel_liste,1))</f>
        <v>Eksempel 1 (interval)</v>
      </c>
      <c r="G1013" s="188" t="str" cm="1">
        <f t="array" ref="G1013">IF(LineærRegression_Valg[[#This Row],[Indenfor range]],IF(LineærRegression_Valg[[#This Row],[Intet overlap]],INDEX(DataTitel_liste,LineærRegression_Valg[[#This Row],[Uafhængig variabel ID]]),INDEX(DataTitel_liste,IF(LineærRegression_Valg[[#This Row],[Afhængig variabel ID]]=1,2,1))),$B$7)</f>
        <v>Eksempel 2 (interval)</v>
      </c>
      <c r="H1013" s="188">
        <f>_xlfn.AGGREGATE(2,5,LineærRegression_Valg[[#This Row],[Tabel ID]])</f>
        <v>1</v>
      </c>
    </row>
    <row r="1014" spans="1:8" x14ac:dyDescent="0.2">
      <c r="A1014">
        <f>ROW(LineærRegression_Valg[[#This Row],[Tabel ID]])-ROW(LineærRegression_Valg[[#Headers],[Tabel ID]])</f>
        <v>1004</v>
      </c>
      <c r="B1014" s="188">
        <f>ROUNDDOWN((LineærRegression_Valg[[#This Row],[Tabel ID]]-1)/$B$5,0)+1</f>
        <v>251</v>
      </c>
      <c r="C1014" s="188">
        <f t="shared" si="15"/>
        <v>4</v>
      </c>
      <c r="D1014" s="188" t="b">
        <f>LineærRegression_Valg[[#This Row],[Afhængig variabel ID]]&lt;&gt;LineærRegression_Valg[[#This Row],[Uafhængig variabel ID]]</f>
        <v>1</v>
      </c>
      <c r="E1014" t="b">
        <f>LineærRegression_Valg[[#This Row],[Afhængig variabel ID]]&lt;=$B$5</f>
        <v>0</v>
      </c>
      <c r="F1014" t="str" cm="1">
        <f t="array" ref="F1014">IF(LineærRegression_Valg[[#This Row],[Indenfor range]],INDEX(DataTitel_liste,LineærRegression_Valg[[#This Row],[Afhængig variabel ID]]),INDEX(DataTitel_liste,1))</f>
        <v>Eksempel 1 (interval)</v>
      </c>
      <c r="G1014" s="188" t="str" cm="1">
        <f t="array" ref="G1014">IF(LineærRegression_Valg[[#This Row],[Indenfor range]],IF(LineærRegression_Valg[[#This Row],[Intet overlap]],INDEX(DataTitel_liste,LineærRegression_Valg[[#This Row],[Uafhængig variabel ID]]),INDEX(DataTitel_liste,IF(LineærRegression_Valg[[#This Row],[Afhængig variabel ID]]=1,2,1))),$B$7)</f>
        <v>Eksempel 2 (interval)</v>
      </c>
      <c r="H1014" s="188">
        <f>_xlfn.AGGREGATE(2,5,LineærRegression_Valg[[#This Row],[Tabel ID]])</f>
        <v>1</v>
      </c>
    </row>
    <row r="1015" spans="1:8" x14ac:dyDescent="0.2">
      <c r="A1015">
        <f>ROW(LineærRegression_Valg[[#This Row],[Tabel ID]])-ROW(LineærRegression_Valg[[#Headers],[Tabel ID]])</f>
        <v>1005</v>
      </c>
      <c r="B1015" s="188">
        <f>ROUNDDOWN((LineærRegression_Valg[[#This Row],[Tabel ID]]-1)/$B$5,0)+1</f>
        <v>252</v>
      </c>
      <c r="C1015" s="188">
        <f t="shared" si="15"/>
        <v>1</v>
      </c>
      <c r="D1015" s="188" t="b">
        <f>LineærRegression_Valg[[#This Row],[Afhængig variabel ID]]&lt;&gt;LineærRegression_Valg[[#This Row],[Uafhængig variabel ID]]</f>
        <v>1</v>
      </c>
      <c r="E1015" t="b">
        <f>LineærRegression_Valg[[#This Row],[Afhængig variabel ID]]&lt;=$B$5</f>
        <v>0</v>
      </c>
      <c r="F1015" t="str" cm="1">
        <f t="array" ref="F1015">IF(LineærRegression_Valg[[#This Row],[Indenfor range]],INDEX(DataTitel_liste,LineærRegression_Valg[[#This Row],[Afhængig variabel ID]]),INDEX(DataTitel_liste,1))</f>
        <v>Eksempel 1 (interval)</v>
      </c>
      <c r="G1015" s="188" t="str" cm="1">
        <f t="array" ref="G1015">IF(LineærRegression_Valg[[#This Row],[Indenfor range]],IF(LineærRegression_Valg[[#This Row],[Intet overlap]],INDEX(DataTitel_liste,LineærRegression_Valg[[#This Row],[Uafhængig variabel ID]]),INDEX(DataTitel_liste,IF(LineærRegression_Valg[[#This Row],[Afhængig variabel ID]]=1,2,1))),$B$7)</f>
        <v>Eksempel 2 (interval)</v>
      </c>
      <c r="H1015" s="188">
        <f>_xlfn.AGGREGATE(2,5,LineærRegression_Valg[[#This Row],[Tabel ID]])</f>
        <v>1</v>
      </c>
    </row>
    <row r="1016" spans="1:8" x14ac:dyDescent="0.2">
      <c r="A1016">
        <f>ROW(LineærRegression_Valg[[#This Row],[Tabel ID]])-ROW(LineærRegression_Valg[[#Headers],[Tabel ID]])</f>
        <v>1006</v>
      </c>
      <c r="B1016" s="188">
        <f>ROUNDDOWN((LineærRegression_Valg[[#This Row],[Tabel ID]]-1)/$B$5,0)+1</f>
        <v>252</v>
      </c>
      <c r="C1016" s="188">
        <f t="shared" si="15"/>
        <v>2</v>
      </c>
      <c r="D1016" s="188" t="b">
        <f>LineærRegression_Valg[[#This Row],[Afhængig variabel ID]]&lt;&gt;LineærRegression_Valg[[#This Row],[Uafhængig variabel ID]]</f>
        <v>1</v>
      </c>
      <c r="E1016" t="b">
        <f>LineærRegression_Valg[[#This Row],[Afhængig variabel ID]]&lt;=$B$5</f>
        <v>0</v>
      </c>
      <c r="F1016" t="str" cm="1">
        <f t="array" ref="F1016">IF(LineærRegression_Valg[[#This Row],[Indenfor range]],INDEX(DataTitel_liste,LineærRegression_Valg[[#This Row],[Afhængig variabel ID]]),INDEX(DataTitel_liste,1))</f>
        <v>Eksempel 1 (interval)</v>
      </c>
      <c r="G1016" s="188" t="str" cm="1">
        <f t="array" ref="G1016">IF(LineærRegression_Valg[[#This Row],[Indenfor range]],IF(LineærRegression_Valg[[#This Row],[Intet overlap]],INDEX(DataTitel_liste,LineærRegression_Valg[[#This Row],[Uafhængig variabel ID]]),INDEX(DataTitel_liste,IF(LineærRegression_Valg[[#This Row],[Afhængig variabel ID]]=1,2,1))),$B$7)</f>
        <v>Eksempel 2 (interval)</v>
      </c>
      <c r="H1016" s="188">
        <f>_xlfn.AGGREGATE(2,5,LineærRegression_Valg[[#This Row],[Tabel ID]])</f>
        <v>1</v>
      </c>
    </row>
    <row r="1017" spans="1:8" x14ac:dyDescent="0.2">
      <c r="A1017">
        <f>ROW(LineærRegression_Valg[[#This Row],[Tabel ID]])-ROW(LineærRegression_Valg[[#Headers],[Tabel ID]])</f>
        <v>1007</v>
      </c>
      <c r="B1017" s="188">
        <f>ROUNDDOWN((LineærRegression_Valg[[#This Row],[Tabel ID]]-1)/$B$5,0)+1</f>
        <v>252</v>
      </c>
      <c r="C1017" s="188">
        <f t="shared" si="15"/>
        <v>3</v>
      </c>
      <c r="D1017" s="188" t="b">
        <f>LineærRegression_Valg[[#This Row],[Afhængig variabel ID]]&lt;&gt;LineærRegression_Valg[[#This Row],[Uafhængig variabel ID]]</f>
        <v>1</v>
      </c>
      <c r="E1017" t="b">
        <f>LineærRegression_Valg[[#This Row],[Afhængig variabel ID]]&lt;=$B$5</f>
        <v>0</v>
      </c>
      <c r="F1017" t="str" cm="1">
        <f t="array" ref="F1017">IF(LineærRegression_Valg[[#This Row],[Indenfor range]],INDEX(DataTitel_liste,LineærRegression_Valg[[#This Row],[Afhængig variabel ID]]),INDEX(DataTitel_liste,1))</f>
        <v>Eksempel 1 (interval)</v>
      </c>
      <c r="G1017" s="188" t="str" cm="1">
        <f t="array" ref="G1017">IF(LineærRegression_Valg[[#This Row],[Indenfor range]],IF(LineærRegression_Valg[[#This Row],[Intet overlap]],INDEX(DataTitel_liste,LineærRegression_Valg[[#This Row],[Uafhængig variabel ID]]),INDEX(DataTitel_liste,IF(LineærRegression_Valg[[#This Row],[Afhængig variabel ID]]=1,2,1))),$B$7)</f>
        <v>Eksempel 2 (interval)</v>
      </c>
      <c r="H1017" s="188">
        <f>_xlfn.AGGREGATE(2,5,LineærRegression_Valg[[#This Row],[Tabel ID]])</f>
        <v>1</v>
      </c>
    </row>
    <row r="1018" spans="1:8" x14ac:dyDescent="0.2">
      <c r="A1018">
        <f>ROW(LineærRegression_Valg[[#This Row],[Tabel ID]])-ROW(LineærRegression_Valg[[#Headers],[Tabel ID]])</f>
        <v>1008</v>
      </c>
      <c r="B1018" s="188">
        <f>ROUNDDOWN((LineærRegression_Valg[[#This Row],[Tabel ID]]-1)/$B$5,0)+1</f>
        <v>252</v>
      </c>
      <c r="C1018" s="188">
        <f t="shared" si="15"/>
        <v>4</v>
      </c>
      <c r="D1018" s="188" t="b">
        <f>LineærRegression_Valg[[#This Row],[Afhængig variabel ID]]&lt;&gt;LineærRegression_Valg[[#This Row],[Uafhængig variabel ID]]</f>
        <v>1</v>
      </c>
      <c r="E1018" t="b">
        <f>LineærRegression_Valg[[#This Row],[Afhængig variabel ID]]&lt;=$B$5</f>
        <v>0</v>
      </c>
      <c r="F1018" t="str" cm="1">
        <f t="array" ref="F1018">IF(LineærRegression_Valg[[#This Row],[Indenfor range]],INDEX(DataTitel_liste,LineærRegression_Valg[[#This Row],[Afhængig variabel ID]]),INDEX(DataTitel_liste,1))</f>
        <v>Eksempel 1 (interval)</v>
      </c>
      <c r="G1018" s="188" t="str" cm="1">
        <f t="array" ref="G1018">IF(LineærRegression_Valg[[#This Row],[Indenfor range]],IF(LineærRegression_Valg[[#This Row],[Intet overlap]],INDEX(DataTitel_liste,LineærRegression_Valg[[#This Row],[Uafhængig variabel ID]]),INDEX(DataTitel_liste,IF(LineærRegression_Valg[[#This Row],[Afhængig variabel ID]]=1,2,1))),$B$7)</f>
        <v>Eksempel 2 (interval)</v>
      </c>
      <c r="H1018" s="188">
        <f>_xlfn.AGGREGATE(2,5,LineærRegression_Valg[[#This Row],[Tabel ID]])</f>
        <v>1</v>
      </c>
    </row>
    <row r="1019" spans="1:8" x14ac:dyDescent="0.2">
      <c r="A1019">
        <f>ROW(LineærRegression_Valg[[#This Row],[Tabel ID]])-ROW(LineærRegression_Valg[[#Headers],[Tabel ID]])</f>
        <v>1009</v>
      </c>
      <c r="B1019" s="188">
        <f>ROUNDDOWN((LineærRegression_Valg[[#This Row],[Tabel ID]]-1)/$B$5,0)+1</f>
        <v>253</v>
      </c>
      <c r="C1019" s="188">
        <f t="shared" si="15"/>
        <v>1</v>
      </c>
      <c r="D1019" s="188" t="b">
        <f>LineærRegression_Valg[[#This Row],[Afhængig variabel ID]]&lt;&gt;LineærRegression_Valg[[#This Row],[Uafhængig variabel ID]]</f>
        <v>1</v>
      </c>
      <c r="E1019" t="b">
        <f>LineærRegression_Valg[[#This Row],[Afhængig variabel ID]]&lt;=$B$5</f>
        <v>0</v>
      </c>
      <c r="F1019" t="str" cm="1">
        <f t="array" ref="F1019">IF(LineærRegression_Valg[[#This Row],[Indenfor range]],INDEX(DataTitel_liste,LineærRegression_Valg[[#This Row],[Afhængig variabel ID]]),INDEX(DataTitel_liste,1))</f>
        <v>Eksempel 1 (interval)</v>
      </c>
      <c r="G1019" s="188" t="str" cm="1">
        <f t="array" ref="G1019">IF(LineærRegression_Valg[[#This Row],[Indenfor range]],IF(LineærRegression_Valg[[#This Row],[Intet overlap]],INDEX(DataTitel_liste,LineærRegression_Valg[[#This Row],[Uafhængig variabel ID]]),INDEX(DataTitel_liste,IF(LineærRegression_Valg[[#This Row],[Afhængig variabel ID]]=1,2,1))),$B$7)</f>
        <v>Eksempel 2 (interval)</v>
      </c>
      <c r="H1019" s="188">
        <f>_xlfn.AGGREGATE(2,5,LineærRegression_Valg[[#This Row],[Tabel ID]])</f>
        <v>1</v>
      </c>
    </row>
    <row r="1020" spans="1:8" x14ac:dyDescent="0.2">
      <c r="A1020">
        <f>ROW(LineærRegression_Valg[[#This Row],[Tabel ID]])-ROW(LineærRegression_Valg[[#Headers],[Tabel ID]])</f>
        <v>1010</v>
      </c>
      <c r="B1020" s="188">
        <f>ROUNDDOWN((LineærRegression_Valg[[#This Row],[Tabel ID]]-1)/$B$5,0)+1</f>
        <v>253</v>
      </c>
      <c r="C1020" s="188">
        <f t="shared" si="15"/>
        <v>2</v>
      </c>
      <c r="D1020" s="188" t="b">
        <f>LineærRegression_Valg[[#This Row],[Afhængig variabel ID]]&lt;&gt;LineærRegression_Valg[[#This Row],[Uafhængig variabel ID]]</f>
        <v>1</v>
      </c>
      <c r="E1020" t="b">
        <f>LineærRegression_Valg[[#This Row],[Afhængig variabel ID]]&lt;=$B$5</f>
        <v>0</v>
      </c>
      <c r="F1020" t="str" cm="1">
        <f t="array" ref="F1020">IF(LineærRegression_Valg[[#This Row],[Indenfor range]],INDEX(DataTitel_liste,LineærRegression_Valg[[#This Row],[Afhængig variabel ID]]),INDEX(DataTitel_liste,1))</f>
        <v>Eksempel 1 (interval)</v>
      </c>
      <c r="G1020" s="188" t="str" cm="1">
        <f t="array" ref="G1020">IF(LineærRegression_Valg[[#This Row],[Indenfor range]],IF(LineærRegression_Valg[[#This Row],[Intet overlap]],INDEX(DataTitel_liste,LineærRegression_Valg[[#This Row],[Uafhængig variabel ID]]),INDEX(DataTitel_liste,IF(LineærRegression_Valg[[#This Row],[Afhængig variabel ID]]=1,2,1))),$B$7)</f>
        <v>Eksempel 2 (interval)</v>
      </c>
      <c r="H1020" s="188">
        <f>_xlfn.AGGREGATE(2,5,LineærRegression_Valg[[#This Row],[Tabel ID]])</f>
        <v>1</v>
      </c>
    </row>
    <row r="1021" spans="1:8" x14ac:dyDescent="0.2">
      <c r="A1021">
        <f>ROW(LineærRegression_Valg[[#This Row],[Tabel ID]])-ROW(LineærRegression_Valg[[#Headers],[Tabel ID]])</f>
        <v>1011</v>
      </c>
      <c r="B1021" s="188">
        <f>ROUNDDOWN((LineærRegression_Valg[[#This Row],[Tabel ID]]-1)/$B$5,0)+1</f>
        <v>253</v>
      </c>
      <c r="C1021" s="188">
        <f t="shared" si="15"/>
        <v>3</v>
      </c>
      <c r="D1021" s="188" t="b">
        <f>LineærRegression_Valg[[#This Row],[Afhængig variabel ID]]&lt;&gt;LineærRegression_Valg[[#This Row],[Uafhængig variabel ID]]</f>
        <v>1</v>
      </c>
      <c r="E1021" t="b">
        <f>LineærRegression_Valg[[#This Row],[Afhængig variabel ID]]&lt;=$B$5</f>
        <v>0</v>
      </c>
      <c r="F1021" t="str" cm="1">
        <f t="array" ref="F1021">IF(LineærRegression_Valg[[#This Row],[Indenfor range]],INDEX(DataTitel_liste,LineærRegression_Valg[[#This Row],[Afhængig variabel ID]]),INDEX(DataTitel_liste,1))</f>
        <v>Eksempel 1 (interval)</v>
      </c>
      <c r="G1021" s="188" t="str" cm="1">
        <f t="array" ref="G1021">IF(LineærRegression_Valg[[#This Row],[Indenfor range]],IF(LineærRegression_Valg[[#This Row],[Intet overlap]],INDEX(DataTitel_liste,LineærRegression_Valg[[#This Row],[Uafhængig variabel ID]]),INDEX(DataTitel_liste,IF(LineærRegression_Valg[[#This Row],[Afhængig variabel ID]]=1,2,1))),$B$7)</f>
        <v>Eksempel 2 (interval)</v>
      </c>
      <c r="H1021" s="188">
        <f>_xlfn.AGGREGATE(2,5,LineærRegression_Valg[[#This Row],[Tabel ID]])</f>
        <v>1</v>
      </c>
    </row>
    <row r="1022" spans="1:8" x14ac:dyDescent="0.2">
      <c r="A1022">
        <f>ROW(LineærRegression_Valg[[#This Row],[Tabel ID]])-ROW(LineærRegression_Valg[[#Headers],[Tabel ID]])</f>
        <v>1012</v>
      </c>
      <c r="B1022" s="188">
        <f>ROUNDDOWN((LineærRegression_Valg[[#This Row],[Tabel ID]]-1)/$B$5,0)+1</f>
        <v>253</v>
      </c>
      <c r="C1022" s="188">
        <f t="shared" si="15"/>
        <v>4</v>
      </c>
      <c r="D1022" s="188" t="b">
        <f>LineærRegression_Valg[[#This Row],[Afhængig variabel ID]]&lt;&gt;LineærRegression_Valg[[#This Row],[Uafhængig variabel ID]]</f>
        <v>1</v>
      </c>
      <c r="E1022" t="b">
        <f>LineærRegression_Valg[[#This Row],[Afhængig variabel ID]]&lt;=$B$5</f>
        <v>0</v>
      </c>
      <c r="F1022" t="str" cm="1">
        <f t="array" ref="F1022">IF(LineærRegression_Valg[[#This Row],[Indenfor range]],INDEX(DataTitel_liste,LineærRegression_Valg[[#This Row],[Afhængig variabel ID]]),INDEX(DataTitel_liste,1))</f>
        <v>Eksempel 1 (interval)</v>
      </c>
      <c r="G1022" s="188" t="str" cm="1">
        <f t="array" ref="G1022">IF(LineærRegression_Valg[[#This Row],[Indenfor range]],IF(LineærRegression_Valg[[#This Row],[Intet overlap]],INDEX(DataTitel_liste,LineærRegression_Valg[[#This Row],[Uafhængig variabel ID]]),INDEX(DataTitel_liste,IF(LineærRegression_Valg[[#This Row],[Afhængig variabel ID]]=1,2,1))),$B$7)</f>
        <v>Eksempel 2 (interval)</v>
      </c>
      <c r="H1022" s="188">
        <f>_xlfn.AGGREGATE(2,5,LineærRegression_Valg[[#This Row],[Tabel ID]])</f>
        <v>1</v>
      </c>
    </row>
    <row r="1023" spans="1:8" x14ac:dyDescent="0.2">
      <c r="A1023">
        <f>ROW(LineærRegression_Valg[[#This Row],[Tabel ID]])-ROW(LineærRegression_Valg[[#Headers],[Tabel ID]])</f>
        <v>1013</v>
      </c>
      <c r="B1023" s="188">
        <f>ROUNDDOWN((LineærRegression_Valg[[#This Row],[Tabel ID]]-1)/$B$5,0)+1</f>
        <v>254</v>
      </c>
      <c r="C1023" s="188">
        <f t="shared" si="15"/>
        <v>1</v>
      </c>
      <c r="D1023" s="188" t="b">
        <f>LineærRegression_Valg[[#This Row],[Afhængig variabel ID]]&lt;&gt;LineærRegression_Valg[[#This Row],[Uafhængig variabel ID]]</f>
        <v>1</v>
      </c>
      <c r="E1023" t="b">
        <f>LineærRegression_Valg[[#This Row],[Afhængig variabel ID]]&lt;=$B$5</f>
        <v>0</v>
      </c>
      <c r="F1023" t="str" cm="1">
        <f t="array" ref="F1023">IF(LineærRegression_Valg[[#This Row],[Indenfor range]],INDEX(DataTitel_liste,LineærRegression_Valg[[#This Row],[Afhængig variabel ID]]),INDEX(DataTitel_liste,1))</f>
        <v>Eksempel 1 (interval)</v>
      </c>
      <c r="G1023" s="188" t="str" cm="1">
        <f t="array" ref="G1023">IF(LineærRegression_Valg[[#This Row],[Indenfor range]],IF(LineærRegression_Valg[[#This Row],[Intet overlap]],INDEX(DataTitel_liste,LineærRegression_Valg[[#This Row],[Uafhængig variabel ID]]),INDEX(DataTitel_liste,IF(LineærRegression_Valg[[#This Row],[Afhængig variabel ID]]=1,2,1))),$B$7)</f>
        <v>Eksempel 2 (interval)</v>
      </c>
      <c r="H1023" s="188">
        <f>_xlfn.AGGREGATE(2,5,LineærRegression_Valg[[#This Row],[Tabel ID]])</f>
        <v>1</v>
      </c>
    </row>
    <row r="1024" spans="1:8" x14ac:dyDescent="0.2">
      <c r="A1024">
        <f>ROW(LineærRegression_Valg[[#This Row],[Tabel ID]])-ROW(LineærRegression_Valg[[#Headers],[Tabel ID]])</f>
        <v>1014</v>
      </c>
      <c r="B1024" s="188">
        <f>ROUNDDOWN((LineærRegression_Valg[[#This Row],[Tabel ID]]-1)/$B$5,0)+1</f>
        <v>254</v>
      </c>
      <c r="C1024" s="188">
        <f t="shared" si="15"/>
        <v>2</v>
      </c>
      <c r="D1024" s="188" t="b">
        <f>LineærRegression_Valg[[#This Row],[Afhængig variabel ID]]&lt;&gt;LineærRegression_Valg[[#This Row],[Uafhængig variabel ID]]</f>
        <v>1</v>
      </c>
      <c r="E1024" t="b">
        <f>LineærRegression_Valg[[#This Row],[Afhængig variabel ID]]&lt;=$B$5</f>
        <v>0</v>
      </c>
      <c r="F1024" t="str" cm="1">
        <f t="array" ref="F1024">IF(LineærRegression_Valg[[#This Row],[Indenfor range]],INDEX(DataTitel_liste,LineærRegression_Valg[[#This Row],[Afhængig variabel ID]]),INDEX(DataTitel_liste,1))</f>
        <v>Eksempel 1 (interval)</v>
      </c>
      <c r="G1024" s="188" t="str" cm="1">
        <f t="array" ref="G1024">IF(LineærRegression_Valg[[#This Row],[Indenfor range]],IF(LineærRegression_Valg[[#This Row],[Intet overlap]],INDEX(DataTitel_liste,LineærRegression_Valg[[#This Row],[Uafhængig variabel ID]]),INDEX(DataTitel_liste,IF(LineærRegression_Valg[[#This Row],[Afhængig variabel ID]]=1,2,1))),$B$7)</f>
        <v>Eksempel 2 (interval)</v>
      </c>
      <c r="H1024" s="188">
        <f>_xlfn.AGGREGATE(2,5,LineærRegression_Valg[[#This Row],[Tabel ID]])</f>
        <v>1</v>
      </c>
    </row>
    <row r="1025" spans="1:8" x14ac:dyDescent="0.2">
      <c r="A1025">
        <f>ROW(LineærRegression_Valg[[#This Row],[Tabel ID]])-ROW(LineærRegression_Valg[[#Headers],[Tabel ID]])</f>
        <v>1015</v>
      </c>
      <c r="B1025" s="188">
        <f>ROUNDDOWN((LineærRegression_Valg[[#This Row],[Tabel ID]]-1)/$B$5,0)+1</f>
        <v>254</v>
      </c>
      <c r="C1025" s="188">
        <f t="shared" si="15"/>
        <v>3</v>
      </c>
      <c r="D1025" s="188" t="b">
        <f>LineærRegression_Valg[[#This Row],[Afhængig variabel ID]]&lt;&gt;LineærRegression_Valg[[#This Row],[Uafhængig variabel ID]]</f>
        <v>1</v>
      </c>
      <c r="E1025" t="b">
        <f>LineærRegression_Valg[[#This Row],[Afhængig variabel ID]]&lt;=$B$5</f>
        <v>0</v>
      </c>
      <c r="F1025" t="str" cm="1">
        <f t="array" ref="F1025">IF(LineærRegression_Valg[[#This Row],[Indenfor range]],INDEX(DataTitel_liste,LineærRegression_Valg[[#This Row],[Afhængig variabel ID]]),INDEX(DataTitel_liste,1))</f>
        <v>Eksempel 1 (interval)</v>
      </c>
      <c r="G1025" s="188" t="str" cm="1">
        <f t="array" ref="G1025">IF(LineærRegression_Valg[[#This Row],[Indenfor range]],IF(LineærRegression_Valg[[#This Row],[Intet overlap]],INDEX(DataTitel_liste,LineærRegression_Valg[[#This Row],[Uafhængig variabel ID]]),INDEX(DataTitel_liste,IF(LineærRegression_Valg[[#This Row],[Afhængig variabel ID]]=1,2,1))),$B$7)</f>
        <v>Eksempel 2 (interval)</v>
      </c>
      <c r="H1025" s="188">
        <f>_xlfn.AGGREGATE(2,5,LineærRegression_Valg[[#This Row],[Tabel ID]])</f>
        <v>1</v>
      </c>
    </row>
    <row r="1026" spans="1:8" x14ac:dyDescent="0.2">
      <c r="A1026">
        <f>ROW(LineærRegression_Valg[[#This Row],[Tabel ID]])-ROW(LineærRegression_Valg[[#Headers],[Tabel ID]])</f>
        <v>1016</v>
      </c>
      <c r="B1026" s="188">
        <f>ROUNDDOWN((LineærRegression_Valg[[#This Row],[Tabel ID]]-1)/$B$5,0)+1</f>
        <v>254</v>
      </c>
      <c r="C1026" s="188">
        <f t="shared" si="15"/>
        <v>4</v>
      </c>
      <c r="D1026" s="188" t="b">
        <f>LineærRegression_Valg[[#This Row],[Afhængig variabel ID]]&lt;&gt;LineærRegression_Valg[[#This Row],[Uafhængig variabel ID]]</f>
        <v>1</v>
      </c>
      <c r="E1026" t="b">
        <f>LineærRegression_Valg[[#This Row],[Afhængig variabel ID]]&lt;=$B$5</f>
        <v>0</v>
      </c>
      <c r="F1026" t="str" cm="1">
        <f t="array" ref="F1026">IF(LineærRegression_Valg[[#This Row],[Indenfor range]],INDEX(DataTitel_liste,LineærRegression_Valg[[#This Row],[Afhængig variabel ID]]),INDEX(DataTitel_liste,1))</f>
        <v>Eksempel 1 (interval)</v>
      </c>
      <c r="G1026" s="188" t="str" cm="1">
        <f t="array" ref="G1026">IF(LineærRegression_Valg[[#This Row],[Indenfor range]],IF(LineærRegression_Valg[[#This Row],[Intet overlap]],INDEX(DataTitel_liste,LineærRegression_Valg[[#This Row],[Uafhængig variabel ID]]),INDEX(DataTitel_liste,IF(LineærRegression_Valg[[#This Row],[Afhængig variabel ID]]=1,2,1))),$B$7)</f>
        <v>Eksempel 2 (interval)</v>
      </c>
      <c r="H1026" s="188">
        <f>_xlfn.AGGREGATE(2,5,LineærRegression_Valg[[#This Row],[Tabel ID]])</f>
        <v>1</v>
      </c>
    </row>
    <row r="1027" spans="1:8" x14ac:dyDescent="0.2">
      <c r="A1027">
        <f>ROW(LineærRegression_Valg[[#This Row],[Tabel ID]])-ROW(LineærRegression_Valg[[#Headers],[Tabel ID]])</f>
        <v>1017</v>
      </c>
      <c r="B1027" s="188">
        <f>ROUNDDOWN((LineærRegression_Valg[[#This Row],[Tabel ID]]-1)/$B$5,0)+1</f>
        <v>255</v>
      </c>
      <c r="C1027" s="188">
        <f t="shared" si="15"/>
        <v>1</v>
      </c>
      <c r="D1027" s="188" t="b">
        <f>LineærRegression_Valg[[#This Row],[Afhængig variabel ID]]&lt;&gt;LineærRegression_Valg[[#This Row],[Uafhængig variabel ID]]</f>
        <v>1</v>
      </c>
      <c r="E1027" t="b">
        <f>LineærRegression_Valg[[#This Row],[Afhængig variabel ID]]&lt;=$B$5</f>
        <v>0</v>
      </c>
      <c r="F1027" t="str" cm="1">
        <f t="array" ref="F1027">IF(LineærRegression_Valg[[#This Row],[Indenfor range]],INDEX(DataTitel_liste,LineærRegression_Valg[[#This Row],[Afhængig variabel ID]]),INDEX(DataTitel_liste,1))</f>
        <v>Eksempel 1 (interval)</v>
      </c>
      <c r="G1027" s="188" t="str" cm="1">
        <f t="array" ref="G1027">IF(LineærRegression_Valg[[#This Row],[Indenfor range]],IF(LineærRegression_Valg[[#This Row],[Intet overlap]],INDEX(DataTitel_liste,LineærRegression_Valg[[#This Row],[Uafhængig variabel ID]]),INDEX(DataTitel_liste,IF(LineærRegression_Valg[[#This Row],[Afhængig variabel ID]]=1,2,1))),$B$7)</f>
        <v>Eksempel 2 (interval)</v>
      </c>
      <c r="H1027" s="188">
        <f>_xlfn.AGGREGATE(2,5,LineærRegression_Valg[[#This Row],[Tabel ID]])</f>
        <v>1</v>
      </c>
    </row>
    <row r="1028" spans="1:8" x14ac:dyDescent="0.2">
      <c r="A1028">
        <f>ROW(LineærRegression_Valg[[#This Row],[Tabel ID]])-ROW(LineærRegression_Valg[[#Headers],[Tabel ID]])</f>
        <v>1018</v>
      </c>
      <c r="B1028" s="188">
        <f>ROUNDDOWN((LineærRegression_Valg[[#This Row],[Tabel ID]]-1)/$B$5,0)+1</f>
        <v>255</v>
      </c>
      <c r="C1028" s="188">
        <f t="shared" si="15"/>
        <v>2</v>
      </c>
      <c r="D1028" s="188" t="b">
        <f>LineærRegression_Valg[[#This Row],[Afhængig variabel ID]]&lt;&gt;LineærRegression_Valg[[#This Row],[Uafhængig variabel ID]]</f>
        <v>1</v>
      </c>
      <c r="E1028" t="b">
        <f>LineærRegression_Valg[[#This Row],[Afhængig variabel ID]]&lt;=$B$5</f>
        <v>0</v>
      </c>
      <c r="F1028" t="str" cm="1">
        <f t="array" ref="F1028">IF(LineærRegression_Valg[[#This Row],[Indenfor range]],INDEX(DataTitel_liste,LineærRegression_Valg[[#This Row],[Afhængig variabel ID]]),INDEX(DataTitel_liste,1))</f>
        <v>Eksempel 1 (interval)</v>
      </c>
      <c r="G1028" s="188" t="str" cm="1">
        <f t="array" ref="G1028">IF(LineærRegression_Valg[[#This Row],[Indenfor range]],IF(LineærRegression_Valg[[#This Row],[Intet overlap]],INDEX(DataTitel_liste,LineærRegression_Valg[[#This Row],[Uafhængig variabel ID]]),INDEX(DataTitel_liste,IF(LineærRegression_Valg[[#This Row],[Afhængig variabel ID]]=1,2,1))),$B$7)</f>
        <v>Eksempel 2 (interval)</v>
      </c>
      <c r="H1028" s="188">
        <f>_xlfn.AGGREGATE(2,5,LineærRegression_Valg[[#This Row],[Tabel ID]])</f>
        <v>1</v>
      </c>
    </row>
    <row r="1029" spans="1:8" x14ac:dyDescent="0.2">
      <c r="A1029">
        <f>ROW(LineærRegression_Valg[[#This Row],[Tabel ID]])-ROW(LineærRegression_Valg[[#Headers],[Tabel ID]])</f>
        <v>1019</v>
      </c>
      <c r="B1029" s="188">
        <f>ROUNDDOWN((LineærRegression_Valg[[#This Row],[Tabel ID]]-1)/$B$5,0)+1</f>
        <v>255</v>
      </c>
      <c r="C1029" s="188">
        <f t="shared" si="15"/>
        <v>3</v>
      </c>
      <c r="D1029" s="188" t="b">
        <f>LineærRegression_Valg[[#This Row],[Afhængig variabel ID]]&lt;&gt;LineærRegression_Valg[[#This Row],[Uafhængig variabel ID]]</f>
        <v>1</v>
      </c>
      <c r="E1029" t="b">
        <f>LineærRegression_Valg[[#This Row],[Afhængig variabel ID]]&lt;=$B$5</f>
        <v>0</v>
      </c>
      <c r="F1029" t="str" cm="1">
        <f t="array" ref="F1029">IF(LineærRegression_Valg[[#This Row],[Indenfor range]],INDEX(DataTitel_liste,LineærRegression_Valg[[#This Row],[Afhængig variabel ID]]),INDEX(DataTitel_liste,1))</f>
        <v>Eksempel 1 (interval)</v>
      </c>
      <c r="G1029" s="188" t="str" cm="1">
        <f t="array" ref="G1029">IF(LineærRegression_Valg[[#This Row],[Indenfor range]],IF(LineærRegression_Valg[[#This Row],[Intet overlap]],INDEX(DataTitel_liste,LineærRegression_Valg[[#This Row],[Uafhængig variabel ID]]),INDEX(DataTitel_liste,IF(LineærRegression_Valg[[#This Row],[Afhængig variabel ID]]=1,2,1))),$B$7)</f>
        <v>Eksempel 2 (interval)</v>
      </c>
      <c r="H1029" s="188">
        <f>_xlfn.AGGREGATE(2,5,LineærRegression_Valg[[#This Row],[Tabel ID]])</f>
        <v>1</v>
      </c>
    </row>
    <row r="1030" spans="1:8" x14ac:dyDescent="0.2">
      <c r="A1030">
        <f>ROW(LineærRegression_Valg[[#This Row],[Tabel ID]])-ROW(LineærRegression_Valg[[#Headers],[Tabel ID]])</f>
        <v>1020</v>
      </c>
      <c r="B1030" s="188">
        <f>ROUNDDOWN((LineærRegression_Valg[[#This Row],[Tabel ID]]-1)/$B$5,0)+1</f>
        <v>255</v>
      </c>
      <c r="C1030" s="188">
        <f t="shared" si="15"/>
        <v>4</v>
      </c>
      <c r="D1030" s="188" t="b">
        <f>LineærRegression_Valg[[#This Row],[Afhængig variabel ID]]&lt;&gt;LineærRegression_Valg[[#This Row],[Uafhængig variabel ID]]</f>
        <v>1</v>
      </c>
      <c r="E1030" t="b">
        <f>LineærRegression_Valg[[#This Row],[Afhængig variabel ID]]&lt;=$B$5</f>
        <v>0</v>
      </c>
      <c r="F1030" t="str" cm="1">
        <f t="array" ref="F1030">IF(LineærRegression_Valg[[#This Row],[Indenfor range]],INDEX(DataTitel_liste,LineærRegression_Valg[[#This Row],[Afhængig variabel ID]]),INDEX(DataTitel_liste,1))</f>
        <v>Eksempel 1 (interval)</v>
      </c>
      <c r="G1030" s="188" t="str" cm="1">
        <f t="array" ref="G1030">IF(LineærRegression_Valg[[#This Row],[Indenfor range]],IF(LineærRegression_Valg[[#This Row],[Intet overlap]],INDEX(DataTitel_liste,LineærRegression_Valg[[#This Row],[Uafhængig variabel ID]]),INDEX(DataTitel_liste,IF(LineærRegression_Valg[[#This Row],[Afhængig variabel ID]]=1,2,1))),$B$7)</f>
        <v>Eksempel 2 (interval)</v>
      </c>
      <c r="H1030" s="188">
        <f>_xlfn.AGGREGATE(2,5,LineærRegression_Valg[[#This Row],[Tabel ID]])</f>
        <v>1</v>
      </c>
    </row>
    <row r="1031" spans="1:8" x14ac:dyDescent="0.2">
      <c r="A1031">
        <f>ROW(LineærRegression_Valg[[#This Row],[Tabel ID]])-ROW(LineærRegression_Valg[[#Headers],[Tabel ID]])</f>
        <v>1021</v>
      </c>
      <c r="B1031" s="188">
        <f>ROUNDDOWN((LineærRegression_Valg[[#This Row],[Tabel ID]]-1)/$B$5,0)+1</f>
        <v>256</v>
      </c>
      <c r="C1031" s="188">
        <f t="shared" si="15"/>
        <v>1</v>
      </c>
      <c r="D1031" s="188" t="b">
        <f>LineærRegression_Valg[[#This Row],[Afhængig variabel ID]]&lt;&gt;LineærRegression_Valg[[#This Row],[Uafhængig variabel ID]]</f>
        <v>1</v>
      </c>
      <c r="E1031" t="b">
        <f>LineærRegression_Valg[[#This Row],[Afhængig variabel ID]]&lt;=$B$5</f>
        <v>0</v>
      </c>
      <c r="F1031" t="str" cm="1">
        <f t="array" ref="F1031">IF(LineærRegression_Valg[[#This Row],[Indenfor range]],INDEX(DataTitel_liste,LineærRegression_Valg[[#This Row],[Afhængig variabel ID]]),INDEX(DataTitel_liste,1))</f>
        <v>Eksempel 1 (interval)</v>
      </c>
      <c r="G1031" s="188" t="str" cm="1">
        <f t="array" ref="G1031">IF(LineærRegression_Valg[[#This Row],[Indenfor range]],IF(LineærRegression_Valg[[#This Row],[Intet overlap]],INDEX(DataTitel_liste,LineærRegression_Valg[[#This Row],[Uafhængig variabel ID]]),INDEX(DataTitel_liste,IF(LineærRegression_Valg[[#This Row],[Afhængig variabel ID]]=1,2,1))),$B$7)</f>
        <v>Eksempel 2 (interval)</v>
      </c>
      <c r="H1031" s="188">
        <f>_xlfn.AGGREGATE(2,5,LineærRegression_Valg[[#This Row],[Tabel ID]])</f>
        <v>1</v>
      </c>
    </row>
    <row r="1032" spans="1:8" x14ac:dyDescent="0.2">
      <c r="A1032">
        <f>ROW(LineærRegression_Valg[[#This Row],[Tabel ID]])-ROW(LineærRegression_Valg[[#Headers],[Tabel ID]])</f>
        <v>1022</v>
      </c>
      <c r="B1032" s="188">
        <f>ROUNDDOWN((LineærRegression_Valg[[#This Row],[Tabel ID]]-1)/$B$5,0)+1</f>
        <v>256</v>
      </c>
      <c r="C1032" s="188">
        <f t="shared" si="15"/>
        <v>2</v>
      </c>
      <c r="D1032" s="188" t="b">
        <f>LineærRegression_Valg[[#This Row],[Afhængig variabel ID]]&lt;&gt;LineærRegression_Valg[[#This Row],[Uafhængig variabel ID]]</f>
        <v>1</v>
      </c>
      <c r="E1032" t="b">
        <f>LineærRegression_Valg[[#This Row],[Afhængig variabel ID]]&lt;=$B$5</f>
        <v>0</v>
      </c>
      <c r="F1032" t="str" cm="1">
        <f t="array" ref="F1032">IF(LineærRegression_Valg[[#This Row],[Indenfor range]],INDEX(DataTitel_liste,LineærRegression_Valg[[#This Row],[Afhængig variabel ID]]),INDEX(DataTitel_liste,1))</f>
        <v>Eksempel 1 (interval)</v>
      </c>
      <c r="G1032" s="188" t="str" cm="1">
        <f t="array" ref="G1032">IF(LineærRegression_Valg[[#This Row],[Indenfor range]],IF(LineærRegression_Valg[[#This Row],[Intet overlap]],INDEX(DataTitel_liste,LineærRegression_Valg[[#This Row],[Uafhængig variabel ID]]),INDEX(DataTitel_liste,IF(LineærRegression_Valg[[#This Row],[Afhængig variabel ID]]=1,2,1))),$B$7)</f>
        <v>Eksempel 2 (interval)</v>
      </c>
      <c r="H1032" s="188">
        <f>_xlfn.AGGREGATE(2,5,LineærRegression_Valg[[#This Row],[Tabel ID]])</f>
        <v>1</v>
      </c>
    </row>
    <row r="1033" spans="1:8" x14ac:dyDescent="0.2">
      <c r="A1033">
        <f>ROW(LineærRegression_Valg[[#This Row],[Tabel ID]])-ROW(LineærRegression_Valg[[#Headers],[Tabel ID]])</f>
        <v>1023</v>
      </c>
      <c r="B1033" s="188">
        <f>ROUNDDOWN((LineærRegression_Valg[[#This Row],[Tabel ID]]-1)/$B$5,0)+1</f>
        <v>256</v>
      </c>
      <c r="C1033" s="188">
        <f t="shared" si="15"/>
        <v>3</v>
      </c>
      <c r="D1033" s="188" t="b">
        <f>LineærRegression_Valg[[#This Row],[Afhængig variabel ID]]&lt;&gt;LineærRegression_Valg[[#This Row],[Uafhængig variabel ID]]</f>
        <v>1</v>
      </c>
      <c r="E1033" t="b">
        <f>LineærRegression_Valg[[#This Row],[Afhængig variabel ID]]&lt;=$B$5</f>
        <v>0</v>
      </c>
      <c r="F1033" t="str" cm="1">
        <f t="array" ref="F1033">IF(LineærRegression_Valg[[#This Row],[Indenfor range]],INDEX(DataTitel_liste,LineærRegression_Valg[[#This Row],[Afhængig variabel ID]]),INDEX(DataTitel_liste,1))</f>
        <v>Eksempel 1 (interval)</v>
      </c>
      <c r="G1033" s="188" t="str" cm="1">
        <f t="array" ref="G1033">IF(LineærRegression_Valg[[#This Row],[Indenfor range]],IF(LineærRegression_Valg[[#This Row],[Intet overlap]],INDEX(DataTitel_liste,LineærRegression_Valg[[#This Row],[Uafhængig variabel ID]]),INDEX(DataTitel_liste,IF(LineærRegression_Valg[[#This Row],[Afhængig variabel ID]]=1,2,1))),$B$7)</f>
        <v>Eksempel 2 (interval)</v>
      </c>
      <c r="H1033" s="188">
        <f>_xlfn.AGGREGATE(2,5,LineærRegression_Valg[[#This Row],[Tabel ID]])</f>
        <v>1</v>
      </c>
    </row>
    <row r="1034" spans="1:8" x14ac:dyDescent="0.2">
      <c r="A1034">
        <f>ROW(LineærRegression_Valg[[#This Row],[Tabel ID]])-ROW(LineærRegression_Valg[[#Headers],[Tabel ID]])</f>
        <v>1024</v>
      </c>
      <c r="B1034" s="188">
        <f>ROUNDDOWN((LineærRegression_Valg[[#This Row],[Tabel ID]]-1)/$B$5,0)+1</f>
        <v>256</v>
      </c>
      <c r="C1034" s="188">
        <f t="shared" si="15"/>
        <v>4</v>
      </c>
      <c r="D1034" s="188" t="b">
        <f>LineærRegression_Valg[[#This Row],[Afhængig variabel ID]]&lt;&gt;LineærRegression_Valg[[#This Row],[Uafhængig variabel ID]]</f>
        <v>1</v>
      </c>
      <c r="E1034" t="b">
        <f>LineærRegression_Valg[[#This Row],[Afhængig variabel ID]]&lt;=$B$5</f>
        <v>0</v>
      </c>
      <c r="F1034" t="str" cm="1">
        <f t="array" ref="F1034">IF(LineærRegression_Valg[[#This Row],[Indenfor range]],INDEX(DataTitel_liste,LineærRegression_Valg[[#This Row],[Afhængig variabel ID]]),INDEX(DataTitel_liste,1))</f>
        <v>Eksempel 1 (interval)</v>
      </c>
      <c r="G1034" s="188" t="str" cm="1">
        <f t="array" ref="G1034">IF(LineærRegression_Valg[[#This Row],[Indenfor range]],IF(LineærRegression_Valg[[#This Row],[Intet overlap]],INDEX(DataTitel_liste,LineærRegression_Valg[[#This Row],[Uafhængig variabel ID]]),INDEX(DataTitel_liste,IF(LineærRegression_Valg[[#This Row],[Afhængig variabel ID]]=1,2,1))),$B$7)</f>
        <v>Eksempel 2 (interval)</v>
      </c>
      <c r="H1034" s="188">
        <f>_xlfn.AGGREGATE(2,5,LineærRegression_Valg[[#This Row],[Tabel ID]])</f>
        <v>1</v>
      </c>
    </row>
    <row r="1035" spans="1:8" x14ac:dyDescent="0.2">
      <c r="A1035">
        <f>ROW(LineærRegression_Valg[[#This Row],[Tabel ID]])-ROW(LineærRegression_Valg[[#Headers],[Tabel ID]])</f>
        <v>1025</v>
      </c>
      <c r="B1035" s="188">
        <f>ROUNDDOWN((LineærRegression_Valg[[#This Row],[Tabel ID]]-1)/$B$5,0)+1</f>
        <v>257</v>
      </c>
      <c r="C1035" s="188">
        <f t="shared" ref="C1035:C1098" si="16">MOD(A1035-1,$B$5)+1</f>
        <v>1</v>
      </c>
      <c r="D1035" s="188" t="b">
        <f>LineærRegression_Valg[[#This Row],[Afhængig variabel ID]]&lt;&gt;LineærRegression_Valg[[#This Row],[Uafhængig variabel ID]]</f>
        <v>1</v>
      </c>
      <c r="E1035" t="b">
        <f>LineærRegression_Valg[[#This Row],[Afhængig variabel ID]]&lt;=$B$5</f>
        <v>0</v>
      </c>
      <c r="F1035" t="str" cm="1">
        <f t="array" ref="F1035">IF(LineærRegression_Valg[[#This Row],[Indenfor range]],INDEX(DataTitel_liste,LineærRegression_Valg[[#This Row],[Afhængig variabel ID]]),INDEX(DataTitel_liste,1))</f>
        <v>Eksempel 1 (interval)</v>
      </c>
      <c r="G1035" s="188" t="str" cm="1">
        <f t="array" ref="G1035">IF(LineærRegression_Valg[[#This Row],[Indenfor range]],IF(LineærRegression_Valg[[#This Row],[Intet overlap]],INDEX(DataTitel_liste,LineærRegression_Valg[[#This Row],[Uafhængig variabel ID]]),INDEX(DataTitel_liste,IF(LineærRegression_Valg[[#This Row],[Afhængig variabel ID]]=1,2,1))),$B$7)</f>
        <v>Eksempel 2 (interval)</v>
      </c>
      <c r="H1035" s="188">
        <f>_xlfn.AGGREGATE(2,5,LineærRegression_Valg[[#This Row],[Tabel ID]])</f>
        <v>1</v>
      </c>
    </row>
    <row r="1036" spans="1:8" x14ac:dyDescent="0.2">
      <c r="A1036">
        <f>ROW(LineærRegression_Valg[[#This Row],[Tabel ID]])-ROW(LineærRegression_Valg[[#Headers],[Tabel ID]])</f>
        <v>1026</v>
      </c>
      <c r="B1036" s="188">
        <f>ROUNDDOWN((LineærRegression_Valg[[#This Row],[Tabel ID]]-1)/$B$5,0)+1</f>
        <v>257</v>
      </c>
      <c r="C1036" s="188">
        <f t="shared" si="16"/>
        <v>2</v>
      </c>
      <c r="D1036" s="188" t="b">
        <f>LineærRegression_Valg[[#This Row],[Afhængig variabel ID]]&lt;&gt;LineærRegression_Valg[[#This Row],[Uafhængig variabel ID]]</f>
        <v>1</v>
      </c>
      <c r="E1036" t="b">
        <f>LineærRegression_Valg[[#This Row],[Afhængig variabel ID]]&lt;=$B$5</f>
        <v>0</v>
      </c>
      <c r="F1036" t="str" cm="1">
        <f t="array" ref="F1036">IF(LineærRegression_Valg[[#This Row],[Indenfor range]],INDEX(DataTitel_liste,LineærRegression_Valg[[#This Row],[Afhængig variabel ID]]),INDEX(DataTitel_liste,1))</f>
        <v>Eksempel 1 (interval)</v>
      </c>
      <c r="G1036" s="188" t="str" cm="1">
        <f t="array" ref="G1036">IF(LineærRegression_Valg[[#This Row],[Indenfor range]],IF(LineærRegression_Valg[[#This Row],[Intet overlap]],INDEX(DataTitel_liste,LineærRegression_Valg[[#This Row],[Uafhængig variabel ID]]),INDEX(DataTitel_liste,IF(LineærRegression_Valg[[#This Row],[Afhængig variabel ID]]=1,2,1))),$B$7)</f>
        <v>Eksempel 2 (interval)</v>
      </c>
      <c r="H1036" s="188">
        <f>_xlfn.AGGREGATE(2,5,LineærRegression_Valg[[#This Row],[Tabel ID]])</f>
        <v>1</v>
      </c>
    </row>
    <row r="1037" spans="1:8" x14ac:dyDescent="0.2">
      <c r="A1037">
        <f>ROW(LineærRegression_Valg[[#This Row],[Tabel ID]])-ROW(LineærRegression_Valg[[#Headers],[Tabel ID]])</f>
        <v>1027</v>
      </c>
      <c r="B1037" s="188">
        <f>ROUNDDOWN((LineærRegression_Valg[[#This Row],[Tabel ID]]-1)/$B$5,0)+1</f>
        <v>257</v>
      </c>
      <c r="C1037" s="188">
        <f t="shared" si="16"/>
        <v>3</v>
      </c>
      <c r="D1037" s="188" t="b">
        <f>LineærRegression_Valg[[#This Row],[Afhængig variabel ID]]&lt;&gt;LineærRegression_Valg[[#This Row],[Uafhængig variabel ID]]</f>
        <v>1</v>
      </c>
      <c r="E1037" t="b">
        <f>LineærRegression_Valg[[#This Row],[Afhængig variabel ID]]&lt;=$B$5</f>
        <v>0</v>
      </c>
      <c r="F1037" t="str" cm="1">
        <f t="array" ref="F1037">IF(LineærRegression_Valg[[#This Row],[Indenfor range]],INDEX(DataTitel_liste,LineærRegression_Valg[[#This Row],[Afhængig variabel ID]]),INDEX(DataTitel_liste,1))</f>
        <v>Eksempel 1 (interval)</v>
      </c>
      <c r="G1037" s="188" t="str" cm="1">
        <f t="array" ref="G1037">IF(LineærRegression_Valg[[#This Row],[Indenfor range]],IF(LineærRegression_Valg[[#This Row],[Intet overlap]],INDEX(DataTitel_liste,LineærRegression_Valg[[#This Row],[Uafhængig variabel ID]]),INDEX(DataTitel_liste,IF(LineærRegression_Valg[[#This Row],[Afhængig variabel ID]]=1,2,1))),$B$7)</f>
        <v>Eksempel 2 (interval)</v>
      </c>
      <c r="H1037" s="188">
        <f>_xlfn.AGGREGATE(2,5,LineærRegression_Valg[[#This Row],[Tabel ID]])</f>
        <v>1</v>
      </c>
    </row>
    <row r="1038" spans="1:8" x14ac:dyDescent="0.2">
      <c r="A1038">
        <f>ROW(LineærRegression_Valg[[#This Row],[Tabel ID]])-ROW(LineærRegression_Valg[[#Headers],[Tabel ID]])</f>
        <v>1028</v>
      </c>
      <c r="B1038" s="188">
        <f>ROUNDDOWN((LineærRegression_Valg[[#This Row],[Tabel ID]]-1)/$B$5,0)+1</f>
        <v>257</v>
      </c>
      <c r="C1038" s="188">
        <f t="shared" si="16"/>
        <v>4</v>
      </c>
      <c r="D1038" s="188" t="b">
        <f>LineærRegression_Valg[[#This Row],[Afhængig variabel ID]]&lt;&gt;LineærRegression_Valg[[#This Row],[Uafhængig variabel ID]]</f>
        <v>1</v>
      </c>
      <c r="E1038" t="b">
        <f>LineærRegression_Valg[[#This Row],[Afhængig variabel ID]]&lt;=$B$5</f>
        <v>0</v>
      </c>
      <c r="F1038" t="str" cm="1">
        <f t="array" ref="F1038">IF(LineærRegression_Valg[[#This Row],[Indenfor range]],INDEX(DataTitel_liste,LineærRegression_Valg[[#This Row],[Afhængig variabel ID]]),INDEX(DataTitel_liste,1))</f>
        <v>Eksempel 1 (interval)</v>
      </c>
      <c r="G1038" s="188" t="str" cm="1">
        <f t="array" ref="G1038">IF(LineærRegression_Valg[[#This Row],[Indenfor range]],IF(LineærRegression_Valg[[#This Row],[Intet overlap]],INDEX(DataTitel_liste,LineærRegression_Valg[[#This Row],[Uafhængig variabel ID]]),INDEX(DataTitel_liste,IF(LineærRegression_Valg[[#This Row],[Afhængig variabel ID]]=1,2,1))),$B$7)</f>
        <v>Eksempel 2 (interval)</v>
      </c>
      <c r="H1038" s="188">
        <f>_xlfn.AGGREGATE(2,5,LineærRegression_Valg[[#This Row],[Tabel ID]])</f>
        <v>1</v>
      </c>
    </row>
    <row r="1039" spans="1:8" x14ac:dyDescent="0.2">
      <c r="A1039">
        <f>ROW(LineærRegression_Valg[[#This Row],[Tabel ID]])-ROW(LineærRegression_Valg[[#Headers],[Tabel ID]])</f>
        <v>1029</v>
      </c>
      <c r="B1039" s="188">
        <f>ROUNDDOWN((LineærRegression_Valg[[#This Row],[Tabel ID]]-1)/$B$5,0)+1</f>
        <v>258</v>
      </c>
      <c r="C1039" s="188">
        <f t="shared" si="16"/>
        <v>1</v>
      </c>
      <c r="D1039" s="188" t="b">
        <f>LineærRegression_Valg[[#This Row],[Afhængig variabel ID]]&lt;&gt;LineærRegression_Valg[[#This Row],[Uafhængig variabel ID]]</f>
        <v>1</v>
      </c>
      <c r="E1039" t="b">
        <f>LineærRegression_Valg[[#This Row],[Afhængig variabel ID]]&lt;=$B$5</f>
        <v>0</v>
      </c>
      <c r="F1039" t="str" cm="1">
        <f t="array" ref="F1039">IF(LineærRegression_Valg[[#This Row],[Indenfor range]],INDEX(DataTitel_liste,LineærRegression_Valg[[#This Row],[Afhængig variabel ID]]),INDEX(DataTitel_liste,1))</f>
        <v>Eksempel 1 (interval)</v>
      </c>
      <c r="G1039" s="188" t="str" cm="1">
        <f t="array" ref="G1039">IF(LineærRegression_Valg[[#This Row],[Indenfor range]],IF(LineærRegression_Valg[[#This Row],[Intet overlap]],INDEX(DataTitel_liste,LineærRegression_Valg[[#This Row],[Uafhængig variabel ID]]),INDEX(DataTitel_liste,IF(LineærRegression_Valg[[#This Row],[Afhængig variabel ID]]=1,2,1))),$B$7)</f>
        <v>Eksempel 2 (interval)</v>
      </c>
      <c r="H1039" s="188">
        <f>_xlfn.AGGREGATE(2,5,LineærRegression_Valg[[#This Row],[Tabel ID]])</f>
        <v>1</v>
      </c>
    </row>
    <row r="1040" spans="1:8" x14ac:dyDescent="0.2">
      <c r="A1040">
        <f>ROW(LineærRegression_Valg[[#This Row],[Tabel ID]])-ROW(LineærRegression_Valg[[#Headers],[Tabel ID]])</f>
        <v>1030</v>
      </c>
      <c r="B1040" s="188">
        <f>ROUNDDOWN((LineærRegression_Valg[[#This Row],[Tabel ID]]-1)/$B$5,0)+1</f>
        <v>258</v>
      </c>
      <c r="C1040" s="188">
        <f t="shared" si="16"/>
        <v>2</v>
      </c>
      <c r="D1040" s="188" t="b">
        <f>LineærRegression_Valg[[#This Row],[Afhængig variabel ID]]&lt;&gt;LineærRegression_Valg[[#This Row],[Uafhængig variabel ID]]</f>
        <v>1</v>
      </c>
      <c r="E1040" t="b">
        <f>LineærRegression_Valg[[#This Row],[Afhængig variabel ID]]&lt;=$B$5</f>
        <v>0</v>
      </c>
      <c r="F1040" t="str" cm="1">
        <f t="array" ref="F1040">IF(LineærRegression_Valg[[#This Row],[Indenfor range]],INDEX(DataTitel_liste,LineærRegression_Valg[[#This Row],[Afhængig variabel ID]]),INDEX(DataTitel_liste,1))</f>
        <v>Eksempel 1 (interval)</v>
      </c>
      <c r="G1040" s="188" t="str" cm="1">
        <f t="array" ref="G1040">IF(LineærRegression_Valg[[#This Row],[Indenfor range]],IF(LineærRegression_Valg[[#This Row],[Intet overlap]],INDEX(DataTitel_liste,LineærRegression_Valg[[#This Row],[Uafhængig variabel ID]]),INDEX(DataTitel_liste,IF(LineærRegression_Valg[[#This Row],[Afhængig variabel ID]]=1,2,1))),$B$7)</f>
        <v>Eksempel 2 (interval)</v>
      </c>
      <c r="H1040" s="188">
        <f>_xlfn.AGGREGATE(2,5,LineærRegression_Valg[[#This Row],[Tabel ID]])</f>
        <v>1</v>
      </c>
    </row>
    <row r="1041" spans="1:8" x14ac:dyDescent="0.2">
      <c r="A1041">
        <f>ROW(LineærRegression_Valg[[#This Row],[Tabel ID]])-ROW(LineærRegression_Valg[[#Headers],[Tabel ID]])</f>
        <v>1031</v>
      </c>
      <c r="B1041" s="188">
        <f>ROUNDDOWN((LineærRegression_Valg[[#This Row],[Tabel ID]]-1)/$B$5,0)+1</f>
        <v>258</v>
      </c>
      <c r="C1041" s="188">
        <f t="shared" si="16"/>
        <v>3</v>
      </c>
      <c r="D1041" s="188" t="b">
        <f>LineærRegression_Valg[[#This Row],[Afhængig variabel ID]]&lt;&gt;LineærRegression_Valg[[#This Row],[Uafhængig variabel ID]]</f>
        <v>1</v>
      </c>
      <c r="E1041" t="b">
        <f>LineærRegression_Valg[[#This Row],[Afhængig variabel ID]]&lt;=$B$5</f>
        <v>0</v>
      </c>
      <c r="F1041" t="str" cm="1">
        <f t="array" ref="F1041">IF(LineærRegression_Valg[[#This Row],[Indenfor range]],INDEX(DataTitel_liste,LineærRegression_Valg[[#This Row],[Afhængig variabel ID]]),INDEX(DataTitel_liste,1))</f>
        <v>Eksempel 1 (interval)</v>
      </c>
      <c r="G1041" s="188" t="str" cm="1">
        <f t="array" ref="G1041">IF(LineærRegression_Valg[[#This Row],[Indenfor range]],IF(LineærRegression_Valg[[#This Row],[Intet overlap]],INDEX(DataTitel_liste,LineærRegression_Valg[[#This Row],[Uafhængig variabel ID]]),INDEX(DataTitel_liste,IF(LineærRegression_Valg[[#This Row],[Afhængig variabel ID]]=1,2,1))),$B$7)</f>
        <v>Eksempel 2 (interval)</v>
      </c>
      <c r="H1041" s="188">
        <f>_xlfn.AGGREGATE(2,5,LineærRegression_Valg[[#This Row],[Tabel ID]])</f>
        <v>1</v>
      </c>
    </row>
    <row r="1042" spans="1:8" x14ac:dyDescent="0.2">
      <c r="A1042">
        <f>ROW(LineærRegression_Valg[[#This Row],[Tabel ID]])-ROW(LineærRegression_Valg[[#Headers],[Tabel ID]])</f>
        <v>1032</v>
      </c>
      <c r="B1042" s="188">
        <f>ROUNDDOWN((LineærRegression_Valg[[#This Row],[Tabel ID]]-1)/$B$5,0)+1</f>
        <v>258</v>
      </c>
      <c r="C1042" s="188">
        <f t="shared" si="16"/>
        <v>4</v>
      </c>
      <c r="D1042" s="188" t="b">
        <f>LineærRegression_Valg[[#This Row],[Afhængig variabel ID]]&lt;&gt;LineærRegression_Valg[[#This Row],[Uafhængig variabel ID]]</f>
        <v>1</v>
      </c>
      <c r="E1042" t="b">
        <f>LineærRegression_Valg[[#This Row],[Afhængig variabel ID]]&lt;=$B$5</f>
        <v>0</v>
      </c>
      <c r="F1042" t="str" cm="1">
        <f t="array" ref="F1042">IF(LineærRegression_Valg[[#This Row],[Indenfor range]],INDEX(DataTitel_liste,LineærRegression_Valg[[#This Row],[Afhængig variabel ID]]),INDEX(DataTitel_liste,1))</f>
        <v>Eksempel 1 (interval)</v>
      </c>
      <c r="G1042" s="188" t="str" cm="1">
        <f t="array" ref="G1042">IF(LineærRegression_Valg[[#This Row],[Indenfor range]],IF(LineærRegression_Valg[[#This Row],[Intet overlap]],INDEX(DataTitel_liste,LineærRegression_Valg[[#This Row],[Uafhængig variabel ID]]),INDEX(DataTitel_liste,IF(LineærRegression_Valg[[#This Row],[Afhængig variabel ID]]=1,2,1))),$B$7)</f>
        <v>Eksempel 2 (interval)</v>
      </c>
      <c r="H1042" s="188">
        <f>_xlfn.AGGREGATE(2,5,LineærRegression_Valg[[#This Row],[Tabel ID]])</f>
        <v>1</v>
      </c>
    </row>
    <row r="1043" spans="1:8" x14ac:dyDescent="0.2">
      <c r="A1043">
        <f>ROW(LineærRegression_Valg[[#This Row],[Tabel ID]])-ROW(LineærRegression_Valg[[#Headers],[Tabel ID]])</f>
        <v>1033</v>
      </c>
      <c r="B1043" s="188">
        <f>ROUNDDOWN((LineærRegression_Valg[[#This Row],[Tabel ID]]-1)/$B$5,0)+1</f>
        <v>259</v>
      </c>
      <c r="C1043" s="188">
        <f t="shared" si="16"/>
        <v>1</v>
      </c>
      <c r="D1043" s="188" t="b">
        <f>LineærRegression_Valg[[#This Row],[Afhængig variabel ID]]&lt;&gt;LineærRegression_Valg[[#This Row],[Uafhængig variabel ID]]</f>
        <v>1</v>
      </c>
      <c r="E1043" t="b">
        <f>LineærRegression_Valg[[#This Row],[Afhængig variabel ID]]&lt;=$B$5</f>
        <v>0</v>
      </c>
      <c r="F1043" t="str" cm="1">
        <f t="array" ref="F1043">IF(LineærRegression_Valg[[#This Row],[Indenfor range]],INDEX(DataTitel_liste,LineærRegression_Valg[[#This Row],[Afhængig variabel ID]]),INDEX(DataTitel_liste,1))</f>
        <v>Eksempel 1 (interval)</v>
      </c>
      <c r="G1043" s="188" t="str" cm="1">
        <f t="array" ref="G1043">IF(LineærRegression_Valg[[#This Row],[Indenfor range]],IF(LineærRegression_Valg[[#This Row],[Intet overlap]],INDEX(DataTitel_liste,LineærRegression_Valg[[#This Row],[Uafhængig variabel ID]]),INDEX(DataTitel_liste,IF(LineærRegression_Valg[[#This Row],[Afhængig variabel ID]]=1,2,1))),$B$7)</f>
        <v>Eksempel 2 (interval)</v>
      </c>
      <c r="H1043" s="188">
        <f>_xlfn.AGGREGATE(2,5,LineærRegression_Valg[[#This Row],[Tabel ID]])</f>
        <v>1</v>
      </c>
    </row>
    <row r="1044" spans="1:8" x14ac:dyDescent="0.2">
      <c r="A1044">
        <f>ROW(LineærRegression_Valg[[#This Row],[Tabel ID]])-ROW(LineærRegression_Valg[[#Headers],[Tabel ID]])</f>
        <v>1034</v>
      </c>
      <c r="B1044" s="188">
        <f>ROUNDDOWN((LineærRegression_Valg[[#This Row],[Tabel ID]]-1)/$B$5,0)+1</f>
        <v>259</v>
      </c>
      <c r="C1044" s="188">
        <f t="shared" si="16"/>
        <v>2</v>
      </c>
      <c r="D1044" s="188" t="b">
        <f>LineærRegression_Valg[[#This Row],[Afhængig variabel ID]]&lt;&gt;LineærRegression_Valg[[#This Row],[Uafhængig variabel ID]]</f>
        <v>1</v>
      </c>
      <c r="E1044" t="b">
        <f>LineærRegression_Valg[[#This Row],[Afhængig variabel ID]]&lt;=$B$5</f>
        <v>0</v>
      </c>
      <c r="F1044" t="str" cm="1">
        <f t="array" ref="F1044">IF(LineærRegression_Valg[[#This Row],[Indenfor range]],INDEX(DataTitel_liste,LineærRegression_Valg[[#This Row],[Afhængig variabel ID]]),INDEX(DataTitel_liste,1))</f>
        <v>Eksempel 1 (interval)</v>
      </c>
      <c r="G1044" s="188" t="str" cm="1">
        <f t="array" ref="G1044">IF(LineærRegression_Valg[[#This Row],[Indenfor range]],IF(LineærRegression_Valg[[#This Row],[Intet overlap]],INDEX(DataTitel_liste,LineærRegression_Valg[[#This Row],[Uafhængig variabel ID]]),INDEX(DataTitel_liste,IF(LineærRegression_Valg[[#This Row],[Afhængig variabel ID]]=1,2,1))),$B$7)</f>
        <v>Eksempel 2 (interval)</v>
      </c>
      <c r="H1044" s="188">
        <f>_xlfn.AGGREGATE(2,5,LineærRegression_Valg[[#This Row],[Tabel ID]])</f>
        <v>1</v>
      </c>
    </row>
    <row r="1045" spans="1:8" x14ac:dyDescent="0.2">
      <c r="A1045">
        <f>ROW(LineærRegression_Valg[[#This Row],[Tabel ID]])-ROW(LineærRegression_Valg[[#Headers],[Tabel ID]])</f>
        <v>1035</v>
      </c>
      <c r="B1045" s="188">
        <f>ROUNDDOWN((LineærRegression_Valg[[#This Row],[Tabel ID]]-1)/$B$5,0)+1</f>
        <v>259</v>
      </c>
      <c r="C1045" s="188">
        <f t="shared" si="16"/>
        <v>3</v>
      </c>
      <c r="D1045" s="188" t="b">
        <f>LineærRegression_Valg[[#This Row],[Afhængig variabel ID]]&lt;&gt;LineærRegression_Valg[[#This Row],[Uafhængig variabel ID]]</f>
        <v>1</v>
      </c>
      <c r="E1045" t="b">
        <f>LineærRegression_Valg[[#This Row],[Afhængig variabel ID]]&lt;=$B$5</f>
        <v>0</v>
      </c>
      <c r="F1045" t="str" cm="1">
        <f t="array" ref="F1045">IF(LineærRegression_Valg[[#This Row],[Indenfor range]],INDEX(DataTitel_liste,LineærRegression_Valg[[#This Row],[Afhængig variabel ID]]),INDEX(DataTitel_liste,1))</f>
        <v>Eksempel 1 (interval)</v>
      </c>
      <c r="G1045" s="188" t="str" cm="1">
        <f t="array" ref="G1045">IF(LineærRegression_Valg[[#This Row],[Indenfor range]],IF(LineærRegression_Valg[[#This Row],[Intet overlap]],INDEX(DataTitel_liste,LineærRegression_Valg[[#This Row],[Uafhængig variabel ID]]),INDEX(DataTitel_liste,IF(LineærRegression_Valg[[#This Row],[Afhængig variabel ID]]=1,2,1))),$B$7)</f>
        <v>Eksempel 2 (interval)</v>
      </c>
      <c r="H1045" s="188">
        <f>_xlfn.AGGREGATE(2,5,LineærRegression_Valg[[#This Row],[Tabel ID]])</f>
        <v>1</v>
      </c>
    </row>
    <row r="1046" spans="1:8" x14ac:dyDescent="0.2">
      <c r="A1046">
        <f>ROW(LineærRegression_Valg[[#This Row],[Tabel ID]])-ROW(LineærRegression_Valg[[#Headers],[Tabel ID]])</f>
        <v>1036</v>
      </c>
      <c r="B1046" s="188">
        <f>ROUNDDOWN((LineærRegression_Valg[[#This Row],[Tabel ID]]-1)/$B$5,0)+1</f>
        <v>259</v>
      </c>
      <c r="C1046" s="188">
        <f t="shared" si="16"/>
        <v>4</v>
      </c>
      <c r="D1046" s="188" t="b">
        <f>LineærRegression_Valg[[#This Row],[Afhængig variabel ID]]&lt;&gt;LineærRegression_Valg[[#This Row],[Uafhængig variabel ID]]</f>
        <v>1</v>
      </c>
      <c r="E1046" t="b">
        <f>LineærRegression_Valg[[#This Row],[Afhængig variabel ID]]&lt;=$B$5</f>
        <v>0</v>
      </c>
      <c r="F1046" t="str" cm="1">
        <f t="array" ref="F1046">IF(LineærRegression_Valg[[#This Row],[Indenfor range]],INDEX(DataTitel_liste,LineærRegression_Valg[[#This Row],[Afhængig variabel ID]]),INDEX(DataTitel_liste,1))</f>
        <v>Eksempel 1 (interval)</v>
      </c>
      <c r="G1046" s="188" t="str" cm="1">
        <f t="array" ref="G1046">IF(LineærRegression_Valg[[#This Row],[Indenfor range]],IF(LineærRegression_Valg[[#This Row],[Intet overlap]],INDEX(DataTitel_liste,LineærRegression_Valg[[#This Row],[Uafhængig variabel ID]]),INDEX(DataTitel_liste,IF(LineærRegression_Valg[[#This Row],[Afhængig variabel ID]]=1,2,1))),$B$7)</f>
        <v>Eksempel 2 (interval)</v>
      </c>
      <c r="H1046" s="188">
        <f>_xlfn.AGGREGATE(2,5,LineærRegression_Valg[[#This Row],[Tabel ID]])</f>
        <v>1</v>
      </c>
    </row>
    <row r="1047" spans="1:8" x14ac:dyDescent="0.2">
      <c r="A1047">
        <f>ROW(LineærRegression_Valg[[#This Row],[Tabel ID]])-ROW(LineærRegression_Valg[[#Headers],[Tabel ID]])</f>
        <v>1037</v>
      </c>
      <c r="B1047" s="188">
        <f>ROUNDDOWN((LineærRegression_Valg[[#This Row],[Tabel ID]]-1)/$B$5,0)+1</f>
        <v>260</v>
      </c>
      <c r="C1047" s="188">
        <f t="shared" si="16"/>
        <v>1</v>
      </c>
      <c r="D1047" s="188" t="b">
        <f>LineærRegression_Valg[[#This Row],[Afhængig variabel ID]]&lt;&gt;LineærRegression_Valg[[#This Row],[Uafhængig variabel ID]]</f>
        <v>1</v>
      </c>
      <c r="E1047" t="b">
        <f>LineærRegression_Valg[[#This Row],[Afhængig variabel ID]]&lt;=$B$5</f>
        <v>0</v>
      </c>
      <c r="F1047" t="str" cm="1">
        <f t="array" ref="F1047">IF(LineærRegression_Valg[[#This Row],[Indenfor range]],INDEX(DataTitel_liste,LineærRegression_Valg[[#This Row],[Afhængig variabel ID]]),INDEX(DataTitel_liste,1))</f>
        <v>Eksempel 1 (interval)</v>
      </c>
      <c r="G1047" s="188" t="str" cm="1">
        <f t="array" ref="G1047">IF(LineærRegression_Valg[[#This Row],[Indenfor range]],IF(LineærRegression_Valg[[#This Row],[Intet overlap]],INDEX(DataTitel_liste,LineærRegression_Valg[[#This Row],[Uafhængig variabel ID]]),INDEX(DataTitel_liste,IF(LineærRegression_Valg[[#This Row],[Afhængig variabel ID]]=1,2,1))),$B$7)</f>
        <v>Eksempel 2 (interval)</v>
      </c>
      <c r="H1047" s="188">
        <f>_xlfn.AGGREGATE(2,5,LineærRegression_Valg[[#This Row],[Tabel ID]])</f>
        <v>1</v>
      </c>
    </row>
    <row r="1048" spans="1:8" x14ac:dyDescent="0.2">
      <c r="A1048">
        <f>ROW(LineærRegression_Valg[[#This Row],[Tabel ID]])-ROW(LineærRegression_Valg[[#Headers],[Tabel ID]])</f>
        <v>1038</v>
      </c>
      <c r="B1048" s="188">
        <f>ROUNDDOWN((LineærRegression_Valg[[#This Row],[Tabel ID]]-1)/$B$5,0)+1</f>
        <v>260</v>
      </c>
      <c r="C1048" s="188">
        <f t="shared" si="16"/>
        <v>2</v>
      </c>
      <c r="D1048" s="188" t="b">
        <f>LineærRegression_Valg[[#This Row],[Afhængig variabel ID]]&lt;&gt;LineærRegression_Valg[[#This Row],[Uafhængig variabel ID]]</f>
        <v>1</v>
      </c>
      <c r="E1048" t="b">
        <f>LineærRegression_Valg[[#This Row],[Afhængig variabel ID]]&lt;=$B$5</f>
        <v>0</v>
      </c>
      <c r="F1048" t="str" cm="1">
        <f t="array" ref="F1048">IF(LineærRegression_Valg[[#This Row],[Indenfor range]],INDEX(DataTitel_liste,LineærRegression_Valg[[#This Row],[Afhængig variabel ID]]),INDEX(DataTitel_liste,1))</f>
        <v>Eksempel 1 (interval)</v>
      </c>
      <c r="G1048" s="188" t="str" cm="1">
        <f t="array" ref="G1048">IF(LineærRegression_Valg[[#This Row],[Indenfor range]],IF(LineærRegression_Valg[[#This Row],[Intet overlap]],INDEX(DataTitel_liste,LineærRegression_Valg[[#This Row],[Uafhængig variabel ID]]),INDEX(DataTitel_liste,IF(LineærRegression_Valg[[#This Row],[Afhængig variabel ID]]=1,2,1))),$B$7)</f>
        <v>Eksempel 2 (interval)</v>
      </c>
      <c r="H1048" s="188">
        <f>_xlfn.AGGREGATE(2,5,LineærRegression_Valg[[#This Row],[Tabel ID]])</f>
        <v>1</v>
      </c>
    </row>
    <row r="1049" spans="1:8" x14ac:dyDescent="0.2">
      <c r="A1049">
        <f>ROW(LineærRegression_Valg[[#This Row],[Tabel ID]])-ROW(LineærRegression_Valg[[#Headers],[Tabel ID]])</f>
        <v>1039</v>
      </c>
      <c r="B1049" s="188">
        <f>ROUNDDOWN((LineærRegression_Valg[[#This Row],[Tabel ID]]-1)/$B$5,0)+1</f>
        <v>260</v>
      </c>
      <c r="C1049" s="188">
        <f t="shared" si="16"/>
        <v>3</v>
      </c>
      <c r="D1049" s="188" t="b">
        <f>LineærRegression_Valg[[#This Row],[Afhængig variabel ID]]&lt;&gt;LineærRegression_Valg[[#This Row],[Uafhængig variabel ID]]</f>
        <v>1</v>
      </c>
      <c r="E1049" t="b">
        <f>LineærRegression_Valg[[#This Row],[Afhængig variabel ID]]&lt;=$B$5</f>
        <v>0</v>
      </c>
      <c r="F1049" t="str" cm="1">
        <f t="array" ref="F1049">IF(LineærRegression_Valg[[#This Row],[Indenfor range]],INDEX(DataTitel_liste,LineærRegression_Valg[[#This Row],[Afhængig variabel ID]]),INDEX(DataTitel_liste,1))</f>
        <v>Eksempel 1 (interval)</v>
      </c>
      <c r="G1049" s="188" t="str" cm="1">
        <f t="array" ref="G1049">IF(LineærRegression_Valg[[#This Row],[Indenfor range]],IF(LineærRegression_Valg[[#This Row],[Intet overlap]],INDEX(DataTitel_liste,LineærRegression_Valg[[#This Row],[Uafhængig variabel ID]]),INDEX(DataTitel_liste,IF(LineærRegression_Valg[[#This Row],[Afhængig variabel ID]]=1,2,1))),$B$7)</f>
        <v>Eksempel 2 (interval)</v>
      </c>
      <c r="H1049" s="188">
        <f>_xlfn.AGGREGATE(2,5,LineærRegression_Valg[[#This Row],[Tabel ID]])</f>
        <v>1</v>
      </c>
    </row>
    <row r="1050" spans="1:8" x14ac:dyDescent="0.2">
      <c r="A1050">
        <f>ROW(LineærRegression_Valg[[#This Row],[Tabel ID]])-ROW(LineærRegression_Valg[[#Headers],[Tabel ID]])</f>
        <v>1040</v>
      </c>
      <c r="B1050" s="188">
        <f>ROUNDDOWN((LineærRegression_Valg[[#This Row],[Tabel ID]]-1)/$B$5,0)+1</f>
        <v>260</v>
      </c>
      <c r="C1050" s="188">
        <f t="shared" si="16"/>
        <v>4</v>
      </c>
      <c r="D1050" s="188" t="b">
        <f>LineærRegression_Valg[[#This Row],[Afhængig variabel ID]]&lt;&gt;LineærRegression_Valg[[#This Row],[Uafhængig variabel ID]]</f>
        <v>1</v>
      </c>
      <c r="E1050" t="b">
        <f>LineærRegression_Valg[[#This Row],[Afhængig variabel ID]]&lt;=$B$5</f>
        <v>0</v>
      </c>
      <c r="F1050" t="str" cm="1">
        <f t="array" ref="F1050">IF(LineærRegression_Valg[[#This Row],[Indenfor range]],INDEX(DataTitel_liste,LineærRegression_Valg[[#This Row],[Afhængig variabel ID]]),INDEX(DataTitel_liste,1))</f>
        <v>Eksempel 1 (interval)</v>
      </c>
      <c r="G1050" s="188" t="str" cm="1">
        <f t="array" ref="G1050">IF(LineærRegression_Valg[[#This Row],[Indenfor range]],IF(LineærRegression_Valg[[#This Row],[Intet overlap]],INDEX(DataTitel_liste,LineærRegression_Valg[[#This Row],[Uafhængig variabel ID]]),INDEX(DataTitel_liste,IF(LineærRegression_Valg[[#This Row],[Afhængig variabel ID]]=1,2,1))),$B$7)</f>
        <v>Eksempel 2 (interval)</v>
      </c>
      <c r="H1050" s="188">
        <f>_xlfn.AGGREGATE(2,5,LineærRegression_Valg[[#This Row],[Tabel ID]])</f>
        <v>1</v>
      </c>
    </row>
    <row r="1051" spans="1:8" x14ac:dyDescent="0.2">
      <c r="A1051">
        <f>ROW(LineærRegression_Valg[[#This Row],[Tabel ID]])-ROW(LineærRegression_Valg[[#Headers],[Tabel ID]])</f>
        <v>1041</v>
      </c>
      <c r="B1051" s="188">
        <f>ROUNDDOWN((LineærRegression_Valg[[#This Row],[Tabel ID]]-1)/$B$5,0)+1</f>
        <v>261</v>
      </c>
      <c r="C1051" s="188">
        <f t="shared" si="16"/>
        <v>1</v>
      </c>
      <c r="D1051" s="188" t="b">
        <f>LineærRegression_Valg[[#This Row],[Afhængig variabel ID]]&lt;&gt;LineærRegression_Valg[[#This Row],[Uafhængig variabel ID]]</f>
        <v>1</v>
      </c>
      <c r="E1051" t="b">
        <f>LineærRegression_Valg[[#This Row],[Afhængig variabel ID]]&lt;=$B$5</f>
        <v>0</v>
      </c>
      <c r="F1051" t="str" cm="1">
        <f t="array" ref="F1051">IF(LineærRegression_Valg[[#This Row],[Indenfor range]],INDEX(DataTitel_liste,LineærRegression_Valg[[#This Row],[Afhængig variabel ID]]),INDEX(DataTitel_liste,1))</f>
        <v>Eksempel 1 (interval)</v>
      </c>
      <c r="G1051" s="188" t="str" cm="1">
        <f t="array" ref="G1051">IF(LineærRegression_Valg[[#This Row],[Indenfor range]],IF(LineærRegression_Valg[[#This Row],[Intet overlap]],INDEX(DataTitel_liste,LineærRegression_Valg[[#This Row],[Uafhængig variabel ID]]),INDEX(DataTitel_liste,IF(LineærRegression_Valg[[#This Row],[Afhængig variabel ID]]=1,2,1))),$B$7)</f>
        <v>Eksempel 2 (interval)</v>
      </c>
      <c r="H1051" s="188">
        <f>_xlfn.AGGREGATE(2,5,LineærRegression_Valg[[#This Row],[Tabel ID]])</f>
        <v>1</v>
      </c>
    </row>
    <row r="1052" spans="1:8" x14ac:dyDescent="0.2">
      <c r="A1052">
        <f>ROW(LineærRegression_Valg[[#This Row],[Tabel ID]])-ROW(LineærRegression_Valg[[#Headers],[Tabel ID]])</f>
        <v>1042</v>
      </c>
      <c r="B1052" s="188">
        <f>ROUNDDOWN((LineærRegression_Valg[[#This Row],[Tabel ID]]-1)/$B$5,0)+1</f>
        <v>261</v>
      </c>
      <c r="C1052" s="188">
        <f t="shared" si="16"/>
        <v>2</v>
      </c>
      <c r="D1052" s="188" t="b">
        <f>LineærRegression_Valg[[#This Row],[Afhængig variabel ID]]&lt;&gt;LineærRegression_Valg[[#This Row],[Uafhængig variabel ID]]</f>
        <v>1</v>
      </c>
      <c r="E1052" t="b">
        <f>LineærRegression_Valg[[#This Row],[Afhængig variabel ID]]&lt;=$B$5</f>
        <v>0</v>
      </c>
      <c r="F1052" t="str" cm="1">
        <f t="array" ref="F1052">IF(LineærRegression_Valg[[#This Row],[Indenfor range]],INDEX(DataTitel_liste,LineærRegression_Valg[[#This Row],[Afhængig variabel ID]]),INDEX(DataTitel_liste,1))</f>
        <v>Eksempel 1 (interval)</v>
      </c>
      <c r="G1052" s="188" t="str" cm="1">
        <f t="array" ref="G1052">IF(LineærRegression_Valg[[#This Row],[Indenfor range]],IF(LineærRegression_Valg[[#This Row],[Intet overlap]],INDEX(DataTitel_liste,LineærRegression_Valg[[#This Row],[Uafhængig variabel ID]]),INDEX(DataTitel_liste,IF(LineærRegression_Valg[[#This Row],[Afhængig variabel ID]]=1,2,1))),$B$7)</f>
        <v>Eksempel 2 (interval)</v>
      </c>
      <c r="H1052" s="188">
        <f>_xlfn.AGGREGATE(2,5,LineærRegression_Valg[[#This Row],[Tabel ID]])</f>
        <v>1</v>
      </c>
    </row>
    <row r="1053" spans="1:8" x14ac:dyDescent="0.2">
      <c r="A1053">
        <f>ROW(LineærRegression_Valg[[#This Row],[Tabel ID]])-ROW(LineærRegression_Valg[[#Headers],[Tabel ID]])</f>
        <v>1043</v>
      </c>
      <c r="B1053" s="188">
        <f>ROUNDDOWN((LineærRegression_Valg[[#This Row],[Tabel ID]]-1)/$B$5,0)+1</f>
        <v>261</v>
      </c>
      <c r="C1053" s="188">
        <f t="shared" si="16"/>
        <v>3</v>
      </c>
      <c r="D1053" s="188" t="b">
        <f>LineærRegression_Valg[[#This Row],[Afhængig variabel ID]]&lt;&gt;LineærRegression_Valg[[#This Row],[Uafhængig variabel ID]]</f>
        <v>1</v>
      </c>
      <c r="E1053" t="b">
        <f>LineærRegression_Valg[[#This Row],[Afhængig variabel ID]]&lt;=$B$5</f>
        <v>0</v>
      </c>
      <c r="F1053" t="str" cm="1">
        <f t="array" ref="F1053">IF(LineærRegression_Valg[[#This Row],[Indenfor range]],INDEX(DataTitel_liste,LineærRegression_Valg[[#This Row],[Afhængig variabel ID]]),INDEX(DataTitel_liste,1))</f>
        <v>Eksempel 1 (interval)</v>
      </c>
      <c r="G1053" s="188" t="str" cm="1">
        <f t="array" ref="G1053">IF(LineærRegression_Valg[[#This Row],[Indenfor range]],IF(LineærRegression_Valg[[#This Row],[Intet overlap]],INDEX(DataTitel_liste,LineærRegression_Valg[[#This Row],[Uafhængig variabel ID]]),INDEX(DataTitel_liste,IF(LineærRegression_Valg[[#This Row],[Afhængig variabel ID]]=1,2,1))),$B$7)</f>
        <v>Eksempel 2 (interval)</v>
      </c>
      <c r="H1053" s="188">
        <f>_xlfn.AGGREGATE(2,5,LineærRegression_Valg[[#This Row],[Tabel ID]])</f>
        <v>1</v>
      </c>
    </row>
    <row r="1054" spans="1:8" x14ac:dyDescent="0.2">
      <c r="A1054">
        <f>ROW(LineærRegression_Valg[[#This Row],[Tabel ID]])-ROW(LineærRegression_Valg[[#Headers],[Tabel ID]])</f>
        <v>1044</v>
      </c>
      <c r="B1054" s="188">
        <f>ROUNDDOWN((LineærRegression_Valg[[#This Row],[Tabel ID]]-1)/$B$5,0)+1</f>
        <v>261</v>
      </c>
      <c r="C1054" s="188">
        <f t="shared" si="16"/>
        <v>4</v>
      </c>
      <c r="D1054" s="188" t="b">
        <f>LineærRegression_Valg[[#This Row],[Afhængig variabel ID]]&lt;&gt;LineærRegression_Valg[[#This Row],[Uafhængig variabel ID]]</f>
        <v>1</v>
      </c>
      <c r="E1054" t="b">
        <f>LineærRegression_Valg[[#This Row],[Afhængig variabel ID]]&lt;=$B$5</f>
        <v>0</v>
      </c>
      <c r="F1054" t="str" cm="1">
        <f t="array" ref="F1054">IF(LineærRegression_Valg[[#This Row],[Indenfor range]],INDEX(DataTitel_liste,LineærRegression_Valg[[#This Row],[Afhængig variabel ID]]),INDEX(DataTitel_liste,1))</f>
        <v>Eksempel 1 (interval)</v>
      </c>
      <c r="G1054" s="188" t="str" cm="1">
        <f t="array" ref="G1054">IF(LineærRegression_Valg[[#This Row],[Indenfor range]],IF(LineærRegression_Valg[[#This Row],[Intet overlap]],INDEX(DataTitel_liste,LineærRegression_Valg[[#This Row],[Uafhængig variabel ID]]),INDEX(DataTitel_liste,IF(LineærRegression_Valg[[#This Row],[Afhængig variabel ID]]=1,2,1))),$B$7)</f>
        <v>Eksempel 2 (interval)</v>
      </c>
      <c r="H1054" s="188">
        <f>_xlfn.AGGREGATE(2,5,LineærRegression_Valg[[#This Row],[Tabel ID]])</f>
        <v>1</v>
      </c>
    </row>
    <row r="1055" spans="1:8" x14ac:dyDescent="0.2">
      <c r="A1055">
        <f>ROW(LineærRegression_Valg[[#This Row],[Tabel ID]])-ROW(LineærRegression_Valg[[#Headers],[Tabel ID]])</f>
        <v>1045</v>
      </c>
      <c r="B1055" s="188">
        <f>ROUNDDOWN((LineærRegression_Valg[[#This Row],[Tabel ID]]-1)/$B$5,0)+1</f>
        <v>262</v>
      </c>
      <c r="C1055" s="188">
        <f t="shared" si="16"/>
        <v>1</v>
      </c>
      <c r="D1055" s="188" t="b">
        <f>LineærRegression_Valg[[#This Row],[Afhængig variabel ID]]&lt;&gt;LineærRegression_Valg[[#This Row],[Uafhængig variabel ID]]</f>
        <v>1</v>
      </c>
      <c r="E1055" t="b">
        <f>LineærRegression_Valg[[#This Row],[Afhængig variabel ID]]&lt;=$B$5</f>
        <v>0</v>
      </c>
      <c r="F1055" t="str" cm="1">
        <f t="array" ref="F1055">IF(LineærRegression_Valg[[#This Row],[Indenfor range]],INDEX(DataTitel_liste,LineærRegression_Valg[[#This Row],[Afhængig variabel ID]]),INDEX(DataTitel_liste,1))</f>
        <v>Eksempel 1 (interval)</v>
      </c>
      <c r="G1055" s="188" t="str" cm="1">
        <f t="array" ref="G1055">IF(LineærRegression_Valg[[#This Row],[Indenfor range]],IF(LineærRegression_Valg[[#This Row],[Intet overlap]],INDEX(DataTitel_liste,LineærRegression_Valg[[#This Row],[Uafhængig variabel ID]]),INDEX(DataTitel_liste,IF(LineærRegression_Valg[[#This Row],[Afhængig variabel ID]]=1,2,1))),$B$7)</f>
        <v>Eksempel 2 (interval)</v>
      </c>
      <c r="H1055" s="188">
        <f>_xlfn.AGGREGATE(2,5,LineærRegression_Valg[[#This Row],[Tabel ID]])</f>
        <v>1</v>
      </c>
    </row>
    <row r="1056" spans="1:8" x14ac:dyDescent="0.2">
      <c r="A1056">
        <f>ROW(LineærRegression_Valg[[#This Row],[Tabel ID]])-ROW(LineærRegression_Valg[[#Headers],[Tabel ID]])</f>
        <v>1046</v>
      </c>
      <c r="B1056" s="188">
        <f>ROUNDDOWN((LineærRegression_Valg[[#This Row],[Tabel ID]]-1)/$B$5,0)+1</f>
        <v>262</v>
      </c>
      <c r="C1056" s="188">
        <f t="shared" si="16"/>
        <v>2</v>
      </c>
      <c r="D1056" s="188" t="b">
        <f>LineærRegression_Valg[[#This Row],[Afhængig variabel ID]]&lt;&gt;LineærRegression_Valg[[#This Row],[Uafhængig variabel ID]]</f>
        <v>1</v>
      </c>
      <c r="E1056" t="b">
        <f>LineærRegression_Valg[[#This Row],[Afhængig variabel ID]]&lt;=$B$5</f>
        <v>0</v>
      </c>
      <c r="F1056" t="str" cm="1">
        <f t="array" ref="F1056">IF(LineærRegression_Valg[[#This Row],[Indenfor range]],INDEX(DataTitel_liste,LineærRegression_Valg[[#This Row],[Afhængig variabel ID]]),INDEX(DataTitel_liste,1))</f>
        <v>Eksempel 1 (interval)</v>
      </c>
      <c r="G1056" s="188" t="str" cm="1">
        <f t="array" ref="G1056">IF(LineærRegression_Valg[[#This Row],[Indenfor range]],IF(LineærRegression_Valg[[#This Row],[Intet overlap]],INDEX(DataTitel_liste,LineærRegression_Valg[[#This Row],[Uafhængig variabel ID]]),INDEX(DataTitel_liste,IF(LineærRegression_Valg[[#This Row],[Afhængig variabel ID]]=1,2,1))),$B$7)</f>
        <v>Eksempel 2 (interval)</v>
      </c>
      <c r="H1056" s="188">
        <f>_xlfn.AGGREGATE(2,5,LineærRegression_Valg[[#This Row],[Tabel ID]])</f>
        <v>1</v>
      </c>
    </row>
    <row r="1057" spans="1:8" x14ac:dyDescent="0.2">
      <c r="A1057">
        <f>ROW(LineærRegression_Valg[[#This Row],[Tabel ID]])-ROW(LineærRegression_Valg[[#Headers],[Tabel ID]])</f>
        <v>1047</v>
      </c>
      <c r="B1057" s="188">
        <f>ROUNDDOWN((LineærRegression_Valg[[#This Row],[Tabel ID]]-1)/$B$5,0)+1</f>
        <v>262</v>
      </c>
      <c r="C1057" s="188">
        <f t="shared" si="16"/>
        <v>3</v>
      </c>
      <c r="D1057" s="188" t="b">
        <f>LineærRegression_Valg[[#This Row],[Afhængig variabel ID]]&lt;&gt;LineærRegression_Valg[[#This Row],[Uafhængig variabel ID]]</f>
        <v>1</v>
      </c>
      <c r="E1057" t="b">
        <f>LineærRegression_Valg[[#This Row],[Afhængig variabel ID]]&lt;=$B$5</f>
        <v>0</v>
      </c>
      <c r="F1057" t="str" cm="1">
        <f t="array" ref="F1057">IF(LineærRegression_Valg[[#This Row],[Indenfor range]],INDEX(DataTitel_liste,LineærRegression_Valg[[#This Row],[Afhængig variabel ID]]),INDEX(DataTitel_liste,1))</f>
        <v>Eksempel 1 (interval)</v>
      </c>
      <c r="G1057" s="188" t="str" cm="1">
        <f t="array" ref="G1057">IF(LineærRegression_Valg[[#This Row],[Indenfor range]],IF(LineærRegression_Valg[[#This Row],[Intet overlap]],INDEX(DataTitel_liste,LineærRegression_Valg[[#This Row],[Uafhængig variabel ID]]),INDEX(DataTitel_liste,IF(LineærRegression_Valg[[#This Row],[Afhængig variabel ID]]=1,2,1))),$B$7)</f>
        <v>Eksempel 2 (interval)</v>
      </c>
      <c r="H1057" s="188">
        <f>_xlfn.AGGREGATE(2,5,LineærRegression_Valg[[#This Row],[Tabel ID]])</f>
        <v>1</v>
      </c>
    </row>
    <row r="1058" spans="1:8" x14ac:dyDescent="0.2">
      <c r="A1058">
        <f>ROW(LineærRegression_Valg[[#This Row],[Tabel ID]])-ROW(LineærRegression_Valg[[#Headers],[Tabel ID]])</f>
        <v>1048</v>
      </c>
      <c r="B1058" s="188">
        <f>ROUNDDOWN((LineærRegression_Valg[[#This Row],[Tabel ID]]-1)/$B$5,0)+1</f>
        <v>262</v>
      </c>
      <c r="C1058" s="188">
        <f t="shared" si="16"/>
        <v>4</v>
      </c>
      <c r="D1058" s="188" t="b">
        <f>LineærRegression_Valg[[#This Row],[Afhængig variabel ID]]&lt;&gt;LineærRegression_Valg[[#This Row],[Uafhængig variabel ID]]</f>
        <v>1</v>
      </c>
      <c r="E1058" t="b">
        <f>LineærRegression_Valg[[#This Row],[Afhængig variabel ID]]&lt;=$B$5</f>
        <v>0</v>
      </c>
      <c r="F1058" t="str" cm="1">
        <f t="array" ref="F1058">IF(LineærRegression_Valg[[#This Row],[Indenfor range]],INDEX(DataTitel_liste,LineærRegression_Valg[[#This Row],[Afhængig variabel ID]]),INDEX(DataTitel_liste,1))</f>
        <v>Eksempel 1 (interval)</v>
      </c>
      <c r="G1058" s="188" t="str" cm="1">
        <f t="array" ref="G1058">IF(LineærRegression_Valg[[#This Row],[Indenfor range]],IF(LineærRegression_Valg[[#This Row],[Intet overlap]],INDEX(DataTitel_liste,LineærRegression_Valg[[#This Row],[Uafhængig variabel ID]]),INDEX(DataTitel_liste,IF(LineærRegression_Valg[[#This Row],[Afhængig variabel ID]]=1,2,1))),$B$7)</f>
        <v>Eksempel 2 (interval)</v>
      </c>
      <c r="H1058" s="188">
        <f>_xlfn.AGGREGATE(2,5,LineærRegression_Valg[[#This Row],[Tabel ID]])</f>
        <v>1</v>
      </c>
    </row>
    <row r="1059" spans="1:8" x14ac:dyDescent="0.2">
      <c r="A1059">
        <f>ROW(LineærRegression_Valg[[#This Row],[Tabel ID]])-ROW(LineærRegression_Valg[[#Headers],[Tabel ID]])</f>
        <v>1049</v>
      </c>
      <c r="B1059" s="188">
        <f>ROUNDDOWN((LineærRegression_Valg[[#This Row],[Tabel ID]]-1)/$B$5,0)+1</f>
        <v>263</v>
      </c>
      <c r="C1059" s="188">
        <f t="shared" si="16"/>
        <v>1</v>
      </c>
      <c r="D1059" s="188" t="b">
        <f>LineærRegression_Valg[[#This Row],[Afhængig variabel ID]]&lt;&gt;LineærRegression_Valg[[#This Row],[Uafhængig variabel ID]]</f>
        <v>1</v>
      </c>
      <c r="E1059" t="b">
        <f>LineærRegression_Valg[[#This Row],[Afhængig variabel ID]]&lt;=$B$5</f>
        <v>0</v>
      </c>
      <c r="F1059" t="str" cm="1">
        <f t="array" ref="F1059">IF(LineærRegression_Valg[[#This Row],[Indenfor range]],INDEX(DataTitel_liste,LineærRegression_Valg[[#This Row],[Afhængig variabel ID]]),INDEX(DataTitel_liste,1))</f>
        <v>Eksempel 1 (interval)</v>
      </c>
      <c r="G1059" s="188" t="str" cm="1">
        <f t="array" ref="G1059">IF(LineærRegression_Valg[[#This Row],[Indenfor range]],IF(LineærRegression_Valg[[#This Row],[Intet overlap]],INDEX(DataTitel_liste,LineærRegression_Valg[[#This Row],[Uafhængig variabel ID]]),INDEX(DataTitel_liste,IF(LineærRegression_Valg[[#This Row],[Afhængig variabel ID]]=1,2,1))),$B$7)</f>
        <v>Eksempel 2 (interval)</v>
      </c>
      <c r="H1059" s="188">
        <f>_xlfn.AGGREGATE(2,5,LineærRegression_Valg[[#This Row],[Tabel ID]])</f>
        <v>1</v>
      </c>
    </row>
    <row r="1060" spans="1:8" x14ac:dyDescent="0.2">
      <c r="A1060">
        <f>ROW(LineærRegression_Valg[[#This Row],[Tabel ID]])-ROW(LineærRegression_Valg[[#Headers],[Tabel ID]])</f>
        <v>1050</v>
      </c>
      <c r="B1060" s="188">
        <f>ROUNDDOWN((LineærRegression_Valg[[#This Row],[Tabel ID]]-1)/$B$5,0)+1</f>
        <v>263</v>
      </c>
      <c r="C1060" s="188">
        <f t="shared" si="16"/>
        <v>2</v>
      </c>
      <c r="D1060" s="188" t="b">
        <f>LineærRegression_Valg[[#This Row],[Afhængig variabel ID]]&lt;&gt;LineærRegression_Valg[[#This Row],[Uafhængig variabel ID]]</f>
        <v>1</v>
      </c>
      <c r="E1060" t="b">
        <f>LineærRegression_Valg[[#This Row],[Afhængig variabel ID]]&lt;=$B$5</f>
        <v>0</v>
      </c>
      <c r="F1060" t="str" cm="1">
        <f t="array" ref="F1060">IF(LineærRegression_Valg[[#This Row],[Indenfor range]],INDEX(DataTitel_liste,LineærRegression_Valg[[#This Row],[Afhængig variabel ID]]),INDEX(DataTitel_liste,1))</f>
        <v>Eksempel 1 (interval)</v>
      </c>
      <c r="G1060" s="188" t="str" cm="1">
        <f t="array" ref="G1060">IF(LineærRegression_Valg[[#This Row],[Indenfor range]],IF(LineærRegression_Valg[[#This Row],[Intet overlap]],INDEX(DataTitel_liste,LineærRegression_Valg[[#This Row],[Uafhængig variabel ID]]),INDEX(DataTitel_liste,IF(LineærRegression_Valg[[#This Row],[Afhængig variabel ID]]=1,2,1))),$B$7)</f>
        <v>Eksempel 2 (interval)</v>
      </c>
      <c r="H1060" s="188">
        <f>_xlfn.AGGREGATE(2,5,LineærRegression_Valg[[#This Row],[Tabel ID]])</f>
        <v>1</v>
      </c>
    </row>
    <row r="1061" spans="1:8" x14ac:dyDescent="0.2">
      <c r="A1061">
        <f>ROW(LineærRegression_Valg[[#This Row],[Tabel ID]])-ROW(LineærRegression_Valg[[#Headers],[Tabel ID]])</f>
        <v>1051</v>
      </c>
      <c r="B1061" s="188">
        <f>ROUNDDOWN((LineærRegression_Valg[[#This Row],[Tabel ID]]-1)/$B$5,0)+1</f>
        <v>263</v>
      </c>
      <c r="C1061" s="188">
        <f t="shared" si="16"/>
        <v>3</v>
      </c>
      <c r="D1061" s="188" t="b">
        <f>LineærRegression_Valg[[#This Row],[Afhængig variabel ID]]&lt;&gt;LineærRegression_Valg[[#This Row],[Uafhængig variabel ID]]</f>
        <v>1</v>
      </c>
      <c r="E1061" t="b">
        <f>LineærRegression_Valg[[#This Row],[Afhængig variabel ID]]&lt;=$B$5</f>
        <v>0</v>
      </c>
      <c r="F1061" t="str" cm="1">
        <f t="array" ref="F1061">IF(LineærRegression_Valg[[#This Row],[Indenfor range]],INDEX(DataTitel_liste,LineærRegression_Valg[[#This Row],[Afhængig variabel ID]]),INDEX(DataTitel_liste,1))</f>
        <v>Eksempel 1 (interval)</v>
      </c>
      <c r="G1061" s="188" t="str" cm="1">
        <f t="array" ref="G1061">IF(LineærRegression_Valg[[#This Row],[Indenfor range]],IF(LineærRegression_Valg[[#This Row],[Intet overlap]],INDEX(DataTitel_liste,LineærRegression_Valg[[#This Row],[Uafhængig variabel ID]]),INDEX(DataTitel_liste,IF(LineærRegression_Valg[[#This Row],[Afhængig variabel ID]]=1,2,1))),$B$7)</f>
        <v>Eksempel 2 (interval)</v>
      </c>
      <c r="H1061" s="188">
        <f>_xlfn.AGGREGATE(2,5,LineærRegression_Valg[[#This Row],[Tabel ID]])</f>
        <v>1</v>
      </c>
    </row>
    <row r="1062" spans="1:8" x14ac:dyDescent="0.2">
      <c r="A1062">
        <f>ROW(LineærRegression_Valg[[#This Row],[Tabel ID]])-ROW(LineærRegression_Valg[[#Headers],[Tabel ID]])</f>
        <v>1052</v>
      </c>
      <c r="B1062" s="188">
        <f>ROUNDDOWN((LineærRegression_Valg[[#This Row],[Tabel ID]]-1)/$B$5,0)+1</f>
        <v>263</v>
      </c>
      <c r="C1062" s="188">
        <f t="shared" si="16"/>
        <v>4</v>
      </c>
      <c r="D1062" s="188" t="b">
        <f>LineærRegression_Valg[[#This Row],[Afhængig variabel ID]]&lt;&gt;LineærRegression_Valg[[#This Row],[Uafhængig variabel ID]]</f>
        <v>1</v>
      </c>
      <c r="E1062" t="b">
        <f>LineærRegression_Valg[[#This Row],[Afhængig variabel ID]]&lt;=$B$5</f>
        <v>0</v>
      </c>
      <c r="F1062" t="str" cm="1">
        <f t="array" ref="F1062">IF(LineærRegression_Valg[[#This Row],[Indenfor range]],INDEX(DataTitel_liste,LineærRegression_Valg[[#This Row],[Afhængig variabel ID]]),INDEX(DataTitel_liste,1))</f>
        <v>Eksempel 1 (interval)</v>
      </c>
      <c r="G1062" s="188" t="str" cm="1">
        <f t="array" ref="G1062">IF(LineærRegression_Valg[[#This Row],[Indenfor range]],IF(LineærRegression_Valg[[#This Row],[Intet overlap]],INDEX(DataTitel_liste,LineærRegression_Valg[[#This Row],[Uafhængig variabel ID]]),INDEX(DataTitel_liste,IF(LineærRegression_Valg[[#This Row],[Afhængig variabel ID]]=1,2,1))),$B$7)</f>
        <v>Eksempel 2 (interval)</v>
      </c>
      <c r="H1062" s="188">
        <f>_xlfn.AGGREGATE(2,5,LineærRegression_Valg[[#This Row],[Tabel ID]])</f>
        <v>1</v>
      </c>
    </row>
    <row r="1063" spans="1:8" x14ac:dyDescent="0.2">
      <c r="A1063">
        <f>ROW(LineærRegression_Valg[[#This Row],[Tabel ID]])-ROW(LineærRegression_Valg[[#Headers],[Tabel ID]])</f>
        <v>1053</v>
      </c>
      <c r="B1063" s="188">
        <f>ROUNDDOWN((LineærRegression_Valg[[#This Row],[Tabel ID]]-1)/$B$5,0)+1</f>
        <v>264</v>
      </c>
      <c r="C1063" s="188">
        <f t="shared" si="16"/>
        <v>1</v>
      </c>
      <c r="D1063" s="188" t="b">
        <f>LineærRegression_Valg[[#This Row],[Afhængig variabel ID]]&lt;&gt;LineærRegression_Valg[[#This Row],[Uafhængig variabel ID]]</f>
        <v>1</v>
      </c>
      <c r="E1063" t="b">
        <f>LineærRegression_Valg[[#This Row],[Afhængig variabel ID]]&lt;=$B$5</f>
        <v>0</v>
      </c>
      <c r="F1063" t="str" cm="1">
        <f t="array" ref="F1063">IF(LineærRegression_Valg[[#This Row],[Indenfor range]],INDEX(DataTitel_liste,LineærRegression_Valg[[#This Row],[Afhængig variabel ID]]),INDEX(DataTitel_liste,1))</f>
        <v>Eksempel 1 (interval)</v>
      </c>
      <c r="G1063" s="188" t="str" cm="1">
        <f t="array" ref="G1063">IF(LineærRegression_Valg[[#This Row],[Indenfor range]],IF(LineærRegression_Valg[[#This Row],[Intet overlap]],INDEX(DataTitel_liste,LineærRegression_Valg[[#This Row],[Uafhængig variabel ID]]),INDEX(DataTitel_liste,IF(LineærRegression_Valg[[#This Row],[Afhængig variabel ID]]=1,2,1))),$B$7)</f>
        <v>Eksempel 2 (interval)</v>
      </c>
      <c r="H1063" s="188">
        <f>_xlfn.AGGREGATE(2,5,LineærRegression_Valg[[#This Row],[Tabel ID]])</f>
        <v>1</v>
      </c>
    </row>
    <row r="1064" spans="1:8" x14ac:dyDescent="0.2">
      <c r="A1064">
        <f>ROW(LineærRegression_Valg[[#This Row],[Tabel ID]])-ROW(LineærRegression_Valg[[#Headers],[Tabel ID]])</f>
        <v>1054</v>
      </c>
      <c r="B1064" s="188">
        <f>ROUNDDOWN((LineærRegression_Valg[[#This Row],[Tabel ID]]-1)/$B$5,0)+1</f>
        <v>264</v>
      </c>
      <c r="C1064" s="188">
        <f t="shared" si="16"/>
        <v>2</v>
      </c>
      <c r="D1064" s="188" t="b">
        <f>LineærRegression_Valg[[#This Row],[Afhængig variabel ID]]&lt;&gt;LineærRegression_Valg[[#This Row],[Uafhængig variabel ID]]</f>
        <v>1</v>
      </c>
      <c r="E1064" t="b">
        <f>LineærRegression_Valg[[#This Row],[Afhængig variabel ID]]&lt;=$B$5</f>
        <v>0</v>
      </c>
      <c r="F1064" t="str" cm="1">
        <f t="array" ref="F1064">IF(LineærRegression_Valg[[#This Row],[Indenfor range]],INDEX(DataTitel_liste,LineærRegression_Valg[[#This Row],[Afhængig variabel ID]]),INDEX(DataTitel_liste,1))</f>
        <v>Eksempel 1 (interval)</v>
      </c>
      <c r="G1064" s="188" t="str" cm="1">
        <f t="array" ref="G1064">IF(LineærRegression_Valg[[#This Row],[Indenfor range]],IF(LineærRegression_Valg[[#This Row],[Intet overlap]],INDEX(DataTitel_liste,LineærRegression_Valg[[#This Row],[Uafhængig variabel ID]]),INDEX(DataTitel_liste,IF(LineærRegression_Valg[[#This Row],[Afhængig variabel ID]]=1,2,1))),$B$7)</f>
        <v>Eksempel 2 (interval)</v>
      </c>
      <c r="H1064" s="188">
        <f>_xlfn.AGGREGATE(2,5,LineærRegression_Valg[[#This Row],[Tabel ID]])</f>
        <v>1</v>
      </c>
    </row>
    <row r="1065" spans="1:8" x14ac:dyDescent="0.2">
      <c r="A1065">
        <f>ROW(LineærRegression_Valg[[#This Row],[Tabel ID]])-ROW(LineærRegression_Valg[[#Headers],[Tabel ID]])</f>
        <v>1055</v>
      </c>
      <c r="B1065" s="188">
        <f>ROUNDDOWN((LineærRegression_Valg[[#This Row],[Tabel ID]]-1)/$B$5,0)+1</f>
        <v>264</v>
      </c>
      <c r="C1065" s="188">
        <f t="shared" si="16"/>
        <v>3</v>
      </c>
      <c r="D1065" s="188" t="b">
        <f>LineærRegression_Valg[[#This Row],[Afhængig variabel ID]]&lt;&gt;LineærRegression_Valg[[#This Row],[Uafhængig variabel ID]]</f>
        <v>1</v>
      </c>
      <c r="E1065" t="b">
        <f>LineærRegression_Valg[[#This Row],[Afhængig variabel ID]]&lt;=$B$5</f>
        <v>0</v>
      </c>
      <c r="F1065" t="str" cm="1">
        <f t="array" ref="F1065">IF(LineærRegression_Valg[[#This Row],[Indenfor range]],INDEX(DataTitel_liste,LineærRegression_Valg[[#This Row],[Afhængig variabel ID]]),INDEX(DataTitel_liste,1))</f>
        <v>Eksempel 1 (interval)</v>
      </c>
      <c r="G1065" s="188" t="str" cm="1">
        <f t="array" ref="G1065">IF(LineærRegression_Valg[[#This Row],[Indenfor range]],IF(LineærRegression_Valg[[#This Row],[Intet overlap]],INDEX(DataTitel_liste,LineærRegression_Valg[[#This Row],[Uafhængig variabel ID]]),INDEX(DataTitel_liste,IF(LineærRegression_Valg[[#This Row],[Afhængig variabel ID]]=1,2,1))),$B$7)</f>
        <v>Eksempel 2 (interval)</v>
      </c>
      <c r="H1065" s="188">
        <f>_xlfn.AGGREGATE(2,5,LineærRegression_Valg[[#This Row],[Tabel ID]])</f>
        <v>1</v>
      </c>
    </row>
    <row r="1066" spans="1:8" x14ac:dyDescent="0.2">
      <c r="A1066">
        <f>ROW(LineærRegression_Valg[[#This Row],[Tabel ID]])-ROW(LineærRegression_Valg[[#Headers],[Tabel ID]])</f>
        <v>1056</v>
      </c>
      <c r="B1066" s="188">
        <f>ROUNDDOWN((LineærRegression_Valg[[#This Row],[Tabel ID]]-1)/$B$5,0)+1</f>
        <v>264</v>
      </c>
      <c r="C1066" s="188">
        <f t="shared" si="16"/>
        <v>4</v>
      </c>
      <c r="D1066" s="188" t="b">
        <f>LineærRegression_Valg[[#This Row],[Afhængig variabel ID]]&lt;&gt;LineærRegression_Valg[[#This Row],[Uafhængig variabel ID]]</f>
        <v>1</v>
      </c>
      <c r="E1066" t="b">
        <f>LineærRegression_Valg[[#This Row],[Afhængig variabel ID]]&lt;=$B$5</f>
        <v>0</v>
      </c>
      <c r="F1066" t="str" cm="1">
        <f t="array" ref="F1066">IF(LineærRegression_Valg[[#This Row],[Indenfor range]],INDEX(DataTitel_liste,LineærRegression_Valg[[#This Row],[Afhængig variabel ID]]),INDEX(DataTitel_liste,1))</f>
        <v>Eksempel 1 (interval)</v>
      </c>
      <c r="G1066" s="188" t="str" cm="1">
        <f t="array" ref="G1066">IF(LineærRegression_Valg[[#This Row],[Indenfor range]],IF(LineærRegression_Valg[[#This Row],[Intet overlap]],INDEX(DataTitel_liste,LineærRegression_Valg[[#This Row],[Uafhængig variabel ID]]),INDEX(DataTitel_liste,IF(LineærRegression_Valg[[#This Row],[Afhængig variabel ID]]=1,2,1))),$B$7)</f>
        <v>Eksempel 2 (interval)</v>
      </c>
      <c r="H1066" s="188">
        <f>_xlfn.AGGREGATE(2,5,LineærRegression_Valg[[#This Row],[Tabel ID]])</f>
        <v>1</v>
      </c>
    </row>
    <row r="1067" spans="1:8" x14ac:dyDescent="0.2">
      <c r="A1067">
        <f>ROW(LineærRegression_Valg[[#This Row],[Tabel ID]])-ROW(LineærRegression_Valg[[#Headers],[Tabel ID]])</f>
        <v>1057</v>
      </c>
      <c r="B1067" s="188">
        <f>ROUNDDOWN((LineærRegression_Valg[[#This Row],[Tabel ID]]-1)/$B$5,0)+1</f>
        <v>265</v>
      </c>
      <c r="C1067" s="188">
        <f t="shared" si="16"/>
        <v>1</v>
      </c>
      <c r="D1067" s="188" t="b">
        <f>LineærRegression_Valg[[#This Row],[Afhængig variabel ID]]&lt;&gt;LineærRegression_Valg[[#This Row],[Uafhængig variabel ID]]</f>
        <v>1</v>
      </c>
      <c r="E1067" t="b">
        <f>LineærRegression_Valg[[#This Row],[Afhængig variabel ID]]&lt;=$B$5</f>
        <v>0</v>
      </c>
      <c r="F1067" t="str" cm="1">
        <f t="array" ref="F1067">IF(LineærRegression_Valg[[#This Row],[Indenfor range]],INDEX(DataTitel_liste,LineærRegression_Valg[[#This Row],[Afhængig variabel ID]]),INDEX(DataTitel_liste,1))</f>
        <v>Eksempel 1 (interval)</v>
      </c>
      <c r="G1067" s="188" t="str" cm="1">
        <f t="array" ref="G1067">IF(LineærRegression_Valg[[#This Row],[Indenfor range]],IF(LineærRegression_Valg[[#This Row],[Intet overlap]],INDEX(DataTitel_liste,LineærRegression_Valg[[#This Row],[Uafhængig variabel ID]]),INDEX(DataTitel_liste,IF(LineærRegression_Valg[[#This Row],[Afhængig variabel ID]]=1,2,1))),$B$7)</f>
        <v>Eksempel 2 (interval)</v>
      </c>
      <c r="H1067" s="188">
        <f>_xlfn.AGGREGATE(2,5,LineærRegression_Valg[[#This Row],[Tabel ID]])</f>
        <v>1</v>
      </c>
    </row>
    <row r="1068" spans="1:8" x14ac:dyDescent="0.2">
      <c r="A1068">
        <f>ROW(LineærRegression_Valg[[#This Row],[Tabel ID]])-ROW(LineærRegression_Valg[[#Headers],[Tabel ID]])</f>
        <v>1058</v>
      </c>
      <c r="B1068" s="188">
        <f>ROUNDDOWN((LineærRegression_Valg[[#This Row],[Tabel ID]]-1)/$B$5,0)+1</f>
        <v>265</v>
      </c>
      <c r="C1068" s="188">
        <f t="shared" si="16"/>
        <v>2</v>
      </c>
      <c r="D1068" s="188" t="b">
        <f>LineærRegression_Valg[[#This Row],[Afhængig variabel ID]]&lt;&gt;LineærRegression_Valg[[#This Row],[Uafhængig variabel ID]]</f>
        <v>1</v>
      </c>
      <c r="E1068" t="b">
        <f>LineærRegression_Valg[[#This Row],[Afhængig variabel ID]]&lt;=$B$5</f>
        <v>0</v>
      </c>
      <c r="F1068" t="str" cm="1">
        <f t="array" ref="F1068">IF(LineærRegression_Valg[[#This Row],[Indenfor range]],INDEX(DataTitel_liste,LineærRegression_Valg[[#This Row],[Afhængig variabel ID]]),INDEX(DataTitel_liste,1))</f>
        <v>Eksempel 1 (interval)</v>
      </c>
      <c r="G1068" s="188" t="str" cm="1">
        <f t="array" ref="G1068">IF(LineærRegression_Valg[[#This Row],[Indenfor range]],IF(LineærRegression_Valg[[#This Row],[Intet overlap]],INDEX(DataTitel_liste,LineærRegression_Valg[[#This Row],[Uafhængig variabel ID]]),INDEX(DataTitel_liste,IF(LineærRegression_Valg[[#This Row],[Afhængig variabel ID]]=1,2,1))),$B$7)</f>
        <v>Eksempel 2 (interval)</v>
      </c>
      <c r="H1068" s="188">
        <f>_xlfn.AGGREGATE(2,5,LineærRegression_Valg[[#This Row],[Tabel ID]])</f>
        <v>1</v>
      </c>
    </row>
    <row r="1069" spans="1:8" x14ac:dyDescent="0.2">
      <c r="A1069">
        <f>ROW(LineærRegression_Valg[[#This Row],[Tabel ID]])-ROW(LineærRegression_Valg[[#Headers],[Tabel ID]])</f>
        <v>1059</v>
      </c>
      <c r="B1069" s="188">
        <f>ROUNDDOWN((LineærRegression_Valg[[#This Row],[Tabel ID]]-1)/$B$5,0)+1</f>
        <v>265</v>
      </c>
      <c r="C1069" s="188">
        <f t="shared" si="16"/>
        <v>3</v>
      </c>
      <c r="D1069" s="188" t="b">
        <f>LineærRegression_Valg[[#This Row],[Afhængig variabel ID]]&lt;&gt;LineærRegression_Valg[[#This Row],[Uafhængig variabel ID]]</f>
        <v>1</v>
      </c>
      <c r="E1069" t="b">
        <f>LineærRegression_Valg[[#This Row],[Afhængig variabel ID]]&lt;=$B$5</f>
        <v>0</v>
      </c>
      <c r="F1069" t="str" cm="1">
        <f t="array" ref="F1069">IF(LineærRegression_Valg[[#This Row],[Indenfor range]],INDEX(DataTitel_liste,LineærRegression_Valg[[#This Row],[Afhængig variabel ID]]),INDEX(DataTitel_liste,1))</f>
        <v>Eksempel 1 (interval)</v>
      </c>
      <c r="G1069" s="188" t="str" cm="1">
        <f t="array" ref="G1069">IF(LineærRegression_Valg[[#This Row],[Indenfor range]],IF(LineærRegression_Valg[[#This Row],[Intet overlap]],INDEX(DataTitel_liste,LineærRegression_Valg[[#This Row],[Uafhængig variabel ID]]),INDEX(DataTitel_liste,IF(LineærRegression_Valg[[#This Row],[Afhængig variabel ID]]=1,2,1))),$B$7)</f>
        <v>Eksempel 2 (interval)</v>
      </c>
      <c r="H1069" s="188">
        <f>_xlfn.AGGREGATE(2,5,LineærRegression_Valg[[#This Row],[Tabel ID]])</f>
        <v>1</v>
      </c>
    </row>
    <row r="1070" spans="1:8" x14ac:dyDescent="0.2">
      <c r="A1070">
        <f>ROW(LineærRegression_Valg[[#This Row],[Tabel ID]])-ROW(LineærRegression_Valg[[#Headers],[Tabel ID]])</f>
        <v>1060</v>
      </c>
      <c r="B1070" s="188">
        <f>ROUNDDOWN((LineærRegression_Valg[[#This Row],[Tabel ID]]-1)/$B$5,0)+1</f>
        <v>265</v>
      </c>
      <c r="C1070" s="188">
        <f t="shared" si="16"/>
        <v>4</v>
      </c>
      <c r="D1070" s="188" t="b">
        <f>LineærRegression_Valg[[#This Row],[Afhængig variabel ID]]&lt;&gt;LineærRegression_Valg[[#This Row],[Uafhængig variabel ID]]</f>
        <v>1</v>
      </c>
      <c r="E1070" t="b">
        <f>LineærRegression_Valg[[#This Row],[Afhængig variabel ID]]&lt;=$B$5</f>
        <v>0</v>
      </c>
      <c r="F1070" t="str" cm="1">
        <f t="array" ref="F1070">IF(LineærRegression_Valg[[#This Row],[Indenfor range]],INDEX(DataTitel_liste,LineærRegression_Valg[[#This Row],[Afhængig variabel ID]]),INDEX(DataTitel_liste,1))</f>
        <v>Eksempel 1 (interval)</v>
      </c>
      <c r="G1070" s="188" t="str" cm="1">
        <f t="array" ref="G1070">IF(LineærRegression_Valg[[#This Row],[Indenfor range]],IF(LineærRegression_Valg[[#This Row],[Intet overlap]],INDEX(DataTitel_liste,LineærRegression_Valg[[#This Row],[Uafhængig variabel ID]]),INDEX(DataTitel_liste,IF(LineærRegression_Valg[[#This Row],[Afhængig variabel ID]]=1,2,1))),$B$7)</f>
        <v>Eksempel 2 (interval)</v>
      </c>
      <c r="H1070" s="188">
        <f>_xlfn.AGGREGATE(2,5,LineærRegression_Valg[[#This Row],[Tabel ID]])</f>
        <v>1</v>
      </c>
    </row>
    <row r="1071" spans="1:8" x14ac:dyDescent="0.2">
      <c r="A1071">
        <f>ROW(LineærRegression_Valg[[#This Row],[Tabel ID]])-ROW(LineærRegression_Valg[[#Headers],[Tabel ID]])</f>
        <v>1061</v>
      </c>
      <c r="B1071" s="188">
        <f>ROUNDDOWN((LineærRegression_Valg[[#This Row],[Tabel ID]]-1)/$B$5,0)+1</f>
        <v>266</v>
      </c>
      <c r="C1071" s="188">
        <f t="shared" si="16"/>
        <v>1</v>
      </c>
      <c r="D1071" s="188" t="b">
        <f>LineærRegression_Valg[[#This Row],[Afhængig variabel ID]]&lt;&gt;LineærRegression_Valg[[#This Row],[Uafhængig variabel ID]]</f>
        <v>1</v>
      </c>
      <c r="E1071" t="b">
        <f>LineærRegression_Valg[[#This Row],[Afhængig variabel ID]]&lt;=$B$5</f>
        <v>0</v>
      </c>
      <c r="F1071" t="str" cm="1">
        <f t="array" ref="F1071">IF(LineærRegression_Valg[[#This Row],[Indenfor range]],INDEX(DataTitel_liste,LineærRegression_Valg[[#This Row],[Afhængig variabel ID]]),INDEX(DataTitel_liste,1))</f>
        <v>Eksempel 1 (interval)</v>
      </c>
      <c r="G1071" s="188" t="str" cm="1">
        <f t="array" ref="G1071">IF(LineærRegression_Valg[[#This Row],[Indenfor range]],IF(LineærRegression_Valg[[#This Row],[Intet overlap]],INDEX(DataTitel_liste,LineærRegression_Valg[[#This Row],[Uafhængig variabel ID]]),INDEX(DataTitel_liste,IF(LineærRegression_Valg[[#This Row],[Afhængig variabel ID]]=1,2,1))),$B$7)</f>
        <v>Eksempel 2 (interval)</v>
      </c>
      <c r="H1071" s="188">
        <f>_xlfn.AGGREGATE(2,5,LineærRegression_Valg[[#This Row],[Tabel ID]])</f>
        <v>1</v>
      </c>
    </row>
    <row r="1072" spans="1:8" x14ac:dyDescent="0.2">
      <c r="A1072">
        <f>ROW(LineærRegression_Valg[[#This Row],[Tabel ID]])-ROW(LineærRegression_Valg[[#Headers],[Tabel ID]])</f>
        <v>1062</v>
      </c>
      <c r="B1072" s="188">
        <f>ROUNDDOWN((LineærRegression_Valg[[#This Row],[Tabel ID]]-1)/$B$5,0)+1</f>
        <v>266</v>
      </c>
      <c r="C1072" s="188">
        <f t="shared" si="16"/>
        <v>2</v>
      </c>
      <c r="D1072" s="188" t="b">
        <f>LineærRegression_Valg[[#This Row],[Afhængig variabel ID]]&lt;&gt;LineærRegression_Valg[[#This Row],[Uafhængig variabel ID]]</f>
        <v>1</v>
      </c>
      <c r="E1072" t="b">
        <f>LineærRegression_Valg[[#This Row],[Afhængig variabel ID]]&lt;=$B$5</f>
        <v>0</v>
      </c>
      <c r="F1072" t="str" cm="1">
        <f t="array" ref="F1072">IF(LineærRegression_Valg[[#This Row],[Indenfor range]],INDEX(DataTitel_liste,LineærRegression_Valg[[#This Row],[Afhængig variabel ID]]),INDEX(DataTitel_liste,1))</f>
        <v>Eksempel 1 (interval)</v>
      </c>
      <c r="G1072" s="188" t="str" cm="1">
        <f t="array" ref="G1072">IF(LineærRegression_Valg[[#This Row],[Indenfor range]],IF(LineærRegression_Valg[[#This Row],[Intet overlap]],INDEX(DataTitel_liste,LineærRegression_Valg[[#This Row],[Uafhængig variabel ID]]),INDEX(DataTitel_liste,IF(LineærRegression_Valg[[#This Row],[Afhængig variabel ID]]=1,2,1))),$B$7)</f>
        <v>Eksempel 2 (interval)</v>
      </c>
      <c r="H1072" s="188">
        <f>_xlfn.AGGREGATE(2,5,LineærRegression_Valg[[#This Row],[Tabel ID]])</f>
        <v>1</v>
      </c>
    </row>
    <row r="1073" spans="1:8" x14ac:dyDescent="0.2">
      <c r="A1073">
        <f>ROW(LineærRegression_Valg[[#This Row],[Tabel ID]])-ROW(LineærRegression_Valg[[#Headers],[Tabel ID]])</f>
        <v>1063</v>
      </c>
      <c r="B1073" s="188">
        <f>ROUNDDOWN((LineærRegression_Valg[[#This Row],[Tabel ID]]-1)/$B$5,0)+1</f>
        <v>266</v>
      </c>
      <c r="C1073" s="188">
        <f t="shared" si="16"/>
        <v>3</v>
      </c>
      <c r="D1073" s="188" t="b">
        <f>LineærRegression_Valg[[#This Row],[Afhængig variabel ID]]&lt;&gt;LineærRegression_Valg[[#This Row],[Uafhængig variabel ID]]</f>
        <v>1</v>
      </c>
      <c r="E1073" t="b">
        <f>LineærRegression_Valg[[#This Row],[Afhængig variabel ID]]&lt;=$B$5</f>
        <v>0</v>
      </c>
      <c r="F1073" t="str" cm="1">
        <f t="array" ref="F1073">IF(LineærRegression_Valg[[#This Row],[Indenfor range]],INDEX(DataTitel_liste,LineærRegression_Valg[[#This Row],[Afhængig variabel ID]]),INDEX(DataTitel_liste,1))</f>
        <v>Eksempel 1 (interval)</v>
      </c>
      <c r="G1073" s="188" t="str" cm="1">
        <f t="array" ref="G1073">IF(LineærRegression_Valg[[#This Row],[Indenfor range]],IF(LineærRegression_Valg[[#This Row],[Intet overlap]],INDEX(DataTitel_liste,LineærRegression_Valg[[#This Row],[Uafhængig variabel ID]]),INDEX(DataTitel_liste,IF(LineærRegression_Valg[[#This Row],[Afhængig variabel ID]]=1,2,1))),$B$7)</f>
        <v>Eksempel 2 (interval)</v>
      </c>
      <c r="H1073" s="188">
        <f>_xlfn.AGGREGATE(2,5,LineærRegression_Valg[[#This Row],[Tabel ID]])</f>
        <v>1</v>
      </c>
    </row>
    <row r="1074" spans="1:8" x14ac:dyDescent="0.2">
      <c r="A1074">
        <f>ROW(LineærRegression_Valg[[#This Row],[Tabel ID]])-ROW(LineærRegression_Valg[[#Headers],[Tabel ID]])</f>
        <v>1064</v>
      </c>
      <c r="B1074" s="188">
        <f>ROUNDDOWN((LineærRegression_Valg[[#This Row],[Tabel ID]]-1)/$B$5,0)+1</f>
        <v>266</v>
      </c>
      <c r="C1074" s="188">
        <f t="shared" si="16"/>
        <v>4</v>
      </c>
      <c r="D1074" s="188" t="b">
        <f>LineærRegression_Valg[[#This Row],[Afhængig variabel ID]]&lt;&gt;LineærRegression_Valg[[#This Row],[Uafhængig variabel ID]]</f>
        <v>1</v>
      </c>
      <c r="E1074" t="b">
        <f>LineærRegression_Valg[[#This Row],[Afhængig variabel ID]]&lt;=$B$5</f>
        <v>0</v>
      </c>
      <c r="F1074" t="str" cm="1">
        <f t="array" ref="F1074">IF(LineærRegression_Valg[[#This Row],[Indenfor range]],INDEX(DataTitel_liste,LineærRegression_Valg[[#This Row],[Afhængig variabel ID]]),INDEX(DataTitel_liste,1))</f>
        <v>Eksempel 1 (interval)</v>
      </c>
      <c r="G1074" s="188" t="str" cm="1">
        <f t="array" ref="G1074">IF(LineærRegression_Valg[[#This Row],[Indenfor range]],IF(LineærRegression_Valg[[#This Row],[Intet overlap]],INDEX(DataTitel_liste,LineærRegression_Valg[[#This Row],[Uafhængig variabel ID]]),INDEX(DataTitel_liste,IF(LineærRegression_Valg[[#This Row],[Afhængig variabel ID]]=1,2,1))),$B$7)</f>
        <v>Eksempel 2 (interval)</v>
      </c>
      <c r="H1074" s="188">
        <f>_xlfn.AGGREGATE(2,5,LineærRegression_Valg[[#This Row],[Tabel ID]])</f>
        <v>1</v>
      </c>
    </row>
    <row r="1075" spans="1:8" x14ac:dyDescent="0.2">
      <c r="A1075">
        <f>ROW(LineærRegression_Valg[[#This Row],[Tabel ID]])-ROW(LineærRegression_Valg[[#Headers],[Tabel ID]])</f>
        <v>1065</v>
      </c>
      <c r="B1075" s="188">
        <f>ROUNDDOWN((LineærRegression_Valg[[#This Row],[Tabel ID]]-1)/$B$5,0)+1</f>
        <v>267</v>
      </c>
      <c r="C1075" s="188">
        <f t="shared" si="16"/>
        <v>1</v>
      </c>
      <c r="D1075" s="188" t="b">
        <f>LineærRegression_Valg[[#This Row],[Afhængig variabel ID]]&lt;&gt;LineærRegression_Valg[[#This Row],[Uafhængig variabel ID]]</f>
        <v>1</v>
      </c>
      <c r="E1075" t="b">
        <f>LineærRegression_Valg[[#This Row],[Afhængig variabel ID]]&lt;=$B$5</f>
        <v>0</v>
      </c>
      <c r="F1075" t="str" cm="1">
        <f t="array" ref="F1075">IF(LineærRegression_Valg[[#This Row],[Indenfor range]],INDEX(DataTitel_liste,LineærRegression_Valg[[#This Row],[Afhængig variabel ID]]),INDEX(DataTitel_liste,1))</f>
        <v>Eksempel 1 (interval)</v>
      </c>
      <c r="G1075" s="188" t="str" cm="1">
        <f t="array" ref="G1075">IF(LineærRegression_Valg[[#This Row],[Indenfor range]],IF(LineærRegression_Valg[[#This Row],[Intet overlap]],INDEX(DataTitel_liste,LineærRegression_Valg[[#This Row],[Uafhængig variabel ID]]),INDEX(DataTitel_liste,IF(LineærRegression_Valg[[#This Row],[Afhængig variabel ID]]=1,2,1))),$B$7)</f>
        <v>Eksempel 2 (interval)</v>
      </c>
      <c r="H1075" s="188">
        <f>_xlfn.AGGREGATE(2,5,LineærRegression_Valg[[#This Row],[Tabel ID]])</f>
        <v>1</v>
      </c>
    </row>
    <row r="1076" spans="1:8" x14ac:dyDescent="0.2">
      <c r="A1076">
        <f>ROW(LineærRegression_Valg[[#This Row],[Tabel ID]])-ROW(LineærRegression_Valg[[#Headers],[Tabel ID]])</f>
        <v>1066</v>
      </c>
      <c r="B1076" s="188">
        <f>ROUNDDOWN((LineærRegression_Valg[[#This Row],[Tabel ID]]-1)/$B$5,0)+1</f>
        <v>267</v>
      </c>
      <c r="C1076" s="188">
        <f t="shared" si="16"/>
        <v>2</v>
      </c>
      <c r="D1076" s="188" t="b">
        <f>LineærRegression_Valg[[#This Row],[Afhængig variabel ID]]&lt;&gt;LineærRegression_Valg[[#This Row],[Uafhængig variabel ID]]</f>
        <v>1</v>
      </c>
      <c r="E1076" t="b">
        <f>LineærRegression_Valg[[#This Row],[Afhængig variabel ID]]&lt;=$B$5</f>
        <v>0</v>
      </c>
      <c r="F1076" t="str" cm="1">
        <f t="array" ref="F1076">IF(LineærRegression_Valg[[#This Row],[Indenfor range]],INDEX(DataTitel_liste,LineærRegression_Valg[[#This Row],[Afhængig variabel ID]]),INDEX(DataTitel_liste,1))</f>
        <v>Eksempel 1 (interval)</v>
      </c>
      <c r="G1076" s="188" t="str" cm="1">
        <f t="array" ref="G1076">IF(LineærRegression_Valg[[#This Row],[Indenfor range]],IF(LineærRegression_Valg[[#This Row],[Intet overlap]],INDEX(DataTitel_liste,LineærRegression_Valg[[#This Row],[Uafhængig variabel ID]]),INDEX(DataTitel_liste,IF(LineærRegression_Valg[[#This Row],[Afhængig variabel ID]]=1,2,1))),$B$7)</f>
        <v>Eksempel 2 (interval)</v>
      </c>
      <c r="H1076" s="188">
        <f>_xlfn.AGGREGATE(2,5,LineærRegression_Valg[[#This Row],[Tabel ID]])</f>
        <v>1</v>
      </c>
    </row>
    <row r="1077" spans="1:8" x14ac:dyDescent="0.2">
      <c r="A1077">
        <f>ROW(LineærRegression_Valg[[#This Row],[Tabel ID]])-ROW(LineærRegression_Valg[[#Headers],[Tabel ID]])</f>
        <v>1067</v>
      </c>
      <c r="B1077" s="188">
        <f>ROUNDDOWN((LineærRegression_Valg[[#This Row],[Tabel ID]]-1)/$B$5,0)+1</f>
        <v>267</v>
      </c>
      <c r="C1077" s="188">
        <f t="shared" si="16"/>
        <v>3</v>
      </c>
      <c r="D1077" s="188" t="b">
        <f>LineærRegression_Valg[[#This Row],[Afhængig variabel ID]]&lt;&gt;LineærRegression_Valg[[#This Row],[Uafhængig variabel ID]]</f>
        <v>1</v>
      </c>
      <c r="E1077" t="b">
        <f>LineærRegression_Valg[[#This Row],[Afhængig variabel ID]]&lt;=$B$5</f>
        <v>0</v>
      </c>
      <c r="F1077" t="str" cm="1">
        <f t="array" ref="F1077">IF(LineærRegression_Valg[[#This Row],[Indenfor range]],INDEX(DataTitel_liste,LineærRegression_Valg[[#This Row],[Afhængig variabel ID]]),INDEX(DataTitel_liste,1))</f>
        <v>Eksempel 1 (interval)</v>
      </c>
      <c r="G1077" s="188" t="str" cm="1">
        <f t="array" ref="G1077">IF(LineærRegression_Valg[[#This Row],[Indenfor range]],IF(LineærRegression_Valg[[#This Row],[Intet overlap]],INDEX(DataTitel_liste,LineærRegression_Valg[[#This Row],[Uafhængig variabel ID]]),INDEX(DataTitel_liste,IF(LineærRegression_Valg[[#This Row],[Afhængig variabel ID]]=1,2,1))),$B$7)</f>
        <v>Eksempel 2 (interval)</v>
      </c>
      <c r="H1077" s="188">
        <f>_xlfn.AGGREGATE(2,5,LineærRegression_Valg[[#This Row],[Tabel ID]])</f>
        <v>1</v>
      </c>
    </row>
    <row r="1078" spans="1:8" x14ac:dyDescent="0.2">
      <c r="A1078">
        <f>ROW(LineærRegression_Valg[[#This Row],[Tabel ID]])-ROW(LineærRegression_Valg[[#Headers],[Tabel ID]])</f>
        <v>1068</v>
      </c>
      <c r="B1078" s="188">
        <f>ROUNDDOWN((LineærRegression_Valg[[#This Row],[Tabel ID]]-1)/$B$5,0)+1</f>
        <v>267</v>
      </c>
      <c r="C1078" s="188">
        <f t="shared" si="16"/>
        <v>4</v>
      </c>
      <c r="D1078" s="188" t="b">
        <f>LineærRegression_Valg[[#This Row],[Afhængig variabel ID]]&lt;&gt;LineærRegression_Valg[[#This Row],[Uafhængig variabel ID]]</f>
        <v>1</v>
      </c>
      <c r="E1078" t="b">
        <f>LineærRegression_Valg[[#This Row],[Afhængig variabel ID]]&lt;=$B$5</f>
        <v>0</v>
      </c>
      <c r="F1078" t="str" cm="1">
        <f t="array" ref="F1078">IF(LineærRegression_Valg[[#This Row],[Indenfor range]],INDEX(DataTitel_liste,LineærRegression_Valg[[#This Row],[Afhængig variabel ID]]),INDEX(DataTitel_liste,1))</f>
        <v>Eksempel 1 (interval)</v>
      </c>
      <c r="G1078" s="188" t="str" cm="1">
        <f t="array" ref="G1078">IF(LineærRegression_Valg[[#This Row],[Indenfor range]],IF(LineærRegression_Valg[[#This Row],[Intet overlap]],INDEX(DataTitel_liste,LineærRegression_Valg[[#This Row],[Uafhængig variabel ID]]),INDEX(DataTitel_liste,IF(LineærRegression_Valg[[#This Row],[Afhængig variabel ID]]=1,2,1))),$B$7)</f>
        <v>Eksempel 2 (interval)</v>
      </c>
      <c r="H1078" s="188">
        <f>_xlfn.AGGREGATE(2,5,LineærRegression_Valg[[#This Row],[Tabel ID]])</f>
        <v>1</v>
      </c>
    </row>
    <row r="1079" spans="1:8" x14ac:dyDescent="0.2">
      <c r="A1079">
        <f>ROW(LineærRegression_Valg[[#This Row],[Tabel ID]])-ROW(LineærRegression_Valg[[#Headers],[Tabel ID]])</f>
        <v>1069</v>
      </c>
      <c r="B1079" s="188">
        <f>ROUNDDOWN((LineærRegression_Valg[[#This Row],[Tabel ID]]-1)/$B$5,0)+1</f>
        <v>268</v>
      </c>
      <c r="C1079" s="188">
        <f t="shared" si="16"/>
        <v>1</v>
      </c>
      <c r="D1079" s="188" t="b">
        <f>LineærRegression_Valg[[#This Row],[Afhængig variabel ID]]&lt;&gt;LineærRegression_Valg[[#This Row],[Uafhængig variabel ID]]</f>
        <v>1</v>
      </c>
      <c r="E1079" t="b">
        <f>LineærRegression_Valg[[#This Row],[Afhængig variabel ID]]&lt;=$B$5</f>
        <v>0</v>
      </c>
      <c r="F1079" t="str" cm="1">
        <f t="array" ref="F1079">IF(LineærRegression_Valg[[#This Row],[Indenfor range]],INDEX(DataTitel_liste,LineærRegression_Valg[[#This Row],[Afhængig variabel ID]]),INDEX(DataTitel_liste,1))</f>
        <v>Eksempel 1 (interval)</v>
      </c>
      <c r="G1079" s="188" t="str" cm="1">
        <f t="array" ref="G1079">IF(LineærRegression_Valg[[#This Row],[Indenfor range]],IF(LineærRegression_Valg[[#This Row],[Intet overlap]],INDEX(DataTitel_liste,LineærRegression_Valg[[#This Row],[Uafhængig variabel ID]]),INDEX(DataTitel_liste,IF(LineærRegression_Valg[[#This Row],[Afhængig variabel ID]]=1,2,1))),$B$7)</f>
        <v>Eksempel 2 (interval)</v>
      </c>
      <c r="H1079" s="188">
        <f>_xlfn.AGGREGATE(2,5,LineærRegression_Valg[[#This Row],[Tabel ID]])</f>
        <v>1</v>
      </c>
    </row>
    <row r="1080" spans="1:8" x14ac:dyDescent="0.2">
      <c r="A1080">
        <f>ROW(LineærRegression_Valg[[#This Row],[Tabel ID]])-ROW(LineærRegression_Valg[[#Headers],[Tabel ID]])</f>
        <v>1070</v>
      </c>
      <c r="B1080" s="188">
        <f>ROUNDDOWN((LineærRegression_Valg[[#This Row],[Tabel ID]]-1)/$B$5,0)+1</f>
        <v>268</v>
      </c>
      <c r="C1080" s="188">
        <f t="shared" si="16"/>
        <v>2</v>
      </c>
      <c r="D1080" s="188" t="b">
        <f>LineærRegression_Valg[[#This Row],[Afhængig variabel ID]]&lt;&gt;LineærRegression_Valg[[#This Row],[Uafhængig variabel ID]]</f>
        <v>1</v>
      </c>
      <c r="E1080" t="b">
        <f>LineærRegression_Valg[[#This Row],[Afhængig variabel ID]]&lt;=$B$5</f>
        <v>0</v>
      </c>
      <c r="F1080" t="str" cm="1">
        <f t="array" ref="F1080">IF(LineærRegression_Valg[[#This Row],[Indenfor range]],INDEX(DataTitel_liste,LineærRegression_Valg[[#This Row],[Afhængig variabel ID]]),INDEX(DataTitel_liste,1))</f>
        <v>Eksempel 1 (interval)</v>
      </c>
      <c r="G1080" s="188" t="str" cm="1">
        <f t="array" ref="G1080">IF(LineærRegression_Valg[[#This Row],[Indenfor range]],IF(LineærRegression_Valg[[#This Row],[Intet overlap]],INDEX(DataTitel_liste,LineærRegression_Valg[[#This Row],[Uafhængig variabel ID]]),INDEX(DataTitel_liste,IF(LineærRegression_Valg[[#This Row],[Afhængig variabel ID]]=1,2,1))),$B$7)</f>
        <v>Eksempel 2 (interval)</v>
      </c>
      <c r="H1080" s="188">
        <f>_xlfn.AGGREGATE(2,5,LineærRegression_Valg[[#This Row],[Tabel ID]])</f>
        <v>1</v>
      </c>
    </row>
    <row r="1081" spans="1:8" x14ac:dyDescent="0.2">
      <c r="A1081">
        <f>ROW(LineærRegression_Valg[[#This Row],[Tabel ID]])-ROW(LineærRegression_Valg[[#Headers],[Tabel ID]])</f>
        <v>1071</v>
      </c>
      <c r="B1081" s="188">
        <f>ROUNDDOWN((LineærRegression_Valg[[#This Row],[Tabel ID]]-1)/$B$5,0)+1</f>
        <v>268</v>
      </c>
      <c r="C1081" s="188">
        <f t="shared" si="16"/>
        <v>3</v>
      </c>
      <c r="D1081" s="188" t="b">
        <f>LineærRegression_Valg[[#This Row],[Afhængig variabel ID]]&lt;&gt;LineærRegression_Valg[[#This Row],[Uafhængig variabel ID]]</f>
        <v>1</v>
      </c>
      <c r="E1081" t="b">
        <f>LineærRegression_Valg[[#This Row],[Afhængig variabel ID]]&lt;=$B$5</f>
        <v>0</v>
      </c>
      <c r="F1081" t="str" cm="1">
        <f t="array" ref="F1081">IF(LineærRegression_Valg[[#This Row],[Indenfor range]],INDEX(DataTitel_liste,LineærRegression_Valg[[#This Row],[Afhængig variabel ID]]),INDEX(DataTitel_liste,1))</f>
        <v>Eksempel 1 (interval)</v>
      </c>
      <c r="G1081" s="188" t="str" cm="1">
        <f t="array" ref="G1081">IF(LineærRegression_Valg[[#This Row],[Indenfor range]],IF(LineærRegression_Valg[[#This Row],[Intet overlap]],INDEX(DataTitel_liste,LineærRegression_Valg[[#This Row],[Uafhængig variabel ID]]),INDEX(DataTitel_liste,IF(LineærRegression_Valg[[#This Row],[Afhængig variabel ID]]=1,2,1))),$B$7)</f>
        <v>Eksempel 2 (interval)</v>
      </c>
      <c r="H1081" s="188">
        <f>_xlfn.AGGREGATE(2,5,LineærRegression_Valg[[#This Row],[Tabel ID]])</f>
        <v>1</v>
      </c>
    </row>
    <row r="1082" spans="1:8" x14ac:dyDescent="0.2">
      <c r="A1082">
        <f>ROW(LineærRegression_Valg[[#This Row],[Tabel ID]])-ROW(LineærRegression_Valg[[#Headers],[Tabel ID]])</f>
        <v>1072</v>
      </c>
      <c r="B1082" s="188">
        <f>ROUNDDOWN((LineærRegression_Valg[[#This Row],[Tabel ID]]-1)/$B$5,0)+1</f>
        <v>268</v>
      </c>
      <c r="C1082" s="188">
        <f t="shared" si="16"/>
        <v>4</v>
      </c>
      <c r="D1082" s="188" t="b">
        <f>LineærRegression_Valg[[#This Row],[Afhængig variabel ID]]&lt;&gt;LineærRegression_Valg[[#This Row],[Uafhængig variabel ID]]</f>
        <v>1</v>
      </c>
      <c r="E1082" t="b">
        <f>LineærRegression_Valg[[#This Row],[Afhængig variabel ID]]&lt;=$B$5</f>
        <v>0</v>
      </c>
      <c r="F1082" t="str" cm="1">
        <f t="array" ref="F1082">IF(LineærRegression_Valg[[#This Row],[Indenfor range]],INDEX(DataTitel_liste,LineærRegression_Valg[[#This Row],[Afhængig variabel ID]]),INDEX(DataTitel_liste,1))</f>
        <v>Eksempel 1 (interval)</v>
      </c>
      <c r="G1082" s="188" t="str" cm="1">
        <f t="array" ref="G1082">IF(LineærRegression_Valg[[#This Row],[Indenfor range]],IF(LineærRegression_Valg[[#This Row],[Intet overlap]],INDEX(DataTitel_liste,LineærRegression_Valg[[#This Row],[Uafhængig variabel ID]]),INDEX(DataTitel_liste,IF(LineærRegression_Valg[[#This Row],[Afhængig variabel ID]]=1,2,1))),$B$7)</f>
        <v>Eksempel 2 (interval)</v>
      </c>
      <c r="H1082" s="188">
        <f>_xlfn.AGGREGATE(2,5,LineærRegression_Valg[[#This Row],[Tabel ID]])</f>
        <v>1</v>
      </c>
    </row>
    <row r="1083" spans="1:8" x14ac:dyDescent="0.2">
      <c r="A1083">
        <f>ROW(LineærRegression_Valg[[#This Row],[Tabel ID]])-ROW(LineærRegression_Valg[[#Headers],[Tabel ID]])</f>
        <v>1073</v>
      </c>
      <c r="B1083" s="188">
        <f>ROUNDDOWN((LineærRegression_Valg[[#This Row],[Tabel ID]]-1)/$B$5,0)+1</f>
        <v>269</v>
      </c>
      <c r="C1083" s="188">
        <f t="shared" si="16"/>
        <v>1</v>
      </c>
      <c r="D1083" s="188" t="b">
        <f>LineærRegression_Valg[[#This Row],[Afhængig variabel ID]]&lt;&gt;LineærRegression_Valg[[#This Row],[Uafhængig variabel ID]]</f>
        <v>1</v>
      </c>
      <c r="E1083" t="b">
        <f>LineærRegression_Valg[[#This Row],[Afhængig variabel ID]]&lt;=$B$5</f>
        <v>0</v>
      </c>
      <c r="F1083" t="str" cm="1">
        <f t="array" ref="F1083">IF(LineærRegression_Valg[[#This Row],[Indenfor range]],INDEX(DataTitel_liste,LineærRegression_Valg[[#This Row],[Afhængig variabel ID]]),INDEX(DataTitel_liste,1))</f>
        <v>Eksempel 1 (interval)</v>
      </c>
      <c r="G1083" s="188" t="str" cm="1">
        <f t="array" ref="G1083">IF(LineærRegression_Valg[[#This Row],[Indenfor range]],IF(LineærRegression_Valg[[#This Row],[Intet overlap]],INDEX(DataTitel_liste,LineærRegression_Valg[[#This Row],[Uafhængig variabel ID]]),INDEX(DataTitel_liste,IF(LineærRegression_Valg[[#This Row],[Afhængig variabel ID]]=1,2,1))),$B$7)</f>
        <v>Eksempel 2 (interval)</v>
      </c>
      <c r="H1083" s="188">
        <f>_xlfn.AGGREGATE(2,5,LineærRegression_Valg[[#This Row],[Tabel ID]])</f>
        <v>1</v>
      </c>
    </row>
    <row r="1084" spans="1:8" x14ac:dyDescent="0.2">
      <c r="A1084">
        <f>ROW(LineærRegression_Valg[[#This Row],[Tabel ID]])-ROW(LineærRegression_Valg[[#Headers],[Tabel ID]])</f>
        <v>1074</v>
      </c>
      <c r="B1084" s="188">
        <f>ROUNDDOWN((LineærRegression_Valg[[#This Row],[Tabel ID]]-1)/$B$5,0)+1</f>
        <v>269</v>
      </c>
      <c r="C1084" s="188">
        <f t="shared" si="16"/>
        <v>2</v>
      </c>
      <c r="D1084" s="188" t="b">
        <f>LineærRegression_Valg[[#This Row],[Afhængig variabel ID]]&lt;&gt;LineærRegression_Valg[[#This Row],[Uafhængig variabel ID]]</f>
        <v>1</v>
      </c>
      <c r="E1084" t="b">
        <f>LineærRegression_Valg[[#This Row],[Afhængig variabel ID]]&lt;=$B$5</f>
        <v>0</v>
      </c>
      <c r="F1084" t="str" cm="1">
        <f t="array" ref="F1084">IF(LineærRegression_Valg[[#This Row],[Indenfor range]],INDEX(DataTitel_liste,LineærRegression_Valg[[#This Row],[Afhængig variabel ID]]),INDEX(DataTitel_liste,1))</f>
        <v>Eksempel 1 (interval)</v>
      </c>
      <c r="G1084" s="188" t="str" cm="1">
        <f t="array" ref="G1084">IF(LineærRegression_Valg[[#This Row],[Indenfor range]],IF(LineærRegression_Valg[[#This Row],[Intet overlap]],INDEX(DataTitel_liste,LineærRegression_Valg[[#This Row],[Uafhængig variabel ID]]),INDEX(DataTitel_liste,IF(LineærRegression_Valg[[#This Row],[Afhængig variabel ID]]=1,2,1))),$B$7)</f>
        <v>Eksempel 2 (interval)</v>
      </c>
      <c r="H1084" s="188">
        <f>_xlfn.AGGREGATE(2,5,LineærRegression_Valg[[#This Row],[Tabel ID]])</f>
        <v>1</v>
      </c>
    </row>
    <row r="1085" spans="1:8" x14ac:dyDescent="0.2">
      <c r="A1085">
        <f>ROW(LineærRegression_Valg[[#This Row],[Tabel ID]])-ROW(LineærRegression_Valg[[#Headers],[Tabel ID]])</f>
        <v>1075</v>
      </c>
      <c r="B1085" s="188">
        <f>ROUNDDOWN((LineærRegression_Valg[[#This Row],[Tabel ID]]-1)/$B$5,0)+1</f>
        <v>269</v>
      </c>
      <c r="C1085" s="188">
        <f t="shared" si="16"/>
        <v>3</v>
      </c>
      <c r="D1085" s="188" t="b">
        <f>LineærRegression_Valg[[#This Row],[Afhængig variabel ID]]&lt;&gt;LineærRegression_Valg[[#This Row],[Uafhængig variabel ID]]</f>
        <v>1</v>
      </c>
      <c r="E1085" t="b">
        <f>LineærRegression_Valg[[#This Row],[Afhængig variabel ID]]&lt;=$B$5</f>
        <v>0</v>
      </c>
      <c r="F1085" t="str" cm="1">
        <f t="array" ref="F1085">IF(LineærRegression_Valg[[#This Row],[Indenfor range]],INDEX(DataTitel_liste,LineærRegression_Valg[[#This Row],[Afhængig variabel ID]]),INDEX(DataTitel_liste,1))</f>
        <v>Eksempel 1 (interval)</v>
      </c>
      <c r="G1085" s="188" t="str" cm="1">
        <f t="array" ref="G1085">IF(LineærRegression_Valg[[#This Row],[Indenfor range]],IF(LineærRegression_Valg[[#This Row],[Intet overlap]],INDEX(DataTitel_liste,LineærRegression_Valg[[#This Row],[Uafhængig variabel ID]]),INDEX(DataTitel_liste,IF(LineærRegression_Valg[[#This Row],[Afhængig variabel ID]]=1,2,1))),$B$7)</f>
        <v>Eksempel 2 (interval)</v>
      </c>
      <c r="H1085" s="188">
        <f>_xlfn.AGGREGATE(2,5,LineærRegression_Valg[[#This Row],[Tabel ID]])</f>
        <v>1</v>
      </c>
    </row>
    <row r="1086" spans="1:8" x14ac:dyDescent="0.2">
      <c r="A1086">
        <f>ROW(LineærRegression_Valg[[#This Row],[Tabel ID]])-ROW(LineærRegression_Valg[[#Headers],[Tabel ID]])</f>
        <v>1076</v>
      </c>
      <c r="B1086" s="188">
        <f>ROUNDDOWN((LineærRegression_Valg[[#This Row],[Tabel ID]]-1)/$B$5,0)+1</f>
        <v>269</v>
      </c>
      <c r="C1086" s="188">
        <f t="shared" si="16"/>
        <v>4</v>
      </c>
      <c r="D1086" s="188" t="b">
        <f>LineærRegression_Valg[[#This Row],[Afhængig variabel ID]]&lt;&gt;LineærRegression_Valg[[#This Row],[Uafhængig variabel ID]]</f>
        <v>1</v>
      </c>
      <c r="E1086" t="b">
        <f>LineærRegression_Valg[[#This Row],[Afhængig variabel ID]]&lt;=$B$5</f>
        <v>0</v>
      </c>
      <c r="F1086" t="str" cm="1">
        <f t="array" ref="F1086">IF(LineærRegression_Valg[[#This Row],[Indenfor range]],INDEX(DataTitel_liste,LineærRegression_Valg[[#This Row],[Afhængig variabel ID]]),INDEX(DataTitel_liste,1))</f>
        <v>Eksempel 1 (interval)</v>
      </c>
      <c r="G1086" s="188" t="str" cm="1">
        <f t="array" ref="G1086">IF(LineærRegression_Valg[[#This Row],[Indenfor range]],IF(LineærRegression_Valg[[#This Row],[Intet overlap]],INDEX(DataTitel_liste,LineærRegression_Valg[[#This Row],[Uafhængig variabel ID]]),INDEX(DataTitel_liste,IF(LineærRegression_Valg[[#This Row],[Afhængig variabel ID]]=1,2,1))),$B$7)</f>
        <v>Eksempel 2 (interval)</v>
      </c>
      <c r="H1086" s="188">
        <f>_xlfn.AGGREGATE(2,5,LineærRegression_Valg[[#This Row],[Tabel ID]])</f>
        <v>1</v>
      </c>
    </row>
    <row r="1087" spans="1:8" x14ac:dyDescent="0.2">
      <c r="A1087">
        <f>ROW(LineærRegression_Valg[[#This Row],[Tabel ID]])-ROW(LineærRegression_Valg[[#Headers],[Tabel ID]])</f>
        <v>1077</v>
      </c>
      <c r="B1087" s="188">
        <f>ROUNDDOWN((LineærRegression_Valg[[#This Row],[Tabel ID]]-1)/$B$5,0)+1</f>
        <v>270</v>
      </c>
      <c r="C1087" s="188">
        <f t="shared" si="16"/>
        <v>1</v>
      </c>
      <c r="D1087" s="188" t="b">
        <f>LineærRegression_Valg[[#This Row],[Afhængig variabel ID]]&lt;&gt;LineærRegression_Valg[[#This Row],[Uafhængig variabel ID]]</f>
        <v>1</v>
      </c>
      <c r="E1087" t="b">
        <f>LineærRegression_Valg[[#This Row],[Afhængig variabel ID]]&lt;=$B$5</f>
        <v>0</v>
      </c>
      <c r="F1087" t="str" cm="1">
        <f t="array" ref="F1087">IF(LineærRegression_Valg[[#This Row],[Indenfor range]],INDEX(DataTitel_liste,LineærRegression_Valg[[#This Row],[Afhængig variabel ID]]),INDEX(DataTitel_liste,1))</f>
        <v>Eksempel 1 (interval)</v>
      </c>
      <c r="G1087" s="188" t="str" cm="1">
        <f t="array" ref="G1087">IF(LineærRegression_Valg[[#This Row],[Indenfor range]],IF(LineærRegression_Valg[[#This Row],[Intet overlap]],INDEX(DataTitel_liste,LineærRegression_Valg[[#This Row],[Uafhængig variabel ID]]),INDEX(DataTitel_liste,IF(LineærRegression_Valg[[#This Row],[Afhængig variabel ID]]=1,2,1))),$B$7)</f>
        <v>Eksempel 2 (interval)</v>
      </c>
      <c r="H1087" s="188">
        <f>_xlfn.AGGREGATE(2,5,LineærRegression_Valg[[#This Row],[Tabel ID]])</f>
        <v>1</v>
      </c>
    </row>
    <row r="1088" spans="1:8" x14ac:dyDescent="0.2">
      <c r="A1088">
        <f>ROW(LineærRegression_Valg[[#This Row],[Tabel ID]])-ROW(LineærRegression_Valg[[#Headers],[Tabel ID]])</f>
        <v>1078</v>
      </c>
      <c r="B1088" s="188">
        <f>ROUNDDOWN((LineærRegression_Valg[[#This Row],[Tabel ID]]-1)/$B$5,0)+1</f>
        <v>270</v>
      </c>
      <c r="C1088" s="188">
        <f t="shared" si="16"/>
        <v>2</v>
      </c>
      <c r="D1088" s="188" t="b">
        <f>LineærRegression_Valg[[#This Row],[Afhængig variabel ID]]&lt;&gt;LineærRegression_Valg[[#This Row],[Uafhængig variabel ID]]</f>
        <v>1</v>
      </c>
      <c r="E1088" t="b">
        <f>LineærRegression_Valg[[#This Row],[Afhængig variabel ID]]&lt;=$B$5</f>
        <v>0</v>
      </c>
      <c r="F1088" t="str" cm="1">
        <f t="array" ref="F1088">IF(LineærRegression_Valg[[#This Row],[Indenfor range]],INDEX(DataTitel_liste,LineærRegression_Valg[[#This Row],[Afhængig variabel ID]]),INDEX(DataTitel_liste,1))</f>
        <v>Eksempel 1 (interval)</v>
      </c>
      <c r="G1088" s="188" t="str" cm="1">
        <f t="array" ref="G1088">IF(LineærRegression_Valg[[#This Row],[Indenfor range]],IF(LineærRegression_Valg[[#This Row],[Intet overlap]],INDEX(DataTitel_liste,LineærRegression_Valg[[#This Row],[Uafhængig variabel ID]]),INDEX(DataTitel_liste,IF(LineærRegression_Valg[[#This Row],[Afhængig variabel ID]]=1,2,1))),$B$7)</f>
        <v>Eksempel 2 (interval)</v>
      </c>
      <c r="H1088" s="188">
        <f>_xlfn.AGGREGATE(2,5,LineærRegression_Valg[[#This Row],[Tabel ID]])</f>
        <v>1</v>
      </c>
    </row>
    <row r="1089" spans="1:8" x14ac:dyDescent="0.2">
      <c r="A1089">
        <f>ROW(LineærRegression_Valg[[#This Row],[Tabel ID]])-ROW(LineærRegression_Valg[[#Headers],[Tabel ID]])</f>
        <v>1079</v>
      </c>
      <c r="B1089" s="188">
        <f>ROUNDDOWN((LineærRegression_Valg[[#This Row],[Tabel ID]]-1)/$B$5,0)+1</f>
        <v>270</v>
      </c>
      <c r="C1089" s="188">
        <f t="shared" si="16"/>
        <v>3</v>
      </c>
      <c r="D1089" s="188" t="b">
        <f>LineærRegression_Valg[[#This Row],[Afhængig variabel ID]]&lt;&gt;LineærRegression_Valg[[#This Row],[Uafhængig variabel ID]]</f>
        <v>1</v>
      </c>
      <c r="E1089" t="b">
        <f>LineærRegression_Valg[[#This Row],[Afhængig variabel ID]]&lt;=$B$5</f>
        <v>0</v>
      </c>
      <c r="F1089" t="str" cm="1">
        <f t="array" ref="F1089">IF(LineærRegression_Valg[[#This Row],[Indenfor range]],INDEX(DataTitel_liste,LineærRegression_Valg[[#This Row],[Afhængig variabel ID]]),INDEX(DataTitel_liste,1))</f>
        <v>Eksempel 1 (interval)</v>
      </c>
      <c r="G1089" s="188" t="str" cm="1">
        <f t="array" ref="G1089">IF(LineærRegression_Valg[[#This Row],[Indenfor range]],IF(LineærRegression_Valg[[#This Row],[Intet overlap]],INDEX(DataTitel_liste,LineærRegression_Valg[[#This Row],[Uafhængig variabel ID]]),INDEX(DataTitel_liste,IF(LineærRegression_Valg[[#This Row],[Afhængig variabel ID]]=1,2,1))),$B$7)</f>
        <v>Eksempel 2 (interval)</v>
      </c>
      <c r="H1089" s="188">
        <f>_xlfn.AGGREGATE(2,5,LineærRegression_Valg[[#This Row],[Tabel ID]])</f>
        <v>1</v>
      </c>
    </row>
    <row r="1090" spans="1:8" x14ac:dyDescent="0.2">
      <c r="A1090">
        <f>ROW(LineærRegression_Valg[[#This Row],[Tabel ID]])-ROW(LineærRegression_Valg[[#Headers],[Tabel ID]])</f>
        <v>1080</v>
      </c>
      <c r="B1090" s="188">
        <f>ROUNDDOWN((LineærRegression_Valg[[#This Row],[Tabel ID]]-1)/$B$5,0)+1</f>
        <v>270</v>
      </c>
      <c r="C1090" s="188">
        <f t="shared" si="16"/>
        <v>4</v>
      </c>
      <c r="D1090" s="188" t="b">
        <f>LineærRegression_Valg[[#This Row],[Afhængig variabel ID]]&lt;&gt;LineærRegression_Valg[[#This Row],[Uafhængig variabel ID]]</f>
        <v>1</v>
      </c>
      <c r="E1090" t="b">
        <f>LineærRegression_Valg[[#This Row],[Afhængig variabel ID]]&lt;=$B$5</f>
        <v>0</v>
      </c>
      <c r="F1090" t="str" cm="1">
        <f t="array" ref="F1090">IF(LineærRegression_Valg[[#This Row],[Indenfor range]],INDEX(DataTitel_liste,LineærRegression_Valg[[#This Row],[Afhængig variabel ID]]),INDEX(DataTitel_liste,1))</f>
        <v>Eksempel 1 (interval)</v>
      </c>
      <c r="G1090" s="188" t="str" cm="1">
        <f t="array" ref="G1090">IF(LineærRegression_Valg[[#This Row],[Indenfor range]],IF(LineærRegression_Valg[[#This Row],[Intet overlap]],INDEX(DataTitel_liste,LineærRegression_Valg[[#This Row],[Uafhængig variabel ID]]),INDEX(DataTitel_liste,IF(LineærRegression_Valg[[#This Row],[Afhængig variabel ID]]=1,2,1))),$B$7)</f>
        <v>Eksempel 2 (interval)</v>
      </c>
      <c r="H1090" s="188">
        <f>_xlfn.AGGREGATE(2,5,LineærRegression_Valg[[#This Row],[Tabel ID]])</f>
        <v>1</v>
      </c>
    </row>
    <row r="1091" spans="1:8" x14ac:dyDescent="0.2">
      <c r="A1091">
        <f>ROW(LineærRegression_Valg[[#This Row],[Tabel ID]])-ROW(LineærRegression_Valg[[#Headers],[Tabel ID]])</f>
        <v>1081</v>
      </c>
      <c r="B1091" s="188">
        <f>ROUNDDOWN((LineærRegression_Valg[[#This Row],[Tabel ID]]-1)/$B$5,0)+1</f>
        <v>271</v>
      </c>
      <c r="C1091" s="188">
        <f t="shared" si="16"/>
        <v>1</v>
      </c>
      <c r="D1091" s="188" t="b">
        <f>LineærRegression_Valg[[#This Row],[Afhængig variabel ID]]&lt;&gt;LineærRegression_Valg[[#This Row],[Uafhængig variabel ID]]</f>
        <v>1</v>
      </c>
      <c r="E1091" t="b">
        <f>LineærRegression_Valg[[#This Row],[Afhængig variabel ID]]&lt;=$B$5</f>
        <v>0</v>
      </c>
      <c r="F1091" t="str" cm="1">
        <f t="array" ref="F1091">IF(LineærRegression_Valg[[#This Row],[Indenfor range]],INDEX(DataTitel_liste,LineærRegression_Valg[[#This Row],[Afhængig variabel ID]]),INDEX(DataTitel_liste,1))</f>
        <v>Eksempel 1 (interval)</v>
      </c>
      <c r="G1091" s="188" t="str" cm="1">
        <f t="array" ref="G1091">IF(LineærRegression_Valg[[#This Row],[Indenfor range]],IF(LineærRegression_Valg[[#This Row],[Intet overlap]],INDEX(DataTitel_liste,LineærRegression_Valg[[#This Row],[Uafhængig variabel ID]]),INDEX(DataTitel_liste,IF(LineærRegression_Valg[[#This Row],[Afhængig variabel ID]]=1,2,1))),$B$7)</f>
        <v>Eksempel 2 (interval)</v>
      </c>
      <c r="H1091" s="188">
        <f>_xlfn.AGGREGATE(2,5,LineærRegression_Valg[[#This Row],[Tabel ID]])</f>
        <v>1</v>
      </c>
    </row>
    <row r="1092" spans="1:8" x14ac:dyDescent="0.2">
      <c r="A1092">
        <f>ROW(LineærRegression_Valg[[#This Row],[Tabel ID]])-ROW(LineærRegression_Valg[[#Headers],[Tabel ID]])</f>
        <v>1082</v>
      </c>
      <c r="B1092" s="188">
        <f>ROUNDDOWN((LineærRegression_Valg[[#This Row],[Tabel ID]]-1)/$B$5,0)+1</f>
        <v>271</v>
      </c>
      <c r="C1092" s="188">
        <f t="shared" si="16"/>
        <v>2</v>
      </c>
      <c r="D1092" s="188" t="b">
        <f>LineærRegression_Valg[[#This Row],[Afhængig variabel ID]]&lt;&gt;LineærRegression_Valg[[#This Row],[Uafhængig variabel ID]]</f>
        <v>1</v>
      </c>
      <c r="E1092" t="b">
        <f>LineærRegression_Valg[[#This Row],[Afhængig variabel ID]]&lt;=$B$5</f>
        <v>0</v>
      </c>
      <c r="F1092" t="str" cm="1">
        <f t="array" ref="F1092">IF(LineærRegression_Valg[[#This Row],[Indenfor range]],INDEX(DataTitel_liste,LineærRegression_Valg[[#This Row],[Afhængig variabel ID]]),INDEX(DataTitel_liste,1))</f>
        <v>Eksempel 1 (interval)</v>
      </c>
      <c r="G1092" s="188" t="str" cm="1">
        <f t="array" ref="G1092">IF(LineærRegression_Valg[[#This Row],[Indenfor range]],IF(LineærRegression_Valg[[#This Row],[Intet overlap]],INDEX(DataTitel_liste,LineærRegression_Valg[[#This Row],[Uafhængig variabel ID]]),INDEX(DataTitel_liste,IF(LineærRegression_Valg[[#This Row],[Afhængig variabel ID]]=1,2,1))),$B$7)</f>
        <v>Eksempel 2 (interval)</v>
      </c>
      <c r="H1092" s="188">
        <f>_xlfn.AGGREGATE(2,5,LineærRegression_Valg[[#This Row],[Tabel ID]])</f>
        <v>1</v>
      </c>
    </row>
    <row r="1093" spans="1:8" x14ac:dyDescent="0.2">
      <c r="A1093">
        <f>ROW(LineærRegression_Valg[[#This Row],[Tabel ID]])-ROW(LineærRegression_Valg[[#Headers],[Tabel ID]])</f>
        <v>1083</v>
      </c>
      <c r="B1093" s="188">
        <f>ROUNDDOWN((LineærRegression_Valg[[#This Row],[Tabel ID]]-1)/$B$5,0)+1</f>
        <v>271</v>
      </c>
      <c r="C1093" s="188">
        <f t="shared" si="16"/>
        <v>3</v>
      </c>
      <c r="D1093" s="188" t="b">
        <f>LineærRegression_Valg[[#This Row],[Afhængig variabel ID]]&lt;&gt;LineærRegression_Valg[[#This Row],[Uafhængig variabel ID]]</f>
        <v>1</v>
      </c>
      <c r="E1093" t="b">
        <f>LineærRegression_Valg[[#This Row],[Afhængig variabel ID]]&lt;=$B$5</f>
        <v>0</v>
      </c>
      <c r="F1093" t="str" cm="1">
        <f t="array" ref="F1093">IF(LineærRegression_Valg[[#This Row],[Indenfor range]],INDEX(DataTitel_liste,LineærRegression_Valg[[#This Row],[Afhængig variabel ID]]),INDEX(DataTitel_liste,1))</f>
        <v>Eksempel 1 (interval)</v>
      </c>
      <c r="G1093" s="188" t="str" cm="1">
        <f t="array" ref="G1093">IF(LineærRegression_Valg[[#This Row],[Indenfor range]],IF(LineærRegression_Valg[[#This Row],[Intet overlap]],INDEX(DataTitel_liste,LineærRegression_Valg[[#This Row],[Uafhængig variabel ID]]),INDEX(DataTitel_liste,IF(LineærRegression_Valg[[#This Row],[Afhængig variabel ID]]=1,2,1))),$B$7)</f>
        <v>Eksempel 2 (interval)</v>
      </c>
      <c r="H1093" s="188">
        <f>_xlfn.AGGREGATE(2,5,LineærRegression_Valg[[#This Row],[Tabel ID]])</f>
        <v>1</v>
      </c>
    </row>
    <row r="1094" spans="1:8" x14ac:dyDescent="0.2">
      <c r="A1094">
        <f>ROW(LineærRegression_Valg[[#This Row],[Tabel ID]])-ROW(LineærRegression_Valg[[#Headers],[Tabel ID]])</f>
        <v>1084</v>
      </c>
      <c r="B1094" s="188">
        <f>ROUNDDOWN((LineærRegression_Valg[[#This Row],[Tabel ID]]-1)/$B$5,0)+1</f>
        <v>271</v>
      </c>
      <c r="C1094" s="188">
        <f t="shared" si="16"/>
        <v>4</v>
      </c>
      <c r="D1094" s="188" t="b">
        <f>LineærRegression_Valg[[#This Row],[Afhængig variabel ID]]&lt;&gt;LineærRegression_Valg[[#This Row],[Uafhængig variabel ID]]</f>
        <v>1</v>
      </c>
      <c r="E1094" t="b">
        <f>LineærRegression_Valg[[#This Row],[Afhængig variabel ID]]&lt;=$B$5</f>
        <v>0</v>
      </c>
      <c r="F1094" t="str" cm="1">
        <f t="array" ref="F1094">IF(LineærRegression_Valg[[#This Row],[Indenfor range]],INDEX(DataTitel_liste,LineærRegression_Valg[[#This Row],[Afhængig variabel ID]]),INDEX(DataTitel_liste,1))</f>
        <v>Eksempel 1 (interval)</v>
      </c>
      <c r="G1094" s="188" t="str" cm="1">
        <f t="array" ref="G1094">IF(LineærRegression_Valg[[#This Row],[Indenfor range]],IF(LineærRegression_Valg[[#This Row],[Intet overlap]],INDEX(DataTitel_liste,LineærRegression_Valg[[#This Row],[Uafhængig variabel ID]]),INDEX(DataTitel_liste,IF(LineærRegression_Valg[[#This Row],[Afhængig variabel ID]]=1,2,1))),$B$7)</f>
        <v>Eksempel 2 (interval)</v>
      </c>
      <c r="H1094" s="188">
        <f>_xlfn.AGGREGATE(2,5,LineærRegression_Valg[[#This Row],[Tabel ID]])</f>
        <v>1</v>
      </c>
    </row>
    <row r="1095" spans="1:8" x14ac:dyDescent="0.2">
      <c r="A1095">
        <f>ROW(LineærRegression_Valg[[#This Row],[Tabel ID]])-ROW(LineærRegression_Valg[[#Headers],[Tabel ID]])</f>
        <v>1085</v>
      </c>
      <c r="B1095" s="188">
        <f>ROUNDDOWN((LineærRegression_Valg[[#This Row],[Tabel ID]]-1)/$B$5,0)+1</f>
        <v>272</v>
      </c>
      <c r="C1095" s="188">
        <f t="shared" si="16"/>
        <v>1</v>
      </c>
      <c r="D1095" s="188" t="b">
        <f>LineærRegression_Valg[[#This Row],[Afhængig variabel ID]]&lt;&gt;LineærRegression_Valg[[#This Row],[Uafhængig variabel ID]]</f>
        <v>1</v>
      </c>
      <c r="E1095" t="b">
        <f>LineærRegression_Valg[[#This Row],[Afhængig variabel ID]]&lt;=$B$5</f>
        <v>0</v>
      </c>
      <c r="F1095" t="str" cm="1">
        <f t="array" ref="F1095">IF(LineærRegression_Valg[[#This Row],[Indenfor range]],INDEX(DataTitel_liste,LineærRegression_Valg[[#This Row],[Afhængig variabel ID]]),INDEX(DataTitel_liste,1))</f>
        <v>Eksempel 1 (interval)</v>
      </c>
      <c r="G1095" s="188" t="str" cm="1">
        <f t="array" ref="G1095">IF(LineærRegression_Valg[[#This Row],[Indenfor range]],IF(LineærRegression_Valg[[#This Row],[Intet overlap]],INDEX(DataTitel_liste,LineærRegression_Valg[[#This Row],[Uafhængig variabel ID]]),INDEX(DataTitel_liste,IF(LineærRegression_Valg[[#This Row],[Afhængig variabel ID]]=1,2,1))),$B$7)</f>
        <v>Eksempel 2 (interval)</v>
      </c>
      <c r="H1095" s="188">
        <f>_xlfn.AGGREGATE(2,5,LineærRegression_Valg[[#This Row],[Tabel ID]])</f>
        <v>1</v>
      </c>
    </row>
    <row r="1096" spans="1:8" x14ac:dyDescent="0.2">
      <c r="A1096">
        <f>ROW(LineærRegression_Valg[[#This Row],[Tabel ID]])-ROW(LineærRegression_Valg[[#Headers],[Tabel ID]])</f>
        <v>1086</v>
      </c>
      <c r="B1096" s="188">
        <f>ROUNDDOWN((LineærRegression_Valg[[#This Row],[Tabel ID]]-1)/$B$5,0)+1</f>
        <v>272</v>
      </c>
      <c r="C1096" s="188">
        <f t="shared" si="16"/>
        <v>2</v>
      </c>
      <c r="D1096" s="188" t="b">
        <f>LineærRegression_Valg[[#This Row],[Afhængig variabel ID]]&lt;&gt;LineærRegression_Valg[[#This Row],[Uafhængig variabel ID]]</f>
        <v>1</v>
      </c>
      <c r="E1096" t="b">
        <f>LineærRegression_Valg[[#This Row],[Afhængig variabel ID]]&lt;=$B$5</f>
        <v>0</v>
      </c>
      <c r="F1096" t="str" cm="1">
        <f t="array" ref="F1096">IF(LineærRegression_Valg[[#This Row],[Indenfor range]],INDEX(DataTitel_liste,LineærRegression_Valg[[#This Row],[Afhængig variabel ID]]),INDEX(DataTitel_liste,1))</f>
        <v>Eksempel 1 (interval)</v>
      </c>
      <c r="G1096" s="188" t="str" cm="1">
        <f t="array" ref="G1096">IF(LineærRegression_Valg[[#This Row],[Indenfor range]],IF(LineærRegression_Valg[[#This Row],[Intet overlap]],INDEX(DataTitel_liste,LineærRegression_Valg[[#This Row],[Uafhængig variabel ID]]),INDEX(DataTitel_liste,IF(LineærRegression_Valg[[#This Row],[Afhængig variabel ID]]=1,2,1))),$B$7)</f>
        <v>Eksempel 2 (interval)</v>
      </c>
      <c r="H1096" s="188">
        <f>_xlfn.AGGREGATE(2,5,LineærRegression_Valg[[#This Row],[Tabel ID]])</f>
        <v>1</v>
      </c>
    </row>
    <row r="1097" spans="1:8" x14ac:dyDescent="0.2">
      <c r="A1097">
        <f>ROW(LineærRegression_Valg[[#This Row],[Tabel ID]])-ROW(LineærRegression_Valg[[#Headers],[Tabel ID]])</f>
        <v>1087</v>
      </c>
      <c r="B1097" s="188">
        <f>ROUNDDOWN((LineærRegression_Valg[[#This Row],[Tabel ID]]-1)/$B$5,0)+1</f>
        <v>272</v>
      </c>
      <c r="C1097" s="188">
        <f t="shared" si="16"/>
        <v>3</v>
      </c>
      <c r="D1097" s="188" t="b">
        <f>LineærRegression_Valg[[#This Row],[Afhængig variabel ID]]&lt;&gt;LineærRegression_Valg[[#This Row],[Uafhængig variabel ID]]</f>
        <v>1</v>
      </c>
      <c r="E1097" t="b">
        <f>LineærRegression_Valg[[#This Row],[Afhængig variabel ID]]&lt;=$B$5</f>
        <v>0</v>
      </c>
      <c r="F1097" t="str" cm="1">
        <f t="array" ref="F1097">IF(LineærRegression_Valg[[#This Row],[Indenfor range]],INDEX(DataTitel_liste,LineærRegression_Valg[[#This Row],[Afhængig variabel ID]]),INDEX(DataTitel_liste,1))</f>
        <v>Eksempel 1 (interval)</v>
      </c>
      <c r="G1097" s="188" t="str" cm="1">
        <f t="array" ref="G1097">IF(LineærRegression_Valg[[#This Row],[Indenfor range]],IF(LineærRegression_Valg[[#This Row],[Intet overlap]],INDEX(DataTitel_liste,LineærRegression_Valg[[#This Row],[Uafhængig variabel ID]]),INDEX(DataTitel_liste,IF(LineærRegression_Valg[[#This Row],[Afhængig variabel ID]]=1,2,1))),$B$7)</f>
        <v>Eksempel 2 (interval)</v>
      </c>
      <c r="H1097" s="188">
        <f>_xlfn.AGGREGATE(2,5,LineærRegression_Valg[[#This Row],[Tabel ID]])</f>
        <v>1</v>
      </c>
    </row>
    <row r="1098" spans="1:8" x14ac:dyDescent="0.2">
      <c r="A1098">
        <f>ROW(LineærRegression_Valg[[#This Row],[Tabel ID]])-ROW(LineærRegression_Valg[[#Headers],[Tabel ID]])</f>
        <v>1088</v>
      </c>
      <c r="B1098" s="188">
        <f>ROUNDDOWN((LineærRegression_Valg[[#This Row],[Tabel ID]]-1)/$B$5,0)+1</f>
        <v>272</v>
      </c>
      <c r="C1098" s="188">
        <f t="shared" si="16"/>
        <v>4</v>
      </c>
      <c r="D1098" s="188" t="b">
        <f>LineærRegression_Valg[[#This Row],[Afhængig variabel ID]]&lt;&gt;LineærRegression_Valg[[#This Row],[Uafhængig variabel ID]]</f>
        <v>1</v>
      </c>
      <c r="E1098" t="b">
        <f>LineærRegression_Valg[[#This Row],[Afhængig variabel ID]]&lt;=$B$5</f>
        <v>0</v>
      </c>
      <c r="F1098" t="str" cm="1">
        <f t="array" ref="F1098">IF(LineærRegression_Valg[[#This Row],[Indenfor range]],INDEX(DataTitel_liste,LineærRegression_Valg[[#This Row],[Afhængig variabel ID]]),INDEX(DataTitel_liste,1))</f>
        <v>Eksempel 1 (interval)</v>
      </c>
      <c r="G1098" s="188" t="str" cm="1">
        <f t="array" ref="G1098">IF(LineærRegression_Valg[[#This Row],[Indenfor range]],IF(LineærRegression_Valg[[#This Row],[Intet overlap]],INDEX(DataTitel_liste,LineærRegression_Valg[[#This Row],[Uafhængig variabel ID]]),INDEX(DataTitel_liste,IF(LineærRegression_Valg[[#This Row],[Afhængig variabel ID]]=1,2,1))),$B$7)</f>
        <v>Eksempel 2 (interval)</v>
      </c>
      <c r="H1098" s="188">
        <f>_xlfn.AGGREGATE(2,5,LineærRegression_Valg[[#This Row],[Tabel ID]])</f>
        <v>1</v>
      </c>
    </row>
    <row r="1099" spans="1:8" x14ac:dyDescent="0.2">
      <c r="A1099">
        <f>ROW(LineærRegression_Valg[[#This Row],[Tabel ID]])-ROW(LineærRegression_Valg[[#Headers],[Tabel ID]])</f>
        <v>1089</v>
      </c>
      <c r="B1099" s="188">
        <f>ROUNDDOWN((LineærRegression_Valg[[#This Row],[Tabel ID]]-1)/$B$5,0)+1</f>
        <v>273</v>
      </c>
      <c r="C1099" s="188">
        <f t="shared" ref="C1099:C1162" si="17">MOD(A1099-1,$B$5)+1</f>
        <v>1</v>
      </c>
      <c r="D1099" s="188" t="b">
        <f>LineærRegression_Valg[[#This Row],[Afhængig variabel ID]]&lt;&gt;LineærRegression_Valg[[#This Row],[Uafhængig variabel ID]]</f>
        <v>1</v>
      </c>
      <c r="E1099" t="b">
        <f>LineærRegression_Valg[[#This Row],[Afhængig variabel ID]]&lt;=$B$5</f>
        <v>0</v>
      </c>
      <c r="F1099" t="str" cm="1">
        <f t="array" ref="F1099">IF(LineærRegression_Valg[[#This Row],[Indenfor range]],INDEX(DataTitel_liste,LineærRegression_Valg[[#This Row],[Afhængig variabel ID]]),INDEX(DataTitel_liste,1))</f>
        <v>Eksempel 1 (interval)</v>
      </c>
      <c r="G1099" s="188" t="str" cm="1">
        <f t="array" ref="G1099">IF(LineærRegression_Valg[[#This Row],[Indenfor range]],IF(LineærRegression_Valg[[#This Row],[Intet overlap]],INDEX(DataTitel_liste,LineærRegression_Valg[[#This Row],[Uafhængig variabel ID]]),INDEX(DataTitel_liste,IF(LineærRegression_Valg[[#This Row],[Afhængig variabel ID]]=1,2,1))),$B$7)</f>
        <v>Eksempel 2 (interval)</v>
      </c>
      <c r="H1099" s="188">
        <f>_xlfn.AGGREGATE(2,5,LineærRegression_Valg[[#This Row],[Tabel ID]])</f>
        <v>1</v>
      </c>
    </row>
    <row r="1100" spans="1:8" x14ac:dyDescent="0.2">
      <c r="A1100">
        <f>ROW(LineærRegression_Valg[[#This Row],[Tabel ID]])-ROW(LineærRegression_Valg[[#Headers],[Tabel ID]])</f>
        <v>1090</v>
      </c>
      <c r="B1100" s="188">
        <f>ROUNDDOWN((LineærRegression_Valg[[#This Row],[Tabel ID]]-1)/$B$5,0)+1</f>
        <v>273</v>
      </c>
      <c r="C1100" s="188">
        <f t="shared" si="17"/>
        <v>2</v>
      </c>
      <c r="D1100" s="188" t="b">
        <f>LineærRegression_Valg[[#This Row],[Afhængig variabel ID]]&lt;&gt;LineærRegression_Valg[[#This Row],[Uafhængig variabel ID]]</f>
        <v>1</v>
      </c>
      <c r="E1100" t="b">
        <f>LineærRegression_Valg[[#This Row],[Afhængig variabel ID]]&lt;=$B$5</f>
        <v>0</v>
      </c>
      <c r="F1100" t="str" cm="1">
        <f t="array" ref="F1100">IF(LineærRegression_Valg[[#This Row],[Indenfor range]],INDEX(DataTitel_liste,LineærRegression_Valg[[#This Row],[Afhængig variabel ID]]),INDEX(DataTitel_liste,1))</f>
        <v>Eksempel 1 (interval)</v>
      </c>
      <c r="G1100" s="188" t="str" cm="1">
        <f t="array" ref="G1100">IF(LineærRegression_Valg[[#This Row],[Indenfor range]],IF(LineærRegression_Valg[[#This Row],[Intet overlap]],INDEX(DataTitel_liste,LineærRegression_Valg[[#This Row],[Uafhængig variabel ID]]),INDEX(DataTitel_liste,IF(LineærRegression_Valg[[#This Row],[Afhængig variabel ID]]=1,2,1))),$B$7)</f>
        <v>Eksempel 2 (interval)</v>
      </c>
      <c r="H1100" s="188">
        <f>_xlfn.AGGREGATE(2,5,LineærRegression_Valg[[#This Row],[Tabel ID]])</f>
        <v>1</v>
      </c>
    </row>
    <row r="1101" spans="1:8" x14ac:dyDescent="0.2">
      <c r="A1101">
        <f>ROW(LineærRegression_Valg[[#This Row],[Tabel ID]])-ROW(LineærRegression_Valg[[#Headers],[Tabel ID]])</f>
        <v>1091</v>
      </c>
      <c r="B1101" s="188">
        <f>ROUNDDOWN((LineærRegression_Valg[[#This Row],[Tabel ID]]-1)/$B$5,0)+1</f>
        <v>273</v>
      </c>
      <c r="C1101" s="188">
        <f t="shared" si="17"/>
        <v>3</v>
      </c>
      <c r="D1101" s="188" t="b">
        <f>LineærRegression_Valg[[#This Row],[Afhængig variabel ID]]&lt;&gt;LineærRegression_Valg[[#This Row],[Uafhængig variabel ID]]</f>
        <v>1</v>
      </c>
      <c r="E1101" t="b">
        <f>LineærRegression_Valg[[#This Row],[Afhængig variabel ID]]&lt;=$B$5</f>
        <v>0</v>
      </c>
      <c r="F1101" t="str" cm="1">
        <f t="array" ref="F1101">IF(LineærRegression_Valg[[#This Row],[Indenfor range]],INDEX(DataTitel_liste,LineærRegression_Valg[[#This Row],[Afhængig variabel ID]]),INDEX(DataTitel_liste,1))</f>
        <v>Eksempel 1 (interval)</v>
      </c>
      <c r="G1101" s="188" t="str" cm="1">
        <f t="array" ref="G1101">IF(LineærRegression_Valg[[#This Row],[Indenfor range]],IF(LineærRegression_Valg[[#This Row],[Intet overlap]],INDEX(DataTitel_liste,LineærRegression_Valg[[#This Row],[Uafhængig variabel ID]]),INDEX(DataTitel_liste,IF(LineærRegression_Valg[[#This Row],[Afhængig variabel ID]]=1,2,1))),$B$7)</f>
        <v>Eksempel 2 (interval)</v>
      </c>
      <c r="H1101" s="188">
        <f>_xlfn.AGGREGATE(2,5,LineærRegression_Valg[[#This Row],[Tabel ID]])</f>
        <v>1</v>
      </c>
    </row>
    <row r="1102" spans="1:8" x14ac:dyDescent="0.2">
      <c r="A1102">
        <f>ROW(LineærRegression_Valg[[#This Row],[Tabel ID]])-ROW(LineærRegression_Valg[[#Headers],[Tabel ID]])</f>
        <v>1092</v>
      </c>
      <c r="B1102" s="188">
        <f>ROUNDDOWN((LineærRegression_Valg[[#This Row],[Tabel ID]]-1)/$B$5,0)+1</f>
        <v>273</v>
      </c>
      <c r="C1102" s="188">
        <f t="shared" si="17"/>
        <v>4</v>
      </c>
      <c r="D1102" s="188" t="b">
        <f>LineærRegression_Valg[[#This Row],[Afhængig variabel ID]]&lt;&gt;LineærRegression_Valg[[#This Row],[Uafhængig variabel ID]]</f>
        <v>1</v>
      </c>
      <c r="E1102" t="b">
        <f>LineærRegression_Valg[[#This Row],[Afhængig variabel ID]]&lt;=$B$5</f>
        <v>0</v>
      </c>
      <c r="F1102" t="str" cm="1">
        <f t="array" ref="F1102">IF(LineærRegression_Valg[[#This Row],[Indenfor range]],INDEX(DataTitel_liste,LineærRegression_Valg[[#This Row],[Afhængig variabel ID]]),INDEX(DataTitel_liste,1))</f>
        <v>Eksempel 1 (interval)</v>
      </c>
      <c r="G1102" s="188" t="str" cm="1">
        <f t="array" ref="G1102">IF(LineærRegression_Valg[[#This Row],[Indenfor range]],IF(LineærRegression_Valg[[#This Row],[Intet overlap]],INDEX(DataTitel_liste,LineærRegression_Valg[[#This Row],[Uafhængig variabel ID]]),INDEX(DataTitel_liste,IF(LineærRegression_Valg[[#This Row],[Afhængig variabel ID]]=1,2,1))),$B$7)</f>
        <v>Eksempel 2 (interval)</v>
      </c>
      <c r="H1102" s="188">
        <f>_xlfn.AGGREGATE(2,5,LineærRegression_Valg[[#This Row],[Tabel ID]])</f>
        <v>1</v>
      </c>
    </row>
    <row r="1103" spans="1:8" x14ac:dyDescent="0.2">
      <c r="A1103">
        <f>ROW(LineærRegression_Valg[[#This Row],[Tabel ID]])-ROW(LineærRegression_Valg[[#Headers],[Tabel ID]])</f>
        <v>1093</v>
      </c>
      <c r="B1103" s="188">
        <f>ROUNDDOWN((LineærRegression_Valg[[#This Row],[Tabel ID]]-1)/$B$5,0)+1</f>
        <v>274</v>
      </c>
      <c r="C1103" s="188">
        <f t="shared" si="17"/>
        <v>1</v>
      </c>
      <c r="D1103" s="188" t="b">
        <f>LineærRegression_Valg[[#This Row],[Afhængig variabel ID]]&lt;&gt;LineærRegression_Valg[[#This Row],[Uafhængig variabel ID]]</f>
        <v>1</v>
      </c>
      <c r="E1103" t="b">
        <f>LineærRegression_Valg[[#This Row],[Afhængig variabel ID]]&lt;=$B$5</f>
        <v>0</v>
      </c>
      <c r="F1103" t="str" cm="1">
        <f t="array" ref="F1103">IF(LineærRegression_Valg[[#This Row],[Indenfor range]],INDEX(DataTitel_liste,LineærRegression_Valg[[#This Row],[Afhængig variabel ID]]),INDEX(DataTitel_liste,1))</f>
        <v>Eksempel 1 (interval)</v>
      </c>
      <c r="G1103" s="188" t="str" cm="1">
        <f t="array" ref="G1103">IF(LineærRegression_Valg[[#This Row],[Indenfor range]],IF(LineærRegression_Valg[[#This Row],[Intet overlap]],INDEX(DataTitel_liste,LineærRegression_Valg[[#This Row],[Uafhængig variabel ID]]),INDEX(DataTitel_liste,IF(LineærRegression_Valg[[#This Row],[Afhængig variabel ID]]=1,2,1))),$B$7)</f>
        <v>Eksempel 2 (interval)</v>
      </c>
      <c r="H1103" s="188">
        <f>_xlfn.AGGREGATE(2,5,LineærRegression_Valg[[#This Row],[Tabel ID]])</f>
        <v>1</v>
      </c>
    </row>
    <row r="1104" spans="1:8" x14ac:dyDescent="0.2">
      <c r="A1104">
        <f>ROW(LineærRegression_Valg[[#This Row],[Tabel ID]])-ROW(LineærRegression_Valg[[#Headers],[Tabel ID]])</f>
        <v>1094</v>
      </c>
      <c r="B1104" s="188">
        <f>ROUNDDOWN((LineærRegression_Valg[[#This Row],[Tabel ID]]-1)/$B$5,0)+1</f>
        <v>274</v>
      </c>
      <c r="C1104" s="188">
        <f t="shared" si="17"/>
        <v>2</v>
      </c>
      <c r="D1104" s="188" t="b">
        <f>LineærRegression_Valg[[#This Row],[Afhængig variabel ID]]&lt;&gt;LineærRegression_Valg[[#This Row],[Uafhængig variabel ID]]</f>
        <v>1</v>
      </c>
      <c r="E1104" t="b">
        <f>LineærRegression_Valg[[#This Row],[Afhængig variabel ID]]&lt;=$B$5</f>
        <v>0</v>
      </c>
      <c r="F1104" t="str" cm="1">
        <f t="array" ref="F1104">IF(LineærRegression_Valg[[#This Row],[Indenfor range]],INDEX(DataTitel_liste,LineærRegression_Valg[[#This Row],[Afhængig variabel ID]]),INDEX(DataTitel_liste,1))</f>
        <v>Eksempel 1 (interval)</v>
      </c>
      <c r="G1104" s="188" t="str" cm="1">
        <f t="array" ref="G1104">IF(LineærRegression_Valg[[#This Row],[Indenfor range]],IF(LineærRegression_Valg[[#This Row],[Intet overlap]],INDEX(DataTitel_liste,LineærRegression_Valg[[#This Row],[Uafhængig variabel ID]]),INDEX(DataTitel_liste,IF(LineærRegression_Valg[[#This Row],[Afhængig variabel ID]]=1,2,1))),$B$7)</f>
        <v>Eksempel 2 (interval)</v>
      </c>
      <c r="H1104" s="188">
        <f>_xlfn.AGGREGATE(2,5,LineærRegression_Valg[[#This Row],[Tabel ID]])</f>
        <v>1</v>
      </c>
    </row>
    <row r="1105" spans="1:8" x14ac:dyDescent="0.2">
      <c r="A1105">
        <f>ROW(LineærRegression_Valg[[#This Row],[Tabel ID]])-ROW(LineærRegression_Valg[[#Headers],[Tabel ID]])</f>
        <v>1095</v>
      </c>
      <c r="B1105" s="188">
        <f>ROUNDDOWN((LineærRegression_Valg[[#This Row],[Tabel ID]]-1)/$B$5,0)+1</f>
        <v>274</v>
      </c>
      <c r="C1105" s="188">
        <f t="shared" si="17"/>
        <v>3</v>
      </c>
      <c r="D1105" s="188" t="b">
        <f>LineærRegression_Valg[[#This Row],[Afhængig variabel ID]]&lt;&gt;LineærRegression_Valg[[#This Row],[Uafhængig variabel ID]]</f>
        <v>1</v>
      </c>
      <c r="E1105" t="b">
        <f>LineærRegression_Valg[[#This Row],[Afhængig variabel ID]]&lt;=$B$5</f>
        <v>0</v>
      </c>
      <c r="F1105" t="str" cm="1">
        <f t="array" ref="F1105">IF(LineærRegression_Valg[[#This Row],[Indenfor range]],INDEX(DataTitel_liste,LineærRegression_Valg[[#This Row],[Afhængig variabel ID]]),INDEX(DataTitel_liste,1))</f>
        <v>Eksempel 1 (interval)</v>
      </c>
      <c r="G1105" s="188" t="str" cm="1">
        <f t="array" ref="G1105">IF(LineærRegression_Valg[[#This Row],[Indenfor range]],IF(LineærRegression_Valg[[#This Row],[Intet overlap]],INDEX(DataTitel_liste,LineærRegression_Valg[[#This Row],[Uafhængig variabel ID]]),INDEX(DataTitel_liste,IF(LineærRegression_Valg[[#This Row],[Afhængig variabel ID]]=1,2,1))),$B$7)</f>
        <v>Eksempel 2 (interval)</v>
      </c>
      <c r="H1105" s="188">
        <f>_xlfn.AGGREGATE(2,5,LineærRegression_Valg[[#This Row],[Tabel ID]])</f>
        <v>1</v>
      </c>
    </row>
    <row r="1106" spans="1:8" x14ac:dyDescent="0.2">
      <c r="A1106">
        <f>ROW(LineærRegression_Valg[[#This Row],[Tabel ID]])-ROW(LineærRegression_Valg[[#Headers],[Tabel ID]])</f>
        <v>1096</v>
      </c>
      <c r="B1106" s="188">
        <f>ROUNDDOWN((LineærRegression_Valg[[#This Row],[Tabel ID]]-1)/$B$5,0)+1</f>
        <v>274</v>
      </c>
      <c r="C1106" s="188">
        <f t="shared" si="17"/>
        <v>4</v>
      </c>
      <c r="D1106" s="188" t="b">
        <f>LineærRegression_Valg[[#This Row],[Afhængig variabel ID]]&lt;&gt;LineærRegression_Valg[[#This Row],[Uafhængig variabel ID]]</f>
        <v>1</v>
      </c>
      <c r="E1106" t="b">
        <f>LineærRegression_Valg[[#This Row],[Afhængig variabel ID]]&lt;=$B$5</f>
        <v>0</v>
      </c>
      <c r="F1106" t="str" cm="1">
        <f t="array" ref="F1106">IF(LineærRegression_Valg[[#This Row],[Indenfor range]],INDEX(DataTitel_liste,LineærRegression_Valg[[#This Row],[Afhængig variabel ID]]),INDEX(DataTitel_liste,1))</f>
        <v>Eksempel 1 (interval)</v>
      </c>
      <c r="G1106" s="188" t="str" cm="1">
        <f t="array" ref="G1106">IF(LineærRegression_Valg[[#This Row],[Indenfor range]],IF(LineærRegression_Valg[[#This Row],[Intet overlap]],INDEX(DataTitel_liste,LineærRegression_Valg[[#This Row],[Uafhængig variabel ID]]),INDEX(DataTitel_liste,IF(LineærRegression_Valg[[#This Row],[Afhængig variabel ID]]=1,2,1))),$B$7)</f>
        <v>Eksempel 2 (interval)</v>
      </c>
      <c r="H1106" s="188">
        <f>_xlfn.AGGREGATE(2,5,LineærRegression_Valg[[#This Row],[Tabel ID]])</f>
        <v>1</v>
      </c>
    </row>
    <row r="1107" spans="1:8" x14ac:dyDescent="0.2">
      <c r="A1107">
        <f>ROW(LineærRegression_Valg[[#This Row],[Tabel ID]])-ROW(LineærRegression_Valg[[#Headers],[Tabel ID]])</f>
        <v>1097</v>
      </c>
      <c r="B1107" s="188">
        <f>ROUNDDOWN((LineærRegression_Valg[[#This Row],[Tabel ID]]-1)/$B$5,0)+1</f>
        <v>275</v>
      </c>
      <c r="C1107" s="188">
        <f t="shared" si="17"/>
        <v>1</v>
      </c>
      <c r="D1107" s="188" t="b">
        <f>LineærRegression_Valg[[#This Row],[Afhængig variabel ID]]&lt;&gt;LineærRegression_Valg[[#This Row],[Uafhængig variabel ID]]</f>
        <v>1</v>
      </c>
      <c r="E1107" t="b">
        <f>LineærRegression_Valg[[#This Row],[Afhængig variabel ID]]&lt;=$B$5</f>
        <v>0</v>
      </c>
      <c r="F1107" t="str" cm="1">
        <f t="array" ref="F1107">IF(LineærRegression_Valg[[#This Row],[Indenfor range]],INDEX(DataTitel_liste,LineærRegression_Valg[[#This Row],[Afhængig variabel ID]]),INDEX(DataTitel_liste,1))</f>
        <v>Eksempel 1 (interval)</v>
      </c>
      <c r="G1107" s="188" t="str" cm="1">
        <f t="array" ref="G1107">IF(LineærRegression_Valg[[#This Row],[Indenfor range]],IF(LineærRegression_Valg[[#This Row],[Intet overlap]],INDEX(DataTitel_liste,LineærRegression_Valg[[#This Row],[Uafhængig variabel ID]]),INDEX(DataTitel_liste,IF(LineærRegression_Valg[[#This Row],[Afhængig variabel ID]]=1,2,1))),$B$7)</f>
        <v>Eksempel 2 (interval)</v>
      </c>
      <c r="H1107" s="188">
        <f>_xlfn.AGGREGATE(2,5,LineærRegression_Valg[[#This Row],[Tabel ID]])</f>
        <v>1</v>
      </c>
    </row>
    <row r="1108" spans="1:8" x14ac:dyDescent="0.2">
      <c r="A1108">
        <f>ROW(LineærRegression_Valg[[#This Row],[Tabel ID]])-ROW(LineærRegression_Valg[[#Headers],[Tabel ID]])</f>
        <v>1098</v>
      </c>
      <c r="B1108" s="188">
        <f>ROUNDDOWN((LineærRegression_Valg[[#This Row],[Tabel ID]]-1)/$B$5,0)+1</f>
        <v>275</v>
      </c>
      <c r="C1108" s="188">
        <f t="shared" si="17"/>
        <v>2</v>
      </c>
      <c r="D1108" s="188" t="b">
        <f>LineærRegression_Valg[[#This Row],[Afhængig variabel ID]]&lt;&gt;LineærRegression_Valg[[#This Row],[Uafhængig variabel ID]]</f>
        <v>1</v>
      </c>
      <c r="E1108" t="b">
        <f>LineærRegression_Valg[[#This Row],[Afhængig variabel ID]]&lt;=$B$5</f>
        <v>0</v>
      </c>
      <c r="F1108" t="str" cm="1">
        <f t="array" ref="F1108">IF(LineærRegression_Valg[[#This Row],[Indenfor range]],INDEX(DataTitel_liste,LineærRegression_Valg[[#This Row],[Afhængig variabel ID]]),INDEX(DataTitel_liste,1))</f>
        <v>Eksempel 1 (interval)</v>
      </c>
      <c r="G1108" s="188" t="str" cm="1">
        <f t="array" ref="G1108">IF(LineærRegression_Valg[[#This Row],[Indenfor range]],IF(LineærRegression_Valg[[#This Row],[Intet overlap]],INDEX(DataTitel_liste,LineærRegression_Valg[[#This Row],[Uafhængig variabel ID]]),INDEX(DataTitel_liste,IF(LineærRegression_Valg[[#This Row],[Afhængig variabel ID]]=1,2,1))),$B$7)</f>
        <v>Eksempel 2 (interval)</v>
      </c>
      <c r="H1108" s="188">
        <f>_xlfn.AGGREGATE(2,5,LineærRegression_Valg[[#This Row],[Tabel ID]])</f>
        <v>1</v>
      </c>
    </row>
    <row r="1109" spans="1:8" x14ac:dyDescent="0.2">
      <c r="A1109">
        <f>ROW(LineærRegression_Valg[[#This Row],[Tabel ID]])-ROW(LineærRegression_Valg[[#Headers],[Tabel ID]])</f>
        <v>1099</v>
      </c>
      <c r="B1109" s="188">
        <f>ROUNDDOWN((LineærRegression_Valg[[#This Row],[Tabel ID]]-1)/$B$5,0)+1</f>
        <v>275</v>
      </c>
      <c r="C1109" s="188">
        <f t="shared" si="17"/>
        <v>3</v>
      </c>
      <c r="D1109" s="188" t="b">
        <f>LineærRegression_Valg[[#This Row],[Afhængig variabel ID]]&lt;&gt;LineærRegression_Valg[[#This Row],[Uafhængig variabel ID]]</f>
        <v>1</v>
      </c>
      <c r="E1109" t="b">
        <f>LineærRegression_Valg[[#This Row],[Afhængig variabel ID]]&lt;=$B$5</f>
        <v>0</v>
      </c>
      <c r="F1109" t="str" cm="1">
        <f t="array" ref="F1109">IF(LineærRegression_Valg[[#This Row],[Indenfor range]],INDEX(DataTitel_liste,LineærRegression_Valg[[#This Row],[Afhængig variabel ID]]),INDEX(DataTitel_liste,1))</f>
        <v>Eksempel 1 (interval)</v>
      </c>
      <c r="G1109" s="188" t="str" cm="1">
        <f t="array" ref="G1109">IF(LineærRegression_Valg[[#This Row],[Indenfor range]],IF(LineærRegression_Valg[[#This Row],[Intet overlap]],INDEX(DataTitel_liste,LineærRegression_Valg[[#This Row],[Uafhængig variabel ID]]),INDEX(DataTitel_liste,IF(LineærRegression_Valg[[#This Row],[Afhængig variabel ID]]=1,2,1))),$B$7)</f>
        <v>Eksempel 2 (interval)</v>
      </c>
      <c r="H1109" s="188">
        <f>_xlfn.AGGREGATE(2,5,LineærRegression_Valg[[#This Row],[Tabel ID]])</f>
        <v>1</v>
      </c>
    </row>
    <row r="1110" spans="1:8" x14ac:dyDescent="0.2">
      <c r="A1110">
        <f>ROW(LineærRegression_Valg[[#This Row],[Tabel ID]])-ROW(LineærRegression_Valg[[#Headers],[Tabel ID]])</f>
        <v>1100</v>
      </c>
      <c r="B1110" s="188">
        <f>ROUNDDOWN((LineærRegression_Valg[[#This Row],[Tabel ID]]-1)/$B$5,0)+1</f>
        <v>275</v>
      </c>
      <c r="C1110" s="188">
        <f t="shared" si="17"/>
        <v>4</v>
      </c>
      <c r="D1110" s="188" t="b">
        <f>LineærRegression_Valg[[#This Row],[Afhængig variabel ID]]&lt;&gt;LineærRegression_Valg[[#This Row],[Uafhængig variabel ID]]</f>
        <v>1</v>
      </c>
      <c r="E1110" t="b">
        <f>LineærRegression_Valg[[#This Row],[Afhængig variabel ID]]&lt;=$B$5</f>
        <v>0</v>
      </c>
      <c r="F1110" t="str" cm="1">
        <f t="array" ref="F1110">IF(LineærRegression_Valg[[#This Row],[Indenfor range]],INDEX(DataTitel_liste,LineærRegression_Valg[[#This Row],[Afhængig variabel ID]]),INDEX(DataTitel_liste,1))</f>
        <v>Eksempel 1 (interval)</v>
      </c>
      <c r="G1110" s="188" t="str" cm="1">
        <f t="array" ref="G1110">IF(LineærRegression_Valg[[#This Row],[Indenfor range]],IF(LineærRegression_Valg[[#This Row],[Intet overlap]],INDEX(DataTitel_liste,LineærRegression_Valg[[#This Row],[Uafhængig variabel ID]]),INDEX(DataTitel_liste,IF(LineærRegression_Valg[[#This Row],[Afhængig variabel ID]]=1,2,1))),$B$7)</f>
        <v>Eksempel 2 (interval)</v>
      </c>
      <c r="H1110" s="188">
        <f>_xlfn.AGGREGATE(2,5,LineærRegression_Valg[[#This Row],[Tabel ID]])</f>
        <v>1</v>
      </c>
    </row>
    <row r="1111" spans="1:8" x14ac:dyDescent="0.2">
      <c r="A1111">
        <f>ROW(LineærRegression_Valg[[#This Row],[Tabel ID]])-ROW(LineærRegression_Valg[[#Headers],[Tabel ID]])</f>
        <v>1101</v>
      </c>
      <c r="B1111" s="188">
        <f>ROUNDDOWN((LineærRegression_Valg[[#This Row],[Tabel ID]]-1)/$B$5,0)+1</f>
        <v>276</v>
      </c>
      <c r="C1111" s="188">
        <f t="shared" si="17"/>
        <v>1</v>
      </c>
      <c r="D1111" s="188" t="b">
        <f>LineærRegression_Valg[[#This Row],[Afhængig variabel ID]]&lt;&gt;LineærRegression_Valg[[#This Row],[Uafhængig variabel ID]]</f>
        <v>1</v>
      </c>
      <c r="E1111" t="b">
        <f>LineærRegression_Valg[[#This Row],[Afhængig variabel ID]]&lt;=$B$5</f>
        <v>0</v>
      </c>
      <c r="F1111" t="str" cm="1">
        <f t="array" ref="F1111">IF(LineærRegression_Valg[[#This Row],[Indenfor range]],INDEX(DataTitel_liste,LineærRegression_Valg[[#This Row],[Afhængig variabel ID]]),INDEX(DataTitel_liste,1))</f>
        <v>Eksempel 1 (interval)</v>
      </c>
      <c r="G1111" s="188" t="str" cm="1">
        <f t="array" ref="G1111">IF(LineærRegression_Valg[[#This Row],[Indenfor range]],IF(LineærRegression_Valg[[#This Row],[Intet overlap]],INDEX(DataTitel_liste,LineærRegression_Valg[[#This Row],[Uafhængig variabel ID]]),INDEX(DataTitel_liste,IF(LineærRegression_Valg[[#This Row],[Afhængig variabel ID]]=1,2,1))),$B$7)</f>
        <v>Eksempel 2 (interval)</v>
      </c>
      <c r="H1111" s="188">
        <f>_xlfn.AGGREGATE(2,5,LineærRegression_Valg[[#This Row],[Tabel ID]])</f>
        <v>1</v>
      </c>
    </row>
    <row r="1112" spans="1:8" x14ac:dyDescent="0.2">
      <c r="A1112">
        <f>ROW(LineærRegression_Valg[[#This Row],[Tabel ID]])-ROW(LineærRegression_Valg[[#Headers],[Tabel ID]])</f>
        <v>1102</v>
      </c>
      <c r="B1112" s="188">
        <f>ROUNDDOWN((LineærRegression_Valg[[#This Row],[Tabel ID]]-1)/$B$5,0)+1</f>
        <v>276</v>
      </c>
      <c r="C1112" s="188">
        <f t="shared" si="17"/>
        <v>2</v>
      </c>
      <c r="D1112" s="188" t="b">
        <f>LineærRegression_Valg[[#This Row],[Afhængig variabel ID]]&lt;&gt;LineærRegression_Valg[[#This Row],[Uafhængig variabel ID]]</f>
        <v>1</v>
      </c>
      <c r="E1112" t="b">
        <f>LineærRegression_Valg[[#This Row],[Afhængig variabel ID]]&lt;=$B$5</f>
        <v>0</v>
      </c>
      <c r="F1112" t="str" cm="1">
        <f t="array" ref="F1112">IF(LineærRegression_Valg[[#This Row],[Indenfor range]],INDEX(DataTitel_liste,LineærRegression_Valg[[#This Row],[Afhængig variabel ID]]),INDEX(DataTitel_liste,1))</f>
        <v>Eksempel 1 (interval)</v>
      </c>
      <c r="G1112" s="188" t="str" cm="1">
        <f t="array" ref="G1112">IF(LineærRegression_Valg[[#This Row],[Indenfor range]],IF(LineærRegression_Valg[[#This Row],[Intet overlap]],INDEX(DataTitel_liste,LineærRegression_Valg[[#This Row],[Uafhængig variabel ID]]),INDEX(DataTitel_liste,IF(LineærRegression_Valg[[#This Row],[Afhængig variabel ID]]=1,2,1))),$B$7)</f>
        <v>Eksempel 2 (interval)</v>
      </c>
      <c r="H1112" s="188">
        <f>_xlfn.AGGREGATE(2,5,LineærRegression_Valg[[#This Row],[Tabel ID]])</f>
        <v>1</v>
      </c>
    </row>
    <row r="1113" spans="1:8" x14ac:dyDescent="0.2">
      <c r="A1113">
        <f>ROW(LineærRegression_Valg[[#This Row],[Tabel ID]])-ROW(LineærRegression_Valg[[#Headers],[Tabel ID]])</f>
        <v>1103</v>
      </c>
      <c r="B1113" s="188">
        <f>ROUNDDOWN((LineærRegression_Valg[[#This Row],[Tabel ID]]-1)/$B$5,0)+1</f>
        <v>276</v>
      </c>
      <c r="C1113" s="188">
        <f t="shared" si="17"/>
        <v>3</v>
      </c>
      <c r="D1113" s="188" t="b">
        <f>LineærRegression_Valg[[#This Row],[Afhængig variabel ID]]&lt;&gt;LineærRegression_Valg[[#This Row],[Uafhængig variabel ID]]</f>
        <v>1</v>
      </c>
      <c r="E1113" t="b">
        <f>LineærRegression_Valg[[#This Row],[Afhængig variabel ID]]&lt;=$B$5</f>
        <v>0</v>
      </c>
      <c r="F1113" t="str" cm="1">
        <f t="array" ref="F1113">IF(LineærRegression_Valg[[#This Row],[Indenfor range]],INDEX(DataTitel_liste,LineærRegression_Valg[[#This Row],[Afhængig variabel ID]]),INDEX(DataTitel_liste,1))</f>
        <v>Eksempel 1 (interval)</v>
      </c>
      <c r="G1113" s="188" t="str" cm="1">
        <f t="array" ref="G1113">IF(LineærRegression_Valg[[#This Row],[Indenfor range]],IF(LineærRegression_Valg[[#This Row],[Intet overlap]],INDEX(DataTitel_liste,LineærRegression_Valg[[#This Row],[Uafhængig variabel ID]]),INDEX(DataTitel_liste,IF(LineærRegression_Valg[[#This Row],[Afhængig variabel ID]]=1,2,1))),$B$7)</f>
        <v>Eksempel 2 (interval)</v>
      </c>
      <c r="H1113" s="188">
        <f>_xlfn.AGGREGATE(2,5,LineærRegression_Valg[[#This Row],[Tabel ID]])</f>
        <v>1</v>
      </c>
    </row>
    <row r="1114" spans="1:8" x14ac:dyDescent="0.2">
      <c r="A1114">
        <f>ROW(LineærRegression_Valg[[#This Row],[Tabel ID]])-ROW(LineærRegression_Valg[[#Headers],[Tabel ID]])</f>
        <v>1104</v>
      </c>
      <c r="B1114" s="188">
        <f>ROUNDDOWN((LineærRegression_Valg[[#This Row],[Tabel ID]]-1)/$B$5,0)+1</f>
        <v>276</v>
      </c>
      <c r="C1114" s="188">
        <f t="shared" si="17"/>
        <v>4</v>
      </c>
      <c r="D1114" s="188" t="b">
        <f>LineærRegression_Valg[[#This Row],[Afhængig variabel ID]]&lt;&gt;LineærRegression_Valg[[#This Row],[Uafhængig variabel ID]]</f>
        <v>1</v>
      </c>
      <c r="E1114" t="b">
        <f>LineærRegression_Valg[[#This Row],[Afhængig variabel ID]]&lt;=$B$5</f>
        <v>0</v>
      </c>
      <c r="F1114" t="str" cm="1">
        <f t="array" ref="F1114">IF(LineærRegression_Valg[[#This Row],[Indenfor range]],INDEX(DataTitel_liste,LineærRegression_Valg[[#This Row],[Afhængig variabel ID]]),INDEX(DataTitel_liste,1))</f>
        <v>Eksempel 1 (interval)</v>
      </c>
      <c r="G1114" s="188" t="str" cm="1">
        <f t="array" ref="G1114">IF(LineærRegression_Valg[[#This Row],[Indenfor range]],IF(LineærRegression_Valg[[#This Row],[Intet overlap]],INDEX(DataTitel_liste,LineærRegression_Valg[[#This Row],[Uafhængig variabel ID]]),INDEX(DataTitel_liste,IF(LineærRegression_Valg[[#This Row],[Afhængig variabel ID]]=1,2,1))),$B$7)</f>
        <v>Eksempel 2 (interval)</v>
      </c>
      <c r="H1114" s="188">
        <f>_xlfn.AGGREGATE(2,5,LineærRegression_Valg[[#This Row],[Tabel ID]])</f>
        <v>1</v>
      </c>
    </row>
    <row r="1115" spans="1:8" x14ac:dyDescent="0.2">
      <c r="A1115">
        <f>ROW(LineærRegression_Valg[[#This Row],[Tabel ID]])-ROW(LineærRegression_Valg[[#Headers],[Tabel ID]])</f>
        <v>1105</v>
      </c>
      <c r="B1115" s="188">
        <f>ROUNDDOWN((LineærRegression_Valg[[#This Row],[Tabel ID]]-1)/$B$5,0)+1</f>
        <v>277</v>
      </c>
      <c r="C1115" s="188">
        <f t="shared" si="17"/>
        <v>1</v>
      </c>
      <c r="D1115" s="188" t="b">
        <f>LineærRegression_Valg[[#This Row],[Afhængig variabel ID]]&lt;&gt;LineærRegression_Valg[[#This Row],[Uafhængig variabel ID]]</f>
        <v>1</v>
      </c>
      <c r="E1115" t="b">
        <f>LineærRegression_Valg[[#This Row],[Afhængig variabel ID]]&lt;=$B$5</f>
        <v>0</v>
      </c>
      <c r="F1115" t="str" cm="1">
        <f t="array" ref="F1115">IF(LineærRegression_Valg[[#This Row],[Indenfor range]],INDEX(DataTitel_liste,LineærRegression_Valg[[#This Row],[Afhængig variabel ID]]),INDEX(DataTitel_liste,1))</f>
        <v>Eksempel 1 (interval)</v>
      </c>
      <c r="G1115" s="188" t="str" cm="1">
        <f t="array" ref="G1115">IF(LineærRegression_Valg[[#This Row],[Indenfor range]],IF(LineærRegression_Valg[[#This Row],[Intet overlap]],INDEX(DataTitel_liste,LineærRegression_Valg[[#This Row],[Uafhængig variabel ID]]),INDEX(DataTitel_liste,IF(LineærRegression_Valg[[#This Row],[Afhængig variabel ID]]=1,2,1))),$B$7)</f>
        <v>Eksempel 2 (interval)</v>
      </c>
      <c r="H1115" s="188">
        <f>_xlfn.AGGREGATE(2,5,LineærRegression_Valg[[#This Row],[Tabel ID]])</f>
        <v>1</v>
      </c>
    </row>
    <row r="1116" spans="1:8" x14ac:dyDescent="0.2">
      <c r="A1116">
        <f>ROW(LineærRegression_Valg[[#This Row],[Tabel ID]])-ROW(LineærRegression_Valg[[#Headers],[Tabel ID]])</f>
        <v>1106</v>
      </c>
      <c r="B1116" s="188">
        <f>ROUNDDOWN((LineærRegression_Valg[[#This Row],[Tabel ID]]-1)/$B$5,0)+1</f>
        <v>277</v>
      </c>
      <c r="C1116" s="188">
        <f t="shared" si="17"/>
        <v>2</v>
      </c>
      <c r="D1116" s="188" t="b">
        <f>LineærRegression_Valg[[#This Row],[Afhængig variabel ID]]&lt;&gt;LineærRegression_Valg[[#This Row],[Uafhængig variabel ID]]</f>
        <v>1</v>
      </c>
      <c r="E1116" t="b">
        <f>LineærRegression_Valg[[#This Row],[Afhængig variabel ID]]&lt;=$B$5</f>
        <v>0</v>
      </c>
      <c r="F1116" t="str" cm="1">
        <f t="array" ref="F1116">IF(LineærRegression_Valg[[#This Row],[Indenfor range]],INDEX(DataTitel_liste,LineærRegression_Valg[[#This Row],[Afhængig variabel ID]]),INDEX(DataTitel_liste,1))</f>
        <v>Eksempel 1 (interval)</v>
      </c>
      <c r="G1116" s="188" t="str" cm="1">
        <f t="array" ref="G1116">IF(LineærRegression_Valg[[#This Row],[Indenfor range]],IF(LineærRegression_Valg[[#This Row],[Intet overlap]],INDEX(DataTitel_liste,LineærRegression_Valg[[#This Row],[Uafhængig variabel ID]]),INDEX(DataTitel_liste,IF(LineærRegression_Valg[[#This Row],[Afhængig variabel ID]]=1,2,1))),$B$7)</f>
        <v>Eksempel 2 (interval)</v>
      </c>
      <c r="H1116" s="188">
        <f>_xlfn.AGGREGATE(2,5,LineærRegression_Valg[[#This Row],[Tabel ID]])</f>
        <v>1</v>
      </c>
    </row>
    <row r="1117" spans="1:8" x14ac:dyDescent="0.2">
      <c r="A1117">
        <f>ROW(LineærRegression_Valg[[#This Row],[Tabel ID]])-ROW(LineærRegression_Valg[[#Headers],[Tabel ID]])</f>
        <v>1107</v>
      </c>
      <c r="B1117" s="188">
        <f>ROUNDDOWN((LineærRegression_Valg[[#This Row],[Tabel ID]]-1)/$B$5,0)+1</f>
        <v>277</v>
      </c>
      <c r="C1117" s="188">
        <f t="shared" si="17"/>
        <v>3</v>
      </c>
      <c r="D1117" s="188" t="b">
        <f>LineærRegression_Valg[[#This Row],[Afhængig variabel ID]]&lt;&gt;LineærRegression_Valg[[#This Row],[Uafhængig variabel ID]]</f>
        <v>1</v>
      </c>
      <c r="E1117" t="b">
        <f>LineærRegression_Valg[[#This Row],[Afhængig variabel ID]]&lt;=$B$5</f>
        <v>0</v>
      </c>
      <c r="F1117" t="str" cm="1">
        <f t="array" ref="F1117">IF(LineærRegression_Valg[[#This Row],[Indenfor range]],INDEX(DataTitel_liste,LineærRegression_Valg[[#This Row],[Afhængig variabel ID]]),INDEX(DataTitel_liste,1))</f>
        <v>Eksempel 1 (interval)</v>
      </c>
      <c r="G1117" s="188" t="str" cm="1">
        <f t="array" ref="G1117">IF(LineærRegression_Valg[[#This Row],[Indenfor range]],IF(LineærRegression_Valg[[#This Row],[Intet overlap]],INDEX(DataTitel_liste,LineærRegression_Valg[[#This Row],[Uafhængig variabel ID]]),INDEX(DataTitel_liste,IF(LineærRegression_Valg[[#This Row],[Afhængig variabel ID]]=1,2,1))),$B$7)</f>
        <v>Eksempel 2 (interval)</v>
      </c>
      <c r="H1117" s="188">
        <f>_xlfn.AGGREGATE(2,5,LineærRegression_Valg[[#This Row],[Tabel ID]])</f>
        <v>1</v>
      </c>
    </row>
    <row r="1118" spans="1:8" x14ac:dyDescent="0.2">
      <c r="A1118">
        <f>ROW(LineærRegression_Valg[[#This Row],[Tabel ID]])-ROW(LineærRegression_Valg[[#Headers],[Tabel ID]])</f>
        <v>1108</v>
      </c>
      <c r="B1118" s="188">
        <f>ROUNDDOWN((LineærRegression_Valg[[#This Row],[Tabel ID]]-1)/$B$5,0)+1</f>
        <v>277</v>
      </c>
      <c r="C1118" s="188">
        <f t="shared" si="17"/>
        <v>4</v>
      </c>
      <c r="D1118" s="188" t="b">
        <f>LineærRegression_Valg[[#This Row],[Afhængig variabel ID]]&lt;&gt;LineærRegression_Valg[[#This Row],[Uafhængig variabel ID]]</f>
        <v>1</v>
      </c>
      <c r="E1118" t="b">
        <f>LineærRegression_Valg[[#This Row],[Afhængig variabel ID]]&lt;=$B$5</f>
        <v>0</v>
      </c>
      <c r="F1118" t="str" cm="1">
        <f t="array" ref="F1118">IF(LineærRegression_Valg[[#This Row],[Indenfor range]],INDEX(DataTitel_liste,LineærRegression_Valg[[#This Row],[Afhængig variabel ID]]),INDEX(DataTitel_liste,1))</f>
        <v>Eksempel 1 (interval)</v>
      </c>
      <c r="G1118" s="188" t="str" cm="1">
        <f t="array" ref="G1118">IF(LineærRegression_Valg[[#This Row],[Indenfor range]],IF(LineærRegression_Valg[[#This Row],[Intet overlap]],INDEX(DataTitel_liste,LineærRegression_Valg[[#This Row],[Uafhængig variabel ID]]),INDEX(DataTitel_liste,IF(LineærRegression_Valg[[#This Row],[Afhængig variabel ID]]=1,2,1))),$B$7)</f>
        <v>Eksempel 2 (interval)</v>
      </c>
      <c r="H1118" s="188">
        <f>_xlfn.AGGREGATE(2,5,LineærRegression_Valg[[#This Row],[Tabel ID]])</f>
        <v>1</v>
      </c>
    </row>
    <row r="1119" spans="1:8" x14ac:dyDescent="0.2">
      <c r="A1119">
        <f>ROW(LineærRegression_Valg[[#This Row],[Tabel ID]])-ROW(LineærRegression_Valg[[#Headers],[Tabel ID]])</f>
        <v>1109</v>
      </c>
      <c r="B1119" s="188">
        <f>ROUNDDOWN((LineærRegression_Valg[[#This Row],[Tabel ID]]-1)/$B$5,0)+1</f>
        <v>278</v>
      </c>
      <c r="C1119" s="188">
        <f t="shared" si="17"/>
        <v>1</v>
      </c>
      <c r="D1119" s="188" t="b">
        <f>LineærRegression_Valg[[#This Row],[Afhængig variabel ID]]&lt;&gt;LineærRegression_Valg[[#This Row],[Uafhængig variabel ID]]</f>
        <v>1</v>
      </c>
      <c r="E1119" t="b">
        <f>LineærRegression_Valg[[#This Row],[Afhængig variabel ID]]&lt;=$B$5</f>
        <v>0</v>
      </c>
      <c r="F1119" t="str" cm="1">
        <f t="array" ref="F1119">IF(LineærRegression_Valg[[#This Row],[Indenfor range]],INDEX(DataTitel_liste,LineærRegression_Valg[[#This Row],[Afhængig variabel ID]]),INDEX(DataTitel_liste,1))</f>
        <v>Eksempel 1 (interval)</v>
      </c>
      <c r="G1119" s="188" t="str" cm="1">
        <f t="array" ref="G1119">IF(LineærRegression_Valg[[#This Row],[Indenfor range]],IF(LineærRegression_Valg[[#This Row],[Intet overlap]],INDEX(DataTitel_liste,LineærRegression_Valg[[#This Row],[Uafhængig variabel ID]]),INDEX(DataTitel_liste,IF(LineærRegression_Valg[[#This Row],[Afhængig variabel ID]]=1,2,1))),$B$7)</f>
        <v>Eksempel 2 (interval)</v>
      </c>
      <c r="H1119" s="188">
        <f>_xlfn.AGGREGATE(2,5,LineærRegression_Valg[[#This Row],[Tabel ID]])</f>
        <v>1</v>
      </c>
    </row>
    <row r="1120" spans="1:8" x14ac:dyDescent="0.2">
      <c r="A1120">
        <f>ROW(LineærRegression_Valg[[#This Row],[Tabel ID]])-ROW(LineærRegression_Valg[[#Headers],[Tabel ID]])</f>
        <v>1110</v>
      </c>
      <c r="B1120" s="188">
        <f>ROUNDDOWN((LineærRegression_Valg[[#This Row],[Tabel ID]]-1)/$B$5,0)+1</f>
        <v>278</v>
      </c>
      <c r="C1120" s="188">
        <f t="shared" si="17"/>
        <v>2</v>
      </c>
      <c r="D1120" s="188" t="b">
        <f>LineærRegression_Valg[[#This Row],[Afhængig variabel ID]]&lt;&gt;LineærRegression_Valg[[#This Row],[Uafhængig variabel ID]]</f>
        <v>1</v>
      </c>
      <c r="E1120" t="b">
        <f>LineærRegression_Valg[[#This Row],[Afhængig variabel ID]]&lt;=$B$5</f>
        <v>0</v>
      </c>
      <c r="F1120" t="str" cm="1">
        <f t="array" ref="F1120">IF(LineærRegression_Valg[[#This Row],[Indenfor range]],INDEX(DataTitel_liste,LineærRegression_Valg[[#This Row],[Afhængig variabel ID]]),INDEX(DataTitel_liste,1))</f>
        <v>Eksempel 1 (interval)</v>
      </c>
      <c r="G1120" s="188" t="str" cm="1">
        <f t="array" ref="G1120">IF(LineærRegression_Valg[[#This Row],[Indenfor range]],IF(LineærRegression_Valg[[#This Row],[Intet overlap]],INDEX(DataTitel_liste,LineærRegression_Valg[[#This Row],[Uafhængig variabel ID]]),INDEX(DataTitel_liste,IF(LineærRegression_Valg[[#This Row],[Afhængig variabel ID]]=1,2,1))),$B$7)</f>
        <v>Eksempel 2 (interval)</v>
      </c>
      <c r="H1120" s="188">
        <f>_xlfn.AGGREGATE(2,5,LineærRegression_Valg[[#This Row],[Tabel ID]])</f>
        <v>1</v>
      </c>
    </row>
    <row r="1121" spans="1:8" x14ac:dyDescent="0.2">
      <c r="A1121">
        <f>ROW(LineærRegression_Valg[[#This Row],[Tabel ID]])-ROW(LineærRegression_Valg[[#Headers],[Tabel ID]])</f>
        <v>1111</v>
      </c>
      <c r="B1121" s="188">
        <f>ROUNDDOWN((LineærRegression_Valg[[#This Row],[Tabel ID]]-1)/$B$5,0)+1</f>
        <v>278</v>
      </c>
      <c r="C1121" s="188">
        <f t="shared" si="17"/>
        <v>3</v>
      </c>
      <c r="D1121" s="188" t="b">
        <f>LineærRegression_Valg[[#This Row],[Afhængig variabel ID]]&lt;&gt;LineærRegression_Valg[[#This Row],[Uafhængig variabel ID]]</f>
        <v>1</v>
      </c>
      <c r="E1121" t="b">
        <f>LineærRegression_Valg[[#This Row],[Afhængig variabel ID]]&lt;=$B$5</f>
        <v>0</v>
      </c>
      <c r="F1121" t="str" cm="1">
        <f t="array" ref="F1121">IF(LineærRegression_Valg[[#This Row],[Indenfor range]],INDEX(DataTitel_liste,LineærRegression_Valg[[#This Row],[Afhængig variabel ID]]),INDEX(DataTitel_liste,1))</f>
        <v>Eksempel 1 (interval)</v>
      </c>
      <c r="G1121" s="188" t="str" cm="1">
        <f t="array" ref="G1121">IF(LineærRegression_Valg[[#This Row],[Indenfor range]],IF(LineærRegression_Valg[[#This Row],[Intet overlap]],INDEX(DataTitel_liste,LineærRegression_Valg[[#This Row],[Uafhængig variabel ID]]),INDEX(DataTitel_liste,IF(LineærRegression_Valg[[#This Row],[Afhængig variabel ID]]=1,2,1))),$B$7)</f>
        <v>Eksempel 2 (interval)</v>
      </c>
      <c r="H1121" s="188">
        <f>_xlfn.AGGREGATE(2,5,LineærRegression_Valg[[#This Row],[Tabel ID]])</f>
        <v>1</v>
      </c>
    </row>
    <row r="1122" spans="1:8" x14ac:dyDescent="0.2">
      <c r="A1122">
        <f>ROW(LineærRegression_Valg[[#This Row],[Tabel ID]])-ROW(LineærRegression_Valg[[#Headers],[Tabel ID]])</f>
        <v>1112</v>
      </c>
      <c r="B1122" s="188">
        <f>ROUNDDOWN((LineærRegression_Valg[[#This Row],[Tabel ID]]-1)/$B$5,0)+1</f>
        <v>278</v>
      </c>
      <c r="C1122" s="188">
        <f t="shared" si="17"/>
        <v>4</v>
      </c>
      <c r="D1122" s="188" t="b">
        <f>LineærRegression_Valg[[#This Row],[Afhængig variabel ID]]&lt;&gt;LineærRegression_Valg[[#This Row],[Uafhængig variabel ID]]</f>
        <v>1</v>
      </c>
      <c r="E1122" t="b">
        <f>LineærRegression_Valg[[#This Row],[Afhængig variabel ID]]&lt;=$B$5</f>
        <v>0</v>
      </c>
      <c r="F1122" t="str" cm="1">
        <f t="array" ref="F1122">IF(LineærRegression_Valg[[#This Row],[Indenfor range]],INDEX(DataTitel_liste,LineærRegression_Valg[[#This Row],[Afhængig variabel ID]]),INDEX(DataTitel_liste,1))</f>
        <v>Eksempel 1 (interval)</v>
      </c>
      <c r="G1122" s="188" t="str" cm="1">
        <f t="array" ref="G1122">IF(LineærRegression_Valg[[#This Row],[Indenfor range]],IF(LineærRegression_Valg[[#This Row],[Intet overlap]],INDEX(DataTitel_liste,LineærRegression_Valg[[#This Row],[Uafhængig variabel ID]]),INDEX(DataTitel_liste,IF(LineærRegression_Valg[[#This Row],[Afhængig variabel ID]]=1,2,1))),$B$7)</f>
        <v>Eksempel 2 (interval)</v>
      </c>
      <c r="H1122" s="188">
        <f>_xlfn.AGGREGATE(2,5,LineærRegression_Valg[[#This Row],[Tabel ID]])</f>
        <v>1</v>
      </c>
    </row>
    <row r="1123" spans="1:8" x14ac:dyDescent="0.2">
      <c r="A1123">
        <f>ROW(LineærRegression_Valg[[#This Row],[Tabel ID]])-ROW(LineærRegression_Valg[[#Headers],[Tabel ID]])</f>
        <v>1113</v>
      </c>
      <c r="B1123" s="188">
        <f>ROUNDDOWN((LineærRegression_Valg[[#This Row],[Tabel ID]]-1)/$B$5,0)+1</f>
        <v>279</v>
      </c>
      <c r="C1123" s="188">
        <f t="shared" si="17"/>
        <v>1</v>
      </c>
      <c r="D1123" s="188" t="b">
        <f>LineærRegression_Valg[[#This Row],[Afhængig variabel ID]]&lt;&gt;LineærRegression_Valg[[#This Row],[Uafhængig variabel ID]]</f>
        <v>1</v>
      </c>
      <c r="E1123" t="b">
        <f>LineærRegression_Valg[[#This Row],[Afhængig variabel ID]]&lt;=$B$5</f>
        <v>0</v>
      </c>
      <c r="F1123" t="str" cm="1">
        <f t="array" ref="F1123">IF(LineærRegression_Valg[[#This Row],[Indenfor range]],INDEX(DataTitel_liste,LineærRegression_Valg[[#This Row],[Afhængig variabel ID]]),INDEX(DataTitel_liste,1))</f>
        <v>Eksempel 1 (interval)</v>
      </c>
      <c r="G1123" s="188" t="str" cm="1">
        <f t="array" ref="G1123">IF(LineærRegression_Valg[[#This Row],[Indenfor range]],IF(LineærRegression_Valg[[#This Row],[Intet overlap]],INDEX(DataTitel_liste,LineærRegression_Valg[[#This Row],[Uafhængig variabel ID]]),INDEX(DataTitel_liste,IF(LineærRegression_Valg[[#This Row],[Afhængig variabel ID]]=1,2,1))),$B$7)</f>
        <v>Eksempel 2 (interval)</v>
      </c>
      <c r="H1123" s="188">
        <f>_xlfn.AGGREGATE(2,5,LineærRegression_Valg[[#This Row],[Tabel ID]])</f>
        <v>1</v>
      </c>
    </row>
    <row r="1124" spans="1:8" x14ac:dyDescent="0.2">
      <c r="A1124">
        <f>ROW(LineærRegression_Valg[[#This Row],[Tabel ID]])-ROW(LineærRegression_Valg[[#Headers],[Tabel ID]])</f>
        <v>1114</v>
      </c>
      <c r="B1124" s="188">
        <f>ROUNDDOWN((LineærRegression_Valg[[#This Row],[Tabel ID]]-1)/$B$5,0)+1</f>
        <v>279</v>
      </c>
      <c r="C1124" s="188">
        <f t="shared" si="17"/>
        <v>2</v>
      </c>
      <c r="D1124" s="188" t="b">
        <f>LineærRegression_Valg[[#This Row],[Afhængig variabel ID]]&lt;&gt;LineærRegression_Valg[[#This Row],[Uafhængig variabel ID]]</f>
        <v>1</v>
      </c>
      <c r="E1124" t="b">
        <f>LineærRegression_Valg[[#This Row],[Afhængig variabel ID]]&lt;=$B$5</f>
        <v>0</v>
      </c>
      <c r="F1124" t="str" cm="1">
        <f t="array" ref="F1124">IF(LineærRegression_Valg[[#This Row],[Indenfor range]],INDEX(DataTitel_liste,LineærRegression_Valg[[#This Row],[Afhængig variabel ID]]),INDEX(DataTitel_liste,1))</f>
        <v>Eksempel 1 (interval)</v>
      </c>
      <c r="G1124" s="188" t="str" cm="1">
        <f t="array" ref="G1124">IF(LineærRegression_Valg[[#This Row],[Indenfor range]],IF(LineærRegression_Valg[[#This Row],[Intet overlap]],INDEX(DataTitel_liste,LineærRegression_Valg[[#This Row],[Uafhængig variabel ID]]),INDEX(DataTitel_liste,IF(LineærRegression_Valg[[#This Row],[Afhængig variabel ID]]=1,2,1))),$B$7)</f>
        <v>Eksempel 2 (interval)</v>
      </c>
      <c r="H1124" s="188">
        <f>_xlfn.AGGREGATE(2,5,LineærRegression_Valg[[#This Row],[Tabel ID]])</f>
        <v>1</v>
      </c>
    </row>
    <row r="1125" spans="1:8" x14ac:dyDescent="0.2">
      <c r="A1125">
        <f>ROW(LineærRegression_Valg[[#This Row],[Tabel ID]])-ROW(LineærRegression_Valg[[#Headers],[Tabel ID]])</f>
        <v>1115</v>
      </c>
      <c r="B1125" s="188">
        <f>ROUNDDOWN((LineærRegression_Valg[[#This Row],[Tabel ID]]-1)/$B$5,0)+1</f>
        <v>279</v>
      </c>
      <c r="C1125" s="188">
        <f t="shared" si="17"/>
        <v>3</v>
      </c>
      <c r="D1125" s="188" t="b">
        <f>LineærRegression_Valg[[#This Row],[Afhængig variabel ID]]&lt;&gt;LineærRegression_Valg[[#This Row],[Uafhængig variabel ID]]</f>
        <v>1</v>
      </c>
      <c r="E1125" t="b">
        <f>LineærRegression_Valg[[#This Row],[Afhængig variabel ID]]&lt;=$B$5</f>
        <v>0</v>
      </c>
      <c r="F1125" t="str" cm="1">
        <f t="array" ref="F1125">IF(LineærRegression_Valg[[#This Row],[Indenfor range]],INDEX(DataTitel_liste,LineærRegression_Valg[[#This Row],[Afhængig variabel ID]]),INDEX(DataTitel_liste,1))</f>
        <v>Eksempel 1 (interval)</v>
      </c>
      <c r="G1125" s="188" t="str" cm="1">
        <f t="array" ref="G1125">IF(LineærRegression_Valg[[#This Row],[Indenfor range]],IF(LineærRegression_Valg[[#This Row],[Intet overlap]],INDEX(DataTitel_liste,LineærRegression_Valg[[#This Row],[Uafhængig variabel ID]]),INDEX(DataTitel_liste,IF(LineærRegression_Valg[[#This Row],[Afhængig variabel ID]]=1,2,1))),$B$7)</f>
        <v>Eksempel 2 (interval)</v>
      </c>
      <c r="H1125" s="188">
        <f>_xlfn.AGGREGATE(2,5,LineærRegression_Valg[[#This Row],[Tabel ID]])</f>
        <v>1</v>
      </c>
    </row>
    <row r="1126" spans="1:8" x14ac:dyDescent="0.2">
      <c r="A1126">
        <f>ROW(LineærRegression_Valg[[#This Row],[Tabel ID]])-ROW(LineærRegression_Valg[[#Headers],[Tabel ID]])</f>
        <v>1116</v>
      </c>
      <c r="B1126" s="188">
        <f>ROUNDDOWN((LineærRegression_Valg[[#This Row],[Tabel ID]]-1)/$B$5,0)+1</f>
        <v>279</v>
      </c>
      <c r="C1126" s="188">
        <f t="shared" si="17"/>
        <v>4</v>
      </c>
      <c r="D1126" s="188" t="b">
        <f>LineærRegression_Valg[[#This Row],[Afhængig variabel ID]]&lt;&gt;LineærRegression_Valg[[#This Row],[Uafhængig variabel ID]]</f>
        <v>1</v>
      </c>
      <c r="E1126" t="b">
        <f>LineærRegression_Valg[[#This Row],[Afhængig variabel ID]]&lt;=$B$5</f>
        <v>0</v>
      </c>
      <c r="F1126" t="str" cm="1">
        <f t="array" ref="F1126">IF(LineærRegression_Valg[[#This Row],[Indenfor range]],INDEX(DataTitel_liste,LineærRegression_Valg[[#This Row],[Afhængig variabel ID]]),INDEX(DataTitel_liste,1))</f>
        <v>Eksempel 1 (interval)</v>
      </c>
      <c r="G1126" s="188" t="str" cm="1">
        <f t="array" ref="G1126">IF(LineærRegression_Valg[[#This Row],[Indenfor range]],IF(LineærRegression_Valg[[#This Row],[Intet overlap]],INDEX(DataTitel_liste,LineærRegression_Valg[[#This Row],[Uafhængig variabel ID]]),INDEX(DataTitel_liste,IF(LineærRegression_Valg[[#This Row],[Afhængig variabel ID]]=1,2,1))),$B$7)</f>
        <v>Eksempel 2 (interval)</v>
      </c>
      <c r="H1126" s="188">
        <f>_xlfn.AGGREGATE(2,5,LineærRegression_Valg[[#This Row],[Tabel ID]])</f>
        <v>1</v>
      </c>
    </row>
    <row r="1127" spans="1:8" x14ac:dyDescent="0.2">
      <c r="A1127">
        <f>ROW(LineærRegression_Valg[[#This Row],[Tabel ID]])-ROW(LineærRegression_Valg[[#Headers],[Tabel ID]])</f>
        <v>1117</v>
      </c>
      <c r="B1127" s="188">
        <f>ROUNDDOWN((LineærRegression_Valg[[#This Row],[Tabel ID]]-1)/$B$5,0)+1</f>
        <v>280</v>
      </c>
      <c r="C1127" s="188">
        <f t="shared" si="17"/>
        <v>1</v>
      </c>
      <c r="D1127" s="188" t="b">
        <f>LineærRegression_Valg[[#This Row],[Afhængig variabel ID]]&lt;&gt;LineærRegression_Valg[[#This Row],[Uafhængig variabel ID]]</f>
        <v>1</v>
      </c>
      <c r="E1127" t="b">
        <f>LineærRegression_Valg[[#This Row],[Afhængig variabel ID]]&lt;=$B$5</f>
        <v>0</v>
      </c>
      <c r="F1127" t="str" cm="1">
        <f t="array" ref="F1127">IF(LineærRegression_Valg[[#This Row],[Indenfor range]],INDEX(DataTitel_liste,LineærRegression_Valg[[#This Row],[Afhængig variabel ID]]),INDEX(DataTitel_liste,1))</f>
        <v>Eksempel 1 (interval)</v>
      </c>
      <c r="G1127" s="188" t="str" cm="1">
        <f t="array" ref="G1127">IF(LineærRegression_Valg[[#This Row],[Indenfor range]],IF(LineærRegression_Valg[[#This Row],[Intet overlap]],INDEX(DataTitel_liste,LineærRegression_Valg[[#This Row],[Uafhængig variabel ID]]),INDEX(DataTitel_liste,IF(LineærRegression_Valg[[#This Row],[Afhængig variabel ID]]=1,2,1))),$B$7)</f>
        <v>Eksempel 2 (interval)</v>
      </c>
      <c r="H1127" s="188">
        <f>_xlfn.AGGREGATE(2,5,LineærRegression_Valg[[#This Row],[Tabel ID]])</f>
        <v>1</v>
      </c>
    </row>
    <row r="1128" spans="1:8" x14ac:dyDescent="0.2">
      <c r="A1128">
        <f>ROW(LineærRegression_Valg[[#This Row],[Tabel ID]])-ROW(LineærRegression_Valg[[#Headers],[Tabel ID]])</f>
        <v>1118</v>
      </c>
      <c r="B1128" s="188">
        <f>ROUNDDOWN((LineærRegression_Valg[[#This Row],[Tabel ID]]-1)/$B$5,0)+1</f>
        <v>280</v>
      </c>
      <c r="C1128" s="188">
        <f t="shared" si="17"/>
        <v>2</v>
      </c>
      <c r="D1128" s="188" t="b">
        <f>LineærRegression_Valg[[#This Row],[Afhængig variabel ID]]&lt;&gt;LineærRegression_Valg[[#This Row],[Uafhængig variabel ID]]</f>
        <v>1</v>
      </c>
      <c r="E1128" t="b">
        <f>LineærRegression_Valg[[#This Row],[Afhængig variabel ID]]&lt;=$B$5</f>
        <v>0</v>
      </c>
      <c r="F1128" t="str" cm="1">
        <f t="array" ref="F1128">IF(LineærRegression_Valg[[#This Row],[Indenfor range]],INDEX(DataTitel_liste,LineærRegression_Valg[[#This Row],[Afhængig variabel ID]]),INDEX(DataTitel_liste,1))</f>
        <v>Eksempel 1 (interval)</v>
      </c>
      <c r="G1128" s="188" t="str" cm="1">
        <f t="array" ref="G1128">IF(LineærRegression_Valg[[#This Row],[Indenfor range]],IF(LineærRegression_Valg[[#This Row],[Intet overlap]],INDEX(DataTitel_liste,LineærRegression_Valg[[#This Row],[Uafhængig variabel ID]]),INDEX(DataTitel_liste,IF(LineærRegression_Valg[[#This Row],[Afhængig variabel ID]]=1,2,1))),$B$7)</f>
        <v>Eksempel 2 (interval)</v>
      </c>
      <c r="H1128" s="188">
        <f>_xlfn.AGGREGATE(2,5,LineærRegression_Valg[[#This Row],[Tabel ID]])</f>
        <v>1</v>
      </c>
    </row>
    <row r="1129" spans="1:8" x14ac:dyDescent="0.2">
      <c r="A1129">
        <f>ROW(LineærRegression_Valg[[#This Row],[Tabel ID]])-ROW(LineærRegression_Valg[[#Headers],[Tabel ID]])</f>
        <v>1119</v>
      </c>
      <c r="B1129" s="188">
        <f>ROUNDDOWN((LineærRegression_Valg[[#This Row],[Tabel ID]]-1)/$B$5,0)+1</f>
        <v>280</v>
      </c>
      <c r="C1129" s="188">
        <f t="shared" si="17"/>
        <v>3</v>
      </c>
      <c r="D1129" s="188" t="b">
        <f>LineærRegression_Valg[[#This Row],[Afhængig variabel ID]]&lt;&gt;LineærRegression_Valg[[#This Row],[Uafhængig variabel ID]]</f>
        <v>1</v>
      </c>
      <c r="E1129" t="b">
        <f>LineærRegression_Valg[[#This Row],[Afhængig variabel ID]]&lt;=$B$5</f>
        <v>0</v>
      </c>
      <c r="F1129" t="str" cm="1">
        <f t="array" ref="F1129">IF(LineærRegression_Valg[[#This Row],[Indenfor range]],INDEX(DataTitel_liste,LineærRegression_Valg[[#This Row],[Afhængig variabel ID]]),INDEX(DataTitel_liste,1))</f>
        <v>Eksempel 1 (interval)</v>
      </c>
      <c r="G1129" s="188" t="str" cm="1">
        <f t="array" ref="G1129">IF(LineærRegression_Valg[[#This Row],[Indenfor range]],IF(LineærRegression_Valg[[#This Row],[Intet overlap]],INDEX(DataTitel_liste,LineærRegression_Valg[[#This Row],[Uafhængig variabel ID]]),INDEX(DataTitel_liste,IF(LineærRegression_Valg[[#This Row],[Afhængig variabel ID]]=1,2,1))),$B$7)</f>
        <v>Eksempel 2 (interval)</v>
      </c>
      <c r="H1129" s="188">
        <f>_xlfn.AGGREGATE(2,5,LineærRegression_Valg[[#This Row],[Tabel ID]])</f>
        <v>1</v>
      </c>
    </row>
    <row r="1130" spans="1:8" x14ac:dyDescent="0.2">
      <c r="A1130">
        <f>ROW(LineærRegression_Valg[[#This Row],[Tabel ID]])-ROW(LineærRegression_Valg[[#Headers],[Tabel ID]])</f>
        <v>1120</v>
      </c>
      <c r="B1130" s="188">
        <f>ROUNDDOWN((LineærRegression_Valg[[#This Row],[Tabel ID]]-1)/$B$5,0)+1</f>
        <v>280</v>
      </c>
      <c r="C1130" s="188">
        <f t="shared" si="17"/>
        <v>4</v>
      </c>
      <c r="D1130" s="188" t="b">
        <f>LineærRegression_Valg[[#This Row],[Afhængig variabel ID]]&lt;&gt;LineærRegression_Valg[[#This Row],[Uafhængig variabel ID]]</f>
        <v>1</v>
      </c>
      <c r="E1130" t="b">
        <f>LineærRegression_Valg[[#This Row],[Afhængig variabel ID]]&lt;=$B$5</f>
        <v>0</v>
      </c>
      <c r="F1130" t="str" cm="1">
        <f t="array" ref="F1130">IF(LineærRegression_Valg[[#This Row],[Indenfor range]],INDEX(DataTitel_liste,LineærRegression_Valg[[#This Row],[Afhængig variabel ID]]),INDEX(DataTitel_liste,1))</f>
        <v>Eksempel 1 (interval)</v>
      </c>
      <c r="G1130" s="188" t="str" cm="1">
        <f t="array" ref="G1130">IF(LineærRegression_Valg[[#This Row],[Indenfor range]],IF(LineærRegression_Valg[[#This Row],[Intet overlap]],INDEX(DataTitel_liste,LineærRegression_Valg[[#This Row],[Uafhængig variabel ID]]),INDEX(DataTitel_liste,IF(LineærRegression_Valg[[#This Row],[Afhængig variabel ID]]=1,2,1))),$B$7)</f>
        <v>Eksempel 2 (interval)</v>
      </c>
      <c r="H1130" s="188">
        <f>_xlfn.AGGREGATE(2,5,LineærRegression_Valg[[#This Row],[Tabel ID]])</f>
        <v>1</v>
      </c>
    </row>
    <row r="1131" spans="1:8" x14ac:dyDescent="0.2">
      <c r="A1131">
        <f>ROW(LineærRegression_Valg[[#This Row],[Tabel ID]])-ROW(LineærRegression_Valg[[#Headers],[Tabel ID]])</f>
        <v>1121</v>
      </c>
      <c r="B1131" s="188">
        <f>ROUNDDOWN((LineærRegression_Valg[[#This Row],[Tabel ID]]-1)/$B$5,0)+1</f>
        <v>281</v>
      </c>
      <c r="C1131" s="188">
        <f t="shared" si="17"/>
        <v>1</v>
      </c>
      <c r="D1131" s="188" t="b">
        <f>LineærRegression_Valg[[#This Row],[Afhængig variabel ID]]&lt;&gt;LineærRegression_Valg[[#This Row],[Uafhængig variabel ID]]</f>
        <v>1</v>
      </c>
      <c r="E1131" t="b">
        <f>LineærRegression_Valg[[#This Row],[Afhængig variabel ID]]&lt;=$B$5</f>
        <v>0</v>
      </c>
      <c r="F1131" t="str" cm="1">
        <f t="array" ref="F1131">IF(LineærRegression_Valg[[#This Row],[Indenfor range]],INDEX(DataTitel_liste,LineærRegression_Valg[[#This Row],[Afhængig variabel ID]]),INDEX(DataTitel_liste,1))</f>
        <v>Eksempel 1 (interval)</v>
      </c>
      <c r="G1131" s="188" t="str" cm="1">
        <f t="array" ref="G1131">IF(LineærRegression_Valg[[#This Row],[Indenfor range]],IF(LineærRegression_Valg[[#This Row],[Intet overlap]],INDEX(DataTitel_liste,LineærRegression_Valg[[#This Row],[Uafhængig variabel ID]]),INDEX(DataTitel_liste,IF(LineærRegression_Valg[[#This Row],[Afhængig variabel ID]]=1,2,1))),$B$7)</f>
        <v>Eksempel 2 (interval)</v>
      </c>
      <c r="H1131" s="188">
        <f>_xlfn.AGGREGATE(2,5,LineærRegression_Valg[[#This Row],[Tabel ID]])</f>
        <v>1</v>
      </c>
    </row>
    <row r="1132" spans="1:8" x14ac:dyDescent="0.2">
      <c r="A1132">
        <f>ROW(LineærRegression_Valg[[#This Row],[Tabel ID]])-ROW(LineærRegression_Valg[[#Headers],[Tabel ID]])</f>
        <v>1122</v>
      </c>
      <c r="B1132" s="188">
        <f>ROUNDDOWN((LineærRegression_Valg[[#This Row],[Tabel ID]]-1)/$B$5,0)+1</f>
        <v>281</v>
      </c>
      <c r="C1132" s="188">
        <f t="shared" si="17"/>
        <v>2</v>
      </c>
      <c r="D1132" s="188" t="b">
        <f>LineærRegression_Valg[[#This Row],[Afhængig variabel ID]]&lt;&gt;LineærRegression_Valg[[#This Row],[Uafhængig variabel ID]]</f>
        <v>1</v>
      </c>
      <c r="E1132" t="b">
        <f>LineærRegression_Valg[[#This Row],[Afhængig variabel ID]]&lt;=$B$5</f>
        <v>0</v>
      </c>
      <c r="F1132" t="str" cm="1">
        <f t="array" ref="F1132">IF(LineærRegression_Valg[[#This Row],[Indenfor range]],INDEX(DataTitel_liste,LineærRegression_Valg[[#This Row],[Afhængig variabel ID]]),INDEX(DataTitel_liste,1))</f>
        <v>Eksempel 1 (interval)</v>
      </c>
      <c r="G1132" s="188" t="str" cm="1">
        <f t="array" ref="G1132">IF(LineærRegression_Valg[[#This Row],[Indenfor range]],IF(LineærRegression_Valg[[#This Row],[Intet overlap]],INDEX(DataTitel_liste,LineærRegression_Valg[[#This Row],[Uafhængig variabel ID]]),INDEX(DataTitel_liste,IF(LineærRegression_Valg[[#This Row],[Afhængig variabel ID]]=1,2,1))),$B$7)</f>
        <v>Eksempel 2 (interval)</v>
      </c>
      <c r="H1132" s="188">
        <f>_xlfn.AGGREGATE(2,5,LineærRegression_Valg[[#This Row],[Tabel ID]])</f>
        <v>1</v>
      </c>
    </row>
    <row r="1133" spans="1:8" x14ac:dyDescent="0.2">
      <c r="A1133">
        <f>ROW(LineærRegression_Valg[[#This Row],[Tabel ID]])-ROW(LineærRegression_Valg[[#Headers],[Tabel ID]])</f>
        <v>1123</v>
      </c>
      <c r="B1133" s="188">
        <f>ROUNDDOWN((LineærRegression_Valg[[#This Row],[Tabel ID]]-1)/$B$5,0)+1</f>
        <v>281</v>
      </c>
      <c r="C1133" s="188">
        <f t="shared" si="17"/>
        <v>3</v>
      </c>
      <c r="D1133" s="188" t="b">
        <f>LineærRegression_Valg[[#This Row],[Afhængig variabel ID]]&lt;&gt;LineærRegression_Valg[[#This Row],[Uafhængig variabel ID]]</f>
        <v>1</v>
      </c>
      <c r="E1133" t="b">
        <f>LineærRegression_Valg[[#This Row],[Afhængig variabel ID]]&lt;=$B$5</f>
        <v>0</v>
      </c>
      <c r="F1133" t="str" cm="1">
        <f t="array" ref="F1133">IF(LineærRegression_Valg[[#This Row],[Indenfor range]],INDEX(DataTitel_liste,LineærRegression_Valg[[#This Row],[Afhængig variabel ID]]),INDEX(DataTitel_liste,1))</f>
        <v>Eksempel 1 (interval)</v>
      </c>
      <c r="G1133" s="188" t="str" cm="1">
        <f t="array" ref="G1133">IF(LineærRegression_Valg[[#This Row],[Indenfor range]],IF(LineærRegression_Valg[[#This Row],[Intet overlap]],INDEX(DataTitel_liste,LineærRegression_Valg[[#This Row],[Uafhængig variabel ID]]),INDEX(DataTitel_liste,IF(LineærRegression_Valg[[#This Row],[Afhængig variabel ID]]=1,2,1))),$B$7)</f>
        <v>Eksempel 2 (interval)</v>
      </c>
      <c r="H1133" s="188">
        <f>_xlfn.AGGREGATE(2,5,LineærRegression_Valg[[#This Row],[Tabel ID]])</f>
        <v>1</v>
      </c>
    </row>
    <row r="1134" spans="1:8" x14ac:dyDescent="0.2">
      <c r="A1134">
        <f>ROW(LineærRegression_Valg[[#This Row],[Tabel ID]])-ROW(LineærRegression_Valg[[#Headers],[Tabel ID]])</f>
        <v>1124</v>
      </c>
      <c r="B1134" s="188">
        <f>ROUNDDOWN((LineærRegression_Valg[[#This Row],[Tabel ID]]-1)/$B$5,0)+1</f>
        <v>281</v>
      </c>
      <c r="C1134" s="188">
        <f t="shared" si="17"/>
        <v>4</v>
      </c>
      <c r="D1134" s="188" t="b">
        <f>LineærRegression_Valg[[#This Row],[Afhængig variabel ID]]&lt;&gt;LineærRegression_Valg[[#This Row],[Uafhængig variabel ID]]</f>
        <v>1</v>
      </c>
      <c r="E1134" t="b">
        <f>LineærRegression_Valg[[#This Row],[Afhængig variabel ID]]&lt;=$B$5</f>
        <v>0</v>
      </c>
      <c r="F1134" t="str" cm="1">
        <f t="array" ref="F1134">IF(LineærRegression_Valg[[#This Row],[Indenfor range]],INDEX(DataTitel_liste,LineærRegression_Valg[[#This Row],[Afhængig variabel ID]]),INDEX(DataTitel_liste,1))</f>
        <v>Eksempel 1 (interval)</v>
      </c>
      <c r="G1134" s="188" t="str" cm="1">
        <f t="array" ref="G1134">IF(LineærRegression_Valg[[#This Row],[Indenfor range]],IF(LineærRegression_Valg[[#This Row],[Intet overlap]],INDEX(DataTitel_liste,LineærRegression_Valg[[#This Row],[Uafhængig variabel ID]]),INDEX(DataTitel_liste,IF(LineærRegression_Valg[[#This Row],[Afhængig variabel ID]]=1,2,1))),$B$7)</f>
        <v>Eksempel 2 (interval)</v>
      </c>
      <c r="H1134" s="188">
        <f>_xlfn.AGGREGATE(2,5,LineærRegression_Valg[[#This Row],[Tabel ID]])</f>
        <v>1</v>
      </c>
    </row>
    <row r="1135" spans="1:8" x14ac:dyDescent="0.2">
      <c r="A1135">
        <f>ROW(LineærRegression_Valg[[#This Row],[Tabel ID]])-ROW(LineærRegression_Valg[[#Headers],[Tabel ID]])</f>
        <v>1125</v>
      </c>
      <c r="B1135" s="188">
        <f>ROUNDDOWN((LineærRegression_Valg[[#This Row],[Tabel ID]]-1)/$B$5,0)+1</f>
        <v>282</v>
      </c>
      <c r="C1135" s="188">
        <f t="shared" si="17"/>
        <v>1</v>
      </c>
      <c r="D1135" s="188" t="b">
        <f>LineærRegression_Valg[[#This Row],[Afhængig variabel ID]]&lt;&gt;LineærRegression_Valg[[#This Row],[Uafhængig variabel ID]]</f>
        <v>1</v>
      </c>
      <c r="E1135" t="b">
        <f>LineærRegression_Valg[[#This Row],[Afhængig variabel ID]]&lt;=$B$5</f>
        <v>0</v>
      </c>
      <c r="F1135" t="str" cm="1">
        <f t="array" ref="F1135">IF(LineærRegression_Valg[[#This Row],[Indenfor range]],INDEX(DataTitel_liste,LineærRegression_Valg[[#This Row],[Afhængig variabel ID]]),INDEX(DataTitel_liste,1))</f>
        <v>Eksempel 1 (interval)</v>
      </c>
      <c r="G1135" s="188" t="str" cm="1">
        <f t="array" ref="G1135">IF(LineærRegression_Valg[[#This Row],[Indenfor range]],IF(LineærRegression_Valg[[#This Row],[Intet overlap]],INDEX(DataTitel_liste,LineærRegression_Valg[[#This Row],[Uafhængig variabel ID]]),INDEX(DataTitel_liste,IF(LineærRegression_Valg[[#This Row],[Afhængig variabel ID]]=1,2,1))),$B$7)</f>
        <v>Eksempel 2 (interval)</v>
      </c>
      <c r="H1135" s="188">
        <f>_xlfn.AGGREGATE(2,5,LineærRegression_Valg[[#This Row],[Tabel ID]])</f>
        <v>1</v>
      </c>
    </row>
    <row r="1136" spans="1:8" x14ac:dyDescent="0.2">
      <c r="A1136">
        <f>ROW(LineærRegression_Valg[[#This Row],[Tabel ID]])-ROW(LineærRegression_Valg[[#Headers],[Tabel ID]])</f>
        <v>1126</v>
      </c>
      <c r="B1136" s="188">
        <f>ROUNDDOWN((LineærRegression_Valg[[#This Row],[Tabel ID]]-1)/$B$5,0)+1</f>
        <v>282</v>
      </c>
      <c r="C1136" s="188">
        <f t="shared" si="17"/>
        <v>2</v>
      </c>
      <c r="D1136" s="188" t="b">
        <f>LineærRegression_Valg[[#This Row],[Afhængig variabel ID]]&lt;&gt;LineærRegression_Valg[[#This Row],[Uafhængig variabel ID]]</f>
        <v>1</v>
      </c>
      <c r="E1136" t="b">
        <f>LineærRegression_Valg[[#This Row],[Afhængig variabel ID]]&lt;=$B$5</f>
        <v>0</v>
      </c>
      <c r="F1136" t="str" cm="1">
        <f t="array" ref="F1136">IF(LineærRegression_Valg[[#This Row],[Indenfor range]],INDEX(DataTitel_liste,LineærRegression_Valg[[#This Row],[Afhængig variabel ID]]),INDEX(DataTitel_liste,1))</f>
        <v>Eksempel 1 (interval)</v>
      </c>
      <c r="G1136" s="188" t="str" cm="1">
        <f t="array" ref="G1136">IF(LineærRegression_Valg[[#This Row],[Indenfor range]],IF(LineærRegression_Valg[[#This Row],[Intet overlap]],INDEX(DataTitel_liste,LineærRegression_Valg[[#This Row],[Uafhængig variabel ID]]),INDEX(DataTitel_liste,IF(LineærRegression_Valg[[#This Row],[Afhængig variabel ID]]=1,2,1))),$B$7)</f>
        <v>Eksempel 2 (interval)</v>
      </c>
      <c r="H1136" s="188">
        <f>_xlfn.AGGREGATE(2,5,LineærRegression_Valg[[#This Row],[Tabel ID]])</f>
        <v>1</v>
      </c>
    </row>
    <row r="1137" spans="1:8" x14ac:dyDescent="0.2">
      <c r="A1137">
        <f>ROW(LineærRegression_Valg[[#This Row],[Tabel ID]])-ROW(LineærRegression_Valg[[#Headers],[Tabel ID]])</f>
        <v>1127</v>
      </c>
      <c r="B1137" s="188">
        <f>ROUNDDOWN((LineærRegression_Valg[[#This Row],[Tabel ID]]-1)/$B$5,0)+1</f>
        <v>282</v>
      </c>
      <c r="C1137" s="188">
        <f t="shared" si="17"/>
        <v>3</v>
      </c>
      <c r="D1137" s="188" t="b">
        <f>LineærRegression_Valg[[#This Row],[Afhængig variabel ID]]&lt;&gt;LineærRegression_Valg[[#This Row],[Uafhængig variabel ID]]</f>
        <v>1</v>
      </c>
      <c r="E1137" t="b">
        <f>LineærRegression_Valg[[#This Row],[Afhængig variabel ID]]&lt;=$B$5</f>
        <v>0</v>
      </c>
      <c r="F1137" t="str" cm="1">
        <f t="array" ref="F1137">IF(LineærRegression_Valg[[#This Row],[Indenfor range]],INDEX(DataTitel_liste,LineærRegression_Valg[[#This Row],[Afhængig variabel ID]]),INDEX(DataTitel_liste,1))</f>
        <v>Eksempel 1 (interval)</v>
      </c>
      <c r="G1137" s="188" t="str" cm="1">
        <f t="array" ref="G1137">IF(LineærRegression_Valg[[#This Row],[Indenfor range]],IF(LineærRegression_Valg[[#This Row],[Intet overlap]],INDEX(DataTitel_liste,LineærRegression_Valg[[#This Row],[Uafhængig variabel ID]]),INDEX(DataTitel_liste,IF(LineærRegression_Valg[[#This Row],[Afhængig variabel ID]]=1,2,1))),$B$7)</f>
        <v>Eksempel 2 (interval)</v>
      </c>
      <c r="H1137" s="188">
        <f>_xlfn.AGGREGATE(2,5,LineærRegression_Valg[[#This Row],[Tabel ID]])</f>
        <v>1</v>
      </c>
    </row>
    <row r="1138" spans="1:8" x14ac:dyDescent="0.2">
      <c r="A1138">
        <f>ROW(LineærRegression_Valg[[#This Row],[Tabel ID]])-ROW(LineærRegression_Valg[[#Headers],[Tabel ID]])</f>
        <v>1128</v>
      </c>
      <c r="B1138" s="188">
        <f>ROUNDDOWN((LineærRegression_Valg[[#This Row],[Tabel ID]]-1)/$B$5,0)+1</f>
        <v>282</v>
      </c>
      <c r="C1138" s="188">
        <f t="shared" si="17"/>
        <v>4</v>
      </c>
      <c r="D1138" s="188" t="b">
        <f>LineærRegression_Valg[[#This Row],[Afhængig variabel ID]]&lt;&gt;LineærRegression_Valg[[#This Row],[Uafhængig variabel ID]]</f>
        <v>1</v>
      </c>
      <c r="E1138" t="b">
        <f>LineærRegression_Valg[[#This Row],[Afhængig variabel ID]]&lt;=$B$5</f>
        <v>0</v>
      </c>
      <c r="F1138" t="str" cm="1">
        <f t="array" ref="F1138">IF(LineærRegression_Valg[[#This Row],[Indenfor range]],INDEX(DataTitel_liste,LineærRegression_Valg[[#This Row],[Afhængig variabel ID]]),INDEX(DataTitel_liste,1))</f>
        <v>Eksempel 1 (interval)</v>
      </c>
      <c r="G1138" s="188" t="str" cm="1">
        <f t="array" ref="G1138">IF(LineærRegression_Valg[[#This Row],[Indenfor range]],IF(LineærRegression_Valg[[#This Row],[Intet overlap]],INDEX(DataTitel_liste,LineærRegression_Valg[[#This Row],[Uafhængig variabel ID]]),INDEX(DataTitel_liste,IF(LineærRegression_Valg[[#This Row],[Afhængig variabel ID]]=1,2,1))),$B$7)</f>
        <v>Eksempel 2 (interval)</v>
      </c>
      <c r="H1138" s="188">
        <f>_xlfn.AGGREGATE(2,5,LineærRegression_Valg[[#This Row],[Tabel ID]])</f>
        <v>1</v>
      </c>
    </row>
    <row r="1139" spans="1:8" x14ac:dyDescent="0.2">
      <c r="A1139">
        <f>ROW(LineærRegression_Valg[[#This Row],[Tabel ID]])-ROW(LineærRegression_Valg[[#Headers],[Tabel ID]])</f>
        <v>1129</v>
      </c>
      <c r="B1139" s="188">
        <f>ROUNDDOWN((LineærRegression_Valg[[#This Row],[Tabel ID]]-1)/$B$5,0)+1</f>
        <v>283</v>
      </c>
      <c r="C1139" s="188">
        <f t="shared" si="17"/>
        <v>1</v>
      </c>
      <c r="D1139" s="188" t="b">
        <f>LineærRegression_Valg[[#This Row],[Afhængig variabel ID]]&lt;&gt;LineærRegression_Valg[[#This Row],[Uafhængig variabel ID]]</f>
        <v>1</v>
      </c>
      <c r="E1139" t="b">
        <f>LineærRegression_Valg[[#This Row],[Afhængig variabel ID]]&lt;=$B$5</f>
        <v>0</v>
      </c>
      <c r="F1139" t="str" cm="1">
        <f t="array" ref="F1139">IF(LineærRegression_Valg[[#This Row],[Indenfor range]],INDEX(DataTitel_liste,LineærRegression_Valg[[#This Row],[Afhængig variabel ID]]),INDEX(DataTitel_liste,1))</f>
        <v>Eksempel 1 (interval)</v>
      </c>
      <c r="G1139" s="188" t="str" cm="1">
        <f t="array" ref="G1139">IF(LineærRegression_Valg[[#This Row],[Indenfor range]],IF(LineærRegression_Valg[[#This Row],[Intet overlap]],INDEX(DataTitel_liste,LineærRegression_Valg[[#This Row],[Uafhængig variabel ID]]),INDEX(DataTitel_liste,IF(LineærRegression_Valg[[#This Row],[Afhængig variabel ID]]=1,2,1))),$B$7)</f>
        <v>Eksempel 2 (interval)</v>
      </c>
      <c r="H1139" s="188">
        <f>_xlfn.AGGREGATE(2,5,LineærRegression_Valg[[#This Row],[Tabel ID]])</f>
        <v>1</v>
      </c>
    </row>
    <row r="1140" spans="1:8" x14ac:dyDescent="0.2">
      <c r="A1140">
        <f>ROW(LineærRegression_Valg[[#This Row],[Tabel ID]])-ROW(LineærRegression_Valg[[#Headers],[Tabel ID]])</f>
        <v>1130</v>
      </c>
      <c r="B1140" s="188">
        <f>ROUNDDOWN((LineærRegression_Valg[[#This Row],[Tabel ID]]-1)/$B$5,0)+1</f>
        <v>283</v>
      </c>
      <c r="C1140" s="188">
        <f t="shared" si="17"/>
        <v>2</v>
      </c>
      <c r="D1140" s="188" t="b">
        <f>LineærRegression_Valg[[#This Row],[Afhængig variabel ID]]&lt;&gt;LineærRegression_Valg[[#This Row],[Uafhængig variabel ID]]</f>
        <v>1</v>
      </c>
      <c r="E1140" t="b">
        <f>LineærRegression_Valg[[#This Row],[Afhængig variabel ID]]&lt;=$B$5</f>
        <v>0</v>
      </c>
      <c r="F1140" t="str" cm="1">
        <f t="array" ref="F1140">IF(LineærRegression_Valg[[#This Row],[Indenfor range]],INDEX(DataTitel_liste,LineærRegression_Valg[[#This Row],[Afhængig variabel ID]]),INDEX(DataTitel_liste,1))</f>
        <v>Eksempel 1 (interval)</v>
      </c>
      <c r="G1140" s="188" t="str" cm="1">
        <f t="array" ref="G1140">IF(LineærRegression_Valg[[#This Row],[Indenfor range]],IF(LineærRegression_Valg[[#This Row],[Intet overlap]],INDEX(DataTitel_liste,LineærRegression_Valg[[#This Row],[Uafhængig variabel ID]]),INDEX(DataTitel_liste,IF(LineærRegression_Valg[[#This Row],[Afhængig variabel ID]]=1,2,1))),$B$7)</f>
        <v>Eksempel 2 (interval)</v>
      </c>
      <c r="H1140" s="188">
        <f>_xlfn.AGGREGATE(2,5,LineærRegression_Valg[[#This Row],[Tabel ID]])</f>
        <v>1</v>
      </c>
    </row>
    <row r="1141" spans="1:8" x14ac:dyDescent="0.2">
      <c r="A1141">
        <f>ROW(LineærRegression_Valg[[#This Row],[Tabel ID]])-ROW(LineærRegression_Valg[[#Headers],[Tabel ID]])</f>
        <v>1131</v>
      </c>
      <c r="B1141" s="188">
        <f>ROUNDDOWN((LineærRegression_Valg[[#This Row],[Tabel ID]]-1)/$B$5,0)+1</f>
        <v>283</v>
      </c>
      <c r="C1141" s="188">
        <f t="shared" si="17"/>
        <v>3</v>
      </c>
      <c r="D1141" s="188" t="b">
        <f>LineærRegression_Valg[[#This Row],[Afhængig variabel ID]]&lt;&gt;LineærRegression_Valg[[#This Row],[Uafhængig variabel ID]]</f>
        <v>1</v>
      </c>
      <c r="E1141" t="b">
        <f>LineærRegression_Valg[[#This Row],[Afhængig variabel ID]]&lt;=$B$5</f>
        <v>0</v>
      </c>
      <c r="F1141" t="str" cm="1">
        <f t="array" ref="F1141">IF(LineærRegression_Valg[[#This Row],[Indenfor range]],INDEX(DataTitel_liste,LineærRegression_Valg[[#This Row],[Afhængig variabel ID]]),INDEX(DataTitel_liste,1))</f>
        <v>Eksempel 1 (interval)</v>
      </c>
      <c r="G1141" s="188" t="str" cm="1">
        <f t="array" ref="G1141">IF(LineærRegression_Valg[[#This Row],[Indenfor range]],IF(LineærRegression_Valg[[#This Row],[Intet overlap]],INDEX(DataTitel_liste,LineærRegression_Valg[[#This Row],[Uafhængig variabel ID]]),INDEX(DataTitel_liste,IF(LineærRegression_Valg[[#This Row],[Afhængig variabel ID]]=1,2,1))),$B$7)</f>
        <v>Eksempel 2 (interval)</v>
      </c>
      <c r="H1141" s="188">
        <f>_xlfn.AGGREGATE(2,5,LineærRegression_Valg[[#This Row],[Tabel ID]])</f>
        <v>1</v>
      </c>
    </row>
    <row r="1142" spans="1:8" x14ac:dyDescent="0.2">
      <c r="A1142">
        <f>ROW(LineærRegression_Valg[[#This Row],[Tabel ID]])-ROW(LineærRegression_Valg[[#Headers],[Tabel ID]])</f>
        <v>1132</v>
      </c>
      <c r="B1142" s="188">
        <f>ROUNDDOWN((LineærRegression_Valg[[#This Row],[Tabel ID]]-1)/$B$5,0)+1</f>
        <v>283</v>
      </c>
      <c r="C1142" s="188">
        <f t="shared" si="17"/>
        <v>4</v>
      </c>
      <c r="D1142" s="188" t="b">
        <f>LineærRegression_Valg[[#This Row],[Afhængig variabel ID]]&lt;&gt;LineærRegression_Valg[[#This Row],[Uafhængig variabel ID]]</f>
        <v>1</v>
      </c>
      <c r="E1142" t="b">
        <f>LineærRegression_Valg[[#This Row],[Afhængig variabel ID]]&lt;=$B$5</f>
        <v>0</v>
      </c>
      <c r="F1142" t="str" cm="1">
        <f t="array" ref="F1142">IF(LineærRegression_Valg[[#This Row],[Indenfor range]],INDEX(DataTitel_liste,LineærRegression_Valg[[#This Row],[Afhængig variabel ID]]),INDEX(DataTitel_liste,1))</f>
        <v>Eksempel 1 (interval)</v>
      </c>
      <c r="G1142" s="188" t="str" cm="1">
        <f t="array" ref="G1142">IF(LineærRegression_Valg[[#This Row],[Indenfor range]],IF(LineærRegression_Valg[[#This Row],[Intet overlap]],INDEX(DataTitel_liste,LineærRegression_Valg[[#This Row],[Uafhængig variabel ID]]),INDEX(DataTitel_liste,IF(LineærRegression_Valg[[#This Row],[Afhængig variabel ID]]=1,2,1))),$B$7)</f>
        <v>Eksempel 2 (interval)</v>
      </c>
      <c r="H1142" s="188">
        <f>_xlfn.AGGREGATE(2,5,LineærRegression_Valg[[#This Row],[Tabel ID]])</f>
        <v>1</v>
      </c>
    </row>
    <row r="1143" spans="1:8" x14ac:dyDescent="0.2">
      <c r="A1143">
        <f>ROW(LineærRegression_Valg[[#This Row],[Tabel ID]])-ROW(LineærRegression_Valg[[#Headers],[Tabel ID]])</f>
        <v>1133</v>
      </c>
      <c r="B1143" s="188">
        <f>ROUNDDOWN((LineærRegression_Valg[[#This Row],[Tabel ID]]-1)/$B$5,0)+1</f>
        <v>284</v>
      </c>
      <c r="C1143" s="188">
        <f t="shared" si="17"/>
        <v>1</v>
      </c>
      <c r="D1143" s="188" t="b">
        <f>LineærRegression_Valg[[#This Row],[Afhængig variabel ID]]&lt;&gt;LineærRegression_Valg[[#This Row],[Uafhængig variabel ID]]</f>
        <v>1</v>
      </c>
      <c r="E1143" t="b">
        <f>LineærRegression_Valg[[#This Row],[Afhængig variabel ID]]&lt;=$B$5</f>
        <v>0</v>
      </c>
      <c r="F1143" t="str" cm="1">
        <f t="array" ref="F1143">IF(LineærRegression_Valg[[#This Row],[Indenfor range]],INDEX(DataTitel_liste,LineærRegression_Valg[[#This Row],[Afhængig variabel ID]]),INDEX(DataTitel_liste,1))</f>
        <v>Eksempel 1 (interval)</v>
      </c>
      <c r="G1143" s="188" t="str" cm="1">
        <f t="array" ref="G1143">IF(LineærRegression_Valg[[#This Row],[Indenfor range]],IF(LineærRegression_Valg[[#This Row],[Intet overlap]],INDEX(DataTitel_liste,LineærRegression_Valg[[#This Row],[Uafhængig variabel ID]]),INDEX(DataTitel_liste,IF(LineærRegression_Valg[[#This Row],[Afhængig variabel ID]]=1,2,1))),$B$7)</f>
        <v>Eksempel 2 (interval)</v>
      </c>
      <c r="H1143" s="188">
        <f>_xlfn.AGGREGATE(2,5,LineærRegression_Valg[[#This Row],[Tabel ID]])</f>
        <v>1</v>
      </c>
    </row>
    <row r="1144" spans="1:8" x14ac:dyDescent="0.2">
      <c r="A1144">
        <f>ROW(LineærRegression_Valg[[#This Row],[Tabel ID]])-ROW(LineærRegression_Valg[[#Headers],[Tabel ID]])</f>
        <v>1134</v>
      </c>
      <c r="B1144" s="188">
        <f>ROUNDDOWN((LineærRegression_Valg[[#This Row],[Tabel ID]]-1)/$B$5,0)+1</f>
        <v>284</v>
      </c>
      <c r="C1144" s="188">
        <f t="shared" si="17"/>
        <v>2</v>
      </c>
      <c r="D1144" s="188" t="b">
        <f>LineærRegression_Valg[[#This Row],[Afhængig variabel ID]]&lt;&gt;LineærRegression_Valg[[#This Row],[Uafhængig variabel ID]]</f>
        <v>1</v>
      </c>
      <c r="E1144" t="b">
        <f>LineærRegression_Valg[[#This Row],[Afhængig variabel ID]]&lt;=$B$5</f>
        <v>0</v>
      </c>
      <c r="F1144" t="str" cm="1">
        <f t="array" ref="F1144">IF(LineærRegression_Valg[[#This Row],[Indenfor range]],INDEX(DataTitel_liste,LineærRegression_Valg[[#This Row],[Afhængig variabel ID]]),INDEX(DataTitel_liste,1))</f>
        <v>Eksempel 1 (interval)</v>
      </c>
      <c r="G1144" s="188" t="str" cm="1">
        <f t="array" ref="G1144">IF(LineærRegression_Valg[[#This Row],[Indenfor range]],IF(LineærRegression_Valg[[#This Row],[Intet overlap]],INDEX(DataTitel_liste,LineærRegression_Valg[[#This Row],[Uafhængig variabel ID]]),INDEX(DataTitel_liste,IF(LineærRegression_Valg[[#This Row],[Afhængig variabel ID]]=1,2,1))),$B$7)</f>
        <v>Eksempel 2 (interval)</v>
      </c>
      <c r="H1144" s="188">
        <f>_xlfn.AGGREGATE(2,5,LineærRegression_Valg[[#This Row],[Tabel ID]])</f>
        <v>1</v>
      </c>
    </row>
    <row r="1145" spans="1:8" x14ac:dyDescent="0.2">
      <c r="A1145">
        <f>ROW(LineærRegression_Valg[[#This Row],[Tabel ID]])-ROW(LineærRegression_Valg[[#Headers],[Tabel ID]])</f>
        <v>1135</v>
      </c>
      <c r="B1145" s="188">
        <f>ROUNDDOWN((LineærRegression_Valg[[#This Row],[Tabel ID]]-1)/$B$5,0)+1</f>
        <v>284</v>
      </c>
      <c r="C1145" s="188">
        <f t="shared" si="17"/>
        <v>3</v>
      </c>
      <c r="D1145" s="188" t="b">
        <f>LineærRegression_Valg[[#This Row],[Afhængig variabel ID]]&lt;&gt;LineærRegression_Valg[[#This Row],[Uafhængig variabel ID]]</f>
        <v>1</v>
      </c>
      <c r="E1145" t="b">
        <f>LineærRegression_Valg[[#This Row],[Afhængig variabel ID]]&lt;=$B$5</f>
        <v>0</v>
      </c>
      <c r="F1145" t="str" cm="1">
        <f t="array" ref="F1145">IF(LineærRegression_Valg[[#This Row],[Indenfor range]],INDEX(DataTitel_liste,LineærRegression_Valg[[#This Row],[Afhængig variabel ID]]),INDEX(DataTitel_liste,1))</f>
        <v>Eksempel 1 (interval)</v>
      </c>
      <c r="G1145" s="188" t="str" cm="1">
        <f t="array" ref="G1145">IF(LineærRegression_Valg[[#This Row],[Indenfor range]],IF(LineærRegression_Valg[[#This Row],[Intet overlap]],INDEX(DataTitel_liste,LineærRegression_Valg[[#This Row],[Uafhængig variabel ID]]),INDEX(DataTitel_liste,IF(LineærRegression_Valg[[#This Row],[Afhængig variabel ID]]=1,2,1))),$B$7)</f>
        <v>Eksempel 2 (interval)</v>
      </c>
      <c r="H1145" s="188">
        <f>_xlfn.AGGREGATE(2,5,LineærRegression_Valg[[#This Row],[Tabel ID]])</f>
        <v>1</v>
      </c>
    </row>
    <row r="1146" spans="1:8" x14ac:dyDescent="0.2">
      <c r="A1146">
        <f>ROW(LineærRegression_Valg[[#This Row],[Tabel ID]])-ROW(LineærRegression_Valg[[#Headers],[Tabel ID]])</f>
        <v>1136</v>
      </c>
      <c r="B1146" s="188">
        <f>ROUNDDOWN((LineærRegression_Valg[[#This Row],[Tabel ID]]-1)/$B$5,0)+1</f>
        <v>284</v>
      </c>
      <c r="C1146" s="188">
        <f t="shared" si="17"/>
        <v>4</v>
      </c>
      <c r="D1146" s="188" t="b">
        <f>LineærRegression_Valg[[#This Row],[Afhængig variabel ID]]&lt;&gt;LineærRegression_Valg[[#This Row],[Uafhængig variabel ID]]</f>
        <v>1</v>
      </c>
      <c r="E1146" t="b">
        <f>LineærRegression_Valg[[#This Row],[Afhængig variabel ID]]&lt;=$B$5</f>
        <v>0</v>
      </c>
      <c r="F1146" t="str" cm="1">
        <f t="array" ref="F1146">IF(LineærRegression_Valg[[#This Row],[Indenfor range]],INDEX(DataTitel_liste,LineærRegression_Valg[[#This Row],[Afhængig variabel ID]]),INDEX(DataTitel_liste,1))</f>
        <v>Eksempel 1 (interval)</v>
      </c>
      <c r="G1146" s="188" t="str" cm="1">
        <f t="array" ref="G1146">IF(LineærRegression_Valg[[#This Row],[Indenfor range]],IF(LineærRegression_Valg[[#This Row],[Intet overlap]],INDEX(DataTitel_liste,LineærRegression_Valg[[#This Row],[Uafhængig variabel ID]]),INDEX(DataTitel_liste,IF(LineærRegression_Valg[[#This Row],[Afhængig variabel ID]]=1,2,1))),$B$7)</f>
        <v>Eksempel 2 (interval)</v>
      </c>
      <c r="H1146" s="188">
        <f>_xlfn.AGGREGATE(2,5,LineærRegression_Valg[[#This Row],[Tabel ID]])</f>
        <v>1</v>
      </c>
    </row>
    <row r="1147" spans="1:8" x14ac:dyDescent="0.2">
      <c r="A1147">
        <f>ROW(LineærRegression_Valg[[#This Row],[Tabel ID]])-ROW(LineærRegression_Valg[[#Headers],[Tabel ID]])</f>
        <v>1137</v>
      </c>
      <c r="B1147" s="188">
        <f>ROUNDDOWN((LineærRegression_Valg[[#This Row],[Tabel ID]]-1)/$B$5,0)+1</f>
        <v>285</v>
      </c>
      <c r="C1147" s="188">
        <f t="shared" si="17"/>
        <v>1</v>
      </c>
      <c r="D1147" s="188" t="b">
        <f>LineærRegression_Valg[[#This Row],[Afhængig variabel ID]]&lt;&gt;LineærRegression_Valg[[#This Row],[Uafhængig variabel ID]]</f>
        <v>1</v>
      </c>
      <c r="E1147" t="b">
        <f>LineærRegression_Valg[[#This Row],[Afhængig variabel ID]]&lt;=$B$5</f>
        <v>0</v>
      </c>
      <c r="F1147" t="str" cm="1">
        <f t="array" ref="F1147">IF(LineærRegression_Valg[[#This Row],[Indenfor range]],INDEX(DataTitel_liste,LineærRegression_Valg[[#This Row],[Afhængig variabel ID]]),INDEX(DataTitel_liste,1))</f>
        <v>Eksempel 1 (interval)</v>
      </c>
      <c r="G1147" s="188" t="str" cm="1">
        <f t="array" ref="G1147">IF(LineærRegression_Valg[[#This Row],[Indenfor range]],IF(LineærRegression_Valg[[#This Row],[Intet overlap]],INDEX(DataTitel_liste,LineærRegression_Valg[[#This Row],[Uafhængig variabel ID]]),INDEX(DataTitel_liste,IF(LineærRegression_Valg[[#This Row],[Afhængig variabel ID]]=1,2,1))),$B$7)</f>
        <v>Eksempel 2 (interval)</v>
      </c>
      <c r="H1147" s="188">
        <f>_xlfn.AGGREGATE(2,5,LineærRegression_Valg[[#This Row],[Tabel ID]])</f>
        <v>1</v>
      </c>
    </row>
    <row r="1148" spans="1:8" x14ac:dyDescent="0.2">
      <c r="A1148">
        <f>ROW(LineærRegression_Valg[[#This Row],[Tabel ID]])-ROW(LineærRegression_Valg[[#Headers],[Tabel ID]])</f>
        <v>1138</v>
      </c>
      <c r="B1148" s="188">
        <f>ROUNDDOWN((LineærRegression_Valg[[#This Row],[Tabel ID]]-1)/$B$5,0)+1</f>
        <v>285</v>
      </c>
      <c r="C1148" s="188">
        <f t="shared" si="17"/>
        <v>2</v>
      </c>
      <c r="D1148" s="188" t="b">
        <f>LineærRegression_Valg[[#This Row],[Afhængig variabel ID]]&lt;&gt;LineærRegression_Valg[[#This Row],[Uafhængig variabel ID]]</f>
        <v>1</v>
      </c>
      <c r="E1148" t="b">
        <f>LineærRegression_Valg[[#This Row],[Afhængig variabel ID]]&lt;=$B$5</f>
        <v>0</v>
      </c>
      <c r="F1148" t="str" cm="1">
        <f t="array" ref="F1148">IF(LineærRegression_Valg[[#This Row],[Indenfor range]],INDEX(DataTitel_liste,LineærRegression_Valg[[#This Row],[Afhængig variabel ID]]),INDEX(DataTitel_liste,1))</f>
        <v>Eksempel 1 (interval)</v>
      </c>
      <c r="G1148" s="188" t="str" cm="1">
        <f t="array" ref="G1148">IF(LineærRegression_Valg[[#This Row],[Indenfor range]],IF(LineærRegression_Valg[[#This Row],[Intet overlap]],INDEX(DataTitel_liste,LineærRegression_Valg[[#This Row],[Uafhængig variabel ID]]),INDEX(DataTitel_liste,IF(LineærRegression_Valg[[#This Row],[Afhængig variabel ID]]=1,2,1))),$B$7)</f>
        <v>Eksempel 2 (interval)</v>
      </c>
      <c r="H1148" s="188">
        <f>_xlfn.AGGREGATE(2,5,LineærRegression_Valg[[#This Row],[Tabel ID]])</f>
        <v>1</v>
      </c>
    </row>
    <row r="1149" spans="1:8" x14ac:dyDescent="0.2">
      <c r="A1149">
        <f>ROW(LineærRegression_Valg[[#This Row],[Tabel ID]])-ROW(LineærRegression_Valg[[#Headers],[Tabel ID]])</f>
        <v>1139</v>
      </c>
      <c r="B1149" s="188">
        <f>ROUNDDOWN((LineærRegression_Valg[[#This Row],[Tabel ID]]-1)/$B$5,0)+1</f>
        <v>285</v>
      </c>
      <c r="C1149" s="188">
        <f t="shared" si="17"/>
        <v>3</v>
      </c>
      <c r="D1149" s="188" t="b">
        <f>LineærRegression_Valg[[#This Row],[Afhængig variabel ID]]&lt;&gt;LineærRegression_Valg[[#This Row],[Uafhængig variabel ID]]</f>
        <v>1</v>
      </c>
      <c r="E1149" t="b">
        <f>LineærRegression_Valg[[#This Row],[Afhængig variabel ID]]&lt;=$B$5</f>
        <v>0</v>
      </c>
      <c r="F1149" t="str" cm="1">
        <f t="array" ref="F1149">IF(LineærRegression_Valg[[#This Row],[Indenfor range]],INDEX(DataTitel_liste,LineærRegression_Valg[[#This Row],[Afhængig variabel ID]]),INDEX(DataTitel_liste,1))</f>
        <v>Eksempel 1 (interval)</v>
      </c>
      <c r="G1149" s="188" t="str" cm="1">
        <f t="array" ref="G1149">IF(LineærRegression_Valg[[#This Row],[Indenfor range]],IF(LineærRegression_Valg[[#This Row],[Intet overlap]],INDEX(DataTitel_liste,LineærRegression_Valg[[#This Row],[Uafhængig variabel ID]]),INDEX(DataTitel_liste,IF(LineærRegression_Valg[[#This Row],[Afhængig variabel ID]]=1,2,1))),$B$7)</f>
        <v>Eksempel 2 (interval)</v>
      </c>
      <c r="H1149" s="188">
        <f>_xlfn.AGGREGATE(2,5,LineærRegression_Valg[[#This Row],[Tabel ID]])</f>
        <v>1</v>
      </c>
    </row>
    <row r="1150" spans="1:8" x14ac:dyDescent="0.2">
      <c r="A1150">
        <f>ROW(LineærRegression_Valg[[#This Row],[Tabel ID]])-ROW(LineærRegression_Valg[[#Headers],[Tabel ID]])</f>
        <v>1140</v>
      </c>
      <c r="B1150" s="188">
        <f>ROUNDDOWN((LineærRegression_Valg[[#This Row],[Tabel ID]]-1)/$B$5,0)+1</f>
        <v>285</v>
      </c>
      <c r="C1150" s="188">
        <f t="shared" si="17"/>
        <v>4</v>
      </c>
      <c r="D1150" s="188" t="b">
        <f>LineærRegression_Valg[[#This Row],[Afhængig variabel ID]]&lt;&gt;LineærRegression_Valg[[#This Row],[Uafhængig variabel ID]]</f>
        <v>1</v>
      </c>
      <c r="E1150" t="b">
        <f>LineærRegression_Valg[[#This Row],[Afhængig variabel ID]]&lt;=$B$5</f>
        <v>0</v>
      </c>
      <c r="F1150" t="str" cm="1">
        <f t="array" ref="F1150">IF(LineærRegression_Valg[[#This Row],[Indenfor range]],INDEX(DataTitel_liste,LineærRegression_Valg[[#This Row],[Afhængig variabel ID]]),INDEX(DataTitel_liste,1))</f>
        <v>Eksempel 1 (interval)</v>
      </c>
      <c r="G1150" s="188" t="str" cm="1">
        <f t="array" ref="G1150">IF(LineærRegression_Valg[[#This Row],[Indenfor range]],IF(LineærRegression_Valg[[#This Row],[Intet overlap]],INDEX(DataTitel_liste,LineærRegression_Valg[[#This Row],[Uafhængig variabel ID]]),INDEX(DataTitel_liste,IF(LineærRegression_Valg[[#This Row],[Afhængig variabel ID]]=1,2,1))),$B$7)</f>
        <v>Eksempel 2 (interval)</v>
      </c>
      <c r="H1150" s="188">
        <f>_xlfn.AGGREGATE(2,5,LineærRegression_Valg[[#This Row],[Tabel ID]])</f>
        <v>1</v>
      </c>
    </row>
    <row r="1151" spans="1:8" x14ac:dyDescent="0.2">
      <c r="A1151">
        <f>ROW(LineærRegression_Valg[[#This Row],[Tabel ID]])-ROW(LineærRegression_Valg[[#Headers],[Tabel ID]])</f>
        <v>1141</v>
      </c>
      <c r="B1151" s="188">
        <f>ROUNDDOWN((LineærRegression_Valg[[#This Row],[Tabel ID]]-1)/$B$5,0)+1</f>
        <v>286</v>
      </c>
      <c r="C1151" s="188">
        <f t="shared" si="17"/>
        <v>1</v>
      </c>
      <c r="D1151" s="188" t="b">
        <f>LineærRegression_Valg[[#This Row],[Afhængig variabel ID]]&lt;&gt;LineærRegression_Valg[[#This Row],[Uafhængig variabel ID]]</f>
        <v>1</v>
      </c>
      <c r="E1151" t="b">
        <f>LineærRegression_Valg[[#This Row],[Afhængig variabel ID]]&lt;=$B$5</f>
        <v>0</v>
      </c>
      <c r="F1151" t="str" cm="1">
        <f t="array" ref="F1151">IF(LineærRegression_Valg[[#This Row],[Indenfor range]],INDEX(DataTitel_liste,LineærRegression_Valg[[#This Row],[Afhængig variabel ID]]),INDEX(DataTitel_liste,1))</f>
        <v>Eksempel 1 (interval)</v>
      </c>
      <c r="G1151" s="188" t="str" cm="1">
        <f t="array" ref="G1151">IF(LineærRegression_Valg[[#This Row],[Indenfor range]],IF(LineærRegression_Valg[[#This Row],[Intet overlap]],INDEX(DataTitel_liste,LineærRegression_Valg[[#This Row],[Uafhængig variabel ID]]),INDEX(DataTitel_liste,IF(LineærRegression_Valg[[#This Row],[Afhængig variabel ID]]=1,2,1))),$B$7)</f>
        <v>Eksempel 2 (interval)</v>
      </c>
      <c r="H1151" s="188">
        <f>_xlfn.AGGREGATE(2,5,LineærRegression_Valg[[#This Row],[Tabel ID]])</f>
        <v>1</v>
      </c>
    </row>
    <row r="1152" spans="1:8" x14ac:dyDescent="0.2">
      <c r="A1152">
        <f>ROW(LineærRegression_Valg[[#This Row],[Tabel ID]])-ROW(LineærRegression_Valg[[#Headers],[Tabel ID]])</f>
        <v>1142</v>
      </c>
      <c r="B1152" s="188">
        <f>ROUNDDOWN((LineærRegression_Valg[[#This Row],[Tabel ID]]-1)/$B$5,0)+1</f>
        <v>286</v>
      </c>
      <c r="C1152" s="188">
        <f t="shared" si="17"/>
        <v>2</v>
      </c>
      <c r="D1152" s="188" t="b">
        <f>LineærRegression_Valg[[#This Row],[Afhængig variabel ID]]&lt;&gt;LineærRegression_Valg[[#This Row],[Uafhængig variabel ID]]</f>
        <v>1</v>
      </c>
      <c r="E1152" t="b">
        <f>LineærRegression_Valg[[#This Row],[Afhængig variabel ID]]&lt;=$B$5</f>
        <v>0</v>
      </c>
      <c r="F1152" t="str" cm="1">
        <f t="array" ref="F1152">IF(LineærRegression_Valg[[#This Row],[Indenfor range]],INDEX(DataTitel_liste,LineærRegression_Valg[[#This Row],[Afhængig variabel ID]]),INDEX(DataTitel_liste,1))</f>
        <v>Eksempel 1 (interval)</v>
      </c>
      <c r="G1152" s="188" t="str" cm="1">
        <f t="array" ref="G1152">IF(LineærRegression_Valg[[#This Row],[Indenfor range]],IF(LineærRegression_Valg[[#This Row],[Intet overlap]],INDEX(DataTitel_liste,LineærRegression_Valg[[#This Row],[Uafhængig variabel ID]]),INDEX(DataTitel_liste,IF(LineærRegression_Valg[[#This Row],[Afhængig variabel ID]]=1,2,1))),$B$7)</f>
        <v>Eksempel 2 (interval)</v>
      </c>
      <c r="H1152" s="188">
        <f>_xlfn.AGGREGATE(2,5,LineærRegression_Valg[[#This Row],[Tabel ID]])</f>
        <v>1</v>
      </c>
    </row>
    <row r="1153" spans="1:8" x14ac:dyDescent="0.2">
      <c r="A1153">
        <f>ROW(LineærRegression_Valg[[#This Row],[Tabel ID]])-ROW(LineærRegression_Valg[[#Headers],[Tabel ID]])</f>
        <v>1143</v>
      </c>
      <c r="B1153" s="188">
        <f>ROUNDDOWN((LineærRegression_Valg[[#This Row],[Tabel ID]]-1)/$B$5,0)+1</f>
        <v>286</v>
      </c>
      <c r="C1153" s="188">
        <f t="shared" si="17"/>
        <v>3</v>
      </c>
      <c r="D1153" s="188" t="b">
        <f>LineærRegression_Valg[[#This Row],[Afhængig variabel ID]]&lt;&gt;LineærRegression_Valg[[#This Row],[Uafhængig variabel ID]]</f>
        <v>1</v>
      </c>
      <c r="E1153" t="b">
        <f>LineærRegression_Valg[[#This Row],[Afhængig variabel ID]]&lt;=$B$5</f>
        <v>0</v>
      </c>
      <c r="F1153" t="str" cm="1">
        <f t="array" ref="F1153">IF(LineærRegression_Valg[[#This Row],[Indenfor range]],INDEX(DataTitel_liste,LineærRegression_Valg[[#This Row],[Afhængig variabel ID]]),INDEX(DataTitel_liste,1))</f>
        <v>Eksempel 1 (interval)</v>
      </c>
      <c r="G1153" s="188" t="str" cm="1">
        <f t="array" ref="G1153">IF(LineærRegression_Valg[[#This Row],[Indenfor range]],IF(LineærRegression_Valg[[#This Row],[Intet overlap]],INDEX(DataTitel_liste,LineærRegression_Valg[[#This Row],[Uafhængig variabel ID]]),INDEX(DataTitel_liste,IF(LineærRegression_Valg[[#This Row],[Afhængig variabel ID]]=1,2,1))),$B$7)</f>
        <v>Eksempel 2 (interval)</v>
      </c>
      <c r="H1153" s="188">
        <f>_xlfn.AGGREGATE(2,5,LineærRegression_Valg[[#This Row],[Tabel ID]])</f>
        <v>1</v>
      </c>
    </row>
    <row r="1154" spans="1:8" x14ac:dyDescent="0.2">
      <c r="A1154">
        <f>ROW(LineærRegression_Valg[[#This Row],[Tabel ID]])-ROW(LineærRegression_Valg[[#Headers],[Tabel ID]])</f>
        <v>1144</v>
      </c>
      <c r="B1154" s="188">
        <f>ROUNDDOWN((LineærRegression_Valg[[#This Row],[Tabel ID]]-1)/$B$5,0)+1</f>
        <v>286</v>
      </c>
      <c r="C1154" s="188">
        <f t="shared" si="17"/>
        <v>4</v>
      </c>
      <c r="D1154" s="188" t="b">
        <f>LineærRegression_Valg[[#This Row],[Afhængig variabel ID]]&lt;&gt;LineærRegression_Valg[[#This Row],[Uafhængig variabel ID]]</f>
        <v>1</v>
      </c>
      <c r="E1154" t="b">
        <f>LineærRegression_Valg[[#This Row],[Afhængig variabel ID]]&lt;=$B$5</f>
        <v>0</v>
      </c>
      <c r="F1154" t="str" cm="1">
        <f t="array" ref="F1154">IF(LineærRegression_Valg[[#This Row],[Indenfor range]],INDEX(DataTitel_liste,LineærRegression_Valg[[#This Row],[Afhængig variabel ID]]),INDEX(DataTitel_liste,1))</f>
        <v>Eksempel 1 (interval)</v>
      </c>
      <c r="G1154" s="188" t="str" cm="1">
        <f t="array" ref="G1154">IF(LineærRegression_Valg[[#This Row],[Indenfor range]],IF(LineærRegression_Valg[[#This Row],[Intet overlap]],INDEX(DataTitel_liste,LineærRegression_Valg[[#This Row],[Uafhængig variabel ID]]),INDEX(DataTitel_liste,IF(LineærRegression_Valg[[#This Row],[Afhængig variabel ID]]=1,2,1))),$B$7)</f>
        <v>Eksempel 2 (interval)</v>
      </c>
      <c r="H1154" s="188">
        <f>_xlfn.AGGREGATE(2,5,LineærRegression_Valg[[#This Row],[Tabel ID]])</f>
        <v>1</v>
      </c>
    </row>
    <row r="1155" spans="1:8" x14ac:dyDescent="0.2">
      <c r="A1155">
        <f>ROW(LineærRegression_Valg[[#This Row],[Tabel ID]])-ROW(LineærRegression_Valg[[#Headers],[Tabel ID]])</f>
        <v>1145</v>
      </c>
      <c r="B1155" s="188">
        <f>ROUNDDOWN((LineærRegression_Valg[[#This Row],[Tabel ID]]-1)/$B$5,0)+1</f>
        <v>287</v>
      </c>
      <c r="C1155" s="188">
        <f t="shared" si="17"/>
        <v>1</v>
      </c>
      <c r="D1155" s="188" t="b">
        <f>LineærRegression_Valg[[#This Row],[Afhængig variabel ID]]&lt;&gt;LineærRegression_Valg[[#This Row],[Uafhængig variabel ID]]</f>
        <v>1</v>
      </c>
      <c r="E1155" t="b">
        <f>LineærRegression_Valg[[#This Row],[Afhængig variabel ID]]&lt;=$B$5</f>
        <v>0</v>
      </c>
      <c r="F1155" t="str" cm="1">
        <f t="array" ref="F1155">IF(LineærRegression_Valg[[#This Row],[Indenfor range]],INDEX(DataTitel_liste,LineærRegression_Valg[[#This Row],[Afhængig variabel ID]]),INDEX(DataTitel_liste,1))</f>
        <v>Eksempel 1 (interval)</v>
      </c>
      <c r="G1155" s="188" t="str" cm="1">
        <f t="array" ref="G1155">IF(LineærRegression_Valg[[#This Row],[Indenfor range]],IF(LineærRegression_Valg[[#This Row],[Intet overlap]],INDEX(DataTitel_liste,LineærRegression_Valg[[#This Row],[Uafhængig variabel ID]]),INDEX(DataTitel_liste,IF(LineærRegression_Valg[[#This Row],[Afhængig variabel ID]]=1,2,1))),$B$7)</f>
        <v>Eksempel 2 (interval)</v>
      </c>
      <c r="H1155" s="188">
        <f>_xlfn.AGGREGATE(2,5,LineærRegression_Valg[[#This Row],[Tabel ID]])</f>
        <v>1</v>
      </c>
    </row>
    <row r="1156" spans="1:8" x14ac:dyDescent="0.2">
      <c r="A1156">
        <f>ROW(LineærRegression_Valg[[#This Row],[Tabel ID]])-ROW(LineærRegression_Valg[[#Headers],[Tabel ID]])</f>
        <v>1146</v>
      </c>
      <c r="B1156" s="188">
        <f>ROUNDDOWN((LineærRegression_Valg[[#This Row],[Tabel ID]]-1)/$B$5,0)+1</f>
        <v>287</v>
      </c>
      <c r="C1156" s="188">
        <f t="shared" si="17"/>
        <v>2</v>
      </c>
      <c r="D1156" s="188" t="b">
        <f>LineærRegression_Valg[[#This Row],[Afhængig variabel ID]]&lt;&gt;LineærRegression_Valg[[#This Row],[Uafhængig variabel ID]]</f>
        <v>1</v>
      </c>
      <c r="E1156" t="b">
        <f>LineærRegression_Valg[[#This Row],[Afhængig variabel ID]]&lt;=$B$5</f>
        <v>0</v>
      </c>
      <c r="F1156" t="str" cm="1">
        <f t="array" ref="F1156">IF(LineærRegression_Valg[[#This Row],[Indenfor range]],INDEX(DataTitel_liste,LineærRegression_Valg[[#This Row],[Afhængig variabel ID]]),INDEX(DataTitel_liste,1))</f>
        <v>Eksempel 1 (interval)</v>
      </c>
      <c r="G1156" s="188" t="str" cm="1">
        <f t="array" ref="G1156">IF(LineærRegression_Valg[[#This Row],[Indenfor range]],IF(LineærRegression_Valg[[#This Row],[Intet overlap]],INDEX(DataTitel_liste,LineærRegression_Valg[[#This Row],[Uafhængig variabel ID]]),INDEX(DataTitel_liste,IF(LineærRegression_Valg[[#This Row],[Afhængig variabel ID]]=1,2,1))),$B$7)</f>
        <v>Eksempel 2 (interval)</v>
      </c>
      <c r="H1156" s="188">
        <f>_xlfn.AGGREGATE(2,5,LineærRegression_Valg[[#This Row],[Tabel ID]])</f>
        <v>1</v>
      </c>
    </row>
    <row r="1157" spans="1:8" x14ac:dyDescent="0.2">
      <c r="A1157">
        <f>ROW(LineærRegression_Valg[[#This Row],[Tabel ID]])-ROW(LineærRegression_Valg[[#Headers],[Tabel ID]])</f>
        <v>1147</v>
      </c>
      <c r="B1157" s="188">
        <f>ROUNDDOWN((LineærRegression_Valg[[#This Row],[Tabel ID]]-1)/$B$5,0)+1</f>
        <v>287</v>
      </c>
      <c r="C1157" s="188">
        <f t="shared" si="17"/>
        <v>3</v>
      </c>
      <c r="D1157" s="188" t="b">
        <f>LineærRegression_Valg[[#This Row],[Afhængig variabel ID]]&lt;&gt;LineærRegression_Valg[[#This Row],[Uafhængig variabel ID]]</f>
        <v>1</v>
      </c>
      <c r="E1157" t="b">
        <f>LineærRegression_Valg[[#This Row],[Afhængig variabel ID]]&lt;=$B$5</f>
        <v>0</v>
      </c>
      <c r="F1157" t="str" cm="1">
        <f t="array" ref="F1157">IF(LineærRegression_Valg[[#This Row],[Indenfor range]],INDEX(DataTitel_liste,LineærRegression_Valg[[#This Row],[Afhængig variabel ID]]),INDEX(DataTitel_liste,1))</f>
        <v>Eksempel 1 (interval)</v>
      </c>
      <c r="G1157" s="188" t="str" cm="1">
        <f t="array" ref="G1157">IF(LineærRegression_Valg[[#This Row],[Indenfor range]],IF(LineærRegression_Valg[[#This Row],[Intet overlap]],INDEX(DataTitel_liste,LineærRegression_Valg[[#This Row],[Uafhængig variabel ID]]),INDEX(DataTitel_liste,IF(LineærRegression_Valg[[#This Row],[Afhængig variabel ID]]=1,2,1))),$B$7)</f>
        <v>Eksempel 2 (interval)</v>
      </c>
      <c r="H1157" s="188">
        <f>_xlfn.AGGREGATE(2,5,LineærRegression_Valg[[#This Row],[Tabel ID]])</f>
        <v>1</v>
      </c>
    </row>
    <row r="1158" spans="1:8" x14ac:dyDescent="0.2">
      <c r="A1158">
        <f>ROW(LineærRegression_Valg[[#This Row],[Tabel ID]])-ROW(LineærRegression_Valg[[#Headers],[Tabel ID]])</f>
        <v>1148</v>
      </c>
      <c r="B1158" s="188">
        <f>ROUNDDOWN((LineærRegression_Valg[[#This Row],[Tabel ID]]-1)/$B$5,0)+1</f>
        <v>287</v>
      </c>
      <c r="C1158" s="188">
        <f t="shared" si="17"/>
        <v>4</v>
      </c>
      <c r="D1158" s="188" t="b">
        <f>LineærRegression_Valg[[#This Row],[Afhængig variabel ID]]&lt;&gt;LineærRegression_Valg[[#This Row],[Uafhængig variabel ID]]</f>
        <v>1</v>
      </c>
      <c r="E1158" t="b">
        <f>LineærRegression_Valg[[#This Row],[Afhængig variabel ID]]&lt;=$B$5</f>
        <v>0</v>
      </c>
      <c r="F1158" t="str" cm="1">
        <f t="array" ref="F1158">IF(LineærRegression_Valg[[#This Row],[Indenfor range]],INDEX(DataTitel_liste,LineærRegression_Valg[[#This Row],[Afhængig variabel ID]]),INDEX(DataTitel_liste,1))</f>
        <v>Eksempel 1 (interval)</v>
      </c>
      <c r="G1158" s="188" t="str" cm="1">
        <f t="array" ref="G1158">IF(LineærRegression_Valg[[#This Row],[Indenfor range]],IF(LineærRegression_Valg[[#This Row],[Intet overlap]],INDEX(DataTitel_liste,LineærRegression_Valg[[#This Row],[Uafhængig variabel ID]]),INDEX(DataTitel_liste,IF(LineærRegression_Valg[[#This Row],[Afhængig variabel ID]]=1,2,1))),$B$7)</f>
        <v>Eksempel 2 (interval)</v>
      </c>
      <c r="H1158" s="188">
        <f>_xlfn.AGGREGATE(2,5,LineærRegression_Valg[[#This Row],[Tabel ID]])</f>
        <v>1</v>
      </c>
    </row>
    <row r="1159" spans="1:8" x14ac:dyDescent="0.2">
      <c r="A1159">
        <f>ROW(LineærRegression_Valg[[#This Row],[Tabel ID]])-ROW(LineærRegression_Valg[[#Headers],[Tabel ID]])</f>
        <v>1149</v>
      </c>
      <c r="B1159" s="188">
        <f>ROUNDDOWN((LineærRegression_Valg[[#This Row],[Tabel ID]]-1)/$B$5,0)+1</f>
        <v>288</v>
      </c>
      <c r="C1159" s="188">
        <f t="shared" si="17"/>
        <v>1</v>
      </c>
      <c r="D1159" s="188" t="b">
        <f>LineærRegression_Valg[[#This Row],[Afhængig variabel ID]]&lt;&gt;LineærRegression_Valg[[#This Row],[Uafhængig variabel ID]]</f>
        <v>1</v>
      </c>
      <c r="E1159" t="b">
        <f>LineærRegression_Valg[[#This Row],[Afhængig variabel ID]]&lt;=$B$5</f>
        <v>0</v>
      </c>
      <c r="F1159" t="str" cm="1">
        <f t="array" ref="F1159">IF(LineærRegression_Valg[[#This Row],[Indenfor range]],INDEX(DataTitel_liste,LineærRegression_Valg[[#This Row],[Afhængig variabel ID]]),INDEX(DataTitel_liste,1))</f>
        <v>Eksempel 1 (interval)</v>
      </c>
      <c r="G1159" s="188" t="str" cm="1">
        <f t="array" ref="G1159">IF(LineærRegression_Valg[[#This Row],[Indenfor range]],IF(LineærRegression_Valg[[#This Row],[Intet overlap]],INDEX(DataTitel_liste,LineærRegression_Valg[[#This Row],[Uafhængig variabel ID]]),INDEX(DataTitel_liste,IF(LineærRegression_Valg[[#This Row],[Afhængig variabel ID]]=1,2,1))),$B$7)</f>
        <v>Eksempel 2 (interval)</v>
      </c>
      <c r="H1159" s="188">
        <f>_xlfn.AGGREGATE(2,5,LineærRegression_Valg[[#This Row],[Tabel ID]])</f>
        <v>1</v>
      </c>
    </row>
    <row r="1160" spans="1:8" x14ac:dyDescent="0.2">
      <c r="A1160">
        <f>ROW(LineærRegression_Valg[[#This Row],[Tabel ID]])-ROW(LineærRegression_Valg[[#Headers],[Tabel ID]])</f>
        <v>1150</v>
      </c>
      <c r="B1160" s="188">
        <f>ROUNDDOWN((LineærRegression_Valg[[#This Row],[Tabel ID]]-1)/$B$5,0)+1</f>
        <v>288</v>
      </c>
      <c r="C1160" s="188">
        <f t="shared" si="17"/>
        <v>2</v>
      </c>
      <c r="D1160" s="188" t="b">
        <f>LineærRegression_Valg[[#This Row],[Afhængig variabel ID]]&lt;&gt;LineærRegression_Valg[[#This Row],[Uafhængig variabel ID]]</f>
        <v>1</v>
      </c>
      <c r="E1160" t="b">
        <f>LineærRegression_Valg[[#This Row],[Afhængig variabel ID]]&lt;=$B$5</f>
        <v>0</v>
      </c>
      <c r="F1160" t="str" cm="1">
        <f t="array" ref="F1160">IF(LineærRegression_Valg[[#This Row],[Indenfor range]],INDEX(DataTitel_liste,LineærRegression_Valg[[#This Row],[Afhængig variabel ID]]),INDEX(DataTitel_liste,1))</f>
        <v>Eksempel 1 (interval)</v>
      </c>
      <c r="G1160" s="188" t="str" cm="1">
        <f t="array" ref="G1160">IF(LineærRegression_Valg[[#This Row],[Indenfor range]],IF(LineærRegression_Valg[[#This Row],[Intet overlap]],INDEX(DataTitel_liste,LineærRegression_Valg[[#This Row],[Uafhængig variabel ID]]),INDEX(DataTitel_liste,IF(LineærRegression_Valg[[#This Row],[Afhængig variabel ID]]=1,2,1))),$B$7)</f>
        <v>Eksempel 2 (interval)</v>
      </c>
      <c r="H1160" s="188">
        <f>_xlfn.AGGREGATE(2,5,LineærRegression_Valg[[#This Row],[Tabel ID]])</f>
        <v>1</v>
      </c>
    </row>
    <row r="1161" spans="1:8" x14ac:dyDescent="0.2">
      <c r="A1161">
        <f>ROW(LineærRegression_Valg[[#This Row],[Tabel ID]])-ROW(LineærRegression_Valg[[#Headers],[Tabel ID]])</f>
        <v>1151</v>
      </c>
      <c r="B1161" s="188">
        <f>ROUNDDOWN((LineærRegression_Valg[[#This Row],[Tabel ID]]-1)/$B$5,0)+1</f>
        <v>288</v>
      </c>
      <c r="C1161" s="188">
        <f t="shared" si="17"/>
        <v>3</v>
      </c>
      <c r="D1161" s="188" t="b">
        <f>LineærRegression_Valg[[#This Row],[Afhængig variabel ID]]&lt;&gt;LineærRegression_Valg[[#This Row],[Uafhængig variabel ID]]</f>
        <v>1</v>
      </c>
      <c r="E1161" t="b">
        <f>LineærRegression_Valg[[#This Row],[Afhængig variabel ID]]&lt;=$B$5</f>
        <v>0</v>
      </c>
      <c r="F1161" t="str" cm="1">
        <f t="array" ref="F1161">IF(LineærRegression_Valg[[#This Row],[Indenfor range]],INDEX(DataTitel_liste,LineærRegression_Valg[[#This Row],[Afhængig variabel ID]]),INDEX(DataTitel_liste,1))</f>
        <v>Eksempel 1 (interval)</v>
      </c>
      <c r="G1161" s="188" t="str" cm="1">
        <f t="array" ref="G1161">IF(LineærRegression_Valg[[#This Row],[Indenfor range]],IF(LineærRegression_Valg[[#This Row],[Intet overlap]],INDEX(DataTitel_liste,LineærRegression_Valg[[#This Row],[Uafhængig variabel ID]]),INDEX(DataTitel_liste,IF(LineærRegression_Valg[[#This Row],[Afhængig variabel ID]]=1,2,1))),$B$7)</f>
        <v>Eksempel 2 (interval)</v>
      </c>
      <c r="H1161" s="188">
        <f>_xlfn.AGGREGATE(2,5,LineærRegression_Valg[[#This Row],[Tabel ID]])</f>
        <v>1</v>
      </c>
    </row>
    <row r="1162" spans="1:8" x14ac:dyDescent="0.2">
      <c r="A1162">
        <f>ROW(LineærRegression_Valg[[#This Row],[Tabel ID]])-ROW(LineærRegression_Valg[[#Headers],[Tabel ID]])</f>
        <v>1152</v>
      </c>
      <c r="B1162" s="188">
        <f>ROUNDDOWN((LineærRegression_Valg[[#This Row],[Tabel ID]]-1)/$B$5,0)+1</f>
        <v>288</v>
      </c>
      <c r="C1162" s="188">
        <f t="shared" si="17"/>
        <v>4</v>
      </c>
      <c r="D1162" s="188" t="b">
        <f>LineærRegression_Valg[[#This Row],[Afhængig variabel ID]]&lt;&gt;LineærRegression_Valg[[#This Row],[Uafhængig variabel ID]]</f>
        <v>1</v>
      </c>
      <c r="E1162" t="b">
        <f>LineærRegression_Valg[[#This Row],[Afhængig variabel ID]]&lt;=$B$5</f>
        <v>0</v>
      </c>
      <c r="F1162" t="str" cm="1">
        <f t="array" ref="F1162">IF(LineærRegression_Valg[[#This Row],[Indenfor range]],INDEX(DataTitel_liste,LineærRegression_Valg[[#This Row],[Afhængig variabel ID]]),INDEX(DataTitel_liste,1))</f>
        <v>Eksempel 1 (interval)</v>
      </c>
      <c r="G1162" s="188" t="str" cm="1">
        <f t="array" ref="G1162">IF(LineærRegression_Valg[[#This Row],[Indenfor range]],IF(LineærRegression_Valg[[#This Row],[Intet overlap]],INDEX(DataTitel_liste,LineærRegression_Valg[[#This Row],[Uafhængig variabel ID]]),INDEX(DataTitel_liste,IF(LineærRegression_Valg[[#This Row],[Afhængig variabel ID]]=1,2,1))),$B$7)</f>
        <v>Eksempel 2 (interval)</v>
      </c>
      <c r="H1162" s="188">
        <f>_xlfn.AGGREGATE(2,5,LineærRegression_Valg[[#This Row],[Tabel ID]])</f>
        <v>1</v>
      </c>
    </row>
    <row r="1163" spans="1:8" x14ac:dyDescent="0.2">
      <c r="A1163">
        <f>ROW(LineærRegression_Valg[[#This Row],[Tabel ID]])-ROW(LineærRegression_Valg[[#Headers],[Tabel ID]])</f>
        <v>1153</v>
      </c>
      <c r="B1163" s="188">
        <f>ROUNDDOWN((LineærRegression_Valg[[#This Row],[Tabel ID]]-1)/$B$5,0)+1</f>
        <v>289</v>
      </c>
      <c r="C1163" s="188">
        <f t="shared" ref="C1163:C1226" si="18">MOD(A1163-1,$B$5)+1</f>
        <v>1</v>
      </c>
      <c r="D1163" s="188" t="b">
        <f>LineærRegression_Valg[[#This Row],[Afhængig variabel ID]]&lt;&gt;LineærRegression_Valg[[#This Row],[Uafhængig variabel ID]]</f>
        <v>1</v>
      </c>
      <c r="E1163" t="b">
        <f>LineærRegression_Valg[[#This Row],[Afhængig variabel ID]]&lt;=$B$5</f>
        <v>0</v>
      </c>
      <c r="F1163" t="str" cm="1">
        <f t="array" ref="F1163">IF(LineærRegression_Valg[[#This Row],[Indenfor range]],INDEX(DataTitel_liste,LineærRegression_Valg[[#This Row],[Afhængig variabel ID]]),INDEX(DataTitel_liste,1))</f>
        <v>Eksempel 1 (interval)</v>
      </c>
      <c r="G1163" s="188" t="str" cm="1">
        <f t="array" ref="G1163">IF(LineærRegression_Valg[[#This Row],[Indenfor range]],IF(LineærRegression_Valg[[#This Row],[Intet overlap]],INDEX(DataTitel_liste,LineærRegression_Valg[[#This Row],[Uafhængig variabel ID]]),INDEX(DataTitel_liste,IF(LineærRegression_Valg[[#This Row],[Afhængig variabel ID]]=1,2,1))),$B$7)</f>
        <v>Eksempel 2 (interval)</v>
      </c>
      <c r="H1163" s="188">
        <f>_xlfn.AGGREGATE(2,5,LineærRegression_Valg[[#This Row],[Tabel ID]])</f>
        <v>1</v>
      </c>
    </row>
    <row r="1164" spans="1:8" x14ac:dyDescent="0.2">
      <c r="A1164">
        <f>ROW(LineærRegression_Valg[[#This Row],[Tabel ID]])-ROW(LineærRegression_Valg[[#Headers],[Tabel ID]])</f>
        <v>1154</v>
      </c>
      <c r="B1164" s="188">
        <f>ROUNDDOWN((LineærRegression_Valg[[#This Row],[Tabel ID]]-1)/$B$5,0)+1</f>
        <v>289</v>
      </c>
      <c r="C1164" s="188">
        <f t="shared" si="18"/>
        <v>2</v>
      </c>
      <c r="D1164" s="188" t="b">
        <f>LineærRegression_Valg[[#This Row],[Afhængig variabel ID]]&lt;&gt;LineærRegression_Valg[[#This Row],[Uafhængig variabel ID]]</f>
        <v>1</v>
      </c>
      <c r="E1164" t="b">
        <f>LineærRegression_Valg[[#This Row],[Afhængig variabel ID]]&lt;=$B$5</f>
        <v>0</v>
      </c>
      <c r="F1164" t="str" cm="1">
        <f t="array" ref="F1164">IF(LineærRegression_Valg[[#This Row],[Indenfor range]],INDEX(DataTitel_liste,LineærRegression_Valg[[#This Row],[Afhængig variabel ID]]),INDEX(DataTitel_liste,1))</f>
        <v>Eksempel 1 (interval)</v>
      </c>
      <c r="G1164" s="188" t="str" cm="1">
        <f t="array" ref="G1164">IF(LineærRegression_Valg[[#This Row],[Indenfor range]],IF(LineærRegression_Valg[[#This Row],[Intet overlap]],INDEX(DataTitel_liste,LineærRegression_Valg[[#This Row],[Uafhængig variabel ID]]),INDEX(DataTitel_liste,IF(LineærRegression_Valg[[#This Row],[Afhængig variabel ID]]=1,2,1))),$B$7)</f>
        <v>Eksempel 2 (interval)</v>
      </c>
      <c r="H1164" s="188">
        <f>_xlfn.AGGREGATE(2,5,LineærRegression_Valg[[#This Row],[Tabel ID]])</f>
        <v>1</v>
      </c>
    </row>
    <row r="1165" spans="1:8" x14ac:dyDescent="0.2">
      <c r="A1165">
        <f>ROW(LineærRegression_Valg[[#This Row],[Tabel ID]])-ROW(LineærRegression_Valg[[#Headers],[Tabel ID]])</f>
        <v>1155</v>
      </c>
      <c r="B1165" s="188">
        <f>ROUNDDOWN((LineærRegression_Valg[[#This Row],[Tabel ID]]-1)/$B$5,0)+1</f>
        <v>289</v>
      </c>
      <c r="C1165" s="188">
        <f t="shared" si="18"/>
        <v>3</v>
      </c>
      <c r="D1165" s="188" t="b">
        <f>LineærRegression_Valg[[#This Row],[Afhængig variabel ID]]&lt;&gt;LineærRegression_Valg[[#This Row],[Uafhængig variabel ID]]</f>
        <v>1</v>
      </c>
      <c r="E1165" t="b">
        <f>LineærRegression_Valg[[#This Row],[Afhængig variabel ID]]&lt;=$B$5</f>
        <v>0</v>
      </c>
      <c r="F1165" t="str" cm="1">
        <f t="array" ref="F1165">IF(LineærRegression_Valg[[#This Row],[Indenfor range]],INDEX(DataTitel_liste,LineærRegression_Valg[[#This Row],[Afhængig variabel ID]]),INDEX(DataTitel_liste,1))</f>
        <v>Eksempel 1 (interval)</v>
      </c>
      <c r="G1165" s="188" t="str" cm="1">
        <f t="array" ref="G1165">IF(LineærRegression_Valg[[#This Row],[Indenfor range]],IF(LineærRegression_Valg[[#This Row],[Intet overlap]],INDEX(DataTitel_liste,LineærRegression_Valg[[#This Row],[Uafhængig variabel ID]]),INDEX(DataTitel_liste,IF(LineærRegression_Valg[[#This Row],[Afhængig variabel ID]]=1,2,1))),$B$7)</f>
        <v>Eksempel 2 (interval)</v>
      </c>
      <c r="H1165" s="188">
        <f>_xlfn.AGGREGATE(2,5,LineærRegression_Valg[[#This Row],[Tabel ID]])</f>
        <v>1</v>
      </c>
    </row>
    <row r="1166" spans="1:8" x14ac:dyDescent="0.2">
      <c r="A1166">
        <f>ROW(LineærRegression_Valg[[#This Row],[Tabel ID]])-ROW(LineærRegression_Valg[[#Headers],[Tabel ID]])</f>
        <v>1156</v>
      </c>
      <c r="B1166" s="188">
        <f>ROUNDDOWN((LineærRegression_Valg[[#This Row],[Tabel ID]]-1)/$B$5,0)+1</f>
        <v>289</v>
      </c>
      <c r="C1166" s="188">
        <f t="shared" si="18"/>
        <v>4</v>
      </c>
      <c r="D1166" s="188" t="b">
        <f>LineærRegression_Valg[[#This Row],[Afhængig variabel ID]]&lt;&gt;LineærRegression_Valg[[#This Row],[Uafhængig variabel ID]]</f>
        <v>1</v>
      </c>
      <c r="E1166" t="b">
        <f>LineærRegression_Valg[[#This Row],[Afhængig variabel ID]]&lt;=$B$5</f>
        <v>0</v>
      </c>
      <c r="F1166" t="str" cm="1">
        <f t="array" ref="F1166">IF(LineærRegression_Valg[[#This Row],[Indenfor range]],INDEX(DataTitel_liste,LineærRegression_Valg[[#This Row],[Afhængig variabel ID]]),INDEX(DataTitel_liste,1))</f>
        <v>Eksempel 1 (interval)</v>
      </c>
      <c r="G1166" s="188" t="str" cm="1">
        <f t="array" ref="G1166">IF(LineærRegression_Valg[[#This Row],[Indenfor range]],IF(LineærRegression_Valg[[#This Row],[Intet overlap]],INDEX(DataTitel_liste,LineærRegression_Valg[[#This Row],[Uafhængig variabel ID]]),INDEX(DataTitel_liste,IF(LineærRegression_Valg[[#This Row],[Afhængig variabel ID]]=1,2,1))),$B$7)</f>
        <v>Eksempel 2 (interval)</v>
      </c>
      <c r="H1166" s="188">
        <f>_xlfn.AGGREGATE(2,5,LineærRegression_Valg[[#This Row],[Tabel ID]])</f>
        <v>1</v>
      </c>
    </row>
    <row r="1167" spans="1:8" x14ac:dyDescent="0.2">
      <c r="A1167">
        <f>ROW(LineærRegression_Valg[[#This Row],[Tabel ID]])-ROW(LineærRegression_Valg[[#Headers],[Tabel ID]])</f>
        <v>1157</v>
      </c>
      <c r="B1167" s="188">
        <f>ROUNDDOWN((LineærRegression_Valg[[#This Row],[Tabel ID]]-1)/$B$5,0)+1</f>
        <v>290</v>
      </c>
      <c r="C1167" s="188">
        <f t="shared" si="18"/>
        <v>1</v>
      </c>
      <c r="D1167" s="188" t="b">
        <f>LineærRegression_Valg[[#This Row],[Afhængig variabel ID]]&lt;&gt;LineærRegression_Valg[[#This Row],[Uafhængig variabel ID]]</f>
        <v>1</v>
      </c>
      <c r="E1167" t="b">
        <f>LineærRegression_Valg[[#This Row],[Afhængig variabel ID]]&lt;=$B$5</f>
        <v>0</v>
      </c>
      <c r="F1167" t="str" cm="1">
        <f t="array" ref="F1167">IF(LineærRegression_Valg[[#This Row],[Indenfor range]],INDEX(DataTitel_liste,LineærRegression_Valg[[#This Row],[Afhængig variabel ID]]),INDEX(DataTitel_liste,1))</f>
        <v>Eksempel 1 (interval)</v>
      </c>
      <c r="G1167" s="188" t="str" cm="1">
        <f t="array" ref="G1167">IF(LineærRegression_Valg[[#This Row],[Indenfor range]],IF(LineærRegression_Valg[[#This Row],[Intet overlap]],INDEX(DataTitel_liste,LineærRegression_Valg[[#This Row],[Uafhængig variabel ID]]),INDEX(DataTitel_liste,IF(LineærRegression_Valg[[#This Row],[Afhængig variabel ID]]=1,2,1))),$B$7)</f>
        <v>Eksempel 2 (interval)</v>
      </c>
      <c r="H1167" s="188">
        <f>_xlfn.AGGREGATE(2,5,LineærRegression_Valg[[#This Row],[Tabel ID]])</f>
        <v>1</v>
      </c>
    </row>
    <row r="1168" spans="1:8" x14ac:dyDescent="0.2">
      <c r="A1168">
        <f>ROW(LineærRegression_Valg[[#This Row],[Tabel ID]])-ROW(LineærRegression_Valg[[#Headers],[Tabel ID]])</f>
        <v>1158</v>
      </c>
      <c r="B1168" s="188">
        <f>ROUNDDOWN((LineærRegression_Valg[[#This Row],[Tabel ID]]-1)/$B$5,0)+1</f>
        <v>290</v>
      </c>
      <c r="C1168" s="188">
        <f t="shared" si="18"/>
        <v>2</v>
      </c>
      <c r="D1168" s="188" t="b">
        <f>LineærRegression_Valg[[#This Row],[Afhængig variabel ID]]&lt;&gt;LineærRegression_Valg[[#This Row],[Uafhængig variabel ID]]</f>
        <v>1</v>
      </c>
      <c r="E1168" t="b">
        <f>LineærRegression_Valg[[#This Row],[Afhængig variabel ID]]&lt;=$B$5</f>
        <v>0</v>
      </c>
      <c r="F1168" t="str" cm="1">
        <f t="array" ref="F1168">IF(LineærRegression_Valg[[#This Row],[Indenfor range]],INDEX(DataTitel_liste,LineærRegression_Valg[[#This Row],[Afhængig variabel ID]]),INDEX(DataTitel_liste,1))</f>
        <v>Eksempel 1 (interval)</v>
      </c>
      <c r="G1168" s="188" t="str" cm="1">
        <f t="array" ref="G1168">IF(LineærRegression_Valg[[#This Row],[Indenfor range]],IF(LineærRegression_Valg[[#This Row],[Intet overlap]],INDEX(DataTitel_liste,LineærRegression_Valg[[#This Row],[Uafhængig variabel ID]]),INDEX(DataTitel_liste,IF(LineærRegression_Valg[[#This Row],[Afhængig variabel ID]]=1,2,1))),$B$7)</f>
        <v>Eksempel 2 (interval)</v>
      </c>
      <c r="H1168" s="188">
        <f>_xlfn.AGGREGATE(2,5,LineærRegression_Valg[[#This Row],[Tabel ID]])</f>
        <v>1</v>
      </c>
    </row>
    <row r="1169" spans="1:8" x14ac:dyDescent="0.2">
      <c r="A1169">
        <f>ROW(LineærRegression_Valg[[#This Row],[Tabel ID]])-ROW(LineærRegression_Valg[[#Headers],[Tabel ID]])</f>
        <v>1159</v>
      </c>
      <c r="B1169" s="188">
        <f>ROUNDDOWN((LineærRegression_Valg[[#This Row],[Tabel ID]]-1)/$B$5,0)+1</f>
        <v>290</v>
      </c>
      <c r="C1169" s="188">
        <f t="shared" si="18"/>
        <v>3</v>
      </c>
      <c r="D1169" s="188" t="b">
        <f>LineærRegression_Valg[[#This Row],[Afhængig variabel ID]]&lt;&gt;LineærRegression_Valg[[#This Row],[Uafhængig variabel ID]]</f>
        <v>1</v>
      </c>
      <c r="E1169" t="b">
        <f>LineærRegression_Valg[[#This Row],[Afhængig variabel ID]]&lt;=$B$5</f>
        <v>0</v>
      </c>
      <c r="F1169" t="str" cm="1">
        <f t="array" ref="F1169">IF(LineærRegression_Valg[[#This Row],[Indenfor range]],INDEX(DataTitel_liste,LineærRegression_Valg[[#This Row],[Afhængig variabel ID]]),INDEX(DataTitel_liste,1))</f>
        <v>Eksempel 1 (interval)</v>
      </c>
      <c r="G1169" s="188" t="str" cm="1">
        <f t="array" ref="G1169">IF(LineærRegression_Valg[[#This Row],[Indenfor range]],IF(LineærRegression_Valg[[#This Row],[Intet overlap]],INDEX(DataTitel_liste,LineærRegression_Valg[[#This Row],[Uafhængig variabel ID]]),INDEX(DataTitel_liste,IF(LineærRegression_Valg[[#This Row],[Afhængig variabel ID]]=1,2,1))),$B$7)</f>
        <v>Eksempel 2 (interval)</v>
      </c>
      <c r="H1169" s="188">
        <f>_xlfn.AGGREGATE(2,5,LineærRegression_Valg[[#This Row],[Tabel ID]])</f>
        <v>1</v>
      </c>
    </row>
    <row r="1170" spans="1:8" x14ac:dyDescent="0.2">
      <c r="A1170">
        <f>ROW(LineærRegression_Valg[[#This Row],[Tabel ID]])-ROW(LineærRegression_Valg[[#Headers],[Tabel ID]])</f>
        <v>1160</v>
      </c>
      <c r="B1170" s="188">
        <f>ROUNDDOWN((LineærRegression_Valg[[#This Row],[Tabel ID]]-1)/$B$5,0)+1</f>
        <v>290</v>
      </c>
      <c r="C1170" s="188">
        <f t="shared" si="18"/>
        <v>4</v>
      </c>
      <c r="D1170" s="188" t="b">
        <f>LineærRegression_Valg[[#This Row],[Afhængig variabel ID]]&lt;&gt;LineærRegression_Valg[[#This Row],[Uafhængig variabel ID]]</f>
        <v>1</v>
      </c>
      <c r="E1170" t="b">
        <f>LineærRegression_Valg[[#This Row],[Afhængig variabel ID]]&lt;=$B$5</f>
        <v>0</v>
      </c>
      <c r="F1170" t="str" cm="1">
        <f t="array" ref="F1170">IF(LineærRegression_Valg[[#This Row],[Indenfor range]],INDEX(DataTitel_liste,LineærRegression_Valg[[#This Row],[Afhængig variabel ID]]),INDEX(DataTitel_liste,1))</f>
        <v>Eksempel 1 (interval)</v>
      </c>
      <c r="G1170" s="188" t="str" cm="1">
        <f t="array" ref="G1170">IF(LineærRegression_Valg[[#This Row],[Indenfor range]],IF(LineærRegression_Valg[[#This Row],[Intet overlap]],INDEX(DataTitel_liste,LineærRegression_Valg[[#This Row],[Uafhængig variabel ID]]),INDEX(DataTitel_liste,IF(LineærRegression_Valg[[#This Row],[Afhængig variabel ID]]=1,2,1))),$B$7)</f>
        <v>Eksempel 2 (interval)</v>
      </c>
      <c r="H1170" s="188">
        <f>_xlfn.AGGREGATE(2,5,LineærRegression_Valg[[#This Row],[Tabel ID]])</f>
        <v>1</v>
      </c>
    </row>
    <row r="1171" spans="1:8" x14ac:dyDescent="0.2">
      <c r="A1171">
        <f>ROW(LineærRegression_Valg[[#This Row],[Tabel ID]])-ROW(LineærRegression_Valg[[#Headers],[Tabel ID]])</f>
        <v>1161</v>
      </c>
      <c r="B1171" s="188">
        <f>ROUNDDOWN((LineærRegression_Valg[[#This Row],[Tabel ID]]-1)/$B$5,0)+1</f>
        <v>291</v>
      </c>
      <c r="C1171" s="188">
        <f t="shared" si="18"/>
        <v>1</v>
      </c>
      <c r="D1171" s="188" t="b">
        <f>LineærRegression_Valg[[#This Row],[Afhængig variabel ID]]&lt;&gt;LineærRegression_Valg[[#This Row],[Uafhængig variabel ID]]</f>
        <v>1</v>
      </c>
      <c r="E1171" t="b">
        <f>LineærRegression_Valg[[#This Row],[Afhængig variabel ID]]&lt;=$B$5</f>
        <v>0</v>
      </c>
      <c r="F1171" t="str" cm="1">
        <f t="array" ref="F1171">IF(LineærRegression_Valg[[#This Row],[Indenfor range]],INDEX(DataTitel_liste,LineærRegression_Valg[[#This Row],[Afhængig variabel ID]]),INDEX(DataTitel_liste,1))</f>
        <v>Eksempel 1 (interval)</v>
      </c>
      <c r="G1171" s="188" t="str" cm="1">
        <f t="array" ref="G1171">IF(LineærRegression_Valg[[#This Row],[Indenfor range]],IF(LineærRegression_Valg[[#This Row],[Intet overlap]],INDEX(DataTitel_liste,LineærRegression_Valg[[#This Row],[Uafhængig variabel ID]]),INDEX(DataTitel_liste,IF(LineærRegression_Valg[[#This Row],[Afhængig variabel ID]]=1,2,1))),$B$7)</f>
        <v>Eksempel 2 (interval)</v>
      </c>
      <c r="H1171" s="188">
        <f>_xlfn.AGGREGATE(2,5,LineærRegression_Valg[[#This Row],[Tabel ID]])</f>
        <v>1</v>
      </c>
    </row>
    <row r="1172" spans="1:8" x14ac:dyDescent="0.2">
      <c r="A1172">
        <f>ROW(LineærRegression_Valg[[#This Row],[Tabel ID]])-ROW(LineærRegression_Valg[[#Headers],[Tabel ID]])</f>
        <v>1162</v>
      </c>
      <c r="B1172" s="188">
        <f>ROUNDDOWN((LineærRegression_Valg[[#This Row],[Tabel ID]]-1)/$B$5,0)+1</f>
        <v>291</v>
      </c>
      <c r="C1172" s="188">
        <f t="shared" si="18"/>
        <v>2</v>
      </c>
      <c r="D1172" s="188" t="b">
        <f>LineærRegression_Valg[[#This Row],[Afhængig variabel ID]]&lt;&gt;LineærRegression_Valg[[#This Row],[Uafhængig variabel ID]]</f>
        <v>1</v>
      </c>
      <c r="E1172" t="b">
        <f>LineærRegression_Valg[[#This Row],[Afhængig variabel ID]]&lt;=$B$5</f>
        <v>0</v>
      </c>
      <c r="F1172" t="str" cm="1">
        <f t="array" ref="F1172">IF(LineærRegression_Valg[[#This Row],[Indenfor range]],INDEX(DataTitel_liste,LineærRegression_Valg[[#This Row],[Afhængig variabel ID]]),INDEX(DataTitel_liste,1))</f>
        <v>Eksempel 1 (interval)</v>
      </c>
      <c r="G1172" s="188" t="str" cm="1">
        <f t="array" ref="G1172">IF(LineærRegression_Valg[[#This Row],[Indenfor range]],IF(LineærRegression_Valg[[#This Row],[Intet overlap]],INDEX(DataTitel_liste,LineærRegression_Valg[[#This Row],[Uafhængig variabel ID]]),INDEX(DataTitel_liste,IF(LineærRegression_Valg[[#This Row],[Afhængig variabel ID]]=1,2,1))),$B$7)</f>
        <v>Eksempel 2 (interval)</v>
      </c>
      <c r="H1172" s="188">
        <f>_xlfn.AGGREGATE(2,5,LineærRegression_Valg[[#This Row],[Tabel ID]])</f>
        <v>1</v>
      </c>
    </row>
    <row r="1173" spans="1:8" x14ac:dyDescent="0.2">
      <c r="A1173">
        <f>ROW(LineærRegression_Valg[[#This Row],[Tabel ID]])-ROW(LineærRegression_Valg[[#Headers],[Tabel ID]])</f>
        <v>1163</v>
      </c>
      <c r="B1173" s="188">
        <f>ROUNDDOWN((LineærRegression_Valg[[#This Row],[Tabel ID]]-1)/$B$5,0)+1</f>
        <v>291</v>
      </c>
      <c r="C1173" s="188">
        <f t="shared" si="18"/>
        <v>3</v>
      </c>
      <c r="D1173" s="188" t="b">
        <f>LineærRegression_Valg[[#This Row],[Afhængig variabel ID]]&lt;&gt;LineærRegression_Valg[[#This Row],[Uafhængig variabel ID]]</f>
        <v>1</v>
      </c>
      <c r="E1173" t="b">
        <f>LineærRegression_Valg[[#This Row],[Afhængig variabel ID]]&lt;=$B$5</f>
        <v>0</v>
      </c>
      <c r="F1173" t="str" cm="1">
        <f t="array" ref="F1173">IF(LineærRegression_Valg[[#This Row],[Indenfor range]],INDEX(DataTitel_liste,LineærRegression_Valg[[#This Row],[Afhængig variabel ID]]),INDEX(DataTitel_liste,1))</f>
        <v>Eksempel 1 (interval)</v>
      </c>
      <c r="G1173" s="188" t="str" cm="1">
        <f t="array" ref="G1173">IF(LineærRegression_Valg[[#This Row],[Indenfor range]],IF(LineærRegression_Valg[[#This Row],[Intet overlap]],INDEX(DataTitel_liste,LineærRegression_Valg[[#This Row],[Uafhængig variabel ID]]),INDEX(DataTitel_liste,IF(LineærRegression_Valg[[#This Row],[Afhængig variabel ID]]=1,2,1))),$B$7)</f>
        <v>Eksempel 2 (interval)</v>
      </c>
      <c r="H1173" s="188">
        <f>_xlfn.AGGREGATE(2,5,LineærRegression_Valg[[#This Row],[Tabel ID]])</f>
        <v>1</v>
      </c>
    </row>
    <row r="1174" spans="1:8" x14ac:dyDescent="0.2">
      <c r="A1174">
        <f>ROW(LineærRegression_Valg[[#This Row],[Tabel ID]])-ROW(LineærRegression_Valg[[#Headers],[Tabel ID]])</f>
        <v>1164</v>
      </c>
      <c r="B1174" s="188">
        <f>ROUNDDOWN((LineærRegression_Valg[[#This Row],[Tabel ID]]-1)/$B$5,0)+1</f>
        <v>291</v>
      </c>
      <c r="C1174" s="188">
        <f t="shared" si="18"/>
        <v>4</v>
      </c>
      <c r="D1174" s="188" t="b">
        <f>LineærRegression_Valg[[#This Row],[Afhængig variabel ID]]&lt;&gt;LineærRegression_Valg[[#This Row],[Uafhængig variabel ID]]</f>
        <v>1</v>
      </c>
      <c r="E1174" t="b">
        <f>LineærRegression_Valg[[#This Row],[Afhængig variabel ID]]&lt;=$B$5</f>
        <v>0</v>
      </c>
      <c r="F1174" t="str" cm="1">
        <f t="array" ref="F1174">IF(LineærRegression_Valg[[#This Row],[Indenfor range]],INDEX(DataTitel_liste,LineærRegression_Valg[[#This Row],[Afhængig variabel ID]]),INDEX(DataTitel_liste,1))</f>
        <v>Eksempel 1 (interval)</v>
      </c>
      <c r="G1174" s="188" t="str" cm="1">
        <f t="array" ref="G1174">IF(LineærRegression_Valg[[#This Row],[Indenfor range]],IF(LineærRegression_Valg[[#This Row],[Intet overlap]],INDEX(DataTitel_liste,LineærRegression_Valg[[#This Row],[Uafhængig variabel ID]]),INDEX(DataTitel_liste,IF(LineærRegression_Valg[[#This Row],[Afhængig variabel ID]]=1,2,1))),$B$7)</f>
        <v>Eksempel 2 (interval)</v>
      </c>
      <c r="H1174" s="188">
        <f>_xlfn.AGGREGATE(2,5,LineærRegression_Valg[[#This Row],[Tabel ID]])</f>
        <v>1</v>
      </c>
    </row>
    <row r="1175" spans="1:8" x14ac:dyDescent="0.2">
      <c r="A1175">
        <f>ROW(LineærRegression_Valg[[#This Row],[Tabel ID]])-ROW(LineærRegression_Valg[[#Headers],[Tabel ID]])</f>
        <v>1165</v>
      </c>
      <c r="B1175" s="188">
        <f>ROUNDDOWN((LineærRegression_Valg[[#This Row],[Tabel ID]]-1)/$B$5,0)+1</f>
        <v>292</v>
      </c>
      <c r="C1175" s="188">
        <f t="shared" si="18"/>
        <v>1</v>
      </c>
      <c r="D1175" s="188" t="b">
        <f>LineærRegression_Valg[[#This Row],[Afhængig variabel ID]]&lt;&gt;LineærRegression_Valg[[#This Row],[Uafhængig variabel ID]]</f>
        <v>1</v>
      </c>
      <c r="E1175" t="b">
        <f>LineærRegression_Valg[[#This Row],[Afhængig variabel ID]]&lt;=$B$5</f>
        <v>0</v>
      </c>
      <c r="F1175" t="str" cm="1">
        <f t="array" ref="F1175">IF(LineærRegression_Valg[[#This Row],[Indenfor range]],INDEX(DataTitel_liste,LineærRegression_Valg[[#This Row],[Afhængig variabel ID]]),INDEX(DataTitel_liste,1))</f>
        <v>Eksempel 1 (interval)</v>
      </c>
      <c r="G1175" s="188" t="str" cm="1">
        <f t="array" ref="G1175">IF(LineærRegression_Valg[[#This Row],[Indenfor range]],IF(LineærRegression_Valg[[#This Row],[Intet overlap]],INDEX(DataTitel_liste,LineærRegression_Valg[[#This Row],[Uafhængig variabel ID]]),INDEX(DataTitel_liste,IF(LineærRegression_Valg[[#This Row],[Afhængig variabel ID]]=1,2,1))),$B$7)</f>
        <v>Eksempel 2 (interval)</v>
      </c>
      <c r="H1175" s="188">
        <f>_xlfn.AGGREGATE(2,5,LineærRegression_Valg[[#This Row],[Tabel ID]])</f>
        <v>1</v>
      </c>
    </row>
    <row r="1176" spans="1:8" x14ac:dyDescent="0.2">
      <c r="A1176">
        <f>ROW(LineærRegression_Valg[[#This Row],[Tabel ID]])-ROW(LineærRegression_Valg[[#Headers],[Tabel ID]])</f>
        <v>1166</v>
      </c>
      <c r="B1176" s="188">
        <f>ROUNDDOWN((LineærRegression_Valg[[#This Row],[Tabel ID]]-1)/$B$5,0)+1</f>
        <v>292</v>
      </c>
      <c r="C1176" s="188">
        <f t="shared" si="18"/>
        <v>2</v>
      </c>
      <c r="D1176" s="188" t="b">
        <f>LineærRegression_Valg[[#This Row],[Afhængig variabel ID]]&lt;&gt;LineærRegression_Valg[[#This Row],[Uafhængig variabel ID]]</f>
        <v>1</v>
      </c>
      <c r="E1176" t="b">
        <f>LineærRegression_Valg[[#This Row],[Afhængig variabel ID]]&lt;=$B$5</f>
        <v>0</v>
      </c>
      <c r="F1176" t="str" cm="1">
        <f t="array" ref="F1176">IF(LineærRegression_Valg[[#This Row],[Indenfor range]],INDEX(DataTitel_liste,LineærRegression_Valg[[#This Row],[Afhængig variabel ID]]),INDEX(DataTitel_liste,1))</f>
        <v>Eksempel 1 (interval)</v>
      </c>
      <c r="G1176" s="188" t="str" cm="1">
        <f t="array" ref="G1176">IF(LineærRegression_Valg[[#This Row],[Indenfor range]],IF(LineærRegression_Valg[[#This Row],[Intet overlap]],INDEX(DataTitel_liste,LineærRegression_Valg[[#This Row],[Uafhængig variabel ID]]),INDEX(DataTitel_liste,IF(LineærRegression_Valg[[#This Row],[Afhængig variabel ID]]=1,2,1))),$B$7)</f>
        <v>Eksempel 2 (interval)</v>
      </c>
      <c r="H1176" s="188">
        <f>_xlfn.AGGREGATE(2,5,LineærRegression_Valg[[#This Row],[Tabel ID]])</f>
        <v>1</v>
      </c>
    </row>
    <row r="1177" spans="1:8" x14ac:dyDescent="0.2">
      <c r="A1177">
        <f>ROW(LineærRegression_Valg[[#This Row],[Tabel ID]])-ROW(LineærRegression_Valg[[#Headers],[Tabel ID]])</f>
        <v>1167</v>
      </c>
      <c r="B1177" s="188">
        <f>ROUNDDOWN((LineærRegression_Valg[[#This Row],[Tabel ID]]-1)/$B$5,0)+1</f>
        <v>292</v>
      </c>
      <c r="C1177" s="188">
        <f t="shared" si="18"/>
        <v>3</v>
      </c>
      <c r="D1177" s="188" t="b">
        <f>LineærRegression_Valg[[#This Row],[Afhængig variabel ID]]&lt;&gt;LineærRegression_Valg[[#This Row],[Uafhængig variabel ID]]</f>
        <v>1</v>
      </c>
      <c r="E1177" t="b">
        <f>LineærRegression_Valg[[#This Row],[Afhængig variabel ID]]&lt;=$B$5</f>
        <v>0</v>
      </c>
      <c r="F1177" t="str" cm="1">
        <f t="array" ref="F1177">IF(LineærRegression_Valg[[#This Row],[Indenfor range]],INDEX(DataTitel_liste,LineærRegression_Valg[[#This Row],[Afhængig variabel ID]]),INDEX(DataTitel_liste,1))</f>
        <v>Eksempel 1 (interval)</v>
      </c>
      <c r="G1177" s="188" t="str" cm="1">
        <f t="array" ref="G1177">IF(LineærRegression_Valg[[#This Row],[Indenfor range]],IF(LineærRegression_Valg[[#This Row],[Intet overlap]],INDEX(DataTitel_liste,LineærRegression_Valg[[#This Row],[Uafhængig variabel ID]]),INDEX(DataTitel_liste,IF(LineærRegression_Valg[[#This Row],[Afhængig variabel ID]]=1,2,1))),$B$7)</f>
        <v>Eksempel 2 (interval)</v>
      </c>
      <c r="H1177" s="188">
        <f>_xlfn.AGGREGATE(2,5,LineærRegression_Valg[[#This Row],[Tabel ID]])</f>
        <v>1</v>
      </c>
    </row>
    <row r="1178" spans="1:8" x14ac:dyDescent="0.2">
      <c r="A1178">
        <f>ROW(LineærRegression_Valg[[#This Row],[Tabel ID]])-ROW(LineærRegression_Valg[[#Headers],[Tabel ID]])</f>
        <v>1168</v>
      </c>
      <c r="B1178" s="188">
        <f>ROUNDDOWN((LineærRegression_Valg[[#This Row],[Tabel ID]]-1)/$B$5,0)+1</f>
        <v>292</v>
      </c>
      <c r="C1178" s="188">
        <f t="shared" si="18"/>
        <v>4</v>
      </c>
      <c r="D1178" s="188" t="b">
        <f>LineærRegression_Valg[[#This Row],[Afhængig variabel ID]]&lt;&gt;LineærRegression_Valg[[#This Row],[Uafhængig variabel ID]]</f>
        <v>1</v>
      </c>
      <c r="E1178" t="b">
        <f>LineærRegression_Valg[[#This Row],[Afhængig variabel ID]]&lt;=$B$5</f>
        <v>0</v>
      </c>
      <c r="F1178" t="str" cm="1">
        <f t="array" ref="F1178">IF(LineærRegression_Valg[[#This Row],[Indenfor range]],INDEX(DataTitel_liste,LineærRegression_Valg[[#This Row],[Afhængig variabel ID]]),INDEX(DataTitel_liste,1))</f>
        <v>Eksempel 1 (interval)</v>
      </c>
      <c r="G1178" s="188" t="str" cm="1">
        <f t="array" ref="G1178">IF(LineærRegression_Valg[[#This Row],[Indenfor range]],IF(LineærRegression_Valg[[#This Row],[Intet overlap]],INDEX(DataTitel_liste,LineærRegression_Valg[[#This Row],[Uafhængig variabel ID]]),INDEX(DataTitel_liste,IF(LineærRegression_Valg[[#This Row],[Afhængig variabel ID]]=1,2,1))),$B$7)</f>
        <v>Eksempel 2 (interval)</v>
      </c>
      <c r="H1178" s="188">
        <f>_xlfn.AGGREGATE(2,5,LineærRegression_Valg[[#This Row],[Tabel ID]])</f>
        <v>1</v>
      </c>
    </row>
    <row r="1179" spans="1:8" x14ac:dyDescent="0.2">
      <c r="A1179">
        <f>ROW(LineærRegression_Valg[[#This Row],[Tabel ID]])-ROW(LineærRegression_Valg[[#Headers],[Tabel ID]])</f>
        <v>1169</v>
      </c>
      <c r="B1179" s="188">
        <f>ROUNDDOWN((LineærRegression_Valg[[#This Row],[Tabel ID]]-1)/$B$5,0)+1</f>
        <v>293</v>
      </c>
      <c r="C1179" s="188">
        <f t="shared" si="18"/>
        <v>1</v>
      </c>
      <c r="D1179" s="188" t="b">
        <f>LineærRegression_Valg[[#This Row],[Afhængig variabel ID]]&lt;&gt;LineærRegression_Valg[[#This Row],[Uafhængig variabel ID]]</f>
        <v>1</v>
      </c>
      <c r="E1179" t="b">
        <f>LineærRegression_Valg[[#This Row],[Afhængig variabel ID]]&lt;=$B$5</f>
        <v>0</v>
      </c>
      <c r="F1179" t="str" cm="1">
        <f t="array" ref="F1179">IF(LineærRegression_Valg[[#This Row],[Indenfor range]],INDEX(DataTitel_liste,LineærRegression_Valg[[#This Row],[Afhængig variabel ID]]),INDEX(DataTitel_liste,1))</f>
        <v>Eksempel 1 (interval)</v>
      </c>
      <c r="G1179" s="188" t="str" cm="1">
        <f t="array" ref="G1179">IF(LineærRegression_Valg[[#This Row],[Indenfor range]],IF(LineærRegression_Valg[[#This Row],[Intet overlap]],INDEX(DataTitel_liste,LineærRegression_Valg[[#This Row],[Uafhængig variabel ID]]),INDEX(DataTitel_liste,IF(LineærRegression_Valg[[#This Row],[Afhængig variabel ID]]=1,2,1))),$B$7)</f>
        <v>Eksempel 2 (interval)</v>
      </c>
      <c r="H1179" s="188">
        <f>_xlfn.AGGREGATE(2,5,LineærRegression_Valg[[#This Row],[Tabel ID]])</f>
        <v>1</v>
      </c>
    </row>
    <row r="1180" spans="1:8" x14ac:dyDescent="0.2">
      <c r="A1180">
        <f>ROW(LineærRegression_Valg[[#This Row],[Tabel ID]])-ROW(LineærRegression_Valg[[#Headers],[Tabel ID]])</f>
        <v>1170</v>
      </c>
      <c r="B1180" s="188">
        <f>ROUNDDOWN((LineærRegression_Valg[[#This Row],[Tabel ID]]-1)/$B$5,0)+1</f>
        <v>293</v>
      </c>
      <c r="C1180" s="188">
        <f t="shared" si="18"/>
        <v>2</v>
      </c>
      <c r="D1180" s="188" t="b">
        <f>LineærRegression_Valg[[#This Row],[Afhængig variabel ID]]&lt;&gt;LineærRegression_Valg[[#This Row],[Uafhængig variabel ID]]</f>
        <v>1</v>
      </c>
      <c r="E1180" t="b">
        <f>LineærRegression_Valg[[#This Row],[Afhængig variabel ID]]&lt;=$B$5</f>
        <v>0</v>
      </c>
      <c r="F1180" t="str" cm="1">
        <f t="array" ref="F1180">IF(LineærRegression_Valg[[#This Row],[Indenfor range]],INDEX(DataTitel_liste,LineærRegression_Valg[[#This Row],[Afhængig variabel ID]]),INDEX(DataTitel_liste,1))</f>
        <v>Eksempel 1 (interval)</v>
      </c>
      <c r="G1180" s="188" t="str" cm="1">
        <f t="array" ref="G1180">IF(LineærRegression_Valg[[#This Row],[Indenfor range]],IF(LineærRegression_Valg[[#This Row],[Intet overlap]],INDEX(DataTitel_liste,LineærRegression_Valg[[#This Row],[Uafhængig variabel ID]]),INDEX(DataTitel_liste,IF(LineærRegression_Valg[[#This Row],[Afhængig variabel ID]]=1,2,1))),$B$7)</f>
        <v>Eksempel 2 (interval)</v>
      </c>
      <c r="H1180" s="188">
        <f>_xlfn.AGGREGATE(2,5,LineærRegression_Valg[[#This Row],[Tabel ID]])</f>
        <v>1</v>
      </c>
    </row>
    <row r="1181" spans="1:8" x14ac:dyDescent="0.2">
      <c r="A1181">
        <f>ROW(LineærRegression_Valg[[#This Row],[Tabel ID]])-ROW(LineærRegression_Valg[[#Headers],[Tabel ID]])</f>
        <v>1171</v>
      </c>
      <c r="B1181" s="188">
        <f>ROUNDDOWN((LineærRegression_Valg[[#This Row],[Tabel ID]]-1)/$B$5,0)+1</f>
        <v>293</v>
      </c>
      <c r="C1181" s="188">
        <f t="shared" si="18"/>
        <v>3</v>
      </c>
      <c r="D1181" s="188" t="b">
        <f>LineærRegression_Valg[[#This Row],[Afhængig variabel ID]]&lt;&gt;LineærRegression_Valg[[#This Row],[Uafhængig variabel ID]]</f>
        <v>1</v>
      </c>
      <c r="E1181" t="b">
        <f>LineærRegression_Valg[[#This Row],[Afhængig variabel ID]]&lt;=$B$5</f>
        <v>0</v>
      </c>
      <c r="F1181" t="str" cm="1">
        <f t="array" ref="F1181">IF(LineærRegression_Valg[[#This Row],[Indenfor range]],INDEX(DataTitel_liste,LineærRegression_Valg[[#This Row],[Afhængig variabel ID]]),INDEX(DataTitel_liste,1))</f>
        <v>Eksempel 1 (interval)</v>
      </c>
      <c r="G1181" s="188" t="str" cm="1">
        <f t="array" ref="G1181">IF(LineærRegression_Valg[[#This Row],[Indenfor range]],IF(LineærRegression_Valg[[#This Row],[Intet overlap]],INDEX(DataTitel_liste,LineærRegression_Valg[[#This Row],[Uafhængig variabel ID]]),INDEX(DataTitel_liste,IF(LineærRegression_Valg[[#This Row],[Afhængig variabel ID]]=1,2,1))),$B$7)</f>
        <v>Eksempel 2 (interval)</v>
      </c>
      <c r="H1181" s="188">
        <f>_xlfn.AGGREGATE(2,5,LineærRegression_Valg[[#This Row],[Tabel ID]])</f>
        <v>1</v>
      </c>
    </row>
    <row r="1182" spans="1:8" x14ac:dyDescent="0.2">
      <c r="A1182">
        <f>ROW(LineærRegression_Valg[[#This Row],[Tabel ID]])-ROW(LineærRegression_Valg[[#Headers],[Tabel ID]])</f>
        <v>1172</v>
      </c>
      <c r="B1182" s="188">
        <f>ROUNDDOWN((LineærRegression_Valg[[#This Row],[Tabel ID]]-1)/$B$5,0)+1</f>
        <v>293</v>
      </c>
      <c r="C1182" s="188">
        <f t="shared" si="18"/>
        <v>4</v>
      </c>
      <c r="D1182" s="188" t="b">
        <f>LineærRegression_Valg[[#This Row],[Afhængig variabel ID]]&lt;&gt;LineærRegression_Valg[[#This Row],[Uafhængig variabel ID]]</f>
        <v>1</v>
      </c>
      <c r="E1182" t="b">
        <f>LineærRegression_Valg[[#This Row],[Afhængig variabel ID]]&lt;=$B$5</f>
        <v>0</v>
      </c>
      <c r="F1182" t="str" cm="1">
        <f t="array" ref="F1182">IF(LineærRegression_Valg[[#This Row],[Indenfor range]],INDEX(DataTitel_liste,LineærRegression_Valg[[#This Row],[Afhængig variabel ID]]),INDEX(DataTitel_liste,1))</f>
        <v>Eksempel 1 (interval)</v>
      </c>
      <c r="G1182" s="188" t="str" cm="1">
        <f t="array" ref="G1182">IF(LineærRegression_Valg[[#This Row],[Indenfor range]],IF(LineærRegression_Valg[[#This Row],[Intet overlap]],INDEX(DataTitel_liste,LineærRegression_Valg[[#This Row],[Uafhængig variabel ID]]),INDEX(DataTitel_liste,IF(LineærRegression_Valg[[#This Row],[Afhængig variabel ID]]=1,2,1))),$B$7)</f>
        <v>Eksempel 2 (interval)</v>
      </c>
      <c r="H1182" s="188">
        <f>_xlfn.AGGREGATE(2,5,LineærRegression_Valg[[#This Row],[Tabel ID]])</f>
        <v>1</v>
      </c>
    </row>
    <row r="1183" spans="1:8" x14ac:dyDescent="0.2">
      <c r="A1183">
        <f>ROW(LineærRegression_Valg[[#This Row],[Tabel ID]])-ROW(LineærRegression_Valg[[#Headers],[Tabel ID]])</f>
        <v>1173</v>
      </c>
      <c r="B1183" s="188">
        <f>ROUNDDOWN((LineærRegression_Valg[[#This Row],[Tabel ID]]-1)/$B$5,0)+1</f>
        <v>294</v>
      </c>
      <c r="C1183" s="188">
        <f t="shared" si="18"/>
        <v>1</v>
      </c>
      <c r="D1183" s="188" t="b">
        <f>LineærRegression_Valg[[#This Row],[Afhængig variabel ID]]&lt;&gt;LineærRegression_Valg[[#This Row],[Uafhængig variabel ID]]</f>
        <v>1</v>
      </c>
      <c r="E1183" t="b">
        <f>LineærRegression_Valg[[#This Row],[Afhængig variabel ID]]&lt;=$B$5</f>
        <v>0</v>
      </c>
      <c r="F1183" t="str" cm="1">
        <f t="array" ref="F1183">IF(LineærRegression_Valg[[#This Row],[Indenfor range]],INDEX(DataTitel_liste,LineærRegression_Valg[[#This Row],[Afhængig variabel ID]]),INDEX(DataTitel_liste,1))</f>
        <v>Eksempel 1 (interval)</v>
      </c>
      <c r="G1183" s="188" t="str" cm="1">
        <f t="array" ref="G1183">IF(LineærRegression_Valg[[#This Row],[Indenfor range]],IF(LineærRegression_Valg[[#This Row],[Intet overlap]],INDEX(DataTitel_liste,LineærRegression_Valg[[#This Row],[Uafhængig variabel ID]]),INDEX(DataTitel_liste,IF(LineærRegression_Valg[[#This Row],[Afhængig variabel ID]]=1,2,1))),$B$7)</f>
        <v>Eksempel 2 (interval)</v>
      </c>
      <c r="H1183" s="188">
        <f>_xlfn.AGGREGATE(2,5,LineærRegression_Valg[[#This Row],[Tabel ID]])</f>
        <v>1</v>
      </c>
    </row>
    <row r="1184" spans="1:8" x14ac:dyDescent="0.2">
      <c r="A1184">
        <f>ROW(LineærRegression_Valg[[#This Row],[Tabel ID]])-ROW(LineærRegression_Valg[[#Headers],[Tabel ID]])</f>
        <v>1174</v>
      </c>
      <c r="B1184" s="188">
        <f>ROUNDDOWN((LineærRegression_Valg[[#This Row],[Tabel ID]]-1)/$B$5,0)+1</f>
        <v>294</v>
      </c>
      <c r="C1184" s="188">
        <f t="shared" si="18"/>
        <v>2</v>
      </c>
      <c r="D1184" s="188" t="b">
        <f>LineærRegression_Valg[[#This Row],[Afhængig variabel ID]]&lt;&gt;LineærRegression_Valg[[#This Row],[Uafhængig variabel ID]]</f>
        <v>1</v>
      </c>
      <c r="E1184" t="b">
        <f>LineærRegression_Valg[[#This Row],[Afhængig variabel ID]]&lt;=$B$5</f>
        <v>0</v>
      </c>
      <c r="F1184" t="str" cm="1">
        <f t="array" ref="F1184">IF(LineærRegression_Valg[[#This Row],[Indenfor range]],INDEX(DataTitel_liste,LineærRegression_Valg[[#This Row],[Afhængig variabel ID]]),INDEX(DataTitel_liste,1))</f>
        <v>Eksempel 1 (interval)</v>
      </c>
      <c r="G1184" s="188" t="str" cm="1">
        <f t="array" ref="G1184">IF(LineærRegression_Valg[[#This Row],[Indenfor range]],IF(LineærRegression_Valg[[#This Row],[Intet overlap]],INDEX(DataTitel_liste,LineærRegression_Valg[[#This Row],[Uafhængig variabel ID]]),INDEX(DataTitel_liste,IF(LineærRegression_Valg[[#This Row],[Afhængig variabel ID]]=1,2,1))),$B$7)</f>
        <v>Eksempel 2 (interval)</v>
      </c>
      <c r="H1184" s="188">
        <f>_xlfn.AGGREGATE(2,5,LineærRegression_Valg[[#This Row],[Tabel ID]])</f>
        <v>1</v>
      </c>
    </row>
    <row r="1185" spans="1:8" x14ac:dyDescent="0.2">
      <c r="A1185">
        <f>ROW(LineærRegression_Valg[[#This Row],[Tabel ID]])-ROW(LineærRegression_Valg[[#Headers],[Tabel ID]])</f>
        <v>1175</v>
      </c>
      <c r="B1185" s="188">
        <f>ROUNDDOWN((LineærRegression_Valg[[#This Row],[Tabel ID]]-1)/$B$5,0)+1</f>
        <v>294</v>
      </c>
      <c r="C1185" s="188">
        <f t="shared" si="18"/>
        <v>3</v>
      </c>
      <c r="D1185" s="188" t="b">
        <f>LineærRegression_Valg[[#This Row],[Afhængig variabel ID]]&lt;&gt;LineærRegression_Valg[[#This Row],[Uafhængig variabel ID]]</f>
        <v>1</v>
      </c>
      <c r="E1185" t="b">
        <f>LineærRegression_Valg[[#This Row],[Afhængig variabel ID]]&lt;=$B$5</f>
        <v>0</v>
      </c>
      <c r="F1185" t="str" cm="1">
        <f t="array" ref="F1185">IF(LineærRegression_Valg[[#This Row],[Indenfor range]],INDEX(DataTitel_liste,LineærRegression_Valg[[#This Row],[Afhængig variabel ID]]),INDEX(DataTitel_liste,1))</f>
        <v>Eksempel 1 (interval)</v>
      </c>
      <c r="G1185" s="188" t="str" cm="1">
        <f t="array" ref="G1185">IF(LineærRegression_Valg[[#This Row],[Indenfor range]],IF(LineærRegression_Valg[[#This Row],[Intet overlap]],INDEX(DataTitel_liste,LineærRegression_Valg[[#This Row],[Uafhængig variabel ID]]),INDEX(DataTitel_liste,IF(LineærRegression_Valg[[#This Row],[Afhængig variabel ID]]=1,2,1))),$B$7)</f>
        <v>Eksempel 2 (interval)</v>
      </c>
      <c r="H1185" s="188">
        <f>_xlfn.AGGREGATE(2,5,LineærRegression_Valg[[#This Row],[Tabel ID]])</f>
        <v>1</v>
      </c>
    </row>
    <row r="1186" spans="1:8" x14ac:dyDescent="0.2">
      <c r="A1186">
        <f>ROW(LineærRegression_Valg[[#This Row],[Tabel ID]])-ROW(LineærRegression_Valg[[#Headers],[Tabel ID]])</f>
        <v>1176</v>
      </c>
      <c r="B1186" s="188">
        <f>ROUNDDOWN((LineærRegression_Valg[[#This Row],[Tabel ID]]-1)/$B$5,0)+1</f>
        <v>294</v>
      </c>
      <c r="C1186" s="188">
        <f t="shared" si="18"/>
        <v>4</v>
      </c>
      <c r="D1186" s="188" t="b">
        <f>LineærRegression_Valg[[#This Row],[Afhængig variabel ID]]&lt;&gt;LineærRegression_Valg[[#This Row],[Uafhængig variabel ID]]</f>
        <v>1</v>
      </c>
      <c r="E1186" t="b">
        <f>LineærRegression_Valg[[#This Row],[Afhængig variabel ID]]&lt;=$B$5</f>
        <v>0</v>
      </c>
      <c r="F1186" t="str" cm="1">
        <f t="array" ref="F1186">IF(LineærRegression_Valg[[#This Row],[Indenfor range]],INDEX(DataTitel_liste,LineærRegression_Valg[[#This Row],[Afhængig variabel ID]]),INDEX(DataTitel_liste,1))</f>
        <v>Eksempel 1 (interval)</v>
      </c>
      <c r="G1186" s="188" t="str" cm="1">
        <f t="array" ref="G1186">IF(LineærRegression_Valg[[#This Row],[Indenfor range]],IF(LineærRegression_Valg[[#This Row],[Intet overlap]],INDEX(DataTitel_liste,LineærRegression_Valg[[#This Row],[Uafhængig variabel ID]]),INDEX(DataTitel_liste,IF(LineærRegression_Valg[[#This Row],[Afhængig variabel ID]]=1,2,1))),$B$7)</f>
        <v>Eksempel 2 (interval)</v>
      </c>
      <c r="H1186" s="188">
        <f>_xlfn.AGGREGATE(2,5,LineærRegression_Valg[[#This Row],[Tabel ID]])</f>
        <v>1</v>
      </c>
    </row>
    <row r="1187" spans="1:8" x14ac:dyDescent="0.2">
      <c r="A1187">
        <f>ROW(LineærRegression_Valg[[#This Row],[Tabel ID]])-ROW(LineærRegression_Valg[[#Headers],[Tabel ID]])</f>
        <v>1177</v>
      </c>
      <c r="B1187" s="188">
        <f>ROUNDDOWN((LineærRegression_Valg[[#This Row],[Tabel ID]]-1)/$B$5,0)+1</f>
        <v>295</v>
      </c>
      <c r="C1187" s="188">
        <f t="shared" si="18"/>
        <v>1</v>
      </c>
      <c r="D1187" s="188" t="b">
        <f>LineærRegression_Valg[[#This Row],[Afhængig variabel ID]]&lt;&gt;LineærRegression_Valg[[#This Row],[Uafhængig variabel ID]]</f>
        <v>1</v>
      </c>
      <c r="E1187" t="b">
        <f>LineærRegression_Valg[[#This Row],[Afhængig variabel ID]]&lt;=$B$5</f>
        <v>0</v>
      </c>
      <c r="F1187" t="str" cm="1">
        <f t="array" ref="F1187">IF(LineærRegression_Valg[[#This Row],[Indenfor range]],INDEX(DataTitel_liste,LineærRegression_Valg[[#This Row],[Afhængig variabel ID]]),INDEX(DataTitel_liste,1))</f>
        <v>Eksempel 1 (interval)</v>
      </c>
      <c r="G1187" s="188" t="str" cm="1">
        <f t="array" ref="G1187">IF(LineærRegression_Valg[[#This Row],[Indenfor range]],IF(LineærRegression_Valg[[#This Row],[Intet overlap]],INDEX(DataTitel_liste,LineærRegression_Valg[[#This Row],[Uafhængig variabel ID]]),INDEX(DataTitel_liste,IF(LineærRegression_Valg[[#This Row],[Afhængig variabel ID]]=1,2,1))),$B$7)</f>
        <v>Eksempel 2 (interval)</v>
      </c>
      <c r="H1187" s="188">
        <f>_xlfn.AGGREGATE(2,5,LineærRegression_Valg[[#This Row],[Tabel ID]])</f>
        <v>1</v>
      </c>
    </row>
    <row r="1188" spans="1:8" x14ac:dyDescent="0.2">
      <c r="A1188">
        <f>ROW(LineærRegression_Valg[[#This Row],[Tabel ID]])-ROW(LineærRegression_Valg[[#Headers],[Tabel ID]])</f>
        <v>1178</v>
      </c>
      <c r="B1188" s="188">
        <f>ROUNDDOWN((LineærRegression_Valg[[#This Row],[Tabel ID]]-1)/$B$5,0)+1</f>
        <v>295</v>
      </c>
      <c r="C1188" s="188">
        <f t="shared" si="18"/>
        <v>2</v>
      </c>
      <c r="D1188" s="188" t="b">
        <f>LineærRegression_Valg[[#This Row],[Afhængig variabel ID]]&lt;&gt;LineærRegression_Valg[[#This Row],[Uafhængig variabel ID]]</f>
        <v>1</v>
      </c>
      <c r="E1188" t="b">
        <f>LineærRegression_Valg[[#This Row],[Afhængig variabel ID]]&lt;=$B$5</f>
        <v>0</v>
      </c>
      <c r="F1188" t="str" cm="1">
        <f t="array" ref="F1188">IF(LineærRegression_Valg[[#This Row],[Indenfor range]],INDEX(DataTitel_liste,LineærRegression_Valg[[#This Row],[Afhængig variabel ID]]),INDEX(DataTitel_liste,1))</f>
        <v>Eksempel 1 (interval)</v>
      </c>
      <c r="G1188" s="188" t="str" cm="1">
        <f t="array" ref="G1188">IF(LineærRegression_Valg[[#This Row],[Indenfor range]],IF(LineærRegression_Valg[[#This Row],[Intet overlap]],INDEX(DataTitel_liste,LineærRegression_Valg[[#This Row],[Uafhængig variabel ID]]),INDEX(DataTitel_liste,IF(LineærRegression_Valg[[#This Row],[Afhængig variabel ID]]=1,2,1))),$B$7)</f>
        <v>Eksempel 2 (interval)</v>
      </c>
      <c r="H1188" s="188">
        <f>_xlfn.AGGREGATE(2,5,LineærRegression_Valg[[#This Row],[Tabel ID]])</f>
        <v>1</v>
      </c>
    </row>
    <row r="1189" spans="1:8" x14ac:dyDescent="0.2">
      <c r="A1189">
        <f>ROW(LineærRegression_Valg[[#This Row],[Tabel ID]])-ROW(LineærRegression_Valg[[#Headers],[Tabel ID]])</f>
        <v>1179</v>
      </c>
      <c r="B1189" s="188">
        <f>ROUNDDOWN((LineærRegression_Valg[[#This Row],[Tabel ID]]-1)/$B$5,0)+1</f>
        <v>295</v>
      </c>
      <c r="C1189" s="188">
        <f t="shared" si="18"/>
        <v>3</v>
      </c>
      <c r="D1189" s="188" t="b">
        <f>LineærRegression_Valg[[#This Row],[Afhængig variabel ID]]&lt;&gt;LineærRegression_Valg[[#This Row],[Uafhængig variabel ID]]</f>
        <v>1</v>
      </c>
      <c r="E1189" t="b">
        <f>LineærRegression_Valg[[#This Row],[Afhængig variabel ID]]&lt;=$B$5</f>
        <v>0</v>
      </c>
      <c r="F1189" t="str" cm="1">
        <f t="array" ref="F1189">IF(LineærRegression_Valg[[#This Row],[Indenfor range]],INDEX(DataTitel_liste,LineærRegression_Valg[[#This Row],[Afhængig variabel ID]]),INDEX(DataTitel_liste,1))</f>
        <v>Eksempel 1 (interval)</v>
      </c>
      <c r="G1189" s="188" t="str" cm="1">
        <f t="array" ref="G1189">IF(LineærRegression_Valg[[#This Row],[Indenfor range]],IF(LineærRegression_Valg[[#This Row],[Intet overlap]],INDEX(DataTitel_liste,LineærRegression_Valg[[#This Row],[Uafhængig variabel ID]]),INDEX(DataTitel_liste,IF(LineærRegression_Valg[[#This Row],[Afhængig variabel ID]]=1,2,1))),$B$7)</f>
        <v>Eksempel 2 (interval)</v>
      </c>
      <c r="H1189" s="188">
        <f>_xlfn.AGGREGATE(2,5,LineærRegression_Valg[[#This Row],[Tabel ID]])</f>
        <v>1</v>
      </c>
    </row>
    <row r="1190" spans="1:8" x14ac:dyDescent="0.2">
      <c r="A1190">
        <f>ROW(LineærRegression_Valg[[#This Row],[Tabel ID]])-ROW(LineærRegression_Valg[[#Headers],[Tabel ID]])</f>
        <v>1180</v>
      </c>
      <c r="B1190" s="188">
        <f>ROUNDDOWN((LineærRegression_Valg[[#This Row],[Tabel ID]]-1)/$B$5,0)+1</f>
        <v>295</v>
      </c>
      <c r="C1190" s="188">
        <f t="shared" si="18"/>
        <v>4</v>
      </c>
      <c r="D1190" s="188" t="b">
        <f>LineærRegression_Valg[[#This Row],[Afhængig variabel ID]]&lt;&gt;LineærRegression_Valg[[#This Row],[Uafhængig variabel ID]]</f>
        <v>1</v>
      </c>
      <c r="E1190" t="b">
        <f>LineærRegression_Valg[[#This Row],[Afhængig variabel ID]]&lt;=$B$5</f>
        <v>0</v>
      </c>
      <c r="F1190" t="str" cm="1">
        <f t="array" ref="F1190">IF(LineærRegression_Valg[[#This Row],[Indenfor range]],INDEX(DataTitel_liste,LineærRegression_Valg[[#This Row],[Afhængig variabel ID]]),INDEX(DataTitel_liste,1))</f>
        <v>Eksempel 1 (interval)</v>
      </c>
      <c r="G1190" s="188" t="str" cm="1">
        <f t="array" ref="G1190">IF(LineærRegression_Valg[[#This Row],[Indenfor range]],IF(LineærRegression_Valg[[#This Row],[Intet overlap]],INDEX(DataTitel_liste,LineærRegression_Valg[[#This Row],[Uafhængig variabel ID]]),INDEX(DataTitel_liste,IF(LineærRegression_Valg[[#This Row],[Afhængig variabel ID]]=1,2,1))),$B$7)</f>
        <v>Eksempel 2 (interval)</v>
      </c>
      <c r="H1190" s="188">
        <f>_xlfn.AGGREGATE(2,5,LineærRegression_Valg[[#This Row],[Tabel ID]])</f>
        <v>1</v>
      </c>
    </row>
    <row r="1191" spans="1:8" x14ac:dyDescent="0.2">
      <c r="A1191">
        <f>ROW(LineærRegression_Valg[[#This Row],[Tabel ID]])-ROW(LineærRegression_Valg[[#Headers],[Tabel ID]])</f>
        <v>1181</v>
      </c>
      <c r="B1191" s="188">
        <f>ROUNDDOWN((LineærRegression_Valg[[#This Row],[Tabel ID]]-1)/$B$5,0)+1</f>
        <v>296</v>
      </c>
      <c r="C1191" s="188">
        <f t="shared" si="18"/>
        <v>1</v>
      </c>
      <c r="D1191" s="188" t="b">
        <f>LineærRegression_Valg[[#This Row],[Afhængig variabel ID]]&lt;&gt;LineærRegression_Valg[[#This Row],[Uafhængig variabel ID]]</f>
        <v>1</v>
      </c>
      <c r="E1191" t="b">
        <f>LineærRegression_Valg[[#This Row],[Afhængig variabel ID]]&lt;=$B$5</f>
        <v>0</v>
      </c>
      <c r="F1191" t="str" cm="1">
        <f t="array" ref="F1191">IF(LineærRegression_Valg[[#This Row],[Indenfor range]],INDEX(DataTitel_liste,LineærRegression_Valg[[#This Row],[Afhængig variabel ID]]),INDEX(DataTitel_liste,1))</f>
        <v>Eksempel 1 (interval)</v>
      </c>
      <c r="G1191" s="188" t="str" cm="1">
        <f t="array" ref="G1191">IF(LineærRegression_Valg[[#This Row],[Indenfor range]],IF(LineærRegression_Valg[[#This Row],[Intet overlap]],INDEX(DataTitel_liste,LineærRegression_Valg[[#This Row],[Uafhængig variabel ID]]),INDEX(DataTitel_liste,IF(LineærRegression_Valg[[#This Row],[Afhængig variabel ID]]=1,2,1))),$B$7)</f>
        <v>Eksempel 2 (interval)</v>
      </c>
      <c r="H1191" s="188">
        <f>_xlfn.AGGREGATE(2,5,LineærRegression_Valg[[#This Row],[Tabel ID]])</f>
        <v>1</v>
      </c>
    </row>
    <row r="1192" spans="1:8" x14ac:dyDescent="0.2">
      <c r="A1192">
        <f>ROW(LineærRegression_Valg[[#This Row],[Tabel ID]])-ROW(LineærRegression_Valg[[#Headers],[Tabel ID]])</f>
        <v>1182</v>
      </c>
      <c r="B1192" s="188">
        <f>ROUNDDOWN((LineærRegression_Valg[[#This Row],[Tabel ID]]-1)/$B$5,0)+1</f>
        <v>296</v>
      </c>
      <c r="C1192" s="188">
        <f t="shared" si="18"/>
        <v>2</v>
      </c>
      <c r="D1192" s="188" t="b">
        <f>LineærRegression_Valg[[#This Row],[Afhængig variabel ID]]&lt;&gt;LineærRegression_Valg[[#This Row],[Uafhængig variabel ID]]</f>
        <v>1</v>
      </c>
      <c r="E1192" t="b">
        <f>LineærRegression_Valg[[#This Row],[Afhængig variabel ID]]&lt;=$B$5</f>
        <v>0</v>
      </c>
      <c r="F1192" t="str" cm="1">
        <f t="array" ref="F1192">IF(LineærRegression_Valg[[#This Row],[Indenfor range]],INDEX(DataTitel_liste,LineærRegression_Valg[[#This Row],[Afhængig variabel ID]]),INDEX(DataTitel_liste,1))</f>
        <v>Eksempel 1 (interval)</v>
      </c>
      <c r="G1192" s="188" t="str" cm="1">
        <f t="array" ref="G1192">IF(LineærRegression_Valg[[#This Row],[Indenfor range]],IF(LineærRegression_Valg[[#This Row],[Intet overlap]],INDEX(DataTitel_liste,LineærRegression_Valg[[#This Row],[Uafhængig variabel ID]]),INDEX(DataTitel_liste,IF(LineærRegression_Valg[[#This Row],[Afhængig variabel ID]]=1,2,1))),$B$7)</f>
        <v>Eksempel 2 (interval)</v>
      </c>
      <c r="H1192" s="188">
        <f>_xlfn.AGGREGATE(2,5,LineærRegression_Valg[[#This Row],[Tabel ID]])</f>
        <v>1</v>
      </c>
    </row>
    <row r="1193" spans="1:8" x14ac:dyDescent="0.2">
      <c r="A1193">
        <f>ROW(LineærRegression_Valg[[#This Row],[Tabel ID]])-ROW(LineærRegression_Valg[[#Headers],[Tabel ID]])</f>
        <v>1183</v>
      </c>
      <c r="B1193" s="188">
        <f>ROUNDDOWN((LineærRegression_Valg[[#This Row],[Tabel ID]]-1)/$B$5,0)+1</f>
        <v>296</v>
      </c>
      <c r="C1193" s="188">
        <f t="shared" si="18"/>
        <v>3</v>
      </c>
      <c r="D1193" s="188" t="b">
        <f>LineærRegression_Valg[[#This Row],[Afhængig variabel ID]]&lt;&gt;LineærRegression_Valg[[#This Row],[Uafhængig variabel ID]]</f>
        <v>1</v>
      </c>
      <c r="E1193" t="b">
        <f>LineærRegression_Valg[[#This Row],[Afhængig variabel ID]]&lt;=$B$5</f>
        <v>0</v>
      </c>
      <c r="F1193" t="str" cm="1">
        <f t="array" ref="F1193">IF(LineærRegression_Valg[[#This Row],[Indenfor range]],INDEX(DataTitel_liste,LineærRegression_Valg[[#This Row],[Afhængig variabel ID]]),INDEX(DataTitel_liste,1))</f>
        <v>Eksempel 1 (interval)</v>
      </c>
      <c r="G1193" s="188" t="str" cm="1">
        <f t="array" ref="G1193">IF(LineærRegression_Valg[[#This Row],[Indenfor range]],IF(LineærRegression_Valg[[#This Row],[Intet overlap]],INDEX(DataTitel_liste,LineærRegression_Valg[[#This Row],[Uafhængig variabel ID]]),INDEX(DataTitel_liste,IF(LineærRegression_Valg[[#This Row],[Afhængig variabel ID]]=1,2,1))),$B$7)</f>
        <v>Eksempel 2 (interval)</v>
      </c>
      <c r="H1193" s="188">
        <f>_xlfn.AGGREGATE(2,5,LineærRegression_Valg[[#This Row],[Tabel ID]])</f>
        <v>1</v>
      </c>
    </row>
    <row r="1194" spans="1:8" x14ac:dyDescent="0.2">
      <c r="A1194">
        <f>ROW(LineærRegression_Valg[[#This Row],[Tabel ID]])-ROW(LineærRegression_Valg[[#Headers],[Tabel ID]])</f>
        <v>1184</v>
      </c>
      <c r="B1194" s="188">
        <f>ROUNDDOWN((LineærRegression_Valg[[#This Row],[Tabel ID]]-1)/$B$5,0)+1</f>
        <v>296</v>
      </c>
      <c r="C1194" s="188">
        <f t="shared" si="18"/>
        <v>4</v>
      </c>
      <c r="D1194" s="188" t="b">
        <f>LineærRegression_Valg[[#This Row],[Afhængig variabel ID]]&lt;&gt;LineærRegression_Valg[[#This Row],[Uafhængig variabel ID]]</f>
        <v>1</v>
      </c>
      <c r="E1194" t="b">
        <f>LineærRegression_Valg[[#This Row],[Afhængig variabel ID]]&lt;=$B$5</f>
        <v>0</v>
      </c>
      <c r="F1194" t="str" cm="1">
        <f t="array" ref="F1194">IF(LineærRegression_Valg[[#This Row],[Indenfor range]],INDEX(DataTitel_liste,LineærRegression_Valg[[#This Row],[Afhængig variabel ID]]),INDEX(DataTitel_liste,1))</f>
        <v>Eksempel 1 (interval)</v>
      </c>
      <c r="G1194" s="188" t="str" cm="1">
        <f t="array" ref="G1194">IF(LineærRegression_Valg[[#This Row],[Indenfor range]],IF(LineærRegression_Valg[[#This Row],[Intet overlap]],INDEX(DataTitel_liste,LineærRegression_Valg[[#This Row],[Uafhængig variabel ID]]),INDEX(DataTitel_liste,IF(LineærRegression_Valg[[#This Row],[Afhængig variabel ID]]=1,2,1))),$B$7)</f>
        <v>Eksempel 2 (interval)</v>
      </c>
      <c r="H1194" s="188">
        <f>_xlfn.AGGREGATE(2,5,LineærRegression_Valg[[#This Row],[Tabel ID]])</f>
        <v>1</v>
      </c>
    </row>
    <row r="1195" spans="1:8" x14ac:dyDescent="0.2">
      <c r="A1195">
        <f>ROW(LineærRegression_Valg[[#This Row],[Tabel ID]])-ROW(LineærRegression_Valg[[#Headers],[Tabel ID]])</f>
        <v>1185</v>
      </c>
      <c r="B1195" s="188">
        <f>ROUNDDOWN((LineærRegression_Valg[[#This Row],[Tabel ID]]-1)/$B$5,0)+1</f>
        <v>297</v>
      </c>
      <c r="C1195" s="188">
        <f t="shared" si="18"/>
        <v>1</v>
      </c>
      <c r="D1195" s="188" t="b">
        <f>LineærRegression_Valg[[#This Row],[Afhængig variabel ID]]&lt;&gt;LineærRegression_Valg[[#This Row],[Uafhængig variabel ID]]</f>
        <v>1</v>
      </c>
      <c r="E1195" t="b">
        <f>LineærRegression_Valg[[#This Row],[Afhængig variabel ID]]&lt;=$B$5</f>
        <v>0</v>
      </c>
      <c r="F1195" t="str" cm="1">
        <f t="array" ref="F1195">IF(LineærRegression_Valg[[#This Row],[Indenfor range]],INDEX(DataTitel_liste,LineærRegression_Valg[[#This Row],[Afhængig variabel ID]]),INDEX(DataTitel_liste,1))</f>
        <v>Eksempel 1 (interval)</v>
      </c>
      <c r="G1195" s="188" t="str" cm="1">
        <f t="array" ref="G1195">IF(LineærRegression_Valg[[#This Row],[Indenfor range]],IF(LineærRegression_Valg[[#This Row],[Intet overlap]],INDEX(DataTitel_liste,LineærRegression_Valg[[#This Row],[Uafhængig variabel ID]]),INDEX(DataTitel_liste,IF(LineærRegression_Valg[[#This Row],[Afhængig variabel ID]]=1,2,1))),$B$7)</f>
        <v>Eksempel 2 (interval)</v>
      </c>
      <c r="H1195" s="188">
        <f>_xlfn.AGGREGATE(2,5,LineærRegression_Valg[[#This Row],[Tabel ID]])</f>
        <v>1</v>
      </c>
    </row>
    <row r="1196" spans="1:8" x14ac:dyDescent="0.2">
      <c r="A1196">
        <f>ROW(LineærRegression_Valg[[#This Row],[Tabel ID]])-ROW(LineærRegression_Valg[[#Headers],[Tabel ID]])</f>
        <v>1186</v>
      </c>
      <c r="B1196" s="188">
        <f>ROUNDDOWN((LineærRegression_Valg[[#This Row],[Tabel ID]]-1)/$B$5,0)+1</f>
        <v>297</v>
      </c>
      <c r="C1196" s="188">
        <f t="shared" si="18"/>
        <v>2</v>
      </c>
      <c r="D1196" s="188" t="b">
        <f>LineærRegression_Valg[[#This Row],[Afhængig variabel ID]]&lt;&gt;LineærRegression_Valg[[#This Row],[Uafhængig variabel ID]]</f>
        <v>1</v>
      </c>
      <c r="E1196" t="b">
        <f>LineærRegression_Valg[[#This Row],[Afhængig variabel ID]]&lt;=$B$5</f>
        <v>0</v>
      </c>
      <c r="F1196" t="str" cm="1">
        <f t="array" ref="F1196">IF(LineærRegression_Valg[[#This Row],[Indenfor range]],INDEX(DataTitel_liste,LineærRegression_Valg[[#This Row],[Afhængig variabel ID]]),INDEX(DataTitel_liste,1))</f>
        <v>Eksempel 1 (interval)</v>
      </c>
      <c r="G1196" s="188" t="str" cm="1">
        <f t="array" ref="G1196">IF(LineærRegression_Valg[[#This Row],[Indenfor range]],IF(LineærRegression_Valg[[#This Row],[Intet overlap]],INDEX(DataTitel_liste,LineærRegression_Valg[[#This Row],[Uafhængig variabel ID]]),INDEX(DataTitel_liste,IF(LineærRegression_Valg[[#This Row],[Afhængig variabel ID]]=1,2,1))),$B$7)</f>
        <v>Eksempel 2 (interval)</v>
      </c>
      <c r="H1196" s="188">
        <f>_xlfn.AGGREGATE(2,5,LineærRegression_Valg[[#This Row],[Tabel ID]])</f>
        <v>1</v>
      </c>
    </row>
    <row r="1197" spans="1:8" x14ac:dyDescent="0.2">
      <c r="A1197">
        <f>ROW(LineærRegression_Valg[[#This Row],[Tabel ID]])-ROW(LineærRegression_Valg[[#Headers],[Tabel ID]])</f>
        <v>1187</v>
      </c>
      <c r="B1197" s="188">
        <f>ROUNDDOWN((LineærRegression_Valg[[#This Row],[Tabel ID]]-1)/$B$5,0)+1</f>
        <v>297</v>
      </c>
      <c r="C1197" s="188">
        <f t="shared" si="18"/>
        <v>3</v>
      </c>
      <c r="D1197" s="188" t="b">
        <f>LineærRegression_Valg[[#This Row],[Afhængig variabel ID]]&lt;&gt;LineærRegression_Valg[[#This Row],[Uafhængig variabel ID]]</f>
        <v>1</v>
      </c>
      <c r="E1197" t="b">
        <f>LineærRegression_Valg[[#This Row],[Afhængig variabel ID]]&lt;=$B$5</f>
        <v>0</v>
      </c>
      <c r="F1197" t="str" cm="1">
        <f t="array" ref="F1197">IF(LineærRegression_Valg[[#This Row],[Indenfor range]],INDEX(DataTitel_liste,LineærRegression_Valg[[#This Row],[Afhængig variabel ID]]),INDEX(DataTitel_liste,1))</f>
        <v>Eksempel 1 (interval)</v>
      </c>
      <c r="G1197" s="188" t="str" cm="1">
        <f t="array" ref="G1197">IF(LineærRegression_Valg[[#This Row],[Indenfor range]],IF(LineærRegression_Valg[[#This Row],[Intet overlap]],INDEX(DataTitel_liste,LineærRegression_Valg[[#This Row],[Uafhængig variabel ID]]),INDEX(DataTitel_liste,IF(LineærRegression_Valg[[#This Row],[Afhængig variabel ID]]=1,2,1))),$B$7)</f>
        <v>Eksempel 2 (interval)</v>
      </c>
      <c r="H1197" s="188">
        <f>_xlfn.AGGREGATE(2,5,LineærRegression_Valg[[#This Row],[Tabel ID]])</f>
        <v>1</v>
      </c>
    </row>
    <row r="1198" spans="1:8" x14ac:dyDescent="0.2">
      <c r="A1198">
        <f>ROW(LineærRegression_Valg[[#This Row],[Tabel ID]])-ROW(LineærRegression_Valg[[#Headers],[Tabel ID]])</f>
        <v>1188</v>
      </c>
      <c r="B1198" s="188">
        <f>ROUNDDOWN((LineærRegression_Valg[[#This Row],[Tabel ID]]-1)/$B$5,0)+1</f>
        <v>297</v>
      </c>
      <c r="C1198" s="188">
        <f t="shared" si="18"/>
        <v>4</v>
      </c>
      <c r="D1198" s="188" t="b">
        <f>LineærRegression_Valg[[#This Row],[Afhængig variabel ID]]&lt;&gt;LineærRegression_Valg[[#This Row],[Uafhængig variabel ID]]</f>
        <v>1</v>
      </c>
      <c r="E1198" t="b">
        <f>LineærRegression_Valg[[#This Row],[Afhængig variabel ID]]&lt;=$B$5</f>
        <v>0</v>
      </c>
      <c r="F1198" t="str" cm="1">
        <f t="array" ref="F1198">IF(LineærRegression_Valg[[#This Row],[Indenfor range]],INDEX(DataTitel_liste,LineærRegression_Valg[[#This Row],[Afhængig variabel ID]]),INDEX(DataTitel_liste,1))</f>
        <v>Eksempel 1 (interval)</v>
      </c>
      <c r="G1198" s="188" t="str" cm="1">
        <f t="array" ref="G1198">IF(LineærRegression_Valg[[#This Row],[Indenfor range]],IF(LineærRegression_Valg[[#This Row],[Intet overlap]],INDEX(DataTitel_liste,LineærRegression_Valg[[#This Row],[Uafhængig variabel ID]]),INDEX(DataTitel_liste,IF(LineærRegression_Valg[[#This Row],[Afhængig variabel ID]]=1,2,1))),$B$7)</f>
        <v>Eksempel 2 (interval)</v>
      </c>
      <c r="H1198" s="188">
        <f>_xlfn.AGGREGATE(2,5,LineærRegression_Valg[[#This Row],[Tabel ID]])</f>
        <v>1</v>
      </c>
    </row>
    <row r="1199" spans="1:8" x14ac:dyDescent="0.2">
      <c r="A1199">
        <f>ROW(LineærRegression_Valg[[#This Row],[Tabel ID]])-ROW(LineærRegression_Valg[[#Headers],[Tabel ID]])</f>
        <v>1189</v>
      </c>
      <c r="B1199" s="188">
        <f>ROUNDDOWN((LineærRegression_Valg[[#This Row],[Tabel ID]]-1)/$B$5,0)+1</f>
        <v>298</v>
      </c>
      <c r="C1199" s="188">
        <f t="shared" si="18"/>
        <v>1</v>
      </c>
      <c r="D1199" s="188" t="b">
        <f>LineærRegression_Valg[[#This Row],[Afhængig variabel ID]]&lt;&gt;LineærRegression_Valg[[#This Row],[Uafhængig variabel ID]]</f>
        <v>1</v>
      </c>
      <c r="E1199" t="b">
        <f>LineærRegression_Valg[[#This Row],[Afhængig variabel ID]]&lt;=$B$5</f>
        <v>0</v>
      </c>
      <c r="F1199" t="str" cm="1">
        <f t="array" ref="F1199">IF(LineærRegression_Valg[[#This Row],[Indenfor range]],INDEX(DataTitel_liste,LineærRegression_Valg[[#This Row],[Afhængig variabel ID]]),INDEX(DataTitel_liste,1))</f>
        <v>Eksempel 1 (interval)</v>
      </c>
      <c r="G1199" s="188" t="str" cm="1">
        <f t="array" ref="G1199">IF(LineærRegression_Valg[[#This Row],[Indenfor range]],IF(LineærRegression_Valg[[#This Row],[Intet overlap]],INDEX(DataTitel_liste,LineærRegression_Valg[[#This Row],[Uafhængig variabel ID]]),INDEX(DataTitel_liste,IF(LineærRegression_Valg[[#This Row],[Afhængig variabel ID]]=1,2,1))),$B$7)</f>
        <v>Eksempel 2 (interval)</v>
      </c>
      <c r="H1199" s="188">
        <f>_xlfn.AGGREGATE(2,5,LineærRegression_Valg[[#This Row],[Tabel ID]])</f>
        <v>1</v>
      </c>
    </row>
    <row r="1200" spans="1:8" x14ac:dyDescent="0.2">
      <c r="A1200">
        <f>ROW(LineærRegression_Valg[[#This Row],[Tabel ID]])-ROW(LineærRegression_Valg[[#Headers],[Tabel ID]])</f>
        <v>1190</v>
      </c>
      <c r="B1200" s="188">
        <f>ROUNDDOWN((LineærRegression_Valg[[#This Row],[Tabel ID]]-1)/$B$5,0)+1</f>
        <v>298</v>
      </c>
      <c r="C1200" s="188">
        <f t="shared" si="18"/>
        <v>2</v>
      </c>
      <c r="D1200" s="188" t="b">
        <f>LineærRegression_Valg[[#This Row],[Afhængig variabel ID]]&lt;&gt;LineærRegression_Valg[[#This Row],[Uafhængig variabel ID]]</f>
        <v>1</v>
      </c>
      <c r="E1200" t="b">
        <f>LineærRegression_Valg[[#This Row],[Afhængig variabel ID]]&lt;=$B$5</f>
        <v>0</v>
      </c>
      <c r="F1200" t="str" cm="1">
        <f t="array" ref="F1200">IF(LineærRegression_Valg[[#This Row],[Indenfor range]],INDEX(DataTitel_liste,LineærRegression_Valg[[#This Row],[Afhængig variabel ID]]),INDEX(DataTitel_liste,1))</f>
        <v>Eksempel 1 (interval)</v>
      </c>
      <c r="G1200" s="188" t="str" cm="1">
        <f t="array" ref="G1200">IF(LineærRegression_Valg[[#This Row],[Indenfor range]],IF(LineærRegression_Valg[[#This Row],[Intet overlap]],INDEX(DataTitel_liste,LineærRegression_Valg[[#This Row],[Uafhængig variabel ID]]),INDEX(DataTitel_liste,IF(LineærRegression_Valg[[#This Row],[Afhængig variabel ID]]=1,2,1))),$B$7)</f>
        <v>Eksempel 2 (interval)</v>
      </c>
      <c r="H1200" s="188">
        <f>_xlfn.AGGREGATE(2,5,LineærRegression_Valg[[#This Row],[Tabel ID]])</f>
        <v>1</v>
      </c>
    </row>
    <row r="1201" spans="1:8" x14ac:dyDescent="0.2">
      <c r="A1201">
        <f>ROW(LineærRegression_Valg[[#This Row],[Tabel ID]])-ROW(LineærRegression_Valg[[#Headers],[Tabel ID]])</f>
        <v>1191</v>
      </c>
      <c r="B1201" s="188">
        <f>ROUNDDOWN((LineærRegression_Valg[[#This Row],[Tabel ID]]-1)/$B$5,0)+1</f>
        <v>298</v>
      </c>
      <c r="C1201" s="188">
        <f t="shared" si="18"/>
        <v>3</v>
      </c>
      <c r="D1201" s="188" t="b">
        <f>LineærRegression_Valg[[#This Row],[Afhængig variabel ID]]&lt;&gt;LineærRegression_Valg[[#This Row],[Uafhængig variabel ID]]</f>
        <v>1</v>
      </c>
      <c r="E1201" t="b">
        <f>LineærRegression_Valg[[#This Row],[Afhængig variabel ID]]&lt;=$B$5</f>
        <v>0</v>
      </c>
      <c r="F1201" t="str" cm="1">
        <f t="array" ref="F1201">IF(LineærRegression_Valg[[#This Row],[Indenfor range]],INDEX(DataTitel_liste,LineærRegression_Valg[[#This Row],[Afhængig variabel ID]]),INDEX(DataTitel_liste,1))</f>
        <v>Eksempel 1 (interval)</v>
      </c>
      <c r="G1201" s="188" t="str" cm="1">
        <f t="array" ref="G1201">IF(LineærRegression_Valg[[#This Row],[Indenfor range]],IF(LineærRegression_Valg[[#This Row],[Intet overlap]],INDEX(DataTitel_liste,LineærRegression_Valg[[#This Row],[Uafhængig variabel ID]]),INDEX(DataTitel_liste,IF(LineærRegression_Valg[[#This Row],[Afhængig variabel ID]]=1,2,1))),$B$7)</f>
        <v>Eksempel 2 (interval)</v>
      </c>
      <c r="H1201" s="188">
        <f>_xlfn.AGGREGATE(2,5,LineærRegression_Valg[[#This Row],[Tabel ID]])</f>
        <v>1</v>
      </c>
    </row>
    <row r="1202" spans="1:8" x14ac:dyDescent="0.2">
      <c r="A1202">
        <f>ROW(LineærRegression_Valg[[#This Row],[Tabel ID]])-ROW(LineærRegression_Valg[[#Headers],[Tabel ID]])</f>
        <v>1192</v>
      </c>
      <c r="B1202" s="188">
        <f>ROUNDDOWN((LineærRegression_Valg[[#This Row],[Tabel ID]]-1)/$B$5,0)+1</f>
        <v>298</v>
      </c>
      <c r="C1202" s="188">
        <f t="shared" si="18"/>
        <v>4</v>
      </c>
      <c r="D1202" s="188" t="b">
        <f>LineærRegression_Valg[[#This Row],[Afhængig variabel ID]]&lt;&gt;LineærRegression_Valg[[#This Row],[Uafhængig variabel ID]]</f>
        <v>1</v>
      </c>
      <c r="E1202" t="b">
        <f>LineærRegression_Valg[[#This Row],[Afhængig variabel ID]]&lt;=$B$5</f>
        <v>0</v>
      </c>
      <c r="F1202" t="str" cm="1">
        <f t="array" ref="F1202">IF(LineærRegression_Valg[[#This Row],[Indenfor range]],INDEX(DataTitel_liste,LineærRegression_Valg[[#This Row],[Afhængig variabel ID]]),INDEX(DataTitel_liste,1))</f>
        <v>Eksempel 1 (interval)</v>
      </c>
      <c r="G1202" s="188" t="str" cm="1">
        <f t="array" ref="G1202">IF(LineærRegression_Valg[[#This Row],[Indenfor range]],IF(LineærRegression_Valg[[#This Row],[Intet overlap]],INDEX(DataTitel_liste,LineærRegression_Valg[[#This Row],[Uafhængig variabel ID]]),INDEX(DataTitel_liste,IF(LineærRegression_Valg[[#This Row],[Afhængig variabel ID]]=1,2,1))),$B$7)</f>
        <v>Eksempel 2 (interval)</v>
      </c>
      <c r="H1202" s="188">
        <f>_xlfn.AGGREGATE(2,5,LineærRegression_Valg[[#This Row],[Tabel ID]])</f>
        <v>1</v>
      </c>
    </row>
    <row r="1203" spans="1:8" x14ac:dyDescent="0.2">
      <c r="A1203">
        <f>ROW(LineærRegression_Valg[[#This Row],[Tabel ID]])-ROW(LineærRegression_Valg[[#Headers],[Tabel ID]])</f>
        <v>1193</v>
      </c>
      <c r="B1203" s="188">
        <f>ROUNDDOWN((LineærRegression_Valg[[#This Row],[Tabel ID]]-1)/$B$5,0)+1</f>
        <v>299</v>
      </c>
      <c r="C1203" s="188">
        <f t="shared" si="18"/>
        <v>1</v>
      </c>
      <c r="D1203" s="188" t="b">
        <f>LineærRegression_Valg[[#This Row],[Afhængig variabel ID]]&lt;&gt;LineærRegression_Valg[[#This Row],[Uafhængig variabel ID]]</f>
        <v>1</v>
      </c>
      <c r="E1203" t="b">
        <f>LineærRegression_Valg[[#This Row],[Afhængig variabel ID]]&lt;=$B$5</f>
        <v>0</v>
      </c>
      <c r="F1203" t="str" cm="1">
        <f t="array" ref="F1203">IF(LineærRegression_Valg[[#This Row],[Indenfor range]],INDEX(DataTitel_liste,LineærRegression_Valg[[#This Row],[Afhængig variabel ID]]),INDEX(DataTitel_liste,1))</f>
        <v>Eksempel 1 (interval)</v>
      </c>
      <c r="G1203" s="188" t="str" cm="1">
        <f t="array" ref="G1203">IF(LineærRegression_Valg[[#This Row],[Indenfor range]],IF(LineærRegression_Valg[[#This Row],[Intet overlap]],INDEX(DataTitel_liste,LineærRegression_Valg[[#This Row],[Uafhængig variabel ID]]),INDEX(DataTitel_liste,IF(LineærRegression_Valg[[#This Row],[Afhængig variabel ID]]=1,2,1))),$B$7)</f>
        <v>Eksempel 2 (interval)</v>
      </c>
      <c r="H1203" s="188">
        <f>_xlfn.AGGREGATE(2,5,LineærRegression_Valg[[#This Row],[Tabel ID]])</f>
        <v>1</v>
      </c>
    </row>
    <row r="1204" spans="1:8" x14ac:dyDescent="0.2">
      <c r="A1204">
        <f>ROW(LineærRegression_Valg[[#This Row],[Tabel ID]])-ROW(LineærRegression_Valg[[#Headers],[Tabel ID]])</f>
        <v>1194</v>
      </c>
      <c r="B1204" s="188">
        <f>ROUNDDOWN((LineærRegression_Valg[[#This Row],[Tabel ID]]-1)/$B$5,0)+1</f>
        <v>299</v>
      </c>
      <c r="C1204" s="188">
        <f t="shared" si="18"/>
        <v>2</v>
      </c>
      <c r="D1204" s="188" t="b">
        <f>LineærRegression_Valg[[#This Row],[Afhængig variabel ID]]&lt;&gt;LineærRegression_Valg[[#This Row],[Uafhængig variabel ID]]</f>
        <v>1</v>
      </c>
      <c r="E1204" t="b">
        <f>LineærRegression_Valg[[#This Row],[Afhængig variabel ID]]&lt;=$B$5</f>
        <v>0</v>
      </c>
      <c r="F1204" t="str" cm="1">
        <f t="array" ref="F1204">IF(LineærRegression_Valg[[#This Row],[Indenfor range]],INDEX(DataTitel_liste,LineærRegression_Valg[[#This Row],[Afhængig variabel ID]]),INDEX(DataTitel_liste,1))</f>
        <v>Eksempel 1 (interval)</v>
      </c>
      <c r="G1204" s="188" t="str" cm="1">
        <f t="array" ref="G1204">IF(LineærRegression_Valg[[#This Row],[Indenfor range]],IF(LineærRegression_Valg[[#This Row],[Intet overlap]],INDEX(DataTitel_liste,LineærRegression_Valg[[#This Row],[Uafhængig variabel ID]]),INDEX(DataTitel_liste,IF(LineærRegression_Valg[[#This Row],[Afhængig variabel ID]]=1,2,1))),$B$7)</f>
        <v>Eksempel 2 (interval)</v>
      </c>
      <c r="H1204" s="188">
        <f>_xlfn.AGGREGATE(2,5,LineærRegression_Valg[[#This Row],[Tabel ID]])</f>
        <v>1</v>
      </c>
    </row>
    <row r="1205" spans="1:8" x14ac:dyDescent="0.2">
      <c r="A1205">
        <f>ROW(LineærRegression_Valg[[#This Row],[Tabel ID]])-ROW(LineærRegression_Valg[[#Headers],[Tabel ID]])</f>
        <v>1195</v>
      </c>
      <c r="B1205" s="188">
        <f>ROUNDDOWN((LineærRegression_Valg[[#This Row],[Tabel ID]]-1)/$B$5,0)+1</f>
        <v>299</v>
      </c>
      <c r="C1205" s="188">
        <f t="shared" si="18"/>
        <v>3</v>
      </c>
      <c r="D1205" s="188" t="b">
        <f>LineærRegression_Valg[[#This Row],[Afhængig variabel ID]]&lt;&gt;LineærRegression_Valg[[#This Row],[Uafhængig variabel ID]]</f>
        <v>1</v>
      </c>
      <c r="E1205" t="b">
        <f>LineærRegression_Valg[[#This Row],[Afhængig variabel ID]]&lt;=$B$5</f>
        <v>0</v>
      </c>
      <c r="F1205" t="str" cm="1">
        <f t="array" ref="F1205">IF(LineærRegression_Valg[[#This Row],[Indenfor range]],INDEX(DataTitel_liste,LineærRegression_Valg[[#This Row],[Afhængig variabel ID]]),INDEX(DataTitel_liste,1))</f>
        <v>Eksempel 1 (interval)</v>
      </c>
      <c r="G1205" s="188" t="str" cm="1">
        <f t="array" ref="G1205">IF(LineærRegression_Valg[[#This Row],[Indenfor range]],IF(LineærRegression_Valg[[#This Row],[Intet overlap]],INDEX(DataTitel_liste,LineærRegression_Valg[[#This Row],[Uafhængig variabel ID]]),INDEX(DataTitel_liste,IF(LineærRegression_Valg[[#This Row],[Afhængig variabel ID]]=1,2,1))),$B$7)</f>
        <v>Eksempel 2 (interval)</v>
      </c>
      <c r="H1205" s="188">
        <f>_xlfn.AGGREGATE(2,5,LineærRegression_Valg[[#This Row],[Tabel ID]])</f>
        <v>1</v>
      </c>
    </row>
    <row r="1206" spans="1:8" x14ac:dyDescent="0.2">
      <c r="A1206">
        <f>ROW(LineærRegression_Valg[[#This Row],[Tabel ID]])-ROW(LineærRegression_Valg[[#Headers],[Tabel ID]])</f>
        <v>1196</v>
      </c>
      <c r="B1206" s="188">
        <f>ROUNDDOWN((LineærRegression_Valg[[#This Row],[Tabel ID]]-1)/$B$5,0)+1</f>
        <v>299</v>
      </c>
      <c r="C1206" s="188">
        <f t="shared" si="18"/>
        <v>4</v>
      </c>
      <c r="D1206" s="188" t="b">
        <f>LineærRegression_Valg[[#This Row],[Afhængig variabel ID]]&lt;&gt;LineærRegression_Valg[[#This Row],[Uafhængig variabel ID]]</f>
        <v>1</v>
      </c>
      <c r="E1206" t="b">
        <f>LineærRegression_Valg[[#This Row],[Afhængig variabel ID]]&lt;=$B$5</f>
        <v>0</v>
      </c>
      <c r="F1206" t="str" cm="1">
        <f t="array" ref="F1206">IF(LineærRegression_Valg[[#This Row],[Indenfor range]],INDEX(DataTitel_liste,LineærRegression_Valg[[#This Row],[Afhængig variabel ID]]),INDEX(DataTitel_liste,1))</f>
        <v>Eksempel 1 (interval)</v>
      </c>
      <c r="G1206" s="188" t="str" cm="1">
        <f t="array" ref="G1206">IF(LineærRegression_Valg[[#This Row],[Indenfor range]],IF(LineærRegression_Valg[[#This Row],[Intet overlap]],INDEX(DataTitel_liste,LineærRegression_Valg[[#This Row],[Uafhængig variabel ID]]),INDEX(DataTitel_liste,IF(LineærRegression_Valg[[#This Row],[Afhængig variabel ID]]=1,2,1))),$B$7)</f>
        <v>Eksempel 2 (interval)</v>
      </c>
      <c r="H1206" s="188">
        <f>_xlfn.AGGREGATE(2,5,LineærRegression_Valg[[#This Row],[Tabel ID]])</f>
        <v>1</v>
      </c>
    </row>
    <row r="1207" spans="1:8" x14ac:dyDescent="0.2">
      <c r="A1207">
        <f>ROW(LineærRegression_Valg[[#This Row],[Tabel ID]])-ROW(LineærRegression_Valg[[#Headers],[Tabel ID]])</f>
        <v>1197</v>
      </c>
      <c r="B1207" s="188">
        <f>ROUNDDOWN((LineærRegression_Valg[[#This Row],[Tabel ID]]-1)/$B$5,0)+1</f>
        <v>300</v>
      </c>
      <c r="C1207" s="188">
        <f t="shared" si="18"/>
        <v>1</v>
      </c>
      <c r="D1207" s="188" t="b">
        <f>LineærRegression_Valg[[#This Row],[Afhængig variabel ID]]&lt;&gt;LineærRegression_Valg[[#This Row],[Uafhængig variabel ID]]</f>
        <v>1</v>
      </c>
      <c r="E1207" t="b">
        <f>LineærRegression_Valg[[#This Row],[Afhængig variabel ID]]&lt;=$B$5</f>
        <v>0</v>
      </c>
      <c r="F1207" t="str" cm="1">
        <f t="array" ref="F1207">IF(LineærRegression_Valg[[#This Row],[Indenfor range]],INDEX(DataTitel_liste,LineærRegression_Valg[[#This Row],[Afhængig variabel ID]]),INDEX(DataTitel_liste,1))</f>
        <v>Eksempel 1 (interval)</v>
      </c>
      <c r="G1207" s="188" t="str" cm="1">
        <f t="array" ref="G1207">IF(LineærRegression_Valg[[#This Row],[Indenfor range]],IF(LineærRegression_Valg[[#This Row],[Intet overlap]],INDEX(DataTitel_liste,LineærRegression_Valg[[#This Row],[Uafhængig variabel ID]]),INDEX(DataTitel_liste,IF(LineærRegression_Valg[[#This Row],[Afhængig variabel ID]]=1,2,1))),$B$7)</f>
        <v>Eksempel 2 (interval)</v>
      </c>
      <c r="H1207" s="188">
        <f>_xlfn.AGGREGATE(2,5,LineærRegression_Valg[[#This Row],[Tabel ID]])</f>
        <v>1</v>
      </c>
    </row>
    <row r="1208" spans="1:8" x14ac:dyDescent="0.2">
      <c r="A1208">
        <f>ROW(LineærRegression_Valg[[#This Row],[Tabel ID]])-ROW(LineærRegression_Valg[[#Headers],[Tabel ID]])</f>
        <v>1198</v>
      </c>
      <c r="B1208" s="188">
        <f>ROUNDDOWN((LineærRegression_Valg[[#This Row],[Tabel ID]]-1)/$B$5,0)+1</f>
        <v>300</v>
      </c>
      <c r="C1208" s="188">
        <f t="shared" si="18"/>
        <v>2</v>
      </c>
      <c r="D1208" s="188" t="b">
        <f>LineærRegression_Valg[[#This Row],[Afhængig variabel ID]]&lt;&gt;LineærRegression_Valg[[#This Row],[Uafhængig variabel ID]]</f>
        <v>1</v>
      </c>
      <c r="E1208" t="b">
        <f>LineærRegression_Valg[[#This Row],[Afhængig variabel ID]]&lt;=$B$5</f>
        <v>0</v>
      </c>
      <c r="F1208" t="str" cm="1">
        <f t="array" ref="F1208">IF(LineærRegression_Valg[[#This Row],[Indenfor range]],INDEX(DataTitel_liste,LineærRegression_Valg[[#This Row],[Afhængig variabel ID]]),INDEX(DataTitel_liste,1))</f>
        <v>Eksempel 1 (interval)</v>
      </c>
      <c r="G1208" s="188" t="str" cm="1">
        <f t="array" ref="G1208">IF(LineærRegression_Valg[[#This Row],[Indenfor range]],IF(LineærRegression_Valg[[#This Row],[Intet overlap]],INDEX(DataTitel_liste,LineærRegression_Valg[[#This Row],[Uafhængig variabel ID]]),INDEX(DataTitel_liste,IF(LineærRegression_Valg[[#This Row],[Afhængig variabel ID]]=1,2,1))),$B$7)</f>
        <v>Eksempel 2 (interval)</v>
      </c>
      <c r="H1208" s="188">
        <f>_xlfn.AGGREGATE(2,5,LineærRegression_Valg[[#This Row],[Tabel ID]])</f>
        <v>1</v>
      </c>
    </row>
    <row r="1209" spans="1:8" x14ac:dyDescent="0.2">
      <c r="A1209">
        <f>ROW(LineærRegression_Valg[[#This Row],[Tabel ID]])-ROW(LineærRegression_Valg[[#Headers],[Tabel ID]])</f>
        <v>1199</v>
      </c>
      <c r="B1209" s="188">
        <f>ROUNDDOWN((LineærRegression_Valg[[#This Row],[Tabel ID]]-1)/$B$5,0)+1</f>
        <v>300</v>
      </c>
      <c r="C1209" s="188">
        <f t="shared" si="18"/>
        <v>3</v>
      </c>
      <c r="D1209" s="188" t="b">
        <f>LineærRegression_Valg[[#This Row],[Afhængig variabel ID]]&lt;&gt;LineærRegression_Valg[[#This Row],[Uafhængig variabel ID]]</f>
        <v>1</v>
      </c>
      <c r="E1209" t="b">
        <f>LineærRegression_Valg[[#This Row],[Afhængig variabel ID]]&lt;=$B$5</f>
        <v>0</v>
      </c>
      <c r="F1209" t="str" cm="1">
        <f t="array" ref="F1209">IF(LineærRegression_Valg[[#This Row],[Indenfor range]],INDEX(DataTitel_liste,LineærRegression_Valg[[#This Row],[Afhængig variabel ID]]),INDEX(DataTitel_liste,1))</f>
        <v>Eksempel 1 (interval)</v>
      </c>
      <c r="G1209" s="188" t="str" cm="1">
        <f t="array" ref="G1209">IF(LineærRegression_Valg[[#This Row],[Indenfor range]],IF(LineærRegression_Valg[[#This Row],[Intet overlap]],INDEX(DataTitel_liste,LineærRegression_Valg[[#This Row],[Uafhængig variabel ID]]),INDEX(DataTitel_liste,IF(LineærRegression_Valg[[#This Row],[Afhængig variabel ID]]=1,2,1))),$B$7)</f>
        <v>Eksempel 2 (interval)</v>
      </c>
      <c r="H1209" s="188">
        <f>_xlfn.AGGREGATE(2,5,LineærRegression_Valg[[#This Row],[Tabel ID]])</f>
        <v>1</v>
      </c>
    </row>
    <row r="1210" spans="1:8" x14ac:dyDescent="0.2">
      <c r="A1210">
        <f>ROW(LineærRegression_Valg[[#This Row],[Tabel ID]])-ROW(LineærRegression_Valg[[#Headers],[Tabel ID]])</f>
        <v>1200</v>
      </c>
      <c r="B1210" s="188">
        <f>ROUNDDOWN((LineærRegression_Valg[[#This Row],[Tabel ID]]-1)/$B$5,0)+1</f>
        <v>300</v>
      </c>
      <c r="C1210" s="188">
        <f t="shared" si="18"/>
        <v>4</v>
      </c>
      <c r="D1210" s="188" t="b">
        <f>LineærRegression_Valg[[#This Row],[Afhængig variabel ID]]&lt;&gt;LineærRegression_Valg[[#This Row],[Uafhængig variabel ID]]</f>
        <v>1</v>
      </c>
      <c r="E1210" t="b">
        <f>LineærRegression_Valg[[#This Row],[Afhængig variabel ID]]&lt;=$B$5</f>
        <v>0</v>
      </c>
      <c r="F1210" t="str" cm="1">
        <f t="array" ref="F1210">IF(LineærRegression_Valg[[#This Row],[Indenfor range]],INDEX(DataTitel_liste,LineærRegression_Valg[[#This Row],[Afhængig variabel ID]]),INDEX(DataTitel_liste,1))</f>
        <v>Eksempel 1 (interval)</v>
      </c>
      <c r="G1210" s="188" t="str" cm="1">
        <f t="array" ref="G1210">IF(LineærRegression_Valg[[#This Row],[Indenfor range]],IF(LineærRegression_Valg[[#This Row],[Intet overlap]],INDEX(DataTitel_liste,LineærRegression_Valg[[#This Row],[Uafhængig variabel ID]]),INDEX(DataTitel_liste,IF(LineærRegression_Valg[[#This Row],[Afhængig variabel ID]]=1,2,1))),$B$7)</f>
        <v>Eksempel 2 (interval)</v>
      </c>
      <c r="H1210" s="188">
        <f>_xlfn.AGGREGATE(2,5,LineærRegression_Valg[[#This Row],[Tabel ID]])</f>
        <v>1</v>
      </c>
    </row>
    <row r="1211" spans="1:8" x14ac:dyDescent="0.2">
      <c r="A1211">
        <f>ROW(LineærRegression_Valg[[#This Row],[Tabel ID]])-ROW(LineærRegression_Valg[[#Headers],[Tabel ID]])</f>
        <v>1201</v>
      </c>
      <c r="B1211" s="188">
        <f>ROUNDDOWN((LineærRegression_Valg[[#This Row],[Tabel ID]]-1)/$B$5,0)+1</f>
        <v>301</v>
      </c>
      <c r="C1211" s="188">
        <f t="shared" si="18"/>
        <v>1</v>
      </c>
      <c r="D1211" s="188" t="b">
        <f>LineærRegression_Valg[[#This Row],[Afhængig variabel ID]]&lt;&gt;LineærRegression_Valg[[#This Row],[Uafhængig variabel ID]]</f>
        <v>1</v>
      </c>
      <c r="E1211" t="b">
        <f>LineærRegression_Valg[[#This Row],[Afhængig variabel ID]]&lt;=$B$5</f>
        <v>0</v>
      </c>
      <c r="F1211" t="str" cm="1">
        <f t="array" ref="F1211">IF(LineærRegression_Valg[[#This Row],[Indenfor range]],INDEX(DataTitel_liste,LineærRegression_Valg[[#This Row],[Afhængig variabel ID]]),INDEX(DataTitel_liste,1))</f>
        <v>Eksempel 1 (interval)</v>
      </c>
      <c r="G1211" s="188" t="str" cm="1">
        <f t="array" ref="G1211">IF(LineærRegression_Valg[[#This Row],[Indenfor range]],IF(LineærRegression_Valg[[#This Row],[Intet overlap]],INDEX(DataTitel_liste,LineærRegression_Valg[[#This Row],[Uafhængig variabel ID]]),INDEX(DataTitel_liste,IF(LineærRegression_Valg[[#This Row],[Afhængig variabel ID]]=1,2,1))),$B$7)</f>
        <v>Eksempel 2 (interval)</v>
      </c>
      <c r="H1211" s="188">
        <f>_xlfn.AGGREGATE(2,5,LineærRegression_Valg[[#This Row],[Tabel ID]])</f>
        <v>1</v>
      </c>
    </row>
    <row r="1212" spans="1:8" x14ac:dyDescent="0.2">
      <c r="A1212">
        <f>ROW(LineærRegression_Valg[[#This Row],[Tabel ID]])-ROW(LineærRegression_Valg[[#Headers],[Tabel ID]])</f>
        <v>1202</v>
      </c>
      <c r="B1212" s="188">
        <f>ROUNDDOWN((LineærRegression_Valg[[#This Row],[Tabel ID]]-1)/$B$5,0)+1</f>
        <v>301</v>
      </c>
      <c r="C1212" s="188">
        <f t="shared" si="18"/>
        <v>2</v>
      </c>
      <c r="D1212" s="188" t="b">
        <f>LineærRegression_Valg[[#This Row],[Afhængig variabel ID]]&lt;&gt;LineærRegression_Valg[[#This Row],[Uafhængig variabel ID]]</f>
        <v>1</v>
      </c>
      <c r="E1212" t="b">
        <f>LineærRegression_Valg[[#This Row],[Afhængig variabel ID]]&lt;=$B$5</f>
        <v>0</v>
      </c>
      <c r="F1212" t="str" cm="1">
        <f t="array" ref="F1212">IF(LineærRegression_Valg[[#This Row],[Indenfor range]],INDEX(DataTitel_liste,LineærRegression_Valg[[#This Row],[Afhængig variabel ID]]),INDEX(DataTitel_liste,1))</f>
        <v>Eksempel 1 (interval)</v>
      </c>
      <c r="G1212" s="188" t="str" cm="1">
        <f t="array" ref="G1212">IF(LineærRegression_Valg[[#This Row],[Indenfor range]],IF(LineærRegression_Valg[[#This Row],[Intet overlap]],INDEX(DataTitel_liste,LineærRegression_Valg[[#This Row],[Uafhængig variabel ID]]),INDEX(DataTitel_liste,IF(LineærRegression_Valg[[#This Row],[Afhængig variabel ID]]=1,2,1))),$B$7)</f>
        <v>Eksempel 2 (interval)</v>
      </c>
      <c r="H1212" s="188">
        <f>_xlfn.AGGREGATE(2,5,LineærRegression_Valg[[#This Row],[Tabel ID]])</f>
        <v>1</v>
      </c>
    </row>
    <row r="1213" spans="1:8" x14ac:dyDescent="0.2">
      <c r="A1213">
        <f>ROW(LineærRegression_Valg[[#This Row],[Tabel ID]])-ROW(LineærRegression_Valg[[#Headers],[Tabel ID]])</f>
        <v>1203</v>
      </c>
      <c r="B1213" s="188">
        <f>ROUNDDOWN((LineærRegression_Valg[[#This Row],[Tabel ID]]-1)/$B$5,0)+1</f>
        <v>301</v>
      </c>
      <c r="C1213" s="188">
        <f t="shared" si="18"/>
        <v>3</v>
      </c>
      <c r="D1213" s="188" t="b">
        <f>LineærRegression_Valg[[#This Row],[Afhængig variabel ID]]&lt;&gt;LineærRegression_Valg[[#This Row],[Uafhængig variabel ID]]</f>
        <v>1</v>
      </c>
      <c r="E1213" t="b">
        <f>LineærRegression_Valg[[#This Row],[Afhængig variabel ID]]&lt;=$B$5</f>
        <v>0</v>
      </c>
      <c r="F1213" t="str" cm="1">
        <f t="array" ref="F1213">IF(LineærRegression_Valg[[#This Row],[Indenfor range]],INDEX(DataTitel_liste,LineærRegression_Valg[[#This Row],[Afhængig variabel ID]]),INDEX(DataTitel_liste,1))</f>
        <v>Eksempel 1 (interval)</v>
      </c>
      <c r="G1213" s="188" t="str" cm="1">
        <f t="array" ref="G1213">IF(LineærRegression_Valg[[#This Row],[Indenfor range]],IF(LineærRegression_Valg[[#This Row],[Intet overlap]],INDEX(DataTitel_liste,LineærRegression_Valg[[#This Row],[Uafhængig variabel ID]]),INDEX(DataTitel_liste,IF(LineærRegression_Valg[[#This Row],[Afhængig variabel ID]]=1,2,1))),$B$7)</f>
        <v>Eksempel 2 (interval)</v>
      </c>
      <c r="H1213" s="188">
        <f>_xlfn.AGGREGATE(2,5,LineærRegression_Valg[[#This Row],[Tabel ID]])</f>
        <v>1</v>
      </c>
    </row>
    <row r="1214" spans="1:8" x14ac:dyDescent="0.2">
      <c r="A1214">
        <f>ROW(LineærRegression_Valg[[#This Row],[Tabel ID]])-ROW(LineærRegression_Valg[[#Headers],[Tabel ID]])</f>
        <v>1204</v>
      </c>
      <c r="B1214" s="188">
        <f>ROUNDDOWN((LineærRegression_Valg[[#This Row],[Tabel ID]]-1)/$B$5,0)+1</f>
        <v>301</v>
      </c>
      <c r="C1214" s="188">
        <f t="shared" si="18"/>
        <v>4</v>
      </c>
      <c r="D1214" s="188" t="b">
        <f>LineærRegression_Valg[[#This Row],[Afhængig variabel ID]]&lt;&gt;LineærRegression_Valg[[#This Row],[Uafhængig variabel ID]]</f>
        <v>1</v>
      </c>
      <c r="E1214" t="b">
        <f>LineærRegression_Valg[[#This Row],[Afhængig variabel ID]]&lt;=$B$5</f>
        <v>0</v>
      </c>
      <c r="F1214" t="str" cm="1">
        <f t="array" ref="F1214">IF(LineærRegression_Valg[[#This Row],[Indenfor range]],INDEX(DataTitel_liste,LineærRegression_Valg[[#This Row],[Afhængig variabel ID]]),INDEX(DataTitel_liste,1))</f>
        <v>Eksempel 1 (interval)</v>
      </c>
      <c r="G1214" s="188" t="str" cm="1">
        <f t="array" ref="G1214">IF(LineærRegression_Valg[[#This Row],[Indenfor range]],IF(LineærRegression_Valg[[#This Row],[Intet overlap]],INDEX(DataTitel_liste,LineærRegression_Valg[[#This Row],[Uafhængig variabel ID]]),INDEX(DataTitel_liste,IF(LineærRegression_Valg[[#This Row],[Afhængig variabel ID]]=1,2,1))),$B$7)</f>
        <v>Eksempel 2 (interval)</v>
      </c>
      <c r="H1214" s="188">
        <f>_xlfn.AGGREGATE(2,5,LineærRegression_Valg[[#This Row],[Tabel ID]])</f>
        <v>1</v>
      </c>
    </row>
    <row r="1215" spans="1:8" x14ac:dyDescent="0.2">
      <c r="A1215">
        <f>ROW(LineærRegression_Valg[[#This Row],[Tabel ID]])-ROW(LineærRegression_Valg[[#Headers],[Tabel ID]])</f>
        <v>1205</v>
      </c>
      <c r="B1215" s="188">
        <f>ROUNDDOWN((LineærRegression_Valg[[#This Row],[Tabel ID]]-1)/$B$5,0)+1</f>
        <v>302</v>
      </c>
      <c r="C1215" s="188">
        <f t="shared" si="18"/>
        <v>1</v>
      </c>
      <c r="D1215" s="188" t="b">
        <f>LineærRegression_Valg[[#This Row],[Afhængig variabel ID]]&lt;&gt;LineærRegression_Valg[[#This Row],[Uafhængig variabel ID]]</f>
        <v>1</v>
      </c>
      <c r="E1215" t="b">
        <f>LineærRegression_Valg[[#This Row],[Afhængig variabel ID]]&lt;=$B$5</f>
        <v>0</v>
      </c>
      <c r="F1215" t="str" cm="1">
        <f t="array" ref="F1215">IF(LineærRegression_Valg[[#This Row],[Indenfor range]],INDEX(DataTitel_liste,LineærRegression_Valg[[#This Row],[Afhængig variabel ID]]),INDEX(DataTitel_liste,1))</f>
        <v>Eksempel 1 (interval)</v>
      </c>
      <c r="G1215" s="188" t="str" cm="1">
        <f t="array" ref="G1215">IF(LineærRegression_Valg[[#This Row],[Indenfor range]],IF(LineærRegression_Valg[[#This Row],[Intet overlap]],INDEX(DataTitel_liste,LineærRegression_Valg[[#This Row],[Uafhængig variabel ID]]),INDEX(DataTitel_liste,IF(LineærRegression_Valg[[#This Row],[Afhængig variabel ID]]=1,2,1))),$B$7)</f>
        <v>Eksempel 2 (interval)</v>
      </c>
      <c r="H1215" s="188">
        <f>_xlfn.AGGREGATE(2,5,LineærRegression_Valg[[#This Row],[Tabel ID]])</f>
        <v>1</v>
      </c>
    </row>
    <row r="1216" spans="1:8" x14ac:dyDescent="0.2">
      <c r="A1216">
        <f>ROW(LineærRegression_Valg[[#This Row],[Tabel ID]])-ROW(LineærRegression_Valg[[#Headers],[Tabel ID]])</f>
        <v>1206</v>
      </c>
      <c r="B1216" s="188">
        <f>ROUNDDOWN((LineærRegression_Valg[[#This Row],[Tabel ID]]-1)/$B$5,0)+1</f>
        <v>302</v>
      </c>
      <c r="C1216" s="188">
        <f t="shared" si="18"/>
        <v>2</v>
      </c>
      <c r="D1216" s="188" t="b">
        <f>LineærRegression_Valg[[#This Row],[Afhængig variabel ID]]&lt;&gt;LineærRegression_Valg[[#This Row],[Uafhængig variabel ID]]</f>
        <v>1</v>
      </c>
      <c r="E1216" t="b">
        <f>LineærRegression_Valg[[#This Row],[Afhængig variabel ID]]&lt;=$B$5</f>
        <v>0</v>
      </c>
      <c r="F1216" t="str" cm="1">
        <f t="array" ref="F1216">IF(LineærRegression_Valg[[#This Row],[Indenfor range]],INDEX(DataTitel_liste,LineærRegression_Valg[[#This Row],[Afhængig variabel ID]]),INDEX(DataTitel_liste,1))</f>
        <v>Eksempel 1 (interval)</v>
      </c>
      <c r="G1216" s="188" t="str" cm="1">
        <f t="array" ref="G1216">IF(LineærRegression_Valg[[#This Row],[Indenfor range]],IF(LineærRegression_Valg[[#This Row],[Intet overlap]],INDEX(DataTitel_liste,LineærRegression_Valg[[#This Row],[Uafhængig variabel ID]]),INDEX(DataTitel_liste,IF(LineærRegression_Valg[[#This Row],[Afhængig variabel ID]]=1,2,1))),$B$7)</f>
        <v>Eksempel 2 (interval)</v>
      </c>
      <c r="H1216" s="188">
        <f>_xlfn.AGGREGATE(2,5,LineærRegression_Valg[[#This Row],[Tabel ID]])</f>
        <v>1</v>
      </c>
    </row>
    <row r="1217" spans="1:8" x14ac:dyDescent="0.2">
      <c r="A1217">
        <f>ROW(LineærRegression_Valg[[#This Row],[Tabel ID]])-ROW(LineærRegression_Valg[[#Headers],[Tabel ID]])</f>
        <v>1207</v>
      </c>
      <c r="B1217" s="188">
        <f>ROUNDDOWN((LineærRegression_Valg[[#This Row],[Tabel ID]]-1)/$B$5,0)+1</f>
        <v>302</v>
      </c>
      <c r="C1217" s="188">
        <f t="shared" si="18"/>
        <v>3</v>
      </c>
      <c r="D1217" s="188" t="b">
        <f>LineærRegression_Valg[[#This Row],[Afhængig variabel ID]]&lt;&gt;LineærRegression_Valg[[#This Row],[Uafhængig variabel ID]]</f>
        <v>1</v>
      </c>
      <c r="E1217" t="b">
        <f>LineærRegression_Valg[[#This Row],[Afhængig variabel ID]]&lt;=$B$5</f>
        <v>0</v>
      </c>
      <c r="F1217" t="str" cm="1">
        <f t="array" ref="F1217">IF(LineærRegression_Valg[[#This Row],[Indenfor range]],INDEX(DataTitel_liste,LineærRegression_Valg[[#This Row],[Afhængig variabel ID]]),INDEX(DataTitel_liste,1))</f>
        <v>Eksempel 1 (interval)</v>
      </c>
      <c r="G1217" s="188" t="str" cm="1">
        <f t="array" ref="G1217">IF(LineærRegression_Valg[[#This Row],[Indenfor range]],IF(LineærRegression_Valg[[#This Row],[Intet overlap]],INDEX(DataTitel_liste,LineærRegression_Valg[[#This Row],[Uafhængig variabel ID]]),INDEX(DataTitel_liste,IF(LineærRegression_Valg[[#This Row],[Afhængig variabel ID]]=1,2,1))),$B$7)</f>
        <v>Eksempel 2 (interval)</v>
      </c>
      <c r="H1217" s="188">
        <f>_xlfn.AGGREGATE(2,5,LineærRegression_Valg[[#This Row],[Tabel ID]])</f>
        <v>1</v>
      </c>
    </row>
    <row r="1218" spans="1:8" x14ac:dyDescent="0.2">
      <c r="A1218">
        <f>ROW(LineærRegression_Valg[[#This Row],[Tabel ID]])-ROW(LineærRegression_Valg[[#Headers],[Tabel ID]])</f>
        <v>1208</v>
      </c>
      <c r="B1218" s="188">
        <f>ROUNDDOWN((LineærRegression_Valg[[#This Row],[Tabel ID]]-1)/$B$5,0)+1</f>
        <v>302</v>
      </c>
      <c r="C1218" s="188">
        <f t="shared" si="18"/>
        <v>4</v>
      </c>
      <c r="D1218" s="188" t="b">
        <f>LineærRegression_Valg[[#This Row],[Afhængig variabel ID]]&lt;&gt;LineærRegression_Valg[[#This Row],[Uafhængig variabel ID]]</f>
        <v>1</v>
      </c>
      <c r="E1218" t="b">
        <f>LineærRegression_Valg[[#This Row],[Afhængig variabel ID]]&lt;=$B$5</f>
        <v>0</v>
      </c>
      <c r="F1218" t="str" cm="1">
        <f t="array" ref="F1218">IF(LineærRegression_Valg[[#This Row],[Indenfor range]],INDEX(DataTitel_liste,LineærRegression_Valg[[#This Row],[Afhængig variabel ID]]),INDEX(DataTitel_liste,1))</f>
        <v>Eksempel 1 (interval)</v>
      </c>
      <c r="G1218" s="188" t="str" cm="1">
        <f t="array" ref="G1218">IF(LineærRegression_Valg[[#This Row],[Indenfor range]],IF(LineærRegression_Valg[[#This Row],[Intet overlap]],INDEX(DataTitel_liste,LineærRegression_Valg[[#This Row],[Uafhængig variabel ID]]),INDEX(DataTitel_liste,IF(LineærRegression_Valg[[#This Row],[Afhængig variabel ID]]=1,2,1))),$B$7)</f>
        <v>Eksempel 2 (interval)</v>
      </c>
      <c r="H1218" s="188">
        <f>_xlfn.AGGREGATE(2,5,LineærRegression_Valg[[#This Row],[Tabel ID]])</f>
        <v>1</v>
      </c>
    </row>
    <row r="1219" spans="1:8" x14ac:dyDescent="0.2">
      <c r="A1219">
        <f>ROW(LineærRegression_Valg[[#This Row],[Tabel ID]])-ROW(LineærRegression_Valg[[#Headers],[Tabel ID]])</f>
        <v>1209</v>
      </c>
      <c r="B1219" s="188">
        <f>ROUNDDOWN((LineærRegression_Valg[[#This Row],[Tabel ID]]-1)/$B$5,0)+1</f>
        <v>303</v>
      </c>
      <c r="C1219" s="188">
        <f t="shared" si="18"/>
        <v>1</v>
      </c>
      <c r="D1219" s="188" t="b">
        <f>LineærRegression_Valg[[#This Row],[Afhængig variabel ID]]&lt;&gt;LineærRegression_Valg[[#This Row],[Uafhængig variabel ID]]</f>
        <v>1</v>
      </c>
      <c r="E1219" t="b">
        <f>LineærRegression_Valg[[#This Row],[Afhængig variabel ID]]&lt;=$B$5</f>
        <v>0</v>
      </c>
      <c r="F1219" t="str" cm="1">
        <f t="array" ref="F1219">IF(LineærRegression_Valg[[#This Row],[Indenfor range]],INDEX(DataTitel_liste,LineærRegression_Valg[[#This Row],[Afhængig variabel ID]]),INDEX(DataTitel_liste,1))</f>
        <v>Eksempel 1 (interval)</v>
      </c>
      <c r="G1219" s="188" t="str" cm="1">
        <f t="array" ref="G1219">IF(LineærRegression_Valg[[#This Row],[Indenfor range]],IF(LineærRegression_Valg[[#This Row],[Intet overlap]],INDEX(DataTitel_liste,LineærRegression_Valg[[#This Row],[Uafhængig variabel ID]]),INDEX(DataTitel_liste,IF(LineærRegression_Valg[[#This Row],[Afhængig variabel ID]]=1,2,1))),$B$7)</f>
        <v>Eksempel 2 (interval)</v>
      </c>
      <c r="H1219" s="188">
        <f>_xlfn.AGGREGATE(2,5,LineærRegression_Valg[[#This Row],[Tabel ID]])</f>
        <v>1</v>
      </c>
    </row>
    <row r="1220" spans="1:8" x14ac:dyDescent="0.2">
      <c r="A1220">
        <f>ROW(LineærRegression_Valg[[#This Row],[Tabel ID]])-ROW(LineærRegression_Valg[[#Headers],[Tabel ID]])</f>
        <v>1210</v>
      </c>
      <c r="B1220" s="188">
        <f>ROUNDDOWN((LineærRegression_Valg[[#This Row],[Tabel ID]]-1)/$B$5,0)+1</f>
        <v>303</v>
      </c>
      <c r="C1220" s="188">
        <f t="shared" si="18"/>
        <v>2</v>
      </c>
      <c r="D1220" s="188" t="b">
        <f>LineærRegression_Valg[[#This Row],[Afhængig variabel ID]]&lt;&gt;LineærRegression_Valg[[#This Row],[Uafhængig variabel ID]]</f>
        <v>1</v>
      </c>
      <c r="E1220" t="b">
        <f>LineærRegression_Valg[[#This Row],[Afhængig variabel ID]]&lt;=$B$5</f>
        <v>0</v>
      </c>
      <c r="F1220" t="str" cm="1">
        <f t="array" ref="F1220">IF(LineærRegression_Valg[[#This Row],[Indenfor range]],INDEX(DataTitel_liste,LineærRegression_Valg[[#This Row],[Afhængig variabel ID]]),INDEX(DataTitel_liste,1))</f>
        <v>Eksempel 1 (interval)</v>
      </c>
      <c r="G1220" s="188" t="str" cm="1">
        <f t="array" ref="G1220">IF(LineærRegression_Valg[[#This Row],[Indenfor range]],IF(LineærRegression_Valg[[#This Row],[Intet overlap]],INDEX(DataTitel_liste,LineærRegression_Valg[[#This Row],[Uafhængig variabel ID]]),INDEX(DataTitel_liste,IF(LineærRegression_Valg[[#This Row],[Afhængig variabel ID]]=1,2,1))),$B$7)</f>
        <v>Eksempel 2 (interval)</v>
      </c>
      <c r="H1220" s="188">
        <f>_xlfn.AGGREGATE(2,5,LineærRegression_Valg[[#This Row],[Tabel ID]])</f>
        <v>1</v>
      </c>
    </row>
    <row r="1221" spans="1:8" x14ac:dyDescent="0.2">
      <c r="A1221">
        <f>ROW(LineærRegression_Valg[[#This Row],[Tabel ID]])-ROW(LineærRegression_Valg[[#Headers],[Tabel ID]])</f>
        <v>1211</v>
      </c>
      <c r="B1221" s="188">
        <f>ROUNDDOWN((LineærRegression_Valg[[#This Row],[Tabel ID]]-1)/$B$5,0)+1</f>
        <v>303</v>
      </c>
      <c r="C1221" s="188">
        <f t="shared" si="18"/>
        <v>3</v>
      </c>
      <c r="D1221" s="188" t="b">
        <f>LineærRegression_Valg[[#This Row],[Afhængig variabel ID]]&lt;&gt;LineærRegression_Valg[[#This Row],[Uafhængig variabel ID]]</f>
        <v>1</v>
      </c>
      <c r="E1221" t="b">
        <f>LineærRegression_Valg[[#This Row],[Afhængig variabel ID]]&lt;=$B$5</f>
        <v>0</v>
      </c>
      <c r="F1221" t="str" cm="1">
        <f t="array" ref="F1221">IF(LineærRegression_Valg[[#This Row],[Indenfor range]],INDEX(DataTitel_liste,LineærRegression_Valg[[#This Row],[Afhængig variabel ID]]),INDEX(DataTitel_liste,1))</f>
        <v>Eksempel 1 (interval)</v>
      </c>
      <c r="G1221" s="188" t="str" cm="1">
        <f t="array" ref="G1221">IF(LineærRegression_Valg[[#This Row],[Indenfor range]],IF(LineærRegression_Valg[[#This Row],[Intet overlap]],INDEX(DataTitel_liste,LineærRegression_Valg[[#This Row],[Uafhængig variabel ID]]),INDEX(DataTitel_liste,IF(LineærRegression_Valg[[#This Row],[Afhængig variabel ID]]=1,2,1))),$B$7)</f>
        <v>Eksempel 2 (interval)</v>
      </c>
      <c r="H1221" s="188">
        <f>_xlfn.AGGREGATE(2,5,LineærRegression_Valg[[#This Row],[Tabel ID]])</f>
        <v>1</v>
      </c>
    </row>
    <row r="1222" spans="1:8" x14ac:dyDescent="0.2">
      <c r="A1222">
        <f>ROW(LineærRegression_Valg[[#This Row],[Tabel ID]])-ROW(LineærRegression_Valg[[#Headers],[Tabel ID]])</f>
        <v>1212</v>
      </c>
      <c r="B1222" s="188">
        <f>ROUNDDOWN((LineærRegression_Valg[[#This Row],[Tabel ID]]-1)/$B$5,0)+1</f>
        <v>303</v>
      </c>
      <c r="C1222" s="188">
        <f t="shared" si="18"/>
        <v>4</v>
      </c>
      <c r="D1222" s="188" t="b">
        <f>LineærRegression_Valg[[#This Row],[Afhængig variabel ID]]&lt;&gt;LineærRegression_Valg[[#This Row],[Uafhængig variabel ID]]</f>
        <v>1</v>
      </c>
      <c r="E1222" t="b">
        <f>LineærRegression_Valg[[#This Row],[Afhængig variabel ID]]&lt;=$B$5</f>
        <v>0</v>
      </c>
      <c r="F1222" t="str" cm="1">
        <f t="array" ref="F1222">IF(LineærRegression_Valg[[#This Row],[Indenfor range]],INDEX(DataTitel_liste,LineærRegression_Valg[[#This Row],[Afhængig variabel ID]]),INDEX(DataTitel_liste,1))</f>
        <v>Eksempel 1 (interval)</v>
      </c>
      <c r="G1222" s="188" t="str" cm="1">
        <f t="array" ref="G1222">IF(LineærRegression_Valg[[#This Row],[Indenfor range]],IF(LineærRegression_Valg[[#This Row],[Intet overlap]],INDEX(DataTitel_liste,LineærRegression_Valg[[#This Row],[Uafhængig variabel ID]]),INDEX(DataTitel_liste,IF(LineærRegression_Valg[[#This Row],[Afhængig variabel ID]]=1,2,1))),$B$7)</f>
        <v>Eksempel 2 (interval)</v>
      </c>
      <c r="H1222" s="188">
        <f>_xlfn.AGGREGATE(2,5,LineærRegression_Valg[[#This Row],[Tabel ID]])</f>
        <v>1</v>
      </c>
    </row>
    <row r="1223" spans="1:8" x14ac:dyDescent="0.2">
      <c r="A1223">
        <f>ROW(LineærRegression_Valg[[#This Row],[Tabel ID]])-ROW(LineærRegression_Valg[[#Headers],[Tabel ID]])</f>
        <v>1213</v>
      </c>
      <c r="B1223" s="188">
        <f>ROUNDDOWN((LineærRegression_Valg[[#This Row],[Tabel ID]]-1)/$B$5,0)+1</f>
        <v>304</v>
      </c>
      <c r="C1223" s="188">
        <f t="shared" si="18"/>
        <v>1</v>
      </c>
      <c r="D1223" s="188" t="b">
        <f>LineærRegression_Valg[[#This Row],[Afhængig variabel ID]]&lt;&gt;LineærRegression_Valg[[#This Row],[Uafhængig variabel ID]]</f>
        <v>1</v>
      </c>
      <c r="E1223" t="b">
        <f>LineærRegression_Valg[[#This Row],[Afhængig variabel ID]]&lt;=$B$5</f>
        <v>0</v>
      </c>
      <c r="F1223" t="str" cm="1">
        <f t="array" ref="F1223">IF(LineærRegression_Valg[[#This Row],[Indenfor range]],INDEX(DataTitel_liste,LineærRegression_Valg[[#This Row],[Afhængig variabel ID]]),INDEX(DataTitel_liste,1))</f>
        <v>Eksempel 1 (interval)</v>
      </c>
      <c r="G1223" s="188" t="str" cm="1">
        <f t="array" ref="G1223">IF(LineærRegression_Valg[[#This Row],[Indenfor range]],IF(LineærRegression_Valg[[#This Row],[Intet overlap]],INDEX(DataTitel_liste,LineærRegression_Valg[[#This Row],[Uafhængig variabel ID]]),INDEX(DataTitel_liste,IF(LineærRegression_Valg[[#This Row],[Afhængig variabel ID]]=1,2,1))),$B$7)</f>
        <v>Eksempel 2 (interval)</v>
      </c>
      <c r="H1223" s="188">
        <f>_xlfn.AGGREGATE(2,5,LineærRegression_Valg[[#This Row],[Tabel ID]])</f>
        <v>1</v>
      </c>
    </row>
    <row r="1224" spans="1:8" x14ac:dyDescent="0.2">
      <c r="A1224">
        <f>ROW(LineærRegression_Valg[[#This Row],[Tabel ID]])-ROW(LineærRegression_Valg[[#Headers],[Tabel ID]])</f>
        <v>1214</v>
      </c>
      <c r="B1224" s="188">
        <f>ROUNDDOWN((LineærRegression_Valg[[#This Row],[Tabel ID]]-1)/$B$5,0)+1</f>
        <v>304</v>
      </c>
      <c r="C1224" s="188">
        <f t="shared" si="18"/>
        <v>2</v>
      </c>
      <c r="D1224" s="188" t="b">
        <f>LineærRegression_Valg[[#This Row],[Afhængig variabel ID]]&lt;&gt;LineærRegression_Valg[[#This Row],[Uafhængig variabel ID]]</f>
        <v>1</v>
      </c>
      <c r="E1224" t="b">
        <f>LineærRegression_Valg[[#This Row],[Afhængig variabel ID]]&lt;=$B$5</f>
        <v>0</v>
      </c>
      <c r="F1224" t="str" cm="1">
        <f t="array" ref="F1224">IF(LineærRegression_Valg[[#This Row],[Indenfor range]],INDEX(DataTitel_liste,LineærRegression_Valg[[#This Row],[Afhængig variabel ID]]),INDEX(DataTitel_liste,1))</f>
        <v>Eksempel 1 (interval)</v>
      </c>
      <c r="G1224" s="188" t="str" cm="1">
        <f t="array" ref="G1224">IF(LineærRegression_Valg[[#This Row],[Indenfor range]],IF(LineærRegression_Valg[[#This Row],[Intet overlap]],INDEX(DataTitel_liste,LineærRegression_Valg[[#This Row],[Uafhængig variabel ID]]),INDEX(DataTitel_liste,IF(LineærRegression_Valg[[#This Row],[Afhængig variabel ID]]=1,2,1))),$B$7)</f>
        <v>Eksempel 2 (interval)</v>
      </c>
      <c r="H1224" s="188">
        <f>_xlfn.AGGREGATE(2,5,LineærRegression_Valg[[#This Row],[Tabel ID]])</f>
        <v>1</v>
      </c>
    </row>
    <row r="1225" spans="1:8" x14ac:dyDescent="0.2">
      <c r="A1225">
        <f>ROW(LineærRegression_Valg[[#This Row],[Tabel ID]])-ROW(LineærRegression_Valg[[#Headers],[Tabel ID]])</f>
        <v>1215</v>
      </c>
      <c r="B1225" s="188">
        <f>ROUNDDOWN((LineærRegression_Valg[[#This Row],[Tabel ID]]-1)/$B$5,0)+1</f>
        <v>304</v>
      </c>
      <c r="C1225" s="188">
        <f t="shared" si="18"/>
        <v>3</v>
      </c>
      <c r="D1225" s="188" t="b">
        <f>LineærRegression_Valg[[#This Row],[Afhængig variabel ID]]&lt;&gt;LineærRegression_Valg[[#This Row],[Uafhængig variabel ID]]</f>
        <v>1</v>
      </c>
      <c r="E1225" t="b">
        <f>LineærRegression_Valg[[#This Row],[Afhængig variabel ID]]&lt;=$B$5</f>
        <v>0</v>
      </c>
      <c r="F1225" t="str" cm="1">
        <f t="array" ref="F1225">IF(LineærRegression_Valg[[#This Row],[Indenfor range]],INDEX(DataTitel_liste,LineærRegression_Valg[[#This Row],[Afhængig variabel ID]]),INDEX(DataTitel_liste,1))</f>
        <v>Eksempel 1 (interval)</v>
      </c>
      <c r="G1225" s="188" t="str" cm="1">
        <f t="array" ref="G1225">IF(LineærRegression_Valg[[#This Row],[Indenfor range]],IF(LineærRegression_Valg[[#This Row],[Intet overlap]],INDEX(DataTitel_liste,LineærRegression_Valg[[#This Row],[Uafhængig variabel ID]]),INDEX(DataTitel_liste,IF(LineærRegression_Valg[[#This Row],[Afhængig variabel ID]]=1,2,1))),$B$7)</f>
        <v>Eksempel 2 (interval)</v>
      </c>
      <c r="H1225" s="188">
        <f>_xlfn.AGGREGATE(2,5,LineærRegression_Valg[[#This Row],[Tabel ID]])</f>
        <v>1</v>
      </c>
    </row>
    <row r="1226" spans="1:8" x14ac:dyDescent="0.2">
      <c r="A1226">
        <f>ROW(LineærRegression_Valg[[#This Row],[Tabel ID]])-ROW(LineærRegression_Valg[[#Headers],[Tabel ID]])</f>
        <v>1216</v>
      </c>
      <c r="B1226" s="188">
        <f>ROUNDDOWN((LineærRegression_Valg[[#This Row],[Tabel ID]]-1)/$B$5,0)+1</f>
        <v>304</v>
      </c>
      <c r="C1226" s="188">
        <f t="shared" si="18"/>
        <v>4</v>
      </c>
      <c r="D1226" s="188" t="b">
        <f>LineærRegression_Valg[[#This Row],[Afhængig variabel ID]]&lt;&gt;LineærRegression_Valg[[#This Row],[Uafhængig variabel ID]]</f>
        <v>1</v>
      </c>
      <c r="E1226" t="b">
        <f>LineærRegression_Valg[[#This Row],[Afhængig variabel ID]]&lt;=$B$5</f>
        <v>0</v>
      </c>
      <c r="F1226" t="str" cm="1">
        <f t="array" ref="F1226">IF(LineærRegression_Valg[[#This Row],[Indenfor range]],INDEX(DataTitel_liste,LineærRegression_Valg[[#This Row],[Afhængig variabel ID]]),INDEX(DataTitel_liste,1))</f>
        <v>Eksempel 1 (interval)</v>
      </c>
      <c r="G1226" s="188" t="str" cm="1">
        <f t="array" ref="G1226">IF(LineærRegression_Valg[[#This Row],[Indenfor range]],IF(LineærRegression_Valg[[#This Row],[Intet overlap]],INDEX(DataTitel_liste,LineærRegression_Valg[[#This Row],[Uafhængig variabel ID]]),INDEX(DataTitel_liste,IF(LineærRegression_Valg[[#This Row],[Afhængig variabel ID]]=1,2,1))),$B$7)</f>
        <v>Eksempel 2 (interval)</v>
      </c>
      <c r="H1226" s="188">
        <f>_xlfn.AGGREGATE(2,5,LineærRegression_Valg[[#This Row],[Tabel ID]])</f>
        <v>1</v>
      </c>
    </row>
    <row r="1227" spans="1:8" x14ac:dyDescent="0.2">
      <c r="A1227">
        <f>ROW(LineærRegression_Valg[[#This Row],[Tabel ID]])-ROW(LineærRegression_Valg[[#Headers],[Tabel ID]])</f>
        <v>1217</v>
      </c>
      <c r="B1227" s="188">
        <f>ROUNDDOWN((LineærRegression_Valg[[#This Row],[Tabel ID]]-1)/$B$5,0)+1</f>
        <v>305</v>
      </c>
      <c r="C1227" s="188">
        <f t="shared" ref="C1227:C1290" si="19">MOD(A1227-1,$B$5)+1</f>
        <v>1</v>
      </c>
      <c r="D1227" s="188" t="b">
        <f>LineærRegression_Valg[[#This Row],[Afhængig variabel ID]]&lt;&gt;LineærRegression_Valg[[#This Row],[Uafhængig variabel ID]]</f>
        <v>1</v>
      </c>
      <c r="E1227" t="b">
        <f>LineærRegression_Valg[[#This Row],[Afhængig variabel ID]]&lt;=$B$5</f>
        <v>0</v>
      </c>
      <c r="F1227" t="str" cm="1">
        <f t="array" ref="F1227">IF(LineærRegression_Valg[[#This Row],[Indenfor range]],INDEX(DataTitel_liste,LineærRegression_Valg[[#This Row],[Afhængig variabel ID]]),INDEX(DataTitel_liste,1))</f>
        <v>Eksempel 1 (interval)</v>
      </c>
      <c r="G1227" s="188" t="str" cm="1">
        <f t="array" ref="G1227">IF(LineærRegression_Valg[[#This Row],[Indenfor range]],IF(LineærRegression_Valg[[#This Row],[Intet overlap]],INDEX(DataTitel_liste,LineærRegression_Valg[[#This Row],[Uafhængig variabel ID]]),INDEX(DataTitel_liste,IF(LineærRegression_Valg[[#This Row],[Afhængig variabel ID]]=1,2,1))),$B$7)</f>
        <v>Eksempel 2 (interval)</v>
      </c>
      <c r="H1227" s="188">
        <f>_xlfn.AGGREGATE(2,5,LineærRegression_Valg[[#This Row],[Tabel ID]])</f>
        <v>1</v>
      </c>
    </row>
    <row r="1228" spans="1:8" x14ac:dyDescent="0.2">
      <c r="A1228">
        <f>ROW(LineærRegression_Valg[[#This Row],[Tabel ID]])-ROW(LineærRegression_Valg[[#Headers],[Tabel ID]])</f>
        <v>1218</v>
      </c>
      <c r="B1228" s="188">
        <f>ROUNDDOWN((LineærRegression_Valg[[#This Row],[Tabel ID]]-1)/$B$5,0)+1</f>
        <v>305</v>
      </c>
      <c r="C1228" s="188">
        <f t="shared" si="19"/>
        <v>2</v>
      </c>
      <c r="D1228" s="188" t="b">
        <f>LineærRegression_Valg[[#This Row],[Afhængig variabel ID]]&lt;&gt;LineærRegression_Valg[[#This Row],[Uafhængig variabel ID]]</f>
        <v>1</v>
      </c>
      <c r="E1228" t="b">
        <f>LineærRegression_Valg[[#This Row],[Afhængig variabel ID]]&lt;=$B$5</f>
        <v>0</v>
      </c>
      <c r="F1228" t="str" cm="1">
        <f t="array" ref="F1228">IF(LineærRegression_Valg[[#This Row],[Indenfor range]],INDEX(DataTitel_liste,LineærRegression_Valg[[#This Row],[Afhængig variabel ID]]),INDEX(DataTitel_liste,1))</f>
        <v>Eksempel 1 (interval)</v>
      </c>
      <c r="G1228" s="188" t="str" cm="1">
        <f t="array" ref="G1228">IF(LineærRegression_Valg[[#This Row],[Indenfor range]],IF(LineærRegression_Valg[[#This Row],[Intet overlap]],INDEX(DataTitel_liste,LineærRegression_Valg[[#This Row],[Uafhængig variabel ID]]),INDEX(DataTitel_liste,IF(LineærRegression_Valg[[#This Row],[Afhængig variabel ID]]=1,2,1))),$B$7)</f>
        <v>Eksempel 2 (interval)</v>
      </c>
      <c r="H1228" s="188">
        <f>_xlfn.AGGREGATE(2,5,LineærRegression_Valg[[#This Row],[Tabel ID]])</f>
        <v>1</v>
      </c>
    </row>
    <row r="1229" spans="1:8" x14ac:dyDescent="0.2">
      <c r="A1229">
        <f>ROW(LineærRegression_Valg[[#This Row],[Tabel ID]])-ROW(LineærRegression_Valg[[#Headers],[Tabel ID]])</f>
        <v>1219</v>
      </c>
      <c r="B1229" s="188">
        <f>ROUNDDOWN((LineærRegression_Valg[[#This Row],[Tabel ID]]-1)/$B$5,0)+1</f>
        <v>305</v>
      </c>
      <c r="C1229" s="188">
        <f t="shared" si="19"/>
        <v>3</v>
      </c>
      <c r="D1229" s="188" t="b">
        <f>LineærRegression_Valg[[#This Row],[Afhængig variabel ID]]&lt;&gt;LineærRegression_Valg[[#This Row],[Uafhængig variabel ID]]</f>
        <v>1</v>
      </c>
      <c r="E1229" t="b">
        <f>LineærRegression_Valg[[#This Row],[Afhængig variabel ID]]&lt;=$B$5</f>
        <v>0</v>
      </c>
      <c r="F1229" t="str" cm="1">
        <f t="array" ref="F1229">IF(LineærRegression_Valg[[#This Row],[Indenfor range]],INDEX(DataTitel_liste,LineærRegression_Valg[[#This Row],[Afhængig variabel ID]]),INDEX(DataTitel_liste,1))</f>
        <v>Eksempel 1 (interval)</v>
      </c>
      <c r="G1229" s="188" t="str" cm="1">
        <f t="array" ref="G1229">IF(LineærRegression_Valg[[#This Row],[Indenfor range]],IF(LineærRegression_Valg[[#This Row],[Intet overlap]],INDEX(DataTitel_liste,LineærRegression_Valg[[#This Row],[Uafhængig variabel ID]]),INDEX(DataTitel_liste,IF(LineærRegression_Valg[[#This Row],[Afhængig variabel ID]]=1,2,1))),$B$7)</f>
        <v>Eksempel 2 (interval)</v>
      </c>
      <c r="H1229" s="188">
        <f>_xlfn.AGGREGATE(2,5,LineærRegression_Valg[[#This Row],[Tabel ID]])</f>
        <v>1</v>
      </c>
    </row>
    <row r="1230" spans="1:8" x14ac:dyDescent="0.2">
      <c r="A1230">
        <f>ROW(LineærRegression_Valg[[#This Row],[Tabel ID]])-ROW(LineærRegression_Valg[[#Headers],[Tabel ID]])</f>
        <v>1220</v>
      </c>
      <c r="B1230" s="188">
        <f>ROUNDDOWN((LineærRegression_Valg[[#This Row],[Tabel ID]]-1)/$B$5,0)+1</f>
        <v>305</v>
      </c>
      <c r="C1230" s="188">
        <f t="shared" si="19"/>
        <v>4</v>
      </c>
      <c r="D1230" s="188" t="b">
        <f>LineærRegression_Valg[[#This Row],[Afhængig variabel ID]]&lt;&gt;LineærRegression_Valg[[#This Row],[Uafhængig variabel ID]]</f>
        <v>1</v>
      </c>
      <c r="E1230" t="b">
        <f>LineærRegression_Valg[[#This Row],[Afhængig variabel ID]]&lt;=$B$5</f>
        <v>0</v>
      </c>
      <c r="F1230" t="str" cm="1">
        <f t="array" ref="F1230">IF(LineærRegression_Valg[[#This Row],[Indenfor range]],INDEX(DataTitel_liste,LineærRegression_Valg[[#This Row],[Afhængig variabel ID]]),INDEX(DataTitel_liste,1))</f>
        <v>Eksempel 1 (interval)</v>
      </c>
      <c r="G1230" s="188" t="str" cm="1">
        <f t="array" ref="G1230">IF(LineærRegression_Valg[[#This Row],[Indenfor range]],IF(LineærRegression_Valg[[#This Row],[Intet overlap]],INDEX(DataTitel_liste,LineærRegression_Valg[[#This Row],[Uafhængig variabel ID]]),INDEX(DataTitel_liste,IF(LineærRegression_Valg[[#This Row],[Afhængig variabel ID]]=1,2,1))),$B$7)</f>
        <v>Eksempel 2 (interval)</v>
      </c>
      <c r="H1230" s="188">
        <f>_xlfn.AGGREGATE(2,5,LineærRegression_Valg[[#This Row],[Tabel ID]])</f>
        <v>1</v>
      </c>
    </row>
    <row r="1231" spans="1:8" x14ac:dyDescent="0.2">
      <c r="A1231">
        <f>ROW(LineærRegression_Valg[[#This Row],[Tabel ID]])-ROW(LineærRegression_Valg[[#Headers],[Tabel ID]])</f>
        <v>1221</v>
      </c>
      <c r="B1231" s="188">
        <f>ROUNDDOWN((LineærRegression_Valg[[#This Row],[Tabel ID]]-1)/$B$5,0)+1</f>
        <v>306</v>
      </c>
      <c r="C1231" s="188">
        <f t="shared" si="19"/>
        <v>1</v>
      </c>
      <c r="D1231" s="188" t="b">
        <f>LineærRegression_Valg[[#This Row],[Afhængig variabel ID]]&lt;&gt;LineærRegression_Valg[[#This Row],[Uafhængig variabel ID]]</f>
        <v>1</v>
      </c>
      <c r="E1231" t="b">
        <f>LineærRegression_Valg[[#This Row],[Afhængig variabel ID]]&lt;=$B$5</f>
        <v>0</v>
      </c>
      <c r="F1231" t="str" cm="1">
        <f t="array" ref="F1231">IF(LineærRegression_Valg[[#This Row],[Indenfor range]],INDEX(DataTitel_liste,LineærRegression_Valg[[#This Row],[Afhængig variabel ID]]),INDEX(DataTitel_liste,1))</f>
        <v>Eksempel 1 (interval)</v>
      </c>
      <c r="G1231" s="188" t="str" cm="1">
        <f t="array" ref="G1231">IF(LineærRegression_Valg[[#This Row],[Indenfor range]],IF(LineærRegression_Valg[[#This Row],[Intet overlap]],INDEX(DataTitel_liste,LineærRegression_Valg[[#This Row],[Uafhængig variabel ID]]),INDEX(DataTitel_liste,IF(LineærRegression_Valg[[#This Row],[Afhængig variabel ID]]=1,2,1))),$B$7)</f>
        <v>Eksempel 2 (interval)</v>
      </c>
      <c r="H1231" s="188">
        <f>_xlfn.AGGREGATE(2,5,LineærRegression_Valg[[#This Row],[Tabel ID]])</f>
        <v>1</v>
      </c>
    </row>
    <row r="1232" spans="1:8" x14ac:dyDescent="0.2">
      <c r="A1232">
        <f>ROW(LineærRegression_Valg[[#This Row],[Tabel ID]])-ROW(LineærRegression_Valg[[#Headers],[Tabel ID]])</f>
        <v>1222</v>
      </c>
      <c r="B1232" s="188">
        <f>ROUNDDOWN((LineærRegression_Valg[[#This Row],[Tabel ID]]-1)/$B$5,0)+1</f>
        <v>306</v>
      </c>
      <c r="C1232" s="188">
        <f t="shared" si="19"/>
        <v>2</v>
      </c>
      <c r="D1232" s="188" t="b">
        <f>LineærRegression_Valg[[#This Row],[Afhængig variabel ID]]&lt;&gt;LineærRegression_Valg[[#This Row],[Uafhængig variabel ID]]</f>
        <v>1</v>
      </c>
      <c r="E1232" t="b">
        <f>LineærRegression_Valg[[#This Row],[Afhængig variabel ID]]&lt;=$B$5</f>
        <v>0</v>
      </c>
      <c r="F1232" t="str" cm="1">
        <f t="array" ref="F1232">IF(LineærRegression_Valg[[#This Row],[Indenfor range]],INDEX(DataTitel_liste,LineærRegression_Valg[[#This Row],[Afhængig variabel ID]]),INDEX(DataTitel_liste,1))</f>
        <v>Eksempel 1 (interval)</v>
      </c>
      <c r="G1232" s="188" t="str" cm="1">
        <f t="array" ref="G1232">IF(LineærRegression_Valg[[#This Row],[Indenfor range]],IF(LineærRegression_Valg[[#This Row],[Intet overlap]],INDEX(DataTitel_liste,LineærRegression_Valg[[#This Row],[Uafhængig variabel ID]]),INDEX(DataTitel_liste,IF(LineærRegression_Valg[[#This Row],[Afhængig variabel ID]]=1,2,1))),$B$7)</f>
        <v>Eksempel 2 (interval)</v>
      </c>
      <c r="H1232" s="188">
        <f>_xlfn.AGGREGATE(2,5,LineærRegression_Valg[[#This Row],[Tabel ID]])</f>
        <v>1</v>
      </c>
    </row>
    <row r="1233" spans="1:8" x14ac:dyDescent="0.2">
      <c r="A1233">
        <f>ROW(LineærRegression_Valg[[#This Row],[Tabel ID]])-ROW(LineærRegression_Valg[[#Headers],[Tabel ID]])</f>
        <v>1223</v>
      </c>
      <c r="B1233" s="188">
        <f>ROUNDDOWN((LineærRegression_Valg[[#This Row],[Tabel ID]]-1)/$B$5,0)+1</f>
        <v>306</v>
      </c>
      <c r="C1233" s="188">
        <f t="shared" si="19"/>
        <v>3</v>
      </c>
      <c r="D1233" s="188" t="b">
        <f>LineærRegression_Valg[[#This Row],[Afhængig variabel ID]]&lt;&gt;LineærRegression_Valg[[#This Row],[Uafhængig variabel ID]]</f>
        <v>1</v>
      </c>
      <c r="E1233" t="b">
        <f>LineærRegression_Valg[[#This Row],[Afhængig variabel ID]]&lt;=$B$5</f>
        <v>0</v>
      </c>
      <c r="F1233" t="str" cm="1">
        <f t="array" ref="F1233">IF(LineærRegression_Valg[[#This Row],[Indenfor range]],INDEX(DataTitel_liste,LineærRegression_Valg[[#This Row],[Afhængig variabel ID]]),INDEX(DataTitel_liste,1))</f>
        <v>Eksempel 1 (interval)</v>
      </c>
      <c r="G1233" s="188" t="str" cm="1">
        <f t="array" ref="G1233">IF(LineærRegression_Valg[[#This Row],[Indenfor range]],IF(LineærRegression_Valg[[#This Row],[Intet overlap]],INDEX(DataTitel_liste,LineærRegression_Valg[[#This Row],[Uafhængig variabel ID]]),INDEX(DataTitel_liste,IF(LineærRegression_Valg[[#This Row],[Afhængig variabel ID]]=1,2,1))),$B$7)</f>
        <v>Eksempel 2 (interval)</v>
      </c>
      <c r="H1233" s="188">
        <f>_xlfn.AGGREGATE(2,5,LineærRegression_Valg[[#This Row],[Tabel ID]])</f>
        <v>1</v>
      </c>
    </row>
    <row r="1234" spans="1:8" x14ac:dyDescent="0.2">
      <c r="A1234">
        <f>ROW(LineærRegression_Valg[[#This Row],[Tabel ID]])-ROW(LineærRegression_Valg[[#Headers],[Tabel ID]])</f>
        <v>1224</v>
      </c>
      <c r="B1234" s="188">
        <f>ROUNDDOWN((LineærRegression_Valg[[#This Row],[Tabel ID]]-1)/$B$5,0)+1</f>
        <v>306</v>
      </c>
      <c r="C1234" s="188">
        <f t="shared" si="19"/>
        <v>4</v>
      </c>
      <c r="D1234" s="188" t="b">
        <f>LineærRegression_Valg[[#This Row],[Afhængig variabel ID]]&lt;&gt;LineærRegression_Valg[[#This Row],[Uafhængig variabel ID]]</f>
        <v>1</v>
      </c>
      <c r="E1234" t="b">
        <f>LineærRegression_Valg[[#This Row],[Afhængig variabel ID]]&lt;=$B$5</f>
        <v>0</v>
      </c>
      <c r="F1234" t="str" cm="1">
        <f t="array" ref="F1234">IF(LineærRegression_Valg[[#This Row],[Indenfor range]],INDEX(DataTitel_liste,LineærRegression_Valg[[#This Row],[Afhængig variabel ID]]),INDEX(DataTitel_liste,1))</f>
        <v>Eksempel 1 (interval)</v>
      </c>
      <c r="G1234" s="188" t="str" cm="1">
        <f t="array" ref="G1234">IF(LineærRegression_Valg[[#This Row],[Indenfor range]],IF(LineærRegression_Valg[[#This Row],[Intet overlap]],INDEX(DataTitel_liste,LineærRegression_Valg[[#This Row],[Uafhængig variabel ID]]),INDEX(DataTitel_liste,IF(LineærRegression_Valg[[#This Row],[Afhængig variabel ID]]=1,2,1))),$B$7)</f>
        <v>Eksempel 2 (interval)</v>
      </c>
      <c r="H1234" s="188">
        <f>_xlfn.AGGREGATE(2,5,LineærRegression_Valg[[#This Row],[Tabel ID]])</f>
        <v>1</v>
      </c>
    </row>
    <row r="1235" spans="1:8" x14ac:dyDescent="0.2">
      <c r="A1235">
        <f>ROW(LineærRegression_Valg[[#This Row],[Tabel ID]])-ROW(LineærRegression_Valg[[#Headers],[Tabel ID]])</f>
        <v>1225</v>
      </c>
      <c r="B1235" s="188">
        <f>ROUNDDOWN((LineærRegression_Valg[[#This Row],[Tabel ID]]-1)/$B$5,0)+1</f>
        <v>307</v>
      </c>
      <c r="C1235" s="188">
        <f t="shared" si="19"/>
        <v>1</v>
      </c>
      <c r="D1235" s="188" t="b">
        <f>LineærRegression_Valg[[#This Row],[Afhængig variabel ID]]&lt;&gt;LineærRegression_Valg[[#This Row],[Uafhængig variabel ID]]</f>
        <v>1</v>
      </c>
      <c r="E1235" t="b">
        <f>LineærRegression_Valg[[#This Row],[Afhængig variabel ID]]&lt;=$B$5</f>
        <v>0</v>
      </c>
      <c r="F1235" t="str" cm="1">
        <f t="array" ref="F1235">IF(LineærRegression_Valg[[#This Row],[Indenfor range]],INDEX(DataTitel_liste,LineærRegression_Valg[[#This Row],[Afhængig variabel ID]]),INDEX(DataTitel_liste,1))</f>
        <v>Eksempel 1 (interval)</v>
      </c>
      <c r="G1235" s="188" t="str" cm="1">
        <f t="array" ref="G1235">IF(LineærRegression_Valg[[#This Row],[Indenfor range]],IF(LineærRegression_Valg[[#This Row],[Intet overlap]],INDEX(DataTitel_liste,LineærRegression_Valg[[#This Row],[Uafhængig variabel ID]]),INDEX(DataTitel_liste,IF(LineærRegression_Valg[[#This Row],[Afhængig variabel ID]]=1,2,1))),$B$7)</f>
        <v>Eksempel 2 (interval)</v>
      </c>
      <c r="H1235" s="188">
        <f>_xlfn.AGGREGATE(2,5,LineærRegression_Valg[[#This Row],[Tabel ID]])</f>
        <v>1</v>
      </c>
    </row>
    <row r="1236" spans="1:8" x14ac:dyDescent="0.2">
      <c r="A1236">
        <f>ROW(LineærRegression_Valg[[#This Row],[Tabel ID]])-ROW(LineærRegression_Valg[[#Headers],[Tabel ID]])</f>
        <v>1226</v>
      </c>
      <c r="B1236" s="188">
        <f>ROUNDDOWN((LineærRegression_Valg[[#This Row],[Tabel ID]]-1)/$B$5,0)+1</f>
        <v>307</v>
      </c>
      <c r="C1236" s="188">
        <f t="shared" si="19"/>
        <v>2</v>
      </c>
      <c r="D1236" s="188" t="b">
        <f>LineærRegression_Valg[[#This Row],[Afhængig variabel ID]]&lt;&gt;LineærRegression_Valg[[#This Row],[Uafhængig variabel ID]]</f>
        <v>1</v>
      </c>
      <c r="E1236" t="b">
        <f>LineærRegression_Valg[[#This Row],[Afhængig variabel ID]]&lt;=$B$5</f>
        <v>0</v>
      </c>
      <c r="F1236" t="str" cm="1">
        <f t="array" ref="F1236">IF(LineærRegression_Valg[[#This Row],[Indenfor range]],INDEX(DataTitel_liste,LineærRegression_Valg[[#This Row],[Afhængig variabel ID]]),INDEX(DataTitel_liste,1))</f>
        <v>Eksempel 1 (interval)</v>
      </c>
      <c r="G1236" s="188" t="str" cm="1">
        <f t="array" ref="G1236">IF(LineærRegression_Valg[[#This Row],[Indenfor range]],IF(LineærRegression_Valg[[#This Row],[Intet overlap]],INDEX(DataTitel_liste,LineærRegression_Valg[[#This Row],[Uafhængig variabel ID]]),INDEX(DataTitel_liste,IF(LineærRegression_Valg[[#This Row],[Afhængig variabel ID]]=1,2,1))),$B$7)</f>
        <v>Eksempel 2 (interval)</v>
      </c>
      <c r="H1236" s="188">
        <f>_xlfn.AGGREGATE(2,5,LineærRegression_Valg[[#This Row],[Tabel ID]])</f>
        <v>1</v>
      </c>
    </row>
    <row r="1237" spans="1:8" x14ac:dyDescent="0.2">
      <c r="A1237">
        <f>ROW(LineærRegression_Valg[[#This Row],[Tabel ID]])-ROW(LineærRegression_Valg[[#Headers],[Tabel ID]])</f>
        <v>1227</v>
      </c>
      <c r="B1237" s="188">
        <f>ROUNDDOWN((LineærRegression_Valg[[#This Row],[Tabel ID]]-1)/$B$5,0)+1</f>
        <v>307</v>
      </c>
      <c r="C1237" s="188">
        <f t="shared" si="19"/>
        <v>3</v>
      </c>
      <c r="D1237" s="188" t="b">
        <f>LineærRegression_Valg[[#This Row],[Afhængig variabel ID]]&lt;&gt;LineærRegression_Valg[[#This Row],[Uafhængig variabel ID]]</f>
        <v>1</v>
      </c>
      <c r="E1237" t="b">
        <f>LineærRegression_Valg[[#This Row],[Afhængig variabel ID]]&lt;=$B$5</f>
        <v>0</v>
      </c>
      <c r="F1237" t="str" cm="1">
        <f t="array" ref="F1237">IF(LineærRegression_Valg[[#This Row],[Indenfor range]],INDEX(DataTitel_liste,LineærRegression_Valg[[#This Row],[Afhængig variabel ID]]),INDEX(DataTitel_liste,1))</f>
        <v>Eksempel 1 (interval)</v>
      </c>
      <c r="G1237" s="188" t="str" cm="1">
        <f t="array" ref="G1237">IF(LineærRegression_Valg[[#This Row],[Indenfor range]],IF(LineærRegression_Valg[[#This Row],[Intet overlap]],INDEX(DataTitel_liste,LineærRegression_Valg[[#This Row],[Uafhængig variabel ID]]),INDEX(DataTitel_liste,IF(LineærRegression_Valg[[#This Row],[Afhængig variabel ID]]=1,2,1))),$B$7)</f>
        <v>Eksempel 2 (interval)</v>
      </c>
      <c r="H1237" s="188">
        <f>_xlfn.AGGREGATE(2,5,LineærRegression_Valg[[#This Row],[Tabel ID]])</f>
        <v>1</v>
      </c>
    </row>
    <row r="1238" spans="1:8" x14ac:dyDescent="0.2">
      <c r="A1238">
        <f>ROW(LineærRegression_Valg[[#This Row],[Tabel ID]])-ROW(LineærRegression_Valg[[#Headers],[Tabel ID]])</f>
        <v>1228</v>
      </c>
      <c r="B1238" s="188">
        <f>ROUNDDOWN((LineærRegression_Valg[[#This Row],[Tabel ID]]-1)/$B$5,0)+1</f>
        <v>307</v>
      </c>
      <c r="C1238" s="188">
        <f t="shared" si="19"/>
        <v>4</v>
      </c>
      <c r="D1238" s="188" t="b">
        <f>LineærRegression_Valg[[#This Row],[Afhængig variabel ID]]&lt;&gt;LineærRegression_Valg[[#This Row],[Uafhængig variabel ID]]</f>
        <v>1</v>
      </c>
      <c r="E1238" t="b">
        <f>LineærRegression_Valg[[#This Row],[Afhængig variabel ID]]&lt;=$B$5</f>
        <v>0</v>
      </c>
      <c r="F1238" t="str" cm="1">
        <f t="array" ref="F1238">IF(LineærRegression_Valg[[#This Row],[Indenfor range]],INDEX(DataTitel_liste,LineærRegression_Valg[[#This Row],[Afhængig variabel ID]]),INDEX(DataTitel_liste,1))</f>
        <v>Eksempel 1 (interval)</v>
      </c>
      <c r="G1238" s="188" t="str" cm="1">
        <f t="array" ref="G1238">IF(LineærRegression_Valg[[#This Row],[Indenfor range]],IF(LineærRegression_Valg[[#This Row],[Intet overlap]],INDEX(DataTitel_liste,LineærRegression_Valg[[#This Row],[Uafhængig variabel ID]]),INDEX(DataTitel_liste,IF(LineærRegression_Valg[[#This Row],[Afhængig variabel ID]]=1,2,1))),$B$7)</f>
        <v>Eksempel 2 (interval)</v>
      </c>
      <c r="H1238" s="188">
        <f>_xlfn.AGGREGATE(2,5,LineærRegression_Valg[[#This Row],[Tabel ID]])</f>
        <v>1</v>
      </c>
    </row>
    <row r="1239" spans="1:8" x14ac:dyDescent="0.2">
      <c r="A1239">
        <f>ROW(LineærRegression_Valg[[#This Row],[Tabel ID]])-ROW(LineærRegression_Valg[[#Headers],[Tabel ID]])</f>
        <v>1229</v>
      </c>
      <c r="B1239" s="188">
        <f>ROUNDDOWN((LineærRegression_Valg[[#This Row],[Tabel ID]]-1)/$B$5,0)+1</f>
        <v>308</v>
      </c>
      <c r="C1239" s="188">
        <f t="shared" si="19"/>
        <v>1</v>
      </c>
      <c r="D1239" s="188" t="b">
        <f>LineærRegression_Valg[[#This Row],[Afhængig variabel ID]]&lt;&gt;LineærRegression_Valg[[#This Row],[Uafhængig variabel ID]]</f>
        <v>1</v>
      </c>
      <c r="E1239" t="b">
        <f>LineærRegression_Valg[[#This Row],[Afhængig variabel ID]]&lt;=$B$5</f>
        <v>0</v>
      </c>
      <c r="F1239" t="str" cm="1">
        <f t="array" ref="F1239">IF(LineærRegression_Valg[[#This Row],[Indenfor range]],INDEX(DataTitel_liste,LineærRegression_Valg[[#This Row],[Afhængig variabel ID]]),INDEX(DataTitel_liste,1))</f>
        <v>Eksempel 1 (interval)</v>
      </c>
      <c r="G1239" s="188" t="str" cm="1">
        <f t="array" ref="G1239">IF(LineærRegression_Valg[[#This Row],[Indenfor range]],IF(LineærRegression_Valg[[#This Row],[Intet overlap]],INDEX(DataTitel_liste,LineærRegression_Valg[[#This Row],[Uafhængig variabel ID]]),INDEX(DataTitel_liste,IF(LineærRegression_Valg[[#This Row],[Afhængig variabel ID]]=1,2,1))),$B$7)</f>
        <v>Eksempel 2 (interval)</v>
      </c>
      <c r="H1239" s="188">
        <f>_xlfn.AGGREGATE(2,5,LineærRegression_Valg[[#This Row],[Tabel ID]])</f>
        <v>1</v>
      </c>
    </row>
    <row r="1240" spans="1:8" x14ac:dyDescent="0.2">
      <c r="A1240">
        <f>ROW(LineærRegression_Valg[[#This Row],[Tabel ID]])-ROW(LineærRegression_Valg[[#Headers],[Tabel ID]])</f>
        <v>1230</v>
      </c>
      <c r="B1240" s="188">
        <f>ROUNDDOWN((LineærRegression_Valg[[#This Row],[Tabel ID]]-1)/$B$5,0)+1</f>
        <v>308</v>
      </c>
      <c r="C1240" s="188">
        <f t="shared" si="19"/>
        <v>2</v>
      </c>
      <c r="D1240" s="188" t="b">
        <f>LineærRegression_Valg[[#This Row],[Afhængig variabel ID]]&lt;&gt;LineærRegression_Valg[[#This Row],[Uafhængig variabel ID]]</f>
        <v>1</v>
      </c>
      <c r="E1240" t="b">
        <f>LineærRegression_Valg[[#This Row],[Afhængig variabel ID]]&lt;=$B$5</f>
        <v>0</v>
      </c>
      <c r="F1240" t="str" cm="1">
        <f t="array" ref="F1240">IF(LineærRegression_Valg[[#This Row],[Indenfor range]],INDEX(DataTitel_liste,LineærRegression_Valg[[#This Row],[Afhængig variabel ID]]),INDEX(DataTitel_liste,1))</f>
        <v>Eksempel 1 (interval)</v>
      </c>
      <c r="G1240" s="188" t="str" cm="1">
        <f t="array" ref="G1240">IF(LineærRegression_Valg[[#This Row],[Indenfor range]],IF(LineærRegression_Valg[[#This Row],[Intet overlap]],INDEX(DataTitel_liste,LineærRegression_Valg[[#This Row],[Uafhængig variabel ID]]),INDEX(DataTitel_liste,IF(LineærRegression_Valg[[#This Row],[Afhængig variabel ID]]=1,2,1))),$B$7)</f>
        <v>Eksempel 2 (interval)</v>
      </c>
      <c r="H1240" s="188">
        <f>_xlfn.AGGREGATE(2,5,LineærRegression_Valg[[#This Row],[Tabel ID]])</f>
        <v>1</v>
      </c>
    </row>
    <row r="1241" spans="1:8" x14ac:dyDescent="0.2">
      <c r="A1241">
        <f>ROW(LineærRegression_Valg[[#This Row],[Tabel ID]])-ROW(LineærRegression_Valg[[#Headers],[Tabel ID]])</f>
        <v>1231</v>
      </c>
      <c r="B1241" s="188">
        <f>ROUNDDOWN((LineærRegression_Valg[[#This Row],[Tabel ID]]-1)/$B$5,0)+1</f>
        <v>308</v>
      </c>
      <c r="C1241" s="188">
        <f t="shared" si="19"/>
        <v>3</v>
      </c>
      <c r="D1241" s="188" t="b">
        <f>LineærRegression_Valg[[#This Row],[Afhængig variabel ID]]&lt;&gt;LineærRegression_Valg[[#This Row],[Uafhængig variabel ID]]</f>
        <v>1</v>
      </c>
      <c r="E1241" t="b">
        <f>LineærRegression_Valg[[#This Row],[Afhængig variabel ID]]&lt;=$B$5</f>
        <v>0</v>
      </c>
      <c r="F1241" t="str" cm="1">
        <f t="array" ref="F1241">IF(LineærRegression_Valg[[#This Row],[Indenfor range]],INDEX(DataTitel_liste,LineærRegression_Valg[[#This Row],[Afhængig variabel ID]]),INDEX(DataTitel_liste,1))</f>
        <v>Eksempel 1 (interval)</v>
      </c>
      <c r="G1241" s="188" t="str" cm="1">
        <f t="array" ref="G1241">IF(LineærRegression_Valg[[#This Row],[Indenfor range]],IF(LineærRegression_Valg[[#This Row],[Intet overlap]],INDEX(DataTitel_liste,LineærRegression_Valg[[#This Row],[Uafhængig variabel ID]]),INDEX(DataTitel_liste,IF(LineærRegression_Valg[[#This Row],[Afhængig variabel ID]]=1,2,1))),$B$7)</f>
        <v>Eksempel 2 (interval)</v>
      </c>
      <c r="H1241" s="188">
        <f>_xlfn.AGGREGATE(2,5,LineærRegression_Valg[[#This Row],[Tabel ID]])</f>
        <v>1</v>
      </c>
    </row>
    <row r="1242" spans="1:8" x14ac:dyDescent="0.2">
      <c r="A1242">
        <f>ROW(LineærRegression_Valg[[#This Row],[Tabel ID]])-ROW(LineærRegression_Valg[[#Headers],[Tabel ID]])</f>
        <v>1232</v>
      </c>
      <c r="B1242" s="188">
        <f>ROUNDDOWN((LineærRegression_Valg[[#This Row],[Tabel ID]]-1)/$B$5,0)+1</f>
        <v>308</v>
      </c>
      <c r="C1242" s="188">
        <f t="shared" si="19"/>
        <v>4</v>
      </c>
      <c r="D1242" s="188" t="b">
        <f>LineærRegression_Valg[[#This Row],[Afhængig variabel ID]]&lt;&gt;LineærRegression_Valg[[#This Row],[Uafhængig variabel ID]]</f>
        <v>1</v>
      </c>
      <c r="E1242" t="b">
        <f>LineærRegression_Valg[[#This Row],[Afhængig variabel ID]]&lt;=$B$5</f>
        <v>0</v>
      </c>
      <c r="F1242" t="str" cm="1">
        <f t="array" ref="F1242">IF(LineærRegression_Valg[[#This Row],[Indenfor range]],INDEX(DataTitel_liste,LineærRegression_Valg[[#This Row],[Afhængig variabel ID]]),INDEX(DataTitel_liste,1))</f>
        <v>Eksempel 1 (interval)</v>
      </c>
      <c r="G1242" s="188" t="str" cm="1">
        <f t="array" ref="G1242">IF(LineærRegression_Valg[[#This Row],[Indenfor range]],IF(LineærRegression_Valg[[#This Row],[Intet overlap]],INDEX(DataTitel_liste,LineærRegression_Valg[[#This Row],[Uafhængig variabel ID]]),INDEX(DataTitel_liste,IF(LineærRegression_Valg[[#This Row],[Afhængig variabel ID]]=1,2,1))),$B$7)</f>
        <v>Eksempel 2 (interval)</v>
      </c>
      <c r="H1242" s="188">
        <f>_xlfn.AGGREGATE(2,5,LineærRegression_Valg[[#This Row],[Tabel ID]])</f>
        <v>1</v>
      </c>
    </row>
    <row r="1243" spans="1:8" x14ac:dyDescent="0.2">
      <c r="A1243">
        <f>ROW(LineærRegression_Valg[[#This Row],[Tabel ID]])-ROW(LineærRegression_Valg[[#Headers],[Tabel ID]])</f>
        <v>1233</v>
      </c>
      <c r="B1243" s="188">
        <f>ROUNDDOWN((LineærRegression_Valg[[#This Row],[Tabel ID]]-1)/$B$5,0)+1</f>
        <v>309</v>
      </c>
      <c r="C1243" s="188">
        <f t="shared" si="19"/>
        <v>1</v>
      </c>
      <c r="D1243" s="188" t="b">
        <f>LineærRegression_Valg[[#This Row],[Afhængig variabel ID]]&lt;&gt;LineærRegression_Valg[[#This Row],[Uafhængig variabel ID]]</f>
        <v>1</v>
      </c>
      <c r="E1243" t="b">
        <f>LineærRegression_Valg[[#This Row],[Afhængig variabel ID]]&lt;=$B$5</f>
        <v>0</v>
      </c>
      <c r="F1243" t="str" cm="1">
        <f t="array" ref="F1243">IF(LineærRegression_Valg[[#This Row],[Indenfor range]],INDEX(DataTitel_liste,LineærRegression_Valg[[#This Row],[Afhængig variabel ID]]),INDEX(DataTitel_liste,1))</f>
        <v>Eksempel 1 (interval)</v>
      </c>
      <c r="G1243" s="188" t="str" cm="1">
        <f t="array" ref="G1243">IF(LineærRegression_Valg[[#This Row],[Indenfor range]],IF(LineærRegression_Valg[[#This Row],[Intet overlap]],INDEX(DataTitel_liste,LineærRegression_Valg[[#This Row],[Uafhængig variabel ID]]),INDEX(DataTitel_liste,IF(LineærRegression_Valg[[#This Row],[Afhængig variabel ID]]=1,2,1))),$B$7)</f>
        <v>Eksempel 2 (interval)</v>
      </c>
      <c r="H1243" s="188">
        <f>_xlfn.AGGREGATE(2,5,LineærRegression_Valg[[#This Row],[Tabel ID]])</f>
        <v>1</v>
      </c>
    </row>
    <row r="1244" spans="1:8" x14ac:dyDescent="0.2">
      <c r="A1244">
        <f>ROW(LineærRegression_Valg[[#This Row],[Tabel ID]])-ROW(LineærRegression_Valg[[#Headers],[Tabel ID]])</f>
        <v>1234</v>
      </c>
      <c r="B1244" s="188">
        <f>ROUNDDOWN((LineærRegression_Valg[[#This Row],[Tabel ID]]-1)/$B$5,0)+1</f>
        <v>309</v>
      </c>
      <c r="C1244" s="188">
        <f t="shared" si="19"/>
        <v>2</v>
      </c>
      <c r="D1244" s="188" t="b">
        <f>LineærRegression_Valg[[#This Row],[Afhængig variabel ID]]&lt;&gt;LineærRegression_Valg[[#This Row],[Uafhængig variabel ID]]</f>
        <v>1</v>
      </c>
      <c r="E1244" t="b">
        <f>LineærRegression_Valg[[#This Row],[Afhængig variabel ID]]&lt;=$B$5</f>
        <v>0</v>
      </c>
      <c r="F1244" t="str" cm="1">
        <f t="array" ref="F1244">IF(LineærRegression_Valg[[#This Row],[Indenfor range]],INDEX(DataTitel_liste,LineærRegression_Valg[[#This Row],[Afhængig variabel ID]]),INDEX(DataTitel_liste,1))</f>
        <v>Eksempel 1 (interval)</v>
      </c>
      <c r="G1244" s="188" t="str" cm="1">
        <f t="array" ref="G1244">IF(LineærRegression_Valg[[#This Row],[Indenfor range]],IF(LineærRegression_Valg[[#This Row],[Intet overlap]],INDEX(DataTitel_liste,LineærRegression_Valg[[#This Row],[Uafhængig variabel ID]]),INDEX(DataTitel_liste,IF(LineærRegression_Valg[[#This Row],[Afhængig variabel ID]]=1,2,1))),$B$7)</f>
        <v>Eksempel 2 (interval)</v>
      </c>
      <c r="H1244" s="188">
        <f>_xlfn.AGGREGATE(2,5,LineærRegression_Valg[[#This Row],[Tabel ID]])</f>
        <v>1</v>
      </c>
    </row>
    <row r="1245" spans="1:8" x14ac:dyDescent="0.2">
      <c r="A1245">
        <f>ROW(LineærRegression_Valg[[#This Row],[Tabel ID]])-ROW(LineærRegression_Valg[[#Headers],[Tabel ID]])</f>
        <v>1235</v>
      </c>
      <c r="B1245" s="188">
        <f>ROUNDDOWN((LineærRegression_Valg[[#This Row],[Tabel ID]]-1)/$B$5,0)+1</f>
        <v>309</v>
      </c>
      <c r="C1245" s="188">
        <f t="shared" si="19"/>
        <v>3</v>
      </c>
      <c r="D1245" s="188" t="b">
        <f>LineærRegression_Valg[[#This Row],[Afhængig variabel ID]]&lt;&gt;LineærRegression_Valg[[#This Row],[Uafhængig variabel ID]]</f>
        <v>1</v>
      </c>
      <c r="E1245" t="b">
        <f>LineærRegression_Valg[[#This Row],[Afhængig variabel ID]]&lt;=$B$5</f>
        <v>0</v>
      </c>
      <c r="F1245" t="str" cm="1">
        <f t="array" ref="F1245">IF(LineærRegression_Valg[[#This Row],[Indenfor range]],INDEX(DataTitel_liste,LineærRegression_Valg[[#This Row],[Afhængig variabel ID]]),INDEX(DataTitel_liste,1))</f>
        <v>Eksempel 1 (interval)</v>
      </c>
      <c r="G1245" s="188" t="str" cm="1">
        <f t="array" ref="G1245">IF(LineærRegression_Valg[[#This Row],[Indenfor range]],IF(LineærRegression_Valg[[#This Row],[Intet overlap]],INDEX(DataTitel_liste,LineærRegression_Valg[[#This Row],[Uafhængig variabel ID]]),INDEX(DataTitel_liste,IF(LineærRegression_Valg[[#This Row],[Afhængig variabel ID]]=1,2,1))),$B$7)</f>
        <v>Eksempel 2 (interval)</v>
      </c>
      <c r="H1245" s="188">
        <f>_xlfn.AGGREGATE(2,5,LineærRegression_Valg[[#This Row],[Tabel ID]])</f>
        <v>1</v>
      </c>
    </row>
    <row r="1246" spans="1:8" x14ac:dyDescent="0.2">
      <c r="A1246">
        <f>ROW(LineærRegression_Valg[[#This Row],[Tabel ID]])-ROW(LineærRegression_Valg[[#Headers],[Tabel ID]])</f>
        <v>1236</v>
      </c>
      <c r="B1246" s="188">
        <f>ROUNDDOWN((LineærRegression_Valg[[#This Row],[Tabel ID]]-1)/$B$5,0)+1</f>
        <v>309</v>
      </c>
      <c r="C1246" s="188">
        <f t="shared" si="19"/>
        <v>4</v>
      </c>
      <c r="D1246" s="188" t="b">
        <f>LineærRegression_Valg[[#This Row],[Afhængig variabel ID]]&lt;&gt;LineærRegression_Valg[[#This Row],[Uafhængig variabel ID]]</f>
        <v>1</v>
      </c>
      <c r="E1246" t="b">
        <f>LineærRegression_Valg[[#This Row],[Afhængig variabel ID]]&lt;=$B$5</f>
        <v>0</v>
      </c>
      <c r="F1246" t="str" cm="1">
        <f t="array" ref="F1246">IF(LineærRegression_Valg[[#This Row],[Indenfor range]],INDEX(DataTitel_liste,LineærRegression_Valg[[#This Row],[Afhængig variabel ID]]),INDEX(DataTitel_liste,1))</f>
        <v>Eksempel 1 (interval)</v>
      </c>
      <c r="G1246" s="188" t="str" cm="1">
        <f t="array" ref="G1246">IF(LineærRegression_Valg[[#This Row],[Indenfor range]],IF(LineærRegression_Valg[[#This Row],[Intet overlap]],INDEX(DataTitel_liste,LineærRegression_Valg[[#This Row],[Uafhængig variabel ID]]),INDEX(DataTitel_liste,IF(LineærRegression_Valg[[#This Row],[Afhængig variabel ID]]=1,2,1))),$B$7)</f>
        <v>Eksempel 2 (interval)</v>
      </c>
      <c r="H1246" s="188">
        <f>_xlfn.AGGREGATE(2,5,LineærRegression_Valg[[#This Row],[Tabel ID]])</f>
        <v>1</v>
      </c>
    </row>
    <row r="1247" spans="1:8" x14ac:dyDescent="0.2">
      <c r="A1247">
        <f>ROW(LineærRegression_Valg[[#This Row],[Tabel ID]])-ROW(LineærRegression_Valg[[#Headers],[Tabel ID]])</f>
        <v>1237</v>
      </c>
      <c r="B1247" s="188">
        <f>ROUNDDOWN((LineærRegression_Valg[[#This Row],[Tabel ID]]-1)/$B$5,0)+1</f>
        <v>310</v>
      </c>
      <c r="C1247" s="188">
        <f t="shared" si="19"/>
        <v>1</v>
      </c>
      <c r="D1247" s="188" t="b">
        <f>LineærRegression_Valg[[#This Row],[Afhængig variabel ID]]&lt;&gt;LineærRegression_Valg[[#This Row],[Uafhængig variabel ID]]</f>
        <v>1</v>
      </c>
      <c r="E1247" t="b">
        <f>LineærRegression_Valg[[#This Row],[Afhængig variabel ID]]&lt;=$B$5</f>
        <v>0</v>
      </c>
      <c r="F1247" t="str" cm="1">
        <f t="array" ref="F1247">IF(LineærRegression_Valg[[#This Row],[Indenfor range]],INDEX(DataTitel_liste,LineærRegression_Valg[[#This Row],[Afhængig variabel ID]]),INDEX(DataTitel_liste,1))</f>
        <v>Eksempel 1 (interval)</v>
      </c>
      <c r="G1247" s="188" t="str" cm="1">
        <f t="array" ref="G1247">IF(LineærRegression_Valg[[#This Row],[Indenfor range]],IF(LineærRegression_Valg[[#This Row],[Intet overlap]],INDEX(DataTitel_liste,LineærRegression_Valg[[#This Row],[Uafhængig variabel ID]]),INDEX(DataTitel_liste,IF(LineærRegression_Valg[[#This Row],[Afhængig variabel ID]]=1,2,1))),$B$7)</f>
        <v>Eksempel 2 (interval)</v>
      </c>
      <c r="H1247" s="188">
        <f>_xlfn.AGGREGATE(2,5,LineærRegression_Valg[[#This Row],[Tabel ID]])</f>
        <v>1</v>
      </c>
    </row>
    <row r="1248" spans="1:8" x14ac:dyDescent="0.2">
      <c r="A1248">
        <f>ROW(LineærRegression_Valg[[#This Row],[Tabel ID]])-ROW(LineærRegression_Valg[[#Headers],[Tabel ID]])</f>
        <v>1238</v>
      </c>
      <c r="B1248" s="188">
        <f>ROUNDDOWN((LineærRegression_Valg[[#This Row],[Tabel ID]]-1)/$B$5,0)+1</f>
        <v>310</v>
      </c>
      <c r="C1248" s="188">
        <f t="shared" si="19"/>
        <v>2</v>
      </c>
      <c r="D1248" s="188" t="b">
        <f>LineærRegression_Valg[[#This Row],[Afhængig variabel ID]]&lt;&gt;LineærRegression_Valg[[#This Row],[Uafhængig variabel ID]]</f>
        <v>1</v>
      </c>
      <c r="E1248" t="b">
        <f>LineærRegression_Valg[[#This Row],[Afhængig variabel ID]]&lt;=$B$5</f>
        <v>0</v>
      </c>
      <c r="F1248" t="str" cm="1">
        <f t="array" ref="F1248">IF(LineærRegression_Valg[[#This Row],[Indenfor range]],INDEX(DataTitel_liste,LineærRegression_Valg[[#This Row],[Afhængig variabel ID]]),INDEX(DataTitel_liste,1))</f>
        <v>Eksempel 1 (interval)</v>
      </c>
      <c r="G1248" s="188" t="str" cm="1">
        <f t="array" ref="G1248">IF(LineærRegression_Valg[[#This Row],[Indenfor range]],IF(LineærRegression_Valg[[#This Row],[Intet overlap]],INDEX(DataTitel_liste,LineærRegression_Valg[[#This Row],[Uafhængig variabel ID]]),INDEX(DataTitel_liste,IF(LineærRegression_Valg[[#This Row],[Afhængig variabel ID]]=1,2,1))),$B$7)</f>
        <v>Eksempel 2 (interval)</v>
      </c>
      <c r="H1248" s="188">
        <f>_xlfn.AGGREGATE(2,5,LineærRegression_Valg[[#This Row],[Tabel ID]])</f>
        <v>1</v>
      </c>
    </row>
    <row r="1249" spans="1:8" x14ac:dyDescent="0.2">
      <c r="A1249">
        <f>ROW(LineærRegression_Valg[[#This Row],[Tabel ID]])-ROW(LineærRegression_Valg[[#Headers],[Tabel ID]])</f>
        <v>1239</v>
      </c>
      <c r="B1249" s="188">
        <f>ROUNDDOWN((LineærRegression_Valg[[#This Row],[Tabel ID]]-1)/$B$5,0)+1</f>
        <v>310</v>
      </c>
      <c r="C1249" s="188">
        <f t="shared" si="19"/>
        <v>3</v>
      </c>
      <c r="D1249" s="188" t="b">
        <f>LineærRegression_Valg[[#This Row],[Afhængig variabel ID]]&lt;&gt;LineærRegression_Valg[[#This Row],[Uafhængig variabel ID]]</f>
        <v>1</v>
      </c>
      <c r="E1249" t="b">
        <f>LineærRegression_Valg[[#This Row],[Afhængig variabel ID]]&lt;=$B$5</f>
        <v>0</v>
      </c>
      <c r="F1249" t="str" cm="1">
        <f t="array" ref="F1249">IF(LineærRegression_Valg[[#This Row],[Indenfor range]],INDEX(DataTitel_liste,LineærRegression_Valg[[#This Row],[Afhængig variabel ID]]),INDEX(DataTitel_liste,1))</f>
        <v>Eksempel 1 (interval)</v>
      </c>
      <c r="G1249" s="188" t="str" cm="1">
        <f t="array" ref="G1249">IF(LineærRegression_Valg[[#This Row],[Indenfor range]],IF(LineærRegression_Valg[[#This Row],[Intet overlap]],INDEX(DataTitel_liste,LineærRegression_Valg[[#This Row],[Uafhængig variabel ID]]),INDEX(DataTitel_liste,IF(LineærRegression_Valg[[#This Row],[Afhængig variabel ID]]=1,2,1))),$B$7)</f>
        <v>Eksempel 2 (interval)</v>
      </c>
      <c r="H1249" s="188">
        <f>_xlfn.AGGREGATE(2,5,LineærRegression_Valg[[#This Row],[Tabel ID]])</f>
        <v>1</v>
      </c>
    </row>
    <row r="1250" spans="1:8" x14ac:dyDescent="0.2">
      <c r="A1250">
        <f>ROW(LineærRegression_Valg[[#This Row],[Tabel ID]])-ROW(LineærRegression_Valg[[#Headers],[Tabel ID]])</f>
        <v>1240</v>
      </c>
      <c r="B1250" s="188">
        <f>ROUNDDOWN((LineærRegression_Valg[[#This Row],[Tabel ID]]-1)/$B$5,0)+1</f>
        <v>310</v>
      </c>
      <c r="C1250" s="188">
        <f t="shared" si="19"/>
        <v>4</v>
      </c>
      <c r="D1250" s="188" t="b">
        <f>LineærRegression_Valg[[#This Row],[Afhængig variabel ID]]&lt;&gt;LineærRegression_Valg[[#This Row],[Uafhængig variabel ID]]</f>
        <v>1</v>
      </c>
      <c r="E1250" t="b">
        <f>LineærRegression_Valg[[#This Row],[Afhængig variabel ID]]&lt;=$B$5</f>
        <v>0</v>
      </c>
      <c r="F1250" t="str" cm="1">
        <f t="array" ref="F1250">IF(LineærRegression_Valg[[#This Row],[Indenfor range]],INDEX(DataTitel_liste,LineærRegression_Valg[[#This Row],[Afhængig variabel ID]]),INDEX(DataTitel_liste,1))</f>
        <v>Eksempel 1 (interval)</v>
      </c>
      <c r="G1250" s="188" t="str" cm="1">
        <f t="array" ref="G1250">IF(LineærRegression_Valg[[#This Row],[Indenfor range]],IF(LineærRegression_Valg[[#This Row],[Intet overlap]],INDEX(DataTitel_liste,LineærRegression_Valg[[#This Row],[Uafhængig variabel ID]]),INDEX(DataTitel_liste,IF(LineærRegression_Valg[[#This Row],[Afhængig variabel ID]]=1,2,1))),$B$7)</f>
        <v>Eksempel 2 (interval)</v>
      </c>
      <c r="H1250" s="188">
        <f>_xlfn.AGGREGATE(2,5,LineærRegression_Valg[[#This Row],[Tabel ID]])</f>
        <v>1</v>
      </c>
    </row>
    <row r="1251" spans="1:8" x14ac:dyDescent="0.2">
      <c r="A1251">
        <f>ROW(LineærRegression_Valg[[#This Row],[Tabel ID]])-ROW(LineærRegression_Valg[[#Headers],[Tabel ID]])</f>
        <v>1241</v>
      </c>
      <c r="B1251" s="188">
        <f>ROUNDDOWN((LineærRegression_Valg[[#This Row],[Tabel ID]]-1)/$B$5,0)+1</f>
        <v>311</v>
      </c>
      <c r="C1251" s="188">
        <f t="shared" si="19"/>
        <v>1</v>
      </c>
      <c r="D1251" s="188" t="b">
        <f>LineærRegression_Valg[[#This Row],[Afhængig variabel ID]]&lt;&gt;LineærRegression_Valg[[#This Row],[Uafhængig variabel ID]]</f>
        <v>1</v>
      </c>
      <c r="E1251" t="b">
        <f>LineærRegression_Valg[[#This Row],[Afhængig variabel ID]]&lt;=$B$5</f>
        <v>0</v>
      </c>
      <c r="F1251" t="str" cm="1">
        <f t="array" ref="F1251">IF(LineærRegression_Valg[[#This Row],[Indenfor range]],INDEX(DataTitel_liste,LineærRegression_Valg[[#This Row],[Afhængig variabel ID]]),INDEX(DataTitel_liste,1))</f>
        <v>Eksempel 1 (interval)</v>
      </c>
      <c r="G1251" s="188" t="str" cm="1">
        <f t="array" ref="G1251">IF(LineærRegression_Valg[[#This Row],[Indenfor range]],IF(LineærRegression_Valg[[#This Row],[Intet overlap]],INDEX(DataTitel_liste,LineærRegression_Valg[[#This Row],[Uafhængig variabel ID]]),INDEX(DataTitel_liste,IF(LineærRegression_Valg[[#This Row],[Afhængig variabel ID]]=1,2,1))),$B$7)</f>
        <v>Eksempel 2 (interval)</v>
      </c>
      <c r="H1251" s="188">
        <f>_xlfn.AGGREGATE(2,5,LineærRegression_Valg[[#This Row],[Tabel ID]])</f>
        <v>1</v>
      </c>
    </row>
    <row r="1252" spans="1:8" x14ac:dyDescent="0.2">
      <c r="A1252">
        <f>ROW(LineærRegression_Valg[[#This Row],[Tabel ID]])-ROW(LineærRegression_Valg[[#Headers],[Tabel ID]])</f>
        <v>1242</v>
      </c>
      <c r="B1252" s="188">
        <f>ROUNDDOWN((LineærRegression_Valg[[#This Row],[Tabel ID]]-1)/$B$5,0)+1</f>
        <v>311</v>
      </c>
      <c r="C1252" s="188">
        <f t="shared" si="19"/>
        <v>2</v>
      </c>
      <c r="D1252" s="188" t="b">
        <f>LineærRegression_Valg[[#This Row],[Afhængig variabel ID]]&lt;&gt;LineærRegression_Valg[[#This Row],[Uafhængig variabel ID]]</f>
        <v>1</v>
      </c>
      <c r="E1252" t="b">
        <f>LineærRegression_Valg[[#This Row],[Afhængig variabel ID]]&lt;=$B$5</f>
        <v>0</v>
      </c>
      <c r="F1252" t="str" cm="1">
        <f t="array" ref="F1252">IF(LineærRegression_Valg[[#This Row],[Indenfor range]],INDEX(DataTitel_liste,LineærRegression_Valg[[#This Row],[Afhængig variabel ID]]),INDEX(DataTitel_liste,1))</f>
        <v>Eksempel 1 (interval)</v>
      </c>
      <c r="G1252" s="188" t="str" cm="1">
        <f t="array" ref="G1252">IF(LineærRegression_Valg[[#This Row],[Indenfor range]],IF(LineærRegression_Valg[[#This Row],[Intet overlap]],INDEX(DataTitel_liste,LineærRegression_Valg[[#This Row],[Uafhængig variabel ID]]),INDEX(DataTitel_liste,IF(LineærRegression_Valg[[#This Row],[Afhængig variabel ID]]=1,2,1))),$B$7)</f>
        <v>Eksempel 2 (interval)</v>
      </c>
      <c r="H1252" s="188">
        <f>_xlfn.AGGREGATE(2,5,LineærRegression_Valg[[#This Row],[Tabel ID]])</f>
        <v>1</v>
      </c>
    </row>
    <row r="1253" spans="1:8" x14ac:dyDescent="0.2">
      <c r="A1253">
        <f>ROW(LineærRegression_Valg[[#This Row],[Tabel ID]])-ROW(LineærRegression_Valg[[#Headers],[Tabel ID]])</f>
        <v>1243</v>
      </c>
      <c r="B1253" s="188">
        <f>ROUNDDOWN((LineærRegression_Valg[[#This Row],[Tabel ID]]-1)/$B$5,0)+1</f>
        <v>311</v>
      </c>
      <c r="C1253" s="188">
        <f t="shared" si="19"/>
        <v>3</v>
      </c>
      <c r="D1253" s="188" t="b">
        <f>LineærRegression_Valg[[#This Row],[Afhængig variabel ID]]&lt;&gt;LineærRegression_Valg[[#This Row],[Uafhængig variabel ID]]</f>
        <v>1</v>
      </c>
      <c r="E1253" t="b">
        <f>LineærRegression_Valg[[#This Row],[Afhængig variabel ID]]&lt;=$B$5</f>
        <v>0</v>
      </c>
      <c r="F1253" t="str" cm="1">
        <f t="array" ref="F1253">IF(LineærRegression_Valg[[#This Row],[Indenfor range]],INDEX(DataTitel_liste,LineærRegression_Valg[[#This Row],[Afhængig variabel ID]]),INDEX(DataTitel_liste,1))</f>
        <v>Eksempel 1 (interval)</v>
      </c>
      <c r="G1253" s="188" t="str" cm="1">
        <f t="array" ref="G1253">IF(LineærRegression_Valg[[#This Row],[Indenfor range]],IF(LineærRegression_Valg[[#This Row],[Intet overlap]],INDEX(DataTitel_liste,LineærRegression_Valg[[#This Row],[Uafhængig variabel ID]]),INDEX(DataTitel_liste,IF(LineærRegression_Valg[[#This Row],[Afhængig variabel ID]]=1,2,1))),$B$7)</f>
        <v>Eksempel 2 (interval)</v>
      </c>
      <c r="H1253" s="188">
        <f>_xlfn.AGGREGATE(2,5,LineærRegression_Valg[[#This Row],[Tabel ID]])</f>
        <v>1</v>
      </c>
    </row>
    <row r="1254" spans="1:8" x14ac:dyDescent="0.2">
      <c r="A1254">
        <f>ROW(LineærRegression_Valg[[#This Row],[Tabel ID]])-ROW(LineærRegression_Valg[[#Headers],[Tabel ID]])</f>
        <v>1244</v>
      </c>
      <c r="B1254" s="188">
        <f>ROUNDDOWN((LineærRegression_Valg[[#This Row],[Tabel ID]]-1)/$B$5,0)+1</f>
        <v>311</v>
      </c>
      <c r="C1254" s="188">
        <f t="shared" si="19"/>
        <v>4</v>
      </c>
      <c r="D1254" s="188" t="b">
        <f>LineærRegression_Valg[[#This Row],[Afhængig variabel ID]]&lt;&gt;LineærRegression_Valg[[#This Row],[Uafhængig variabel ID]]</f>
        <v>1</v>
      </c>
      <c r="E1254" t="b">
        <f>LineærRegression_Valg[[#This Row],[Afhængig variabel ID]]&lt;=$B$5</f>
        <v>0</v>
      </c>
      <c r="F1254" t="str" cm="1">
        <f t="array" ref="F1254">IF(LineærRegression_Valg[[#This Row],[Indenfor range]],INDEX(DataTitel_liste,LineærRegression_Valg[[#This Row],[Afhængig variabel ID]]),INDEX(DataTitel_liste,1))</f>
        <v>Eksempel 1 (interval)</v>
      </c>
      <c r="G1254" s="188" t="str" cm="1">
        <f t="array" ref="G1254">IF(LineærRegression_Valg[[#This Row],[Indenfor range]],IF(LineærRegression_Valg[[#This Row],[Intet overlap]],INDEX(DataTitel_liste,LineærRegression_Valg[[#This Row],[Uafhængig variabel ID]]),INDEX(DataTitel_liste,IF(LineærRegression_Valg[[#This Row],[Afhængig variabel ID]]=1,2,1))),$B$7)</f>
        <v>Eksempel 2 (interval)</v>
      </c>
      <c r="H1254" s="188">
        <f>_xlfn.AGGREGATE(2,5,LineærRegression_Valg[[#This Row],[Tabel ID]])</f>
        <v>1</v>
      </c>
    </row>
    <row r="1255" spans="1:8" x14ac:dyDescent="0.2">
      <c r="A1255">
        <f>ROW(LineærRegression_Valg[[#This Row],[Tabel ID]])-ROW(LineærRegression_Valg[[#Headers],[Tabel ID]])</f>
        <v>1245</v>
      </c>
      <c r="B1255" s="188">
        <f>ROUNDDOWN((LineærRegression_Valg[[#This Row],[Tabel ID]]-1)/$B$5,0)+1</f>
        <v>312</v>
      </c>
      <c r="C1255" s="188">
        <f t="shared" si="19"/>
        <v>1</v>
      </c>
      <c r="D1255" s="188" t="b">
        <f>LineærRegression_Valg[[#This Row],[Afhængig variabel ID]]&lt;&gt;LineærRegression_Valg[[#This Row],[Uafhængig variabel ID]]</f>
        <v>1</v>
      </c>
      <c r="E1255" t="b">
        <f>LineærRegression_Valg[[#This Row],[Afhængig variabel ID]]&lt;=$B$5</f>
        <v>0</v>
      </c>
      <c r="F1255" t="str" cm="1">
        <f t="array" ref="F1255">IF(LineærRegression_Valg[[#This Row],[Indenfor range]],INDEX(DataTitel_liste,LineærRegression_Valg[[#This Row],[Afhængig variabel ID]]),INDEX(DataTitel_liste,1))</f>
        <v>Eksempel 1 (interval)</v>
      </c>
      <c r="G1255" s="188" t="str" cm="1">
        <f t="array" ref="G1255">IF(LineærRegression_Valg[[#This Row],[Indenfor range]],IF(LineærRegression_Valg[[#This Row],[Intet overlap]],INDEX(DataTitel_liste,LineærRegression_Valg[[#This Row],[Uafhængig variabel ID]]),INDEX(DataTitel_liste,IF(LineærRegression_Valg[[#This Row],[Afhængig variabel ID]]=1,2,1))),$B$7)</f>
        <v>Eksempel 2 (interval)</v>
      </c>
      <c r="H1255" s="188">
        <f>_xlfn.AGGREGATE(2,5,LineærRegression_Valg[[#This Row],[Tabel ID]])</f>
        <v>1</v>
      </c>
    </row>
    <row r="1256" spans="1:8" x14ac:dyDescent="0.2">
      <c r="A1256">
        <f>ROW(LineærRegression_Valg[[#This Row],[Tabel ID]])-ROW(LineærRegression_Valg[[#Headers],[Tabel ID]])</f>
        <v>1246</v>
      </c>
      <c r="B1256" s="188">
        <f>ROUNDDOWN((LineærRegression_Valg[[#This Row],[Tabel ID]]-1)/$B$5,0)+1</f>
        <v>312</v>
      </c>
      <c r="C1256" s="188">
        <f t="shared" si="19"/>
        <v>2</v>
      </c>
      <c r="D1256" s="188" t="b">
        <f>LineærRegression_Valg[[#This Row],[Afhængig variabel ID]]&lt;&gt;LineærRegression_Valg[[#This Row],[Uafhængig variabel ID]]</f>
        <v>1</v>
      </c>
      <c r="E1256" t="b">
        <f>LineærRegression_Valg[[#This Row],[Afhængig variabel ID]]&lt;=$B$5</f>
        <v>0</v>
      </c>
      <c r="F1256" t="str" cm="1">
        <f t="array" ref="F1256">IF(LineærRegression_Valg[[#This Row],[Indenfor range]],INDEX(DataTitel_liste,LineærRegression_Valg[[#This Row],[Afhængig variabel ID]]),INDEX(DataTitel_liste,1))</f>
        <v>Eksempel 1 (interval)</v>
      </c>
      <c r="G1256" s="188" t="str" cm="1">
        <f t="array" ref="G1256">IF(LineærRegression_Valg[[#This Row],[Indenfor range]],IF(LineærRegression_Valg[[#This Row],[Intet overlap]],INDEX(DataTitel_liste,LineærRegression_Valg[[#This Row],[Uafhængig variabel ID]]),INDEX(DataTitel_liste,IF(LineærRegression_Valg[[#This Row],[Afhængig variabel ID]]=1,2,1))),$B$7)</f>
        <v>Eksempel 2 (interval)</v>
      </c>
      <c r="H1256" s="188">
        <f>_xlfn.AGGREGATE(2,5,LineærRegression_Valg[[#This Row],[Tabel ID]])</f>
        <v>1</v>
      </c>
    </row>
    <row r="1257" spans="1:8" x14ac:dyDescent="0.2">
      <c r="A1257">
        <f>ROW(LineærRegression_Valg[[#This Row],[Tabel ID]])-ROW(LineærRegression_Valg[[#Headers],[Tabel ID]])</f>
        <v>1247</v>
      </c>
      <c r="B1257" s="188">
        <f>ROUNDDOWN((LineærRegression_Valg[[#This Row],[Tabel ID]]-1)/$B$5,0)+1</f>
        <v>312</v>
      </c>
      <c r="C1257" s="188">
        <f t="shared" si="19"/>
        <v>3</v>
      </c>
      <c r="D1257" s="188" t="b">
        <f>LineærRegression_Valg[[#This Row],[Afhængig variabel ID]]&lt;&gt;LineærRegression_Valg[[#This Row],[Uafhængig variabel ID]]</f>
        <v>1</v>
      </c>
      <c r="E1257" t="b">
        <f>LineærRegression_Valg[[#This Row],[Afhængig variabel ID]]&lt;=$B$5</f>
        <v>0</v>
      </c>
      <c r="F1257" t="str" cm="1">
        <f t="array" ref="F1257">IF(LineærRegression_Valg[[#This Row],[Indenfor range]],INDEX(DataTitel_liste,LineærRegression_Valg[[#This Row],[Afhængig variabel ID]]),INDEX(DataTitel_liste,1))</f>
        <v>Eksempel 1 (interval)</v>
      </c>
      <c r="G1257" s="188" t="str" cm="1">
        <f t="array" ref="G1257">IF(LineærRegression_Valg[[#This Row],[Indenfor range]],IF(LineærRegression_Valg[[#This Row],[Intet overlap]],INDEX(DataTitel_liste,LineærRegression_Valg[[#This Row],[Uafhængig variabel ID]]),INDEX(DataTitel_liste,IF(LineærRegression_Valg[[#This Row],[Afhængig variabel ID]]=1,2,1))),$B$7)</f>
        <v>Eksempel 2 (interval)</v>
      </c>
      <c r="H1257" s="188">
        <f>_xlfn.AGGREGATE(2,5,LineærRegression_Valg[[#This Row],[Tabel ID]])</f>
        <v>1</v>
      </c>
    </row>
    <row r="1258" spans="1:8" x14ac:dyDescent="0.2">
      <c r="A1258">
        <f>ROW(LineærRegression_Valg[[#This Row],[Tabel ID]])-ROW(LineærRegression_Valg[[#Headers],[Tabel ID]])</f>
        <v>1248</v>
      </c>
      <c r="B1258" s="188">
        <f>ROUNDDOWN((LineærRegression_Valg[[#This Row],[Tabel ID]]-1)/$B$5,0)+1</f>
        <v>312</v>
      </c>
      <c r="C1258" s="188">
        <f t="shared" si="19"/>
        <v>4</v>
      </c>
      <c r="D1258" s="188" t="b">
        <f>LineærRegression_Valg[[#This Row],[Afhængig variabel ID]]&lt;&gt;LineærRegression_Valg[[#This Row],[Uafhængig variabel ID]]</f>
        <v>1</v>
      </c>
      <c r="E1258" t="b">
        <f>LineærRegression_Valg[[#This Row],[Afhængig variabel ID]]&lt;=$B$5</f>
        <v>0</v>
      </c>
      <c r="F1258" t="str" cm="1">
        <f t="array" ref="F1258">IF(LineærRegression_Valg[[#This Row],[Indenfor range]],INDEX(DataTitel_liste,LineærRegression_Valg[[#This Row],[Afhængig variabel ID]]),INDEX(DataTitel_liste,1))</f>
        <v>Eksempel 1 (interval)</v>
      </c>
      <c r="G1258" s="188" t="str" cm="1">
        <f t="array" ref="G1258">IF(LineærRegression_Valg[[#This Row],[Indenfor range]],IF(LineærRegression_Valg[[#This Row],[Intet overlap]],INDEX(DataTitel_liste,LineærRegression_Valg[[#This Row],[Uafhængig variabel ID]]),INDEX(DataTitel_liste,IF(LineærRegression_Valg[[#This Row],[Afhængig variabel ID]]=1,2,1))),$B$7)</f>
        <v>Eksempel 2 (interval)</v>
      </c>
      <c r="H1258" s="188">
        <f>_xlfn.AGGREGATE(2,5,LineærRegression_Valg[[#This Row],[Tabel ID]])</f>
        <v>1</v>
      </c>
    </row>
    <row r="1259" spans="1:8" x14ac:dyDescent="0.2">
      <c r="A1259">
        <f>ROW(LineærRegression_Valg[[#This Row],[Tabel ID]])-ROW(LineærRegression_Valg[[#Headers],[Tabel ID]])</f>
        <v>1249</v>
      </c>
      <c r="B1259" s="188">
        <f>ROUNDDOWN((LineærRegression_Valg[[#This Row],[Tabel ID]]-1)/$B$5,0)+1</f>
        <v>313</v>
      </c>
      <c r="C1259" s="188">
        <f t="shared" si="19"/>
        <v>1</v>
      </c>
      <c r="D1259" s="188" t="b">
        <f>LineærRegression_Valg[[#This Row],[Afhængig variabel ID]]&lt;&gt;LineærRegression_Valg[[#This Row],[Uafhængig variabel ID]]</f>
        <v>1</v>
      </c>
      <c r="E1259" t="b">
        <f>LineærRegression_Valg[[#This Row],[Afhængig variabel ID]]&lt;=$B$5</f>
        <v>0</v>
      </c>
      <c r="F1259" t="str" cm="1">
        <f t="array" ref="F1259">IF(LineærRegression_Valg[[#This Row],[Indenfor range]],INDEX(DataTitel_liste,LineærRegression_Valg[[#This Row],[Afhængig variabel ID]]),INDEX(DataTitel_liste,1))</f>
        <v>Eksempel 1 (interval)</v>
      </c>
      <c r="G1259" s="188" t="str" cm="1">
        <f t="array" ref="G1259">IF(LineærRegression_Valg[[#This Row],[Indenfor range]],IF(LineærRegression_Valg[[#This Row],[Intet overlap]],INDEX(DataTitel_liste,LineærRegression_Valg[[#This Row],[Uafhængig variabel ID]]),INDEX(DataTitel_liste,IF(LineærRegression_Valg[[#This Row],[Afhængig variabel ID]]=1,2,1))),$B$7)</f>
        <v>Eksempel 2 (interval)</v>
      </c>
      <c r="H1259" s="188">
        <f>_xlfn.AGGREGATE(2,5,LineærRegression_Valg[[#This Row],[Tabel ID]])</f>
        <v>1</v>
      </c>
    </row>
    <row r="1260" spans="1:8" x14ac:dyDescent="0.2">
      <c r="A1260">
        <f>ROW(LineærRegression_Valg[[#This Row],[Tabel ID]])-ROW(LineærRegression_Valg[[#Headers],[Tabel ID]])</f>
        <v>1250</v>
      </c>
      <c r="B1260" s="188">
        <f>ROUNDDOWN((LineærRegression_Valg[[#This Row],[Tabel ID]]-1)/$B$5,0)+1</f>
        <v>313</v>
      </c>
      <c r="C1260" s="188">
        <f t="shared" si="19"/>
        <v>2</v>
      </c>
      <c r="D1260" s="188" t="b">
        <f>LineærRegression_Valg[[#This Row],[Afhængig variabel ID]]&lt;&gt;LineærRegression_Valg[[#This Row],[Uafhængig variabel ID]]</f>
        <v>1</v>
      </c>
      <c r="E1260" t="b">
        <f>LineærRegression_Valg[[#This Row],[Afhængig variabel ID]]&lt;=$B$5</f>
        <v>0</v>
      </c>
      <c r="F1260" t="str" cm="1">
        <f t="array" ref="F1260">IF(LineærRegression_Valg[[#This Row],[Indenfor range]],INDEX(DataTitel_liste,LineærRegression_Valg[[#This Row],[Afhængig variabel ID]]),INDEX(DataTitel_liste,1))</f>
        <v>Eksempel 1 (interval)</v>
      </c>
      <c r="G1260" s="188" t="str" cm="1">
        <f t="array" ref="G1260">IF(LineærRegression_Valg[[#This Row],[Indenfor range]],IF(LineærRegression_Valg[[#This Row],[Intet overlap]],INDEX(DataTitel_liste,LineærRegression_Valg[[#This Row],[Uafhængig variabel ID]]),INDEX(DataTitel_liste,IF(LineærRegression_Valg[[#This Row],[Afhængig variabel ID]]=1,2,1))),$B$7)</f>
        <v>Eksempel 2 (interval)</v>
      </c>
      <c r="H1260" s="188">
        <f>_xlfn.AGGREGATE(2,5,LineærRegression_Valg[[#This Row],[Tabel ID]])</f>
        <v>1</v>
      </c>
    </row>
    <row r="1261" spans="1:8" x14ac:dyDescent="0.2">
      <c r="A1261">
        <f>ROW(LineærRegression_Valg[[#This Row],[Tabel ID]])-ROW(LineærRegression_Valg[[#Headers],[Tabel ID]])</f>
        <v>1251</v>
      </c>
      <c r="B1261" s="188">
        <f>ROUNDDOWN((LineærRegression_Valg[[#This Row],[Tabel ID]]-1)/$B$5,0)+1</f>
        <v>313</v>
      </c>
      <c r="C1261" s="188">
        <f t="shared" si="19"/>
        <v>3</v>
      </c>
      <c r="D1261" s="188" t="b">
        <f>LineærRegression_Valg[[#This Row],[Afhængig variabel ID]]&lt;&gt;LineærRegression_Valg[[#This Row],[Uafhængig variabel ID]]</f>
        <v>1</v>
      </c>
      <c r="E1261" t="b">
        <f>LineærRegression_Valg[[#This Row],[Afhængig variabel ID]]&lt;=$B$5</f>
        <v>0</v>
      </c>
      <c r="F1261" t="str" cm="1">
        <f t="array" ref="F1261">IF(LineærRegression_Valg[[#This Row],[Indenfor range]],INDEX(DataTitel_liste,LineærRegression_Valg[[#This Row],[Afhængig variabel ID]]),INDEX(DataTitel_liste,1))</f>
        <v>Eksempel 1 (interval)</v>
      </c>
      <c r="G1261" s="188" t="str" cm="1">
        <f t="array" ref="G1261">IF(LineærRegression_Valg[[#This Row],[Indenfor range]],IF(LineærRegression_Valg[[#This Row],[Intet overlap]],INDEX(DataTitel_liste,LineærRegression_Valg[[#This Row],[Uafhængig variabel ID]]),INDEX(DataTitel_liste,IF(LineærRegression_Valg[[#This Row],[Afhængig variabel ID]]=1,2,1))),$B$7)</f>
        <v>Eksempel 2 (interval)</v>
      </c>
      <c r="H1261" s="188">
        <f>_xlfn.AGGREGATE(2,5,LineærRegression_Valg[[#This Row],[Tabel ID]])</f>
        <v>1</v>
      </c>
    </row>
    <row r="1262" spans="1:8" x14ac:dyDescent="0.2">
      <c r="A1262">
        <f>ROW(LineærRegression_Valg[[#This Row],[Tabel ID]])-ROW(LineærRegression_Valg[[#Headers],[Tabel ID]])</f>
        <v>1252</v>
      </c>
      <c r="B1262" s="188">
        <f>ROUNDDOWN((LineærRegression_Valg[[#This Row],[Tabel ID]]-1)/$B$5,0)+1</f>
        <v>313</v>
      </c>
      <c r="C1262" s="188">
        <f t="shared" si="19"/>
        <v>4</v>
      </c>
      <c r="D1262" s="188" t="b">
        <f>LineærRegression_Valg[[#This Row],[Afhængig variabel ID]]&lt;&gt;LineærRegression_Valg[[#This Row],[Uafhængig variabel ID]]</f>
        <v>1</v>
      </c>
      <c r="E1262" t="b">
        <f>LineærRegression_Valg[[#This Row],[Afhængig variabel ID]]&lt;=$B$5</f>
        <v>0</v>
      </c>
      <c r="F1262" t="str" cm="1">
        <f t="array" ref="F1262">IF(LineærRegression_Valg[[#This Row],[Indenfor range]],INDEX(DataTitel_liste,LineærRegression_Valg[[#This Row],[Afhængig variabel ID]]),INDEX(DataTitel_liste,1))</f>
        <v>Eksempel 1 (interval)</v>
      </c>
      <c r="G1262" s="188" t="str" cm="1">
        <f t="array" ref="G1262">IF(LineærRegression_Valg[[#This Row],[Indenfor range]],IF(LineærRegression_Valg[[#This Row],[Intet overlap]],INDEX(DataTitel_liste,LineærRegression_Valg[[#This Row],[Uafhængig variabel ID]]),INDEX(DataTitel_liste,IF(LineærRegression_Valg[[#This Row],[Afhængig variabel ID]]=1,2,1))),$B$7)</f>
        <v>Eksempel 2 (interval)</v>
      </c>
      <c r="H1262" s="188">
        <f>_xlfn.AGGREGATE(2,5,LineærRegression_Valg[[#This Row],[Tabel ID]])</f>
        <v>1</v>
      </c>
    </row>
    <row r="1263" spans="1:8" x14ac:dyDescent="0.2">
      <c r="A1263">
        <f>ROW(LineærRegression_Valg[[#This Row],[Tabel ID]])-ROW(LineærRegression_Valg[[#Headers],[Tabel ID]])</f>
        <v>1253</v>
      </c>
      <c r="B1263" s="188">
        <f>ROUNDDOWN((LineærRegression_Valg[[#This Row],[Tabel ID]]-1)/$B$5,0)+1</f>
        <v>314</v>
      </c>
      <c r="C1263" s="188">
        <f t="shared" si="19"/>
        <v>1</v>
      </c>
      <c r="D1263" s="188" t="b">
        <f>LineærRegression_Valg[[#This Row],[Afhængig variabel ID]]&lt;&gt;LineærRegression_Valg[[#This Row],[Uafhængig variabel ID]]</f>
        <v>1</v>
      </c>
      <c r="E1263" t="b">
        <f>LineærRegression_Valg[[#This Row],[Afhængig variabel ID]]&lt;=$B$5</f>
        <v>0</v>
      </c>
      <c r="F1263" t="str" cm="1">
        <f t="array" ref="F1263">IF(LineærRegression_Valg[[#This Row],[Indenfor range]],INDEX(DataTitel_liste,LineærRegression_Valg[[#This Row],[Afhængig variabel ID]]),INDEX(DataTitel_liste,1))</f>
        <v>Eksempel 1 (interval)</v>
      </c>
      <c r="G1263" s="188" t="str" cm="1">
        <f t="array" ref="G1263">IF(LineærRegression_Valg[[#This Row],[Indenfor range]],IF(LineærRegression_Valg[[#This Row],[Intet overlap]],INDEX(DataTitel_liste,LineærRegression_Valg[[#This Row],[Uafhængig variabel ID]]),INDEX(DataTitel_liste,IF(LineærRegression_Valg[[#This Row],[Afhængig variabel ID]]=1,2,1))),$B$7)</f>
        <v>Eksempel 2 (interval)</v>
      </c>
      <c r="H1263" s="188">
        <f>_xlfn.AGGREGATE(2,5,LineærRegression_Valg[[#This Row],[Tabel ID]])</f>
        <v>1</v>
      </c>
    </row>
    <row r="1264" spans="1:8" x14ac:dyDescent="0.2">
      <c r="A1264">
        <f>ROW(LineærRegression_Valg[[#This Row],[Tabel ID]])-ROW(LineærRegression_Valg[[#Headers],[Tabel ID]])</f>
        <v>1254</v>
      </c>
      <c r="B1264" s="188">
        <f>ROUNDDOWN((LineærRegression_Valg[[#This Row],[Tabel ID]]-1)/$B$5,0)+1</f>
        <v>314</v>
      </c>
      <c r="C1264" s="188">
        <f t="shared" si="19"/>
        <v>2</v>
      </c>
      <c r="D1264" s="188" t="b">
        <f>LineærRegression_Valg[[#This Row],[Afhængig variabel ID]]&lt;&gt;LineærRegression_Valg[[#This Row],[Uafhængig variabel ID]]</f>
        <v>1</v>
      </c>
      <c r="E1264" t="b">
        <f>LineærRegression_Valg[[#This Row],[Afhængig variabel ID]]&lt;=$B$5</f>
        <v>0</v>
      </c>
      <c r="F1264" t="str" cm="1">
        <f t="array" ref="F1264">IF(LineærRegression_Valg[[#This Row],[Indenfor range]],INDEX(DataTitel_liste,LineærRegression_Valg[[#This Row],[Afhængig variabel ID]]),INDEX(DataTitel_liste,1))</f>
        <v>Eksempel 1 (interval)</v>
      </c>
      <c r="G1264" s="188" t="str" cm="1">
        <f t="array" ref="G1264">IF(LineærRegression_Valg[[#This Row],[Indenfor range]],IF(LineærRegression_Valg[[#This Row],[Intet overlap]],INDEX(DataTitel_liste,LineærRegression_Valg[[#This Row],[Uafhængig variabel ID]]),INDEX(DataTitel_liste,IF(LineærRegression_Valg[[#This Row],[Afhængig variabel ID]]=1,2,1))),$B$7)</f>
        <v>Eksempel 2 (interval)</v>
      </c>
      <c r="H1264" s="188">
        <f>_xlfn.AGGREGATE(2,5,LineærRegression_Valg[[#This Row],[Tabel ID]])</f>
        <v>1</v>
      </c>
    </row>
    <row r="1265" spans="1:8" x14ac:dyDescent="0.2">
      <c r="A1265">
        <f>ROW(LineærRegression_Valg[[#This Row],[Tabel ID]])-ROW(LineærRegression_Valg[[#Headers],[Tabel ID]])</f>
        <v>1255</v>
      </c>
      <c r="B1265" s="188">
        <f>ROUNDDOWN((LineærRegression_Valg[[#This Row],[Tabel ID]]-1)/$B$5,0)+1</f>
        <v>314</v>
      </c>
      <c r="C1265" s="188">
        <f t="shared" si="19"/>
        <v>3</v>
      </c>
      <c r="D1265" s="188" t="b">
        <f>LineærRegression_Valg[[#This Row],[Afhængig variabel ID]]&lt;&gt;LineærRegression_Valg[[#This Row],[Uafhængig variabel ID]]</f>
        <v>1</v>
      </c>
      <c r="E1265" t="b">
        <f>LineærRegression_Valg[[#This Row],[Afhængig variabel ID]]&lt;=$B$5</f>
        <v>0</v>
      </c>
      <c r="F1265" t="str" cm="1">
        <f t="array" ref="F1265">IF(LineærRegression_Valg[[#This Row],[Indenfor range]],INDEX(DataTitel_liste,LineærRegression_Valg[[#This Row],[Afhængig variabel ID]]),INDEX(DataTitel_liste,1))</f>
        <v>Eksempel 1 (interval)</v>
      </c>
      <c r="G1265" s="188" t="str" cm="1">
        <f t="array" ref="G1265">IF(LineærRegression_Valg[[#This Row],[Indenfor range]],IF(LineærRegression_Valg[[#This Row],[Intet overlap]],INDEX(DataTitel_liste,LineærRegression_Valg[[#This Row],[Uafhængig variabel ID]]),INDEX(DataTitel_liste,IF(LineærRegression_Valg[[#This Row],[Afhængig variabel ID]]=1,2,1))),$B$7)</f>
        <v>Eksempel 2 (interval)</v>
      </c>
      <c r="H1265" s="188">
        <f>_xlfn.AGGREGATE(2,5,LineærRegression_Valg[[#This Row],[Tabel ID]])</f>
        <v>1</v>
      </c>
    </row>
    <row r="1266" spans="1:8" x14ac:dyDescent="0.2">
      <c r="A1266">
        <f>ROW(LineærRegression_Valg[[#This Row],[Tabel ID]])-ROW(LineærRegression_Valg[[#Headers],[Tabel ID]])</f>
        <v>1256</v>
      </c>
      <c r="B1266" s="188">
        <f>ROUNDDOWN((LineærRegression_Valg[[#This Row],[Tabel ID]]-1)/$B$5,0)+1</f>
        <v>314</v>
      </c>
      <c r="C1266" s="188">
        <f t="shared" si="19"/>
        <v>4</v>
      </c>
      <c r="D1266" s="188" t="b">
        <f>LineærRegression_Valg[[#This Row],[Afhængig variabel ID]]&lt;&gt;LineærRegression_Valg[[#This Row],[Uafhængig variabel ID]]</f>
        <v>1</v>
      </c>
      <c r="E1266" t="b">
        <f>LineærRegression_Valg[[#This Row],[Afhængig variabel ID]]&lt;=$B$5</f>
        <v>0</v>
      </c>
      <c r="F1266" t="str" cm="1">
        <f t="array" ref="F1266">IF(LineærRegression_Valg[[#This Row],[Indenfor range]],INDEX(DataTitel_liste,LineærRegression_Valg[[#This Row],[Afhængig variabel ID]]),INDEX(DataTitel_liste,1))</f>
        <v>Eksempel 1 (interval)</v>
      </c>
      <c r="G1266" s="188" t="str" cm="1">
        <f t="array" ref="G1266">IF(LineærRegression_Valg[[#This Row],[Indenfor range]],IF(LineærRegression_Valg[[#This Row],[Intet overlap]],INDEX(DataTitel_liste,LineærRegression_Valg[[#This Row],[Uafhængig variabel ID]]),INDEX(DataTitel_liste,IF(LineærRegression_Valg[[#This Row],[Afhængig variabel ID]]=1,2,1))),$B$7)</f>
        <v>Eksempel 2 (interval)</v>
      </c>
      <c r="H1266" s="188">
        <f>_xlfn.AGGREGATE(2,5,LineærRegression_Valg[[#This Row],[Tabel ID]])</f>
        <v>1</v>
      </c>
    </row>
    <row r="1267" spans="1:8" x14ac:dyDescent="0.2">
      <c r="A1267">
        <f>ROW(LineærRegression_Valg[[#This Row],[Tabel ID]])-ROW(LineærRegression_Valg[[#Headers],[Tabel ID]])</f>
        <v>1257</v>
      </c>
      <c r="B1267" s="188">
        <f>ROUNDDOWN((LineærRegression_Valg[[#This Row],[Tabel ID]]-1)/$B$5,0)+1</f>
        <v>315</v>
      </c>
      <c r="C1267" s="188">
        <f t="shared" si="19"/>
        <v>1</v>
      </c>
      <c r="D1267" s="188" t="b">
        <f>LineærRegression_Valg[[#This Row],[Afhængig variabel ID]]&lt;&gt;LineærRegression_Valg[[#This Row],[Uafhængig variabel ID]]</f>
        <v>1</v>
      </c>
      <c r="E1267" t="b">
        <f>LineærRegression_Valg[[#This Row],[Afhængig variabel ID]]&lt;=$B$5</f>
        <v>0</v>
      </c>
      <c r="F1267" t="str" cm="1">
        <f t="array" ref="F1267">IF(LineærRegression_Valg[[#This Row],[Indenfor range]],INDEX(DataTitel_liste,LineærRegression_Valg[[#This Row],[Afhængig variabel ID]]),INDEX(DataTitel_liste,1))</f>
        <v>Eksempel 1 (interval)</v>
      </c>
      <c r="G1267" s="188" t="str" cm="1">
        <f t="array" ref="G1267">IF(LineærRegression_Valg[[#This Row],[Indenfor range]],IF(LineærRegression_Valg[[#This Row],[Intet overlap]],INDEX(DataTitel_liste,LineærRegression_Valg[[#This Row],[Uafhængig variabel ID]]),INDEX(DataTitel_liste,IF(LineærRegression_Valg[[#This Row],[Afhængig variabel ID]]=1,2,1))),$B$7)</f>
        <v>Eksempel 2 (interval)</v>
      </c>
      <c r="H1267" s="188">
        <f>_xlfn.AGGREGATE(2,5,LineærRegression_Valg[[#This Row],[Tabel ID]])</f>
        <v>1</v>
      </c>
    </row>
    <row r="1268" spans="1:8" x14ac:dyDescent="0.2">
      <c r="A1268">
        <f>ROW(LineærRegression_Valg[[#This Row],[Tabel ID]])-ROW(LineærRegression_Valg[[#Headers],[Tabel ID]])</f>
        <v>1258</v>
      </c>
      <c r="B1268" s="188">
        <f>ROUNDDOWN((LineærRegression_Valg[[#This Row],[Tabel ID]]-1)/$B$5,0)+1</f>
        <v>315</v>
      </c>
      <c r="C1268" s="188">
        <f t="shared" si="19"/>
        <v>2</v>
      </c>
      <c r="D1268" s="188" t="b">
        <f>LineærRegression_Valg[[#This Row],[Afhængig variabel ID]]&lt;&gt;LineærRegression_Valg[[#This Row],[Uafhængig variabel ID]]</f>
        <v>1</v>
      </c>
      <c r="E1268" t="b">
        <f>LineærRegression_Valg[[#This Row],[Afhængig variabel ID]]&lt;=$B$5</f>
        <v>0</v>
      </c>
      <c r="F1268" t="str" cm="1">
        <f t="array" ref="F1268">IF(LineærRegression_Valg[[#This Row],[Indenfor range]],INDEX(DataTitel_liste,LineærRegression_Valg[[#This Row],[Afhængig variabel ID]]),INDEX(DataTitel_liste,1))</f>
        <v>Eksempel 1 (interval)</v>
      </c>
      <c r="G1268" s="188" t="str" cm="1">
        <f t="array" ref="G1268">IF(LineærRegression_Valg[[#This Row],[Indenfor range]],IF(LineærRegression_Valg[[#This Row],[Intet overlap]],INDEX(DataTitel_liste,LineærRegression_Valg[[#This Row],[Uafhængig variabel ID]]),INDEX(DataTitel_liste,IF(LineærRegression_Valg[[#This Row],[Afhængig variabel ID]]=1,2,1))),$B$7)</f>
        <v>Eksempel 2 (interval)</v>
      </c>
      <c r="H1268" s="188">
        <f>_xlfn.AGGREGATE(2,5,LineærRegression_Valg[[#This Row],[Tabel ID]])</f>
        <v>1</v>
      </c>
    </row>
    <row r="1269" spans="1:8" x14ac:dyDescent="0.2">
      <c r="A1269">
        <f>ROW(LineærRegression_Valg[[#This Row],[Tabel ID]])-ROW(LineærRegression_Valg[[#Headers],[Tabel ID]])</f>
        <v>1259</v>
      </c>
      <c r="B1269" s="188">
        <f>ROUNDDOWN((LineærRegression_Valg[[#This Row],[Tabel ID]]-1)/$B$5,0)+1</f>
        <v>315</v>
      </c>
      <c r="C1269" s="188">
        <f t="shared" si="19"/>
        <v>3</v>
      </c>
      <c r="D1269" s="188" t="b">
        <f>LineærRegression_Valg[[#This Row],[Afhængig variabel ID]]&lt;&gt;LineærRegression_Valg[[#This Row],[Uafhængig variabel ID]]</f>
        <v>1</v>
      </c>
      <c r="E1269" t="b">
        <f>LineærRegression_Valg[[#This Row],[Afhængig variabel ID]]&lt;=$B$5</f>
        <v>0</v>
      </c>
      <c r="F1269" t="str" cm="1">
        <f t="array" ref="F1269">IF(LineærRegression_Valg[[#This Row],[Indenfor range]],INDEX(DataTitel_liste,LineærRegression_Valg[[#This Row],[Afhængig variabel ID]]),INDEX(DataTitel_liste,1))</f>
        <v>Eksempel 1 (interval)</v>
      </c>
      <c r="G1269" s="188" t="str" cm="1">
        <f t="array" ref="G1269">IF(LineærRegression_Valg[[#This Row],[Indenfor range]],IF(LineærRegression_Valg[[#This Row],[Intet overlap]],INDEX(DataTitel_liste,LineærRegression_Valg[[#This Row],[Uafhængig variabel ID]]),INDEX(DataTitel_liste,IF(LineærRegression_Valg[[#This Row],[Afhængig variabel ID]]=1,2,1))),$B$7)</f>
        <v>Eksempel 2 (interval)</v>
      </c>
      <c r="H1269" s="188">
        <f>_xlfn.AGGREGATE(2,5,LineærRegression_Valg[[#This Row],[Tabel ID]])</f>
        <v>1</v>
      </c>
    </row>
    <row r="1270" spans="1:8" x14ac:dyDescent="0.2">
      <c r="A1270">
        <f>ROW(LineærRegression_Valg[[#This Row],[Tabel ID]])-ROW(LineærRegression_Valg[[#Headers],[Tabel ID]])</f>
        <v>1260</v>
      </c>
      <c r="B1270" s="188">
        <f>ROUNDDOWN((LineærRegression_Valg[[#This Row],[Tabel ID]]-1)/$B$5,0)+1</f>
        <v>315</v>
      </c>
      <c r="C1270" s="188">
        <f t="shared" si="19"/>
        <v>4</v>
      </c>
      <c r="D1270" s="188" t="b">
        <f>LineærRegression_Valg[[#This Row],[Afhængig variabel ID]]&lt;&gt;LineærRegression_Valg[[#This Row],[Uafhængig variabel ID]]</f>
        <v>1</v>
      </c>
      <c r="E1270" t="b">
        <f>LineærRegression_Valg[[#This Row],[Afhængig variabel ID]]&lt;=$B$5</f>
        <v>0</v>
      </c>
      <c r="F1270" t="str" cm="1">
        <f t="array" ref="F1270">IF(LineærRegression_Valg[[#This Row],[Indenfor range]],INDEX(DataTitel_liste,LineærRegression_Valg[[#This Row],[Afhængig variabel ID]]),INDEX(DataTitel_liste,1))</f>
        <v>Eksempel 1 (interval)</v>
      </c>
      <c r="G1270" s="188" t="str" cm="1">
        <f t="array" ref="G1270">IF(LineærRegression_Valg[[#This Row],[Indenfor range]],IF(LineærRegression_Valg[[#This Row],[Intet overlap]],INDEX(DataTitel_liste,LineærRegression_Valg[[#This Row],[Uafhængig variabel ID]]),INDEX(DataTitel_liste,IF(LineærRegression_Valg[[#This Row],[Afhængig variabel ID]]=1,2,1))),$B$7)</f>
        <v>Eksempel 2 (interval)</v>
      </c>
      <c r="H1270" s="188">
        <f>_xlfn.AGGREGATE(2,5,LineærRegression_Valg[[#This Row],[Tabel ID]])</f>
        <v>1</v>
      </c>
    </row>
    <row r="1271" spans="1:8" x14ac:dyDescent="0.2">
      <c r="A1271">
        <f>ROW(LineærRegression_Valg[[#This Row],[Tabel ID]])-ROW(LineærRegression_Valg[[#Headers],[Tabel ID]])</f>
        <v>1261</v>
      </c>
      <c r="B1271" s="188">
        <f>ROUNDDOWN((LineærRegression_Valg[[#This Row],[Tabel ID]]-1)/$B$5,0)+1</f>
        <v>316</v>
      </c>
      <c r="C1271" s="188">
        <f t="shared" si="19"/>
        <v>1</v>
      </c>
      <c r="D1271" s="188" t="b">
        <f>LineærRegression_Valg[[#This Row],[Afhængig variabel ID]]&lt;&gt;LineærRegression_Valg[[#This Row],[Uafhængig variabel ID]]</f>
        <v>1</v>
      </c>
      <c r="E1271" t="b">
        <f>LineærRegression_Valg[[#This Row],[Afhængig variabel ID]]&lt;=$B$5</f>
        <v>0</v>
      </c>
      <c r="F1271" t="str" cm="1">
        <f t="array" ref="F1271">IF(LineærRegression_Valg[[#This Row],[Indenfor range]],INDEX(DataTitel_liste,LineærRegression_Valg[[#This Row],[Afhængig variabel ID]]),INDEX(DataTitel_liste,1))</f>
        <v>Eksempel 1 (interval)</v>
      </c>
      <c r="G1271" s="188" t="str" cm="1">
        <f t="array" ref="G1271">IF(LineærRegression_Valg[[#This Row],[Indenfor range]],IF(LineærRegression_Valg[[#This Row],[Intet overlap]],INDEX(DataTitel_liste,LineærRegression_Valg[[#This Row],[Uafhængig variabel ID]]),INDEX(DataTitel_liste,IF(LineærRegression_Valg[[#This Row],[Afhængig variabel ID]]=1,2,1))),$B$7)</f>
        <v>Eksempel 2 (interval)</v>
      </c>
      <c r="H1271" s="188">
        <f>_xlfn.AGGREGATE(2,5,LineærRegression_Valg[[#This Row],[Tabel ID]])</f>
        <v>1</v>
      </c>
    </row>
    <row r="1272" spans="1:8" x14ac:dyDescent="0.2">
      <c r="A1272">
        <f>ROW(LineærRegression_Valg[[#This Row],[Tabel ID]])-ROW(LineærRegression_Valg[[#Headers],[Tabel ID]])</f>
        <v>1262</v>
      </c>
      <c r="B1272" s="188">
        <f>ROUNDDOWN((LineærRegression_Valg[[#This Row],[Tabel ID]]-1)/$B$5,0)+1</f>
        <v>316</v>
      </c>
      <c r="C1272" s="188">
        <f t="shared" si="19"/>
        <v>2</v>
      </c>
      <c r="D1272" s="188" t="b">
        <f>LineærRegression_Valg[[#This Row],[Afhængig variabel ID]]&lt;&gt;LineærRegression_Valg[[#This Row],[Uafhængig variabel ID]]</f>
        <v>1</v>
      </c>
      <c r="E1272" t="b">
        <f>LineærRegression_Valg[[#This Row],[Afhængig variabel ID]]&lt;=$B$5</f>
        <v>0</v>
      </c>
      <c r="F1272" t="str" cm="1">
        <f t="array" ref="F1272">IF(LineærRegression_Valg[[#This Row],[Indenfor range]],INDEX(DataTitel_liste,LineærRegression_Valg[[#This Row],[Afhængig variabel ID]]),INDEX(DataTitel_liste,1))</f>
        <v>Eksempel 1 (interval)</v>
      </c>
      <c r="G1272" s="188" t="str" cm="1">
        <f t="array" ref="G1272">IF(LineærRegression_Valg[[#This Row],[Indenfor range]],IF(LineærRegression_Valg[[#This Row],[Intet overlap]],INDEX(DataTitel_liste,LineærRegression_Valg[[#This Row],[Uafhængig variabel ID]]),INDEX(DataTitel_liste,IF(LineærRegression_Valg[[#This Row],[Afhængig variabel ID]]=1,2,1))),$B$7)</f>
        <v>Eksempel 2 (interval)</v>
      </c>
      <c r="H1272" s="188">
        <f>_xlfn.AGGREGATE(2,5,LineærRegression_Valg[[#This Row],[Tabel ID]])</f>
        <v>1</v>
      </c>
    </row>
    <row r="1273" spans="1:8" x14ac:dyDescent="0.2">
      <c r="A1273">
        <f>ROW(LineærRegression_Valg[[#This Row],[Tabel ID]])-ROW(LineærRegression_Valg[[#Headers],[Tabel ID]])</f>
        <v>1263</v>
      </c>
      <c r="B1273" s="188">
        <f>ROUNDDOWN((LineærRegression_Valg[[#This Row],[Tabel ID]]-1)/$B$5,0)+1</f>
        <v>316</v>
      </c>
      <c r="C1273" s="188">
        <f t="shared" si="19"/>
        <v>3</v>
      </c>
      <c r="D1273" s="188" t="b">
        <f>LineærRegression_Valg[[#This Row],[Afhængig variabel ID]]&lt;&gt;LineærRegression_Valg[[#This Row],[Uafhængig variabel ID]]</f>
        <v>1</v>
      </c>
      <c r="E1273" t="b">
        <f>LineærRegression_Valg[[#This Row],[Afhængig variabel ID]]&lt;=$B$5</f>
        <v>0</v>
      </c>
      <c r="F1273" t="str" cm="1">
        <f t="array" ref="F1273">IF(LineærRegression_Valg[[#This Row],[Indenfor range]],INDEX(DataTitel_liste,LineærRegression_Valg[[#This Row],[Afhængig variabel ID]]),INDEX(DataTitel_liste,1))</f>
        <v>Eksempel 1 (interval)</v>
      </c>
      <c r="G1273" s="188" t="str" cm="1">
        <f t="array" ref="G1273">IF(LineærRegression_Valg[[#This Row],[Indenfor range]],IF(LineærRegression_Valg[[#This Row],[Intet overlap]],INDEX(DataTitel_liste,LineærRegression_Valg[[#This Row],[Uafhængig variabel ID]]),INDEX(DataTitel_liste,IF(LineærRegression_Valg[[#This Row],[Afhængig variabel ID]]=1,2,1))),$B$7)</f>
        <v>Eksempel 2 (interval)</v>
      </c>
      <c r="H1273" s="188">
        <f>_xlfn.AGGREGATE(2,5,LineærRegression_Valg[[#This Row],[Tabel ID]])</f>
        <v>1</v>
      </c>
    </row>
    <row r="1274" spans="1:8" x14ac:dyDescent="0.2">
      <c r="A1274">
        <f>ROW(LineærRegression_Valg[[#This Row],[Tabel ID]])-ROW(LineærRegression_Valg[[#Headers],[Tabel ID]])</f>
        <v>1264</v>
      </c>
      <c r="B1274" s="188">
        <f>ROUNDDOWN((LineærRegression_Valg[[#This Row],[Tabel ID]]-1)/$B$5,0)+1</f>
        <v>316</v>
      </c>
      <c r="C1274" s="188">
        <f t="shared" si="19"/>
        <v>4</v>
      </c>
      <c r="D1274" s="188" t="b">
        <f>LineærRegression_Valg[[#This Row],[Afhængig variabel ID]]&lt;&gt;LineærRegression_Valg[[#This Row],[Uafhængig variabel ID]]</f>
        <v>1</v>
      </c>
      <c r="E1274" t="b">
        <f>LineærRegression_Valg[[#This Row],[Afhængig variabel ID]]&lt;=$B$5</f>
        <v>0</v>
      </c>
      <c r="F1274" t="str" cm="1">
        <f t="array" ref="F1274">IF(LineærRegression_Valg[[#This Row],[Indenfor range]],INDEX(DataTitel_liste,LineærRegression_Valg[[#This Row],[Afhængig variabel ID]]),INDEX(DataTitel_liste,1))</f>
        <v>Eksempel 1 (interval)</v>
      </c>
      <c r="G1274" s="188" t="str" cm="1">
        <f t="array" ref="G1274">IF(LineærRegression_Valg[[#This Row],[Indenfor range]],IF(LineærRegression_Valg[[#This Row],[Intet overlap]],INDEX(DataTitel_liste,LineærRegression_Valg[[#This Row],[Uafhængig variabel ID]]),INDEX(DataTitel_liste,IF(LineærRegression_Valg[[#This Row],[Afhængig variabel ID]]=1,2,1))),$B$7)</f>
        <v>Eksempel 2 (interval)</v>
      </c>
      <c r="H1274" s="188">
        <f>_xlfn.AGGREGATE(2,5,LineærRegression_Valg[[#This Row],[Tabel ID]])</f>
        <v>1</v>
      </c>
    </row>
    <row r="1275" spans="1:8" x14ac:dyDescent="0.2">
      <c r="A1275">
        <f>ROW(LineærRegression_Valg[[#This Row],[Tabel ID]])-ROW(LineærRegression_Valg[[#Headers],[Tabel ID]])</f>
        <v>1265</v>
      </c>
      <c r="B1275" s="188">
        <f>ROUNDDOWN((LineærRegression_Valg[[#This Row],[Tabel ID]]-1)/$B$5,0)+1</f>
        <v>317</v>
      </c>
      <c r="C1275" s="188">
        <f t="shared" si="19"/>
        <v>1</v>
      </c>
      <c r="D1275" s="188" t="b">
        <f>LineærRegression_Valg[[#This Row],[Afhængig variabel ID]]&lt;&gt;LineærRegression_Valg[[#This Row],[Uafhængig variabel ID]]</f>
        <v>1</v>
      </c>
      <c r="E1275" t="b">
        <f>LineærRegression_Valg[[#This Row],[Afhængig variabel ID]]&lt;=$B$5</f>
        <v>0</v>
      </c>
      <c r="F1275" t="str" cm="1">
        <f t="array" ref="F1275">IF(LineærRegression_Valg[[#This Row],[Indenfor range]],INDEX(DataTitel_liste,LineærRegression_Valg[[#This Row],[Afhængig variabel ID]]),INDEX(DataTitel_liste,1))</f>
        <v>Eksempel 1 (interval)</v>
      </c>
      <c r="G1275" s="188" t="str" cm="1">
        <f t="array" ref="G1275">IF(LineærRegression_Valg[[#This Row],[Indenfor range]],IF(LineærRegression_Valg[[#This Row],[Intet overlap]],INDEX(DataTitel_liste,LineærRegression_Valg[[#This Row],[Uafhængig variabel ID]]),INDEX(DataTitel_liste,IF(LineærRegression_Valg[[#This Row],[Afhængig variabel ID]]=1,2,1))),$B$7)</f>
        <v>Eksempel 2 (interval)</v>
      </c>
      <c r="H1275" s="188">
        <f>_xlfn.AGGREGATE(2,5,LineærRegression_Valg[[#This Row],[Tabel ID]])</f>
        <v>1</v>
      </c>
    </row>
    <row r="1276" spans="1:8" x14ac:dyDescent="0.2">
      <c r="A1276">
        <f>ROW(LineærRegression_Valg[[#This Row],[Tabel ID]])-ROW(LineærRegression_Valg[[#Headers],[Tabel ID]])</f>
        <v>1266</v>
      </c>
      <c r="B1276" s="188">
        <f>ROUNDDOWN((LineærRegression_Valg[[#This Row],[Tabel ID]]-1)/$B$5,0)+1</f>
        <v>317</v>
      </c>
      <c r="C1276" s="188">
        <f t="shared" si="19"/>
        <v>2</v>
      </c>
      <c r="D1276" s="188" t="b">
        <f>LineærRegression_Valg[[#This Row],[Afhængig variabel ID]]&lt;&gt;LineærRegression_Valg[[#This Row],[Uafhængig variabel ID]]</f>
        <v>1</v>
      </c>
      <c r="E1276" t="b">
        <f>LineærRegression_Valg[[#This Row],[Afhængig variabel ID]]&lt;=$B$5</f>
        <v>0</v>
      </c>
      <c r="F1276" t="str" cm="1">
        <f t="array" ref="F1276">IF(LineærRegression_Valg[[#This Row],[Indenfor range]],INDEX(DataTitel_liste,LineærRegression_Valg[[#This Row],[Afhængig variabel ID]]),INDEX(DataTitel_liste,1))</f>
        <v>Eksempel 1 (interval)</v>
      </c>
      <c r="G1276" s="188" t="str" cm="1">
        <f t="array" ref="G1276">IF(LineærRegression_Valg[[#This Row],[Indenfor range]],IF(LineærRegression_Valg[[#This Row],[Intet overlap]],INDEX(DataTitel_liste,LineærRegression_Valg[[#This Row],[Uafhængig variabel ID]]),INDEX(DataTitel_liste,IF(LineærRegression_Valg[[#This Row],[Afhængig variabel ID]]=1,2,1))),$B$7)</f>
        <v>Eksempel 2 (interval)</v>
      </c>
      <c r="H1276" s="188">
        <f>_xlfn.AGGREGATE(2,5,LineærRegression_Valg[[#This Row],[Tabel ID]])</f>
        <v>1</v>
      </c>
    </row>
    <row r="1277" spans="1:8" x14ac:dyDescent="0.2">
      <c r="A1277">
        <f>ROW(LineærRegression_Valg[[#This Row],[Tabel ID]])-ROW(LineærRegression_Valg[[#Headers],[Tabel ID]])</f>
        <v>1267</v>
      </c>
      <c r="B1277" s="188">
        <f>ROUNDDOWN((LineærRegression_Valg[[#This Row],[Tabel ID]]-1)/$B$5,0)+1</f>
        <v>317</v>
      </c>
      <c r="C1277" s="188">
        <f t="shared" si="19"/>
        <v>3</v>
      </c>
      <c r="D1277" s="188" t="b">
        <f>LineærRegression_Valg[[#This Row],[Afhængig variabel ID]]&lt;&gt;LineærRegression_Valg[[#This Row],[Uafhængig variabel ID]]</f>
        <v>1</v>
      </c>
      <c r="E1277" t="b">
        <f>LineærRegression_Valg[[#This Row],[Afhængig variabel ID]]&lt;=$B$5</f>
        <v>0</v>
      </c>
      <c r="F1277" t="str" cm="1">
        <f t="array" ref="F1277">IF(LineærRegression_Valg[[#This Row],[Indenfor range]],INDEX(DataTitel_liste,LineærRegression_Valg[[#This Row],[Afhængig variabel ID]]),INDEX(DataTitel_liste,1))</f>
        <v>Eksempel 1 (interval)</v>
      </c>
      <c r="G1277" s="188" t="str" cm="1">
        <f t="array" ref="G1277">IF(LineærRegression_Valg[[#This Row],[Indenfor range]],IF(LineærRegression_Valg[[#This Row],[Intet overlap]],INDEX(DataTitel_liste,LineærRegression_Valg[[#This Row],[Uafhængig variabel ID]]),INDEX(DataTitel_liste,IF(LineærRegression_Valg[[#This Row],[Afhængig variabel ID]]=1,2,1))),$B$7)</f>
        <v>Eksempel 2 (interval)</v>
      </c>
      <c r="H1277" s="188">
        <f>_xlfn.AGGREGATE(2,5,LineærRegression_Valg[[#This Row],[Tabel ID]])</f>
        <v>1</v>
      </c>
    </row>
    <row r="1278" spans="1:8" x14ac:dyDescent="0.2">
      <c r="A1278">
        <f>ROW(LineærRegression_Valg[[#This Row],[Tabel ID]])-ROW(LineærRegression_Valg[[#Headers],[Tabel ID]])</f>
        <v>1268</v>
      </c>
      <c r="B1278" s="188">
        <f>ROUNDDOWN((LineærRegression_Valg[[#This Row],[Tabel ID]]-1)/$B$5,0)+1</f>
        <v>317</v>
      </c>
      <c r="C1278" s="188">
        <f t="shared" si="19"/>
        <v>4</v>
      </c>
      <c r="D1278" s="188" t="b">
        <f>LineærRegression_Valg[[#This Row],[Afhængig variabel ID]]&lt;&gt;LineærRegression_Valg[[#This Row],[Uafhængig variabel ID]]</f>
        <v>1</v>
      </c>
      <c r="E1278" t="b">
        <f>LineærRegression_Valg[[#This Row],[Afhængig variabel ID]]&lt;=$B$5</f>
        <v>0</v>
      </c>
      <c r="F1278" t="str" cm="1">
        <f t="array" ref="F1278">IF(LineærRegression_Valg[[#This Row],[Indenfor range]],INDEX(DataTitel_liste,LineærRegression_Valg[[#This Row],[Afhængig variabel ID]]),INDEX(DataTitel_liste,1))</f>
        <v>Eksempel 1 (interval)</v>
      </c>
      <c r="G1278" s="188" t="str" cm="1">
        <f t="array" ref="G1278">IF(LineærRegression_Valg[[#This Row],[Indenfor range]],IF(LineærRegression_Valg[[#This Row],[Intet overlap]],INDEX(DataTitel_liste,LineærRegression_Valg[[#This Row],[Uafhængig variabel ID]]),INDEX(DataTitel_liste,IF(LineærRegression_Valg[[#This Row],[Afhængig variabel ID]]=1,2,1))),$B$7)</f>
        <v>Eksempel 2 (interval)</v>
      </c>
      <c r="H1278" s="188">
        <f>_xlfn.AGGREGATE(2,5,LineærRegression_Valg[[#This Row],[Tabel ID]])</f>
        <v>1</v>
      </c>
    </row>
    <row r="1279" spans="1:8" x14ac:dyDescent="0.2">
      <c r="A1279">
        <f>ROW(LineærRegression_Valg[[#This Row],[Tabel ID]])-ROW(LineærRegression_Valg[[#Headers],[Tabel ID]])</f>
        <v>1269</v>
      </c>
      <c r="B1279" s="188">
        <f>ROUNDDOWN((LineærRegression_Valg[[#This Row],[Tabel ID]]-1)/$B$5,0)+1</f>
        <v>318</v>
      </c>
      <c r="C1279" s="188">
        <f t="shared" si="19"/>
        <v>1</v>
      </c>
      <c r="D1279" s="188" t="b">
        <f>LineærRegression_Valg[[#This Row],[Afhængig variabel ID]]&lt;&gt;LineærRegression_Valg[[#This Row],[Uafhængig variabel ID]]</f>
        <v>1</v>
      </c>
      <c r="E1279" t="b">
        <f>LineærRegression_Valg[[#This Row],[Afhængig variabel ID]]&lt;=$B$5</f>
        <v>0</v>
      </c>
      <c r="F1279" t="str" cm="1">
        <f t="array" ref="F1279">IF(LineærRegression_Valg[[#This Row],[Indenfor range]],INDEX(DataTitel_liste,LineærRegression_Valg[[#This Row],[Afhængig variabel ID]]),INDEX(DataTitel_liste,1))</f>
        <v>Eksempel 1 (interval)</v>
      </c>
      <c r="G1279" s="188" t="str" cm="1">
        <f t="array" ref="G1279">IF(LineærRegression_Valg[[#This Row],[Indenfor range]],IF(LineærRegression_Valg[[#This Row],[Intet overlap]],INDEX(DataTitel_liste,LineærRegression_Valg[[#This Row],[Uafhængig variabel ID]]),INDEX(DataTitel_liste,IF(LineærRegression_Valg[[#This Row],[Afhængig variabel ID]]=1,2,1))),$B$7)</f>
        <v>Eksempel 2 (interval)</v>
      </c>
      <c r="H1279" s="188">
        <f>_xlfn.AGGREGATE(2,5,LineærRegression_Valg[[#This Row],[Tabel ID]])</f>
        <v>1</v>
      </c>
    </row>
    <row r="1280" spans="1:8" x14ac:dyDescent="0.2">
      <c r="A1280">
        <f>ROW(LineærRegression_Valg[[#This Row],[Tabel ID]])-ROW(LineærRegression_Valg[[#Headers],[Tabel ID]])</f>
        <v>1270</v>
      </c>
      <c r="B1280" s="188">
        <f>ROUNDDOWN((LineærRegression_Valg[[#This Row],[Tabel ID]]-1)/$B$5,0)+1</f>
        <v>318</v>
      </c>
      <c r="C1280" s="188">
        <f t="shared" si="19"/>
        <v>2</v>
      </c>
      <c r="D1280" s="188" t="b">
        <f>LineærRegression_Valg[[#This Row],[Afhængig variabel ID]]&lt;&gt;LineærRegression_Valg[[#This Row],[Uafhængig variabel ID]]</f>
        <v>1</v>
      </c>
      <c r="E1280" t="b">
        <f>LineærRegression_Valg[[#This Row],[Afhængig variabel ID]]&lt;=$B$5</f>
        <v>0</v>
      </c>
      <c r="F1280" t="str" cm="1">
        <f t="array" ref="F1280">IF(LineærRegression_Valg[[#This Row],[Indenfor range]],INDEX(DataTitel_liste,LineærRegression_Valg[[#This Row],[Afhængig variabel ID]]),INDEX(DataTitel_liste,1))</f>
        <v>Eksempel 1 (interval)</v>
      </c>
      <c r="G1280" s="188" t="str" cm="1">
        <f t="array" ref="G1280">IF(LineærRegression_Valg[[#This Row],[Indenfor range]],IF(LineærRegression_Valg[[#This Row],[Intet overlap]],INDEX(DataTitel_liste,LineærRegression_Valg[[#This Row],[Uafhængig variabel ID]]),INDEX(DataTitel_liste,IF(LineærRegression_Valg[[#This Row],[Afhængig variabel ID]]=1,2,1))),$B$7)</f>
        <v>Eksempel 2 (interval)</v>
      </c>
      <c r="H1280" s="188">
        <f>_xlfn.AGGREGATE(2,5,LineærRegression_Valg[[#This Row],[Tabel ID]])</f>
        <v>1</v>
      </c>
    </row>
    <row r="1281" spans="1:8" x14ac:dyDescent="0.2">
      <c r="A1281">
        <f>ROW(LineærRegression_Valg[[#This Row],[Tabel ID]])-ROW(LineærRegression_Valg[[#Headers],[Tabel ID]])</f>
        <v>1271</v>
      </c>
      <c r="B1281" s="188">
        <f>ROUNDDOWN((LineærRegression_Valg[[#This Row],[Tabel ID]]-1)/$B$5,0)+1</f>
        <v>318</v>
      </c>
      <c r="C1281" s="188">
        <f t="shared" si="19"/>
        <v>3</v>
      </c>
      <c r="D1281" s="188" t="b">
        <f>LineærRegression_Valg[[#This Row],[Afhængig variabel ID]]&lt;&gt;LineærRegression_Valg[[#This Row],[Uafhængig variabel ID]]</f>
        <v>1</v>
      </c>
      <c r="E1281" t="b">
        <f>LineærRegression_Valg[[#This Row],[Afhængig variabel ID]]&lt;=$B$5</f>
        <v>0</v>
      </c>
      <c r="F1281" t="str" cm="1">
        <f t="array" ref="F1281">IF(LineærRegression_Valg[[#This Row],[Indenfor range]],INDEX(DataTitel_liste,LineærRegression_Valg[[#This Row],[Afhængig variabel ID]]),INDEX(DataTitel_liste,1))</f>
        <v>Eksempel 1 (interval)</v>
      </c>
      <c r="G1281" s="188" t="str" cm="1">
        <f t="array" ref="G1281">IF(LineærRegression_Valg[[#This Row],[Indenfor range]],IF(LineærRegression_Valg[[#This Row],[Intet overlap]],INDEX(DataTitel_liste,LineærRegression_Valg[[#This Row],[Uafhængig variabel ID]]),INDEX(DataTitel_liste,IF(LineærRegression_Valg[[#This Row],[Afhængig variabel ID]]=1,2,1))),$B$7)</f>
        <v>Eksempel 2 (interval)</v>
      </c>
      <c r="H1281" s="188">
        <f>_xlfn.AGGREGATE(2,5,LineærRegression_Valg[[#This Row],[Tabel ID]])</f>
        <v>1</v>
      </c>
    </row>
    <row r="1282" spans="1:8" x14ac:dyDescent="0.2">
      <c r="A1282">
        <f>ROW(LineærRegression_Valg[[#This Row],[Tabel ID]])-ROW(LineærRegression_Valg[[#Headers],[Tabel ID]])</f>
        <v>1272</v>
      </c>
      <c r="B1282" s="188">
        <f>ROUNDDOWN((LineærRegression_Valg[[#This Row],[Tabel ID]]-1)/$B$5,0)+1</f>
        <v>318</v>
      </c>
      <c r="C1282" s="188">
        <f t="shared" si="19"/>
        <v>4</v>
      </c>
      <c r="D1282" s="188" t="b">
        <f>LineærRegression_Valg[[#This Row],[Afhængig variabel ID]]&lt;&gt;LineærRegression_Valg[[#This Row],[Uafhængig variabel ID]]</f>
        <v>1</v>
      </c>
      <c r="E1282" t="b">
        <f>LineærRegression_Valg[[#This Row],[Afhængig variabel ID]]&lt;=$B$5</f>
        <v>0</v>
      </c>
      <c r="F1282" t="str" cm="1">
        <f t="array" ref="F1282">IF(LineærRegression_Valg[[#This Row],[Indenfor range]],INDEX(DataTitel_liste,LineærRegression_Valg[[#This Row],[Afhængig variabel ID]]),INDEX(DataTitel_liste,1))</f>
        <v>Eksempel 1 (interval)</v>
      </c>
      <c r="G1282" s="188" t="str" cm="1">
        <f t="array" ref="G1282">IF(LineærRegression_Valg[[#This Row],[Indenfor range]],IF(LineærRegression_Valg[[#This Row],[Intet overlap]],INDEX(DataTitel_liste,LineærRegression_Valg[[#This Row],[Uafhængig variabel ID]]),INDEX(DataTitel_liste,IF(LineærRegression_Valg[[#This Row],[Afhængig variabel ID]]=1,2,1))),$B$7)</f>
        <v>Eksempel 2 (interval)</v>
      </c>
      <c r="H1282" s="188">
        <f>_xlfn.AGGREGATE(2,5,LineærRegression_Valg[[#This Row],[Tabel ID]])</f>
        <v>1</v>
      </c>
    </row>
    <row r="1283" spans="1:8" x14ac:dyDescent="0.2">
      <c r="A1283">
        <f>ROW(LineærRegression_Valg[[#This Row],[Tabel ID]])-ROW(LineærRegression_Valg[[#Headers],[Tabel ID]])</f>
        <v>1273</v>
      </c>
      <c r="B1283" s="188">
        <f>ROUNDDOWN((LineærRegression_Valg[[#This Row],[Tabel ID]]-1)/$B$5,0)+1</f>
        <v>319</v>
      </c>
      <c r="C1283" s="188">
        <f t="shared" si="19"/>
        <v>1</v>
      </c>
      <c r="D1283" s="188" t="b">
        <f>LineærRegression_Valg[[#This Row],[Afhængig variabel ID]]&lt;&gt;LineærRegression_Valg[[#This Row],[Uafhængig variabel ID]]</f>
        <v>1</v>
      </c>
      <c r="E1283" t="b">
        <f>LineærRegression_Valg[[#This Row],[Afhængig variabel ID]]&lt;=$B$5</f>
        <v>0</v>
      </c>
      <c r="F1283" t="str" cm="1">
        <f t="array" ref="F1283">IF(LineærRegression_Valg[[#This Row],[Indenfor range]],INDEX(DataTitel_liste,LineærRegression_Valg[[#This Row],[Afhængig variabel ID]]),INDEX(DataTitel_liste,1))</f>
        <v>Eksempel 1 (interval)</v>
      </c>
      <c r="G1283" s="188" t="str" cm="1">
        <f t="array" ref="G1283">IF(LineærRegression_Valg[[#This Row],[Indenfor range]],IF(LineærRegression_Valg[[#This Row],[Intet overlap]],INDEX(DataTitel_liste,LineærRegression_Valg[[#This Row],[Uafhængig variabel ID]]),INDEX(DataTitel_liste,IF(LineærRegression_Valg[[#This Row],[Afhængig variabel ID]]=1,2,1))),$B$7)</f>
        <v>Eksempel 2 (interval)</v>
      </c>
      <c r="H1283" s="188">
        <f>_xlfn.AGGREGATE(2,5,LineærRegression_Valg[[#This Row],[Tabel ID]])</f>
        <v>1</v>
      </c>
    </row>
    <row r="1284" spans="1:8" x14ac:dyDescent="0.2">
      <c r="A1284">
        <f>ROW(LineærRegression_Valg[[#This Row],[Tabel ID]])-ROW(LineærRegression_Valg[[#Headers],[Tabel ID]])</f>
        <v>1274</v>
      </c>
      <c r="B1284" s="188">
        <f>ROUNDDOWN((LineærRegression_Valg[[#This Row],[Tabel ID]]-1)/$B$5,0)+1</f>
        <v>319</v>
      </c>
      <c r="C1284" s="188">
        <f t="shared" si="19"/>
        <v>2</v>
      </c>
      <c r="D1284" s="188" t="b">
        <f>LineærRegression_Valg[[#This Row],[Afhængig variabel ID]]&lt;&gt;LineærRegression_Valg[[#This Row],[Uafhængig variabel ID]]</f>
        <v>1</v>
      </c>
      <c r="E1284" t="b">
        <f>LineærRegression_Valg[[#This Row],[Afhængig variabel ID]]&lt;=$B$5</f>
        <v>0</v>
      </c>
      <c r="F1284" t="str" cm="1">
        <f t="array" ref="F1284">IF(LineærRegression_Valg[[#This Row],[Indenfor range]],INDEX(DataTitel_liste,LineærRegression_Valg[[#This Row],[Afhængig variabel ID]]),INDEX(DataTitel_liste,1))</f>
        <v>Eksempel 1 (interval)</v>
      </c>
      <c r="G1284" s="188" t="str" cm="1">
        <f t="array" ref="G1284">IF(LineærRegression_Valg[[#This Row],[Indenfor range]],IF(LineærRegression_Valg[[#This Row],[Intet overlap]],INDEX(DataTitel_liste,LineærRegression_Valg[[#This Row],[Uafhængig variabel ID]]),INDEX(DataTitel_liste,IF(LineærRegression_Valg[[#This Row],[Afhængig variabel ID]]=1,2,1))),$B$7)</f>
        <v>Eksempel 2 (interval)</v>
      </c>
      <c r="H1284" s="188">
        <f>_xlfn.AGGREGATE(2,5,LineærRegression_Valg[[#This Row],[Tabel ID]])</f>
        <v>1</v>
      </c>
    </row>
    <row r="1285" spans="1:8" x14ac:dyDescent="0.2">
      <c r="A1285">
        <f>ROW(LineærRegression_Valg[[#This Row],[Tabel ID]])-ROW(LineærRegression_Valg[[#Headers],[Tabel ID]])</f>
        <v>1275</v>
      </c>
      <c r="B1285" s="188">
        <f>ROUNDDOWN((LineærRegression_Valg[[#This Row],[Tabel ID]]-1)/$B$5,0)+1</f>
        <v>319</v>
      </c>
      <c r="C1285" s="188">
        <f t="shared" si="19"/>
        <v>3</v>
      </c>
      <c r="D1285" s="188" t="b">
        <f>LineærRegression_Valg[[#This Row],[Afhængig variabel ID]]&lt;&gt;LineærRegression_Valg[[#This Row],[Uafhængig variabel ID]]</f>
        <v>1</v>
      </c>
      <c r="E1285" t="b">
        <f>LineærRegression_Valg[[#This Row],[Afhængig variabel ID]]&lt;=$B$5</f>
        <v>0</v>
      </c>
      <c r="F1285" t="str" cm="1">
        <f t="array" ref="F1285">IF(LineærRegression_Valg[[#This Row],[Indenfor range]],INDEX(DataTitel_liste,LineærRegression_Valg[[#This Row],[Afhængig variabel ID]]),INDEX(DataTitel_liste,1))</f>
        <v>Eksempel 1 (interval)</v>
      </c>
      <c r="G1285" s="188" t="str" cm="1">
        <f t="array" ref="G1285">IF(LineærRegression_Valg[[#This Row],[Indenfor range]],IF(LineærRegression_Valg[[#This Row],[Intet overlap]],INDEX(DataTitel_liste,LineærRegression_Valg[[#This Row],[Uafhængig variabel ID]]),INDEX(DataTitel_liste,IF(LineærRegression_Valg[[#This Row],[Afhængig variabel ID]]=1,2,1))),$B$7)</f>
        <v>Eksempel 2 (interval)</v>
      </c>
      <c r="H1285" s="188">
        <f>_xlfn.AGGREGATE(2,5,LineærRegression_Valg[[#This Row],[Tabel ID]])</f>
        <v>1</v>
      </c>
    </row>
    <row r="1286" spans="1:8" x14ac:dyDescent="0.2">
      <c r="A1286">
        <f>ROW(LineærRegression_Valg[[#This Row],[Tabel ID]])-ROW(LineærRegression_Valg[[#Headers],[Tabel ID]])</f>
        <v>1276</v>
      </c>
      <c r="B1286" s="188">
        <f>ROUNDDOWN((LineærRegression_Valg[[#This Row],[Tabel ID]]-1)/$B$5,0)+1</f>
        <v>319</v>
      </c>
      <c r="C1286" s="188">
        <f t="shared" si="19"/>
        <v>4</v>
      </c>
      <c r="D1286" s="188" t="b">
        <f>LineærRegression_Valg[[#This Row],[Afhængig variabel ID]]&lt;&gt;LineærRegression_Valg[[#This Row],[Uafhængig variabel ID]]</f>
        <v>1</v>
      </c>
      <c r="E1286" t="b">
        <f>LineærRegression_Valg[[#This Row],[Afhængig variabel ID]]&lt;=$B$5</f>
        <v>0</v>
      </c>
      <c r="F1286" t="str" cm="1">
        <f t="array" ref="F1286">IF(LineærRegression_Valg[[#This Row],[Indenfor range]],INDEX(DataTitel_liste,LineærRegression_Valg[[#This Row],[Afhængig variabel ID]]),INDEX(DataTitel_liste,1))</f>
        <v>Eksempel 1 (interval)</v>
      </c>
      <c r="G1286" s="188" t="str" cm="1">
        <f t="array" ref="G1286">IF(LineærRegression_Valg[[#This Row],[Indenfor range]],IF(LineærRegression_Valg[[#This Row],[Intet overlap]],INDEX(DataTitel_liste,LineærRegression_Valg[[#This Row],[Uafhængig variabel ID]]),INDEX(DataTitel_liste,IF(LineærRegression_Valg[[#This Row],[Afhængig variabel ID]]=1,2,1))),$B$7)</f>
        <v>Eksempel 2 (interval)</v>
      </c>
      <c r="H1286" s="188">
        <f>_xlfn.AGGREGATE(2,5,LineærRegression_Valg[[#This Row],[Tabel ID]])</f>
        <v>1</v>
      </c>
    </row>
    <row r="1287" spans="1:8" x14ac:dyDescent="0.2">
      <c r="A1287">
        <f>ROW(LineærRegression_Valg[[#This Row],[Tabel ID]])-ROW(LineærRegression_Valg[[#Headers],[Tabel ID]])</f>
        <v>1277</v>
      </c>
      <c r="B1287" s="188">
        <f>ROUNDDOWN((LineærRegression_Valg[[#This Row],[Tabel ID]]-1)/$B$5,0)+1</f>
        <v>320</v>
      </c>
      <c r="C1287" s="188">
        <f t="shared" si="19"/>
        <v>1</v>
      </c>
      <c r="D1287" s="188" t="b">
        <f>LineærRegression_Valg[[#This Row],[Afhængig variabel ID]]&lt;&gt;LineærRegression_Valg[[#This Row],[Uafhængig variabel ID]]</f>
        <v>1</v>
      </c>
      <c r="E1287" t="b">
        <f>LineærRegression_Valg[[#This Row],[Afhængig variabel ID]]&lt;=$B$5</f>
        <v>0</v>
      </c>
      <c r="F1287" t="str" cm="1">
        <f t="array" ref="F1287">IF(LineærRegression_Valg[[#This Row],[Indenfor range]],INDEX(DataTitel_liste,LineærRegression_Valg[[#This Row],[Afhængig variabel ID]]),INDEX(DataTitel_liste,1))</f>
        <v>Eksempel 1 (interval)</v>
      </c>
      <c r="G1287" s="188" t="str" cm="1">
        <f t="array" ref="G1287">IF(LineærRegression_Valg[[#This Row],[Indenfor range]],IF(LineærRegression_Valg[[#This Row],[Intet overlap]],INDEX(DataTitel_liste,LineærRegression_Valg[[#This Row],[Uafhængig variabel ID]]),INDEX(DataTitel_liste,IF(LineærRegression_Valg[[#This Row],[Afhængig variabel ID]]=1,2,1))),$B$7)</f>
        <v>Eksempel 2 (interval)</v>
      </c>
      <c r="H1287" s="188">
        <f>_xlfn.AGGREGATE(2,5,LineærRegression_Valg[[#This Row],[Tabel ID]])</f>
        <v>1</v>
      </c>
    </row>
    <row r="1288" spans="1:8" x14ac:dyDescent="0.2">
      <c r="A1288">
        <f>ROW(LineærRegression_Valg[[#This Row],[Tabel ID]])-ROW(LineærRegression_Valg[[#Headers],[Tabel ID]])</f>
        <v>1278</v>
      </c>
      <c r="B1288" s="188">
        <f>ROUNDDOWN((LineærRegression_Valg[[#This Row],[Tabel ID]]-1)/$B$5,0)+1</f>
        <v>320</v>
      </c>
      <c r="C1288" s="188">
        <f t="shared" si="19"/>
        <v>2</v>
      </c>
      <c r="D1288" s="188" t="b">
        <f>LineærRegression_Valg[[#This Row],[Afhængig variabel ID]]&lt;&gt;LineærRegression_Valg[[#This Row],[Uafhængig variabel ID]]</f>
        <v>1</v>
      </c>
      <c r="E1288" t="b">
        <f>LineærRegression_Valg[[#This Row],[Afhængig variabel ID]]&lt;=$B$5</f>
        <v>0</v>
      </c>
      <c r="F1288" t="str" cm="1">
        <f t="array" ref="F1288">IF(LineærRegression_Valg[[#This Row],[Indenfor range]],INDEX(DataTitel_liste,LineærRegression_Valg[[#This Row],[Afhængig variabel ID]]),INDEX(DataTitel_liste,1))</f>
        <v>Eksempel 1 (interval)</v>
      </c>
      <c r="G1288" s="188" t="str" cm="1">
        <f t="array" ref="G1288">IF(LineærRegression_Valg[[#This Row],[Indenfor range]],IF(LineærRegression_Valg[[#This Row],[Intet overlap]],INDEX(DataTitel_liste,LineærRegression_Valg[[#This Row],[Uafhængig variabel ID]]),INDEX(DataTitel_liste,IF(LineærRegression_Valg[[#This Row],[Afhængig variabel ID]]=1,2,1))),$B$7)</f>
        <v>Eksempel 2 (interval)</v>
      </c>
      <c r="H1288" s="188">
        <f>_xlfn.AGGREGATE(2,5,LineærRegression_Valg[[#This Row],[Tabel ID]])</f>
        <v>1</v>
      </c>
    </row>
    <row r="1289" spans="1:8" x14ac:dyDescent="0.2">
      <c r="A1289">
        <f>ROW(LineærRegression_Valg[[#This Row],[Tabel ID]])-ROW(LineærRegression_Valg[[#Headers],[Tabel ID]])</f>
        <v>1279</v>
      </c>
      <c r="B1289" s="188">
        <f>ROUNDDOWN((LineærRegression_Valg[[#This Row],[Tabel ID]]-1)/$B$5,0)+1</f>
        <v>320</v>
      </c>
      <c r="C1289" s="188">
        <f t="shared" si="19"/>
        <v>3</v>
      </c>
      <c r="D1289" s="188" t="b">
        <f>LineærRegression_Valg[[#This Row],[Afhængig variabel ID]]&lt;&gt;LineærRegression_Valg[[#This Row],[Uafhængig variabel ID]]</f>
        <v>1</v>
      </c>
      <c r="E1289" t="b">
        <f>LineærRegression_Valg[[#This Row],[Afhængig variabel ID]]&lt;=$B$5</f>
        <v>0</v>
      </c>
      <c r="F1289" t="str" cm="1">
        <f t="array" ref="F1289">IF(LineærRegression_Valg[[#This Row],[Indenfor range]],INDEX(DataTitel_liste,LineærRegression_Valg[[#This Row],[Afhængig variabel ID]]),INDEX(DataTitel_liste,1))</f>
        <v>Eksempel 1 (interval)</v>
      </c>
      <c r="G1289" s="188" t="str" cm="1">
        <f t="array" ref="G1289">IF(LineærRegression_Valg[[#This Row],[Indenfor range]],IF(LineærRegression_Valg[[#This Row],[Intet overlap]],INDEX(DataTitel_liste,LineærRegression_Valg[[#This Row],[Uafhængig variabel ID]]),INDEX(DataTitel_liste,IF(LineærRegression_Valg[[#This Row],[Afhængig variabel ID]]=1,2,1))),$B$7)</f>
        <v>Eksempel 2 (interval)</v>
      </c>
      <c r="H1289" s="188">
        <f>_xlfn.AGGREGATE(2,5,LineærRegression_Valg[[#This Row],[Tabel ID]])</f>
        <v>1</v>
      </c>
    </row>
    <row r="1290" spans="1:8" x14ac:dyDescent="0.2">
      <c r="A1290">
        <f>ROW(LineærRegression_Valg[[#This Row],[Tabel ID]])-ROW(LineærRegression_Valg[[#Headers],[Tabel ID]])</f>
        <v>1280</v>
      </c>
      <c r="B1290" s="188">
        <f>ROUNDDOWN((LineærRegression_Valg[[#This Row],[Tabel ID]]-1)/$B$5,0)+1</f>
        <v>320</v>
      </c>
      <c r="C1290" s="188">
        <f t="shared" si="19"/>
        <v>4</v>
      </c>
      <c r="D1290" s="188" t="b">
        <f>LineærRegression_Valg[[#This Row],[Afhængig variabel ID]]&lt;&gt;LineærRegression_Valg[[#This Row],[Uafhængig variabel ID]]</f>
        <v>1</v>
      </c>
      <c r="E1290" t="b">
        <f>LineærRegression_Valg[[#This Row],[Afhængig variabel ID]]&lt;=$B$5</f>
        <v>0</v>
      </c>
      <c r="F1290" t="str" cm="1">
        <f t="array" ref="F1290">IF(LineærRegression_Valg[[#This Row],[Indenfor range]],INDEX(DataTitel_liste,LineærRegression_Valg[[#This Row],[Afhængig variabel ID]]),INDEX(DataTitel_liste,1))</f>
        <v>Eksempel 1 (interval)</v>
      </c>
      <c r="G1290" s="188" t="str" cm="1">
        <f t="array" ref="G1290">IF(LineærRegression_Valg[[#This Row],[Indenfor range]],IF(LineærRegression_Valg[[#This Row],[Intet overlap]],INDEX(DataTitel_liste,LineærRegression_Valg[[#This Row],[Uafhængig variabel ID]]),INDEX(DataTitel_liste,IF(LineærRegression_Valg[[#This Row],[Afhængig variabel ID]]=1,2,1))),$B$7)</f>
        <v>Eksempel 2 (interval)</v>
      </c>
      <c r="H1290" s="188">
        <f>_xlfn.AGGREGATE(2,5,LineærRegression_Valg[[#This Row],[Tabel ID]])</f>
        <v>1</v>
      </c>
    </row>
    <row r="1291" spans="1:8" x14ac:dyDescent="0.2">
      <c r="A1291">
        <f>ROW(LineærRegression_Valg[[#This Row],[Tabel ID]])-ROW(LineærRegression_Valg[[#Headers],[Tabel ID]])</f>
        <v>1281</v>
      </c>
      <c r="B1291" s="188">
        <f>ROUNDDOWN((LineærRegression_Valg[[#This Row],[Tabel ID]]-1)/$B$5,0)+1</f>
        <v>321</v>
      </c>
      <c r="C1291" s="188">
        <f t="shared" ref="C1291:C1354" si="20">MOD(A1291-1,$B$5)+1</f>
        <v>1</v>
      </c>
      <c r="D1291" s="188" t="b">
        <f>LineærRegression_Valg[[#This Row],[Afhængig variabel ID]]&lt;&gt;LineærRegression_Valg[[#This Row],[Uafhængig variabel ID]]</f>
        <v>1</v>
      </c>
      <c r="E1291" t="b">
        <f>LineærRegression_Valg[[#This Row],[Afhængig variabel ID]]&lt;=$B$5</f>
        <v>0</v>
      </c>
      <c r="F1291" t="str" cm="1">
        <f t="array" ref="F1291">IF(LineærRegression_Valg[[#This Row],[Indenfor range]],INDEX(DataTitel_liste,LineærRegression_Valg[[#This Row],[Afhængig variabel ID]]),INDEX(DataTitel_liste,1))</f>
        <v>Eksempel 1 (interval)</v>
      </c>
      <c r="G1291" s="188" t="str" cm="1">
        <f t="array" ref="G1291">IF(LineærRegression_Valg[[#This Row],[Indenfor range]],IF(LineærRegression_Valg[[#This Row],[Intet overlap]],INDEX(DataTitel_liste,LineærRegression_Valg[[#This Row],[Uafhængig variabel ID]]),INDEX(DataTitel_liste,IF(LineærRegression_Valg[[#This Row],[Afhængig variabel ID]]=1,2,1))),$B$7)</f>
        <v>Eksempel 2 (interval)</v>
      </c>
      <c r="H1291" s="188">
        <f>_xlfn.AGGREGATE(2,5,LineærRegression_Valg[[#This Row],[Tabel ID]])</f>
        <v>1</v>
      </c>
    </row>
    <row r="1292" spans="1:8" x14ac:dyDescent="0.2">
      <c r="A1292">
        <f>ROW(LineærRegression_Valg[[#This Row],[Tabel ID]])-ROW(LineærRegression_Valg[[#Headers],[Tabel ID]])</f>
        <v>1282</v>
      </c>
      <c r="B1292" s="188">
        <f>ROUNDDOWN((LineærRegression_Valg[[#This Row],[Tabel ID]]-1)/$B$5,0)+1</f>
        <v>321</v>
      </c>
      <c r="C1292" s="188">
        <f t="shared" si="20"/>
        <v>2</v>
      </c>
      <c r="D1292" s="188" t="b">
        <f>LineærRegression_Valg[[#This Row],[Afhængig variabel ID]]&lt;&gt;LineærRegression_Valg[[#This Row],[Uafhængig variabel ID]]</f>
        <v>1</v>
      </c>
      <c r="E1292" t="b">
        <f>LineærRegression_Valg[[#This Row],[Afhængig variabel ID]]&lt;=$B$5</f>
        <v>0</v>
      </c>
      <c r="F1292" t="str" cm="1">
        <f t="array" ref="F1292">IF(LineærRegression_Valg[[#This Row],[Indenfor range]],INDEX(DataTitel_liste,LineærRegression_Valg[[#This Row],[Afhængig variabel ID]]),INDEX(DataTitel_liste,1))</f>
        <v>Eksempel 1 (interval)</v>
      </c>
      <c r="G1292" s="188" t="str" cm="1">
        <f t="array" ref="G1292">IF(LineærRegression_Valg[[#This Row],[Indenfor range]],IF(LineærRegression_Valg[[#This Row],[Intet overlap]],INDEX(DataTitel_liste,LineærRegression_Valg[[#This Row],[Uafhængig variabel ID]]),INDEX(DataTitel_liste,IF(LineærRegression_Valg[[#This Row],[Afhængig variabel ID]]=1,2,1))),$B$7)</f>
        <v>Eksempel 2 (interval)</v>
      </c>
      <c r="H1292" s="188">
        <f>_xlfn.AGGREGATE(2,5,LineærRegression_Valg[[#This Row],[Tabel ID]])</f>
        <v>1</v>
      </c>
    </row>
    <row r="1293" spans="1:8" x14ac:dyDescent="0.2">
      <c r="A1293">
        <f>ROW(LineærRegression_Valg[[#This Row],[Tabel ID]])-ROW(LineærRegression_Valg[[#Headers],[Tabel ID]])</f>
        <v>1283</v>
      </c>
      <c r="B1293" s="188">
        <f>ROUNDDOWN((LineærRegression_Valg[[#This Row],[Tabel ID]]-1)/$B$5,0)+1</f>
        <v>321</v>
      </c>
      <c r="C1293" s="188">
        <f t="shared" si="20"/>
        <v>3</v>
      </c>
      <c r="D1293" s="188" t="b">
        <f>LineærRegression_Valg[[#This Row],[Afhængig variabel ID]]&lt;&gt;LineærRegression_Valg[[#This Row],[Uafhængig variabel ID]]</f>
        <v>1</v>
      </c>
      <c r="E1293" t="b">
        <f>LineærRegression_Valg[[#This Row],[Afhængig variabel ID]]&lt;=$B$5</f>
        <v>0</v>
      </c>
      <c r="F1293" t="str" cm="1">
        <f t="array" ref="F1293">IF(LineærRegression_Valg[[#This Row],[Indenfor range]],INDEX(DataTitel_liste,LineærRegression_Valg[[#This Row],[Afhængig variabel ID]]),INDEX(DataTitel_liste,1))</f>
        <v>Eksempel 1 (interval)</v>
      </c>
      <c r="G1293" s="188" t="str" cm="1">
        <f t="array" ref="G1293">IF(LineærRegression_Valg[[#This Row],[Indenfor range]],IF(LineærRegression_Valg[[#This Row],[Intet overlap]],INDEX(DataTitel_liste,LineærRegression_Valg[[#This Row],[Uafhængig variabel ID]]),INDEX(DataTitel_liste,IF(LineærRegression_Valg[[#This Row],[Afhængig variabel ID]]=1,2,1))),$B$7)</f>
        <v>Eksempel 2 (interval)</v>
      </c>
      <c r="H1293" s="188">
        <f>_xlfn.AGGREGATE(2,5,LineærRegression_Valg[[#This Row],[Tabel ID]])</f>
        <v>1</v>
      </c>
    </row>
    <row r="1294" spans="1:8" x14ac:dyDescent="0.2">
      <c r="A1294">
        <f>ROW(LineærRegression_Valg[[#This Row],[Tabel ID]])-ROW(LineærRegression_Valg[[#Headers],[Tabel ID]])</f>
        <v>1284</v>
      </c>
      <c r="B1294" s="188">
        <f>ROUNDDOWN((LineærRegression_Valg[[#This Row],[Tabel ID]]-1)/$B$5,0)+1</f>
        <v>321</v>
      </c>
      <c r="C1294" s="188">
        <f t="shared" si="20"/>
        <v>4</v>
      </c>
      <c r="D1294" s="188" t="b">
        <f>LineærRegression_Valg[[#This Row],[Afhængig variabel ID]]&lt;&gt;LineærRegression_Valg[[#This Row],[Uafhængig variabel ID]]</f>
        <v>1</v>
      </c>
      <c r="E1294" t="b">
        <f>LineærRegression_Valg[[#This Row],[Afhængig variabel ID]]&lt;=$B$5</f>
        <v>0</v>
      </c>
      <c r="F1294" t="str" cm="1">
        <f t="array" ref="F1294">IF(LineærRegression_Valg[[#This Row],[Indenfor range]],INDEX(DataTitel_liste,LineærRegression_Valg[[#This Row],[Afhængig variabel ID]]),INDEX(DataTitel_liste,1))</f>
        <v>Eksempel 1 (interval)</v>
      </c>
      <c r="G1294" s="188" t="str" cm="1">
        <f t="array" ref="G1294">IF(LineærRegression_Valg[[#This Row],[Indenfor range]],IF(LineærRegression_Valg[[#This Row],[Intet overlap]],INDEX(DataTitel_liste,LineærRegression_Valg[[#This Row],[Uafhængig variabel ID]]),INDEX(DataTitel_liste,IF(LineærRegression_Valg[[#This Row],[Afhængig variabel ID]]=1,2,1))),$B$7)</f>
        <v>Eksempel 2 (interval)</v>
      </c>
      <c r="H1294" s="188">
        <f>_xlfn.AGGREGATE(2,5,LineærRegression_Valg[[#This Row],[Tabel ID]])</f>
        <v>1</v>
      </c>
    </row>
    <row r="1295" spans="1:8" x14ac:dyDescent="0.2">
      <c r="A1295">
        <f>ROW(LineærRegression_Valg[[#This Row],[Tabel ID]])-ROW(LineærRegression_Valg[[#Headers],[Tabel ID]])</f>
        <v>1285</v>
      </c>
      <c r="B1295" s="188">
        <f>ROUNDDOWN((LineærRegression_Valg[[#This Row],[Tabel ID]]-1)/$B$5,0)+1</f>
        <v>322</v>
      </c>
      <c r="C1295" s="188">
        <f t="shared" si="20"/>
        <v>1</v>
      </c>
      <c r="D1295" s="188" t="b">
        <f>LineærRegression_Valg[[#This Row],[Afhængig variabel ID]]&lt;&gt;LineærRegression_Valg[[#This Row],[Uafhængig variabel ID]]</f>
        <v>1</v>
      </c>
      <c r="E1295" t="b">
        <f>LineærRegression_Valg[[#This Row],[Afhængig variabel ID]]&lt;=$B$5</f>
        <v>0</v>
      </c>
      <c r="F1295" t="str" cm="1">
        <f t="array" ref="F1295">IF(LineærRegression_Valg[[#This Row],[Indenfor range]],INDEX(DataTitel_liste,LineærRegression_Valg[[#This Row],[Afhængig variabel ID]]),INDEX(DataTitel_liste,1))</f>
        <v>Eksempel 1 (interval)</v>
      </c>
      <c r="G1295" s="188" t="str" cm="1">
        <f t="array" ref="G1295">IF(LineærRegression_Valg[[#This Row],[Indenfor range]],IF(LineærRegression_Valg[[#This Row],[Intet overlap]],INDEX(DataTitel_liste,LineærRegression_Valg[[#This Row],[Uafhængig variabel ID]]),INDEX(DataTitel_liste,IF(LineærRegression_Valg[[#This Row],[Afhængig variabel ID]]=1,2,1))),$B$7)</f>
        <v>Eksempel 2 (interval)</v>
      </c>
      <c r="H1295" s="188">
        <f>_xlfn.AGGREGATE(2,5,LineærRegression_Valg[[#This Row],[Tabel ID]])</f>
        <v>1</v>
      </c>
    </row>
    <row r="1296" spans="1:8" x14ac:dyDescent="0.2">
      <c r="A1296">
        <f>ROW(LineærRegression_Valg[[#This Row],[Tabel ID]])-ROW(LineærRegression_Valg[[#Headers],[Tabel ID]])</f>
        <v>1286</v>
      </c>
      <c r="B1296" s="188">
        <f>ROUNDDOWN((LineærRegression_Valg[[#This Row],[Tabel ID]]-1)/$B$5,0)+1</f>
        <v>322</v>
      </c>
      <c r="C1296" s="188">
        <f t="shared" si="20"/>
        <v>2</v>
      </c>
      <c r="D1296" s="188" t="b">
        <f>LineærRegression_Valg[[#This Row],[Afhængig variabel ID]]&lt;&gt;LineærRegression_Valg[[#This Row],[Uafhængig variabel ID]]</f>
        <v>1</v>
      </c>
      <c r="E1296" t="b">
        <f>LineærRegression_Valg[[#This Row],[Afhængig variabel ID]]&lt;=$B$5</f>
        <v>0</v>
      </c>
      <c r="F1296" t="str" cm="1">
        <f t="array" ref="F1296">IF(LineærRegression_Valg[[#This Row],[Indenfor range]],INDEX(DataTitel_liste,LineærRegression_Valg[[#This Row],[Afhængig variabel ID]]),INDEX(DataTitel_liste,1))</f>
        <v>Eksempel 1 (interval)</v>
      </c>
      <c r="G1296" s="188" t="str" cm="1">
        <f t="array" ref="G1296">IF(LineærRegression_Valg[[#This Row],[Indenfor range]],IF(LineærRegression_Valg[[#This Row],[Intet overlap]],INDEX(DataTitel_liste,LineærRegression_Valg[[#This Row],[Uafhængig variabel ID]]),INDEX(DataTitel_liste,IF(LineærRegression_Valg[[#This Row],[Afhængig variabel ID]]=1,2,1))),$B$7)</f>
        <v>Eksempel 2 (interval)</v>
      </c>
      <c r="H1296" s="188">
        <f>_xlfn.AGGREGATE(2,5,LineærRegression_Valg[[#This Row],[Tabel ID]])</f>
        <v>1</v>
      </c>
    </row>
    <row r="1297" spans="1:8" x14ac:dyDescent="0.2">
      <c r="A1297">
        <f>ROW(LineærRegression_Valg[[#This Row],[Tabel ID]])-ROW(LineærRegression_Valg[[#Headers],[Tabel ID]])</f>
        <v>1287</v>
      </c>
      <c r="B1297" s="188">
        <f>ROUNDDOWN((LineærRegression_Valg[[#This Row],[Tabel ID]]-1)/$B$5,0)+1</f>
        <v>322</v>
      </c>
      <c r="C1297" s="188">
        <f t="shared" si="20"/>
        <v>3</v>
      </c>
      <c r="D1297" s="188" t="b">
        <f>LineærRegression_Valg[[#This Row],[Afhængig variabel ID]]&lt;&gt;LineærRegression_Valg[[#This Row],[Uafhængig variabel ID]]</f>
        <v>1</v>
      </c>
      <c r="E1297" t="b">
        <f>LineærRegression_Valg[[#This Row],[Afhængig variabel ID]]&lt;=$B$5</f>
        <v>0</v>
      </c>
      <c r="F1297" t="str" cm="1">
        <f t="array" ref="F1297">IF(LineærRegression_Valg[[#This Row],[Indenfor range]],INDEX(DataTitel_liste,LineærRegression_Valg[[#This Row],[Afhængig variabel ID]]),INDEX(DataTitel_liste,1))</f>
        <v>Eksempel 1 (interval)</v>
      </c>
      <c r="G1297" s="188" t="str" cm="1">
        <f t="array" ref="G1297">IF(LineærRegression_Valg[[#This Row],[Indenfor range]],IF(LineærRegression_Valg[[#This Row],[Intet overlap]],INDEX(DataTitel_liste,LineærRegression_Valg[[#This Row],[Uafhængig variabel ID]]),INDEX(DataTitel_liste,IF(LineærRegression_Valg[[#This Row],[Afhængig variabel ID]]=1,2,1))),$B$7)</f>
        <v>Eksempel 2 (interval)</v>
      </c>
      <c r="H1297" s="188">
        <f>_xlfn.AGGREGATE(2,5,LineærRegression_Valg[[#This Row],[Tabel ID]])</f>
        <v>1</v>
      </c>
    </row>
    <row r="1298" spans="1:8" x14ac:dyDescent="0.2">
      <c r="A1298">
        <f>ROW(LineærRegression_Valg[[#This Row],[Tabel ID]])-ROW(LineærRegression_Valg[[#Headers],[Tabel ID]])</f>
        <v>1288</v>
      </c>
      <c r="B1298" s="188">
        <f>ROUNDDOWN((LineærRegression_Valg[[#This Row],[Tabel ID]]-1)/$B$5,0)+1</f>
        <v>322</v>
      </c>
      <c r="C1298" s="188">
        <f t="shared" si="20"/>
        <v>4</v>
      </c>
      <c r="D1298" s="188" t="b">
        <f>LineærRegression_Valg[[#This Row],[Afhængig variabel ID]]&lt;&gt;LineærRegression_Valg[[#This Row],[Uafhængig variabel ID]]</f>
        <v>1</v>
      </c>
      <c r="E1298" t="b">
        <f>LineærRegression_Valg[[#This Row],[Afhængig variabel ID]]&lt;=$B$5</f>
        <v>0</v>
      </c>
      <c r="F1298" t="str" cm="1">
        <f t="array" ref="F1298">IF(LineærRegression_Valg[[#This Row],[Indenfor range]],INDEX(DataTitel_liste,LineærRegression_Valg[[#This Row],[Afhængig variabel ID]]),INDEX(DataTitel_liste,1))</f>
        <v>Eksempel 1 (interval)</v>
      </c>
      <c r="G1298" s="188" t="str" cm="1">
        <f t="array" ref="G1298">IF(LineærRegression_Valg[[#This Row],[Indenfor range]],IF(LineærRegression_Valg[[#This Row],[Intet overlap]],INDEX(DataTitel_liste,LineærRegression_Valg[[#This Row],[Uafhængig variabel ID]]),INDEX(DataTitel_liste,IF(LineærRegression_Valg[[#This Row],[Afhængig variabel ID]]=1,2,1))),$B$7)</f>
        <v>Eksempel 2 (interval)</v>
      </c>
      <c r="H1298" s="188">
        <f>_xlfn.AGGREGATE(2,5,LineærRegression_Valg[[#This Row],[Tabel ID]])</f>
        <v>1</v>
      </c>
    </row>
    <row r="1299" spans="1:8" x14ac:dyDescent="0.2">
      <c r="A1299">
        <f>ROW(LineærRegression_Valg[[#This Row],[Tabel ID]])-ROW(LineærRegression_Valg[[#Headers],[Tabel ID]])</f>
        <v>1289</v>
      </c>
      <c r="B1299" s="188">
        <f>ROUNDDOWN((LineærRegression_Valg[[#This Row],[Tabel ID]]-1)/$B$5,0)+1</f>
        <v>323</v>
      </c>
      <c r="C1299" s="188">
        <f t="shared" si="20"/>
        <v>1</v>
      </c>
      <c r="D1299" s="188" t="b">
        <f>LineærRegression_Valg[[#This Row],[Afhængig variabel ID]]&lt;&gt;LineærRegression_Valg[[#This Row],[Uafhængig variabel ID]]</f>
        <v>1</v>
      </c>
      <c r="E1299" t="b">
        <f>LineærRegression_Valg[[#This Row],[Afhængig variabel ID]]&lt;=$B$5</f>
        <v>0</v>
      </c>
      <c r="F1299" t="str" cm="1">
        <f t="array" ref="F1299">IF(LineærRegression_Valg[[#This Row],[Indenfor range]],INDEX(DataTitel_liste,LineærRegression_Valg[[#This Row],[Afhængig variabel ID]]),INDEX(DataTitel_liste,1))</f>
        <v>Eksempel 1 (interval)</v>
      </c>
      <c r="G1299" s="188" t="str" cm="1">
        <f t="array" ref="G1299">IF(LineærRegression_Valg[[#This Row],[Indenfor range]],IF(LineærRegression_Valg[[#This Row],[Intet overlap]],INDEX(DataTitel_liste,LineærRegression_Valg[[#This Row],[Uafhængig variabel ID]]),INDEX(DataTitel_liste,IF(LineærRegression_Valg[[#This Row],[Afhængig variabel ID]]=1,2,1))),$B$7)</f>
        <v>Eksempel 2 (interval)</v>
      </c>
      <c r="H1299" s="188">
        <f>_xlfn.AGGREGATE(2,5,LineærRegression_Valg[[#This Row],[Tabel ID]])</f>
        <v>1</v>
      </c>
    </row>
    <row r="1300" spans="1:8" x14ac:dyDescent="0.2">
      <c r="A1300">
        <f>ROW(LineærRegression_Valg[[#This Row],[Tabel ID]])-ROW(LineærRegression_Valg[[#Headers],[Tabel ID]])</f>
        <v>1290</v>
      </c>
      <c r="B1300" s="188">
        <f>ROUNDDOWN((LineærRegression_Valg[[#This Row],[Tabel ID]]-1)/$B$5,0)+1</f>
        <v>323</v>
      </c>
      <c r="C1300" s="188">
        <f t="shared" si="20"/>
        <v>2</v>
      </c>
      <c r="D1300" s="188" t="b">
        <f>LineærRegression_Valg[[#This Row],[Afhængig variabel ID]]&lt;&gt;LineærRegression_Valg[[#This Row],[Uafhængig variabel ID]]</f>
        <v>1</v>
      </c>
      <c r="E1300" t="b">
        <f>LineærRegression_Valg[[#This Row],[Afhængig variabel ID]]&lt;=$B$5</f>
        <v>0</v>
      </c>
      <c r="F1300" t="str" cm="1">
        <f t="array" ref="F1300">IF(LineærRegression_Valg[[#This Row],[Indenfor range]],INDEX(DataTitel_liste,LineærRegression_Valg[[#This Row],[Afhængig variabel ID]]),INDEX(DataTitel_liste,1))</f>
        <v>Eksempel 1 (interval)</v>
      </c>
      <c r="G1300" s="188" t="str" cm="1">
        <f t="array" ref="G1300">IF(LineærRegression_Valg[[#This Row],[Indenfor range]],IF(LineærRegression_Valg[[#This Row],[Intet overlap]],INDEX(DataTitel_liste,LineærRegression_Valg[[#This Row],[Uafhængig variabel ID]]),INDEX(DataTitel_liste,IF(LineærRegression_Valg[[#This Row],[Afhængig variabel ID]]=1,2,1))),$B$7)</f>
        <v>Eksempel 2 (interval)</v>
      </c>
      <c r="H1300" s="188">
        <f>_xlfn.AGGREGATE(2,5,LineærRegression_Valg[[#This Row],[Tabel ID]])</f>
        <v>1</v>
      </c>
    </row>
    <row r="1301" spans="1:8" x14ac:dyDescent="0.2">
      <c r="A1301">
        <f>ROW(LineærRegression_Valg[[#This Row],[Tabel ID]])-ROW(LineærRegression_Valg[[#Headers],[Tabel ID]])</f>
        <v>1291</v>
      </c>
      <c r="B1301" s="188">
        <f>ROUNDDOWN((LineærRegression_Valg[[#This Row],[Tabel ID]]-1)/$B$5,0)+1</f>
        <v>323</v>
      </c>
      <c r="C1301" s="188">
        <f t="shared" si="20"/>
        <v>3</v>
      </c>
      <c r="D1301" s="188" t="b">
        <f>LineærRegression_Valg[[#This Row],[Afhængig variabel ID]]&lt;&gt;LineærRegression_Valg[[#This Row],[Uafhængig variabel ID]]</f>
        <v>1</v>
      </c>
      <c r="E1301" t="b">
        <f>LineærRegression_Valg[[#This Row],[Afhængig variabel ID]]&lt;=$B$5</f>
        <v>0</v>
      </c>
      <c r="F1301" t="str" cm="1">
        <f t="array" ref="F1301">IF(LineærRegression_Valg[[#This Row],[Indenfor range]],INDEX(DataTitel_liste,LineærRegression_Valg[[#This Row],[Afhængig variabel ID]]),INDEX(DataTitel_liste,1))</f>
        <v>Eksempel 1 (interval)</v>
      </c>
      <c r="G1301" s="188" t="str" cm="1">
        <f t="array" ref="G1301">IF(LineærRegression_Valg[[#This Row],[Indenfor range]],IF(LineærRegression_Valg[[#This Row],[Intet overlap]],INDEX(DataTitel_liste,LineærRegression_Valg[[#This Row],[Uafhængig variabel ID]]),INDEX(DataTitel_liste,IF(LineærRegression_Valg[[#This Row],[Afhængig variabel ID]]=1,2,1))),$B$7)</f>
        <v>Eksempel 2 (interval)</v>
      </c>
      <c r="H1301" s="188">
        <f>_xlfn.AGGREGATE(2,5,LineærRegression_Valg[[#This Row],[Tabel ID]])</f>
        <v>1</v>
      </c>
    </row>
    <row r="1302" spans="1:8" x14ac:dyDescent="0.2">
      <c r="A1302">
        <f>ROW(LineærRegression_Valg[[#This Row],[Tabel ID]])-ROW(LineærRegression_Valg[[#Headers],[Tabel ID]])</f>
        <v>1292</v>
      </c>
      <c r="B1302" s="188">
        <f>ROUNDDOWN((LineærRegression_Valg[[#This Row],[Tabel ID]]-1)/$B$5,0)+1</f>
        <v>323</v>
      </c>
      <c r="C1302" s="188">
        <f t="shared" si="20"/>
        <v>4</v>
      </c>
      <c r="D1302" s="188" t="b">
        <f>LineærRegression_Valg[[#This Row],[Afhængig variabel ID]]&lt;&gt;LineærRegression_Valg[[#This Row],[Uafhængig variabel ID]]</f>
        <v>1</v>
      </c>
      <c r="E1302" t="b">
        <f>LineærRegression_Valg[[#This Row],[Afhængig variabel ID]]&lt;=$B$5</f>
        <v>0</v>
      </c>
      <c r="F1302" t="str" cm="1">
        <f t="array" ref="F1302">IF(LineærRegression_Valg[[#This Row],[Indenfor range]],INDEX(DataTitel_liste,LineærRegression_Valg[[#This Row],[Afhængig variabel ID]]),INDEX(DataTitel_liste,1))</f>
        <v>Eksempel 1 (interval)</v>
      </c>
      <c r="G1302" s="188" t="str" cm="1">
        <f t="array" ref="G1302">IF(LineærRegression_Valg[[#This Row],[Indenfor range]],IF(LineærRegression_Valg[[#This Row],[Intet overlap]],INDEX(DataTitel_liste,LineærRegression_Valg[[#This Row],[Uafhængig variabel ID]]),INDEX(DataTitel_liste,IF(LineærRegression_Valg[[#This Row],[Afhængig variabel ID]]=1,2,1))),$B$7)</f>
        <v>Eksempel 2 (interval)</v>
      </c>
      <c r="H1302" s="188">
        <f>_xlfn.AGGREGATE(2,5,LineærRegression_Valg[[#This Row],[Tabel ID]])</f>
        <v>1</v>
      </c>
    </row>
    <row r="1303" spans="1:8" x14ac:dyDescent="0.2">
      <c r="A1303">
        <f>ROW(LineærRegression_Valg[[#This Row],[Tabel ID]])-ROW(LineærRegression_Valg[[#Headers],[Tabel ID]])</f>
        <v>1293</v>
      </c>
      <c r="B1303" s="188">
        <f>ROUNDDOWN((LineærRegression_Valg[[#This Row],[Tabel ID]]-1)/$B$5,0)+1</f>
        <v>324</v>
      </c>
      <c r="C1303" s="188">
        <f t="shared" si="20"/>
        <v>1</v>
      </c>
      <c r="D1303" s="188" t="b">
        <f>LineærRegression_Valg[[#This Row],[Afhængig variabel ID]]&lt;&gt;LineærRegression_Valg[[#This Row],[Uafhængig variabel ID]]</f>
        <v>1</v>
      </c>
      <c r="E1303" t="b">
        <f>LineærRegression_Valg[[#This Row],[Afhængig variabel ID]]&lt;=$B$5</f>
        <v>0</v>
      </c>
      <c r="F1303" t="str" cm="1">
        <f t="array" ref="F1303">IF(LineærRegression_Valg[[#This Row],[Indenfor range]],INDEX(DataTitel_liste,LineærRegression_Valg[[#This Row],[Afhængig variabel ID]]),INDEX(DataTitel_liste,1))</f>
        <v>Eksempel 1 (interval)</v>
      </c>
      <c r="G1303" s="188" t="str" cm="1">
        <f t="array" ref="G1303">IF(LineærRegression_Valg[[#This Row],[Indenfor range]],IF(LineærRegression_Valg[[#This Row],[Intet overlap]],INDEX(DataTitel_liste,LineærRegression_Valg[[#This Row],[Uafhængig variabel ID]]),INDEX(DataTitel_liste,IF(LineærRegression_Valg[[#This Row],[Afhængig variabel ID]]=1,2,1))),$B$7)</f>
        <v>Eksempel 2 (interval)</v>
      </c>
      <c r="H1303" s="188">
        <f>_xlfn.AGGREGATE(2,5,LineærRegression_Valg[[#This Row],[Tabel ID]])</f>
        <v>1</v>
      </c>
    </row>
    <row r="1304" spans="1:8" x14ac:dyDescent="0.2">
      <c r="A1304">
        <f>ROW(LineærRegression_Valg[[#This Row],[Tabel ID]])-ROW(LineærRegression_Valg[[#Headers],[Tabel ID]])</f>
        <v>1294</v>
      </c>
      <c r="B1304" s="188">
        <f>ROUNDDOWN((LineærRegression_Valg[[#This Row],[Tabel ID]]-1)/$B$5,0)+1</f>
        <v>324</v>
      </c>
      <c r="C1304" s="188">
        <f t="shared" si="20"/>
        <v>2</v>
      </c>
      <c r="D1304" s="188" t="b">
        <f>LineærRegression_Valg[[#This Row],[Afhængig variabel ID]]&lt;&gt;LineærRegression_Valg[[#This Row],[Uafhængig variabel ID]]</f>
        <v>1</v>
      </c>
      <c r="E1304" t="b">
        <f>LineærRegression_Valg[[#This Row],[Afhængig variabel ID]]&lt;=$B$5</f>
        <v>0</v>
      </c>
      <c r="F1304" t="str" cm="1">
        <f t="array" ref="F1304">IF(LineærRegression_Valg[[#This Row],[Indenfor range]],INDEX(DataTitel_liste,LineærRegression_Valg[[#This Row],[Afhængig variabel ID]]),INDEX(DataTitel_liste,1))</f>
        <v>Eksempel 1 (interval)</v>
      </c>
      <c r="G1304" s="188" t="str" cm="1">
        <f t="array" ref="G1304">IF(LineærRegression_Valg[[#This Row],[Indenfor range]],IF(LineærRegression_Valg[[#This Row],[Intet overlap]],INDEX(DataTitel_liste,LineærRegression_Valg[[#This Row],[Uafhængig variabel ID]]),INDEX(DataTitel_liste,IF(LineærRegression_Valg[[#This Row],[Afhængig variabel ID]]=1,2,1))),$B$7)</f>
        <v>Eksempel 2 (interval)</v>
      </c>
      <c r="H1304" s="188">
        <f>_xlfn.AGGREGATE(2,5,LineærRegression_Valg[[#This Row],[Tabel ID]])</f>
        <v>1</v>
      </c>
    </row>
    <row r="1305" spans="1:8" x14ac:dyDescent="0.2">
      <c r="A1305">
        <f>ROW(LineærRegression_Valg[[#This Row],[Tabel ID]])-ROW(LineærRegression_Valg[[#Headers],[Tabel ID]])</f>
        <v>1295</v>
      </c>
      <c r="B1305" s="188">
        <f>ROUNDDOWN((LineærRegression_Valg[[#This Row],[Tabel ID]]-1)/$B$5,0)+1</f>
        <v>324</v>
      </c>
      <c r="C1305" s="188">
        <f t="shared" si="20"/>
        <v>3</v>
      </c>
      <c r="D1305" s="188" t="b">
        <f>LineærRegression_Valg[[#This Row],[Afhængig variabel ID]]&lt;&gt;LineærRegression_Valg[[#This Row],[Uafhængig variabel ID]]</f>
        <v>1</v>
      </c>
      <c r="E1305" t="b">
        <f>LineærRegression_Valg[[#This Row],[Afhængig variabel ID]]&lt;=$B$5</f>
        <v>0</v>
      </c>
      <c r="F1305" t="str" cm="1">
        <f t="array" ref="F1305">IF(LineærRegression_Valg[[#This Row],[Indenfor range]],INDEX(DataTitel_liste,LineærRegression_Valg[[#This Row],[Afhængig variabel ID]]),INDEX(DataTitel_liste,1))</f>
        <v>Eksempel 1 (interval)</v>
      </c>
      <c r="G1305" s="188" t="str" cm="1">
        <f t="array" ref="G1305">IF(LineærRegression_Valg[[#This Row],[Indenfor range]],IF(LineærRegression_Valg[[#This Row],[Intet overlap]],INDEX(DataTitel_liste,LineærRegression_Valg[[#This Row],[Uafhængig variabel ID]]),INDEX(DataTitel_liste,IF(LineærRegression_Valg[[#This Row],[Afhængig variabel ID]]=1,2,1))),$B$7)</f>
        <v>Eksempel 2 (interval)</v>
      </c>
      <c r="H1305" s="188">
        <f>_xlfn.AGGREGATE(2,5,LineærRegression_Valg[[#This Row],[Tabel ID]])</f>
        <v>1</v>
      </c>
    </row>
    <row r="1306" spans="1:8" x14ac:dyDescent="0.2">
      <c r="A1306">
        <f>ROW(LineærRegression_Valg[[#This Row],[Tabel ID]])-ROW(LineærRegression_Valg[[#Headers],[Tabel ID]])</f>
        <v>1296</v>
      </c>
      <c r="B1306" s="188">
        <f>ROUNDDOWN((LineærRegression_Valg[[#This Row],[Tabel ID]]-1)/$B$5,0)+1</f>
        <v>324</v>
      </c>
      <c r="C1306" s="188">
        <f t="shared" si="20"/>
        <v>4</v>
      </c>
      <c r="D1306" s="188" t="b">
        <f>LineærRegression_Valg[[#This Row],[Afhængig variabel ID]]&lt;&gt;LineærRegression_Valg[[#This Row],[Uafhængig variabel ID]]</f>
        <v>1</v>
      </c>
      <c r="E1306" t="b">
        <f>LineærRegression_Valg[[#This Row],[Afhængig variabel ID]]&lt;=$B$5</f>
        <v>0</v>
      </c>
      <c r="F1306" t="str" cm="1">
        <f t="array" ref="F1306">IF(LineærRegression_Valg[[#This Row],[Indenfor range]],INDEX(DataTitel_liste,LineærRegression_Valg[[#This Row],[Afhængig variabel ID]]),INDEX(DataTitel_liste,1))</f>
        <v>Eksempel 1 (interval)</v>
      </c>
      <c r="G1306" s="188" t="str" cm="1">
        <f t="array" ref="G1306">IF(LineærRegression_Valg[[#This Row],[Indenfor range]],IF(LineærRegression_Valg[[#This Row],[Intet overlap]],INDEX(DataTitel_liste,LineærRegression_Valg[[#This Row],[Uafhængig variabel ID]]),INDEX(DataTitel_liste,IF(LineærRegression_Valg[[#This Row],[Afhængig variabel ID]]=1,2,1))),$B$7)</f>
        <v>Eksempel 2 (interval)</v>
      </c>
      <c r="H1306" s="188">
        <f>_xlfn.AGGREGATE(2,5,LineærRegression_Valg[[#This Row],[Tabel ID]])</f>
        <v>1</v>
      </c>
    </row>
    <row r="1307" spans="1:8" x14ac:dyDescent="0.2">
      <c r="A1307">
        <f>ROW(LineærRegression_Valg[[#This Row],[Tabel ID]])-ROW(LineærRegression_Valg[[#Headers],[Tabel ID]])</f>
        <v>1297</v>
      </c>
      <c r="B1307" s="188">
        <f>ROUNDDOWN((LineærRegression_Valg[[#This Row],[Tabel ID]]-1)/$B$5,0)+1</f>
        <v>325</v>
      </c>
      <c r="C1307" s="188">
        <f t="shared" si="20"/>
        <v>1</v>
      </c>
      <c r="D1307" s="188" t="b">
        <f>LineærRegression_Valg[[#This Row],[Afhængig variabel ID]]&lt;&gt;LineærRegression_Valg[[#This Row],[Uafhængig variabel ID]]</f>
        <v>1</v>
      </c>
      <c r="E1307" t="b">
        <f>LineærRegression_Valg[[#This Row],[Afhængig variabel ID]]&lt;=$B$5</f>
        <v>0</v>
      </c>
      <c r="F1307" t="str" cm="1">
        <f t="array" ref="F1307">IF(LineærRegression_Valg[[#This Row],[Indenfor range]],INDEX(DataTitel_liste,LineærRegression_Valg[[#This Row],[Afhængig variabel ID]]),INDEX(DataTitel_liste,1))</f>
        <v>Eksempel 1 (interval)</v>
      </c>
      <c r="G1307" s="188" t="str" cm="1">
        <f t="array" ref="G1307">IF(LineærRegression_Valg[[#This Row],[Indenfor range]],IF(LineærRegression_Valg[[#This Row],[Intet overlap]],INDEX(DataTitel_liste,LineærRegression_Valg[[#This Row],[Uafhængig variabel ID]]),INDEX(DataTitel_liste,IF(LineærRegression_Valg[[#This Row],[Afhængig variabel ID]]=1,2,1))),$B$7)</f>
        <v>Eksempel 2 (interval)</v>
      </c>
      <c r="H1307" s="188">
        <f>_xlfn.AGGREGATE(2,5,LineærRegression_Valg[[#This Row],[Tabel ID]])</f>
        <v>1</v>
      </c>
    </row>
    <row r="1308" spans="1:8" x14ac:dyDescent="0.2">
      <c r="A1308">
        <f>ROW(LineærRegression_Valg[[#This Row],[Tabel ID]])-ROW(LineærRegression_Valg[[#Headers],[Tabel ID]])</f>
        <v>1298</v>
      </c>
      <c r="B1308" s="188">
        <f>ROUNDDOWN((LineærRegression_Valg[[#This Row],[Tabel ID]]-1)/$B$5,0)+1</f>
        <v>325</v>
      </c>
      <c r="C1308" s="188">
        <f t="shared" si="20"/>
        <v>2</v>
      </c>
      <c r="D1308" s="188" t="b">
        <f>LineærRegression_Valg[[#This Row],[Afhængig variabel ID]]&lt;&gt;LineærRegression_Valg[[#This Row],[Uafhængig variabel ID]]</f>
        <v>1</v>
      </c>
      <c r="E1308" t="b">
        <f>LineærRegression_Valg[[#This Row],[Afhængig variabel ID]]&lt;=$B$5</f>
        <v>0</v>
      </c>
      <c r="F1308" t="str" cm="1">
        <f t="array" ref="F1308">IF(LineærRegression_Valg[[#This Row],[Indenfor range]],INDEX(DataTitel_liste,LineærRegression_Valg[[#This Row],[Afhængig variabel ID]]),INDEX(DataTitel_liste,1))</f>
        <v>Eksempel 1 (interval)</v>
      </c>
      <c r="G1308" s="188" t="str" cm="1">
        <f t="array" ref="G1308">IF(LineærRegression_Valg[[#This Row],[Indenfor range]],IF(LineærRegression_Valg[[#This Row],[Intet overlap]],INDEX(DataTitel_liste,LineærRegression_Valg[[#This Row],[Uafhængig variabel ID]]),INDEX(DataTitel_liste,IF(LineærRegression_Valg[[#This Row],[Afhængig variabel ID]]=1,2,1))),$B$7)</f>
        <v>Eksempel 2 (interval)</v>
      </c>
      <c r="H1308" s="188">
        <f>_xlfn.AGGREGATE(2,5,LineærRegression_Valg[[#This Row],[Tabel ID]])</f>
        <v>1</v>
      </c>
    </row>
    <row r="1309" spans="1:8" x14ac:dyDescent="0.2">
      <c r="A1309">
        <f>ROW(LineærRegression_Valg[[#This Row],[Tabel ID]])-ROW(LineærRegression_Valg[[#Headers],[Tabel ID]])</f>
        <v>1299</v>
      </c>
      <c r="B1309" s="188">
        <f>ROUNDDOWN((LineærRegression_Valg[[#This Row],[Tabel ID]]-1)/$B$5,0)+1</f>
        <v>325</v>
      </c>
      <c r="C1309" s="188">
        <f t="shared" si="20"/>
        <v>3</v>
      </c>
      <c r="D1309" s="188" t="b">
        <f>LineærRegression_Valg[[#This Row],[Afhængig variabel ID]]&lt;&gt;LineærRegression_Valg[[#This Row],[Uafhængig variabel ID]]</f>
        <v>1</v>
      </c>
      <c r="E1309" t="b">
        <f>LineærRegression_Valg[[#This Row],[Afhængig variabel ID]]&lt;=$B$5</f>
        <v>0</v>
      </c>
      <c r="F1309" t="str" cm="1">
        <f t="array" ref="F1309">IF(LineærRegression_Valg[[#This Row],[Indenfor range]],INDEX(DataTitel_liste,LineærRegression_Valg[[#This Row],[Afhængig variabel ID]]),INDEX(DataTitel_liste,1))</f>
        <v>Eksempel 1 (interval)</v>
      </c>
      <c r="G1309" s="188" t="str" cm="1">
        <f t="array" ref="G1309">IF(LineærRegression_Valg[[#This Row],[Indenfor range]],IF(LineærRegression_Valg[[#This Row],[Intet overlap]],INDEX(DataTitel_liste,LineærRegression_Valg[[#This Row],[Uafhængig variabel ID]]),INDEX(DataTitel_liste,IF(LineærRegression_Valg[[#This Row],[Afhængig variabel ID]]=1,2,1))),$B$7)</f>
        <v>Eksempel 2 (interval)</v>
      </c>
      <c r="H1309" s="188">
        <f>_xlfn.AGGREGATE(2,5,LineærRegression_Valg[[#This Row],[Tabel ID]])</f>
        <v>1</v>
      </c>
    </row>
    <row r="1310" spans="1:8" x14ac:dyDescent="0.2">
      <c r="A1310">
        <f>ROW(LineærRegression_Valg[[#This Row],[Tabel ID]])-ROW(LineærRegression_Valg[[#Headers],[Tabel ID]])</f>
        <v>1300</v>
      </c>
      <c r="B1310" s="188">
        <f>ROUNDDOWN((LineærRegression_Valg[[#This Row],[Tabel ID]]-1)/$B$5,0)+1</f>
        <v>325</v>
      </c>
      <c r="C1310" s="188">
        <f t="shared" si="20"/>
        <v>4</v>
      </c>
      <c r="D1310" s="188" t="b">
        <f>LineærRegression_Valg[[#This Row],[Afhængig variabel ID]]&lt;&gt;LineærRegression_Valg[[#This Row],[Uafhængig variabel ID]]</f>
        <v>1</v>
      </c>
      <c r="E1310" t="b">
        <f>LineærRegression_Valg[[#This Row],[Afhængig variabel ID]]&lt;=$B$5</f>
        <v>0</v>
      </c>
      <c r="F1310" t="str" cm="1">
        <f t="array" ref="F1310">IF(LineærRegression_Valg[[#This Row],[Indenfor range]],INDEX(DataTitel_liste,LineærRegression_Valg[[#This Row],[Afhængig variabel ID]]),INDEX(DataTitel_liste,1))</f>
        <v>Eksempel 1 (interval)</v>
      </c>
      <c r="G1310" s="188" t="str" cm="1">
        <f t="array" ref="G1310">IF(LineærRegression_Valg[[#This Row],[Indenfor range]],IF(LineærRegression_Valg[[#This Row],[Intet overlap]],INDEX(DataTitel_liste,LineærRegression_Valg[[#This Row],[Uafhængig variabel ID]]),INDEX(DataTitel_liste,IF(LineærRegression_Valg[[#This Row],[Afhængig variabel ID]]=1,2,1))),$B$7)</f>
        <v>Eksempel 2 (interval)</v>
      </c>
      <c r="H1310" s="188">
        <f>_xlfn.AGGREGATE(2,5,LineærRegression_Valg[[#This Row],[Tabel ID]])</f>
        <v>1</v>
      </c>
    </row>
    <row r="1311" spans="1:8" x14ac:dyDescent="0.2">
      <c r="A1311">
        <f>ROW(LineærRegression_Valg[[#This Row],[Tabel ID]])-ROW(LineærRegression_Valg[[#Headers],[Tabel ID]])</f>
        <v>1301</v>
      </c>
      <c r="B1311" s="188">
        <f>ROUNDDOWN((LineærRegression_Valg[[#This Row],[Tabel ID]]-1)/$B$5,0)+1</f>
        <v>326</v>
      </c>
      <c r="C1311" s="188">
        <f t="shared" si="20"/>
        <v>1</v>
      </c>
      <c r="D1311" s="188" t="b">
        <f>LineærRegression_Valg[[#This Row],[Afhængig variabel ID]]&lt;&gt;LineærRegression_Valg[[#This Row],[Uafhængig variabel ID]]</f>
        <v>1</v>
      </c>
      <c r="E1311" t="b">
        <f>LineærRegression_Valg[[#This Row],[Afhængig variabel ID]]&lt;=$B$5</f>
        <v>0</v>
      </c>
      <c r="F1311" t="str" cm="1">
        <f t="array" ref="F1311">IF(LineærRegression_Valg[[#This Row],[Indenfor range]],INDEX(DataTitel_liste,LineærRegression_Valg[[#This Row],[Afhængig variabel ID]]),INDEX(DataTitel_liste,1))</f>
        <v>Eksempel 1 (interval)</v>
      </c>
      <c r="G1311" s="188" t="str" cm="1">
        <f t="array" ref="G1311">IF(LineærRegression_Valg[[#This Row],[Indenfor range]],IF(LineærRegression_Valg[[#This Row],[Intet overlap]],INDEX(DataTitel_liste,LineærRegression_Valg[[#This Row],[Uafhængig variabel ID]]),INDEX(DataTitel_liste,IF(LineærRegression_Valg[[#This Row],[Afhængig variabel ID]]=1,2,1))),$B$7)</f>
        <v>Eksempel 2 (interval)</v>
      </c>
      <c r="H1311" s="188">
        <f>_xlfn.AGGREGATE(2,5,LineærRegression_Valg[[#This Row],[Tabel ID]])</f>
        <v>1</v>
      </c>
    </row>
    <row r="1312" spans="1:8" x14ac:dyDescent="0.2">
      <c r="A1312">
        <f>ROW(LineærRegression_Valg[[#This Row],[Tabel ID]])-ROW(LineærRegression_Valg[[#Headers],[Tabel ID]])</f>
        <v>1302</v>
      </c>
      <c r="B1312" s="188">
        <f>ROUNDDOWN((LineærRegression_Valg[[#This Row],[Tabel ID]]-1)/$B$5,0)+1</f>
        <v>326</v>
      </c>
      <c r="C1312" s="188">
        <f t="shared" si="20"/>
        <v>2</v>
      </c>
      <c r="D1312" s="188" t="b">
        <f>LineærRegression_Valg[[#This Row],[Afhængig variabel ID]]&lt;&gt;LineærRegression_Valg[[#This Row],[Uafhængig variabel ID]]</f>
        <v>1</v>
      </c>
      <c r="E1312" t="b">
        <f>LineærRegression_Valg[[#This Row],[Afhængig variabel ID]]&lt;=$B$5</f>
        <v>0</v>
      </c>
      <c r="F1312" t="str" cm="1">
        <f t="array" ref="F1312">IF(LineærRegression_Valg[[#This Row],[Indenfor range]],INDEX(DataTitel_liste,LineærRegression_Valg[[#This Row],[Afhængig variabel ID]]),INDEX(DataTitel_liste,1))</f>
        <v>Eksempel 1 (interval)</v>
      </c>
      <c r="G1312" s="188" t="str" cm="1">
        <f t="array" ref="G1312">IF(LineærRegression_Valg[[#This Row],[Indenfor range]],IF(LineærRegression_Valg[[#This Row],[Intet overlap]],INDEX(DataTitel_liste,LineærRegression_Valg[[#This Row],[Uafhængig variabel ID]]),INDEX(DataTitel_liste,IF(LineærRegression_Valg[[#This Row],[Afhængig variabel ID]]=1,2,1))),$B$7)</f>
        <v>Eksempel 2 (interval)</v>
      </c>
      <c r="H1312" s="188">
        <f>_xlfn.AGGREGATE(2,5,LineærRegression_Valg[[#This Row],[Tabel ID]])</f>
        <v>1</v>
      </c>
    </row>
    <row r="1313" spans="1:8" x14ac:dyDescent="0.2">
      <c r="A1313">
        <f>ROW(LineærRegression_Valg[[#This Row],[Tabel ID]])-ROW(LineærRegression_Valg[[#Headers],[Tabel ID]])</f>
        <v>1303</v>
      </c>
      <c r="B1313" s="188">
        <f>ROUNDDOWN((LineærRegression_Valg[[#This Row],[Tabel ID]]-1)/$B$5,0)+1</f>
        <v>326</v>
      </c>
      <c r="C1313" s="188">
        <f t="shared" si="20"/>
        <v>3</v>
      </c>
      <c r="D1313" s="188" t="b">
        <f>LineærRegression_Valg[[#This Row],[Afhængig variabel ID]]&lt;&gt;LineærRegression_Valg[[#This Row],[Uafhængig variabel ID]]</f>
        <v>1</v>
      </c>
      <c r="E1313" t="b">
        <f>LineærRegression_Valg[[#This Row],[Afhængig variabel ID]]&lt;=$B$5</f>
        <v>0</v>
      </c>
      <c r="F1313" t="str" cm="1">
        <f t="array" ref="F1313">IF(LineærRegression_Valg[[#This Row],[Indenfor range]],INDEX(DataTitel_liste,LineærRegression_Valg[[#This Row],[Afhængig variabel ID]]),INDEX(DataTitel_liste,1))</f>
        <v>Eksempel 1 (interval)</v>
      </c>
      <c r="G1313" s="188" t="str" cm="1">
        <f t="array" ref="G1313">IF(LineærRegression_Valg[[#This Row],[Indenfor range]],IF(LineærRegression_Valg[[#This Row],[Intet overlap]],INDEX(DataTitel_liste,LineærRegression_Valg[[#This Row],[Uafhængig variabel ID]]),INDEX(DataTitel_liste,IF(LineærRegression_Valg[[#This Row],[Afhængig variabel ID]]=1,2,1))),$B$7)</f>
        <v>Eksempel 2 (interval)</v>
      </c>
      <c r="H1313" s="188">
        <f>_xlfn.AGGREGATE(2,5,LineærRegression_Valg[[#This Row],[Tabel ID]])</f>
        <v>1</v>
      </c>
    </row>
    <row r="1314" spans="1:8" x14ac:dyDescent="0.2">
      <c r="A1314">
        <f>ROW(LineærRegression_Valg[[#This Row],[Tabel ID]])-ROW(LineærRegression_Valg[[#Headers],[Tabel ID]])</f>
        <v>1304</v>
      </c>
      <c r="B1314" s="188">
        <f>ROUNDDOWN((LineærRegression_Valg[[#This Row],[Tabel ID]]-1)/$B$5,0)+1</f>
        <v>326</v>
      </c>
      <c r="C1314" s="188">
        <f t="shared" si="20"/>
        <v>4</v>
      </c>
      <c r="D1314" s="188" t="b">
        <f>LineærRegression_Valg[[#This Row],[Afhængig variabel ID]]&lt;&gt;LineærRegression_Valg[[#This Row],[Uafhængig variabel ID]]</f>
        <v>1</v>
      </c>
      <c r="E1314" t="b">
        <f>LineærRegression_Valg[[#This Row],[Afhængig variabel ID]]&lt;=$B$5</f>
        <v>0</v>
      </c>
      <c r="F1314" t="str" cm="1">
        <f t="array" ref="F1314">IF(LineærRegression_Valg[[#This Row],[Indenfor range]],INDEX(DataTitel_liste,LineærRegression_Valg[[#This Row],[Afhængig variabel ID]]),INDEX(DataTitel_liste,1))</f>
        <v>Eksempel 1 (interval)</v>
      </c>
      <c r="G1314" s="188" t="str" cm="1">
        <f t="array" ref="G1314">IF(LineærRegression_Valg[[#This Row],[Indenfor range]],IF(LineærRegression_Valg[[#This Row],[Intet overlap]],INDEX(DataTitel_liste,LineærRegression_Valg[[#This Row],[Uafhængig variabel ID]]),INDEX(DataTitel_liste,IF(LineærRegression_Valg[[#This Row],[Afhængig variabel ID]]=1,2,1))),$B$7)</f>
        <v>Eksempel 2 (interval)</v>
      </c>
      <c r="H1314" s="188">
        <f>_xlfn.AGGREGATE(2,5,LineærRegression_Valg[[#This Row],[Tabel ID]])</f>
        <v>1</v>
      </c>
    </row>
    <row r="1315" spans="1:8" x14ac:dyDescent="0.2">
      <c r="A1315">
        <f>ROW(LineærRegression_Valg[[#This Row],[Tabel ID]])-ROW(LineærRegression_Valg[[#Headers],[Tabel ID]])</f>
        <v>1305</v>
      </c>
      <c r="B1315" s="188">
        <f>ROUNDDOWN((LineærRegression_Valg[[#This Row],[Tabel ID]]-1)/$B$5,0)+1</f>
        <v>327</v>
      </c>
      <c r="C1315" s="188">
        <f t="shared" si="20"/>
        <v>1</v>
      </c>
      <c r="D1315" s="188" t="b">
        <f>LineærRegression_Valg[[#This Row],[Afhængig variabel ID]]&lt;&gt;LineærRegression_Valg[[#This Row],[Uafhængig variabel ID]]</f>
        <v>1</v>
      </c>
      <c r="E1315" t="b">
        <f>LineærRegression_Valg[[#This Row],[Afhængig variabel ID]]&lt;=$B$5</f>
        <v>0</v>
      </c>
      <c r="F1315" t="str" cm="1">
        <f t="array" ref="F1315">IF(LineærRegression_Valg[[#This Row],[Indenfor range]],INDEX(DataTitel_liste,LineærRegression_Valg[[#This Row],[Afhængig variabel ID]]),INDEX(DataTitel_liste,1))</f>
        <v>Eksempel 1 (interval)</v>
      </c>
      <c r="G1315" s="188" t="str" cm="1">
        <f t="array" ref="G1315">IF(LineærRegression_Valg[[#This Row],[Indenfor range]],IF(LineærRegression_Valg[[#This Row],[Intet overlap]],INDEX(DataTitel_liste,LineærRegression_Valg[[#This Row],[Uafhængig variabel ID]]),INDEX(DataTitel_liste,IF(LineærRegression_Valg[[#This Row],[Afhængig variabel ID]]=1,2,1))),$B$7)</f>
        <v>Eksempel 2 (interval)</v>
      </c>
      <c r="H1315" s="188">
        <f>_xlfn.AGGREGATE(2,5,LineærRegression_Valg[[#This Row],[Tabel ID]])</f>
        <v>1</v>
      </c>
    </row>
    <row r="1316" spans="1:8" x14ac:dyDescent="0.2">
      <c r="A1316">
        <f>ROW(LineærRegression_Valg[[#This Row],[Tabel ID]])-ROW(LineærRegression_Valg[[#Headers],[Tabel ID]])</f>
        <v>1306</v>
      </c>
      <c r="B1316" s="188">
        <f>ROUNDDOWN((LineærRegression_Valg[[#This Row],[Tabel ID]]-1)/$B$5,0)+1</f>
        <v>327</v>
      </c>
      <c r="C1316" s="188">
        <f t="shared" si="20"/>
        <v>2</v>
      </c>
      <c r="D1316" s="188" t="b">
        <f>LineærRegression_Valg[[#This Row],[Afhængig variabel ID]]&lt;&gt;LineærRegression_Valg[[#This Row],[Uafhængig variabel ID]]</f>
        <v>1</v>
      </c>
      <c r="E1316" t="b">
        <f>LineærRegression_Valg[[#This Row],[Afhængig variabel ID]]&lt;=$B$5</f>
        <v>0</v>
      </c>
      <c r="F1316" t="str" cm="1">
        <f t="array" ref="F1316">IF(LineærRegression_Valg[[#This Row],[Indenfor range]],INDEX(DataTitel_liste,LineærRegression_Valg[[#This Row],[Afhængig variabel ID]]),INDEX(DataTitel_liste,1))</f>
        <v>Eksempel 1 (interval)</v>
      </c>
      <c r="G1316" s="188" t="str" cm="1">
        <f t="array" ref="G1316">IF(LineærRegression_Valg[[#This Row],[Indenfor range]],IF(LineærRegression_Valg[[#This Row],[Intet overlap]],INDEX(DataTitel_liste,LineærRegression_Valg[[#This Row],[Uafhængig variabel ID]]),INDEX(DataTitel_liste,IF(LineærRegression_Valg[[#This Row],[Afhængig variabel ID]]=1,2,1))),$B$7)</f>
        <v>Eksempel 2 (interval)</v>
      </c>
      <c r="H1316" s="188">
        <f>_xlfn.AGGREGATE(2,5,LineærRegression_Valg[[#This Row],[Tabel ID]])</f>
        <v>1</v>
      </c>
    </row>
    <row r="1317" spans="1:8" x14ac:dyDescent="0.2">
      <c r="A1317">
        <f>ROW(LineærRegression_Valg[[#This Row],[Tabel ID]])-ROW(LineærRegression_Valg[[#Headers],[Tabel ID]])</f>
        <v>1307</v>
      </c>
      <c r="B1317" s="188">
        <f>ROUNDDOWN((LineærRegression_Valg[[#This Row],[Tabel ID]]-1)/$B$5,0)+1</f>
        <v>327</v>
      </c>
      <c r="C1317" s="188">
        <f t="shared" si="20"/>
        <v>3</v>
      </c>
      <c r="D1317" s="188" t="b">
        <f>LineærRegression_Valg[[#This Row],[Afhængig variabel ID]]&lt;&gt;LineærRegression_Valg[[#This Row],[Uafhængig variabel ID]]</f>
        <v>1</v>
      </c>
      <c r="E1317" t="b">
        <f>LineærRegression_Valg[[#This Row],[Afhængig variabel ID]]&lt;=$B$5</f>
        <v>0</v>
      </c>
      <c r="F1317" t="str" cm="1">
        <f t="array" ref="F1317">IF(LineærRegression_Valg[[#This Row],[Indenfor range]],INDEX(DataTitel_liste,LineærRegression_Valg[[#This Row],[Afhængig variabel ID]]),INDEX(DataTitel_liste,1))</f>
        <v>Eksempel 1 (interval)</v>
      </c>
      <c r="G1317" s="188" t="str" cm="1">
        <f t="array" ref="G1317">IF(LineærRegression_Valg[[#This Row],[Indenfor range]],IF(LineærRegression_Valg[[#This Row],[Intet overlap]],INDEX(DataTitel_liste,LineærRegression_Valg[[#This Row],[Uafhængig variabel ID]]),INDEX(DataTitel_liste,IF(LineærRegression_Valg[[#This Row],[Afhængig variabel ID]]=1,2,1))),$B$7)</f>
        <v>Eksempel 2 (interval)</v>
      </c>
      <c r="H1317" s="188">
        <f>_xlfn.AGGREGATE(2,5,LineærRegression_Valg[[#This Row],[Tabel ID]])</f>
        <v>1</v>
      </c>
    </row>
    <row r="1318" spans="1:8" x14ac:dyDescent="0.2">
      <c r="A1318">
        <f>ROW(LineærRegression_Valg[[#This Row],[Tabel ID]])-ROW(LineærRegression_Valg[[#Headers],[Tabel ID]])</f>
        <v>1308</v>
      </c>
      <c r="B1318" s="188">
        <f>ROUNDDOWN((LineærRegression_Valg[[#This Row],[Tabel ID]]-1)/$B$5,0)+1</f>
        <v>327</v>
      </c>
      <c r="C1318" s="188">
        <f t="shared" si="20"/>
        <v>4</v>
      </c>
      <c r="D1318" s="188" t="b">
        <f>LineærRegression_Valg[[#This Row],[Afhængig variabel ID]]&lt;&gt;LineærRegression_Valg[[#This Row],[Uafhængig variabel ID]]</f>
        <v>1</v>
      </c>
      <c r="E1318" t="b">
        <f>LineærRegression_Valg[[#This Row],[Afhængig variabel ID]]&lt;=$B$5</f>
        <v>0</v>
      </c>
      <c r="F1318" t="str" cm="1">
        <f t="array" ref="F1318">IF(LineærRegression_Valg[[#This Row],[Indenfor range]],INDEX(DataTitel_liste,LineærRegression_Valg[[#This Row],[Afhængig variabel ID]]),INDEX(DataTitel_liste,1))</f>
        <v>Eksempel 1 (interval)</v>
      </c>
      <c r="G1318" s="188" t="str" cm="1">
        <f t="array" ref="G1318">IF(LineærRegression_Valg[[#This Row],[Indenfor range]],IF(LineærRegression_Valg[[#This Row],[Intet overlap]],INDEX(DataTitel_liste,LineærRegression_Valg[[#This Row],[Uafhængig variabel ID]]),INDEX(DataTitel_liste,IF(LineærRegression_Valg[[#This Row],[Afhængig variabel ID]]=1,2,1))),$B$7)</f>
        <v>Eksempel 2 (interval)</v>
      </c>
      <c r="H1318" s="188">
        <f>_xlfn.AGGREGATE(2,5,LineærRegression_Valg[[#This Row],[Tabel ID]])</f>
        <v>1</v>
      </c>
    </row>
    <row r="1319" spans="1:8" x14ac:dyDescent="0.2">
      <c r="A1319">
        <f>ROW(LineærRegression_Valg[[#This Row],[Tabel ID]])-ROW(LineærRegression_Valg[[#Headers],[Tabel ID]])</f>
        <v>1309</v>
      </c>
      <c r="B1319" s="188">
        <f>ROUNDDOWN((LineærRegression_Valg[[#This Row],[Tabel ID]]-1)/$B$5,0)+1</f>
        <v>328</v>
      </c>
      <c r="C1319" s="188">
        <f t="shared" si="20"/>
        <v>1</v>
      </c>
      <c r="D1319" s="188" t="b">
        <f>LineærRegression_Valg[[#This Row],[Afhængig variabel ID]]&lt;&gt;LineærRegression_Valg[[#This Row],[Uafhængig variabel ID]]</f>
        <v>1</v>
      </c>
      <c r="E1319" t="b">
        <f>LineærRegression_Valg[[#This Row],[Afhængig variabel ID]]&lt;=$B$5</f>
        <v>0</v>
      </c>
      <c r="F1319" t="str" cm="1">
        <f t="array" ref="F1319">IF(LineærRegression_Valg[[#This Row],[Indenfor range]],INDEX(DataTitel_liste,LineærRegression_Valg[[#This Row],[Afhængig variabel ID]]),INDEX(DataTitel_liste,1))</f>
        <v>Eksempel 1 (interval)</v>
      </c>
      <c r="G1319" s="188" t="str" cm="1">
        <f t="array" ref="G1319">IF(LineærRegression_Valg[[#This Row],[Indenfor range]],IF(LineærRegression_Valg[[#This Row],[Intet overlap]],INDEX(DataTitel_liste,LineærRegression_Valg[[#This Row],[Uafhængig variabel ID]]),INDEX(DataTitel_liste,IF(LineærRegression_Valg[[#This Row],[Afhængig variabel ID]]=1,2,1))),$B$7)</f>
        <v>Eksempel 2 (interval)</v>
      </c>
      <c r="H1319" s="188">
        <f>_xlfn.AGGREGATE(2,5,LineærRegression_Valg[[#This Row],[Tabel ID]])</f>
        <v>1</v>
      </c>
    </row>
    <row r="1320" spans="1:8" x14ac:dyDescent="0.2">
      <c r="A1320">
        <f>ROW(LineærRegression_Valg[[#This Row],[Tabel ID]])-ROW(LineærRegression_Valg[[#Headers],[Tabel ID]])</f>
        <v>1310</v>
      </c>
      <c r="B1320" s="188">
        <f>ROUNDDOWN((LineærRegression_Valg[[#This Row],[Tabel ID]]-1)/$B$5,0)+1</f>
        <v>328</v>
      </c>
      <c r="C1320" s="188">
        <f t="shared" si="20"/>
        <v>2</v>
      </c>
      <c r="D1320" s="188" t="b">
        <f>LineærRegression_Valg[[#This Row],[Afhængig variabel ID]]&lt;&gt;LineærRegression_Valg[[#This Row],[Uafhængig variabel ID]]</f>
        <v>1</v>
      </c>
      <c r="E1320" t="b">
        <f>LineærRegression_Valg[[#This Row],[Afhængig variabel ID]]&lt;=$B$5</f>
        <v>0</v>
      </c>
      <c r="F1320" t="str" cm="1">
        <f t="array" ref="F1320">IF(LineærRegression_Valg[[#This Row],[Indenfor range]],INDEX(DataTitel_liste,LineærRegression_Valg[[#This Row],[Afhængig variabel ID]]),INDEX(DataTitel_liste,1))</f>
        <v>Eksempel 1 (interval)</v>
      </c>
      <c r="G1320" s="188" t="str" cm="1">
        <f t="array" ref="G1320">IF(LineærRegression_Valg[[#This Row],[Indenfor range]],IF(LineærRegression_Valg[[#This Row],[Intet overlap]],INDEX(DataTitel_liste,LineærRegression_Valg[[#This Row],[Uafhængig variabel ID]]),INDEX(DataTitel_liste,IF(LineærRegression_Valg[[#This Row],[Afhængig variabel ID]]=1,2,1))),$B$7)</f>
        <v>Eksempel 2 (interval)</v>
      </c>
      <c r="H1320" s="188">
        <f>_xlfn.AGGREGATE(2,5,LineærRegression_Valg[[#This Row],[Tabel ID]])</f>
        <v>1</v>
      </c>
    </row>
    <row r="1321" spans="1:8" x14ac:dyDescent="0.2">
      <c r="A1321">
        <f>ROW(LineærRegression_Valg[[#This Row],[Tabel ID]])-ROW(LineærRegression_Valg[[#Headers],[Tabel ID]])</f>
        <v>1311</v>
      </c>
      <c r="B1321" s="188">
        <f>ROUNDDOWN((LineærRegression_Valg[[#This Row],[Tabel ID]]-1)/$B$5,0)+1</f>
        <v>328</v>
      </c>
      <c r="C1321" s="188">
        <f t="shared" si="20"/>
        <v>3</v>
      </c>
      <c r="D1321" s="188" t="b">
        <f>LineærRegression_Valg[[#This Row],[Afhængig variabel ID]]&lt;&gt;LineærRegression_Valg[[#This Row],[Uafhængig variabel ID]]</f>
        <v>1</v>
      </c>
      <c r="E1321" t="b">
        <f>LineærRegression_Valg[[#This Row],[Afhængig variabel ID]]&lt;=$B$5</f>
        <v>0</v>
      </c>
      <c r="F1321" t="str" cm="1">
        <f t="array" ref="F1321">IF(LineærRegression_Valg[[#This Row],[Indenfor range]],INDEX(DataTitel_liste,LineærRegression_Valg[[#This Row],[Afhængig variabel ID]]),INDEX(DataTitel_liste,1))</f>
        <v>Eksempel 1 (interval)</v>
      </c>
      <c r="G1321" s="188" t="str" cm="1">
        <f t="array" ref="G1321">IF(LineærRegression_Valg[[#This Row],[Indenfor range]],IF(LineærRegression_Valg[[#This Row],[Intet overlap]],INDEX(DataTitel_liste,LineærRegression_Valg[[#This Row],[Uafhængig variabel ID]]),INDEX(DataTitel_liste,IF(LineærRegression_Valg[[#This Row],[Afhængig variabel ID]]=1,2,1))),$B$7)</f>
        <v>Eksempel 2 (interval)</v>
      </c>
      <c r="H1321" s="188">
        <f>_xlfn.AGGREGATE(2,5,LineærRegression_Valg[[#This Row],[Tabel ID]])</f>
        <v>1</v>
      </c>
    </row>
    <row r="1322" spans="1:8" x14ac:dyDescent="0.2">
      <c r="A1322">
        <f>ROW(LineærRegression_Valg[[#This Row],[Tabel ID]])-ROW(LineærRegression_Valg[[#Headers],[Tabel ID]])</f>
        <v>1312</v>
      </c>
      <c r="B1322" s="188">
        <f>ROUNDDOWN((LineærRegression_Valg[[#This Row],[Tabel ID]]-1)/$B$5,0)+1</f>
        <v>328</v>
      </c>
      <c r="C1322" s="188">
        <f t="shared" si="20"/>
        <v>4</v>
      </c>
      <c r="D1322" s="188" t="b">
        <f>LineærRegression_Valg[[#This Row],[Afhængig variabel ID]]&lt;&gt;LineærRegression_Valg[[#This Row],[Uafhængig variabel ID]]</f>
        <v>1</v>
      </c>
      <c r="E1322" t="b">
        <f>LineærRegression_Valg[[#This Row],[Afhængig variabel ID]]&lt;=$B$5</f>
        <v>0</v>
      </c>
      <c r="F1322" t="str" cm="1">
        <f t="array" ref="F1322">IF(LineærRegression_Valg[[#This Row],[Indenfor range]],INDEX(DataTitel_liste,LineærRegression_Valg[[#This Row],[Afhængig variabel ID]]),INDEX(DataTitel_liste,1))</f>
        <v>Eksempel 1 (interval)</v>
      </c>
      <c r="G1322" s="188" t="str" cm="1">
        <f t="array" ref="G1322">IF(LineærRegression_Valg[[#This Row],[Indenfor range]],IF(LineærRegression_Valg[[#This Row],[Intet overlap]],INDEX(DataTitel_liste,LineærRegression_Valg[[#This Row],[Uafhængig variabel ID]]),INDEX(DataTitel_liste,IF(LineærRegression_Valg[[#This Row],[Afhængig variabel ID]]=1,2,1))),$B$7)</f>
        <v>Eksempel 2 (interval)</v>
      </c>
      <c r="H1322" s="188">
        <f>_xlfn.AGGREGATE(2,5,LineærRegression_Valg[[#This Row],[Tabel ID]])</f>
        <v>1</v>
      </c>
    </row>
    <row r="1323" spans="1:8" x14ac:dyDescent="0.2">
      <c r="A1323">
        <f>ROW(LineærRegression_Valg[[#This Row],[Tabel ID]])-ROW(LineærRegression_Valg[[#Headers],[Tabel ID]])</f>
        <v>1313</v>
      </c>
      <c r="B1323" s="188">
        <f>ROUNDDOWN((LineærRegression_Valg[[#This Row],[Tabel ID]]-1)/$B$5,0)+1</f>
        <v>329</v>
      </c>
      <c r="C1323" s="188">
        <f t="shared" si="20"/>
        <v>1</v>
      </c>
      <c r="D1323" s="188" t="b">
        <f>LineærRegression_Valg[[#This Row],[Afhængig variabel ID]]&lt;&gt;LineærRegression_Valg[[#This Row],[Uafhængig variabel ID]]</f>
        <v>1</v>
      </c>
      <c r="E1323" t="b">
        <f>LineærRegression_Valg[[#This Row],[Afhængig variabel ID]]&lt;=$B$5</f>
        <v>0</v>
      </c>
      <c r="F1323" t="str" cm="1">
        <f t="array" ref="F1323">IF(LineærRegression_Valg[[#This Row],[Indenfor range]],INDEX(DataTitel_liste,LineærRegression_Valg[[#This Row],[Afhængig variabel ID]]),INDEX(DataTitel_liste,1))</f>
        <v>Eksempel 1 (interval)</v>
      </c>
      <c r="G1323" s="188" t="str" cm="1">
        <f t="array" ref="G1323">IF(LineærRegression_Valg[[#This Row],[Indenfor range]],IF(LineærRegression_Valg[[#This Row],[Intet overlap]],INDEX(DataTitel_liste,LineærRegression_Valg[[#This Row],[Uafhængig variabel ID]]),INDEX(DataTitel_liste,IF(LineærRegression_Valg[[#This Row],[Afhængig variabel ID]]=1,2,1))),$B$7)</f>
        <v>Eksempel 2 (interval)</v>
      </c>
      <c r="H1323" s="188">
        <f>_xlfn.AGGREGATE(2,5,LineærRegression_Valg[[#This Row],[Tabel ID]])</f>
        <v>1</v>
      </c>
    </row>
    <row r="1324" spans="1:8" x14ac:dyDescent="0.2">
      <c r="A1324">
        <f>ROW(LineærRegression_Valg[[#This Row],[Tabel ID]])-ROW(LineærRegression_Valg[[#Headers],[Tabel ID]])</f>
        <v>1314</v>
      </c>
      <c r="B1324" s="188">
        <f>ROUNDDOWN((LineærRegression_Valg[[#This Row],[Tabel ID]]-1)/$B$5,0)+1</f>
        <v>329</v>
      </c>
      <c r="C1324" s="188">
        <f t="shared" si="20"/>
        <v>2</v>
      </c>
      <c r="D1324" s="188" t="b">
        <f>LineærRegression_Valg[[#This Row],[Afhængig variabel ID]]&lt;&gt;LineærRegression_Valg[[#This Row],[Uafhængig variabel ID]]</f>
        <v>1</v>
      </c>
      <c r="E1324" t="b">
        <f>LineærRegression_Valg[[#This Row],[Afhængig variabel ID]]&lt;=$B$5</f>
        <v>0</v>
      </c>
      <c r="F1324" t="str" cm="1">
        <f t="array" ref="F1324">IF(LineærRegression_Valg[[#This Row],[Indenfor range]],INDEX(DataTitel_liste,LineærRegression_Valg[[#This Row],[Afhængig variabel ID]]),INDEX(DataTitel_liste,1))</f>
        <v>Eksempel 1 (interval)</v>
      </c>
      <c r="G1324" s="188" t="str" cm="1">
        <f t="array" ref="G1324">IF(LineærRegression_Valg[[#This Row],[Indenfor range]],IF(LineærRegression_Valg[[#This Row],[Intet overlap]],INDEX(DataTitel_liste,LineærRegression_Valg[[#This Row],[Uafhængig variabel ID]]),INDEX(DataTitel_liste,IF(LineærRegression_Valg[[#This Row],[Afhængig variabel ID]]=1,2,1))),$B$7)</f>
        <v>Eksempel 2 (interval)</v>
      </c>
      <c r="H1324" s="188">
        <f>_xlfn.AGGREGATE(2,5,LineærRegression_Valg[[#This Row],[Tabel ID]])</f>
        <v>1</v>
      </c>
    </row>
    <row r="1325" spans="1:8" x14ac:dyDescent="0.2">
      <c r="A1325">
        <f>ROW(LineærRegression_Valg[[#This Row],[Tabel ID]])-ROW(LineærRegression_Valg[[#Headers],[Tabel ID]])</f>
        <v>1315</v>
      </c>
      <c r="B1325" s="188">
        <f>ROUNDDOWN((LineærRegression_Valg[[#This Row],[Tabel ID]]-1)/$B$5,0)+1</f>
        <v>329</v>
      </c>
      <c r="C1325" s="188">
        <f t="shared" si="20"/>
        <v>3</v>
      </c>
      <c r="D1325" s="188" t="b">
        <f>LineærRegression_Valg[[#This Row],[Afhængig variabel ID]]&lt;&gt;LineærRegression_Valg[[#This Row],[Uafhængig variabel ID]]</f>
        <v>1</v>
      </c>
      <c r="E1325" t="b">
        <f>LineærRegression_Valg[[#This Row],[Afhængig variabel ID]]&lt;=$B$5</f>
        <v>0</v>
      </c>
      <c r="F1325" t="str" cm="1">
        <f t="array" ref="F1325">IF(LineærRegression_Valg[[#This Row],[Indenfor range]],INDEX(DataTitel_liste,LineærRegression_Valg[[#This Row],[Afhængig variabel ID]]),INDEX(DataTitel_liste,1))</f>
        <v>Eksempel 1 (interval)</v>
      </c>
      <c r="G1325" s="188" t="str" cm="1">
        <f t="array" ref="G1325">IF(LineærRegression_Valg[[#This Row],[Indenfor range]],IF(LineærRegression_Valg[[#This Row],[Intet overlap]],INDEX(DataTitel_liste,LineærRegression_Valg[[#This Row],[Uafhængig variabel ID]]),INDEX(DataTitel_liste,IF(LineærRegression_Valg[[#This Row],[Afhængig variabel ID]]=1,2,1))),$B$7)</f>
        <v>Eksempel 2 (interval)</v>
      </c>
      <c r="H1325" s="188">
        <f>_xlfn.AGGREGATE(2,5,LineærRegression_Valg[[#This Row],[Tabel ID]])</f>
        <v>1</v>
      </c>
    </row>
    <row r="1326" spans="1:8" x14ac:dyDescent="0.2">
      <c r="A1326">
        <f>ROW(LineærRegression_Valg[[#This Row],[Tabel ID]])-ROW(LineærRegression_Valg[[#Headers],[Tabel ID]])</f>
        <v>1316</v>
      </c>
      <c r="B1326" s="188">
        <f>ROUNDDOWN((LineærRegression_Valg[[#This Row],[Tabel ID]]-1)/$B$5,0)+1</f>
        <v>329</v>
      </c>
      <c r="C1326" s="188">
        <f t="shared" si="20"/>
        <v>4</v>
      </c>
      <c r="D1326" s="188" t="b">
        <f>LineærRegression_Valg[[#This Row],[Afhængig variabel ID]]&lt;&gt;LineærRegression_Valg[[#This Row],[Uafhængig variabel ID]]</f>
        <v>1</v>
      </c>
      <c r="E1326" t="b">
        <f>LineærRegression_Valg[[#This Row],[Afhængig variabel ID]]&lt;=$B$5</f>
        <v>0</v>
      </c>
      <c r="F1326" t="str" cm="1">
        <f t="array" ref="F1326">IF(LineærRegression_Valg[[#This Row],[Indenfor range]],INDEX(DataTitel_liste,LineærRegression_Valg[[#This Row],[Afhængig variabel ID]]),INDEX(DataTitel_liste,1))</f>
        <v>Eksempel 1 (interval)</v>
      </c>
      <c r="G1326" s="188" t="str" cm="1">
        <f t="array" ref="G1326">IF(LineærRegression_Valg[[#This Row],[Indenfor range]],IF(LineærRegression_Valg[[#This Row],[Intet overlap]],INDEX(DataTitel_liste,LineærRegression_Valg[[#This Row],[Uafhængig variabel ID]]),INDEX(DataTitel_liste,IF(LineærRegression_Valg[[#This Row],[Afhængig variabel ID]]=1,2,1))),$B$7)</f>
        <v>Eksempel 2 (interval)</v>
      </c>
      <c r="H1326" s="188">
        <f>_xlfn.AGGREGATE(2,5,LineærRegression_Valg[[#This Row],[Tabel ID]])</f>
        <v>1</v>
      </c>
    </row>
    <row r="1327" spans="1:8" x14ac:dyDescent="0.2">
      <c r="A1327">
        <f>ROW(LineærRegression_Valg[[#This Row],[Tabel ID]])-ROW(LineærRegression_Valg[[#Headers],[Tabel ID]])</f>
        <v>1317</v>
      </c>
      <c r="B1327" s="188">
        <f>ROUNDDOWN((LineærRegression_Valg[[#This Row],[Tabel ID]]-1)/$B$5,0)+1</f>
        <v>330</v>
      </c>
      <c r="C1327" s="188">
        <f t="shared" si="20"/>
        <v>1</v>
      </c>
      <c r="D1327" s="188" t="b">
        <f>LineærRegression_Valg[[#This Row],[Afhængig variabel ID]]&lt;&gt;LineærRegression_Valg[[#This Row],[Uafhængig variabel ID]]</f>
        <v>1</v>
      </c>
      <c r="E1327" t="b">
        <f>LineærRegression_Valg[[#This Row],[Afhængig variabel ID]]&lt;=$B$5</f>
        <v>0</v>
      </c>
      <c r="F1327" t="str" cm="1">
        <f t="array" ref="F1327">IF(LineærRegression_Valg[[#This Row],[Indenfor range]],INDEX(DataTitel_liste,LineærRegression_Valg[[#This Row],[Afhængig variabel ID]]),INDEX(DataTitel_liste,1))</f>
        <v>Eksempel 1 (interval)</v>
      </c>
      <c r="G1327" s="188" t="str" cm="1">
        <f t="array" ref="G1327">IF(LineærRegression_Valg[[#This Row],[Indenfor range]],IF(LineærRegression_Valg[[#This Row],[Intet overlap]],INDEX(DataTitel_liste,LineærRegression_Valg[[#This Row],[Uafhængig variabel ID]]),INDEX(DataTitel_liste,IF(LineærRegression_Valg[[#This Row],[Afhængig variabel ID]]=1,2,1))),$B$7)</f>
        <v>Eksempel 2 (interval)</v>
      </c>
      <c r="H1327" s="188">
        <f>_xlfn.AGGREGATE(2,5,LineærRegression_Valg[[#This Row],[Tabel ID]])</f>
        <v>1</v>
      </c>
    </row>
    <row r="1328" spans="1:8" x14ac:dyDescent="0.2">
      <c r="A1328">
        <f>ROW(LineærRegression_Valg[[#This Row],[Tabel ID]])-ROW(LineærRegression_Valg[[#Headers],[Tabel ID]])</f>
        <v>1318</v>
      </c>
      <c r="B1328" s="188">
        <f>ROUNDDOWN((LineærRegression_Valg[[#This Row],[Tabel ID]]-1)/$B$5,0)+1</f>
        <v>330</v>
      </c>
      <c r="C1328" s="188">
        <f t="shared" si="20"/>
        <v>2</v>
      </c>
      <c r="D1328" s="188" t="b">
        <f>LineærRegression_Valg[[#This Row],[Afhængig variabel ID]]&lt;&gt;LineærRegression_Valg[[#This Row],[Uafhængig variabel ID]]</f>
        <v>1</v>
      </c>
      <c r="E1328" t="b">
        <f>LineærRegression_Valg[[#This Row],[Afhængig variabel ID]]&lt;=$B$5</f>
        <v>0</v>
      </c>
      <c r="F1328" t="str" cm="1">
        <f t="array" ref="F1328">IF(LineærRegression_Valg[[#This Row],[Indenfor range]],INDEX(DataTitel_liste,LineærRegression_Valg[[#This Row],[Afhængig variabel ID]]),INDEX(DataTitel_liste,1))</f>
        <v>Eksempel 1 (interval)</v>
      </c>
      <c r="G1328" s="188" t="str" cm="1">
        <f t="array" ref="G1328">IF(LineærRegression_Valg[[#This Row],[Indenfor range]],IF(LineærRegression_Valg[[#This Row],[Intet overlap]],INDEX(DataTitel_liste,LineærRegression_Valg[[#This Row],[Uafhængig variabel ID]]),INDEX(DataTitel_liste,IF(LineærRegression_Valg[[#This Row],[Afhængig variabel ID]]=1,2,1))),$B$7)</f>
        <v>Eksempel 2 (interval)</v>
      </c>
      <c r="H1328" s="188">
        <f>_xlfn.AGGREGATE(2,5,LineærRegression_Valg[[#This Row],[Tabel ID]])</f>
        <v>1</v>
      </c>
    </row>
    <row r="1329" spans="1:8" x14ac:dyDescent="0.2">
      <c r="A1329">
        <f>ROW(LineærRegression_Valg[[#This Row],[Tabel ID]])-ROW(LineærRegression_Valg[[#Headers],[Tabel ID]])</f>
        <v>1319</v>
      </c>
      <c r="B1329" s="188">
        <f>ROUNDDOWN((LineærRegression_Valg[[#This Row],[Tabel ID]]-1)/$B$5,0)+1</f>
        <v>330</v>
      </c>
      <c r="C1329" s="188">
        <f t="shared" si="20"/>
        <v>3</v>
      </c>
      <c r="D1329" s="188" t="b">
        <f>LineærRegression_Valg[[#This Row],[Afhængig variabel ID]]&lt;&gt;LineærRegression_Valg[[#This Row],[Uafhængig variabel ID]]</f>
        <v>1</v>
      </c>
      <c r="E1329" t="b">
        <f>LineærRegression_Valg[[#This Row],[Afhængig variabel ID]]&lt;=$B$5</f>
        <v>0</v>
      </c>
      <c r="F1329" t="str" cm="1">
        <f t="array" ref="F1329">IF(LineærRegression_Valg[[#This Row],[Indenfor range]],INDEX(DataTitel_liste,LineærRegression_Valg[[#This Row],[Afhængig variabel ID]]),INDEX(DataTitel_liste,1))</f>
        <v>Eksempel 1 (interval)</v>
      </c>
      <c r="G1329" s="188" t="str" cm="1">
        <f t="array" ref="G1329">IF(LineærRegression_Valg[[#This Row],[Indenfor range]],IF(LineærRegression_Valg[[#This Row],[Intet overlap]],INDEX(DataTitel_liste,LineærRegression_Valg[[#This Row],[Uafhængig variabel ID]]),INDEX(DataTitel_liste,IF(LineærRegression_Valg[[#This Row],[Afhængig variabel ID]]=1,2,1))),$B$7)</f>
        <v>Eksempel 2 (interval)</v>
      </c>
      <c r="H1329" s="188">
        <f>_xlfn.AGGREGATE(2,5,LineærRegression_Valg[[#This Row],[Tabel ID]])</f>
        <v>1</v>
      </c>
    </row>
    <row r="1330" spans="1:8" x14ac:dyDescent="0.2">
      <c r="A1330">
        <f>ROW(LineærRegression_Valg[[#This Row],[Tabel ID]])-ROW(LineærRegression_Valg[[#Headers],[Tabel ID]])</f>
        <v>1320</v>
      </c>
      <c r="B1330" s="188">
        <f>ROUNDDOWN((LineærRegression_Valg[[#This Row],[Tabel ID]]-1)/$B$5,0)+1</f>
        <v>330</v>
      </c>
      <c r="C1330" s="188">
        <f t="shared" si="20"/>
        <v>4</v>
      </c>
      <c r="D1330" s="188" t="b">
        <f>LineærRegression_Valg[[#This Row],[Afhængig variabel ID]]&lt;&gt;LineærRegression_Valg[[#This Row],[Uafhængig variabel ID]]</f>
        <v>1</v>
      </c>
      <c r="E1330" t="b">
        <f>LineærRegression_Valg[[#This Row],[Afhængig variabel ID]]&lt;=$B$5</f>
        <v>0</v>
      </c>
      <c r="F1330" t="str" cm="1">
        <f t="array" ref="F1330">IF(LineærRegression_Valg[[#This Row],[Indenfor range]],INDEX(DataTitel_liste,LineærRegression_Valg[[#This Row],[Afhængig variabel ID]]),INDEX(DataTitel_liste,1))</f>
        <v>Eksempel 1 (interval)</v>
      </c>
      <c r="G1330" s="188" t="str" cm="1">
        <f t="array" ref="G1330">IF(LineærRegression_Valg[[#This Row],[Indenfor range]],IF(LineærRegression_Valg[[#This Row],[Intet overlap]],INDEX(DataTitel_liste,LineærRegression_Valg[[#This Row],[Uafhængig variabel ID]]),INDEX(DataTitel_liste,IF(LineærRegression_Valg[[#This Row],[Afhængig variabel ID]]=1,2,1))),$B$7)</f>
        <v>Eksempel 2 (interval)</v>
      </c>
      <c r="H1330" s="188">
        <f>_xlfn.AGGREGATE(2,5,LineærRegression_Valg[[#This Row],[Tabel ID]])</f>
        <v>1</v>
      </c>
    </row>
    <row r="1331" spans="1:8" x14ac:dyDescent="0.2">
      <c r="A1331">
        <f>ROW(LineærRegression_Valg[[#This Row],[Tabel ID]])-ROW(LineærRegression_Valg[[#Headers],[Tabel ID]])</f>
        <v>1321</v>
      </c>
      <c r="B1331" s="188">
        <f>ROUNDDOWN((LineærRegression_Valg[[#This Row],[Tabel ID]]-1)/$B$5,0)+1</f>
        <v>331</v>
      </c>
      <c r="C1331" s="188">
        <f t="shared" si="20"/>
        <v>1</v>
      </c>
      <c r="D1331" s="188" t="b">
        <f>LineærRegression_Valg[[#This Row],[Afhængig variabel ID]]&lt;&gt;LineærRegression_Valg[[#This Row],[Uafhængig variabel ID]]</f>
        <v>1</v>
      </c>
      <c r="E1331" t="b">
        <f>LineærRegression_Valg[[#This Row],[Afhængig variabel ID]]&lt;=$B$5</f>
        <v>0</v>
      </c>
      <c r="F1331" t="str" cm="1">
        <f t="array" ref="F1331">IF(LineærRegression_Valg[[#This Row],[Indenfor range]],INDEX(DataTitel_liste,LineærRegression_Valg[[#This Row],[Afhængig variabel ID]]),INDEX(DataTitel_liste,1))</f>
        <v>Eksempel 1 (interval)</v>
      </c>
      <c r="G1331" s="188" t="str" cm="1">
        <f t="array" ref="G1331">IF(LineærRegression_Valg[[#This Row],[Indenfor range]],IF(LineærRegression_Valg[[#This Row],[Intet overlap]],INDEX(DataTitel_liste,LineærRegression_Valg[[#This Row],[Uafhængig variabel ID]]),INDEX(DataTitel_liste,IF(LineærRegression_Valg[[#This Row],[Afhængig variabel ID]]=1,2,1))),$B$7)</f>
        <v>Eksempel 2 (interval)</v>
      </c>
      <c r="H1331" s="188">
        <f>_xlfn.AGGREGATE(2,5,LineærRegression_Valg[[#This Row],[Tabel ID]])</f>
        <v>1</v>
      </c>
    </row>
    <row r="1332" spans="1:8" x14ac:dyDescent="0.2">
      <c r="A1332">
        <f>ROW(LineærRegression_Valg[[#This Row],[Tabel ID]])-ROW(LineærRegression_Valg[[#Headers],[Tabel ID]])</f>
        <v>1322</v>
      </c>
      <c r="B1332" s="188">
        <f>ROUNDDOWN((LineærRegression_Valg[[#This Row],[Tabel ID]]-1)/$B$5,0)+1</f>
        <v>331</v>
      </c>
      <c r="C1332" s="188">
        <f t="shared" si="20"/>
        <v>2</v>
      </c>
      <c r="D1332" s="188" t="b">
        <f>LineærRegression_Valg[[#This Row],[Afhængig variabel ID]]&lt;&gt;LineærRegression_Valg[[#This Row],[Uafhængig variabel ID]]</f>
        <v>1</v>
      </c>
      <c r="E1332" t="b">
        <f>LineærRegression_Valg[[#This Row],[Afhængig variabel ID]]&lt;=$B$5</f>
        <v>0</v>
      </c>
      <c r="F1332" t="str" cm="1">
        <f t="array" ref="F1332">IF(LineærRegression_Valg[[#This Row],[Indenfor range]],INDEX(DataTitel_liste,LineærRegression_Valg[[#This Row],[Afhængig variabel ID]]),INDEX(DataTitel_liste,1))</f>
        <v>Eksempel 1 (interval)</v>
      </c>
      <c r="G1332" s="188" t="str" cm="1">
        <f t="array" ref="G1332">IF(LineærRegression_Valg[[#This Row],[Indenfor range]],IF(LineærRegression_Valg[[#This Row],[Intet overlap]],INDEX(DataTitel_liste,LineærRegression_Valg[[#This Row],[Uafhængig variabel ID]]),INDEX(DataTitel_liste,IF(LineærRegression_Valg[[#This Row],[Afhængig variabel ID]]=1,2,1))),$B$7)</f>
        <v>Eksempel 2 (interval)</v>
      </c>
      <c r="H1332" s="188">
        <f>_xlfn.AGGREGATE(2,5,LineærRegression_Valg[[#This Row],[Tabel ID]])</f>
        <v>1</v>
      </c>
    </row>
    <row r="1333" spans="1:8" x14ac:dyDescent="0.2">
      <c r="A1333">
        <f>ROW(LineærRegression_Valg[[#This Row],[Tabel ID]])-ROW(LineærRegression_Valg[[#Headers],[Tabel ID]])</f>
        <v>1323</v>
      </c>
      <c r="B1333" s="188">
        <f>ROUNDDOWN((LineærRegression_Valg[[#This Row],[Tabel ID]]-1)/$B$5,0)+1</f>
        <v>331</v>
      </c>
      <c r="C1333" s="188">
        <f t="shared" si="20"/>
        <v>3</v>
      </c>
      <c r="D1333" s="188" t="b">
        <f>LineærRegression_Valg[[#This Row],[Afhængig variabel ID]]&lt;&gt;LineærRegression_Valg[[#This Row],[Uafhængig variabel ID]]</f>
        <v>1</v>
      </c>
      <c r="E1333" t="b">
        <f>LineærRegression_Valg[[#This Row],[Afhængig variabel ID]]&lt;=$B$5</f>
        <v>0</v>
      </c>
      <c r="F1333" t="str" cm="1">
        <f t="array" ref="F1333">IF(LineærRegression_Valg[[#This Row],[Indenfor range]],INDEX(DataTitel_liste,LineærRegression_Valg[[#This Row],[Afhængig variabel ID]]),INDEX(DataTitel_liste,1))</f>
        <v>Eksempel 1 (interval)</v>
      </c>
      <c r="G1333" s="188" t="str" cm="1">
        <f t="array" ref="G1333">IF(LineærRegression_Valg[[#This Row],[Indenfor range]],IF(LineærRegression_Valg[[#This Row],[Intet overlap]],INDEX(DataTitel_liste,LineærRegression_Valg[[#This Row],[Uafhængig variabel ID]]),INDEX(DataTitel_liste,IF(LineærRegression_Valg[[#This Row],[Afhængig variabel ID]]=1,2,1))),$B$7)</f>
        <v>Eksempel 2 (interval)</v>
      </c>
      <c r="H1333" s="188">
        <f>_xlfn.AGGREGATE(2,5,LineærRegression_Valg[[#This Row],[Tabel ID]])</f>
        <v>1</v>
      </c>
    </row>
    <row r="1334" spans="1:8" x14ac:dyDescent="0.2">
      <c r="A1334">
        <f>ROW(LineærRegression_Valg[[#This Row],[Tabel ID]])-ROW(LineærRegression_Valg[[#Headers],[Tabel ID]])</f>
        <v>1324</v>
      </c>
      <c r="B1334" s="188">
        <f>ROUNDDOWN((LineærRegression_Valg[[#This Row],[Tabel ID]]-1)/$B$5,0)+1</f>
        <v>331</v>
      </c>
      <c r="C1334" s="188">
        <f t="shared" si="20"/>
        <v>4</v>
      </c>
      <c r="D1334" s="188" t="b">
        <f>LineærRegression_Valg[[#This Row],[Afhængig variabel ID]]&lt;&gt;LineærRegression_Valg[[#This Row],[Uafhængig variabel ID]]</f>
        <v>1</v>
      </c>
      <c r="E1334" t="b">
        <f>LineærRegression_Valg[[#This Row],[Afhængig variabel ID]]&lt;=$B$5</f>
        <v>0</v>
      </c>
      <c r="F1334" t="str" cm="1">
        <f t="array" ref="F1334">IF(LineærRegression_Valg[[#This Row],[Indenfor range]],INDEX(DataTitel_liste,LineærRegression_Valg[[#This Row],[Afhængig variabel ID]]),INDEX(DataTitel_liste,1))</f>
        <v>Eksempel 1 (interval)</v>
      </c>
      <c r="G1334" s="188" t="str" cm="1">
        <f t="array" ref="G1334">IF(LineærRegression_Valg[[#This Row],[Indenfor range]],IF(LineærRegression_Valg[[#This Row],[Intet overlap]],INDEX(DataTitel_liste,LineærRegression_Valg[[#This Row],[Uafhængig variabel ID]]),INDEX(DataTitel_liste,IF(LineærRegression_Valg[[#This Row],[Afhængig variabel ID]]=1,2,1))),$B$7)</f>
        <v>Eksempel 2 (interval)</v>
      </c>
      <c r="H1334" s="188">
        <f>_xlfn.AGGREGATE(2,5,LineærRegression_Valg[[#This Row],[Tabel ID]])</f>
        <v>1</v>
      </c>
    </row>
    <row r="1335" spans="1:8" x14ac:dyDescent="0.2">
      <c r="A1335">
        <f>ROW(LineærRegression_Valg[[#This Row],[Tabel ID]])-ROW(LineærRegression_Valg[[#Headers],[Tabel ID]])</f>
        <v>1325</v>
      </c>
      <c r="B1335" s="188">
        <f>ROUNDDOWN((LineærRegression_Valg[[#This Row],[Tabel ID]]-1)/$B$5,0)+1</f>
        <v>332</v>
      </c>
      <c r="C1335" s="188">
        <f t="shared" si="20"/>
        <v>1</v>
      </c>
      <c r="D1335" s="188" t="b">
        <f>LineærRegression_Valg[[#This Row],[Afhængig variabel ID]]&lt;&gt;LineærRegression_Valg[[#This Row],[Uafhængig variabel ID]]</f>
        <v>1</v>
      </c>
      <c r="E1335" t="b">
        <f>LineærRegression_Valg[[#This Row],[Afhængig variabel ID]]&lt;=$B$5</f>
        <v>0</v>
      </c>
      <c r="F1335" t="str" cm="1">
        <f t="array" ref="F1335">IF(LineærRegression_Valg[[#This Row],[Indenfor range]],INDEX(DataTitel_liste,LineærRegression_Valg[[#This Row],[Afhængig variabel ID]]),INDEX(DataTitel_liste,1))</f>
        <v>Eksempel 1 (interval)</v>
      </c>
      <c r="G1335" s="188" t="str" cm="1">
        <f t="array" ref="G1335">IF(LineærRegression_Valg[[#This Row],[Indenfor range]],IF(LineærRegression_Valg[[#This Row],[Intet overlap]],INDEX(DataTitel_liste,LineærRegression_Valg[[#This Row],[Uafhængig variabel ID]]),INDEX(DataTitel_liste,IF(LineærRegression_Valg[[#This Row],[Afhængig variabel ID]]=1,2,1))),$B$7)</f>
        <v>Eksempel 2 (interval)</v>
      </c>
      <c r="H1335" s="188">
        <f>_xlfn.AGGREGATE(2,5,LineærRegression_Valg[[#This Row],[Tabel ID]])</f>
        <v>1</v>
      </c>
    </row>
    <row r="1336" spans="1:8" x14ac:dyDescent="0.2">
      <c r="A1336">
        <f>ROW(LineærRegression_Valg[[#This Row],[Tabel ID]])-ROW(LineærRegression_Valg[[#Headers],[Tabel ID]])</f>
        <v>1326</v>
      </c>
      <c r="B1336" s="188">
        <f>ROUNDDOWN((LineærRegression_Valg[[#This Row],[Tabel ID]]-1)/$B$5,0)+1</f>
        <v>332</v>
      </c>
      <c r="C1336" s="188">
        <f t="shared" si="20"/>
        <v>2</v>
      </c>
      <c r="D1336" s="188" t="b">
        <f>LineærRegression_Valg[[#This Row],[Afhængig variabel ID]]&lt;&gt;LineærRegression_Valg[[#This Row],[Uafhængig variabel ID]]</f>
        <v>1</v>
      </c>
      <c r="E1336" t="b">
        <f>LineærRegression_Valg[[#This Row],[Afhængig variabel ID]]&lt;=$B$5</f>
        <v>0</v>
      </c>
      <c r="F1336" t="str" cm="1">
        <f t="array" ref="F1336">IF(LineærRegression_Valg[[#This Row],[Indenfor range]],INDEX(DataTitel_liste,LineærRegression_Valg[[#This Row],[Afhængig variabel ID]]),INDEX(DataTitel_liste,1))</f>
        <v>Eksempel 1 (interval)</v>
      </c>
      <c r="G1336" s="188" t="str" cm="1">
        <f t="array" ref="G1336">IF(LineærRegression_Valg[[#This Row],[Indenfor range]],IF(LineærRegression_Valg[[#This Row],[Intet overlap]],INDEX(DataTitel_liste,LineærRegression_Valg[[#This Row],[Uafhængig variabel ID]]),INDEX(DataTitel_liste,IF(LineærRegression_Valg[[#This Row],[Afhængig variabel ID]]=1,2,1))),$B$7)</f>
        <v>Eksempel 2 (interval)</v>
      </c>
      <c r="H1336" s="188">
        <f>_xlfn.AGGREGATE(2,5,LineærRegression_Valg[[#This Row],[Tabel ID]])</f>
        <v>1</v>
      </c>
    </row>
    <row r="1337" spans="1:8" x14ac:dyDescent="0.2">
      <c r="A1337">
        <f>ROW(LineærRegression_Valg[[#This Row],[Tabel ID]])-ROW(LineærRegression_Valg[[#Headers],[Tabel ID]])</f>
        <v>1327</v>
      </c>
      <c r="B1337" s="188">
        <f>ROUNDDOWN((LineærRegression_Valg[[#This Row],[Tabel ID]]-1)/$B$5,0)+1</f>
        <v>332</v>
      </c>
      <c r="C1337" s="188">
        <f t="shared" si="20"/>
        <v>3</v>
      </c>
      <c r="D1337" s="188" t="b">
        <f>LineærRegression_Valg[[#This Row],[Afhængig variabel ID]]&lt;&gt;LineærRegression_Valg[[#This Row],[Uafhængig variabel ID]]</f>
        <v>1</v>
      </c>
      <c r="E1337" t="b">
        <f>LineærRegression_Valg[[#This Row],[Afhængig variabel ID]]&lt;=$B$5</f>
        <v>0</v>
      </c>
      <c r="F1337" t="str" cm="1">
        <f t="array" ref="F1337">IF(LineærRegression_Valg[[#This Row],[Indenfor range]],INDEX(DataTitel_liste,LineærRegression_Valg[[#This Row],[Afhængig variabel ID]]),INDEX(DataTitel_liste,1))</f>
        <v>Eksempel 1 (interval)</v>
      </c>
      <c r="G1337" s="188" t="str" cm="1">
        <f t="array" ref="G1337">IF(LineærRegression_Valg[[#This Row],[Indenfor range]],IF(LineærRegression_Valg[[#This Row],[Intet overlap]],INDEX(DataTitel_liste,LineærRegression_Valg[[#This Row],[Uafhængig variabel ID]]),INDEX(DataTitel_liste,IF(LineærRegression_Valg[[#This Row],[Afhængig variabel ID]]=1,2,1))),$B$7)</f>
        <v>Eksempel 2 (interval)</v>
      </c>
      <c r="H1337" s="188">
        <f>_xlfn.AGGREGATE(2,5,LineærRegression_Valg[[#This Row],[Tabel ID]])</f>
        <v>1</v>
      </c>
    </row>
    <row r="1338" spans="1:8" x14ac:dyDescent="0.2">
      <c r="A1338">
        <f>ROW(LineærRegression_Valg[[#This Row],[Tabel ID]])-ROW(LineærRegression_Valg[[#Headers],[Tabel ID]])</f>
        <v>1328</v>
      </c>
      <c r="B1338" s="188">
        <f>ROUNDDOWN((LineærRegression_Valg[[#This Row],[Tabel ID]]-1)/$B$5,0)+1</f>
        <v>332</v>
      </c>
      <c r="C1338" s="188">
        <f t="shared" si="20"/>
        <v>4</v>
      </c>
      <c r="D1338" s="188" t="b">
        <f>LineærRegression_Valg[[#This Row],[Afhængig variabel ID]]&lt;&gt;LineærRegression_Valg[[#This Row],[Uafhængig variabel ID]]</f>
        <v>1</v>
      </c>
      <c r="E1338" t="b">
        <f>LineærRegression_Valg[[#This Row],[Afhængig variabel ID]]&lt;=$B$5</f>
        <v>0</v>
      </c>
      <c r="F1338" t="str" cm="1">
        <f t="array" ref="F1338">IF(LineærRegression_Valg[[#This Row],[Indenfor range]],INDEX(DataTitel_liste,LineærRegression_Valg[[#This Row],[Afhængig variabel ID]]),INDEX(DataTitel_liste,1))</f>
        <v>Eksempel 1 (interval)</v>
      </c>
      <c r="G1338" s="188" t="str" cm="1">
        <f t="array" ref="G1338">IF(LineærRegression_Valg[[#This Row],[Indenfor range]],IF(LineærRegression_Valg[[#This Row],[Intet overlap]],INDEX(DataTitel_liste,LineærRegression_Valg[[#This Row],[Uafhængig variabel ID]]),INDEX(DataTitel_liste,IF(LineærRegression_Valg[[#This Row],[Afhængig variabel ID]]=1,2,1))),$B$7)</f>
        <v>Eksempel 2 (interval)</v>
      </c>
      <c r="H1338" s="188">
        <f>_xlfn.AGGREGATE(2,5,LineærRegression_Valg[[#This Row],[Tabel ID]])</f>
        <v>1</v>
      </c>
    </row>
    <row r="1339" spans="1:8" x14ac:dyDescent="0.2">
      <c r="A1339">
        <f>ROW(LineærRegression_Valg[[#This Row],[Tabel ID]])-ROW(LineærRegression_Valg[[#Headers],[Tabel ID]])</f>
        <v>1329</v>
      </c>
      <c r="B1339" s="188">
        <f>ROUNDDOWN((LineærRegression_Valg[[#This Row],[Tabel ID]]-1)/$B$5,0)+1</f>
        <v>333</v>
      </c>
      <c r="C1339" s="188">
        <f t="shared" si="20"/>
        <v>1</v>
      </c>
      <c r="D1339" s="188" t="b">
        <f>LineærRegression_Valg[[#This Row],[Afhængig variabel ID]]&lt;&gt;LineærRegression_Valg[[#This Row],[Uafhængig variabel ID]]</f>
        <v>1</v>
      </c>
      <c r="E1339" t="b">
        <f>LineærRegression_Valg[[#This Row],[Afhængig variabel ID]]&lt;=$B$5</f>
        <v>0</v>
      </c>
      <c r="F1339" t="str" cm="1">
        <f t="array" ref="F1339">IF(LineærRegression_Valg[[#This Row],[Indenfor range]],INDEX(DataTitel_liste,LineærRegression_Valg[[#This Row],[Afhængig variabel ID]]),INDEX(DataTitel_liste,1))</f>
        <v>Eksempel 1 (interval)</v>
      </c>
      <c r="G1339" s="188" t="str" cm="1">
        <f t="array" ref="G1339">IF(LineærRegression_Valg[[#This Row],[Indenfor range]],IF(LineærRegression_Valg[[#This Row],[Intet overlap]],INDEX(DataTitel_liste,LineærRegression_Valg[[#This Row],[Uafhængig variabel ID]]),INDEX(DataTitel_liste,IF(LineærRegression_Valg[[#This Row],[Afhængig variabel ID]]=1,2,1))),$B$7)</f>
        <v>Eksempel 2 (interval)</v>
      </c>
      <c r="H1339" s="188">
        <f>_xlfn.AGGREGATE(2,5,LineærRegression_Valg[[#This Row],[Tabel ID]])</f>
        <v>1</v>
      </c>
    </row>
    <row r="1340" spans="1:8" x14ac:dyDescent="0.2">
      <c r="A1340">
        <f>ROW(LineærRegression_Valg[[#This Row],[Tabel ID]])-ROW(LineærRegression_Valg[[#Headers],[Tabel ID]])</f>
        <v>1330</v>
      </c>
      <c r="B1340" s="188">
        <f>ROUNDDOWN((LineærRegression_Valg[[#This Row],[Tabel ID]]-1)/$B$5,0)+1</f>
        <v>333</v>
      </c>
      <c r="C1340" s="188">
        <f t="shared" si="20"/>
        <v>2</v>
      </c>
      <c r="D1340" s="188" t="b">
        <f>LineærRegression_Valg[[#This Row],[Afhængig variabel ID]]&lt;&gt;LineærRegression_Valg[[#This Row],[Uafhængig variabel ID]]</f>
        <v>1</v>
      </c>
      <c r="E1340" t="b">
        <f>LineærRegression_Valg[[#This Row],[Afhængig variabel ID]]&lt;=$B$5</f>
        <v>0</v>
      </c>
      <c r="F1340" t="str" cm="1">
        <f t="array" ref="F1340">IF(LineærRegression_Valg[[#This Row],[Indenfor range]],INDEX(DataTitel_liste,LineærRegression_Valg[[#This Row],[Afhængig variabel ID]]),INDEX(DataTitel_liste,1))</f>
        <v>Eksempel 1 (interval)</v>
      </c>
      <c r="G1340" s="188" t="str" cm="1">
        <f t="array" ref="G1340">IF(LineærRegression_Valg[[#This Row],[Indenfor range]],IF(LineærRegression_Valg[[#This Row],[Intet overlap]],INDEX(DataTitel_liste,LineærRegression_Valg[[#This Row],[Uafhængig variabel ID]]),INDEX(DataTitel_liste,IF(LineærRegression_Valg[[#This Row],[Afhængig variabel ID]]=1,2,1))),$B$7)</f>
        <v>Eksempel 2 (interval)</v>
      </c>
      <c r="H1340" s="188">
        <f>_xlfn.AGGREGATE(2,5,LineærRegression_Valg[[#This Row],[Tabel ID]])</f>
        <v>1</v>
      </c>
    </row>
    <row r="1341" spans="1:8" x14ac:dyDescent="0.2">
      <c r="A1341">
        <f>ROW(LineærRegression_Valg[[#This Row],[Tabel ID]])-ROW(LineærRegression_Valg[[#Headers],[Tabel ID]])</f>
        <v>1331</v>
      </c>
      <c r="B1341" s="188">
        <f>ROUNDDOWN((LineærRegression_Valg[[#This Row],[Tabel ID]]-1)/$B$5,0)+1</f>
        <v>333</v>
      </c>
      <c r="C1341" s="188">
        <f t="shared" si="20"/>
        <v>3</v>
      </c>
      <c r="D1341" s="188" t="b">
        <f>LineærRegression_Valg[[#This Row],[Afhængig variabel ID]]&lt;&gt;LineærRegression_Valg[[#This Row],[Uafhængig variabel ID]]</f>
        <v>1</v>
      </c>
      <c r="E1341" t="b">
        <f>LineærRegression_Valg[[#This Row],[Afhængig variabel ID]]&lt;=$B$5</f>
        <v>0</v>
      </c>
      <c r="F1341" t="str" cm="1">
        <f t="array" ref="F1341">IF(LineærRegression_Valg[[#This Row],[Indenfor range]],INDEX(DataTitel_liste,LineærRegression_Valg[[#This Row],[Afhængig variabel ID]]),INDEX(DataTitel_liste,1))</f>
        <v>Eksempel 1 (interval)</v>
      </c>
      <c r="G1341" s="188" t="str" cm="1">
        <f t="array" ref="G1341">IF(LineærRegression_Valg[[#This Row],[Indenfor range]],IF(LineærRegression_Valg[[#This Row],[Intet overlap]],INDEX(DataTitel_liste,LineærRegression_Valg[[#This Row],[Uafhængig variabel ID]]),INDEX(DataTitel_liste,IF(LineærRegression_Valg[[#This Row],[Afhængig variabel ID]]=1,2,1))),$B$7)</f>
        <v>Eksempel 2 (interval)</v>
      </c>
      <c r="H1341" s="188">
        <f>_xlfn.AGGREGATE(2,5,LineærRegression_Valg[[#This Row],[Tabel ID]])</f>
        <v>1</v>
      </c>
    </row>
    <row r="1342" spans="1:8" x14ac:dyDescent="0.2">
      <c r="A1342">
        <f>ROW(LineærRegression_Valg[[#This Row],[Tabel ID]])-ROW(LineærRegression_Valg[[#Headers],[Tabel ID]])</f>
        <v>1332</v>
      </c>
      <c r="B1342" s="188">
        <f>ROUNDDOWN((LineærRegression_Valg[[#This Row],[Tabel ID]]-1)/$B$5,0)+1</f>
        <v>333</v>
      </c>
      <c r="C1342" s="188">
        <f t="shared" si="20"/>
        <v>4</v>
      </c>
      <c r="D1342" s="188" t="b">
        <f>LineærRegression_Valg[[#This Row],[Afhængig variabel ID]]&lt;&gt;LineærRegression_Valg[[#This Row],[Uafhængig variabel ID]]</f>
        <v>1</v>
      </c>
      <c r="E1342" t="b">
        <f>LineærRegression_Valg[[#This Row],[Afhængig variabel ID]]&lt;=$B$5</f>
        <v>0</v>
      </c>
      <c r="F1342" t="str" cm="1">
        <f t="array" ref="F1342">IF(LineærRegression_Valg[[#This Row],[Indenfor range]],INDEX(DataTitel_liste,LineærRegression_Valg[[#This Row],[Afhængig variabel ID]]),INDEX(DataTitel_liste,1))</f>
        <v>Eksempel 1 (interval)</v>
      </c>
      <c r="G1342" s="188" t="str" cm="1">
        <f t="array" ref="G1342">IF(LineærRegression_Valg[[#This Row],[Indenfor range]],IF(LineærRegression_Valg[[#This Row],[Intet overlap]],INDEX(DataTitel_liste,LineærRegression_Valg[[#This Row],[Uafhængig variabel ID]]),INDEX(DataTitel_liste,IF(LineærRegression_Valg[[#This Row],[Afhængig variabel ID]]=1,2,1))),$B$7)</f>
        <v>Eksempel 2 (interval)</v>
      </c>
      <c r="H1342" s="188">
        <f>_xlfn.AGGREGATE(2,5,LineærRegression_Valg[[#This Row],[Tabel ID]])</f>
        <v>1</v>
      </c>
    </row>
    <row r="1343" spans="1:8" x14ac:dyDescent="0.2">
      <c r="A1343">
        <f>ROW(LineærRegression_Valg[[#This Row],[Tabel ID]])-ROW(LineærRegression_Valg[[#Headers],[Tabel ID]])</f>
        <v>1333</v>
      </c>
      <c r="B1343" s="188">
        <f>ROUNDDOWN((LineærRegression_Valg[[#This Row],[Tabel ID]]-1)/$B$5,0)+1</f>
        <v>334</v>
      </c>
      <c r="C1343" s="188">
        <f t="shared" si="20"/>
        <v>1</v>
      </c>
      <c r="D1343" s="188" t="b">
        <f>LineærRegression_Valg[[#This Row],[Afhængig variabel ID]]&lt;&gt;LineærRegression_Valg[[#This Row],[Uafhængig variabel ID]]</f>
        <v>1</v>
      </c>
      <c r="E1343" t="b">
        <f>LineærRegression_Valg[[#This Row],[Afhængig variabel ID]]&lt;=$B$5</f>
        <v>0</v>
      </c>
      <c r="F1343" t="str" cm="1">
        <f t="array" ref="F1343">IF(LineærRegression_Valg[[#This Row],[Indenfor range]],INDEX(DataTitel_liste,LineærRegression_Valg[[#This Row],[Afhængig variabel ID]]),INDEX(DataTitel_liste,1))</f>
        <v>Eksempel 1 (interval)</v>
      </c>
      <c r="G1343" s="188" t="str" cm="1">
        <f t="array" ref="G1343">IF(LineærRegression_Valg[[#This Row],[Indenfor range]],IF(LineærRegression_Valg[[#This Row],[Intet overlap]],INDEX(DataTitel_liste,LineærRegression_Valg[[#This Row],[Uafhængig variabel ID]]),INDEX(DataTitel_liste,IF(LineærRegression_Valg[[#This Row],[Afhængig variabel ID]]=1,2,1))),$B$7)</f>
        <v>Eksempel 2 (interval)</v>
      </c>
      <c r="H1343" s="188">
        <f>_xlfn.AGGREGATE(2,5,LineærRegression_Valg[[#This Row],[Tabel ID]])</f>
        <v>1</v>
      </c>
    </row>
    <row r="1344" spans="1:8" x14ac:dyDescent="0.2">
      <c r="A1344">
        <f>ROW(LineærRegression_Valg[[#This Row],[Tabel ID]])-ROW(LineærRegression_Valg[[#Headers],[Tabel ID]])</f>
        <v>1334</v>
      </c>
      <c r="B1344" s="188">
        <f>ROUNDDOWN((LineærRegression_Valg[[#This Row],[Tabel ID]]-1)/$B$5,0)+1</f>
        <v>334</v>
      </c>
      <c r="C1344" s="188">
        <f t="shared" si="20"/>
        <v>2</v>
      </c>
      <c r="D1344" s="188" t="b">
        <f>LineærRegression_Valg[[#This Row],[Afhængig variabel ID]]&lt;&gt;LineærRegression_Valg[[#This Row],[Uafhængig variabel ID]]</f>
        <v>1</v>
      </c>
      <c r="E1344" t="b">
        <f>LineærRegression_Valg[[#This Row],[Afhængig variabel ID]]&lt;=$B$5</f>
        <v>0</v>
      </c>
      <c r="F1344" t="str" cm="1">
        <f t="array" ref="F1344">IF(LineærRegression_Valg[[#This Row],[Indenfor range]],INDEX(DataTitel_liste,LineærRegression_Valg[[#This Row],[Afhængig variabel ID]]),INDEX(DataTitel_liste,1))</f>
        <v>Eksempel 1 (interval)</v>
      </c>
      <c r="G1344" s="188" t="str" cm="1">
        <f t="array" ref="G1344">IF(LineærRegression_Valg[[#This Row],[Indenfor range]],IF(LineærRegression_Valg[[#This Row],[Intet overlap]],INDEX(DataTitel_liste,LineærRegression_Valg[[#This Row],[Uafhængig variabel ID]]),INDEX(DataTitel_liste,IF(LineærRegression_Valg[[#This Row],[Afhængig variabel ID]]=1,2,1))),$B$7)</f>
        <v>Eksempel 2 (interval)</v>
      </c>
      <c r="H1344" s="188">
        <f>_xlfn.AGGREGATE(2,5,LineærRegression_Valg[[#This Row],[Tabel ID]])</f>
        <v>1</v>
      </c>
    </row>
    <row r="1345" spans="1:8" x14ac:dyDescent="0.2">
      <c r="A1345">
        <f>ROW(LineærRegression_Valg[[#This Row],[Tabel ID]])-ROW(LineærRegression_Valg[[#Headers],[Tabel ID]])</f>
        <v>1335</v>
      </c>
      <c r="B1345" s="188">
        <f>ROUNDDOWN((LineærRegression_Valg[[#This Row],[Tabel ID]]-1)/$B$5,0)+1</f>
        <v>334</v>
      </c>
      <c r="C1345" s="188">
        <f t="shared" si="20"/>
        <v>3</v>
      </c>
      <c r="D1345" s="188" t="b">
        <f>LineærRegression_Valg[[#This Row],[Afhængig variabel ID]]&lt;&gt;LineærRegression_Valg[[#This Row],[Uafhængig variabel ID]]</f>
        <v>1</v>
      </c>
      <c r="E1345" t="b">
        <f>LineærRegression_Valg[[#This Row],[Afhængig variabel ID]]&lt;=$B$5</f>
        <v>0</v>
      </c>
      <c r="F1345" t="str" cm="1">
        <f t="array" ref="F1345">IF(LineærRegression_Valg[[#This Row],[Indenfor range]],INDEX(DataTitel_liste,LineærRegression_Valg[[#This Row],[Afhængig variabel ID]]),INDEX(DataTitel_liste,1))</f>
        <v>Eksempel 1 (interval)</v>
      </c>
      <c r="G1345" s="188" t="str" cm="1">
        <f t="array" ref="G1345">IF(LineærRegression_Valg[[#This Row],[Indenfor range]],IF(LineærRegression_Valg[[#This Row],[Intet overlap]],INDEX(DataTitel_liste,LineærRegression_Valg[[#This Row],[Uafhængig variabel ID]]),INDEX(DataTitel_liste,IF(LineærRegression_Valg[[#This Row],[Afhængig variabel ID]]=1,2,1))),$B$7)</f>
        <v>Eksempel 2 (interval)</v>
      </c>
      <c r="H1345" s="188">
        <f>_xlfn.AGGREGATE(2,5,LineærRegression_Valg[[#This Row],[Tabel ID]])</f>
        <v>1</v>
      </c>
    </row>
    <row r="1346" spans="1:8" x14ac:dyDescent="0.2">
      <c r="A1346">
        <f>ROW(LineærRegression_Valg[[#This Row],[Tabel ID]])-ROW(LineærRegression_Valg[[#Headers],[Tabel ID]])</f>
        <v>1336</v>
      </c>
      <c r="B1346" s="188">
        <f>ROUNDDOWN((LineærRegression_Valg[[#This Row],[Tabel ID]]-1)/$B$5,0)+1</f>
        <v>334</v>
      </c>
      <c r="C1346" s="188">
        <f t="shared" si="20"/>
        <v>4</v>
      </c>
      <c r="D1346" s="188" t="b">
        <f>LineærRegression_Valg[[#This Row],[Afhængig variabel ID]]&lt;&gt;LineærRegression_Valg[[#This Row],[Uafhængig variabel ID]]</f>
        <v>1</v>
      </c>
      <c r="E1346" t="b">
        <f>LineærRegression_Valg[[#This Row],[Afhængig variabel ID]]&lt;=$B$5</f>
        <v>0</v>
      </c>
      <c r="F1346" t="str" cm="1">
        <f t="array" ref="F1346">IF(LineærRegression_Valg[[#This Row],[Indenfor range]],INDEX(DataTitel_liste,LineærRegression_Valg[[#This Row],[Afhængig variabel ID]]),INDEX(DataTitel_liste,1))</f>
        <v>Eksempel 1 (interval)</v>
      </c>
      <c r="G1346" s="188" t="str" cm="1">
        <f t="array" ref="G1346">IF(LineærRegression_Valg[[#This Row],[Indenfor range]],IF(LineærRegression_Valg[[#This Row],[Intet overlap]],INDEX(DataTitel_liste,LineærRegression_Valg[[#This Row],[Uafhængig variabel ID]]),INDEX(DataTitel_liste,IF(LineærRegression_Valg[[#This Row],[Afhængig variabel ID]]=1,2,1))),$B$7)</f>
        <v>Eksempel 2 (interval)</v>
      </c>
      <c r="H1346" s="188">
        <f>_xlfn.AGGREGATE(2,5,LineærRegression_Valg[[#This Row],[Tabel ID]])</f>
        <v>1</v>
      </c>
    </row>
    <row r="1347" spans="1:8" x14ac:dyDescent="0.2">
      <c r="A1347">
        <f>ROW(LineærRegression_Valg[[#This Row],[Tabel ID]])-ROW(LineærRegression_Valg[[#Headers],[Tabel ID]])</f>
        <v>1337</v>
      </c>
      <c r="B1347" s="188">
        <f>ROUNDDOWN((LineærRegression_Valg[[#This Row],[Tabel ID]]-1)/$B$5,0)+1</f>
        <v>335</v>
      </c>
      <c r="C1347" s="188">
        <f t="shared" si="20"/>
        <v>1</v>
      </c>
      <c r="D1347" s="188" t="b">
        <f>LineærRegression_Valg[[#This Row],[Afhængig variabel ID]]&lt;&gt;LineærRegression_Valg[[#This Row],[Uafhængig variabel ID]]</f>
        <v>1</v>
      </c>
      <c r="E1347" t="b">
        <f>LineærRegression_Valg[[#This Row],[Afhængig variabel ID]]&lt;=$B$5</f>
        <v>0</v>
      </c>
      <c r="F1347" t="str" cm="1">
        <f t="array" ref="F1347">IF(LineærRegression_Valg[[#This Row],[Indenfor range]],INDEX(DataTitel_liste,LineærRegression_Valg[[#This Row],[Afhængig variabel ID]]),INDEX(DataTitel_liste,1))</f>
        <v>Eksempel 1 (interval)</v>
      </c>
      <c r="G1347" s="188" t="str" cm="1">
        <f t="array" ref="G1347">IF(LineærRegression_Valg[[#This Row],[Indenfor range]],IF(LineærRegression_Valg[[#This Row],[Intet overlap]],INDEX(DataTitel_liste,LineærRegression_Valg[[#This Row],[Uafhængig variabel ID]]),INDEX(DataTitel_liste,IF(LineærRegression_Valg[[#This Row],[Afhængig variabel ID]]=1,2,1))),$B$7)</f>
        <v>Eksempel 2 (interval)</v>
      </c>
      <c r="H1347" s="188">
        <f>_xlfn.AGGREGATE(2,5,LineærRegression_Valg[[#This Row],[Tabel ID]])</f>
        <v>1</v>
      </c>
    </row>
    <row r="1348" spans="1:8" x14ac:dyDescent="0.2">
      <c r="A1348">
        <f>ROW(LineærRegression_Valg[[#This Row],[Tabel ID]])-ROW(LineærRegression_Valg[[#Headers],[Tabel ID]])</f>
        <v>1338</v>
      </c>
      <c r="B1348" s="188">
        <f>ROUNDDOWN((LineærRegression_Valg[[#This Row],[Tabel ID]]-1)/$B$5,0)+1</f>
        <v>335</v>
      </c>
      <c r="C1348" s="188">
        <f t="shared" si="20"/>
        <v>2</v>
      </c>
      <c r="D1348" s="188" t="b">
        <f>LineærRegression_Valg[[#This Row],[Afhængig variabel ID]]&lt;&gt;LineærRegression_Valg[[#This Row],[Uafhængig variabel ID]]</f>
        <v>1</v>
      </c>
      <c r="E1348" t="b">
        <f>LineærRegression_Valg[[#This Row],[Afhængig variabel ID]]&lt;=$B$5</f>
        <v>0</v>
      </c>
      <c r="F1348" t="str" cm="1">
        <f t="array" ref="F1348">IF(LineærRegression_Valg[[#This Row],[Indenfor range]],INDEX(DataTitel_liste,LineærRegression_Valg[[#This Row],[Afhængig variabel ID]]),INDEX(DataTitel_liste,1))</f>
        <v>Eksempel 1 (interval)</v>
      </c>
      <c r="G1348" s="188" t="str" cm="1">
        <f t="array" ref="G1348">IF(LineærRegression_Valg[[#This Row],[Indenfor range]],IF(LineærRegression_Valg[[#This Row],[Intet overlap]],INDEX(DataTitel_liste,LineærRegression_Valg[[#This Row],[Uafhængig variabel ID]]),INDEX(DataTitel_liste,IF(LineærRegression_Valg[[#This Row],[Afhængig variabel ID]]=1,2,1))),$B$7)</f>
        <v>Eksempel 2 (interval)</v>
      </c>
      <c r="H1348" s="188">
        <f>_xlfn.AGGREGATE(2,5,LineærRegression_Valg[[#This Row],[Tabel ID]])</f>
        <v>1</v>
      </c>
    </row>
    <row r="1349" spans="1:8" x14ac:dyDescent="0.2">
      <c r="A1349">
        <f>ROW(LineærRegression_Valg[[#This Row],[Tabel ID]])-ROW(LineærRegression_Valg[[#Headers],[Tabel ID]])</f>
        <v>1339</v>
      </c>
      <c r="B1349" s="188">
        <f>ROUNDDOWN((LineærRegression_Valg[[#This Row],[Tabel ID]]-1)/$B$5,0)+1</f>
        <v>335</v>
      </c>
      <c r="C1349" s="188">
        <f t="shared" si="20"/>
        <v>3</v>
      </c>
      <c r="D1349" s="188" t="b">
        <f>LineærRegression_Valg[[#This Row],[Afhængig variabel ID]]&lt;&gt;LineærRegression_Valg[[#This Row],[Uafhængig variabel ID]]</f>
        <v>1</v>
      </c>
      <c r="E1349" t="b">
        <f>LineærRegression_Valg[[#This Row],[Afhængig variabel ID]]&lt;=$B$5</f>
        <v>0</v>
      </c>
      <c r="F1349" t="str" cm="1">
        <f t="array" ref="F1349">IF(LineærRegression_Valg[[#This Row],[Indenfor range]],INDEX(DataTitel_liste,LineærRegression_Valg[[#This Row],[Afhængig variabel ID]]),INDEX(DataTitel_liste,1))</f>
        <v>Eksempel 1 (interval)</v>
      </c>
      <c r="G1349" s="188" t="str" cm="1">
        <f t="array" ref="G1349">IF(LineærRegression_Valg[[#This Row],[Indenfor range]],IF(LineærRegression_Valg[[#This Row],[Intet overlap]],INDEX(DataTitel_liste,LineærRegression_Valg[[#This Row],[Uafhængig variabel ID]]),INDEX(DataTitel_liste,IF(LineærRegression_Valg[[#This Row],[Afhængig variabel ID]]=1,2,1))),$B$7)</f>
        <v>Eksempel 2 (interval)</v>
      </c>
      <c r="H1349" s="188">
        <f>_xlfn.AGGREGATE(2,5,LineærRegression_Valg[[#This Row],[Tabel ID]])</f>
        <v>1</v>
      </c>
    </row>
    <row r="1350" spans="1:8" x14ac:dyDescent="0.2">
      <c r="A1350">
        <f>ROW(LineærRegression_Valg[[#This Row],[Tabel ID]])-ROW(LineærRegression_Valg[[#Headers],[Tabel ID]])</f>
        <v>1340</v>
      </c>
      <c r="B1350" s="188">
        <f>ROUNDDOWN((LineærRegression_Valg[[#This Row],[Tabel ID]]-1)/$B$5,0)+1</f>
        <v>335</v>
      </c>
      <c r="C1350" s="188">
        <f t="shared" si="20"/>
        <v>4</v>
      </c>
      <c r="D1350" s="188" t="b">
        <f>LineærRegression_Valg[[#This Row],[Afhængig variabel ID]]&lt;&gt;LineærRegression_Valg[[#This Row],[Uafhængig variabel ID]]</f>
        <v>1</v>
      </c>
      <c r="E1350" t="b">
        <f>LineærRegression_Valg[[#This Row],[Afhængig variabel ID]]&lt;=$B$5</f>
        <v>0</v>
      </c>
      <c r="F1350" t="str" cm="1">
        <f t="array" ref="F1350">IF(LineærRegression_Valg[[#This Row],[Indenfor range]],INDEX(DataTitel_liste,LineærRegression_Valg[[#This Row],[Afhængig variabel ID]]),INDEX(DataTitel_liste,1))</f>
        <v>Eksempel 1 (interval)</v>
      </c>
      <c r="G1350" s="188" t="str" cm="1">
        <f t="array" ref="G1350">IF(LineærRegression_Valg[[#This Row],[Indenfor range]],IF(LineærRegression_Valg[[#This Row],[Intet overlap]],INDEX(DataTitel_liste,LineærRegression_Valg[[#This Row],[Uafhængig variabel ID]]),INDEX(DataTitel_liste,IF(LineærRegression_Valg[[#This Row],[Afhængig variabel ID]]=1,2,1))),$B$7)</f>
        <v>Eksempel 2 (interval)</v>
      </c>
      <c r="H1350" s="188">
        <f>_xlfn.AGGREGATE(2,5,LineærRegression_Valg[[#This Row],[Tabel ID]])</f>
        <v>1</v>
      </c>
    </row>
    <row r="1351" spans="1:8" x14ac:dyDescent="0.2">
      <c r="A1351">
        <f>ROW(LineærRegression_Valg[[#This Row],[Tabel ID]])-ROW(LineærRegression_Valg[[#Headers],[Tabel ID]])</f>
        <v>1341</v>
      </c>
      <c r="B1351" s="188">
        <f>ROUNDDOWN((LineærRegression_Valg[[#This Row],[Tabel ID]]-1)/$B$5,0)+1</f>
        <v>336</v>
      </c>
      <c r="C1351" s="188">
        <f t="shared" si="20"/>
        <v>1</v>
      </c>
      <c r="D1351" s="188" t="b">
        <f>LineærRegression_Valg[[#This Row],[Afhængig variabel ID]]&lt;&gt;LineærRegression_Valg[[#This Row],[Uafhængig variabel ID]]</f>
        <v>1</v>
      </c>
      <c r="E1351" t="b">
        <f>LineærRegression_Valg[[#This Row],[Afhængig variabel ID]]&lt;=$B$5</f>
        <v>0</v>
      </c>
      <c r="F1351" t="str" cm="1">
        <f t="array" ref="F1351">IF(LineærRegression_Valg[[#This Row],[Indenfor range]],INDEX(DataTitel_liste,LineærRegression_Valg[[#This Row],[Afhængig variabel ID]]),INDEX(DataTitel_liste,1))</f>
        <v>Eksempel 1 (interval)</v>
      </c>
      <c r="G1351" s="188" t="str" cm="1">
        <f t="array" ref="G1351">IF(LineærRegression_Valg[[#This Row],[Indenfor range]],IF(LineærRegression_Valg[[#This Row],[Intet overlap]],INDEX(DataTitel_liste,LineærRegression_Valg[[#This Row],[Uafhængig variabel ID]]),INDEX(DataTitel_liste,IF(LineærRegression_Valg[[#This Row],[Afhængig variabel ID]]=1,2,1))),$B$7)</f>
        <v>Eksempel 2 (interval)</v>
      </c>
      <c r="H1351" s="188">
        <f>_xlfn.AGGREGATE(2,5,LineærRegression_Valg[[#This Row],[Tabel ID]])</f>
        <v>1</v>
      </c>
    </row>
    <row r="1352" spans="1:8" x14ac:dyDescent="0.2">
      <c r="A1352">
        <f>ROW(LineærRegression_Valg[[#This Row],[Tabel ID]])-ROW(LineærRegression_Valg[[#Headers],[Tabel ID]])</f>
        <v>1342</v>
      </c>
      <c r="B1352" s="188">
        <f>ROUNDDOWN((LineærRegression_Valg[[#This Row],[Tabel ID]]-1)/$B$5,0)+1</f>
        <v>336</v>
      </c>
      <c r="C1352" s="188">
        <f t="shared" si="20"/>
        <v>2</v>
      </c>
      <c r="D1352" s="188" t="b">
        <f>LineærRegression_Valg[[#This Row],[Afhængig variabel ID]]&lt;&gt;LineærRegression_Valg[[#This Row],[Uafhængig variabel ID]]</f>
        <v>1</v>
      </c>
      <c r="E1352" t="b">
        <f>LineærRegression_Valg[[#This Row],[Afhængig variabel ID]]&lt;=$B$5</f>
        <v>0</v>
      </c>
      <c r="F1352" t="str" cm="1">
        <f t="array" ref="F1352">IF(LineærRegression_Valg[[#This Row],[Indenfor range]],INDEX(DataTitel_liste,LineærRegression_Valg[[#This Row],[Afhængig variabel ID]]),INDEX(DataTitel_liste,1))</f>
        <v>Eksempel 1 (interval)</v>
      </c>
      <c r="G1352" s="188" t="str" cm="1">
        <f t="array" ref="G1352">IF(LineærRegression_Valg[[#This Row],[Indenfor range]],IF(LineærRegression_Valg[[#This Row],[Intet overlap]],INDEX(DataTitel_liste,LineærRegression_Valg[[#This Row],[Uafhængig variabel ID]]),INDEX(DataTitel_liste,IF(LineærRegression_Valg[[#This Row],[Afhængig variabel ID]]=1,2,1))),$B$7)</f>
        <v>Eksempel 2 (interval)</v>
      </c>
      <c r="H1352" s="188">
        <f>_xlfn.AGGREGATE(2,5,LineærRegression_Valg[[#This Row],[Tabel ID]])</f>
        <v>1</v>
      </c>
    </row>
    <row r="1353" spans="1:8" x14ac:dyDescent="0.2">
      <c r="A1353">
        <f>ROW(LineærRegression_Valg[[#This Row],[Tabel ID]])-ROW(LineærRegression_Valg[[#Headers],[Tabel ID]])</f>
        <v>1343</v>
      </c>
      <c r="B1353" s="188">
        <f>ROUNDDOWN((LineærRegression_Valg[[#This Row],[Tabel ID]]-1)/$B$5,0)+1</f>
        <v>336</v>
      </c>
      <c r="C1353" s="188">
        <f t="shared" si="20"/>
        <v>3</v>
      </c>
      <c r="D1353" s="188" t="b">
        <f>LineærRegression_Valg[[#This Row],[Afhængig variabel ID]]&lt;&gt;LineærRegression_Valg[[#This Row],[Uafhængig variabel ID]]</f>
        <v>1</v>
      </c>
      <c r="E1353" t="b">
        <f>LineærRegression_Valg[[#This Row],[Afhængig variabel ID]]&lt;=$B$5</f>
        <v>0</v>
      </c>
      <c r="F1353" t="str" cm="1">
        <f t="array" ref="F1353">IF(LineærRegression_Valg[[#This Row],[Indenfor range]],INDEX(DataTitel_liste,LineærRegression_Valg[[#This Row],[Afhængig variabel ID]]),INDEX(DataTitel_liste,1))</f>
        <v>Eksempel 1 (interval)</v>
      </c>
      <c r="G1353" s="188" t="str" cm="1">
        <f t="array" ref="G1353">IF(LineærRegression_Valg[[#This Row],[Indenfor range]],IF(LineærRegression_Valg[[#This Row],[Intet overlap]],INDEX(DataTitel_liste,LineærRegression_Valg[[#This Row],[Uafhængig variabel ID]]),INDEX(DataTitel_liste,IF(LineærRegression_Valg[[#This Row],[Afhængig variabel ID]]=1,2,1))),$B$7)</f>
        <v>Eksempel 2 (interval)</v>
      </c>
      <c r="H1353" s="188">
        <f>_xlfn.AGGREGATE(2,5,LineærRegression_Valg[[#This Row],[Tabel ID]])</f>
        <v>1</v>
      </c>
    </row>
    <row r="1354" spans="1:8" x14ac:dyDescent="0.2">
      <c r="A1354">
        <f>ROW(LineærRegression_Valg[[#This Row],[Tabel ID]])-ROW(LineærRegression_Valg[[#Headers],[Tabel ID]])</f>
        <v>1344</v>
      </c>
      <c r="B1354" s="188">
        <f>ROUNDDOWN((LineærRegression_Valg[[#This Row],[Tabel ID]]-1)/$B$5,0)+1</f>
        <v>336</v>
      </c>
      <c r="C1354" s="188">
        <f t="shared" si="20"/>
        <v>4</v>
      </c>
      <c r="D1354" s="188" t="b">
        <f>LineærRegression_Valg[[#This Row],[Afhængig variabel ID]]&lt;&gt;LineærRegression_Valg[[#This Row],[Uafhængig variabel ID]]</f>
        <v>1</v>
      </c>
      <c r="E1354" t="b">
        <f>LineærRegression_Valg[[#This Row],[Afhængig variabel ID]]&lt;=$B$5</f>
        <v>0</v>
      </c>
      <c r="F1354" t="str" cm="1">
        <f t="array" ref="F1354">IF(LineærRegression_Valg[[#This Row],[Indenfor range]],INDEX(DataTitel_liste,LineærRegression_Valg[[#This Row],[Afhængig variabel ID]]),INDEX(DataTitel_liste,1))</f>
        <v>Eksempel 1 (interval)</v>
      </c>
      <c r="G1354" s="188" t="str" cm="1">
        <f t="array" ref="G1354">IF(LineærRegression_Valg[[#This Row],[Indenfor range]],IF(LineærRegression_Valg[[#This Row],[Intet overlap]],INDEX(DataTitel_liste,LineærRegression_Valg[[#This Row],[Uafhængig variabel ID]]),INDEX(DataTitel_liste,IF(LineærRegression_Valg[[#This Row],[Afhængig variabel ID]]=1,2,1))),$B$7)</f>
        <v>Eksempel 2 (interval)</v>
      </c>
      <c r="H1354" s="188">
        <f>_xlfn.AGGREGATE(2,5,LineærRegression_Valg[[#This Row],[Tabel ID]])</f>
        <v>1</v>
      </c>
    </row>
    <row r="1355" spans="1:8" x14ac:dyDescent="0.2">
      <c r="A1355">
        <f>ROW(LineærRegression_Valg[[#This Row],[Tabel ID]])-ROW(LineærRegression_Valg[[#Headers],[Tabel ID]])</f>
        <v>1345</v>
      </c>
      <c r="B1355" s="188">
        <f>ROUNDDOWN((LineærRegression_Valg[[#This Row],[Tabel ID]]-1)/$B$5,0)+1</f>
        <v>337</v>
      </c>
      <c r="C1355" s="188">
        <f t="shared" ref="C1355:C1418" si="21">MOD(A1355-1,$B$5)+1</f>
        <v>1</v>
      </c>
      <c r="D1355" s="188" t="b">
        <f>LineærRegression_Valg[[#This Row],[Afhængig variabel ID]]&lt;&gt;LineærRegression_Valg[[#This Row],[Uafhængig variabel ID]]</f>
        <v>1</v>
      </c>
      <c r="E1355" t="b">
        <f>LineærRegression_Valg[[#This Row],[Afhængig variabel ID]]&lt;=$B$5</f>
        <v>0</v>
      </c>
      <c r="F1355" t="str" cm="1">
        <f t="array" ref="F1355">IF(LineærRegression_Valg[[#This Row],[Indenfor range]],INDEX(DataTitel_liste,LineærRegression_Valg[[#This Row],[Afhængig variabel ID]]),INDEX(DataTitel_liste,1))</f>
        <v>Eksempel 1 (interval)</v>
      </c>
      <c r="G1355" s="188" t="str" cm="1">
        <f t="array" ref="G1355">IF(LineærRegression_Valg[[#This Row],[Indenfor range]],IF(LineærRegression_Valg[[#This Row],[Intet overlap]],INDEX(DataTitel_liste,LineærRegression_Valg[[#This Row],[Uafhængig variabel ID]]),INDEX(DataTitel_liste,IF(LineærRegression_Valg[[#This Row],[Afhængig variabel ID]]=1,2,1))),$B$7)</f>
        <v>Eksempel 2 (interval)</v>
      </c>
      <c r="H1355" s="188">
        <f>_xlfn.AGGREGATE(2,5,LineærRegression_Valg[[#This Row],[Tabel ID]])</f>
        <v>1</v>
      </c>
    </row>
    <row r="1356" spans="1:8" x14ac:dyDescent="0.2">
      <c r="A1356">
        <f>ROW(LineærRegression_Valg[[#This Row],[Tabel ID]])-ROW(LineærRegression_Valg[[#Headers],[Tabel ID]])</f>
        <v>1346</v>
      </c>
      <c r="B1356" s="188">
        <f>ROUNDDOWN((LineærRegression_Valg[[#This Row],[Tabel ID]]-1)/$B$5,0)+1</f>
        <v>337</v>
      </c>
      <c r="C1356" s="188">
        <f t="shared" si="21"/>
        <v>2</v>
      </c>
      <c r="D1356" s="188" t="b">
        <f>LineærRegression_Valg[[#This Row],[Afhængig variabel ID]]&lt;&gt;LineærRegression_Valg[[#This Row],[Uafhængig variabel ID]]</f>
        <v>1</v>
      </c>
      <c r="E1356" t="b">
        <f>LineærRegression_Valg[[#This Row],[Afhængig variabel ID]]&lt;=$B$5</f>
        <v>0</v>
      </c>
      <c r="F1356" t="str" cm="1">
        <f t="array" ref="F1356">IF(LineærRegression_Valg[[#This Row],[Indenfor range]],INDEX(DataTitel_liste,LineærRegression_Valg[[#This Row],[Afhængig variabel ID]]),INDEX(DataTitel_liste,1))</f>
        <v>Eksempel 1 (interval)</v>
      </c>
      <c r="G1356" s="188" t="str" cm="1">
        <f t="array" ref="G1356">IF(LineærRegression_Valg[[#This Row],[Indenfor range]],IF(LineærRegression_Valg[[#This Row],[Intet overlap]],INDEX(DataTitel_liste,LineærRegression_Valg[[#This Row],[Uafhængig variabel ID]]),INDEX(DataTitel_liste,IF(LineærRegression_Valg[[#This Row],[Afhængig variabel ID]]=1,2,1))),$B$7)</f>
        <v>Eksempel 2 (interval)</v>
      </c>
      <c r="H1356" s="188">
        <f>_xlfn.AGGREGATE(2,5,LineærRegression_Valg[[#This Row],[Tabel ID]])</f>
        <v>1</v>
      </c>
    </row>
    <row r="1357" spans="1:8" x14ac:dyDescent="0.2">
      <c r="A1357">
        <f>ROW(LineærRegression_Valg[[#This Row],[Tabel ID]])-ROW(LineærRegression_Valg[[#Headers],[Tabel ID]])</f>
        <v>1347</v>
      </c>
      <c r="B1357" s="188">
        <f>ROUNDDOWN((LineærRegression_Valg[[#This Row],[Tabel ID]]-1)/$B$5,0)+1</f>
        <v>337</v>
      </c>
      <c r="C1357" s="188">
        <f t="shared" si="21"/>
        <v>3</v>
      </c>
      <c r="D1357" s="188" t="b">
        <f>LineærRegression_Valg[[#This Row],[Afhængig variabel ID]]&lt;&gt;LineærRegression_Valg[[#This Row],[Uafhængig variabel ID]]</f>
        <v>1</v>
      </c>
      <c r="E1357" t="b">
        <f>LineærRegression_Valg[[#This Row],[Afhængig variabel ID]]&lt;=$B$5</f>
        <v>0</v>
      </c>
      <c r="F1357" t="str" cm="1">
        <f t="array" ref="F1357">IF(LineærRegression_Valg[[#This Row],[Indenfor range]],INDEX(DataTitel_liste,LineærRegression_Valg[[#This Row],[Afhængig variabel ID]]),INDEX(DataTitel_liste,1))</f>
        <v>Eksempel 1 (interval)</v>
      </c>
      <c r="G1357" s="188" t="str" cm="1">
        <f t="array" ref="G1357">IF(LineærRegression_Valg[[#This Row],[Indenfor range]],IF(LineærRegression_Valg[[#This Row],[Intet overlap]],INDEX(DataTitel_liste,LineærRegression_Valg[[#This Row],[Uafhængig variabel ID]]),INDEX(DataTitel_liste,IF(LineærRegression_Valg[[#This Row],[Afhængig variabel ID]]=1,2,1))),$B$7)</f>
        <v>Eksempel 2 (interval)</v>
      </c>
      <c r="H1357" s="188">
        <f>_xlfn.AGGREGATE(2,5,LineærRegression_Valg[[#This Row],[Tabel ID]])</f>
        <v>1</v>
      </c>
    </row>
    <row r="1358" spans="1:8" x14ac:dyDescent="0.2">
      <c r="A1358">
        <f>ROW(LineærRegression_Valg[[#This Row],[Tabel ID]])-ROW(LineærRegression_Valg[[#Headers],[Tabel ID]])</f>
        <v>1348</v>
      </c>
      <c r="B1358" s="188">
        <f>ROUNDDOWN((LineærRegression_Valg[[#This Row],[Tabel ID]]-1)/$B$5,0)+1</f>
        <v>337</v>
      </c>
      <c r="C1358" s="188">
        <f t="shared" si="21"/>
        <v>4</v>
      </c>
      <c r="D1358" s="188" t="b">
        <f>LineærRegression_Valg[[#This Row],[Afhængig variabel ID]]&lt;&gt;LineærRegression_Valg[[#This Row],[Uafhængig variabel ID]]</f>
        <v>1</v>
      </c>
      <c r="E1358" t="b">
        <f>LineærRegression_Valg[[#This Row],[Afhængig variabel ID]]&lt;=$B$5</f>
        <v>0</v>
      </c>
      <c r="F1358" t="str" cm="1">
        <f t="array" ref="F1358">IF(LineærRegression_Valg[[#This Row],[Indenfor range]],INDEX(DataTitel_liste,LineærRegression_Valg[[#This Row],[Afhængig variabel ID]]),INDEX(DataTitel_liste,1))</f>
        <v>Eksempel 1 (interval)</v>
      </c>
      <c r="G1358" s="188" t="str" cm="1">
        <f t="array" ref="G1358">IF(LineærRegression_Valg[[#This Row],[Indenfor range]],IF(LineærRegression_Valg[[#This Row],[Intet overlap]],INDEX(DataTitel_liste,LineærRegression_Valg[[#This Row],[Uafhængig variabel ID]]),INDEX(DataTitel_liste,IF(LineærRegression_Valg[[#This Row],[Afhængig variabel ID]]=1,2,1))),$B$7)</f>
        <v>Eksempel 2 (interval)</v>
      </c>
      <c r="H1358" s="188">
        <f>_xlfn.AGGREGATE(2,5,LineærRegression_Valg[[#This Row],[Tabel ID]])</f>
        <v>1</v>
      </c>
    </row>
    <row r="1359" spans="1:8" x14ac:dyDescent="0.2">
      <c r="A1359">
        <f>ROW(LineærRegression_Valg[[#This Row],[Tabel ID]])-ROW(LineærRegression_Valg[[#Headers],[Tabel ID]])</f>
        <v>1349</v>
      </c>
      <c r="B1359" s="188">
        <f>ROUNDDOWN((LineærRegression_Valg[[#This Row],[Tabel ID]]-1)/$B$5,0)+1</f>
        <v>338</v>
      </c>
      <c r="C1359" s="188">
        <f t="shared" si="21"/>
        <v>1</v>
      </c>
      <c r="D1359" s="188" t="b">
        <f>LineærRegression_Valg[[#This Row],[Afhængig variabel ID]]&lt;&gt;LineærRegression_Valg[[#This Row],[Uafhængig variabel ID]]</f>
        <v>1</v>
      </c>
      <c r="E1359" t="b">
        <f>LineærRegression_Valg[[#This Row],[Afhængig variabel ID]]&lt;=$B$5</f>
        <v>0</v>
      </c>
      <c r="F1359" t="str" cm="1">
        <f t="array" ref="F1359">IF(LineærRegression_Valg[[#This Row],[Indenfor range]],INDEX(DataTitel_liste,LineærRegression_Valg[[#This Row],[Afhængig variabel ID]]),INDEX(DataTitel_liste,1))</f>
        <v>Eksempel 1 (interval)</v>
      </c>
      <c r="G1359" s="188" t="str" cm="1">
        <f t="array" ref="G1359">IF(LineærRegression_Valg[[#This Row],[Indenfor range]],IF(LineærRegression_Valg[[#This Row],[Intet overlap]],INDEX(DataTitel_liste,LineærRegression_Valg[[#This Row],[Uafhængig variabel ID]]),INDEX(DataTitel_liste,IF(LineærRegression_Valg[[#This Row],[Afhængig variabel ID]]=1,2,1))),$B$7)</f>
        <v>Eksempel 2 (interval)</v>
      </c>
      <c r="H1359" s="188">
        <f>_xlfn.AGGREGATE(2,5,LineærRegression_Valg[[#This Row],[Tabel ID]])</f>
        <v>1</v>
      </c>
    </row>
    <row r="1360" spans="1:8" x14ac:dyDescent="0.2">
      <c r="A1360">
        <f>ROW(LineærRegression_Valg[[#This Row],[Tabel ID]])-ROW(LineærRegression_Valg[[#Headers],[Tabel ID]])</f>
        <v>1350</v>
      </c>
      <c r="B1360" s="188">
        <f>ROUNDDOWN((LineærRegression_Valg[[#This Row],[Tabel ID]]-1)/$B$5,0)+1</f>
        <v>338</v>
      </c>
      <c r="C1360" s="188">
        <f t="shared" si="21"/>
        <v>2</v>
      </c>
      <c r="D1360" s="188" t="b">
        <f>LineærRegression_Valg[[#This Row],[Afhængig variabel ID]]&lt;&gt;LineærRegression_Valg[[#This Row],[Uafhængig variabel ID]]</f>
        <v>1</v>
      </c>
      <c r="E1360" t="b">
        <f>LineærRegression_Valg[[#This Row],[Afhængig variabel ID]]&lt;=$B$5</f>
        <v>0</v>
      </c>
      <c r="F1360" t="str" cm="1">
        <f t="array" ref="F1360">IF(LineærRegression_Valg[[#This Row],[Indenfor range]],INDEX(DataTitel_liste,LineærRegression_Valg[[#This Row],[Afhængig variabel ID]]),INDEX(DataTitel_liste,1))</f>
        <v>Eksempel 1 (interval)</v>
      </c>
      <c r="G1360" s="188" t="str" cm="1">
        <f t="array" ref="G1360">IF(LineærRegression_Valg[[#This Row],[Indenfor range]],IF(LineærRegression_Valg[[#This Row],[Intet overlap]],INDEX(DataTitel_liste,LineærRegression_Valg[[#This Row],[Uafhængig variabel ID]]),INDEX(DataTitel_liste,IF(LineærRegression_Valg[[#This Row],[Afhængig variabel ID]]=1,2,1))),$B$7)</f>
        <v>Eksempel 2 (interval)</v>
      </c>
      <c r="H1360" s="188">
        <f>_xlfn.AGGREGATE(2,5,LineærRegression_Valg[[#This Row],[Tabel ID]])</f>
        <v>1</v>
      </c>
    </row>
    <row r="1361" spans="1:8" x14ac:dyDescent="0.2">
      <c r="A1361">
        <f>ROW(LineærRegression_Valg[[#This Row],[Tabel ID]])-ROW(LineærRegression_Valg[[#Headers],[Tabel ID]])</f>
        <v>1351</v>
      </c>
      <c r="B1361" s="188">
        <f>ROUNDDOWN((LineærRegression_Valg[[#This Row],[Tabel ID]]-1)/$B$5,0)+1</f>
        <v>338</v>
      </c>
      <c r="C1361" s="188">
        <f t="shared" si="21"/>
        <v>3</v>
      </c>
      <c r="D1361" s="188" t="b">
        <f>LineærRegression_Valg[[#This Row],[Afhængig variabel ID]]&lt;&gt;LineærRegression_Valg[[#This Row],[Uafhængig variabel ID]]</f>
        <v>1</v>
      </c>
      <c r="E1361" t="b">
        <f>LineærRegression_Valg[[#This Row],[Afhængig variabel ID]]&lt;=$B$5</f>
        <v>0</v>
      </c>
      <c r="F1361" t="str" cm="1">
        <f t="array" ref="F1361">IF(LineærRegression_Valg[[#This Row],[Indenfor range]],INDEX(DataTitel_liste,LineærRegression_Valg[[#This Row],[Afhængig variabel ID]]),INDEX(DataTitel_liste,1))</f>
        <v>Eksempel 1 (interval)</v>
      </c>
      <c r="G1361" s="188" t="str" cm="1">
        <f t="array" ref="G1361">IF(LineærRegression_Valg[[#This Row],[Indenfor range]],IF(LineærRegression_Valg[[#This Row],[Intet overlap]],INDEX(DataTitel_liste,LineærRegression_Valg[[#This Row],[Uafhængig variabel ID]]),INDEX(DataTitel_liste,IF(LineærRegression_Valg[[#This Row],[Afhængig variabel ID]]=1,2,1))),$B$7)</f>
        <v>Eksempel 2 (interval)</v>
      </c>
      <c r="H1361" s="188">
        <f>_xlfn.AGGREGATE(2,5,LineærRegression_Valg[[#This Row],[Tabel ID]])</f>
        <v>1</v>
      </c>
    </row>
    <row r="1362" spans="1:8" x14ac:dyDescent="0.2">
      <c r="A1362">
        <f>ROW(LineærRegression_Valg[[#This Row],[Tabel ID]])-ROW(LineærRegression_Valg[[#Headers],[Tabel ID]])</f>
        <v>1352</v>
      </c>
      <c r="B1362" s="188">
        <f>ROUNDDOWN((LineærRegression_Valg[[#This Row],[Tabel ID]]-1)/$B$5,0)+1</f>
        <v>338</v>
      </c>
      <c r="C1362" s="188">
        <f t="shared" si="21"/>
        <v>4</v>
      </c>
      <c r="D1362" s="188" t="b">
        <f>LineærRegression_Valg[[#This Row],[Afhængig variabel ID]]&lt;&gt;LineærRegression_Valg[[#This Row],[Uafhængig variabel ID]]</f>
        <v>1</v>
      </c>
      <c r="E1362" t="b">
        <f>LineærRegression_Valg[[#This Row],[Afhængig variabel ID]]&lt;=$B$5</f>
        <v>0</v>
      </c>
      <c r="F1362" t="str" cm="1">
        <f t="array" ref="F1362">IF(LineærRegression_Valg[[#This Row],[Indenfor range]],INDEX(DataTitel_liste,LineærRegression_Valg[[#This Row],[Afhængig variabel ID]]),INDEX(DataTitel_liste,1))</f>
        <v>Eksempel 1 (interval)</v>
      </c>
      <c r="G1362" s="188" t="str" cm="1">
        <f t="array" ref="G1362">IF(LineærRegression_Valg[[#This Row],[Indenfor range]],IF(LineærRegression_Valg[[#This Row],[Intet overlap]],INDEX(DataTitel_liste,LineærRegression_Valg[[#This Row],[Uafhængig variabel ID]]),INDEX(DataTitel_liste,IF(LineærRegression_Valg[[#This Row],[Afhængig variabel ID]]=1,2,1))),$B$7)</f>
        <v>Eksempel 2 (interval)</v>
      </c>
      <c r="H1362" s="188">
        <f>_xlfn.AGGREGATE(2,5,LineærRegression_Valg[[#This Row],[Tabel ID]])</f>
        <v>1</v>
      </c>
    </row>
    <row r="1363" spans="1:8" x14ac:dyDescent="0.2">
      <c r="A1363">
        <f>ROW(LineærRegression_Valg[[#This Row],[Tabel ID]])-ROW(LineærRegression_Valg[[#Headers],[Tabel ID]])</f>
        <v>1353</v>
      </c>
      <c r="B1363" s="188">
        <f>ROUNDDOWN((LineærRegression_Valg[[#This Row],[Tabel ID]]-1)/$B$5,0)+1</f>
        <v>339</v>
      </c>
      <c r="C1363" s="188">
        <f t="shared" si="21"/>
        <v>1</v>
      </c>
      <c r="D1363" s="188" t="b">
        <f>LineærRegression_Valg[[#This Row],[Afhængig variabel ID]]&lt;&gt;LineærRegression_Valg[[#This Row],[Uafhængig variabel ID]]</f>
        <v>1</v>
      </c>
      <c r="E1363" t="b">
        <f>LineærRegression_Valg[[#This Row],[Afhængig variabel ID]]&lt;=$B$5</f>
        <v>0</v>
      </c>
      <c r="F1363" t="str" cm="1">
        <f t="array" ref="F1363">IF(LineærRegression_Valg[[#This Row],[Indenfor range]],INDEX(DataTitel_liste,LineærRegression_Valg[[#This Row],[Afhængig variabel ID]]),INDEX(DataTitel_liste,1))</f>
        <v>Eksempel 1 (interval)</v>
      </c>
      <c r="G1363" s="188" t="str" cm="1">
        <f t="array" ref="G1363">IF(LineærRegression_Valg[[#This Row],[Indenfor range]],IF(LineærRegression_Valg[[#This Row],[Intet overlap]],INDEX(DataTitel_liste,LineærRegression_Valg[[#This Row],[Uafhængig variabel ID]]),INDEX(DataTitel_liste,IF(LineærRegression_Valg[[#This Row],[Afhængig variabel ID]]=1,2,1))),$B$7)</f>
        <v>Eksempel 2 (interval)</v>
      </c>
      <c r="H1363" s="188">
        <f>_xlfn.AGGREGATE(2,5,LineærRegression_Valg[[#This Row],[Tabel ID]])</f>
        <v>1</v>
      </c>
    </row>
    <row r="1364" spans="1:8" x14ac:dyDescent="0.2">
      <c r="A1364">
        <f>ROW(LineærRegression_Valg[[#This Row],[Tabel ID]])-ROW(LineærRegression_Valg[[#Headers],[Tabel ID]])</f>
        <v>1354</v>
      </c>
      <c r="B1364" s="188">
        <f>ROUNDDOWN((LineærRegression_Valg[[#This Row],[Tabel ID]]-1)/$B$5,0)+1</f>
        <v>339</v>
      </c>
      <c r="C1364" s="188">
        <f t="shared" si="21"/>
        <v>2</v>
      </c>
      <c r="D1364" s="188" t="b">
        <f>LineærRegression_Valg[[#This Row],[Afhængig variabel ID]]&lt;&gt;LineærRegression_Valg[[#This Row],[Uafhængig variabel ID]]</f>
        <v>1</v>
      </c>
      <c r="E1364" t="b">
        <f>LineærRegression_Valg[[#This Row],[Afhængig variabel ID]]&lt;=$B$5</f>
        <v>0</v>
      </c>
      <c r="F1364" t="str" cm="1">
        <f t="array" ref="F1364">IF(LineærRegression_Valg[[#This Row],[Indenfor range]],INDEX(DataTitel_liste,LineærRegression_Valg[[#This Row],[Afhængig variabel ID]]),INDEX(DataTitel_liste,1))</f>
        <v>Eksempel 1 (interval)</v>
      </c>
      <c r="G1364" s="188" t="str" cm="1">
        <f t="array" ref="G1364">IF(LineærRegression_Valg[[#This Row],[Indenfor range]],IF(LineærRegression_Valg[[#This Row],[Intet overlap]],INDEX(DataTitel_liste,LineærRegression_Valg[[#This Row],[Uafhængig variabel ID]]),INDEX(DataTitel_liste,IF(LineærRegression_Valg[[#This Row],[Afhængig variabel ID]]=1,2,1))),$B$7)</f>
        <v>Eksempel 2 (interval)</v>
      </c>
      <c r="H1364" s="188">
        <f>_xlfn.AGGREGATE(2,5,LineærRegression_Valg[[#This Row],[Tabel ID]])</f>
        <v>1</v>
      </c>
    </row>
    <row r="1365" spans="1:8" x14ac:dyDescent="0.2">
      <c r="A1365">
        <f>ROW(LineærRegression_Valg[[#This Row],[Tabel ID]])-ROW(LineærRegression_Valg[[#Headers],[Tabel ID]])</f>
        <v>1355</v>
      </c>
      <c r="B1365" s="188">
        <f>ROUNDDOWN((LineærRegression_Valg[[#This Row],[Tabel ID]]-1)/$B$5,0)+1</f>
        <v>339</v>
      </c>
      <c r="C1365" s="188">
        <f t="shared" si="21"/>
        <v>3</v>
      </c>
      <c r="D1365" s="188" t="b">
        <f>LineærRegression_Valg[[#This Row],[Afhængig variabel ID]]&lt;&gt;LineærRegression_Valg[[#This Row],[Uafhængig variabel ID]]</f>
        <v>1</v>
      </c>
      <c r="E1365" t="b">
        <f>LineærRegression_Valg[[#This Row],[Afhængig variabel ID]]&lt;=$B$5</f>
        <v>0</v>
      </c>
      <c r="F1365" t="str" cm="1">
        <f t="array" ref="F1365">IF(LineærRegression_Valg[[#This Row],[Indenfor range]],INDEX(DataTitel_liste,LineærRegression_Valg[[#This Row],[Afhængig variabel ID]]),INDEX(DataTitel_liste,1))</f>
        <v>Eksempel 1 (interval)</v>
      </c>
      <c r="G1365" s="188" t="str" cm="1">
        <f t="array" ref="G1365">IF(LineærRegression_Valg[[#This Row],[Indenfor range]],IF(LineærRegression_Valg[[#This Row],[Intet overlap]],INDEX(DataTitel_liste,LineærRegression_Valg[[#This Row],[Uafhængig variabel ID]]),INDEX(DataTitel_liste,IF(LineærRegression_Valg[[#This Row],[Afhængig variabel ID]]=1,2,1))),$B$7)</f>
        <v>Eksempel 2 (interval)</v>
      </c>
      <c r="H1365" s="188">
        <f>_xlfn.AGGREGATE(2,5,LineærRegression_Valg[[#This Row],[Tabel ID]])</f>
        <v>1</v>
      </c>
    </row>
    <row r="1366" spans="1:8" x14ac:dyDescent="0.2">
      <c r="A1366">
        <f>ROW(LineærRegression_Valg[[#This Row],[Tabel ID]])-ROW(LineærRegression_Valg[[#Headers],[Tabel ID]])</f>
        <v>1356</v>
      </c>
      <c r="B1366" s="188">
        <f>ROUNDDOWN((LineærRegression_Valg[[#This Row],[Tabel ID]]-1)/$B$5,0)+1</f>
        <v>339</v>
      </c>
      <c r="C1366" s="188">
        <f t="shared" si="21"/>
        <v>4</v>
      </c>
      <c r="D1366" s="188" t="b">
        <f>LineærRegression_Valg[[#This Row],[Afhængig variabel ID]]&lt;&gt;LineærRegression_Valg[[#This Row],[Uafhængig variabel ID]]</f>
        <v>1</v>
      </c>
      <c r="E1366" t="b">
        <f>LineærRegression_Valg[[#This Row],[Afhængig variabel ID]]&lt;=$B$5</f>
        <v>0</v>
      </c>
      <c r="F1366" t="str" cm="1">
        <f t="array" ref="F1366">IF(LineærRegression_Valg[[#This Row],[Indenfor range]],INDEX(DataTitel_liste,LineærRegression_Valg[[#This Row],[Afhængig variabel ID]]),INDEX(DataTitel_liste,1))</f>
        <v>Eksempel 1 (interval)</v>
      </c>
      <c r="G1366" s="188" t="str" cm="1">
        <f t="array" ref="G1366">IF(LineærRegression_Valg[[#This Row],[Indenfor range]],IF(LineærRegression_Valg[[#This Row],[Intet overlap]],INDEX(DataTitel_liste,LineærRegression_Valg[[#This Row],[Uafhængig variabel ID]]),INDEX(DataTitel_liste,IF(LineærRegression_Valg[[#This Row],[Afhængig variabel ID]]=1,2,1))),$B$7)</f>
        <v>Eksempel 2 (interval)</v>
      </c>
      <c r="H1366" s="188">
        <f>_xlfn.AGGREGATE(2,5,LineærRegression_Valg[[#This Row],[Tabel ID]])</f>
        <v>1</v>
      </c>
    </row>
    <row r="1367" spans="1:8" x14ac:dyDescent="0.2">
      <c r="A1367">
        <f>ROW(LineærRegression_Valg[[#This Row],[Tabel ID]])-ROW(LineærRegression_Valg[[#Headers],[Tabel ID]])</f>
        <v>1357</v>
      </c>
      <c r="B1367" s="188">
        <f>ROUNDDOWN((LineærRegression_Valg[[#This Row],[Tabel ID]]-1)/$B$5,0)+1</f>
        <v>340</v>
      </c>
      <c r="C1367" s="188">
        <f t="shared" si="21"/>
        <v>1</v>
      </c>
      <c r="D1367" s="188" t="b">
        <f>LineærRegression_Valg[[#This Row],[Afhængig variabel ID]]&lt;&gt;LineærRegression_Valg[[#This Row],[Uafhængig variabel ID]]</f>
        <v>1</v>
      </c>
      <c r="E1367" t="b">
        <f>LineærRegression_Valg[[#This Row],[Afhængig variabel ID]]&lt;=$B$5</f>
        <v>0</v>
      </c>
      <c r="F1367" t="str" cm="1">
        <f t="array" ref="F1367">IF(LineærRegression_Valg[[#This Row],[Indenfor range]],INDEX(DataTitel_liste,LineærRegression_Valg[[#This Row],[Afhængig variabel ID]]),INDEX(DataTitel_liste,1))</f>
        <v>Eksempel 1 (interval)</v>
      </c>
      <c r="G1367" s="188" t="str" cm="1">
        <f t="array" ref="G1367">IF(LineærRegression_Valg[[#This Row],[Indenfor range]],IF(LineærRegression_Valg[[#This Row],[Intet overlap]],INDEX(DataTitel_liste,LineærRegression_Valg[[#This Row],[Uafhængig variabel ID]]),INDEX(DataTitel_liste,IF(LineærRegression_Valg[[#This Row],[Afhængig variabel ID]]=1,2,1))),$B$7)</f>
        <v>Eksempel 2 (interval)</v>
      </c>
      <c r="H1367" s="188">
        <f>_xlfn.AGGREGATE(2,5,LineærRegression_Valg[[#This Row],[Tabel ID]])</f>
        <v>1</v>
      </c>
    </row>
    <row r="1368" spans="1:8" x14ac:dyDescent="0.2">
      <c r="A1368">
        <f>ROW(LineærRegression_Valg[[#This Row],[Tabel ID]])-ROW(LineærRegression_Valg[[#Headers],[Tabel ID]])</f>
        <v>1358</v>
      </c>
      <c r="B1368" s="188">
        <f>ROUNDDOWN((LineærRegression_Valg[[#This Row],[Tabel ID]]-1)/$B$5,0)+1</f>
        <v>340</v>
      </c>
      <c r="C1368" s="188">
        <f t="shared" si="21"/>
        <v>2</v>
      </c>
      <c r="D1368" s="188" t="b">
        <f>LineærRegression_Valg[[#This Row],[Afhængig variabel ID]]&lt;&gt;LineærRegression_Valg[[#This Row],[Uafhængig variabel ID]]</f>
        <v>1</v>
      </c>
      <c r="E1368" t="b">
        <f>LineærRegression_Valg[[#This Row],[Afhængig variabel ID]]&lt;=$B$5</f>
        <v>0</v>
      </c>
      <c r="F1368" t="str" cm="1">
        <f t="array" ref="F1368">IF(LineærRegression_Valg[[#This Row],[Indenfor range]],INDEX(DataTitel_liste,LineærRegression_Valg[[#This Row],[Afhængig variabel ID]]),INDEX(DataTitel_liste,1))</f>
        <v>Eksempel 1 (interval)</v>
      </c>
      <c r="G1368" s="188" t="str" cm="1">
        <f t="array" ref="G1368">IF(LineærRegression_Valg[[#This Row],[Indenfor range]],IF(LineærRegression_Valg[[#This Row],[Intet overlap]],INDEX(DataTitel_liste,LineærRegression_Valg[[#This Row],[Uafhængig variabel ID]]),INDEX(DataTitel_liste,IF(LineærRegression_Valg[[#This Row],[Afhængig variabel ID]]=1,2,1))),$B$7)</f>
        <v>Eksempel 2 (interval)</v>
      </c>
      <c r="H1368" s="188">
        <f>_xlfn.AGGREGATE(2,5,LineærRegression_Valg[[#This Row],[Tabel ID]])</f>
        <v>1</v>
      </c>
    </row>
    <row r="1369" spans="1:8" x14ac:dyDescent="0.2">
      <c r="A1369">
        <f>ROW(LineærRegression_Valg[[#This Row],[Tabel ID]])-ROW(LineærRegression_Valg[[#Headers],[Tabel ID]])</f>
        <v>1359</v>
      </c>
      <c r="B1369" s="188">
        <f>ROUNDDOWN((LineærRegression_Valg[[#This Row],[Tabel ID]]-1)/$B$5,0)+1</f>
        <v>340</v>
      </c>
      <c r="C1369" s="188">
        <f t="shared" si="21"/>
        <v>3</v>
      </c>
      <c r="D1369" s="188" t="b">
        <f>LineærRegression_Valg[[#This Row],[Afhængig variabel ID]]&lt;&gt;LineærRegression_Valg[[#This Row],[Uafhængig variabel ID]]</f>
        <v>1</v>
      </c>
      <c r="E1369" t="b">
        <f>LineærRegression_Valg[[#This Row],[Afhængig variabel ID]]&lt;=$B$5</f>
        <v>0</v>
      </c>
      <c r="F1369" t="str" cm="1">
        <f t="array" ref="F1369">IF(LineærRegression_Valg[[#This Row],[Indenfor range]],INDEX(DataTitel_liste,LineærRegression_Valg[[#This Row],[Afhængig variabel ID]]),INDEX(DataTitel_liste,1))</f>
        <v>Eksempel 1 (interval)</v>
      </c>
      <c r="G1369" s="188" t="str" cm="1">
        <f t="array" ref="G1369">IF(LineærRegression_Valg[[#This Row],[Indenfor range]],IF(LineærRegression_Valg[[#This Row],[Intet overlap]],INDEX(DataTitel_liste,LineærRegression_Valg[[#This Row],[Uafhængig variabel ID]]),INDEX(DataTitel_liste,IF(LineærRegression_Valg[[#This Row],[Afhængig variabel ID]]=1,2,1))),$B$7)</f>
        <v>Eksempel 2 (interval)</v>
      </c>
      <c r="H1369" s="188">
        <f>_xlfn.AGGREGATE(2,5,LineærRegression_Valg[[#This Row],[Tabel ID]])</f>
        <v>1</v>
      </c>
    </row>
    <row r="1370" spans="1:8" x14ac:dyDescent="0.2">
      <c r="A1370">
        <f>ROW(LineærRegression_Valg[[#This Row],[Tabel ID]])-ROW(LineærRegression_Valg[[#Headers],[Tabel ID]])</f>
        <v>1360</v>
      </c>
      <c r="B1370" s="188">
        <f>ROUNDDOWN((LineærRegression_Valg[[#This Row],[Tabel ID]]-1)/$B$5,0)+1</f>
        <v>340</v>
      </c>
      <c r="C1370" s="188">
        <f t="shared" si="21"/>
        <v>4</v>
      </c>
      <c r="D1370" s="188" t="b">
        <f>LineærRegression_Valg[[#This Row],[Afhængig variabel ID]]&lt;&gt;LineærRegression_Valg[[#This Row],[Uafhængig variabel ID]]</f>
        <v>1</v>
      </c>
      <c r="E1370" t="b">
        <f>LineærRegression_Valg[[#This Row],[Afhængig variabel ID]]&lt;=$B$5</f>
        <v>0</v>
      </c>
      <c r="F1370" t="str" cm="1">
        <f t="array" ref="F1370">IF(LineærRegression_Valg[[#This Row],[Indenfor range]],INDEX(DataTitel_liste,LineærRegression_Valg[[#This Row],[Afhængig variabel ID]]),INDEX(DataTitel_liste,1))</f>
        <v>Eksempel 1 (interval)</v>
      </c>
      <c r="G1370" s="188" t="str" cm="1">
        <f t="array" ref="G1370">IF(LineærRegression_Valg[[#This Row],[Indenfor range]],IF(LineærRegression_Valg[[#This Row],[Intet overlap]],INDEX(DataTitel_liste,LineærRegression_Valg[[#This Row],[Uafhængig variabel ID]]),INDEX(DataTitel_liste,IF(LineærRegression_Valg[[#This Row],[Afhængig variabel ID]]=1,2,1))),$B$7)</f>
        <v>Eksempel 2 (interval)</v>
      </c>
      <c r="H1370" s="188">
        <f>_xlfn.AGGREGATE(2,5,LineærRegression_Valg[[#This Row],[Tabel ID]])</f>
        <v>1</v>
      </c>
    </row>
    <row r="1371" spans="1:8" x14ac:dyDescent="0.2">
      <c r="A1371">
        <f>ROW(LineærRegression_Valg[[#This Row],[Tabel ID]])-ROW(LineærRegression_Valg[[#Headers],[Tabel ID]])</f>
        <v>1361</v>
      </c>
      <c r="B1371" s="188">
        <f>ROUNDDOWN((LineærRegression_Valg[[#This Row],[Tabel ID]]-1)/$B$5,0)+1</f>
        <v>341</v>
      </c>
      <c r="C1371" s="188">
        <f t="shared" si="21"/>
        <v>1</v>
      </c>
      <c r="D1371" s="188" t="b">
        <f>LineærRegression_Valg[[#This Row],[Afhængig variabel ID]]&lt;&gt;LineærRegression_Valg[[#This Row],[Uafhængig variabel ID]]</f>
        <v>1</v>
      </c>
      <c r="E1371" t="b">
        <f>LineærRegression_Valg[[#This Row],[Afhængig variabel ID]]&lt;=$B$5</f>
        <v>0</v>
      </c>
      <c r="F1371" t="str" cm="1">
        <f t="array" ref="F1371">IF(LineærRegression_Valg[[#This Row],[Indenfor range]],INDEX(DataTitel_liste,LineærRegression_Valg[[#This Row],[Afhængig variabel ID]]),INDEX(DataTitel_liste,1))</f>
        <v>Eksempel 1 (interval)</v>
      </c>
      <c r="G1371" s="188" t="str" cm="1">
        <f t="array" ref="G1371">IF(LineærRegression_Valg[[#This Row],[Indenfor range]],IF(LineærRegression_Valg[[#This Row],[Intet overlap]],INDEX(DataTitel_liste,LineærRegression_Valg[[#This Row],[Uafhængig variabel ID]]),INDEX(DataTitel_liste,IF(LineærRegression_Valg[[#This Row],[Afhængig variabel ID]]=1,2,1))),$B$7)</f>
        <v>Eksempel 2 (interval)</v>
      </c>
      <c r="H1371" s="188">
        <f>_xlfn.AGGREGATE(2,5,LineærRegression_Valg[[#This Row],[Tabel ID]])</f>
        <v>1</v>
      </c>
    </row>
    <row r="1372" spans="1:8" x14ac:dyDescent="0.2">
      <c r="A1372">
        <f>ROW(LineærRegression_Valg[[#This Row],[Tabel ID]])-ROW(LineærRegression_Valg[[#Headers],[Tabel ID]])</f>
        <v>1362</v>
      </c>
      <c r="B1372" s="188">
        <f>ROUNDDOWN((LineærRegression_Valg[[#This Row],[Tabel ID]]-1)/$B$5,0)+1</f>
        <v>341</v>
      </c>
      <c r="C1372" s="188">
        <f t="shared" si="21"/>
        <v>2</v>
      </c>
      <c r="D1372" s="188" t="b">
        <f>LineærRegression_Valg[[#This Row],[Afhængig variabel ID]]&lt;&gt;LineærRegression_Valg[[#This Row],[Uafhængig variabel ID]]</f>
        <v>1</v>
      </c>
      <c r="E1372" t="b">
        <f>LineærRegression_Valg[[#This Row],[Afhængig variabel ID]]&lt;=$B$5</f>
        <v>0</v>
      </c>
      <c r="F1372" t="str" cm="1">
        <f t="array" ref="F1372">IF(LineærRegression_Valg[[#This Row],[Indenfor range]],INDEX(DataTitel_liste,LineærRegression_Valg[[#This Row],[Afhængig variabel ID]]),INDEX(DataTitel_liste,1))</f>
        <v>Eksempel 1 (interval)</v>
      </c>
      <c r="G1372" s="188" t="str" cm="1">
        <f t="array" ref="G1372">IF(LineærRegression_Valg[[#This Row],[Indenfor range]],IF(LineærRegression_Valg[[#This Row],[Intet overlap]],INDEX(DataTitel_liste,LineærRegression_Valg[[#This Row],[Uafhængig variabel ID]]),INDEX(DataTitel_liste,IF(LineærRegression_Valg[[#This Row],[Afhængig variabel ID]]=1,2,1))),$B$7)</f>
        <v>Eksempel 2 (interval)</v>
      </c>
      <c r="H1372" s="188">
        <f>_xlfn.AGGREGATE(2,5,LineærRegression_Valg[[#This Row],[Tabel ID]])</f>
        <v>1</v>
      </c>
    </row>
    <row r="1373" spans="1:8" x14ac:dyDescent="0.2">
      <c r="A1373">
        <f>ROW(LineærRegression_Valg[[#This Row],[Tabel ID]])-ROW(LineærRegression_Valg[[#Headers],[Tabel ID]])</f>
        <v>1363</v>
      </c>
      <c r="B1373" s="188">
        <f>ROUNDDOWN((LineærRegression_Valg[[#This Row],[Tabel ID]]-1)/$B$5,0)+1</f>
        <v>341</v>
      </c>
      <c r="C1373" s="188">
        <f t="shared" si="21"/>
        <v>3</v>
      </c>
      <c r="D1373" s="188" t="b">
        <f>LineærRegression_Valg[[#This Row],[Afhængig variabel ID]]&lt;&gt;LineærRegression_Valg[[#This Row],[Uafhængig variabel ID]]</f>
        <v>1</v>
      </c>
      <c r="E1373" t="b">
        <f>LineærRegression_Valg[[#This Row],[Afhængig variabel ID]]&lt;=$B$5</f>
        <v>0</v>
      </c>
      <c r="F1373" t="str" cm="1">
        <f t="array" ref="F1373">IF(LineærRegression_Valg[[#This Row],[Indenfor range]],INDEX(DataTitel_liste,LineærRegression_Valg[[#This Row],[Afhængig variabel ID]]),INDEX(DataTitel_liste,1))</f>
        <v>Eksempel 1 (interval)</v>
      </c>
      <c r="G1373" s="188" t="str" cm="1">
        <f t="array" ref="G1373">IF(LineærRegression_Valg[[#This Row],[Indenfor range]],IF(LineærRegression_Valg[[#This Row],[Intet overlap]],INDEX(DataTitel_liste,LineærRegression_Valg[[#This Row],[Uafhængig variabel ID]]),INDEX(DataTitel_liste,IF(LineærRegression_Valg[[#This Row],[Afhængig variabel ID]]=1,2,1))),$B$7)</f>
        <v>Eksempel 2 (interval)</v>
      </c>
      <c r="H1373" s="188">
        <f>_xlfn.AGGREGATE(2,5,LineærRegression_Valg[[#This Row],[Tabel ID]])</f>
        <v>1</v>
      </c>
    </row>
    <row r="1374" spans="1:8" x14ac:dyDescent="0.2">
      <c r="A1374">
        <f>ROW(LineærRegression_Valg[[#This Row],[Tabel ID]])-ROW(LineærRegression_Valg[[#Headers],[Tabel ID]])</f>
        <v>1364</v>
      </c>
      <c r="B1374" s="188">
        <f>ROUNDDOWN((LineærRegression_Valg[[#This Row],[Tabel ID]]-1)/$B$5,0)+1</f>
        <v>341</v>
      </c>
      <c r="C1374" s="188">
        <f t="shared" si="21"/>
        <v>4</v>
      </c>
      <c r="D1374" s="188" t="b">
        <f>LineærRegression_Valg[[#This Row],[Afhængig variabel ID]]&lt;&gt;LineærRegression_Valg[[#This Row],[Uafhængig variabel ID]]</f>
        <v>1</v>
      </c>
      <c r="E1374" t="b">
        <f>LineærRegression_Valg[[#This Row],[Afhængig variabel ID]]&lt;=$B$5</f>
        <v>0</v>
      </c>
      <c r="F1374" t="str" cm="1">
        <f t="array" ref="F1374">IF(LineærRegression_Valg[[#This Row],[Indenfor range]],INDEX(DataTitel_liste,LineærRegression_Valg[[#This Row],[Afhængig variabel ID]]),INDEX(DataTitel_liste,1))</f>
        <v>Eksempel 1 (interval)</v>
      </c>
      <c r="G1374" s="188" t="str" cm="1">
        <f t="array" ref="G1374">IF(LineærRegression_Valg[[#This Row],[Indenfor range]],IF(LineærRegression_Valg[[#This Row],[Intet overlap]],INDEX(DataTitel_liste,LineærRegression_Valg[[#This Row],[Uafhængig variabel ID]]),INDEX(DataTitel_liste,IF(LineærRegression_Valg[[#This Row],[Afhængig variabel ID]]=1,2,1))),$B$7)</f>
        <v>Eksempel 2 (interval)</v>
      </c>
      <c r="H1374" s="188">
        <f>_xlfn.AGGREGATE(2,5,LineærRegression_Valg[[#This Row],[Tabel ID]])</f>
        <v>1</v>
      </c>
    </row>
    <row r="1375" spans="1:8" x14ac:dyDescent="0.2">
      <c r="A1375">
        <f>ROW(LineærRegression_Valg[[#This Row],[Tabel ID]])-ROW(LineærRegression_Valg[[#Headers],[Tabel ID]])</f>
        <v>1365</v>
      </c>
      <c r="B1375" s="188">
        <f>ROUNDDOWN((LineærRegression_Valg[[#This Row],[Tabel ID]]-1)/$B$5,0)+1</f>
        <v>342</v>
      </c>
      <c r="C1375" s="188">
        <f t="shared" si="21"/>
        <v>1</v>
      </c>
      <c r="D1375" s="188" t="b">
        <f>LineærRegression_Valg[[#This Row],[Afhængig variabel ID]]&lt;&gt;LineærRegression_Valg[[#This Row],[Uafhængig variabel ID]]</f>
        <v>1</v>
      </c>
      <c r="E1375" t="b">
        <f>LineærRegression_Valg[[#This Row],[Afhængig variabel ID]]&lt;=$B$5</f>
        <v>0</v>
      </c>
      <c r="F1375" t="str" cm="1">
        <f t="array" ref="F1375">IF(LineærRegression_Valg[[#This Row],[Indenfor range]],INDEX(DataTitel_liste,LineærRegression_Valg[[#This Row],[Afhængig variabel ID]]),INDEX(DataTitel_liste,1))</f>
        <v>Eksempel 1 (interval)</v>
      </c>
      <c r="G1375" s="188" t="str" cm="1">
        <f t="array" ref="G1375">IF(LineærRegression_Valg[[#This Row],[Indenfor range]],IF(LineærRegression_Valg[[#This Row],[Intet overlap]],INDEX(DataTitel_liste,LineærRegression_Valg[[#This Row],[Uafhængig variabel ID]]),INDEX(DataTitel_liste,IF(LineærRegression_Valg[[#This Row],[Afhængig variabel ID]]=1,2,1))),$B$7)</f>
        <v>Eksempel 2 (interval)</v>
      </c>
      <c r="H1375" s="188">
        <f>_xlfn.AGGREGATE(2,5,LineærRegression_Valg[[#This Row],[Tabel ID]])</f>
        <v>1</v>
      </c>
    </row>
    <row r="1376" spans="1:8" x14ac:dyDescent="0.2">
      <c r="A1376">
        <f>ROW(LineærRegression_Valg[[#This Row],[Tabel ID]])-ROW(LineærRegression_Valg[[#Headers],[Tabel ID]])</f>
        <v>1366</v>
      </c>
      <c r="B1376" s="188">
        <f>ROUNDDOWN((LineærRegression_Valg[[#This Row],[Tabel ID]]-1)/$B$5,0)+1</f>
        <v>342</v>
      </c>
      <c r="C1376" s="188">
        <f t="shared" si="21"/>
        <v>2</v>
      </c>
      <c r="D1376" s="188" t="b">
        <f>LineærRegression_Valg[[#This Row],[Afhængig variabel ID]]&lt;&gt;LineærRegression_Valg[[#This Row],[Uafhængig variabel ID]]</f>
        <v>1</v>
      </c>
      <c r="E1376" t="b">
        <f>LineærRegression_Valg[[#This Row],[Afhængig variabel ID]]&lt;=$B$5</f>
        <v>0</v>
      </c>
      <c r="F1376" t="str" cm="1">
        <f t="array" ref="F1376">IF(LineærRegression_Valg[[#This Row],[Indenfor range]],INDEX(DataTitel_liste,LineærRegression_Valg[[#This Row],[Afhængig variabel ID]]),INDEX(DataTitel_liste,1))</f>
        <v>Eksempel 1 (interval)</v>
      </c>
      <c r="G1376" s="188" t="str" cm="1">
        <f t="array" ref="G1376">IF(LineærRegression_Valg[[#This Row],[Indenfor range]],IF(LineærRegression_Valg[[#This Row],[Intet overlap]],INDEX(DataTitel_liste,LineærRegression_Valg[[#This Row],[Uafhængig variabel ID]]),INDEX(DataTitel_liste,IF(LineærRegression_Valg[[#This Row],[Afhængig variabel ID]]=1,2,1))),$B$7)</f>
        <v>Eksempel 2 (interval)</v>
      </c>
      <c r="H1376" s="188">
        <f>_xlfn.AGGREGATE(2,5,LineærRegression_Valg[[#This Row],[Tabel ID]])</f>
        <v>1</v>
      </c>
    </row>
    <row r="1377" spans="1:8" x14ac:dyDescent="0.2">
      <c r="A1377">
        <f>ROW(LineærRegression_Valg[[#This Row],[Tabel ID]])-ROW(LineærRegression_Valg[[#Headers],[Tabel ID]])</f>
        <v>1367</v>
      </c>
      <c r="B1377" s="188">
        <f>ROUNDDOWN((LineærRegression_Valg[[#This Row],[Tabel ID]]-1)/$B$5,0)+1</f>
        <v>342</v>
      </c>
      <c r="C1377" s="188">
        <f t="shared" si="21"/>
        <v>3</v>
      </c>
      <c r="D1377" s="188" t="b">
        <f>LineærRegression_Valg[[#This Row],[Afhængig variabel ID]]&lt;&gt;LineærRegression_Valg[[#This Row],[Uafhængig variabel ID]]</f>
        <v>1</v>
      </c>
      <c r="E1377" t="b">
        <f>LineærRegression_Valg[[#This Row],[Afhængig variabel ID]]&lt;=$B$5</f>
        <v>0</v>
      </c>
      <c r="F1377" t="str" cm="1">
        <f t="array" ref="F1377">IF(LineærRegression_Valg[[#This Row],[Indenfor range]],INDEX(DataTitel_liste,LineærRegression_Valg[[#This Row],[Afhængig variabel ID]]),INDEX(DataTitel_liste,1))</f>
        <v>Eksempel 1 (interval)</v>
      </c>
      <c r="G1377" s="188" t="str" cm="1">
        <f t="array" ref="G1377">IF(LineærRegression_Valg[[#This Row],[Indenfor range]],IF(LineærRegression_Valg[[#This Row],[Intet overlap]],INDEX(DataTitel_liste,LineærRegression_Valg[[#This Row],[Uafhængig variabel ID]]),INDEX(DataTitel_liste,IF(LineærRegression_Valg[[#This Row],[Afhængig variabel ID]]=1,2,1))),$B$7)</f>
        <v>Eksempel 2 (interval)</v>
      </c>
      <c r="H1377" s="188">
        <f>_xlfn.AGGREGATE(2,5,LineærRegression_Valg[[#This Row],[Tabel ID]])</f>
        <v>1</v>
      </c>
    </row>
    <row r="1378" spans="1:8" x14ac:dyDescent="0.2">
      <c r="A1378">
        <f>ROW(LineærRegression_Valg[[#This Row],[Tabel ID]])-ROW(LineærRegression_Valg[[#Headers],[Tabel ID]])</f>
        <v>1368</v>
      </c>
      <c r="B1378" s="188">
        <f>ROUNDDOWN((LineærRegression_Valg[[#This Row],[Tabel ID]]-1)/$B$5,0)+1</f>
        <v>342</v>
      </c>
      <c r="C1378" s="188">
        <f t="shared" si="21"/>
        <v>4</v>
      </c>
      <c r="D1378" s="188" t="b">
        <f>LineærRegression_Valg[[#This Row],[Afhængig variabel ID]]&lt;&gt;LineærRegression_Valg[[#This Row],[Uafhængig variabel ID]]</f>
        <v>1</v>
      </c>
      <c r="E1378" t="b">
        <f>LineærRegression_Valg[[#This Row],[Afhængig variabel ID]]&lt;=$B$5</f>
        <v>0</v>
      </c>
      <c r="F1378" t="str" cm="1">
        <f t="array" ref="F1378">IF(LineærRegression_Valg[[#This Row],[Indenfor range]],INDEX(DataTitel_liste,LineærRegression_Valg[[#This Row],[Afhængig variabel ID]]),INDEX(DataTitel_liste,1))</f>
        <v>Eksempel 1 (interval)</v>
      </c>
      <c r="G1378" s="188" t="str" cm="1">
        <f t="array" ref="G1378">IF(LineærRegression_Valg[[#This Row],[Indenfor range]],IF(LineærRegression_Valg[[#This Row],[Intet overlap]],INDEX(DataTitel_liste,LineærRegression_Valg[[#This Row],[Uafhængig variabel ID]]),INDEX(DataTitel_liste,IF(LineærRegression_Valg[[#This Row],[Afhængig variabel ID]]=1,2,1))),$B$7)</f>
        <v>Eksempel 2 (interval)</v>
      </c>
      <c r="H1378" s="188">
        <f>_xlfn.AGGREGATE(2,5,LineærRegression_Valg[[#This Row],[Tabel ID]])</f>
        <v>1</v>
      </c>
    </row>
    <row r="1379" spans="1:8" x14ac:dyDescent="0.2">
      <c r="A1379">
        <f>ROW(LineærRegression_Valg[[#This Row],[Tabel ID]])-ROW(LineærRegression_Valg[[#Headers],[Tabel ID]])</f>
        <v>1369</v>
      </c>
      <c r="B1379" s="188">
        <f>ROUNDDOWN((LineærRegression_Valg[[#This Row],[Tabel ID]]-1)/$B$5,0)+1</f>
        <v>343</v>
      </c>
      <c r="C1379" s="188">
        <f t="shared" si="21"/>
        <v>1</v>
      </c>
      <c r="D1379" s="188" t="b">
        <f>LineærRegression_Valg[[#This Row],[Afhængig variabel ID]]&lt;&gt;LineærRegression_Valg[[#This Row],[Uafhængig variabel ID]]</f>
        <v>1</v>
      </c>
      <c r="E1379" t="b">
        <f>LineærRegression_Valg[[#This Row],[Afhængig variabel ID]]&lt;=$B$5</f>
        <v>0</v>
      </c>
      <c r="F1379" t="str" cm="1">
        <f t="array" ref="F1379">IF(LineærRegression_Valg[[#This Row],[Indenfor range]],INDEX(DataTitel_liste,LineærRegression_Valg[[#This Row],[Afhængig variabel ID]]),INDEX(DataTitel_liste,1))</f>
        <v>Eksempel 1 (interval)</v>
      </c>
      <c r="G1379" s="188" t="str" cm="1">
        <f t="array" ref="G1379">IF(LineærRegression_Valg[[#This Row],[Indenfor range]],IF(LineærRegression_Valg[[#This Row],[Intet overlap]],INDEX(DataTitel_liste,LineærRegression_Valg[[#This Row],[Uafhængig variabel ID]]),INDEX(DataTitel_liste,IF(LineærRegression_Valg[[#This Row],[Afhængig variabel ID]]=1,2,1))),$B$7)</f>
        <v>Eksempel 2 (interval)</v>
      </c>
      <c r="H1379" s="188">
        <f>_xlfn.AGGREGATE(2,5,LineærRegression_Valg[[#This Row],[Tabel ID]])</f>
        <v>1</v>
      </c>
    </row>
    <row r="1380" spans="1:8" x14ac:dyDescent="0.2">
      <c r="A1380">
        <f>ROW(LineærRegression_Valg[[#This Row],[Tabel ID]])-ROW(LineærRegression_Valg[[#Headers],[Tabel ID]])</f>
        <v>1370</v>
      </c>
      <c r="B1380" s="188">
        <f>ROUNDDOWN((LineærRegression_Valg[[#This Row],[Tabel ID]]-1)/$B$5,0)+1</f>
        <v>343</v>
      </c>
      <c r="C1380" s="188">
        <f t="shared" si="21"/>
        <v>2</v>
      </c>
      <c r="D1380" s="188" t="b">
        <f>LineærRegression_Valg[[#This Row],[Afhængig variabel ID]]&lt;&gt;LineærRegression_Valg[[#This Row],[Uafhængig variabel ID]]</f>
        <v>1</v>
      </c>
      <c r="E1380" t="b">
        <f>LineærRegression_Valg[[#This Row],[Afhængig variabel ID]]&lt;=$B$5</f>
        <v>0</v>
      </c>
      <c r="F1380" t="str" cm="1">
        <f t="array" ref="F1380">IF(LineærRegression_Valg[[#This Row],[Indenfor range]],INDEX(DataTitel_liste,LineærRegression_Valg[[#This Row],[Afhængig variabel ID]]),INDEX(DataTitel_liste,1))</f>
        <v>Eksempel 1 (interval)</v>
      </c>
      <c r="G1380" s="188" t="str" cm="1">
        <f t="array" ref="G1380">IF(LineærRegression_Valg[[#This Row],[Indenfor range]],IF(LineærRegression_Valg[[#This Row],[Intet overlap]],INDEX(DataTitel_liste,LineærRegression_Valg[[#This Row],[Uafhængig variabel ID]]),INDEX(DataTitel_liste,IF(LineærRegression_Valg[[#This Row],[Afhængig variabel ID]]=1,2,1))),$B$7)</f>
        <v>Eksempel 2 (interval)</v>
      </c>
      <c r="H1380" s="188">
        <f>_xlfn.AGGREGATE(2,5,LineærRegression_Valg[[#This Row],[Tabel ID]])</f>
        <v>1</v>
      </c>
    </row>
    <row r="1381" spans="1:8" x14ac:dyDescent="0.2">
      <c r="A1381">
        <f>ROW(LineærRegression_Valg[[#This Row],[Tabel ID]])-ROW(LineærRegression_Valg[[#Headers],[Tabel ID]])</f>
        <v>1371</v>
      </c>
      <c r="B1381" s="188">
        <f>ROUNDDOWN((LineærRegression_Valg[[#This Row],[Tabel ID]]-1)/$B$5,0)+1</f>
        <v>343</v>
      </c>
      <c r="C1381" s="188">
        <f t="shared" si="21"/>
        <v>3</v>
      </c>
      <c r="D1381" s="188" t="b">
        <f>LineærRegression_Valg[[#This Row],[Afhængig variabel ID]]&lt;&gt;LineærRegression_Valg[[#This Row],[Uafhængig variabel ID]]</f>
        <v>1</v>
      </c>
      <c r="E1381" t="b">
        <f>LineærRegression_Valg[[#This Row],[Afhængig variabel ID]]&lt;=$B$5</f>
        <v>0</v>
      </c>
      <c r="F1381" t="str" cm="1">
        <f t="array" ref="F1381">IF(LineærRegression_Valg[[#This Row],[Indenfor range]],INDEX(DataTitel_liste,LineærRegression_Valg[[#This Row],[Afhængig variabel ID]]),INDEX(DataTitel_liste,1))</f>
        <v>Eksempel 1 (interval)</v>
      </c>
      <c r="G1381" s="188" t="str" cm="1">
        <f t="array" ref="G1381">IF(LineærRegression_Valg[[#This Row],[Indenfor range]],IF(LineærRegression_Valg[[#This Row],[Intet overlap]],INDEX(DataTitel_liste,LineærRegression_Valg[[#This Row],[Uafhængig variabel ID]]),INDEX(DataTitel_liste,IF(LineærRegression_Valg[[#This Row],[Afhængig variabel ID]]=1,2,1))),$B$7)</f>
        <v>Eksempel 2 (interval)</v>
      </c>
      <c r="H1381" s="188">
        <f>_xlfn.AGGREGATE(2,5,LineærRegression_Valg[[#This Row],[Tabel ID]])</f>
        <v>1</v>
      </c>
    </row>
    <row r="1382" spans="1:8" x14ac:dyDescent="0.2">
      <c r="A1382">
        <f>ROW(LineærRegression_Valg[[#This Row],[Tabel ID]])-ROW(LineærRegression_Valg[[#Headers],[Tabel ID]])</f>
        <v>1372</v>
      </c>
      <c r="B1382" s="188">
        <f>ROUNDDOWN((LineærRegression_Valg[[#This Row],[Tabel ID]]-1)/$B$5,0)+1</f>
        <v>343</v>
      </c>
      <c r="C1382" s="188">
        <f t="shared" si="21"/>
        <v>4</v>
      </c>
      <c r="D1382" s="188" t="b">
        <f>LineærRegression_Valg[[#This Row],[Afhængig variabel ID]]&lt;&gt;LineærRegression_Valg[[#This Row],[Uafhængig variabel ID]]</f>
        <v>1</v>
      </c>
      <c r="E1382" t="b">
        <f>LineærRegression_Valg[[#This Row],[Afhængig variabel ID]]&lt;=$B$5</f>
        <v>0</v>
      </c>
      <c r="F1382" t="str" cm="1">
        <f t="array" ref="F1382">IF(LineærRegression_Valg[[#This Row],[Indenfor range]],INDEX(DataTitel_liste,LineærRegression_Valg[[#This Row],[Afhængig variabel ID]]),INDEX(DataTitel_liste,1))</f>
        <v>Eksempel 1 (interval)</v>
      </c>
      <c r="G1382" s="188" t="str" cm="1">
        <f t="array" ref="G1382">IF(LineærRegression_Valg[[#This Row],[Indenfor range]],IF(LineærRegression_Valg[[#This Row],[Intet overlap]],INDEX(DataTitel_liste,LineærRegression_Valg[[#This Row],[Uafhængig variabel ID]]),INDEX(DataTitel_liste,IF(LineærRegression_Valg[[#This Row],[Afhængig variabel ID]]=1,2,1))),$B$7)</f>
        <v>Eksempel 2 (interval)</v>
      </c>
      <c r="H1382" s="188">
        <f>_xlfn.AGGREGATE(2,5,LineærRegression_Valg[[#This Row],[Tabel ID]])</f>
        <v>1</v>
      </c>
    </row>
    <row r="1383" spans="1:8" x14ac:dyDescent="0.2">
      <c r="A1383">
        <f>ROW(LineærRegression_Valg[[#This Row],[Tabel ID]])-ROW(LineærRegression_Valg[[#Headers],[Tabel ID]])</f>
        <v>1373</v>
      </c>
      <c r="B1383" s="188">
        <f>ROUNDDOWN((LineærRegression_Valg[[#This Row],[Tabel ID]]-1)/$B$5,0)+1</f>
        <v>344</v>
      </c>
      <c r="C1383" s="188">
        <f t="shared" si="21"/>
        <v>1</v>
      </c>
      <c r="D1383" s="188" t="b">
        <f>LineærRegression_Valg[[#This Row],[Afhængig variabel ID]]&lt;&gt;LineærRegression_Valg[[#This Row],[Uafhængig variabel ID]]</f>
        <v>1</v>
      </c>
      <c r="E1383" t="b">
        <f>LineærRegression_Valg[[#This Row],[Afhængig variabel ID]]&lt;=$B$5</f>
        <v>0</v>
      </c>
      <c r="F1383" t="str" cm="1">
        <f t="array" ref="F1383">IF(LineærRegression_Valg[[#This Row],[Indenfor range]],INDEX(DataTitel_liste,LineærRegression_Valg[[#This Row],[Afhængig variabel ID]]),INDEX(DataTitel_liste,1))</f>
        <v>Eksempel 1 (interval)</v>
      </c>
      <c r="G1383" s="188" t="str" cm="1">
        <f t="array" ref="G1383">IF(LineærRegression_Valg[[#This Row],[Indenfor range]],IF(LineærRegression_Valg[[#This Row],[Intet overlap]],INDEX(DataTitel_liste,LineærRegression_Valg[[#This Row],[Uafhængig variabel ID]]),INDEX(DataTitel_liste,IF(LineærRegression_Valg[[#This Row],[Afhængig variabel ID]]=1,2,1))),$B$7)</f>
        <v>Eksempel 2 (interval)</v>
      </c>
      <c r="H1383" s="188">
        <f>_xlfn.AGGREGATE(2,5,LineærRegression_Valg[[#This Row],[Tabel ID]])</f>
        <v>1</v>
      </c>
    </row>
    <row r="1384" spans="1:8" x14ac:dyDescent="0.2">
      <c r="A1384">
        <f>ROW(LineærRegression_Valg[[#This Row],[Tabel ID]])-ROW(LineærRegression_Valg[[#Headers],[Tabel ID]])</f>
        <v>1374</v>
      </c>
      <c r="B1384" s="188">
        <f>ROUNDDOWN((LineærRegression_Valg[[#This Row],[Tabel ID]]-1)/$B$5,0)+1</f>
        <v>344</v>
      </c>
      <c r="C1384" s="188">
        <f t="shared" si="21"/>
        <v>2</v>
      </c>
      <c r="D1384" s="188" t="b">
        <f>LineærRegression_Valg[[#This Row],[Afhængig variabel ID]]&lt;&gt;LineærRegression_Valg[[#This Row],[Uafhængig variabel ID]]</f>
        <v>1</v>
      </c>
      <c r="E1384" t="b">
        <f>LineærRegression_Valg[[#This Row],[Afhængig variabel ID]]&lt;=$B$5</f>
        <v>0</v>
      </c>
      <c r="F1384" t="str" cm="1">
        <f t="array" ref="F1384">IF(LineærRegression_Valg[[#This Row],[Indenfor range]],INDEX(DataTitel_liste,LineærRegression_Valg[[#This Row],[Afhængig variabel ID]]),INDEX(DataTitel_liste,1))</f>
        <v>Eksempel 1 (interval)</v>
      </c>
      <c r="G1384" s="188" t="str" cm="1">
        <f t="array" ref="G1384">IF(LineærRegression_Valg[[#This Row],[Indenfor range]],IF(LineærRegression_Valg[[#This Row],[Intet overlap]],INDEX(DataTitel_liste,LineærRegression_Valg[[#This Row],[Uafhængig variabel ID]]),INDEX(DataTitel_liste,IF(LineærRegression_Valg[[#This Row],[Afhængig variabel ID]]=1,2,1))),$B$7)</f>
        <v>Eksempel 2 (interval)</v>
      </c>
      <c r="H1384" s="188">
        <f>_xlfn.AGGREGATE(2,5,LineærRegression_Valg[[#This Row],[Tabel ID]])</f>
        <v>1</v>
      </c>
    </row>
    <row r="1385" spans="1:8" x14ac:dyDescent="0.2">
      <c r="A1385">
        <f>ROW(LineærRegression_Valg[[#This Row],[Tabel ID]])-ROW(LineærRegression_Valg[[#Headers],[Tabel ID]])</f>
        <v>1375</v>
      </c>
      <c r="B1385" s="188">
        <f>ROUNDDOWN((LineærRegression_Valg[[#This Row],[Tabel ID]]-1)/$B$5,0)+1</f>
        <v>344</v>
      </c>
      <c r="C1385" s="188">
        <f t="shared" si="21"/>
        <v>3</v>
      </c>
      <c r="D1385" s="188" t="b">
        <f>LineærRegression_Valg[[#This Row],[Afhængig variabel ID]]&lt;&gt;LineærRegression_Valg[[#This Row],[Uafhængig variabel ID]]</f>
        <v>1</v>
      </c>
      <c r="E1385" t="b">
        <f>LineærRegression_Valg[[#This Row],[Afhængig variabel ID]]&lt;=$B$5</f>
        <v>0</v>
      </c>
      <c r="F1385" t="str" cm="1">
        <f t="array" ref="F1385">IF(LineærRegression_Valg[[#This Row],[Indenfor range]],INDEX(DataTitel_liste,LineærRegression_Valg[[#This Row],[Afhængig variabel ID]]),INDEX(DataTitel_liste,1))</f>
        <v>Eksempel 1 (interval)</v>
      </c>
      <c r="G1385" s="188" t="str" cm="1">
        <f t="array" ref="G1385">IF(LineærRegression_Valg[[#This Row],[Indenfor range]],IF(LineærRegression_Valg[[#This Row],[Intet overlap]],INDEX(DataTitel_liste,LineærRegression_Valg[[#This Row],[Uafhængig variabel ID]]),INDEX(DataTitel_liste,IF(LineærRegression_Valg[[#This Row],[Afhængig variabel ID]]=1,2,1))),$B$7)</f>
        <v>Eksempel 2 (interval)</v>
      </c>
      <c r="H1385" s="188">
        <f>_xlfn.AGGREGATE(2,5,LineærRegression_Valg[[#This Row],[Tabel ID]])</f>
        <v>1</v>
      </c>
    </row>
    <row r="1386" spans="1:8" x14ac:dyDescent="0.2">
      <c r="A1386">
        <f>ROW(LineærRegression_Valg[[#This Row],[Tabel ID]])-ROW(LineærRegression_Valg[[#Headers],[Tabel ID]])</f>
        <v>1376</v>
      </c>
      <c r="B1386" s="188">
        <f>ROUNDDOWN((LineærRegression_Valg[[#This Row],[Tabel ID]]-1)/$B$5,0)+1</f>
        <v>344</v>
      </c>
      <c r="C1386" s="188">
        <f t="shared" si="21"/>
        <v>4</v>
      </c>
      <c r="D1386" s="188" t="b">
        <f>LineærRegression_Valg[[#This Row],[Afhængig variabel ID]]&lt;&gt;LineærRegression_Valg[[#This Row],[Uafhængig variabel ID]]</f>
        <v>1</v>
      </c>
      <c r="E1386" t="b">
        <f>LineærRegression_Valg[[#This Row],[Afhængig variabel ID]]&lt;=$B$5</f>
        <v>0</v>
      </c>
      <c r="F1386" t="str" cm="1">
        <f t="array" ref="F1386">IF(LineærRegression_Valg[[#This Row],[Indenfor range]],INDEX(DataTitel_liste,LineærRegression_Valg[[#This Row],[Afhængig variabel ID]]),INDEX(DataTitel_liste,1))</f>
        <v>Eksempel 1 (interval)</v>
      </c>
      <c r="G1386" s="188" t="str" cm="1">
        <f t="array" ref="G1386">IF(LineærRegression_Valg[[#This Row],[Indenfor range]],IF(LineærRegression_Valg[[#This Row],[Intet overlap]],INDEX(DataTitel_liste,LineærRegression_Valg[[#This Row],[Uafhængig variabel ID]]),INDEX(DataTitel_liste,IF(LineærRegression_Valg[[#This Row],[Afhængig variabel ID]]=1,2,1))),$B$7)</f>
        <v>Eksempel 2 (interval)</v>
      </c>
      <c r="H1386" s="188">
        <f>_xlfn.AGGREGATE(2,5,LineærRegression_Valg[[#This Row],[Tabel ID]])</f>
        <v>1</v>
      </c>
    </row>
    <row r="1387" spans="1:8" x14ac:dyDescent="0.2">
      <c r="A1387">
        <f>ROW(LineærRegression_Valg[[#This Row],[Tabel ID]])-ROW(LineærRegression_Valg[[#Headers],[Tabel ID]])</f>
        <v>1377</v>
      </c>
      <c r="B1387" s="188">
        <f>ROUNDDOWN((LineærRegression_Valg[[#This Row],[Tabel ID]]-1)/$B$5,0)+1</f>
        <v>345</v>
      </c>
      <c r="C1387" s="188">
        <f t="shared" si="21"/>
        <v>1</v>
      </c>
      <c r="D1387" s="188" t="b">
        <f>LineærRegression_Valg[[#This Row],[Afhængig variabel ID]]&lt;&gt;LineærRegression_Valg[[#This Row],[Uafhængig variabel ID]]</f>
        <v>1</v>
      </c>
      <c r="E1387" t="b">
        <f>LineærRegression_Valg[[#This Row],[Afhængig variabel ID]]&lt;=$B$5</f>
        <v>0</v>
      </c>
      <c r="F1387" t="str" cm="1">
        <f t="array" ref="F1387">IF(LineærRegression_Valg[[#This Row],[Indenfor range]],INDEX(DataTitel_liste,LineærRegression_Valg[[#This Row],[Afhængig variabel ID]]),INDEX(DataTitel_liste,1))</f>
        <v>Eksempel 1 (interval)</v>
      </c>
      <c r="G1387" s="188" t="str" cm="1">
        <f t="array" ref="G1387">IF(LineærRegression_Valg[[#This Row],[Indenfor range]],IF(LineærRegression_Valg[[#This Row],[Intet overlap]],INDEX(DataTitel_liste,LineærRegression_Valg[[#This Row],[Uafhængig variabel ID]]),INDEX(DataTitel_liste,IF(LineærRegression_Valg[[#This Row],[Afhængig variabel ID]]=1,2,1))),$B$7)</f>
        <v>Eksempel 2 (interval)</v>
      </c>
      <c r="H1387" s="188">
        <f>_xlfn.AGGREGATE(2,5,LineærRegression_Valg[[#This Row],[Tabel ID]])</f>
        <v>1</v>
      </c>
    </row>
    <row r="1388" spans="1:8" x14ac:dyDescent="0.2">
      <c r="A1388">
        <f>ROW(LineærRegression_Valg[[#This Row],[Tabel ID]])-ROW(LineærRegression_Valg[[#Headers],[Tabel ID]])</f>
        <v>1378</v>
      </c>
      <c r="B1388" s="188">
        <f>ROUNDDOWN((LineærRegression_Valg[[#This Row],[Tabel ID]]-1)/$B$5,0)+1</f>
        <v>345</v>
      </c>
      <c r="C1388" s="188">
        <f t="shared" si="21"/>
        <v>2</v>
      </c>
      <c r="D1388" s="188" t="b">
        <f>LineærRegression_Valg[[#This Row],[Afhængig variabel ID]]&lt;&gt;LineærRegression_Valg[[#This Row],[Uafhængig variabel ID]]</f>
        <v>1</v>
      </c>
      <c r="E1388" t="b">
        <f>LineærRegression_Valg[[#This Row],[Afhængig variabel ID]]&lt;=$B$5</f>
        <v>0</v>
      </c>
      <c r="F1388" t="str" cm="1">
        <f t="array" ref="F1388">IF(LineærRegression_Valg[[#This Row],[Indenfor range]],INDEX(DataTitel_liste,LineærRegression_Valg[[#This Row],[Afhængig variabel ID]]),INDEX(DataTitel_liste,1))</f>
        <v>Eksempel 1 (interval)</v>
      </c>
      <c r="G1388" s="188" t="str" cm="1">
        <f t="array" ref="G1388">IF(LineærRegression_Valg[[#This Row],[Indenfor range]],IF(LineærRegression_Valg[[#This Row],[Intet overlap]],INDEX(DataTitel_liste,LineærRegression_Valg[[#This Row],[Uafhængig variabel ID]]),INDEX(DataTitel_liste,IF(LineærRegression_Valg[[#This Row],[Afhængig variabel ID]]=1,2,1))),$B$7)</f>
        <v>Eksempel 2 (interval)</v>
      </c>
      <c r="H1388" s="188">
        <f>_xlfn.AGGREGATE(2,5,LineærRegression_Valg[[#This Row],[Tabel ID]])</f>
        <v>1</v>
      </c>
    </row>
    <row r="1389" spans="1:8" x14ac:dyDescent="0.2">
      <c r="A1389">
        <f>ROW(LineærRegression_Valg[[#This Row],[Tabel ID]])-ROW(LineærRegression_Valg[[#Headers],[Tabel ID]])</f>
        <v>1379</v>
      </c>
      <c r="B1389" s="188">
        <f>ROUNDDOWN((LineærRegression_Valg[[#This Row],[Tabel ID]]-1)/$B$5,0)+1</f>
        <v>345</v>
      </c>
      <c r="C1389" s="188">
        <f t="shared" si="21"/>
        <v>3</v>
      </c>
      <c r="D1389" s="188" t="b">
        <f>LineærRegression_Valg[[#This Row],[Afhængig variabel ID]]&lt;&gt;LineærRegression_Valg[[#This Row],[Uafhængig variabel ID]]</f>
        <v>1</v>
      </c>
      <c r="E1389" t="b">
        <f>LineærRegression_Valg[[#This Row],[Afhængig variabel ID]]&lt;=$B$5</f>
        <v>0</v>
      </c>
      <c r="F1389" t="str" cm="1">
        <f t="array" ref="F1389">IF(LineærRegression_Valg[[#This Row],[Indenfor range]],INDEX(DataTitel_liste,LineærRegression_Valg[[#This Row],[Afhængig variabel ID]]),INDEX(DataTitel_liste,1))</f>
        <v>Eksempel 1 (interval)</v>
      </c>
      <c r="G1389" s="188" t="str" cm="1">
        <f t="array" ref="G1389">IF(LineærRegression_Valg[[#This Row],[Indenfor range]],IF(LineærRegression_Valg[[#This Row],[Intet overlap]],INDEX(DataTitel_liste,LineærRegression_Valg[[#This Row],[Uafhængig variabel ID]]),INDEX(DataTitel_liste,IF(LineærRegression_Valg[[#This Row],[Afhængig variabel ID]]=1,2,1))),$B$7)</f>
        <v>Eksempel 2 (interval)</v>
      </c>
      <c r="H1389" s="188">
        <f>_xlfn.AGGREGATE(2,5,LineærRegression_Valg[[#This Row],[Tabel ID]])</f>
        <v>1</v>
      </c>
    </row>
    <row r="1390" spans="1:8" x14ac:dyDescent="0.2">
      <c r="A1390">
        <f>ROW(LineærRegression_Valg[[#This Row],[Tabel ID]])-ROW(LineærRegression_Valg[[#Headers],[Tabel ID]])</f>
        <v>1380</v>
      </c>
      <c r="B1390" s="188">
        <f>ROUNDDOWN((LineærRegression_Valg[[#This Row],[Tabel ID]]-1)/$B$5,0)+1</f>
        <v>345</v>
      </c>
      <c r="C1390" s="188">
        <f t="shared" si="21"/>
        <v>4</v>
      </c>
      <c r="D1390" s="188" t="b">
        <f>LineærRegression_Valg[[#This Row],[Afhængig variabel ID]]&lt;&gt;LineærRegression_Valg[[#This Row],[Uafhængig variabel ID]]</f>
        <v>1</v>
      </c>
      <c r="E1390" t="b">
        <f>LineærRegression_Valg[[#This Row],[Afhængig variabel ID]]&lt;=$B$5</f>
        <v>0</v>
      </c>
      <c r="F1390" t="str" cm="1">
        <f t="array" ref="F1390">IF(LineærRegression_Valg[[#This Row],[Indenfor range]],INDEX(DataTitel_liste,LineærRegression_Valg[[#This Row],[Afhængig variabel ID]]),INDEX(DataTitel_liste,1))</f>
        <v>Eksempel 1 (interval)</v>
      </c>
      <c r="G1390" s="188" t="str" cm="1">
        <f t="array" ref="G1390">IF(LineærRegression_Valg[[#This Row],[Indenfor range]],IF(LineærRegression_Valg[[#This Row],[Intet overlap]],INDEX(DataTitel_liste,LineærRegression_Valg[[#This Row],[Uafhængig variabel ID]]),INDEX(DataTitel_liste,IF(LineærRegression_Valg[[#This Row],[Afhængig variabel ID]]=1,2,1))),$B$7)</f>
        <v>Eksempel 2 (interval)</v>
      </c>
      <c r="H1390" s="188">
        <f>_xlfn.AGGREGATE(2,5,LineærRegression_Valg[[#This Row],[Tabel ID]])</f>
        <v>1</v>
      </c>
    </row>
    <row r="1391" spans="1:8" x14ac:dyDescent="0.2">
      <c r="A1391">
        <f>ROW(LineærRegression_Valg[[#This Row],[Tabel ID]])-ROW(LineærRegression_Valg[[#Headers],[Tabel ID]])</f>
        <v>1381</v>
      </c>
      <c r="B1391" s="188">
        <f>ROUNDDOWN((LineærRegression_Valg[[#This Row],[Tabel ID]]-1)/$B$5,0)+1</f>
        <v>346</v>
      </c>
      <c r="C1391" s="188">
        <f t="shared" si="21"/>
        <v>1</v>
      </c>
      <c r="D1391" s="188" t="b">
        <f>LineærRegression_Valg[[#This Row],[Afhængig variabel ID]]&lt;&gt;LineærRegression_Valg[[#This Row],[Uafhængig variabel ID]]</f>
        <v>1</v>
      </c>
      <c r="E1391" t="b">
        <f>LineærRegression_Valg[[#This Row],[Afhængig variabel ID]]&lt;=$B$5</f>
        <v>0</v>
      </c>
      <c r="F1391" t="str" cm="1">
        <f t="array" ref="F1391">IF(LineærRegression_Valg[[#This Row],[Indenfor range]],INDEX(DataTitel_liste,LineærRegression_Valg[[#This Row],[Afhængig variabel ID]]),INDEX(DataTitel_liste,1))</f>
        <v>Eksempel 1 (interval)</v>
      </c>
      <c r="G1391" s="188" t="str" cm="1">
        <f t="array" ref="G1391">IF(LineærRegression_Valg[[#This Row],[Indenfor range]],IF(LineærRegression_Valg[[#This Row],[Intet overlap]],INDEX(DataTitel_liste,LineærRegression_Valg[[#This Row],[Uafhængig variabel ID]]),INDEX(DataTitel_liste,IF(LineærRegression_Valg[[#This Row],[Afhængig variabel ID]]=1,2,1))),$B$7)</f>
        <v>Eksempel 2 (interval)</v>
      </c>
      <c r="H1391" s="188">
        <f>_xlfn.AGGREGATE(2,5,LineærRegression_Valg[[#This Row],[Tabel ID]])</f>
        <v>1</v>
      </c>
    </row>
    <row r="1392" spans="1:8" x14ac:dyDescent="0.2">
      <c r="A1392">
        <f>ROW(LineærRegression_Valg[[#This Row],[Tabel ID]])-ROW(LineærRegression_Valg[[#Headers],[Tabel ID]])</f>
        <v>1382</v>
      </c>
      <c r="B1392" s="188">
        <f>ROUNDDOWN((LineærRegression_Valg[[#This Row],[Tabel ID]]-1)/$B$5,0)+1</f>
        <v>346</v>
      </c>
      <c r="C1392" s="188">
        <f t="shared" si="21"/>
        <v>2</v>
      </c>
      <c r="D1392" s="188" t="b">
        <f>LineærRegression_Valg[[#This Row],[Afhængig variabel ID]]&lt;&gt;LineærRegression_Valg[[#This Row],[Uafhængig variabel ID]]</f>
        <v>1</v>
      </c>
      <c r="E1392" t="b">
        <f>LineærRegression_Valg[[#This Row],[Afhængig variabel ID]]&lt;=$B$5</f>
        <v>0</v>
      </c>
      <c r="F1392" t="str" cm="1">
        <f t="array" ref="F1392">IF(LineærRegression_Valg[[#This Row],[Indenfor range]],INDEX(DataTitel_liste,LineærRegression_Valg[[#This Row],[Afhængig variabel ID]]),INDEX(DataTitel_liste,1))</f>
        <v>Eksempel 1 (interval)</v>
      </c>
      <c r="G1392" s="188" t="str" cm="1">
        <f t="array" ref="G1392">IF(LineærRegression_Valg[[#This Row],[Indenfor range]],IF(LineærRegression_Valg[[#This Row],[Intet overlap]],INDEX(DataTitel_liste,LineærRegression_Valg[[#This Row],[Uafhængig variabel ID]]),INDEX(DataTitel_liste,IF(LineærRegression_Valg[[#This Row],[Afhængig variabel ID]]=1,2,1))),$B$7)</f>
        <v>Eksempel 2 (interval)</v>
      </c>
      <c r="H1392" s="188">
        <f>_xlfn.AGGREGATE(2,5,LineærRegression_Valg[[#This Row],[Tabel ID]])</f>
        <v>1</v>
      </c>
    </row>
    <row r="1393" spans="1:8" x14ac:dyDescent="0.2">
      <c r="A1393">
        <f>ROW(LineærRegression_Valg[[#This Row],[Tabel ID]])-ROW(LineærRegression_Valg[[#Headers],[Tabel ID]])</f>
        <v>1383</v>
      </c>
      <c r="B1393" s="188">
        <f>ROUNDDOWN((LineærRegression_Valg[[#This Row],[Tabel ID]]-1)/$B$5,0)+1</f>
        <v>346</v>
      </c>
      <c r="C1393" s="188">
        <f t="shared" si="21"/>
        <v>3</v>
      </c>
      <c r="D1393" s="188" t="b">
        <f>LineærRegression_Valg[[#This Row],[Afhængig variabel ID]]&lt;&gt;LineærRegression_Valg[[#This Row],[Uafhængig variabel ID]]</f>
        <v>1</v>
      </c>
      <c r="E1393" t="b">
        <f>LineærRegression_Valg[[#This Row],[Afhængig variabel ID]]&lt;=$B$5</f>
        <v>0</v>
      </c>
      <c r="F1393" t="str" cm="1">
        <f t="array" ref="F1393">IF(LineærRegression_Valg[[#This Row],[Indenfor range]],INDEX(DataTitel_liste,LineærRegression_Valg[[#This Row],[Afhængig variabel ID]]),INDEX(DataTitel_liste,1))</f>
        <v>Eksempel 1 (interval)</v>
      </c>
      <c r="G1393" s="188" t="str" cm="1">
        <f t="array" ref="G1393">IF(LineærRegression_Valg[[#This Row],[Indenfor range]],IF(LineærRegression_Valg[[#This Row],[Intet overlap]],INDEX(DataTitel_liste,LineærRegression_Valg[[#This Row],[Uafhængig variabel ID]]),INDEX(DataTitel_liste,IF(LineærRegression_Valg[[#This Row],[Afhængig variabel ID]]=1,2,1))),$B$7)</f>
        <v>Eksempel 2 (interval)</v>
      </c>
      <c r="H1393" s="188">
        <f>_xlfn.AGGREGATE(2,5,LineærRegression_Valg[[#This Row],[Tabel ID]])</f>
        <v>1</v>
      </c>
    </row>
    <row r="1394" spans="1:8" x14ac:dyDescent="0.2">
      <c r="A1394">
        <f>ROW(LineærRegression_Valg[[#This Row],[Tabel ID]])-ROW(LineærRegression_Valg[[#Headers],[Tabel ID]])</f>
        <v>1384</v>
      </c>
      <c r="B1394" s="188">
        <f>ROUNDDOWN((LineærRegression_Valg[[#This Row],[Tabel ID]]-1)/$B$5,0)+1</f>
        <v>346</v>
      </c>
      <c r="C1394" s="188">
        <f t="shared" si="21"/>
        <v>4</v>
      </c>
      <c r="D1394" s="188" t="b">
        <f>LineærRegression_Valg[[#This Row],[Afhængig variabel ID]]&lt;&gt;LineærRegression_Valg[[#This Row],[Uafhængig variabel ID]]</f>
        <v>1</v>
      </c>
      <c r="E1394" t="b">
        <f>LineærRegression_Valg[[#This Row],[Afhængig variabel ID]]&lt;=$B$5</f>
        <v>0</v>
      </c>
      <c r="F1394" t="str" cm="1">
        <f t="array" ref="F1394">IF(LineærRegression_Valg[[#This Row],[Indenfor range]],INDEX(DataTitel_liste,LineærRegression_Valg[[#This Row],[Afhængig variabel ID]]),INDEX(DataTitel_liste,1))</f>
        <v>Eksempel 1 (interval)</v>
      </c>
      <c r="G1394" s="188" t="str" cm="1">
        <f t="array" ref="G1394">IF(LineærRegression_Valg[[#This Row],[Indenfor range]],IF(LineærRegression_Valg[[#This Row],[Intet overlap]],INDEX(DataTitel_liste,LineærRegression_Valg[[#This Row],[Uafhængig variabel ID]]),INDEX(DataTitel_liste,IF(LineærRegression_Valg[[#This Row],[Afhængig variabel ID]]=1,2,1))),$B$7)</f>
        <v>Eksempel 2 (interval)</v>
      </c>
      <c r="H1394" s="188">
        <f>_xlfn.AGGREGATE(2,5,LineærRegression_Valg[[#This Row],[Tabel ID]])</f>
        <v>1</v>
      </c>
    </row>
    <row r="1395" spans="1:8" x14ac:dyDescent="0.2">
      <c r="A1395">
        <f>ROW(LineærRegression_Valg[[#This Row],[Tabel ID]])-ROW(LineærRegression_Valg[[#Headers],[Tabel ID]])</f>
        <v>1385</v>
      </c>
      <c r="B1395" s="188">
        <f>ROUNDDOWN((LineærRegression_Valg[[#This Row],[Tabel ID]]-1)/$B$5,0)+1</f>
        <v>347</v>
      </c>
      <c r="C1395" s="188">
        <f t="shared" si="21"/>
        <v>1</v>
      </c>
      <c r="D1395" s="188" t="b">
        <f>LineærRegression_Valg[[#This Row],[Afhængig variabel ID]]&lt;&gt;LineærRegression_Valg[[#This Row],[Uafhængig variabel ID]]</f>
        <v>1</v>
      </c>
      <c r="E1395" t="b">
        <f>LineærRegression_Valg[[#This Row],[Afhængig variabel ID]]&lt;=$B$5</f>
        <v>0</v>
      </c>
      <c r="F1395" t="str" cm="1">
        <f t="array" ref="F1395">IF(LineærRegression_Valg[[#This Row],[Indenfor range]],INDEX(DataTitel_liste,LineærRegression_Valg[[#This Row],[Afhængig variabel ID]]),INDEX(DataTitel_liste,1))</f>
        <v>Eksempel 1 (interval)</v>
      </c>
      <c r="G1395" s="188" t="str" cm="1">
        <f t="array" ref="G1395">IF(LineærRegression_Valg[[#This Row],[Indenfor range]],IF(LineærRegression_Valg[[#This Row],[Intet overlap]],INDEX(DataTitel_liste,LineærRegression_Valg[[#This Row],[Uafhængig variabel ID]]),INDEX(DataTitel_liste,IF(LineærRegression_Valg[[#This Row],[Afhængig variabel ID]]=1,2,1))),$B$7)</f>
        <v>Eksempel 2 (interval)</v>
      </c>
      <c r="H1395" s="188">
        <f>_xlfn.AGGREGATE(2,5,LineærRegression_Valg[[#This Row],[Tabel ID]])</f>
        <v>1</v>
      </c>
    </row>
    <row r="1396" spans="1:8" x14ac:dyDescent="0.2">
      <c r="A1396">
        <f>ROW(LineærRegression_Valg[[#This Row],[Tabel ID]])-ROW(LineærRegression_Valg[[#Headers],[Tabel ID]])</f>
        <v>1386</v>
      </c>
      <c r="B1396" s="188">
        <f>ROUNDDOWN((LineærRegression_Valg[[#This Row],[Tabel ID]]-1)/$B$5,0)+1</f>
        <v>347</v>
      </c>
      <c r="C1396" s="188">
        <f t="shared" si="21"/>
        <v>2</v>
      </c>
      <c r="D1396" s="188" t="b">
        <f>LineærRegression_Valg[[#This Row],[Afhængig variabel ID]]&lt;&gt;LineærRegression_Valg[[#This Row],[Uafhængig variabel ID]]</f>
        <v>1</v>
      </c>
      <c r="E1396" t="b">
        <f>LineærRegression_Valg[[#This Row],[Afhængig variabel ID]]&lt;=$B$5</f>
        <v>0</v>
      </c>
      <c r="F1396" t="str" cm="1">
        <f t="array" ref="F1396">IF(LineærRegression_Valg[[#This Row],[Indenfor range]],INDEX(DataTitel_liste,LineærRegression_Valg[[#This Row],[Afhængig variabel ID]]),INDEX(DataTitel_liste,1))</f>
        <v>Eksempel 1 (interval)</v>
      </c>
      <c r="G1396" s="188" t="str" cm="1">
        <f t="array" ref="G1396">IF(LineærRegression_Valg[[#This Row],[Indenfor range]],IF(LineærRegression_Valg[[#This Row],[Intet overlap]],INDEX(DataTitel_liste,LineærRegression_Valg[[#This Row],[Uafhængig variabel ID]]),INDEX(DataTitel_liste,IF(LineærRegression_Valg[[#This Row],[Afhængig variabel ID]]=1,2,1))),$B$7)</f>
        <v>Eksempel 2 (interval)</v>
      </c>
      <c r="H1396" s="188">
        <f>_xlfn.AGGREGATE(2,5,LineærRegression_Valg[[#This Row],[Tabel ID]])</f>
        <v>1</v>
      </c>
    </row>
    <row r="1397" spans="1:8" x14ac:dyDescent="0.2">
      <c r="A1397">
        <f>ROW(LineærRegression_Valg[[#This Row],[Tabel ID]])-ROW(LineærRegression_Valg[[#Headers],[Tabel ID]])</f>
        <v>1387</v>
      </c>
      <c r="B1397" s="188">
        <f>ROUNDDOWN((LineærRegression_Valg[[#This Row],[Tabel ID]]-1)/$B$5,0)+1</f>
        <v>347</v>
      </c>
      <c r="C1397" s="188">
        <f t="shared" si="21"/>
        <v>3</v>
      </c>
      <c r="D1397" s="188" t="b">
        <f>LineærRegression_Valg[[#This Row],[Afhængig variabel ID]]&lt;&gt;LineærRegression_Valg[[#This Row],[Uafhængig variabel ID]]</f>
        <v>1</v>
      </c>
      <c r="E1397" t="b">
        <f>LineærRegression_Valg[[#This Row],[Afhængig variabel ID]]&lt;=$B$5</f>
        <v>0</v>
      </c>
      <c r="F1397" t="str" cm="1">
        <f t="array" ref="F1397">IF(LineærRegression_Valg[[#This Row],[Indenfor range]],INDEX(DataTitel_liste,LineærRegression_Valg[[#This Row],[Afhængig variabel ID]]),INDEX(DataTitel_liste,1))</f>
        <v>Eksempel 1 (interval)</v>
      </c>
      <c r="G1397" s="188" t="str" cm="1">
        <f t="array" ref="G1397">IF(LineærRegression_Valg[[#This Row],[Indenfor range]],IF(LineærRegression_Valg[[#This Row],[Intet overlap]],INDEX(DataTitel_liste,LineærRegression_Valg[[#This Row],[Uafhængig variabel ID]]),INDEX(DataTitel_liste,IF(LineærRegression_Valg[[#This Row],[Afhængig variabel ID]]=1,2,1))),$B$7)</f>
        <v>Eksempel 2 (interval)</v>
      </c>
      <c r="H1397" s="188">
        <f>_xlfn.AGGREGATE(2,5,LineærRegression_Valg[[#This Row],[Tabel ID]])</f>
        <v>1</v>
      </c>
    </row>
    <row r="1398" spans="1:8" x14ac:dyDescent="0.2">
      <c r="A1398">
        <f>ROW(LineærRegression_Valg[[#This Row],[Tabel ID]])-ROW(LineærRegression_Valg[[#Headers],[Tabel ID]])</f>
        <v>1388</v>
      </c>
      <c r="B1398" s="188">
        <f>ROUNDDOWN((LineærRegression_Valg[[#This Row],[Tabel ID]]-1)/$B$5,0)+1</f>
        <v>347</v>
      </c>
      <c r="C1398" s="188">
        <f t="shared" si="21"/>
        <v>4</v>
      </c>
      <c r="D1398" s="188" t="b">
        <f>LineærRegression_Valg[[#This Row],[Afhængig variabel ID]]&lt;&gt;LineærRegression_Valg[[#This Row],[Uafhængig variabel ID]]</f>
        <v>1</v>
      </c>
      <c r="E1398" t="b">
        <f>LineærRegression_Valg[[#This Row],[Afhængig variabel ID]]&lt;=$B$5</f>
        <v>0</v>
      </c>
      <c r="F1398" t="str" cm="1">
        <f t="array" ref="F1398">IF(LineærRegression_Valg[[#This Row],[Indenfor range]],INDEX(DataTitel_liste,LineærRegression_Valg[[#This Row],[Afhængig variabel ID]]),INDEX(DataTitel_liste,1))</f>
        <v>Eksempel 1 (interval)</v>
      </c>
      <c r="G1398" s="188" t="str" cm="1">
        <f t="array" ref="G1398">IF(LineærRegression_Valg[[#This Row],[Indenfor range]],IF(LineærRegression_Valg[[#This Row],[Intet overlap]],INDEX(DataTitel_liste,LineærRegression_Valg[[#This Row],[Uafhængig variabel ID]]),INDEX(DataTitel_liste,IF(LineærRegression_Valg[[#This Row],[Afhængig variabel ID]]=1,2,1))),$B$7)</f>
        <v>Eksempel 2 (interval)</v>
      </c>
      <c r="H1398" s="188">
        <f>_xlfn.AGGREGATE(2,5,LineærRegression_Valg[[#This Row],[Tabel ID]])</f>
        <v>1</v>
      </c>
    </row>
    <row r="1399" spans="1:8" x14ac:dyDescent="0.2">
      <c r="A1399">
        <f>ROW(LineærRegression_Valg[[#This Row],[Tabel ID]])-ROW(LineærRegression_Valg[[#Headers],[Tabel ID]])</f>
        <v>1389</v>
      </c>
      <c r="B1399" s="188">
        <f>ROUNDDOWN((LineærRegression_Valg[[#This Row],[Tabel ID]]-1)/$B$5,0)+1</f>
        <v>348</v>
      </c>
      <c r="C1399" s="188">
        <f t="shared" si="21"/>
        <v>1</v>
      </c>
      <c r="D1399" s="188" t="b">
        <f>LineærRegression_Valg[[#This Row],[Afhængig variabel ID]]&lt;&gt;LineærRegression_Valg[[#This Row],[Uafhængig variabel ID]]</f>
        <v>1</v>
      </c>
      <c r="E1399" t="b">
        <f>LineærRegression_Valg[[#This Row],[Afhængig variabel ID]]&lt;=$B$5</f>
        <v>0</v>
      </c>
      <c r="F1399" t="str" cm="1">
        <f t="array" ref="F1399">IF(LineærRegression_Valg[[#This Row],[Indenfor range]],INDEX(DataTitel_liste,LineærRegression_Valg[[#This Row],[Afhængig variabel ID]]),INDEX(DataTitel_liste,1))</f>
        <v>Eksempel 1 (interval)</v>
      </c>
      <c r="G1399" s="188" t="str" cm="1">
        <f t="array" ref="G1399">IF(LineærRegression_Valg[[#This Row],[Indenfor range]],IF(LineærRegression_Valg[[#This Row],[Intet overlap]],INDEX(DataTitel_liste,LineærRegression_Valg[[#This Row],[Uafhængig variabel ID]]),INDEX(DataTitel_liste,IF(LineærRegression_Valg[[#This Row],[Afhængig variabel ID]]=1,2,1))),$B$7)</f>
        <v>Eksempel 2 (interval)</v>
      </c>
      <c r="H1399" s="188">
        <f>_xlfn.AGGREGATE(2,5,LineærRegression_Valg[[#This Row],[Tabel ID]])</f>
        <v>1</v>
      </c>
    </row>
    <row r="1400" spans="1:8" x14ac:dyDescent="0.2">
      <c r="A1400">
        <f>ROW(LineærRegression_Valg[[#This Row],[Tabel ID]])-ROW(LineærRegression_Valg[[#Headers],[Tabel ID]])</f>
        <v>1390</v>
      </c>
      <c r="B1400" s="188">
        <f>ROUNDDOWN((LineærRegression_Valg[[#This Row],[Tabel ID]]-1)/$B$5,0)+1</f>
        <v>348</v>
      </c>
      <c r="C1400" s="188">
        <f t="shared" si="21"/>
        <v>2</v>
      </c>
      <c r="D1400" s="188" t="b">
        <f>LineærRegression_Valg[[#This Row],[Afhængig variabel ID]]&lt;&gt;LineærRegression_Valg[[#This Row],[Uafhængig variabel ID]]</f>
        <v>1</v>
      </c>
      <c r="E1400" t="b">
        <f>LineærRegression_Valg[[#This Row],[Afhængig variabel ID]]&lt;=$B$5</f>
        <v>0</v>
      </c>
      <c r="F1400" t="str" cm="1">
        <f t="array" ref="F1400">IF(LineærRegression_Valg[[#This Row],[Indenfor range]],INDEX(DataTitel_liste,LineærRegression_Valg[[#This Row],[Afhængig variabel ID]]),INDEX(DataTitel_liste,1))</f>
        <v>Eksempel 1 (interval)</v>
      </c>
      <c r="G1400" s="188" t="str" cm="1">
        <f t="array" ref="G1400">IF(LineærRegression_Valg[[#This Row],[Indenfor range]],IF(LineærRegression_Valg[[#This Row],[Intet overlap]],INDEX(DataTitel_liste,LineærRegression_Valg[[#This Row],[Uafhængig variabel ID]]),INDEX(DataTitel_liste,IF(LineærRegression_Valg[[#This Row],[Afhængig variabel ID]]=1,2,1))),$B$7)</f>
        <v>Eksempel 2 (interval)</v>
      </c>
      <c r="H1400" s="188">
        <f>_xlfn.AGGREGATE(2,5,LineærRegression_Valg[[#This Row],[Tabel ID]])</f>
        <v>1</v>
      </c>
    </row>
    <row r="1401" spans="1:8" x14ac:dyDescent="0.2">
      <c r="A1401">
        <f>ROW(LineærRegression_Valg[[#This Row],[Tabel ID]])-ROW(LineærRegression_Valg[[#Headers],[Tabel ID]])</f>
        <v>1391</v>
      </c>
      <c r="B1401" s="188">
        <f>ROUNDDOWN((LineærRegression_Valg[[#This Row],[Tabel ID]]-1)/$B$5,0)+1</f>
        <v>348</v>
      </c>
      <c r="C1401" s="188">
        <f t="shared" si="21"/>
        <v>3</v>
      </c>
      <c r="D1401" s="188" t="b">
        <f>LineærRegression_Valg[[#This Row],[Afhængig variabel ID]]&lt;&gt;LineærRegression_Valg[[#This Row],[Uafhængig variabel ID]]</f>
        <v>1</v>
      </c>
      <c r="E1401" t="b">
        <f>LineærRegression_Valg[[#This Row],[Afhængig variabel ID]]&lt;=$B$5</f>
        <v>0</v>
      </c>
      <c r="F1401" t="str" cm="1">
        <f t="array" ref="F1401">IF(LineærRegression_Valg[[#This Row],[Indenfor range]],INDEX(DataTitel_liste,LineærRegression_Valg[[#This Row],[Afhængig variabel ID]]),INDEX(DataTitel_liste,1))</f>
        <v>Eksempel 1 (interval)</v>
      </c>
      <c r="G1401" s="188" t="str" cm="1">
        <f t="array" ref="G1401">IF(LineærRegression_Valg[[#This Row],[Indenfor range]],IF(LineærRegression_Valg[[#This Row],[Intet overlap]],INDEX(DataTitel_liste,LineærRegression_Valg[[#This Row],[Uafhængig variabel ID]]),INDEX(DataTitel_liste,IF(LineærRegression_Valg[[#This Row],[Afhængig variabel ID]]=1,2,1))),$B$7)</f>
        <v>Eksempel 2 (interval)</v>
      </c>
      <c r="H1401" s="188">
        <f>_xlfn.AGGREGATE(2,5,LineærRegression_Valg[[#This Row],[Tabel ID]])</f>
        <v>1</v>
      </c>
    </row>
    <row r="1402" spans="1:8" x14ac:dyDescent="0.2">
      <c r="A1402">
        <f>ROW(LineærRegression_Valg[[#This Row],[Tabel ID]])-ROW(LineærRegression_Valg[[#Headers],[Tabel ID]])</f>
        <v>1392</v>
      </c>
      <c r="B1402" s="188">
        <f>ROUNDDOWN((LineærRegression_Valg[[#This Row],[Tabel ID]]-1)/$B$5,0)+1</f>
        <v>348</v>
      </c>
      <c r="C1402" s="188">
        <f t="shared" si="21"/>
        <v>4</v>
      </c>
      <c r="D1402" s="188" t="b">
        <f>LineærRegression_Valg[[#This Row],[Afhængig variabel ID]]&lt;&gt;LineærRegression_Valg[[#This Row],[Uafhængig variabel ID]]</f>
        <v>1</v>
      </c>
      <c r="E1402" t="b">
        <f>LineærRegression_Valg[[#This Row],[Afhængig variabel ID]]&lt;=$B$5</f>
        <v>0</v>
      </c>
      <c r="F1402" t="str" cm="1">
        <f t="array" ref="F1402">IF(LineærRegression_Valg[[#This Row],[Indenfor range]],INDEX(DataTitel_liste,LineærRegression_Valg[[#This Row],[Afhængig variabel ID]]),INDEX(DataTitel_liste,1))</f>
        <v>Eksempel 1 (interval)</v>
      </c>
      <c r="G1402" s="188" t="str" cm="1">
        <f t="array" ref="G1402">IF(LineærRegression_Valg[[#This Row],[Indenfor range]],IF(LineærRegression_Valg[[#This Row],[Intet overlap]],INDEX(DataTitel_liste,LineærRegression_Valg[[#This Row],[Uafhængig variabel ID]]),INDEX(DataTitel_liste,IF(LineærRegression_Valg[[#This Row],[Afhængig variabel ID]]=1,2,1))),$B$7)</f>
        <v>Eksempel 2 (interval)</v>
      </c>
      <c r="H1402" s="188">
        <f>_xlfn.AGGREGATE(2,5,LineærRegression_Valg[[#This Row],[Tabel ID]])</f>
        <v>1</v>
      </c>
    </row>
    <row r="1403" spans="1:8" x14ac:dyDescent="0.2">
      <c r="A1403">
        <f>ROW(LineærRegression_Valg[[#This Row],[Tabel ID]])-ROW(LineærRegression_Valg[[#Headers],[Tabel ID]])</f>
        <v>1393</v>
      </c>
      <c r="B1403" s="188">
        <f>ROUNDDOWN((LineærRegression_Valg[[#This Row],[Tabel ID]]-1)/$B$5,0)+1</f>
        <v>349</v>
      </c>
      <c r="C1403" s="188">
        <f t="shared" si="21"/>
        <v>1</v>
      </c>
      <c r="D1403" s="188" t="b">
        <f>LineærRegression_Valg[[#This Row],[Afhængig variabel ID]]&lt;&gt;LineærRegression_Valg[[#This Row],[Uafhængig variabel ID]]</f>
        <v>1</v>
      </c>
      <c r="E1403" t="b">
        <f>LineærRegression_Valg[[#This Row],[Afhængig variabel ID]]&lt;=$B$5</f>
        <v>0</v>
      </c>
      <c r="F1403" t="str" cm="1">
        <f t="array" ref="F1403">IF(LineærRegression_Valg[[#This Row],[Indenfor range]],INDEX(DataTitel_liste,LineærRegression_Valg[[#This Row],[Afhængig variabel ID]]),INDEX(DataTitel_liste,1))</f>
        <v>Eksempel 1 (interval)</v>
      </c>
      <c r="G1403" s="188" t="str" cm="1">
        <f t="array" ref="G1403">IF(LineærRegression_Valg[[#This Row],[Indenfor range]],IF(LineærRegression_Valg[[#This Row],[Intet overlap]],INDEX(DataTitel_liste,LineærRegression_Valg[[#This Row],[Uafhængig variabel ID]]),INDEX(DataTitel_liste,IF(LineærRegression_Valg[[#This Row],[Afhængig variabel ID]]=1,2,1))),$B$7)</f>
        <v>Eksempel 2 (interval)</v>
      </c>
      <c r="H1403" s="188">
        <f>_xlfn.AGGREGATE(2,5,LineærRegression_Valg[[#This Row],[Tabel ID]])</f>
        <v>1</v>
      </c>
    </row>
    <row r="1404" spans="1:8" x14ac:dyDescent="0.2">
      <c r="A1404">
        <f>ROW(LineærRegression_Valg[[#This Row],[Tabel ID]])-ROW(LineærRegression_Valg[[#Headers],[Tabel ID]])</f>
        <v>1394</v>
      </c>
      <c r="B1404" s="188">
        <f>ROUNDDOWN((LineærRegression_Valg[[#This Row],[Tabel ID]]-1)/$B$5,0)+1</f>
        <v>349</v>
      </c>
      <c r="C1404" s="188">
        <f t="shared" si="21"/>
        <v>2</v>
      </c>
      <c r="D1404" s="188" t="b">
        <f>LineærRegression_Valg[[#This Row],[Afhængig variabel ID]]&lt;&gt;LineærRegression_Valg[[#This Row],[Uafhængig variabel ID]]</f>
        <v>1</v>
      </c>
      <c r="E1404" t="b">
        <f>LineærRegression_Valg[[#This Row],[Afhængig variabel ID]]&lt;=$B$5</f>
        <v>0</v>
      </c>
      <c r="F1404" t="str" cm="1">
        <f t="array" ref="F1404">IF(LineærRegression_Valg[[#This Row],[Indenfor range]],INDEX(DataTitel_liste,LineærRegression_Valg[[#This Row],[Afhængig variabel ID]]),INDEX(DataTitel_liste,1))</f>
        <v>Eksempel 1 (interval)</v>
      </c>
      <c r="G1404" s="188" t="str" cm="1">
        <f t="array" ref="G1404">IF(LineærRegression_Valg[[#This Row],[Indenfor range]],IF(LineærRegression_Valg[[#This Row],[Intet overlap]],INDEX(DataTitel_liste,LineærRegression_Valg[[#This Row],[Uafhængig variabel ID]]),INDEX(DataTitel_liste,IF(LineærRegression_Valg[[#This Row],[Afhængig variabel ID]]=1,2,1))),$B$7)</f>
        <v>Eksempel 2 (interval)</v>
      </c>
      <c r="H1404" s="188">
        <f>_xlfn.AGGREGATE(2,5,LineærRegression_Valg[[#This Row],[Tabel ID]])</f>
        <v>1</v>
      </c>
    </row>
    <row r="1405" spans="1:8" x14ac:dyDescent="0.2">
      <c r="A1405">
        <f>ROW(LineærRegression_Valg[[#This Row],[Tabel ID]])-ROW(LineærRegression_Valg[[#Headers],[Tabel ID]])</f>
        <v>1395</v>
      </c>
      <c r="B1405" s="188">
        <f>ROUNDDOWN((LineærRegression_Valg[[#This Row],[Tabel ID]]-1)/$B$5,0)+1</f>
        <v>349</v>
      </c>
      <c r="C1405" s="188">
        <f t="shared" si="21"/>
        <v>3</v>
      </c>
      <c r="D1405" s="188" t="b">
        <f>LineærRegression_Valg[[#This Row],[Afhængig variabel ID]]&lt;&gt;LineærRegression_Valg[[#This Row],[Uafhængig variabel ID]]</f>
        <v>1</v>
      </c>
      <c r="E1405" t="b">
        <f>LineærRegression_Valg[[#This Row],[Afhængig variabel ID]]&lt;=$B$5</f>
        <v>0</v>
      </c>
      <c r="F1405" t="str" cm="1">
        <f t="array" ref="F1405">IF(LineærRegression_Valg[[#This Row],[Indenfor range]],INDEX(DataTitel_liste,LineærRegression_Valg[[#This Row],[Afhængig variabel ID]]),INDEX(DataTitel_liste,1))</f>
        <v>Eksempel 1 (interval)</v>
      </c>
      <c r="G1405" s="188" t="str" cm="1">
        <f t="array" ref="G1405">IF(LineærRegression_Valg[[#This Row],[Indenfor range]],IF(LineærRegression_Valg[[#This Row],[Intet overlap]],INDEX(DataTitel_liste,LineærRegression_Valg[[#This Row],[Uafhængig variabel ID]]),INDEX(DataTitel_liste,IF(LineærRegression_Valg[[#This Row],[Afhængig variabel ID]]=1,2,1))),$B$7)</f>
        <v>Eksempel 2 (interval)</v>
      </c>
      <c r="H1405" s="188">
        <f>_xlfn.AGGREGATE(2,5,LineærRegression_Valg[[#This Row],[Tabel ID]])</f>
        <v>1</v>
      </c>
    </row>
    <row r="1406" spans="1:8" x14ac:dyDescent="0.2">
      <c r="A1406">
        <f>ROW(LineærRegression_Valg[[#This Row],[Tabel ID]])-ROW(LineærRegression_Valg[[#Headers],[Tabel ID]])</f>
        <v>1396</v>
      </c>
      <c r="B1406" s="188">
        <f>ROUNDDOWN((LineærRegression_Valg[[#This Row],[Tabel ID]]-1)/$B$5,0)+1</f>
        <v>349</v>
      </c>
      <c r="C1406" s="188">
        <f t="shared" si="21"/>
        <v>4</v>
      </c>
      <c r="D1406" s="188" t="b">
        <f>LineærRegression_Valg[[#This Row],[Afhængig variabel ID]]&lt;&gt;LineærRegression_Valg[[#This Row],[Uafhængig variabel ID]]</f>
        <v>1</v>
      </c>
      <c r="E1406" t="b">
        <f>LineærRegression_Valg[[#This Row],[Afhængig variabel ID]]&lt;=$B$5</f>
        <v>0</v>
      </c>
      <c r="F1406" t="str" cm="1">
        <f t="array" ref="F1406">IF(LineærRegression_Valg[[#This Row],[Indenfor range]],INDEX(DataTitel_liste,LineærRegression_Valg[[#This Row],[Afhængig variabel ID]]),INDEX(DataTitel_liste,1))</f>
        <v>Eksempel 1 (interval)</v>
      </c>
      <c r="G1406" s="188" t="str" cm="1">
        <f t="array" ref="G1406">IF(LineærRegression_Valg[[#This Row],[Indenfor range]],IF(LineærRegression_Valg[[#This Row],[Intet overlap]],INDEX(DataTitel_liste,LineærRegression_Valg[[#This Row],[Uafhængig variabel ID]]),INDEX(DataTitel_liste,IF(LineærRegression_Valg[[#This Row],[Afhængig variabel ID]]=1,2,1))),$B$7)</f>
        <v>Eksempel 2 (interval)</v>
      </c>
      <c r="H1406" s="188">
        <f>_xlfn.AGGREGATE(2,5,LineærRegression_Valg[[#This Row],[Tabel ID]])</f>
        <v>1</v>
      </c>
    </row>
    <row r="1407" spans="1:8" x14ac:dyDescent="0.2">
      <c r="A1407">
        <f>ROW(LineærRegression_Valg[[#This Row],[Tabel ID]])-ROW(LineærRegression_Valg[[#Headers],[Tabel ID]])</f>
        <v>1397</v>
      </c>
      <c r="B1407" s="188">
        <f>ROUNDDOWN((LineærRegression_Valg[[#This Row],[Tabel ID]]-1)/$B$5,0)+1</f>
        <v>350</v>
      </c>
      <c r="C1407" s="188">
        <f t="shared" si="21"/>
        <v>1</v>
      </c>
      <c r="D1407" s="188" t="b">
        <f>LineærRegression_Valg[[#This Row],[Afhængig variabel ID]]&lt;&gt;LineærRegression_Valg[[#This Row],[Uafhængig variabel ID]]</f>
        <v>1</v>
      </c>
      <c r="E1407" t="b">
        <f>LineærRegression_Valg[[#This Row],[Afhængig variabel ID]]&lt;=$B$5</f>
        <v>0</v>
      </c>
      <c r="F1407" t="str" cm="1">
        <f t="array" ref="F1407">IF(LineærRegression_Valg[[#This Row],[Indenfor range]],INDEX(DataTitel_liste,LineærRegression_Valg[[#This Row],[Afhængig variabel ID]]),INDEX(DataTitel_liste,1))</f>
        <v>Eksempel 1 (interval)</v>
      </c>
      <c r="G1407" s="188" t="str" cm="1">
        <f t="array" ref="G1407">IF(LineærRegression_Valg[[#This Row],[Indenfor range]],IF(LineærRegression_Valg[[#This Row],[Intet overlap]],INDEX(DataTitel_liste,LineærRegression_Valg[[#This Row],[Uafhængig variabel ID]]),INDEX(DataTitel_liste,IF(LineærRegression_Valg[[#This Row],[Afhængig variabel ID]]=1,2,1))),$B$7)</f>
        <v>Eksempel 2 (interval)</v>
      </c>
      <c r="H1407" s="188">
        <f>_xlfn.AGGREGATE(2,5,LineærRegression_Valg[[#This Row],[Tabel ID]])</f>
        <v>1</v>
      </c>
    </row>
    <row r="1408" spans="1:8" x14ac:dyDescent="0.2">
      <c r="A1408">
        <f>ROW(LineærRegression_Valg[[#This Row],[Tabel ID]])-ROW(LineærRegression_Valg[[#Headers],[Tabel ID]])</f>
        <v>1398</v>
      </c>
      <c r="B1408" s="188">
        <f>ROUNDDOWN((LineærRegression_Valg[[#This Row],[Tabel ID]]-1)/$B$5,0)+1</f>
        <v>350</v>
      </c>
      <c r="C1408" s="188">
        <f t="shared" si="21"/>
        <v>2</v>
      </c>
      <c r="D1408" s="188" t="b">
        <f>LineærRegression_Valg[[#This Row],[Afhængig variabel ID]]&lt;&gt;LineærRegression_Valg[[#This Row],[Uafhængig variabel ID]]</f>
        <v>1</v>
      </c>
      <c r="E1408" t="b">
        <f>LineærRegression_Valg[[#This Row],[Afhængig variabel ID]]&lt;=$B$5</f>
        <v>0</v>
      </c>
      <c r="F1408" t="str" cm="1">
        <f t="array" ref="F1408">IF(LineærRegression_Valg[[#This Row],[Indenfor range]],INDEX(DataTitel_liste,LineærRegression_Valg[[#This Row],[Afhængig variabel ID]]),INDEX(DataTitel_liste,1))</f>
        <v>Eksempel 1 (interval)</v>
      </c>
      <c r="G1408" s="188" t="str" cm="1">
        <f t="array" ref="G1408">IF(LineærRegression_Valg[[#This Row],[Indenfor range]],IF(LineærRegression_Valg[[#This Row],[Intet overlap]],INDEX(DataTitel_liste,LineærRegression_Valg[[#This Row],[Uafhængig variabel ID]]),INDEX(DataTitel_liste,IF(LineærRegression_Valg[[#This Row],[Afhængig variabel ID]]=1,2,1))),$B$7)</f>
        <v>Eksempel 2 (interval)</v>
      </c>
      <c r="H1408" s="188">
        <f>_xlfn.AGGREGATE(2,5,LineærRegression_Valg[[#This Row],[Tabel ID]])</f>
        <v>1</v>
      </c>
    </row>
    <row r="1409" spans="1:8" x14ac:dyDescent="0.2">
      <c r="A1409">
        <f>ROW(LineærRegression_Valg[[#This Row],[Tabel ID]])-ROW(LineærRegression_Valg[[#Headers],[Tabel ID]])</f>
        <v>1399</v>
      </c>
      <c r="B1409" s="188">
        <f>ROUNDDOWN((LineærRegression_Valg[[#This Row],[Tabel ID]]-1)/$B$5,0)+1</f>
        <v>350</v>
      </c>
      <c r="C1409" s="188">
        <f t="shared" si="21"/>
        <v>3</v>
      </c>
      <c r="D1409" s="188" t="b">
        <f>LineærRegression_Valg[[#This Row],[Afhængig variabel ID]]&lt;&gt;LineærRegression_Valg[[#This Row],[Uafhængig variabel ID]]</f>
        <v>1</v>
      </c>
      <c r="E1409" t="b">
        <f>LineærRegression_Valg[[#This Row],[Afhængig variabel ID]]&lt;=$B$5</f>
        <v>0</v>
      </c>
      <c r="F1409" t="str" cm="1">
        <f t="array" ref="F1409">IF(LineærRegression_Valg[[#This Row],[Indenfor range]],INDEX(DataTitel_liste,LineærRegression_Valg[[#This Row],[Afhængig variabel ID]]),INDEX(DataTitel_liste,1))</f>
        <v>Eksempel 1 (interval)</v>
      </c>
      <c r="G1409" s="188" t="str" cm="1">
        <f t="array" ref="G1409">IF(LineærRegression_Valg[[#This Row],[Indenfor range]],IF(LineærRegression_Valg[[#This Row],[Intet overlap]],INDEX(DataTitel_liste,LineærRegression_Valg[[#This Row],[Uafhængig variabel ID]]),INDEX(DataTitel_liste,IF(LineærRegression_Valg[[#This Row],[Afhængig variabel ID]]=1,2,1))),$B$7)</f>
        <v>Eksempel 2 (interval)</v>
      </c>
      <c r="H1409" s="188">
        <f>_xlfn.AGGREGATE(2,5,LineærRegression_Valg[[#This Row],[Tabel ID]])</f>
        <v>1</v>
      </c>
    </row>
    <row r="1410" spans="1:8" x14ac:dyDescent="0.2">
      <c r="A1410">
        <f>ROW(LineærRegression_Valg[[#This Row],[Tabel ID]])-ROW(LineærRegression_Valg[[#Headers],[Tabel ID]])</f>
        <v>1400</v>
      </c>
      <c r="B1410" s="188">
        <f>ROUNDDOWN((LineærRegression_Valg[[#This Row],[Tabel ID]]-1)/$B$5,0)+1</f>
        <v>350</v>
      </c>
      <c r="C1410" s="188">
        <f t="shared" si="21"/>
        <v>4</v>
      </c>
      <c r="D1410" s="188" t="b">
        <f>LineærRegression_Valg[[#This Row],[Afhængig variabel ID]]&lt;&gt;LineærRegression_Valg[[#This Row],[Uafhængig variabel ID]]</f>
        <v>1</v>
      </c>
      <c r="E1410" t="b">
        <f>LineærRegression_Valg[[#This Row],[Afhængig variabel ID]]&lt;=$B$5</f>
        <v>0</v>
      </c>
      <c r="F1410" t="str" cm="1">
        <f t="array" ref="F1410">IF(LineærRegression_Valg[[#This Row],[Indenfor range]],INDEX(DataTitel_liste,LineærRegression_Valg[[#This Row],[Afhængig variabel ID]]),INDEX(DataTitel_liste,1))</f>
        <v>Eksempel 1 (interval)</v>
      </c>
      <c r="G1410" s="188" t="str" cm="1">
        <f t="array" ref="G1410">IF(LineærRegression_Valg[[#This Row],[Indenfor range]],IF(LineærRegression_Valg[[#This Row],[Intet overlap]],INDEX(DataTitel_liste,LineærRegression_Valg[[#This Row],[Uafhængig variabel ID]]),INDEX(DataTitel_liste,IF(LineærRegression_Valg[[#This Row],[Afhængig variabel ID]]=1,2,1))),$B$7)</f>
        <v>Eksempel 2 (interval)</v>
      </c>
      <c r="H1410" s="188">
        <f>_xlfn.AGGREGATE(2,5,LineærRegression_Valg[[#This Row],[Tabel ID]])</f>
        <v>1</v>
      </c>
    </row>
    <row r="1411" spans="1:8" x14ac:dyDescent="0.2">
      <c r="A1411">
        <f>ROW(LineærRegression_Valg[[#This Row],[Tabel ID]])-ROW(LineærRegression_Valg[[#Headers],[Tabel ID]])</f>
        <v>1401</v>
      </c>
      <c r="B1411" s="188">
        <f>ROUNDDOWN((LineærRegression_Valg[[#This Row],[Tabel ID]]-1)/$B$5,0)+1</f>
        <v>351</v>
      </c>
      <c r="C1411" s="188">
        <f t="shared" si="21"/>
        <v>1</v>
      </c>
      <c r="D1411" s="188" t="b">
        <f>LineærRegression_Valg[[#This Row],[Afhængig variabel ID]]&lt;&gt;LineærRegression_Valg[[#This Row],[Uafhængig variabel ID]]</f>
        <v>1</v>
      </c>
      <c r="E1411" t="b">
        <f>LineærRegression_Valg[[#This Row],[Afhængig variabel ID]]&lt;=$B$5</f>
        <v>0</v>
      </c>
      <c r="F1411" t="str" cm="1">
        <f t="array" ref="F1411">IF(LineærRegression_Valg[[#This Row],[Indenfor range]],INDEX(DataTitel_liste,LineærRegression_Valg[[#This Row],[Afhængig variabel ID]]),INDEX(DataTitel_liste,1))</f>
        <v>Eksempel 1 (interval)</v>
      </c>
      <c r="G1411" s="188" t="str" cm="1">
        <f t="array" ref="G1411">IF(LineærRegression_Valg[[#This Row],[Indenfor range]],IF(LineærRegression_Valg[[#This Row],[Intet overlap]],INDEX(DataTitel_liste,LineærRegression_Valg[[#This Row],[Uafhængig variabel ID]]),INDEX(DataTitel_liste,IF(LineærRegression_Valg[[#This Row],[Afhængig variabel ID]]=1,2,1))),$B$7)</f>
        <v>Eksempel 2 (interval)</v>
      </c>
      <c r="H1411" s="188">
        <f>_xlfn.AGGREGATE(2,5,LineærRegression_Valg[[#This Row],[Tabel ID]])</f>
        <v>1</v>
      </c>
    </row>
    <row r="1412" spans="1:8" x14ac:dyDescent="0.2">
      <c r="A1412">
        <f>ROW(LineærRegression_Valg[[#This Row],[Tabel ID]])-ROW(LineærRegression_Valg[[#Headers],[Tabel ID]])</f>
        <v>1402</v>
      </c>
      <c r="B1412" s="188">
        <f>ROUNDDOWN((LineærRegression_Valg[[#This Row],[Tabel ID]]-1)/$B$5,0)+1</f>
        <v>351</v>
      </c>
      <c r="C1412" s="188">
        <f t="shared" si="21"/>
        <v>2</v>
      </c>
      <c r="D1412" s="188" t="b">
        <f>LineærRegression_Valg[[#This Row],[Afhængig variabel ID]]&lt;&gt;LineærRegression_Valg[[#This Row],[Uafhængig variabel ID]]</f>
        <v>1</v>
      </c>
      <c r="E1412" t="b">
        <f>LineærRegression_Valg[[#This Row],[Afhængig variabel ID]]&lt;=$B$5</f>
        <v>0</v>
      </c>
      <c r="F1412" t="str" cm="1">
        <f t="array" ref="F1412">IF(LineærRegression_Valg[[#This Row],[Indenfor range]],INDEX(DataTitel_liste,LineærRegression_Valg[[#This Row],[Afhængig variabel ID]]),INDEX(DataTitel_liste,1))</f>
        <v>Eksempel 1 (interval)</v>
      </c>
      <c r="G1412" s="188" t="str" cm="1">
        <f t="array" ref="G1412">IF(LineærRegression_Valg[[#This Row],[Indenfor range]],IF(LineærRegression_Valg[[#This Row],[Intet overlap]],INDEX(DataTitel_liste,LineærRegression_Valg[[#This Row],[Uafhængig variabel ID]]),INDEX(DataTitel_liste,IF(LineærRegression_Valg[[#This Row],[Afhængig variabel ID]]=1,2,1))),$B$7)</f>
        <v>Eksempel 2 (interval)</v>
      </c>
      <c r="H1412" s="188">
        <f>_xlfn.AGGREGATE(2,5,LineærRegression_Valg[[#This Row],[Tabel ID]])</f>
        <v>1</v>
      </c>
    </row>
    <row r="1413" spans="1:8" x14ac:dyDescent="0.2">
      <c r="A1413">
        <f>ROW(LineærRegression_Valg[[#This Row],[Tabel ID]])-ROW(LineærRegression_Valg[[#Headers],[Tabel ID]])</f>
        <v>1403</v>
      </c>
      <c r="B1413" s="188">
        <f>ROUNDDOWN((LineærRegression_Valg[[#This Row],[Tabel ID]]-1)/$B$5,0)+1</f>
        <v>351</v>
      </c>
      <c r="C1413" s="188">
        <f t="shared" si="21"/>
        <v>3</v>
      </c>
      <c r="D1413" s="188" t="b">
        <f>LineærRegression_Valg[[#This Row],[Afhængig variabel ID]]&lt;&gt;LineærRegression_Valg[[#This Row],[Uafhængig variabel ID]]</f>
        <v>1</v>
      </c>
      <c r="E1413" t="b">
        <f>LineærRegression_Valg[[#This Row],[Afhængig variabel ID]]&lt;=$B$5</f>
        <v>0</v>
      </c>
      <c r="F1413" t="str" cm="1">
        <f t="array" ref="F1413">IF(LineærRegression_Valg[[#This Row],[Indenfor range]],INDEX(DataTitel_liste,LineærRegression_Valg[[#This Row],[Afhængig variabel ID]]),INDEX(DataTitel_liste,1))</f>
        <v>Eksempel 1 (interval)</v>
      </c>
      <c r="G1413" s="188" t="str" cm="1">
        <f t="array" ref="G1413">IF(LineærRegression_Valg[[#This Row],[Indenfor range]],IF(LineærRegression_Valg[[#This Row],[Intet overlap]],INDEX(DataTitel_liste,LineærRegression_Valg[[#This Row],[Uafhængig variabel ID]]),INDEX(DataTitel_liste,IF(LineærRegression_Valg[[#This Row],[Afhængig variabel ID]]=1,2,1))),$B$7)</f>
        <v>Eksempel 2 (interval)</v>
      </c>
      <c r="H1413" s="188">
        <f>_xlfn.AGGREGATE(2,5,LineærRegression_Valg[[#This Row],[Tabel ID]])</f>
        <v>1</v>
      </c>
    </row>
    <row r="1414" spans="1:8" x14ac:dyDescent="0.2">
      <c r="A1414">
        <f>ROW(LineærRegression_Valg[[#This Row],[Tabel ID]])-ROW(LineærRegression_Valg[[#Headers],[Tabel ID]])</f>
        <v>1404</v>
      </c>
      <c r="B1414" s="188">
        <f>ROUNDDOWN((LineærRegression_Valg[[#This Row],[Tabel ID]]-1)/$B$5,0)+1</f>
        <v>351</v>
      </c>
      <c r="C1414" s="188">
        <f t="shared" si="21"/>
        <v>4</v>
      </c>
      <c r="D1414" s="188" t="b">
        <f>LineærRegression_Valg[[#This Row],[Afhængig variabel ID]]&lt;&gt;LineærRegression_Valg[[#This Row],[Uafhængig variabel ID]]</f>
        <v>1</v>
      </c>
      <c r="E1414" t="b">
        <f>LineærRegression_Valg[[#This Row],[Afhængig variabel ID]]&lt;=$B$5</f>
        <v>0</v>
      </c>
      <c r="F1414" t="str" cm="1">
        <f t="array" ref="F1414">IF(LineærRegression_Valg[[#This Row],[Indenfor range]],INDEX(DataTitel_liste,LineærRegression_Valg[[#This Row],[Afhængig variabel ID]]),INDEX(DataTitel_liste,1))</f>
        <v>Eksempel 1 (interval)</v>
      </c>
      <c r="G1414" s="188" t="str" cm="1">
        <f t="array" ref="G1414">IF(LineærRegression_Valg[[#This Row],[Indenfor range]],IF(LineærRegression_Valg[[#This Row],[Intet overlap]],INDEX(DataTitel_liste,LineærRegression_Valg[[#This Row],[Uafhængig variabel ID]]),INDEX(DataTitel_liste,IF(LineærRegression_Valg[[#This Row],[Afhængig variabel ID]]=1,2,1))),$B$7)</f>
        <v>Eksempel 2 (interval)</v>
      </c>
      <c r="H1414" s="188">
        <f>_xlfn.AGGREGATE(2,5,LineærRegression_Valg[[#This Row],[Tabel ID]])</f>
        <v>1</v>
      </c>
    </row>
    <row r="1415" spans="1:8" x14ac:dyDescent="0.2">
      <c r="A1415">
        <f>ROW(LineærRegression_Valg[[#This Row],[Tabel ID]])-ROW(LineærRegression_Valg[[#Headers],[Tabel ID]])</f>
        <v>1405</v>
      </c>
      <c r="B1415" s="188">
        <f>ROUNDDOWN((LineærRegression_Valg[[#This Row],[Tabel ID]]-1)/$B$5,0)+1</f>
        <v>352</v>
      </c>
      <c r="C1415" s="188">
        <f t="shared" si="21"/>
        <v>1</v>
      </c>
      <c r="D1415" s="188" t="b">
        <f>LineærRegression_Valg[[#This Row],[Afhængig variabel ID]]&lt;&gt;LineærRegression_Valg[[#This Row],[Uafhængig variabel ID]]</f>
        <v>1</v>
      </c>
      <c r="E1415" t="b">
        <f>LineærRegression_Valg[[#This Row],[Afhængig variabel ID]]&lt;=$B$5</f>
        <v>0</v>
      </c>
      <c r="F1415" t="str" cm="1">
        <f t="array" ref="F1415">IF(LineærRegression_Valg[[#This Row],[Indenfor range]],INDEX(DataTitel_liste,LineærRegression_Valg[[#This Row],[Afhængig variabel ID]]),INDEX(DataTitel_liste,1))</f>
        <v>Eksempel 1 (interval)</v>
      </c>
      <c r="G1415" s="188" t="str" cm="1">
        <f t="array" ref="G1415">IF(LineærRegression_Valg[[#This Row],[Indenfor range]],IF(LineærRegression_Valg[[#This Row],[Intet overlap]],INDEX(DataTitel_liste,LineærRegression_Valg[[#This Row],[Uafhængig variabel ID]]),INDEX(DataTitel_liste,IF(LineærRegression_Valg[[#This Row],[Afhængig variabel ID]]=1,2,1))),$B$7)</f>
        <v>Eksempel 2 (interval)</v>
      </c>
      <c r="H1415" s="188">
        <f>_xlfn.AGGREGATE(2,5,LineærRegression_Valg[[#This Row],[Tabel ID]])</f>
        <v>1</v>
      </c>
    </row>
    <row r="1416" spans="1:8" x14ac:dyDescent="0.2">
      <c r="A1416">
        <f>ROW(LineærRegression_Valg[[#This Row],[Tabel ID]])-ROW(LineærRegression_Valg[[#Headers],[Tabel ID]])</f>
        <v>1406</v>
      </c>
      <c r="B1416" s="188">
        <f>ROUNDDOWN((LineærRegression_Valg[[#This Row],[Tabel ID]]-1)/$B$5,0)+1</f>
        <v>352</v>
      </c>
      <c r="C1416" s="188">
        <f t="shared" si="21"/>
        <v>2</v>
      </c>
      <c r="D1416" s="188" t="b">
        <f>LineærRegression_Valg[[#This Row],[Afhængig variabel ID]]&lt;&gt;LineærRegression_Valg[[#This Row],[Uafhængig variabel ID]]</f>
        <v>1</v>
      </c>
      <c r="E1416" t="b">
        <f>LineærRegression_Valg[[#This Row],[Afhængig variabel ID]]&lt;=$B$5</f>
        <v>0</v>
      </c>
      <c r="F1416" t="str" cm="1">
        <f t="array" ref="F1416">IF(LineærRegression_Valg[[#This Row],[Indenfor range]],INDEX(DataTitel_liste,LineærRegression_Valg[[#This Row],[Afhængig variabel ID]]),INDEX(DataTitel_liste,1))</f>
        <v>Eksempel 1 (interval)</v>
      </c>
      <c r="G1416" s="188" t="str" cm="1">
        <f t="array" ref="G1416">IF(LineærRegression_Valg[[#This Row],[Indenfor range]],IF(LineærRegression_Valg[[#This Row],[Intet overlap]],INDEX(DataTitel_liste,LineærRegression_Valg[[#This Row],[Uafhængig variabel ID]]),INDEX(DataTitel_liste,IF(LineærRegression_Valg[[#This Row],[Afhængig variabel ID]]=1,2,1))),$B$7)</f>
        <v>Eksempel 2 (interval)</v>
      </c>
      <c r="H1416" s="188">
        <f>_xlfn.AGGREGATE(2,5,LineærRegression_Valg[[#This Row],[Tabel ID]])</f>
        <v>1</v>
      </c>
    </row>
    <row r="1417" spans="1:8" x14ac:dyDescent="0.2">
      <c r="A1417">
        <f>ROW(LineærRegression_Valg[[#This Row],[Tabel ID]])-ROW(LineærRegression_Valg[[#Headers],[Tabel ID]])</f>
        <v>1407</v>
      </c>
      <c r="B1417" s="188">
        <f>ROUNDDOWN((LineærRegression_Valg[[#This Row],[Tabel ID]]-1)/$B$5,0)+1</f>
        <v>352</v>
      </c>
      <c r="C1417" s="188">
        <f t="shared" si="21"/>
        <v>3</v>
      </c>
      <c r="D1417" s="188" t="b">
        <f>LineærRegression_Valg[[#This Row],[Afhængig variabel ID]]&lt;&gt;LineærRegression_Valg[[#This Row],[Uafhængig variabel ID]]</f>
        <v>1</v>
      </c>
      <c r="E1417" t="b">
        <f>LineærRegression_Valg[[#This Row],[Afhængig variabel ID]]&lt;=$B$5</f>
        <v>0</v>
      </c>
      <c r="F1417" t="str" cm="1">
        <f t="array" ref="F1417">IF(LineærRegression_Valg[[#This Row],[Indenfor range]],INDEX(DataTitel_liste,LineærRegression_Valg[[#This Row],[Afhængig variabel ID]]),INDEX(DataTitel_liste,1))</f>
        <v>Eksempel 1 (interval)</v>
      </c>
      <c r="G1417" s="188" t="str" cm="1">
        <f t="array" ref="G1417">IF(LineærRegression_Valg[[#This Row],[Indenfor range]],IF(LineærRegression_Valg[[#This Row],[Intet overlap]],INDEX(DataTitel_liste,LineærRegression_Valg[[#This Row],[Uafhængig variabel ID]]),INDEX(DataTitel_liste,IF(LineærRegression_Valg[[#This Row],[Afhængig variabel ID]]=1,2,1))),$B$7)</f>
        <v>Eksempel 2 (interval)</v>
      </c>
      <c r="H1417" s="188">
        <f>_xlfn.AGGREGATE(2,5,LineærRegression_Valg[[#This Row],[Tabel ID]])</f>
        <v>1</v>
      </c>
    </row>
    <row r="1418" spans="1:8" x14ac:dyDescent="0.2">
      <c r="A1418">
        <f>ROW(LineærRegression_Valg[[#This Row],[Tabel ID]])-ROW(LineærRegression_Valg[[#Headers],[Tabel ID]])</f>
        <v>1408</v>
      </c>
      <c r="B1418" s="188">
        <f>ROUNDDOWN((LineærRegression_Valg[[#This Row],[Tabel ID]]-1)/$B$5,0)+1</f>
        <v>352</v>
      </c>
      <c r="C1418" s="188">
        <f t="shared" si="21"/>
        <v>4</v>
      </c>
      <c r="D1418" s="188" t="b">
        <f>LineærRegression_Valg[[#This Row],[Afhængig variabel ID]]&lt;&gt;LineærRegression_Valg[[#This Row],[Uafhængig variabel ID]]</f>
        <v>1</v>
      </c>
      <c r="E1418" t="b">
        <f>LineærRegression_Valg[[#This Row],[Afhængig variabel ID]]&lt;=$B$5</f>
        <v>0</v>
      </c>
      <c r="F1418" t="str" cm="1">
        <f t="array" ref="F1418">IF(LineærRegression_Valg[[#This Row],[Indenfor range]],INDEX(DataTitel_liste,LineærRegression_Valg[[#This Row],[Afhængig variabel ID]]),INDEX(DataTitel_liste,1))</f>
        <v>Eksempel 1 (interval)</v>
      </c>
      <c r="G1418" s="188" t="str" cm="1">
        <f t="array" ref="G1418">IF(LineærRegression_Valg[[#This Row],[Indenfor range]],IF(LineærRegression_Valg[[#This Row],[Intet overlap]],INDEX(DataTitel_liste,LineærRegression_Valg[[#This Row],[Uafhængig variabel ID]]),INDEX(DataTitel_liste,IF(LineærRegression_Valg[[#This Row],[Afhængig variabel ID]]=1,2,1))),$B$7)</f>
        <v>Eksempel 2 (interval)</v>
      </c>
      <c r="H1418" s="188">
        <f>_xlfn.AGGREGATE(2,5,LineærRegression_Valg[[#This Row],[Tabel ID]])</f>
        <v>1</v>
      </c>
    </row>
    <row r="1419" spans="1:8" x14ac:dyDescent="0.2">
      <c r="A1419">
        <f>ROW(LineærRegression_Valg[[#This Row],[Tabel ID]])-ROW(LineærRegression_Valg[[#Headers],[Tabel ID]])</f>
        <v>1409</v>
      </c>
      <c r="B1419" s="188">
        <f>ROUNDDOWN((LineærRegression_Valg[[#This Row],[Tabel ID]]-1)/$B$5,0)+1</f>
        <v>353</v>
      </c>
      <c r="C1419" s="188">
        <f t="shared" ref="C1419:C1482" si="22">MOD(A1419-1,$B$5)+1</f>
        <v>1</v>
      </c>
      <c r="D1419" s="188" t="b">
        <f>LineærRegression_Valg[[#This Row],[Afhængig variabel ID]]&lt;&gt;LineærRegression_Valg[[#This Row],[Uafhængig variabel ID]]</f>
        <v>1</v>
      </c>
      <c r="E1419" t="b">
        <f>LineærRegression_Valg[[#This Row],[Afhængig variabel ID]]&lt;=$B$5</f>
        <v>0</v>
      </c>
      <c r="F1419" t="str" cm="1">
        <f t="array" ref="F1419">IF(LineærRegression_Valg[[#This Row],[Indenfor range]],INDEX(DataTitel_liste,LineærRegression_Valg[[#This Row],[Afhængig variabel ID]]),INDEX(DataTitel_liste,1))</f>
        <v>Eksempel 1 (interval)</v>
      </c>
      <c r="G1419" s="188" t="str" cm="1">
        <f t="array" ref="G1419">IF(LineærRegression_Valg[[#This Row],[Indenfor range]],IF(LineærRegression_Valg[[#This Row],[Intet overlap]],INDEX(DataTitel_liste,LineærRegression_Valg[[#This Row],[Uafhængig variabel ID]]),INDEX(DataTitel_liste,IF(LineærRegression_Valg[[#This Row],[Afhængig variabel ID]]=1,2,1))),$B$7)</f>
        <v>Eksempel 2 (interval)</v>
      </c>
      <c r="H1419" s="188">
        <f>_xlfn.AGGREGATE(2,5,LineærRegression_Valg[[#This Row],[Tabel ID]])</f>
        <v>1</v>
      </c>
    </row>
    <row r="1420" spans="1:8" x14ac:dyDescent="0.2">
      <c r="A1420">
        <f>ROW(LineærRegression_Valg[[#This Row],[Tabel ID]])-ROW(LineærRegression_Valg[[#Headers],[Tabel ID]])</f>
        <v>1410</v>
      </c>
      <c r="B1420" s="188">
        <f>ROUNDDOWN((LineærRegression_Valg[[#This Row],[Tabel ID]]-1)/$B$5,0)+1</f>
        <v>353</v>
      </c>
      <c r="C1420" s="188">
        <f t="shared" si="22"/>
        <v>2</v>
      </c>
      <c r="D1420" s="188" t="b">
        <f>LineærRegression_Valg[[#This Row],[Afhængig variabel ID]]&lt;&gt;LineærRegression_Valg[[#This Row],[Uafhængig variabel ID]]</f>
        <v>1</v>
      </c>
      <c r="E1420" t="b">
        <f>LineærRegression_Valg[[#This Row],[Afhængig variabel ID]]&lt;=$B$5</f>
        <v>0</v>
      </c>
      <c r="F1420" t="str" cm="1">
        <f t="array" ref="F1420">IF(LineærRegression_Valg[[#This Row],[Indenfor range]],INDEX(DataTitel_liste,LineærRegression_Valg[[#This Row],[Afhængig variabel ID]]),INDEX(DataTitel_liste,1))</f>
        <v>Eksempel 1 (interval)</v>
      </c>
      <c r="G1420" s="188" t="str" cm="1">
        <f t="array" ref="G1420">IF(LineærRegression_Valg[[#This Row],[Indenfor range]],IF(LineærRegression_Valg[[#This Row],[Intet overlap]],INDEX(DataTitel_liste,LineærRegression_Valg[[#This Row],[Uafhængig variabel ID]]),INDEX(DataTitel_liste,IF(LineærRegression_Valg[[#This Row],[Afhængig variabel ID]]=1,2,1))),$B$7)</f>
        <v>Eksempel 2 (interval)</v>
      </c>
      <c r="H1420" s="188">
        <f>_xlfn.AGGREGATE(2,5,LineærRegression_Valg[[#This Row],[Tabel ID]])</f>
        <v>1</v>
      </c>
    </row>
    <row r="1421" spans="1:8" x14ac:dyDescent="0.2">
      <c r="A1421">
        <f>ROW(LineærRegression_Valg[[#This Row],[Tabel ID]])-ROW(LineærRegression_Valg[[#Headers],[Tabel ID]])</f>
        <v>1411</v>
      </c>
      <c r="B1421" s="188">
        <f>ROUNDDOWN((LineærRegression_Valg[[#This Row],[Tabel ID]]-1)/$B$5,0)+1</f>
        <v>353</v>
      </c>
      <c r="C1421" s="188">
        <f t="shared" si="22"/>
        <v>3</v>
      </c>
      <c r="D1421" s="188" t="b">
        <f>LineærRegression_Valg[[#This Row],[Afhængig variabel ID]]&lt;&gt;LineærRegression_Valg[[#This Row],[Uafhængig variabel ID]]</f>
        <v>1</v>
      </c>
      <c r="E1421" t="b">
        <f>LineærRegression_Valg[[#This Row],[Afhængig variabel ID]]&lt;=$B$5</f>
        <v>0</v>
      </c>
      <c r="F1421" t="str" cm="1">
        <f t="array" ref="F1421">IF(LineærRegression_Valg[[#This Row],[Indenfor range]],INDEX(DataTitel_liste,LineærRegression_Valg[[#This Row],[Afhængig variabel ID]]),INDEX(DataTitel_liste,1))</f>
        <v>Eksempel 1 (interval)</v>
      </c>
      <c r="G1421" s="188" t="str" cm="1">
        <f t="array" ref="G1421">IF(LineærRegression_Valg[[#This Row],[Indenfor range]],IF(LineærRegression_Valg[[#This Row],[Intet overlap]],INDEX(DataTitel_liste,LineærRegression_Valg[[#This Row],[Uafhængig variabel ID]]),INDEX(DataTitel_liste,IF(LineærRegression_Valg[[#This Row],[Afhængig variabel ID]]=1,2,1))),$B$7)</f>
        <v>Eksempel 2 (interval)</v>
      </c>
      <c r="H1421" s="188">
        <f>_xlfn.AGGREGATE(2,5,LineærRegression_Valg[[#This Row],[Tabel ID]])</f>
        <v>1</v>
      </c>
    </row>
    <row r="1422" spans="1:8" x14ac:dyDescent="0.2">
      <c r="A1422">
        <f>ROW(LineærRegression_Valg[[#This Row],[Tabel ID]])-ROW(LineærRegression_Valg[[#Headers],[Tabel ID]])</f>
        <v>1412</v>
      </c>
      <c r="B1422" s="188">
        <f>ROUNDDOWN((LineærRegression_Valg[[#This Row],[Tabel ID]]-1)/$B$5,0)+1</f>
        <v>353</v>
      </c>
      <c r="C1422" s="188">
        <f t="shared" si="22"/>
        <v>4</v>
      </c>
      <c r="D1422" s="188" t="b">
        <f>LineærRegression_Valg[[#This Row],[Afhængig variabel ID]]&lt;&gt;LineærRegression_Valg[[#This Row],[Uafhængig variabel ID]]</f>
        <v>1</v>
      </c>
      <c r="E1422" t="b">
        <f>LineærRegression_Valg[[#This Row],[Afhængig variabel ID]]&lt;=$B$5</f>
        <v>0</v>
      </c>
      <c r="F1422" t="str" cm="1">
        <f t="array" ref="F1422">IF(LineærRegression_Valg[[#This Row],[Indenfor range]],INDEX(DataTitel_liste,LineærRegression_Valg[[#This Row],[Afhængig variabel ID]]),INDEX(DataTitel_liste,1))</f>
        <v>Eksempel 1 (interval)</v>
      </c>
      <c r="G1422" s="188" t="str" cm="1">
        <f t="array" ref="G1422">IF(LineærRegression_Valg[[#This Row],[Indenfor range]],IF(LineærRegression_Valg[[#This Row],[Intet overlap]],INDEX(DataTitel_liste,LineærRegression_Valg[[#This Row],[Uafhængig variabel ID]]),INDEX(DataTitel_liste,IF(LineærRegression_Valg[[#This Row],[Afhængig variabel ID]]=1,2,1))),$B$7)</f>
        <v>Eksempel 2 (interval)</v>
      </c>
      <c r="H1422" s="188">
        <f>_xlfn.AGGREGATE(2,5,LineærRegression_Valg[[#This Row],[Tabel ID]])</f>
        <v>1</v>
      </c>
    </row>
    <row r="1423" spans="1:8" x14ac:dyDescent="0.2">
      <c r="A1423">
        <f>ROW(LineærRegression_Valg[[#This Row],[Tabel ID]])-ROW(LineærRegression_Valg[[#Headers],[Tabel ID]])</f>
        <v>1413</v>
      </c>
      <c r="B1423" s="188">
        <f>ROUNDDOWN((LineærRegression_Valg[[#This Row],[Tabel ID]]-1)/$B$5,0)+1</f>
        <v>354</v>
      </c>
      <c r="C1423" s="188">
        <f t="shared" si="22"/>
        <v>1</v>
      </c>
      <c r="D1423" s="188" t="b">
        <f>LineærRegression_Valg[[#This Row],[Afhængig variabel ID]]&lt;&gt;LineærRegression_Valg[[#This Row],[Uafhængig variabel ID]]</f>
        <v>1</v>
      </c>
      <c r="E1423" t="b">
        <f>LineærRegression_Valg[[#This Row],[Afhængig variabel ID]]&lt;=$B$5</f>
        <v>0</v>
      </c>
      <c r="F1423" t="str" cm="1">
        <f t="array" ref="F1423">IF(LineærRegression_Valg[[#This Row],[Indenfor range]],INDEX(DataTitel_liste,LineærRegression_Valg[[#This Row],[Afhængig variabel ID]]),INDEX(DataTitel_liste,1))</f>
        <v>Eksempel 1 (interval)</v>
      </c>
      <c r="G1423" s="188" t="str" cm="1">
        <f t="array" ref="G1423">IF(LineærRegression_Valg[[#This Row],[Indenfor range]],IF(LineærRegression_Valg[[#This Row],[Intet overlap]],INDEX(DataTitel_liste,LineærRegression_Valg[[#This Row],[Uafhængig variabel ID]]),INDEX(DataTitel_liste,IF(LineærRegression_Valg[[#This Row],[Afhængig variabel ID]]=1,2,1))),$B$7)</f>
        <v>Eksempel 2 (interval)</v>
      </c>
      <c r="H1423" s="188">
        <f>_xlfn.AGGREGATE(2,5,LineærRegression_Valg[[#This Row],[Tabel ID]])</f>
        <v>1</v>
      </c>
    </row>
    <row r="1424" spans="1:8" x14ac:dyDescent="0.2">
      <c r="A1424">
        <f>ROW(LineærRegression_Valg[[#This Row],[Tabel ID]])-ROW(LineærRegression_Valg[[#Headers],[Tabel ID]])</f>
        <v>1414</v>
      </c>
      <c r="B1424" s="188">
        <f>ROUNDDOWN((LineærRegression_Valg[[#This Row],[Tabel ID]]-1)/$B$5,0)+1</f>
        <v>354</v>
      </c>
      <c r="C1424" s="188">
        <f t="shared" si="22"/>
        <v>2</v>
      </c>
      <c r="D1424" s="188" t="b">
        <f>LineærRegression_Valg[[#This Row],[Afhængig variabel ID]]&lt;&gt;LineærRegression_Valg[[#This Row],[Uafhængig variabel ID]]</f>
        <v>1</v>
      </c>
      <c r="E1424" t="b">
        <f>LineærRegression_Valg[[#This Row],[Afhængig variabel ID]]&lt;=$B$5</f>
        <v>0</v>
      </c>
      <c r="F1424" t="str" cm="1">
        <f t="array" ref="F1424">IF(LineærRegression_Valg[[#This Row],[Indenfor range]],INDEX(DataTitel_liste,LineærRegression_Valg[[#This Row],[Afhængig variabel ID]]),INDEX(DataTitel_liste,1))</f>
        <v>Eksempel 1 (interval)</v>
      </c>
      <c r="G1424" s="188" t="str" cm="1">
        <f t="array" ref="G1424">IF(LineærRegression_Valg[[#This Row],[Indenfor range]],IF(LineærRegression_Valg[[#This Row],[Intet overlap]],INDEX(DataTitel_liste,LineærRegression_Valg[[#This Row],[Uafhængig variabel ID]]),INDEX(DataTitel_liste,IF(LineærRegression_Valg[[#This Row],[Afhængig variabel ID]]=1,2,1))),$B$7)</f>
        <v>Eksempel 2 (interval)</v>
      </c>
      <c r="H1424" s="188">
        <f>_xlfn.AGGREGATE(2,5,LineærRegression_Valg[[#This Row],[Tabel ID]])</f>
        <v>1</v>
      </c>
    </row>
    <row r="1425" spans="1:8" x14ac:dyDescent="0.2">
      <c r="A1425">
        <f>ROW(LineærRegression_Valg[[#This Row],[Tabel ID]])-ROW(LineærRegression_Valg[[#Headers],[Tabel ID]])</f>
        <v>1415</v>
      </c>
      <c r="B1425" s="188">
        <f>ROUNDDOWN((LineærRegression_Valg[[#This Row],[Tabel ID]]-1)/$B$5,0)+1</f>
        <v>354</v>
      </c>
      <c r="C1425" s="188">
        <f t="shared" si="22"/>
        <v>3</v>
      </c>
      <c r="D1425" s="188" t="b">
        <f>LineærRegression_Valg[[#This Row],[Afhængig variabel ID]]&lt;&gt;LineærRegression_Valg[[#This Row],[Uafhængig variabel ID]]</f>
        <v>1</v>
      </c>
      <c r="E1425" t="b">
        <f>LineærRegression_Valg[[#This Row],[Afhængig variabel ID]]&lt;=$B$5</f>
        <v>0</v>
      </c>
      <c r="F1425" t="str" cm="1">
        <f t="array" ref="F1425">IF(LineærRegression_Valg[[#This Row],[Indenfor range]],INDEX(DataTitel_liste,LineærRegression_Valg[[#This Row],[Afhængig variabel ID]]),INDEX(DataTitel_liste,1))</f>
        <v>Eksempel 1 (interval)</v>
      </c>
      <c r="G1425" s="188" t="str" cm="1">
        <f t="array" ref="G1425">IF(LineærRegression_Valg[[#This Row],[Indenfor range]],IF(LineærRegression_Valg[[#This Row],[Intet overlap]],INDEX(DataTitel_liste,LineærRegression_Valg[[#This Row],[Uafhængig variabel ID]]),INDEX(DataTitel_liste,IF(LineærRegression_Valg[[#This Row],[Afhængig variabel ID]]=1,2,1))),$B$7)</f>
        <v>Eksempel 2 (interval)</v>
      </c>
      <c r="H1425" s="188">
        <f>_xlfn.AGGREGATE(2,5,LineærRegression_Valg[[#This Row],[Tabel ID]])</f>
        <v>1</v>
      </c>
    </row>
    <row r="1426" spans="1:8" x14ac:dyDescent="0.2">
      <c r="A1426">
        <f>ROW(LineærRegression_Valg[[#This Row],[Tabel ID]])-ROW(LineærRegression_Valg[[#Headers],[Tabel ID]])</f>
        <v>1416</v>
      </c>
      <c r="B1426" s="188">
        <f>ROUNDDOWN((LineærRegression_Valg[[#This Row],[Tabel ID]]-1)/$B$5,0)+1</f>
        <v>354</v>
      </c>
      <c r="C1426" s="188">
        <f t="shared" si="22"/>
        <v>4</v>
      </c>
      <c r="D1426" s="188" t="b">
        <f>LineærRegression_Valg[[#This Row],[Afhængig variabel ID]]&lt;&gt;LineærRegression_Valg[[#This Row],[Uafhængig variabel ID]]</f>
        <v>1</v>
      </c>
      <c r="E1426" t="b">
        <f>LineærRegression_Valg[[#This Row],[Afhængig variabel ID]]&lt;=$B$5</f>
        <v>0</v>
      </c>
      <c r="F1426" t="str" cm="1">
        <f t="array" ref="F1426">IF(LineærRegression_Valg[[#This Row],[Indenfor range]],INDEX(DataTitel_liste,LineærRegression_Valg[[#This Row],[Afhængig variabel ID]]),INDEX(DataTitel_liste,1))</f>
        <v>Eksempel 1 (interval)</v>
      </c>
      <c r="G1426" s="188" t="str" cm="1">
        <f t="array" ref="G1426">IF(LineærRegression_Valg[[#This Row],[Indenfor range]],IF(LineærRegression_Valg[[#This Row],[Intet overlap]],INDEX(DataTitel_liste,LineærRegression_Valg[[#This Row],[Uafhængig variabel ID]]),INDEX(DataTitel_liste,IF(LineærRegression_Valg[[#This Row],[Afhængig variabel ID]]=1,2,1))),$B$7)</f>
        <v>Eksempel 2 (interval)</v>
      </c>
      <c r="H1426" s="188">
        <f>_xlfn.AGGREGATE(2,5,LineærRegression_Valg[[#This Row],[Tabel ID]])</f>
        <v>1</v>
      </c>
    </row>
    <row r="1427" spans="1:8" x14ac:dyDescent="0.2">
      <c r="A1427">
        <f>ROW(LineærRegression_Valg[[#This Row],[Tabel ID]])-ROW(LineærRegression_Valg[[#Headers],[Tabel ID]])</f>
        <v>1417</v>
      </c>
      <c r="B1427" s="188">
        <f>ROUNDDOWN((LineærRegression_Valg[[#This Row],[Tabel ID]]-1)/$B$5,0)+1</f>
        <v>355</v>
      </c>
      <c r="C1427" s="188">
        <f t="shared" si="22"/>
        <v>1</v>
      </c>
      <c r="D1427" s="188" t="b">
        <f>LineærRegression_Valg[[#This Row],[Afhængig variabel ID]]&lt;&gt;LineærRegression_Valg[[#This Row],[Uafhængig variabel ID]]</f>
        <v>1</v>
      </c>
      <c r="E1427" t="b">
        <f>LineærRegression_Valg[[#This Row],[Afhængig variabel ID]]&lt;=$B$5</f>
        <v>0</v>
      </c>
      <c r="F1427" t="str" cm="1">
        <f t="array" ref="F1427">IF(LineærRegression_Valg[[#This Row],[Indenfor range]],INDEX(DataTitel_liste,LineærRegression_Valg[[#This Row],[Afhængig variabel ID]]),INDEX(DataTitel_liste,1))</f>
        <v>Eksempel 1 (interval)</v>
      </c>
      <c r="G1427" s="188" t="str" cm="1">
        <f t="array" ref="G1427">IF(LineærRegression_Valg[[#This Row],[Indenfor range]],IF(LineærRegression_Valg[[#This Row],[Intet overlap]],INDEX(DataTitel_liste,LineærRegression_Valg[[#This Row],[Uafhængig variabel ID]]),INDEX(DataTitel_liste,IF(LineærRegression_Valg[[#This Row],[Afhængig variabel ID]]=1,2,1))),$B$7)</f>
        <v>Eksempel 2 (interval)</v>
      </c>
      <c r="H1427" s="188">
        <f>_xlfn.AGGREGATE(2,5,LineærRegression_Valg[[#This Row],[Tabel ID]])</f>
        <v>1</v>
      </c>
    </row>
    <row r="1428" spans="1:8" x14ac:dyDescent="0.2">
      <c r="A1428">
        <f>ROW(LineærRegression_Valg[[#This Row],[Tabel ID]])-ROW(LineærRegression_Valg[[#Headers],[Tabel ID]])</f>
        <v>1418</v>
      </c>
      <c r="B1428" s="188">
        <f>ROUNDDOWN((LineærRegression_Valg[[#This Row],[Tabel ID]]-1)/$B$5,0)+1</f>
        <v>355</v>
      </c>
      <c r="C1428" s="188">
        <f t="shared" si="22"/>
        <v>2</v>
      </c>
      <c r="D1428" s="188" t="b">
        <f>LineærRegression_Valg[[#This Row],[Afhængig variabel ID]]&lt;&gt;LineærRegression_Valg[[#This Row],[Uafhængig variabel ID]]</f>
        <v>1</v>
      </c>
      <c r="E1428" t="b">
        <f>LineærRegression_Valg[[#This Row],[Afhængig variabel ID]]&lt;=$B$5</f>
        <v>0</v>
      </c>
      <c r="F1428" t="str" cm="1">
        <f t="array" ref="F1428">IF(LineærRegression_Valg[[#This Row],[Indenfor range]],INDEX(DataTitel_liste,LineærRegression_Valg[[#This Row],[Afhængig variabel ID]]),INDEX(DataTitel_liste,1))</f>
        <v>Eksempel 1 (interval)</v>
      </c>
      <c r="G1428" s="188" t="str" cm="1">
        <f t="array" ref="G1428">IF(LineærRegression_Valg[[#This Row],[Indenfor range]],IF(LineærRegression_Valg[[#This Row],[Intet overlap]],INDEX(DataTitel_liste,LineærRegression_Valg[[#This Row],[Uafhængig variabel ID]]),INDEX(DataTitel_liste,IF(LineærRegression_Valg[[#This Row],[Afhængig variabel ID]]=1,2,1))),$B$7)</f>
        <v>Eksempel 2 (interval)</v>
      </c>
      <c r="H1428" s="188">
        <f>_xlfn.AGGREGATE(2,5,LineærRegression_Valg[[#This Row],[Tabel ID]])</f>
        <v>1</v>
      </c>
    </row>
    <row r="1429" spans="1:8" x14ac:dyDescent="0.2">
      <c r="A1429">
        <f>ROW(LineærRegression_Valg[[#This Row],[Tabel ID]])-ROW(LineærRegression_Valg[[#Headers],[Tabel ID]])</f>
        <v>1419</v>
      </c>
      <c r="B1429" s="188">
        <f>ROUNDDOWN((LineærRegression_Valg[[#This Row],[Tabel ID]]-1)/$B$5,0)+1</f>
        <v>355</v>
      </c>
      <c r="C1429" s="188">
        <f t="shared" si="22"/>
        <v>3</v>
      </c>
      <c r="D1429" s="188" t="b">
        <f>LineærRegression_Valg[[#This Row],[Afhængig variabel ID]]&lt;&gt;LineærRegression_Valg[[#This Row],[Uafhængig variabel ID]]</f>
        <v>1</v>
      </c>
      <c r="E1429" t="b">
        <f>LineærRegression_Valg[[#This Row],[Afhængig variabel ID]]&lt;=$B$5</f>
        <v>0</v>
      </c>
      <c r="F1429" t="str" cm="1">
        <f t="array" ref="F1429">IF(LineærRegression_Valg[[#This Row],[Indenfor range]],INDEX(DataTitel_liste,LineærRegression_Valg[[#This Row],[Afhængig variabel ID]]),INDEX(DataTitel_liste,1))</f>
        <v>Eksempel 1 (interval)</v>
      </c>
      <c r="G1429" s="188" t="str" cm="1">
        <f t="array" ref="G1429">IF(LineærRegression_Valg[[#This Row],[Indenfor range]],IF(LineærRegression_Valg[[#This Row],[Intet overlap]],INDEX(DataTitel_liste,LineærRegression_Valg[[#This Row],[Uafhængig variabel ID]]),INDEX(DataTitel_liste,IF(LineærRegression_Valg[[#This Row],[Afhængig variabel ID]]=1,2,1))),$B$7)</f>
        <v>Eksempel 2 (interval)</v>
      </c>
      <c r="H1429" s="188">
        <f>_xlfn.AGGREGATE(2,5,LineærRegression_Valg[[#This Row],[Tabel ID]])</f>
        <v>1</v>
      </c>
    </row>
    <row r="1430" spans="1:8" x14ac:dyDescent="0.2">
      <c r="A1430">
        <f>ROW(LineærRegression_Valg[[#This Row],[Tabel ID]])-ROW(LineærRegression_Valg[[#Headers],[Tabel ID]])</f>
        <v>1420</v>
      </c>
      <c r="B1430" s="188">
        <f>ROUNDDOWN((LineærRegression_Valg[[#This Row],[Tabel ID]]-1)/$B$5,0)+1</f>
        <v>355</v>
      </c>
      <c r="C1430" s="188">
        <f t="shared" si="22"/>
        <v>4</v>
      </c>
      <c r="D1430" s="188" t="b">
        <f>LineærRegression_Valg[[#This Row],[Afhængig variabel ID]]&lt;&gt;LineærRegression_Valg[[#This Row],[Uafhængig variabel ID]]</f>
        <v>1</v>
      </c>
      <c r="E1430" t="b">
        <f>LineærRegression_Valg[[#This Row],[Afhængig variabel ID]]&lt;=$B$5</f>
        <v>0</v>
      </c>
      <c r="F1430" t="str" cm="1">
        <f t="array" ref="F1430">IF(LineærRegression_Valg[[#This Row],[Indenfor range]],INDEX(DataTitel_liste,LineærRegression_Valg[[#This Row],[Afhængig variabel ID]]),INDEX(DataTitel_liste,1))</f>
        <v>Eksempel 1 (interval)</v>
      </c>
      <c r="G1430" s="188" t="str" cm="1">
        <f t="array" ref="G1430">IF(LineærRegression_Valg[[#This Row],[Indenfor range]],IF(LineærRegression_Valg[[#This Row],[Intet overlap]],INDEX(DataTitel_liste,LineærRegression_Valg[[#This Row],[Uafhængig variabel ID]]),INDEX(DataTitel_liste,IF(LineærRegression_Valg[[#This Row],[Afhængig variabel ID]]=1,2,1))),$B$7)</f>
        <v>Eksempel 2 (interval)</v>
      </c>
      <c r="H1430" s="188">
        <f>_xlfn.AGGREGATE(2,5,LineærRegression_Valg[[#This Row],[Tabel ID]])</f>
        <v>1</v>
      </c>
    </row>
    <row r="1431" spans="1:8" x14ac:dyDescent="0.2">
      <c r="A1431">
        <f>ROW(LineærRegression_Valg[[#This Row],[Tabel ID]])-ROW(LineærRegression_Valg[[#Headers],[Tabel ID]])</f>
        <v>1421</v>
      </c>
      <c r="B1431" s="188">
        <f>ROUNDDOWN((LineærRegression_Valg[[#This Row],[Tabel ID]]-1)/$B$5,0)+1</f>
        <v>356</v>
      </c>
      <c r="C1431" s="188">
        <f t="shared" si="22"/>
        <v>1</v>
      </c>
      <c r="D1431" s="188" t="b">
        <f>LineærRegression_Valg[[#This Row],[Afhængig variabel ID]]&lt;&gt;LineærRegression_Valg[[#This Row],[Uafhængig variabel ID]]</f>
        <v>1</v>
      </c>
      <c r="E1431" t="b">
        <f>LineærRegression_Valg[[#This Row],[Afhængig variabel ID]]&lt;=$B$5</f>
        <v>0</v>
      </c>
      <c r="F1431" t="str" cm="1">
        <f t="array" ref="F1431">IF(LineærRegression_Valg[[#This Row],[Indenfor range]],INDEX(DataTitel_liste,LineærRegression_Valg[[#This Row],[Afhængig variabel ID]]),INDEX(DataTitel_liste,1))</f>
        <v>Eksempel 1 (interval)</v>
      </c>
      <c r="G1431" s="188" t="str" cm="1">
        <f t="array" ref="G1431">IF(LineærRegression_Valg[[#This Row],[Indenfor range]],IF(LineærRegression_Valg[[#This Row],[Intet overlap]],INDEX(DataTitel_liste,LineærRegression_Valg[[#This Row],[Uafhængig variabel ID]]),INDEX(DataTitel_liste,IF(LineærRegression_Valg[[#This Row],[Afhængig variabel ID]]=1,2,1))),$B$7)</f>
        <v>Eksempel 2 (interval)</v>
      </c>
      <c r="H1431" s="188">
        <f>_xlfn.AGGREGATE(2,5,LineærRegression_Valg[[#This Row],[Tabel ID]])</f>
        <v>1</v>
      </c>
    </row>
    <row r="1432" spans="1:8" x14ac:dyDescent="0.2">
      <c r="A1432">
        <f>ROW(LineærRegression_Valg[[#This Row],[Tabel ID]])-ROW(LineærRegression_Valg[[#Headers],[Tabel ID]])</f>
        <v>1422</v>
      </c>
      <c r="B1432" s="188">
        <f>ROUNDDOWN((LineærRegression_Valg[[#This Row],[Tabel ID]]-1)/$B$5,0)+1</f>
        <v>356</v>
      </c>
      <c r="C1432" s="188">
        <f t="shared" si="22"/>
        <v>2</v>
      </c>
      <c r="D1432" s="188" t="b">
        <f>LineærRegression_Valg[[#This Row],[Afhængig variabel ID]]&lt;&gt;LineærRegression_Valg[[#This Row],[Uafhængig variabel ID]]</f>
        <v>1</v>
      </c>
      <c r="E1432" t="b">
        <f>LineærRegression_Valg[[#This Row],[Afhængig variabel ID]]&lt;=$B$5</f>
        <v>0</v>
      </c>
      <c r="F1432" t="str" cm="1">
        <f t="array" ref="F1432">IF(LineærRegression_Valg[[#This Row],[Indenfor range]],INDEX(DataTitel_liste,LineærRegression_Valg[[#This Row],[Afhængig variabel ID]]),INDEX(DataTitel_liste,1))</f>
        <v>Eksempel 1 (interval)</v>
      </c>
      <c r="G1432" s="188" t="str" cm="1">
        <f t="array" ref="G1432">IF(LineærRegression_Valg[[#This Row],[Indenfor range]],IF(LineærRegression_Valg[[#This Row],[Intet overlap]],INDEX(DataTitel_liste,LineærRegression_Valg[[#This Row],[Uafhængig variabel ID]]),INDEX(DataTitel_liste,IF(LineærRegression_Valg[[#This Row],[Afhængig variabel ID]]=1,2,1))),$B$7)</f>
        <v>Eksempel 2 (interval)</v>
      </c>
      <c r="H1432" s="188">
        <f>_xlfn.AGGREGATE(2,5,LineærRegression_Valg[[#This Row],[Tabel ID]])</f>
        <v>1</v>
      </c>
    </row>
    <row r="1433" spans="1:8" x14ac:dyDescent="0.2">
      <c r="A1433">
        <f>ROW(LineærRegression_Valg[[#This Row],[Tabel ID]])-ROW(LineærRegression_Valg[[#Headers],[Tabel ID]])</f>
        <v>1423</v>
      </c>
      <c r="B1433" s="188">
        <f>ROUNDDOWN((LineærRegression_Valg[[#This Row],[Tabel ID]]-1)/$B$5,0)+1</f>
        <v>356</v>
      </c>
      <c r="C1433" s="188">
        <f t="shared" si="22"/>
        <v>3</v>
      </c>
      <c r="D1433" s="188" t="b">
        <f>LineærRegression_Valg[[#This Row],[Afhængig variabel ID]]&lt;&gt;LineærRegression_Valg[[#This Row],[Uafhængig variabel ID]]</f>
        <v>1</v>
      </c>
      <c r="E1433" t="b">
        <f>LineærRegression_Valg[[#This Row],[Afhængig variabel ID]]&lt;=$B$5</f>
        <v>0</v>
      </c>
      <c r="F1433" t="str" cm="1">
        <f t="array" ref="F1433">IF(LineærRegression_Valg[[#This Row],[Indenfor range]],INDEX(DataTitel_liste,LineærRegression_Valg[[#This Row],[Afhængig variabel ID]]),INDEX(DataTitel_liste,1))</f>
        <v>Eksempel 1 (interval)</v>
      </c>
      <c r="G1433" s="188" t="str" cm="1">
        <f t="array" ref="G1433">IF(LineærRegression_Valg[[#This Row],[Indenfor range]],IF(LineærRegression_Valg[[#This Row],[Intet overlap]],INDEX(DataTitel_liste,LineærRegression_Valg[[#This Row],[Uafhængig variabel ID]]),INDEX(DataTitel_liste,IF(LineærRegression_Valg[[#This Row],[Afhængig variabel ID]]=1,2,1))),$B$7)</f>
        <v>Eksempel 2 (interval)</v>
      </c>
      <c r="H1433" s="188">
        <f>_xlfn.AGGREGATE(2,5,LineærRegression_Valg[[#This Row],[Tabel ID]])</f>
        <v>1</v>
      </c>
    </row>
    <row r="1434" spans="1:8" x14ac:dyDescent="0.2">
      <c r="A1434">
        <f>ROW(LineærRegression_Valg[[#This Row],[Tabel ID]])-ROW(LineærRegression_Valg[[#Headers],[Tabel ID]])</f>
        <v>1424</v>
      </c>
      <c r="B1434" s="188">
        <f>ROUNDDOWN((LineærRegression_Valg[[#This Row],[Tabel ID]]-1)/$B$5,0)+1</f>
        <v>356</v>
      </c>
      <c r="C1434" s="188">
        <f t="shared" si="22"/>
        <v>4</v>
      </c>
      <c r="D1434" s="188" t="b">
        <f>LineærRegression_Valg[[#This Row],[Afhængig variabel ID]]&lt;&gt;LineærRegression_Valg[[#This Row],[Uafhængig variabel ID]]</f>
        <v>1</v>
      </c>
      <c r="E1434" t="b">
        <f>LineærRegression_Valg[[#This Row],[Afhængig variabel ID]]&lt;=$B$5</f>
        <v>0</v>
      </c>
      <c r="F1434" t="str" cm="1">
        <f t="array" ref="F1434">IF(LineærRegression_Valg[[#This Row],[Indenfor range]],INDEX(DataTitel_liste,LineærRegression_Valg[[#This Row],[Afhængig variabel ID]]),INDEX(DataTitel_liste,1))</f>
        <v>Eksempel 1 (interval)</v>
      </c>
      <c r="G1434" s="188" t="str" cm="1">
        <f t="array" ref="G1434">IF(LineærRegression_Valg[[#This Row],[Indenfor range]],IF(LineærRegression_Valg[[#This Row],[Intet overlap]],INDEX(DataTitel_liste,LineærRegression_Valg[[#This Row],[Uafhængig variabel ID]]),INDEX(DataTitel_liste,IF(LineærRegression_Valg[[#This Row],[Afhængig variabel ID]]=1,2,1))),$B$7)</f>
        <v>Eksempel 2 (interval)</v>
      </c>
      <c r="H1434" s="188">
        <f>_xlfn.AGGREGATE(2,5,LineærRegression_Valg[[#This Row],[Tabel ID]])</f>
        <v>1</v>
      </c>
    </row>
    <row r="1435" spans="1:8" x14ac:dyDescent="0.2">
      <c r="A1435">
        <f>ROW(LineærRegression_Valg[[#This Row],[Tabel ID]])-ROW(LineærRegression_Valg[[#Headers],[Tabel ID]])</f>
        <v>1425</v>
      </c>
      <c r="B1435" s="188">
        <f>ROUNDDOWN((LineærRegression_Valg[[#This Row],[Tabel ID]]-1)/$B$5,0)+1</f>
        <v>357</v>
      </c>
      <c r="C1435" s="188">
        <f t="shared" si="22"/>
        <v>1</v>
      </c>
      <c r="D1435" s="188" t="b">
        <f>LineærRegression_Valg[[#This Row],[Afhængig variabel ID]]&lt;&gt;LineærRegression_Valg[[#This Row],[Uafhængig variabel ID]]</f>
        <v>1</v>
      </c>
      <c r="E1435" t="b">
        <f>LineærRegression_Valg[[#This Row],[Afhængig variabel ID]]&lt;=$B$5</f>
        <v>0</v>
      </c>
      <c r="F1435" t="str" cm="1">
        <f t="array" ref="F1435">IF(LineærRegression_Valg[[#This Row],[Indenfor range]],INDEX(DataTitel_liste,LineærRegression_Valg[[#This Row],[Afhængig variabel ID]]),INDEX(DataTitel_liste,1))</f>
        <v>Eksempel 1 (interval)</v>
      </c>
      <c r="G1435" s="188" t="str" cm="1">
        <f t="array" ref="G1435">IF(LineærRegression_Valg[[#This Row],[Indenfor range]],IF(LineærRegression_Valg[[#This Row],[Intet overlap]],INDEX(DataTitel_liste,LineærRegression_Valg[[#This Row],[Uafhængig variabel ID]]),INDEX(DataTitel_liste,IF(LineærRegression_Valg[[#This Row],[Afhængig variabel ID]]=1,2,1))),$B$7)</f>
        <v>Eksempel 2 (interval)</v>
      </c>
      <c r="H1435" s="188">
        <f>_xlfn.AGGREGATE(2,5,LineærRegression_Valg[[#This Row],[Tabel ID]])</f>
        <v>1</v>
      </c>
    </row>
    <row r="1436" spans="1:8" x14ac:dyDescent="0.2">
      <c r="A1436">
        <f>ROW(LineærRegression_Valg[[#This Row],[Tabel ID]])-ROW(LineærRegression_Valg[[#Headers],[Tabel ID]])</f>
        <v>1426</v>
      </c>
      <c r="B1436" s="188">
        <f>ROUNDDOWN((LineærRegression_Valg[[#This Row],[Tabel ID]]-1)/$B$5,0)+1</f>
        <v>357</v>
      </c>
      <c r="C1436" s="188">
        <f t="shared" si="22"/>
        <v>2</v>
      </c>
      <c r="D1436" s="188" t="b">
        <f>LineærRegression_Valg[[#This Row],[Afhængig variabel ID]]&lt;&gt;LineærRegression_Valg[[#This Row],[Uafhængig variabel ID]]</f>
        <v>1</v>
      </c>
      <c r="E1436" t="b">
        <f>LineærRegression_Valg[[#This Row],[Afhængig variabel ID]]&lt;=$B$5</f>
        <v>0</v>
      </c>
      <c r="F1436" t="str" cm="1">
        <f t="array" ref="F1436">IF(LineærRegression_Valg[[#This Row],[Indenfor range]],INDEX(DataTitel_liste,LineærRegression_Valg[[#This Row],[Afhængig variabel ID]]),INDEX(DataTitel_liste,1))</f>
        <v>Eksempel 1 (interval)</v>
      </c>
      <c r="G1436" s="188" t="str" cm="1">
        <f t="array" ref="G1436">IF(LineærRegression_Valg[[#This Row],[Indenfor range]],IF(LineærRegression_Valg[[#This Row],[Intet overlap]],INDEX(DataTitel_liste,LineærRegression_Valg[[#This Row],[Uafhængig variabel ID]]),INDEX(DataTitel_liste,IF(LineærRegression_Valg[[#This Row],[Afhængig variabel ID]]=1,2,1))),$B$7)</f>
        <v>Eksempel 2 (interval)</v>
      </c>
      <c r="H1436" s="188">
        <f>_xlfn.AGGREGATE(2,5,LineærRegression_Valg[[#This Row],[Tabel ID]])</f>
        <v>1</v>
      </c>
    </row>
    <row r="1437" spans="1:8" x14ac:dyDescent="0.2">
      <c r="A1437">
        <f>ROW(LineærRegression_Valg[[#This Row],[Tabel ID]])-ROW(LineærRegression_Valg[[#Headers],[Tabel ID]])</f>
        <v>1427</v>
      </c>
      <c r="B1437" s="188">
        <f>ROUNDDOWN((LineærRegression_Valg[[#This Row],[Tabel ID]]-1)/$B$5,0)+1</f>
        <v>357</v>
      </c>
      <c r="C1437" s="188">
        <f t="shared" si="22"/>
        <v>3</v>
      </c>
      <c r="D1437" s="188" t="b">
        <f>LineærRegression_Valg[[#This Row],[Afhængig variabel ID]]&lt;&gt;LineærRegression_Valg[[#This Row],[Uafhængig variabel ID]]</f>
        <v>1</v>
      </c>
      <c r="E1437" t="b">
        <f>LineærRegression_Valg[[#This Row],[Afhængig variabel ID]]&lt;=$B$5</f>
        <v>0</v>
      </c>
      <c r="F1437" t="str" cm="1">
        <f t="array" ref="F1437">IF(LineærRegression_Valg[[#This Row],[Indenfor range]],INDEX(DataTitel_liste,LineærRegression_Valg[[#This Row],[Afhængig variabel ID]]),INDEX(DataTitel_liste,1))</f>
        <v>Eksempel 1 (interval)</v>
      </c>
      <c r="G1437" s="188" t="str" cm="1">
        <f t="array" ref="G1437">IF(LineærRegression_Valg[[#This Row],[Indenfor range]],IF(LineærRegression_Valg[[#This Row],[Intet overlap]],INDEX(DataTitel_liste,LineærRegression_Valg[[#This Row],[Uafhængig variabel ID]]),INDEX(DataTitel_liste,IF(LineærRegression_Valg[[#This Row],[Afhængig variabel ID]]=1,2,1))),$B$7)</f>
        <v>Eksempel 2 (interval)</v>
      </c>
      <c r="H1437" s="188">
        <f>_xlfn.AGGREGATE(2,5,LineærRegression_Valg[[#This Row],[Tabel ID]])</f>
        <v>1</v>
      </c>
    </row>
    <row r="1438" spans="1:8" x14ac:dyDescent="0.2">
      <c r="A1438">
        <f>ROW(LineærRegression_Valg[[#This Row],[Tabel ID]])-ROW(LineærRegression_Valg[[#Headers],[Tabel ID]])</f>
        <v>1428</v>
      </c>
      <c r="B1438" s="188">
        <f>ROUNDDOWN((LineærRegression_Valg[[#This Row],[Tabel ID]]-1)/$B$5,0)+1</f>
        <v>357</v>
      </c>
      <c r="C1438" s="188">
        <f t="shared" si="22"/>
        <v>4</v>
      </c>
      <c r="D1438" s="188" t="b">
        <f>LineærRegression_Valg[[#This Row],[Afhængig variabel ID]]&lt;&gt;LineærRegression_Valg[[#This Row],[Uafhængig variabel ID]]</f>
        <v>1</v>
      </c>
      <c r="E1438" t="b">
        <f>LineærRegression_Valg[[#This Row],[Afhængig variabel ID]]&lt;=$B$5</f>
        <v>0</v>
      </c>
      <c r="F1438" t="str" cm="1">
        <f t="array" ref="F1438">IF(LineærRegression_Valg[[#This Row],[Indenfor range]],INDEX(DataTitel_liste,LineærRegression_Valg[[#This Row],[Afhængig variabel ID]]),INDEX(DataTitel_liste,1))</f>
        <v>Eksempel 1 (interval)</v>
      </c>
      <c r="G1438" s="188" t="str" cm="1">
        <f t="array" ref="G1438">IF(LineærRegression_Valg[[#This Row],[Indenfor range]],IF(LineærRegression_Valg[[#This Row],[Intet overlap]],INDEX(DataTitel_liste,LineærRegression_Valg[[#This Row],[Uafhængig variabel ID]]),INDEX(DataTitel_liste,IF(LineærRegression_Valg[[#This Row],[Afhængig variabel ID]]=1,2,1))),$B$7)</f>
        <v>Eksempel 2 (interval)</v>
      </c>
      <c r="H1438" s="188">
        <f>_xlfn.AGGREGATE(2,5,LineærRegression_Valg[[#This Row],[Tabel ID]])</f>
        <v>1</v>
      </c>
    </row>
    <row r="1439" spans="1:8" x14ac:dyDescent="0.2">
      <c r="A1439">
        <f>ROW(LineærRegression_Valg[[#This Row],[Tabel ID]])-ROW(LineærRegression_Valg[[#Headers],[Tabel ID]])</f>
        <v>1429</v>
      </c>
      <c r="B1439" s="188">
        <f>ROUNDDOWN((LineærRegression_Valg[[#This Row],[Tabel ID]]-1)/$B$5,0)+1</f>
        <v>358</v>
      </c>
      <c r="C1439" s="188">
        <f t="shared" si="22"/>
        <v>1</v>
      </c>
      <c r="D1439" s="188" t="b">
        <f>LineærRegression_Valg[[#This Row],[Afhængig variabel ID]]&lt;&gt;LineærRegression_Valg[[#This Row],[Uafhængig variabel ID]]</f>
        <v>1</v>
      </c>
      <c r="E1439" t="b">
        <f>LineærRegression_Valg[[#This Row],[Afhængig variabel ID]]&lt;=$B$5</f>
        <v>0</v>
      </c>
      <c r="F1439" t="str" cm="1">
        <f t="array" ref="F1439">IF(LineærRegression_Valg[[#This Row],[Indenfor range]],INDEX(DataTitel_liste,LineærRegression_Valg[[#This Row],[Afhængig variabel ID]]),INDEX(DataTitel_liste,1))</f>
        <v>Eksempel 1 (interval)</v>
      </c>
      <c r="G1439" s="188" t="str" cm="1">
        <f t="array" ref="G1439">IF(LineærRegression_Valg[[#This Row],[Indenfor range]],IF(LineærRegression_Valg[[#This Row],[Intet overlap]],INDEX(DataTitel_liste,LineærRegression_Valg[[#This Row],[Uafhængig variabel ID]]),INDEX(DataTitel_liste,IF(LineærRegression_Valg[[#This Row],[Afhængig variabel ID]]=1,2,1))),$B$7)</f>
        <v>Eksempel 2 (interval)</v>
      </c>
      <c r="H1439" s="188">
        <f>_xlfn.AGGREGATE(2,5,LineærRegression_Valg[[#This Row],[Tabel ID]])</f>
        <v>1</v>
      </c>
    </row>
    <row r="1440" spans="1:8" x14ac:dyDescent="0.2">
      <c r="A1440">
        <f>ROW(LineærRegression_Valg[[#This Row],[Tabel ID]])-ROW(LineærRegression_Valg[[#Headers],[Tabel ID]])</f>
        <v>1430</v>
      </c>
      <c r="B1440" s="188">
        <f>ROUNDDOWN((LineærRegression_Valg[[#This Row],[Tabel ID]]-1)/$B$5,0)+1</f>
        <v>358</v>
      </c>
      <c r="C1440" s="188">
        <f t="shared" si="22"/>
        <v>2</v>
      </c>
      <c r="D1440" s="188" t="b">
        <f>LineærRegression_Valg[[#This Row],[Afhængig variabel ID]]&lt;&gt;LineærRegression_Valg[[#This Row],[Uafhængig variabel ID]]</f>
        <v>1</v>
      </c>
      <c r="E1440" t="b">
        <f>LineærRegression_Valg[[#This Row],[Afhængig variabel ID]]&lt;=$B$5</f>
        <v>0</v>
      </c>
      <c r="F1440" t="str" cm="1">
        <f t="array" ref="F1440">IF(LineærRegression_Valg[[#This Row],[Indenfor range]],INDEX(DataTitel_liste,LineærRegression_Valg[[#This Row],[Afhængig variabel ID]]),INDEX(DataTitel_liste,1))</f>
        <v>Eksempel 1 (interval)</v>
      </c>
      <c r="G1440" s="188" t="str" cm="1">
        <f t="array" ref="G1440">IF(LineærRegression_Valg[[#This Row],[Indenfor range]],IF(LineærRegression_Valg[[#This Row],[Intet overlap]],INDEX(DataTitel_liste,LineærRegression_Valg[[#This Row],[Uafhængig variabel ID]]),INDEX(DataTitel_liste,IF(LineærRegression_Valg[[#This Row],[Afhængig variabel ID]]=1,2,1))),$B$7)</f>
        <v>Eksempel 2 (interval)</v>
      </c>
      <c r="H1440" s="188">
        <f>_xlfn.AGGREGATE(2,5,LineærRegression_Valg[[#This Row],[Tabel ID]])</f>
        <v>1</v>
      </c>
    </row>
    <row r="1441" spans="1:8" x14ac:dyDescent="0.2">
      <c r="A1441">
        <f>ROW(LineærRegression_Valg[[#This Row],[Tabel ID]])-ROW(LineærRegression_Valg[[#Headers],[Tabel ID]])</f>
        <v>1431</v>
      </c>
      <c r="B1441" s="188">
        <f>ROUNDDOWN((LineærRegression_Valg[[#This Row],[Tabel ID]]-1)/$B$5,0)+1</f>
        <v>358</v>
      </c>
      <c r="C1441" s="188">
        <f t="shared" si="22"/>
        <v>3</v>
      </c>
      <c r="D1441" s="188" t="b">
        <f>LineærRegression_Valg[[#This Row],[Afhængig variabel ID]]&lt;&gt;LineærRegression_Valg[[#This Row],[Uafhængig variabel ID]]</f>
        <v>1</v>
      </c>
      <c r="E1441" t="b">
        <f>LineærRegression_Valg[[#This Row],[Afhængig variabel ID]]&lt;=$B$5</f>
        <v>0</v>
      </c>
      <c r="F1441" t="str" cm="1">
        <f t="array" ref="F1441">IF(LineærRegression_Valg[[#This Row],[Indenfor range]],INDEX(DataTitel_liste,LineærRegression_Valg[[#This Row],[Afhængig variabel ID]]),INDEX(DataTitel_liste,1))</f>
        <v>Eksempel 1 (interval)</v>
      </c>
      <c r="G1441" s="188" t="str" cm="1">
        <f t="array" ref="G1441">IF(LineærRegression_Valg[[#This Row],[Indenfor range]],IF(LineærRegression_Valg[[#This Row],[Intet overlap]],INDEX(DataTitel_liste,LineærRegression_Valg[[#This Row],[Uafhængig variabel ID]]),INDEX(DataTitel_liste,IF(LineærRegression_Valg[[#This Row],[Afhængig variabel ID]]=1,2,1))),$B$7)</f>
        <v>Eksempel 2 (interval)</v>
      </c>
      <c r="H1441" s="188">
        <f>_xlfn.AGGREGATE(2,5,LineærRegression_Valg[[#This Row],[Tabel ID]])</f>
        <v>1</v>
      </c>
    </row>
    <row r="1442" spans="1:8" x14ac:dyDescent="0.2">
      <c r="A1442">
        <f>ROW(LineærRegression_Valg[[#This Row],[Tabel ID]])-ROW(LineærRegression_Valg[[#Headers],[Tabel ID]])</f>
        <v>1432</v>
      </c>
      <c r="B1442" s="188">
        <f>ROUNDDOWN((LineærRegression_Valg[[#This Row],[Tabel ID]]-1)/$B$5,0)+1</f>
        <v>358</v>
      </c>
      <c r="C1442" s="188">
        <f t="shared" si="22"/>
        <v>4</v>
      </c>
      <c r="D1442" s="188" t="b">
        <f>LineærRegression_Valg[[#This Row],[Afhængig variabel ID]]&lt;&gt;LineærRegression_Valg[[#This Row],[Uafhængig variabel ID]]</f>
        <v>1</v>
      </c>
      <c r="E1442" t="b">
        <f>LineærRegression_Valg[[#This Row],[Afhængig variabel ID]]&lt;=$B$5</f>
        <v>0</v>
      </c>
      <c r="F1442" t="str" cm="1">
        <f t="array" ref="F1442">IF(LineærRegression_Valg[[#This Row],[Indenfor range]],INDEX(DataTitel_liste,LineærRegression_Valg[[#This Row],[Afhængig variabel ID]]),INDEX(DataTitel_liste,1))</f>
        <v>Eksempel 1 (interval)</v>
      </c>
      <c r="G1442" s="188" t="str" cm="1">
        <f t="array" ref="G1442">IF(LineærRegression_Valg[[#This Row],[Indenfor range]],IF(LineærRegression_Valg[[#This Row],[Intet overlap]],INDEX(DataTitel_liste,LineærRegression_Valg[[#This Row],[Uafhængig variabel ID]]),INDEX(DataTitel_liste,IF(LineærRegression_Valg[[#This Row],[Afhængig variabel ID]]=1,2,1))),$B$7)</f>
        <v>Eksempel 2 (interval)</v>
      </c>
      <c r="H1442" s="188">
        <f>_xlfn.AGGREGATE(2,5,LineærRegression_Valg[[#This Row],[Tabel ID]])</f>
        <v>1</v>
      </c>
    </row>
    <row r="1443" spans="1:8" x14ac:dyDescent="0.2">
      <c r="A1443">
        <f>ROW(LineærRegression_Valg[[#This Row],[Tabel ID]])-ROW(LineærRegression_Valg[[#Headers],[Tabel ID]])</f>
        <v>1433</v>
      </c>
      <c r="B1443" s="188">
        <f>ROUNDDOWN((LineærRegression_Valg[[#This Row],[Tabel ID]]-1)/$B$5,0)+1</f>
        <v>359</v>
      </c>
      <c r="C1443" s="188">
        <f t="shared" si="22"/>
        <v>1</v>
      </c>
      <c r="D1443" s="188" t="b">
        <f>LineærRegression_Valg[[#This Row],[Afhængig variabel ID]]&lt;&gt;LineærRegression_Valg[[#This Row],[Uafhængig variabel ID]]</f>
        <v>1</v>
      </c>
      <c r="E1443" t="b">
        <f>LineærRegression_Valg[[#This Row],[Afhængig variabel ID]]&lt;=$B$5</f>
        <v>0</v>
      </c>
      <c r="F1443" t="str" cm="1">
        <f t="array" ref="F1443">IF(LineærRegression_Valg[[#This Row],[Indenfor range]],INDEX(DataTitel_liste,LineærRegression_Valg[[#This Row],[Afhængig variabel ID]]),INDEX(DataTitel_liste,1))</f>
        <v>Eksempel 1 (interval)</v>
      </c>
      <c r="G1443" s="188" t="str" cm="1">
        <f t="array" ref="G1443">IF(LineærRegression_Valg[[#This Row],[Indenfor range]],IF(LineærRegression_Valg[[#This Row],[Intet overlap]],INDEX(DataTitel_liste,LineærRegression_Valg[[#This Row],[Uafhængig variabel ID]]),INDEX(DataTitel_liste,IF(LineærRegression_Valg[[#This Row],[Afhængig variabel ID]]=1,2,1))),$B$7)</f>
        <v>Eksempel 2 (interval)</v>
      </c>
      <c r="H1443" s="188">
        <f>_xlfn.AGGREGATE(2,5,LineærRegression_Valg[[#This Row],[Tabel ID]])</f>
        <v>1</v>
      </c>
    </row>
    <row r="1444" spans="1:8" x14ac:dyDescent="0.2">
      <c r="A1444">
        <f>ROW(LineærRegression_Valg[[#This Row],[Tabel ID]])-ROW(LineærRegression_Valg[[#Headers],[Tabel ID]])</f>
        <v>1434</v>
      </c>
      <c r="B1444" s="188">
        <f>ROUNDDOWN((LineærRegression_Valg[[#This Row],[Tabel ID]]-1)/$B$5,0)+1</f>
        <v>359</v>
      </c>
      <c r="C1444" s="188">
        <f t="shared" si="22"/>
        <v>2</v>
      </c>
      <c r="D1444" s="188" t="b">
        <f>LineærRegression_Valg[[#This Row],[Afhængig variabel ID]]&lt;&gt;LineærRegression_Valg[[#This Row],[Uafhængig variabel ID]]</f>
        <v>1</v>
      </c>
      <c r="E1444" t="b">
        <f>LineærRegression_Valg[[#This Row],[Afhængig variabel ID]]&lt;=$B$5</f>
        <v>0</v>
      </c>
      <c r="F1444" t="str" cm="1">
        <f t="array" ref="F1444">IF(LineærRegression_Valg[[#This Row],[Indenfor range]],INDEX(DataTitel_liste,LineærRegression_Valg[[#This Row],[Afhængig variabel ID]]),INDEX(DataTitel_liste,1))</f>
        <v>Eksempel 1 (interval)</v>
      </c>
      <c r="G1444" s="188" t="str" cm="1">
        <f t="array" ref="G1444">IF(LineærRegression_Valg[[#This Row],[Indenfor range]],IF(LineærRegression_Valg[[#This Row],[Intet overlap]],INDEX(DataTitel_liste,LineærRegression_Valg[[#This Row],[Uafhængig variabel ID]]),INDEX(DataTitel_liste,IF(LineærRegression_Valg[[#This Row],[Afhængig variabel ID]]=1,2,1))),$B$7)</f>
        <v>Eksempel 2 (interval)</v>
      </c>
      <c r="H1444" s="188">
        <f>_xlfn.AGGREGATE(2,5,LineærRegression_Valg[[#This Row],[Tabel ID]])</f>
        <v>1</v>
      </c>
    </row>
    <row r="1445" spans="1:8" x14ac:dyDescent="0.2">
      <c r="A1445">
        <f>ROW(LineærRegression_Valg[[#This Row],[Tabel ID]])-ROW(LineærRegression_Valg[[#Headers],[Tabel ID]])</f>
        <v>1435</v>
      </c>
      <c r="B1445" s="188">
        <f>ROUNDDOWN((LineærRegression_Valg[[#This Row],[Tabel ID]]-1)/$B$5,0)+1</f>
        <v>359</v>
      </c>
      <c r="C1445" s="188">
        <f t="shared" si="22"/>
        <v>3</v>
      </c>
      <c r="D1445" s="188" t="b">
        <f>LineærRegression_Valg[[#This Row],[Afhængig variabel ID]]&lt;&gt;LineærRegression_Valg[[#This Row],[Uafhængig variabel ID]]</f>
        <v>1</v>
      </c>
      <c r="E1445" t="b">
        <f>LineærRegression_Valg[[#This Row],[Afhængig variabel ID]]&lt;=$B$5</f>
        <v>0</v>
      </c>
      <c r="F1445" t="str" cm="1">
        <f t="array" ref="F1445">IF(LineærRegression_Valg[[#This Row],[Indenfor range]],INDEX(DataTitel_liste,LineærRegression_Valg[[#This Row],[Afhængig variabel ID]]),INDEX(DataTitel_liste,1))</f>
        <v>Eksempel 1 (interval)</v>
      </c>
      <c r="G1445" s="188" t="str" cm="1">
        <f t="array" ref="G1445">IF(LineærRegression_Valg[[#This Row],[Indenfor range]],IF(LineærRegression_Valg[[#This Row],[Intet overlap]],INDEX(DataTitel_liste,LineærRegression_Valg[[#This Row],[Uafhængig variabel ID]]),INDEX(DataTitel_liste,IF(LineærRegression_Valg[[#This Row],[Afhængig variabel ID]]=1,2,1))),$B$7)</f>
        <v>Eksempel 2 (interval)</v>
      </c>
      <c r="H1445" s="188">
        <f>_xlfn.AGGREGATE(2,5,LineærRegression_Valg[[#This Row],[Tabel ID]])</f>
        <v>1</v>
      </c>
    </row>
    <row r="1446" spans="1:8" x14ac:dyDescent="0.2">
      <c r="A1446">
        <f>ROW(LineærRegression_Valg[[#This Row],[Tabel ID]])-ROW(LineærRegression_Valg[[#Headers],[Tabel ID]])</f>
        <v>1436</v>
      </c>
      <c r="B1446" s="188">
        <f>ROUNDDOWN((LineærRegression_Valg[[#This Row],[Tabel ID]]-1)/$B$5,0)+1</f>
        <v>359</v>
      </c>
      <c r="C1446" s="188">
        <f t="shared" si="22"/>
        <v>4</v>
      </c>
      <c r="D1446" s="188" t="b">
        <f>LineærRegression_Valg[[#This Row],[Afhængig variabel ID]]&lt;&gt;LineærRegression_Valg[[#This Row],[Uafhængig variabel ID]]</f>
        <v>1</v>
      </c>
      <c r="E1446" s="188" t="b">
        <f>LineærRegression_Valg[[#This Row],[Afhængig variabel ID]]&lt;=$B$5</f>
        <v>0</v>
      </c>
      <c r="F1446" t="str" cm="1">
        <f t="array" ref="F1446">IF(LineærRegression_Valg[[#This Row],[Indenfor range]],INDEX(DataTitel_liste,LineærRegression_Valg[[#This Row],[Afhængig variabel ID]]),INDEX(DataTitel_liste,1))</f>
        <v>Eksempel 1 (interval)</v>
      </c>
      <c r="G1446" s="188" t="str" cm="1">
        <f t="array" ref="G1446">IF(LineærRegression_Valg[[#This Row],[Indenfor range]],IF(LineærRegression_Valg[[#This Row],[Intet overlap]],INDEX(DataTitel_liste,LineærRegression_Valg[[#This Row],[Uafhængig variabel ID]]),INDEX(DataTitel_liste,IF(LineærRegression_Valg[[#This Row],[Afhængig variabel ID]]=1,2,1))),$B$7)</f>
        <v>Eksempel 2 (interval)</v>
      </c>
      <c r="H1446" s="188">
        <f>_xlfn.AGGREGATE(2,5,LineærRegression_Valg[[#This Row],[Tabel ID]])</f>
        <v>1</v>
      </c>
    </row>
    <row r="1447" spans="1:8" x14ac:dyDescent="0.2">
      <c r="A1447">
        <f>ROW(LineærRegression_Valg[[#This Row],[Tabel ID]])-ROW(LineærRegression_Valg[[#Headers],[Tabel ID]])</f>
        <v>1437</v>
      </c>
      <c r="B1447" s="188">
        <f>ROUNDDOWN((LineærRegression_Valg[[#This Row],[Tabel ID]]-1)/$B$5,0)+1</f>
        <v>360</v>
      </c>
      <c r="C1447" s="188">
        <f t="shared" si="22"/>
        <v>1</v>
      </c>
      <c r="D1447" s="188" t="b">
        <f>LineærRegression_Valg[[#This Row],[Afhængig variabel ID]]&lt;&gt;LineærRegression_Valg[[#This Row],[Uafhængig variabel ID]]</f>
        <v>1</v>
      </c>
      <c r="E1447" s="188" t="b">
        <f>LineærRegression_Valg[[#This Row],[Afhængig variabel ID]]&lt;=$B$5</f>
        <v>0</v>
      </c>
      <c r="F1447" t="str" cm="1">
        <f t="array" ref="F1447">IF(LineærRegression_Valg[[#This Row],[Indenfor range]],INDEX(DataTitel_liste,LineærRegression_Valg[[#This Row],[Afhængig variabel ID]]),INDEX(DataTitel_liste,1))</f>
        <v>Eksempel 1 (interval)</v>
      </c>
      <c r="G1447" s="188" t="str" cm="1">
        <f t="array" ref="G1447">IF(LineærRegression_Valg[[#This Row],[Indenfor range]],IF(LineærRegression_Valg[[#This Row],[Intet overlap]],INDEX(DataTitel_liste,LineærRegression_Valg[[#This Row],[Uafhængig variabel ID]]),INDEX(DataTitel_liste,IF(LineærRegression_Valg[[#This Row],[Afhængig variabel ID]]=1,2,1))),$B$7)</f>
        <v>Eksempel 2 (interval)</v>
      </c>
      <c r="H1447" s="188">
        <f>_xlfn.AGGREGATE(2,5,LineærRegression_Valg[[#This Row],[Tabel ID]])</f>
        <v>1</v>
      </c>
    </row>
    <row r="1448" spans="1:8" x14ac:dyDescent="0.2">
      <c r="A1448">
        <f>ROW(LineærRegression_Valg[[#This Row],[Tabel ID]])-ROW(LineærRegression_Valg[[#Headers],[Tabel ID]])</f>
        <v>1438</v>
      </c>
      <c r="B1448" s="188">
        <f>ROUNDDOWN((LineærRegression_Valg[[#This Row],[Tabel ID]]-1)/$B$5,0)+1</f>
        <v>360</v>
      </c>
      <c r="C1448" s="188">
        <f t="shared" si="22"/>
        <v>2</v>
      </c>
      <c r="D1448" s="188" t="b">
        <f>LineærRegression_Valg[[#This Row],[Afhængig variabel ID]]&lt;&gt;LineærRegression_Valg[[#This Row],[Uafhængig variabel ID]]</f>
        <v>1</v>
      </c>
      <c r="E1448" s="188" t="b">
        <f>LineærRegression_Valg[[#This Row],[Afhængig variabel ID]]&lt;=$B$5</f>
        <v>0</v>
      </c>
      <c r="F1448" t="str" cm="1">
        <f t="array" ref="F1448">IF(LineærRegression_Valg[[#This Row],[Indenfor range]],INDEX(DataTitel_liste,LineærRegression_Valg[[#This Row],[Afhængig variabel ID]]),INDEX(DataTitel_liste,1))</f>
        <v>Eksempel 1 (interval)</v>
      </c>
      <c r="G1448" s="188" t="str" cm="1">
        <f t="array" ref="G1448">IF(LineærRegression_Valg[[#This Row],[Indenfor range]],IF(LineærRegression_Valg[[#This Row],[Intet overlap]],INDEX(DataTitel_liste,LineærRegression_Valg[[#This Row],[Uafhængig variabel ID]]),INDEX(DataTitel_liste,IF(LineærRegression_Valg[[#This Row],[Afhængig variabel ID]]=1,2,1))),$B$7)</f>
        <v>Eksempel 2 (interval)</v>
      </c>
      <c r="H1448" s="188">
        <f>_xlfn.AGGREGATE(2,5,LineærRegression_Valg[[#This Row],[Tabel ID]])</f>
        <v>1</v>
      </c>
    </row>
    <row r="1449" spans="1:8" x14ac:dyDescent="0.2">
      <c r="A1449">
        <f>ROW(LineærRegression_Valg[[#This Row],[Tabel ID]])-ROW(LineærRegression_Valg[[#Headers],[Tabel ID]])</f>
        <v>1439</v>
      </c>
      <c r="B1449" s="188">
        <f>ROUNDDOWN((LineærRegression_Valg[[#This Row],[Tabel ID]]-1)/$B$5,0)+1</f>
        <v>360</v>
      </c>
      <c r="C1449" s="188">
        <f t="shared" si="22"/>
        <v>3</v>
      </c>
      <c r="D1449" s="188" t="b">
        <f>LineærRegression_Valg[[#This Row],[Afhængig variabel ID]]&lt;&gt;LineærRegression_Valg[[#This Row],[Uafhængig variabel ID]]</f>
        <v>1</v>
      </c>
      <c r="E1449" s="188" t="b">
        <f>LineærRegression_Valg[[#This Row],[Afhængig variabel ID]]&lt;=$B$5</f>
        <v>0</v>
      </c>
      <c r="F1449" t="str" cm="1">
        <f t="array" ref="F1449">IF(LineærRegression_Valg[[#This Row],[Indenfor range]],INDEX(DataTitel_liste,LineærRegression_Valg[[#This Row],[Afhængig variabel ID]]),INDEX(DataTitel_liste,1))</f>
        <v>Eksempel 1 (interval)</v>
      </c>
      <c r="G1449" s="188" t="str" cm="1">
        <f t="array" ref="G1449">IF(LineærRegression_Valg[[#This Row],[Indenfor range]],IF(LineærRegression_Valg[[#This Row],[Intet overlap]],INDEX(DataTitel_liste,LineærRegression_Valg[[#This Row],[Uafhængig variabel ID]]),INDEX(DataTitel_liste,IF(LineærRegression_Valg[[#This Row],[Afhængig variabel ID]]=1,2,1))),$B$7)</f>
        <v>Eksempel 2 (interval)</v>
      </c>
      <c r="H1449" s="188">
        <f>_xlfn.AGGREGATE(2,5,LineærRegression_Valg[[#This Row],[Tabel ID]])</f>
        <v>1</v>
      </c>
    </row>
    <row r="1450" spans="1:8" x14ac:dyDescent="0.2">
      <c r="A1450">
        <f>ROW(LineærRegression_Valg[[#This Row],[Tabel ID]])-ROW(LineærRegression_Valg[[#Headers],[Tabel ID]])</f>
        <v>1440</v>
      </c>
      <c r="B1450" s="188">
        <f>ROUNDDOWN((LineærRegression_Valg[[#This Row],[Tabel ID]]-1)/$B$5,0)+1</f>
        <v>360</v>
      </c>
      <c r="C1450" s="188">
        <f t="shared" si="22"/>
        <v>4</v>
      </c>
      <c r="D1450" s="188" t="b">
        <f>LineærRegression_Valg[[#This Row],[Afhængig variabel ID]]&lt;&gt;LineærRegression_Valg[[#This Row],[Uafhængig variabel ID]]</f>
        <v>1</v>
      </c>
      <c r="E1450" s="188" t="b">
        <f>LineærRegression_Valg[[#This Row],[Afhængig variabel ID]]&lt;=$B$5</f>
        <v>0</v>
      </c>
      <c r="F1450" t="str" cm="1">
        <f t="array" ref="F1450">IF(LineærRegression_Valg[[#This Row],[Indenfor range]],INDEX(DataTitel_liste,LineærRegression_Valg[[#This Row],[Afhængig variabel ID]]),INDEX(DataTitel_liste,1))</f>
        <v>Eksempel 1 (interval)</v>
      </c>
      <c r="G1450" s="188" t="str" cm="1">
        <f t="array" ref="G1450">IF(LineærRegression_Valg[[#This Row],[Indenfor range]],IF(LineærRegression_Valg[[#This Row],[Intet overlap]],INDEX(DataTitel_liste,LineærRegression_Valg[[#This Row],[Uafhængig variabel ID]]),INDEX(DataTitel_liste,IF(LineærRegression_Valg[[#This Row],[Afhængig variabel ID]]=1,2,1))),$B$7)</f>
        <v>Eksempel 2 (interval)</v>
      </c>
      <c r="H1450" s="188">
        <f>_xlfn.AGGREGATE(2,5,LineærRegression_Valg[[#This Row],[Tabel ID]])</f>
        <v>1</v>
      </c>
    </row>
    <row r="1451" spans="1:8" x14ac:dyDescent="0.2">
      <c r="A1451">
        <f>ROW(LineærRegression_Valg[[#This Row],[Tabel ID]])-ROW(LineærRegression_Valg[[#Headers],[Tabel ID]])</f>
        <v>1441</v>
      </c>
      <c r="B1451" s="188">
        <f>ROUNDDOWN((LineærRegression_Valg[[#This Row],[Tabel ID]]-1)/$B$5,0)+1</f>
        <v>361</v>
      </c>
      <c r="C1451" s="188">
        <f t="shared" si="22"/>
        <v>1</v>
      </c>
      <c r="D1451" s="188" t="b">
        <f>LineærRegression_Valg[[#This Row],[Afhængig variabel ID]]&lt;&gt;LineærRegression_Valg[[#This Row],[Uafhængig variabel ID]]</f>
        <v>1</v>
      </c>
      <c r="E1451" s="188" t="b">
        <f>LineærRegression_Valg[[#This Row],[Afhængig variabel ID]]&lt;=$B$5</f>
        <v>0</v>
      </c>
      <c r="F1451" t="str" cm="1">
        <f t="array" ref="F1451">IF(LineærRegression_Valg[[#This Row],[Indenfor range]],INDEX(DataTitel_liste,LineærRegression_Valg[[#This Row],[Afhængig variabel ID]]),INDEX(DataTitel_liste,1))</f>
        <v>Eksempel 1 (interval)</v>
      </c>
      <c r="G1451" s="188" t="str" cm="1">
        <f t="array" ref="G1451">IF(LineærRegression_Valg[[#This Row],[Indenfor range]],IF(LineærRegression_Valg[[#This Row],[Intet overlap]],INDEX(DataTitel_liste,LineærRegression_Valg[[#This Row],[Uafhængig variabel ID]]),INDEX(DataTitel_liste,IF(LineærRegression_Valg[[#This Row],[Afhængig variabel ID]]=1,2,1))),$B$7)</f>
        <v>Eksempel 2 (interval)</v>
      </c>
      <c r="H1451" s="188">
        <f>_xlfn.AGGREGATE(2,5,LineærRegression_Valg[[#This Row],[Tabel ID]])</f>
        <v>1</v>
      </c>
    </row>
    <row r="1452" spans="1:8" x14ac:dyDescent="0.2">
      <c r="A1452">
        <f>ROW(LineærRegression_Valg[[#This Row],[Tabel ID]])-ROW(LineærRegression_Valg[[#Headers],[Tabel ID]])</f>
        <v>1442</v>
      </c>
      <c r="B1452" s="188">
        <f>ROUNDDOWN((LineærRegression_Valg[[#This Row],[Tabel ID]]-1)/$B$5,0)+1</f>
        <v>361</v>
      </c>
      <c r="C1452" s="188">
        <f t="shared" si="22"/>
        <v>2</v>
      </c>
      <c r="D1452" s="188" t="b">
        <f>LineærRegression_Valg[[#This Row],[Afhængig variabel ID]]&lt;&gt;LineærRegression_Valg[[#This Row],[Uafhængig variabel ID]]</f>
        <v>1</v>
      </c>
      <c r="E1452" s="188" t="b">
        <f>LineærRegression_Valg[[#This Row],[Afhængig variabel ID]]&lt;=$B$5</f>
        <v>0</v>
      </c>
      <c r="F1452" t="str" cm="1">
        <f t="array" ref="F1452">IF(LineærRegression_Valg[[#This Row],[Indenfor range]],INDEX(DataTitel_liste,LineærRegression_Valg[[#This Row],[Afhængig variabel ID]]),INDEX(DataTitel_liste,1))</f>
        <v>Eksempel 1 (interval)</v>
      </c>
      <c r="G1452" s="188" t="str" cm="1">
        <f t="array" ref="G1452">IF(LineærRegression_Valg[[#This Row],[Indenfor range]],IF(LineærRegression_Valg[[#This Row],[Intet overlap]],INDEX(DataTitel_liste,LineærRegression_Valg[[#This Row],[Uafhængig variabel ID]]),INDEX(DataTitel_liste,IF(LineærRegression_Valg[[#This Row],[Afhængig variabel ID]]=1,2,1))),$B$7)</f>
        <v>Eksempel 2 (interval)</v>
      </c>
      <c r="H1452" s="188">
        <f>_xlfn.AGGREGATE(2,5,LineærRegression_Valg[[#This Row],[Tabel ID]])</f>
        <v>1</v>
      </c>
    </row>
    <row r="1453" spans="1:8" x14ac:dyDescent="0.2">
      <c r="A1453">
        <f>ROW(LineærRegression_Valg[[#This Row],[Tabel ID]])-ROW(LineærRegression_Valg[[#Headers],[Tabel ID]])</f>
        <v>1443</v>
      </c>
      <c r="B1453" s="188">
        <f>ROUNDDOWN((LineærRegression_Valg[[#This Row],[Tabel ID]]-1)/$B$5,0)+1</f>
        <v>361</v>
      </c>
      <c r="C1453" s="188">
        <f t="shared" si="22"/>
        <v>3</v>
      </c>
      <c r="D1453" s="188" t="b">
        <f>LineærRegression_Valg[[#This Row],[Afhængig variabel ID]]&lt;&gt;LineærRegression_Valg[[#This Row],[Uafhængig variabel ID]]</f>
        <v>1</v>
      </c>
      <c r="E1453" s="188" t="b">
        <f>LineærRegression_Valg[[#This Row],[Afhængig variabel ID]]&lt;=$B$5</f>
        <v>0</v>
      </c>
      <c r="F1453" t="str" cm="1">
        <f t="array" ref="F1453">IF(LineærRegression_Valg[[#This Row],[Indenfor range]],INDEX(DataTitel_liste,LineærRegression_Valg[[#This Row],[Afhængig variabel ID]]),INDEX(DataTitel_liste,1))</f>
        <v>Eksempel 1 (interval)</v>
      </c>
      <c r="G1453" s="188" t="str" cm="1">
        <f t="array" ref="G1453">IF(LineærRegression_Valg[[#This Row],[Indenfor range]],IF(LineærRegression_Valg[[#This Row],[Intet overlap]],INDEX(DataTitel_liste,LineærRegression_Valg[[#This Row],[Uafhængig variabel ID]]),INDEX(DataTitel_liste,IF(LineærRegression_Valg[[#This Row],[Afhængig variabel ID]]=1,2,1))),$B$7)</f>
        <v>Eksempel 2 (interval)</v>
      </c>
      <c r="H1453" s="188">
        <f>_xlfn.AGGREGATE(2,5,LineærRegression_Valg[[#This Row],[Tabel ID]])</f>
        <v>1</v>
      </c>
    </row>
    <row r="1454" spans="1:8" x14ac:dyDescent="0.2">
      <c r="A1454">
        <f>ROW(LineærRegression_Valg[[#This Row],[Tabel ID]])-ROW(LineærRegression_Valg[[#Headers],[Tabel ID]])</f>
        <v>1444</v>
      </c>
      <c r="B1454" s="188">
        <f>ROUNDDOWN((LineærRegression_Valg[[#This Row],[Tabel ID]]-1)/$B$5,0)+1</f>
        <v>361</v>
      </c>
      <c r="C1454" s="188">
        <f t="shared" si="22"/>
        <v>4</v>
      </c>
      <c r="D1454" s="188" t="b">
        <f>LineærRegression_Valg[[#This Row],[Afhængig variabel ID]]&lt;&gt;LineærRegression_Valg[[#This Row],[Uafhængig variabel ID]]</f>
        <v>1</v>
      </c>
      <c r="E1454" s="188" t="b">
        <f>LineærRegression_Valg[[#This Row],[Afhængig variabel ID]]&lt;=$B$5</f>
        <v>0</v>
      </c>
      <c r="F1454" t="str" cm="1">
        <f t="array" ref="F1454">IF(LineærRegression_Valg[[#This Row],[Indenfor range]],INDEX(DataTitel_liste,LineærRegression_Valg[[#This Row],[Afhængig variabel ID]]),INDEX(DataTitel_liste,1))</f>
        <v>Eksempel 1 (interval)</v>
      </c>
      <c r="G1454" s="188" t="str" cm="1">
        <f t="array" ref="G1454">IF(LineærRegression_Valg[[#This Row],[Indenfor range]],IF(LineærRegression_Valg[[#This Row],[Intet overlap]],INDEX(DataTitel_liste,LineærRegression_Valg[[#This Row],[Uafhængig variabel ID]]),INDEX(DataTitel_liste,IF(LineærRegression_Valg[[#This Row],[Afhængig variabel ID]]=1,2,1))),$B$7)</f>
        <v>Eksempel 2 (interval)</v>
      </c>
      <c r="H1454" s="188">
        <f>_xlfn.AGGREGATE(2,5,LineærRegression_Valg[[#This Row],[Tabel ID]])</f>
        <v>1</v>
      </c>
    </row>
    <row r="1455" spans="1:8" x14ac:dyDescent="0.2">
      <c r="A1455">
        <f>ROW(LineærRegression_Valg[[#This Row],[Tabel ID]])-ROW(LineærRegression_Valg[[#Headers],[Tabel ID]])</f>
        <v>1445</v>
      </c>
      <c r="B1455" s="188">
        <f>ROUNDDOWN((LineærRegression_Valg[[#This Row],[Tabel ID]]-1)/$B$5,0)+1</f>
        <v>362</v>
      </c>
      <c r="C1455" s="188">
        <f t="shared" si="22"/>
        <v>1</v>
      </c>
      <c r="D1455" s="188" t="b">
        <f>LineærRegression_Valg[[#This Row],[Afhængig variabel ID]]&lt;&gt;LineærRegression_Valg[[#This Row],[Uafhængig variabel ID]]</f>
        <v>1</v>
      </c>
      <c r="E1455" s="188" t="b">
        <f>LineærRegression_Valg[[#This Row],[Afhængig variabel ID]]&lt;=$B$5</f>
        <v>0</v>
      </c>
      <c r="F1455" t="str" cm="1">
        <f t="array" ref="F1455">IF(LineærRegression_Valg[[#This Row],[Indenfor range]],INDEX(DataTitel_liste,LineærRegression_Valg[[#This Row],[Afhængig variabel ID]]),INDEX(DataTitel_liste,1))</f>
        <v>Eksempel 1 (interval)</v>
      </c>
      <c r="G1455" s="188" t="str" cm="1">
        <f t="array" ref="G1455">IF(LineærRegression_Valg[[#This Row],[Indenfor range]],IF(LineærRegression_Valg[[#This Row],[Intet overlap]],INDEX(DataTitel_liste,LineærRegression_Valg[[#This Row],[Uafhængig variabel ID]]),INDEX(DataTitel_liste,IF(LineærRegression_Valg[[#This Row],[Afhængig variabel ID]]=1,2,1))),$B$7)</f>
        <v>Eksempel 2 (interval)</v>
      </c>
      <c r="H1455" s="188">
        <f>_xlfn.AGGREGATE(2,5,LineærRegression_Valg[[#This Row],[Tabel ID]])</f>
        <v>1</v>
      </c>
    </row>
    <row r="1456" spans="1:8" x14ac:dyDescent="0.2">
      <c r="A1456">
        <f>ROW(LineærRegression_Valg[[#This Row],[Tabel ID]])-ROW(LineærRegression_Valg[[#Headers],[Tabel ID]])</f>
        <v>1446</v>
      </c>
      <c r="B1456" s="188">
        <f>ROUNDDOWN((LineærRegression_Valg[[#This Row],[Tabel ID]]-1)/$B$5,0)+1</f>
        <v>362</v>
      </c>
      <c r="C1456" s="188">
        <f t="shared" si="22"/>
        <v>2</v>
      </c>
      <c r="D1456" s="188" t="b">
        <f>LineærRegression_Valg[[#This Row],[Afhængig variabel ID]]&lt;&gt;LineærRegression_Valg[[#This Row],[Uafhængig variabel ID]]</f>
        <v>1</v>
      </c>
      <c r="E1456" s="188" t="b">
        <f>LineærRegression_Valg[[#This Row],[Afhængig variabel ID]]&lt;=$B$5</f>
        <v>0</v>
      </c>
      <c r="F1456" t="str" cm="1">
        <f t="array" ref="F1456">IF(LineærRegression_Valg[[#This Row],[Indenfor range]],INDEX(DataTitel_liste,LineærRegression_Valg[[#This Row],[Afhængig variabel ID]]),INDEX(DataTitel_liste,1))</f>
        <v>Eksempel 1 (interval)</v>
      </c>
      <c r="G1456" s="188" t="str" cm="1">
        <f t="array" ref="G1456">IF(LineærRegression_Valg[[#This Row],[Indenfor range]],IF(LineærRegression_Valg[[#This Row],[Intet overlap]],INDEX(DataTitel_liste,LineærRegression_Valg[[#This Row],[Uafhængig variabel ID]]),INDEX(DataTitel_liste,IF(LineærRegression_Valg[[#This Row],[Afhængig variabel ID]]=1,2,1))),$B$7)</f>
        <v>Eksempel 2 (interval)</v>
      </c>
      <c r="H1456" s="188">
        <f>_xlfn.AGGREGATE(2,5,LineærRegression_Valg[[#This Row],[Tabel ID]])</f>
        <v>1</v>
      </c>
    </row>
    <row r="1457" spans="1:8" x14ac:dyDescent="0.2">
      <c r="A1457">
        <f>ROW(LineærRegression_Valg[[#This Row],[Tabel ID]])-ROW(LineærRegression_Valg[[#Headers],[Tabel ID]])</f>
        <v>1447</v>
      </c>
      <c r="B1457" s="188">
        <f>ROUNDDOWN((LineærRegression_Valg[[#This Row],[Tabel ID]]-1)/$B$5,0)+1</f>
        <v>362</v>
      </c>
      <c r="C1457" s="188">
        <f t="shared" si="22"/>
        <v>3</v>
      </c>
      <c r="D1457" s="188" t="b">
        <f>LineærRegression_Valg[[#This Row],[Afhængig variabel ID]]&lt;&gt;LineærRegression_Valg[[#This Row],[Uafhængig variabel ID]]</f>
        <v>1</v>
      </c>
      <c r="E1457" s="188" t="b">
        <f>LineærRegression_Valg[[#This Row],[Afhængig variabel ID]]&lt;=$B$5</f>
        <v>0</v>
      </c>
      <c r="F1457" t="str" cm="1">
        <f t="array" ref="F1457">IF(LineærRegression_Valg[[#This Row],[Indenfor range]],INDEX(DataTitel_liste,LineærRegression_Valg[[#This Row],[Afhængig variabel ID]]),INDEX(DataTitel_liste,1))</f>
        <v>Eksempel 1 (interval)</v>
      </c>
      <c r="G1457" s="188" t="str" cm="1">
        <f t="array" ref="G1457">IF(LineærRegression_Valg[[#This Row],[Indenfor range]],IF(LineærRegression_Valg[[#This Row],[Intet overlap]],INDEX(DataTitel_liste,LineærRegression_Valg[[#This Row],[Uafhængig variabel ID]]),INDEX(DataTitel_liste,IF(LineærRegression_Valg[[#This Row],[Afhængig variabel ID]]=1,2,1))),$B$7)</f>
        <v>Eksempel 2 (interval)</v>
      </c>
      <c r="H1457" s="188">
        <f>_xlfn.AGGREGATE(2,5,LineærRegression_Valg[[#This Row],[Tabel ID]])</f>
        <v>1</v>
      </c>
    </row>
    <row r="1458" spans="1:8" x14ac:dyDescent="0.2">
      <c r="A1458">
        <f>ROW(LineærRegression_Valg[[#This Row],[Tabel ID]])-ROW(LineærRegression_Valg[[#Headers],[Tabel ID]])</f>
        <v>1448</v>
      </c>
      <c r="B1458" s="188">
        <f>ROUNDDOWN((LineærRegression_Valg[[#This Row],[Tabel ID]]-1)/$B$5,0)+1</f>
        <v>362</v>
      </c>
      <c r="C1458" s="188">
        <f t="shared" si="22"/>
        <v>4</v>
      </c>
      <c r="D1458" s="188" t="b">
        <f>LineærRegression_Valg[[#This Row],[Afhængig variabel ID]]&lt;&gt;LineærRegression_Valg[[#This Row],[Uafhængig variabel ID]]</f>
        <v>1</v>
      </c>
      <c r="E1458" s="188" t="b">
        <f>LineærRegression_Valg[[#This Row],[Afhængig variabel ID]]&lt;=$B$5</f>
        <v>0</v>
      </c>
      <c r="F1458" t="str" cm="1">
        <f t="array" ref="F1458">IF(LineærRegression_Valg[[#This Row],[Indenfor range]],INDEX(DataTitel_liste,LineærRegression_Valg[[#This Row],[Afhængig variabel ID]]),INDEX(DataTitel_liste,1))</f>
        <v>Eksempel 1 (interval)</v>
      </c>
      <c r="G1458" s="188" t="str" cm="1">
        <f t="array" ref="G1458">IF(LineærRegression_Valg[[#This Row],[Indenfor range]],IF(LineærRegression_Valg[[#This Row],[Intet overlap]],INDEX(DataTitel_liste,LineærRegression_Valg[[#This Row],[Uafhængig variabel ID]]),INDEX(DataTitel_liste,IF(LineærRegression_Valg[[#This Row],[Afhængig variabel ID]]=1,2,1))),$B$7)</f>
        <v>Eksempel 2 (interval)</v>
      </c>
      <c r="H1458" s="188">
        <f>_xlfn.AGGREGATE(2,5,LineærRegression_Valg[[#This Row],[Tabel ID]])</f>
        <v>1</v>
      </c>
    </row>
    <row r="1459" spans="1:8" x14ac:dyDescent="0.2">
      <c r="A1459">
        <f>ROW(LineærRegression_Valg[[#This Row],[Tabel ID]])-ROW(LineærRegression_Valg[[#Headers],[Tabel ID]])</f>
        <v>1449</v>
      </c>
      <c r="B1459" s="188">
        <f>ROUNDDOWN((LineærRegression_Valg[[#This Row],[Tabel ID]]-1)/$B$5,0)+1</f>
        <v>363</v>
      </c>
      <c r="C1459" s="188">
        <f t="shared" si="22"/>
        <v>1</v>
      </c>
      <c r="D1459" s="188" t="b">
        <f>LineærRegression_Valg[[#This Row],[Afhængig variabel ID]]&lt;&gt;LineærRegression_Valg[[#This Row],[Uafhængig variabel ID]]</f>
        <v>1</v>
      </c>
      <c r="E1459" s="188" t="b">
        <f>LineærRegression_Valg[[#This Row],[Afhængig variabel ID]]&lt;=$B$5</f>
        <v>0</v>
      </c>
      <c r="F1459" t="str" cm="1">
        <f t="array" ref="F1459">IF(LineærRegression_Valg[[#This Row],[Indenfor range]],INDEX(DataTitel_liste,LineærRegression_Valg[[#This Row],[Afhængig variabel ID]]),INDEX(DataTitel_liste,1))</f>
        <v>Eksempel 1 (interval)</v>
      </c>
      <c r="G1459" s="188" t="str" cm="1">
        <f t="array" ref="G1459">IF(LineærRegression_Valg[[#This Row],[Indenfor range]],IF(LineærRegression_Valg[[#This Row],[Intet overlap]],INDEX(DataTitel_liste,LineærRegression_Valg[[#This Row],[Uafhængig variabel ID]]),INDEX(DataTitel_liste,IF(LineærRegression_Valg[[#This Row],[Afhængig variabel ID]]=1,2,1))),$B$7)</f>
        <v>Eksempel 2 (interval)</v>
      </c>
      <c r="H1459" s="188">
        <f>_xlfn.AGGREGATE(2,5,LineærRegression_Valg[[#This Row],[Tabel ID]])</f>
        <v>1</v>
      </c>
    </row>
    <row r="1460" spans="1:8" x14ac:dyDescent="0.2">
      <c r="A1460">
        <f>ROW(LineærRegression_Valg[[#This Row],[Tabel ID]])-ROW(LineærRegression_Valg[[#Headers],[Tabel ID]])</f>
        <v>1450</v>
      </c>
      <c r="B1460" s="188">
        <f>ROUNDDOWN((LineærRegression_Valg[[#This Row],[Tabel ID]]-1)/$B$5,0)+1</f>
        <v>363</v>
      </c>
      <c r="C1460" s="188">
        <f t="shared" si="22"/>
        <v>2</v>
      </c>
      <c r="D1460" s="188" t="b">
        <f>LineærRegression_Valg[[#This Row],[Afhængig variabel ID]]&lt;&gt;LineærRegression_Valg[[#This Row],[Uafhængig variabel ID]]</f>
        <v>1</v>
      </c>
      <c r="E1460" s="188" t="b">
        <f>LineærRegression_Valg[[#This Row],[Afhængig variabel ID]]&lt;=$B$5</f>
        <v>0</v>
      </c>
      <c r="F1460" t="str" cm="1">
        <f t="array" ref="F1460">IF(LineærRegression_Valg[[#This Row],[Indenfor range]],INDEX(DataTitel_liste,LineærRegression_Valg[[#This Row],[Afhængig variabel ID]]),INDEX(DataTitel_liste,1))</f>
        <v>Eksempel 1 (interval)</v>
      </c>
      <c r="G1460" s="188" t="str" cm="1">
        <f t="array" ref="G1460">IF(LineærRegression_Valg[[#This Row],[Indenfor range]],IF(LineærRegression_Valg[[#This Row],[Intet overlap]],INDEX(DataTitel_liste,LineærRegression_Valg[[#This Row],[Uafhængig variabel ID]]),INDEX(DataTitel_liste,IF(LineærRegression_Valg[[#This Row],[Afhængig variabel ID]]=1,2,1))),$B$7)</f>
        <v>Eksempel 2 (interval)</v>
      </c>
      <c r="H1460" s="188">
        <f>_xlfn.AGGREGATE(2,5,LineærRegression_Valg[[#This Row],[Tabel ID]])</f>
        <v>1</v>
      </c>
    </row>
    <row r="1461" spans="1:8" x14ac:dyDescent="0.2">
      <c r="A1461">
        <f>ROW(LineærRegression_Valg[[#This Row],[Tabel ID]])-ROW(LineærRegression_Valg[[#Headers],[Tabel ID]])</f>
        <v>1451</v>
      </c>
      <c r="B1461" s="188">
        <f>ROUNDDOWN((LineærRegression_Valg[[#This Row],[Tabel ID]]-1)/$B$5,0)+1</f>
        <v>363</v>
      </c>
      <c r="C1461" s="188">
        <f t="shared" si="22"/>
        <v>3</v>
      </c>
      <c r="D1461" s="188" t="b">
        <f>LineærRegression_Valg[[#This Row],[Afhængig variabel ID]]&lt;&gt;LineærRegression_Valg[[#This Row],[Uafhængig variabel ID]]</f>
        <v>1</v>
      </c>
      <c r="E1461" s="188" t="b">
        <f>LineærRegression_Valg[[#This Row],[Afhængig variabel ID]]&lt;=$B$5</f>
        <v>0</v>
      </c>
      <c r="F1461" t="str" cm="1">
        <f t="array" ref="F1461">IF(LineærRegression_Valg[[#This Row],[Indenfor range]],INDEX(DataTitel_liste,LineærRegression_Valg[[#This Row],[Afhængig variabel ID]]),INDEX(DataTitel_liste,1))</f>
        <v>Eksempel 1 (interval)</v>
      </c>
      <c r="G1461" s="188" t="str" cm="1">
        <f t="array" ref="G1461">IF(LineærRegression_Valg[[#This Row],[Indenfor range]],IF(LineærRegression_Valg[[#This Row],[Intet overlap]],INDEX(DataTitel_liste,LineærRegression_Valg[[#This Row],[Uafhængig variabel ID]]),INDEX(DataTitel_liste,IF(LineærRegression_Valg[[#This Row],[Afhængig variabel ID]]=1,2,1))),$B$7)</f>
        <v>Eksempel 2 (interval)</v>
      </c>
      <c r="H1461" s="188">
        <f>_xlfn.AGGREGATE(2,5,LineærRegression_Valg[[#This Row],[Tabel ID]])</f>
        <v>1</v>
      </c>
    </row>
    <row r="1462" spans="1:8" x14ac:dyDescent="0.2">
      <c r="A1462">
        <f>ROW(LineærRegression_Valg[[#This Row],[Tabel ID]])-ROW(LineærRegression_Valg[[#Headers],[Tabel ID]])</f>
        <v>1452</v>
      </c>
      <c r="B1462" s="188">
        <f>ROUNDDOWN((LineærRegression_Valg[[#This Row],[Tabel ID]]-1)/$B$5,0)+1</f>
        <v>363</v>
      </c>
      <c r="C1462" s="188">
        <f t="shared" si="22"/>
        <v>4</v>
      </c>
      <c r="D1462" s="188" t="b">
        <f>LineærRegression_Valg[[#This Row],[Afhængig variabel ID]]&lt;&gt;LineærRegression_Valg[[#This Row],[Uafhængig variabel ID]]</f>
        <v>1</v>
      </c>
      <c r="E1462" s="188" t="b">
        <f>LineærRegression_Valg[[#This Row],[Afhængig variabel ID]]&lt;=$B$5</f>
        <v>0</v>
      </c>
      <c r="F1462" t="str" cm="1">
        <f t="array" ref="F1462">IF(LineærRegression_Valg[[#This Row],[Indenfor range]],INDEX(DataTitel_liste,LineærRegression_Valg[[#This Row],[Afhængig variabel ID]]),INDEX(DataTitel_liste,1))</f>
        <v>Eksempel 1 (interval)</v>
      </c>
      <c r="G1462" s="188" t="str" cm="1">
        <f t="array" ref="G1462">IF(LineærRegression_Valg[[#This Row],[Indenfor range]],IF(LineærRegression_Valg[[#This Row],[Intet overlap]],INDEX(DataTitel_liste,LineærRegression_Valg[[#This Row],[Uafhængig variabel ID]]),INDEX(DataTitel_liste,IF(LineærRegression_Valg[[#This Row],[Afhængig variabel ID]]=1,2,1))),$B$7)</f>
        <v>Eksempel 2 (interval)</v>
      </c>
      <c r="H1462" s="188">
        <f>_xlfn.AGGREGATE(2,5,LineærRegression_Valg[[#This Row],[Tabel ID]])</f>
        <v>1</v>
      </c>
    </row>
    <row r="1463" spans="1:8" x14ac:dyDescent="0.2">
      <c r="A1463">
        <f>ROW(LineærRegression_Valg[[#This Row],[Tabel ID]])-ROW(LineærRegression_Valg[[#Headers],[Tabel ID]])</f>
        <v>1453</v>
      </c>
      <c r="B1463" s="188">
        <f>ROUNDDOWN((LineærRegression_Valg[[#This Row],[Tabel ID]]-1)/$B$5,0)+1</f>
        <v>364</v>
      </c>
      <c r="C1463" s="188">
        <f t="shared" si="22"/>
        <v>1</v>
      </c>
      <c r="D1463" s="188" t="b">
        <f>LineærRegression_Valg[[#This Row],[Afhængig variabel ID]]&lt;&gt;LineærRegression_Valg[[#This Row],[Uafhængig variabel ID]]</f>
        <v>1</v>
      </c>
      <c r="E1463" s="188" t="b">
        <f>LineærRegression_Valg[[#This Row],[Afhængig variabel ID]]&lt;=$B$5</f>
        <v>0</v>
      </c>
      <c r="F1463" t="str" cm="1">
        <f t="array" ref="F1463">IF(LineærRegression_Valg[[#This Row],[Indenfor range]],INDEX(DataTitel_liste,LineærRegression_Valg[[#This Row],[Afhængig variabel ID]]),INDEX(DataTitel_liste,1))</f>
        <v>Eksempel 1 (interval)</v>
      </c>
      <c r="G1463" s="188" t="str" cm="1">
        <f t="array" ref="G1463">IF(LineærRegression_Valg[[#This Row],[Indenfor range]],IF(LineærRegression_Valg[[#This Row],[Intet overlap]],INDEX(DataTitel_liste,LineærRegression_Valg[[#This Row],[Uafhængig variabel ID]]),INDEX(DataTitel_liste,IF(LineærRegression_Valg[[#This Row],[Afhængig variabel ID]]=1,2,1))),$B$7)</f>
        <v>Eksempel 2 (interval)</v>
      </c>
      <c r="H1463" s="188">
        <f>_xlfn.AGGREGATE(2,5,LineærRegression_Valg[[#This Row],[Tabel ID]])</f>
        <v>1</v>
      </c>
    </row>
    <row r="1464" spans="1:8" x14ac:dyDescent="0.2">
      <c r="A1464">
        <f>ROW(LineærRegression_Valg[[#This Row],[Tabel ID]])-ROW(LineærRegression_Valg[[#Headers],[Tabel ID]])</f>
        <v>1454</v>
      </c>
      <c r="B1464" s="188">
        <f>ROUNDDOWN((LineærRegression_Valg[[#This Row],[Tabel ID]]-1)/$B$5,0)+1</f>
        <v>364</v>
      </c>
      <c r="C1464" s="188">
        <f t="shared" si="22"/>
        <v>2</v>
      </c>
      <c r="D1464" s="188" t="b">
        <f>LineærRegression_Valg[[#This Row],[Afhængig variabel ID]]&lt;&gt;LineærRegression_Valg[[#This Row],[Uafhængig variabel ID]]</f>
        <v>1</v>
      </c>
      <c r="E1464" s="188" t="b">
        <f>LineærRegression_Valg[[#This Row],[Afhængig variabel ID]]&lt;=$B$5</f>
        <v>0</v>
      </c>
      <c r="F1464" t="str" cm="1">
        <f t="array" ref="F1464">IF(LineærRegression_Valg[[#This Row],[Indenfor range]],INDEX(DataTitel_liste,LineærRegression_Valg[[#This Row],[Afhængig variabel ID]]),INDEX(DataTitel_liste,1))</f>
        <v>Eksempel 1 (interval)</v>
      </c>
      <c r="G1464" s="188" t="str" cm="1">
        <f t="array" ref="G1464">IF(LineærRegression_Valg[[#This Row],[Indenfor range]],IF(LineærRegression_Valg[[#This Row],[Intet overlap]],INDEX(DataTitel_liste,LineærRegression_Valg[[#This Row],[Uafhængig variabel ID]]),INDEX(DataTitel_liste,IF(LineærRegression_Valg[[#This Row],[Afhængig variabel ID]]=1,2,1))),$B$7)</f>
        <v>Eksempel 2 (interval)</v>
      </c>
      <c r="H1464" s="188">
        <f>_xlfn.AGGREGATE(2,5,LineærRegression_Valg[[#This Row],[Tabel ID]])</f>
        <v>1</v>
      </c>
    </row>
    <row r="1465" spans="1:8" x14ac:dyDescent="0.2">
      <c r="A1465">
        <f>ROW(LineærRegression_Valg[[#This Row],[Tabel ID]])-ROW(LineærRegression_Valg[[#Headers],[Tabel ID]])</f>
        <v>1455</v>
      </c>
      <c r="B1465" s="188">
        <f>ROUNDDOWN((LineærRegression_Valg[[#This Row],[Tabel ID]]-1)/$B$5,0)+1</f>
        <v>364</v>
      </c>
      <c r="C1465" s="188">
        <f t="shared" si="22"/>
        <v>3</v>
      </c>
      <c r="D1465" s="188" t="b">
        <f>LineærRegression_Valg[[#This Row],[Afhængig variabel ID]]&lt;&gt;LineærRegression_Valg[[#This Row],[Uafhængig variabel ID]]</f>
        <v>1</v>
      </c>
      <c r="E1465" s="188" t="b">
        <f>LineærRegression_Valg[[#This Row],[Afhængig variabel ID]]&lt;=$B$5</f>
        <v>0</v>
      </c>
      <c r="F1465" t="str" cm="1">
        <f t="array" ref="F1465">IF(LineærRegression_Valg[[#This Row],[Indenfor range]],INDEX(DataTitel_liste,LineærRegression_Valg[[#This Row],[Afhængig variabel ID]]),INDEX(DataTitel_liste,1))</f>
        <v>Eksempel 1 (interval)</v>
      </c>
      <c r="G1465" s="188" t="str" cm="1">
        <f t="array" ref="G1465">IF(LineærRegression_Valg[[#This Row],[Indenfor range]],IF(LineærRegression_Valg[[#This Row],[Intet overlap]],INDEX(DataTitel_liste,LineærRegression_Valg[[#This Row],[Uafhængig variabel ID]]),INDEX(DataTitel_liste,IF(LineærRegression_Valg[[#This Row],[Afhængig variabel ID]]=1,2,1))),$B$7)</f>
        <v>Eksempel 2 (interval)</v>
      </c>
      <c r="H1465" s="188">
        <f>_xlfn.AGGREGATE(2,5,LineærRegression_Valg[[#This Row],[Tabel ID]])</f>
        <v>1</v>
      </c>
    </row>
    <row r="1466" spans="1:8" x14ac:dyDescent="0.2">
      <c r="A1466">
        <f>ROW(LineærRegression_Valg[[#This Row],[Tabel ID]])-ROW(LineærRegression_Valg[[#Headers],[Tabel ID]])</f>
        <v>1456</v>
      </c>
      <c r="B1466" s="188">
        <f>ROUNDDOWN((LineærRegression_Valg[[#This Row],[Tabel ID]]-1)/$B$5,0)+1</f>
        <v>364</v>
      </c>
      <c r="C1466" s="188">
        <f t="shared" si="22"/>
        <v>4</v>
      </c>
      <c r="D1466" s="188" t="b">
        <f>LineærRegression_Valg[[#This Row],[Afhængig variabel ID]]&lt;&gt;LineærRegression_Valg[[#This Row],[Uafhængig variabel ID]]</f>
        <v>1</v>
      </c>
      <c r="E1466" s="188" t="b">
        <f>LineærRegression_Valg[[#This Row],[Afhængig variabel ID]]&lt;=$B$5</f>
        <v>0</v>
      </c>
      <c r="F1466" t="str" cm="1">
        <f t="array" ref="F1466">IF(LineærRegression_Valg[[#This Row],[Indenfor range]],INDEX(DataTitel_liste,LineærRegression_Valg[[#This Row],[Afhængig variabel ID]]),INDEX(DataTitel_liste,1))</f>
        <v>Eksempel 1 (interval)</v>
      </c>
      <c r="G1466" s="188" t="str" cm="1">
        <f t="array" ref="G1466">IF(LineærRegression_Valg[[#This Row],[Indenfor range]],IF(LineærRegression_Valg[[#This Row],[Intet overlap]],INDEX(DataTitel_liste,LineærRegression_Valg[[#This Row],[Uafhængig variabel ID]]),INDEX(DataTitel_liste,IF(LineærRegression_Valg[[#This Row],[Afhængig variabel ID]]=1,2,1))),$B$7)</f>
        <v>Eksempel 2 (interval)</v>
      </c>
      <c r="H1466" s="188">
        <f>_xlfn.AGGREGATE(2,5,LineærRegression_Valg[[#This Row],[Tabel ID]])</f>
        <v>1</v>
      </c>
    </row>
    <row r="1467" spans="1:8" x14ac:dyDescent="0.2">
      <c r="A1467">
        <f>ROW(LineærRegression_Valg[[#This Row],[Tabel ID]])-ROW(LineærRegression_Valg[[#Headers],[Tabel ID]])</f>
        <v>1457</v>
      </c>
      <c r="B1467" s="188">
        <f>ROUNDDOWN((LineærRegression_Valg[[#This Row],[Tabel ID]]-1)/$B$5,0)+1</f>
        <v>365</v>
      </c>
      <c r="C1467" s="188">
        <f t="shared" si="22"/>
        <v>1</v>
      </c>
      <c r="D1467" s="188" t="b">
        <f>LineærRegression_Valg[[#This Row],[Afhængig variabel ID]]&lt;&gt;LineærRegression_Valg[[#This Row],[Uafhængig variabel ID]]</f>
        <v>1</v>
      </c>
      <c r="E1467" s="188" t="b">
        <f>LineærRegression_Valg[[#This Row],[Afhængig variabel ID]]&lt;=$B$5</f>
        <v>0</v>
      </c>
      <c r="F1467" t="str" cm="1">
        <f t="array" ref="F1467">IF(LineærRegression_Valg[[#This Row],[Indenfor range]],INDEX(DataTitel_liste,LineærRegression_Valg[[#This Row],[Afhængig variabel ID]]),INDEX(DataTitel_liste,1))</f>
        <v>Eksempel 1 (interval)</v>
      </c>
      <c r="G1467" s="188" t="str" cm="1">
        <f t="array" ref="G1467">IF(LineærRegression_Valg[[#This Row],[Indenfor range]],IF(LineærRegression_Valg[[#This Row],[Intet overlap]],INDEX(DataTitel_liste,LineærRegression_Valg[[#This Row],[Uafhængig variabel ID]]),INDEX(DataTitel_liste,IF(LineærRegression_Valg[[#This Row],[Afhængig variabel ID]]=1,2,1))),$B$7)</f>
        <v>Eksempel 2 (interval)</v>
      </c>
      <c r="H1467" s="188">
        <f>_xlfn.AGGREGATE(2,5,LineærRegression_Valg[[#This Row],[Tabel ID]])</f>
        <v>1</v>
      </c>
    </row>
    <row r="1468" spans="1:8" x14ac:dyDescent="0.2">
      <c r="A1468">
        <f>ROW(LineærRegression_Valg[[#This Row],[Tabel ID]])-ROW(LineærRegression_Valg[[#Headers],[Tabel ID]])</f>
        <v>1458</v>
      </c>
      <c r="B1468" s="188">
        <f>ROUNDDOWN((LineærRegression_Valg[[#This Row],[Tabel ID]]-1)/$B$5,0)+1</f>
        <v>365</v>
      </c>
      <c r="C1468" s="188">
        <f t="shared" si="22"/>
        <v>2</v>
      </c>
      <c r="D1468" s="188" t="b">
        <f>LineærRegression_Valg[[#This Row],[Afhængig variabel ID]]&lt;&gt;LineærRegression_Valg[[#This Row],[Uafhængig variabel ID]]</f>
        <v>1</v>
      </c>
      <c r="E1468" s="188" t="b">
        <f>LineærRegression_Valg[[#This Row],[Afhængig variabel ID]]&lt;=$B$5</f>
        <v>0</v>
      </c>
      <c r="F1468" t="str" cm="1">
        <f t="array" ref="F1468">IF(LineærRegression_Valg[[#This Row],[Indenfor range]],INDEX(DataTitel_liste,LineærRegression_Valg[[#This Row],[Afhængig variabel ID]]),INDEX(DataTitel_liste,1))</f>
        <v>Eksempel 1 (interval)</v>
      </c>
      <c r="G1468" s="188" t="str" cm="1">
        <f t="array" ref="G1468">IF(LineærRegression_Valg[[#This Row],[Indenfor range]],IF(LineærRegression_Valg[[#This Row],[Intet overlap]],INDEX(DataTitel_liste,LineærRegression_Valg[[#This Row],[Uafhængig variabel ID]]),INDEX(DataTitel_liste,IF(LineærRegression_Valg[[#This Row],[Afhængig variabel ID]]=1,2,1))),$B$7)</f>
        <v>Eksempel 2 (interval)</v>
      </c>
      <c r="H1468" s="188">
        <f>_xlfn.AGGREGATE(2,5,LineærRegression_Valg[[#This Row],[Tabel ID]])</f>
        <v>1</v>
      </c>
    </row>
    <row r="1469" spans="1:8" x14ac:dyDescent="0.2">
      <c r="A1469">
        <f>ROW(LineærRegression_Valg[[#This Row],[Tabel ID]])-ROW(LineærRegression_Valg[[#Headers],[Tabel ID]])</f>
        <v>1459</v>
      </c>
      <c r="B1469" s="188">
        <f>ROUNDDOWN((LineærRegression_Valg[[#This Row],[Tabel ID]]-1)/$B$5,0)+1</f>
        <v>365</v>
      </c>
      <c r="C1469" s="188">
        <f t="shared" si="22"/>
        <v>3</v>
      </c>
      <c r="D1469" s="188" t="b">
        <f>LineærRegression_Valg[[#This Row],[Afhængig variabel ID]]&lt;&gt;LineærRegression_Valg[[#This Row],[Uafhængig variabel ID]]</f>
        <v>1</v>
      </c>
      <c r="E1469" s="188" t="b">
        <f>LineærRegression_Valg[[#This Row],[Afhængig variabel ID]]&lt;=$B$5</f>
        <v>0</v>
      </c>
      <c r="F1469" t="str" cm="1">
        <f t="array" ref="F1469">IF(LineærRegression_Valg[[#This Row],[Indenfor range]],INDEX(DataTitel_liste,LineærRegression_Valg[[#This Row],[Afhængig variabel ID]]),INDEX(DataTitel_liste,1))</f>
        <v>Eksempel 1 (interval)</v>
      </c>
      <c r="G1469" s="188" t="str" cm="1">
        <f t="array" ref="G1469">IF(LineærRegression_Valg[[#This Row],[Indenfor range]],IF(LineærRegression_Valg[[#This Row],[Intet overlap]],INDEX(DataTitel_liste,LineærRegression_Valg[[#This Row],[Uafhængig variabel ID]]),INDEX(DataTitel_liste,IF(LineærRegression_Valg[[#This Row],[Afhængig variabel ID]]=1,2,1))),$B$7)</f>
        <v>Eksempel 2 (interval)</v>
      </c>
      <c r="H1469" s="188">
        <f>_xlfn.AGGREGATE(2,5,LineærRegression_Valg[[#This Row],[Tabel ID]])</f>
        <v>1</v>
      </c>
    </row>
    <row r="1470" spans="1:8" x14ac:dyDescent="0.2">
      <c r="A1470">
        <f>ROW(LineærRegression_Valg[[#This Row],[Tabel ID]])-ROW(LineærRegression_Valg[[#Headers],[Tabel ID]])</f>
        <v>1460</v>
      </c>
      <c r="B1470" s="188">
        <f>ROUNDDOWN((LineærRegression_Valg[[#This Row],[Tabel ID]]-1)/$B$5,0)+1</f>
        <v>365</v>
      </c>
      <c r="C1470" s="188">
        <f t="shared" si="22"/>
        <v>4</v>
      </c>
      <c r="D1470" s="188" t="b">
        <f>LineærRegression_Valg[[#This Row],[Afhængig variabel ID]]&lt;&gt;LineærRegression_Valg[[#This Row],[Uafhængig variabel ID]]</f>
        <v>1</v>
      </c>
      <c r="E1470" s="188" t="b">
        <f>LineærRegression_Valg[[#This Row],[Afhængig variabel ID]]&lt;=$B$5</f>
        <v>0</v>
      </c>
      <c r="F1470" t="str" cm="1">
        <f t="array" ref="F1470">IF(LineærRegression_Valg[[#This Row],[Indenfor range]],INDEX(DataTitel_liste,LineærRegression_Valg[[#This Row],[Afhængig variabel ID]]),INDEX(DataTitel_liste,1))</f>
        <v>Eksempel 1 (interval)</v>
      </c>
      <c r="G1470" s="188" t="str" cm="1">
        <f t="array" ref="G1470">IF(LineærRegression_Valg[[#This Row],[Indenfor range]],IF(LineærRegression_Valg[[#This Row],[Intet overlap]],INDEX(DataTitel_liste,LineærRegression_Valg[[#This Row],[Uafhængig variabel ID]]),INDEX(DataTitel_liste,IF(LineærRegression_Valg[[#This Row],[Afhængig variabel ID]]=1,2,1))),$B$7)</f>
        <v>Eksempel 2 (interval)</v>
      </c>
      <c r="H1470" s="188">
        <f>_xlfn.AGGREGATE(2,5,LineærRegression_Valg[[#This Row],[Tabel ID]])</f>
        <v>1</v>
      </c>
    </row>
    <row r="1471" spans="1:8" x14ac:dyDescent="0.2">
      <c r="A1471">
        <f>ROW(LineærRegression_Valg[[#This Row],[Tabel ID]])-ROW(LineærRegression_Valg[[#Headers],[Tabel ID]])</f>
        <v>1461</v>
      </c>
      <c r="B1471" s="188">
        <f>ROUNDDOWN((LineærRegression_Valg[[#This Row],[Tabel ID]]-1)/$B$5,0)+1</f>
        <v>366</v>
      </c>
      <c r="C1471" s="188">
        <f t="shared" si="22"/>
        <v>1</v>
      </c>
      <c r="D1471" s="188" t="b">
        <f>LineærRegression_Valg[[#This Row],[Afhængig variabel ID]]&lt;&gt;LineærRegression_Valg[[#This Row],[Uafhængig variabel ID]]</f>
        <v>1</v>
      </c>
      <c r="E1471" s="188" t="b">
        <f>LineærRegression_Valg[[#This Row],[Afhængig variabel ID]]&lt;=$B$5</f>
        <v>0</v>
      </c>
      <c r="F1471" t="str" cm="1">
        <f t="array" ref="F1471">IF(LineærRegression_Valg[[#This Row],[Indenfor range]],INDEX(DataTitel_liste,LineærRegression_Valg[[#This Row],[Afhængig variabel ID]]),INDEX(DataTitel_liste,1))</f>
        <v>Eksempel 1 (interval)</v>
      </c>
      <c r="G1471" s="188" t="str" cm="1">
        <f t="array" ref="G1471">IF(LineærRegression_Valg[[#This Row],[Indenfor range]],IF(LineærRegression_Valg[[#This Row],[Intet overlap]],INDEX(DataTitel_liste,LineærRegression_Valg[[#This Row],[Uafhængig variabel ID]]),INDEX(DataTitel_liste,IF(LineærRegression_Valg[[#This Row],[Afhængig variabel ID]]=1,2,1))),$B$7)</f>
        <v>Eksempel 2 (interval)</v>
      </c>
      <c r="H1471" s="188">
        <f>_xlfn.AGGREGATE(2,5,LineærRegression_Valg[[#This Row],[Tabel ID]])</f>
        <v>1</v>
      </c>
    </row>
    <row r="1472" spans="1:8" x14ac:dyDescent="0.2">
      <c r="A1472">
        <f>ROW(LineærRegression_Valg[[#This Row],[Tabel ID]])-ROW(LineærRegression_Valg[[#Headers],[Tabel ID]])</f>
        <v>1462</v>
      </c>
      <c r="B1472" s="188">
        <f>ROUNDDOWN((LineærRegression_Valg[[#This Row],[Tabel ID]]-1)/$B$5,0)+1</f>
        <v>366</v>
      </c>
      <c r="C1472" s="188">
        <f t="shared" si="22"/>
        <v>2</v>
      </c>
      <c r="D1472" s="188" t="b">
        <f>LineærRegression_Valg[[#This Row],[Afhængig variabel ID]]&lt;&gt;LineærRegression_Valg[[#This Row],[Uafhængig variabel ID]]</f>
        <v>1</v>
      </c>
      <c r="E1472" s="188" t="b">
        <f>LineærRegression_Valg[[#This Row],[Afhængig variabel ID]]&lt;=$B$5</f>
        <v>0</v>
      </c>
      <c r="F1472" t="str" cm="1">
        <f t="array" ref="F1472">IF(LineærRegression_Valg[[#This Row],[Indenfor range]],INDEX(DataTitel_liste,LineærRegression_Valg[[#This Row],[Afhængig variabel ID]]),INDEX(DataTitel_liste,1))</f>
        <v>Eksempel 1 (interval)</v>
      </c>
      <c r="G1472" s="188" t="str" cm="1">
        <f t="array" ref="G1472">IF(LineærRegression_Valg[[#This Row],[Indenfor range]],IF(LineærRegression_Valg[[#This Row],[Intet overlap]],INDEX(DataTitel_liste,LineærRegression_Valg[[#This Row],[Uafhængig variabel ID]]),INDEX(DataTitel_liste,IF(LineærRegression_Valg[[#This Row],[Afhængig variabel ID]]=1,2,1))),$B$7)</f>
        <v>Eksempel 2 (interval)</v>
      </c>
      <c r="H1472" s="188">
        <f>_xlfn.AGGREGATE(2,5,LineærRegression_Valg[[#This Row],[Tabel ID]])</f>
        <v>1</v>
      </c>
    </row>
    <row r="1473" spans="1:8" x14ac:dyDescent="0.2">
      <c r="A1473">
        <f>ROW(LineærRegression_Valg[[#This Row],[Tabel ID]])-ROW(LineærRegression_Valg[[#Headers],[Tabel ID]])</f>
        <v>1463</v>
      </c>
      <c r="B1473" s="188">
        <f>ROUNDDOWN((LineærRegression_Valg[[#This Row],[Tabel ID]]-1)/$B$5,0)+1</f>
        <v>366</v>
      </c>
      <c r="C1473" s="188">
        <f t="shared" si="22"/>
        <v>3</v>
      </c>
      <c r="D1473" s="188" t="b">
        <f>LineærRegression_Valg[[#This Row],[Afhængig variabel ID]]&lt;&gt;LineærRegression_Valg[[#This Row],[Uafhængig variabel ID]]</f>
        <v>1</v>
      </c>
      <c r="E1473" s="188" t="b">
        <f>LineærRegression_Valg[[#This Row],[Afhængig variabel ID]]&lt;=$B$5</f>
        <v>0</v>
      </c>
      <c r="F1473" t="str" cm="1">
        <f t="array" ref="F1473">IF(LineærRegression_Valg[[#This Row],[Indenfor range]],INDEX(DataTitel_liste,LineærRegression_Valg[[#This Row],[Afhængig variabel ID]]),INDEX(DataTitel_liste,1))</f>
        <v>Eksempel 1 (interval)</v>
      </c>
      <c r="G1473" s="188" t="str" cm="1">
        <f t="array" ref="G1473">IF(LineærRegression_Valg[[#This Row],[Indenfor range]],IF(LineærRegression_Valg[[#This Row],[Intet overlap]],INDEX(DataTitel_liste,LineærRegression_Valg[[#This Row],[Uafhængig variabel ID]]),INDEX(DataTitel_liste,IF(LineærRegression_Valg[[#This Row],[Afhængig variabel ID]]=1,2,1))),$B$7)</f>
        <v>Eksempel 2 (interval)</v>
      </c>
      <c r="H1473" s="188">
        <f>_xlfn.AGGREGATE(2,5,LineærRegression_Valg[[#This Row],[Tabel ID]])</f>
        <v>1</v>
      </c>
    </row>
    <row r="1474" spans="1:8" x14ac:dyDescent="0.2">
      <c r="A1474">
        <f>ROW(LineærRegression_Valg[[#This Row],[Tabel ID]])-ROW(LineærRegression_Valg[[#Headers],[Tabel ID]])</f>
        <v>1464</v>
      </c>
      <c r="B1474" s="188">
        <f>ROUNDDOWN((LineærRegression_Valg[[#This Row],[Tabel ID]]-1)/$B$5,0)+1</f>
        <v>366</v>
      </c>
      <c r="C1474" s="188">
        <f t="shared" si="22"/>
        <v>4</v>
      </c>
      <c r="D1474" s="188" t="b">
        <f>LineærRegression_Valg[[#This Row],[Afhængig variabel ID]]&lt;&gt;LineærRegression_Valg[[#This Row],[Uafhængig variabel ID]]</f>
        <v>1</v>
      </c>
      <c r="E1474" s="188" t="b">
        <f>LineærRegression_Valg[[#This Row],[Afhængig variabel ID]]&lt;=$B$5</f>
        <v>0</v>
      </c>
      <c r="F1474" t="str" cm="1">
        <f t="array" ref="F1474">IF(LineærRegression_Valg[[#This Row],[Indenfor range]],INDEX(DataTitel_liste,LineærRegression_Valg[[#This Row],[Afhængig variabel ID]]),INDEX(DataTitel_liste,1))</f>
        <v>Eksempel 1 (interval)</v>
      </c>
      <c r="G1474" s="188" t="str" cm="1">
        <f t="array" ref="G1474">IF(LineærRegression_Valg[[#This Row],[Indenfor range]],IF(LineærRegression_Valg[[#This Row],[Intet overlap]],INDEX(DataTitel_liste,LineærRegression_Valg[[#This Row],[Uafhængig variabel ID]]),INDEX(DataTitel_liste,IF(LineærRegression_Valg[[#This Row],[Afhængig variabel ID]]=1,2,1))),$B$7)</f>
        <v>Eksempel 2 (interval)</v>
      </c>
      <c r="H1474" s="188">
        <f>_xlfn.AGGREGATE(2,5,LineærRegression_Valg[[#This Row],[Tabel ID]])</f>
        <v>1</v>
      </c>
    </row>
    <row r="1475" spans="1:8" x14ac:dyDescent="0.2">
      <c r="A1475">
        <f>ROW(LineærRegression_Valg[[#This Row],[Tabel ID]])-ROW(LineærRegression_Valg[[#Headers],[Tabel ID]])</f>
        <v>1465</v>
      </c>
      <c r="B1475" s="188">
        <f>ROUNDDOWN((LineærRegression_Valg[[#This Row],[Tabel ID]]-1)/$B$5,0)+1</f>
        <v>367</v>
      </c>
      <c r="C1475" s="188">
        <f t="shared" si="22"/>
        <v>1</v>
      </c>
      <c r="D1475" s="188" t="b">
        <f>LineærRegression_Valg[[#This Row],[Afhængig variabel ID]]&lt;&gt;LineærRegression_Valg[[#This Row],[Uafhængig variabel ID]]</f>
        <v>1</v>
      </c>
      <c r="E1475" s="188" t="b">
        <f>LineærRegression_Valg[[#This Row],[Afhængig variabel ID]]&lt;=$B$5</f>
        <v>0</v>
      </c>
      <c r="F1475" t="str" cm="1">
        <f t="array" ref="F1475">IF(LineærRegression_Valg[[#This Row],[Indenfor range]],INDEX(DataTitel_liste,LineærRegression_Valg[[#This Row],[Afhængig variabel ID]]),INDEX(DataTitel_liste,1))</f>
        <v>Eksempel 1 (interval)</v>
      </c>
      <c r="G1475" s="188" t="str" cm="1">
        <f t="array" ref="G1475">IF(LineærRegression_Valg[[#This Row],[Indenfor range]],IF(LineærRegression_Valg[[#This Row],[Intet overlap]],INDEX(DataTitel_liste,LineærRegression_Valg[[#This Row],[Uafhængig variabel ID]]),INDEX(DataTitel_liste,IF(LineærRegression_Valg[[#This Row],[Afhængig variabel ID]]=1,2,1))),$B$7)</f>
        <v>Eksempel 2 (interval)</v>
      </c>
      <c r="H1475" s="188">
        <f>_xlfn.AGGREGATE(2,5,LineærRegression_Valg[[#This Row],[Tabel ID]])</f>
        <v>1</v>
      </c>
    </row>
    <row r="1476" spans="1:8" x14ac:dyDescent="0.2">
      <c r="A1476">
        <f>ROW(LineærRegression_Valg[[#This Row],[Tabel ID]])-ROW(LineærRegression_Valg[[#Headers],[Tabel ID]])</f>
        <v>1466</v>
      </c>
      <c r="B1476" s="188">
        <f>ROUNDDOWN((LineærRegression_Valg[[#This Row],[Tabel ID]]-1)/$B$5,0)+1</f>
        <v>367</v>
      </c>
      <c r="C1476" s="188">
        <f t="shared" si="22"/>
        <v>2</v>
      </c>
      <c r="D1476" s="188" t="b">
        <f>LineærRegression_Valg[[#This Row],[Afhængig variabel ID]]&lt;&gt;LineærRegression_Valg[[#This Row],[Uafhængig variabel ID]]</f>
        <v>1</v>
      </c>
      <c r="E1476" s="188" t="b">
        <f>LineærRegression_Valg[[#This Row],[Afhængig variabel ID]]&lt;=$B$5</f>
        <v>0</v>
      </c>
      <c r="F1476" t="str" cm="1">
        <f t="array" ref="F1476">IF(LineærRegression_Valg[[#This Row],[Indenfor range]],INDEX(DataTitel_liste,LineærRegression_Valg[[#This Row],[Afhængig variabel ID]]),INDEX(DataTitel_liste,1))</f>
        <v>Eksempel 1 (interval)</v>
      </c>
      <c r="G1476" s="188" t="str" cm="1">
        <f t="array" ref="G1476">IF(LineærRegression_Valg[[#This Row],[Indenfor range]],IF(LineærRegression_Valg[[#This Row],[Intet overlap]],INDEX(DataTitel_liste,LineærRegression_Valg[[#This Row],[Uafhængig variabel ID]]),INDEX(DataTitel_liste,IF(LineærRegression_Valg[[#This Row],[Afhængig variabel ID]]=1,2,1))),$B$7)</f>
        <v>Eksempel 2 (interval)</v>
      </c>
      <c r="H1476" s="188">
        <f>_xlfn.AGGREGATE(2,5,LineærRegression_Valg[[#This Row],[Tabel ID]])</f>
        <v>1</v>
      </c>
    </row>
    <row r="1477" spans="1:8" x14ac:dyDescent="0.2">
      <c r="A1477">
        <f>ROW(LineærRegression_Valg[[#This Row],[Tabel ID]])-ROW(LineærRegression_Valg[[#Headers],[Tabel ID]])</f>
        <v>1467</v>
      </c>
      <c r="B1477" s="188">
        <f>ROUNDDOWN((LineærRegression_Valg[[#This Row],[Tabel ID]]-1)/$B$5,0)+1</f>
        <v>367</v>
      </c>
      <c r="C1477" s="188">
        <f t="shared" si="22"/>
        <v>3</v>
      </c>
      <c r="D1477" s="188" t="b">
        <f>LineærRegression_Valg[[#This Row],[Afhængig variabel ID]]&lt;&gt;LineærRegression_Valg[[#This Row],[Uafhængig variabel ID]]</f>
        <v>1</v>
      </c>
      <c r="E1477" s="188" t="b">
        <f>LineærRegression_Valg[[#This Row],[Afhængig variabel ID]]&lt;=$B$5</f>
        <v>0</v>
      </c>
      <c r="F1477" t="str" cm="1">
        <f t="array" ref="F1477">IF(LineærRegression_Valg[[#This Row],[Indenfor range]],INDEX(DataTitel_liste,LineærRegression_Valg[[#This Row],[Afhængig variabel ID]]),INDEX(DataTitel_liste,1))</f>
        <v>Eksempel 1 (interval)</v>
      </c>
      <c r="G1477" s="188" t="str" cm="1">
        <f t="array" ref="G1477">IF(LineærRegression_Valg[[#This Row],[Indenfor range]],IF(LineærRegression_Valg[[#This Row],[Intet overlap]],INDEX(DataTitel_liste,LineærRegression_Valg[[#This Row],[Uafhængig variabel ID]]),INDEX(DataTitel_liste,IF(LineærRegression_Valg[[#This Row],[Afhængig variabel ID]]=1,2,1))),$B$7)</f>
        <v>Eksempel 2 (interval)</v>
      </c>
      <c r="H1477" s="188">
        <f>_xlfn.AGGREGATE(2,5,LineærRegression_Valg[[#This Row],[Tabel ID]])</f>
        <v>1</v>
      </c>
    </row>
    <row r="1478" spans="1:8" x14ac:dyDescent="0.2">
      <c r="A1478">
        <f>ROW(LineærRegression_Valg[[#This Row],[Tabel ID]])-ROW(LineærRegression_Valg[[#Headers],[Tabel ID]])</f>
        <v>1468</v>
      </c>
      <c r="B1478" s="188">
        <f>ROUNDDOWN((LineærRegression_Valg[[#This Row],[Tabel ID]]-1)/$B$5,0)+1</f>
        <v>367</v>
      </c>
      <c r="C1478" s="188">
        <f t="shared" si="22"/>
        <v>4</v>
      </c>
      <c r="D1478" s="188" t="b">
        <f>LineærRegression_Valg[[#This Row],[Afhængig variabel ID]]&lt;&gt;LineærRegression_Valg[[#This Row],[Uafhængig variabel ID]]</f>
        <v>1</v>
      </c>
      <c r="E1478" s="188" t="b">
        <f>LineærRegression_Valg[[#This Row],[Afhængig variabel ID]]&lt;=$B$5</f>
        <v>0</v>
      </c>
      <c r="F1478" t="str" cm="1">
        <f t="array" ref="F1478">IF(LineærRegression_Valg[[#This Row],[Indenfor range]],INDEX(DataTitel_liste,LineærRegression_Valg[[#This Row],[Afhængig variabel ID]]),INDEX(DataTitel_liste,1))</f>
        <v>Eksempel 1 (interval)</v>
      </c>
      <c r="G1478" s="188" t="str" cm="1">
        <f t="array" ref="G1478">IF(LineærRegression_Valg[[#This Row],[Indenfor range]],IF(LineærRegression_Valg[[#This Row],[Intet overlap]],INDEX(DataTitel_liste,LineærRegression_Valg[[#This Row],[Uafhængig variabel ID]]),INDEX(DataTitel_liste,IF(LineærRegression_Valg[[#This Row],[Afhængig variabel ID]]=1,2,1))),$B$7)</f>
        <v>Eksempel 2 (interval)</v>
      </c>
      <c r="H1478" s="188">
        <f>_xlfn.AGGREGATE(2,5,LineærRegression_Valg[[#This Row],[Tabel ID]])</f>
        <v>1</v>
      </c>
    </row>
    <row r="1479" spans="1:8" x14ac:dyDescent="0.2">
      <c r="A1479">
        <f>ROW(LineærRegression_Valg[[#This Row],[Tabel ID]])-ROW(LineærRegression_Valg[[#Headers],[Tabel ID]])</f>
        <v>1469</v>
      </c>
      <c r="B1479" s="188">
        <f>ROUNDDOWN((LineærRegression_Valg[[#This Row],[Tabel ID]]-1)/$B$5,0)+1</f>
        <v>368</v>
      </c>
      <c r="C1479" s="188">
        <f t="shared" si="22"/>
        <v>1</v>
      </c>
      <c r="D1479" s="188" t="b">
        <f>LineærRegression_Valg[[#This Row],[Afhængig variabel ID]]&lt;&gt;LineærRegression_Valg[[#This Row],[Uafhængig variabel ID]]</f>
        <v>1</v>
      </c>
      <c r="E1479" s="188" t="b">
        <f>LineærRegression_Valg[[#This Row],[Afhængig variabel ID]]&lt;=$B$5</f>
        <v>0</v>
      </c>
      <c r="F1479" t="str" cm="1">
        <f t="array" ref="F1479">IF(LineærRegression_Valg[[#This Row],[Indenfor range]],INDEX(DataTitel_liste,LineærRegression_Valg[[#This Row],[Afhængig variabel ID]]),INDEX(DataTitel_liste,1))</f>
        <v>Eksempel 1 (interval)</v>
      </c>
      <c r="G1479" s="188" t="str" cm="1">
        <f t="array" ref="G1479">IF(LineærRegression_Valg[[#This Row],[Indenfor range]],IF(LineærRegression_Valg[[#This Row],[Intet overlap]],INDEX(DataTitel_liste,LineærRegression_Valg[[#This Row],[Uafhængig variabel ID]]),INDEX(DataTitel_liste,IF(LineærRegression_Valg[[#This Row],[Afhængig variabel ID]]=1,2,1))),$B$7)</f>
        <v>Eksempel 2 (interval)</v>
      </c>
      <c r="H1479" s="188">
        <f>_xlfn.AGGREGATE(2,5,LineærRegression_Valg[[#This Row],[Tabel ID]])</f>
        <v>1</v>
      </c>
    </row>
    <row r="1480" spans="1:8" x14ac:dyDescent="0.2">
      <c r="A1480">
        <f>ROW(LineærRegression_Valg[[#This Row],[Tabel ID]])-ROW(LineærRegression_Valg[[#Headers],[Tabel ID]])</f>
        <v>1470</v>
      </c>
      <c r="B1480" s="188">
        <f>ROUNDDOWN((LineærRegression_Valg[[#This Row],[Tabel ID]]-1)/$B$5,0)+1</f>
        <v>368</v>
      </c>
      <c r="C1480" s="188">
        <f t="shared" si="22"/>
        <v>2</v>
      </c>
      <c r="D1480" s="188" t="b">
        <f>LineærRegression_Valg[[#This Row],[Afhængig variabel ID]]&lt;&gt;LineærRegression_Valg[[#This Row],[Uafhængig variabel ID]]</f>
        <v>1</v>
      </c>
      <c r="E1480" s="188" t="b">
        <f>LineærRegression_Valg[[#This Row],[Afhængig variabel ID]]&lt;=$B$5</f>
        <v>0</v>
      </c>
      <c r="F1480" t="str" cm="1">
        <f t="array" ref="F1480">IF(LineærRegression_Valg[[#This Row],[Indenfor range]],INDEX(DataTitel_liste,LineærRegression_Valg[[#This Row],[Afhængig variabel ID]]),INDEX(DataTitel_liste,1))</f>
        <v>Eksempel 1 (interval)</v>
      </c>
      <c r="G1480" s="188" t="str" cm="1">
        <f t="array" ref="G1480">IF(LineærRegression_Valg[[#This Row],[Indenfor range]],IF(LineærRegression_Valg[[#This Row],[Intet overlap]],INDEX(DataTitel_liste,LineærRegression_Valg[[#This Row],[Uafhængig variabel ID]]),INDEX(DataTitel_liste,IF(LineærRegression_Valg[[#This Row],[Afhængig variabel ID]]=1,2,1))),$B$7)</f>
        <v>Eksempel 2 (interval)</v>
      </c>
      <c r="H1480" s="188">
        <f>_xlfn.AGGREGATE(2,5,LineærRegression_Valg[[#This Row],[Tabel ID]])</f>
        <v>1</v>
      </c>
    </row>
    <row r="1481" spans="1:8" x14ac:dyDescent="0.2">
      <c r="A1481">
        <f>ROW(LineærRegression_Valg[[#This Row],[Tabel ID]])-ROW(LineærRegression_Valg[[#Headers],[Tabel ID]])</f>
        <v>1471</v>
      </c>
      <c r="B1481" s="188">
        <f>ROUNDDOWN((LineærRegression_Valg[[#This Row],[Tabel ID]]-1)/$B$5,0)+1</f>
        <v>368</v>
      </c>
      <c r="C1481" s="188">
        <f t="shared" si="22"/>
        <v>3</v>
      </c>
      <c r="D1481" s="188" t="b">
        <f>LineærRegression_Valg[[#This Row],[Afhængig variabel ID]]&lt;&gt;LineærRegression_Valg[[#This Row],[Uafhængig variabel ID]]</f>
        <v>1</v>
      </c>
      <c r="E1481" s="188" t="b">
        <f>LineærRegression_Valg[[#This Row],[Afhængig variabel ID]]&lt;=$B$5</f>
        <v>0</v>
      </c>
      <c r="F1481" t="str" cm="1">
        <f t="array" ref="F1481">IF(LineærRegression_Valg[[#This Row],[Indenfor range]],INDEX(DataTitel_liste,LineærRegression_Valg[[#This Row],[Afhængig variabel ID]]),INDEX(DataTitel_liste,1))</f>
        <v>Eksempel 1 (interval)</v>
      </c>
      <c r="G1481" s="188" t="str" cm="1">
        <f t="array" ref="G1481">IF(LineærRegression_Valg[[#This Row],[Indenfor range]],IF(LineærRegression_Valg[[#This Row],[Intet overlap]],INDEX(DataTitel_liste,LineærRegression_Valg[[#This Row],[Uafhængig variabel ID]]),INDEX(DataTitel_liste,IF(LineærRegression_Valg[[#This Row],[Afhængig variabel ID]]=1,2,1))),$B$7)</f>
        <v>Eksempel 2 (interval)</v>
      </c>
      <c r="H1481" s="188">
        <f>_xlfn.AGGREGATE(2,5,LineærRegression_Valg[[#This Row],[Tabel ID]])</f>
        <v>1</v>
      </c>
    </row>
    <row r="1482" spans="1:8" x14ac:dyDescent="0.2">
      <c r="A1482">
        <f>ROW(LineærRegression_Valg[[#This Row],[Tabel ID]])-ROW(LineærRegression_Valg[[#Headers],[Tabel ID]])</f>
        <v>1472</v>
      </c>
      <c r="B1482" s="188">
        <f>ROUNDDOWN((LineærRegression_Valg[[#This Row],[Tabel ID]]-1)/$B$5,0)+1</f>
        <v>368</v>
      </c>
      <c r="C1482" s="188">
        <f t="shared" si="22"/>
        <v>4</v>
      </c>
      <c r="D1482" s="188" t="b">
        <f>LineærRegression_Valg[[#This Row],[Afhængig variabel ID]]&lt;&gt;LineærRegression_Valg[[#This Row],[Uafhængig variabel ID]]</f>
        <v>1</v>
      </c>
      <c r="E1482" s="188" t="b">
        <f>LineærRegression_Valg[[#This Row],[Afhængig variabel ID]]&lt;=$B$5</f>
        <v>0</v>
      </c>
      <c r="F1482" t="str" cm="1">
        <f t="array" ref="F1482">IF(LineærRegression_Valg[[#This Row],[Indenfor range]],INDEX(DataTitel_liste,LineærRegression_Valg[[#This Row],[Afhængig variabel ID]]),INDEX(DataTitel_liste,1))</f>
        <v>Eksempel 1 (interval)</v>
      </c>
      <c r="G1482" s="188" t="str" cm="1">
        <f t="array" ref="G1482">IF(LineærRegression_Valg[[#This Row],[Indenfor range]],IF(LineærRegression_Valg[[#This Row],[Intet overlap]],INDEX(DataTitel_liste,LineærRegression_Valg[[#This Row],[Uafhængig variabel ID]]),INDEX(DataTitel_liste,IF(LineærRegression_Valg[[#This Row],[Afhængig variabel ID]]=1,2,1))),$B$7)</f>
        <v>Eksempel 2 (interval)</v>
      </c>
      <c r="H1482" s="188">
        <f>_xlfn.AGGREGATE(2,5,LineærRegression_Valg[[#This Row],[Tabel ID]])</f>
        <v>1</v>
      </c>
    </row>
    <row r="1483" spans="1:8" x14ac:dyDescent="0.2">
      <c r="A1483">
        <f>ROW(LineærRegression_Valg[[#This Row],[Tabel ID]])-ROW(LineærRegression_Valg[[#Headers],[Tabel ID]])</f>
        <v>1473</v>
      </c>
      <c r="B1483" s="188">
        <f>ROUNDDOWN((LineærRegression_Valg[[#This Row],[Tabel ID]]-1)/$B$5,0)+1</f>
        <v>369</v>
      </c>
      <c r="C1483" s="188">
        <f t="shared" ref="C1483:C1546" si="23">MOD(A1483-1,$B$5)+1</f>
        <v>1</v>
      </c>
      <c r="D1483" s="188" t="b">
        <f>LineærRegression_Valg[[#This Row],[Afhængig variabel ID]]&lt;&gt;LineærRegression_Valg[[#This Row],[Uafhængig variabel ID]]</f>
        <v>1</v>
      </c>
      <c r="E1483" s="188" t="b">
        <f>LineærRegression_Valg[[#This Row],[Afhængig variabel ID]]&lt;=$B$5</f>
        <v>0</v>
      </c>
      <c r="F1483" t="str" cm="1">
        <f t="array" ref="F1483">IF(LineærRegression_Valg[[#This Row],[Indenfor range]],INDEX(DataTitel_liste,LineærRegression_Valg[[#This Row],[Afhængig variabel ID]]),INDEX(DataTitel_liste,1))</f>
        <v>Eksempel 1 (interval)</v>
      </c>
      <c r="G1483" s="188" t="str" cm="1">
        <f t="array" ref="G1483">IF(LineærRegression_Valg[[#This Row],[Indenfor range]],IF(LineærRegression_Valg[[#This Row],[Intet overlap]],INDEX(DataTitel_liste,LineærRegression_Valg[[#This Row],[Uafhængig variabel ID]]),INDEX(DataTitel_liste,IF(LineærRegression_Valg[[#This Row],[Afhængig variabel ID]]=1,2,1))),$B$7)</f>
        <v>Eksempel 2 (interval)</v>
      </c>
      <c r="H1483" s="188">
        <f>_xlfn.AGGREGATE(2,5,LineærRegression_Valg[[#This Row],[Tabel ID]])</f>
        <v>1</v>
      </c>
    </row>
    <row r="1484" spans="1:8" x14ac:dyDescent="0.2">
      <c r="A1484">
        <f>ROW(LineærRegression_Valg[[#This Row],[Tabel ID]])-ROW(LineærRegression_Valg[[#Headers],[Tabel ID]])</f>
        <v>1474</v>
      </c>
      <c r="B1484" s="188">
        <f>ROUNDDOWN((LineærRegression_Valg[[#This Row],[Tabel ID]]-1)/$B$5,0)+1</f>
        <v>369</v>
      </c>
      <c r="C1484" s="188">
        <f t="shared" si="23"/>
        <v>2</v>
      </c>
      <c r="D1484" s="188" t="b">
        <f>LineærRegression_Valg[[#This Row],[Afhængig variabel ID]]&lt;&gt;LineærRegression_Valg[[#This Row],[Uafhængig variabel ID]]</f>
        <v>1</v>
      </c>
      <c r="E1484" s="188" t="b">
        <f>LineærRegression_Valg[[#This Row],[Afhængig variabel ID]]&lt;=$B$5</f>
        <v>0</v>
      </c>
      <c r="F1484" t="str" cm="1">
        <f t="array" ref="F1484">IF(LineærRegression_Valg[[#This Row],[Indenfor range]],INDEX(DataTitel_liste,LineærRegression_Valg[[#This Row],[Afhængig variabel ID]]),INDEX(DataTitel_liste,1))</f>
        <v>Eksempel 1 (interval)</v>
      </c>
      <c r="G1484" s="188" t="str" cm="1">
        <f t="array" ref="G1484">IF(LineærRegression_Valg[[#This Row],[Indenfor range]],IF(LineærRegression_Valg[[#This Row],[Intet overlap]],INDEX(DataTitel_liste,LineærRegression_Valg[[#This Row],[Uafhængig variabel ID]]),INDEX(DataTitel_liste,IF(LineærRegression_Valg[[#This Row],[Afhængig variabel ID]]=1,2,1))),$B$7)</f>
        <v>Eksempel 2 (interval)</v>
      </c>
      <c r="H1484" s="188">
        <f>_xlfn.AGGREGATE(2,5,LineærRegression_Valg[[#This Row],[Tabel ID]])</f>
        <v>1</v>
      </c>
    </row>
    <row r="1485" spans="1:8" x14ac:dyDescent="0.2">
      <c r="A1485">
        <f>ROW(LineærRegression_Valg[[#This Row],[Tabel ID]])-ROW(LineærRegression_Valg[[#Headers],[Tabel ID]])</f>
        <v>1475</v>
      </c>
      <c r="B1485" s="188">
        <f>ROUNDDOWN((LineærRegression_Valg[[#This Row],[Tabel ID]]-1)/$B$5,0)+1</f>
        <v>369</v>
      </c>
      <c r="C1485" s="188">
        <f t="shared" si="23"/>
        <v>3</v>
      </c>
      <c r="D1485" s="188" t="b">
        <f>LineærRegression_Valg[[#This Row],[Afhængig variabel ID]]&lt;&gt;LineærRegression_Valg[[#This Row],[Uafhængig variabel ID]]</f>
        <v>1</v>
      </c>
      <c r="E1485" s="188" t="b">
        <f>LineærRegression_Valg[[#This Row],[Afhængig variabel ID]]&lt;=$B$5</f>
        <v>0</v>
      </c>
      <c r="F1485" t="str" cm="1">
        <f t="array" ref="F1485">IF(LineærRegression_Valg[[#This Row],[Indenfor range]],INDEX(DataTitel_liste,LineærRegression_Valg[[#This Row],[Afhængig variabel ID]]),INDEX(DataTitel_liste,1))</f>
        <v>Eksempel 1 (interval)</v>
      </c>
      <c r="G1485" s="188" t="str" cm="1">
        <f t="array" ref="G1485">IF(LineærRegression_Valg[[#This Row],[Indenfor range]],IF(LineærRegression_Valg[[#This Row],[Intet overlap]],INDEX(DataTitel_liste,LineærRegression_Valg[[#This Row],[Uafhængig variabel ID]]),INDEX(DataTitel_liste,IF(LineærRegression_Valg[[#This Row],[Afhængig variabel ID]]=1,2,1))),$B$7)</f>
        <v>Eksempel 2 (interval)</v>
      </c>
      <c r="H1485" s="188">
        <f>_xlfn.AGGREGATE(2,5,LineærRegression_Valg[[#This Row],[Tabel ID]])</f>
        <v>1</v>
      </c>
    </row>
    <row r="1486" spans="1:8" x14ac:dyDescent="0.2">
      <c r="A1486">
        <f>ROW(LineærRegression_Valg[[#This Row],[Tabel ID]])-ROW(LineærRegression_Valg[[#Headers],[Tabel ID]])</f>
        <v>1476</v>
      </c>
      <c r="B1486" s="188">
        <f>ROUNDDOWN((LineærRegression_Valg[[#This Row],[Tabel ID]]-1)/$B$5,0)+1</f>
        <v>369</v>
      </c>
      <c r="C1486" s="188">
        <f t="shared" si="23"/>
        <v>4</v>
      </c>
      <c r="D1486" s="188" t="b">
        <f>LineærRegression_Valg[[#This Row],[Afhængig variabel ID]]&lt;&gt;LineærRegression_Valg[[#This Row],[Uafhængig variabel ID]]</f>
        <v>1</v>
      </c>
      <c r="E1486" s="188" t="b">
        <f>LineærRegression_Valg[[#This Row],[Afhængig variabel ID]]&lt;=$B$5</f>
        <v>0</v>
      </c>
      <c r="F1486" t="str" cm="1">
        <f t="array" ref="F1486">IF(LineærRegression_Valg[[#This Row],[Indenfor range]],INDEX(DataTitel_liste,LineærRegression_Valg[[#This Row],[Afhængig variabel ID]]),INDEX(DataTitel_liste,1))</f>
        <v>Eksempel 1 (interval)</v>
      </c>
      <c r="G1486" s="188" t="str" cm="1">
        <f t="array" ref="G1486">IF(LineærRegression_Valg[[#This Row],[Indenfor range]],IF(LineærRegression_Valg[[#This Row],[Intet overlap]],INDEX(DataTitel_liste,LineærRegression_Valg[[#This Row],[Uafhængig variabel ID]]),INDEX(DataTitel_liste,IF(LineærRegression_Valg[[#This Row],[Afhængig variabel ID]]=1,2,1))),$B$7)</f>
        <v>Eksempel 2 (interval)</v>
      </c>
      <c r="H1486" s="188">
        <f>_xlfn.AGGREGATE(2,5,LineærRegression_Valg[[#This Row],[Tabel ID]])</f>
        <v>1</v>
      </c>
    </row>
    <row r="1487" spans="1:8" x14ac:dyDescent="0.2">
      <c r="A1487">
        <f>ROW(LineærRegression_Valg[[#This Row],[Tabel ID]])-ROW(LineærRegression_Valg[[#Headers],[Tabel ID]])</f>
        <v>1477</v>
      </c>
      <c r="B1487" s="188">
        <f>ROUNDDOWN((LineærRegression_Valg[[#This Row],[Tabel ID]]-1)/$B$5,0)+1</f>
        <v>370</v>
      </c>
      <c r="C1487" s="188">
        <f t="shared" si="23"/>
        <v>1</v>
      </c>
      <c r="D1487" s="188" t="b">
        <f>LineærRegression_Valg[[#This Row],[Afhængig variabel ID]]&lt;&gt;LineærRegression_Valg[[#This Row],[Uafhængig variabel ID]]</f>
        <v>1</v>
      </c>
      <c r="E1487" s="188" t="b">
        <f>LineærRegression_Valg[[#This Row],[Afhængig variabel ID]]&lt;=$B$5</f>
        <v>0</v>
      </c>
      <c r="F1487" t="str" cm="1">
        <f t="array" ref="F1487">IF(LineærRegression_Valg[[#This Row],[Indenfor range]],INDEX(DataTitel_liste,LineærRegression_Valg[[#This Row],[Afhængig variabel ID]]),INDEX(DataTitel_liste,1))</f>
        <v>Eksempel 1 (interval)</v>
      </c>
      <c r="G1487" s="188" t="str" cm="1">
        <f t="array" ref="G1487">IF(LineærRegression_Valg[[#This Row],[Indenfor range]],IF(LineærRegression_Valg[[#This Row],[Intet overlap]],INDEX(DataTitel_liste,LineærRegression_Valg[[#This Row],[Uafhængig variabel ID]]),INDEX(DataTitel_liste,IF(LineærRegression_Valg[[#This Row],[Afhængig variabel ID]]=1,2,1))),$B$7)</f>
        <v>Eksempel 2 (interval)</v>
      </c>
      <c r="H1487" s="188">
        <f>_xlfn.AGGREGATE(2,5,LineærRegression_Valg[[#This Row],[Tabel ID]])</f>
        <v>1</v>
      </c>
    </row>
    <row r="1488" spans="1:8" x14ac:dyDescent="0.2">
      <c r="A1488">
        <f>ROW(LineærRegression_Valg[[#This Row],[Tabel ID]])-ROW(LineærRegression_Valg[[#Headers],[Tabel ID]])</f>
        <v>1478</v>
      </c>
      <c r="B1488" s="188">
        <f>ROUNDDOWN((LineærRegression_Valg[[#This Row],[Tabel ID]]-1)/$B$5,0)+1</f>
        <v>370</v>
      </c>
      <c r="C1488" s="188">
        <f t="shared" si="23"/>
        <v>2</v>
      </c>
      <c r="D1488" s="188" t="b">
        <f>LineærRegression_Valg[[#This Row],[Afhængig variabel ID]]&lt;&gt;LineærRegression_Valg[[#This Row],[Uafhængig variabel ID]]</f>
        <v>1</v>
      </c>
      <c r="E1488" s="188" t="b">
        <f>LineærRegression_Valg[[#This Row],[Afhængig variabel ID]]&lt;=$B$5</f>
        <v>0</v>
      </c>
      <c r="F1488" t="str" cm="1">
        <f t="array" ref="F1488">IF(LineærRegression_Valg[[#This Row],[Indenfor range]],INDEX(DataTitel_liste,LineærRegression_Valg[[#This Row],[Afhængig variabel ID]]),INDEX(DataTitel_liste,1))</f>
        <v>Eksempel 1 (interval)</v>
      </c>
      <c r="G1488" s="188" t="str" cm="1">
        <f t="array" ref="G1488">IF(LineærRegression_Valg[[#This Row],[Indenfor range]],IF(LineærRegression_Valg[[#This Row],[Intet overlap]],INDEX(DataTitel_liste,LineærRegression_Valg[[#This Row],[Uafhængig variabel ID]]),INDEX(DataTitel_liste,IF(LineærRegression_Valg[[#This Row],[Afhængig variabel ID]]=1,2,1))),$B$7)</f>
        <v>Eksempel 2 (interval)</v>
      </c>
      <c r="H1488" s="188">
        <f>_xlfn.AGGREGATE(2,5,LineærRegression_Valg[[#This Row],[Tabel ID]])</f>
        <v>1</v>
      </c>
    </row>
    <row r="1489" spans="1:8" x14ac:dyDescent="0.2">
      <c r="A1489">
        <f>ROW(LineærRegression_Valg[[#This Row],[Tabel ID]])-ROW(LineærRegression_Valg[[#Headers],[Tabel ID]])</f>
        <v>1479</v>
      </c>
      <c r="B1489" s="188">
        <f>ROUNDDOWN((LineærRegression_Valg[[#This Row],[Tabel ID]]-1)/$B$5,0)+1</f>
        <v>370</v>
      </c>
      <c r="C1489" s="188">
        <f t="shared" si="23"/>
        <v>3</v>
      </c>
      <c r="D1489" s="188" t="b">
        <f>LineærRegression_Valg[[#This Row],[Afhængig variabel ID]]&lt;&gt;LineærRegression_Valg[[#This Row],[Uafhængig variabel ID]]</f>
        <v>1</v>
      </c>
      <c r="E1489" s="188" t="b">
        <f>LineærRegression_Valg[[#This Row],[Afhængig variabel ID]]&lt;=$B$5</f>
        <v>0</v>
      </c>
      <c r="F1489" t="str" cm="1">
        <f t="array" ref="F1489">IF(LineærRegression_Valg[[#This Row],[Indenfor range]],INDEX(DataTitel_liste,LineærRegression_Valg[[#This Row],[Afhængig variabel ID]]),INDEX(DataTitel_liste,1))</f>
        <v>Eksempel 1 (interval)</v>
      </c>
      <c r="G1489" s="188" t="str" cm="1">
        <f t="array" ref="G1489">IF(LineærRegression_Valg[[#This Row],[Indenfor range]],IF(LineærRegression_Valg[[#This Row],[Intet overlap]],INDEX(DataTitel_liste,LineærRegression_Valg[[#This Row],[Uafhængig variabel ID]]),INDEX(DataTitel_liste,IF(LineærRegression_Valg[[#This Row],[Afhængig variabel ID]]=1,2,1))),$B$7)</f>
        <v>Eksempel 2 (interval)</v>
      </c>
      <c r="H1489" s="188">
        <f>_xlfn.AGGREGATE(2,5,LineærRegression_Valg[[#This Row],[Tabel ID]])</f>
        <v>1</v>
      </c>
    </row>
    <row r="1490" spans="1:8" x14ac:dyDescent="0.2">
      <c r="A1490">
        <f>ROW(LineærRegression_Valg[[#This Row],[Tabel ID]])-ROW(LineærRegression_Valg[[#Headers],[Tabel ID]])</f>
        <v>1480</v>
      </c>
      <c r="B1490" s="188">
        <f>ROUNDDOWN((LineærRegression_Valg[[#This Row],[Tabel ID]]-1)/$B$5,0)+1</f>
        <v>370</v>
      </c>
      <c r="C1490" s="188">
        <f t="shared" si="23"/>
        <v>4</v>
      </c>
      <c r="D1490" s="188" t="b">
        <f>LineærRegression_Valg[[#This Row],[Afhængig variabel ID]]&lt;&gt;LineærRegression_Valg[[#This Row],[Uafhængig variabel ID]]</f>
        <v>1</v>
      </c>
      <c r="E1490" s="188" t="b">
        <f>LineærRegression_Valg[[#This Row],[Afhængig variabel ID]]&lt;=$B$5</f>
        <v>0</v>
      </c>
      <c r="F1490" t="str" cm="1">
        <f t="array" ref="F1490">IF(LineærRegression_Valg[[#This Row],[Indenfor range]],INDEX(DataTitel_liste,LineærRegression_Valg[[#This Row],[Afhængig variabel ID]]),INDEX(DataTitel_liste,1))</f>
        <v>Eksempel 1 (interval)</v>
      </c>
      <c r="G1490" s="188" t="str" cm="1">
        <f t="array" ref="G1490">IF(LineærRegression_Valg[[#This Row],[Indenfor range]],IF(LineærRegression_Valg[[#This Row],[Intet overlap]],INDEX(DataTitel_liste,LineærRegression_Valg[[#This Row],[Uafhængig variabel ID]]),INDEX(DataTitel_liste,IF(LineærRegression_Valg[[#This Row],[Afhængig variabel ID]]=1,2,1))),$B$7)</f>
        <v>Eksempel 2 (interval)</v>
      </c>
      <c r="H1490" s="188">
        <f>_xlfn.AGGREGATE(2,5,LineærRegression_Valg[[#This Row],[Tabel ID]])</f>
        <v>1</v>
      </c>
    </row>
    <row r="1491" spans="1:8" x14ac:dyDescent="0.2">
      <c r="A1491">
        <f>ROW(LineærRegression_Valg[[#This Row],[Tabel ID]])-ROW(LineærRegression_Valg[[#Headers],[Tabel ID]])</f>
        <v>1481</v>
      </c>
      <c r="B1491" s="188">
        <f>ROUNDDOWN((LineærRegression_Valg[[#This Row],[Tabel ID]]-1)/$B$5,0)+1</f>
        <v>371</v>
      </c>
      <c r="C1491" s="188">
        <f t="shared" si="23"/>
        <v>1</v>
      </c>
      <c r="D1491" s="188" t="b">
        <f>LineærRegression_Valg[[#This Row],[Afhængig variabel ID]]&lt;&gt;LineærRegression_Valg[[#This Row],[Uafhængig variabel ID]]</f>
        <v>1</v>
      </c>
      <c r="E1491" s="188" t="b">
        <f>LineærRegression_Valg[[#This Row],[Afhængig variabel ID]]&lt;=$B$5</f>
        <v>0</v>
      </c>
      <c r="F1491" t="str" cm="1">
        <f t="array" ref="F1491">IF(LineærRegression_Valg[[#This Row],[Indenfor range]],INDEX(DataTitel_liste,LineærRegression_Valg[[#This Row],[Afhængig variabel ID]]),INDEX(DataTitel_liste,1))</f>
        <v>Eksempel 1 (interval)</v>
      </c>
      <c r="G1491" s="188" t="str" cm="1">
        <f t="array" ref="G1491">IF(LineærRegression_Valg[[#This Row],[Indenfor range]],IF(LineærRegression_Valg[[#This Row],[Intet overlap]],INDEX(DataTitel_liste,LineærRegression_Valg[[#This Row],[Uafhængig variabel ID]]),INDEX(DataTitel_liste,IF(LineærRegression_Valg[[#This Row],[Afhængig variabel ID]]=1,2,1))),$B$7)</f>
        <v>Eksempel 2 (interval)</v>
      </c>
      <c r="H1491" s="188">
        <f>_xlfn.AGGREGATE(2,5,LineærRegression_Valg[[#This Row],[Tabel ID]])</f>
        <v>1</v>
      </c>
    </row>
    <row r="1492" spans="1:8" x14ac:dyDescent="0.2">
      <c r="A1492">
        <f>ROW(LineærRegression_Valg[[#This Row],[Tabel ID]])-ROW(LineærRegression_Valg[[#Headers],[Tabel ID]])</f>
        <v>1482</v>
      </c>
      <c r="B1492" s="188">
        <f>ROUNDDOWN((LineærRegression_Valg[[#This Row],[Tabel ID]]-1)/$B$5,0)+1</f>
        <v>371</v>
      </c>
      <c r="C1492" s="188">
        <f t="shared" si="23"/>
        <v>2</v>
      </c>
      <c r="D1492" s="188" t="b">
        <f>LineærRegression_Valg[[#This Row],[Afhængig variabel ID]]&lt;&gt;LineærRegression_Valg[[#This Row],[Uafhængig variabel ID]]</f>
        <v>1</v>
      </c>
      <c r="E1492" s="188" t="b">
        <f>LineærRegression_Valg[[#This Row],[Afhængig variabel ID]]&lt;=$B$5</f>
        <v>0</v>
      </c>
      <c r="F1492" t="str" cm="1">
        <f t="array" ref="F1492">IF(LineærRegression_Valg[[#This Row],[Indenfor range]],INDEX(DataTitel_liste,LineærRegression_Valg[[#This Row],[Afhængig variabel ID]]),INDEX(DataTitel_liste,1))</f>
        <v>Eksempel 1 (interval)</v>
      </c>
      <c r="G1492" s="188" t="str" cm="1">
        <f t="array" ref="G1492">IF(LineærRegression_Valg[[#This Row],[Indenfor range]],IF(LineærRegression_Valg[[#This Row],[Intet overlap]],INDEX(DataTitel_liste,LineærRegression_Valg[[#This Row],[Uafhængig variabel ID]]),INDEX(DataTitel_liste,IF(LineærRegression_Valg[[#This Row],[Afhængig variabel ID]]=1,2,1))),$B$7)</f>
        <v>Eksempel 2 (interval)</v>
      </c>
      <c r="H1492" s="188">
        <f>_xlfn.AGGREGATE(2,5,LineærRegression_Valg[[#This Row],[Tabel ID]])</f>
        <v>1</v>
      </c>
    </row>
    <row r="1493" spans="1:8" x14ac:dyDescent="0.2">
      <c r="A1493">
        <f>ROW(LineærRegression_Valg[[#This Row],[Tabel ID]])-ROW(LineærRegression_Valg[[#Headers],[Tabel ID]])</f>
        <v>1483</v>
      </c>
      <c r="B1493" s="188">
        <f>ROUNDDOWN((LineærRegression_Valg[[#This Row],[Tabel ID]]-1)/$B$5,0)+1</f>
        <v>371</v>
      </c>
      <c r="C1493" s="188">
        <f t="shared" si="23"/>
        <v>3</v>
      </c>
      <c r="D1493" s="188" t="b">
        <f>LineærRegression_Valg[[#This Row],[Afhængig variabel ID]]&lt;&gt;LineærRegression_Valg[[#This Row],[Uafhængig variabel ID]]</f>
        <v>1</v>
      </c>
      <c r="E1493" s="188" t="b">
        <f>LineærRegression_Valg[[#This Row],[Afhængig variabel ID]]&lt;=$B$5</f>
        <v>0</v>
      </c>
      <c r="F1493" t="str" cm="1">
        <f t="array" ref="F1493">IF(LineærRegression_Valg[[#This Row],[Indenfor range]],INDEX(DataTitel_liste,LineærRegression_Valg[[#This Row],[Afhængig variabel ID]]),INDEX(DataTitel_liste,1))</f>
        <v>Eksempel 1 (interval)</v>
      </c>
      <c r="G1493" s="188" t="str" cm="1">
        <f t="array" ref="G1493">IF(LineærRegression_Valg[[#This Row],[Indenfor range]],IF(LineærRegression_Valg[[#This Row],[Intet overlap]],INDEX(DataTitel_liste,LineærRegression_Valg[[#This Row],[Uafhængig variabel ID]]),INDEX(DataTitel_liste,IF(LineærRegression_Valg[[#This Row],[Afhængig variabel ID]]=1,2,1))),$B$7)</f>
        <v>Eksempel 2 (interval)</v>
      </c>
      <c r="H1493" s="188">
        <f>_xlfn.AGGREGATE(2,5,LineærRegression_Valg[[#This Row],[Tabel ID]])</f>
        <v>1</v>
      </c>
    </row>
    <row r="1494" spans="1:8" x14ac:dyDescent="0.2">
      <c r="A1494">
        <f>ROW(LineærRegression_Valg[[#This Row],[Tabel ID]])-ROW(LineærRegression_Valg[[#Headers],[Tabel ID]])</f>
        <v>1484</v>
      </c>
      <c r="B1494" s="188">
        <f>ROUNDDOWN((LineærRegression_Valg[[#This Row],[Tabel ID]]-1)/$B$5,0)+1</f>
        <v>371</v>
      </c>
      <c r="C1494" s="188">
        <f t="shared" si="23"/>
        <v>4</v>
      </c>
      <c r="D1494" s="188" t="b">
        <f>LineærRegression_Valg[[#This Row],[Afhængig variabel ID]]&lt;&gt;LineærRegression_Valg[[#This Row],[Uafhængig variabel ID]]</f>
        <v>1</v>
      </c>
      <c r="E1494" s="188" t="b">
        <f>LineærRegression_Valg[[#This Row],[Afhængig variabel ID]]&lt;=$B$5</f>
        <v>0</v>
      </c>
      <c r="F1494" t="str" cm="1">
        <f t="array" ref="F1494">IF(LineærRegression_Valg[[#This Row],[Indenfor range]],INDEX(DataTitel_liste,LineærRegression_Valg[[#This Row],[Afhængig variabel ID]]),INDEX(DataTitel_liste,1))</f>
        <v>Eksempel 1 (interval)</v>
      </c>
      <c r="G1494" s="188" t="str" cm="1">
        <f t="array" ref="G1494">IF(LineærRegression_Valg[[#This Row],[Indenfor range]],IF(LineærRegression_Valg[[#This Row],[Intet overlap]],INDEX(DataTitel_liste,LineærRegression_Valg[[#This Row],[Uafhængig variabel ID]]),INDEX(DataTitel_liste,IF(LineærRegression_Valg[[#This Row],[Afhængig variabel ID]]=1,2,1))),$B$7)</f>
        <v>Eksempel 2 (interval)</v>
      </c>
      <c r="H1494" s="188">
        <f>_xlfn.AGGREGATE(2,5,LineærRegression_Valg[[#This Row],[Tabel ID]])</f>
        <v>1</v>
      </c>
    </row>
    <row r="1495" spans="1:8" x14ac:dyDescent="0.2">
      <c r="A1495">
        <f>ROW(LineærRegression_Valg[[#This Row],[Tabel ID]])-ROW(LineærRegression_Valg[[#Headers],[Tabel ID]])</f>
        <v>1485</v>
      </c>
      <c r="B1495" s="188">
        <f>ROUNDDOWN((LineærRegression_Valg[[#This Row],[Tabel ID]]-1)/$B$5,0)+1</f>
        <v>372</v>
      </c>
      <c r="C1495" s="188">
        <f t="shared" si="23"/>
        <v>1</v>
      </c>
      <c r="D1495" s="188" t="b">
        <f>LineærRegression_Valg[[#This Row],[Afhængig variabel ID]]&lt;&gt;LineærRegression_Valg[[#This Row],[Uafhængig variabel ID]]</f>
        <v>1</v>
      </c>
      <c r="E1495" s="188" t="b">
        <f>LineærRegression_Valg[[#This Row],[Afhængig variabel ID]]&lt;=$B$5</f>
        <v>0</v>
      </c>
      <c r="F1495" t="str" cm="1">
        <f t="array" ref="F1495">IF(LineærRegression_Valg[[#This Row],[Indenfor range]],INDEX(DataTitel_liste,LineærRegression_Valg[[#This Row],[Afhængig variabel ID]]),INDEX(DataTitel_liste,1))</f>
        <v>Eksempel 1 (interval)</v>
      </c>
      <c r="G1495" s="188" t="str" cm="1">
        <f t="array" ref="G1495">IF(LineærRegression_Valg[[#This Row],[Indenfor range]],IF(LineærRegression_Valg[[#This Row],[Intet overlap]],INDEX(DataTitel_liste,LineærRegression_Valg[[#This Row],[Uafhængig variabel ID]]),INDEX(DataTitel_liste,IF(LineærRegression_Valg[[#This Row],[Afhængig variabel ID]]=1,2,1))),$B$7)</f>
        <v>Eksempel 2 (interval)</v>
      </c>
      <c r="H1495" s="188">
        <f>_xlfn.AGGREGATE(2,5,LineærRegression_Valg[[#This Row],[Tabel ID]])</f>
        <v>1</v>
      </c>
    </row>
    <row r="1496" spans="1:8" x14ac:dyDescent="0.2">
      <c r="A1496">
        <f>ROW(LineærRegression_Valg[[#This Row],[Tabel ID]])-ROW(LineærRegression_Valg[[#Headers],[Tabel ID]])</f>
        <v>1486</v>
      </c>
      <c r="B1496" s="188">
        <f>ROUNDDOWN((LineærRegression_Valg[[#This Row],[Tabel ID]]-1)/$B$5,0)+1</f>
        <v>372</v>
      </c>
      <c r="C1496" s="188">
        <f t="shared" si="23"/>
        <v>2</v>
      </c>
      <c r="D1496" s="188" t="b">
        <f>LineærRegression_Valg[[#This Row],[Afhængig variabel ID]]&lt;&gt;LineærRegression_Valg[[#This Row],[Uafhængig variabel ID]]</f>
        <v>1</v>
      </c>
      <c r="E1496" s="188" t="b">
        <f>LineærRegression_Valg[[#This Row],[Afhængig variabel ID]]&lt;=$B$5</f>
        <v>0</v>
      </c>
      <c r="F1496" t="str" cm="1">
        <f t="array" ref="F1496">IF(LineærRegression_Valg[[#This Row],[Indenfor range]],INDEX(DataTitel_liste,LineærRegression_Valg[[#This Row],[Afhængig variabel ID]]),INDEX(DataTitel_liste,1))</f>
        <v>Eksempel 1 (interval)</v>
      </c>
      <c r="G1496" s="188" t="str" cm="1">
        <f t="array" ref="G1496">IF(LineærRegression_Valg[[#This Row],[Indenfor range]],IF(LineærRegression_Valg[[#This Row],[Intet overlap]],INDEX(DataTitel_liste,LineærRegression_Valg[[#This Row],[Uafhængig variabel ID]]),INDEX(DataTitel_liste,IF(LineærRegression_Valg[[#This Row],[Afhængig variabel ID]]=1,2,1))),$B$7)</f>
        <v>Eksempel 2 (interval)</v>
      </c>
      <c r="H1496" s="188">
        <f>_xlfn.AGGREGATE(2,5,LineærRegression_Valg[[#This Row],[Tabel ID]])</f>
        <v>1</v>
      </c>
    </row>
    <row r="1497" spans="1:8" x14ac:dyDescent="0.2">
      <c r="A1497">
        <f>ROW(LineærRegression_Valg[[#This Row],[Tabel ID]])-ROW(LineærRegression_Valg[[#Headers],[Tabel ID]])</f>
        <v>1487</v>
      </c>
      <c r="B1497" s="188">
        <f>ROUNDDOWN((LineærRegression_Valg[[#This Row],[Tabel ID]]-1)/$B$5,0)+1</f>
        <v>372</v>
      </c>
      <c r="C1497" s="188">
        <f t="shared" si="23"/>
        <v>3</v>
      </c>
      <c r="D1497" s="188" t="b">
        <f>LineærRegression_Valg[[#This Row],[Afhængig variabel ID]]&lt;&gt;LineærRegression_Valg[[#This Row],[Uafhængig variabel ID]]</f>
        <v>1</v>
      </c>
      <c r="E1497" s="188" t="b">
        <f>LineærRegression_Valg[[#This Row],[Afhængig variabel ID]]&lt;=$B$5</f>
        <v>0</v>
      </c>
      <c r="F1497" t="str" cm="1">
        <f t="array" ref="F1497">IF(LineærRegression_Valg[[#This Row],[Indenfor range]],INDEX(DataTitel_liste,LineærRegression_Valg[[#This Row],[Afhængig variabel ID]]),INDEX(DataTitel_liste,1))</f>
        <v>Eksempel 1 (interval)</v>
      </c>
      <c r="G1497" s="188" t="str" cm="1">
        <f t="array" ref="G1497">IF(LineærRegression_Valg[[#This Row],[Indenfor range]],IF(LineærRegression_Valg[[#This Row],[Intet overlap]],INDEX(DataTitel_liste,LineærRegression_Valg[[#This Row],[Uafhængig variabel ID]]),INDEX(DataTitel_liste,IF(LineærRegression_Valg[[#This Row],[Afhængig variabel ID]]=1,2,1))),$B$7)</f>
        <v>Eksempel 2 (interval)</v>
      </c>
      <c r="H1497" s="188">
        <f>_xlfn.AGGREGATE(2,5,LineærRegression_Valg[[#This Row],[Tabel ID]])</f>
        <v>1</v>
      </c>
    </row>
    <row r="1498" spans="1:8" x14ac:dyDescent="0.2">
      <c r="A1498">
        <f>ROW(LineærRegression_Valg[[#This Row],[Tabel ID]])-ROW(LineærRegression_Valg[[#Headers],[Tabel ID]])</f>
        <v>1488</v>
      </c>
      <c r="B1498" s="188">
        <f>ROUNDDOWN((LineærRegression_Valg[[#This Row],[Tabel ID]]-1)/$B$5,0)+1</f>
        <v>372</v>
      </c>
      <c r="C1498" s="188">
        <f t="shared" si="23"/>
        <v>4</v>
      </c>
      <c r="D1498" s="188" t="b">
        <f>LineærRegression_Valg[[#This Row],[Afhængig variabel ID]]&lt;&gt;LineærRegression_Valg[[#This Row],[Uafhængig variabel ID]]</f>
        <v>1</v>
      </c>
      <c r="E1498" s="188" t="b">
        <f>LineærRegression_Valg[[#This Row],[Afhængig variabel ID]]&lt;=$B$5</f>
        <v>0</v>
      </c>
      <c r="F1498" t="str" cm="1">
        <f t="array" ref="F1498">IF(LineærRegression_Valg[[#This Row],[Indenfor range]],INDEX(DataTitel_liste,LineærRegression_Valg[[#This Row],[Afhængig variabel ID]]),INDEX(DataTitel_liste,1))</f>
        <v>Eksempel 1 (interval)</v>
      </c>
      <c r="G1498" s="188" t="str" cm="1">
        <f t="array" ref="G1498">IF(LineærRegression_Valg[[#This Row],[Indenfor range]],IF(LineærRegression_Valg[[#This Row],[Intet overlap]],INDEX(DataTitel_liste,LineærRegression_Valg[[#This Row],[Uafhængig variabel ID]]),INDEX(DataTitel_liste,IF(LineærRegression_Valg[[#This Row],[Afhængig variabel ID]]=1,2,1))),$B$7)</f>
        <v>Eksempel 2 (interval)</v>
      </c>
      <c r="H1498" s="188">
        <f>_xlfn.AGGREGATE(2,5,LineærRegression_Valg[[#This Row],[Tabel ID]])</f>
        <v>1</v>
      </c>
    </row>
    <row r="1499" spans="1:8" x14ac:dyDescent="0.2">
      <c r="A1499">
        <f>ROW(LineærRegression_Valg[[#This Row],[Tabel ID]])-ROW(LineærRegression_Valg[[#Headers],[Tabel ID]])</f>
        <v>1489</v>
      </c>
      <c r="B1499" s="188">
        <f>ROUNDDOWN((LineærRegression_Valg[[#This Row],[Tabel ID]]-1)/$B$5,0)+1</f>
        <v>373</v>
      </c>
      <c r="C1499" s="188">
        <f t="shared" si="23"/>
        <v>1</v>
      </c>
      <c r="D1499" s="188" t="b">
        <f>LineærRegression_Valg[[#This Row],[Afhængig variabel ID]]&lt;&gt;LineærRegression_Valg[[#This Row],[Uafhængig variabel ID]]</f>
        <v>1</v>
      </c>
      <c r="E1499" s="188" t="b">
        <f>LineærRegression_Valg[[#This Row],[Afhængig variabel ID]]&lt;=$B$5</f>
        <v>0</v>
      </c>
      <c r="F1499" t="str" cm="1">
        <f t="array" ref="F1499">IF(LineærRegression_Valg[[#This Row],[Indenfor range]],INDEX(DataTitel_liste,LineærRegression_Valg[[#This Row],[Afhængig variabel ID]]),INDEX(DataTitel_liste,1))</f>
        <v>Eksempel 1 (interval)</v>
      </c>
      <c r="G1499" s="188" t="str" cm="1">
        <f t="array" ref="G1499">IF(LineærRegression_Valg[[#This Row],[Indenfor range]],IF(LineærRegression_Valg[[#This Row],[Intet overlap]],INDEX(DataTitel_liste,LineærRegression_Valg[[#This Row],[Uafhængig variabel ID]]),INDEX(DataTitel_liste,IF(LineærRegression_Valg[[#This Row],[Afhængig variabel ID]]=1,2,1))),$B$7)</f>
        <v>Eksempel 2 (interval)</v>
      </c>
      <c r="H1499" s="188">
        <f>_xlfn.AGGREGATE(2,5,LineærRegression_Valg[[#This Row],[Tabel ID]])</f>
        <v>1</v>
      </c>
    </row>
    <row r="1500" spans="1:8" x14ac:dyDescent="0.2">
      <c r="A1500">
        <f>ROW(LineærRegression_Valg[[#This Row],[Tabel ID]])-ROW(LineærRegression_Valg[[#Headers],[Tabel ID]])</f>
        <v>1490</v>
      </c>
      <c r="B1500" s="188">
        <f>ROUNDDOWN((LineærRegression_Valg[[#This Row],[Tabel ID]]-1)/$B$5,0)+1</f>
        <v>373</v>
      </c>
      <c r="C1500" s="188">
        <f t="shared" si="23"/>
        <v>2</v>
      </c>
      <c r="D1500" s="188" t="b">
        <f>LineærRegression_Valg[[#This Row],[Afhængig variabel ID]]&lt;&gt;LineærRegression_Valg[[#This Row],[Uafhængig variabel ID]]</f>
        <v>1</v>
      </c>
      <c r="E1500" s="188" t="b">
        <f>LineærRegression_Valg[[#This Row],[Afhængig variabel ID]]&lt;=$B$5</f>
        <v>0</v>
      </c>
      <c r="F1500" t="str" cm="1">
        <f t="array" ref="F1500">IF(LineærRegression_Valg[[#This Row],[Indenfor range]],INDEX(DataTitel_liste,LineærRegression_Valg[[#This Row],[Afhængig variabel ID]]),INDEX(DataTitel_liste,1))</f>
        <v>Eksempel 1 (interval)</v>
      </c>
      <c r="G1500" s="188" t="str" cm="1">
        <f t="array" ref="G1500">IF(LineærRegression_Valg[[#This Row],[Indenfor range]],IF(LineærRegression_Valg[[#This Row],[Intet overlap]],INDEX(DataTitel_liste,LineærRegression_Valg[[#This Row],[Uafhængig variabel ID]]),INDEX(DataTitel_liste,IF(LineærRegression_Valg[[#This Row],[Afhængig variabel ID]]=1,2,1))),$B$7)</f>
        <v>Eksempel 2 (interval)</v>
      </c>
      <c r="H1500" s="188">
        <f>_xlfn.AGGREGATE(2,5,LineærRegression_Valg[[#This Row],[Tabel ID]])</f>
        <v>1</v>
      </c>
    </row>
    <row r="1501" spans="1:8" x14ac:dyDescent="0.2">
      <c r="A1501">
        <f>ROW(LineærRegression_Valg[[#This Row],[Tabel ID]])-ROW(LineærRegression_Valg[[#Headers],[Tabel ID]])</f>
        <v>1491</v>
      </c>
      <c r="B1501" s="188">
        <f>ROUNDDOWN((LineærRegression_Valg[[#This Row],[Tabel ID]]-1)/$B$5,0)+1</f>
        <v>373</v>
      </c>
      <c r="C1501" s="188">
        <f t="shared" si="23"/>
        <v>3</v>
      </c>
      <c r="D1501" s="188" t="b">
        <f>LineærRegression_Valg[[#This Row],[Afhængig variabel ID]]&lt;&gt;LineærRegression_Valg[[#This Row],[Uafhængig variabel ID]]</f>
        <v>1</v>
      </c>
      <c r="E1501" s="188" t="b">
        <f>LineærRegression_Valg[[#This Row],[Afhængig variabel ID]]&lt;=$B$5</f>
        <v>0</v>
      </c>
      <c r="F1501" t="str" cm="1">
        <f t="array" ref="F1501">IF(LineærRegression_Valg[[#This Row],[Indenfor range]],INDEX(DataTitel_liste,LineærRegression_Valg[[#This Row],[Afhængig variabel ID]]),INDEX(DataTitel_liste,1))</f>
        <v>Eksempel 1 (interval)</v>
      </c>
      <c r="G1501" s="188" t="str" cm="1">
        <f t="array" ref="G1501">IF(LineærRegression_Valg[[#This Row],[Indenfor range]],IF(LineærRegression_Valg[[#This Row],[Intet overlap]],INDEX(DataTitel_liste,LineærRegression_Valg[[#This Row],[Uafhængig variabel ID]]),INDEX(DataTitel_liste,IF(LineærRegression_Valg[[#This Row],[Afhængig variabel ID]]=1,2,1))),$B$7)</f>
        <v>Eksempel 2 (interval)</v>
      </c>
      <c r="H1501" s="188">
        <f>_xlfn.AGGREGATE(2,5,LineærRegression_Valg[[#This Row],[Tabel ID]])</f>
        <v>1</v>
      </c>
    </row>
    <row r="1502" spans="1:8" x14ac:dyDescent="0.2">
      <c r="A1502">
        <f>ROW(LineærRegression_Valg[[#This Row],[Tabel ID]])-ROW(LineærRegression_Valg[[#Headers],[Tabel ID]])</f>
        <v>1492</v>
      </c>
      <c r="B1502" s="188">
        <f>ROUNDDOWN((LineærRegression_Valg[[#This Row],[Tabel ID]]-1)/$B$5,0)+1</f>
        <v>373</v>
      </c>
      <c r="C1502" s="188">
        <f t="shared" si="23"/>
        <v>4</v>
      </c>
      <c r="D1502" s="188" t="b">
        <f>LineærRegression_Valg[[#This Row],[Afhængig variabel ID]]&lt;&gt;LineærRegression_Valg[[#This Row],[Uafhængig variabel ID]]</f>
        <v>1</v>
      </c>
      <c r="E1502" s="188" t="b">
        <f>LineærRegression_Valg[[#This Row],[Afhængig variabel ID]]&lt;=$B$5</f>
        <v>0</v>
      </c>
      <c r="F1502" t="str" cm="1">
        <f t="array" ref="F1502">IF(LineærRegression_Valg[[#This Row],[Indenfor range]],INDEX(DataTitel_liste,LineærRegression_Valg[[#This Row],[Afhængig variabel ID]]),INDEX(DataTitel_liste,1))</f>
        <v>Eksempel 1 (interval)</v>
      </c>
      <c r="G1502" s="188" t="str" cm="1">
        <f t="array" ref="G1502">IF(LineærRegression_Valg[[#This Row],[Indenfor range]],IF(LineærRegression_Valg[[#This Row],[Intet overlap]],INDEX(DataTitel_liste,LineærRegression_Valg[[#This Row],[Uafhængig variabel ID]]),INDEX(DataTitel_liste,IF(LineærRegression_Valg[[#This Row],[Afhængig variabel ID]]=1,2,1))),$B$7)</f>
        <v>Eksempel 2 (interval)</v>
      </c>
      <c r="H1502" s="188">
        <f>_xlfn.AGGREGATE(2,5,LineærRegression_Valg[[#This Row],[Tabel ID]])</f>
        <v>1</v>
      </c>
    </row>
    <row r="1503" spans="1:8" x14ac:dyDescent="0.2">
      <c r="A1503">
        <f>ROW(LineærRegression_Valg[[#This Row],[Tabel ID]])-ROW(LineærRegression_Valg[[#Headers],[Tabel ID]])</f>
        <v>1493</v>
      </c>
      <c r="B1503" s="188">
        <f>ROUNDDOWN((LineærRegression_Valg[[#This Row],[Tabel ID]]-1)/$B$5,0)+1</f>
        <v>374</v>
      </c>
      <c r="C1503" s="188">
        <f t="shared" si="23"/>
        <v>1</v>
      </c>
      <c r="D1503" s="188" t="b">
        <f>LineærRegression_Valg[[#This Row],[Afhængig variabel ID]]&lt;&gt;LineærRegression_Valg[[#This Row],[Uafhængig variabel ID]]</f>
        <v>1</v>
      </c>
      <c r="E1503" s="188" t="b">
        <f>LineærRegression_Valg[[#This Row],[Afhængig variabel ID]]&lt;=$B$5</f>
        <v>0</v>
      </c>
      <c r="F1503" t="str" cm="1">
        <f t="array" ref="F1503">IF(LineærRegression_Valg[[#This Row],[Indenfor range]],INDEX(DataTitel_liste,LineærRegression_Valg[[#This Row],[Afhængig variabel ID]]),INDEX(DataTitel_liste,1))</f>
        <v>Eksempel 1 (interval)</v>
      </c>
      <c r="G1503" s="188" t="str" cm="1">
        <f t="array" ref="G1503">IF(LineærRegression_Valg[[#This Row],[Indenfor range]],IF(LineærRegression_Valg[[#This Row],[Intet overlap]],INDEX(DataTitel_liste,LineærRegression_Valg[[#This Row],[Uafhængig variabel ID]]),INDEX(DataTitel_liste,IF(LineærRegression_Valg[[#This Row],[Afhængig variabel ID]]=1,2,1))),$B$7)</f>
        <v>Eksempel 2 (interval)</v>
      </c>
      <c r="H1503" s="188">
        <f>_xlfn.AGGREGATE(2,5,LineærRegression_Valg[[#This Row],[Tabel ID]])</f>
        <v>1</v>
      </c>
    </row>
    <row r="1504" spans="1:8" x14ac:dyDescent="0.2">
      <c r="A1504">
        <f>ROW(LineærRegression_Valg[[#This Row],[Tabel ID]])-ROW(LineærRegression_Valg[[#Headers],[Tabel ID]])</f>
        <v>1494</v>
      </c>
      <c r="B1504" s="188">
        <f>ROUNDDOWN((LineærRegression_Valg[[#This Row],[Tabel ID]]-1)/$B$5,0)+1</f>
        <v>374</v>
      </c>
      <c r="C1504" s="188">
        <f t="shared" si="23"/>
        <v>2</v>
      </c>
      <c r="D1504" s="188" t="b">
        <f>LineærRegression_Valg[[#This Row],[Afhængig variabel ID]]&lt;&gt;LineærRegression_Valg[[#This Row],[Uafhængig variabel ID]]</f>
        <v>1</v>
      </c>
      <c r="E1504" s="188" t="b">
        <f>LineærRegression_Valg[[#This Row],[Afhængig variabel ID]]&lt;=$B$5</f>
        <v>0</v>
      </c>
      <c r="F1504" t="str" cm="1">
        <f t="array" ref="F1504">IF(LineærRegression_Valg[[#This Row],[Indenfor range]],INDEX(DataTitel_liste,LineærRegression_Valg[[#This Row],[Afhængig variabel ID]]),INDEX(DataTitel_liste,1))</f>
        <v>Eksempel 1 (interval)</v>
      </c>
      <c r="G1504" s="188" t="str" cm="1">
        <f t="array" ref="G1504">IF(LineærRegression_Valg[[#This Row],[Indenfor range]],IF(LineærRegression_Valg[[#This Row],[Intet overlap]],INDEX(DataTitel_liste,LineærRegression_Valg[[#This Row],[Uafhængig variabel ID]]),INDEX(DataTitel_liste,IF(LineærRegression_Valg[[#This Row],[Afhængig variabel ID]]=1,2,1))),$B$7)</f>
        <v>Eksempel 2 (interval)</v>
      </c>
      <c r="H1504" s="188">
        <f>_xlfn.AGGREGATE(2,5,LineærRegression_Valg[[#This Row],[Tabel ID]])</f>
        <v>1</v>
      </c>
    </row>
    <row r="1505" spans="1:8" x14ac:dyDescent="0.2">
      <c r="A1505">
        <f>ROW(LineærRegression_Valg[[#This Row],[Tabel ID]])-ROW(LineærRegression_Valg[[#Headers],[Tabel ID]])</f>
        <v>1495</v>
      </c>
      <c r="B1505" s="188">
        <f>ROUNDDOWN((LineærRegression_Valg[[#This Row],[Tabel ID]]-1)/$B$5,0)+1</f>
        <v>374</v>
      </c>
      <c r="C1505" s="188">
        <f t="shared" si="23"/>
        <v>3</v>
      </c>
      <c r="D1505" s="188" t="b">
        <f>LineærRegression_Valg[[#This Row],[Afhængig variabel ID]]&lt;&gt;LineærRegression_Valg[[#This Row],[Uafhængig variabel ID]]</f>
        <v>1</v>
      </c>
      <c r="E1505" s="188" t="b">
        <f>LineærRegression_Valg[[#This Row],[Afhængig variabel ID]]&lt;=$B$5</f>
        <v>0</v>
      </c>
      <c r="F1505" t="str" cm="1">
        <f t="array" ref="F1505">IF(LineærRegression_Valg[[#This Row],[Indenfor range]],INDEX(DataTitel_liste,LineærRegression_Valg[[#This Row],[Afhængig variabel ID]]),INDEX(DataTitel_liste,1))</f>
        <v>Eksempel 1 (interval)</v>
      </c>
      <c r="G1505" s="188" t="str" cm="1">
        <f t="array" ref="G1505">IF(LineærRegression_Valg[[#This Row],[Indenfor range]],IF(LineærRegression_Valg[[#This Row],[Intet overlap]],INDEX(DataTitel_liste,LineærRegression_Valg[[#This Row],[Uafhængig variabel ID]]),INDEX(DataTitel_liste,IF(LineærRegression_Valg[[#This Row],[Afhængig variabel ID]]=1,2,1))),$B$7)</f>
        <v>Eksempel 2 (interval)</v>
      </c>
      <c r="H1505" s="188">
        <f>_xlfn.AGGREGATE(2,5,LineærRegression_Valg[[#This Row],[Tabel ID]])</f>
        <v>1</v>
      </c>
    </row>
    <row r="1506" spans="1:8" x14ac:dyDescent="0.2">
      <c r="A1506">
        <f>ROW(LineærRegression_Valg[[#This Row],[Tabel ID]])-ROW(LineærRegression_Valg[[#Headers],[Tabel ID]])</f>
        <v>1496</v>
      </c>
      <c r="B1506" s="188">
        <f>ROUNDDOWN((LineærRegression_Valg[[#This Row],[Tabel ID]]-1)/$B$5,0)+1</f>
        <v>374</v>
      </c>
      <c r="C1506" s="188">
        <f t="shared" si="23"/>
        <v>4</v>
      </c>
      <c r="D1506" s="188" t="b">
        <f>LineærRegression_Valg[[#This Row],[Afhængig variabel ID]]&lt;&gt;LineærRegression_Valg[[#This Row],[Uafhængig variabel ID]]</f>
        <v>1</v>
      </c>
      <c r="E1506" s="188" t="b">
        <f>LineærRegression_Valg[[#This Row],[Afhængig variabel ID]]&lt;=$B$5</f>
        <v>0</v>
      </c>
      <c r="F1506" t="str" cm="1">
        <f t="array" ref="F1506">IF(LineærRegression_Valg[[#This Row],[Indenfor range]],INDEX(DataTitel_liste,LineærRegression_Valg[[#This Row],[Afhængig variabel ID]]),INDEX(DataTitel_liste,1))</f>
        <v>Eksempel 1 (interval)</v>
      </c>
      <c r="G1506" s="188" t="str" cm="1">
        <f t="array" ref="G1506">IF(LineærRegression_Valg[[#This Row],[Indenfor range]],IF(LineærRegression_Valg[[#This Row],[Intet overlap]],INDEX(DataTitel_liste,LineærRegression_Valg[[#This Row],[Uafhængig variabel ID]]),INDEX(DataTitel_liste,IF(LineærRegression_Valg[[#This Row],[Afhængig variabel ID]]=1,2,1))),$B$7)</f>
        <v>Eksempel 2 (interval)</v>
      </c>
      <c r="H1506" s="188">
        <f>_xlfn.AGGREGATE(2,5,LineærRegression_Valg[[#This Row],[Tabel ID]])</f>
        <v>1</v>
      </c>
    </row>
    <row r="1507" spans="1:8" x14ac:dyDescent="0.2">
      <c r="A1507">
        <f>ROW(LineærRegression_Valg[[#This Row],[Tabel ID]])-ROW(LineærRegression_Valg[[#Headers],[Tabel ID]])</f>
        <v>1497</v>
      </c>
      <c r="B1507" s="188">
        <f>ROUNDDOWN((LineærRegression_Valg[[#This Row],[Tabel ID]]-1)/$B$5,0)+1</f>
        <v>375</v>
      </c>
      <c r="C1507" s="188">
        <f t="shared" si="23"/>
        <v>1</v>
      </c>
      <c r="D1507" s="188" t="b">
        <f>LineærRegression_Valg[[#This Row],[Afhængig variabel ID]]&lt;&gt;LineærRegression_Valg[[#This Row],[Uafhængig variabel ID]]</f>
        <v>1</v>
      </c>
      <c r="E1507" s="188" t="b">
        <f>LineærRegression_Valg[[#This Row],[Afhængig variabel ID]]&lt;=$B$5</f>
        <v>0</v>
      </c>
      <c r="F1507" t="str" cm="1">
        <f t="array" ref="F1507">IF(LineærRegression_Valg[[#This Row],[Indenfor range]],INDEX(DataTitel_liste,LineærRegression_Valg[[#This Row],[Afhængig variabel ID]]),INDEX(DataTitel_liste,1))</f>
        <v>Eksempel 1 (interval)</v>
      </c>
      <c r="G1507" s="188" t="str" cm="1">
        <f t="array" ref="G1507">IF(LineærRegression_Valg[[#This Row],[Indenfor range]],IF(LineærRegression_Valg[[#This Row],[Intet overlap]],INDEX(DataTitel_liste,LineærRegression_Valg[[#This Row],[Uafhængig variabel ID]]),INDEX(DataTitel_liste,IF(LineærRegression_Valg[[#This Row],[Afhængig variabel ID]]=1,2,1))),$B$7)</f>
        <v>Eksempel 2 (interval)</v>
      </c>
      <c r="H1507" s="188">
        <f>_xlfn.AGGREGATE(2,5,LineærRegression_Valg[[#This Row],[Tabel ID]])</f>
        <v>1</v>
      </c>
    </row>
    <row r="1508" spans="1:8" x14ac:dyDescent="0.2">
      <c r="A1508">
        <f>ROW(LineærRegression_Valg[[#This Row],[Tabel ID]])-ROW(LineærRegression_Valg[[#Headers],[Tabel ID]])</f>
        <v>1498</v>
      </c>
      <c r="B1508" s="188">
        <f>ROUNDDOWN((LineærRegression_Valg[[#This Row],[Tabel ID]]-1)/$B$5,0)+1</f>
        <v>375</v>
      </c>
      <c r="C1508" s="188">
        <f t="shared" si="23"/>
        <v>2</v>
      </c>
      <c r="D1508" s="188" t="b">
        <f>LineærRegression_Valg[[#This Row],[Afhængig variabel ID]]&lt;&gt;LineærRegression_Valg[[#This Row],[Uafhængig variabel ID]]</f>
        <v>1</v>
      </c>
      <c r="E1508" s="188" t="b">
        <f>LineærRegression_Valg[[#This Row],[Afhængig variabel ID]]&lt;=$B$5</f>
        <v>0</v>
      </c>
      <c r="F1508" t="str" cm="1">
        <f t="array" ref="F1508">IF(LineærRegression_Valg[[#This Row],[Indenfor range]],INDEX(DataTitel_liste,LineærRegression_Valg[[#This Row],[Afhængig variabel ID]]),INDEX(DataTitel_liste,1))</f>
        <v>Eksempel 1 (interval)</v>
      </c>
      <c r="G1508" s="188" t="str" cm="1">
        <f t="array" ref="G1508">IF(LineærRegression_Valg[[#This Row],[Indenfor range]],IF(LineærRegression_Valg[[#This Row],[Intet overlap]],INDEX(DataTitel_liste,LineærRegression_Valg[[#This Row],[Uafhængig variabel ID]]),INDEX(DataTitel_liste,IF(LineærRegression_Valg[[#This Row],[Afhængig variabel ID]]=1,2,1))),$B$7)</f>
        <v>Eksempel 2 (interval)</v>
      </c>
      <c r="H1508" s="188">
        <f>_xlfn.AGGREGATE(2,5,LineærRegression_Valg[[#This Row],[Tabel ID]])</f>
        <v>1</v>
      </c>
    </row>
    <row r="1509" spans="1:8" x14ac:dyDescent="0.2">
      <c r="A1509">
        <f>ROW(LineærRegression_Valg[[#This Row],[Tabel ID]])-ROW(LineærRegression_Valg[[#Headers],[Tabel ID]])</f>
        <v>1499</v>
      </c>
      <c r="B1509" s="188">
        <f>ROUNDDOWN((LineærRegression_Valg[[#This Row],[Tabel ID]]-1)/$B$5,0)+1</f>
        <v>375</v>
      </c>
      <c r="C1509" s="188">
        <f t="shared" si="23"/>
        <v>3</v>
      </c>
      <c r="D1509" s="188" t="b">
        <f>LineærRegression_Valg[[#This Row],[Afhængig variabel ID]]&lt;&gt;LineærRegression_Valg[[#This Row],[Uafhængig variabel ID]]</f>
        <v>1</v>
      </c>
      <c r="E1509" s="188" t="b">
        <f>LineærRegression_Valg[[#This Row],[Afhængig variabel ID]]&lt;=$B$5</f>
        <v>0</v>
      </c>
      <c r="F1509" t="str" cm="1">
        <f t="array" ref="F1509">IF(LineærRegression_Valg[[#This Row],[Indenfor range]],INDEX(DataTitel_liste,LineærRegression_Valg[[#This Row],[Afhængig variabel ID]]),INDEX(DataTitel_liste,1))</f>
        <v>Eksempel 1 (interval)</v>
      </c>
      <c r="G1509" s="188" t="str" cm="1">
        <f t="array" ref="G1509">IF(LineærRegression_Valg[[#This Row],[Indenfor range]],IF(LineærRegression_Valg[[#This Row],[Intet overlap]],INDEX(DataTitel_liste,LineærRegression_Valg[[#This Row],[Uafhængig variabel ID]]),INDEX(DataTitel_liste,IF(LineærRegression_Valg[[#This Row],[Afhængig variabel ID]]=1,2,1))),$B$7)</f>
        <v>Eksempel 2 (interval)</v>
      </c>
      <c r="H1509" s="188">
        <f>_xlfn.AGGREGATE(2,5,LineærRegression_Valg[[#This Row],[Tabel ID]])</f>
        <v>1</v>
      </c>
    </row>
    <row r="1510" spans="1:8" x14ac:dyDescent="0.2">
      <c r="A1510">
        <f>ROW(LineærRegression_Valg[[#This Row],[Tabel ID]])-ROW(LineærRegression_Valg[[#Headers],[Tabel ID]])</f>
        <v>1500</v>
      </c>
      <c r="B1510" s="188">
        <f>ROUNDDOWN((LineærRegression_Valg[[#This Row],[Tabel ID]]-1)/$B$5,0)+1</f>
        <v>375</v>
      </c>
      <c r="C1510" s="188">
        <f t="shared" si="23"/>
        <v>4</v>
      </c>
      <c r="D1510" s="188" t="b">
        <f>LineærRegression_Valg[[#This Row],[Afhængig variabel ID]]&lt;&gt;LineærRegression_Valg[[#This Row],[Uafhængig variabel ID]]</f>
        <v>1</v>
      </c>
      <c r="E1510" s="188" t="b">
        <f>LineærRegression_Valg[[#This Row],[Afhængig variabel ID]]&lt;=$B$5</f>
        <v>0</v>
      </c>
      <c r="F1510" t="str" cm="1">
        <f t="array" ref="F1510">IF(LineærRegression_Valg[[#This Row],[Indenfor range]],INDEX(DataTitel_liste,LineærRegression_Valg[[#This Row],[Afhængig variabel ID]]),INDEX(DataTitel_liste,1))</f>
        <v>Eksempel 1 (interval)</v>
      </c>
      <c r="G1510" s="188" t="str" cm="1">
        <f t="array" ref="G1510">IF(LineærRegression_Valg[[#This Row],[Indenfor range]],IF(LineærRegression_Valg[[#This Row],[Intet overlap]],INDEX(DataTitel_liste,LineærRegression_Valg[[#This Row],[Uafhængig variabel ID]]),INDEX(DataTitel_liste,IF(LineærRegression_Valg[[#This Row],[Afhængig variabel ID]]=1,2,1))),$B$7)</f>
        <v>Eksempel 2 (interval)</v>
      </c>
      <c r="H1510" s="188">
        <f>_xlfn.AGGREGATE(2,5,LineærRegression_Valg[[#This Row],[Tabel ID]])</f>
        <v>1</v>
      </c>
    </row>
    <row r="1511" spans="1:8" x14ac:dyDescent="0.2">
      <c r="A1511">
        <f>ROW(LineærRegression_Valg[[#This Row],[Tabel ID]])-ROW(LineærRegression_Valg[[#Headers],[Tabel ID]])</f>
        <v>1501</v>
      </c>
      <c r="B1511" s="188">
        <f>ROUNDDOWN((LineærRegression_Valg[[#This Row],[Tabel ID]]-1)/$B$5,0)+1</f>
        <v>376</v>
      </c>
      <c r="C1511" s="188">
        <f t="shared" si="23"/>
        <v>1</v>
      </c>
      <c r="D1511" s="188" t="b">
        <f>LineærRegression_Valg[[#This Row],[Afhængig variabel ID]]&lt;&gt;LineærRegression_Valg[[#This Row],[Uafhængig variabel ID]]</f>
        <v>1</v>
      </c>
      <c r="E1511" s="188" t="b">
        <f>LineærRegression_Valg[[#This Row],[Afhængig variabel ID]]&lt;=$B$5</f>
        <v>0</v>
      </c>
      <c r="F1511" t="str" cm="1">
        <f t="array" ref="F1511">IF(LineærRegression_Valg[[#This Row],[Indenfor range]],INDEX(DataTitel_liste,LineærRegression_Valg[[#This Row],[Afhængig variabel ID]]),INDEX(DataTitel_liste,1))</f>
        <v>Eksempel 1 (interval)</v>
      </c>
      <c r="G1511" s="188" t="str" cm="1">
        <f t="array" ref="G1511">IF(LineærRegression_Valg[[#This Row],[Indenfor range]],IF(LineærRegression_Valg[[#This Row],[Intet overlap]],INDEX(DataTitel_liste,LineærRegression_Valg[[#This Row],[Uafhængig variabel ID]]),INDEX(DataTitel_liste,IF(LineærRegression_Valg[[#This Row],[Afhængig variabel ID]]=1,2,1))),$B$7)</f>
        <v>Eksempel 2 (interval)</v>
      </c>
      <c r="H1511" s="188">
        <f>_xlfn.AGGREGATE(2,5,LineærRegression_Valg[[#This Row],[Tabel ID]])</f>
        <v>1</v>
      </c>
    </row>
    <row r="1512" spans="1:8" x14ac:dyDescent="0.2">
      <c r="A1512">
        <f>ROW(LineærRegression_Valg[[#This Row],[Tabel ID]])-ROW(LineærRegression_Valg[[#Headers],[Tabel ID]])</f>
        <v>1502</v>
      </c>
      <c r="B1512" s="188">
        <f>ROUNDDOWN((LineærRegression_Valg[[#This Row],[Tabel ID]]-1)/$B$5,0)+1</f>
        <v>376</v>
      </c>
      <c r="C1512" s="188">
        <f t="shared" si="23"/>
        <v>2</v>
      </c>
      <c r="D1512" s="188" t="b">
        <f>LineærRegression_Valg[[#This Row],[Afhængig variabel ID]]&lt;&gt;LineærRegression_Valg[[#This Row],[Uafhængig variabel ID]]</f>
        <v>1</v>
      </c>
      <c r="E1512" s="188" t="b">
        <f>LineærRegression_Valg[[#This Row],[Afhængig variabel ID]]&lt;=$B$5</f>
        <v>0</v>
      </c>
      <c r="F1512" t="str" cm="1">
        <f t="array" ref="F1512">IF(LineærRegression_Valg[[#This Row],[Indenfor range]],INDEX(DataTitel_liste,LineærRegression_Valg[[#This Row],[Afhængig variabel ID]]),INDEX(DataTitel_liste,1))</f>
        <v>Eksempel 1 (interval)</v>
      </c>
      <c r="G1512" s="188" t="str" cm="1">
        <f t="array" ref="G1512">IF(LineærRegression_Valg[[#This Row],[Indenfor range]],IF(LineærRegression_Valg[[#This Row],[Intet overlap]],INDEX(DataTitel_liste,LineærRegression_Valg[[#This Row],[Uafhængig variabel ID]]),INDEX(DataTitel_liste,IF(LineærRegression_Valg[[#This Row],[Afhængig variabel ID]]=1,2,1))),$B$7)</f>
        <v>Eksempel 2 (interval)</v>
      </c>
      <c r="H1512" s="188">
        <f>_xlfn.AGGREGATE(2,5,LineærRegression_Valg[[#This Row],[Tabel ID]])</f>
        <v>1</v>
      </c>
    </row>
    <row r="1513" spans="1:8" x14ac:dyDescent="0.2">
      <c r="A1513">
        <f>ROW(LineærRegression_Valg[[#This Row],[Tabel ID]])-ROW(LineærRegression_Valg[[#Headers],[Tabel ID]])</f>
        <v>1503</v>
      </c>
      <c r="B1513" s="188">
        <f>ROUNDDOWN((LineærRegression_Valg[[#This Row],[Tabel ID]]-1)/$B$5,0)+1</f>
        <v>376</v>
      </c>
      <c r="C1513" s="188">
        <f t="shared" si="23"/>
        <v>3</v>
      </c>
      <c r="D1513" s="188" t="b">
        <f>LineærRegression_Valg[[#This Row],[Afhængig variabel ID]]&lt;&gt;LineærRegression_Valg[[#This Row],[Uafhængig variabel ID]]</f>
        <v>1</v>
      </c>
      <c r="E1513" s="188" t="b">
        <f>LineærRegression_Valg[[#This Row],[Afhængig variabel ID]]&lt;=$B$5</f>
        <v>0</v>
      </c>
      <c r="F1513" t="str" cm="1">
        <f t="array" ref="F1513">IF(LineærRegression_Valg[[#This Row],[Indenfor range]],INDEX(DataTitel_liste,LineærRegression_Valg[[#This Row],[Afhængig variabel ID]]),INDEX(DataTitel_liste,1))</f>
        <v>Eksempel 1 (interval)</v>
      </c>
      <c r="G1513" s="188" t="str" cm="1">
        <f t="array" ref="G1513">IF(LineærRegression_Valg[[#This Row],[Indenfor range]],IF(LineærRegression_Valg[[#This Row],[Intet overlap]],INDEX(DataTitel_liste,LineærRegression_Valg[[#This Row],[Uafhængig variabel ID]]),INDEX(DataTitel_liste,IF(LineærRegression_Valg[[#This Row],[Afhængig variabel ID]]=1,2,1))),$B$7)</f>
        <v>Eksempel 2 (interval)</v>
      </c>
      <c r="H1513" s="188">
        <f>_xlfn.AGGREGATE(2,5,LineærRegression_Valg[[#This Row],[Tabel ID]])</f>
        <v>1</v>
      </c>
    </row>
    <row r="1514" spans="1:8" x14ac:dyDescent="0.2">
      <c r="A1514">
        <f>ROW(LineærRegression_Valg[[#This Row],[Tabel ID]])-ROW(LineærRegression_Valg[[#Headers],[Tabel ID]])</f>
        <v>1504</v>
      </c>
      <c r="B1514" s="188">
        <f>ROUNDDOWN((LineærRegression_Valg[[#This Row],[Tabel ID]]-1)/$B$5,0)+1</f>
        <v>376</v>
      </c>
      <c r="C1514" s="188">
        <f t="shared" si="23"/>
        <v>4</v>
      </c>
      <c r="D1514" s="188" t="b">
        <f>LineærRegression_Valg[[#This Row],[Afhængig variabel ID]]&lt;&gt;LineærRegression_Valg[[#This Row],[Uafhængig variabel ID]]</f>
        <v>1</v>
      </c>
      <c r="E1514" s="188" t="b">
        <f>LineærRegression_Valg[[#This Row],[Afhængig variabel ID]]&lt;=$B$5</f>
        <v>0</v>
      </c>
      <c r="F1514" t="str" cm="1">
        <f t="array" ref="F1514">IF(LineærRegression_Valg[[#This Row],[Indenfor range]],INDEX(DataTitel_liste,LineærRegression_Valg[[#This Row],[Afhængig variabel ID]]),INDEX(DataTitel_liste,1))</f>
        <v>Eksempel 1 (interval)</v>
      </c>
      <c r="G1514" s="188" t="str" cm="1">
        <f t="array" ref="G1514">IF(LineærRegression_Valg[[#This Row],[Indenfor range]],IF(LineærRegression_Valg[[#This Row],[Intet overlap]],INDEX(DataTitel_liste,LineærRegression_Valg[[#This Row],[Uafhængig variabel ID]]),INDEX(DataTitel_liste,IF(LineærRegression_Valg[[#This Row],[Afhængig variabel ID]]=1,2,1))),$B$7)</f>
        <v>Eksempel 2 (interval)</v>
      </c>
      <c r="H1514" s="188">
        <f>_xlfn.AGGREGATE(2,5,LineærRegression_Valg[[#This Row],[Tabel ID]])</f>
        <v>1</v>
      </c>
    </row>
    <row r="1515" spans="1:8" x14ac:dyDescent="0.2">
      <c r="A1515">
        <f>ROW(LineærRegression_Valg[[#This Row],[Tabel ID]])-ROW(LineærRegression_Valg[[#Headers],[Tabel ID]])</f>
        <v>1505</v>
      </c>
      <c r="B1515" s="188">
        <f>ROUNDDOWN((LineærRegression_Valg[[#This Row],[Tabel ID]]-1)/$B$5,0)+1</f>
        <v>377</v>
      </c>
      <c r="C1515" s="188">
        <f t="shared" si="23"/>
        <v>1</v>
      </c>
      <c r="D1515" s="188" t="b">
        <f>LineærRegression_Valg[[#This Row],[Afhængig variabel ID]]&lt;&gt;LineærRegression_Valg[[#This Row],[Uafhængig variabel ID]]</f>
        <v>1</v>
      </c>
      <c r="E1515" s="188" t="b">
        <f>LineærRegression_Valg[[#This Row],[Afhængig variabel ID]]&lt;=$B$5</f>
        <v>0</v>
      </c>
      <c r="F1515" t="str" cm="1">
        <f t="array" ref="F1515">IF(LineærRegression_Valg[[#This Row],[Indenfor range]],INDEX(DataTitel_liste,LineærRegression_Valg[[#This Row],[Afhængig variabel ID]]),INDEX(DataTitel_liste,1))</f>
        <v>Eksempel 1 (interval)</v>
      </c>
      <c r="G1515" s="188" t="str" cm="1">
        <f t="array" ref="G1515">IF(LineærRegression_Valg[[#This Row],[Indenfor range]],IF(LineærRegression_Valg[[#This Row],[Intet overlap]],INDEX(DataTitel_liste,LineærRegression_Valg[[#This Row],[Uafhængig variabel ID]]),INDEX(DataTitel_liste,IF(LineærRegression_Valg[[#This Row],[Afhængig variabel ID]]=1,2,1))),$B$7)</f>
        <v>Eksempel 2 (interval)</v>
      </c>
      <c r="H1515" s="188">
        <f>_xlfn.AGGREGATE(2,5,LineærRegression_Valg[[#This Row],[Tabel ID]])</f>
        <v>1</v>
      </c>
    </row>
    <row r="1516" spans="1:8" x14ac:dyDescent="0.2">
      <c r="A1516">
        <f>ROW(LineærRegression_Valg[[#This Row],[Tabel ID]])-ROW(LineærRegression_Valg[[#Headers],[Tabel ID]])</f>
        <v>1506</v>
      </c>
      <c r="B1516" s="188">
        <f>ROUNDDOWN((LineærRegression_Valg[[#This Row],[Tabel ID]]-1)/$B$5,0)+1</f>
        <v>377</v>
      </c>
      <c r="C1516" s="188">
        <f t="shared" si="23"/>
        <v>2</v>
      </c>
      <c r="D1516" s="188" t="b">
        <f>LineærRegression_Valg[[#This Row],[Afhængig variabel ID]]&lt;&gt;LineærRegression_Valg[[#This Row],[Uafhængig variabel ID]]</f>
        <v>1</v>
      </c>
      <c r="E1516" s="188" t="b">
        <f>LineærRegression_Valg[[#This Row],[Afhængig variabel ID]]&lt;=$B$5</f>
        <v>0</v>
      </c>
      <c r="F1516" t="str" cm="1">
        <f t="array" ref="F1516">IF(LineærRegression_Valg[[#This Row],[Indenfor range]],INDEX(DataTitel_liste,LineærRegression_Valg[[#This Row],[Afhængig variabel ID]]),INDEX(DataTitel_liste,1))</f>
        <v>Eksempel 1 (interval)</v>
      </c>
      <c r="G1516" s="188" t="str" cm="1">
        <f t="array" ref="G1516">IF(LineærRegression_Valg[[#This Row],[Indenfor range]],IF(LineærRegression_Valg[[#This Row],[Intet overlap]],INDEX(DataTitel_liste,LineærRegression_Valg[[#This Row],[Uafhængig variabel ID]]),INDEX(DataTitel_liste,IF(LineærRegression_Valg[[#This Row],[Afhængig variabel ID]]=1,2,1))),$B$7)</f>
        <v>Eksempel 2 (interval)</v>
      </c>
      <c r="H1516" s="188">
        <f>_xlfn.AGGREGATE(2,5,LineærRegression_Valg[[#This Row],[Tabel ID]])</f>
        <v>1</v>
      </c>
    </row>
    <row r="1517" spans="1:8" x14ac:dyDescent="0.2">
      <c r="A1517">
        <f>ROW(LineærRegression_Valg[[#This Row],[Tabel ID]])-ROW(LineærRegression_Valg[[#Headers],[Tabel ID]])</f>
        <v>1507</v>
      </c>
      <c r="B1517" s="188">
        <f>ROUNDDOWN((LineærRegression_Valg[[#This Row],[Tabel ID]]-1)/$B$5,0)+1</f>
        <v>377</v>
      </c>
      <c r="C1517" s="188">
        <f t="shared" si="23"/>
        <v>3</v>
      </c>
      <c r="D1517" s="188" t="b">
        <f>LineærRegression_Valg[[#This Row],[Afhængig variabel ID]]&lt;&gt;LineærRegression_Valg[[#This Row],[Uafhængig variabel ID]]</f>
        <v>1</v>
      </c>
      <c r="E1517" s="188" t="b">
        <f>LineærRegression_Valg[[#This Row],[Afhængig variabel ID]]&lt;=$B$5</f>
        <v>0</v>
      </c>
      <c r="F1517" t="str" cm="1">
        <f t="array" ref="F1517">IF(LineærRegression_Valg[[#This Row],[Indenfor range]],INDEX(DataTitel_liste,LineærRegression_Valg[[#This Row],[Afhængig variabel ID]]),INDEX(DataTitel_liste,1))</f>
        <v>Eksempel 1 (interval)</v>
      </c>
      <c r="G1517" s="188" t="str" cm="1">
        <f t="array" ref="G1517">IF(LineærRegression_Valg[[#This Row],[Indenfor range]],IF(LineærRegression_Valg[[#This Row],[Intet overlap]],INDEX(DataTitel_liste,LineærRegression_Valg[[#This Row],[Uafhængig variabel ID]]),INDEX(DataTitel_liste,IF(LineærRegression_Valg[[#This Row],[Afhængig variabel ID]]=1,2,1))),$B$7)</f>
        <v>Eksempel 2 (interval)</v>
      </c>
      <c r="H1517" s="188">
        <f>_xlfn.AGGREGATE(2,5,LineærRegression_Valg[[#This Row],[Tabel ID]])</f>
        <v>1</v>
      </c>
    </row>
    <row r="1518" spans="1:8" x14ac:dyDescent="0.2">
      <c r="A1518">
        <f>ROW(LineærRegression_Valg[[#This Row],[Tabel ID]])-ROW(LineærRegression_Valg[[#Headers],[Tabel ID]])</f>
        <v>1508</v>
      </c>
      <c r="B1518" s="188">
        <f>ROUNDDOWN((LineærRegression_Valg[[#This Row],[Tabel ID]]-1)/$B$5,0)+1</f>
        <v>377</v>
      </c>
      <c r="C1518" s="188">
        <f t="shared" si="23"/>
        <v>4</v>
      </c>
      <c r="D1518" s="188" t="b">
        <f>LineærRegression_Valg[[#This Row],[Afhængig variabel ID]]&lt;&gt;LineærRegression_Valg[[#This Row],[Uafhængig variabel ID]]</f>
        <v>1</v>
      </c>
      <c r="E1518" s="188" t="b">
        <f>LineærRegression_Valg[[#This Row],[Afhængig variabel ID]]&lt;=$B$5</f>
        <v>0</v>
      </c>
      <c r="F1518" t="str" cm="1">
        <f t="array" ref="F1518">IF(LineærRegression_Valg[[#This Row],[Indenfor range]],INDEX(DataTitel_liste,LineærRegression_Valg[[#This Row],[Afhængig variabel ID]]),INDEX(DataTitel_liste,1))</f>
        <v>Eksempel 1 (interval)</v>
      </c>
      <c r="G1518" s="188" t="str" cm="1">
        <f t="array" ref="G1518">IF(LineærRegression_Valg[[#This Row],[Indenfor range]],IF(LineærRegression_Valg[[#This Row],[Intet overlap]],INDEX(DataTitel_liste,LineærRegression_Valg[[#This Row],[Uafhængig variabel ID]]),INDEX(DataTitel_liste,IF(LineærRegression_Valg[[#This Row],[Afhængig variabel ID]]=1,2,1))),$B$7)</f>
        <v>Eksempel 2 (interval)</v>
      </c>
      <c r="H1518" s="188">
        <f>_xlfn.AGGREGATE(2,5,LineærRegression_Valg[[#This Row],[Tabel ID]])</f>
        <v>1</v>
      </c>
    </row>
    <row r="1519" spans="1:8" x14ac:dyDescent="0.2">
      <c r="A1519">
        <f>ROW(LineærRegression_Valg[[#This Row],[Tabel ID]])-ROW(LineærRegression_Valg[[#Headers],[Tabel ID]])</f>
        <v>1509</v>
      </c>
      <c r="B1519" s="188">
        <f>ROUNDDOWN((LineærRegression_Valg[[#This Row],[Tabel ID]]-1)/$B$5,0)+1</f>
        <v>378</v>
      </c>
      <c r="C1519" s="188">
        <f t="shared" si="23"/>
        <v>1</v>
      </c>
      <c r="D1519" s="188" t="b">
        <f>LineærRegression_Valg[[#This Row],[Afhængig variabel ID]]&lt;&gt;LineærRegression_Valg[[#This Row],[Uafhængig variabel ID]]</f>
        <v>1</v>
      </c>
      <c r="E1519" s="188" t="b">
        <f>LineærRegression_Valg[[#This Row],[Afhængig variabel ID]]&lt;=$B$5</f>
        <v>0</v>
      </c>
      <c r="F1519" t="str" cm="1">
        <f t="array" ref="F1519">IF(LineærRegression_Valg[[#This Row],[Indenfor range]],INDEX(DataTitel_liste,LineærRegression_Valg[[#This Row],[Afhængig variabel ID]]),INDEX(DataTitel_liste,1))</f>
        <v>Eksempel 1 (interval)</v>
      </c>
      <c r="G1519" s="188" t="str" cm="1">
        <f t="array" ref="G1519">IF(LineærRegression_Valg[[#This Row],[Indenfor range]],IF(LineærRegression_Valg[[#This Row],[Intet overlap]],INDEX(DataTitel_liste,LineærRegression_Valg[[#This Row],[Uafhængig variabel ID]]),INDEX(DataTitel_liste,IF(LineærRegression_Valg[[#This Row],[Afhængig variabel ID]]=1,2,1))),$B$7)</f>
        <v>Eksempel 2 (interval)</v>
      </c>
      <c r="H1519" s="188">
        <f>_xlfn.AGGREGATE(2,5,LineærRegression_Valg[[#This Row],[Tabel ID]])</f>
        <v>1</v>
      </c>
    </row>
    <row r="1520" spans="1:8" x14ac:dyDescent="0.2">
      <c r="A1520">
        <f>ROW(LineærRegression_Valg[[#This Row],[Tabel ID]])-ROW(LineærRegression_Valg[[#Headers],[Tabel ID]])</f>
        <v>1510</v>
      </c>
      <c r="B1520" s="188">
        <f>ROUNDDOWN((LineærRegression_Valg[[#This Row],[Tabel ID]]-1)/$B$5,0)+1</f>
        <v>378</v>
      </c>
      <c r="C1520" s="188">
        <f t="shared" si="23"/>
        <v>2</v>
      </c>
      <c r="D1520" s="188" t="b">
        <f>LineærRegression_Valg[[#This Row],[Afhængig variabel ID]]&lt;&gt;LineærRegression_Valg[[#This Row],[Uafhængig variabel ID]]</f>
        <v>1</v>
      </c>
      <c r="E1520" s="188" t="b">
        <f>LineærRegression_Valg[[#This Row],[Afhængig variabel ID]]&lt;=$B$5</f>
        <v>0</v>
      </c>
      <c r="F1520" t="str" cm="1">
        <f t="array" ref="F1520">IF(LineærRegression_Valg[[#This Row],[Indenfor range]],INDEX(DataTitel_liste,LineærRegression_Valg[[#This Row],[Afhængig variabel ID]]),INDEX(DataTitel_liste,1))</f>
        <v>Eksempel 1 (interval)</v>
      </c>
      <c r="G1520" s="188" t="str" cm="1">
        <f t="array" ref="G1520">IF(LineærRegression_Valg[[#This Row],[Indenfor range]],IF(LineærRegression_Valg[[#This Row],[Intet overlap]],INDEX(DataTitel_liste,LineærRegression_Valg[[#This Row],[Uafhængig variabel ID]]),INDEX(DataTitel_liste,IF(LineærRegression_Valg[[#This Row],[Afhængig variabel ID]]=1,2,1))),$B$7)</f>
        <v>Eksempel 2 (interval)</v>
      </c>
      <c r="H1520" s="188">
        <f>_xlfn.AGGREGATE(2,5,LineærRegression_Valg[[#This Row],[Tabel ID]])</f>
        <v>1</v>
      </c>
    </row>
    <row r="1521" spans="1:8" x14ac:dyDescent="0.2">
      <c r="A1521">
        <f>ROW(LineærRegression_Valg[[#This Row],[Tabel ID]])-ROW(LineærRegression_Valg[[#Headers],[Tabel ID]])</f>
        <v>1511</v>
      </c>
      <c r="B1521" s="188">
        <f>ROUNDDOWN((LineærRegression_Valg[[#This Row],[Tabel ID]]-1)/$B$5,0)+1</f>
        <v>378</v>
      </c>
      <c r="C1521" s="188">
        <f t="shared" si="23"/>
        <v>3</v>
      </c>
      <c r="D1521" s="188" t="b">
        <f>LineærRegression_Valg[[#This Row],[Afhængig variabel ID]]&lt;&gt;LineærRegression_Valg[[#This Row],[Uafhængig variabel ID]]</f>
        <v>1</v>
      </c>
      <c r="E1521" s="188" t="b">
        <f>LineærRegression_Valg[[#This Row],[Afhængig variabel ID]]&lt;=$B$5</f>
        <v>0</v>
      </c>
      <c r="F1521" t="str" cm="1">
        <f t="array" ref="F1521">IF(LineærRegression_Valg[[#This Row],[Indenfor range]],INDEX(DataTitel_liste,LineærRegression_Valg[[#This Row],[Afhængig variabel ID]]),INDEX(DataTitel_liste,1))</f>
        <v>Eksempel 1 (interval)</v>
      </c>
      <c r="G1521" s="188" t="str" cm="1">
        <f t="array" ref="G1521">IF(LineærRegression_Valg[[#This Row],[Indenfor range]],IF(LineærRegression_Valg[[#This Row],[Intet overlap]],INDEX(DataTitel_liste,LineærRegression_Valg[[#This Row],[Uafhængig variabel ID]]),INDEX(DataTitel_liste,IF(LineærRegression_Valg[[#This Row],[Afhængig variabel ID]]=1,2,1))),$B$7)</f>
        <v>Eksempel 2 (interval)</v>
      </c>
      <c r="H1521" s="188">
        <f>_xlfn.AGGREGATE(2,5,LineærRegression_Valg[[#This Row],[Tabel ID]])</f>
        <v>1</v>
      </c>
    </row>
    <row r="1522" spans="1:8" x14ac:dyDescent="0.2">
      <c r="A1522">
        <f>ROW(LineærRegression_Valg[[#This Row],[Tabel ID]])-ROW(LineærRegression_Valg[[#Headers],[Tabel ID]])</f>
        <v>1512</v>
      </c>
      <c r="B1522" s="188">
        <f>ROUNDDOWN((LineærRegression_Valg[[#This Row],[Tabel ID]]-1)/$B$5,0)+1</f>
        <v>378</v>
      </c>
      <c r="C1522" s="188">
        <f t="shared" si="23"/>
        <v>4</v>
      </c>
      <c r="D1522" s="188" t="b">
        <f>LineærRegression_Valg[[#This Row],[Afhængig variabel ID]]&lt;&gt;LineærRegression_Valg[[#This Row],[Uafhængig variabel ID]]</f>
        <v>1</v>
      </c>
      <c r="E1522" s="188" t="b">
        <f>LineærRegression_Valg[[#This Row],[Afhængig variabel ID]]&lt;=$B$5</f>
        <v>0</v>
      </c>
      <c r="F1522" t="str" cm="1">
        <f t="array" ref="F1522">IF(LineærRegression_Valg[[#This Row],[Indenfor range]],INDEX(DataTitel_liste,LineærRegression_Valg[[#This Row],[Afhængig variabel ID]]),INDEX(DataTitel_liste,1))</f>
        <v>Eksempel 1 (interval)</v>
      </c>
      <c r="G1522" s="188" t="str" cm="1">
        <f t="array" ref="G1522">IF(LineærRegression_Valg[[#This Row],[Indenfor range]],IF(LineærRegression_Valg[[#This Row],[Intet overlap]],INDEX(DataTitel_liste,LineærRegression_Valg[[#This Row],[Uafhængig variabel ID]]),INDEX(DataTitel_liste,IF(LineærRegression_Valg[[#This Row],[Afhængig variabel ID]]=1,2,1))),$B$7)</f>
        <v>Eksempel 2 (interval)</v>
      </c>
      <c r="H1522" s="188">
        <f>_xlfn.AGGREGATE(2,5,LineærRegression_Valg[[#This Row],[Tabel ID]])</f>
        <v>1</v>
      </c>
    </row>
    <row r="1523" spans="1:8" x14ac:dyDescent="0.2">
      <c r="A1523">
        <f>ROW(LineærRegression_Valg[[#This Row],[Tabel ID]])-ROW(LineærRegression_Valg[[#Headers],[Tabel ID]])</f>
        <v>1513</v>
      </c>
      <c r="B1523" s="188">
        <f>ROUNDDOWN((LineærRegression_Valg[[#This Row],[Tabel ID]]-1)/$B$5,0)+1</f>
        <v>379</v>
      </c>
      <c r="C1523" s="188">
        <f t="shared" si="23"/>
        <v>1</v>
      </c>
      <c r="D1523" s="188" t="b">
        <f>LineærRegression_Valg[[#This Row],[Afhængig variabel ID]]&lt;&gt;LineærRegression_Valg[[#This Row],[Uafhængig variabel ID]]</f>
        <v>1</v>
      </c>
      <c r="E1523" s="188" t="b">
        <f>LineærRegression_Valg[[#This Row],[Afhængig variabel ID]]&lt;=$B$5</f>
        <v>0</v>
      </c>
      <c r="F1523" t="str" cm="1">
        <f t="array" ref="F1523">IF(LineærRegression_Valg[[#This Row],[Indenfor range]],INDEX(DataTitel_liste,LineærRegression_Valg[[#This Row],[Afhængig variabel ID]]),INDEX(DataTitel_liste,1))</f>
        <v>Eksempel 1 (interval)</v>
      </c>
      <c r="G1523" s="188" t="str" cm="1">
        <f t="array" ref="G1523">IF(LineærRegression_Valg[[#This Row],[Indenfor range]],IF(LineærRegression_Valg[[#This Row],[Intet overlap]],INDEX(DataTitel_liste,LineærRegression_Valg[[#This Row],[Uafhængig variabel ID]]),INDEX(DataTitel_liste,IF(LineærRegression_Valg[[#This Row],[Afhængig variabel ID]]=1,2,1))),$B$7)</f>
        <v>Eksempel 2 (interval)</v>
      </c>
      <c r="H1523" s="188">
        <f>_xlfn.AGGREGATE(2,5,LineærRegression_Valg[[#This Row],[Tabel ID]])</f>
        <v>1</v>
      </c>
    </row>
    <row r="1524" spans="1:8" x14ac:dyDescent="0.2">
      <c r="A1524">
        <f>ROW(LineærRegression_Valg[[#This Row],[Tabel ID]])-ROW(LineærRegression_Valg[[#Headers],[Tabel ID]])</f>
        <v>1514</v>
      </c>
      <c r="B1524" s="188">
        <f>ROUNDDOWN((LineærRegression_Valg[[#This Row],[Tabel ID]]-1)/$B$5,0)+1</f>
        <v>379</v>
      </c>
      <c r="C1524" s="188">
        <f t="shared" si="23"/>
        <v>2</v>
      </c>
      <c r="D1524" s="188" t="b">
        <f>LineærRegression_Valg[[#This Row],[Afhængig variabel ID]]&lt;&gt;LineærRegression_Valg[[#This Row],[Uafhængig variabel ID]]</f>
        <v>1</v>
      </c>
      <c r="E1524" s="188" t="b">
        <f>LineærRegression_Valg[[#This Row],[Afhængig variabel ID]]&lt;=$B$5</f>
        <v>0</v>
      </c>
      <c r="F1524" t="str" cm="1">
        <f t="array" ref="F1524">IF(LineærRegression_Valg[[#This Row],[Indenfor range]],INDEX(DataTitel_liste,LineærRegression_Valg[[#This Row],[Afhængig variabel ID]]),INDEX(DataTitel_liste,1))</f>
        <v>Eksempel 1 (interval)</v>
      </c>
      <c r="G1524" s="188" t="str" cm="1">
        <f t="array" ref="G1524">IF(LineærRegression_Valg[[#This Row],[Indenfor range]],IF(LineærRegression_Valg[[#This Row],[Intet overlap]],INDEX(DataTitel_liste,LineærRegression_Valg[[#This Row],[Uafhængig variabel ID]]),INDEX(DataTitel_liste,IF(LineærRegression_Valg[[#This Row],[Afhængig variabel ID]]=1,2,1))),$B$7)</f>
        <v>Eksempel 2 (interval)</v>
      </c>
      <c r="H1524" s="188">
        <f>_xlfn.AGGREGATE(2,5,LineærRegression_Valg[[#This Row],[Tabel ID]])</f>
        <v>1</v>
      </c>
    </row>
    <row r="1525" spans="1:8" x14ac:dyDescent="0.2">
      <c r="A1525">
        <f>ROW(LineærRegression_Valg[[#This Row],[Tabel ID]])-ROW(LineærRegression_Valg[[#Headers],[Tabel ID]])</f>
        <v>1515</v>
      </c>
      <c r="B1525" s="188">
        <f>ROUNDDOWN((LineærRegression_Valg[[#This Row],[Tabel ID]]-1)/$B$5,0)+1</f>
        <v>379</v>
      </c>
      <c r="C1525" s="188">
        <f t="shared" si="23"/>
        <v>3</v>
      </c>
      <c r="D1525" s="188" t="b">
        <f>LineærRegression_Valg[[#This Row],[Afhængig variabel ID]]&lt;&gt;LineærRegression_Valg[[#This Row],[Uafhængig variabel ID]]</f>
        <v>1</v>
      </c>
      <c r="E1525" s="188" t="b">
        <f>LineærRegression_Valg[[#This Row],[Afhængig variabel ID]]&lt;=$B$5</f>
        <v>0</v>
      </c>
      <c r="F1525" t="str" cm="1">
        <f t="array" ref="F1525">IF(LineærRegression_Valg[[#This Row],[Indenfor range]],INDEX(DataTitel_liste,LineærRegression_Valg[[#This Row],[Afhængig variabel ID]]),INDEX(DataTitel_liste,1))</f>
        <v>Eksempel 1 (interval)</v>
      </c>
      <c r="G1525" s="188" t="str" cm="1">
        <f t="array" ref="G1525">IF(LineærRegression_Valg[[#This Row],[Indenfor range]],IF(LineærRegression_Valg[[#This Row],[Intet overlap]],INDEX(DataTitel_liste,LineærRegression_Valg[[#This Row],[Uafhængig variabel ID]]),INDEX(DataTitel_liste,IF(LineærRegression_Valg[[#This Row],[Afhængig variabel ID]]=1,2,1))),$B$7)</f>
        <v>Eksempel 2 (interval)</v>
      </c>
      <c r="H1525" s="188">
        <f>_xlfn.AGGREGATE(2,5,LineærRegression_Valg[[#This Row],[Tabel ID]])</f>
        <v>1</v>
      </c>
    </row>
    <row r="1526" spans="1:8" x14ac:dyDescent="0.2">
      <c r="A1526">
        <f>ROW(LineærRegression_Valg[[#This Row],[Tabel ID]])-ROW(LineærRegression_Valg[[#Headers],[Tabel ID]])</f>
        <v>1516</v>
      </c>
      <c r="B1526" s="188">
        <f>ROUNDDOWN((LineærRegression_Valg[[#This Row],[Tabel ID]]-1)/$B$5,0)+1</f>
        <v>379</v>
      </c>
      <c r="C1526" s="188">
        <f t="shared" si="23"/>
        <v>4</v>
      </c>
      <c r="D1526" s="188" t="b">
        <f>LineærRegression_Valg[[#This Row],[Afhængig variabel ID]]&lt;&gt;LineærRegression_Valg[[#This Row],[Uafhængig variabel ID]]</f>
        <v>1</v>
      </c>
      <c r="E1526" s="188" t="b">
        <f>LineærRegression_Valg[[#This Row],[Afhængig variabel ID]]&lt;=$B$5</f>
        <v>0</v>
      </c>
      <c r="F1526" t="str" cm="1">
        <f t="array" ref="F1526">IF(LineærRegression_Valg[[#This Row],[Indenfor range]],INDEX(DataTitel_liste,LineærRegression_Valg[[#This Row],[Afhængig variabel ID]]),INDEX(DataTitel_liste,1))</f>
        <v>Eksempel 1 (interval)</v>
      </c>
      <c r="G1526" s="188" t="str" cm="1">
        <f t="array" ref="G1526">IF(LineærRegression_Valg[[#This Row],[Indenfor range]],IF(LineærRegression_Valg[[#This Row],[Intet overlap]],INDEX(DataTitel_liste,LineærRegression_Valg[[#This Row],[Uafhængig variabel ID]]),INDEX(DataTitel_liste,IF(LineærRegression_Valg[[#This Row],[Afhængig variabel ID]]=1,2,1))),$B$7)</f>
        <v>Eksempel 2 (interval)</v>
      </c>
      <c r="H1526" s="188">
        <f>_xlfn.AGGREGATE(2,5,LineærRegression_Valg[[#This Row],[Tabel ID]])</f>
        <v>1</v>
      </c>
    </row>
    <row r="1527" spans="1:8" x14ac:dyDescent="0.2">
      <c r="A1527">
        <f>ROW(LineærRegression_Valg[[#This Row],[Tabel ID]])-ROW(LineærRegression_Valg[[#Headers],[Tabel ID]])</f>
        <v>1517</v>
      </c>
      <c r="B1527" s="188">
        <f>ROUNDDOWN((LineærRegression_Valg[[#This Row],[Tabel ID]]-1)/$B$5,0)+1</f>
        <v>380</v>
      </c>
      <c r="C1527" s="188">
        <f t="shared" si="23"/>
        <v>1</v>
      </c>
      <c r="D1527" s="188" t="b">
        <f>LineærRegression_Valg[[#This Row],[Afhængig variabel ID]]&lt;&gt;LineærRegression_Valg[[#This Row],[Uafhængig variabel ID]]</f>
        <v>1</v>
      </c>
      <c r="E1527" s="188" t="b">
        <f>LineærRegression_Valg[[#This Row],[Afhængig variabel ID]]&lt;=$B$5</f>
        <v>0</v>
      </c>
      <c r="F1527" t="str" cm="1">
        <f t="array" ref="F1527">IF(LineærRegression_Valg[[#This Row],[Indenfor range]],INDEX(DataTitel_liste,LineærRegression_Valg[[#This Row],[Afhængig variabel ID]]),INDEX(DataTitel_liste,1))</f>
        <v>Eksempel 1 (interval)</v>
      </c>
      <c r="G1527" s="188" t="str" cm="1">
        <f t="array" ref="G1527">IF(LineærRegression_Valg[[#This Row],[Indenfor range]],IF(LineærRegression_Valg[[#This Row],[Intet overlap]],INDEX(DataTitel_liste,LineærRegression_Valg[[#This Row],[Uafhængig variabel ID]]),INDEX(DataTitel_liste,IF(LineærRegression_Valg[[#This Row],[Afhængig variabel ID]]=1,2,1))),$B$7)</f>
        <v>Eksempel 2 (interval)</v>
      </c>
      <c r="H1527" s="188">
        <f>_xlfn.AGGREGATE(2,5,LineærRegression_Valg[[#This Row],[Tabel ID]])</f>
        <v>1</v>
      </c>
    </row>
    <row r="1528" spans="1:8" x14ac:dyDescent="0.2">
      <c r="A1528">
        <f>ROW(LineærRegression_Valg[[#This Row],[Tabel ID]])-ROW(LineærRegression_Valg[[#Headers],[Tabel ID]])</f>
        <v>1518</v>
      </c>
      <c r="B1528" s="188">
        <f>ROUNDDOWN((LineærRegression_Valg[[#This Row],[Tabel ID]]-1)/$B$5,0)+1</f>
        <v>380</v>
      </c>
      <c r="C1528" s="188">
        <f t="shared" si="23"/>
        <v>2</v>
      </c>
      <c r="D1528" s="188" t="b">
        <f>LineærRegression_Valg[[#This Row],[Afhængig variabel ID]]&lt;&gt;LineærRegression_Valg[[#This Row],[Uafhængig variabel ID]]</f>
        <v>1</v>
      </c>
      <c r="E1528" s="188" t="b">
        <f>LineærRegression_Valg[[#This Row],[Afhængig variabel ID]]&lt;=$B$5</f>
        <v>0</v>
      </c>
      <c r="F1528" t="str" cm="1">
        <f t="array" ref="F1528">IF(LineærRegression_Valg[[#This Row],[Indenfor range]],INDEX(DataTitel_liste,LineærRegression_Valg[[#This Row],[Afhængig variabel ID]]),INDEX(DataTitel_liste,1))</f>
        <v>Eksempel 1 (interval)</v>
      </c>
      <c r="G1528" s="188" t="str" cm="1">
        <f t="array" ref="G1528">IF(LineærRegression_Valg[[#This Row],[Indenfor range]],IF(LineærRegression_Valg[[#This Row],[Intet overlap]],INDEX(DataTitel_liste,LineærRegression_Valg[[#This Row],[Uafhængig variabel ID]]),INDEX(DataTitel_liste,IF(LineærRegression_Valg[[#This Row],[Afhængig variabel ID]]=1,2,1))),$B$7)</f>
        <v>Eksempel 2 (interval)</v>
      </c>
      <c r="H1528" s="188">
        <f>_xlfn.AGGREGATE(2,5,LineærRegression_Valg[[#This Row],[Tabel ID]])</f>
        <v>1</v>
      </c>
    </row>
    <row r="1529" spans="1:8" x14ac:dyDescent="0.2">
      <c r="A1529">
        <f>ROW(LineærRegression_Valg[[#This Row],[Tabel ID]])-ROW(LineærRegression_Valg[[#Headers],[Tabel ID]])</f>
        <v>1519</v>
      </c>
      <c r="B1529" s="188">
        <f>ROUNDDOWN((LineærRegression_Valg[[#This Row],[Tabel ID]]-1)/$B$5,0)+1</f>
        <v>380</v>
      </c>
      <c r="C1529" s="188">
        <f t="shared" si="23"/>
        <v>3</v>
      </c>
      <c r="D1529" s="188" t="b">
        <f>LineærRegression_Valg[[#This Row],[Afhængig variabel ID]]&lt;&gt;LineærRegression_Valg[[#This Row],[Uafhængig variabel ID]]</f>
        <v>1</v>
      </c>
      <c r="E1529" s="188" t="b">
        <f>LineærRegression_Valg[[#This Row],[Afhængig variabel ID]]&lt;=$B$5</f>
        <v>0</v>
      </c>
      <c r="F1529" t="str" cm="1">
        <f t="array" ref="F1529">IF(LineærRegression_Valg[[#This Row],[Indenfor range]],INDEX(DataTitel_liste,LineærRegression_Valg[[#This Row],[Afhængig variabel ID]]),INDEX(DataTitel_liste,1))</f>
        <v>Eksempel 1 (interval)</v>
      </c>
      <c r="G1529" s="188" t="str" cm="1">
        <f t="array" ref="G1529">IF(LineærRegression_Valg[[#This Row],[Indenfor range]],IF(LineærRegression_Valg[[#This Row],[Intet overlap]],INDEX(DataTitel_liste,LineærRegression_Valg[[#This Row],[Uafhængig variabel ID]]),INDEX(DataTitel_liste,IF(LineærRegression_Valg[[#This Row],[Afhængig variabel ID]]=1,2,1))),$B$7)</f>
        <v>Eksempel 2 (interval)</v>
      </c>
      <c r="H1529" s="188">
        <f>_xlfn.AGGREGATE(2,5,LineærRegression_Valg[[#This Row],[Tabel ID]])</f>
        <v>1</v>
      </c>
    </row>
    <row r="1530" spans="1:8" x14ac:dyDescent="0.2">
      <c r="A1530">
        <f>ROW(LineærRegression_Valg[[#This Row],[Tabel ID]])-ROW(LineærRegression_Valg[[#Headers],[Tabel ID]])</f>
        <v>1520</v>
      </c>
      <c r="B1530" s="188">
        <f>ROUNDDOWN((LineærRegression_Valg[[#This Row],[Tabel ID]]-1)/$B$5,0)+1</f>
        <v>380</v>
      </c>
      <c r="C1530" s="188">
        <f t="shared" si="23"/>
        <v>4</v>
      </c>
      <c r="D1530" s="188" t="b">
        <f>LineærRegression_Valg[[#This Row],[Afhængig variabel ID]]&lt;&gt;LineærRegression_Valg[[#This Row],[Uafhængig variabel ID]]</f>
        <v>1</v>
      </c>
      <c r="E1530" s="188" t="b">
        <f>LineærRegression_Valg[[#This Row],[Afhængig variabel ID]]&lt;=$B$5</f>
        <v>0</v>
      </c>
      <c r="F1530" t="str" cm="1">
        <f t="array" ref="F1530">IF(LineærRegression_Valg[[#This Row],[Indenfor range]],INDEX(DataTitel_liste,LineærRegression_Valg[[#This Row],[Afhængig variabel ID]]),INDEX(DataTitel_liste,1))</f>
        <v>Eksempel 1 (interval)</v>
      </c>
      <c r="G1530" s="188" t="str" cm="1">
        <f t="array" ref="G1530">IF(LineærRegression_Valg[[#This Row],[Indenfor range]],IF(LineærRegression_Valg[[#This Row],[Intet overlap]],INDEX(DataTitel_liste,LineærRegression_Valg[[#This Row],[Uafhængig variabel ID]]),INDEX(DataTitel_liste,IF(LineærRegression_Valg[[#This Row],[Afhængig variabel ID]]=1,2,1))),$B$7)</f>
        <v>Eksempel 2 (interval)</v>
      </c>
      <c r="H1530" s="188">
        <f>_xlfn.AGGREGATE(2,5,LineærRegression_Valg[[#This Row],[Tabel ID]])</f>
        <v>1</v>
      </c>
    </row>
    <row r="1531" spans="1:8" x14ac:dyDescent="0.2">
      <c r="A1531">
        <f>ROW(LineærRegression_Valg[[#This Row],[Tabel ID]])-ROW(LineærRegression_Valg[[#Headers],[Tabel ID]])</f>
        <v>1521</v>
      </c>
      <c r="B1531" s="188">
        <f>ROUNDDOWN((LineærRegression_Valg[[#This Row],[Tabel ID]]-1)/$B$5,0)+1</f>
        <v>381</v>
      </c>
      <c r="C1531" s="188">
        <f t="shared" si="23"/>
        <v>1</v>
      </c>
      <c r="D1531" s="188" t="b">
        <f>LineærRegression_Valg[[#This Row],[Afhængig variabel ID]]&lt;&gt;LineærRegression_Valg[[#This Row],[Uafhængig variabel ID]]</f>
        <v>1</v>
      </c>
      <c r="E1531" s="188" t="b">
        <f>LineærRegression_Valg[[#This Row],[Afhængig variabel ID]]&lt;=$B$5</f>
        <v>0</v>
      </c>
      <c r="F1531" t="str" cm="1">
        <f t="array" ref="F1531">IF(LineærRegression_Valg[[#This Row],[Indenfor range]],INDEX(DataTitel_liste,LineærRegression_Valg[[#This Row],[Afhængig variabel ID]]),INDEX(DataTitel_liste,1))</f>
        <v>Eksempel 1 (interval)</v>
      </c>
      <c r="G1531" s="188" t="str" cm="1">
        <f t="array" ref="G1531">IF(LineærRegression_Valg[[#This Row],[Indenfor range]],IF(LineærRegression_Valg[[#This Row],[Intet overlap]],INDEX(DataTitel_liste,LineærRegression_Valg[[#This Row],[Uafhængig variabel ID]]),INDEX(DataTitel_liste,IF(LineærRegression_Valg[[#This Row],[Afhængig variabel ID]]=1,2,1))),$B$7)</f>
        <v>Eksempel 2 (interval)</v>
      </c>
      <c r="H1531" s="188">
        <f>_xlfn.AGGREGATE(2,5,LineærRegression_Valg[[#This Row],[Tabel ID]])</f>
        <v>1</v>
      </c>
    </row>
    <row r="1532" spans="1:8" x14ac:dyDescent="0.2">
      <c r="A1532">
        <f>ROW(LineærRegression_Valg[[#This Row],[Tabel ID]])-ROW(LineærRegression_Valg[[#Headers],[Tabel ID]])</f>
        <v>1522</v>
      </c>
      <c r="B1532" s="188">
        <f>ROUNDDOWN((LineærRegression_Valg[[#This Row],[Tabel ID]]-1)/$B$5,0)+1</f>
        <v>381</v>
      </c>
      <c r="C1532" s="188">
        <f t="shared" si="23"/>
        <v>2</v>
      </c>
      <c r="D1532" s="188" t="b">
        <f>LineærRegression_Valg[[#This Row],[Afhængig variabel ID]]&lt;&gt;LineærRegression_Valg[[#This Row],[Uafhængig variabel ID]]</f>
        <v>1</v>
      </c>
      <c r="E1532" s="188" t="b">
        <f>LineærRegression_Valg[[#This Row],[Afhængig variabel ID]]&lt;=$B$5</f>
        <v>0</v>
      </c>
      <c r="F1532" t="str" cm="1">
        <f t="array" ref="F1532">IF(LineærRegression_Valg[[#This Row],[Indenfor range]],INDEX(DataTitel_liste,LineærRegression_Valg[[#This Row],[Afhængig variabel ID]]),INDEX(DataTitel_liste,1))</f>
        <v>Eksempel 1 (interval)</v>
      </c>
      <c r="G1532" s="188" t="str" cm="1">
        <f t="array" ref="G1532">IF(LineærRegression_Valg[[#This Row],[Indenfor range]],IF(LineærRegression_Valg[[#This Row],[Intet overlap]],INDEX(DataTitel_liste,LineærRegression_Valg[[#This Row],[Uafhængig variabel ID]]),INDEX(DataTitel_liste,IF(LineærRegression_Valg[[#This Row],[Afhængig variabel ID]]=1,2,1))),$B$7)</f>
        <v>Eksempel 2 (interval)</v>
      </c>
      <c r="H1532" s="188">
        <f>_xlfn.AGGREGATE(2,5,LineærRegression_Valg[[#This Row],[Tabel ID]])</f>
        <v>1</v>
      </c>
    </row>
    <row r="1533" spans="1:8" x14ac:dyDescent="0.2">
      <c r="A1533">
        <f>ROW(LineærRegression_Valg[[#This Row],[Tabel ID]])-ROW(LineærRegression_Valg[[#Headers],[Tabel ID]])</f>
        <v>1523</v>
      </c>
      <c r="B1533" s="188">
        <f>ROUNDDOWN((LineærRegression_Valg[[#This Row],[Tabel ID]]-1)/$B$5,0)+1</f>
        <v>381</v>
      </c>
      <c r="C1533" s="188">
        <f t="shared" si="23"/>
        <v>3</v>
      </c>
      <c r="D1533" s="188" t="b">
        <f>LineærRegression_Valg[[#This Row],[Afhængig variabel ID]]&lt;&gt;LineærRegression_Valg[[#This Row],[Uafhængig variabel ID]]</f>
        <v>1</v>
      </c>
      <c r="E1533" s="188" t="b">
        <f>LineærRegression_Valg[[#This Row],[Afhængig variabel ID]]&lt;=$B$5</f>
        <v>0</v>
      </c>
      <c r="F1533" t="str" cm="1">
        <f t="array" ref="F1533">IF(LineærRegression_Valg[[#This Row],[Indenfor range]],INDEX(DataTitel_liste,LineærRegression_Valg[[#This Row],[Afhængig variabel ID]]),INDEX(DataTitel_liste,1))</f>
        <v>Eksempel 1 (interval)</v>
      </c>
      <c r="G1533" s="188" t="str" cm="1">
        <f t="array" ref="G1533">IF(LineærRegression_Valg[[#This Row],[Indenfor range]],IF(LineærRegression_Valg[[#This Row],[Intet overlap]],INDEX(DataTitel_liste,LineærRegression_Valg[[#This Row],[Uafhængig variabel ID]]),INDEX(DataTitel_liste,IF(LineærRegression_Valg[[#This Row],[Afhængig variabel ID]]=1,2,1))),$B$7)</f>
        <v>Eksempel 2 (interval)</v>
      </c>
      <c r="H1533" s="188">
        <f>_xlfn.AGGREGATE(2,5,LineærRegression_Valg[[#This Row],[Tabel ID]])</f>
        <v>1</v>
      </c>
    </row>
    <row r="1534" spans="1:8" x14ac:dyDescent="0.2">
      <c r="A1534">
        <f>ROW(LineærRegression_Valg[[#This Row],[Tabel ID]])-ROW(LineærRegression_Valg[[#Headers],[Tabel ID]])</f>
        <v>1524</v>
      </c>
      <c r="B1534" s="188">
        <f>ROUNDDOWN((LineærRegression_Valg[[#This Row],[Tabel ID]]-1)/$B$5,0)+1</f>
        <v>381</v>
      </c>
      <c r="C1534" s="188">
        <f t="shared" si="23"/>
        <v>4</v>
      </c>
      <c r="D1534" s="188" t="b">
        <f>LineærRegression_Valg[[#This Row],[Afhængig variabel ID]]&lt;&gt;LineærRegression_Valg[[#This Row],[Uafhængig variabel ID]]</f>
        <v>1</v>
      </c>
      <c r="E1534" s="188" t="b">
        <f>LineærRegression_Valg[[#This Row],[Afhængig variabel ID]]&lt;=$B$5</f>
        <v>0</v>
      </c>
      <c r="F1534" t="str" cm="1">
        <f t="array" ref="F1534">IF(LineærRegression_Valg[[#This Row],[Indenfor range]],INDEX(DataTitel_liste,LineærRegression_Valg[[#This Row],[Afhængig variabel ID]]),INDEX(DataTitel_liste,1))</f>
        <v>Eksempel 1 (interval)</v>
      </c>
      <c r="G1534" s="188" t="str" cm="1">
        <f t="array" ref="G1534">IF(LineærRegression_Valg[[#This Row],[Indenfor range]],IF(LineærRegression_Valg[[#This Row],[Intet overlap]],INDEX(DataTitel_liste,LineærRegression_Valg[[#This Row],[Uafhængig variabel ID]]),INDEX(DataTitel_liste,IF(LineærRegression_Valg[[#This Row],[Afhængig variabel ID]]=1,2,1))),$B$7)</f>
        <v>Eksempel 2 (interval)</v>
      </c>
      <c r="H1534" s="188">
        <f>_xlfn.AGGREGATE(2,5,LineærRegression_Valg[[#This Row],[Tabel ID]])</f>
        <v>1</v>
      </c>
    </row>
    <row r="1535" spans="1:8" x14ac:dyDescent="0.2">
      <c r="A1535">
        <f>ROW(LineærRegression_Valg[[#This Row],[Tabel ID]])-ROW(LineærRegression_Valg[[#Headers],[Tabel ID]])</f>
        <v>1525</v>
      </c>
      <c r="B1535" s="188">
        <f>ROUNDDOWN((LineærRegression_Valg[[#This Row],[Tabel ID]]-1)/$B$5,0)+1</f>
        <v>382</v>
      </c>
      <c r="C1535" s="188">
        <f t="shared" si="23"/>
        <v>1</v>
      </c>
      <c r="D1535" s="188" t="b">
        <f>LineærRegression_Valg[[#This Row],[Afhængig variabel ID]]&lt;&gt;LineærRegression_Valg[[#This Row],[Uafhængig variabel ID]]</f>
        <v>1</v>
      </c>
      <c r="E1535" s="188" t="b">
        <f>LineærRegression_Valg[[#This Row],[Afhængig variabel ID]]&lt;=$B$5</f>
        <v>0</v>
      </c>
      <c r="F1535" t="str" cm="1">
        <f t="array" ref="F1535">IF(LineærRegression_Valg[[#This Row],[Indenfor range]],INDEX(DataTitel_liste,LineærRegression_Valg[[#This Row],[Afhængig variabel ID]]),INDEX(DataTitel_liste,1))</f>
        <v>Eksempel 1 (interval)</v>
      </c>
      <c r="G1535" s="188" t="str" cm="1">
        <f t="array" ref="G1535">IF(LineærRegression_Valg[[#This Row],[Indenfor range]],IF(LineærRegression_Valg[[#This Row],[Intet overlap]],INDEX(DataTitel_liste,LineærRegression_Valg[[#This Row],[Uafhængig variabel ID]]),INDEX(DataTitel_liste,IF(LineærRegression_Valg[[#This Row],[Afhængig variabel ID]]=1,2,1))),$B$7)</f>
        <v>Eksempel 2 (interval)</v>
      </c>
      <c r="H1535" s="188">
        <f>_xlfn.AGGREGATE(2,5,LineærRegression_Valg[[#This Row],[Tabel ID]])</f>
        <v>1</v>
      </c>
    </row>
    <row r="1536" spans="1:8" x14ac:dyDescent="0.2">
      <c r="A1536">
        <f>ROW(LineærRegression_Valg[[#This Row],[Tabel ID]])-ROW(LineærRegression_Valg[[#Headers],[Tabel ID]])</f>
        <v>1526</v>
      </c>
      <c r="B1536" s="188">
        <f>ROUNDDOWN((LineærRegression_Valg[[#This Row],[Tabel ID]]-1)/$B$5,0)+1</f>
        <v>382</v>
      </c>
      <c r="C1536" s="188">
        <f t="shared" si="23"/>
        <v>2</v>
      </c>
      <c r="D1536" s="188" t="b">
        <f>LineærRegression_Valg[[#This Row],[Afhængig variabel ID]]&lt;&gt;LineærRegression_Valg[[#This Row],[Uafhængig variabel ID]]</f>
        <v>1</v>
      </c>
      <c r="E1536" s="188" t="b">
        <f>LineærRegression_Valg[[#This Row],[Afhængig variabel ID]]&lt;=$B$5</f>
        <v>0</v>
      </c>
      <c r="F1536" t="str" cm="1">
        <f t="array" ref="F1536">IF(LineærRegression_Valg[[#This Row],[Indenfor range]],INDEX(DataTitel_liste,LineærRegression_Valg[[#This Row],[Afhængig variabel ID]]),INDEX(DataTitel_liste,1))</f>
        <v>Eksempel 1 (interval)</v>
      </c>
      <c r="G1536" s="188" t="str" cm="1">
        <f t="array" ref="G1536">IF(LineærRegression_Valg[[#This Row],[Indenfor range]],IF(LineærRegression_Valg[[#This Row],[Intet overlap]],INDEX(DataTitel_liste,LineærRegression_Valg[[#This Row],[Uafhængig variabel ID]]),INDEX(DataTitel_liste,IF(LineærRegression_Valg[[#This Row],[Afhængig variabel ID]]=1,2,1))),$B$7)</f>
        <v>Eksempel 2 (interval)</v>
      </c>
      <c r="H1536" s="188">
        <f>_xlfn.AGGREGATE(2,5,LineærRegression_Valg[[#This Row],[Tabel ID]])</f>
        <v>1</v>
      </c>
    </row>
    <row r="1537" spans="1:8" x14ac:dyDescent="0.2">
      <c r="A1537">
        <f>ROW(LineærRegression_Valg[[#This Row],[Tabel ID]])-ROW(LineærRegression_Valg[[#Headers],[Tabel ID]])</f>
        <v>1527</v>
      </c>
      <c r="B1537" s="188">
        <f>ROUNDDOWN((LineærRegression_Valg[[#This Row],[Tabel ID]]-1)/$B$5,0)+1</f>
        <v>382</v>
      </c>
      <c r="C1537" s="188">
        <f t="shared" si="23"/>
        <v>3</v>
      </c>
      <c r="D1537" s="188" t="b">
        <f>LineærRegression_Valg[[#This Row],[Afhængig variabel ID]]&lt;&gt;LineærRegression_Valg[[#This Row],[Uafhængig variabel ID]]</f>
        <v>1</v>
      </c>
      <c r="E1537" s="188" t="b">
        <f>LineærRegression_Valg[[#This Row],[Afhængig variabel ID]]&lt;=$B$5</f>
        <v>0</v>
      </c>
      <c r="F1537" t="str" cm="1">
        <f t="array" ref="F1537">IF(LineærRegression_Valg[[#This Row],[Indenfor range]],INDEX(DataTitel_liste,LineærRegression_Valg[[#This Row],[Afhængig variabel ID]]),INDEX(DataTitel_liste,1))</f>
        <v>Eksempel 1 (interval)</v>
      </c>
      <c r="G1537" s="188" t="str" cm="1">
        <f t="array" ref="G1537">IF(LineærRegression_Valg[[#This Row],[Indenfor range]],IF(LineærRegression_Valg[[#This Row],[Intet overlap]],INDEX(DataTitel_liste,LineærRegression_Valg[[#This Row],[Uafhængig variabel ID]]),INDEX(DataTitel_liste,IF(LineærRegression_Valg[[#This Row],[Afhængig variabel ID]]=1,2,1))),$B$7)</f>
        <v>Eksempel 2 (interval)</v>
      </c>
      <c r="H1537" s="188">
        <f>_xlfn.AGGREGATE(2,5,LineærRegression_Valg[[#This Row],[Tabel ID]])</f>
        <v>1</v>
      </c>
    </row>
    <row r="1538" spans="1:8" x14ac:dyDescent="0.2">
      <c r="A1538">
        <f>ROW(LineærRegression_Valg[[#This Row],[Tabel ID]])-ROW(LineærRegression_Valg[[#Headers],[Tabel ID]])</f>
        <v>1528</v>
      </c>
      <c r="B1538" s="188">
        <f>ROUNDDOWN((LineærRegression_Valg[[#This Row],[Tabel ID]]-1)/$B$5,0)+1</f>
        <v>382</v>
      </c>
      <c r="C1538" s="188">
        <f t="shared" si="23"/>
        <v>4</v>
      </c>
      <c r="D1538" s="188" t="b">
        <f>LineærRegression_Valg[[#This Row],[Afhængig variabel ID]]&lt;&gt;LineærRegression_Valg[[#This Row],[Uafhængig variabel ID]]</f>
        <v>1</v>
      </c>
      <c r="E1538" s="188" t="b">
        <f>LineærRegression_Valg[[#This Row],[Afhængig variabel ID]]&lt;=$B$5</f>
        <v>0</v>
      </c>
      <c r="F1538" t="str" cm="1">
        <f t="array" ref="F1538">IF(LineærRegression_Valg[[#This Row],[Indenfor range]],INDEX(DataTitel_liste,LineærRegression_Valg[[#This Row],[Afhængig variabel ID]]),INDEX(DataTitel_liste,1))</f>
        <v>Eksempel 1 (interval)</v>
      </c>
      <c r="G1538" s="188" t="str" cm="1">
        <f t="array" ref="G1538">IF(LineærRegression_Valg[[#This Row],[Indenfor range]],IF(LineærRegression_Valg[[#This Row],[Intet overlap]],INDEX(DataTitel_liste,LineærRegression_Valg[[#This Row],[Uafhængig variabel ID]]),INDEX(DataTitel_liste,IF(LineærRegression_Valg[[#This Row],[Afhængig variabel ID]]=1,2,1))),$B$7)</f>
        <v>Eksempel 2 (interval)</v>
      </c>
      <c r="H1538" s="188">
        <f>_xlfn.AGGREGATE(2,5,LineærRegression_Valg[[#This Row],[Tabel ID]])</f>
        <v>1</v>
      </c>
    </row>
    <row r="1539" spans="1:8" x14ac:dyDescent="0.2">
      <c r="A1539">
        <f>ROW(LineærRegression_Valg[[#This Row],[Tabel ID]])-ROW(LineærRegression_Valg[[#Headers],[Tabel ID]])</f>
        <v>1529</v>
      </c>
      <c r="B1539" s="188">
        <f>ROUNDDOWN((LineærRegression_Valg[[#This Row],[Tabel ID]]-1)/$B$5,0)+1</f>
        <v>383</v>
      </c>
      <c r="C1539" s="188">
        <f t="shared" si="23"/>
        <v>1</v>
      </c>
      <c r="D1539" s="188" t="b">
        <f>LineærRegression_Valg[[#This Row],[Afhængig variabel ID]]&lt;&gt;LineærRegression_Valg[[#This Row],[Uafhængig variabel ID]]</f>
        <v>1</v>
      </c>
      <c r="E1539" s="188" t="b">
        <f>LineærRegression_Valg[[#This Row],[Afhængig variabel ID]]&lt;=$B$5</f>
        <v>0</v>
      </c>
      <c r="F1539" t="str" cm="1">
        <f t="array" ref="F1539">IF(LineærRegression_Valg[[#This Row],[Indenfor range]],INDEX(DataTitel_liste,LineærRegression_Valg[[#This Row],[Afhængig variabel ID]]),INDEX(DataTitel_liste,1))</f>
        <v>Eksempel 1 (interval)</v>
      </c>
      <c r="G1539" s="188" t="str" cm="1">
        <f t="array" ref="G1539">IF(LineærRegression_Valg[[#This Row],[Indenfor range]],IF(LineærRegression_Valg[[#This Row],[Intet overlap]],INDEX(DataTitel_liste,LineærRegression_Valg[[#This Row],[Uafhængig variabel ID]]),INDEX(DataTitel_liste,IF(LineærRegression_Valg[[#This Row],[Afhængig variabel ID]]=1,2,1))),$B$7)</f>
        <v>Eksempel 2 (interval)</v>
      </c>
      <c r="H1539" s="188">
        <f>_xlfn.AGGREGATE(2,5,LineærRegression_Valg[[#This Row],[Tabel ID]])</f>
        <v>1</v>
      </c>
    </row>
    <row r="1540" spans="1:8" x14ac:dyDescent="0.2">
      <c r="A1540">
        <f>ROW(LineærRegression_Valg[[#This Row],[Tabel ID]])-ROW(LineærRegression_Valg[[#Headers],[Tabel ID]])</f>
        <v>1530</v>
      </c>
      <c r="B1540" s="188">
        <f>ROUNDDOWN((LineærRegression_Valg[[#This Row],[Tabel ID]]-1)/$B$5,0)+1</f>
        <v>383</v>
      </c>
      <c r="C1540" s="188">
        <f t="shared" si="23"/>
        <v>2</v>
      </c>
      <c r="D1540" s="188" t="b">
        <f>LineærRegression_Valg[[#This Row],[Afhængig variabel ID]]&lt;&gt;LineærRegression_Valg[[#This Row],[Uafhængig variabel ID]]</f>
        <v>1</v>
      </c>
      <c r="E1540" s="188" t="b">
        <f>LineærRegression_Valg[[#This Row],[Afhængig variabel ID]]&lt;=$B$5</f>
        <v>0</v>
      </c>
      <c r="F1540" t="str" cm="1">
        <f t="array" ref="F1540">IF(LineærRegression_Valg[[#This Row],[Indenfor range]],INDEX(DataTitel_liste,LineærRegression_Valg[[#This Row],[Afhængig variabel ID]]),INDEX(DataTitel_liste,1))</f>
        <v>Eksempel 1 (interval)</v>
      </c>
      <c r="G1540" s="188" t="str" cm="1">
        <f t="array" ref="G1540">IF(LineærRegression_Valg[[#This Row],[Indenfor range]],IF(LineærRegression_Valg[[#This Row],[Intet overlap]],INDEX(DataTitel_liste,LineærRegression_Valg[[#This Row],[Uafhængig variabel ID]]),INDEX(DataTitel_liste,IF(LineærRegression_Valg[[#This Row],[Afhængig variabel ID]]=1,2,1))),$B$7)</f>
        <v>Eksempel 2 (interval)</v>
      </c>
      <c r="H1540" s="188">
        <f>_xlfn.AGGREGATE(2,5,LineærRegression_Valg[[#This Row],[Tabel ID]])</f>
        <v>1</v>
      </c>
    </row>
    <row r="1541" spans="1:8" x14ac:dyDescent="0.2">
      <c r="A1541">
        <f>ROW(LineærRegression_Valg[[#This Row],[Tabel ID]])-ROW(LineærRegression_Valg[[#Headers],[Tabel ID]])</f>
        <v>1531</v>
      </c>
      <c r="B1541" s="188">
        <f>ROUNDDOWN((LineærRegression_Valg[[#This Row],[Tabel ID]]-1)/$B$5,0)+1</f>
        <v>383</v>
      </c>
      <c r="C1541" s="188">
        <f t="shared" si="23"/>
        <v>3</v>
      </c>
      <c r="D1541" s="188" t="b">
        <f>LineærRegression_Valg[[#This Row],[Afhængig variabel ID]]&lt;&gt;LineærRegression_Valg[[#This Row],[Uafhængig variabel ID]]</f>
        <v>1</v>
      </c>
      <c r="E1541" s="188" t="b">
        <f>LineærRegression_Valg[[#This Row],[Afhængig variabel ID]]&lt;=$B$5</f>
        <v>0</v>
      </c>
      <c r="F1541" t="str" cm="1">
        <f t="array" ref="F1541">IF(LineærRegression_Valg[[#This Row],[Indenfor range]],INDEX(DataTitel_liste,LineærRegression_Valg[[#This Row],[Afhængig variabel ID]]),INDEX(DataTitel_liste,1))</f>
        <v>Eksempel 1 (interval)</v>
      </c>
      <c r="G1541" s="188" t="str" cm="1">
        <f t="array" ref="G1541">IF(LineærRegression_Valg[[#This Row],[Indenfor range]],IF(LineærRegression_Valg[[#This Row],[Intet overlap]],INDEX(DataTitel_liste,LineærRegression_Valg[[#This Row],[Uafhængig variabel ID]]),INDEX(DataTitel_liste,IF(LineærRegression_Valg[[#This Row],[Afhængig variabel ID]]=1,2,1))),$B$7)</f>
        <v>Eksempel 2 (interval)</v>
      </c>
      <c r="H1541" s="188">
        <f>_xlfn.AGGREGATE(2,5,LineærRegression_Valg[[#This Row],[Tabel ID]])</f>
        <v>1</v>
      </c>
    </row>
    <row r="1542" spans="1:8" x14ac:dyDescent="0.2">
      <c r="A1542">
        <f>ROW(LineærRegression_Valg[[#This Row],[Tabel ID]])-ROW(LineærRegression_Valg[[#Headers],[Tabel ID]])</f>
        <v>1532</v>
      </c>
      <c r="B1542" s="188">
        <f>ROUNDDOWN((LineærRegression_Valg[[#This Row],[Tabel ID]]-1)/$B$5,0)+1</f>
        <v>383</v>
      </c>
      <c r="C1542" s="188">
        <f t="shared" si="23"/>
        <v>4</v>
      </c>
      <c r="D1542" s="188" t="b">
        <f>LineærRegression_Valg[[#This Row],[Afhængig variabel ID]]&lt;&gt;LineærRegression_Valg[[#This Row],[Uafhængig variabel ID]]</f>
        <v>1</v>
      </c>
      <c r="E1542" s="188" t="b">
        <f>LineærRegression_Valg[[#This Row],[Afhængig variabel ID]]&lt;=$B$5</f>
        <v>0</v>
      </c>
      <c r="F1542" t="str" cm="1">
        <f t="array" ref="F1542">IF(LineærRegression_Valg[[#This Row],[Indenfor range]],INDEX(DataTitel_liste,LineærRegression_Valg[[#This Row],[Afhængig variabel ID]]),INDEX(DataTitel_liste,1))</f>
        <v>Eksempel 1 (interval)</v>
      </c>
      <c r="G1542" s="188" t="str" cm="1">
        <f t="array" ref="G1542">IF(LineærRegression_Valg[[#This Row],[Indenfor range]],IF(LineærRegression_Valg[[#This Row],[Intet overlap]],INDEX(DataTitel_liste,LineærRegression_Valg[[#This Row],[Uafhængig variabel ID]]),INDEX(DataTitel_liste,IF(LineærRegression_Valg[[#This Row],[Afhængig variabel ID]]=1,2,1))),$B$7)</f>
        <v>Eksempel 2 (interval)</v>
      </c>
      <c r="H1542" s="188">
        <f>_xlfn.AGGREGATE(2,5,LineærRegression_Valg[[#This Row],[Tabel ID]])</f>
        <v>1</v>
      </c>
    </row>
    <row r="1543" spans="1:8" x14ac:dyDescent="0.2">
      <c r="A1543">
        <f>ROW(LineærRegression_Valg[[#This Row],[Tabel ID]])-ROW(LineærRegression_Valg[[#Headers],[Tabel ID]])</f>
        <v>1533</v>
      </c>
      <c r="B1543" s="188">
        <f>ROUNDDOWN((LineærRegression_Valg[[#This Row],[Tabel ID]]-1)/$B$5,0)+1</f>
        <v>384</v>
      </c>
      <c r="C1543" s="188">
        <f t="shared" si="23"/>
        <v>1</v>
      </c>
      <c r="D1543" s="188" t="b">
        <f>LineærRegression_Valg[[#This Row],[Afhængig variabel ID]]&lt;&gt;LineærRegression_Valg[[#This Row],[Uafhængig variabel ID]]</f>
        <v>1</v>
      </c>
      <c r="E1543" s="188" t="b">
        <f>LineærRegression_Valg[[#This Row],[Afhængig variabel ID]]&lt;=$B$5</f>
        <v>0</v>
      </c>
      <c r="F1543" t="str" cm="1">
        <f t="array" ref="F1543">IF(LineærRegression_Valg[[#This Row],[Indenfor range]],INDEX(DataTitel_liste,LineærRegression_Valg[[#This Row],[Afhængig variabel ID]]),INDEX(DataTitel_liste,1))</f>
        <v>Eksempel 1 (interval)</v>
      </c>
      <c r="G1543" s="188" t="str" cm="1">
        <f t="array" ref="G1543">IF(LineærRegression_Valg[[#This Row],[Indenfor range]],IF(LineærRegression_Valg[[#This Row],[Intet overlap]],INDEX(DataTitel_liste,LineærRegression_Valg[[#This Row],[Uafhængig variabel ID]]),INDEX(DataTitel_liste,IF(LineærRegression_Valg[[#This Row],[Afhængig variabel ID]]=1,2,1))),$B$7)</f>
        <v>Eksempel 2 (interval)</v>
      </c>
      <c r="H1543" s="188">
        <f>_xlfn.AGGREGATE(2,5,LineærRegression_Valg[[#This Row],[Tabel ID]])</f>
        <v>1</v>
      </c>
    </row>
    <row r="1544" spans="1:8" x14ac:dyDescent="0.2">
      <c r="A1544">
        <f>ROW(LineærRegression_Valg[[#This Row],[Tabel ID]])-ROW(LineærRegression_Valg[[#Headers],[Tabel ID]])</f>
        <v>1534</v>
      </c>
      <c r="B1544" s="188">
        <f>ROUNDDOWN((LineærRegression_Valg[[#This Row],[Tabel ID]]-1)/$B$5,0)+1</f>
        <v>384</v>
      </c>
      <c r="C1544" s="188">
        <f t="shared" si="23"/>
        <v>2</v>
      </c>
      <c r="D1544" s="188" t="b">
        <f>LineærRegression_Valg[[#This Row],[Afhængig variabel ID]]&lt;&gt;LineærRegression_Valg[[#This Row],[Uafhængig variabel ID]]</f>
        <v>1</v>
      </c>
      <c r="E1544" s="188" t="b">
        <f>LineærRegression_Valg[[#This Row],[Afhængig variabel ID]]&lt;=$B$5</f>
        <v>0</v>
      </c>
      <c r="F1544" t="str" cm="1">
        <f t="array" ref="F1544">IF(LineærRegression_Valg[[#This Row],[Indenfor range]],INDEX(DataTitel_liste,LineærRegression_Valg[[#This Row],[Afhængig variabel ID]]),INDEX(DataTitel_liste,1))</f>
        <v>Eksempel 1 (interval)</v>
      </c>
      <c r="G1544" s="188" t="str" cm="1">
        <f t="array" ref="G1544">IF(LineærRegression_Valg[[#This Row],[Indenfor range]],IF(LineærRegression_Valg[[#This Row],[Intet overlap]],INDEX(DataTitel_liste,LineærRegression_Valg[[#This Row],[Uafhængig variabel ID]]),INDEX(DataTitel_liste,IF(LineærRegression_Valg[[#This Row],[Afhængig variabel ID]]=1,2,1))),$B$7)</f>
        <v>Eksempel 2 (interval)</v>
      </c>
      <c r="H1544" s="188">
        <f>_xlfn.AGGREGATE(2,5,LineærRegression_Valg[[#This Row],[Tabel ID]])</f>
        <v>1</v>
      </c>
    </row>
    <row r="1545" spans="1:8" x14ac:dyDescent="0.2">
      <c r="A1545">
        <f>ROW(LineærRegression_Valg[[#This Row],[Tabel ID]])-ROW(LineærRegression_Valg[[#Headers],[Tabel ID]])</f>
        <v>1535</v>
      </c>
      <c r="B1545" s="188">
        <f>ROUNDDOWN((LineærRegression_Valg[[#This Row],[Tabel ID]]-1)/$B$5,0)+1</f>
        <v>384</v>
      </c>
      <c r="C1545" s="188">
        <f t="shared" si="23"/>
        <v>3</v>
      </c>
      <c r="D1545" s="188" t="b">
        <f>LineærRegression_Valg[[#This Row],[Afhængig variabel ID]]&lt;&gt;LineærRegression_Valg[[#This Row],[Uafhængig variabel ID]]</f>
        <v>1</v>
      </c>
      <c r="E1545" s="188" t="b">
        <f>LineærRegression_Valg[[#This Row],[Afhængig variabel ID]]&lt;=$B$5</f>
        <v>0</v>
      </c>
      <c r="F1545" t="str" cm="1">
        <f t="array" ref="F1545">IF(LineærRegression_Valg[[#This Row],[Indenfor range]],INDEX(DataTitel_liste,LineærRegression_Valg[[#This Row],[Afhængig variabel ID]]),INDEX(DataTitel_liste,1))</f>
        <v>Eksempel 1 (interval)</v>
      </c>
      <c r="G1545" s="188" t="str" cm="1">
        <f t="array" ref="G1545">IF(LineærRegression_Valg[[#This Row],[Indenfor range]],IF(LineærRegression_Valg[[#This Row],[Intet overlap]],INDEX(DataTitel_liste,LineærRegression_Valg[[#This Row],[Uafhængig variabel ID]]),INDEX(DataTitel_liste,IF(LineærRegression_Valg[[#This Row],[Afhængig variabel ID]]=1,2,1))),$B$7)</f>
        <v>Eksempel 2 (interval)</v>
      </c>
      <c r="H1545" s="188">
        <f>_xlfn.AGGREGATE(2,5,LineærRegression_Valg[[#This Row],[Tabel ID]])</f>
        <v>1</v>
      </c>
    </row>
    <row r="1546" spans="1:8" x14ac:dyDescent="0.2">
      <c r="A1546">
        <f>ROW(LineærRegression_Valg[[#This Row],[Tabel ID]])-ROW(LineærRegression_Valg[[#Headers],[Tabel ID]])</f>
        <v>1536</v>
      </c>
      <c r="B1546" s="188">
        <f>ROUNDDOWN((LineærRegression_Valg[[#This Row],[Tabel ID]]-1)/$B$5,0)+1</f>
        <v>384</v>
      </c>
      <c r="C1546" s="188">
        <f t="shared" si="23"/>
        <v>4</v>
      </c>
      <c r="D1546" s="188" t="b">
        <f>LineærRegression_Valg[[#This Row],[Afhængig variabel ID]]&lt;&gt;LineærRegression_Valg[[#This Row],[Uafhængig variabel ID]]</f>
        <v>1</v>
      </c>
      <c r="E1546" s="188" t="b">
        <f>LineærRegression_Valg[[#This Row],[Afhængig variabel ID]]&lt;=$B$5</f>
        <v>0</v>
      </c>
      <c r="F1546" t="str" cm="1">
        <f t="array" ref="F1546">IF(LineærRegression_Valg[[#This Row],[Indenfor range]],INDEX(DataTitel_liste,LineærRegression_Valg[[#This Row],[Afhængig variabel ID]]),INDEX(DataTitel_liste,1))</f>
        <v>Eksempel 1 (interval)</v>
      </c>
      <c r="G1546" s="188" t="str" cm="1">
        <f t="array" ref="G1546">IF(LineærRegression_Valg[[#This Row],[Indenfor range]],IF(LineærRegression_Valg[[#This Row],[Intet overlap]],INDEX(DataTitel_liste,LineærRegression_Valg[[#This Row],[Uafhængig variabel ID]]),INDEX(DataTitel_liste,IF(LineærRegression_Valg[[#This Row],[Afhængig variabel ID]]=1,2,1))),$B$7)</f>
        <v>Eksempel 2 (interval)</v>
      </c>
      <c r="H1546" s="188">
        <f>_xlfn.AGGREGATE(2,5,LineærRegression_Valg[[#This Row],[Tabel ID]])</f>
        <v>1</v>
      </c>
    </row>
    <row r="1547" spans="1:8" x14ac:dyDescent="0.2">
      <c r="A1547">
        <f>ROW(LineærRegression_Valg[[#This Row],[Tabel ID]])-ROW(LineærRegression_Valg[[#Headers],[Tabel ID]])</f>
        <v>1537</v>
      </c>
      <c r="B1547" s="188">
        <f>ROUNDDOWN((LineærRegression_Valg[[#This Row],[Tabel ID]]-1)/$B$5,0)+1</f>
        <v>385</v>
      </c>
      <c r="C1547" s="188">
        <f t="shared" ref="C1547:C1610" si="24">MOD(A1547-1,$B$5)+1</f>
        <v>1</v>
      </c>
      <c r="D1547" s="188" t="b">
        <f>LineærRegression_Valg[[#This Row],[Afhængig variabel ID]]&lt;&gt;LineærRegression_Valg[[#This Row],[Uafhængig variabel ID]]</f>
        <v>1</v>
      </c>
      <c r="E1547" s="188" t="b">
        <f>LineærRegression_Valg[[#This Row],[Afhængig variabel ID]]&lt;=$B$5</f>
        <v>0</v>
      </c>
      <c r="F1547" t="str" cm="1">
        <f t="array" ref="F1547">IF(LineærRegression_Valg[[#This Row],[Indenfor range]],INDEX(DataTitel_liste,LineærRegression_Valg[[#This Row],[Afhængig variabel ID]]),INDEX(DataTitel_liste,1))</f>
        <v>Eksempel 1 (interval)</v>
      </c>
      <c r="G1547" s="188" t="str" cm="1">
        <f t="array" ref="G1547">IF(LineærRegression_Valg[[#This Row],[Indenfor range]],IF(LineærRegression_Valg[[#This Row],[Intet overlap]],INDEX(DataTitel_liste,LineærRegression_Valg[[#This Row],[Uafhængig variabel ID]]),INDEX(DataTitel_liste,IF(LineærRegression_Valg[[#This Row],[Afhængig variabel ID]]=1,2,1))),$B$7)</f>
        <v>Eksempel 2 (interval)</v>
      </c>
      <c r="H1547" s="188">
        <f>_xlfn.AGGREGATE(2,5,LineærRegression_Valg[[#This Row],[Tabel ID]])</f>
        <v>1</v>
      </c>
    </row>
    <row r="1548" spans="1:8" x14ac:dyDescent="0.2">
      <c r="A1548">
        <f>ROW(LineærRegression_Valg[[#This Row],[Tabel ID]])-ROW(LineærRegression_Valg[[#Headers],[Tabel ID]])</f>
        <v>1538</v>
      </c>
      <c r="B1548" s="188">
        <f>ROUNDDOWN((LineærRegression_Valg[[#This Row],[Tabel ID]]-1)/$B$5,0)+1</f>
        <v>385</v>
      </c>
      <c r="C1548" s="188">
        <f t="shared" si="24"/>
        <v>2</v>
      </c>
      <c r="D1548" s="188" t="b">
        <f>LineærRegression_Valg[[#This Row],[Afhængig variabel ID]]&lt;&gt;LineærRegression_Valg[[#This Row],[Uafhængig variabel ID]]</f>
        <v>1</v>
      </c>
      <c r="E1548" s="188" t="b">
        <f>LineærRegression_Valg[[#This Row],[Afhængig variabel ID]]&lt;=$B$5</f>
        <v>0</v>
      </c>
      <c r="F1548" t="str" cm="1">
        <f t="array" ref="F1548">IF(LineærRegression_Valg[[#This Row],[Indenfor range]],INDEX(DataTitel_liste,LineærRegression_Valg[[#This Row],[Afhængig variabel ID]]),INDEX(DataTitel_liste,1))</f>
        <v>Eksempel 1 (interval)</v>
      </c>
      <c r="G1548" s="188" t="str" cm="1">
        <f t="array" ref="G1548">IF(LineærRegression_Valg[[#This Row],[Indenfor range]],IF(LineærRegression_Valg[[#This Row],[Intet overlap]],INDEX(DataTitel_liste,LineærRegression_Valg[[#This Row],[Uafhængig variabel ID]]),INDEX(DataTitel_liste,IF(LineærRegression_Valg[[#This Row],[Afhængig variabel ID]]=1,2,1))),$B$7)</f>
        <v>Eksempel 2 (interval)</v>
      </c>
      <c r="H1548" s="188">
        <f>_xlfn.AGGREGATE(2,5,LineærRegression_Valg[[#This Row],[Tabel ID]])</f>
        <v>1</v>
      </c>
    </row>
    <row r="1549" spans="1:8" x14ac:dyDescent="0.2">
      <c r="A1549">
        <f>ROW(LineærRegression_Valg[[#This Row],[Tabel ID]])-ROW(LineærRegression_Valg[[#Headers],[Tabel ID]])</f>
        <v>1539</v>
      </c>
      <c r="B1549" s="188">
        <f>ROUNDDOWN((LineærRegression_Valg[[#This Row],[Tabel ID]]-1)/$B$5,0)+1</f>
        <v>385</v>
      </c>
      <c r="C1549" s="188">
        <f t="shared" si="24"/>
        <v>3</v>
      </c>
      <c r="D1549" s="188" t="b">
        <f>LineærRegression_Valg[[#This Row],[Afhængig variabel ID]]&lt;&gt;LineærRegression_Valg[[#This Row],[Uafhængig variabel ID]]</f>
        <v>1</v>
      </c>
      <c r="E1549" s="188" t="b">
        <f>LineærRegression_Valg[[#This Row],[Afhængig variabel ID]]&lt;=$B$5</f>
        <v>0</v>
      </c>
      <c r="F1549" t="str" cm="1">
        <f t="array" ref="F1549">IF(LineærRegression_Valg[[#This Row],[Indenfor range]],INDEX(DataTitel_liste,LineærRegression_Valg[[#This Row],[Afhængig variabel ID]]),INDEX(DataTitel_liste,1))</f>
        <v>Eksempel 1 (interval)</v>
      </c>
      <c r="G1549" s="188" t="str" cm="1">
        <f t="array" ref="G1549">IF(LineærRegression_Valg[[#This Row],[Indenfor range]],IF(LineærRegression_Valg[[#This Row],[Intet overlap]],INDEX(DataTitel_liste,LineærRegression_Valg[[#This Row],[Uafhængig variabel ID]]),INDEX(DataTitel_liste,IF(LineærRegression_Valg[[#This Row],[Afhængig variabel ID]]=1,2,1))),$B$7)</f>
        <v>Eksempel 2 (interval)</v>
      </c>
      <c r="H1549" s="188">
        <f>_xlfn.AGGREGATE(2,5,LineærRegression_Valg[[#This Row],[Tabel ID]])</f>
        <v>1</v>
      </c>
    </row>
    <row r="1550" spans="1:8" x14ac:dyDescent="0.2">
      <c r="A1550">
        <f>ROW(LineærRegression_Valg[[#This Row],[Tabel ID]])-ROW(LineærRegression_Valg[[#Headers],[Tabel ID]])</f>
        <v>1540</v>
      </c>
      <c r="B1550" s="188">
        <f>ROUNDDOWN((LineærRegression_Valg[[#This Row],[Tabel ID]]-1)/$B$5,0)+1</f>
        <v>385</v>
      </c>
      <c r="C1550" s="188">
        <f t="shared" si="24"/>
        <v>4</v>
      </c>
      <c r="D1550" s="188" t="b">
        <f>LineærRegression_Valg[[#This Row],[Afhængig variabel ID]]&lt;&gt;LineærRegression_Valg[[#This Row],[Uafhængig variabel ID]]</f>
        <v>1</v>
      </c>
      <c r="E1550" s="188" t="b">
        <f>LineærRegression_Valg[[#This Row],[Afhængig variabel ID]]&lt;=$B$5</f>
        <v>0</v>
      </c>
      <c r="F1550" t="str" cm="1">
        <f t="array" ref="F1550">IF(LineærRegression_Valg[[#This Row],[Indenfor range]],INDEX(DataTitel_liste,LineærRegression_Valg[[#This Row],[Afhængig variabel ID]]),INDEX(DataTitel_liste,1))</f>
        <v>Eksempel 1 (interval)</v>
      </c>
      <c r="G1550" s="188" t="str" cm="1">
        <f t="array" ref="G1550">IF(LineærRegression_Valg[[#This Row],[Indenfor range]],IF(LineærRegression_Valg[[#This Row],[Intet overlap]],INDEX(DataTitel_liste,LineærRegression_Valg[[#This Row],[Uafhængig variabel ID]]),INDEX(DataTitel_liste,IF(LineærRegression_Valg[[#This Row],[Afhængig variabel ID]]=1,2,1))),$B$7)</f>
        <v>Eksempel 2 (interval)</v>
      </c>
      <c r="H1550" s="188">
        <f>_xlfn.AGGREGATE(2,5,LineærRegression_Valg[[#This Row],[Tabel ID]])</f>
        <v>1</v>
      </c>
    </row>
    <row r="1551" spans="1:8" x14ac:dyDescent="0.2">
      <c r="A1551">
        <f>ROW(LineærRegression_Valg[[#This Row],[Tabel ID]])-ROW(LineærRegression_Valg[[#Headers],[Tabel ID]])</f>
        <v>1541</v>
      </c>
      <c r="B1551" s="188">
        <f>ROUNDDOWN((LineærRegression_Valg[[#This Row],[Tabel ID]]-1)/$B$5,0)+1</f>
        <v>386</v>
      </c>
      <c r="C1551" s="188">
        <f t="shared" si="24"/>
        <v>1</v>
      </c>
      <c r="D1551" s="188" t="b">
        <f>LineærRegression_Valg[[#This Row],[Afhængig variabel ID]]&lt;&gt;LineærRegression_Valg[[#This Row],[Uafhængig variabel ID]]</f>
        <v>1</v>
      </c>
      <c r="E1551" s="188" t="b">
        <f>LineærRegression_Valg[[#This Row],[Afhængig variabel ID]]&lt;=$B$5</f>
        <v>0</v>
      </c>
      <c r="F1551" t="str" cm="1">
        <f t="array" ref="F1551">IF(LineærRegression_Valg[[#This Row],[Indenfor range]],INDEX(DataTitel_liste,LineærRegression_Valg[[#This Row],[Afhængig variabel ID]]),INDEX(DataTitel_liste,1))</f>
        <v>Eksempel 1 (interval)</v>
      </c>
      <c r="G1551" s="188" t="str" cm="1">
        <f t="array" ref="G1551">IF(LineærRegression_Valg[[#This Row],[Indenfor range]],IF(LineærRegression_Valg[[#This Row],[Intet overlap]],INDEX(DataTitel_liste,LineærRegression_Valg[[#This Row],[Uafhængig variabel ID]]),INDEX(DataTitel_liste,IF(LineærRegression_Valg[[#This Row],[Afhængig variabel ID]]=1,2,1))),$B$7)</f>
        <v>Eksempel 2 (interval)</v>
      </c>
      <c r="H1551" s="188">
        <f>_xlfn.AGGREGATE(2,5,LineærRegression_Valg[[#This Row],[Tabel ID]])</f>
        <v>1</v>
      </c>
    </row>
    <row r="1552" spans="1:8" x14ac:dyDescent="0.2">
      <c r="A1552">
        <f>ROW(LineærRegression_Valg[[#This Row],[Tabel ID]])-ROW(LineærRegression_Valg[[#Headers],[Tabel ID]])</f>
        <v>1542</v>
      </c>
      <c r="B1552" s="188">
        <f>ROUNDDOWN((LineærRegression_Valg[[#This Row],[Tabel ID]]-1)/$B$5,0)+1</f>
        <v>386</v>
      </c>
      <c r="C1552" s="188">
        <f t="shared" si="24"/>
        <v>2</v>
      </c>
      <c r="D1552" s="188" t="b">
        <f>LineærRegression_Valg[[#This Row],[Afhængig variabel ID]]&lt;&gt;LineærRegression_Valg[[#This Row],[Uafhængig variabel ID]]</f>
        <v>1</v>
      </c>
      <c r="E1552" s="188" t="b">
        <f>LineærRegression_Valg[[#This Row],[Afhængig variabel ID]]&lt;=$B$5</f>
        <v>0</v>
      </c>
      <c r="F1552" t="str" cm="1">
        <f t="array" ref="F1552">IF(LineærRegression_Valg[[#This Row],[Indenfor range]],INDEX(DataTitel_liste,LineærRegression_Valg[[#This Row],[Afhængig variabel ID]]),INDEX(DataTitel_liste,1))</f>
        <v>Eksempel 1 (interval)</v>
      </c>
      <c r="G1552" s="188" t="str" cm="1">
        <f t="array" ref="G1552">IF(LineærRegression_Valg[[#This Row],[Indenfor range]],IF(LineærRegression_Valg[[#This Row],[Intet overlap]],INDEX(DataTitel_liste,LineærRegression_Valg[[#This Row],[Uafhængig variabel ID]]),INDEX(DataTitel_liste,IF(LineærRegression_Valg[[#This Row],[Afhængig variabel ID]]=1,2,1))),$B$7)</f>
        <v>Eksempel 2 (interval)</v>
      </c>
      <c r="H1552" s="188">
        <f>_xlfn.AGGREGATE(2,5,LineærRegression_Valg[[#This Row],[Tabel ID]])</f>
        <v>1</v>
      </c>
    </row>
    <row r="1553" spans="1:8" x14ac:dyDescent="0.2">
      <c r="A1553">
        <f>ROW(LineærRegression_Valg[[#This Row],[Tabel ID]])-ROW(LineærRegression_Valg[[#Headers],[Tabel ID]])</f>
        <v>1543</v>
      </c>
      <c r="B1553" s="188">
        <f>ROUNDDOWN((LineærRegression_Valg[[#This Row],[Tabel ID]]-1)/$B$5,0)+1</f>
        <v>386</v>
      </c>
      <c r="C1553" s="188">
        <f t="shared" si="24"/>
        <v>3</v>
      </c>
      <c r="D1553" s="188" t="b">
        <f>LineærRegression_Valg[[#This Row],[Afhængig variabel ID]]&lt;&gt;LineærRegression_Valg[[#This Row],[Uafhængig variabel ID]]</f>
        <v>1</v>
      </c>
      <c r="E1553" s="188" t="b">
        <f>LineærRegression_Valg[[#This Row],[Afhængig variabel ID]]&lt;=$B$5</f>
        <v>0</v>
      </c>
      <c r="F1553" t="str" cm="1">
        <f t="array" ref="F1553">IF(LineærRegression_Valg[[#This Row],[Indenfor range]],INDEX(DataTitel_liste,LineærRegression_Valg[[#This Row],[Afhængig variabel ID]]),INDEX(DataTitel_liste,1))</f>
        <v>Eksempel 1 (interval)</v>
      </c>
      <c r="G1553" s="188" t="str" cm="1">
        <f t="array" ref="G1553">IF(LineærRegression_Valg[[#This Row],[Indenfor range]],IF(LineærRegression_Valg[[#This Row],[Intet overlap]],INDEX(DataTitel_liste,LineærRegression_Valg[[#This Row],[Uafhængig variabel ID]]),INDEX(DataTitel_liste,IF(LineærRegression_Valg[[#This Row],[Afhængig variabel ID]]=1,2,1))),$B$7)</f>
        <v>Eksempel 2 (interval)</v>
      </c>
      <c r="H1553" s="188">
        <f>_xlfn.AGGREGATE(2,5,LineærRegression_Valg[[#This Row],[Tabel ID]])</f>
        <v>1</v>
      </c>
    </row>
    <row r="1554" spans="1:8" x14ac:dyDescent="0.2">
      <c r="A1554">
        <f>ROW(LineærRegression_Valg[[#This Row],[Tabel ID]])-ROW(LineærRegression_Valg[[#Headers],[Tabel ID]])</f>
        <v>1544</v>
      </c>
      <c r="B1554" s="188">
        <f>ROUNDDOWN((LineærRegression_Valg[[#This Row],[Tabel ID]]-1)/$B$5,0)+1</f>
        <v>386</v>
      </c>
      <c r="C1554" s="188">
        <f t="shared" si="24"/>
        <v>4</v>
      </c>
      <c r="D1554" s="188" t="b">
        <f>LineærRegression_Valg[[#This Row],[Afhængig variabel ID]]&lt;&gt;LineærRegression_Valg[[#This Row],[Uafhængig variabel ID]]</f>
        <v>1</v>
      </c>
      <c r="E1554" s="188" t="b">
        <f>LineærRegression_Valg[[#This Row],[Afhængig variabel ID]]&lt;=$B$5</f>
        <v>0</v>
      </c>
      <c r="F1554" t="str" cm="1">
        <f t="array" ref="F1554">IF(LineærRegression_Valg[[#This Row],[Indenfor range]],INDEX(DataTitel_liste,LineærRegression_Valg[[#This Row],[Afhængig variabel ID]]),INDEX(DataTitel_liste,1))</f>
        <v>Eksempel 1 (interval)</v>
      </c>
      <c r="G1554" s="188" t="str" cm="1">
        <f t="array" ref="G1554">IF(LineærRegression_Valg[[#This Row],[Indenfor range]],IF(LineærRegression_Valg[[#This Row],[Intet overlap]],INDEX(DataTitel_liste,LineærRegression_Valg[[#This Row],[Uafhængig variabel ID]]),INDEX(DataTitel_liste,IF(LineærRegression_Valg[[#This Row],[Afhængig variabel ID]]=1,2,1))),$B$7)</f>
        <v>Eksempel 2 (interval)</v>
      </c>
      <c r="H1554" s="188">
        <f>_xlfn.AGGREGATE(2,5,LineærRegression_Valg[[#This Row],[Tabel ID]])</f>
        <v>1</v>
      </c>
    </row>
    <row r="1555" spans="1:8" x14ac:dyDescent="0.2">
      <c r="A1555">
        <f>ROW(LineærRegression_Valg[[#This Row],[Tabel ID]])-ROW(LineærRegression_Valg[[#Headers],[Tabel ID]])</f>
        <v>1545</v>
      </c>
      <c r="B1555" s="188">
        <f>ROUNDDOWN((LineærRegression_Valg[[#This Row],[Tabel ID]]-1)/$B$5,0)+1</f>
        <v>387</v>
      </c>
      <c r="C1555" s="188">
        <f t="shared" si="24"/>
        <v>1</v>
      </c>
      <c r="D1555" s="188" t="b">
        <f>LineærRegression_Valg[[#This Row],[Afhængig variabel ID]]&lt;&gt;LineærRegression_Valg[[#This Row],[Uafhængig variabel ID]]</f>
        <v>1</v>
      </c>
      <c r="E1555" s="188" t="b">
        <f>LineærRegression_Valg[[#This Row],[Afhængig variabel ID]]&lt;=$B$5</f>
        <v>0</v>
      </c>
      <c r="F1555" t="str" cm="1">
        <f t="array" ref="F1555">IF(LineærRegression_Valg[[#This Row],[Indenfor range]],INDEX(DataTitel_liste,LineærRegression_Valg[[#This Row],[Afhængig variabel ID]]),INDEX(DataTitel_liste,1))</f>
        <v>Eksempel 1 (interval)</v>
      </c>
      <c r="G1555" s="188" t="str" cm="1">
        <f t="array" ref="G1555">IF(LineærRegression_Valg[[#This Row],[Indenfor range]],IF(LineærRegression_Valg[[#This Row],[Intet overlap]],INDEX(DataTitel_liste,LineærRegression_Valg[[#This Row],[Uafhængig variabel ID]]),INDEX(DataTitel_liste,IF(LineærRegression_Valg[[#This Row],[Afhængig variabel ID]]=1,2,1))),$B$7)</f>
        <v>Eksempel 2 (interval)</v>
      </c>
      <c r="H1555" s="188">
        <f>_xlfn.AGGREGATE(2,5,LineærRegression_Valg[[#This Row],[Tabel ID]])</f>
        <v>1</v>
      </c>
    </row>
    <row r="1556" spans="1:8" x14ac:dyDescent="0.2">
      <c r="A1556">
        <f>ROW(LineærRegression_Valg[[#This Row],[Tabel ID]])-ROW(LineærRegression_Valg[[#Headers],[Tabel ID]])</f>
        <v>1546</v>
      </c>
      <c r="B1556" s="188">
        <f>ROUNDDOWN((LineærRegression_Valg[[#This Row],[Tabel ID]]-1)/$B$5,0)+1</f>
        <v>387</v>
      </c>
      <c r="C1556" s="188">
        <f t="shared" si="24"/>
        <v>2</v>
      </c>
      <c r="D1556" s="188" t="b">
        <f>LineærRegression_Valg[[#This Row],[Afhængig variabel ID]]&lt;&gt;LineærRegression_Valg[[#This Row],[Uafhængig variabel ID]]</f>
        <v>1</v>
      </c>
      <c r="E1556" s="188" t="b">
        <f>LineærRegression_Valg[[#This Row],[Afhængig variabel ID]]&lt;=$B$5</f>
        <v>0</v>
      </c>
      <c r="F1556" t="str" cm="1">
        <f t="array" ref="F1556">IF(LineærRegression_Valg[[#This Row],[Indenfor range]],INDEX(DataTitel_liste,LineærRegression_Valg[[#This Row],[Afhængig variabel ID]]),INDEX(DataTitel_liste,1))</f>
        <v>Eksempel 1 (interval)</v>
      </c>
      <c r="G1556" s="188" t="str" cm="1">
        <f t="array" ref="G1556">IF(LineærRegression_Valg[[#This Row],[Indenfor range]],IF(LineærRegression_Valg[[#This Row],[Intet overlap]],INDEX(DataTitel_liste,LineærRegression_Valg[[#This Row],[Uafhængig variabel ID]]),INDEX(DataTitel_liste,IF(LineærRegression_Valg[[#This Row],[Afhængig variabel ID]]=1,2,1))),$B$7)</f>
        <v>Eksempel 2 (interval)</v>
      </c>
      <c r="H1556" s="188">
        <f>_xlfn.AGGREGATE(2,5,LineærRegression_Valg[[#This Row],[Tabel ID]])</f>
        <v>1</v>
      </c>
    </row>
    <row r="1557" spans="1:8" x14ac:dyDescent="0.2">
      <c r="A1557">
        <f>ROW(LineærRegression_Valg[[#This Row],[Tabel ID]])-ROW(LineærRegression_Valg[[#Headers],[Tabel ID]])</f>
        <v>1547</v>
      </c>
      <c r="B1557" s="188">
        <f>ROUNDDOWN((LineærRegression_Valg[[#This Row],[Tabel ID]]-1)/$B$5,0)+1</f>
        <v>387</v>
      </c>
      <c r="C1557" s="188">
        <f t="shared" si="24"/>
        <v>3</v>
      </c>
      <c r="D1557" s="188" t="b">
        <f>LineærRegression_Valg[[#This Row],[Afhængig variabel ID]]&lt;&gt;LineærRegression_Valg[[#This Row],[Uafhængig variabel ID]]</f>
        <v>1</v>
      </c>
      <c r="E1557" s="188" t="b">
        <f>LineærRegression_Valg[[#This Row],[Afhængig variabel ID]]&lt;=$B$5</f>
        <v>0</v>
      </c>
      <c r="F1557" t="str" cm="1">
        <f t="array" ref="F1557">IF(LineærRegression_Valg[[#This Row],[Indenfor range]],INDEX(DataTitel_liste,LineærRegression_Valg[[#This Row],[Afhængig variabel ID]]),INDEX(DataTitel_liste,1))</f>
        <v>Eksempel 1 (interval)</v>
      </c>
      <c r="G1557" s="188" t="str" cm="1">
        <f t="array" ref="G1557">IF(LineærRegression_Valg[[#This Row],[Indenfor range]],IF(LineærRegression_Valg[[#This Row],[Intet overlap]],INDEX(DataTitel_liste,LineærRegression_Valg[[#This Row],[Uafhængig variabel ID]]),INDEX(DataTitel_liste,IF(LineærRegression_Valg[[#This Row],[Afhængig variabel ID]]=1,2,1))),$B$7)</f>
        <v>Eksempel 2 (interval)</v>
      </c>
      <c r="H1557" s="188">
        <f>_xlfn.AGGREGATE(2,5,LineærRegression_Valg[[#This Row],[Tabel ID]])</f>
        <v>1</v>
      </c>
    </row>
    <row r="1558" spans="1:8" x14ac:dyDescent="0.2">
      <c r="A1558">
        <f>ROW(LineærRegression_Valg[[#This Row],[Tabel ID]])-ROW(LineærRegression_Valg[[#Headers],[Tabel ID]])</f>
        <v>1548</v>
      </c>
      <c r="B1558" s="188">
        <f>ROUNDDOWN((LineærRegression_Valg[[#This Row],[Tabel ID]]-1)/$B$5,0)+1</f>
        <v>387</v>
      </c>
      <c r="C1558" s="188">
        <f t="shared" si="24"/>
        <v>4</v>
      </c>
      <c r="D1558" s="188" t="b">
        <f>LineærRegression_Valg[[#This Row],[Afhængig variabel ID]]&lt;&gt;LineærRegression_Valg[[#This Row],[Uafhængig variabel ID]]</f>
        <v>1</v>
      </c>
      <c r="E1558" s="188" t="b">
        <f>LineærRegression_Valg[[#This Row],[Afhængig variabel ID]]&lt;=$B$5</f>
        <v>0</v>
      </c>
      <c r="F1558" t="str" cm="1">
        <f t="array" ref="F1558">IF(LineærRegression_Valg[[#This Row],[Indenfor range]],INDEX(DataTitel_liste,LineærRegression_Valg[[#This Row],[Afhængig variabel ID]]),INDEX(DataTitel_liste,1))</f>
        <v>Eksempel 1 (interval)</v>
      </c>
      <c r="G1558" s="188" t="str" cm="1">
        <f t="array" ref="G1558">IF(LineærRegression_Valg[[#This Row],[Indenfor range]],IF(LineærRegression_Valg[[#This Row],[Intet overlap]],INDEX(DataTitel_liste,LineærRegression_Valg[[#This Row],[Uafhængig variabel ID]]),INDEX(DataTitel_liste,IF(LineærRegression_Valg[[#This Row],[Afhængig variabel ID]]=1,2,1))),$B$7)</f>
        <v>Eksempel 2 (interval)</v>
      </c>
      <c r="H1558" s="188">
        <f>_xlfn.AGGREGATE(2,5,LineærRegression_Valg[[#This Row],[Tabel ID]])</f>
        <v>1</v>
      </c>
    </row>
    <row r="1559" spans="1:8" x14ac:dyDescent="0.2">
      <c r="A1559">
        <f>ROW(LineærRegression_Valg[[#This Row],[Tabel ID]])-ROW(LineærRegression_Valg[[#Headers],[Tabel ID]])</f>
        <v>1549</v>
      </c>
      <c r="B1559" s="188">
        <f>ROUNDDOWN((LineærRegression_Valg[[#This Row],[Tabel ID]]-1)/$B$5,0)+1</f>
        <v>388</v>
      </c>
      <c r="C1559" s="188">
        <f t="shared" si="24"/>
        <v>1</v>
      </c>
      <c r="D1559" s="188" t="b">
        <f>LineærRegression_Valg[[#This Row],[Afhængig variabel ID]]&lt;&gt;LineærRegression_Valg[[#This Row],[Uafhængig variabel ID]]</f>
        <v>1</v>
      </c>
      <c r="E1559" s="188" t="b">
        <f>LineærRegression_Valg[[#This Row],[Afhængig variabel ID]]&lt;=$B$5</f>
        <v>0</v>
      </c>
      <c r="F1559" t="str" cm="1">
        <f t="array" ref="F1559">IF(LineærRegression_Valg[[#This Row],[Indenfor range]],INDEX(DataTitel_liste,LineærRegression_Valg[[#This Row],[Afhængig variabel ID]]),INDEX(DataTitel_liste,1))</f>
        <v>Eksempel 1 (interval)</v>
      </c>
      <c r="G1559" s="188" t="str" cm="1">
        <f t="array" ref="G1559">IF(LineærRegression_Valg[[#This Row],[Indenfor range]],IF(LineærRegression_Valg[[#This Row],[Intet overlap]],INDEX(DataTitel_liste,LineærRegression_Valg[[#This Row],[Uafhængig variabel ID]]),INDEX(DataTitel_liste,IF(LineærRegression_Valg[[#This Row],[Afhængig variabel ID]]=1,2,1))),$B$7)</f>
        <v>Eksempel 2 (interval)</v>
      </c>
      <c r="H1559" s="188">
        <f>_xlfn.AGGREGATE(2,5,LineærRegression_Valg[[#This Row],[Tabel ID]])</f>
        <v>1</v>
      </c>
    </row>
    <row r="1560" spans="1:8" x14ac:dyDescent="0.2">
      <c r="A1560">
        <f>ROW(LineærRegression_Valg[[#This Row],[Tabel ID]])-ROW(LineærRegression_Valg[[#Headers],[Tabel ID]])</f>
        <v>1550</v>
      </c>
      <c r="B1560" s="188">
        <f>ROUNDDOWN((LineærRegression_Valg[[#This Row],[Tabel ID]]-1)/$B$5,0)+1</f>
        <v>388</v>
      </c>
      <c r="C1560" s="188">
        <f t="shared" si="24"/>
        <v>2</v>
      </c>
      <c r="D1560" s="188" t="b">
        <f>LineærRegression_Valg[[#This Row],[Afhængig variabel ID]]&lt;&gt;LineærRegression_Valg[[#This Row],[Uafhængig variabel ID]]</f>
        <v>1</v>
      </c>
      <c r="E1560" s="188" t="b">
        <f>LineærRegression_Valg[[#This Row],[Afhængig variabel ID]]&lt;=$B$5</f>
        <v>0</v>
      </c>
      <c r="F1560" t="str" cm="1">
        <f t="array" ref="F1560">IF(LineærRegression_Valg[[#This Row],[Indenfor range]],INDEX(DataTitel_liste,LineærRegression_Valg[[#This Row],[Afhængig variabel ID]]),INDEX(DataTitel_liste,1))</f>
        <v>Eksempel 1 (interval)</v>
      </c>
      <c r="G1560" s="188" t="str" cm="1">
        <f t="array" ref="G1560">IF(LineærRegression_Valg[[#This Row],[Indenfor range]],IF(LineærRegression_Valg[[#This Row],[Intet overlap]],INDEX(DataTitel_liste,LineærRegression_Valg[[#This Row],[Uafhængig variabel ID]]),INDEX(DataTitel_liste,IF(LineærRegression_Valg[[#This Row],[Afhængig variabel ID]]=1,2,1))),$B$7)</f>
        <v>Eksempel 2 (interval)</v>
      </c>
      <c r="H1560" s="188">
        <f>_xlfn.AGGREGATE(2,5,LineærRegression_Valg[[#This Row],[Tabel ID]])</f>
        <v>1</v>
      </c>
    </row>
    <row r="1561" spans="1:8" x14ac:dyDescent="0.2">
      <c r="A1561">
        <f>ROW(LineærRegression_Valg[[#This Row],[Tabel ID]])-ROW(LineærRegression_Valg[[#Headers],[Tabel ID]])</f>
        <v>1551</v>
      </c>
      <c r="B1561" s="188">
        <f>ROUNDDOWN((LineærRegression_Valg[[#This Row],[Tabel ID]]-1)/$B$5,0)+1</f>
        <v>388</v>
      </c>
      <c r="C1561" s="188">
        <f t="shared" si="24"/>
        <v>3</v>
      </c>
      <c r="D1561" s="188" t="b">
        <f>LineærRegression_Valg[[#This Row],[Afhængig variabel ID]]&lt;&gt;LineærRegression_Valg[[#This Row],[Uafhængig variabel ID]]</f>
        <v>1</v>
      </c>
      <c r="E1561" s="188" t="b">
        <f>LineærRegression_Valg[[#This Row],[Afhængig variabel ID]]&lt;=$B$5</f>
        <v>0</v>
      </c>
      <c r="F1561" t="str" cm="1">
        <f t="array" ref="F1561">IF(LineærRegression_Valg[[#This Row],[Indenfor range]],INDEX(DataTitel_liste,LineærRegression_Valg[[#This Row],[Afhængig variabel ID]]),INDEX(DataTitel_liste,1))</f>
        <v>Eksempel 1 (interval)</v>
      </c>
      <c r="G1561" s="188" t="str" cm="1">
        <f t="array" ref="G1561">IF(LineærRegression_Valg[[#This Row],[Indenfor range]],IF(LineærRegression_Valg[[#This Row],[Intet overlap]],INDEX(DataTitel_liste,LineærRegression_Valg[[#This Row],[Uafhængig variabel ID]]),INDEX(DataTitel_liste,IF(LineærRegression_Valg[[#This Row],[Afhængig variabel ID]]=1,2,1))),$B$7)</f>
        <v>Eksempel 2 (interval)</v>
      </c>
      <c r="H1561" s="188">
        <f>_xlfn.AGGREGATE(2,5,LineærRegression_Valg[[#This Row],[Tabel ID]])</f>
        <v>1</v>
      </c>
    </row>
    <row r="1562" spans="1:8" x14ac:dyDescent="0.2">
      <c r="A1562">
        <f>ROW(LineærRegression_Valg[[#This Row],[Tabel ID]])-ROW(LineærRegression_Valg[[#Headers],[Tabel ID]])</f>
        <v>1552</v>
      </c>
      <c r="B1562" s="188">
        <f>ROUNDDOWN((LineærRegression_Valg[[#This Row],[Tabel ID]]-1)/$B$5,0)+1</f>
        <v>388</v>
      </c>
      <c r="C1562" s="188">
        <f t="shared" si="24"/>
        <v>4</v>
      </c>
      <c r="D1562" s="188" t="b">
        <f>LineærRegression_Valg[[#This Row],[Afhængig variabel ID]]&lt;&gt;LineærRegression_Valg[[#This Row],[Uafhængig variabel ID]]</f>
        <v>1</v>
      </c>
      <c r="E1562" s="188" t="b">
        <f>LineærRegression_Valg[[#This Row],[Afhængig variabel ID]]&lt;=$B$5</f>
        <v>0</v>
      </c>
      <c r="F1562" t="str" cm="1">
        <f t="array" ref="F1562">IF(LineærRegression_Valg[[#This Row],[Indenfor range]],INDEX(DataTitel_liste,LineærRegression_Valg[[#This Row],[Afhængig variabel ID]]),INDEX(DataTitel_liste,1))</f>
        <v>Eksempel 1 (interval)</v>
      </c>
      <c r="G1562" s="188" t="str" cm="1">
        <f t="array" ref="G1562">IF(LineærRegression_Valg[[#This Row],[Indenfor range]],IF(LineærRegression_Valg[[#This Row],[Intet overlap]],INDEX(DataTitel_liste,LineærRegression_Valg[[#This Row],[Uafhængig variabel ID]]),INDEX(DataTitel_liste,IF(LineærRegression_Valg[[#This Row],[Afhængig variabel ID]]=1,2,1))),$B$7)</f>
        <v>Eksempel 2 (interval)</v>
      </c>
      <c r="H1562" s="188">
        <f>_xlfn.AGGREGATE(2,5,LineærRegression_Valg[[#This Row],[Tabel ID]])</f>
        <v>1</v>
      </c>
    </row>
    <row r="1563" spans="1:8" x14ac:dyDescent="0.2">
      <c r="A1563">
        <f>ROW(LineærRegression_Valg[[#This Row],[Tabel ID]])-ROW(LineærRegression_Valg[[#Headers],[Tabel ID]])</f>
        <v>1553</v>
      </c>
      <c r="B1563" s="188">
        <f>ROUNDDOWN((LineærRegression_Valg[[#This Row],[Tabel ID]]-1)/$B$5,0)+1</f>
        <v>389</v>
      </c>
      <c r="C1563" s="188">
        <f t="shared" si="24"/>
        <v>1</v>
      </c>
      <c r="D1563" s="188" t="b">
        <f>LineærRegression_Valg[[#This Row],[Afhængig variabel ID]]&lt;&gt;LineærRegression_Valg[[#This Row],[Uafhængig variabel ID]]</f>
        <v>1</v>
      </c>
      <c r="E1563" s="188" t="b">
        <f>LineærRegression_Valg[[#This Row],[Afhængig variabel ID]]&lt;=$B$5</f>
        <v>0</v>
      </c>
      <c r="F1563" t="str" cm="1">
        <f t="array" ref="F1563">IF(LineærRegression_Valg[[#This Row],[Indenfor range]],INDEX(DataTitel_liste,LineærRegression_Valg[[#This Row],[Afhængig variabel ID]]),INDEX(DataTitel_liste,1))</f>
        <v>Eksempel 1 (interval)</v>
      </c>
      <c r="G1563" s="188" t="str" cm="1">
        <f t="array" ref="G1563">IF(LineærRegression_Valg[[#This Row],[Indenfor range]],IF(LineærRegression_Valg[[#This Row],[Intet overlap]],INDEX(DataTitel_liste,LineærRegression_Valg[[#This Row],[Uafhængig variabel ID]]),INDEX(DataTitel_liste,IF(LineærRegression_Valg[[#This Row],[Afhængig variabel ID]]=1,2,1))),$B$7)</f>
        <v>Eksempel 2 (interval)</v>
      </c>
      <c r="H1563" s="188">
        <f>_xlfn.AGGREGATE(2,5,LineærRegression_Valg[[#This Row],[Tabel ID]])</f>
        <v>1</v>
      </c>
    </row>
    <row r="1564" spans="1:8" x14ac:dyDescent="0.2">
      <c r="A1564">
        <f>ROW(LineærRegression_Valg[[#This Row],[Tabel ID]])-ROW(LineærRegression_Valg[[#Headers],[Tabel ID]])</f>
        <v>1554</v>
      </c>
      <c r="B1564" s="188">
        <f>ROUNDDOWN((LineærRegression_Valg[[#This Row],[Tabel ID]]-1)/$B$5,0)+1</f>
        <v>389</v>
      </c>
      <c r="C1564" s="188">
        <f t="shared" si="24"/>
        <v>2</v>
      </c>
      <c r="D1564" s="188" t="b">
        <f>LineærRegression_Valg[[#This Row],[Afhængig variabel ID]]&lt;&gt;LineærRegression_Valg[[#This Row],[Uafhængig variabel ID]]</f>
        <v>1</v>
      </c>
      <c r="E1564" s="188" t="b">
        <f>LineærRegression_Valg[[#This Row],[Afhængig variabel ID]]&lt;=$B$5</f>
        <v>0</v>
      </c>
      <c r="F1564" t="str" cm="1">
        <f t="array" ref="F1564">IF(LineærRegression_Valg[[#This Row],[Indenfor range]],INDEX(DataTitel_liste,LineærRegression_Valg[[#This Row],[Afhængig variabel ID]]),INDEX(DataTitel_liste,1))</f>
        <v>Eksempel 1 (interval)</v>
      </c>
      <c r="G1564" s="188" t="str" cm="1">
        <f t="array" ref="G1564">IF(LineærRegression_Valg[[#This Row],[Indenfor range]],IF(LineærRegression_Valg[[#This Row],[Intet overlap]],INDEX(DataTitel_liste,LineærRegression_Valg[[#This Row],[Uafhængig variabel ID]]),INDEX(DataTitel_liste,IF(LineærRegression_Valg[[#This Row],[Afhængig variabel ID]]=1,2,1))),$B$7)</f>
        <v>Eksempel 2 (interval)</v>
      </c>
      <c r="H1564" s="188">
        <f>_xlfn.AGGREGATE(2,5,LineærRegression_Valg[[#This Row],[Tabel ID]])</f>
        <v>1</v>
      </c>
    </row>
    <row r="1565" spans="1:8" x14ac:dyDescent="0.2">
      <c r="A1565">
        <f>ROW(LineærRegression_Valg[[#This Row],[Tabel ID]])-ROW(LineærRegression_Valg[[#Headers],[Tabel ID]])</f>
        <v>1555</v>
      </c>
      <c r="B1565" s="188">
        <f>ROUNDDOWN((LineærRegression_Valg[[#This Row],[Tabel ID]]-1)/$B$5,0)+1</f>
        <v>389</v>
      </c>
      <c r="C1565" s="188">
        <f t="shared" si="24"/>
        <v>3</v>
      </c>
      <c r="D1565" s="188" t="b">
        <f>LineærRegression_Valg[[#This Row],[Afhængig variabel ID]]&lt;&gt;LineærRegression_Valg[[#This Row],[Uafhængig variabel ID]]</f>
        <v>1</v>
      </c>
      <c r="E1565" s="188" t="b">
        <f>LineærRegression_Valg[[#This Row],[Afhængig variabel ID]]&lt;=$B$5</f>
        <v>0</v>
      </c>
      <c r="F1565" t="str" cm="1">
        <f t="array" ref="F1565">IF(LineærRegression_Valg[[#This Row],[Indenfor range]],INDEX(DataTitel_liste,LineærRegression_Valg[[#This Row],[Afhængig variabel ID]]),INDEX(DataTitel_liste,1))</f>
        <v>Eksempel 1 (interval)</v>
      </c>
      <c r="G1565" s="188" t="str" cm="1">
        <f t="array" ref="G1565">IF(LineærRegression_Valg[[#This Row],[Indenfor range]],IF(LineærRegression_Valg[[#This Row],[Intet overlap]],INDEX(DataTitel_liste,LineærRegression_Valg[[#This Row],[Uafhængig variabel ID]]),INDEX(DataTitel_liste,IF(LineærRegression_Valg[[#This Row],[Afhængig variabel ID]]=1,2,1))),$B$7)</f>
        <v>Eksempel 2 (interval)</v>
      </c>
      <c r="H1565" s="188">
        <f>_xlfn.AGGREGATE(2,5,LineærRegression_Valg[[#This Row],[Tabel ID]])</f>
        <v>1</v>
      </c>
    </row>
    <row r="1566" spans="1:8" x14ac:dyDescent="0.2">
      <c r="A1566">
        <f>ROW(LineærRegression_Valg[[#This Row],[Tabel ID]])-ROW(LineærRegression_Valg[[#Headers],[Tabel ID]])</f>
        <v>1556</v>
      </c>
      <c r="B1566" s="188">
        <f>ROUNDDOWN((LineærRegression_Valg[[#This Row],[Tabel ID]]-1)/$B$5,0)+1</f>
        <v>389</v>
      </c>
      <c r="C1566" s="188">
        <f t="shared" si="24"/>
        <v>4</v>
      </c>
      <c r="D1566" s="188" t="b">
        <f>LineærRegression_Valg[[#This Row],[Afhængig variabel ID]]&lt;&gt;LineærRegression_Valg[[#This Row],[Uafhængig variabel ID]]</f>
        <v>1</v>
      </c>
      <c r="E1566" s="188" t="b">
        <f>LineærRegression_Valg[[#This Row],[Afhængig variabel ID]]&lt;=$B$5</f>
        <v>0</v>
      </c>
      <c r="F1566" t="str" cm="1">
        <f t="array" ref="F1566">IF(LineærRegression_Valg[[#This Row],[Indenfor range]],INDEX(DataTitel_liste,LineærRegression_Valg[[#This Row],[Afhængig variabel ID]]),INDEX(DataTitel_liste,1))</f>
        <v>Eksempel 1 (interval)</v>
      </c>
      <c r="G1566" s="188" t="str" cm="1">
        <f t="array" ref="G1566">IF(LineærRegression_Valg[[#This Row],[Indenfor range]],IF(LineærRegression_Valg[[#This Row],[Intet overlap]],INDEX(DataTitel_liste,LineærRegression_Valg[[#This Row],[Uafhængig variabel ID]]),INDEX(DataTitel_liste,IF(LineærRegression_Valg[[#This Row],[Afhængig variabel ID]]=1,2,1))),$B$7)</f>
        <v>Eksempel 2 (interval)</v>
      </c>
      <c r="H1566" s="188">
        <f>_xlfn.AGGREGATE(2,5,LineærRegression_Valg[[#This Row],[Tabel ID]])</f>
        <v>1</v>
      </c>
    </row>
    <row r="1567" spans="1:8" x14ac:dyDescent="0.2">
      <c r="A1567">
        <f>ROW(LineærRegression_Valg[[#This Row],[Tabel ID]])-ROW(LineærRegression_Valg[[#Headers],[Tabel ID]])</f>
        <v>1557</v>
      </c>
      <c r="B1567" s="188">
        <f>ROUNDDOWN((LineærRegression_Valg[[#This Row],[Tabel ID]]-1)/$B$5,0)+1</f>
        <v>390</v>
      </c>
      <c r="C1567" s="188">
        <f t="shared" si="24"/>
        <v>1</v>
      </c>
      <c r="D1567" s="188" t="b">
        <f>LineærRegression_Valg[[#This Row],[Afhængig variabel ID]]&lt;&gt;LineærRegression_Valg[[#This Row],[Uafhængig variabel ID]]</f>
        <v>1</v>
      </c>
      <c r="E1567" s="188" t="b">
        <f>LineærRegression_Valg[[#This Row],[Afhængig variabel ID]]&lt;=$B$5</f>
        <v>0</v>
      </c>
      <c r="F1567" t="str" cm="1">
        <f t="array" ref="F1567">IF(LineærRegression_Valg[[#This Row],[Indenfor range]],INDEX(DataTitel_liste,LineærRegression_Valg[[#This Row],[Afhængig variabel ID]]),INDEX(DataTitel_liste,1))</f>
        <v>Eksempel 1 (interval)</v>
      </c>
      <c r="G1567" s="188" t="str" cm="1">
        <f t="array" ref="G1567">IF(LineærRegression_Valg[[#This Row],[Indenfor range]],IF(LineærRegression_Valg[[#This Row],[Intet overlap]],INDEX(DataTitel_liste,LineærRegression_Valg[[#This Row],[Uafhængig variabel ID]]),INDEX(DataTitel_liste,IF(LineærRegression_Valg[[#This Row],[Afhængig variabel ID]]=1,2,1))),$B$7)</f>
        <v>Eksempel 2 (interval)</v>
      </c>
      <c r="H1567" s="188">
        <f>_xlfn.AGGREGATE(2,5,LineærRegression_Valg[[#This Row],[Tabel ID]])</f>
        <v>1</v>
      </c>
    </row>
    <row r="1568" spans="1:8" x14ac:dyDescent="0.2">
      <c r="A1568">
        <f>ROW(LineærRegression_Valg[[#This Row],[Tabel ID]])-ROW(LineærRegression_Valg[[#Headers],[Tabel ID]])</f>
        <v>1558</v>
      </c>
      <c r="B1568" s="188">
        <f>ROUNDDOWN((LineærRegression_Valg[[#This Row],[Tabel ID]]-1)/$B$5,0)+1</f>
        <v>390</v>
      </c>
      <c r="C1568" s="188">
        <f t="shared" si="24"/>
        <v>2</v>
      </c>
      <c r="D1568" s="188" t="b">
        <f>LineærRegression_Valg[[#This Row],[Afhængig variabel ID]]&lt;&gt;LineærRegression_Valg[[#This Row],[Uafhængig variabel ID]]</f>
        <v>1</v>
      </c>
      <c r="E1568" s="188" t="b">
        <f>LineærRegression_Valg[[#This Row],[Afhængig variabel ID]]&lt;=$B$5</f>
        <v>0</v>
      </c>
      <c r="F1568" t="str" cm="1">
        <f t="array" ref="F1568">IF(LineærRegression_Valg[[#This Row],[Indenfor range]],INDEX(DataTitel_liste,LineærRegression_Valg[[#This Row],[Afhængig variabel ID]]),INDEX(DataTitel_liste,1))</f>
        <v>Eksempel 1 (interval)</v>
      </c>
      <c r="G1568" s="188" t="str" cm="1">
        <f t="array" ref="G1568">IF(LineærRegression_Valg[[#This Row],[Indenfor range]],IF(LineærRegression_Valg[[#This Row],[Intet overlap]],INDEX(DataTitel_liste,LineærRegression_Valg[[#This Row],[Uafhængig variabel ID]]),INDEX(DataTitel_liste,IF(LineærRegression_Valg[[#This Row],[Afhængig variabel ID]]=1,2,1))),$B$7)</f>
        <v>Eksempel 2 (interval)</v>
      </c>
      <c r="H1568" s="188">
        <f>_xlfn.AGGREGATE(2,5,LineærRegression_Valg[[#This Row],[Tabel ID]])</f>
        <v>1</v>
      </c>
    </row>
    <row r="1569" spans="1:8" x14ac:dyDescent="0.2">
      <c r="A1569">
        <f>ROW(LineærRegression_Valg[[#This Row],[Tabel ID]])-ROW(LineærRegression_Valg[[#Headers],[Tabel ID]])</f>
        <v>1559</v>
      </c>
      <c r="B1569" s="188">
        <f>ROUNDDOWN((LineærRegression_Valg[[#This Row],[Tabel ID]]-1)/$B$5,0)+1</f>
        <v>390</v>
      </c>
      <c r="C1569" s="188">
        <f t="shared" si="24"/>
        <v>3</v>
      </c>
      <c r="D1569" s="188" t="b">
        <f>LineærRegression_Valg[[#This Row],[Afhængig variabel ID]]&lt;&gt;LineærRegression_Valg[[#This Row],[Uafhængig variabel ID]]</f>
        <v>1</v>
      </c>
      <c r="E1569" s="188" t="b">
        <f>LineærRegression_Valg[[#This Row],[Afhængig variabel ID]]&lt;=$B$5</f>
        <v>0</v>
      </c>
      <c r="F1569" t="str" cm="1">
        <f t="array" ref="F1569">IF(LineærRegression_Valg[[#This Row],[Indenfor range]],INDEX(DataTitel_liste,LineærRegression_Valg[[#This Row],[Afhængig variabel ID]]),INDEX(DataTitel_liste,1))</f>
        <v>Eksempel 1 (interval)</v>
      </c>
      <c r="G1569" s="188" t="str" cm="1">
        <f t="array" ref="G1569">IF(LineærRegression_Valg[[#This Row],[Indenfor range]],IF(LineærRegression_Valg[[#This Row],[Intet overlap]],INDEX(DataTitel_liste,LineærRegression_Valg[[#This Row],[Uafhængig variabel ID]]),INDEX(DataTitel_liste,IF(LineærRegression_Valg[[#This Row],[Afhængig variabel ID]]=1,2,1))),$B$7)</f>
        <v>Eksempel 2 (interval)</v>
      </c>
      <c r="H1569" s="188">
        <f>_xlfn.AGGREGATE(2,5,LineærRegression_Valg[[#This Row],[Tabel ID]])</f>
        <v>1</v>
      </c>
    </row>
    <row r="1570" spans="1:8" x14ac:dyDescent="0.2">
      <c r="A1570">
        <f>ROW(LineærRegression_Valg[[#This Row],[Tabel ID]])-ROW(LineærRegression_Valg[[#Headers],[Tabel ID]])</f>
        <v>1560</v>
      </c>
      <c r="B1570" s="188">
        <f>ROUNDDOWN((LineærRegression_Valg[[#This Row],[Tabel ID]]-1)/$B$5,0)+1</f>
        <v>390</v>
      </c>
      <c r="C1570" s="188">
        <f t="shared" si="24"/>
        <v>4</v>
      </c>
      <c r="D1570" s="188" t="b">
        <f>LineærRegression_Valg[[#This Row],[Afhængig variabel ID]]&lt;&gt;LineærRegression_Valg[[#This Row],[Uafhængig variabel ID]]</f>
        <v>1</v>
      </c>
      <c r="E1570" s="188" t="b">
        <f>LineærRegression_Valg[[#This Row],[Afhængig variabel ID]]&lt;=$B$5</f>
        <v>0</v>
      </c>
      <c r="F1570" t="str" cm="1">
        <f t="array" ref="F1570">IF(LineærRegression_Valg[[#This Row],[Indenfor range]],INDEX(DataTitel_liste,LineærRegression_Valg[[#This Row],[Afhængig variabel ID]]),INDEX(DataTitel_liste,1))</f>
        <v>Eksempel 1 (interval)</v>
      </c>
      <c r="G1570" s="188" t="str" cm="1">
        <f t="array" ref="G1570">IF(LineærRegression_Valg[[#This Row],[Indenfor range]],IF(LineærRegression_Valg[[#This Row],[Intet overlap]],INDEX(DataTitel_liste,LineærRegression_Valg[[#This Row],[Uafhængig variabel ID]]),INDEX(DataTitel_liste,IF(LineærRegression_Valg[[#This Row],[Afhængig variabel ID]]=1,2,1))),$B$7)</f>
        <v>Eksempel 2 (interval)</v>
      </c>
      <c r="H1570" s="188">
        <f>_xlfn.AGGREGATE(2,5,LineærRegression_Valg[[#This Row],[Tabel ID]])</f>
        <v>1</v>
      </c>
    </row>
    <row r="1571" spans="1:8" x14ac:dyDescent="0.2">
      <c r="A1571">
        <f>ROW(LineærRegression_Valg[[#This Row],[Tabel ID]])-ROW(LineærRegression_Valg[[#Headers],[Tabel ID]])</f>
        <v>1561</v>
      </c>
      <c r="B1571" s="188">
        <f>ROUNDDOWN((LineærRegression_Valg[[#This Row],[Tabel ID]]-1)/$B$5,0)+1</f>
        <v>391</v>
      </c>
      <c r="C1571" s="188">
        <f t="shared" si="24"/>
        <v>1</v>
      </c>
      <c r="D1571" s="188" t="b">
        <f>LineærRegression_Valg[[#This Row],[Afhængig variabel ID]]&lt;&gt;LineærRegression_Valg[[#This Row],[Uafhængig variabel ID]]</f>
        <v>1</v>
      </c>
      <c r="E1571" s="188" t="b">
        <f>LineærRegression_Valg[[#This Row],[Afhængig variabel ID]]&lt;=$B$5</f>
        <v>0</v>
      </c>
      <c r="F1571" t="str" cm="1">
        <f t="array" ref="F1571">IF(LineærRegression_Valg[[#This Row],[Indenfor range]],INDEX(DataTitel_liste,LineærRegression_Valg[[#This Row],[Afhængig variabel ID]]),INDEX(DataTitel_liste,1))</f>
        <v>Eksempel 1 (interval)</v>
      </c>
      <c r="G1571" s="188" t="str" cm="1">
        <f t="array" ref="G1571">IF(LineærRegression_Valg[[#This Row],[Indenfor range]],IF(LineærRegression_Valg[[#This Row],[Intet overlap]],INDEX(DataTitel_liste,LineærRegression_Valg[[#This Row],[Uafhængig variabel ID]]),INDEX(DataTitel_liste,IF(LineærRegression_Valg[[#This Row],[Afhængig variabel ID]]=1,2,1))),$B$7)</f>
        <v>Eksempel 2 (interval)</v>
      </c>
      <c r="H1571" s="188">
        <f>_xlfn.AGGREGATE(2,5,LineærRegression_Valg[[#This Row],[Tabel ID]])</f>
        <v>1</v>
      </c>
    </row>
    <row r="1572" spans="1:8" x14ac:dyDescent="0.2">
      <c r="A1572">
        <f>ROW(LineærRegression_Valg[[#This Row],[Tabel ID]])-ROW(LineærRegression_Valg[[#Headers],[Tabel ID]])</f>
        <v>1562</v>
      </c>
      <c r="B1572" s="188">
        <f>ROUNDDOWN((LineærRegression_Valg[[#This Row],[Tabel ID]]-1)/$B$5,0)+1</f>
        <v>391</v>
      </c>
      <c r="C1572" s="188">
        <f t="shared" si="24"/>
        <v>2</v>
      </c>
      <c r="D1572" s="188" t="b">
        <f>LineærRegression_Valg[[#This Row],[Afhængig variabel ID]]&lt;&gt;LineærRegression_Valg[[#This Row],[Uafhængig variabel ID]]</f>
        <v>1</v>
      </c>
      <c r="E1572" s="188" t="b">
        <f>LineærRegression_Valg[[#This Row],[Afhængig variabel ID]]&lt;=$B$5</f>
        <v>0</v>
      </c>
      <c r="F1572" t="str" cm="1">
        <f t="array" ref="F1572">IF(LineærRegression_Valg[[#This Row],[Indenfor range]],INDEX(DataTitel_liste,LineærRegression_Valg[[#This Row],[Afhængig variabel ID]]),INDEX(DataTitel_liste,1))</f>
        <v>Eksempel 1 (interval)</v>
      </c>
      <c r="G1572" s="188" t="str" cm="1">
        <f t="array" ref="G1572">IF(LineærRegression_Valg[[#This Row],[Indenfor range]],IF(LineærRegression_Valg[[#This Row],[Intet overlap]],INDEX(DataTitel_liste,LineærRegression_Valg[[#This Row],[Uafhængig variabel ID]]),INDEX(DataTitel_liste,IF(LineærRegression_Valg[[#This Row],[Afhængig variabel ID]]=1,2,1))),$B$7)</f>
        <v>Eksempel 2 (interval)</v>
      </c>
      <c r="H1572" s="188">
        <f>_xlfn.AGGREGATE(2,5,LineærRegression_Valg[[#This Row],[Tabel ID]])</f>
        <v>1</v>
      </c>
    </row>
    <row r="1573" spans="1:8" x14ac:dyDescent="0.2">
      <c r="A1573">
        <f>ROW(LineærRegression_Valg[[#This Row],[Tabel ID]])-ROW(LineærRegression_Valg[[#Headers],[Tabel ID]])</f>
        <v>1563</v>
      </c>
      <c r="B1573" s="188">
        <f>ROUNDDOWN((LineærRegression_Valg[[#This Row],[Tabel ID]]-1)/$B$5,0)+1</f>
        <v>391</v>
      </c>
      <c r="C1573" s="188">
        <f t="shared" si="24"/>
        <v>3</v>
      </c>
      <c r="D1573" s="188" t="b">
        <f>LineærRegression_Valg[[#This Row],[Afhængig variabel ID]]&lt;&gt;LineærRegression_Valg[[#This Row],[Uafhængig variabel ID]]</f>
        <v>1</v>
      </c>
      <c r="E1573" s="188" t="b">
        <f>LineærRegression_Valg[[#This Row],[Afhængig variabel ID]]&lt;=$B$5</f>
        <v>0</v>
      </c>
      <c r="F1573" t="str" cm="1">
        <f t="array" ref="F1573">IF(LineærRegression_Valg[[#This Row],[Indenfor range]],INDEX(DataTitel_liste,LineærRegression_Valg[[#This Row],[Afhængig variabel ID]]),INDEX(DataTitel_liste,1))</f>
        <v>Eksempel 1 (interval)</v>
      </c>
      <c r="G1573" s="188" t="str" cm="1">
        <f t="array" ref="G1573">IF(LineærRegression_Valg[[#This Row],[Indenfor range]],IF(LineærRegression_Valg[[#This Row],[Intet overlap]],INDEX(DataTitel_liste,LineærRegression_Valg[[#This Row],[Uafhængig variabel ID]]),INDEX(DataTitel_liste,IF(LineærRegression_Valg[[#This Row],[Afhængig variabel ID]]=1,2,1))),$B$7)</f>
        <v>Eksempel 2 (interval)</v>
      </c>
      <c r="H1573" s="188">
        <f>_xlfn.AGGREGATE(2,5,LineærRegression_Valg[[#This Row],[Tabel ID]])</f>
        <v>1</v>
      </c>
    </row>
    <row r="1574" spans="1:8" x14ac:dyDescent="0.2">
      <c r="A1574">
        <f>ROW(LineærRegression_Valg[[#This Row],[Tabel ID]])-ROW(LineærRegression_Valg[[#Headers],[Tabel ID]])</f>
        <v>1564</v>
      </c>
      <c r="B1574" s="188">
        <f>ROUNDDOWN((LineærRegression_Valg[[#This Row],[Tabel ID]]-1)/$B$5,0)+1</f>
        <v>391</v>
      </c>
      <c r="C1574" s="188">
        <f t="shared" si="24"/>
        <v>4</v>
      </c>
      <c r="D1574" s="188" t="b">
        <f>LineærRegression_Valg[[#This Row],[Afhængig variabel ID]]&lt;&gt;LineærRegression_Valg[[#This Row],[Uafhængig variabel ID]]</f>
        <v>1</v>
      </c>
      <c r="E1574" s="188" t="b">
        <f>LineærRegression_Valg[[#This Row],[Afhængig variabel ID]]&lt;=$B$5</f>
        <v>0</v>
      </c>
      <c r="F1574" t="str" cm="1">
        <f t="array" ref="F1574">IF(LineærRegression_Valg[[#This Row],[Indenfor range]],INDEX(DataTitel_liste,LineærRegression_Valg[[#This Row],[Afhængig variabel ID]]),INDEX(DataTitel_liste,1))</f>
        <v>Eksempel 1 (interval)</v>
      </c>
      <c r="G1574" s="188" t="str" cm="1">
        <f t="array" ref="G1574">IF(LineærRegression_Valg[[#This Row],[Indenfor range]],IF(LineærRegression_Valg[[#This Row],[Intet overlap]],INDEX(DataTitel_liste,LineærRegression_Valg[[#This Row],[Uafhængig variabel ID]]),INDEX(DataTitel_liste,IF(LineærRegression_Valg[[#This Row],[Afhængig variabel ID]]=1,2,1))),$B$7)</f>
        <v>Eksempel 2 (interval)</v>
      </c>
      <c r="H1574" s="188">
        <f>_xlfn.AGGREGATE(2,5,LineærRegression_Valg[[#This Row],[Tabel ID]])</f>
        <v>1</v>
      </c>
    </row>
    <row r="1575" spans="1:8" x14ac:dyDescent="0.2">
      <c r="A1575">
        <f>ROW(LineærRegression_Valg[[#This Row],[Tabel ID]])-ROW(LineærRegression_Valg[[#Headers],[Tabel ID]])</f>
        <v>1565</v>
      </c>
      <c r="B1575" s="188">
        <f>ROUNDDOWN((LineærRegression_Valg[[#This Row],[Tabel ID]]-1)/$B$5,0)+1</f>
        <v>392</v>
      </c>
      <c r="C1575" s="188">
        <f t="shared" si="24"/>
        <v>1</v>
      </c>
      <c r="D1575" s="188" t="b">
        <f>LineærRegression_Valg[[#This Row],[Afhængig variabel ID]]&lt;&gt;LineærRegression_Valg[[#This Row],[Uafhængig variabel ID]]</f>
        <v>1</v>
      </c>
      <c r="E1575" s="188" t="b">
        <f>LineærRegression_Valg[[#This Row],[Afhængig variabel ID]]&lt;=$B$5</f>
        <v>0</v>
      </c>
      <c r="F1575" t="str" cm="1">
        <f t="array" ref="F1575">IF(LineærRegression_Valg[[#This Row],[Indenfor range]],INDEX(DataTitel_liste,LineærRegression_Valg[[#This Row],[Afhængig variabel ID]]),INDEX(DataTitel_liste,1))</f>
        <v>Eksempel 1 (interval)</v>
      </c>
      <c r="G1575" s="188" t="str" cm="1">
        <f t="array" ref="G1575">IF(LineærRegression_Valg[[#This Row],[Indenfor range]],IF(LineærRegression_Valg[[#This Row],[Intet overlap]],INDEX(DataTitel_liste,LineærRegression_Valg[[#This Row],[Uafhængig variabel ID]]),INDEX(DataTitel_liste,IF(LineærRegression_Valg[[#This Row],[Afhængig variabel ID]]=1,2,1))),$B$7)</f>
        <v>Eksempel 2 (interval)</v>
      </c>
      <c r="H1575" s="188">
        <f>_xlfn.AGGREGATE(2,5,LineærRegression_Valg[[#This Row],[Tabel ID]])</f>
        <v>1</v>
      </c>
    </row>
    <row r="1576" spans="1:8" x14ac:dyDescent="0.2">
      <c r="A1576">
        <f>ROW(LineærRegression_Valg[[#This Row],[Tabel ID]])-ROW(LineærRegression_Valg[[#Headers],[Tabel ID]])</f>
        <v>1566</v>
      </c>
      <c r="B1576" s="188">
        <f>ROUNDDOWN((LineærRegression_Valg[[#This Row],[Tabel ID]]-1)/$B$5,0)+1</f>
        <v>392</v>
      </c>
      <c r="C1576" s="188">
        <f t="shared" si="24"/>
        <v>2</v>
      </c>
      <c r="D1576" s="188" t="b">
        <f>LineærRegression_Valg[[#This Row],[Afhængig variabel ID]]&lt;&gt;LineærRegression_Valg[[#This Row],[Uafhængig variabel ID]]</f>
        <v>1</v>
      </c>
      <c r="E1576" s="188" t="b">
        <f>LineærRegression_Valg[[#This Row],[Afhængig variabel ID]]&lt;=$B$5</f>
        <v>0</v>
      </c>
      <c r="F1576" t="str" cm="1">
        <f t="array" ref="F1576">IF(LineærRegression_Valg[[#This Row],[Indenfor range]],INDEX(DataTitel_liste,LineærRegression_Valg[[#This Row],[Afhængig variabel ID]]),INDEX(DataTitel_liste,1))</f>
        <v>Eksempel 1 (interval)</v>
      </c>
      <c r="G1576" s="188" t="str" cm="1">
        <f t="array" ref="G1576">IF(LineærRegression_Valg[[#This Row],[Indenfor range]],IF(LineærRegression_Valg[[#This Row],[Intet overlap]],INDEX(DataTitel_liste,LineærRegression_Valg[[#This Row],[Uafhængig variabel ID]]),INDEX(DataTitel_liste,IF(LineærRegression_Valg[[#This Row],[Afhængig variabel ID]]=1,2,1))),$B$7)</f>
        <v>Eksempel 2 (interval)</v>
      </c>
      <c r="H1576" s="188">
        <f>_xlfn.AGGREGATE(2,5,LineærRegression_Valg[[#This Row],[Tabel ID]])</f>
        <v>1</v>
      </c>
    </row>
    <row r="1577" spans="1:8" x14ac:dyDescent="0.2">
      <c r="A1577">
        <f>ROW(LineærRegression_Valg[[#This Row],[Tabel ID]])-ROW(LineærRegression_Valg[[#Headers],[Tabel ID]])</f>
        <v>1567</v>
      </c>
      <c r="B1577" s="188">
        <f>ROUNDDOWN((LineærRegression_Valg[[#This Row],[Tabel ID]]-1)/$B$5,0)+1</f>
        <v>392</v>
      </c>
      <c r="C1577" s="188">
        <f t="shared" si="24"/>
        <v>3</v>
      </c>
      <c r="D1577" s="188" t="b">
        <f>LineærRegression_Valg[[#This Row],[Afhængig variabel ID]]&lt;&gt;LineærRegression_Valg[[#This Row],[Uafhængig variabel ID]]</f>
        <v>1</v>
      </c>
      <c r="E1577" s="188" t="b">
        <f>LineærRegression_Valg[[#This Row],[Afhængig variabel ID]]&lt;=$B$5</f>
        <v>0</v>
      </c>
      <c r="F1577" t="str" cm="1">
        <f t="array" ref="F1577">IF(LineærRegression_Valg[[#This Row],[Indenfor range]],INDEX(DataTitel_liste,LineærRegression_Valg[[#This Row],[Afhængig variabel ID]]),INDEX(DataTitel_liste,1))</f>
        <v>Eksempel 1 (interval)</v>
      </c>
      <c r="G1577" s="188" t="str" cm="1">
        <f t="array" ref="G1577">IF(LineærRegression_Valg[[#This Row],[Indenfor range]],IF(LineærRegression_Valg[[#This Row],[Intet overlap]],INDEX(DataTitel_liste,LineærRegression_Valg[[#This Row],[Uafhængig variabel ID]]),INDEX(DataTitel_liste,IF(LineærRegression_Valg[[#This Row],[Afhængig variabel ID]]=1,2,1))),$B$7)</f>
        <v>Eksempel 2 (interval)</v>
      </c>
      <c r="H1577" s="188">
        <f>_xlfn.AGGREGATE(2,5,LineærRegression_Valg[[#This Row],[Tabel ID]])</f>
        <v>1</v>
      </c>
    </row>
    <row r="1578" spans="1:8" x14ac:dyDescent="0.2">
      <c r="A1578">
        <f>ROW(LineærRegression_Valg[[#This Row],[Tabel ID]])-ROW(LineærRegression_Valg[[#Headers],[Tabel ID]])</f>
        <v>1568</v>
      </c>
      <c r="B1578" s="188">
        <f>ROUNDDOWN((LineærRegression_Valg[[#This Row],[Tabel ID]]-1)/$B$5,0)+1</f>
        <v>392</v>
      </c>
      <c r="C1578" s="188">
        <f t="shared" si="24"/>
        <v>4</v>
      </c>
      <c r="D1578" s="188" t="b">
        <f>LineærRegression_Valg[[#This Row],[Afhængig variabel ID]]&lt;&gt;LineærRegression_Valg[[#This Row],[Uafhængig variabel ID]]</f>
        <v>1</v>
      </c>
      <c r="E1578" s="188" t="b">
        <f>LineærRegression_Valg[[#This Row],[Afhængig variabel ID]]&lt;=$B$5</f>
        <v>0</v>
      </c>
      <c r="F1578" t="str" cm="1">
        <f t="array" ref="F1578">IF(LineærRegression_Valg[[#This Row],[Indenfor range]],INDEX(DataTitel_liste,LineærRegression_Valg[[#This Row],[Afhængig variabel ID]]),INDEX(DataTitel_liste,1))</f>
        <v>Eksempel 1 (interval)</v>
      </c>
      <c r="G1578" s="188" t="str" cm="1">
        <f t="array" ref="G1578">IF(LineærRegression_Valg[[#This Row],[Indenfor range]],IF(LineærRegression_Valg[[#This Row],[Intet overlap]],INDEX(DataTitel_liste,LineærRegression_Valg[[#This Row],[Uafhængig variabel ID]]),INDEX(DataTitel_liste,IF(LineærRegression_Valg[[#This Row],[Afhængig variabel ID]]=1,2,1))),$B$7)</f>
        <v>Eksempel 2 (interval)</v>
      </c>
      <c r="H1578" s="188">
        <f>_xlfn.AGGREGATE(2,5,LineærRegression_Valg[[#This Row],[Tabel ID]])</f>
        <v>1</v>
      </c>
    </row>
    <row r="1579" spans="1:8" x14ac:dyDescent="0.2">
      <c r="A1579">
        <f>ROW(LineærRegression_Valg[[#This Row],[Tabel ID]])-ROW(LineærRegression_Valg[[#Headers],[Tabel ID]])</f>
        <v>1569</v>
      </c>
      <c r="B1579" s="188">
        <f>ROUNDDOWN((LineærRegression_Valg[[#This Row],[Tabel ID]]-1)/$B$5,0)+1</f>
        <v>393</v>
      </c>
      <c r="C1579" s="188">
        <f t="shared" si="24"/>
        <v>1</v>
      </c>
      <c r="D1579" s="188" t="b">
        <f>LineærRegression_Valg[[#This Row],[Afhængig variabel ID]]&lt;&gt;LineærRegression_Valg[[#This Row],[Uafhængig variabel ID]]</f>
        <v>1</v>
      </c>
      <c r="E1579" s="188" t="b">
        <f>LineærRegression_Valg[[#This Row],[Afhængig variabel ID]]&lt;=$B$5</f>
        <v>0</v>
      </c>
      <c r="F1579" t="str" cm="1">
        <f t="array" ref="F1579">IF(LineærRegression_Valg[[#This Row],[Indenfor range]],INDEX(DataTitel_liste,LineærRegression_Valg[[#This Row],[Afhængig variabel ID]]),INDEX(DataTitel_liste,1))</f>
        <v>Eksempel 1 (interval)</v>
      </c>
      <c r="G1579" s="188" t="str" cm="1">
        <f t="array" ref="G1579">IF(LineærRegression_Valg[[#This Row],[Indenfor range]],IF(LineærRegression_Valg[[#This Row],[Intet overlap]],INDEX(DataTitel_liste,LineærRegression_Valg[[#This Row],[Uafhængig variabel ID]]),INDEX(DataTitel_liste,IF(LineærRegression_Valg[[#This Row],[Afhængig variabel ID]]=1,2,1))),$B$7)</f>
        <v>Eksempel 2 (interval)</v>
      </c>
      <c r="H1579" s="188">
        <f>_xlfn.AGGREGATE(2,5,LineærRegression_Valg[[#This Row],[Tabel ID]])</f>
        <v>1</v>
      </c>
    </row>
    <row r="1580" spans="1:8" x14ac:dyDescent="0.2">
      <c r="A1580">
        <f>ROW(LineærRegression_Valg[[#This Row],[Tabel ID]])-ROW(LineærRegression_Valg[[#Headers],[Tabel ID]])</f>
        <v>1570</v>
      </c>
      <c r="B1580" s="188">
        <f>ROUNDDOWN((LineærRegression_Valg[[#This Row],[Tabel ID]]-1)/$B$5,0)+1</f>
        <v>393</v>
      </c>
      <c r="C1580" s="188">
        <f t="shared" si="24"/>
        <v>2</v>
      </c>
      <c r="D1580" s="188" t="b">
        <f>LineærRegression_Valg[[#This Row],[Afhængig variabel ID]]&lt;&gt;LineærRegression_Valg[[#This Row],[Uafhængig variabel ID]]</f>
        <v>1</v>
      </c>
      <c r="E1580" s="188" t="b">
        <f>LineærRegression_Valg[[#This Row],[Afhængig variabel ID]]&lt;=$B$5</f>
        <v>0</v>
      </c>
      <c r="F1580" t="str" cm="1">
        <f t="array" ref="F1580">IF(LineærRegression_Valg[[#This Row],[Indenfor range]],INDEX(DataTitel_liste,LineærRegression_Valg[[#This Row],[Afhængig variabel ID]]),INDEX(DataTitel_liste,1))</f>
        <v>Eksempel 1 (interval)</v>
      </c>
      <c r="G1580" s="188" t="str" cm="1">
        <f t="array" ref="G1580">IF(LineærRegression_Valg[[#This Row],[Indenfor range]],IF(LineærRegression_Valg[[#This Row],[Intet overlap]],INDEX(DataTitel_liste,LineærRegression_Valg[[#This Row],[Uafhængig variabel ID]]),INDEX(DataTitel_liste,IF(LineærRegression_Valg[[#This Row],[Afhængig variabel ID]]=1,2,1))),$B$7)</f>
        <v>Eksempel 2 (interval)</v>
      </c>
      <c r="H1580" s="188">
        <f>_xlfn.AGGREGATE(2,5,LineærRegression_Valg[[#This Row],[Tabel ID]])</f>
        <v>1</v>
      </c>
    </row>
    <row r="1581" spans="1:8" x14ac:dyDescent="0.2">
      <c r="A1581">
        <f>ROW(LineærRegression_Valg[[#This Row],[Tabel ID]])-ROW(LineærRegression_Valg[[#Headers],[Tabel ID]])</f>
        <v>1571</v>
      </c>
      <c r="B1581" s="188">
        <f>ROUNDDOWN((LineærRegression_Valg[[#This Row],[Tabel ID]]-1)/$B$5,0)+1</f>
        <v>393</v>
      </c>
      <c r="C1581" s="188">
        <f t="shared" si="24"/>
        <v>3</v>
      </c>
      <c r="D1581" s="188" t="b">
        <f>LineærRegression_Valg[[#This Row],[Afhængig variabel ID]]&lt;&gt;LineærRegression_Valg[[#This Row],[Uafhængig variabel ID]]</f>
        <v>1</v>
      </c>
      <c r="E1581" s="188" t="b">
        <f>LineærRegression_Valg[[#This Row],[Afhængig variabel ID]]&lt;=$B$5</f>
        <v>0</v>
      </c>
      <c r="F1581" t="str" cm="1">
        <f t="array" ref="F1581">IF(LineærRegression_Valg[[#This Row],[Indenfor range]],INDEX(DataTitel_liste,LineærRegression_Valg[[#This Row],[Afhængig variabel ID]]),INDEX(DataTitel_liste,1))</f>
        <v>Eksempel 1 (interval)</v>
      </c>
      <c r="G1581" s="188" t="str" cm="1">
        <f t="array" ref="G1581">IF(LineærRegression_Valg[[#This Row],[Indenfor range]],IF(LineærRegression_Valg[[#This Row],[Intet overlap]],INDEX(DataTitel_liste,LineærRegression_Valg[[#This Row],[Uafhængig variabel ID]]),INDEX(DataTitel_liste,IF(LineærRegression_Valg[[#This Row],[Afhængig variabel ID]]=1,2,1))),$B$7)</f>
        <v>Eksempel 2 (interval)</v>
      </c>
      <c r="H1581" s="188">
        <f>_xlfn.AGGREGATE(2,5,LineærRegression_Valg[[#This Row],[Tabel ID]])</f>
        <v>1</v>
      </c>
    </row>
    <row r="1582" spans="1:8" x14ac:dyDescent="0.2">
      <c r="A1582">
        <f>ROW(LineærRegression_Valg[[#This Row],[Tabel ID]])-ROW(LineærRegression_Valg[[#Headers],[Tabel ID]])</f>
        <v>1572</v>
      </c>
      <c r="B1582" s="188">
        <f>ROUNDDOWN((LineærRegression_Valg[[#This Row],[Tabel ID]]-1)/$B$5,0)+1</f>
        <v>393</v>
      </c>
      <c r="C1582" s="188">
        <f t="shared" si="24"/>
        <v>4</v>
      </c>
      <c r="D1582" s="188" t="b">
        <f>LineærRegression_Valg[[#This Row],[Afhængig variabel ID]]&lt;&gt;LineærRegression_Valg[[#This Row],[Uafhængig variabel ID]]</f>
        <v>1</v>
      </c>
      <c r="E1582" s="188" t="b">
        <f>LineærRegression_Valg[[#This Row],[Afhængig variabel ID]]&lt;=$B$5</f>
        <v>0</v>
      </c>
      <c r="F1582" t="str" cm="1">
        <f t="array" ref="F1582">IF(LineærRegression_Valg[[#This Row],[Indenfor range]],INDEX(DataTitel_liste,LineærRegression_Valg[[#This Row],[Afhængig variabel ID]]),INDEX(DataTitel_liste,1))</f>
        <v>Eksempel 1 (interval)</v>
      </c>
      <c r="G1582" s="188" t="str" cm="1">
        <f t="array" ref="G1582">IF(LineærRegression_Valg[[#This Row],[Indenfor range]],IF(LineærRegression_Valg[[#This Row],[Intet overlap]],INDEX(DataTitel_liste,LineærRegression_Valg[[#This Row],[Uafhængig variabel ID]]),INDEX(DataTitel_liste,IF(LineærRegression_Valg[[#This Row],[Afhængig variabel ID]]=1,2,1))),$B$7)</f>
        <v>Eksempel 2 (interval)</v>
      </c>
      <c r="H1582" s="188">
        <f>_xlfn.AGGREGATE(2,5,LineærRegression_Valg[[#This Row],[Tabel ID]])</f>
        <v>1</v>
      </c>
    </row>
    <row r="1583" spans="1:8" x14ac:dyDescent="0.2">
      <c r="A1583">
        <f>ROW(LineærRegression_Valg[[#This Row],[Tabel ID]])-ROW(LineærRegression_Valg[[#Headers],[Tabel ID]])</f>
        <v>1573</v>
      </c>
      <c r="B1583" s="188">
        <f>ROUNDDOWN((LineærRegression_Valg[[#This Row],[Tabel ID]]-1)/$B$5,0)+1</f>
        <v>394</v>
      </c>
      <c r="C1583" s="188">
        <f t="shared" si="24"/>
        <v>1</v>
      </c>
      <c r="D1583" s="188" t="b">
        <f>LineærRegression_Valg[[#This Row],[Afhængig variabel ID]]&lt;&gt;LineærRegression_Valg[[#This Row],[Uafhængig variabel ID]]</f>
        <v>1</v>
      </c>
      <c r="E1583" s="188" t="b">
        <f>LineærRegression_Valg[[#This Row],[Afhængig variabel ID]]&lt;=$B$5</f>
        <v>0</v>
      </c>
      <c r="F1583" t="str" cm="1">
        <f t="array" ref="F1583">IF(LineærRegression_Valg[[#This Row],[Indenfor range]],INDEX(DataTitel_liste,LineærRegression_Valg[[#This Row],[Afhængig variabel ID]]),INDEX(DataTitel_liste,1))</f>
        <v>Eksempel 1 (interval)</v>
      </c>
      <c r="G1583" s="188" t="str" cm="1">
        <f t="array" ref="G1583">IF(LineærRegression_Valg[[#This Row],[Indenfor range]],IF(LineærRegression_Valg[[#This Row],[Intet overlap]],INDEX(DataTitel_liste,LineærRegression_Valg[[#This Row],[Uafhængig variabel ID]]),INDEX(DataTitel_liste,IF(LineærRegression_Valg[[#This Row],[Afhængig variabel ID]]=1,2,1))),$B$7)</f>
        <v>Eksempel 2 (interval)</v>
      </c>
      <c r="H1583" s="188">
        <f>_xlfn.AGGREGATE(2,5,LineærRegression_Valg[[#This Row],[Tabel ID]])</f>
        <v>1</v>
      </c>
    </row>
    <row r="1584" spans="1:8" x14ac:dyDescent="0.2">
      <c r="A1584">
        <f>ROW(LineærRegression_Valg[[#This Row],[Tabel ID]])-ROW(LineærRegression_Valg[[#Headers],[Tabel ID]])</f>
        <v>1574</v>
      </c>
      <c r="B1584" s="188">
        <f>ROUNDDOWN((LineærRegression_Valg[[#This Row],[Tabel ID]]-1)/$B$5,0)+1</f>
        <v>394</v>
      </c>
      <c r="C1584" s="188">
        <f t="shared" si="24"/>
        <v>2</v>
      </c>
      <c r="D1584" s="188" t="b">
        <f>LineærRegression_Valg[[#This Row],[Afhængig variabel ID]]&lt;&gt;LineærRegression_Valg[[#This Row],[Uafhængig variabel ID]]</f>
        <v>1</v>
      </c>
      <c r="E1584" s="188" t="b">
        <f>LineærRegression_Valg[[#This Row],[Afhængig variabel ID]]&lt;=$B$5</f>
        <v>0</v>
      </c>
      <c r="F1584" t="str" cm="1">
        <f t="array" ref="F1584">IF(LineærRegression_Valg[[#This Row],[Indenfor range]],INDEX(DataTitel_liste,LineærRegression_Valg[[#This Row],[Afhængig variabel ID]]),INDEX(DataTitel_liste,1))</f>
        <v>Eksempel 1 (interval)</v>
      </c>
      <c r="G1584" s="188" t="str" cm="1">
        <f t="array" ref="G1584">IF(LineærRegression_Valg[[#This Row],[Indenfor range]],IF(LineærRegression_Valg[[#This Row],[Intet overlap]],INDEX(DataTitel_liste,LineærRegression_Valg[[#This Row],[Uafhængig variabel ID]]),INDEX(DataTitel_liste,IF(LineærRegression_Valg[[#This Row],[Afhængig variabel ID]]=1,2,1))),$B$7)</f>
        <v>Eksempel 2 (interval)</v>
      </c>
      <c r="H1584" s="188">
        <f>_xlfn.AGGREGATE(2,5,LineærRegression_Valg[[#This Row],[Tabel ID]])</f>
        <v>1</v>
      </c>
    </row>
    <row r="1585" spans="1:8" x14ac:dyDescent="0.2">
      <c r="A1585">
        <f>ROW(LineærRegression_Valg[[#This Row],[Tabel ID]])-ROW(LineærRegression_Valg[[#Headers],[Tabel ID]])</f>
        <v>1575</v>
      </c>
      <c r="B1585" s="188">
        <f>ROUNDDOWN((LineærRegression_Valg[[#This Row],[Tabel ID]]-1)/$B$5,0)+1</f>
        <v>394</v>
      </c>
      <c r="C1585" s="188">
        <f t="shared" si="24"/>
        <v>3</v>
      </c>
      <c r="D1585" s="188" t="b">
        <f>LineærRegression_Valg[[#This Row],[Afhængig variabel ID]]&lt;&gt;LineærRegression_Valg[[#This Row],[Uafhængig variabel ID]]</f>
        <v>1</v>
      </c>
      <c r="E1585" s="188" t="b">
        <f>LineærRegression_Valg[[#This Row],[Afhængig variabel ID]]&lt;=$B$5</f>
        <v>0</v>
      </c>
      <c r="F1585" t="str" cm="1">
        <f t="array" ref="F1585">IF(LineærRegression_Valg[[#This Row],[Indenfor range]],INDEX(DataTitel_liste,LineærRegression_Valg[[#This Row],[Afhængig variabel ID]]),INDEX(DataTitel_liste,1))</f>
        <v>Eksempel 1 (interval)</v>
      </c>
      <c r="G1585" s="188" t="str" cm="1">
        <f t="array" ref="G1585">IF(LineærRegression_Valg[[#This Row],[Indenfor range]],IF(LineærRegression_Valg[[#This Row],[Intet overlap]],INDEX(DataTitel_liste,LineærRegression_Valg[[#This Row],[Uafhængig variabel ID]]),INDEX(DataTitel_liste,IF(LineærRegression_Valg[[#This Row],[Afhængig variabel ID]]=1,2,1))),$B$7)</f>
        <v>Eksempel 2 (interval)</v>
      </c>
      <c r="H1585" s="188">
        <f>_xlfn.AGGREGATE(2,5,LineærRegression_Valg[[#This Row],[Tabel ID]])</f>
        <v>1</v>
      </c>
    </row>
    <row r="1586" spans="1:8" x14ac:dyDescent="0.2">
      <c r="A1586">
        <f>ROW(LineærRegression_Valg[[#This Row],[Tabel ID]])-ROW(LineærRegression_Valg[[#Headers],[Tabel ID]])</f>
        <v>1576</v>
      </c>
      <c r="B1586" s="188">
        <f>ROUNDDOWN((LineærRegression_Valg[[#This Row],[Tabel ID]]-1)/$B$5,0)+1</f>
        <v>394</v>
      </c>
      <c r="C1586" s="188">
        <f t="shared" si="24"/>
        <v>4</v>
      </c>
      <c r="D1586" s="188" t="b">
        <f>LineærRegression_Valg[[#This Row],[Afhængig variabel ID]]&lt;&gt;LineærRegression_Valg[[#This Row],[Uafhængig variabel ID]]</f>
        <v>1</v>
      </c>
      <c r="E1586" s="188" t="b">
        <f>LineærRegression_Valg[[#This Row],[Afhængig variabel ID]]&lt;=$B$5</f>
        <v>0</v>
      </c>
      <c r="F1586" t="str" cm="1">
        <f t="array" ref="F1586">IF(LineærRegression_Valg[[#This Row],[Indenfor range]],INDEX(DataTitel_liste,LineærRegression_Valg[[#This Row],[Afhængig variabel ID]]),INDEX(DataTitel_liste,1))</f>
        <v>Eksempel 1 (interval)</v>
      </c>
      <c r="G1586" s="188" t="str" cm="1">
        <f t="array" ref="G1586">IF(LineærRegression_Valg[[#This Row],[Indenfor range]],IF(LineærRegression_Valg[[#This Row],[Intet overlap]],INDEX(DataTitel_liste,LineærRegression_Valg[[#This Row],[Uafhængig variabel ID]]),INDEX(DataTitel_liste,IF(LineærRegression_Valg[[#This Row],[Afhængig variabel ID]]=1,2,1))),$B$7)</f>
        <v>Eksempel 2 (interval)</v>
      </c>
      <c r="H1586" s="188">
        <f>_xlfn.AGGREGATE(2,5,LineærRegression_Valg[[#This Row],[Tabel ID]])</f>
        <v>1</v>
      </c>
    </row>
    <row r="1587" spans="1:8" x14ac:dyDescent="0.2">
      <c r="A1587">
        <f>ROW(LineærRegression_Valg[[#This Row],[Tabel ID]])-ROW(LineærRegression_Valg[[#Headers],[Tabel ID]])</f>
        <v>1577</v>
      </c>
      <c r="B1587" s="188">
        <f>ROUNDDOWN((LineærRegression_Valg[[#This Row],[Tabel ID]]-1)/$B$5,0)+1</f>
        <v>395</v>
      </c>
      <c r="C1587" s="188">
        <f t="shared" si="24"/>
        <v>1</v>
      </c>
      <c r="D1587" s="188" t="b">
        <f>LineærRegression_Valg[[#This Row],[Afhængig variabel ID]]&lt;&gt;LineærRegression_Valg[[#This Row],[Uafhængig variabel ID]]</f>
        <v>1</v>
      </c>
      <c r="E1587" s="188" t="b">
        <f>LineærRegression_Valg[[#This Row],[Afhængig variabel ID]]&lt;=$B$5</f>
        <v>0</v>
      </c>
      <c r="F1587" t="str" cm="1">
        <f t="array" ref="F1587">IF(LineærRegression_Valg[[#This Row],[Indenfor range]],INDEX(DataTitel_liste,LineærRegression_Valg[[#This Row],[Afhængig variabel ID]]),INDEX(DataTitel_liste,1))</f>
        <v>Eksempel 1 (interval)</v>
      </c>
      <c r="G1587" s="188" t="str" cm="1">
        <f t="array" ref="G1587">IF(LineærRegression_Valg[[#This Row],[Indenfor range]],IF(LineærRegression_Valg[[#This Row],[Intet overlap]],INDEX(DataTitel_liste,LineærRegression_Valg[[#This Row],[Uafhængig variabel ID]]),INDEX(DataTitel_liste,IF(LineærRegression_Valg[[#This Row],[Afhængig variabel ID]]=1,2,1))),$B$7)</f>
        <v>Eksempel 2 (interval)</v>
      </c>
      <c r="H1587" s="188">
        <f>_xlfn.AGGREGATE(2,5,LineærRegression_Valg[[#This Row],[Tabel ID]])</f>
        <v>1</v>
      </c>
    </row>
    <row r="1588" spans="1:8" x14ac:dyDescent="0.2">
      <c r="A1588">
        <f>ROW(LineærRegression_Valg[[#This Row],[Tabel ID]])-ROW(LineærRegression_Valg[[#Headers],[Tabel ID]])</f>
        <v>1578</v>
      </c>
      <c r="B1588" s="188">
        <f>ROUNDDOWN((LineærRegression_Valg[[#This Row],[Tabel ID]]-1)/$B$5,0)+1</f>
        <v>395</v>
      </c>
      <c r="C1588" s="188">
        <f t="shared" si="24"/>
        <v>2</v>
      </c>
      <c r="D1588" s="188" t="b">
        <f>LineærRegression_Valg[[#This Row],[Afhængig variabel ID]]&lt;&gt;LineærRegression_Valg[[#This Row],[Uafhængig variabel ID]]</f>
        <v>1</v>
      </c>
      <c r="E1588" s="188" t="b">
        <f>LineærRegression_Valg[[#This Row],[Afhængig variabel ID]]&lt;=$B$5</f>
        <v>0</v>
      </c>
      <c r="F1588" t="str" cm="1">
        <f t="array" ref="F1588">IF(LineærRegression_Valg[[#This Row],[Indenfor range]],INDEX(DataTitel_liste,LineærRegression_Valg[[#This Row],[Afhængig variabel ID]]),INDEX(DataTitel_liste,1))</f>
        <v>Eksempel 1 (interval)</v>
      </c>
      <c r="G1588" s="188" t="str" cm="1">
        <f t="array" ref="G1588">IF(LineærRegression_Valg[[#This Row],[Indenfor range]],IF(LineærRegression_Valg[[#This Row],[Intet overlap]],INDEX(DataTitel_liste,LineærRegression_Valg[[#This Row],[Uafhængig variabel ID]]),INDEX(DataTitel_liste,IF(LineærRegression_Valg[[#This Row],[Afhængig variabel ID]]=1,2,1))),$B$7)</f>
        <v>Eksempel 2 (interval)</v>
      </c>
      <c r="H1588" s="188">
        <f>_xlfn.AGGREGATE(2,5,LineærRegression_Valg[[#This Row],[Tabel ID]])</f>
        <v>1</v>
      </c>
    </row>
    <row r="1589" spans="1:8" x14ac:dyDescent="0.2">
      <c r="A1589">
        <f>ROW(LineærRegression_Valg[[#This Row],[Tabel ID]])-ROW(LineærRegression_Valg[[#Headers],[Tabel ID]])</f>
        <v>1579</v>
      </c>
      <c r="B1589" s="188">
        <f>ROUNDDOWN((LineærRegression_Valg[[#This Row],[Tabel ID]]-1)/$B$5,0)+1</f>
        <v>395</v>
      </c>
      <c r="C1589" s="188">
        <f t="shared" si="24"/>
        <v>3</v>
      </c>
      <c r="D1589" s="188" t="b">
        <f>LineærRegression_Valg[[#This Row],[Afhængig variabel ID]]&lt;&gt;LineærRegression_Valg[[#This Row],[Uafhængig variabel ID]]</f>
        <v>1</v>
      </c>
      <c r="E1589" s="188" t="b">
        <f>LineærRegression_Valg[[#This Row],[Afhængig variabel ID]]&lt;=$B$5</f>
        <v>0</v>
      </c>
      <c r="F1589" t="str" cm="1">
        <f t="array" ref="F1589">IF(LineærRegression_Valg[[#This Row],[Indenfor range]],INDEX(DataTitel_liste,LineærRegression_Valg[[#This Row],[Afhængig variabel ID]]),INDEX(DataTitel_liste,1))</f>
        <v>Eksempel 1 (interval)</v>
      </c>
      <c r="G1589" s="188" t="str" cm="1">
        <f t="array" ref="G1589">IF(LineærRegression_Valg[[#This Row],[Indenfor range]],IF(LineærRegression_Valg[[#This Row],[Intet overlap]],INDEX(DataTitel_liste,LineærRegression_Valg[[#This Row],[Uafhængig variabel ID]]),INDEX(DataTitel_liste,IF(LineærRegression_Valg[[#This Row],[Afhængig variabel ID]]=1,2,1))),$B$7)</f>
        <v>Eksempel 2 (interval)</v>
      </c>
      <c r="H1589" s="188">
        <f>_xlfn.AGGREGATE(2,5,LineærRegression_Valg[[#This Row],[Tabel ID]])</f>
        <v>1</v>
      </c>
    </row>
    <row r="1590" spans="1:8" x14ac:dyDescent="0.2">
      <c r="A1590">
        <f>ROW(LineærRegression_Valg[[#This Row],[Tabel ID]])-ROW(LineærRegression_Valg[[#Headers],[Tabel ID]])</f>
        <v>1580</v>
      </c>
      <c r="B1590" s="188">
        <f>ROUNDDOWN((LineærRegression_Valg[[#This Row],[Tabel ID]]-1)/$B$5,0)+1</f>
        <v>395</v>
      </c>
      <c r="C1590" s="188">
        <f t="shared" si="24"/>
        <v>4</v>
      </c>
      <c r="D1590" s="188" t="b">
        <f>LineærRegression_Valg[[#This Row],[Afhængig variabel ID]]&lt;&gt;LineærRegression_Valg[[#This Row],[Uafhængig variabel ID]]</f>
        <v>1</v>
      </c>
      <c r="E1590" s="188" t="b">
        <f>LineærRegression_Valg[[#This Row],[Afhængig variabel ID]]&lt;=$B$5</f>
        <v>0</v>
      </c>
      <c r="F1590" t="str" cm="1">
        <f t="array" ref="F1590">IF(LineærRegression_Valg[[#This Row],[Indenfor range]],INDEX(DataTitel_liste,LineærRegression_Valg[[#This Row],[Afhængig variabel ID]]),INDEX(DataTitel_liste,1))</f>
        <v>Eksempel 1 (interval)</v>
      </c>
      <c r="G1590" s="188" t="str" cm="1">
        <f t="array" ref="G1590">IF(LineærRegression_Valg[[#This Row],[Indenfor range]],IF(LineærRegression_Valg[[#This Row],[Intet overlap]],INDEX(DataTitel_liste,LineærRegression_Valg[[#This Row],[Uafhængig variabel ID]]),INDEX(DataTitel_liste,IF(LineærRegression_Valg[[#This Row],[Afhængig variabel ID]]=1,2,1))),$B$7)</f>
        <v>Eksempel 2 (interval)</v>
      </c>
      <c r="H1590" s="188">
        <f>_xlfn.AGGREGATE(2,5,LineærRegression_Valg[[#This Row],[Tabel ID]])</f>
        <v>1</v>
      </c>
    </row>
    <row r="1591" spans="1:8" x14ac:dyDescent="0.2">
      <c r="A1591">
        <f>ROW(LineærRegression_Valg[[#This Row],[Tabel ID]])-ROW(LineærRegression_Valg[[#Headers],[Tabel ID]])</f>
        <v>1581</v>
      </c>
      <c r="B1591" s="188">
        <f>ROUNDDOWN((LineærRegression_Valg[[#This Row],[Tabel ID]]-1)/$B$5,0)+1</f>
        <v>396</v>
      </c>
      <c r="C1591" s="188">
        <f t="shared" si="24"/>
        <v>1</v>
      </c>
      <c r="D1591" s="188" t="b">
        <f>LineærRegression_Valg[[#This Row],[Afhængig variabel ID]]&lt;&gt;LineærRegression_Valg[[#This Row],[Uafhængig variabel ID]]</f>
        <v>1</v>
      </c>
      <c r="E1591" s="188" t="b">
        <f>LineærRegression_Valg[[#This Row],[Afhængig variabel ID]]&lt;=$B$5</f>
        <v>0</v>
      </c>
      <c r="F1591" t="str" cm="1">
        <f t="array" ref="F1591">IF(LineærRegression_Valg[[#This Row],[Indenfor range]],INDEX(DataTitel_liste,LineærRegression_Valg[[#This Row],[Afhængig variabel ID]]),INDEX(DataTitel_liste,1))</f>
        <v>Eksempel 1 (interval)</v>
      </c>
      <c r="G1591" s="188" t="str" cm="1">
        <f t="array" ref="G1591">IF(LineærRegression_Valg[[#This Row],[Indenfor range]],IF(LineærRegression_Valg[[#This Row],[Intet overlap]],INDEX(DataTitel_liste,LineærRegression_Valg[[#This Row],[Uafhængig variabel ID]]),INDEX(DataTitel_liste,IF(LineærRegression_Valg[[#This Row],[Afhængig variabel ID]]=1,2,1))),$B$7)</f>
        <v>Eksempel 2 (interval)</v>
      </c>
      <c r="H1591" s="188">
        <f>_xlfn.AGGREGATE(2,5,LineærRegression_Valg[[#This Row],[Tabel ID]])</f>
        <v>1</v>
      </c>
    </row>
    <row r="1592" spans="1:8" x14ac:dyDescent="0.2">
      <c r="A1592">
        <f>ROW(LineærRegression_Valg[[#This Row],[Tabel ID]])-ROW(LineærRegression_Valg[[#Headers],[Tabel ID]])</f>
        <v>1582</v>
      </c>
      <c r="B1592" s="188">
        <f>ROUNDDOWN((LineærRegression_Valg[[#This Row],[Tabel ID]]-1)/$B$5,0)+1</f>
        <v>396</v>
      </c>
      <c r="C1592" s="188">
        <f t="shared" si="24"/>
        <v>2</v>
      </c>
      <c r="D1592" s="188" t="b">
        <f>LineærRegression_Valg[[#This Row],[Afhængig variabel ID]]&lt;&gt;LineærRegression_Valg[[#This Row],[Uafhængig variabel ID]]</f>
        <v>1</v>
      </c>
      <c r="E1592" s="188" t="b">
        <f>LineærRegression_Valg[[#This Row],[Afhængig variabel ID]]&lt;=$B$5</f>
        <v>0</v>
      </c>
      <c r="F1592" t="str" cm="1">
        <f t="array" ref="F1592">IF(LineærRegression_Valg[[#This Row],[Indenfor range]],INDEX(DataTitel_liste,LineærRegression_Valg[[#This Row],[Afhængig variabel ID]]),INDEX(DataTitel_liste,1))</f>
        <v>Eksempel 1 (interval)</v>
      </c>
      <c r="G1592" s="188" t="str" cm="1">
        <f t="array" ref="G1592">IF(LineærRegression_Valg[[#This Row],[Indenfor range]],IF(LineærRegression_Valg[[#This Row],[Intet overlap]],INDEX(DataTitel_liste,LineærRegression_Valg[[#This Row],[Uafhængig variabel ID]]),INDEX(DataTitel_liste,IF(LineærRegression_Valg[[#This Row],[Afhængig variabel ID]]=1,2,1))),$B$7)</f>
        <v>Eksempel 2 (interval)</v>
      </c>
      <c r="H1592" s="188">
        <f>_xlfn.AGGREGATE(2,5,LineærRegression_Valg[[#This Row],[Tabel ID]])</f>
        <v>1</v>
      </c>
    </row>
    <row r="1593" spans="1:8" x14ac:dyDescent="0.2">
      <c r="A1593">
        <f>ROW(LineærRegression_Valg[[#This Row],[Tabel ID]])-ROW(LineærRegression_Valg[[#Headers],[Tabel ID]])</f>
        <v>1583</v>
      </c>
      <c r="B1593" s="188">
        <f>ROUNDDOWN((LineærRegression_Valg[[#This Row],[Tabel ID]]-1)/$B$5,0)+1</f>
        <v>396</v>
      </c>
      <c r="C1593" s="188">
        <f t="shared" si="24"/>
        <v>3</v>
      </c>
      <c r="D1593" s="188" t="b">
        <f>LineærRegression_Valg[[#This Row],[Afhængig variabel ID]]&lt;&gt;LineærRegression_Valg[[#This Row],[Uafhængig variabel ID]]</f>
        <v>1</v>
      </c>
      <c r="E1593" s="188" t="b">
        <f>LineærRegression_Valg[[#This Row],[Afhængig variabel ID]]&lt;=$B$5</f>
        <v>0</v>
      </c>
      <c r="F1593" t="str" cm="1">
        <f t="array" ref="F1593">IF(LineærRegression_Valg[[#This Row],[Indenfor range]],INDEX(DataTitel_liste,LineærRegression_Valg[[#This Row],[Afhængig variabel ID]]),INDEX(DataTitel_liste,1))</f>
        <v>Eksempel 1 (interval)</v>
      </c>
      <c r="G1593" s="188" t="str" cm="1">
        <f t="array" ref="G1593">IF(LineærRegression_Valg[[#This Row],[Indenfor range]],IF(LineærRegression_Valg[[#This Row],[Intet overlap]],INDEX(DataTitel_liste,LineærRegression_Valg[[#This Row],[Uafhængig variabel ID]]),INDEX(DataTitel_liste,IF(LineærRegression_Valg[[#This Row],[Afhængig variabel ID]]=1,2,1))),$B$7)</f>
        <v>Eksempel 2 (interval)</v>
      </c>
      <c r="H1593" s="188">
        <f>_xlfn.AGGREGATE(2,5,LineærRegression_Valg[[#This Row],[Tabel ID]])</f>
        <v>1</v>
      </c>
    </row>
    <row r="1594" spans="1:8" x14ac:dyDescent="0.2">
      <c r="A1594">
        <f>ROW(LineærRegression_Valg[[#This Row],[Tabel ID]])-ROW(LineærRegression_Valg[[#Headers],[Tabel ID]])</f>
        <v>1584</v>
      </c>
      <c r="B1594" s="188">
        <f>ROUNDDOWN((LineærRegression_Valg[[#This Row],[Tabel ID]]-1)/$B$5,0)+1</f>
        <v>396</v>
      </c>
      <c r="C1594" s="188">
        <f t="shared" si="24"/>
        <v>4</v>
      </c>
      <c r="D1594" s="188" t="b">
        <f>LineærRegression_Valg[[#This Row],[Afhængig variabel ID]]&lt;&gt;LineærRegression_Valg[[#This Row],[Uafhængig variabel ID]]</f>
        <v>1</v>
      </c>
      <c r="E1594" s="188" t="b">
        <f>LineærRegression_Valg[[#This Row],[Afhængig variabel ID]]&lt;=$B$5</f>
        <v>0</v>
      </c>
      <c r="F1594" t="str" cm="1">
        <f t="array" ref="F1594">IF(LineærRegression_Valg[[#This Row],[Indenfor range]],INDEX(DataTitel_liste,LineærRegression_Valg[[#This Row],[Afhængig variabel ID]]),INDEX(DataTitel_liste,1))</f>
        <v>Eksempel 1 (interval)</v>
      </c>
      <c r="G1594" s="188" t="str" cm="1">
        <f t="array" ref="G1594">IF(LineærRegression_Valg[[#This Row],[Indenfor range]],IF(LineærRegression_Valg[[#This Row],[Intet overlap]],INDEX(DataTitel_liste,LineærRegression_Valg[[#This Row],[Uafhængig variabel ID]]),INDEX(DataTitel_liste,IF(LineærRegression_Valg[[#This Row],[Afhængig variabel ID]]=1,2,1))),$B$7)</f>
        <v>Eksempel 2 (interval)</v>
      </c>
      <c r="H1594" s="188">
        <f>_xlfn.AGGREGATE(2,5,LineærRegression_Valg[[#This Row],[Tabel ID]])</f>
        <v>1</v>
      </c>
    </row>
    <row r="1595" spans="1:8" x14ac:dyDescent="0.2">
      <c r="A1595">
        <f>ROW(LineærRegression_Valg[[#This Row],[Tabel ID]])-ROW(LineærRegression_Valg[[#Headers],[Tabel ID]])</f>
        <v>1585</v>
      </c>
      <c r="B1595" s="188">
        <f>ROUNDDOWN((LineærRegression_Valg[[#This Row],[Tabel ID]]-1)/$B$5,0)+1</f>
        <v>397</v>
      </c>
      <c r="C1595" s="188">
        <f t="shared" si="24"/>
        <v>1</v>
      </c>
      <c r="D1595" s="188" t="b">
        <f>LineærRegression_Valg[[#This Row],[Afhængig variabel ID]]&lt;&gt;LineærRegression_Valg[[#This Row],[Uafhængig variabel ID]]</f>
        <v>1</v>
      </c>
      <c r="E1595" s="188" t="b">
        <f>LineærRegression_Valg[[#This Row],[Afhængig variabel ID]]&lt;=$B$5</f>
        <v>0</v>
      </c>
      <c r="F1595" t="str" cm="1">
        <f t="array" ref="F1595">IF(LineærRegression_Valg[[#This Row],[Indenfor range]],INDEX(DataTitel_liste,LineærRegression_Valg[[#This Row],[Afhængig variabel ID]]),INDEX(DataTitel_liste,1))</f>
        <v>Eksempel 1 (interval)</v>
      </c>
      <c r="G1595" s="188" t="str" cm="1">
        <f t="array" ref="G1595">IF(LineærRegression_Valg[[#This Row],[Indenfor range]],IF(LineærRegression_Valg[[#This Row],[Intet overlap]],INDEX(DataTitel_liste,LineærRegression_Valg[[#This Row],[Uafhængig variabel ID]]),INDEX(DataTitel_liste,IF(LineærRegression_Valg[[#This Row],[Afhængig variabel ID]]=1,2,1))),$B$7)</f>
        <v>Eksempel 2 (interval)</v>
      </c>
      <c r="H1595" s="188">
        <f>_xlfn.AGGREGATE(2,5,LineærRegression_Valg[[#This Row],[Tabel ID]])</f>
        <v>1</v>
      </c>
    </row>
    <row r="1596" spans="1:8" x14ac:dyDescent="0.2">
      <c r="A1596">
        <f>ROW(LineærRegression_Valg[[#This Row],[Tabel ID]])-ROW(LineærRegression_Valg[[#Headers],[Tabel ID]])</f>
        <v>1586</v>
      </c>
      <c r="B1596" s="188">
        <f>ROUNDDOWN((LineærRegression_Valg[[#This Row],[Tabel ID]]-1)/$B$5,0)+1</f>
        <v>397</v>
      </c>
      <c r="C1596" s="188">
        <f t="shared" si="24"/>
        <v>2</v>
      </c>
      <c r="D1596" s="188" t="b">
        <f>LineærRegression_Valg[[#This Row],[Afhængig variabel ID]]&lt;&gt;LineærRegression_Valg[[#This Row],[Uafhængig variabel ID]]</f>
        <v>1</v>
      </c>
      <c r="E1596" s="188" t="b">
        <f>LineærRegression_Valg[[#This Row],[Afhængig variabel ID]]&lt;=$B$5</f>
        <v>0</v>
      </c>
      <c r="F1596" t="str" cm="1">
        <f t="array" ref="F1596">IF(LineærRegression_Valg[[#This Row],[Indenfor range]],INDEX(DataTitel_liste,LineærRegression_Valg[[#This Row],[Afhængig variabel ID]]),INDEX(DataTitel_liste,1))</f>
        <v>Eksempel 1 (interval)</v>
      </c>
      <c r="G1596" s="188" t="str" cm="1">
        <f t="array" ref="G1596">IF(LineærRegression_Valg[[#This Row],[Indenfor range]],IF(LineærRegression_Valg[[#This Row],[Intet overlap]],INDEX(DataTitel_liste,LineærRegression_Valg[[#This Row],[Uafhængig variabel ID]]),INDEX(DataTitel_liste,IF(LineærRegression_Valg[[#This Row],[Afhængig variabel ID]]=1,2,1))),$B$7)</f>
        <v>Eksempel 2 (interval)</v>
      </c>
      <c r="H1596" s="188">
        <f>_xlfn.AGGREGATE(2,5,LineærRegression_Valg[[#This Row],[Tabel ID]])</f>
        <v>1</v>
      </c>
    </row>
    <row r="1597" spans="1:8" x14ac:dyDescent="0.2">
      <c r="A1597">
        <f>ROW(LineærRegression_Valg[[#This Row],[Tabel ID]])-ROW(LineærRegression_Valg[[#Headers],[Tabel ID]])</f>
        <v>1587</v>
      </c>
      <c r="B1597" s="188">
        <f>ROUNDDOWN((LineærRegression_Valg[[#This Row],[Tabel ID]]-1)/$B$5,0)+1</f>
        <v>397</v>
      </c>
      <c r="C1597" s="188">
        <f t="shared" si="24"/>
        <v>3</v>
      </c>
      <c r="D1597" s="188" t="b">
        <f>LineærRegression_Valg[[#This Row],[Afhængig variabel ID]]&lt;&gt;LineærRegression_Valg[[#This Row],[Uafhængig variabel ID]]</f>
        <v>1</v>
      </c>
      <c r="E1597" s="188" t="b">
        <f>LineærRegression_Valg[[#This Row],[Afhængig variabel ID]]&lt;=$B$5</f>
        <v>0</v>
      </c>
      <c r="F1597" t="str" cm="1">
        <f t="array" ref="F1597">IF(LineærRegression_Valg[[#This Row],[Indenfor range]],INDEX(DataTitel_liste,LineærRegression_Valg[[#This Row],[Afhængig variabel ID]]),INDEX(DataTitel_liste,1))</f>
        <v>Eksempel 1 (interval)</v>
      </c>
      <c r="G1597" s="188" t="str" cm="1">
        <f t="array" ref="G1597">IF(LineærRegression_Valg[[#This Row],[Indenfor range]],IF(LineærRegression_Valg[[#This Row],[Intet overlap]],INDEX(DataTitel_liste,LineærRegression_Valg[[#This Row],[Uafhængig variabel ID]]),INDEX(DataTitel_liste,IF(LineærRegression_Valg[[#This Row],[Afhængig variabel ID]]=1,2,1))),$B$7)</f>
        <v>Eksempel 2 (interval)</v>
      </c>
      <c r="H1597" s="188">
        <f>_xlfn.AGGREGATE(2,5,LineærRegression_Valg[[#This Row],[Tabel ID]])</f>
        <v>1</v>
      </c>
    </row>
    <row r="1598" spans="1:8" x14ac:dyDescent="0.2">
      <c r="A1598">
        <f>ROW(LineærRegression_Valg[[#This Row],[Tabel ID]])-ROW(LineærRegression_Valg[[#Headers],[Tabel ID]])</f>
        <v>1588</v>
      </c>
      <c r="B1598" s="188">
        <f>ROUNDDOWN((LineærRegression_Valg[[#This Row],[Tabel ID]]-1)/$B$5,0)+1</f>
        <v>397</v>
      </c>
      <c r="C1598" s="188">
        <f t="shared" si="24"/>
        <v>4</v>
      </c>
      <c r="D1598" s="188" t="b">
        <f>LineærRegression_Valg[[#This Row],[Afhængig variabel ID]]&lt;&gt;LineærRegression_Valg[[#This Row],[Uafhængig variabel ID]]</f>
        <v>1</v>
      </c>
      <c r="E1598" s="188" t="b">
        <f>LineærRegression_Valg[[#This Row],[Afhængig variabel ID]]&lt;=$B$5</f>
        <v>0</v>
      </c>
      <c r="F1598" t="str" cm="1">
        <f t="array" ref="F1598">IF(LineærRegression_Valg[[#This Row],[Indenfor range]],INDEX(DataTitel_liste,LineærRegression_Valg[[#This Row],[Afhængig variabel ID]]),INDEX(DataTitel_liste,1))</f>
        <v>Eksempel 1 (interval)</v>
      </c>
      <c r="G1598" s="188" t="str" cm="1">
        <f t="array" ref="G1598">IF(LineærRegression_Valg[[#This Row],[Indenfor range]],IF(LineærRegression_Valg[[#This Row],[Intet overlap]],INDEX(DataTitel_liste,LineærRegression_Valg[[#This Row],[Uafhængig variabel ID]]),INDEX(DataTitel_liste,IF(LineærRegression_Valg[[#This Row],[Afhængig variabel ID]]=1,2,1))),$B$7)</f>
        <v>Eksempel 2 (interval)</v>
      </c>
      <c r="H1598" s="188">
        <f>_xlfn.AGGREGATE(2,5,LineærRegression_Valg[[#This Row],[Tabel ID]])</f>
        <v>1</v>
      </c>
    </row>
    <row r="1599" spans="1:8" x14ac:dyDescent="0.2">
      <c r="A1599">
        <f>ROW(LineærRegression_Valg[[#This Row],[Tabel ID]])-ROW(LineærRegression_Valg[[#Headers],[Tabel ID]])</f>
        <v>1589</v>
      </c>
      <c r="B1599" s="188">
        <f>ROUNDDOWN((LineærRegression_Valg[[#This Row],[Tabel ID]]-1)/$B$5,0)+1</f>
        <v>398</v>
      </c>
      <c r="C1599" s="188">
        <f t="shared" si="24"/>
        <v>1</v>
      </c>
      <c r="D1599" s="188" t="b">
        <f>LineærRegression_Valg[[#This Row],[Afhængig variabel ID]]&lt;&gt;LineærRegression_Valg[[#This Row],[Uafhængig variabel ID]]</f>
        <v>1</v>
      </c>
      <c r="E1599" s="188" t="b">
        <f>LineærRegression_Valg[[#This Row],[Afhængig variabel ID]]&lt;=$B$5</f>
        <v>0</v>
      </c>
      <c r="F1599" t="str" cm="1">
        <f t="array" ref="F1599">IF(LineærRegression_Valg[[#This Row],[Indenfor range]],INDEX(DataTitel_liste,LineærRegression_Valg[[#This Row],[Afhængig variabel ID]]),INDEX(DataTitel_liste,1))</f>
        <v>Eksempel 1 (interval)</v>
      </c>
      <c r="G1599" s="188" t="str" cm="1">
        <f t="array" ref="G1599">IF(LineærRegression_Valg[[#This Row],[Indenfor range]],IF(LineærRegression_Valg[[#This Row],[Intet overlap]],INDEX(DataTitel_liste,LineærRegression_Valg[[#This Row],[Uafhængig variabel ID]]),INDEX(DataTitel_liste,IF(LineærRegression_Valg[[#This Row],[Afhængig variabel ID]]=1,2,1))),$B$7)</f>
        <v>Eksempel 2 (interval)</v>
      </c>
      <c r="H1599" s="188">
        <f>_xlfn.AGGREGATE(2,5,LineærRegression_Valg[[#This Row],[Tabel ID]])</f>
        <v>1</v>
      </c>
    </row>
    <row r="1600" spans="1:8" x14ac:dyDescent="0.2">
      <c r="A1600">
        <f>ROW(LineærRegression_Valg[[#This Row],[Tabel ID]])-ROW(LineærRegression_Valg[[#Headers],[Tabel ID]])</f>
        <v>1590</v>
      </c>
      <c r="B1600" s="188">
        <f>ROUNDDOWN((LineærRegression_Valg[[#This Row],[Tabel ID]]-1)/$B$5,0)+1</f>
        <v>398</v>
      </c>
      <c r="C1600" s="188">
        <f t="shared" si="24"/>
        <v>2</v>
      </c>
      <c r="D1600" s="188" t="b">
        <f>LineærRegression_Valg[[#This Row],[Afhængig variabel ID]]&lt;&gt;LineærRegression_Valg[[#This Row],[Uafhængig variabel ID]]</f>
        <v>1</v>
      </c>
      <c r="E1600" s="188" t="b">
        <f>LineærRegression_Valg[[#This Row],[Afhængig variabel ID]]&lt;=$B$5</f>
        <v>0</v>
      </c>
      <c r="F1600" t="str" cm="1">
        <f t="array" ref="F1600">IF(LineærRegression_Valg[[#This Row],[Indenfor range]],INDEX(DataTitel_liste,LineærRegression_Valg[[#This Row],[Afhængig variabel ID]]),INDEX(DataTitel_liste,1))</f>
        <v>Eksempel 1 (interval)</v>
      </c>
      <c r="G1600" s="188" t="str" cm="1">
        <f t="array" ref="G1600">IF(LineærRegression_Valg[[#This Row],[Indenfor range]],IF(LineærRegression_Valg[[#This Row],[Intet overlap]],INDEX(DataTitel_liste,LineærRegression_Valg[[#This Row],[Uafhængig variabel ID]]),INDEX(DataTitel_liste,IF(LineærRegression_Valg[[#This Row],[Afhængig variabel ID]]=1,2,1))),$B$7)</f>
        <v>Eksempel 2 (interval)</v>
      </c>
      <c r="H1600" s="188">
        <f>_xlfn.AGGREGATE(2,5,LineærRegression_Valg[[#This Row],[Tabel ID]])</f>
        <v>1</v>
      </c>
    </row>
    <row r="1601" spans="1:8" x14ac:dyDescent="0.2">
      <c r="A1601">
        <f>ROW(LineærRegression_Valg[[#This Row],[Tabel ID]])-ROW(LineærRegression_Valg[[#Headers],[Tabel ID]])</f>
        <v>1591</v>
      </c>
      <c r="B1601" s="188">
        <f>ROUNDDOWN((LineærRegression_Valg[[#This Row],[Tabel ID]]-1)/$B$5,0)+1</f>
        <v>398</v>
      </c>
      <c r="C1601" s="188">
        <f t="shared" si="24"/>
        <v>3</v>
      </c>
      <c r="D1601" s="188" t="b">
        <f>LineærRegression_Valg[[#This Row],[Afhængig variabel ID]]&lt;&gt;LineærRegression_Valg[[#This Row],[Uafhængig variabel ID]]</f>
        <v>1</v>
      </c>
      <c r="E1601" s="188" t="b">
        <f>LineærRegression_Valg[[#This Row],[Afhængig variabel ID]]&lt;=$B$5</f>
        <v>0</v>
      </c>
      <c r="F1601" t="str" cm="1">
        <f t="array" ref="F1601">IF(LineærRegression_Valg[[#This Row],[Indenfor range]],INDEX(DataTitel_liste,LineærRegression_Valg[[#This Row],[Afhængig variabel ID]]),INDEX(DataTitel_liste,1))</f>
        <v>Eksempel 1 (interval)</v>
      </c>
      <c r="G1601" s="188" t="str" cm="1">
        <f t="array" ref="G1601">IF(LineærRegression_Valg[[#This Row],[Indenfor range]],IF(LineærRegression_Valg[[#This Row],[Intet overlap]],INDEX(DataTitel_liste,LineærRegression_Valg[[#This Row],[Uafhængig variabel ID]]),INDEX(DataTitel_liste,IF(LineærRegression_Valg[[#This Row],[Afhængig variabel ID]]=1,2,1))),$B$7)</f>
        <v>Eksempel 2 (interval)</v>
      </c>
      <c r="H1601" s="188">
        <f>_xlfn.AGGREGATE(2,5,LineærRegression_Valg[[#This Row],[Tabel ID]])</f>
        <v>1</v>
      </c>
    </row>
    <row r="1602" spans="1:8" x14ac:dyDescent="0.2">
      <c r="A1602">
        <f>ROW(LineærRegression_Valg[[#This Row],[Tabel ID]])-ROW(LineærRegression_Valg[[#Headers],[Tabel ID]])</f>
        <v>1592</v>
      </c>
      <c r="B1602" s="188">
        <f>ROUNDDOWN((LineærRegression_Valg[[#This Row],[Tabel ID]]-1)/$B$5,0)+1</f>
        <v>398</v>
      </c>
      <c r="C1602" s="188">
        <f t="shared" si="24"/>
        <v>4</v>
      </c>
      <c r="D1602" s="188" t="b">
        <f>LineærRegression_Valg[[#This Row],[Afhængig variabel ID]]&lt;&gt;LineærRegression_Valg[[#This Row],[Uafhængig variabel ID]]</f>
        <v>1</v>
      </c>
      <c r="E1602" s="188" t="b">
        <f>LineærRegression_Valg[[#This Row],[Afhængig variabel ID]]&lt;=$B$5</f>
        <v>0</v>
      </c>
      <c r="F1602" t="str" cm="1">
        <f t="array" ref="F1602">IF(LineærRegression_Valg[[#This Row],[Indenfor range]],INDEX(DataTitel_liste,LineærRegression_Valg[[#This Row],[Afhængig variabel ID]]),INDEX(DataTitel_liste,1))</f>
        <v>Eksempel 1 (interval)</v>
      </c>
      <c r="G1602" s="188" t="str" cm="1">
        <f t="array" ref="G1602">IF(LineærRegression_Valg[[#This Row],[Indenfor range]],IF(LineærRegression_Valg[[#This Row],[Intet overlap]],INDEX(DataTitel_liste,LineærRegression_Valg[[#This Row],[Uafhængig variabel ID]]),INDEX(DataTitel_liste,IF(LineærRegression_Valg[[#This Row],[Afhængig variabel ID]]=1,2,1))),$B$7)</f>
        <v>Eksempel 2 (interval)</v>
      </c>
      <c r="H1602" s="188">
        <f>_xlfn.AGGREGATE(2,5,LineærRegression_Valg[[#This Row],[Tabel ID]])</f>
        <v>1</v>
      </c>
    </row>
    <row r="1603" spans="1:8" x14ac:dyDescent="0.2">
      <c r="A1603">
        <f>ROW(LineærRegression_Valg[[#This Row],[Tabel ID]])-ROW(LineærRegression_Valg[[#Headers],[Tabel ID]])</f>
        <v>1593</v>
      </c>
      <c r="B1603" s="188">
        <f>ROUNDDOWN((LineærRegression_Valg[[#This Row],[Tabel ID]]-1)/$B$5,0)+1</f>
        <v>399</v>
      </c>
      <c r="C1603" s="188">
        <f t="shared" si="24"/>
        <v>1</v>
      </c>
      <c r="D1603" s="188" t="b">
        <f>LineærRegression_Valg[[#This Row],[Afhængig variabel ID]]&lt;&gt;LineærRegression_Valg[[#This Row],[Uafhængig variabel ID]]</f>
        <v>1</v>
      </c>
      <c r="E1603" s="188" t="b">
        <f>LineærRegression_Valg[[#This Row],[Afhængig variabel ID]]&lt;=$B$5</f>
        <v>0</v>
      </c>
      <c r="F1603" t="str" cm="1">
        <f t="array" ref="F1603">IF(LineærRegression_Valg[[#This Row],[Indenfor range]],INDEX(DataTitel_liste,LineærRegression_Valg[[#This Row],[Afhængig variabel ID]]),INDEX(DataTitel_liste,1))</f>
        <v>Eksempel 1 (interval)</v>
      </c>
      <c r="G1603" s="188" t="str" cm="1">
        <f t="array" ref="G1603">IF(LineærRegression_Valg[[#This Row],[Indenfor range]],IF(LineærRegression_Valg[[#This Row],[Intet overlap]],INDEX(DataTitel_liste,LineærRegression_Valg[[#This Row],[Uafhængig variabel ID]]),INDEX(DataTitel_liste,IF(LineærRegression_Valg[[#This Row],[Afhængig variabel ID]]=1,2,1))),$B$7)</f>
        <v>Eksempel 2 (interval)</v>
      </c>
      <c r="H1603" s="188">
        <f>_xlfn.AGGREGATE(2,5,LineærRegression_Valg[[#This Row],[Tabel ID]])</f>
        <v>1</v>
      </c>
    </row>
    <row r="1604" spans="1:8" x14ac:dyDescent="0.2">
      <c r="A1604">
        <f>ROW(LineærRegression_Valg[[#This Row],[Tabel ID]])-ROW(LineærRegression_Valg[[#Headers],[Tabel ID]])</f>
        <v>1594</v>
      </c>
      <c r="B1604" s="188">
        <f>ROUNDDOWN((LineærRegression_Valg[[#This Row],[Tabel ID]]-1)/$B$5,0)+1</f>
        <v>399</v>
      </c>
      <c r="C1604" s="188">
        <f t="shared" si="24"/>
        <v>2</v>
      </c>
      <c r="D1604" s="188" t="b">
        <f>LineærRegression_Valg[[#This Row],[Afhængig variabel ID]]&lt;&gt;LineærRegression_Valg[[#This Row],[Uafhængig variabel ID]]</f>
        <v>1</v>
      </c>
      <c r="E1604" s="188" t="b">
        <f>LineærRegression_Valg[[#This Row],[Afhængig variabel ID]]&lt;=$B$5</f>
        <v>0</v>
      </c>
      <c r="F1604" t="str" cm="1">
        <f t="array" ref="F1604">IF(LineærRegression_Valg[[#This Row],[Indenfor range]],INDEX(DataTitel_liste,LineærRegression_Valg[[#This Row],[Afhængig variabel ID]]),INDEX(DataTitel_liste,1))</f>
        <v>Eksempel 1 (interval)</v>
      </c>
      <c r="G1604" s="188" t="str" cm="1">
        <f t="array" ref="G1604">IF(LineærRegression_Valg[[#This Row],[Indenfor range]],IF(LineærRegression_Valg[[#This Row],[Intet overlap]],INDEX(DataTitel_liste,LineærRegression_Valg[[#This Row],[Uafhængig variabel ID]]),INDEX(DataTitel_liste,IF(LineærRegression_Valg[[#This Row],[Afhængig variabel ID]]=1,2,1))),$B$7)</f>
        <v>Eksempel 2 (interval)</v>
      </c>
      <c r="H1604" s="188">
        <f>_xlfn.AGGREGATE(2,5,LineærRegression_Valg[[#This Row],[Tabel ID]])</f>
        <v>1</v>
      </c>
    </row>
    <row r="1605" spans="1:8" x14ac:dyDescent="0.2">
      <c r="A1605">
        <f>ROW(LineærRegression_Valg[[#This Row],[Tabel ID]])-ROW(LineærRegression_Valg[[#Headers],[Tabel ID]])</f>
        <v>1595</v>
      </c>
      <c r="B1605" s="188">
        <f>ROUNDDOWN((LineærRegression_Valg[[#This Row],[Tabel ID]]-1)/$B$5,0)+1</f>
        <v>399</v>
      </c>
      <c r="C1605" s="188">
        <f t="shared" si="24"/>
        <v>3</v>
      </c>
      <c r="D1605" s="188" t="b">
        <f>LineærRegression_Valg[[#This Row],[Afhængig variabel ID]]&lt;&gt;LineærRegression_Valg[[#This Row],[Uafhængig variabel ID]]</f>
        <v>1</v>
      </c>
      <c r="E1605" s="188" t="b">
        <f>LineærRegression_Valg[[#This Row],[Afhængig variabel ID]]&lt;=$B$5</f>
        <v>0</v>
      </c>
      <c r="F1605" t="str" cm="1">
        <f t="array" ref="F1605">IF(LineærRegression_Valg[[#This Row],[Indenfor range]],INDEX(DataTitel_liste,LineærRegression_Valg[[#This Row],[Afhængig variabel ID]]),INDEX(DataTitel_liste,1))</f>
        <v>Eksempel 1 (interval)</v>
      </c>
      <c r="G1605" s="188" t="str" cm="1">
        <f t="array" ref="G1605">IF(LineærRegression_Valg[[#This Row],[Indenfor range]],IF(LineærRegression_Valg[[#This Row],[Intet overlap]],INDEX(DataTitel_liste,LineærRegression_Valg[[#This Row],[Uafhængig variabel ID]]),INDEX(DataTitel_liste,IF(LineærRegression_Valg[[#This Row],[Afhængig variabel ID]]=1,2,1))),$B$7)</f>
        <v>Eksempel 2 (interval)</v>
      </c>
      <c r="H1605" s="188">
        <f>_xlfn.AGGREGATE(2,5,LineærRegression_Valg[[#This Row],[Tabel ID]])</f>
        <v>1</v>
      </c>
    </row>
    <row r="1606" spans="1:8" x14ac:dyDescent="0.2">
      <c r="A1606">
        <f>ROW(LineærRegression_Valg[[#This Row],[Tabel ID]])-ROW(LineærRegression_Valg[[#Headers],[Tabel ID]])</f>
        <v>1596</v>
      </c>
      <c r="B1606" s="188">
        <f>ROUNDDOWN((LineærRegression_Valg[[#This Row],[Tabel ID]]-1)/$B$5,0)+1</f>
        <v>399</v>
      </c>
      <c r="C1606" s="188">
        <f t="shared" si="24"/>
        <v>4</v>
      </c>
      <c r="D1606" s="188" t="b">
        <f>LineærRegression_Valg[[#This Row],[Afhængig variabel ID]]&lt;&gt;LineærRegression_Valg[[#This Row],[Uafhængig variabel ID]]</f>
        <v>1</v>
      </c>
      <c r="E1606" s="188" t="b">
        <f>LineærRegression_Valg[[#This Row],[Afhængig variabel ID]]&lt;=$B$5</f>
        <v>0</v>
      </c>
      <c r="F1606" t="str" cm="1">
        <f t="array" ref="F1606">IF(LineærRegression_Valg[[#This Row],[Indenfor range]],INDEX(DataTitel_liste,LineærRegression_Valg[[#This Row],[Afhængig variabel ID]]),INDEX(DataTitel_liste,1))</f>
        <v>Eksempel 1 (interval)</v>
      </c>
      <c r="G1606" s="188" t="str" cm="1">
        <f t="array" ref="G1606">IF(LineærRegression_Valg[[#This Row],[Indenfor range]],IF(LineærRegression_Valg[[#This Row],[Intet overlap]],INDEX(DataTitel_liste,LineærRegression_Valg[[#This Row],[Uafhængig variabel ID]]),INDEX(DataTitel_liste,IF(LineærRegression_Valg[[#This Row],[Afhængig variabel ID]]=1,2,1))),$B$7)</f>
        <v>Eksempel 2 (interval)</v>
      </c>
      <c r="H1606" s="188">
        <f>_xlfn.AGGREGATE(2,5,LineærRegression_Valg[[#This Row],[Tabel ID]])</f>
        <v>1</v>
      </c>
    </row>
    <row r="1607" spans="1:8" x14ac:dyDescent="0.2">
      <c r="A1607">
        <f>ROW(LineærRegression_Valg[[#This Row],[Tabel ID]])-ROW(LineærRegression_Valg[[#Headers],[Tabel ID]])</f>
        <v>1597</v>
      </c>
      <c r="B1607" s="188">
        <f>ROUNDDOWN((LineærRegression_Valg[[#This Row],[Tabel ID]]-1)/$B$5,0)+1</f>
        <v>400</v>
      </c>
      <c r="C1607" s="188">
        <f t="shared" si="24"/>
        <v>1</v>
      </c>
      <c r="D1607" s="188" t="b">
        <f>LineærRegression_Valg[[#This Row],[Afhængig variabel ID]]&lt;&gt;LineærRegression_Valg[[#This Row],[Uafhængig variabel ID]]</f>
        <v>1</v>
      </c>
      <c r="E1607" s="188" t="b">
        <f>LineærRegression_Valg[[#This Row],[Afhængig variabel ID]]&lt;=$B$5</f>
        <v>0</v>
      </c>
      <c r="F1607" t="str" cm="1">
        <f t="array" ref="F1607">IF(LineærRegression_Valg[[#This Row],[Indenfor range]],INDEX(DataTitel_liste,LineærRegression_Valg[[#This Row],[Afhængig variabel ID]]),INDEX(DataTitel_liste,1))</f>
        <v>Eksempel 1 (interval)</v>
      </c>
      <c r="G1607" s="188" t="str" cm="1">
        <f t="array" ref="G1607">IF(LineærRegression_Valg[[#This Row],[Indenfor range]],IF(LineærRegression_Valg[[#This Row],[Intet overlap]],INDEX(DataTitel_liste,LineærRegression_Valg[[#This Row],[Uafhængig variabel ID]]),INDEX(DataTitel_liste,IF(LineærRegression_Valg[[#This Row],[Afhængig variabel ID]]=1,2,1))),$B$7)</f>
        <v>Eksempel 2 (interval)</v>
      </c>
      <c r="H1607" s="188">
        <f>_xlfn.AGGREGATE(2,5,LineærRegression_Valg[[#This Row],[Tabel ID]])</f>
        <v>1</v>
      </c>
    </row>
    <row r="1608" spans="1:8" x14ac:dyDescent="0.2">
      <c r="A1608">
        <f>ROW(LineærRegression_Valg[[#This Row],[Tabel ID]])-ROW(LineærRegression_Valg[[#Headers],[Tabel ID]])</f>
        <v>1598</v>
      </c>
      <c r="B1608" s="188">
        <f>ROUNDDOWN((LineærRegression_Valg[[#This Row],[Tabel ID]]-1)/$B$5,0)+1</f>
        <v>400</v>
      </c>
      <c r="C1608" s="188">
        <f t="shared" si="24"/>
        <v>2</v>
      </c>
      <c r="D1608" s="188" t="b">
        <f>LineærRegression_Valg[[#This Row],[Afhængig variabel ID]]&lt;&gt;LineærRegression_Valg[[#This Row],[Uafhængig variabel ID]]</f>
        <v>1</v>
      </c>
      <c r="E1608" s="188" t="b">
        <f>LineærRegression_Valg[[#This Row],[Afhængig variabel ID]]&lt;=$B$5</f>
        <v>0</v>
      </c>
      <c r="F1608" t="str" cm="1">
        <f t="array" ref="F1608">IF(LineærRegression_Valg[[#This Row],[Indenfor range]],INDEX(DataTitel_liste,LineærRegression_Valg[[#This Row],[Afhængig variabel ID]]),INDEX(DataTitel_liste,1))</f>
        <v>Eksempel 1 (interval)</v>
      </c>
      <c r="G1608" s="188" t="str" cm="1">
        <f t="array" ref="G1608">IF(LineærRegression_Valg[[#This Row],[Indenfor range]],IF(LineærRegression_Valg[[#This Row],[Intet overlap]],INDEX(DataTitel_liste,LineærRegression_Valg[[#This Row],[Uafhængig variabel ID]]),INDEX(DataTitel_liste,IF(LineærRegression_Valg[[#This Row],[Afhængig variabel ID]]=1,2,1))),$B$7)</f>
        <v>Eksempel 2 (interval)</v>
      </c>
      <c r="H1608" s="188">
        <f>_xlfn.AGGREGATE(2,5,LineærRegression_Valg[[#This Row],[Tabel ID]])</f>
        <v>1</v>
      </c>
    </row>
    <row r="1609" spans="1:8" x14ac:dyDescent="0.2">
      <c r="A1609">
        <f>ROW(LineærRegression_Valg[[#This Row],[Tabel ID]])-ROW(LineærRegression_Valg[[#Headers],[Tabel ID]])</f>
        <v>1599</v>
      </c>
      <c r="B1609" s="188">
        <f>ROUNDDOWN((LineærRegression_Valg[[#This Row],[Tabel ID]]-1)/$B$5,0)+1</f>
        <v>400</v>
      </c>
      <c r="C1609" s="188">
        <f t="shared" si="24"/>
        <v>3</v>
      </c>
      <c r="D1609" s="188" t="b">
        <f>LineærRegression_Valg[[#This Row],[Afhængig variabel ID]]&lt;&gt;LineærRegression_Valg[[#This Row],[Uafhængig variabel ID]]</f>
        <v>1</v>
      </c>
      <c r="E1609" s="188" t="b">
        <f>LineærRegression_Valg[[#This Row],[Afhængig variabel ID]]&lt;=$B$5</f>
        <v>0</v>
      </c>
      <c r="F1609" t="str" cm="1">
        <f t="array" ref="F1609">IF(LineærRegression_Valg[[#This Row],[Indenfor range]],INDEX(DataTitel_liste,LineærRegression_Valg[[#This Row],[Afhængig variabel ID]]),INDEX(DataTitel_liste,1))</f>
        <v>Eksempel 1 (interval)</v>
      </c>
      <c r="G1609" s="188" t="str" cm="1">
        <f t="array" ref="G1609">IF(LineærRegression_Valg[[#This Row],[Indenfor range]],IF(LineærRegression_Valg[[#This Row],[Intet overlap]],INDEX(DataTitel_liste,LineærRegression_Valg[[#This Row],[Uafhængig variabel ID]]),INDEX(DataTitel_liste,IF(LineærRegression_Valg[[#This Row],[Afhængig variabel ID]]=1,2,1))),$B$7)</f>
        <v>Eksempel 2 (interval)</v>
      </c>
      <c r="H1609" s="188">
        <f>_xlfn.AGGREGATE(2,5,LineærRegression_Valg[[#This Row],[Tabel ID]])</f>
        <v>1</v>
      </c>
    </row>
    <row r="1610" spans="1:8" x14ac:dyDescent="0.2">
      <c r="A1610">
        <f>ROW(LineærRegression_Valg[[#This Row],[Tabel ID]])-ROW(LineærRegression_Valg[[#Headers],[Tabel ID]])</f>
        <v>1600</v>
      </c>
      <c r="B1610" s="188">
        <f>ROUNDDOWN((LineærRegression_Valg[[#This Row],[Tabel ID]]-1)/$B$5,0)+1</f>
        <v>400</v>
      </c>
      <c r="C1610" s="188">
        <f t="shared" si="24"/>
        <v>4</v>
      </c>
      <c r="D1610" s="188" t="b">
        <f>LineærRegression_Valg[[#This Row],[Afhængig variabel ID]]&lt;&gt;LineærRegression_Valg[[#This Row],[Uafhængig variabel ID]]</f>
        <v>1</v>
      </c>
      <c r="E1610" s="188" t="b">
        <f>LineærRegression_Valg[[#This Row],[Afhængig variabel ID]]&lt;=$B$5</f>
        <v>0</v>
      </c>
      <c r="F1610" t="str" cm="1">
        <f t="array" ref="F1610">IF(LineærRegression_Valg[[#This Row],[Indenfor range]],INDEX(DataTitel_liste,LineærRegression_Valg[[#This Row],[Afhængig variabel ID]]),INDEX(DataTitel_liste,1))</f>
        <v>Eksempel 1 (interval)</v>
      </c>
      <c r="G1610" s="188" t="str" cm="1">
        <f t="array" ref="G1610">IF(LineærRegression_Valg[[#This Row],[Indenfor range]],IF(LineærRegression_Valg[[#This Row],[Intet overlap]],INDEX(DataTitel_liste,LineærRegression_Valg[[#This Row],[Uafhængig variabel ID]]),INDEX(DataTitel_liste,IF(LineærRegression_Valg[[#This Row],[Afhængig variabel ID]]=1,2,1))),$B$7)</f>
        <v>Eksempel 2 (interval)</v>
      </c>
      <c r="H1610" s="188">
        <f>_xlfn.AGGREGATE(2,5,LineærRegression_Valg[[#This Row],[Tabel ID]])</f>
        <v>1</v>
      </c>
    </row>
    <row r="1611" spans="1:8" x14ac:dyDescent="0.2">
      <c r="A1611">
        <f>ROW(LineærRegression_Valg[[#This Row],[Tabel ID]])-ROW(LineærRegression_Valg[[#Headers],[Tabel ID]])</f>
        <v>1601</v>
      </c>
      <c r="B1611" s="188">
        <f>ROUNDDOWN((LineærRegression_Valg[[#This Row],[Tabel ID]]-1)/$B$5,0)+1</f>
        <v>401</v>
      </c>
      <c r="C1611" s="188">
        <f t="shared" ref="C1611:C1674" si="25">MOD(A1611-1,$B$5)+1</f>
        <v>1</v>
      </c>
      <c r="D1611" s="188" t="b">
        <f>LineærRegression_Valg[[#This Row],[Afhængig variabel ID]]&lt;&gt;LineærRegression_Valg[[#This Row],[Uafhængig variabel ID]]</f>
        <v>1</v>
      </c>
      <c r="E1611" s="188" t="b">
        <f>LineærRegression_Valg[[#This Row],[Afhængig variabel ID]]&lt;=$B$5</f>
        <v>0</v>
      </c>
      <c r="F1611" t="str" cm="1">
        <f t="array" ref="F1611">IF(LineærRegression_Valg[[#This Row],[Indenfor range]],INDEX(DataTitel_liste,LineærRegression_Valg[[#This Row],[Afhængig variabel ID]]),INDEX(DataTitel_liste,1))</f>
        <v>Eksempel 1 (interval)</v>
      </c>
      <c r="G1611" s="188" t="str" cm="1">
        <f t="array" ref="G1611">IF(LineærRegression_Valg[[#This Row],[Indenfor range]],IF(LineærRegression_Valg[[#This Row],[Intet overlap]],INDEX(DataTitel_liste,LineærRegression_Valg[[#This Row],[Uafhængig variabel ID]]),INDEX(DataTitel_liste,IF(LineærRegression_Valg[[#This Row],[Afhængig variabel ID]]=1,2,1))),$B$7)</f>
        <v>Eksempel 2 (interval)</v>
      </c>
      <c r="H1611" s="188">
        <f>_xlfn.AGGREGATE(2,5,LineærRegression_Valg[[#This Row],[Tabel ID]])</f>
        <v>1</v>
      </c>
    </row>
    <row r="1612" spans="1:8" x14ac:dyDescent="0.2">
      <c r="A1612">
        <f>ROW(LineærRegression_Valg[[#This Row],[Tabel ID]])-ROW(LineærRegression_Valg[[#Headers],[Tabel ID]])</f>
        <v>1602</v>
      </c>
      <c r="B1612" s="188">
        <f>ROUNDDOWN((LineærRegression_Valg[[#This Row],[Tabel ID]]-1)/$B$5,0)+1</f>
        <v>401</v>
      </c>
      <c r="C1612" s="188">
        <f t="shared" si="25"/>
        <v>2</v>
      </c>
      <c r="D1612" s="188" t="b">
        <f>LineærRegression_Valg[[#This Row],[Afhængig variabel ID]]&lt;&gt;LineærRegression_Valg[[#This Row],[Uafhængig variabel ID]]</f>
        <v>1</v>
      </c>
      <c r="E1612" s="188" t="b">
        <f>LineærRegression_Valg[[#This Row],[Afhængig variabel ID]]&lt;=$B$5</f>
        <v>0</v>
      </c>
      <c r="F1612" t="str" cm="1">
        <f t="array" ref="F1612">IF(LineærRegression_Valg[[#This Row],[Indenfor range]],INDEX(DataTitel_liste,LineærRegression_Valg[[#This Row],[Afhængig variabel ID]]),INDEX(DataTitel_liste,1))</f>
        <v>Eksempel 1 (interval)</v>
      </c>
      <c r="G1612" s="188" t="str" cm="1">
        <f t="array" ref="G1612">IF(LineærRegression_Valg[[#This Row],[Indenfor range]],IF(LineærRegression_Valg[[#This Row],[Intet overlap]],INDEX(DataTitel_liste,LineærRegression_Valg[[#This Row],[Uafhængig variabel ID]]),INDEX(DataTitel_liste,IF(LineærRegression_Valg[[#This Row],[Afhængig variabel ID]]=1,2,1))),$B$7)</f>
        <v>Eksempel 2 (interval)</v>
      </c>
      <c r="H1612" s="188">
        <f>_xlfn.AGGREGATE(2,5,LineærRegression_Valg[[#This Row],[Tabel ID]])</f>
        <v>1</v>
      </c>
    </row>
    <row r="1613" spans="1:8" x14ac:dyDescent="0.2">
      <c r="A1613">
        <f>ROW(LineærRegression_Valg[[#This Row],[Tabel ID]])-ROW(LineærRegression_Valg[[#Headers],[Tabel ID]])</f>
        <v>1603</v>
      </c>
      <c r="B1613" s="188">
        <f>ROUNDDOWN((LineærRegression_Valg[[#This Row],[Tabel ID]]-1)/$B$5,0)+1</f>
        <v>401</v>
      </c>
      <c r="C1613" s="188">
        <f t="shared" si="25"/>
        <v>3</v>
      </c>
      <c r="D1613" s="188" t="b">
        <f>LineærRegression_Valg[[#This Row],[Afhængig variabel ID]]&lt;&gt;LineærRegression_Valg[[#This Row],[Uafhængig variabel ID]]</f>
        <v>1</v>
      </c>
      <c r="E1613" s="188" t="b">
        <f>LineærRegression_Valg[[#This Row],[Afhængig variabel ID]]&lt;=$B$5</f>
        <v>0</v>
      </c>
      <c r="F1613" t="str" cm="1">
        <f t="array" ref="F1613">IF(LineærRegression_Valg[[#This Row],[Indenfor range]],INDEX(DataTitel_liste,LineærRegression_Valg[[#This Row],[Afhængig variabel ID]]),INDEX(DataTitel_liste,1))</f>
        <v>Eksempel 1 (interval)</v>
      </c>
      <c r="G1613" s="188" t="str" cm="1">
        <f t="array" ref="G1613">IF(LineærRegression_Valg[[#This Row],[Indenfor range]],IF(LineærRegression_Valg[[#This Row],[Intet overlap]],INDEX(DataTitel_liste,LineærRegression_Valg[[#This Row],[Uafhængig variabel ID]]),INDEX(DataTitel_liste,IF(LineærRegression_Valg[[#This Row],[Afhængig variabel ID]]=1,2,1))),$B$7)</f>
        <v>Eksempel 2 (interval)</v>
      </c>
      <c r="H1613" s="188">
        <f>_xlfn.AGGREGATE(2,5,LineærRegression_Valg[[#This Row],[Tabel ID]])</f>
        <v>1</v>
      </c>
    </row>
    <row r="1614" spans="1:8" x14ac:dyDescent="0.2">
      <c r="A1614">
        <f>ROW(LineærRegression_Valg[[#This Row],[Tabel ID]])-ROW(LineærRegression_Valg[[#Headers],[Tabel ID]])</f>
        <v>1604</v>
      </c>
      <c r="B1614" s="188">
        <f>ROUNDDOWN((LineærRegression_Valg[[#This Row],[Tabel ID]]-1)/$B$5,0)+1</f>
        <v>401</v>
      </c>
      <c r="C1614" s="188">
        <f t="shared" si="25"/>
        <v>4</v>
      </c>
      <c r="D1614" s="188" t="b">
        <f>LineærRegression_Valg[[#This Row],[Afhængig variabel ID]]&lt;&gt;LineærRegression_Valg[[#This Row],[Uafhængig variabel ID]]</f>
        <v>1</v>
      </c>
      <c r="E1614" s="188" t="b">
        <f>LineærRegression_Valg[[#This Row],[Afhængig variabel ID]]&lt;=$B$5</f>
        <v>0</v>
      </c>
      <c r="F1614" t="str" cm="1">
        <f t="array" ref="F1614">IF(LineærRegression_Valg[[#This Row],[Indenfor range]],INDEX(DataTitel_liste,LineærRegression_Valg[[#This Row],[Afhængig variabel ID]]),INDEX(DataTitel_liste,1))</f>
        <v>Eksempel 1 (interval)</v>
      </c>
      <c r="G1614" s="188" t="str" cm="1">
        <f t="array" ref="G1614">IF(LineærRegression_Valg[[#This Row],[Indenfor range]],IF(LineærRegression_Valg[[#This Row],[Intet overlap]],INDEX(DataTitel_liste,LineærRegression_Valg[[#This Row],[Uafhængig variabel ID]]),INDEX(DataTitel_liste,IF(LineærRegression_Valg[[#This Row],[Afhængig variabel ID]]=1,2,1))),$B$7)</f>
        <v>Eksempel 2 (interval)</v>
      </c>
      <c r="H1614" s="188">
        <f>_xlfn.AGGREGATE(2,5,LineærRegression_Valg[[#This Row],[Tabel ID]])</f>
        <v>1</v>
      </c>
    </row>
    <row r="1615" spans="1:8" x14ac:dyDescent="0.2">
      <c r="A1615">
        <f>ROW(LineærRegression_Valg[[#This Row],[Tabel ID]])-ROW(LineærRegression_Valg[[#Headers],[Tabel ID]])</f>
        <v>1605</v>
      </c>
      <c r="B1615" s="188">
        <f>ROUNDDOWN((LineærRegression_Valg[[#This Row],[Tabel ID]]-1)/$B$5,0)+1</f>
        <v>402</v>
      </c>
      <c r="C1615" s="188">
        <f t="shared" si="25"/>
        <v>1</v>
      </c>
      <c r="D1615" s="188" t="b">
        <f>LineærRegression_Valg[[#This Row],[Afhængig variabel ID]]&lt;&gt;LineærRegression_Valg[[#This Row],[Uafhængig variabel ID]]</f>
        <v>1</v>
      </c>
      <c r="E1615" s="188" t="b">
        <f>LineærRegression_Valg[[#This Row],[Afhængig variabel ID]]&lt;=$B$5</f>
        <v>0</v>
      </c>
      <c r="F1615" t="str" cm="1">
        <f t="array" ref="F1615">IF(LineærRegression_Valg[[#This Row],[Indenfor range]],INDEX(DataTitel_liste,LineærRegression_Valg[[#This Row],[Afhængig variabel ID]]),INDEX(DataTitel_liste,1))</f>
        <v>Eksempel 1 (interval)</v>
      </c>
      <c r="G1615" s="188" t="str" cm="1">
        <f t="array" ref="G1615">IF(LineærRegression_Valg[[#This Row],[Indenfor range]],IF(LineærRegression_Valg[[#This Row],[Intet overlap]],INDEX(DataTitel_liste,LineærRegression_Valg[[#This Row],[Uafhængig variabel ID]]),INDEX(DataTitel_liste,IF(LineærRegression_Valg[[#This Row],[Afhængig variabel ID]]=1,2,1))),$B$7)</f>
        <v>Eksempel 2 (interval)</v>
      </c>
      <c r="H1615" s="188">
        <f>_xlfn.AGGREGATE(2,5,LineærRegression_Valg[[#This Row],[Tabel ID]])</f>
        <v>1</v>
      </c>
    </row>
    <row r="1616" spans="1:8" x14ac:dyDescent="0.2">
      <c r="A1616">
        <f>ROW(LineærRegression_Valg[[#This Row],[Tabel ID]])-ROW(LineærRegression_Valg[[#Headers],[Tabel ID]])</f>
        <v>1606</v>
      </c>
      <c r="B1616" s="188">
        <f>ROUNDDOWN((LineærRegression_Valg[[#This Row],[Tabel ID]]-1)/$B$5,0)+1</f>
        <v>402</v>
      </c>
      <c r="C1616" s="188">
        <f t="shared" si="25"/>
        <v>2</v>
      </c>
      <c r="D1616" s="188" t="b">
        <f>LineærRegression_Valg[[#This Row],[Afhængig variabel ID]]&lt;&gt;LineærRegression_Valg[[#This Row],[Uafhængig variabel ID]]</f>
        <v>1</v>
      </c>
      <c r="E1616" s="188" t="b">
        <f>LineærRegression_Valg[[#This Row],[Afhængig variabel ID]]&lt;=$B$5</f>
        <v>0</v>
      </c>
      <c r="F1616" t="str" cm="1">
        <f t="array" ref="F1616">IF(LineærRegression_Valg[[#This Row],[Indenfor range]],INDEX(DataTitel_liste,LineærRegression_Valg[[#This Row],[Afhængig variabel ID]]),INDEX(DataTitel_liste,1))</f>
        <v>Eksempel 1 (interval)</v>
      </c>
      <c r="G1616" s="188" t="str" cm="1">
        <f t="array" ref="G1616">IF(LineærRegression_Valg[[#This Row],[Indenfor range]],IF(LineærRegression_Valg[[#This Row],[Intet overlap]],INDEX(DataTitel_liste,LineærRegression_Valg[[#This Row],[Uafhængig variabel ID]]),INDEX(DataTitel_liste,IF(LineærRegression_Valg[[#This Row],[Afhængig variabel ID]]=1,2,1))),$B$7)</f>
        <v>Eksempel 2 (interval)</v>
      </c>
      <c r="H1616" s="188">
        <f>_xlfn.AGGREGATE(2,5,LineærRegression_Valg[[#This Row],[Tabel ID]])</f>
        <v>1</v>
      </c>
    </row>
    <row r="1617" spans="1:8" x14ac:dyDescent="0.2">
      <c r="A1617">
        <f>ROW(LineærRegression_Valg[[#This Row],[Tabel ID]])-ROW(LineærRegression_Valg[[#Headers],[Tabel ID]])</f>
        <v>1607</v>
      </c>
      <c r="B1617" s="188">
        <f>ROUNDDOWN((LineærRegression_Valg[[#This Row],[Tabel ID]]-1)/$B$5,0)+1</f>
        <v>402</v>
      </c>
      <c r="C1617" s="188">
        <f t="shared" si="25"/>
        <v>3</v>
      </c>
      <c r="D1617" s="188" t="b">
        <f>LineærRegression_Valg[[#This Row],[Afhængig variabel ID]]&lt;&gt;LineærRegression_Valg[[#This Row],[Uafhængig variabel ID]]</f>
        <v>1</v>
      </c>
      <c r="E1617" s="188" t="b">
        <f>LineærRegression_Valg[[#This Row],[Afhængig variabel ID]]&lt;=$B$5</f>
        <v>0</v>
      </c>
      <c r="F1617" t="str" cm="1">
        <f t="array" ref="F1617">IF(LineærRegression_Valg[[#This Row],[Indenfor range]],INDEX(DataTitel_liste,LineærRegression_Valg[[#This Row],[Afhængig variabel ID]]),INDEX(DataTitel_liste,1))</f>
        <v>Eksempel 1 (interval)</v>
      </c>
      <c r="G1617" s="188" t="str" cm="1">
        <f t="array" ref="G1617">IF(LineærRegression_Valg[[#This Row],[Indenfor range]],IF(LineærRegression_Valg[[#This Row],[Intet overlap]],INDEX(DataTitel_liste,LineærRegression_Valg[[#This Row],[Uafhængig variabel ID]]),INDEX(DataTitel_liste,IF(LineærRegression_Valg[[#This Row],[Afhængig variabel ID]]=1,2,1))),$B$7)</f>
        <v>Eksempel 2 (interval)</v>
      </c>
      <c r="H1617" s="188">
        <f>_xlfn.AGGREGATE(2,5,LineærRegression_Valg[[#This Row],[Tabel ID]])</f>
        <v>1</v>
      </c>
    </row>
    <row r="1618" spans="1:8" x14ac:dyDescent="0.2">
      <c r="A1618">
        <f>ROW(LineærRegression_Valg[[#This Row],[Tabel ID]])-ROW(LineærRegression_Valg[[#Headers],[Tabel ID]])</f>
        <v>1608</v>
      </c>
      <c r="B1618" s="188">
        <f>ROUNDDOWN((LineærRegression_Valg[[#This Row],[Tabel ID]]-1)/$B$5,0)+1</f>
        <v>402</v>
      </c>
      <c r="C1618" s="188">
        <f t="shared" si="25"/>
        <v>4</v>
      </c>
      <c r="D1618" s="188" t="b">
        <f>LineærRegression_Valg[[#This Row],[Afhængig variabel ID]]&lt;&gt;LineærRegression_Valg[[#This Row],[Uafhængig variabel ID]]</f>
        <v>1</v>
      </c>
      <c r="E1618" s="188" t="b">
        <f>LineærRegression_Valg[[#This Row],[Afhængig variabel ID]]&lt;=$B$5</f>
        <v>0</v>
      </c>
      <c r="F1618" t="str" cm="1">
        <f t="array" ref="F1618">IF(LineærRegression_Valg[[#This Row],[Indenfor range]],INDEX(DataTitel_liste,LineærRegression_Valg[[#This Row],[Afhængig variabel ID]]),INDEX(DataTitel_liste,1))</f>
        <v>Eksempel 1 (interval)</v>
      </c>
      <c r="G1618" s="188" t="str" cm="1">
        <f t="array" ref="G1618">IF(LineærRegression_Valg[[#This Row],[Indenfor range]],IF(LineærRegression_Valg[[#This Row],[Intet overlap]],INDEX(DataTitel_liste,LineærRegression_Valg[[#This Row],[Uafhængig variabel ID]]),INDEX(DataTitel_liste,IF(LineærRegression_Valg[[#This Row],[Afhængig variabel ID]]=1,2,1))),$B$7)</f>
        <v>Eksempel 2 (interval)</v>
      </c>
      <c r="H1618" s="188">
        <f>_xlfn.AGGREGATE(2,5,LineærRegression_Valg[[#This Row],[Tabel ID]])</f>
        <v>1</v>
      </c>
    </row>
    <row r="1619" spans="1:8" x14ac:dyDescent="0.2">
      <c r="A1619">
        <f>ROW(LineærRegression_Valg[[#This Row],[Tabel ID]])-ROW(LineærRegression_Valg[[#Headers],[Tabel ID]])</f>
        <v>1609</v>
      </c>
      <c r="B1619" s="188">
        <f>ROUNDDOWN((LineærRegression_Valg[[#This Row],[Tabel ID]]-1)/$B$5,0)+1</f>
        <v>403</v>
      </c>
      <c r="C1619" s="188">
        <f t="shared" si="25"/>
        <v>1</v>
      </c>
      <c r="D1619" s="188" t="b">
        <f>LineærRegression_Valg[[#This Row],[Afhængig variabel ID]]&lt;&gt;LineærRegression_Valg[[#This Row],[Uafhængig variabel ID]]</f>
        <v>1</v>
      </c>
      <c r="E1619" s="188" t="b">
        <f>LineærRegression_Valg[[#This Row],[Afhængig variabel ID]]&lt;=$B$5</f>
        <v>0</v>
      </c>
      <c r="F1619" t="str" cm="1">
        <f t="array" ref="F1619">IF(LineærRegression_Valg[[#This Row],[Indenfor range]],INDEX(DataTitel_liste,LineærRegression_Valg[[#This Row],[Afhængig variabel ID]]),INDEX(DataTitel_liste,1))</f>
        <v>Eksempel 1 (interval)</v>
      </c>
      <c r="G1619" s="188" t="str" cm="1">
        <f t="array" ref="G1619">IF(LineærRegression_Valg[[#This Row],[Indenfor range]],IF(LineærRegression_Valg[[#This Row],[Intet overlap]],INDEX(DataTitel_liste,LineærRegression_Valg[[#This Row],[Uafhængig variabel ID]]),INDEX(DataTitel_liste,IF(LineærRegression_Valg[[#This Row],[Afhængig variabel ID]]=1,2,1))),$B$7)</f>
        <v>Eksempel 2 (interval)</v>
      </c>
      <c r="H1619" s="188">
        <f>_xlfn.AGGREGATE(2,5,LineærRegression_Valg[[#This Row],[Tabel ID]])</f>
        <v>1</v>
      </c>
    </row>
    <row r="1620" spans="1:8" x14ac:dyDescent="0.2">
      <c r="A1620">
        <f>ROW(LineærRegression_Valg[[#This Row],[Tabel ID]])-ROW(LineærRegression_Valg[[#Headers],[Tabel ID]])</f>
        <v>1610</v>
      </c>
      <c r="B1620" s="188">
        <f>ROUNDDOWN((LineærRegression_Valg[[#This Row],[Tabel ID]]-1)/$B$5,0)+1</f>
        <v>403</v>
      </c>
      <c r="C1620" s="188">
        <f t="shared" si="25"/>
        <v>2</v>
      </c>
      <c r="D1620" s="188" t="b">
        <f>LineærRegression_Valg[[#This Row],[Afhængig variabel ID]]&lt;&gt;LineærRegression_Valg[[#This Row],[Uafhængig variabel ID]]</f>
        <v>1</v>
      </c>
      <c r="E1620" s="188" t="b">
        <f>LineærRegression_Valg[[#This Row],[Afhængig variabel ID]]&lt;=$B$5</f>
        <v>0</v>
      </c>
      <c r="F1620" t="str" cm="1">
        <f t="array" ref="F1620">IF(LineærRegression_Valg[[#This Row],[Indenfor range]],INDEX(DataTitel_liste,LineærRegression_Valg[[#This Row],[Afhængig variabel ID]]),INDEX(DataTitel_liste,1))</f>
        <v>Eksempel 1 (interval)</v>
      </c>
      <c r="G1620" s="188" t="str" cm="1">
        <f t="array" ref="G1620">IF(LineærRegression_Valg[[#This Row],[Indenfor range]],IF(LineærRegression_Valg[[#This Row],[Intet overlap]],INDEX(DataTitel_liste,LineærRegression_Valg[[#This Row],[Uafhængig variabel ID]]),INDEX(DataTitel_liste,IF(LineærRegression_Valg[[#This Row],[Afhængig variabel ID]]=1,2,1))),$B$7)</f>
        <v>Eksempel 2 (interval)</v>
      </c>
      <c r="H1620" s="188">
        <f>_xlfn.AGGREGATE(2,5,LineærRegression_Valg[[#This Row],[Tabel ID]])</f>
        <v>1</v>
      </c>
    </row>
    <row r="1621" spans="1:8" x14ac:dyDescent="0.2">
      <c r="A1621">
        <f>ROW(LineærRegression_Valg[[#This Row],[Tabel ID]])-ROW(LineærRegression_Valg[[#Headers],[Tabel ID]])</f>
        <v>1611</v>
      </c>
      <c r="B1621" s="188">
        <f>ROUNDDOWN((LineærRegression_Valg[[#This Row],[Tabel ID]]-1)/$B$5,0)+1</f>
        <v>403</v>
      </c>
      <c r="C1621" s="188">
        <f t="shared" si="25"/>
        <v>3</v>
      </c>
      <c r="D1621" s="188" t="b">
        <f>LineærRegression_Valg[[#This Row],[Afhængig variabel ID]]&lt;&gt;LineærRegression_Valg[[#This Row],[Uafhængig variabel ID]]</f>
        <v>1</v>
      </c>
      <c r="E1621" s="188" t="b">
        <f>LineærRegression_Valg[[#This Row],[Afhængig variabel ID]]&lt;=$B$5</f>
        <v>0</v>
      </c>
      <c r="F1621" t="str" cm="1">
        <f t="array" ref="F1621">IF(LineærRegression_Valg[[#This Row],[Indenfor range]],INDEX(DataTitel_liste,LineærRegression_Valg[[#This Row],[Afhængig variabel ID]]),INDEX(DataTitel_liste,1))</f>
        <v>Eksempel 1 (interval)</v>
      </c>
      <c r="G1621" s="188" t="str" cm="1">
        <f t="array" ref="G1621">IF(LineærRegression_Valg[[#This Row],[Indenfor range]],IF(LineærRegression_Valg[[#This Row],[Intet overlap]],INDEX(DataTitel_liste,LineærRegression_Valg[[#This Row],[Uafhængig variabel ID]]),INDEX(DataTitel_liste,IF(LineærRegression_Valg[[#This Row],[Afhængig variabel ID]]=1,2,1))),$B$7)</f>
        <v>Eksempel 2 (interval)</v>
      </c>
      <c r="H1621" s="188">
        <f>_xlfn.AGGREGATE(2,5,LineærRegression_Valg[[#This Row],[Tabel ID]])</f>
        <v>1</v>
      </c>
    </row>
    <row r="1622" spans="1:8" x14ac:dyDescent="0.2">
      <c r="A1622">
        <f>ROW(LineærRegression_Valg[[#This Row],[Tabel ID]])-ROW(LineærRegression_Valg[[#Headers],[Tabel ID]])</f>
        <v>1612</v>
      </c>
      <c r="B1622" s="188">
        <f>ROUNDDOWN((LineærRegression_Valg[[#This Row],[Tabel ID]]-1)/$B$5,0)+1</f>
        <v>403</v>
      </c>
      <c r="C1622" s="188">
        <f t="shared" si="25"/>
        <v>4</v>
      </c>
      <c r="D1622" s="188" t="b">
        <f>LineærRegression_Valg[[#This Row],[Afhængig variabel ID]]&lt;&gt;LineærRegression_Valg[[#This Row],[Uafhængig variabel ID]]</f>
        <v>1</v>
      </c>
      <c r="E1622" s="188" t="b">
        <f>LineærRegression_Valg[[#This Row],[Afhængig variabel ID]]&lt;=$B$5</f>
        <v>0</v>
      </c>
      <c r="F1622" t="str" cm="1">
        <f t="array" ref="F1622">IF(LineærRegression_Valg[[#This Row],[Indenfor range]],INDEX(DataTitel_liste,LineærRegression_Valg[[#This Row],[Afhængig variabel ID]]),INDEX(DataTitel_liste,1))</f>
        <v>Eksempel 1 (interval)</v>
      </c>
      <c r="G1622" s="188" t="str" cm="1">
        <f t="array" ref="G1622">IF(LineærRegression_Valg[[#This Row],[Indenfor range]],IF(LineærRegression_Valg[[#This Row],[Intet overlap]],INDEX(DataTitel_liste,LineærRegression_Valg[[#This Row],[Uafhængig variabel ID]]),INDEX(DataTitel_liste,IF(LineærRegression_Valg[[#This Row],[Afhængig variabel ID]]=1,2,1))),$B$7)</f>
        <v>Eksempel 2 (interval)</v>
      </c>
      <c r="H1622" s="188">
        <f>_xlfn.AGGREGATE(2,5,LineærRegression_Valg[[#This Row],[Tabel ID]])</f>
        <v>1</v>
      </c>
    </row>
    <row r="1623" spans="1:8" x14ac:dyDescent="0.2">
      <c r="A1623">
        <f>ROW(LineærRegression_Valg[[#This Row],[Tabel ID]])-ROW(LineærRegression_Valg[[#Headers],[Tabel ID]])</f>
        <v>1613</v>
      </c>
      <c r="B1623" s="188">
        <f>ROUNDDOWN((LineærRegression_Valg[[#This Row],[Tabel ID]]-1)/$B$5,0)+1</f>
        <v>404</v>
      </c>
      <c r="C1623" s="188">
        <f t="shared" si="25"/>
        <v>1</v>
      </c>
      <c r="D1623" s="188" t="b">
        <f>LineærRegression_Valg[[#This Row],[Afhængig variabel ID]]&lt;&gt;LineærRegression_Valg[[#This Row],[Uafhængig variabel ID]]</f>
        <v>1</v>
      </c>
      <c r="E1623" s="188" t="b">
        <f>LineærRegression_Valg[[#This Row],[Afhængig variabel ID]]&lt;=$B$5</f>
        <v>0</v>
      </c>
      <c r="F1623" t="str" cm="1">
        <f t="array" ref="F1623">IF(LineærRegression_Valg[[#This Row],[Indenfor range]],INDEX(DataTitel_liste,LineærRegression_Valg[[#This Row],[Afhængig variabel ID]]),INDEX(DataTitel_liste,1))</f>
        <v>Eksempel 1 (interval)</v>
      </c>
      <c r="G1623" s="188" t="str" cm="1">
        <f t="array" ref="G1623">IF(LineærRegression_Valg[[#This Row],[Indenfor range]],IF(LineærRegression_Valg[[#This Row],[Intet overlap]],INDEX(DataTitel_liste,LineærRegression_Valg[[#This Row],[Uafhængig variabel ID]]),INDEX(DataTitel_liste,IF(LineærRegression_Valg[[#This Row],[Afhængig variabel ID]]=1,2,1))),$B$7)</f>
        <v>Eksempel 2 (interval)</v>
      </c>
      <c r="H1623" s="188">
        <f>_xlfn.AGGREGATE(2,5,LineærRegression_Valg[[#This Row],[Tabel ID]])</f>
        <v>1</v>
      </c>
    </row>
    <row r="1624" spans="1:8" x14ac:dyDescent="0.2">
      <c r="A1624">
        <f>ROW(LineærRegression_Valg[[#This Row],[Tabel ID]])-ROW(LineærRegression_Valg[[#Headers],[Tabel ID]])</f>
        <v>1614</v>
      </c>
      <c r="B1624" s="188">
        <f>ROUNDDOWN((LineærRegression_Valg[[#This Row],[Tabel ID]]-1)/$B$5,0)+1</f>
        <v>404</v>
      </c>
      <c r="C1624" s="188">
        <f t="shared" si="25"/>
        <v>2</v>
      </c>
      <c r="D1624" s="188" t="b">
        <f>LineærRegression_Valg[[#This Row],[Afhængig variabel ID]]&lt;&gt;LineærRegression_Valg[[#This Row],[Uafhængig variabel ID]]</f>
        <v>1</v>
      </c>
      <c r="E1624" s="188" t="b">
        <f>LineærRegression_Valg[[#This Row],[Afhængig variabel ID]]&lt;=$B$5</f>
        <v>0</v>
      </c>
      <c r="F1624" t="str" cm="1">
        <f t="array" ref="F1624">IF(LineærRegression_Valg[[#This Row],[Indenfor range]],INDEX(DataTitel_liste,LineærRegression_Valg[[#This Row],[Afhængig variabel ID]]),INDEX(DataTitel_liste,1))</f>
        <v>Eksempel 1 (interval)</v>
      </c>
      <c r="G1624" s="188" t="str" cm="1">
        <f t="array" ref="G1624">IF(LineærRegression_Valg[[#This Row],[Indenfor range]],IF(LineærRegression_Valg[[#This Row],[Intet overlap]],INDEX(DataTitel_liste,LineærRegression_Valg[[#This Row],[Uafhængig variabel ID]]),INDEX(DataTitel_liste,IF(LineærRegression_Valg[[#This Row],[Afhængig variabel ID]]=1,2,1))),$B$7)</f>
        <v>Eksempel 2 (interval)</v>
      </c>
      <c r="H1624" s="188">
        <f>_xlfn.AGGREGATE(2,5,LineærRegression_Valg[[#This Row],[Tabel ID]])</f>
        <v>1</v>
      </c>
    </row>
    <row r="1625" spans="1:8" x14ac:dyDescent="0.2">
      <c r="A1625">
        <f>ROW(LineærRegression_Valg[[#This Row],[Tabel ID]])-ROW(LineærRegression_Valg[[#Headers],[Tabel ID]])</f>
        <v>1615</v>
      </c>
      <c r="B1625" s="188">
        <f>ROUNDDOWN((LineærRegression_Valg[[#This Row],[Tabel ID]]-1)/$B$5,0)+1</f>
        <v>404</v>
      </c>
      <c r="C1625" s="188">
        <f t="shared" si="25"/>
        <v>3</v>
      </c>
      <c r="D1625" s="188" t="b">
        <f>LineærRegression_Valg[[#This Row],[Afhængig variabel ID]]&lt;&gt;LineærRegression_Valg[[#This Row],[Uafhængig variabel ID]]</f>
        <v>1</v>
      </c>
      <c r="E1625" s="188" t="b">
        <f>LineærRegression_Valg[[#This Row],[Afhængig variabel ID]]&lt;=$B$5</f>
        <v>0</v>
      </c>
      <c r="F1625" t="str" cm="1">
        <f t="array" ref="F1625">IF(LineærRegression_Valg[[#This Row],[Indenfor range]],INDEX(DataTitel_liste,LineærRegression_Valg[[#This Row],[Afhængig variabel ID]]),INDEX(DataTitel_liste,1))</f>
        <v>Eksempel 1 (interval)</v>
      </c>
      <c r="G1625" s="188" t="str" cm="1">
        <f t="array" ref="G1625">IF(LineærRegression_Valg[[#This Row],[Indenfor range]],IF(LineærRegression_Valg[[#This Row],[Intet overlap]],INDEX(DataTitel_liste,LineærRegression_Valg[[#This Row],[Uafhængig variabel ID]]),INDEX(DataTitel_liste,IF(LineærRegression_Valg[[#This Row],[Afhængig variabel ID]]=1,2,1))),$B$7)</f>
        <v>Eksempel 2 (interval)</v>
      </c>
      <c r="H1625" s="188">
        <f>_xlfn.AGGREGATE(2,5,LineærRegression_Valg[[#This Row],[Tabel ID]])</f>
        <v>1</v>
      </c>
    </row>
    <row r="1626" spans="1:8" x14ac:dyDescent="0.2">
      <c r="A1626">
        <f>ROW(LineærRegression_Valg[[#This Row],[Tabel ID]])-ROW(LineærRegression_Valg[[#Headers],[Tabel ID]])</f>
        <v>1616</v>
      </c>
      <c r="B1626" s="188">
        <f>ROUNDDOWN((LineærRegression_Valg[[#This Row],[Tabel ID]]-1)/$B$5,0)+1</f>
        <v>404</v>
      </c>
      <c r="C1626" s="188">
        <f t="shared" si="25"/>
        <v>4</v>
      </c>
      <c r="D1626" s="188" t="b">
        <f>LineærRegression_Valg[[#This Row],[Afhængig variabel ID]]&lt;&gt;LineærRegression_Valg[[#This Row],[Uafhængig variabel ID]]</f>
        <v>1</v>
      </c>
      <c r="E1626" s="188" t="b">
        <f>LineærRegression_Valg[[#This Row],[Afhængig variabel ID]]&lt;=$B$5</f>
        <v>0</v>
      </c>
      <c r="F1626" t="str" cm="1">
        <f t="array" ref="F1626">IF(LineærRegression_Valg[[#This Row],[Indenfor range]],INDEX(DataTitel_liste,LineærRegression_Valg[[#This Row],[Afhængig variabel ID]]),INDEX(DataTitel_liste,1))</f>
        <v>Eksempel 1 (interval)</v>
      </c>
      <c r="G1626" s="188" t="str" cm="1">
        <f t="array" ref="G1626">IF(LineærRegression_Valg[[#This Row],[Indenfor range]],IF(LineærRegression_Valg[[#This Row],[Intet overlap]],INDEX(DataTitel_liste,LineærRegression_Valg[[#This Row],[Uafhængig variabel ID]]),INDEX(DataTitel_liste,IF(LineærRegression_Valg[[#This Row],[Afhængig variabel ID]]=1,2,1))),$B$7)</f>
        <v>Eksempel 2 (interval)</v>
      </c>
      <c r="H1626" s="188">
        <f>_xlfn.AGGREGATE(2,5,LineærRegression_Valg[[#This Row],[Tabel ID]])</f>
        <v>1</v>
      </c>
    </row>
    <row r="1627" spans="1:8" x14ac:dyDescent="0.2">
      <c r="A1627">
        <f>ROW(LineærRegression_Valg[[#This Row],[Tabel ID]])-ROW(LineærRegression_Valg[[#Headers],[Tabel ID]])</f>
        <v>1617</v>
      </c>
      <c r="B1627" s="188">
        <f>ROUNDDOWN((LineærRegression_Valg[[#This Row],[Tabel ID]]-1)/$B$5,0)+1</f>
        <v>405</v>
      </c>
      <c r="C1627" s="188">
        <f t="shared" si="25"/>
        <v>1</v>
      </c>
      <c r="D1627" s="188" t="b">
        <f>LineærRegression_Valg[[#This Row],[Afhængig variabel ID]]&lt;&gt;LineærRegression_Valg[[#This Row],[Uafhængig variabel ID]]</f>
        <v>1</v>
      </c>
      <c r="E1627" s="188" t="b">
        <f>LineærRegression_Valg[[#This Row],[Afhængig variabel ID]]&lt;=$B$5</f>
        <v>0</v>
      </c>
      <c r="F1627" t="str" cm="1">
        <f t="array" ref="F1627">IF(LineærRegression_Valg[[#This Row],[Indenfor range]],INDEX(DataTitel_liste,LineærRegression_Valg[[#This Row],[Afhængig variabel ID]]),INDEX(DataTitel_liste,1))</f>
        <v>Eksempel 1 (interval)</v>
      </c>
      <c r="G1627" s="188" t="str" cm="1">
        <f t="array" ref="G1627">IF(LineærRegression_Valg[[#This Row],[Indenfor range]],IF(LineærRegression_Valg[[#This Row],[Intet overlap]],INDEX(DataTitel_liste,LineærRegression_Valg[[#This Row],[Uafhængig variabel ID]]),INDEX(DataTitel_liste,IF(LineærRegression_Valg[[#This Row],[Afhængig variabel ID]]=1,2,1))),$B$7)</f>
        <v>Eksempel 2 (interval)</v>
      </c>
      <c r="H1627" s="188">
        <f>_xlfn.AGGREGATE(2,5,LineærRegression_Valg[[#This Row],[Tabel ID]])</f>
        <v>1</v>
      </c>
    </row>
    <row r="1628" spans="1:8" x14ac:dyDescent="0.2">
      <c r="A1628">
        <f>ROW(LineærRegression_Valg[[#This Row],[Tabel ID]])-ROW(LineærRegression_Valg[[#Headers],[Tabel ID]])</f>
        <v>1618</v>
      </c>
      <c r="B1628" s="188">
        <f>ROUNDDOWN((LineærRegression_Valg[[#This Row],[Tabel ID]]-1)/$B$5,0)+1</f>
        <v>405</v>
      </c>
      <c r="C1628" s="188">
        <f t="shared" si="25"/>
        <v>2</v>
      </c>
      <c r="D1628" s="188" t="b">
        <f>LineærRegression_Valg[[#This Row],[Afhængig variabel ID]]&lt;&gt;LineærRegression_Valg[[#This Row],[Uafhængig variabel ID]]</f>
        <v>1</v>
      </c>
      <c r="E1628" s="188" t="b">
        <f>LineærRegression_Valg[[#This Row],[Afhængig variabel ID]]&lt;=$B$5</f>
        <v>0</v>
      </c>
      <c r="F1628" t="str" cm="1">
        <f t="array" ref="F1628">IF(LineærRegression_Valg[[#This Row],[Indenfor range]],INDEX(DataTitel_liste,LineærRegression_Valg[[#This Row],[Afhængig variabel ID]]),INDEX(DataTitel_liste,1))</f>
        <v>Eksempel 1 (interval)</v>
      </c>
      <c r="G1628" s="188" t="str" cm="1">
        <f t="array" ref="G1628">IF(LineærRegression_Valg[[#This Row],[Indenfor range]],IF(LineærRegression_Valg[[#This Row],[Intet overlap]],INDEX(DataTitel_liste,LineærRegression_Valg[[#This Row],[Uafhængig variabel ID]]),INDEX(DataTitel_liste,IF(LineærRegression_Valg[[#This Row],[Afhængig variabel ID]]=1,2,1))),$B$7)</f>
        <v>Eksempel 2 (interval)</v>
      </c>
      <c r="H1628" s="188">
        <f>_xlfn.AGGREGATE(2,5,LineærRegression_Valg[[#This Row],[Tabel ID]])</f>
        <v>1</v>
      </c>
    </row>
    <row r="1629" spans="1:8" x14ac:dyDescent="0.2">
      <c r="A1629">
        <f>ROW(LineærRegression_Valg[[#This Row],[Tabel ID]])-ROW(LineærRegression_Valg[[#Headers],[Tabel ID]])</f>
        <v>1619</v>
      </c>
      <c r="B1629" s="188">
        <f>ROUNDDOWN((LineærRegression_Valg[[#This Row],[Tabel ID]]-1)/$B$5,0)+1</f>
        <v>405</v>
      </c>
      <c r="C1629" s="188">
        <f t="shared" si="25"/>
        <v>3</v>
      </c>
      <c r="D1629" s="188" t="b">
        <f>LineærRegression_Valg[[#This Row],[Afhængig variabel ID]]&lt;&gt;LineærRegression_Valg[[#This Row],[Uafhængig variabel ID]]</f>
        <v>1</v>
      </c>
      <c r="E1629" s="188" t="b">
        <f>LineærRegression_Valg[[#This Row],[Afhængig variabel ID]]&lt;=$B$5</f>
        <v>0</v>
      </c>
      <c r="F1629" t="str" cm="1">
        <f t="array" ref="F1629">IF(LineærRegression_Valg[[#This Row],[Indenfor range]],INDEX(DataTitel_liste,LineærRegression_Valg[[#This Row],[Afhængig variabel ID]]),INDEX(DataTitel_liste,1))</f>
        <v>Eksempel 1 (interval)</v>
      </c>
      <c r="G1629" s="188" t="str" cm="1">
        <f t="array" ref="G1629">IF(LineærRegression_Valg[[#This Row],[Indenfor range]],IF(LineærRegression_Valg[[#This Row],[Intet overlap]],INDEX(DataTitel_liste,LineærRegression_Valg[[#This Row],[Uafhængig variabel ID]]),INDEX(DataTitel_liste,IF(LineærRegression_Valg[[#This Row],[Afhængig variabel ID]]=1,2,1))),$B$7)</f>
        <v>Eksempel 2 (interval)</v>
      </c>
      <c r="H1629" s="188">
        <f>_xlfn.AGGREGATE(2,5,LineærRegression_Valg[[#This Row],[Tabel ID]])</f>
        <v>1</v>
      </c>
    </row>
    <row r="1630" spans="1:8" x14ac:dyDescent="0.2">
      <c r="A1630">
        <f>ROW(LineærRegression_Valg[[#This Row],[Tabel ID]])-ROW(LineærRegression_Valg[[#Headers],[Tabel ID]])</f>
        <v>1620</v>
      </c>
      <c r="B1630" s="188">
        <f>ROUNDDOWN((LineærRegression_Valg[[#This Row],[Tabel ID]]-1)/$B$5,0)+1</f>
        <v>405</v>
      </c>
      <c r="C1630" s="188">
        <f t="shared" si="25"/>
        <v>4</v>
      </c>
      <c r="D1630" s="188" t="b">
        <f>LineærRegression_Valg[[#This Row],[Afhængig variabel ID]]&lt;&gt;LineærRegression_Valg[[#This Row],[Uafhængig variabel ID]]</f>
        <v>1</v>
      </c>
      <c r="E1630" s="188" t="b">
        <f>LineærRegression_Valg[[#This Row],[Afhængig variabel ID]]&lt;=$B$5</f>
        <v>0</v>
      </c>
      <c r="F1630" t="str" cm="1">
        <f t="array" ref="F1630">IF(LineærRegression_Valg[[#This Row],[Indenfor range]],INDEX(DataTitel_liste,LineærRegression_Valg[[#This Row],[Afhængig variabel ID]]),INDEX(DataTitel_liste,1))</f>
        <v>Eksempel 1 (interval)</v>
      </c>
      <c r="G1630" s="188" t="str" cm="1">
        <f t="array" ref="G1630">IF(LineærRegression_Valg[[#This Row],[Indenfor range]],IF(LineærRegression_Valg[[#This Row],[Intet overlap]],INDEX(DataTitel_liste,LineærRegression_Valg[[#This Row],[Uafhængig variabel ID]]),INDEX(DataTitel_liste,IF(LineærRegression_Valg[[#This Row],[Afhængig variabel ID]]=1,2,1))),$B$7)</f>
        <v>Eksempel 2 (interval)</v>
      </c>
      <c r="H1630" s="188">
        <f>_xlfn.AGGREGATE(2,5,LineærRegression_Valg[[#This Row],[Tabel ID]])</f>
        <v>1</v>
      </c>
    </row>
    <row r="1631" spans="1:8" x14ac:dyDescent="0.2">
      <c r="A1631">
        <f>ROW(LineærRegression_Valg[[#This Row],[Tabel ID]])-ROW(LineærRegression_Valg[[#Headers],[Tabel ID]])</f>
        <v>1621</v>
      </c>
      <c r="B1631" s="188">
        <f>ROUNDDOWN((LineærRegression_Valg[[#This Row],[Tabel ID]]-1)/$B$5,0)+1</f>
        <v>406</v>
      </c>
      <c r="C1631" s="188">
        <f t="shared" si="25"/>
        <v>1</v>
      </c>
      <c r="D1631" s="188" t="b">
        <f>LineærRegression_Valg[[#This Row],[Afhængig variabel ID]]&lt;&gt;LineærRegression_Valg[[#This Row],[Uafhængig variabel ID]]</f>
        <v>1</v>
      </c>
      <c r="E1631" s="188" t="b">
        <f>LineærRegression_Valg[[#This Row],[Afhængig variabel ID]]&lt;=$B$5</f>
        <v>0</v>
      </c>
      <c r="F1631" t="str" cm="1">
        <f t="array" ref="F1631">IF(LineærRegression_Valg[[#This Row],[Indenfor range]],INDEX(DataTitel_liste,LineærRegression_Valg[[#This Row],[Afhængig variabel ID]]),INDEX(DataTitel_liste,1))</f>
        <v>Eksempel 1 (interval)</v>
      </c>
      <c r="G1631" s="188" t="str" cm="1">
        <f t="array" ref="G1631">IF(LineærRegression_Valg[[#This Row],[Indenfor range]],IF(LineærRegression_Valg[[#This Row],[Intet overlap]],INDEX(DataTitel_liste,LineærRegression_Valg[[#This Row],[Uafhængig variabel ID]]),INDEX(DataTitel_liste,IF(LineærRegression_Valg[[#This Row],[Afhængig variabel ID]]=1,2,1))),$B$7)</f>
        <v>Eksempel 2 (interval)</v>
      </c>
      <c r="H1631" s="188">
        <f>_xlfn.AGGREGATE(2,5,LineærRegression_Valg[[#This Row],[Tabel ID]])</f>
        <v>1</v>
      </c>
    </row>
    <row r="1632" spans="1:8" x14ac:dyDescent="0.2">
      <c r="A1632">
        <f>ROW(LineærRegression_Valg[[#This Row],[Tabel ID]])-ROW(LineærRegression_Valg[[#Headers],[Tabel ID]])</f>
        <v>1622</v>
      </c>
      <c r="B1632" s="188">
        <f>ROUNDDOWN((LineærRegression_Valg[[#This Row],[Tabel ID]]-1)/$B$5,0)+1</f>
        <v>406</v>
      </c>
      <c r="C1632" s="188">
        <f t="shared" si="25"/>
        <v>2</v>
      </c>
      <c r="D1632" s="188" t="b">
        <f>LineærRegression_Valg[[#This Row],[Afhængig variabel ID]]&lt;&gt;LineærRegression_Valg[[#This Row],[Uafhængig variabel ID]]</f>
        <v>1</v>
      </c>
      <c r="E1632" s="188" t="b">
        <f>LineærRegression_Valg[[#This Row],[Afhængig variabel ID]]&lt;=$B$5</f>
        <v>0</v>
      </c>
      <c r="F1632" t="str" cm="1">
        <f t="array" ref="F1632">IF(LineærRegression_Valg[[#This Row],[Indenfor range]],INDEX(DataTitel_liste,LineærRegression_Valg[[#This Row],[Afhængig variabel ID]]),INDEX(DataTitel_liste,1))</f>
        <v>Eksempel 1 (interval)</v>
      </c>
      <c r="G1632" s="188" t="str" cm="1">
        <f t="array" ref="G1632">IF(LineærRegression_Valg[[#This Row],[Indenfor range]],IF(LineærRegression_Valg[[#This Row],[Intet overlap]],INDEX(DataTitel_liste,LineærRegression_Valg[[#This Row],[Uafhængig variabel ID]]),INDEX(DataTitel_liste,IF(LineærRegression_Valg[[#This Row],[Afhængig variabel ID]]=1,2,1))),$B$7)</f>
        <v>Eksempel 2 (interval)</v>
      </c>
      <c r="H1632" s="188">
        <f>_xlfn.AGGREGATE(2,5,LineærRegression_Valg[[#This Row],[Tabel ID]])</f>
        <v>1</v>
      </c>
    </row>
    <row r="1633" spans="1:8" x14ac:dyDescent="0.2">
      <c r="A1633">
        <f>ROW(LineærRegression_Valg[[#This Row],[Tabel ID]])-ROW(LineærRegression_Valg[[#Headers],[Tabel ID]])</f>
        <v>1623</v>
      </c>
      <c r="B1633" s="188">
        <f>ROUNDDOWN((LineærRegression_Valg[[#This Row],[Tabel ID]]-1)/$B$5,0)+1</f>
        <v>406</v>
      </c>
      <c r="C1633" s="188">
        <f t="shared" si="25"/>
        <v>3</v>
      </c>
      <c r="D1633" s="188" t="b">
        <f>LineærRegression_Valg[[#This Row],[Afhængig variabel ID]]&lt;&gt;LineærRegression_Valg[[#This Row],[Uafhængig variabel ID]]</f>
        <v>1</v>
      </c>
      <c r="E1633" s="188" t="b">
        <f>LineærRegression_Valg[[#This Row],[Afhængig variabel ID]]&lt;=$B$5</f>
        <v>0</v>
      </c>
      <c r="F1633" t="str" cm="1">
        <f t="array" ref="F1633">IF(LineærRegression_Valg[[#This Row],[Indenfor range]],INDEX(DataTitel_liste,LineærRegression_Valg[[#This Row],[Afhængig variabel ID]]),INDEX(DataTitel_liste,1))</f>
        <v>Eksempel 1 (interval)</v>
      </c>
      <c r="G1633" s="188" t="str" cm="1">
        <f t="array" ref="G1633">IF(LineærRegression_Valg[[#This Row],[Indenfor range]],IF(LineærRegression_Valg[[#This Row],[Intet overlap]],INDEX(DataTitel_liste,LineærRegression_Valg[[#This Row],[Uafhængig variabel ID]]),INDEX(DataTitel_liste,IF(LineærRegression_Valg[[#This Row],[Afhængig variabel ID]]=1,2,1))),$B$7)</f>
        <v>Eksempel 2 (interval)</v>
      </c>
      <c r="H1633" s="188">
        <f>_xlfn.AGGREGATE(2,5,LineærRegression_Valg[[#This Row],[Tabel ID]])</f>
        <v>1</v>
      </c>
    </row>
    <row r="1634" spans="1:8" x14ac:dyDescent="0.2">
      <c r="A1634">
        <f>ROW(LineærRegression_Valg[[#This Row],[Tabel ID]])-ROW(LineærRegression_Valg[[#Headers],[Tabel ID]])</f>
        <v>1624</v>
      </c>
      <c r="B1634" s="188">
        <f>ROUNDDOWN((LineærRegression_Valg[[#This Row],[Tabel ID]]-1)/$B$5,0)+1</f>
        <v>406</v>
      </c>
      <c r="C1634" s="188">
        <f t="shared" si="25"/>
        <v>4</v>
      </c>
      <c r="D1634" s="188" t="b">
        <f>LineærRegression_Valg[[#This Row],[Afhængig variabel ID]]&lt;&gt;LineærRegression_Valg[[#This Row],[Uafhængig variabel ID]]</f>
        <v>1</v>
      </c>
      <c r="E1634" s="188" t="b">
        <f>LineærRegression_Valg[[#This Row],[Afhængig variabel ID]]&lt;=$B$5</f>
        <v>0</v>
      </c>
      <c r="F1634" t="str" cm="1">
        <f t="array" ref="F1634">IF(LineærRegression_Valg[[#This Row],[Indenfor range]],INDEX(DataTitel_liste,LineærRegression_Valg[[#This Row],[Afhængig variabel ID]]),INDEX(DataTitel_liste,1))</f>
        <v>Eksempel 1 (interval)</v>
      </c>
      <c r="G1634" s="188" t="str" cm="1">
        <f t="array" ref="G1634">IF(LineærRegression_Valg[[#This Row],[Indenfor range]],IF(LineærRegression_Valg[[#This Row],[Intet overlap]],INDEX(DataTitel_liste,LineærRegression_Valg[[#This Row],[Uafhængig variabel ID]]),INDEX(DataTitel_liste,IF(LineærRegression_Valg[[#This Row],[Afhængig variabel ID]]=1,2,1))),$B$7)</f>
        <v>Eksempel 2 (interval)</v>
      </c>
      <c r="H1634" s="188">
        <f>_xlfn.AGGREGATE(2,5,LineærRegression_Valg[[#This Row],[Tabel ID]])</f>
        <v>1</v>
      </c>
    </row>
    <row r="1635" spans="1:8" x14ac:dyDescent="0.2">
      <c r="A1635">
        <f>ROW(LineærRegression_Valg[[#This Row],[Tabel ID]])-ROW(LineærRegression_Valg[[#Headers],[Tabel ID]])</f>
        <v>1625</v>
      </c>
      <c r="B1635" s="188">
        <f>ROUNDDOWN((LineærRegression_Valg[[#This Row],[Tabel ID]]-1)/$B$5,0)+1</f>
        <v>407</v>
      </c>
      <c r="C1635" s="188">
        <f t="shared" si="25"/>
        <v>1</v>
      </c>
      <c r="D1635" s="188" t="b">
        <f>LineærRegression_Valg[[#This Row],[Afhængig variabel ID]]&lt;&gt;LineærRegression_Valg[[#This Row],[Uafhængig variabel ID]]</f>
        <v>1</v>
      </c>
      <c r="E1635" s="188" t="b">
        <f>LineærRegression_Valg[[#This Row],[Afhængig variabel ID]]&lt;=$B$5</f>
        <v>0</v>
      </c>
      <c r="F1635" t="str" cm="1">
        <f t="array" ref="F1635">IF(LineærRegression_Valg[[#This Row],[Indenfor range]],INDEX(DataTitel_liste,LineærRegression_Valg[[#This Row],[Afhængig variabel ID]]),INDEX(DataTitel_liste,1))</f>
        <v>Eksempel 1 (interval)</v>
      </c>
      <c r="G1635" s="188" t="str" cm="1">
        <f t="array" ref="G1635">IF(LineærRegression_Valg[[#This Row],[Indenfor range]],IF(LineærRegression_Valg[[#This Row],[Intet overlap]],INDEX(DataTitel_liste,LineærRegression_Valg[[#This Row],[Uafhængig variabel ID]]),INDEX(DataTitel_liste,IF(LineærRegression_Valg[[#This Row],[Afhængig variabel ID]]=1,2,1))),$B$7)</f>
        <v>Eksempel 2 (interval)</v>
      </c>
      <c r="H1635" s="188">
        <f>_xlfn.AGGREGATE(2,5,LineærRegression_Valg[[#This Row],[Tabel ID]])</f>
        <v>1</v>
      </c>
    </row>
    <row r="1636" spans="1:8" x14ac:dyDescent="0.2">
      <c r="A1636">
        <f>ROW(LineærRegression_Valg[[#This Row],[Tabel ID]])-ROW(LineærRegression_Valg[[#Headers],[Tabel ID]])</f>
        <v>1626</v>
      </c>
      <c r="B1636" s="188">
        <f>ROUNDDOWN((LineærRegression_Valg[[#This Row],[Tabel ID]]-1)/$B$5,0)+1</f>
        <v>407</v>
      </c>
      <c r="C1636" s="188">
        <f t="shared" si="25"/>
        <v>2</v>
      </c>
      <c r="D1636" s="188" t="b">
        <f>LineærRegression_Valg[[#This Row],[Afhængig variabel ID]]&lt;&gt;LineærRegression_Valg[[#This Row],[Uafhængig variabel ID]]</f>
        <v>1</v>
      </c>
      <c r="E1636" s="188" t="b">
        <f>LineærRegression_Valg[[#This Row],[Afhængig variabel ID]]&lt;=$B$5</f>
        <v>0</v>
      </c>
      <c r="F1636" t="str" cm="1">
        <f t="array" ref="F1636">IF(LineærRegression_Valg[[#This Row],[Indenfor range]],INDEX(DataTitel_liste,LineærRegression_Valg[[#This Row],[Afhængig variabel ID]]),INDEX(DataTitel_liste,1))</f>
        <v>Eksempel 1 (interval)</v>
      </c>
      <c r="G1636" s="188" t="str" cm="1">
        <f t="array" ref="G1636">IF(LineærRegression_Valg[[#This Row],[Indenfor range]],IF(LineærRegression_Valg[[#This Row],[Intet overlap]],INDEX(DataTitel_liste,LineærRegression_Valg[[#This Row],[Uafhængig variabel ID]]),INDEX(DataTitel_liste,IF(LineærRegression_Valg[[#This Row],[Afhængig variabel ID]]=1,2,1))),$B$7)</f>
        <v>Eksempel 2 (interval)</v>
      </c>
      <c r="H1636" s="188">
        <f>_xlfn.AGGREGATE(2,5,LineærRegression_Valg[[#This Row],[Tabel ID]])</f>
        <v>1</v>
      </c>
    </row>
    <row r="1637" spans="1:8" x14ac:dyDescent="0.2">
      <c r="A1637">
        <f>ROW(LineærRegression_Valg[[#This Row],[Tabel ID]])-ROW(LineærRegression_Valg[[#Headers],[Tabel ID]])</f>
        <v>1627</v>
      </c>
      <c r="B1637" s="188">
        <f>ROUNDDOWN((LineærRegression_Valg[[#This Row],[Tabel ID]]-1)/$B$5,0)+1</f>
        <v>407</v>
      </c>
      <c r="C1637" s="188">
        <f t="shared" si="25"/>
        <v>3</v>
      </c>
      <c r="D1637" s="188" t="b">
        <f>LineærRegression_Valg[[#This Row],[Afhængig variabel ID]]&lt;&gt;LineærRegression_Valg[[#This Row],[Uafhængig variabel ID]]</f>
        <v>1</v>
      </c>
      <c r="E1637" s="188" t="b">
        <f>LineærRegression_Valg[[#This Row],[Afhængig variabel ID]]&lt;=$B$5</f>
        <v>0</v>
      </c>
      <c r="F1637" t="str" cm="1">
        <f t="array" ref="F1637">IF(LineærRegression_Valg[[#This Row],[Indenfor range]],INDEX(DataTitel_liste,LineærRegression_Valg[[#This Row],[Afhængig variabel ID]]),INDEX(DataTitel_liste,1))</f>
        <v>Eksempel 1 (interval)</v>
      </c>
      <c r="G1637" s="188" t="str" cm="1">
        <f t="array" ref="G1637">IF(LineærRegression_Valg[[#This Row],[Indenfor range]],IF(LineærRegression_Valg[[#This Row],[Intet overlap]],INDEX(DataTitel_liste,LineærRegression_Valg[[#This Row],[Uafhængig variabel ID]]),INDEX(DataTitel_liste,IF(LineærRegression_Valg[[#This Row],[Afhængig variabel ID]]=1,2,1))),$B$7)</f>
        <v>Eksempel 2 (interval)</v>
      </c>
      <c r="H1637" s="188">
        <f>_xlfn.AGGREGATE(2,5,LineærRegression_Valg[[#This Row],[Tabel ID]])</f>
        <v>1</v>
      </c>
    </row>
    <row r="1638" spans="1:8" x14ac:dyDescent="0.2">
      <c r="A1638">
        <f>ROW(LineærRegression_Valg[[#This Row],[Tabel ID]])-ROW(LineærRegression_Valg[[#Headers],[Tabel ID]])</f>
        <v>1628</v>
      </c>
      <c r="B1638" s="188">
        <f>ROUNDDOWN((LineærRegression_Valg[[#This Row],[Tabel ID]]-1)/$B$5,0)+1</f>
        <v>407</v>
      </c>
      <c r="C1638" s="188">
        <f t="shared" si="25"/>
        <v>4</v>
      </c>
      <c r="D1638" s="188" t="b">
        <f>LineærRegression_Valg[[#This Row],[Afhængig variabel ID]]&lt;&gt;LineærRegression_Valg[[#This Row],[Uafhængig variabel ID]]</f>
        <v>1</v>
      </c>
      <c r="E1638" s="188" t="b">
        <f>LineærRegression_Valg[[#This Row],[Afhængig variabel ID]]&lt;=$B$5</f>
        <v>0</v>
      </c>
      <c r="F1638" t="str" cm="1">
        <f t="array" ref="F1638">IF(LineærRegression_Valg[[#This Row],[Indenfor range]],INDEX(DataTitel_liste,LineærRegression_Valg[[#This Row],[Afhængig variabel ID]]),INDEX(DataTitel_liste,1))</f>
        <v>Eksempel 1 (interval)</v>
      </c>
      <c r="G1638" s="188" t="str" cm="1">
        <f t="array" ref="G1638">IF(LineærRegression_Valg[[#This Row],[Indenfor range]],IF(LineærRegression_Valg[[#This Row],[Intet overlap]],INDEX(DataTitel_liste,LineærRegression_Valg[[#This Row],[Uafhængig variabel ID]]),INDEX(DataTitel_liste,IF(LineærRegression_Valg[[#This Row],[Afhængig variabel ID]]=1,2,1))),$B$7)</f>
        <v>Eksempel 2 (interval)</v>
      </c>
      <c r="H1638" s="188">
        <f>_xlfn.AGGREGATE(2,5,LineærRegression_Valg[[#This Row],[Tabel ID]])</f>
        <v>1</v>
      </c>
    </row>
    <row r="1639" spans="1:8" x14ac:dyDescent="0.2">
      <c r="A1639">
        <f>ROW(LineærRegression_Valg[[#This Row],[Tabel ID]])-ROW(LineærRegression_Valg[[#Headers],[Tabel ID]])</f>
        <v>1629</v>
      </c>
      <c r="B1639" s="188">
        <f>ROUNDDOWN((LineærRegression_Valg[[#This Row],[Tabel ID]]-1)/$B$5,0)+1</f>
        <v>408</v>
      </c>
      <c r="C1639" s="188">
        <f t="shared" si="25"/>
        <v>1</v>
      </c>
      <c r="D1639" s="188" t="b">
        <f>LineærRegression_Valg[[#This Row],[Afhængig variabel ID]]&lt;&gt;LineærRegression_Valg[[#This Row],[Uafhængig variabel ID]]</f>
        <v>1</v>
      </c>
      <c r="E1639" s="188" t="b">
        <f>LineærRegression_Valg[[#This Row],[Afhængig variabel ID]]&lt;=$B$5</f>
        <v>0</v>
      </c>
      <c r="F1639" t="str" cm="1">
        <f t="array" ref="F1639">IF(LineærRegression_Valg[[#This Row],[Indenfor range]],INDEX(DataTitel_liste,LineærRegression_Valg[[#This Row],[Afhængig variabel ID]]),INDEX(DataTitel_liste,1))</f>
        <v>Eksempel 1 (interval)</v>
      </c>
      <c r="G1639" s="188" t="str" cm="1">
        <f t="array" ref="G1639">IF(LineærRegression_Valg[[#This Row],[Indenfor range]],IF(LineærRegression_Valg[[#This Row],[Intet overlap]],INDEX(DataTitel_liste,LineærRegression_Valg[[#This Row],[Uafhængig variabel ID]]),INDEX(DataTitel_liste,IF(LineærRegression_Valg[[#This Row],[Afhængig variabel ID]]=1,2,1))),$B$7)</f>
        <v>Eksempel 2 (interval)</v>
      </c>
      <c r="H1639" s="188">
        <f>_xlfn.AGGREGATE(2,5,LineærRegression_Valg[[#This Row],[Tabel ID]])</f>
        <v>1</v>
      </c>
    </row>
    <row r="1640" spans="1:8" x14ac:dyDescent="0.2">
      <c r="A1640">
        <f>ROW(LineærRegression_Valg[[#This Row],[Tabel ID]])-ROW(LineærRegression_Valg[[#Headers],[Tabel ID]])</f>
        <v>1630</v>
      </c>
      <c r="B1640" s="188">
        <f>ROUNDDOWN((LineærRegression_Valg[[#This Row],[Tabel ID]]-1)/$B$5,0)+1</f>
        <v>408</v>
      </c>
      <c r="C1640" s="188">
        <f t="shared" si="25"/>
        <v>2</v>
      </c>
      <c r="D1640" s="188" t="b">
        <f>LineærRegression_Valg[[#This Row],[Afhængig variabel ID]]&lt;&gt;LineærRegression_Valg[[#This Row],[Uafhængig variabel ID]]</f>
        <v>1</v>
      </c>
      <c r="E1640" s="188" t="b">
        <f>LineærRegression_Valg[[#This Row],[Afhængig variabel ID]]&lt;=$B$5</f>
        <v>0</v>
      </c>
      <c r="F1640" t="str" cm="1">
        <f t="array" ref="F1640">IF(LineærRegression_Valg[[#This Row],[Indenfor range]],INDEX(DataTitel_liste,LineærRegression_Valg[[#This Row],[Afhængig variabel ID]]),INDEX(DataTitel_liste,1))</f>
        <v>Eksempel 1 (interval)</v>
      </c>
      <c r="G1640" s="188" t="str" cm="1">
        <f t="array" ref="G1640">IF(LineærRegression_Valg[[#This Row],[Indenfor range]],IF(LineærRegression_Valg[[#This Row],[Intet overlap]],INDEX(DataTitel_liste,LineærRegression_Valg[[#This Row],[Uafhængig variabel ID]]),INDEX(DataTitel_liste,IF(LineærRegression_Valg[[#This Row],[Afhængig variabel ID]]=1,2,1))),$B$7)</f>
        <v>Eksempel 2 (interval)</v>
      </c>
      <c r="H1640" s="188">
        <f>_xlfn.AGGREGATE(2,5,LineærRegression_Valg[[#This Row],[Tabel ID]])</f>
        <v>1</v>
      </c>
    </row>
    <row r="1641" spans="1:8" x14ac:dyDescent="0.2">
      <c r="A1641">
        <f>ROW(LineærRegression_Valg[[#This Row],[Tabel ID]])-ROW(LineærRegression_Valg[[#Headers],[Tabel ID]])</f>
        <v>1631</v>
      </c>
      <c r="B1641" s="188">
        <f>ROUNDDOWN((LineærRegression_Valg[[#This Row],[Tabel ID]]-1)/$B$5,0)+1</f>
        <v>408</v>
      </c>
      <c r="C1641" s="188">
        <f t="shared" si="25"/>
        <v>3</v>
      </c>
      <c r="D1641" s="188" t="b">
        <f>LineærRegression_Valg[[#This Row],[Afhængig variabel ID]]&lt;&gt;LineærRegression_Valg[[#This Row],[Uafhængig variabel ID]]</f>
        <v>1</v>
      </c>
      <c r="E1641" s="188" t="b">
        <f>LineærRegression_Valg[[#This Row],[Afhængig variabel ID]]&lt;=$B$5</f>
        <v>0</v>
      </c>
      <c r="F1641" t="str" cm="1">
        <f t="array" ref="F1641">IF(LineærRegression_Valg[[#This Row],[Indenfor range]],INDEX(DataTitel_liste,LineærRegression_Valg[[#This Row],[Afhængig variabel ID]]),INDEX(DataTitel_liste,1))</f>
        <v>Eksempel 1 (interval)</v>
      </c>
      <c r="G1641" s="188" t="str" cm="1">
        <f t="array" ref="G1641">IF(LineærRegression_Valg[[#This Row],[Indenfor range]],IF(LineærRegression_Valg[[#This Row],[Intet overlap]],INDEX(DataTitel_liste,LineærRegression_Valg[[#This Row],[Uafhængig variabel ID]]),INDEX(DataTitel_liste,IF(LineærRegression_Valg[[#This Row],[Afhængig variabel ID]]=1,2,1))),$B$7)</f>
        <v>Eksempel 2 (interval)</v>
      </c>
      <c r="H1641" s="188">
        <f>_xlfn.AGGREGATE(2,5,LineærRegression_Valg[[#This Row],[Tabel ID]])</f>
        <v>1</v>
      </c>
    </row>
    <row r="1642" spans="1:8" x14ac:dyDescent="0.2">
      <c r="A1642">
        <f>ROW(LineærRegression_Valg[[#This Row],[Tabel ID]])-ROW(LineærRegression_Valg[[#Headers],[Tabel ID]])</f>
        <v>1632</v>
      </c>
      <c r="B1642" s="188">
        <f>ROUNDDOWN((LineærRegression_Valg[[#This Row],[Tabel ID]]-1)/$B$5,0)+1</f>
        <v>408</v>
      </c>
      <c r="C1642" s="188">
        <f t="shared" si="25"/>
        <v>4</v>
      </c>
      <c r="D1642" s="188" t="b">
        <f>LineærRegression_Valg[[#This Row],[Afhængig variabel ID]]&lt;&gt;LineærRegression_Valg[[#This Row],[Uafhængig variabel ID]]</f>
        <v>1</v>
      </c>
      <c r="E1642" s="188" t="b">
        <f>LineærRegression_Valg[[#This Row],[Afhængig variabel ID]]&lt;=$B$5</f>
        <v>0</v>
      </c>
      <c r="F1642" t="str" cm="1">
        <f t="array" ref="F1642">IF(LineærRegression_Valg[[#This Row],[Indenfor range]],INDEX(DataTitel_liste,LineærRegression_Valg[[#This Row],[Afhængig variabel ID]]),INDEX(DataTitel_liste,1))</f>
        <v>Eksempel 1 (interval)</v>
      </c>
      <c r="G1642" s="188" t="str" cm="1">
        <f t="array" ref="G1642">IF(LineærRegression_Valg[[#This Row],[Indenfor range]],IF(LineærRegression_Valg[[#This Row],[Intet overlap]],INDEX(DataTitel_liste,LineærRegression_Valg[[#This Row],[Uafhængig variabel ID]]),INDEX(DataTitel_liste,IF(LineærRegression_Valg[[#This Row],[Afhængig variabel ID]]=1,2,1))),$B$7)</f>
        <v>Eksempel 2 (interval)</v>
      </c>
      <c r="H1642" s="188">
        <f>_xlfn.AGGREGATE(2,5,LineærRegression_Valg[[#This Row],[Tabel ID]])</f>
        <v>1</v>
      </c>
    </row>
    <row r="1643" spans="1:8" x14ac:dyDescent="0.2">
      <c r="A1643">
        <f>ROW(LineærRegression_Valg[[#This Row],[Tabel ID]])-ROW(LineærRegression_Valg[[#Headers],[Tabel ID]])</f>
        <v>1633</v>
      </c>
      <c r="B1643" s="188">
        <f>ROUNDDOWN((LineærRegression_Valg[[#This Row],[Tabel ID]]-1)/$B$5,0)+1</f>
        <v>409</v>
      </c>
      <c r="C1643" s="188">
        <f t="shared" si="25"/>
        <v>1</v>
      </c>
      <c r="D1643" s="188" t="b">
        <f>LineærRegression_Valg[[#This Row],[Afhængig variabel ID]]&lt;&gt;LineærRegression_Valg[[#This Row],[Uafhængig variabel ID]]</f>
        <v>1</v>
      </c>
      <c r="E1643" s="188" t="b">
        <f>LineærRegression_Valg[[#This Row],[Afhængig variabel ID]]&lt;=$B$5</f>
        <v>0</v>
      </c>
      <c r="F1643" t="str" cm="1">
        <f t="array" ref="F1643">IF(LineærRegression_Valg[[#This Row],[Indenfor range]],INDEX(DataTitel_liste,LineærRegression_Valg[[#This Row],[Afhængig variabel ID]]),INDEX(DataTitel_liste,1))</f>
        <v>Eksempel 1 (interval)</v>
      </c>
      <c r="G1643" s="188" t="str" cm="1">
        <f t="array" ref="G1643">IF(LineærRegression_Valg[[#This Row],[Indenfor range]],IF(LineærRegression_Valg[[#This Row],[Intet overlap]],INDEX(DataTitel_liste,LineærRegression_Valg[[#This Row],[Uafhængig variabel ID]]),INDEX(DataTitel_liste,IF(LineærRegression_Valg[[#This Row],[Afhængig variabel ID]]=1,2,1))),$B$7)</f>
        <v>Eksempel 2 (interval)</v>
      </c>
      <c r="H1643" s="188">
        <f>_xlfn.AGGREGATE(2,5,LineærRegression_Valg[[#This Row],[Tabel ID]])</f>
        <v>1</v>
      </c>
    </row>
    <row r="1644" spans="1:8" x14ac:dyDescent="0.2">
      <c r="A1644">
        <f>ROW(LineærRegression_Valg[[#This Row],[Tabel ID]])-ROW(LineærRegression_Valg[[#Headers],[Tabel ID]])</f>
        <v>1634</v>
      </c>
      <c r="B1644" s="188">
        <f>ROUNDDOWN((LineærRegression_Valg[[#This Row],[Tabel ID]]-1)/$B$5,0)+1</f>
        <v>409</v>
      </c>
      <c r="C1644" s="188">
        <f t="shared" si="25"/>
        <v>2</v>
      </c>
      <c r="D1644" s="188" t="b">
        <f>LineærRegression_Valg[[#This Row],[Afhængig variabel ID]]&lt;&gt;LineærRegression_Valg[[#This Row],[Uafhængig variabel ID]]</f>
        <v>1</v>
      </c>
      <c r="E1644" s="188" t="b">
        <f>LineærRegression_Valg[[#This Row],[Afhængig variabel ID]]&lt;=$B$5</f>
        <v>0</v>
      </c>
      <c r="F1644" t="str" cm="1">
        <f t="array" ref="F1644">IF(LineærRegression_Valg[[#This Row],[Indenfor range]],INDEX(DataTitel_liste,LineærRegression_Valg[[#This Row],[Afhængig variabel ID]]),INDEX(DataTitel_liste,1))</f>
        <v>Eksempel 1 (interval)</v>
      </c>
      <c r="G1644" s="188" t="str" cm="1">
        <f t="array" ref="G1644">IF(LineærRegression_Valg[[#This Row],[Indenfor range]],IF(LineærRegression_Valg[[#This Row],[Intet overlap]],INDEX(DataTitel_liste,LineærRegression_Valg[[#This Row],[Uafhængig variabel ID]]),INDEX(DataTitel_liste,IF(LineærRegression_Valg[[#This Row],[Afhængig variabel ID]]=1,2,1))),$B$7)</f>
        <v>Eksempel 2 (interval)</v>
      </c>
      <c r="H1644" s="188">
        <f>_xlfn.AGGREGATE(2,5,LineærRegression_Valg[[#This Row],[Tabel ID]])</f>
        <v>1</v>
      </c>
    </row>
    <row r="1645" spans="1:8" x14ac:dyDescent="0.2">
      <c r="A1645">
        <f>ROW(LineærRegression_Valg[[#This Row],[Tabel ID]])-ROW(LineærRegression_Valg[[#Headers],[Tabel ID]])</f>
        <v>1635</v>
      </c>
      <c r="B1645" s="188">
        <f>ROUNDDOWN((LineærRegression_Valg[[#This Row],[Tabel ID]]-1)/$B$5,0)+1</f>
        <v>409</v>
      </c>
      <c r="C1645" s="188">
        <f t="shared" si="25"/>
        <v>3</v>
      </c>
      <c r="D1645" s="188" t="b">
        <f>LineærRegression_Valg[[#This Row],[Afhængig variabel ID]]&lt;&gt;LineærRegression_Valg[[#This Row],[Uafhængig variabel ID]]</f>
        <v>1</v>
      </c>
      <c r="E1645" s="188" t="b">
        <f>LineærRegression_Valg[[#This Row],[Afhængig variabel ID]]&lt;=$B$5</f>
        <v>0</v>
      </c>
      <c r="F1645" t="str" cm="1">
        <f t="array" ref="F1645">IF(LineærRegression_Valg[[#This Row],[Indenfor range]],INDEX(DataTitel_liste,LineærRegression_Valg[[#This Row],[Afhængig variabel ID]]),INDEX(DataTitel_liste,1))</f>
        <v>Eksempel 1 (interval)</v>
      </c>
      <c r="G1645" s="188" t="str" cm="1">
        <f t="array" ref="G1645">IF(LineærRegression_Valg[[#This Row],[Indenfor range]],IF(LineærRegression_Valg[[#This Row],[Intet overlap]],INDEX(DataTitel_liste,LineærRegression_Valg[[#This Row],[Uafhængig variabel ID]]),INDEX(DataTitel_liste,IF(LineærRegression_Valg[[#This Row],[Afhængig variabel ID]]=1,2,1))),$B$7)</f>
        <v>Eksempel 2 (interval)</v>
      </c>
      <c r="H1645" s="188">
        <f>_xlfn.AGGREGATE(2,5,LineærRegression_Valg[[#This Row],[Tabel ID]])</f>
        <v>1</v>
      </c>
    </row>
    <row r="1646" spans="1:8" x14ac:dyDescent="0.2">
      <c r="A1646">
        <f>ROW(LineærRegression_Valg[[#This Row],[Tabel ID]])-ROW(LineærRegression_Valg[[#Headers],[Tabel ID]])</f>
        <v>1636</v>
      </c>
      <c r="B1646" s="188">
        <f>ROUNDDOWN((LineærRegression_Valg[[#This Row],[Tabel ID]]-1)/$B$5,0)+1</f>
        <v>409</v>
      </c>
      <c r="C1646" s="188">
        <f t="shared" si="25"/>
        <v>4</v>
      </c>
      <c r="D1646" s="188" t="b">
        <f>LineærRegression_Valg[[#This Row],[Afhængig variabel ID]]&lt;&gt;LineærRegression_Valg[[#This Row],[Uafhængig variabel ID]]</f>
        <v>1</v>
      </c>
      <c r="E1646" s="188" t="b">
        <f>LineærRegression_Valg[[#This Row],[Afhængig variabel ID]]&lt;=$B$5</f>
        <v>0</v>
      </c>
      <c r="F1646" t="str" cm="1">
        <f t="array" ref="F1646">IF(LineærRegression_Valg[[#This Row],[Indenfor range]],INDEX(DataTitel_liste,LineærRegression_Valg[[#This Row],[Afhængig variabel ID]]),INDEX(DataTitel_liste,1))</f>
        <v>Eksempel 1 (interval)</v>
      </c>
      <c r="G1646" s="188" t="str" cm="1">
        <f t="array" ref="G1646">IF(LineærRegression_Valg[[#This Row],[Indenfor range]],IF(LineærRegression_Valg[[#This Row],[Intet overlap]],INDEX(DataTitel_liste,LineærRegression_Valg[[#This Row],[Uafhængig variabel ID]]),INDEX(DataTitel_liste,IF(LineærRegression_Valg[[#This Row],[Afhængig variabel ID]]=1,2,1))),$B$7)</f>
        <v>Eksempel 2 (interval)</v>
      </c>
      <c r="H1646" s="188">
        <f>_xlfn.AGGREGATE(2,5,LineærRegression_Valg[[#This Row],[Tabel ID]])</f>
        <v>1</v>
      </c>
    </row>
    <row r="1647" spans="1:8" x14ac:dyDescent="0.2">
      <c r="A1647">
        <f>ROW(LineærRegression_Valg[[#This Row],[Tabel ID]])-ROW(LineærRegression_Valg[[#Headers],[Tabel ID]])</f>
        <v>1637</v>
      </c>
      <c r="B1647" s="188">
        <f>ROUNDDOWN((LineærRegression_Valg[[#This Row],[Tabel ID]]-1)/$B$5,0)+1</f>
        <v>410</v>
      </c>
      <c r="C1647" s="188">
        <f t="shared" si="25"/>
        <v>1</v>
      </c>
      <c r="D1647" s="188" t="b">
        <f>LineærRegression_Valg[[#This Row],[Afhængig variabel ID]]&lt;&gt;LineærRegression_Valg[[#This Row],[Uafhængig variabel ID]]</f>
        <v>1</v>
      </c>
      <c r="E1647" s="188" t="b">
        <f>LineærRegression_Valg[[#This Row],[Afhængig variabel ID]]&lt;=$B$5</f>
        <v>0</v>
      </c>
      <c r="F1647" t="str" cm="1">
        <f t="array" ref="F1647">IF(LineærRegression_Valg[[#This Row],[Indenfor range]],INDEX(DataTitel_liste,LineærRegression_Valg[[#This Row],[Afhængig variabel ID]]),INDEX(DataTitel_liste,1))</f>
        <v>Eksempel 1 (interval)</v>
      </c>
      <c r="G1647" s="188" t="str" cm="1">
        <f t="array" ref="G1647">IF(LineærRegression_Valg[[#This Row],[Indenfor range]],IF(LineærRegression_Valg[[#This Row],[Intet overlap]],INDEX(DataTitel_liste,LineærRegression_Valg[[#This Row],[Uafhængig variabel ID]]),INDEX(DataTitel_liste,IF(LineærRegression_Valg[[#This Row],[Afhængig variabel ID]]=1,2,1))),$B$7)</f>
        <v>Eksempel 2 (interval)</v>
      </c>
      <c r="H1647" s="188">
        <f>_xlfn.AGGREGATE(2,5,LineærRegression_Valg[[#This Row],[Tabel ID]])</f>
        <v>1</v>
      </c>
    </row>
    <row r="1648" spans="1:8" x14ac:dyDescent="0.2">
      <c r="A1648">
        <f>ROW(LineærRegression_Valg[[#This Row],[Tabel ID]])-ROW(LineærRegression_Valg[[#Headers],[Tabel ID]])</f>
        <v>1638</v>
      </c>
      <c r="B1648" s="188">
        <f>ROUNDDOWN((LineærRegression_Valg[[#This Row],[Tabel ID]]-1)/$B$5,0)+1</f>
        <v>410</v>
      </c>
      <c r="C1648" s="188">
        <f t="shared" si="25"/>
        <v>2</v>
      </c>
      <c r="D1648" s="188" t="b">
        <f>LineærRegression_Valg[[#This Row],[Afhængig variabel ID]]&lt;&gt;LineærRegression_Valg[[#This Row],[Uafhængig variabel ID]]</f>
        <v>1</v>
      </c>
      <c r="E1648" s="188" t="b">
        <f>LineærRegression_Valg[[#This Row],[Afhængig variabel ID]]&lt;=$B$5</f>
        <v>0</v>
      </c>
      <c r="F1648" t="str" cm="1">
        <f t="array" ref="F1648">IF(LineærRegression_Valg[[#This Row],[Indenfor range]],INDEX(DataTitel_liste,LineærRegression_Valg[[#This Row],[Afhængig variabel ID]]),INDEX(DataTitel_liste,1))</f>
        <v>Eksempel 1 (interval)</v>
      </c>
      <c r="G1648" s="188" t="str" cm="1">
        <f t="array" ref="G1648">IF(LineærRegression_Valg[[#This Row],[Indenfor range]],IF(LineærRegression_Valg[[#This Row],[Intet overlap]],INDEX(DataTitel_liste,LineærRegression_Valg[[#This Row],[Uafhængig variabel ID]]),INDEX(DataTitel_liste,IF(LineærRegression_Valg[[#This Row],[Afhængig variabel ID]]=1,2,1))),$B$7)</f>
        <v>Eksempel 2 (interval)</v>
      </c>
      <c r="H1648" s="188">
        <f>_xlfn.AGGREGATE(2,5,LineærRegression_Valg[[#This Row],[Tabel ID]])</f>
        <v>1</v>
      </c>
    </row>
    <row r="1649" spans="1:8" x14ac:dyDescent="0.2">
      <c r="A1649">
        <f>ROW(LineærRegression_Valg[[#This Row],[Tabel ID]])-ROW(LineærRegression_Valg[[#Headers],[Tabel ID]])</f>
        <v>1639</v>
      </c>
      <c r="B1649" s="188">
        <f>ROUNDDOWN((LineærRegression_Valg[[#This Row],[Tabel ID]]-1)/$B$5,0)+1</f>
        <v>410</v>
      </c>
      <c r="C1649" s="188">
        <f t="shared" si="25"/>
        <v>3</v>
      </c>
      <c r="D1649" s="188" t="b">
        <f>LineærRegression_Valg[[#This Row],[Afhængig variabel ID]]&lt;&gt;LineærRegression_Valg[[#This Row],[Uafhængig variabel ID]]</f>
        <v>1</v>
      </c>
      <c r="E1649" s="188" t="b">
        <f>LineærRegression_Valg[[#This Row],[Afhængig variabel ID]]&lt;=$B$5</f>
        <v>0</v>
      </c>
      <c r="F1649" t="str" cm="1">
        <f t="array" ref="F1649">IF(LineærRegression_Valg[[#This Row],[Indenfor range]],INDEX(DataTitel_liste,LineærRegression_Valg[[#This Row],[Afhængig variabel ID]]),INDEX(DataTitel_liste,1))</f>
        <v>Eksempel 1 (interval)</v>
      </c>
      <c r="G1649" s="188" t="str" cm="1">
        <f t="array" ref="G1649">IF(LineærRegression_Valg[[#This Row],[Indenfor range]],IF(LineærRegression_Valg[[#This Row],[Intet overlap]],INDEX(DataTitel_liste,LineærRegression_Valg[[#This Row],[Uafhængig variabel ID]]),INDEX(DataTitel_liste,IF(LineærRegression_Valg[[#This Row],[Afhængig variabel ID]]=1,2,1))),$B$7)</f>
        <v>Eksempel 2 (interval)</v>
      </c>
      <c r="H1649" s="188">
        <f>_xlfn.AGGREGATE(2,5,LineærRegression_Valg[[#This Row],[Tabel ID]])</f>
        <v>1</v>
      </c>
    </row>
    <row r="1650" spans="1:8" x14ac:dyDescent="0.2">
      <c r="A1650">
        <f>ROW(LineærRegression_Valg[[#This Row],[Tabel ID]])-ROW(LineærRegression_Valg[[#Headers],[Tabel ID]])</f>
        <v>1640</v>
      </c>
      <c r="B1650" s="188">
        <f>ROUNDDOWN((LineærRegression_Valg[[#This Row],[Tabel ID]]-1)/$B$5,0)+1</f>
        <v>410</v>
      </c>
      <c r="C1650" s="188">
        <f t="shared" si="25"/>
        <v>4</v>
      </c>
      <c r="D1650" s="188" t="b">
        <f>LineærRegression_Valg[[#This Row],[Afhængig variabel ID]]&lt;&gt;LineærRegression_Valg[[#This Row],[Uafhængig variabel ID]]</f>
        <v>1</v>
      </c>
      <c r="E1650" s="188" t="b">
        <f>LineærRegression_Valg[[#This Row],[Afhængig variabel ID]]&lt;=$B$5</f>
        <v>0</v>
      </c>
      <c r="F1650" t="str" cm="1">
        <f t="array" ref="F1650">IF(LineærRegression_Valg[[#This Row],[Indenfor range]],INDEX(DataTitel_liste,LineærRegression_Valg[[#This Row],[Afhængig variabel ID]]),INDEX(DataTitel_liste,1))</f>
        <v>Eksempel 1 (interval)</v>
      </c>
      <c r="G1650" s="188" t="str" cm="1">
        <f t="array" ref="G1650">IF(LineærRegression_Valg[[#This Row],[Indenfor range]],IF(LineærRegression_Valg[[#This Row],[Intet overlap]],INDEX(DataTitel_liste,LineærRegression_Valg[[#This Row],[Uafhængig variabel ID]]),INDEX(DataTitel_liste,IF(LineærRegression_Valg[[#This Row],[Afhængig variabel ID]]=1,2,1))),$B$7)</f>
        <v>Eksempel 2 (interval)</v>
      </c>
      <c r="H1650" s="188">
        <f>_xlfn.AGGREGATE(2,5,LineærRegression_Valg[[#This Row],[Tabel ID]])</f>
        <v>1</v>
      </c>
    </row>
    <row r="1651" spans="1:8" x14ac:dyDescent="0.2">
      <c r="A1651">
        <f>ROW(LineærRegression_Valg[[#This Row],[Tabel ID]])-ROW(LineærRegression_Valg[[#Headers],[Tabel ID]])</f>
        <v>1641</v>
      </c>
      <c r="B1651" s="188">
        <f>ROUNDDOWN((LineærRegression_Valg[[#This Row],[Tabel ID]]-1)/$B$5,0)+1</f>
        <v>411</v>
      </c>
      <c r="C1651" s="188">
        <f t="shared" si="25"/>
        <v>1</v>
      </c>
      <c r="D1651" s="188" t="b">
        <f>LineærRegression_Valg[[#This Row],[Afhængig variabel ID]]&lt;&gt;LineærRegression_Valg[[#This Row],[Uafhængig variabel ID]]</f>
        <v>1</v>
      </c>
      <c r="E1651" s="188" t="b">
        <f>LineærRegression_Valg[[#This Row],[Afhængig variabel ID]]&lt;=$B$5</f>
        <v>0</v>
      </c>
      <c r="F1651" t="str" cm="1">
        <f t="array" ref="F1651">IF(LineærRegression_Valg[[#This Row],[Indenfor range]],INDEX(DataTitel_liste,LineærRegression_Valg[[#This Row],[Afhængig variabel ID]]),INDEX(DataTitel_liste,1))</f>
        <v>Eksempel 1 (interval)</v>
      </c>
      <c r="G1651" s="188" t="str" cm="1">
        <f t="array" ref="G1651">IF(LineærRegression_Valg[[#This Row],[Indenfor range]],IF(LineærRegression_Valg[[#This Row],[Intet overlap]],INDEX(DataTitel_liste,LineærRegression_Valg[[#This Row],[Uafhængig variabel ID]]),INDEX(DataTitel_liste,IF(LineærRegression_Valg[[#This Row],[Afhængig variabel ID]]=1,2,1))),$B$7)</f>
        <v>Eksempel 2 (interval)</v>
      </c>
      <c r="H1651" s="188">
        <f>_xlfn.AGGREGATE(2,5,LineærRegression_Valg[[#This Row],[Tabel ID]])</f>
        <v>1</v>
      </c>
    </row>
    <row r="1652" spans="1:8" x14ac:dyDescent="0.2">
      <c r="A1652">
        <f>ROW(LineærRegression_Valg[[#This Row],[Tabel ID]])-ROW(LineærRegression_Valg[[#Headers],[Tabel ID]])</f>
        <v>1642</v>
      </c>
      <c r="B1652" s="188">
        <f>ROUNDDOWN((LineærRegression_Valg[[#This Row],[Tabel ID]]-1)/$B$5,0)+1</f>
        <v>411</v>
      </c>
      <c r="C1652" s="188">
        <f t="shared" si="25"/>
        <v>2</v>
      </c>
      <c r="D1652" s="188" t="b">
        <f>LineærRegression_Valg[[#This Row],[Afhængig variabel ID]]&lt;&gt;LineærRegression_Valg[[#This Row],[Uafhængig variabel ID]]</f>
        <v>1</v>
      </c>
      <c r="E1652" s="188" t="b">
        <f>LineærRegression_Valg[[#This Row],[Afhængig variabel ID]]&lt;=$B$5</f>
        <v>0</v>
      </c>
      <c r="F1652" t="str" cm="1">
        <f t="array" ref="F1652">IF(LineærRegression_Valg[[#This Row],[Indenfor range]],INDEX(DataTitel_liste,LineærRegression_Valg[[#This Row],[Afhængig variabel ID]]),INDEX(DataTitel_liste,1))</f>
        <v>Eksempel 1 (interval)</v>
      </c>
      <c r="G1652" s="188" t="str" cm="1">
        <f t="array" ref="G1652">IF(LineærRegression_Valg[[#This Row],[Indenfor range]],IF(LineærRegression_Valg[[#This Row],[Intet overlap]],INDEX(DataTitel_liste,LineærRegression_Valg[[#This Row],[Uafhængig variabel ID]]),INDEX(DataTitel_liste,IF(LineærRegression_Valg[[#This Row],[Afhængig variabel ID]]=1,2,1))),$B$7)</f>
        <v>Eksempel 2 (interval)</v>
      </c>
      <c r="H1652" s="188">
        <f>_xlfn.AGGREGATE(2,5,LineærRegression_Valg[[#This Row],[Tabel ID]])</f>
        <v>1</v>
      </c>
    </row>
    <row r="1653" spans="1:8" x14ac:dyDescent="0.2">
      <c r="A1653">
        <f>ROW(LineærRegression_Valg[[#This Row],[Tabel ID]])-ROW(LineærRegression_Valg[[#Headers],[Tabel ID]])</f>
        <v>1643</v>
      </c>
      <c r="B1653" s="188">
        <f>ROUNDDOWN((LineærRegression_Valg[[#This Row],[Tabel ID]]-1)/$B$5,0)+1</f>
        <v>411</v>
      </c>
      <c r="C1653" s="188">
        <f t="shared" si="25"/>
        <v>3</v>
      </c>
      <c r="D1653" s="188" t="b">
        <f>LineærRegression_Valg[[#This Row],[Afhængig variabel ID]]&lt;&gt;LineærRegression_Valg[[#This Row],[Uafhængig variabel ID]]</f>
        <v>1</v>
      </c>
      <c r="E1653" s="188" t="b">
        <f>LineærRegression_Valg[[#This Row],[Afhængig variabel ID]]&lt;=$B$5</f>
        <v>0</v>
      </c>
      <c r="F1653" t="str" cm="1">
        <f t="array" ref="F1653">IF(LineærRegression_Valg[[#This Row],[Indenfor range]],INDEX(DataTitel_liste,LineærRegression_Valg[[#This Row],[Afhængig variabel ID]]),INDEX(DataTitel_liste,1))</f>
        <v>Eksempel 1 (interval)</v>
      </c>
      <c r="G1653" s="188" t="str" cm="1">
        <f t="array" ref="G1653">IF(LineærRegression_Valg[[#This Row],[Indenfor range]],IF(LineærRegression_Valg[[#This Row],[Intet overlap]],INDEX(DataTitel_liste,LineærRegression_Valg[[#This Row],[Uafhængig variabel ID]]),INDEX(DataTitel_liste,IF(LineærRegression_Valg[[#This Row],[Afhængig variabel ID]]=1,2,1))),$B$7)</f>
        <v>Eksempel 2 (interval)</v>
      </c>
      <c r="H1653" s="188">
        <f>_xlfn.AGGREGATE(2,5,LineærRegression_Valg[[#This Row],[Tabel ID]])</f>
        <v>1</v>
      </c>
    </row>
    <row r="1654" spans="1:8" x14ac:dyDescent="0.2">
      <c r="A1654">
        <f>ROW(LineærRegression_Valg[[#This Row],[Tabel ID]])-ROW(LineærRegression_Valg[[#Headers],[Tabel ID]])</f>
        <v>1644</v>
      </c>
      <c r="B1654" s="188">
        <f>ROUNDDOWN((LineærRegression_Valg[[#This Row],[Tabel ID]]-1)/$B$5,0)+1</f>
        <v>411</v>
      </c>
      <c r="C1654" s="188">
        <f t="shared" si="25"/>
        <v>4</v>
      </c>
      <c r="D1654" s="188" t="b">
        <f>LineærRegression_Valg[[#This Row],[Afhængig variabel ID]]&lt;&gt;LineærRegression_Valg[[#This Row],[Uafhængig variabel ID]]</f>
        <v>1</v>
      </c>
      <c r="E1654" s="188" t="b">
        <f>LineærRegression_Valg[[#This Row],[Afhængig variabel ID]]&lt;=$B$5</f>
        <v>0</v>
      </c>
      <c r="F1654" t="str" cm="1">
        <f t="array" ref="F1654">IF(LineærRegression_Valg[[#This Row],[Indenfor range]],INDEX(DataTitel_liste,LineærRegression_Valg[[#This Row],[Afhængig variabel ID]]),INDEX(DataTitel_liste,1))</f>
        <v>Eksempel 1 (interval)</v>
      </c>
      <c r="G1654" s="188" t="str" cm="1">
        <f t="array" ref="G1654">IF(LineærRegression_Valg[[#This Row],[Indenfor range]],IF(LineærRegression_Valg[[#This Row],[Intet overlap]],INDEX(DataTitel_liste,LineærRegression_Valg[[#This Row],[Uafhængig variabel ID]]),INDEX(DataTitel_liste,IF(LineærRegression_Valg[[#This Row],[Afhængig variabel ID]]=1,2,1))),$B$7)</f>
        <v>Eksempel 2 (interval)</v>
      </c>
      <c r="H1654" s="188">
        <f>_xlfn.AGGREGATE(2,5,LineærRegression_Valg[[#This Row],[Tabel ID]])</f>
        <v>1</v>
      </c>
    </row>
    <row r="1655" spans="1:8" x14ac:dyDescent="0.2">
      <c r="A1655">
        <f>ROW(LineærRegression_Valg[[#This Row],[Tabel ID]])-ROW(LineærRegression_Valg[[#Headers],[Tabel ID]])</f>
        <v>1645</v>
      </c>
      <c r="B1655" s="188">
        <f>ROUNDDOWN((LineærRegression_Valg[[#This Row],[Tabel ID]]-1)/$B$5,0)+1</f>
        <v>412</v>
      </c>
      <c r="C1655" s="188">
        <f t="shared" si="25"/>
        <v>1</v>
      </c>
      <c r="D1655" s="188" t="b">
        <f>LineærRegression_Valg[[#This Row],[Afhængig variabel ID]]&lt;&gt;LineærRegression_Valg[[#This Row],[Uafhængig variabel ID]]</f>
        <v>1</v>
      </c>
      <c r="E1655" s="188" t="b">
        <f>LineærRegression_Valg[[#This Row],[Afhængig variabel ID]]&lt;=$B$5</f>
        <v>0</v>
      </c>
      <c r="F1655" t="str" cm="1">
        <f t="array" ref="F1655">IF(LineærRegression_Valg[[#This Row],[Indenfor range]],INDEX(DataTitel_liste,LineærRegression_Valg[[#This Row],[Afhængig variabel ID]]),INDEX(DataTitel_liste,1))</f>
        <v>Eksempel 1 (interval)</v>
      </c>
      <c r="G1655" s="188" t="str" cm="1">
        <f t="array" ref="G1655">IF(LineærRegression_Valg[[#This Row],[Indenfor range]],IF(LineærRegression_Valg[[#This Row],[Intet overlap]],INDEX(DataTitel_liste,LineærRegression_Valg[[#This Row],[Uafhængig variabel ID]]),INDEX(DataTitel_liste,IF(LineærRegression_Valg[[#This Row],[Afhængig variabel ID]]=1,2,1))),$B$7)</f>
        <v>Eksempel 2 (interval)</v>
      </c>
      <c r="H1655" s="188">
        <f>_xlfn.AGGREGATE(2,5,LineærRegression_Valg[[#This Row],[Tabel ID]])</f>
        <v>1</v>
      </c>
    </row>
    <row r="1656" spans="1:8" x14ac:dyDescent="0.2">
      <c r="A1656">
        <f>ROW(LineærRegression_Valg[[#This Row],[Tabel ID]])-ROW(LineærRegression_Valg[[#Headers],[Tabel ID]])</f>
        <v>1646</v>
      </c>
      <c r="B1656" s="188">
        <f>ROUNDDOWN((LineærRegression_Valg[[#This Row],[Tabel ID]]-1)/$B$5,0)+1</f>
        <v>412</v>
      </c>
      <c r="C1656" s="188">
        <f t="shared" si="25"/>
        <v>2</v>
      </c>
      <c r="D1656" s="188" t="b">
        <f>LineærRegression_Valg[[#This Row],[Afhængig variabel ID]]&lt;&gt;LineærRegression_Valg[[#This Row],[Uafhængig variabel ID]]</f>
        <v>1</v>
      </c>
      <c r="E1656" s="188" t="b">
        <f>LineærRegression_Valg[[#This Row],[Afhængig variabel ID]]&lt;=$B$5</f>
        <v>0</v>
      </c>
      <c r="F1656" t="str" cm="1">
        <f t="array" ref="F1656">IF(LineærRegression_Valg[[#This Row],[Indenfor range]],INDEX(DataTitel_liste,LineærRegression_Valg[[#This Row],[Afhængig variabel ID]]),INDEX(DataTitel_liste,1))</f>
        <v>Eksempel 1 (interval)</v>
      </c>
      <c r="G1656" s="188" t="str" cm="1">
        <f t="array" ref="G1656">IF(LineærRegression_Valg[[#This Row],[Indenfor range]],IF(LineærRegression_Valg[[#This Row],[Intet overlap]],INDEX(DataTitel_liste,LineærRegression_Valg[[#This Row],[Uafhængig variabel ID]]),INDEX(DataTitel_liste,IF(LineærRegression_Valg[[#This Row],[Afhængig variabel ID]]=1,2,1))),$B$7)</f>
        <v>Eksempel 2 (interval)</v>
      </c>
      <c r="H1656" s="188">
        <f>_xlfn.AGGREGATE(2,5,LineærRegression_Valg[[#This Row],[Tabel ID]])</f>
        <v>1</v>
      </c>
    </row>
    <row r="1657" spans="1:8" x14ac:dyDescent="0.2">
      <c r="A1657">
        <f>ROW(LineærRegression_Valg[[#This Row],[Tabel ID]])-ROW(LineærRegression_Valg[[#Headers],[Tabel ID]])</f>
        <v>1647</v>
      </c>
      <c r="B1657" s="188">
        <f>ROUNDDOWN((LineærRegression_Valg[[#This Row],[Tabel ID]]-1)/$B$5,0)+1</f>
        <v>412</v>
      </c>
      <c r="C1657" s="188">
        <f t="shared" si="25"/>
        <v>3</v>
      </c>
      <c r="D1657" s="188" t="b">
        <f>LineærRegression_Valg[[#This Row],[Afhængig variabel ID]]&lt;&gt;LineærRegression_Valg[[#This Row],[Uafhængig variabel ID]]</f>
        <v>1</v>
      </c>
      <c r="E1657" s="188" t="b">
        <f>LineærRegression_Valg[[#This Row],[Afhængig variabel ID]]&lt;=$B$5</f>
        <v>0</v>
      </c>
      <c r="F1657" t="str" cm="1">
        <f t="array" ref="F1657">IF(LineærRegression_Valg[[#This Row],[Indenfor range]],INDEX(DataTitel_liste,LineærRegression_Valg[[#This Row],[Afhængig variabel ID]]),INDEX(DataTitel_liste,1))</f>
        <v>Eksempel 1 (interval)</v>
      </c>
      <c r="G1657" s="188" t="str" cm="1">
        <f t="array" ref="G1657">IF(LineærRegression_Valg[[#This Row],[Indenfor range]],IF(LineærRegression_Valg[[#This Row],[Intet overlap]],INDEX(DataTitel_liste,LineærRegression_Valg[[#This Row],[Uafhængig variabel ID]]),INDEX(DataTitel_liste,IF(LineærRegression_Valg[[#This Row],[Afhængig variabel ID]]=1,2,1))),$B$7)</f>
        <v>Eksempel 2 (interval)</v>
      </c>
      <c r="H1657" s="188">
        <f>_xlfn.AGGREGATE(2,5,LineærRegression_Valg[[#This Row],[Tabel ID]])</f>
        <v>1</v>
      </c>
    </row>
    <row r="1658" spans="1:8" x14ac:dyDescent="0.2">
      <c r="A1658">
        <f>ROW(LineærRegression_Valg[[#This Row],[Tabel ID]])-ROW(LineærRegression_Valg[[#Headers],[Tabel ID]])</f>
        <v>1648</v>
      </c>
      <c r="B1658" s="188">
        <f>ROUNDDOWN((LineærRegression_Valg[[#This Row],[Tabel ID]]-1)/$B$5,0)+1</f>
        <v>412</v>
      </c>
      <c r="C1658" s="188">
        <f t="shared" si="25"/>
        <v>4</v>
      </c>
      <c r="D1658" s="188" t="b">
        <f>LineærRegression_Valg[[#This Row],[Afhængig variabel ID]]&lt;&gt;LineærRegression_Valg[[#This Row],[Uafhængig variabel ID]]</f>
        <v>1</v>
      </c>
      <c r="E1658" s="188" t="b">
        <f>LineærRegression_Valg[[#This Row],[Afhængig variabel ID]]&lt;=$B$5</f>
        <v>0</v>
      </c>
      <c r="F1658" t="str" cm="1">
        <f t="array" ref="F1658">IF(LineærRegression_Valg[[#This Row],[Indenfor range]],INDEX(DataTitel_liste,LineærRegression_Valg[[#This Row],[Afhængig variabel ID]]),INDEX(DataTitel_liste,1))</f>
        <v>Eksempel 1 (interval)</v>
      </c>
      <c r="G1658" s="188" t="str" cm="1">
        <f t="array" ref="G1658">IF(LineærRegression_Valg[[#This Row],[Indenfor range]],IF(LineærRegression_Valg[[#This Row],[Intet overlap]],INDEX(DataTitel_liste,LineærRegression_Valg[[#This Row],[Uafhængig variabel ID]]),INDEX(DataTitel_liste,IF(LineærRegression_Valg[[#This Row],[Afhængig variabel ID]]=1,2,1))),$B$7)</f>
        <v>Eksempel 2 (interval)</v>
      </c>
      <c r="H1658" s="188">
        <f>_xlfn.AGGREGATE(2,5,LineærRegression_Valg[[#This Row],[Tabel ID]])</f>
        <v>1</v>
      </c>
    </row>
    <row r="1659" spans="1:8" x14ac:dyDescent="0.2">
      <c r="A1659">
        <f>ROW(LineærRegression_Valg[[#This Row],[Tabel ID]])-ROW(LineærRegression_Valg[[#Headers],[Tabel ID]])</f>
        <v>1649</v>
      </c>
      <c r="B1659" s="188">
        <f>ROUNDDOWN((LineærRegression_Valg[[#This Row],[Tabel ID]]-1)/$B$5,0)+1</f>
        <v>413</v>
      </c>
      <c r="C1659" s="188">
        <f t="shared" si="25"/>
        <v>1</v>
      </c>
      <c r="D1659" s="188" t="b">
        <f>LineærRegression_Valg[[#This Row],[Afhængig variabel ID]]&lt;&gt;LineærRegression_Valg[[#This Row],[Uafhængig variabel ID]]</f>
        <v>1</v>
      </c>
      <c r="E1659" s="188" t="b">
        <f>LineærRegression_Valg[[#This Row],[Afhængig variabel ID]]&lt;=$B$5</f>
        <v>0</v>
      </c>
      <c r="F1659" t="str" cm="1">
        <f t="array" ref="F1659">IF(LineærRegression_Valg[[#This Row],[Indenfor range]],INDEX(DataTitel_liste,LineærRegression_Valg[[#This Row],[Afhængig variabel ID]]),INDEX(DataTitel_liste,1))</f>
        <v>Eksempel 1 (interval)</v>
      </c>
      <c r="G1659" s="188" t="str" cm="1">
        <f t="array" ref="G1659">IF(LineærRegression_Valg[[#This Row],[Indenfor range]],IF(LineærRegression_Valg[[#This Row],[Intet overlap]],INDEX(DataTitel_liste,LineærRegression_Valg[[#This Row],[Uafhængig variabel ID]]),INDEX(DataTitel_liste,IF(LineærRegression_Valg[[#This Row],[Afhængig variabel ID]]=1,2,1))),$B$7)</f>
        <v>Eksempel 2 (interval)</v>
      </c>
      <c r="H1659" s="188">
        <f>_xlfn.AGGREGATE(2,5,LineærRegression_Valg[[#This Row],[Tabel ID]])</f>
        <v>1</v>
      </c>
    </row>
    <row r="1660" spans="1:8" x14ac:dyDescent="0.2">
      <c r="A1660">
        <f>ROW(LineærRegression_Valg[[#This Row],[Tabel ID]])-ROW(LineærRegression_Valg[[#Headers],[Tabel ID]])</f>
        <v>1650</v>
      </c>
      <c r="B1660" s="188">
        <f>ROUNDDOWN((LineærRegression_Valg[[#This Row],[Tabel ID]]-1)/$B$5,0)+1</f>
        <v>413</v>
      </c>
      <c r="C1660" s="188">
        <f t="shared" si="25"/>
        <v>2</v>
      </c>
      <c r="D1660" s="188" t="b">
        <f>LineærRegression_Valg[[#This Row],[Afhængig variabel ID]]&lt;&gt;LineærRegression_Valg[[#This Row],[Uafhængig variabel ID]]</f>
        <v>1</v>
      </c>
      <c r="E1660" s="188" t="b">
        <f>LineærRegression_Valg[[#This Row],[Afhængig variabel ID]]&lt;=$B$5</f>
        <v>0</v>
      </c>
      <c r="F1660" t="str" cm="1">
        <f t="array" ref="F1660">IF(LineærRegression_Valg[[#This Row],[Indenfor range]],INDEX(DataTitel_liste,LineærRegression_Valg[[#This Row],[Afhængig variabel ID]]),INDEX(DataTitel_liste,1))</f>
        <v>Eksempel 1 (interval)</v>
      </c>
      <c r="G1660" s="188" t="str" cm="1">
        <f t="array" ref="G1660">IF(LineærRegression_Valg[[#This Row],[Indenfor range]],IF(LineærRegression_Valg[[#This Row],[Intet overlap]],INDEX(DataTitel_liste,LineærRegression_Valg[[#This Row],[Uafhængig variabel ID]]),INDEX(DataTitel_liste,IF(LineærRegression_Valg[[#This Row],[Afhængig variabel ID]]=1,2,1))),$B$7)</f>
        <v>Eksempel 2 (interval)</v>
      </c>
      <c r="H1660" s="188">
        <f>_xlfn.AGGREGATE(2,5,LineærRegression_Valg[[#This Row],[Tabel ID]])</f>
        <v>1</v>
      </c>
    </row>
    <row r="1661" spans="1:8" x14ac:dyDescent="0.2">
      <c r="A1661">
        <f>ROW(LineærRegression_Valg[[#This Row],[Tabel ID]])-ROW(LineærRegression_Valg[[#Headers],[Tabel ID]])</f>
        <v>1651</v>
      </c>
      <c r="B1661" s="188">
        <f>ROUNDDOWN((LineærRegression_Valg[[#This Row],[Tabel ID]]-1)/$B$5,0)+1</f>
        <v>413</v>
      </c>
      <c r="C1661" s="188">
        <f t="shared" si="25"/>
        <v>3</v>
      </c>
      <c r="D1661" s="188" t="b">
        <f>LineærRegression_Valg[[#This Row],[Afhængig variabel ID]]&lt;&gt;LineærRegression_Valg[[#This Row],[Uafhængig variabel ID]]</f>
        <v>1</v>
      </c>
      <c r="E1661" s="188" t="b">
        <f>LineærRegression_Valg[[#This Row],[Afhængig variabel ID]]&lt;=$B$5</f>
        <v>0</v>
      </c>
      <c r="F1661" t="str" cm="1">
        <f t="array" ref="F1661">IF(LineærRegression_Valg[[#This Row],[Indenfor range]],INDEX(DataTitel_liste,LineærRegression_Valg[[#This Row],[Afhængig variabel ID]]),INDEX(DataTitel_liste,1))</f>
        <v>Eksempel 1 (interval)</v>
      </c>
      <c r="G1661" s="188" t="str" cm="1">
        <f t="array" ref="G1661">IF(LineærRegression_Valg[[#This Row],[Indenfor range]],IF(LineærRegression_Valg[[#This Row],[Intet overlap]],INDEX(DataTitel_liste,LineærRegression_Valg[[#This Row],[Uafhængig variabel ID]]),INDEX(DataTitel_liste,IF(LineærRegression_Valg[[#This Row],[Afhængig variabel ID]]=1,2,1))),$B$7)</f>
        <v>Eksempel 2 (interval)</v>
      </c>
      <c r="H1661" s="188">
        <f>_xlfn.AGGREGATE(2,5,LineærRegression_Valg[[#This Row],[Tabel ID]])</f>
        <v>1</v>
      </c>
    </row>
    <row r="1662" spans="1:8" x14ac:dyDescent="0.2">
      <c r="A1662">
        <f>ROW(LineærRegression_Valg[[#This Row],[Tabel ID]])-ROW(LineærRegression_Valg[[#Headers],[Tabel ID]])</f>
        <v>1652</v>
      </c>
      <c r="B1662" s="188">
        <f>ROUNDDOWN((LineærRegression_Valg[[#This Row],[Tabel ID]]-1)/$B$5,0)+1</f>
        <v>413</v>
      </c>
      <c r="C1662" s="188">
        <f t="shared" si="25"/>
        <v>4</v>
      </c>
      <c r="D1662" s="188" t="b">
        <f>LineærRegression_Valg[[#This Row],[Afhængig variabel ID]]&lt;&gt;LineærRegression_Valg[[#This Row],[Uafhængig variabel ID]]</f>
        <v>1</v>
      </c>
      <c r="E1662" s="188" t="b">
        <f>LineærRegression_Valg[[#This Row],[Afhængig variabel ID]]&lt;=$B$5</f>
        <v>0</v>
      </c>
      <c r="F1662" t="str" cm="1">
        <f t="array" ref="F1662">IF(LineærRegression_Valg[[#This Row],[Indenfor range]],INDEX(DataTitel_liste,LineærRegression_Valg[[#This Row],[Afhængig variabel ID]]),INDEX(DataTitel_liste,1))</f>
        <v>Eksempel 1 (interval)</v>
      </c>
      <c r="G1662" s="188" t="str" cm="1">
        <f t="array" ref="G1662">IF(LineærRegression_Valg[[#This Row],[Indenfor range]],IF(LineærRegression_Valg[[#This Row],[Intet overlap]],INDEX(DataTitel_liste,LineærRegression_Valg[[#This Row],[Uafhængig variabel ID]]),INDEX(DataTitel_liste,IF(LineærRegression_Valg[[#This Row],[Afhængig variabel ID]]=1,2,1))),$B$7)</f>
        <v>Eksempel 2 (interval)</v>
      </c>
      <c r="H1662" s="188">
        <f>_xlfn.AGGREGATE(2,5,LineærRegression_Valg[[#This Row],[Tabel ID]])</f>
        <v>1</v>
      </c>
    </row>
    <row r="1663" spans="1:8" x14ac:dyDescent="0.2">
      <c r="A1663">
        <f>ROW(LineærRegression_Valg[[#This Row],[Tabel ID]])-ROW(LineærRegression_Valg[[#Headers],[Tabel ID]])</f>
        <v>1653</v>
      </c>
      <c r="B1663" s="188">
        <f>ROUNDDOWN((LineærRegression_Valg[[#This Row],[Tabel ID]]-1)/$B$5,0)+1</f>
        <v>414</v>
      </c>
      <c r="C1663" s="188">
        <f t="shared" si="25"/>
        <v>1</v>
      </c>
      <c r="D1663" s="188" t="b">
        <f>LineærRegression_Valg[[#This Row],[Afhængig variabel ID]]&lt;&gt;LineærRegression_Valg[[#This Row],[Uafhængig variabel ID]]</f>
        <v>1</v>
      </c>
      <c r="E1663" s="188" t="b">
        <f>LineærRegression_Valg[[#This Row],[Afhængig variabel ID]]&lt;=$B$5</f>
        <v>0</v>
      </c>
      <c r="F1663" t="str" cm="1">
        <f t="array" ref="F1663">IF(LineærRegression_Valg[[#This Row],[Indenfor range]],INDEX(DataTitel_liste,LineærRegression_Valg[[#This Row],[Afhængig variabel ID]]),INDEX(DataTitel_liste,1))</f>
        <v>Eksempel 1 (interval)</v>
      </c>
      <c r="G1663" s="188" t="str" cm="1">
        <f t="array" ref="G1663">IF(LineærRegression_Valg[[#This Row],[Indenfor range]],IF(LineærRegression_Valg[[#This Row],[Intet overlap]],INDEX(DataTitel_liste,LineærRegression_Valg[[#This Row],[Uafhængig variabel ID]]),INDEX(DataTitel_liste,IF(LineærRegression_Valg[[#This Row],[Afhængig variabel ID]]=1,2,1))),$B$7)</f>
        <v>Eksempel 2 (interval)</v>
      </c>
      <c r="H1663" s="188">
        <f>_xlfn.AGGREGATE(2,5,LineærRegression_Valg[[#This Row],[Tabel ID]])</f>
        <v>1</v>
      </c>
    </row>
    <row r="1664" spans="1:8" x14ac:dyDescent="0.2">
      <c r="A1664">
        <f>ROW(LineærRegression_Valg[[#This Row],[Tabel ID]])-ROW(LineærRegression_Valg[[#Headers],[Tabel ID]])</f>
        <v>1654</v>
      </c>
      <c r="B1664" s="188">
        <f>ROUNDDOWN((LineærRegression_Valg[[#This Row],[Tabel ID]]-1)/$B$5,0)+1</f>
        <v>414</v>
      </c>
      <c r="C1664" s="188">
        <f t="shared" si="25"/>
        <v>2</v>
      </c>
      <c r="D1664" s="188" t="b">
        <f>LineærRegression_Valg[[#This Row],[Afhængig variabel ID]]&lt;&gt;LineærRegression_Valg[[#This Row],[Uafhængig variabel ID]]</f>
        <v>1</v>
      </c>
      <c r="E1664" s="188" t="b">
        <f>LineærRegression_Valg[[#This Row],[Afhængig variabel ID]]&lt;=$B$5</f>
        <v>0</v>
      </c>
      <c r="F1664" t="str" cm="1">
        <f t="array" ref="F1664">IF(LineærRegression_Valg[[#This Row],[Indenfor range]],INDEX(DataTitel_liste,LineærRegression_Valg[[#This Row],[Afhængig variabel ID]]),INDEX(DataTitel_liste,1))</f>
        <v>Eksempel 1 (interval)</v>
      </c>
      <c r="G1664" s="188" t="str" cm="1">
        <f t="array" ref="G1664">IF(LineærRegression_Valg[[#This Row],[Indenfor range]],IF(LineærRegression_Valg[[#This Row],[Intet overlap]],INDEX(DataTitel_liste,LineærRegression_Valg[[#This Row],[Uafhængig variabel ID]]),INDEX(DataTitel_liste,IF(LineærRegression_Valg[[#This Row],[Afhængig variabel ID]]=1,2,1))),$B$7)</f>
        <v>Eksempel 2 (interval)</v>
      </c>
      <c r="H1664" s="188">
        <f>_xlfn.AGGREGATE(2,5,LineærRegression_Valg[[#This Row],[Tabel ID]])</f>
        <v>1</v>
      </c>
    </row>
    <row r="1665" spans="1:8" x14ac:dyDescent="0.2">
      <c r="A1665">
        <f>ROW(LineærRegression_Valg[[#This Row],[Tabel ID]])-ROW(LineærRegression_Valg[[#Headers],[Tabel ID]])</f>
        <v>1655</v>
      </c>
      <c r="B1665" s="188">
        <f>ROUNDDOWN((LineærRegression_Valg[[#This Row],[Tabel ID]]-1)/$B$5,0)+1</f>
        <v>414</v>
      </c>
      <c r="C1665" s="188">
        <f t="shared" si="25"/>
        <v>3</v>
      </c>
      <c r="D1665" s="188" t="b">
        <f>LineærRegression_Valg[[#This Row],[Afhængig variabel ID]]&lt;&gt;LineærRegression_Valg[[#This Row],[Uafhængig variabel ID]]</f>
        <v>1</v>
      </c>
      <c r="E1665" s="188" t="b">
        <f>LineærRegression_Valg[[#This Row],[Afhængig variabel ID]]&lt;=$B$5</f>
        <v>0</v>
      </c>
      <c r="F1665" t="str" cm="1">
        <f t="array" ref="F1665">IF(LineærRegression_Valg[[#This Row],[Indenfor range]],INDEX(DataTitel_liste,LineærRegression_Valg[[#This Row],[Afhængig variabel ID]]),INDEX(DataTitel_liste,1))</f>
        <v>Eksempel 1 (interval)</v>
      </c>
      <c r="G1665" s="188" t="str" cm="1">
        <f t="array" ref="G1665">IF(LineærRegression_Valg[[#This Row],[Indenfor range]],IF(LineærRegression_Valg[[#This Row],[Intet overlap]],INDEX(DataTitel_liste,LineærRegression_Valg[[#This Row],[Uafhængig variabel ID]]),INDEX(DataTitel_liste,IF(LineærRegression_Valg[[#This Row],[Afhængig variabel ID]]=1,2,1))),$B$7)</f>
        <v>Eksempel 2 (interval)</v>
      </c>
      <c r="H1665" s="188">
        <f>_xlfn.AGGREGATE(2,5,LineærRegression_Valg[[#This Row],[Tabel ID]])</f>
        <v>1</v>
      </c>
    </row>
    <row r="1666" spans="1:8" x14ac:dyDescent="0.2">
      <c r="A1666">
        <f>ROW(LineærRegression_Valg[[#This Row],[Tabel ID]])-ROW(LineærRegression_Valg[[#Headers],[Tabel ID]])</f>
        <v>1656</v>
      </c>
      <c r="B1666" s="188">
        <f>ROUNDDOWN((LineærRegression_Valg[[#This Row],[Tabel ID]]-1)/$B$5,0)+1</f>
        <v>414</v>
      </c>
      <c r="C1666" s="188">
        <f t="shared" si="25"/>
        <v>4</v>
      </c>
      <c r="D1666" s="188" t="b">
        <f>LineærRegression_Valg[[#This Row],[Afhængig variabel ID]]&lt;&gt;LineærRegression_Valg[[#This Row],[Uafhængig variabel ID]]</f>
        <v>1</v>
      </c>
      <c r="E1666" s="188" t="b">
        <f>LineærRegression_Valg[[#This Row],[Afhængig variabel ID]]&lt;=$B$5</f>
        <v>0</v>
      </c>
      <c r="F1666" t="str" cm="1">
        <f t="array" ref="F1666">IF(LineærRegression_Valg[[#This Row],[Indenfor range]],INDEX(DataTitel_liste,LineærRegression_Valg[[#This Row],[Afhængig variabel ID]]),INDEX(DataTitel_liste,1))</f>
        <v>Eksempel 1 (interval)</v>
      </c>
      <c r="G1666" s="188" t="str" cm="1">
        <f t="array" ref="G1666">IF(LineærRegression_Valg[[#This Row],[Indenfor range]],IF(LineærRegression_Valg[[#This Row],[Intet overlap]],INDEX(DataTitel_liste,LineærRegression_Valg[[#This Row],[Uafhængig variabel ID]]),INDEX(DataTitel_liste,IF(LineærRegression_Valg[[#This Row],[Afhængig variabel ID]]=1,2,1))),$B$7)</f>
        <v>Eksempel 2 (interval)</v>
      </c>
      <c r="H1666" s="188">
        <f>_xlfn.AGGREGATE(2,5,LineærRegression_Valg[[#This Row],[Tabel ID]])</f>
        <v>1</v>
      </c>
    </row>
    <row r="1667" spans="1:8" x14ac:dyDescent="0.2">
      <c r="A1667">
        <f>ROW(LineærRegression_Valg[[#This Row],[Tabel ID]])-ROW(LineærRegression_Valg[[#Headers],[Tabel ID]])</f>
        <v>1657</v>
      </c>
      <c r="B1667" s="188">
        <f>ROUNDDOWN((LineærRegression_Valg[[#This Row],[Tabel ID]]-1)/$B$5,0)+1</f>
        <v>415</v>
      </c>
      <c r="C1667" s="188">
        <f t="shared" si="25"/>
        <v>1</v>
      </c>
      <c r="D1667" s="188" t="b">
        <f>LineærRegression_Valg[[#This Row],[Afhængig variabel ID]]&lt;&gt;LineærRegression_Valg[[#This Row],[Uafhængig variabel ID]]</f>
        <v>1</v>
      </c>
      <c r="E1667" s="188" t="b">
        <f>LineærRegression_Valg[[#This Row],[Afhængig variabel ID]]&lt;=$B$5</f>
        <v>0</v>
      </c>
      <c r="F1667" t="str" cm="1">
        <f t="array" ref="F1667">IF(LineærRegression_Valg[[#This Row],[Indenfor range]],INDEX(DataTitel_liste,LineærRegression_Valg[[#This Row],[Afhængig variabel ID]]),INDEX(DataTitel_liste,1))</f>
        <v>Eksempel 1 (interval)</v>
      </c>
      <c r="G1667" s="188" t="str" cm="1">
        <f t="array" ref="G1667">IF(LineærRegression_Valg[[#This Row],[Indenfor range]],IF(LineærRegression_Valg[[#This Row],[Intet overlap]],INDEX(DataTitel_liste,LineærRegression_Valg[[#This Row],[Uafhængig variabel ID]]),INDEX(DataTitel_liste,IF(LineærRegression_Valg[[#This Row],[Afhængig variabel ID]]=1,2,1))),$B$7)</f>
        <v>Eksempel 2 (interval)</v>
      </c>
      <c r="H1667" s="188">
        <f>_xlfn.AGGREGATE(2,5,LineærRegression_Valg[[#This Row],[Tabel ID]])</f>
        <v>1</v>
      </c>
    </row>
    <row r="1668" spans="1:8" x14ac:dyDescent="0.2">
      <c r="A1668">
        <f>ROW(LineærRegression_Valg[[#This Row],[Tabel ID]])-ROW(LineærRegression_Valg[[#Headers],[Tabel ID]])</f>
        <v>1658</v>
      </c>
      <c r="B1668" s="188">
        <f>ROUNDDOWN((LineærRegression_Valg[[#This Row],[Tabel ID]]-1)/$B$5,0)+1</f>
        <v>415</v>
      </c>
      <c r="C1668" s="188">
        <f t="shared" si="25"/>
        <v>2</v>
      </c>
      <c r="D1668" s="188" t="b">
        <f>LineærRegression_Valg[[#This Row],[Afhængig variabel ID]]&lt;&gt;LineærRegression_Valg[[#This Row],[Uafhængig variabel ID]]</f>
        <v>1</v>
      </c>
      <c r="E1668" s="188" t="b">
        <f>LineærRegression_Valg[[#This Row],[Afhængig variabel ID]]&lt;=$B$5</f>
        <v>0</v>
      </c>
      <c r="F1668" t="str" cm="1">
        <f t="array" ref="F1668">IF(LineærRegression_Valg[[#This Row],[Indenfor range]],INDEX(DataTitel_liste,LineærRegression_Valg[[#This Row],[Afhængig variabel ID]]),INDEX(DataTitel_liste,1))</f>
        <v>Eksempel 1 (interval)</v>
      </c>
      <c r="G1668" s="188" t="str" cm="1">
        <f t="array" ref="G1668">IF(LineærRegression_Valg[[#This Row],[Indenfor range]],IF(LineærRegression_Valg[[#This Row],[Intet overlap]],INDEX(DataTitel_liste,LineærRegression_Valg[[#This Row],[Uafhængig variabel ID]]),INDEX(DataTitel_liste,IF(LineærRegression_Valg[[#This Row],[Afhængig variabel ID]]=1,2,1))),$B$7)</f>
        <v>Eksempel 2 (interval)</v>
      </c>
      <c r="H1668" s="188">
        <f>_xlfn.AGGREGATE(2,5,LineærRegression_Valg[[#This Row],[Tabel ID]])</f>
        <v>1</v>
      </c>
    </row>
    <row r="1669" spans="1:8" x14ac:dyDescent="0.2">
      <c r="A1669">
        <f>ROW(LineærRegression_Valg[[#This Row],[Tabel ID]])-ROW(LineærRegression_Valg[[#Headers],[Tabel ID]])</f>
        <v>1659</v>
      </c>
      <c r="B1669" s="188">
        <f>ROUNDDOWN((LineærRegression_Valg[[#This Row],[Tabel ID]]-1)/$B$5,0)+1</f>
        <v>415</v>
      </c>
      <c r="C1669" s="188">
        <f t="shared" si="25"/>
        <v>3</v>
      </c>
      <c r="D1669" s="188" t="b">
        <f>LineærRegression_Valg[[#This Row],[Afhængig variabel ID]]&lt;&gt;LineærRegression_Valg[[#This Row],[Uafhængig variabel ID]]</f>
        <v>1</v>
      </c>
      <c r="E1669" s="188" t="b">
        <f>LineærRegression_Valg[[#This Row],[Afhængig variabel ID]]&lt;=$B$5</f>
        <v>0</v>
      </c>
      <c r="F1669" t="str" cm="1">
        <f t="array" ref="F1669">IF(LineærRegression_Valg[[#This Row],[Indenfor range]],INDEX(DataTitel_liste,LineærRegression_Valg[[#This Row],[Afhængig variabel ID]]),INDEX(DataTitel_liste,1))</f>
        <v>Eksempel 1 (interval)</v>
      </c>
      <c r="G1669" s="188" t="str" cm="1">
        <f t="array" ref="G1669">IF(LineærRegression_Valg[[#This Row],[Indenfor range]],IF(LineærRegression_Valg[[#This Row],[Intet overlap]],INDEX(DataTitel_liste,LineærRegression_Valg[[#This Row],[Uafhængig variabel ID]]),INDEX(DataTitel_liste,IF(LineærRegression_Valg[[#This Row],[Afhængig variabel ID]]=1,2,1))),$B$7)</f>
        <v>Eksempel 2 (interval)</v>
      </c>
      <c r="H1669" s="188">
        <f>_xlfn.AGGREGATE(2,5,LineærRegression_Valg[[#This Row],[Tabel ID]])</f>
        <v>1</v>
      </c>
    </row>
    <row r="1670" spans="1:8" x14ac:dyDescent="0.2">
      <c r="A1670">
        <f>ROW(LineærRegression_Valg[[#This Row],[Tabel ID]])-ROW(LineærRegression_Valg[[#Headers],[Tabel ID]])</f>
        <v>1660</v>
      </c>
      <c r="B1670" s="188">
        <f>ROUNDDOWN((LineærRegression_Valg[[#This Row],[Tabel ID]]-1)/$B$5,0)+1</f>
        <v>415</v>
      </c>
      <c r="C1670" s="188">
        <f t="shared" si="25"/>
        <v>4</v>
      </c>
      <c r="D1670" s="188" t="b">
        <f>LineærRegression_Valg[[#This Row],[Afhængig variabel ID]]&lt;&gt;LineærRegression_Valg[[#This Row],[Uafhængig variabel ID]]</f>
        <v>1</v>
      </c>
      <c r="E1670" s="188" t="b">
        <f>LineærRegression_Valg[[#This Row],[Afhængig variabel ID]]&lt;=$B$5</f>
        <v>0</v>
      </c>
      <c r="F1670" t="str" cm="1">
        <f t="array" ref="F1670">IF(LineærRegression_Valg[[#This Row],[Indenfor range]],INDEX(DataTitel_liste,LineærRegression_Valg[[#This Row],[Afhængig variabel ID]]),INDEX(DataTitel_liste,1))</f>
        <v>Eksempel 1 (interval)</v>
      </c>
      <c r="G1670" s="188" t="str" cm="1">
        <f t="array" ref="G1670">IF(LineærRegression_Valg[[#This Row],[Indenfor range]],IF(LineærRegression_Valg[[#This Row],[Intet overlap]],INDEX(DataTitel_liste,LineærRegression_Valg[[#This Row],[Uafhængig variabel ID]]),INDEX(DataTitel_liste,IF(LineærRegression_Valg[[#This Row],[Afhængig variabel ID]]=1,2,1))),$B$7)</f>
        <v>Eksempel 2 (interval)</v>
      </c>
      <c r="H1670" s="188">
        <f>_xlfn.AGGREGATE(2,5,LineærRegression_Valg[[#This Row],[Tabel ID]])</f>
        <v>1</v>
      </c>
    </row>
    <row r="1671" spans="1:8" x14ac:dyDescent="0.2">
      <c r="A1671">
        <f>ROW(LineærRegression_Valg[[#This Row],[Tabel ID]])-ROW(LineærRegression_Valg[[#Headers],[Tabel ID]])</f>
        <v>1661</v>
      </c>
      <c r="B1671" s="188">
        <f>ROUNDDOWN((LineærRegression_Valg[[#This Row],[Tabel ID]]-1)/$B$5,0)+1</f>
        <v>416</v>
      </c>
      <c r="C1671" s="188">
        <f t="shared" si="25"/>
        <v>1</v>
      </c>
      <c r="D1671" s="188" t="b">
        <f>LineærRegression_Valg[[#This Row],[Afhængig variabel ID]]&lt;&gt;LineærRegression_Valg[[#This Row],[Uafhængig variabel ID]]</f>
        <v>1</v>
      </c>
      <c r="E1671" s="188" t="b">
        <f>LineærRegression_Valg[[#This Row],[Afhængig variabel ID]]&lt;=$B$5</f>
        <v>0</v>
      </c>
      <c r="F1671" t="str" cm="1">
        <f t="array" ref="F1671">IF(LineærRegression_Valg[[#This Row],[Indenfor range]],INDEX(DataTitel_liste,LineærRegression_Valg[[#This Row],[Afhængig variabel ID]]),INDEX(DataTitel_liste,1))</f>
        <v>Eksempel 1 (interval)</v>
      </c>
      <c r="G1671" s="188" t="str" cm="1">
        <f t="array" ref="G1671">IF(LineærRegression_Valg[[#This Row],[Indenfor range]],IF(LineærRegression_Valg[[#This Row],[Intet overlap]],INDEX(DataTitel_liste,LineærRegression_Valg[[#This Row],[Uafhængig variabel ID]]),INDEX(DataTitel_liste,IF(LineærRegression_Valg[[#This Row],[Afhængig variabel ID]]=1,2,1))),$B$7)</f>
        <v>Eksempel 2 (interval)</v>
      </c>
      <c r="H1671" s="188">
        <f>_xlfn.AGGREGATE(2,5,LineærRegression_Valg[[#This Row],[Tabel ID]])</f>
        <v>1</v>
      </c>
    </row>
    <row r="1672" spans="1:8" x14ac:dyDescent="0.2">
      <c r="A1672">
        <f>ROW(LineærRegression_Valg[[#This Row],[Tabel ID]])-ROW(LineærRegression_Valg[[#Headers],[Tabel ID]])</f>
        <v>1662</v>
      </c>
      <c r="B1672" s="188">
        <f>ROUNDDOWN((LineærRegression_Valg[[#This Row],[Tabel ID]]-1)/$B$5,0)+1</f>
        <v>416</v>
      </c>
      <c r="C1672" s="188">
        <f t="shared" si="25"/>
        <v>2</v>
      </c>
      <c r="D1672" s="188" t="b">
        <f>LineærRegression_Valg[[#This Row],[Afhængig variabel ID]]&lt;&gt;LineærRegression_Valg[[#This Row],[Uafhængig variabel ID]]</f>
        <v>1</v>
      </c>
      <c r="E1672" s="188" t="b">
        <f>LineærRegression_Valg[[#This Row],[Afhængig variabel ID]]&lt;=$B$5</f>
        <v>0</v>
      </c>
      <c r="F1672" t="str" cm="1">
        <f t="array" ref="F1672">IF(LineærRegression_Valg[[#This Row],[Indenfor range]],INDEX(DataTitel_liste,LineærRegression_Valg[[#This Row],[Afhængig variabel ID]]),INDEX(DataTitel_liste,1))</f>
        <v>Eksempel 1 (interval)</v>
      </c>
      <c r="G1672" s="188" t="str" cm="1">
        <f t="array" ref="G1672">IF(LineærRegression_Valg[[#This Row],[Indenfor range]],IF(LineærRegression_Valg[[#This Row],[Intet overlap]],INDEX(DataTitel_liste,LineærRegression_Valg[[#This Row],[Uafhængig variabel ID]]),INDEX(DataTitel_liste,IF(LineærRegression_Valg[[#This Row],[Afhængig variabel ID]]=1,2,1))),$B$7)</f>
        <v>Eksempel 2 (interval)</v>
      </c>
      <c r="H1672" s="188">
        <f>_xlfn.AGGREGATE(2,5,LineærRegression_Valg[[#This Row],[Tabel ID]])</f>
        <v>1</v>
      </c>
    </row>
    <row r="1673" spans="1:8" x14ac:dyDescent="0.2">
      <c r="A1673">
        <f>ROW(LineærRegression_Valg[[#This Row],[Tabel ID]])-ROW(LineærRegression_Valg[[#Headers],[Tabel ID]])</f>
        <v>1663</v>
      </c>
      <c r="B1673" s="188">
        <f>ROUNDDOWN((LineærRegression_Valg[[#This Row],[Tabel ID]]-1)/$B$5,0)+1</f>
        <v>416</v>
      </c>
      <c r="C1673" s="188">
        <f t="shared" si="25"/>
        <v>3</v>
      </c>
      <c r="D1673" s="188" t="b">
        <f>LineærRegression_Valg[[#This Row],[Afhængig variabel ID]]&lt;&gt;LineærRegression_Valg[[#This Row],[Uafhængig variabel ID]]</f>
        <v>1</v>
      </c>
      <c r="E1673" s="188" t="b">
        <f>LineærRegression_Valg[[#This Row],[Afhængig variabel ID]]&lt;=$B$5</f>
        <v>0</v>
      </c>
      <c r="F1673" t="str" cm="1">
        <f t="array" ref="F1673">IF(LineærRegression_Valg[[#This Row],[Indenfor range]],INDEX(DataTitel_liste,LineærRegression_Valg[[#This Row],[Afhængig variabel ID]]),INDEX(DataTitel_liste,1))</f>
        <v>Eksempel 1 (interval)</v>
      </c>
      <c r="G1673" s="188" t="str" cm="1">
        <f t="array" ref="G1673">IF(LineærRegression_Valg[[#This Row],[Indenfor range]],IF(LineærRegression_Valg[[#This Row],[Intet overlap]],INDEX(DataTitel_liste,LineærRegression_Valg[[#This Row],[Uafhængig variabel ID]]),INDEX(DataTitel_liste,IF(LineærRegression_Valg[[#This Row],[Afhængig variabel ID]]=1,2,1))),$B$7)</f>
        <v>Eksempel 2 (interval)</v>
      </c>
      <c r="H1673" s="188">
        <f>_xlfn.AGGREGATE(2,5,LineærRegression_Valg[[#This Row],[Tabel ID]])</f>
        <v>1</v>
      </c>
    </row>
    <row r="1674" spans="1:8" x14ac:dyDescent="0.2">
      <c r="A1674">
        <f>ROW(LineærRegression_Valg[[#This Row],[Tabel ID]])-ROW(LineærRegression_Valg[[#Headers],[Tabel ID]])</f>
        <v>1664</v>
      </c>
      <c r="B1674" s="188">
        <f>ROUNDDOWN((LineærRegression_Valg[[#This Row],[Tabel ID]]-1)/$B$5,0)+1</f>
        <v>416</v>
      </c>
      <c r="C1674" s="188">
        <f t="shared" si="25"/>
        <v>4</v>
      </c>
      <c r="D1674" s="188" t="b">
        <f>LineærRegression_Valg[[#This Row],[Afhængig variabel ID]]&lt;&gt;LineærRegression_Valg[[#This Row],[Uafhængig variabel ID]]</f>
        <v>1</v>
      </c>
      <c r="E1674" s="188" t="b">
        <f>LineærRegression_Valg[[#This Row],[Afhængig variabel ID]]&lt;=$B$5</f>
        <v>0</v>
      </c>
      <c r="F1674" t="str" cm="1">
        <f t="array" ref="F1674">IF(LineærRegression_Valg[[#This Row],[Indenfor range]],INDEX(DataTitel_liste,LineærRegression_Valg[[#This Row],[Afhængig variabel ID]]),INDEX(DataTitel_liste,1))</f>
        <v>Eksempel 1 (interval)</v>
      </c>
      <c r="G1674" s="188" t="str" cm="1">
        <f t="array" ref="G1674">IF(LineærRegression_Valg[[#This Row],[Indenfor range]],IF(LineærRegression_Valg[[#This Row],[Intet overlap]],INDEX(DataTitel_liste,LineærRegression_Valg[[#This Row],[Uafhængig variabel ID]]),INDEX(DataTitel_liste,IF(LineærRegression_Valg[[#This Row],[Afhængig variabel ID]]=1,2,1))),$B$7)</f>
        <v>Eksempel 2 (interval)</v>
      </c>
      <c r="H1674" s="188">
        <f>_xlfn.AGGREGATE(2,5,LineærRegression_Valg[[#This Row],[Tabel ID]])</f>
        <v>1</v>
      </c>
    </row>
    <row r="1675" spans="1:8" x14ac:dyDescent="0.2">
      <c r="A1675">
        <f>ROW(LineærRegression_Valg[[#This Row],[Tabel ID]])-ROW(LineærRegression_Valg[[#Headers],[Tabel ID]])</f>
        <v>1665</v>
      </c>
      <c r="B1675" s="188">
        <f>ROUNDDOWN((LineærRegression_Valg[[#This Row],[Tabel ID]]-1)/$B$5,0)+1</f>
        <v>417</v>
      </c>
      <c r="C1675" s="188">
        <f t="shared" ref="C1675:C1738" si="26">MOD(A1675-1,$B$5)+1</f>
        <v>1</v>
      </c>
      <c r="D1675" s="188" t="b">
        <f>LineærRegression_Valg[[#This Row],[Afhængig variabel ID]]&lt;&gt;LineærRegression_Valg[[#This Row],[Uafhængig variabel ID]]</f>
        <v>1</v>
      </c>
      <c r="E1675" s="188" t="b">
        <f>LineærRegression_Valg[[#This Row],[Afhængig variabel ID]]&lt;=$B$5</f>
        <v>0</v>
      </c>
      <c r="F1675" t="str" cm="1">
        <f t="array" ref="F1675">IF(LineærRegression_Valg[[#This Row],[Indenfor range]],INDEX(DataTitel_liste,LineærRegression_Valg[[#This Row],[Afhængig variabel ID]]),INDEX(DataTitel_liste,1))</f>
        <v>Eksempel 1 (interval)</v>
      </c>
      <c r="G1675" s="188" t="str" cm="1">
        <f t="array" ref="G1675">IF(LineærRegression_Valg[[#This Row],[Indenfor range]],IF(LineærRegression_Valg[[#This Row],[Intet overlap]],INDEX(DataTitel_liste,LineærRegression_Valg[[#This Row],[Uafhængig variabel ID]]),INDEX(DataTitel_liste,IF(LineærRegression_Valg[[#This Row],[Afhængig variabel ID]]=1,2,1))),$B$7)</f>
        <v>Eksempel 2 (interval)</v>
      </c>
      <c r="H1675" s="188">
        <f>_xlfn.AGGREGATE(2,5,LineærRegression_Valg[[#This Row],[Tabel ID]])</f>
        <v>1</v>
      </c>
    </row>
    <row r="1676" spans="1:8" x14ac:dyDescent="0.2">
      <c r="A1676">
        <f>ROW(LineærRegression_Valg[[#This Row],[Tabel ID]])-ROW(LineærRegression_Valg[[#Headers],[Tabel ID]])</f>
        <v>1666</v>
      </c>
      <c r="B1676" s="188">
        <f>ROUNDDOWN((LineærRegression_Valg[[#This Row],[Tabel ID]]-1)/$B$5,0)+1</f>
        <v>417</v>
      </c>
      <c r="C1676" s="188">
        <f t="shared" si="26"/>
        <v>2</v>
      </c>
      <c r="D1676" s="188" t="b">
        <f>LineærRegression_Valg[[#This Row],[Afhængig variabel ID]]&lt;&gt;LineærRegression_Valg[[#This Row],[Uafhængig variabel ID]]</f>
        <v>1</v>
      </c>
      <c r="E1676" s="188" t="b">
        <f>LineærRegression_Valg[[#This Row],[Afhængig variabel ID]]&lt;=$B$5</f>
        <v>0</v>
      </c>
      <c r="F1676" t="str" cm="1">
        <f t="array" ref="F1676">IF(LineærRegression_Valg[[#This Row],[Indenfor range]],INDEX(DataTitel_liste,LineærRegression_Valg[[#This Row],[Afhængig variabel ID]]),INDEX(DataTitel_liste,1))</f>
        <v>Eksempel 1 (interval)</v>
      </c>
      <c r="G1676" s="188" t="str" cm="1">
        <f t="array" ref="G1676">IF(LineærRegression_Valg[[#This Row],[Indenfor range]],IF(LineærRegression_Valg[[#This Row],[Intet overlap]],INDEX(DataTitel_liste,LineærRegression_Valg[[#This Row],[Uafhængig variabel ID]]),INDEX(DataTitel_liste,IF(LineærRegression_Valg[[#This Row],[Afhængig variabel ID]]=1,2,1))),$B$7)</f>
        <v>Eksempel 2 (interval)</v>
      </c>
      <c r="H1676" s="188">
        <f>_xlfn.AGGREGATE(2,5,LineærRegression_Valg[[#This Row],[Tabel ID]])</f>
        <v>1</v>
      </c>
    </row>
    <row r="1677" spans="1:8" x14ac:dyDescent="0.2">
      <c r="A1677">
        <f>ROW(LineærRegression_Valg[[#This Row],[Tabel ID]])-ROW(LineærRegression_Valg[[#Headers],[Tabel ID]])</f>
        <v>1667</v>
      </c>
      <c r="B1677" s="188">
        <f>ROUNDDOWN((LineærRegression_Valg[[#This Row],[Tabel ID]]-1)/$B$5,0)+1</f>
        <v>417</v>
      </c>
      <c r="C1677" s="188">
        <f t="shared" si="26"/>
        <v>3</v>
      </c>
      <c r="D1677" s="188" t="b">
        <f>LineærRegression_Valg[[#This Row],[Afhængig variabel ID]]&lt;&gt;LineærRegression_Valg[[#This Row],[Uafhængig variabel ID]]</f>
        <v>1</v>
      </c>
      <c r="E1677" s="188" t="b">
        <f>LineærRegression_Valg[[#This Row],[Afhængig variabel ID]]&lt;=$B$5</f>
        <v>0</v>
      </c>
      <c r="F1677" t="str" cm="1">
        <f t="array" ref="F1677">IF(LineærRegression_Valg[[#This Row],[Indenfor range]],INDEX(DataTitel_liste,LineærRegression_Valg[[#This Row],[Afhængig variabel ID]]),INDEX(DataTitel_liste,1))</f>
        <v>Eksempel 1 (interval)</v>
      </c>
      <c r="G1677" s="188" t="str" cm="1">
        <f t="array" ref="G1677">IF(LineærRegression_Valg[[#This Row],[Indenfor range]],IF(LineærRegression_Valg[[#This Row],[Intet overlap]],INDEX(DataTitel_liste,LineærRegression_Valg[[#This Row],[Uafhængig variabel ID]]),INDEX(DataTitel_liste,IF(LineærRegression_Valg[[#This Row],[Afhængig variabel ID]]=1,2,1))),$B$7)</f>
        <v>Eksempel 2 (interval)</v>
      </c>
      <c r="H1677" s="188">
        <f>_xlfn.AGGREGATE(2,5,LineærRegression_Valg[[#This Row],[Tabel ID]])</f>
        <v>1</v>
      </c>
    </row>
    <row r="1678" spans="1:8" x14ac:dyDescent="0.2">
      <c r="A1678">
        <f>ROW(LineærRegression_Valg[[#This Row],[Tabel ID]])-ROW(LineærRegression_Valg[[#Headers],[Tabel ID]])</f>
        <v>1668</v>
      </c>
      <c r="B1678" s="188">
        <f>ROUNDDOWN((LineærRegression_Valg[[#This Row],[Tabel ID]]-1)/$B$5,0)+1</f>
        <v>417</v>
      </c>
      <c r="C1678" s="188">
        <f t="shared" si="26"/>
        <v>4</v>
      </c>
      <c r="D1678" s="188" t="b">
        <f>LineærRegression_Valg[[#This Row],[Afhængig variabel ID]]&lt;&gt;LineærRegression_Valg[[#This Row],[Uafhængig variabel ID]]</f>
        <v>1</v>
      </c>
      <c r="E1678" s="188" t="b">
        <f>LineærRegression_Valg[[#This Row],[Afhængig variabel ID]]&lt;=$B$5</f>
        <v>0</v>
      </c>
      <c r="F1678" t="str" cm="1">
        <f t="array" ref="F1678">IF(LineærRegression_Valg[[#This Row],[Indenfor range]],INDEX(DataTitel_liste,LineærRegression_Valg[[#This Row],[Afhængig variabel ID]]),INDEX(DataTitel_liste,1))</f>
        <v>Eksempel 1 (interval)</v>
      </c>
      <c r="G1678" s="188" t="str" cm="1">
        <f t="array" ref="G1678">IF(LineærRegression_Valg[[#This Row],[Indenfor range]],IF(LineærRegression_Valg[[#This Row],[Intet overlap]],INDEX(DataTitel_liste,LineærRegression_Valg[[#This Row],[Uafhængig variabel ID]]),INDEX(DataTitel_liste,IF(LineærRegression_Valg[[#This Row],[Afhængig variabel ID]]=1,2,1))),$B$7)</f>
        <v>Eksempel 2 (interval)</v>
      </c>
      <c r="H1678" s="188">
        <f>_xlfn.AGGREGATE(2,5,LineærRegression_Valg[[#This Row],[Tabel ID]])</f>
        <v>1</v>
      </c>
    </row>
    <row r="1679" spans="1:8" x14ac:dyDescent="0.2">
      <c r="A1679">
        <f>ROW(LineærRegression_Valg[[#This Row],[Tabel ID]])-ROW(LineærRegression_Valg[[#Headers],[Tabel ID]])</f>
        <v>1669</v>
      </c>
      <c r="B1679" s="188">
        <f>ROUNDDOWN((LineærRegression_Valg[[#This Row],[Tabel ID]]-1)/$B$5,0)+1</f>
        <v>418</v>
      </c>
      <c r="C1679" s="188">
        <f t="shared" si="26"/>
        <v>1</v>
      </c>
      <c r="D1679" s="188" t="b">
        <f>LineærRegression_Valg[[#This Row],[Afhængig variabel ID]]&lt;&gt;LineærRegression_Valg[[#This Row],[Uafhængig variabel ID]]</f>
        <v>1</v>
      </c>
      <c r="E1679" s="188" t="b">
        <f>LineærRegression_Valg[[#This Row],[Afhængig variabel ID]]&lt;=$B$5</f>
        <v>0</v>
      </c>
      <c r="F1679" t="str" cm="1">
        <f t="array" ref="F1679">IF(LineærRegression_Valg[[#This Row],[Indenfor range]],INDEX(DataTitel_liste,LineærRegression_Valg[[#This Row],[Afhængig variabel ID]]),INDEX(DataTitel_liste,1))</f>
        <v>Eksempel 1 (interval)</v>
      </c>
      <c r="G1679" s="188" t="str" cm="1">
        <f t="array" ref="G1679">IF(LineærRegression_Valg[[#This Row],[Indenfor range]],IF(LineærRegression_Valg[[#This Row],[Intet overlap]],INDEX(DataTitel_liste,LineærRegression_Valg[[#This Row],[Uafhængig variabel ID]]),INDEX(DataTitel_liste,IF(LineærRegression_Valg[[#This Row],[Afhængig variabel ID]]=1,2,1))),$B$7)</f>
        <v>Eksempel 2 (interval)</v>
      </c>
      <c r="H1679" s="188">
        <f>_xlfn.AGGREGATE(2,5,LineærRegression_Valg[[#This Row],[Tabel ID]])</f>
        <v>1</v>
      </c>
    </row>
    <row r="1680" spans="1:8" x14ac:dyDescent="0.2">
      <c r="A1680">
        <f>ROW(LineærRegression_Valg[[#This Row],[Tabel ID]])-ROW(LineærRegression_Valg[[#Headers],[Tabel ID]])</f>
        <v>1670</v>
      </c>
      <c r="B1680" s="188">
        <f>ROUNDDOWN((LineærRegression_Valg[[#This Row],[Tabel ID]]-1)/$B$5,0)+1</f>
        <v>418</v>
      </c>
      <c r="C1680" s="188">
        <f t="shared" si="26"/>
        <v>2</v>
      </c>
      <c r="D1680" s="188" t="b">
        <f>LineærRegression_Valg[[#This Row],[Afhængig variabel ID]]&lt;&gt;LineærRegression_Valg[[#This Row],[Uafhængig variabel ID]]</f>
        <v>1</v>
      </c>
      <c r="E1680" s="188" t="b">
        <f>LineærRegression_Valg[[#This Row],[Afhængig variabel ID]]&lt;=$B$5</f>
        <v>0</v>
      </c>
      <c r="F1680" t="str" cm="1">
        <f t="array" ref="F1680">IF(LineærRegression_Valg[[#This Row],[Indenfor range]],INDEX(DataTitel_liste,LineærRegression_Valg[[#This Row],[Afhængig variabel ID]]),INDEX(DataTitel_liste,1))</f>
        <v>Eksempel 1 (interval)</v>
      </c>
      <c r="G1680" s="188" t="str" cm="1">
        <f t="array" ref="G1680">IF(LineærRegression_Valg[[#This Row],[Indenfor range]],IF(LineærRegression_Valg[[#This Row],[Intet overlap]],INDEX(DataTitel_liste,LineærRegression_Valg[[#This Row],[Uafhængig variabel ID]]),INDEX(DataTitel_liste,IF(LineærRegression_Valg[[#This Row],[Afhængig variabel ID]]=1,2,1))),$B$7)</f>
        <v>Eksempel 2 (interval)</v>
      </c>
      <c r="H1680" s="188">
        <f>_xlfn.AGGREGATE(2,5,LineærRegression_Valg[[#This Row],[Tabel ID]])</f>
        <v>1</v>
      </c>
    </row>
    <row r="1681" spans="1:8" x14ac:dyDescent="0.2">
      <c r="A1681">
        <f>ROW(LineærRegression_Valg[[#This Row],[Tabel ID]])-ROW(LineærRegression_Valg[[#Headers],[Tabel ID]])</f>
        <v>1671</v>
      </c>
      <c r="B1681" s="188">
        <f>ROUNDDOWN((LineærRegression_Valg[[#This Row],[Tabel ID]]-1)/$B$5,0)+1</f>
        <v>418</v>
      </c>
      <c r="C1681" s="188">
        <f t="shared" si="26"/>
        <v>3</v>
      </c>
      <c r="D1681" s="188" t="b">
        <f>LineærRegression_Valg[[#This Row],[Afhængig variabel ID]]&lt;&gt;LineærRegression_Valg[[#This Row],[Uafhængig variabel ID]]</f>
        <v>1</v>
      </c>
      <c r="E1681" s="188" t="b">
        <f>LineærRegression_Valg[[#This Row],[Afhængig variabel ID]]&lt;=$B$5</f>
        <v>0</v>
      </c>
      <c r="F1681" t="str" cm="1">
        <f t="array" ref="F1681">IF(LineærRegression_Valg[[#This Row],[Indenfor range]],INDEX(DataTitel_liste,LineærRegression_Valg[[#This Row],[Afhængig variabel ID]]),INDEX(DataTitel_liste,1))</f>
        <v>Eksempel 1 (interval)</v>
      </c>
      <c r="G1681" s="188" t="str" cm="1">
        <f t="array" ref="G1681">IF(LineærRegression_Valg[[#This Row],[Indenfor range]],IF(LineærRegression_Valg[[#This Row],[Intet overlap]],INDEX(DataTitel_liste,LineærRegression_Valg[[#This Row],[Uafhængig variabel ID]]),INDEX(DataTitel_liste,IF(LineærRegression_Valg[[#This Row],[Afhængig variabel ID]]=1,2,1))),$B$7)</f>
        <v>Eksempel 2 (interval)</v>
      </c>
      <c r="H1681" s="188">
        <f>_xlfn.AGGREGATE(2,5,LineærRegression_Valg[[#This Row],[Tabel ID]])</f>
        <v>1</v>
      </c>
    </row>
    <row r="1682" spans="1:8" x14ac:dyDescent="0.2">
      <c r="A1682">
        <f>ROW(LineærRegression_Valg[[#This Row],[Tabel ID]])-ROW(LineærRegression_Valg[[#Headers],[Tabel ID]])</f>
        <v>1672</v>
      </c>
      <c r="B1682" s="188">
        <f>ROUNDDOWN((LineærRegression_Valg[[#This Row],[Tabel ID]]-1)/$B$5,0)+1</f>
        <v>418</v>
      </c>
      <c r="C1682" s="188">
        <f t="shared" si="26"/>
        <v>4</v>
      </c>
      <c r="D1682" s="188" t="b">
        <f>LineærRegression_Valg[[#This Row],[Afhængig variabel ID]]&lt;&gt;LineærRegression_Valg[[#This Row],[Uafhængig variabel ID]]</f>
        <v>1</v>
      </c>
      <c r="E1682" s="188" t="b">
        <f>LineærRegression_Valg[[#This Row],[Afhængig variabel ID]]&lt;=$B$5</f>
        <v>0</v>
      </c>
      <c r="F1682" t="str" cm="1">
        <f t="array" ref="F1682">IF(LineærRegression_Valg[[#This Row],[Indenfor range]],INDEX(DataTitel_liste,LineærRegression_Valg[[#This Row],[Afhængig variabel ID]]),INDEX(DataTitel_liste,1))</f>
        <v>Eksempel 1 (interval)</v>
      </c>
      <c r="G1682" s="188" t="str" cm="1">
        <f t="array" ref="G1682">IF(LineærRegression_Valg[[#This Row],[Indenfor range]],IF(LineærRegression_Valg[[#This Row],[Intet overlap]],INDEX(DataTitel_liste,LineærRegression_Valg[[#This Row],[Uafhængig variabel ID]]),INDEX(DataTitel_liste,IF(LineærRegression_Valg[[#This Row],[Afhængig variabel ID]]=1,2,1))),$B$7)</f>
        <v>Eksempel 2 (interval)</v>
      </c>
      <c r="H1682" s="188">
        <f>_xlfn.AGGREGATE(2,5,LineærRegression_Valg[[#This Row],[Tabel ID]])</f>
        <v>1</v>
      </c>
    </row>
    <row r="1683" spans="1:8" x14ac:dyDescent="0.2">
      <c r="A1683">
        <f>ROW(LineærRegression_Valg[[#This Row],[Tabel ID]])-ROW(LineærRegression_Valg[[#Headers],[Tabel ID]])</f>
        <v>1673</v>
      </c>
      <c r="B1683" s="188">
        <f>ROUNDDOWN((LineærRegression_Valg[[#This Row],[Tabel ID]]-1)/$B$5,0)+1</f>
        <v>419</v>
      </c>
      <c r="C1683" s="188">
        <f t="shared" si="26"/>
        <v>1</v>
      </c>
      <c r="D1683" s="188" t="b">
        <f>LineærRegression_Valg[[#This Row],[Afhængig variabel ID]]&lt;&gt;LineærRegression_Valg[[#This Row],[Uafhængig variabel ID]]</f>
        <v>1</v>
      </c>
      <c r="E1683" s="188" t="b">
        <f>LineærRegression_Valg[[#This Row],[Afhængig variabel ID]]&lt;=$B$5</f>
        <v>0</v>
      </c>
      <c r="F1683" t="str" cm="1">
        <f t="array" ref="F1683">IF(LineærRegression_Valg[[#This Row],[Indenfor range]],INDEX(DataTitel_liste,LineærRegression_Valg[[#This Row],[Afhængig variabel ID]]),INDEX(DataTitel_liste,1))</f>
        <v>Eksempel 1 (interval)</v>
      </c>
      <c r="G1683" s="188" t="str" cm="1">
        <f t="array" ref="G1683">IF(LineærRegression_Valg[[#This Row],[Indenfor range]],IF(LineærRegression_Valg[[#This Row],[Intet overlap]],INDEX(DataTitel_liste,LineærRegression_Valg[[#This Row],[Uafhængig variabel ID]]),INDEX(DataTitel_liste,IF(LineærRegression_Valg[[#This Row],[Afhængig variabel ID]]=1,2,1))),$B$7)</f>
        <v>Eksempel 2 (interval)</v>
      </c>
      <c r="H1683" s="188">
        <f>_xlfn.AGGREGATE(2,5,LineærRegression_Valg[[#This Row],[Tabel ID]])</f>
        <v>1</v>
      </c>
    </row>
    <row r="1684" spans="1:8" x14ac:dyDescent="0.2">
      <c r="A1684">
        <f>ROW(LineærRegression_Valg[[#This Row],[Tabel ID]])-ROW(LineærRegression_Valg[[#Headers],[Tabel ID]])</f>
        <v>1674</v>
      </c>
      <c r="B1684" s="188">
        <f>ROUNDDOWN((LineærRegression_Valg[[#This Row],[Tabel ID]]-1)/$B$5,0)+1</f>
        <v>419</v>
      </c>
      <c r="C1684" s="188">
        <f t="shared" si="26"/>
        <v>2</v>
      </c>
      <c r="D1684" s="188" t="b">
        <f>LineærRegression_Valg[[#This Row],[Afhængig variabel ID]]&lt;&gt;LineærRegression_Valg[[#This Row],[Uafhængig variabel ID]]</f>
        <v>1</v>
      </c>
      <c r="E1684" s="188" t="b">
        <f>LineærRegression_Valg[[#This Row],[Afhængig variabel ID]]&lt;=$B$5</f>
        <v>0</v>
      </c>
      <c r="F1684" t="str" cm="1">
        <f t="array" ref="F1684">IF(LineærRegression_Valg[[#This Row],[Indenfor range]],INDEX(DataTitel_liste,LineærRegression_Valg[[#This Row],[Afhængig variabel ID]]),INDEX(DataTitel_liste,1))</f>
        <v>Eksempel 1 (interval)</v>
      </c>
      <c r="G1684" s="188" t="str" cm="1">
        <f t="array" ref="G1684">IF(LineærRegression_Valg[[#This Row],[Indenfor range]],IF(LineærRegression_Valg[[#This Row],[Intet overlap]],INDEX(DataTitel_liste,LineærRegression_Valg[[#This Row],[Uafhængig variabel ID]]),INDEX(DataTitel_liste,IF(LineærRegression_Valg[[#This Row],[Afhængig variabel ID]]=1,2,1))),$B$7)</f>
        <v>Eksempel 2 (interval)</v>
      </c>
      <c r="H1684" s="188">
        <f>_xlfn.AGGREGATE(2,5,LineærRegression_Valg[[#This Row],[Tabel ID]])</f>
        <v>1</v>
      </c>
    </row>
    <row r="1685" spans="1:8" x14ac:dyDescent="0.2">
      <c r="A1685">
        <f>ROW(LineærRegression_Valg[[#This Row],[Tabel ID]])-ROW(LineærRegression_Valg[[#Headers],[Tabel ID]])</f>
        <v>1675</v>
      </c>
      <c r="B1685" s="188">
        <f>ROUNDDOWN((LineærRegression_Valg[[#This Row],[Tabel ID]]-1)/$B$5,0)+1</f>
        <v>419</v>
      </c>
      <c r="C1685" s="188">
        <f t="shared" si="26"/>
        <v>3</v>
      </c>
      <c r="D1685" s="188" t="b">
        <f>LineærRegression_Valg[[#This Row],[Afhængig variabel ID]]&lt;&gt;LineærRegression_Valg[[#This Row],[Uafhængig variabel ID]]</f>
        <v>1</v>
      </c>
      <c r="E1685" s="188" t="b">
        <f>LineærRegression_Valg[[#This Row],[Afhængig variabel ID]]&lt;=$B$5</f>
        <v>0</v>
      </c>
      <c r="F1685" t="str" cm="1">
        <f t="array" ref="F1685">IF(LineærRegression_Valg[[#This Row],[Indenfor range]],INDEX(DataTitel_liste,LineærRegression_Valg[[#This Row],[Afhængig variabel ID]]),INDEX(DataTitel_liste,1))</f>
        <v>Eksempel 1 (interval)</v>
      </c>
      <c r="G1685" s="188" t="str" cm="1">
        <f t="array" ref="G1685">IF(LineærRegression_Valg[[#This Row],[Indenfor range]],IF(LineærRegression_Valg[[#This Row],[Intet overlap]],INDEX(DataTitel_liste,LineærRegression_Valg[[#This Row],[Uafhængig variabel ID]]),INDEX(DataTitel_liste,IF(LineærRegression_Valg[[#This Row],[Afhængig variabel ID]]=1,2,1))),$B$7)</f>
        <v>Eksempel 2 (interval)</v>
      </c>
      <c r="H1685" s="188">
        <f>_xlfn.AGGREGATE(2,5,LineærRegression_Valg[[#This Row],[Tabel ID]])</f>
        <v>1</v>
      </c>
    </row>
    <row r="1686" spans="1:8" x14ac:dyDescent="0.2">
      <c r="A1686">
        <f>ROW(LineærRegression_Valg[[#This Row],[Tabel ID]])-ROW(LineærRegression_Valg[[#Headers],[Tabel ID]])</f>
        <v>1676</v>
      </c>
      <c r="B1686" s="188">
        <f>ROUNDDOWN((LineærRegression_Valg[[#This Row],[Tabel ID]]-1)/$B$5,0)+1</f>
        <v>419</v>
      </c>
      <c r="C1686" s="188">
        <f t="shared" si="26"/>
        <v>4</v>
      </c>
      <c r="D1686" s="188" t="b">
        <f>LineærRegression_Valg[[#This Row],[Afhængig variabel ID]]&lt;&gt;LineærRegression_Valg[[#This Row],[Uafhængig variabel ID]]</f>
        <v>1</v>
      </c>
      <c r="E1686" s="188" t="b">
        <f>LineærRegression_Valg[[#This Row],[Afhængig variabel ID]]&lt;=$B$5</f>
        <v>0</v>
      </c>
      <c r="F1686" t="str" cm="1">
        <f t="array" ref="F1686">IF(LineærRegression_Valg[[#This Row],[Indenfor range]],INDEX(DataTitel_liste,LineærRegression_Valg[[#This Row],[Afhængig variabel ID]]),INDEX(DataTitel_liste,1))</f>
        <v>Eksempel 1 (interval)</v>
      </c>
      <c r="G1686" s="188" t="str" cm="1">
        <f t="array" ref="G1686">IF(LineærRegression_Valg[[#This Row],[Indenfor range]],IF(LineærRegression_Valg[[#This Row],[Intet overlap]],INDEX(DataTitel_liste,LineærRegression_Valg[[#This Row],[Uafhængig variabel ID]]),INDEX(DataTitel_liste,IF(LineærRegression_Valg[[#This Row],[Afhængig variabel ID]]=1,2,1))),$B$7)</f>
        <v>Eksempel 2 (interval)</v>
      </c>
      <c r="H1686" s="188">
        <f>_xlfn.AGGREGATE(2,5,LineærRegression_Valg[[#This Row],[Tabel ID]])</f>
        <v>1</v>
      </c>
    </row>
    <row r="1687" spans="1:8" x14ac:dyDescent="0.2">
      <c r="A1687">
        <f>ROW(LineærRegression_Valg[[#This Row],[Tabel ID]])-ROW(LineærRegression_Valg[[#Headers],[Tabel ID]])</f>
        <v>1677</v>
      </c>
      <c r="B1687" s="188">
        <f>ROUNDDOWN((LineærRegression_Valg[[#This Row],[Tabel ID]]-1)/$B$5,0)+1</f>
        <v>420</v>
      </c>
      <c r="C1687" s="188">
        <f t="shared" si="26"/>
        <v>1</v>
      </c>
      <c r="D1687" s="188" t="b">
        <f>LineærRegression_Valg[[#This Row],[Afhængig variabel ID]]&lt;&gt;LineærRegression_Valg[[#This Row],[Uafhængig variabel ID]]</f>
        <v>1</v>
      </c>
      <c r="E1687" s="188" t="b">
        <f>LineærRegression_Valg[[#This Row],[Afhængig variabel ID]]&lt;=$B$5</f>
        <v>0</v>
      </c>
      <c r="F1687" t="str" cm="1">
        <f t="array" ref="F1687">IF(LineærRegression_Valg[[#This Row],[Indenfor range]],INDEX(DataTitel_liste,LineærRegression_Valg[[#This Row],[Afhængig variabel ID]]),INDEX(DataTitel_liste,1))</f>
        <v>Eksempel 1 (interval)</v>
      </c>
      <c r="G1687" s="188" t="str" cm="1">
        <f t="array" ref="G1687">IF(LineærRegression_Valg[[#This Row],[Indenfor range]],IF(LineærRegression_Valg[[#This Row],[Intet overlap]],INDEX(DataTitel_liste,LineærRegression_Valg[[#This Row],[Uafhængig variabel ID]]),INDEX(DataTitel_liste,IF(LineærRegression_Valg[[#This Row],[Afhængig variabel ID]]=1,2,1))),$B$7)</f>
        <v>Eksempel 2 (interval)</v>
      </c>
      <c r="H1687" s="188">
        <f>_xlfn.AGGREGATE(2,5,LineærRegression_Valg[[#This Row],[Tabel ID]])</f>
        <v>1</v>
      </c>
    </row>
    <row r="1688" spans="1:8" x14ac:dyDescent="0.2">
      <c r="A1688">
        <f>ROW(LineærRegression_Valg[[#This Row],[Tabel ID]])-ROW(LineærRegression_Valg[[#Headers],[Tabel ID]])</f>
        <v>1678</v>
      </c>
      <c r="B1688" s="188">
        <f>ROUNDDOWN((LineærRegression_Valg[[#This Row],[Tabel ID]]-1)/$B$5,0)+1</f>
        <v>420</v>
      </c>
      <c r="C1688" s="188">
        <f t="shared" si="26"/>
        <v>2</v>
      </c>
      <c r="D1688" s="188" t="b">
        <f>LineærRegression_Valg[[#This Row],[Afhængig variabel ID]]&lt;&gt;LineærRegression_Valg[[#This Row],[Uafhængig variabel ID]]</f>
        <v>1</v>
      </c>
      <c r="E1688" s="188" t="b">
        <f>LineærRegression_Valg[[#This Row],[Afhængig variabel ID]]&lt;=$B$5</f>
        <v>0</v>
      </c>
      <c r="F1688" t="str" cm="1">
        <f t="array" ref="F1688">IF(LineærRegression_Valg[[#This Row],[Indenfor range]],INDEX(DataTitel_liste,LineærRegression_Valg[[#This Row],[Afhængig variabel ID]]),INDEX(DataTitel_liste,1))</f>
        <v>Eksempel 1 (interval)</v>
      </c>
      <c r="G1688" s="188" t="str" cm="1">
        <f t="array" ref="G1688">IF(LineærRegression_Valg[[#This Row],[Indenfor range]],IF(LineærRegression_Valg[[#This Row],[Intet overlap]],INDEX(DataTitel_liste,LineærRegression_Valg[[#This Row],[Uafhængig variabel ID]]),INDEX(DataTitel_liste,IF(LineærRegression_Valg[[#This Row],[Afhængig variabel ID]]=1,2,1))),$B$7)</f>
        <v>Eksempel 2 (interval)</v>
      </c>
      <c r="H1688" s="188">
        <f>_xlfn.AGGREGATE(2,5,LineærRegression_Valg[[#This Row],[Tabel ID]])</f>
        <v>1</v>
      </c>
    </row>
    <row r="1689" spans="1:8" x14ac:dyDescent="0.2">
      <c r="A1689">
        <f>ROW(LineærRegression_Valg[[#This Row],[Tabel ID]])-ROW(LineærRegression_Valg[[#Headers],[Tabel ID]])</f>
        <v>1679</v>
      </c>
      <c r="B1689" s="188">
        <f>ROUNDDOWN((LineærRegression_Valg[[#This Row],[Tabel ID]]-1)/$B$5,0)+1</f>
        <v>420</v>
      </c>
      <c r="C1689" s="188">
        <f t="shared" si="26"/>
        <v>3</v>
      </c>
      <c r="D1689" s="188" t="b">
        <f>LineærRegression_Valg[[#This Row],[Afhængig variabel ID]]&lt;&gt;LineærRegression_Valg[[#This Row],[Uafhængig variabel ID]]</f>
        <v>1</v>
      </c>
      <c r="E1689" s="188" t="b">
        <f>LineærRegression_Valg[[#This Row],[Afhængig variabel ID]]&lt;=$B$5</f>
        <v>0</v>
      </c>
      <c r="F1689" t="str" cm="1">
        <f t="array" ref="F1689">IF(LineærRegression_Valg[[#This Row],[Indenfor range]],INDEX(DataTitel_liste,LineærRegression_Valg[[#This Row],[Afhængig variabel ID]]),INDEX(DataTitel_liste,1))</f>
        <v>Eksempel 1 (interval)</v>
      </c>
      <c r="G1689" s="188" t="str" cm="1">
        <f t="array" ref="G1689">IF(LineærRegression_Valg[[#This Row],[Indenfor range]],IF(LineærRegression_Valg[[#This Row],[Intet overlap]],INDEX(DataTitel_liste,LineærRegression_Valg[[#This Row],[Uafhængig variabel ID]]),INDEX(DataTitel_liste,IF(LineærRegression_Valg[[#This Row],[Afhængig variabel ID]]=1,2,1))),$B$7)</f>
        <v>Eksempel 2 (interval)</v>
      </c>
      <c r="H1689" s="188">
        <f>_xlfn.AGGREGATE(2,5,LineærRegression_Valg[[#This Row],[Tabel ID]])</f>
        <v>1</v>
      </c>
    </row>
    <row r="1690" spans="1:8" x14ac:dyDescent="0.2">
      <c r="A1690">
        <f>ROW(LineærRegression_Valg[[#This Row],[Tabel ID]])-ROW(LineærRegression_Valg[[#Headers],[Tabel ID]])</f>
        <v>1680</v>
      </c>
      <c r="B1690" s="188">
        <f>ROUNDDOWN((LineærRegression_Valg[[#This Row],[Tabel ID]]-1)/$B$5,0)+1</f>
        <v>420</v>
      </c>
      <c r="C1690" s="188">
        <f t="shared" si="26"/>
        <v>4</v>
      </c>
      <c r="D1690" s="188" t="b">
        <f>LineærRegression_Valg[[#This Row],[Afhængig variabel ID]]&lt;&gt;LineærRegression_Valg[[#This Row],[Uafhængig variabel ID]]</f>
        <v>1</v>
      </c>
      <c r="E1690" s="188" t="b">
        <f>LineærRegression_Valg[[#This Row],[Afhængig variabel ID]]&lt;=$B$5</f>
        <v>0</v>
      </c>
      <c r="F1690" t="str" cm="1">
        <f t="array" ref="F1690">IF(LineærRegression_Valg[[#This Row],[Indenfor range]],INDEX(DataTitel_liste,LineærRegression_Valg[[#This Row],[Afhængig variabel ID]]),INDEX(DataTitel_liste,1))</f>
        <v>Eksempel 1 (interval)</v>
      </c>
      <c r="G1690" s="188" t="str" cm="1">
        <f t="array" ref="G1690">IF(LineærRegression_Valg[[#This Row],[Indenfor range]],IF(LineærRegression_Valg[[#This Row],[Intet overlap]],INDEX(DataTitel_liste,LineærRegression_Valg[[#This Row],[Uafhængig variabel ID]]),INDEX(DataTitel_liste,IF(LineærRegression_Valg[[#This Row],[Afhængig variabel ID]]=1,2,1))),$B$7)</f>
        <v>Eksempel 2 (interval)</v>
      </c>
      <c r="H1690" s="188">
        <f>_xlfn.AGGREGATE(2,5,LineærRegression_Valg[[#This Row],[Tabel ID]])</f>
        <v>1</v>
      </c>
    </row>
    <row r="1691" spans="1:8" x14ac:dyDescent="0.2">
      <c r="A1691">
        <f>ROW(LineærRegression_Valg[[#This Row],[Tabel ID]])-ROW(LineærRegression_Valg[[#Headers],[Tabel ID]])</f>
        <v>1681</v>
      </c>
      <c r="B1691" s="188">
        <f>ROUNDDOWN((LineærRegression_Valg[[#This Row],[Tabel ID]]-1)/$B$5,0)+1</f>
        <v>421</v>
      </c>
      <c r="C1691" s="188">
        <f t="shared" si="26"/>
        <v>1</v>
      </c>
      <c r="D1691" s="188" t="b">
        <f>LineærRegression_Valg[[#This Row],[Afhængig variabel ID]]&lt;&gt;LineærRegression_Valg[[#This Row],[Uafhængig variabel ID]]</f>
        <v>1</v>
      </c>
      <c r="E1691" s="188" t="b">
        <f>LineærRegression_Valg[[#This Row],[Afhængig variabel ID]]&lt;=$B$5</f>
        <v>0</v>
      </c>
      <c r="F1691" t="str" cm="1">
        <f t="array" ref="F1691">IF(LineærRegression_Valg[[#This Row],[Indenfor range]],INDEX(DataTitel_liste,LineærRegression_Valg[[#This Row],[Afhængig variabel ID]]),INDEX(DataTitel_liste,1))</f>
        <v>Eksempel 1 (interval)</v>
      </c>
      <c r="G1691" s="188" t="str" cm="1">
        <f t="array" ref="G1691">IF(LineærRegression_Valg[[#This Row],[Indenfor range]],IF(LineærRegression_Valg[[#This Row],[Intet overlap]],INDEX(DataTitel_liste,LineærRegression_Valg[[#This Row],[Uafhængig variabel ID]]),INDEX(DataTitel_liste,IF(LineærRegression_Valg[[#This Row],[Afhængig variabel ID]]=1,2,1))),$B$7)</f>
        <v>Eksempel 2 (interval)</v>
      </c>
      <c r="H1691" s="188">
        <f>_xlfn.AGGREGATE(2,5,LineærRegression_Valg[[#This Row],[Tabel ID]])</f>
        <v>1</v>
      </c>
    </row>
    <row r="1692" spans="1:8" x14ac:dyDescent="0.2">
      <c r="A1692">
        <f>ROW(LineærRegression_Valg[[#This Row],[Tabel ID]])-ROW(LineærRegression_Valg[[#Headers],[Tabel ID]])</f>
        <v>1682</v>
      </c>
      <c r="B1692" s="188">
        <f>ROUNDDOWN((LineærRegression_Valg[[#This Row],[Tabel ID]]-1)/$B$5,0)+1</f>
        <v>421</v>
      </c>
      <c r="C1692" s="188">
        <f t="shared" si="26"/>
        <v>2</v>
      </c>
      <c r="D1692" s="188" t="b">
        <f>LineærRegression_Valg[[#This Row],[Afhængig variabel ID]]&lt;&gt;LineærRegression_Valg[[#This Row],[Uafhængig variabel ID]]</f>
        <v>1</v>
      </c>
      <c r="E1692" s="188" t="b">
        <f>LineærRegression_Valg[[#This Row],[Afhængig variabel ID]]&lt;=$B$5</f>
        <v>0</v>
      </c>
      <c r="F1692" t="str" cm="1">
        <f t="array" ref="F1692">IF(LineærRegression_Valg[[#This Row],[Indenfor range]],INDEX(DataTitel_liste,LineærRegression_Valg[[#This Row],[Afhængig variabel ID]]),INDEX(DataTitel_liste,1))</f>
        <v>Eksempel 1 (interval)</v>
      </c>
      <c r="G1692" s="188" t="str" cm="1">
        <f t="array" ref="G1692">IF(LineærRegression_Valg[[#This Row],[Indenfor range]],IF(LineærRegression_Valg[[#This Row],[Intet overlap]],INDEX(DataTitel_liste,LineærRegression_Valg[[#This Row],[Uafhængig variabel ID]]),INDEX(DataTitel_liste,IF(LineærRegression_Valg[[#This Row],[Afhængig variabel ID]]=1,2,1))),$B$7)</f>
        <v>Eksempel 2 (interval)</v>
      </c>
      <c r="H1692" s="188">
        <f>_xlfn.AGGREGATE(2,5,LineærRegression_Valg[[#This Row],[Tabel ID]])</f>
        <v>1</v>
      </c>
    </row>
    <row r="1693" spans="1:8" x14ac:dyDescent="0.2">
      <c r="A1693">
        <f>ROW(LineærRegression_Valg[[#This Row],[Tabel ID]])-ROW(LineærRegression_Valg[[#Headers],[Tabel ID]])</f>
        <v>1683</v>
      </c>
      <c r="B1693" s="188">
        <f>ROUNDDOWN((LineærRegression_Valg[[#This Row],[Tabel ID]]-1)/$B$5,0)+1</f>
        <v>421</v>
      </c>
      <c r="C1693" s="188">
        <f t="shared" si="26"/>
        <v>3</v>
      </c>
      <c r="D1693" s="188" t="b">
        <f>LineærRegression_Valg[[#This Row],[Afhængig variabel ID]]&lt;&gt;LineærRegression_Valg[[#This Row],[Uafhængig variabel ID]]</f>
        <v>1</v>
      </c>
      <c r="E1693" s="188" t="b">
        <f>LineærRegression_Valg[[#This Row],[Afhængig variabel ID]]&lt;=$B$5</f>
        <v>0</v>
      </c>
      <c r="F1693" t="str" cm="1">
        <f t="array" ref="F1693">IF(LineærRegression_Valg[[#This Row],[Indenfor range]],INDEX(DataTitel_liste,LineærRegression_Valg[[#This Row],[Afhængig variabel ID]]),INDEX(DataTitel_liste,1))</f>
        <v>Eksempel 1 (interval)</v>
      </c>
      <c r="G1693" s="188" t="str" cm="1">
        <f t="array" ref="G1693">IF(LineærRegression_Valg[[#This Row],[Indenfor range]],IF(LineærRegression_Valg[[#This Row],[Intet overlap]],INDEX(DataTitel_liste,LineærRegression_Valg[[#This Row],[Uafhængig variabel ID]]),INDEX(DataTitel_liste,IF(LineærRegression_Valg[[#This Row],[Afhængig variabel ID]]=1,2,1))),$B$7)</f>
        <v>Eksempel 2 (interval)</v>
      </c>
      <c r="H1693" s="188">
        <f>_xlfn.AGGREGATE(2,5,LineærRegression_Valg[[#This Row],[Tabel ID]])</f>
        <v>1</v>
      </c>
    </row>
    <row r="1694" spans="1:8" x14ac:dyDescent="0.2">
      <c r="A1694">
        <f>ROW(LineærRegression_Valg[[#This Row],[Tabel ID]])-ROW(LineærRegression_Valg[[#Headers],[Tabel ID]])</f>
        <v>1684</v>
      </c>
      <c r="B1694" s="188">
        <f>ROUNDDOWN((LineærRegression_Valg[[#This Row],[Tabel ID]]-1)/$B$5,0)+1</f>
        <v>421</v>
      </c>
      <c r="C1694" s="188">
        <f t="shared" si="26"/>
        <v>4</v>
      </c>
      <c r="D1694" s="188" t="b">
        <f>LineærRegression_Valg[[#This Row],[Afhængig variabel ID]]&lt;&gt;LineærRegression_Valg[[#This Row],[Uafhængig variabel ID]]</f>
        <v>1</v>
      </c>
      <c r="E1694" s="188" t="b">
        <f>LineærRegression_Valg[[#This Row],[Afhængig variabel ID]]&lt;=$B$5</f>
        <v>0</v>
      </c>
      <c r="F1694" t="str" cm="1">
        <f t="array" ref="F1694">IF(LineærRegression_Valg[[#This Row],[Indenfor range]],INDEX(DataTitel_liste,LineærRegression_Valg[[#This Row],[Afhængig variabel ID]]),INDEX(DataTitel_liste,1))</f>
        <v>Eksempel 1 (interval)</v>
      </c>
      <c r="G1694" s="188" t="str" cm="1">
        <f t="array" ref="G1694">IF(LineærRegression_Valg[[#This Row],[Indenfor range]],IF(LineærRegression_Valg[[#This Row],[Intet overlap]],INDEX(DataTitel_liste,LineærRegression_Valg[[#This Row],[Uafhængig variabel ID]]),INDEX(DataTitel_liste,IF(LineærRegression_Valg[[#This Row],[Afhængig variabel ID]]=1,2,1))),$B$7)</f>
        <v>Eksempel 2 (interval)</v>
      </c>
      <c r="H1694" s="188">
        <f>_xlfn.AGGREGATE(2,5,LineærRegression_Valg[[#This Row],[Tabel ID]])</f>
        <v>1</v>
      </c>
    </row>
    <row r="1695" spans="1:8" x14ac:dyDescent="0.2">
      <c r="A1695">
        <f>ROW(LineærRegression_Valg[[#This Row],[Tabel ID]])-ROW(LineærRegression_Valg[[#Headers],[Tabel ID]])</f>
        <v>1685</v>
      </c>
      <c r="B1695" s="188">
        <f>ROUNDDOWN((LineærRegression_Valg[[#This Row],[Tabel ID]]-1)/$B$5,0)+1</f>
        <v>422</v>
      </c>
      <c r="C1695" s="188">
        <f t="shared" si="26"/>
        <v>1</v>
      </c>
      <c r="D1695" s="188" t="b">
        <f>LineærRegression_Valg[[#This Row],[Afhængig variabel ID]]&lt;&gt;LineærRegression_Valg[[#This Row],[Uafhængig variabel ID]]</f>
        <v>1</v>
      </c>
      <c r="E1695" s="188" t="b">
        <f>LineærRegression_Valg[[#This Row],[Afhængig variabel ID]]&lt;=$B$5</f>
        <v>0</v>
      </c>
      <c r="F1695" t="str" cm="1">
        <f t="array" ref="F1695">IF(LineærRegression_Valg[[#This Row],[Indenfor range]],INDEX(DataTitel_liste,LineærRegression_Valg[[#This Row],[Afhængig variabel ID]]),INDEX(DataTitel_liste,1))</f>
        <v>Eksempel 1 (interval)</v>
      </c>
      <c r="G1695" s="188" t="str" cm="1">
        <f t="array" ref="G1695">IF(LineærRegression_Valg[[#This Row],[Indenfor range]],IF(LineærRegression_Valg[[#This Row],[Intet overlap]],INDEX(DataTitel_liste,LineærRegression_Valg[[#This Row],[Uafhængig variabel ID]]),INDEX(DataTitel_liste,IF(LineærRegression_Valg[[#This Row],[Afhængig variabel ID]]=1,2,1))),$B$7)</f>
        <v>Eksempel 2 (interval)</v>
      </c>
      <c r="H1695" s="188">
        <f>_xlfn.AGGREGATE(2,5,LineærRegression_Valg[[#This Row],[Tabel ID]])</f>
        <v>1</v>
      </c>
    </row>
    <row r="1696" spans="1:8" x14ac:dyDescent="0.2">
      <c r="A1696">
        <f>ROW(LineærRegression_Valg[[#This Row],[Tabel ID]])-ROW(LineærRegression_Valg[[#Headers],[Tabel ID]])</f>
        <v>1686</v>
      </c>
      <c r="B1696" s="188">
        <f>ROUNDDOWN((LineærRegression_Valg[[#This Row],[Tabel ID]]-1)/$B$5,0)+1</f>
        <v>422</v>
      </c>
      <c r="C1696" s="188">
        <f t="shared" si="26"/>
        <v>2</v>
      </c>
      <c r="D1696" s="188" t="b">
        <f>LineærRegression_Valg[[#This Row],[Afhængig variabel ID]]&lt;&gt;LineærRegression_Valg[[#This Row],[Uafhængig variabel ID]]</f>
        <v>1</v>
      </c>
      <c r="E1696" s="188" t="b">
        <f>LineærRegression_Valg[[#This Row],[Afhængig variabel ID]]&lt;=$B$5</f>
        <v>0</v>
      </c>
      <c r="F1696" t="str" cm="1">
        <f t="array" ref="F1696">IF(LineærRegression_Valg[[#This Row],[Indenfor range]],INDEX(DataTitel_liste,LineærRegression_Valg[[#This Row],[Afhængig variabel ID]]),INDEX(DataTitel_liste,1))</f>
        <v>Eksempel 1 (interval)</v>
      </c>
      <c r="G1696" s="188" t="str" cm="1">
        <f t="array" ref="G1696">IF(LineærRegression_Valg[[#This Row],[Indenfor range]],IF(LineærRegression_Valg[[#This Row],[Intet overlap]],INDEX(DataTitel_liste,LineærRegression_Valg[[#This Row],[Uafhængig variabel ID]]),INDEX(DataTitel_liste,IF(LineærRegression_Valg[[#This Row],[Afhængig variabel ID]]=1,2,1))),$B$7)</f>
        <v>Eksempel 2 (interval)</v>
      </c>
      <c r="H1696" s="188">
        <f>_xlfn.AGGREGATE(2,5,LineærRegression_Valg[[#This Row],[Tabel ID]])</f>
        <v>1</v>
      </c>
    </row>
    <row r="1697" spans="1:8" x14ac:dyDescent="0.2">
      <c r="A1697">
        <f>ROW(LineærRegression_Valg[[#This Row],[Tabel ID]])-ROW(LineærRegression_Valg[[#Headers],[Tabel ID]])</f>
        <v>1687</v>
      </c>
      <c r="B1697" s="188">
        <f>ROUNDDOWN((LineærRegression_Valg[[#This Row],[Tabel ID]]-1)/$B$5,0)+1</f>
        <v>422</v>
      </c>
      <c r="C1697" s="188">
        <f t="shared" si="26"/>
        <v>3</v>
      </c>
      <c r="D1697" s="188" t="b">
        <f>LineærRegression_Valg[[#This Row],[Afhængig variabel ID]]&lt;&gt;LineærRegression_Valg[[#This Row],[Uafhængig variabel ID]]</f>
        <v>1</v>
      </c>
      <c r="E1697" s="188" t="b">
        <f>LineærRegression_Valg[[#This Row],[Afhængig variabel ID]]&lt;=$B$5</f>
        <v>0</v>
      </c>
      <c r="F1697" t="str" cm="1">
        <f t="array" ref="F1697">IF(LineærRegression_Valg[[#This Row],[Indenfor range]],INDEX(DataTitel_liste,LineærRegression_Valg[[#This Row],[Afhængig variabel ID]]),INDEX(DataTitel_liste,1))</f>
        <v>Eksempel 1 (interval)</v>
      </c>
      <c r="G1697" s="188" t="str" cm="1">
        <f t="array" ref="G1697">IF(LineærRegression_Valg[[#This Row],[Indenfor range]],IF(LineærRegression_Valg[[#This Row],[Intet overlap]],INDEX(DataTitel_liste,LineærRegression_Valg[[#This Row],[Uafhængig variabel ID]]),INDEX(DataTitel_liste,IF(LineærRegression_Valg[[#This Row],[Afhængig variabel ID]]=1,2,1))),$B$7)</f>
        <v>Eksempel 2 (interval)</v>
      </c>
      <c r="H1697" s="188">
        <f>_xlfn.AGGREGATE(2,5,LineærRegression_Valg[[#This Row],[Tabel ID]])</f>
        <v>1</v>
      </c>
    </row>
    <row r="1698" spans="1:8" x14ac:dyDescent="0.2">
      <c r="A1698">
        <f>ROW(LineærRegression_Valg[[#This Row],[Tabel ID]])-ROW(LineærRegression_Valg[[#Headers],[Tabel ID]])</f>
        <v>1688</v>
      </c>
      <c r="B1698" s="188">
        <f>ROUNDDOWN((LineærRegression_Valg[[#This Row],[Tabel ID]]-1)/$B$5,0)+1</f>
        <v>422</v>
      </c>
      <c r="C1698" s="188">
        <f t="shared" si="26"/>
        <v>4</v>
      </c>
      <c r="D1698" s="188" t="b">
        <f>LineærRegression_Valg[[#This Row],[Afhængig variabel ID]]&lt;&gt;LineærRegression_Valg[[#This Row],[Uafhængig variabel ID]]</f>
        <v>1</v>
      </c>
      <c r="E1698" s="188" t="b">
        <f>LineærRegression_Valg[[#This Row],[Afhængig variabel ID]]&lt;=$B$5</f>
        <v>0</v>
      </c>
      <c r="F1698" t="str" cm="1">
        <f t="array" ref="F1698">IF(LineærRegression_Valg[[#This Row],[Indenfor range]],INDEX(DataTitel_liste,LineærRegression_Valg[[#This Row],[Afhængig variabel ID]]),INDEX(DataTitel_liste,1))</f>
        <v>Eksempel 1 (interval)</v>
      </c>
      <c r="G1698" s="188" t="str" cm="1">
        <f t="array" ref="G1698">IF(LineærRegression_Valg[[#This Row],[Indenfor range]],IF(LineærRegression_Valg[[#This Row],[Intet overlap]],INDEX(DataTitel_liste,LineærRegression_Valg[[#This Row],[Uafhængig variabel ID]]),INDEX(DataTitel_liste,IF(LineærRegression_Valg[[#This Row],[Afhængig variabel ID]]=1,2,1))),$B$7)</f>
        <v>Eksempel 2 (interval)</v>
      </c>
      <c r="H1698" s="188">
        <f>_xlfn.AGGREGATE(2,5,LineærRegression_Valg[[#This Row],[Tabel ID]])</f>
        <v>1</v>
      </c>
    </row>
    <row r="1699" spans="1:8" x14ac:dyDescent="0.2">
      <c r="A1699">
        <f>ROW(LineærRegression_Valg[[#This Row],[Tabel ID]])-ROW(LineærRegression_Valg[[#Headers],[Tabel ID]])</f>
        <v>1689</v>
      </c>
      <c r="B1699" s="188">
        <f>ROUNDDOWN((LineærRegression_Valg[[#This Row],[Tabel ID]]-1)/$B$5,0)+1</f>
        <v>423</v>
      </c>
      <c r="C1699" s="188">
        <f t="shared" si="26"/>
        <v>1</v>
      </c>
      <c r="D1699" s="188" t="b">
        <f>LineærRegression_Valg[[#This Row],[Afhængig variabel ID]]&lt;&gt;LineærRegression_Valg[[#This Row],[Uafhængig variabel ID]]</f>
        <v>1</v>
      </c>
      <c r="E1699" s="188" t="b">
        <f>LineærRegression_Valg[[#This Row],[Afhængig variabel ID]]&lt;=$B$5</f>
        <v>0</v>
      </c>
      <c r="F1699" t="str" cm="1">
        <f t="array" ref="F1699">IF(LineærRegression_Valg[[#This Row],[Indenfor range]],INDEX(DataTitel_liste,LineærRegression_Valg[[#This Row],[Afhængig variabel ID]]),INDEX(DataTitel_liste,1))</f>
        <v>Eksempel 1 (interval)</v>
      </c>
      <c r="G1699" s="188" t="str" cm="1">
        <f t="array" ref="G1699">IF(LineærRegression_Valg[[#This Row],[Indenfor range]],IF(LineærRegression_Valg[[#This Row],[Intet overlap]],INDEX(DataTitel_liste,LineærRegression_Valg[[#This Row],[Uafhængig variabel ID]]),INDEX(DataTitel_liste,IF(LineærRegression_Valg[[#This Row],[Afhængig variabel ID]]=1,2,1))),$B$7)</f>
        <v>Eksempel 2 (interval)</v>
      </c>
      <c r="H1699" s="188">
        <f>_xlfn.AGGREGATE(2,5,LineærRegression_Valg[[#This Row],[Tabel ID]])</f>
        <v>1</v>
      </c>
    </row>
    <row r="1700" spans="1:8" x14ac:dyDescent="0.2">
      <c r="A1700">
        <f>ROW(LineærRegression_Valg[[#This Row],[Tabel ID]])-ROW(LineærRegression_Valg[[#Headers],[Tabel ID]])</f>
        <v>1690</v>
      </c>
      <c r="B1700" s="188">
        <f>ROUNDDOWN((LineærRegression_Valg[[#This Row],[Tabel ID]]-1)/$B$5,0)+1</f>
        <v>423</v>
      </c>
      <c r="C1700" s="188">
        <f t="shared" si="26"/>
        <v>2</v>
      </c>
      <c r="D1700" s="188" t="b">
        <f>LineærRegression_Valg[[#This Row],[Afhængig variabel ID]]&lt;&gt;LineærRegression_Valg[[#This Row],[Uafhængig variabel ID]]</f>
        <v>1</v>
      </c>
      <c r="E1700" s="188" t="b">
        <f>LineærRegression_Valg[[#This Row],[Afhængig variabel ID]]&lt;=$B$5</f>
        <v>0</v>
      </c>
      <c r="F1700" t="str" cm="1">
        <f t="array" ref="F1700">IF(LineærRegression_Valg[[#This Row],[Indenfor range]],INDEX(DataTitel_liste,LineærRegression_Valg[[#This Row],[Afhængig variabel ID]]),INDEX(DataTitel_liste,1))</f>
        <v>Eksempel 1 (interval)</v>
      </c>
      <c r="G1700" s="188" t="str" cm="1">
        <f t="array" ref="G1700">IF(LineærRegression_Valg[[#This Row],[Indenfor range]],IF(LineærRegression_Valg[[#This Row],[Intet overlap]],INDEX(DataTitel_liste,LineærRegression_Valg[[#This Row],[Uafhængig variabel ID]]),INDEX(DataTitel_liste,IF(LineærRegression_Valg[[#This Row],[Afhængig variabel ID]]=1,2,1))),$B$7)</f>
        <v>Eksempel 2 (interval)</v>
      </c>
      <c r="H1700" s="188">
        <f>_xlfn.AGGREGATE(2,5,LineærRegression_Valg[[#This Row],[Tabel ID]])</f>
        <v>1</v>
      </c>
    </row>
    <row r="1701" spans="1:8" x14ac:dyDescent="0.2">
      <c r="A1701">
        <f>ROW(LineærRegression_Valg[[#This Row],[Tabel ID]])-ROW(LineærRegression_Valg[[#Headers],[Tabel ID]])</f>
        <v>1691</v>
      </c>
      <c r="B1701" s="188">
        <f>ROUNDDOWN((LineærRegression_Valg[[#This Row],[Tabel ID]]-1)/$B$5,0)+1</f>
        <v>423</v>
      </c>
      <c r="C1701" s="188">
        <f t="shared" si="26"/>
        <v>3</v>
      </c>
      <c r="D1701" s="188" t="b">
        <f>LineærRegression_Valg[[#This Row],[Afhængig variabel ID]]&lt;&gt;LineærRegression_Valg[[#This Row],[Uafhængig variabel ID]]</f>
        <v>1</v>
      </c>
      <c r="E1701" s="188" t="b">
        <f>LineærRegression_Valg[[#This Row],[Afhængig variabel ID]]&lt;=$B$5</f>
        <v>0</v>
      </c>
      <c r="F1701" t="str" cm="1">
        <f t="array" ref="F1701">IF(LineærRegression_Valg[[#This Row],[Indenfor range]],INDEX(DataTitel_liste,LineærRegression_Valg[[#This Row],[Afhængig variabel ID]]),INDEX(DataTitel_liste,1))</f>
        <v>Eksempel 1 (interval)</v>
      </c>
      <c r="G1701" s="188" t="str" cm="1">
        <f t="array" ref="G1701">IF(LineærRegression_Valg[[#This Row],[Indenfor range]],IF(LineærRegression_Valg[[#This Row],[Intet overlap]],INDEX(DataTitel_liste,LineærRegression_Valg[[#This Row],[Uafhængig variabel ID]]),INDEX(DataTitel_liste,IF(LineærRegression_Valg[[#This Row],[Afhængig variabel ID]]=1,2,1))),$B$7)</f>
        <v>Eksempel 2 (interval)</v>
      </c>
      <c r="H1701" s="188">
        <f>_xlfn.AGGREGATE(2,5,LineærRegression_Valg[[#This Row],[Tabel ID]])</f>
        <v>1</v>
      </c>
    </row>
    <row r="1702" spans="1:8" x14ac:dyDescent="0.2">
      <c r="A1702">
        <f>ROW(LineærRegression_Valg[[#This Row],[Tabel ID]])-ROW(LineærRegression_Valg[[#Headers],[Tabel ID]])</f>
        <v>1692</v>
      </c>
      <c r="B1702" s="188">
        <f>ROUNDDOWN((LineærRegression_Valg[[#This Row],[Tabel ID]]-1)/$B$5,0)+1</f>
        <v>423</v>
      </c>
      <c r="C1702" s="188">
        <f t="shared" si="26"/>
        <v>4</v>
      </c>
      <c r="D1702" s="188" t="b">
        <f>LineærRegression_Valg[[#This Row],[Afhængig variabel ID]]&lt;&gt;LineærRegression_Valg[[#This Row],[Uafhængig variabel ID]]</f>
        <v>1</v>
      </c>
      <c r="E1702" s="188" t="b">
        <f>LineærRegression_Valg[[#This Row],[Afhængig variabel ID]]&lt;=$B$5</f>
        <v>0</v>
      </c>
      <c r="F1702" t="str" cm="1">
        <f t="array" ref="F1702">IF(LineærRegression_Valg[[#This Row],[Indenfor range]],INDEX(DataTitel_liste,LineærRegression_Valg[[#This Row],[Afhængig variabel ID]]),INDEX(DataTitel_liste,1))</f>
        <v>Eksempel 1 (interval)</v>
      </c>
      <c r="G1702" s="188" t="str" cm="1">
        <f t="array" ref="G1702">IF(LineærRegression_Valg[[#This Row],[Indenfor range]],IF(LineærRegression_Valg[[#This Row],[Intet overlap]],INDEX(DataTitel_liste,LineærRegression_Valg[[#This Row],[Uafhængig variabel ID]]),INDEX(DataTitel_liste,IF(LineærRegression_Valg[[#This Row],[Afhængig variabel ID]]=1,2,1))),$B$7)</f>
        <v>Eksempel 2 (interval)</v>
      </c>
      <c r="H1702" s="188">
        <f>_xlfn.AGGREGATE(2,5,LineærRegression_Valg[[#This Row],[Tabel ID]])</f>
        <v>1</v>
      </c>
    </row>
    <row r="1703" spans="1:8" x14ac:dyDescent="0.2">
      <c r="A1703">
        <f>ROW(LineærRegression_Valg[[#This Row],[Tabel ID]])-ROW(LineærRegression_Valg[[#Headers],[Tabel ID]])</f>
        <v>1693</v>
      </c>
      <c r="B1703" s="188">
        <f>ROUNDDOWN((LineærRegression_Valg[[#This Row],[Tabel ID]]-1)/$B$5,0)+1</f>
        <v>424</v>
      </c>
      <c r="C1703" s="188">
        <f t="shared" si="26"/>
        <v>1</v>
      </c>
      <c r="D1703" s="188" t="b">
        <f>LineærRegression_Valg[[#This Row],[Afhængig variabel ID]]&lt;&gt;LineærRegression_Valg[[#This Row],[Uafhængig variabel ID]]</f>
        <v>1</v>
      </c>
      <c r="E1703" s="188" t="b">
        <f>LineærRegression_Valg[[#This Row],[Afhængig variabel ID]]&lt;=$B$5</f>
        <v>0</v>
      </c>
      <c r="F1703" t="str" cm="1">
        <f t="array" ref="F1703">IF(LineærRegression_Valg[[#This Row],[Indenfor range]],INDEX(DataTitel_liste,LineærRegression_Valg[[#This Row],[Afhængig variabel ID]]),INDEX(DataTitel_liste,1))</f>
        <v>Eksempel 1 (interval)</v>
      </c>
      <c r="G1703" s="188" t="str" cm="1">
        <f t="array" ref="G1703">IF(LineærRegression_Valg[[#This Row],[Indenfor range]],IF(LineærRegression_Valg[[#This Row],[Intet overlap]],INDEX(DataTitel_liste,LineærRegression_Valg[[#This Row],[Uafhængig variabel ID]]),INDEX(DataTitel_liste,IF(LineærRegression_Valg[[#This Row],[Afhængig variabel ID]]=1,2,1))),$B$7)</f>
        <v>Eksempel 2 (interval)</v>
      </c>
      <c r="H1703" s="188">
        <f>_xlfn.AGGREGATE(2,5,LineærRegression_Valg[[#This Row],[Tabel ID]])</f>
        <v>1</v>
      </c>
    </row>
    <row r="1704" spans="1:8" x14ac:dyDescent="0.2">
      <c r="A1704">
        <f>ROW(LineærRegression_Valg[[#This Row],[Tabel ID]])-ROW(LineærRegression_Valg[[#Headers],[Tabel ID]])</f>
        <v>1694</v>
      </c>
      <c r="B1704" s="188">
        <f>ROUNDDOWN((LineærRegression_Valg[[#This Row],[Tabel ID]]-1)/$B$5,0)+1</f>
        <v>424</v>
      </c>
      <c r="C1704" s="188">
        <f t="shared" si="26"/>
        <v>2</v>
      </c>
      <c r="D1704" s="188" t="b">
        <f>LineærRegression_Valg[[#This Row],[Afhængig variabel ID]]&lt;&gt;LineærRegression_Valg[[#This Row],[Uafhængig variabel ID]]</f>
        <v>1</v>
      </c>
      <c r="E1704" s="188" t="b">
        <f>LineærRegression_Valg[[#This Row],[Afhængig variabel ID]]&lt;=$B$5</f>
        <v>0</v>
      </c>
      <c r="F1704" t="str" cm="1">
        <f t="array" ref="F1704">IF(LineærRegression_Valg[[#This Row],[Indenfor range]],INDEX(DataTitel_liste,LineærRegression_Valg[[#This Row],[Afhængig variabel ID]]),INDEX(DataTitel_liste,1))</f>
        <v>Eksempel 1 (interval)</v>
      </c>
      <c r="G1704" s="188" t="str" cm="1">
        <f t="array" ref="G1704">IF(LineærRegression_Valg[[#This Row],[Indenfor range]],IF(LineærRegression_Valg[[#This Row],[Intet overlap]],INDEX(DataTitel_liste,LineærRegression_Valg[[#This Row],[Uafhængig variabel ID]]),INDEX(DataTitel_liste,IF(LineærRegression_Valg[[#This Row],[Afhængig variabel ID]]=1,2,1))),$B$7)</f>
        <v>Eksempel 2 (interval)</v>
      </c>
      <c r="H1704" s="188">
        <f>_xlfn.AGGREGATE(2,5,LineærRegression_Valg[[#This Row],[Tabel ID]])</f>
        <v>1</v>
      </c>
    </row>
    <row r="1705" spans="1:8" x14ac:dyDescent="0.2">
      <c r="A1705">
        <f>ROW(LineærRegression_Valg[[#This Row],[Tabel ID]])-ROW(LineærRegression_Valg[[#Headers],[Tabel ID]])</f>
        <v>1695</v>
      </c>
      <c r="B1705" s="188">
        <f>ROUNDDOWN((LineærRegression_Valg[[#This Row],[Tabel ID]]-1)/$B$5,0)+1</f>
        <v>424</v>
      </c>
      <c r="C1705" s="188">
        <f t="shared" si="26"/>
        <v>3</v>
      </c>
      <c r="D1705" s="188" t="b">
        <f>LineærRegression_Valg[[#This Row],[Afhængig variabel ID]]&lt;&gt;LineærRegression_Valg[[#This Row],[Uafhængig variabel ID]]</f>
        <v>1</v>
      </c>
      <c r="E1705" s="188" t="b">
        <f>LineærRegression_Valg[[#This Row],[Afhængig variabel ID]]&lt;=$B$5</f>
        <v>0</v>
      </c>
      <c r="F1705" t="str" cm="1">
        <f t="array" ref="F1705">IF(LineærRegression_Valg[[#This Row],[Indenfor range]],INDEX(DataTitel_liste,LineærRegression_Valg[[#This Row],[Afhængig variabel ID]]),INDEX(DataTitel_liste,1))</f>
        <v>Eksempel 1 (interval)</v>
      </c>
      <c r="G1705" s="188" t="str" cm="1">
        <f t="array" ref="G1705">IF(LineærRegression_Valg[[#This Row],[Indenfor range]],IF(LineærRegression_Valg[[#This Row],[Intet overlap]],INDEX(DataTitel_liste,LineærRegression_Valg[[#This Row],[Uafhængig variabel ID]]),INDEX(DataTitel_liste,IF(LineærRegression_Valg[[#This Row],[Afhængig variabel ID]]=1,2,1))),$B$7)</f>
        <v>Eksempel 2 (interval)</v>
      </c>
      <c r="H1705" s="188">
        <f>_xlfn.AGGREGATE(2,5,LineærRegression_Valg[[#This Row],[Tabel ID]])</f>
        <v>1</v>
      </c>
    </row>
    <row r="1706" spans="1:8" x14ac:dyDescent="0.2">
      <c r="A1706">
        <f>ROW(LineærRegression_Valg[[#This Row],[Tabel ID]])-ROW(LineærRegression_Valg[[#Headers],[Tabel ID]])</f>
        <v>1696</v>
      </c>
      <c r="B1706" s="188">
        <f>ROUNDDOWN((LineærRegression_Valg[[#This Row],[Tabel ID]]-1)/$B$5,0)+1</f>
        <v>424</v>
      </c>
      <c r="C1706" s="188">
        <f t="shared" si="26"/>
        <v>4</v>
      </c>
      <c r="D1706" s="188" t="b">
        <f>LineærRegression_Valg[[#This Row],[Afhængig variabel ID]]&lt;&gt;LineærRegression_Valg[[#This Row],[Uafhængig variabel ID]]</f>
        <v>1</v>
      </c>
      <c r="E1706" s="188" t="b">
        <f>LineærRegression_Valg[[#This Row],[Afhængig variabel ID]]&lt;=$B$5</f>
        <v>0</v>
      </c>
      <c r="F1706" t="str" cm="1">
        <f t="array" ref="F1706">IF(LineærRegression_Valg[[#This Row],[Indenfor range]],INDEX(DataTitel_liste,LineærRegression_Valg[[#This Row],[Afhængig variabel ID]]),INDEX(DataTitel_liste,1))</f>
        <v>Eksempel 1 (interval)</v>
      </c>
      <c r="G1706" s="188" t="str" cm="1">
        <f t="array" ref="G1706">IF(LineærRegression_Valg[[#This Row],[Indenfor range]],IF(LineærRegression_Valg[[#This Row],[Intet overlap]],INDEX(DataTitel_liste,LineærRegression_Valg[[#This Row],[Uafhængig variabel ID]]),INDEX(DataTitel_liste,IF(LineærRegression_Valg[[#This Row],[Afhængig variabel ID]]=1,2,1))),$B$7)</f>
        <v>Eksempel 2 (interval)</v>
      </c>
      <c r="H1706" s="188">
        <f>_xlfn.AGGREGATE(2,5,LineærRegression_Valg[[#This Row],[Tabel ID]])</f>
        <v>1</v>
      </c>
    </row>
    <row r="1707" spans="1:8" x14ac:dyDescent="0.2">
      <c r="A1707">
        <f>ROW(LineærRegression_Valg[[#This Row],[Tabel ID]])-ROW(LineærRegression_Valg[[#Headers],[Tabel ID]])</f>
        <v>1697</v>
      </c>
      <c r="B1707" s="188">
        <f>ROUNDDOWN((LineærRegression_Valg[[#This Row],[Tabel ID]]-1)/$B$5,0)+1</f>
        <v>425</v>
      </c>
      <c r="C1707" s="188">
        <f t="shared" si="26"/>
        <v>1</v>
      </c>
      <c r="D1707" s="188" t="b">
        <f>LineærRegression_Valg[[#This Row],[Afhængig variabel ID]]&lt;&gt;LineærRegression_Valg[[#This Row],[Uafhængig variabel ID]]</f>
        <v>1</v>
      </c>
      <c r="E1707" s="188" t="b">
        <f>LineærRegression_Valg[[#This Row],[Afhængig variabel ID]]&lt;=$B$5</f>
        <v>0</v>
      </c>
      <c r="F1707" t="str" cm="1">
        <f t="array" ref="F1707">IF(LineærRegression_Valg[[#This Row],[Indenfor range]],INDEX(DataTitel_liste,LineærRegression_Valg[[#This Row],[Afhængig variabel ID]]),INDEX(DataTitel_liste,1))</f>
        <v>Eksempel 1 (interval)</v>
      </c>
      <c r="G1707" s="188" t="str" cm="1">
        <f t="array" ref="G1707">IF(LineærRegression_Valg[[#This Row],[Indenfor range]],IF(LineærRegression_Valg[[#This Row],[Intet overlap]],INDEX(DataTitel_liste,LineærRegression_Valg[[#This Row],[Uafhængig variabel ID]]),INDEX(DataTitel_liste,IF(LineærRegression_Valg[[#This Row],[Afhængig variabel ID]]=1,2,1))),$B$7)</f>
        <v>Eksempel 2 (interval)</v>
      </c>
      <c r="H1707" s="188">
        <f>_xlfn.AGGREGATE(2,5,LineærRegression_Valg[[#This Row],[Tabel ID]])</f>
        <v>1</v>
      </c>
    </row>
    <row r="1708" spans="1:8" x14ac:dyDescent="0.2">
      <c r="A1708">
        <f>ROW(LineærRegression_Valg[[#This Row],[Tabel ID]])-ROW(LineærRegression_Valg[[#Headers],[Tabel ID]])</f>
        <v>1698</v>
      </c>
      <c r="B1708" s="188">
        <f>ROUNDDOWN((LineærRegression_Valg[[#This Row],[Tabel ID]]-1)/$B$5,0)+1</f>
        <v>425</v>
      </c>
      <c r="C1708" s="188">
        <f t="shared" si="26"/>
        <v>2</v>
      </c>
      <c r="D1708" s="188" t="b">
        <f>LineærRegression_Valg[[#This Row],[Afhængig variabel ID]]&lt;&gt;LineærRegression_Valg[[#This Row],[Uafhængig variabel ID]]</f>
        <v>1</v>
      </c>
      <c r="E1708" s="188" t="b">
        <f>LineærRegression_Valg[[#This Row],[Afhængig variabel ID]]&lt;=$B$5</f>
        <v>0</v>
      </c>
      <c r="F1708" t="str" cm="1">
        <f t="array" ref="F1708">IF(LineærRegression_Valg[[#This Row],[Indenfor range]],INDEX(DataTitel_liste,LineærRegression_Valg[[#This Row],[Afhængig variabel ID]]),INDEX(DataTitel_liste,1))</f>
        <v>Eksempel 1 (interval)</v>
      </c>
      <c r="G1708" s="188" t="str" cm="1">
        <f t="array" ref="G1708">IF(LineærRegression_Valg[[#This Row],[Indenfor range]],IF(LineærRegression_Valg[[#This Row],[Intet overlap]],INDEX(DataTitel_liste,LineærRegression_Valg[[#This Row],[Uafhængig variabel ID]]),INDEX(DataTitel_liste,IF(LineærRegression_Valg[[#This Row],[Afhængig variabel ID]]=1,2,1))),$B$7)</f>
        <v>Eksempel 2 (interval)</v>
      </c>
      <c r="H1708" s="188">
        <f>_xlfn.AGGREGATE(2,5,LineærRegression_Valg[[#This Row],[Tabel ID]])</f>
        <v>1</v>
      </c>
    </row>
    <row r="1709" spans="1:8" x14ac:dyDescent="0.2">
      <c r="A1709">
        <f>ROW(LineærRegression_Valg[[#This Row],[Tabel ID]])-ROW(LineærRegression_Valg[[#Headers],[Tabel ID]])</f>
        <v>1699</v>
      </c>
      <c r="B1709" s="188">
        <f>ROUNDDOWN((LineærRegression_Valg[[#This Row],[Tabel ID]]-1)/$B$5,0)+1</f>
        <v>425</v>
      </c>
      <c r="C1709" s="188">
        <f t="shared" si="26"/>
        <v>3</v>
      </c>
      <c r="D1709" s="188" t="b">
        <f>LineærRegression_Valg[[#This Row],[Afhængig variabel ID]]&lt;&gt;LineærRegression_Valg[[#This Row],[Uafhængig variabel ID]]</f>
        <v>1</v>
      </c>
      <c r="E1709" s="188" t="b">
        <f>LineærRegression_Valg[[#This Row],[Afhængig variabel ID]]&lt;=$B$5</f>
        <v>0</v>
      </c>
      <c r="F1709" t="str" cm="1">
        <f t="array" ref="F1709">IF(LineærRegression_Valg[[#This Row],[Indenfor range]],INDEX(DataTitel_liste,LineærRegression_Valg[[#This Row],[Afhængig variabel ID]]),INDEX(DataTitel_liste,1))</f>
        <v>Eksempel 1 (interval)</v>
      </c>
      <c r="G1709" s="188" t="str" cm="1">
        <f t="array" ref="G1709">IF(LineærRegression_Valg[[#This Row],[Indenfor range]],IF(LineærRegression_Valg[[#This Row],[Intet overlap]],INDEX(DataTitel_liste,LineærRegression_Valg[[#This Row],[Uafhængig variabel ID]]),INDEX(DataTitel_liste,IF(LineærRegression_Valg[[#This Row],[Afhængig variabel ID]]=1,2,1))),$B$7)</f>
        <v>Eksempel 2 (interval)</v>
      </c>
      <c r="H1709" s="188">
        <f>_xlfn.AGGREGATE(2,5,LineærRegression_Valg[[#This Row],[Tabel ID]])</f>
        <v>1</v>
      </c>
    </row>
    <row r="1710" spans="1:8" x14ac:dyDescent="0.2">
      <c r="A1710">
        <f>ROW(LineærRegression_Valg[[#This Row],[Tabel ID]])-ROW(LineærRegression_Valg[[#Headers],[Tabel ID]])</f>
        <v>1700</v>
      </c>
      <c r="B1710" s="188">
        <f>ROUNDDOWN((LineærRegression_Valg[[#This Row],[Tabel ID]]-1)/$B$5,0)+1</f>
        <v>425</v>
      </c>
      <c r="C1710" s="188">
        <f t="shared" si="26"/>
        <v>4</v>
      </c>
      <c r="D1710" s="188" t="b">
        <f>LineærRegression_Valg[[#This Row],[Afhængig variabel ID]]&lt;&gt;LineærRegression_Valg[[#This Row],[Uafhængig variabel ID]]</f>
        <v>1</v>
      </c>
      <c r="E1710" s="188" t="b">
        <f>LineærRegression_Valg[[#This Row],[Afhængig variabel ID]]&lt;=$B$5</f>
        <v>0</v>
      </c>
      <c r="F1710" t="str" cm="1">
        <f t="array" ref="F1710">IF(LineærRegression_Valg[[#This Row],[Indenfor range]],INDEX(DataTitel_liste,LineærRegression_Valg[[#This Row],[Afhængig variabel ID]]),INDEX(DataTitel_liste,1))</f>
        <v>Eksempel 1 (interval)</v>
      </c>
      <c r="G1710" s="188" t="str" cm="1">
        <f t="array" ref="G1710">IF(LineærRegression_Valg[[#This Row],[Indenfor range]],IF(LineærRegression_Valg[[#This Row],[Intet overlap]],INDEX(DataTitel_liste,LineærRegression_Valg[[#This Row],[Uafhængig variabel ID]]),INDEX(DataTitel_liste,IF(LineærRegression_Valg[[#This Row],[Afhængig variabel ID]]=1,2,1))),$B$7)</f>
        <v>Eksempel 2 (interval)</v>
      </c>
      <c r="H1710" s="188">
        <f>_xlfn.AGGREGATE(2,5,LineærRegression_Valg[[#This Row],[Tabel ID]])</f>
        <v>1</v>
      </c>
    </row>
    <row r="1711" spans="1:8" x14ac:dyDescent="0.2">
      <c r="A1711">
        <f>ROW(LineærRegression_Valg[[#This Row],[Tabel ID]])-ROW(LineærRegression_Valg[[#Headers],[Tabel ID]])</f>
        <v>1701</v>
      </c>
      <c r="B1711" s="188">
        <f>ROUNDDOWN((LineærRegression_Valg[[#This Row],[Tabel ID]]-1)/$B$5,0)+1</f>
        <v>426</v>
      </c>
      <c r="C1711" s="188">
        <f t="shared" si="26"/>
        <v>1</v>
      </c>
      <c r="D1711" s="188" t="b">
        <f>LineærRegression_Valg[[#This Row],[Afhængig variabel ID]]&lt;&gt;LineærRegression_Valg[[#This Row],[Uafhængig variabel ID]]</f>
        <v>1</v>
      </c>
      <c r="E1711" s="188" t="b">
        <f>LineærRegression_Valg[[#This Row],[Afhængig variabel ID]]&lt;=$B$5</f>
        <v>0</v>
      </c>
      <c r="F1711" t="str" cm="1">
        <f t="array" ref="F1711">IF(LineærRegression_Valg[[#This Row],[Indenfor range]],INDEX(DataTitel_liste,LineærRegression_Valg[[#This Row],[Afhængig variabel ID]]),INDEX(DataTitel_liste,1))</f>
        <v>Eksempel 1 (interval)</v>
      </c>
      <c r="G1711" s="188" t="str" cm="1">
        <f t="array" ref="G1711">IF(LineærRegression_Valg[[#This Row],[Indenfor range]],IF(LineærRegression_Valg[[#This Row],[Intet overlap]],INDEX(DataTitel_liste,LineærRegression_Valg[[#This Row],[Uafhængig variabel ID]]),INDEX(DataTitel_liste,IF(LineærRegression_Valg[[#This Row],[Afhængig variabel ID]]=1,2,1))),$B$7)</f>
        <v>Eksempel 2 (interval)</v>
      </c>
      <c r="H1711" s="188">
        <f>_xlfn.AGGREGATE(2,5,LineærRegression_Valg[[#This Row],[Tabel ID]])</f>
        <v>1</v>
      </c>
    </row>
    <row r="1712" spans="1:8" x14ac:dyDescent="0.2">
      <c r="A1712">
        <f>ROW(LineærRegression_Valg[[#This Row],[Tabel ID]])-ROW(LineærRegression_Valg[[#Headers],[Tabel ID]])</f>
        <v>1702</v>
      </c>
      <c r="B1712" s="188">
        <f>ROUNDDOWN((LineærRegression_Valg[[#This Row],[Tabel ID]]-1)/$B$5,0)+1</f>
        <v>426</v>
      </c>
      <c r="C1712" s="188">
        <f t="shared" si="26"/>
        <v>2</v>
      </c>
      <c r="D1712" s="188" t="b">
        <f>LineærRegression_Valg[[#This Row],[Afhængig variabel ID]]&lt;&gt;LineærRegression_Valg[[#This Row],[Uafhængig variabel ID]]</f>
        <v>1</v>
      </c>
      <c r="E1712" s="188" t="b">
        <f>LineærRegression_Valg[[#This Row],[Afhængig variabel ID]]&lt;=$B$5</f>
        <v>0</v>
      </c>
      <c r="F1712" t="str" cm="1">
        <f t="array" ref="F1712">IF(LineærRegression_Valg[[#This Row],[Indenfor range]],INDEX(DataTitel_liste,LineærRegression_Valg[[#This Row],[Afhængig variabel ID]]),INDEX(DataTitel_liste,1))</f>
        <v>Eksempel 1 (interval)</v>
      </c>
      <c r="G1712" s="188" t="str" cm="1">
        <f t="array" ref="G1712">IF(LineærRegression_Valg[[#This Row],[Indenfor range]],IF(LineærRegression_Valg[[#This Row],[Intet overlap]],INDEX(DataTitel_liste,LineærRegression_Valg[[#This Row],[Uafhængig variabel ID]]),INDEX(DataTitel_liste,IF(LineærRegression_Valg[[#This Row],[Afhængig variabel ID]]=1,2,1))),$B$7)</f>
        <v>Eksempel 2 (interval)</v>
      </c>
      <c r="H1712" s="188">
        <f>_xlfn.AGGREGATE(2,5,LineærRegression_Valg[[#This Row],[Tabel ID]])</f>
        <v>1</v>
      </c>
    </row>
    <row r="1713" spans="1:8" x14ac:dyDescent="0.2">
      <c r="A1713">
        <f>ROW(LineærRegression_Valg[[#This Row],[Tabel ID]])-ROW(LineærRegression_Valg[[#Headers],[Tabel ID]])</f>
        <v>1703</v>
      </c>
      <c r="B1713" s="188">
        <f>ROUNDDOWN((LineærRegression_Valg[[#This Row],[Tabel ID]]-1)/$B$5,0)+1</f>
        <v>426</v>
      </c>
      <c r="C1713" s="188">
        <f t="shared" si="26"/>
        <v>3</v>
      </c>
      <c r="D1713" s="188" t="b">
        <f>LineærRegression_Valg[[#This Row],[Afhængig variabel ID]]&lt;&gt;LineærRegression_Valg[[#This Row],[Uafhængig variabel ID]]</f>
        <v>1</v>
      </c>
      <c r="E1713" s="188" t="b">
        <f>LineærRegression_Valg[[#This Row],[Afhængig variabel ID]]&lt;=$B$5</f>
        <v>0</v>
      </c>
      <c r="F1713" t="str" cm="1">
        <f t="array" ref="F1713">IF(LineærRegression_Valg[[#This Row],[Indenfor range]],INDEX(DataTitel_liste,LineærRegression_Valg[[#This Row],[Afhængig variabel ID]]),INDEX(DataTitel_liste,1))</f>
        <v>Eksempel 1 (interval)</v>
      </c>
      <c r="G1713" s="188" t="str" cm="1">
        <f t="array" ref="G1713">IF(LineærRegression_Valg[[#This Row],[Indenfor range]],IF(LineærRegression_Valg[[#This Row],[Intet overlap]],INDEX(DataTitel_liste,LineærRegression_Valg[[#This Row],[Uafhængig variabel ID]]),INDEX(DataTitel_liste,IF(LineærRegression_Valg[[#This Row],[Afhængig variabel ID]]=1,2,1))),$B$7)</f>
        <v>Eksempel 2 (interval)</v>
      </c>
      <c r="H1713" s="188">
        <f>_xlfn.AGGREGATE(2,5,LineærRegression_Valg[[#This Row],[Tabel ID]])</f>
        <v>1</v>
      </c>
    </row>
    <row r="1714" spans="1:8" x14ac:dyDescent="0.2">
      <c r="A1714">
        <f>ROW(LineærRegression_Valg[[#This Row],[Tabel ID]])-ROW(LineærRegression_Valg[[#Headers],[Tabel ID]])</f>
        <v>1704</v>
      </c>
      <c r="B1714" s="188">
        <f>ROUNDDOWN((LineærRegression_Valg[[#This Row],[Tabel ID]]-1)/$B$5,0)+1</f>
        <v>426</v>
      </c>
      <c r="C1714" s="188">
        <f t="shared" si="26"/>
        <v>4</v>
      </c>
      <c r="D1714" s="188" t="b">
        <f>LineærRegression_Valg[[#This Row],[Afhængig variabel ID]]&lt;&gt;LineærRegression_Valg[[#This Row],[Uafhængig variabel ID]]</f>
        <v>1</v>
      </c>
      <c r="E1714" s="188" t="b">
        <f>LineærRegression_Valg[[#This Row],[Afhængig variabel ID]]&lt;=$B$5</f>
        <v>0</v>
      </c>
      <c r="F1714" t="str" cm="1">
        <f t="array" ref="F1714">IF(LineærRegression_Valg[[#This Row],[Indenfor range]],INDEX(DataTitel_liste,LineærRegression_Valg[[#This Row],[Afhængig variabel ID]]),INDEX(DataTitel_liste,1))</f>
        <v>Eksempel 1 (interval)</v>
      </c>
      <c r="G1714" s="188" t="str" cm="1">
        <f t="array" ref="G1714">IF(LineærRegression_Valg[[#This Row],[Indenfor range]],IF(LineærRegression_Valg[[#This Row],[Intet overlap]],INDEX(DataTitel_liste,LineærRegression_Valg[[#This Row],[Uafhængig variabel ID]]),INDEX(DataTitel_liste,IF(LineærRegression_Valg[[#This Row],[Afhængig variabel ID]]=1,2,1))),$B$7)</f>
        <v>Eksempel 2 (interval)</v>
      </c>
      <c r="H1714" s="188">
        <f>_xlfn.AGGREGATE(2,5,LineærRegression_Valg[[#This Row],[Tabel ID]])</f>
        <v>1</v>
      </c>
    </row>
    <row r="1715" spans="1:8" x14ac:dyDescent="0.2">
      <c r="A1715">
        <f>ROW(LineærRegression_Valg[[#This Row],[Tabel ID]])-ROW(LineærRegression_Valg[[#Headers],[Tabel ID]])</f>
        <v>1705</v>
      </c>
      <c r="B1715" s="188">
        <f>ROUNDDOWN((LineærRegression_Valg[[#This Row],[Tabel ID]]-1)/$B$5,0)+1</f>
        <v>427</v>
      </c>
      <c r="C1715" s="188">
        <f t="shared" si="26"/>
        <v>1</v>
      </c>
      <c r="D1715" s="188" t="b">
        <f>LineærRegression_Valg[[#This Row],[Afhængig variabel ID]]&lt;&gt;LineærRegression_Valg[[#This Row],[Uafhængig variabel ID]]</f>
        <v>1</v>
      </c>
      <c r="E1715" s="188" t="b">
        <f>LineærRegression_Valg[[#This Row],[Afhængig variabel ID]]&lt;=$B$5</f>
        <v>0</v>
      </c>
      <c r="F1715" t="str" cm="1">
        <f t="array" ref="F1715">IF(LineærRegression_Valg[[#This Row],[Indenfor range]],INDEX(DataTitel_liste,LineærRegression_Valg[[#This Row],[Afhængig variabel ID]]),INDEX(DataTitel_liste,1))</f>
        <v>Eksempel 1 (interval)</v>
      </c>
      <c r="G1715" s="188" t="str" cm="1">
        <f t="array" ref="G1715">IF(LineærRegression_Valg[[#This Row],[Indenfor range]],IF(LineærRegression_Valg[[#This Row],[Intet overlap]],INDEX(DataTitel_liste,LineærRegression_Valg[[#This Row],[Uafhængig variabel ID]]),INDEX(DataTitel_liste,IF(LineærRegression_Valg[[#This Row],[Afhængig variabel ID]]=1,2,1))),$B$7)</f>
        <v>Eksempel 2 (interval)</v>
      </c>
      <c r="H1715" s="188">
        <f>_xlfn.AGGREGATE(2,5,LineærRegression_Valg[[#This Row],[Tabel ID]])</f>
        <v>1</v>
      </c>
    </row>
    <row r="1716" spans="1:8" x14ac:dyDescent="0.2">
      <c r="A1716">
        <f>ROW(LineærRegression_Valg[[#This Row],[Tabel ID]])-ROW(LineærRegression_Valg[[#Headers],[Tabel ID]])</f>
        <v>1706</v>
      </c>
      <c r="B1716" s="188">
        <f>ROUNDDOWN((LineærRegression_Valg[[#This Row],[Tabel ID]]-1)/$B$5,0)+1</f>
        <v>427</v>
      </c>
      <c r="C1716" s="188">
        <f t="shared" si="26"/>
        <v>2</v>
      </c>
      <c r="D1716" s="188" t="b">
        <f>LineærRegression_Valg[[#This Row],[Afhængig variabel ID]]&lt;&gt;LineærRegression_Valg[[#This Row],[Uafhængig variabel ID]]</f>
        <v>1</v>
      </c>
      <c r="E1716" s="188" t="b">
        <f>LineærRegression_Valg[[#This Row],[Afhængig variabel ID]]&lt;=$B$5</f>
        <v>0</v>
      </c>
      <c r="F1716" t="str" cm="1">
        <f t="array" ref="F1716">IF(LineærRegression_Valg[[#This Row],[Indenfor range]],INDEX(DataTitel_liste,LineærRegression_Valg[[#This Row],[Afhængig variabel ID]]),INDEX(DataTitel_liste,1))</f>
        <v>Eksempel 1 (interval)</v>
      </c>
      <c r="G1716" s="188" t="str" cm="1">
        <f t="array" ref="G1716">IF(LineærRegression_Valg[[#This Row],[Indenfor range]],IF(LineærRegression_Valg[[#This Row],[Intet overlap]],INDEX(DataTitel_liste,LineærRegression_Valg[[#This Row],[Uafhængig variabel ID]]),INDEX(DataTitel_liste,IF(LineærRegression_Valg[[#This Row],[Afhængig variabel ID]]=1,2,1))),$B$7)</f>
        <v>Eksempel 2 (interval)</v>
      </c>
      <c r="H1716" s="188">
        <f>_xlfn.AGGREGATE(2,5,LineærRegression_Valg[[#This Row],[Tabel ID]])</f>
        <v>1</v>
      </c>
    </row>
    <row r="1717" spans="1:8" x14ac:dyDescent="0.2">
      <c r="A1717">
        <f>ROW(LineærRegression_Valg[[#This Row],[Tabel ID]])-ROW(LineærRegression_Valg[[#Headers],[Tabel ID]])</f>
        <v>1707</v>
      </c>
      <c r="B1717" s="188">
        <f>ROUNDDOWN((LineærRegression_Valg[[#This Row],[Tabel ID]]-1)/$B$5,0)+1</f>
        <v>427</v>
      </c>
      <c r="C1717" s="188">
        <f t="shared" si="26"/>
        <v>3</v>
      </c>
      <c r="D1717" s="188" t="b">
        <f>LineærRegression_Valg[[#This Row],[Afhængig variabel ID]]&lt;&gt;LineærRegression_Valg[[#This Row],[Uafhængig variabel ID]]</f>
        <v>1</v>
      </c>
      <c r="E1717" s="188" t="b">
        <f>LineærRegression_Valg[[#This Row],[Afhængig variabel ID]]&lt;=$B$5</f>
        <v>0</v>
      </c>
      <c r="F1717" t="str" cm="1">
        <f t="array" ref="F1717">IF(LineærRegression_Valg[[#This Row],[Indenfor range]],INDEX(DataTitel_liste,LineærRegression_Valg[[#This Row],[Afhængig variabel ID]]),INDEX(DataTitel_liste,1))</f>
        <v>Eksempel 1 (interval)</v>
      </c>
      <c r="G1717" s="188" t="str" cm="1">
        <f t="array" ref="G1717">IF(LineærRegression_Valg[[#This Row],[Indenfor range]],IF(LineærRegression_Valg[[#This Row],[Intet overlap]],INDEX(DataTitel_liste,LineærRegression_Valg[[#This Row],[Uafhængig variabel ID]]),INDEX(DataTitel_liste,IF(LineærRegression_Valg[[#This Row],[Afhængig variabel ID]]=1,2,1))),$B$7)</f>
        <v>Eksempel 2 (interval)</v>
      </c>
      <c r="H1717" s="188">
        <f>_xlfn.AGGREGATE(2,5,LineærRegression_Valg[[#This Row],[Tabel ID]])</f>
        <v>1</v>
      </c>
    </row>
    <row r="1718" spans="1:8" x14ac:dyDescent="0.2">
      <c r="A1718">
        <f>ROW(LineærRegression_Valg[[#This Row],[Tabel ID]])-ROW(LineærRegression_Valg[[#Headers],[Tabel ID]])</f>
        <v>1708</v>
      </c>
      <c r="B1718" s="188">
        <f>ROUNDDOWN((LineærRegression_Valg[[#This Row],[Tabel ID]]-1)/$B$5,0)+1</f>
        <v>427</v>
      </c>
      <c r="C1718" s="188">
        <f t="shared" si="26"/>
        <v>4</v>
      </c>
      <c r="D1718" s="188" t="b">
        <f>LineærRegression_Valg[[#This Row],[Afhængig variabel ID]]&lt;&gt;LineærRegression_Valg[[#This Row],[Uafhængig variabel ID]]</f>
        <v>1</v>
      </c>
      <c r="E1718" s="188" t="b">
        <f>LineærRegression_Valg[[#This Row],[Afhængig variabel ID]]&lt;=$B$5</f>
        <v>0</v>
      </c>
      <c r="F1718" t="str" cm="1">
        <f t="array" ref="F1718">IF(LineærRegression_Valg[[#This Row],[Indenfor range]],INDEX(DataTitel_liste,LineærRegression_Valg[[#This Row],[Afhængig variabel ID]]),INDEX(DataTitel_liste,1))</f>
        <v>Eksempel 1 (interval)</v>
      </c>
      <c r="G1718" s="188" t="str" cm="1">
        <f t="array" ref="G1718">IF(LineærRegression_Valg[[#This Row],[Indenfor range]],IF(LineærRegression_Valg[[#This Row],[Intet overlap]],INDEX(DataTitel_liste,LineærRegression_Valg[[#This Row],[Uafhængig variabel ID]]),INDEX(DataTitel_liste,IF(LineærRegression_Valg[[#This Row],[Afhængig variabel ID]]=1,2,1))),$B$7)</f>
        <v>Eksempel 2 (interval)</v>
      </c>
      <c r="H1718" s="188">
        <f>_xlfn.AGGREGATE(2,5,LineærRegression_Valg[[#This Row],[Tabel ID]])</f>
        <v>1</v>
      </c>
    </row>
    <row r="1719" spans="1:8" x14ac:dyDescent="0.2">
      <c r="A1719">
        <f>ROW(LineærRegression_Valg[[#This Row],[Tabel ID]])-ROW(LineærRegression_Valg[[#Headers],[Tabel ID]])</f>
        <v>1709</v>
      </c>
      <c r="B1719" s="188">
        <f>ROUNDDOWN((LineærRegression_Valg[[#This Row],[Tabel ID]]-1)/$B$5,0)+1</f>
        <v>428</v>
      </c>
      <c r="C1719" s="188">
        <f t="shared" si="26"/>
        <v>1</v>
      </c>
      <c r="D1719" s="188" t="b">
        <f>LineærRegression_Valg[[#This Row],[Afhængig variabel ID]]&lt;&gt;LineærRegression_Valg[[#This Row],[Uafhængig variabel ID]]</f>
        <v>1</v>
      </c>
      <c r="E1719" s="188" t="b">
        <f>LineærRegression_Valg[[#This Row],[Afhængig variabel ID]]&lt;=$B$5</f>
        <v>0</v>
      </c>
      <c r="F1719" t="str" cm="1">
        <f t="array" ref="F1719">IF(LineærRegression_Valg[[#This Row],[Indenfor range]],INDEX(DataTitel_liste,LineærRegression_Valg[[#This Row],[Afhængig variabel ID]]),INDEX(DataTitel_liste,1))</f>
        <v>Eksempel 1 (interval)</v>
      </c>
      <c r="G1719" s="188" t="str" cm="1">
        <f t="array" ref="G1719">IF(LineærRegression_Valg[[#This Row],[Indenfor range]],IF(LineærRegression_Valg[[#This Row],[Intet overlap]],INDEX(DataTitel_liste,LineærRegression_Valg[[#This Row],[Uafhængig variabel ID]]),INDEX(DataTitel_liste,IF(LineærRegression_Valg[[#This Row],[Afhængig variabel ID]]=1,2,1))),$B$7)</f>
        <v>Eksempel 2 (interval)</v>
      </c>
      <c r="H1719" s="188">
        <f>_xlfn.AGGREGATE(2,5,LineærRegression_Valg[[#This Row],[Tabel ID]])</f>
        <v>1</v>
      </c>
    </row>
    <row r="1720" spans="1:8" x14ac:dyDescent="0.2">
      <c r="A1720">
        <f>ROW(LineærRegression_Valg[[#This Row],[Tabel ID]])-ROW(LineærRegression_Valg[[#Headers],[Tabel ID]])</f>
        <v>1710</v>
      </c>
      <c r="B1720" s="188">
        <f>ROUNDDOWN((LineærRegression_Valg[[#This Row],[Tabel ID]]-1)/$B$5,0)+1</f>
        <v>428</v>
      </c>
      <c r="C1720" s="188">
        <f t="shared" si="26"/>
        <v>2</v>
      </c>
      <c r="D1720" s="188" t="b">
        <f>LineærRegression_Valg[[#This Row],[Afhængig variabel ID]]&lt;&gt;LineærRegression_Valg[[#This Row],[Uafhængig variabel ID]]</f>
        <v>1</v>
      </c>
      <c r="E1720" s="188" t="b">
        <f>LineærRegression_Valg[[#This Row],[Afhængig variabel ID]]&lt;=$B$5</f>
        <v>0</v>
      </c>
      <c r="F1720" t="str" cm="1">
        <f t="array" ref="F1720">IF(LineærRegression_Valg[[#This Row],[Indenfor range]],INDEX(DataTitel_liste,LineærRegression_Valg[[#This Row],[Afhængig variabel ID]]),INDEX(DataTitel_liste,1))</f>
        <v>Eksempel 1 (interval)</v>
      </c>
      <c r="G1720" s="188" t="str" cm="1">
        <f t="array" ref="G1720">IF(LineærRegression_Valg[[#This Row],[Indenfor range]],IF(LineærRegression_Valg[[#This Row],[Intet overlap]],INDEX(DataTitel_liste,LineærRegression_Valg[[#This Row],[Uafhængig variabel ID]]),INDEX(DataTitel_liste,IF(LineærRegression_Valg[[#This Row],[Afhængig variabel ID]]=1,2,1))),$B$7)</f>
        <v>Eksempel 2 (interval)</v>
      </c>
      <c r="H1720" s="188">
        <f>_xlfn.AGGREGATE(2,5,LineærRegression_Valg[[#This Row],[Tabel ID]])</f>
        <v>1</v>
      </c>
    </row>
    <row r="1721" spans="1:8" x14ac:dyDescent="0.2">
      <c r="A1721">
        <f>ROW(LineærRegression_Valg[[#This Row],[Tabel ID]])-ROW(LineærRegression_Valg[[#Headers],[Tabel ID]])</f>
        <v>1711</v>
      </c>
      <c r="B1721" s="188">
        <f>ROUNDDOWN((LineærRegression_Valg[[#This Row],[Tabel ID]]-1)/$B$5,0)+1</f>
        <v>428</v>
      </c>
      <c r="C1721" s="188">
        <f t="shared" si="26"/>
        <v>3</v>
      </c>
      <c r="D1721" s="188" t="b">
        <f>LineærRegression_Valg[[#This Row],[Afhængig variabel ID]]&lt;&gt;LineærRegression_Valg[[#This Row],[Uafhængig variabel ID]]</f>
        <v>1</v>
      </c>
      <c r="E1721" s="188" t="b">
        <f>LineærRegression_Valg[[#This Row],[Afhængig variabel ID]]&lt;=$B$5</f>
        <v>0</v>
      </c>
      <c r="F1721" t="str" cm="1">
        <f t="array" ref="F1721">IF(LineærRegression_Valg[[#This Row],[Indenfor range]],INDEX(DataTitel_liste,LineærRegression_Valg[[#This Row],[Afhængig variabel ID]]),INDEX(DataTitel_liste,1))</f>
        <v>Eksempel 1 (interval)</v>
      </c>
      <c r="G1721" s="188" t="str" cm="1">
        <f t="array" ref="G1721">IF(LineærRegression_Valg[[#This Row],[Indenfor range]],IF(LineærRegression_Valg[[#This Row],[Intet overlap]],INDEX(DataTitel_liste,LineærRegression_Valg[[#This Row],[Uafhængig variabel ID]]),INDEX(DataTitel_liste,IF(LineærRegression_Valg[[#This Row],[Afhængig variabel ID]]=1,2,1))),$B$7)</f>
        <v>Eksempel 2 (interval)</v>
      </c>
      <c r="H1721" s="188">
        <f>_xlfn.AGGREGATE(2,5,LineærRegression_Valg[[#This Row],[Tabel ID]])</f>
        <v>1</v>
      </c>
    </row>
    <row r="1722" spans="1:8" x14ac:dyDescent="0.2">
      <c r="A1722">
        <f>ROW(LineærRegression_Valg[[#This Row],[Tabel ID]])-ROW(LineærRegression_Valg[[#Headers],[Tabel ID]])</f>
        <v>1712</v>
      </c>
      <c r="B1722" s="188">
        <f>ROUNDDOWN((LineærRegression_Valg[[#This Row],[Tabel ID]]-1)/$B$5,0)+1</f>
        <v>428</v>
      </c>
      <c r="C1722" s="188">
        <f t="shared" si="26"/>
        <v>4</v>
      </c>
      <c r="D1722" s="188" t="b">
        <f>LineærRegression_Valg[[#This Row],[Afhængig variabel ID]]&lt;&gt;LineærRegression_Valg[[#This Row],[Uafhængig variabel ID]]</f>
        <v>1</v>
      </c>
      <c r="E1722" s="188" t="b">
        <f>LineærRegression_Valg[[#This Row],[Afhængig variabel ID]]&lt;=$B$5</f>
        <v>0</v>
      </c>
      <c r="F1722" t="str" cm="1">
        <f t="array" ref="F1722">IF(LineærRegression_Valg[[#This Row],[Indenfor range]],INDEX(DataTitel_liste,LineærRegression_Valg[[#This Row],[Afhængig variabel ID]]),INDEX(DataTitel_liste,1))</f>
        <v>Eksempel 1 (interval)</v>
      </c>
      <c r="G1722" s="188" t="str" cm="1">
        <f t="array" ref="G1722">IF(LineærRegression_Valg[[#This Row],[Indenfor range]],IF(LineærRegression_Valg[[#This Row],[Intet overlap]],INDEX(DataTitel_liste,LineærRegression_Valg[[#This Row],[Uafhængig variabel ID]]),INDEX(DataTitel_liste,IF(LineærRegression_Valg[[#This Row],[Afhængig variabel ID]]=1,2,1))),$B$7)</f>
        <v>Eksempel 2 (interval)</v>
      </c>
      <c r="H1722" s="188">
        <f>_xlfn.AGGREGATE(2,5,LineærRegression_Valg[[#This Row],[Tabel ID]])</f>
        <v>1</v>
      </c>
    </row>
    <row r="1723" spans="1:8" x14ac:dyDescent="0.2">
      <c r="A1723">
        <f>ROW(LineærRegression_Valg[[#This Row],[Tabel ID]])-ROW(LineærRegression_Valg[[#Headers],[Tabel ID]])</f>
        <v>1713</v>
      </c>
      <c r="B1723" s="188">
        <f>ROUNDDOWN((LineærRegression_Valg[[#This Row],[Tabel ID]]-1)/$B$5,0)+1</f>
        <v>429</v>
      </c>
      <c r="C1723" s="188">
        <f t="shared" si="26"/>
        <v>1</v>
      </c>
      <c r="D1723" s="188" t="b">
        <f>LineærRegression_Valg[[#This Row],[Afhængig variabel ID]]&lt;&gt;LineærRegression_Valg[[#This Row],[Uafhængig variabel ID]]</f>
        <v>1</v>
      </c>
      <c r="E1723" s="188" t="b">
        <f>LineærRegression_Valg[[#This Row],[Afhængig variabel ID]]&lt;=$B$5</f>
        <v>0</v>
      </c>
      <c r="F1723" t="str" cm="1">
        <f t="array" ref="F1723">IF(LineærRegression_Valg[[#This Row],[Indenfor range]],INDEX(DataTitel_liste,LineærRegression_Valg[[#This Row],[Afhængig variabel ID]]),INDEX(DataTitel_liste,1))</f>
        <v>Eksempel 1 (interval)</v>
      </c>
      <c r="G1723" s="188" t="str" cm="1">
        <f t="array" ref="G1723">IF(LineærRegression_Valg[[#This Row],[Indenfor range]],IF(LineærRegression_Valg[[#This Row],[Intet overlap]],INDEX(DataTitel_liste,LineærRegression_Valg[[#This Row],[Uafhængig variabel ID]]),INDEX(DataTitel_liste,IF(LineærRegression_Valg[[#This Row],[Afhængig variabel ID]]=1,2,1))),$B$7)</f>
        <v>Eksempel 2 (interval)</v>
      </c>
      <c r="H1723" s="188">
        <f>_xlfn.AGGREGATE(2,5,LineærRegression_Valg[[#This Row],[Tabel ID]])</f>
        <v>1</v>
      </c>
    </row>
    <row r="1724" spans="1:8" x14ac:dyDescent="0.2">
      <c r="A1724">
        <f>ROW(LineærRegression_Valg[[#This Row],[Tabel ID]])-ROW(LineærRegression_Valg[[#Headers],[Tabel ID]])</f>
        <v>1714</v>
      </c>
      <c r="B1724" s="188">
        <f>ROUNDDOWN((LineærRegression_Valg[[#This Row],[Tabel ID]]-1)/$B$5,0)+1</f>
        <v>429</v>
      </c>
      <c r="C1724" s="188">
        <f t="shared" si="26"/>
        <v>2</v>
      </c>
      <c r="D1724" s="188" t="b">
        <f>LineærRegression_Valg[[#This Row],[Afhængig variabel ID]]&lt;&gt;LineærRegression_Valg[[#This Row],[Uafhængig variabel ID]]</f>
        <v>1</v>
      </c>
      <c r="E1724" s="188" t="b">
        <f>LineærRegression_Valg[[#This Row],[Afhængig variabel ID]]&lt;=$B$5</f>
        <v>0</v>
      </c>
      <c r="F1724" t="str" cm="1">
        <f t="array" ref="F1724">IF(LineærRegression_Valg[[#This Row],[Indenfor range]],INDEX(DataTitel_liste,LineærRegression_Valg[[#This Row],[Afhængig variabel ID]]),INDEX(DataTitel_liste,1))</f>
        <v>Eksempel 1 (interval)</v>
      </c>
      <c r="G1724" s="188" t="str" cm="1">
        <f t="array" ref="G1724">IF(LineærRegression_Valg[[#This Row],[Indenfor range]],IF(LineærRegression_Valg[[#This Row],[Intet overlap]],INDEX(DataTitel_liste,LineærRegression_Valg[[#This Row],[Uafhængig variabel ID]]),INDEX(DataTitel_liste,IF(LineærRegression_Valg[[#This Row],[Afhængig variabel ID]]=1,2,1))),$B$7)</f>
        <v>Eksempel 2 (interval)</v>
      </c>
      <c r="H1724" s="188">
        <f>_xlfn.AGGREGATE(2,5,LineærRegression_Valg[[#This Row],[Tabel ID]])</f>
        <v>1</v>
      </c>
    </row>
    <row r="1725" spans="1:8" x14ac:dyDescent="0.2">
      <c r="A1725">
        <f>ROW(LineærRegression_Valg[[#This Row],[Tabel ID]])-ROW(LineærRegression_Valg[[#Headers],[Tabel ID]])</f>
        <v>1715</v>
      </c>
      <c r="B1725" s="188">
        <f>ROUNDDOWN((LineærRegression_Valg[[#This Row],[Tabel ID]]-1)/$B$5,0)+1</f>
        <v>429</v>
      </c>
      <c r="C1725" s="188">
        <f t="shared" si="26"/>
        <v>3</v>
      </c>
      <c r="D1725" s="188" t="b">
        <f>LineærRegression_Valg[[#This Row],[Afhængig variabel ID]]&lt;&gt;LineærRegression_Valg[[#This Row],[Uafhængig variabel ID]]</f>
        <v>1</v>
      </c>
      <c r="E1725" s="188" t="b">
        <f>LineærRegression_Valg[[#This Row],[Afhængig variabel ID]]&lt;=$B$5</f>
        <v>0</v>
      </c>
      <c r="F1725" t="str" cm="1">
        <f t="array" ref="F1725">IF(LineærRegression_Valg[[#This Row],[Indenfor range]],INDEX(DataTitel_liste,LineærRegression_Valg[[#This Row],[Afhængig variabel ID]]),INDEX(DataTitel_liste,1))</f>
        <v>Eksempel 1 (interval)</v>
      </c>
      <c r="G1725" s="188" t="str" cm="1">
        <f t="array" ref="G1725">IF(LineærRegression_Valg[[#This Row],[Indenfor range]],IF(LineærRegression_Valg[[#This Row],[Intet overlap]],INDEX(DataTitel_liste,LineærRegression_Valg[[#This Row],[Uafhængig variabel ID]]),INDEX(DataTitel_liste,IF(LineærRegression_Valg[[#This Row],[Afhængig variabel ID]]=1,2,1))),$B$7)</f>
        <v>Eksempel 2 (interval)</v>
      </c>
      <c r="H1725" s="188">
        <f>_xlfn.AGGREGATE(2,5,LineærRegression_Valg[[#This Row],[Tabel ID]])</f>
        <v>1</v>
      </c>
    </row>
    <row r="1726" spans="1:8" x14ac:dyDescent="0.2">
      <c r="A1726">
        <f>ROW(LineærRegression_Valg[[#This Row],[Tabel ID]])-ROW(LineærRegression_Valg[[#Headers],[Tabel ID]])</f>
        <v>1716</v>
      </c>
      <c r="B1726" s="188">
        <f>ROUNDDOWN((LineærRegression_Valg[[#This Row],[Tabel ID]]-1)/$B$5,0)+1</f>
        <v>429</v>
      </c>
      <c r="C1726" s="188">
        <f t="shared" si="26"/>
        <v>4</v>
      </c>
      <c r="D1726" s="188" t="b">
        <f>LineærRegression_Valg[[#This Row],[Afhængig variabel ID]]&lt;&gt;LineærRegression_Valg[[#This Row],[Uafhængig variabel ID]]</f>
        <v>1</v>
      </c>
      <c r="E1726" s="188" t="b">
        <f>LineærRegression_Valg[[#This Row],[Afhængig variabel ID]]&lt;=$B$5</f>
        <v>0</v>
      </c>
      <c r="F1726" t="str" cm="1">
        <f t="array" ref="F1726">IF(LineærRegression_Valg[[#This Row],[Indenfor range]],INDEX(DataTitel_liste,LineærRegression_Valg[[#This Row],[Afhængig variabel ID]]),INDEX(DataTitel_liste,1))</f>
        <v>Eksempel 1 (interval)</v>
      </c>
      <c r="G1726" s="188" t="str" cm="1">
        <f t="array" ref="G1726">IF(LineærRegression_Valg[[#This Row],[Indenfor range]],IF(LineærRegression_Valg[[#This Row],[Intet overlap]],INDEX(DataTitel_liste,LineærRegression_Valg[[#This Row],[Uafhængig variabel ID]]),INDEX(DataTitel_liste,IF(LineærRegression_Valg[[#This Row],[Afhængig variabel ID]]=1,2,1))),$B$7)</f>
        <v>Eksempel 2 (interval)</v>
      </c>
      <c r="H1726" s="188">
        <f>_xlfn.AGGREGATE(2,5,LineærRegression_Valg[[#This Row],[Tabel ID]])</f>
        <v>1</v>
      </c>
    </row>
    <row r="1727" spans="1:8" x14ac:dyDescent="0.2">
      <c r="A1727">
        <f>ROW(LineærRegression_Valg[[#This Row],[Tabel ID]])-ROW(LineærRegression_Valg[[#Headers],[Tabel ID]])</f>
        <v>1717</v>
      </c>
      <c r="B1727" s="188">
        <f>ROUNDDOWN((LineærRegression_Valg[[#This Row],[Tabel ID]]-1)/$B$5,0)+1</f>
        <v>430</v>
      </c>
      <c r="C1727" s="188">
        <f t="shared" si="26"/>
        <v>1</v>
      </c>
      <c r="D1727" s="188" t="b">
        <f>LineærRegression_Valg[[#This Row],[Afhængig variabel ID]]&lt;&gt;LineærRegression_Valg[[#This Row],[Uafhængig variabel ID]]</f>
        <v>1</v>
      </c>
      <c r="E1727" s="188" t="b">
        <f>LineærRegression_Valg[[#This Row],[Afhængig variabel ID]]&lt;=$B$5</f>
        <v>0</v>
      </c>
      <c r="F1727" t="str" cm="1">
        <f t="array" ref="F1727">IF(LineærRegression_Valg[[#This Row],[Indenfor range]],INDEX(DataTitel_liste,LineærRegression_Valg[[#This Row],[Afhængig variabel ID]]),INDEX(DataTitel_liste,1))</f>
        <v>Eksempel 1 (interval)</v>
      </c>
      <c r="G1727" s="188" t="str" cm="1">
        <f t="array" ref="G1727">IF(LineærRegression_Valg[[#This Row],[Indenfor range]],IF(LineærRegression_Valg[[#This Row],[Intet overlap]],INDEX(DataTitel_liste,LineærRegression_Valg[[#This Row],[Uafhængig variabel ID]]),INDEX(DataTitel_liste,IF(LineærRegression_Valg[[#This Row],[Afhængig variabel ID]]=1,2,1))),$B$7)</f>
        <v>Eksempel 2 (interval)</v>
      </c>
      <c r="H1727" s="188">
        <f>_xlfn.AGGREGATE(2,5,LineærRegression_Valg[[#This Row],[Tabel ID]])</f>
        <v>1</v>
      </c>
    </row>
    <row r="1728" spans="1:8" x14ac:dyDescent="0.2">
      <c r="A1728">
        <f>ROW(LineærRegression_Valg[[#This Row],[Tabel ID]])-ROW(LineærRegression_Valg[[#Headers],[Tabel ID]])</f>
        <v>1718</v>
      </c>
      <c r="B1728" s="188">
        <f>ROUNDDOWN((LineærRegression_Valg[[#This Row],[Tabel ID]]-1)/$B$5,0)+1</f>
        <v>430</v>
      </c>
      <c r="C1728" s="188">
        <f t="shared" si="26"/>
        <v>2</v>
      </c>
      <c r="D1728" s="188" t="b">
        <f>LineærRegression_Valg[[#This Row],[Afhængig variabel ID]]&lt;&gt;LineærRegression_Valg[[#This Row],[Uafhængig variabel ID]]</f>
        <v>1</v>
      </c>
      <c r="E1728" s="188" t="b">
        <f>LineærRegression_Valg[[#This Row],[Afhængig variabel ID]]&lt;=$B$5</f>
        <v>0</v>
      </c>
      <c r="F1728" t="str" cm="1">
        <f t="array" ref="F1728">IF(LineærRegression_Valg[[#This Row],[Indenfor range]],INDEX(DataTitel_liste,LineærRegression_Valg[[#This Row],[Afhængig variabel ID]]),INDEX(DataTitel_liste,1))</f>
        <v>Eksempel 1 (interval)</v>
      </c>
      <c r="G1728" s="188" t="str" cm="1">
        <f t="array" ref="G1728">IF(LineærRegression_Valg[[#This Row],[Indenfor range]],IF(LineærRegression_Valg[[#This Row],[Intet overlap]],INDEX(DataTitel_liste,LineærRegression_Valg[[#This Row],[Uafhængig variabel ID]]),INDEX(DataTitel_liste,IF(LineærRegression_Valg[[#This Row],[Afhængig variabel ID]]=1,2,1))),$B$7)</f>
        <v>Eksempel 2 (interval)</v>
      </c>
      <c r="H1728" s="188">
        <f>_xlfn.AGGREGATE(2,5,LineærRegression_Valg[[#This Row],[Tabel ID]])</f>
        <v>1</v>
      </c>
    </row>
    <row r="1729" spans="1:8" x14ac:dyDescent="0.2">
      <c r="A1729">
        <f>ROW(LineærRegression_Valg[[#This Row],[Tabel ID]])-ROW(LineærRegression_Valg[[#Headers],[Tabel ID]])</f>
        <v>1719</v>
      </c>
      <c r="B1729" s="188">
        <f>ROUNDDOWN((LineærRegression_Valg[[#This Row],[Tabel ID]]-1)/$B$5,0)+1</f>
        <v>430</v>
      </c>
      <c r="C1729" s="188">
        <f t="shared" si="26"/>
        <v>3</v>
      </c>
      <c r="D1729" s="188" t="b">
        <f>LineærRegression_Valg[[#This Row],[Afhængig variabel ID]]&lt;&gt;LineærRegression_Valg[[#This Row],[Uafhængig variabel ID]]</f>
        <v>1</v>
      </c>
      <c r="E1729" s="188" t="b">
        <f>LineærRegression_Valg[[#This Row],[Afhængig variabel ID]]&lt;=$B$5</f>
        <v>0</v>
      </c>
      <c r="F1729" t="str" cm="1">
        <f t="array" ref="F1729">IF(LineærRegression_Valg[[#This Row],[Indenfor range]],INDEX(DataTitel_liste,LineærRegression_Valg[[#This Row],[Afhængig variabel ID]]),INDEX(DataTitel_liste,1))</f>
        <v>Eksempel 1 (interval)</v>
      </c>
      <c r="G1729" s="188" t="str" cm="1">
        <f t="array" ref="G1729">IF(LineærRegression_Valg[[#This Row],[Indenfor range]],IF(LineærRegression_Valg[[#This Row],[Intet overlap]],INDEX(DataTitel_liste,LineærRegression_Valg[[#This Row],[Uafhængig variabel ID]]),INDEX(DataTitel_liste,IF(LineærRegression_Valg[[#This Row],[Afhængig variabel ID]]=1,2,1))),$B$7)</f>
        <v>Eksempel 2 (interval)</v>
      </c>
      <c r="H1729" s="188">
        <f>_xlfn.AGGREGATE(2,5,LineærRegression_Valg[[#This Row],[Tabel ID]])</f>
        <v>1</v>
      </c>
    </row>
    <row r="1730" spans="1:8" x14ac:dyDescent="0.2">
      <c r="A1730">
        <f>ROW(LineærRegression_Valg[[#This Row],[Tabel ID]])-ROW(LineærRegression_Valg[[#Headers],[Tabel ID]])</f>
        <v>1720</v>
      </c>
      <c r="B1730" s="188">
        <f>ROUNDDOWN((LineærRegression_Valg[[#This Row],[Tabel ID]]-1)/$B$5,0)+1</f>
        <v>430</v>
      </c>
      <c r="C1730" s="188">
        <f t="shared" si="26"/>
        <v>4</v>
      </c>
      <c r="D1730" s="188" t="b">
        <f>LineærRegression_Valg[[#This Row],[Afhængig variabel ID]]&lt;&gt;LineærRegression_Valg[[#This Row],[Uafhængig variabel ID]]</f>
        <v>1</v>
      </c>
      <c r="E1730" s="188" t="b">
        <f>LineærRegression_Valg[[#This Row],[Afhængig variabel ID]]&lt;=$B$5</f>
        <v>0</v>
      </c>
      <c r="F1730" t="str" cm="1">
        <f t="array" ref="F1730">IF(LineærRegression_Valg[[#This Row],[Indenfor range]],INDEX(DataTitel_liste,LineærRegression_Valg[[#This Row],[Afhængig variabel ID]]),INDEX(DataTitel_liste,1))</f>
        <v>Eksempel 1 (interval)</v>
      </c>
      <c r="G1730" s="188" t="str" cm="1">
        <f t="array" ref="G1730">IF(LineærRegression_Valg[[#This Row],[Indenfor range]],IF(LineærRegression_Valg[[#This Row],[Intet overlap]],INDEX(DataTitel_liste,LineærRegression_Valg[[#This Row],[Uafhængig variabel ID]]),INDEX(DataTitel_liste,IF(LineærRegression_Valg[[#This Row],[Afhængig variabel ID]]=1,2,1))),$B$7)</f>
        <v>Eksempel 2 (interval)</v>
      </c>
      <c r="H1730" s="188">
        <f>_xlfn.AGGREGATE(2,5,LineærRegression_Valg[[#This Row],[Tabel ID]])</f>
        <v>1</v>
      </c>
    </row>
    <row r="1731" spans="1:8" x14ac:dyDescent="0.2">
      <c r="A1731">
        <f>ROW(LineærRegression_Valg[[#This Row],[Tabel ID]])-ROW(LineærRegression_Valg[[#Headers],[Tabel ID]])</f>
        <v>1721</v>
      </c>
      <c r="B1731" s="188">
        <f>ROUNDDOWN((LineærRegression_Valg[[#This Row],[Tabel ID]]-1)/$B$5,0)+1</f>
        <v>431</v>
      </c>
      <c r="C1731" s="188">
        <f t="shared" si="26"/>
        <v>1</v>
      </c>
      <c r="D1731" s="188" t="b">
        <f>LineærRegression_Valg[[#This Row],[Afhængig variabel ID]]&lt;&gt;LineærRegression_Valg[[#This Row],[Uafhængig variabel ID]]</f>
        <v>1</v>
      </c>
      <c r="E1731" s="188" t="b">
        <f>LineærRegression_Valg[[#This Row],[Afhængig variabel ID]]&lt;=$B$5</f>
        <v>0</v>
      </c>
      <c r="F1731" t="str" cm="1">
        <f t="array" ref="F1731">IF(LineærRegression_Valg[[#This Row],[Indenfor range]],INDEX(DataTitel_liste,LineærRegression_Valg[[#This Row],[Afhængig variabel ID]]),INDEX(DataTitel_liste,1))</f>
        <v>Eksempel 1 (interval)</v>
      </c>
      <c r="G1731" s="188" t="str" cm="1">
        <f t="array" ref="G1731">IF(LineærRegression_Valg[[#This Row],[Indenfor range]],IF(LineærRegression_Valg[[#This Row],[Intet overlap]],INDEX(DataTitel_liste,LineærRegression_Valg[[#This Row],[Uafhængig variabel ID]]),INDEX(DataTitel_liste,IF(LineærRegression_Valg[[#This Row],[Afhængig variabel ID]]=1,2,1))),$B$7)</f>
        <v>Eksempel 2 (interval)</v>
      </c>
      <c r="H1731" s="188">
        <f>_xlfn.AGGREGATE(2,5,LineærRegression_Valg[[#This Row],[Tabel ID]])</f>
        <v>1</v>
      </c>
    </row>
    <row r="1732" spans="1:8" x14ac:dyDescent="0.2">
      <c r="A1732">
        <f>ROW(LineærRegression_Valg[[#This Row],[Tabel ID]])-ROW(LineærRegression_Valg[[#Headers],[Tabel ID]])</f>
        <v>1722</v>
      </c>
      <c r="B1732" s="188">
        <f>ROUNDDOWN((LineærRegression_Valg[[#This Row],[Tabel ID]]-1)/$B$5,0)+1</f>
        <v>431</v>
      </c>
      <c r="C1732" s="188">
        <f t="shared" si="26"/>
        <v>2</v>
      </c>
      <c r="D1732" s="188" t="b">
        <f>LineærRegression_Valg[[#This Row],[Afhængig variabel ID]]&lt;&gt;LineærRegression_Valg[[#This Row],[Uafhængig variabel ID]]</f>
        <v>1</v>
      </c>
      <c r="E1732" s="188" t="b">
        <f>LineærRegression_Valg[[#This Row],[Afhængig variabel ID]]&lt;=$B$5</f>
        <v>0</v>
      </c>
      <c r="F1732" t="str" cm="1">
        <f t="array" ref="F1732">IF(LineærRegression_Valg[[#This Row],[Indenfor range]],INDEX(DataTitel_liste,LineærRegression_Valg[[#This Row],[Afhængig variabel ID]]),INDEX(DataTitel_liste,1))</f>
        <v>Eksempel 1 (interval)</v>
      </c>
      <c r="G1732" s="188" t="str" cm="1">
        <f t="array" ref="G1732">IF(LineærRegression_Valg[[#This Row],[Indenfor range]],IF(LineærRegression_Valg[[#This Row],[Intet overlap]],INDEX(DataTitel_liste,LineærRegression_Valg[[#This Row],[Uafhængig variabel ID]]),INDEX(DataTitel_liste,IF(LineærRegression_Valg[[#This Row],[Afhængig variabel ID]]=1,2,1))),$B$7)</f>
        <v>Eksempel 2 (interval)</v>
      </c>
      <c r="H1732" s="188">
        <f>_xlfn.AGGREGATE(2,5,LineærRegression_Valg[[#This Row],[Tabel ID]])</f>
        <v>1</v>
      </c>
    </row>
    <row r="1733" spans="1:8" x14ac:dyDescent="0.2">
      <c r="A1733">
        <f>ROW(LineærRegression_Valg[[#This Row],[Tabel ID]])-ROW(LineærRegression_Valg[[#Headers],[Tabel ID]])</f>
        <v>1723</v>
      </c>
      <c r="B1733" s="188">
        <f>ROUNDDOWN((LineærRegression_Valg[[#This Row],[Tabel ID]]-1)/$B$5,0)+1</f>
        <v>431</v>
      </c>
      <c r="C1733" s="188">
        <f t="shared" si="26"/>
        <v>3</v>
      </c>
      <c r="D1733" s="188" t="b">
        <f>LineærRegression_Valg[[#This Row],[Afhængig variabel ID]]&lt;&gt;LineærRegression_Valg[[#This Row],[Uafhængig variabel ID]]</f>
        <v>1</v>
      </c>
      <c r="E1733" s="188" t="b">
        <f>LineærRegression_Valg[[#This Row],[Afhængig variabel ID]]&lt;=$B$5</f>
        <v>0</v>
      </c>
      <c r="F1733" t="str" cm="1">
        <f t="array" ref="F1733">IF(LineærRegression_Valg[[#This Row],[Indenfor range]],INDEX(DataTitel_liste,LineærRegression_Valg[[#This Row],[Afhængig variabel ID]]),INDEX(DataTitel_liste,1))</f>
        <v>Eksempel 1 (interval)</v>
      </c>
      <c r="G1733" s="188" t="str" cm="1">
        <f t="array" ref="G1733">IF(LineærRegression_Valg[[#This Row],[Indenfor range]],IF(LineærRegression_Valg[[#This Row],[Intet overlap]],INDEX(DataTitel_liste,LineærRegression_Valg[[#This Row],[Uafhængig variabel ID]]),INDEX(DataTitel_liste,IF(LineærRegression_Valg[[#This Row],[Afhængig variabel ID]]=1,2,1))),$B$7)</f>
        <v>Eksempel 2 (interval)</v>
      </c>
      <c r="H1733" s="188">
        <f>_xlfn.AGGREGATE(2,5,LineærRegression_Valg[[#This Row],[Tabel ID]])</f>
        <v>1</v>
      </c>
    </row>
    <row r="1734" spans="1:8" x14ac:dyDescent="0.2">
      <c r="A1734">
        <f>ROW(LineærRegression_Valg[[#This Row],[Tabel ID]])-ROW(LineærRegression_Valg[[#Headers],[Tabel ID]])</f>
        <v>1724</v>
      </c>
      <c r="B1734" s="188">
        <f>ROUNDDOWN((LineærRegression_Valg[[#This Row],[Tabel ID]]-1)/$B$5,0)+1</f>
        <v>431</v>
      </c>
      <c r="C1734" s="188">
        <f t="shared" si="26"/>
        <v>4</v>
      </c>
      <c r="D1734" s="188" t="b">
        <f>LineærRegression_Valg[[#This Row],[Afhængig variabel ID]]&lt;&gt;LineærRegression_Valg[[#This Row],[Uafhængig variabel ID]]</f>
        <v>1</v>
      </c>
      <c r="E1734" s="188" t="b">
        <f>LineærRegression_Valg[[#This Row],[Afhængig variabel ID]]&lt;=$B$5</f>
        <v>0</v>
      </c>
      <c r="F1734" t="str" cm="1">
        <f t="array" ref="F1734">IF(LineærRegression_Valg[[#This Row],[Indenfor range]],INDEX(DataTitel_liste,LineærRegression_Valg[[#This Row],[Afhængig variabel ID]]),INDEX(DataTitel_liste,1))</f>
        <v>Eksempel 1 (interval)</v>
      </c>
      <c r="G1734" s="188" t="str" cm="1">
        <f t="array" ref="G1734">IF(LineærRegression_Valg[[#This Row],[Indenfor range]],IF(LineærRegression_Valg[[#This Row],[Intet overlap]],INDEX(DataTitel_liste,LineærRegression_Valg[[#This Row],[Uafhængig variabel ID]]),INDEX(DataTitel_liste,IF(LineærRegression_Valg[[#This Row],[Afhængig variabel ID]]=1,2,1))),$B$7)</f>
        <v>Eksempel 2 (interval)</v>
      </c>
      <c r="H1734" s="188">
        <f>_xlfn.AGGREGATE(2,5,LineærRegression_Valg[[#This Row],[Tabel ID]])</f>
        <v>1</v>
      </c>
    </row>
    <row r="1735" spans="1:8" x14ac:dyDescent="0.2">
      <c r="A1735">
        <f>ROW(LineærRegression_Valg[[#This Row],[Tabel ID]])-ROW(LineærRegression_Valg[[#Headers],[Tabel ID]])</f>
        <v>1725</v>
      </c>
      <c r="B1735" s="188">
        <f>ROUNDDOWN((LineærRegression_Valg[[#This Row],[Tabel ID]]-1)/$B$5,0)+1</f>
        <v>432</v>
      </c>
      <c r="C1735" s="188">
        <f t="shared" si="26"/>
        <v>1</v>
      </c>
      <c r="D1735" s="188" t="b">
        <f>LineærRegression_Valg[[#This Row],[Afhængig variabel ID]]&lt;&gt;LineærRegression_Valg[[#This Row],[Uafhængig variabel ID]]</f>
        <v>1</v>
      </c>
      <c r="E1735" s="188" t="b">
        <f>LineærRegression_Valg[[#This Row],[Afhængig variabel ID]]&lt;=$B$5</f>
        <v>0</v>
      </c>
      <c r="F1735" t="str" cm="1">
        <f t="array" ref="F1735">IF(LineærRegression_Valg[[#This Row],[Indenfor range]],INDEX(DataTitel_liste,LineærRegression_Valg[[#This Row],[Afhængig variabel ID]]),INDEX(DataTitel_liste,1))</f>
        <v>Eksempel 1 (interval)</v>
      </c>
      <c r="G1735" s="188" t="str" cm="1">
        <f t="array" ref="G1735">IF(LineærRegression_Valg[[#This Row],[Indenfor range]],IF(LineærRegression_Valg[[#This Row],[Intet overlap]],INDEX(DataTitel_liste,LineærRegression_Valg[[#This Row],[Uafhængig variabel ID]]),INDEX(DataTitel_liste,IF(LineærRegression_Valg[[#This Row],[Afhængig variabel ID]]=1,2,1))),$B$7)</f>
        <v>Eksempel 2 (interval)</v>
      </c>
      <c r="H1735" s="188">
        <f>_xlfn.AGGREGATE(2,5,LineærRegression_Valg[[#This Row],[Tabel ID]])</f>
        <v>1</v>
      </c>
    </row>
    <row r="1736" spans="1:8" x14ac:dyDescent="0.2">
      <c r="A1736">
        <f>ROW(LineærRegression_Valg[[#This Row],[Tabel ID]])-ROW(LineærRegression_Valg[[#Headers],[Tabel ID]])</f>
        <v>1726</v>
      </c>
      <c r="B1736" s="188">
        <f>ROUNDDOWN((LineærRegression_Valg[[#This Row],[Tabel ID]]-1)/$B$5,0)+1</f>
        <v>432</v>
      </c>
      <c r="C1736" s="188">
        <f t="shared" si="26"/>
        <v>2</v>
      </c>
      <c r="D1736" s="188" t="b">
        <f>LineærRegression_Valg[[#This Row],[Afhængig variabel ID]]&lt;&gt;LineærRegression_Valg[[#This Row],[Uafhængig variabel ID]]</f>
        <v>1</v>
      </c>
      <c r="E1736" s="188" t="b">
        <f>LineærRegression_Valg[[#This Row],[Afhængig variabel ID]]&lt;=$B$5</f>
        <v>0</v>
      </c>
      <c r="F1736" t="str" cm="1">
        <f t="array" ref="F1736">IF(LineærRegression_Valg[[#This Row],[Indenfor range]],INDEX(DataTitel_liste,LineærRegression_Valg[[#This Row],[Afhængig variabel ID]]),INDEX(DataTitel_liste,1))</f>
        <v>Eksempel 1 (interval)</v>
      </c>
      <c r="G1736" s="188" t="str" cm="1">
        <f t="array" ref="G1736">IF(LineærRegression_Valg[[#This Row],[Indenfor range]],IF(LineærRegression_Valg[[#This Row],[Intet overlap]],INDEX(DataTitel_liste,LineærRegression_Valg[[#This Row],[Uafhængig variabel ID]]),INDEX(DataTitel_liste,IF(LineærRegression_Valg[[#This Row],[Afhængig variabel ID]]=1,2,1))),$B$7)</f>
        <v>Eksempel 2 (interval)</v>
      </c>
      <c r="H1736" s="188">
        <f>_xlfn.AGGREGATE(2,5,LineærRegression_Valg[[#This Row],[Tabel ID]])</f>
        <v>1</v>
      </c>
    </row>
    <row r="1737" spans="1:8" x14ac:dyDescent="0.2">
      <c r="A1737">
        <f>ROW(LineærRegression_Valg[[#This Row],[Tabel ID]])-ROW(LineærRegression_Valg[[#Headers],[Tabel ID]])</f>
        <v>1727</v>
      </c>
      <c r="B1737" s="188">
        <f>ROUNDDOWN((LineærRegression_Valg[[#This Row],[Tabel ID]]-1)/$B$5,0)+1</f>
        <v>432</v>
      </c>
      <c r="C1737" s="188">
        <f t="shared" si="26"/>
        <v>3</v>
      </c>
      <c r="D1737" s="188" t="b">
        <f>LineærRegression_Valg[[#This Row],[Afhængig variabel ID]]&lt;&gt;LineærRegression_Valg[[#This Row],[Uafhængig variabel ID]]</f>
        <v>1</v>
      </c>
      <c r="E1737" s="188" t="b">
        <f>LineærRegression_Valg[[#This Row],[Afhængig variabel ID]]&lt;=$B$5</f>
        <v>0</v>
      </c>
      <c r="F1737" t="str" cm="1">
        <f t="array" ref="F1737">IF(LineærRegression_Valg[[#This Row],[Indenfor range]],INDEX(DataTitel_liste,LineærRegression_Valg[[#This Row],[Afhængig variabel ID]]),INDEX(DataTitel_liste,1))</f>
        <v>Eksempel 1 (interval)</v>
      </c>
      <c r="G1737" s="188" t="str" cm="1">
        <f t="array" ref="G1737">IF(LineærRegression_Valg[[#This Row],[Indenfor range]],IF(LineærRegression_Valg[[#This Row],[Intet overlap]],INDEX(DataTitel_liste,LineærRegression_Valg[[#This Row],[Uafhængig variabel ID]]),INDEX(DataTitel_liste,IF(LineærRegression_Valg[[#This Row],[Afhængig variabel ID]]=1,2,1))),$B$7)</f>
        <v>Eksempel 2 (interval)</v>
      </c>
      <c r="H1737" s="188">
        <f>_xlfn.AGGREGATE(2,5,LineærRegression_Valg[[#This Row],[Tabel ID]])</f>
        <v>1</v>
      </c>
    </row>
    <row r="1738" spans="1:8" x14ac:dyDescent="0.2">
      <c r="A1738">
        <f>ROW(LineærRegression_Valg[[#This Row],[Tabel ID]])-ROW(LineærRegression_Valg[[#Headers],[Tabel ID]])</f>
        <v>1728</v>
      </c>
      <c r="B1738" s="188">
        <f>ROUNDDOWN((LineærRegression_Valg[[#This Row],[Tabel ID]]-1)/$B$5,0)+1</f>
        <v>432</v>
      </c>
      <c r="C1738" s="188">
        <f t="shared" si="26"/>
        <v>4</v>
      </c>
      <c r="D1738" s="188" t="b">
        <f>LineærRegression_Valg[[#This Row],[Afhængig variabel ID]]&lt;&gt;LineærRegression_Valg[[#This Row],[Uafhængig variabel ID]]</f>
        <v>1</v>
      </c>
      <c r="E1738" s="188" t="b">
        <f>LineærRegression_Valg[[#This Row],[Afhængig variabel ID]]&lt;=$B$5</f>
        <v>0</v>
      </c>
      <c r="F1738" t="str" cm="1">
        <f t="array" ref="F1738">IF(LineærRegression_Valg[[#This Row],[Indenfor range]],INDEX(DataTitel_liste,LineærRegression_Valg[[#This Row],[Afhængig variabel ID]]),INDEX(DataTitel_liste,1))</f>
        <v>Eksempel 1 (interval)</v>
      </c>
      <c r="G1738" s="188" t="str" cm="1">
        <f t="array" ref="G1738">IF(LineærRegression_Valg[[#This Row],[Indenfor range]],IF(LineærRegression_Valg[[#This Row],[Intet overlap]],INDEX(DataTitel_liste,LineærRegression_Valg[[#This Row],[Uafhængig variabel ID]]),INDEX(DataTitel_liste,IF(LineærRegression_Valg[[#This Row],[Afhængig variabel ID]]=1,2,1))),$B$7)</f>
        <v>Eksempel 2 (interval)</v>
      </c>
      <c r="H1738" s="188">
        <f>_xlfn.AGGREGATE(2,5,LineærRegression_Valg[[#This Row],[Tabel ID]])</f>
        <v>1</v>
      </c>
    </row>
    <row r="1739" spans="1:8" x14ac:dyDescent="0.2">
      <c r="A1739">
        <f>ROW(LineærRegression_Valg[[#This Row],[Tabel ID]])-ROW(LineærRegression_Valg[[#Headers],[Tabel ID]])</f>
        <v>1729</v>
      </c>
      <c r="B1739" s="188">
        <f>ROUNDDOWN((LineærRegression_Valg[[#This Row],[Tabel ID]]-1)/$B$5,0)+1</f>
        <v>433</v>
      </c>
      <c r="C1739" s="188">
        <f t="shared" ref="C1739:C1802" si="27">MOD(A1739-1,$B$5)+1</f>
        <v>1</v>
      </c>
      <c r="D1739" s="188" t="b">
        <f>LineærRegression_Valg[[#This Row],[Afhængig variabel ID]]&lt;&gt;LineærRegression_Valg[[#This Row],[Uafhængig variabel ID]]</f>
        <v>1</v>
      </c>
      <c r="E1739" s="188" t="b">
        <f>LineærRegression_Valg[[#This Row],[Afhængig variabel ID]]&lt;=$B$5</f>
        <v>0</v>
      </c>
      <c r="F1739" t="str" cm="1">
        <f t="array" ref="F1739">IF(LineærRegression_Valg[[#This Row],[Indenfor range]],INDEX(DataTitel_liste,LineærRegression_Valg[[#This Row],[Afhængig variabel ID]]),INDEX(DataTitel_liste,1))</f>
        <v>Eksempel 1 (interval)</v>
      </c>
      <c r="G1739" s="188" t="str" cm="1">
        <f t="array" ref="G1739">IF(LineærRegression_Valg[[#This Row],[Indenfor range]],IF(LineærRegression_Valg[[#This Row],[Intet overlap]],INDEX(DataTitel_liste,LineærRegression_Valg[[#This Row],[Uafhængig variabel ID]]),INDEX(DataTitel_liste,IF(LineærRegression_Valg[[#This Row],[Afhængig variabel ID]]=1,2,1))),$B$7)</f>
        <v>Eksempel 2 (interval)</v>
      </c>
      <c r="H1739" s="188">
        <f>_xlfn.AGGREGATE(2,5,LineærRegression_Valg[[#This Row],[Tabel ID]])</f>
        <v>1</v>
      </c>
    </row>
    <row r="1740" spans="1:8" x14ac:dyDescent="0.2">
      <c r="A1740">
        <f>ROW(LineærRegression_Valg[[#This Row],[Tabel ID]])-ROW(LineærRegression_Valg[[#Headers],[Tabel ID]])</f>
        <v>1730</v>
      </c>
      <c r="B1740" s="188">
        <f>ROUNDDOWN((LineærRegression_Valg[[#This Row],[Tabel ID]]-1)/$B$5,0)+1</f>
        <v>433</v>
      </c>
      <c r="C1740" s="188">
        <f t="shared" si="27"/>
        <v>2</v>
      </c>
      <c r="D1740" s="188" t="b">
        <f>LineærRegression_Valg[[#This Row],[Afhængig variabel ID]]&lt;&gt;LineærRegression_Valg[[#This Row],[Uafhængig variabel ID]]</f>
        <v>1</v>
      </c>
      <c r="E1740" s="188" t="b">
        <f>LineærRegression_Valg[[#This Row],[Afhængig variabel ID]]&lt;=$B$5</f>
        <v>0</v>
      </c>
      <c r="F1740" t="str" cm="1">
        <f t="array" ref="F1740">IF(LineærRegression_Valg[[#This Row],[Indenfor range]],INDEX(DataTitel_liste,LineærRegression_Valg[[#This Row],[Afhængig variabel ID]]),INDEX(DataTitel_liste,1))</f>
        <v>Eksempel 1 (interval)</v>
      </c>
      <c r="G1740" s="188" t="str" cm="1">
        <f t="array" ref="G1740">IF(LineærRegression_Valg[[#This Row],[Indenfor range]],IF(LineærRegression_Valg[[#This Row],[Intet overlap]],INDEX(DataTitel_liste,LineærRegression_Valg[[#This Row],[Uafhængig variabel ID]]),INDEX(DataTitel_liste,IF(LineærRegression_Valg[[#This Row],[Afhængig variabel ID]]=1,2,1))),$B$7)</f>
        <v>Eksempel 2 (interval)</v>
      </c>
      <c r="H1740" s="188">
        <f>_xlfn.AGGREGATE(2,5,LineærRegression_Valg[[#This Row],[Tabel ID]])</f>
        <v>1</v>
      </c>
    </row>
    <row r="1741" spans="1:8" x14ac:dyDescent="0.2">
      <c r="A1741">
        <f>ROW(LineærRegression_Valg[[#This Row],[Tabel ID]])-ROW(LineærRegression_Valg[[#Headers],[Tabel ID]])</f>
        <v>1731</v>
      </c>
      <c r="B1741" s="188">
        <f>ROUNDDOWN((LineærRegression_Valg[[#This Row],[Tabel ID]]-1)/$B$5,0)+1</f>
        <v>433</v>
      </c>
      <c r="C1741" s="188">
        <f t="shared" si="27"/>
        <v>3</v>
      </c>
      <c r="D1741" s="188" t="b">
        <f>LineærRegression_Valg[[#This Row],[Afhængig variabel ID]]&lt;&gt;LineærRegression_Valg[[#This Row],[Uafhængig variabel ID]]</f>
        <v>1</v>
      </c>
      <c r="E1741" s="188" t="b">
        <f>LineærRegression_Valg[[#This Row],[Afhængig variabel ID]]&lt;=$B$5</f>
        <v>0</v>
      </c>
      <c r="F1741" t="str" cm="1">
        <f t="array" ref="F1741">IF(LineærRegression_Valg[[#This Row],[Indenfor range]],INDEX(DataTitel_liste,LineærRegression_Valg[[#This Row],[Afhængig variabel ID]]),INDEX(DataTitel_liste,1))</f>
        <v>Eksempel 1 (interval)</v>
      </c>
      <c r="G1741" s="188" t="str" cm="1">
        <f t="array" ref="G1741">IF(LineærRegression_Valg[[#This Row],[Indenfor range]],IF(LineærRegression_Valg[[#This Row],[Intet overlap]],INDEX(DataTitel_liste,LineærRegression_Valg[[#This Row],[Uafhængig variabel ID]]),INDEX(DataTitel_liste,IF(LineærRegression_Valg[[#This Row],[Afhængig variabel ID]]=1,2,1))),$B$7)</f>
        <v>Eksempel 2 (interval)</v>
      </c>
      <c r="H1741" s="188">
        <f>_xlfn.AGGREGATE(2,5,LineærRegression_Valg[[#This Row],[Tabel ID]])</f>
        <v>1</v>
      </c>
    </row>
    <row r="1742" spans="1:8" x14ac:dyDescent="0.2">
      <c r="A1742">
        <f>ROW(LineærRegression_Valg[[#This Row],[Tabel ID]])-ROW(LineærRegression_Valg[[#Headers],[Tabel ID]])</f>
        <v>1732</v>
      </c>
      <c r="B1742" s="188">
        <f>ROUNDDOWN((LineærRegression_Valg[[#This Row],[Tabel ID]]-1)/$B$5,0)+1</f>
        <v>433</v>
      </c>
      <c r="C1742" s="188">
        <f t="shared" si="27"/>
        <v>4</v>
      </c>
      <c r="D1742" s="188" t="b">
        <f>LineærRegression_Valg[[#This Row],[Afhængig variabel ID]]&lt;&gt;LineærRegression_Valg[[#This Row],[Uafhængig variabel ID]]</f>
        <v>1</v>
      </c>
      <c r="E1742" s="188" t="b">
        <f>LineærRegression_Valg[[#This Row],[Afhængig variabel ID]]&lt;=$B$5</f>
        <v>0</v>
      </c>
      <c r="F1742" t="str" cm="1">
        <f t="array" ref="F1742">IF(LineærRegression_Valg[[#This Row],[Indenfor range]],INDEX(DataTitel_liste,LineærRegression_Valg[[#This Row],[Afhængig variabel ID]]),INDEX(DataTitel_liste,1))</f>
        <v>Eksempel 1 (interval)</v>
      </c>
      <c r="G1742" s="188" t="str" cm="1">
        <f t="array" ref="G1742">IF(LineærRegression_Valg[[#This Row],[Indenfor range]],IF(LineærRegression_Valg[[#This Row],[Intet overlap]],INDEX(DataTitel_liste,LineærRegression_Valg[[#This Row],[Uafhængig variabel ID]]),INDEX(DataTitel_liste,IF(LineærRegression_Valg[[#This Row],[Afhængig variabel ID]]=1,2,1))),$B$7)</f>
        <v>Eksempel 2 (interval)</v>
      </c>
      <c r="H1742" s="188">
        <f>_xlfn.AGGREGATE(2,5,LineærRegression_Valg[[#This Row],[Tabel ID]])</f>
        <v>1</v>
      </c>
    </row>
    <row r="1743" spans="1:8" x14ac:dyDescent="0.2">
      <c r="A1743">
        <f>ROW(LineærRegression_Valg[[#This Row],[Tabel ID]])-ROW(LineærRegression_Valg[[#Headers],[Tabel ID]])</f>
        <v>1733</v>
      </c>
      <c r="B1743" s="188">
        <f>ROUNDDOWN((LineærRegression_Valg[[#This Row],[Tabel ID]]-1)/$B$5,0)+1</f>
        <v>434</v>
      </c>
      <c r="C1743" s="188">
        <f t="shared" si="27"/>
        <v>1</v>
      </c>
      <c r="D1743" s="188" t="b">
        <f>LineærRegression_Valg[[#This Row],[Afhængig variabel ID]]&lt;&gt;LineærRegression_Valg[[#This Row],[Uafhængig variabel ID]]</f>
        <v>1</v>
      </c>
      <c r="E1743" s="188" t="b">
        <f>LineærRegression_Valg[[#This Row],[Afhængig variabel ID]]&lt;=$B$5</f>
        <v>0</v>
      </c>
      <c r="F1743" t="str" cm="1">
        <f t="array" ref="F1743">IF(LineærRegression_Valg[[#This Row],[Indenfor range]],INDEX(DataTitel_liste,LineærRegression_Valg[[#This Row],[Afhængig variabel ID]]),INDEX(DataTitel_liste,1))</f>
        <v>Eksempel 1 (interval)</v>
      </c>
      <c r="G1743" s="188" t="str" cm="1">
        <f t="array" ref="G1743">IF(LineærRegression_Valg[[#This Row],[Indenfor range]],IF(LineærRegression_Valg[[#This Row],[Intet overlap]],INDEX(DataTitel_liste,LineærRegression_Valg[[#This Row],[Uafhængig variabel ID]]),INDEX(DataTitel_liste,IF(LineærRegression_Valg[[#This Row],[Afhængig variabel ID]]=1,2,1))),$B$7)</f>
        <v>Eksempel 2 (interval)</v>
      </c>
      <c r="H1743" s="188">
        <f>_xlfn.AGGREGATE(2,5,LineærRegression_Valg[[#This Row],[Tabel ID]])</f>
        <v>1</v>
      </c>
    </row>
    <row r="1744" spans="1:8" x14ac:dyDescent="0.2">
      <c r="A1744">
        <f>ROW(LineærRegression_Valg[[#This Row],[Tabel ID]])-ROW(LineærRegression_Valg[[#Headers],[Tabel ID]])</f>
        <v>1734</v>
      </c>
      <c r="B1744" s="188">
        <f>ROUNDDOWN((LineærRegression_Valg[[#This Row],[Tabel ID]]-1)/$B$5,0)+1</f>
        <v>434</v>
      </c>
      <c r="C1744" s="188">
        <f t="shared" si="27"/>
        <v>2</v>
      </c>
      <c r="D1744" s="188" t="b">
        <f>LineærRegression_Valg[[#This Row],[Afhængig variabel ID]]&lt;&gt;LineærRegression_Valg[[#This Row],[Uafhængig variabel ID]]</f>
        <v>1</v>
      </c>
      <c r="E1744" s="188" t="b">
        <f>LineærRegression_Valg[[#This Row],[Afhængig variabel ID]]&lt;=$B$5</f>
        <v>0</v>
      </c>
      <c r="F1744" t="str" cm="1">
        <f t="array" ref="F1744">IF(LineærRegression_Valg[[#This Row],[Indenfor range]],INDEX(DataTitel_liste,LineærRegression_Valg[[#This Row],[Afhængig variabel ID]]),INDEX(DataTitel_liste,1))</f>
        <v>Eksempel 1 (interval)</v>
      </c>
      <c r="G1744" s="188" t="str" cm="1">
        <f t="array" ref="G1744">IF(LineærRegression_Valg[[#This Row],[Indenfor range]],IF(LineærRegression_Valg[[#This Row],[Intet overlap]],INDEX(DataTitel_liste,LineærRegression_Valg[[#This Row],[Uafhængig variabel ID]]),INDEX(DataTitel_liste,IF(LineærRegression_Valg[[#This Row],[Afhængig variabel ID]]=1,2,1))),$B$7)</f>
        <v>Eksempel 2 (interval)</v>
      </c>
      <c r="H1744" s="188">
        <f>_xlfn.AGGREGATE(2,5,LineærRegression_Valg[[#This Row],[Tabel ID]])</f>
        <v>1</v>
      </c>
    </row>
    <row r="1745" spans="1:8" x14ac:dyDescent="0.2">
      <c r="A1745">
        <f>ROW(LineærRegression_Valg[[#This Row],[Tabel ID]])-ROW(LineærRegression_Valg[[#Headers],[Tabel ID]])</f>
        <v>1735</v>
      </c>
      <c r="B1745" s="188">
        <f>ROUNDDOWN((LineærRegression_Valg[[#This Row],[Tabel ID]]-1)/$B$5,0)+1</f>
        <v>434</v>
      </c>
      <c r="C1745" s="188">
        <f t="shared" si="27"/>
        <v>3</v>
      </c>
      <c r="D1745" s="188" t="b">
        <f>LineærRegression_Valg[[#This Row],[Afhængig variabel ID]]&lt;&gt;LineærRegression_Valg[[#This Row],[Uafhængig variabel ID]]</f>
        <v>1</v>
      </c>
      <c r="E1745" s="188" t="b">
        <f>LineærRegression_Valg[[#This Row],[Afhængig variabel ID]]&lt;=$B$5</f>
        <v>0</v>
      </c>
      <c r="F1745" t="str" cm="1">
        <f t="array" ref="F1745">IF(LineærRegression_Valg[[#This Row],[Indenfor range]],INDEX(DataTitel_liste,LineærRegression_Valg[[#This Row],[Afhængig variabel ID]]),INDEX(DataTitel_liste,1))</f>
        <v>Eksempel 1 (interval)</v>
      </c>
      <c r="G1745" s="188" t="str" cm="1">
        <f t="array" ref="G1745">IF(LineærRegression_Valg[[#This Row],[Indenfor range]],IF(LineærRegression_Valg[[#This Row],[Intet overlap]],INDEX(DataTitel_liste,LineærRegression_Valg[[#This Row],[Uafhængig variabel ID]]),INDEX(DataTitel_liste,IF(LineærRegression_Valg[[#This Row],[Afhængig variabel ID]]=1,2,1))),$B$7)</f>
        <v>Eksempel 2 (interval)</v>
      </c>
      <c r="H1745" s="188">
        <f>_xlfn.AGGREGATE(2,5,LineærRegression_Valg[[#This Row],[Tabel ID]])</f>
        <v>1</v>
      </c>
    </row>
    <row r="1746" spans="1:8" x14ac:dyDescent="0.2">
      <c r="A1746">
        <f>ROW(LineærRegression_Valg[[#This Row],[Tabel ID]])-ROW(LineærRegression_Valg[[#Headers],[Tabel ID]])</f>
        <v>1736</v>
      </c>
      <c r="B1746" s="188">
        <f>ROUNDDOWN((LineærRegression_Valg[[#This Row],[Tabel ID]]-1)/$B$5,0)+1</f>
        <v>434</v>
      </c>
      <c r="C1746" s="188">
        <f t="shared" si="27"/>
        <v>4</v>
      </c>
      <c r="D1746" s="188" t="b">
        <f>LineærRegression_Valg[[#This Row],[Afhængig variabel ID]]&lt;&gt;LineærRegression_Valg[[#This Row],[Uafhængig variabel ID]]</f>
        <v>1</v>
      </c>
      <c r="E1746" s="188" t="b">
        <f>LineærRegression_Valg[[#This Row],[Afhængig variabel ID]]&lt;=$B$5</f>
        <v>0</v>
      </c>
      <c r="F1746" t="str" cm="1">
        <f t="array" ref="F1746">IF(LineærRegression_Valg[[#This Row],[Indenfor range]],INDEX(DataTitel_liste,LineærRegression_Valg[[#This Row],[Afhængig variabel ID]]),INDEX(DataTitel_liste,1))</f>
        <v>Eksempel 1 (interval)</v>
      </c>
      <c r="G1746" s="188" t="str" cm="1">
        <f t="array" ref="G1746">IF(LineærRegression_Valg[[#This Row],[Indenfor range]],IF(LineærRegression_Valg[[#This Row],[Intet overlap]],INDEX(DataTitel_liste,LineærRegression_Valg[[#This Row],[Uafhængig variabel ID]]),INDEX(DataTitel_liste,IF(LineærRegression_Valg[[#This Row],[Afhængig variabel ID]]=1,2,1))),$B$7)</f>
        <v>Eksempel 2 (interval)</v>
      </c>
      <c r="H1746" s="188">
        <f>_xlfn.AGGREGATE(2,5,LineærRegression_Valg[[#This Row],[Tabel ID]])</f>
        <v>1</v>
      </c>
    </row>
    <row r="1747" spans="1:8" x14ac:dyDescent="0.2">
      <c r="A1747">
        <f>ROW(LineærRegression_Valg[[#This Row],[Tabel ID]])-ROW(LineærRegression_Valg[[#Headers],[Tabel ID]])</f>
        <v>1737</v>
      </c>
      <c r="B1747" s="188">
        <f>ROUNDDOWN((LineærRegression_Valg[[#This Row],[Tabel ID]]-1)/$B$5,0)+1</f>
        <v>435</v>
      </c>
      <c r="C1747" s="188">
        <f t="shared" si="27"/>
        <v>1</v>
      </c>
      <c r="D1747" s="188" t="b">
        <f>LineærRegression_Valg[[#This Row],[Afhængig variabel ID]]&lt;&gt;LineærRegression_Valg[[#This Row],[Uafhængig variabel ID]]</f>
        <v>1</v>
      </c>
      <c r="E1747" s="188" t="b">
        <f>LineærRegression_Valg[[#This Row],[Afhængig variabel ID]]&lt;=$B$5</f>
        <v>0</v>
      </c>
      <c r="F1747" t="str" cm="1">
        <f t="array" ref="F1747">IF(LineærRegression_Valg[[#This Row],[Indenfor range]],INDEX(DataTitel_liste,LineærRegression_Valg[[#This Row],[Afhængig variabel ID]]),INDEX(DataTitel_liste,1))</f>
        <v>Eksempel 1 (interval)</v>
      </c>
      <c r="G1747" s="188" t="str" cm="1">
        <f t="array" ref="G1747">IF(LineærRegression_Valg[[#This Row],[Indenfor range]],IF(LineærRegression_Valg[[#This Row],[Intet overlap]],INDEX(DataTitel_liste,LineærRegression_Valg[[#This Row],[Uafhængig variabel ID]]),INDEX(DataTitel_liste,IF(LineærRegression_Valg[[#This Row],[Afhængig variabel ID]]=1,2,1))),$B$7)</f>
        <v>Eksempel 2 (interval)</v>
      </c>
      <c r="H1747" s="188">
        <f>_xlfn.AGGREGATE(2,5,LineærRegression_Valg[[#This Row],[Tabel ID]])</f>
        <v>1</v>
      </c>
    </row>
    <row r="1748" spans="1:8" x14ac:dyDescent="0.2">
      <c r="A1748">
        <f>ROW(LineærRegression_Valg[[#This Row],[Tabel ID]])-ROW(LineærRegression_Valg[[#Headers],[Tabel ID]])</f>
        <v>1738</v>
      </c>
      <c r="B1748" s="188">
        <f>ROUNDDOWN((LineærRegression_Valg[[#This Row],[Tabel ID]]-1)/$B$5,0)+1</f>
        <v>435</v>
      </c>
      <c r="C1748" s="188">
        <f t="shared" si="27"/>
        <v>2</v>
      </c>
      <c r="D1748" s="188" t="b">
        <f>LineærRegression_Valg[[#This Row],[Afhængig variabel ID]]&lt;&gt;LineærRegression_Valg[[#This Row],[Uafhængig variabel ID]]</f>
        <v>1</v>
      </c>
      <c r="E1748" s="188" t="b">
        <f>LineærRegression_Valg[[#This Row],[Afhængig variabel ID]]&lt;=$B$5</f>
        <v>0</v>
      </c>
      <c r="F1748" t="str" cm="1">
        <f t="array" ref="F1748">IF(LineærRegression_Valg[[#This Row],[Indenfor range]],INDEX(DataTitel_liste,LineærRegression_Valg[[#This Row],[Afhængig variabel ID]]),INDEX(DataTitel_liste,1))</f>
        <v>Eksempel 1 (interval)</v>
      </c>
      <c r="G1748" s="188" t="str" cm="1">
        <f t="array" ref="G1748">IF(LineærRegression_Valg[[#This Row],[Indenfor range]],IF(LineærRegression_Valg[[#This Row],[Intet overlap]],INDEX(DataTitel_liste,LineærRegression_Valg[[#This Row],[Uafhængig variabel ID]]),INDEX(DataTitel_liste,IF(LineærRegression_Valg[[#This Row],[Afhængig variabel ID]]=1,2,1))),$B$7)</f>
        <v>Eksempel 2 (interval)</v>
      </c>
      <c r="H1748" s="188">
        <f>_xlfn.AGGREGATE(2,5,LineærRegression_Valg[[#This Row],[Tabel ID]])</f>
        <v>1</v>
      </c>
    </row>
    <row r="1749" spans="1:8" x14ac:dyDescent="0.2">
      <c r="A1749">
        <f>ROW(LineærRegression_Valg[[#This Row],[Tabel ID]])-ROW(LineærRegression_Valg[[#Headers],[Tabel ID]])</f>
        <v>1739</v>
      </c>
      <c r="B1749" s="188">
        <f>ROUNDDOWN((LineærRegression_Valg[[#This Row],[Tabel ID]]-1)/$B$5,0)+1</f>
        <v>435</v>
      </c>
      <c r="C1749" s="188">
        <f t="shared" si="27"/>
        <v>3</v>
      </c>
      <c r="D1749" s="188" t="b">
        <f>LineærRegression_Valg[[#This Row],[Afhængig variabel ID]]&lt;&gt;LineærRegression_Valg[[#This Row],[Uafhængig variabel ID]]</f>
        <v>1</v>
      </c>
      <c r="E1749" s="188" t="b">
        <f>LineærRegression_Valg[[#This Row],[Afhængig variabel ID]]&lt;=$B$5</f>
        <v>0</v>
      </c>
      <c r="F1749" t="str" cm="1">
        <f t="array" ref="F1749">IF(LineærRegression_Valg[[#This Row],[Indenfor range]],INDEX(DataTitel_liste,LineærRegression_Valg[[#This Row],[Afhængig variabel ID]]),INDEX(DataTitel_liste,1))</f>
        <v>Eksempel 1 (interval)</v>
      </c>
      <c r="G1749" s="188" t="str" cm="1">
        <f t="array" ref="G1749">IF(LineærRegression_Valg[[#This Row],[Indenfor range]],IF(LineærRegression_Valg[[#This Row],[Intet overlap]],INDEX(DataTitel_liste,LineærRegression_Valg[[#This Row],[Uafhængig variabel ID]]),INDEX(DataTitel_liste,IF(LineærRegression_Valg[[#This Row],[Afhængig variabel ID]]=1,2,1))),$B$7)</f>
        <v>Eksempel 2 (interval)</v>
      </c>
      <c r="H1749" s="188">
        <f>_xlfn.AGGREGATE(2,5,LineærRegression_Valg[[#This Row],[Tabel ID]])</f>
        <v>1</v>
      </c>
    </row>
    <row r="1750" spans="1:8" x14ac:dyDescent="0.2">
      <c r="A1750">
        <f>ROW(LineærRegression_Valg[[#This Row],[Tabel ID]])-ROW(LineærRegression_Valg[[#Headers],[Tabel ID]])</f>
        <v>1740</v>
      </c>
      <c r="B1750" s="188">
        <f>ROUNDDOWN((LineærRegression_Valg[[#This Row],[Tabel ID]]-1)/$B$5,0)+1</f>
        <v>435</v>
      </c>
      <c r="C1750" s="188">
        <f t="shared" si="27"/>
        <v>4</v>
      </c>
      <c r="D1750" s="188" t="b">
        <f>LineærRegression_Valg[[#This Row],[Afhængig variabel ID]]&lt;&gt;LineærRegression_Valg[[#This Row],[Uafhængig variabel ID]]</f>
        <v>1</v>
      </c>
      <c r="E1750" s="188" t="b">
        <f>LineærRegression_Valg[[#This Row],[Afhængig variabel ID]]&lt;=$B$5</f>
        <v>0</v>
      </c>
      <c r="F1750" t="str" cm="1">
        <f t="array" ref="F1750">IF(LineærRegression_Valg[[#This Row],[Indenfor range]],INDEX(DataTitel_liste,LineærRegression_Valg[[#This Row],[Afhængig variabel ID]]),INDEX(DataTitel_liste,1))</f>
        <v>Eksempel 1 (interval)</v>
      </c>
      <c r="G1750" s="188" t="str" cm="1">
        <f t="array" ref="G1750">IF(LineærRegression_Valg[[#This Row],[Indenfor range]],IF(LineærRegression_Valg[[#This Row],[Intet overlap]],INDEX(DataTitel_liste,LineærRegression_Valg[[#This Row],[Uafhængig variabel ID]]),INDEX(DataTitel_liste,IF(LineærRegression_Valg[[#This Row],[Afhængig variabel ID]]=1,2,1))),$B$7)</f>
        <v>Eksempel 2 (interval)</v>
      </c>
      <c r="H1750" s="188">
        <f>_xlfn.AGGREGATE(2,5,LineærRegression_Valg[[#This Row],[Tabel ID]])</f>
        <v>1</v>
      </c>
    </row>
    <row r="1751" spans="1:8" x14ac:dyDescent="0.2">
      <c r="A1751">
        <f>ROW(LineærRegression_Valg[[#This Row],[Tabel ID]])-ROW(LineærRegression_Valg[[#Headers],[Tabel ID]])</f>
        <v>1741</v>
      </c>
      <c r="B1751" s="188">
        <f>ROUNDDOWN((LineærRegression_Valg[[#This Row],[Tabel ID]]-1)/$B$5,0)+1</f>
        <v>436</v>
      </c>
      <c r="C1751" s="188">
        <f t="shared" si="27"/>
        <v>1</v>
      </c>
      <c r="D1751" s="188" t="b">
        <f>LineærRegression_Valg[[#This Row],[Afhængig variabel ID]]&lt;&gt;LineærRegression_Valg[[#This Row],[Uafhængig variabel ID]]</f>
        <v>1</v>
      </c>
      <c r="E1751" s="188" t="b">
        <f>LineærRegression_Valg[[#This Row],[Afhængig variabel ID]]&lt;=$B$5</f>
        <v>0</v>
      </c>
      <c r="F1751" t="str" cm="1">
        <f t="array" ref="F1751">IF(LineærRegression_Valg[[#This Row],[Indenfor range]],INDEX(DataTitel_liste,LineærRegression_Valg[[#This Row],[Afhængig variabel ID]]),INDEX(DataTitel_liste,1))</f>
        <v>Eksempel 1 (interval)</v>
      </c>
      <c r="G1751" s="188" t="str" cm="1">
        <f t="array" ref="G1751">IF(LineærRegression_Valg[[#This Row],[Indenfor range]],IF(LineærRegression_Valg[[#This Row],[Intet overlap]],INDEX(DataTitel_liste,LineærRegression_Valg[[#This Row],[Uafhængig variabel ID]]),INDEX(DataTitel_liste,IF(LineærRegression_Valg[[#This Row],[Afhængig variabel ID]]=1,2,1))),$B$7)</f>
        <v>Eksempel 2 (interval)</v>
      </c>
      <c r="H1751" s="188">
        <f>_xlfn.AGGREGATE(2,5,LineærRegression_Valg[[#This Row],[Tabel ID]])</f>
        <v>1</v>
      </c>
    </row>
    <row r="1752" spans="1:8" x14ac:dyDescent="0.2">
      <c r="A1752">
        <f>ROW(LineærRegression_Valg[[#This Row],[Tabel ID]])-ROW(LineærRegression_Valg[[#Headers],[Tabel ID]])</f>
        <v>1742</v>
      </c>
      <c r="B1752" s="188">
        <f>ROUNDDOWN((LineærRegression_Valg[[#This Row],[Tabel ID]]-1)/$B$5,0)+1</f>
        <v>436</v>
      </c>
      <c r="C1752" s="188">
        <f t="shared" si="27"/>
        <v>2</v>
      </c>
      <c r="D1752" s="188" t="b">
        <f>LineærRegression_Valg[[#This Row],[Afhængig variabel ID]]&lt;&gt;LineærRegression_Valg[[#This Row],[Uafhængig variabel ID]]</f>
        <v>1</v>
      </c>
      <c r="E1752" s="188" t="b">
        <f>LineærRegression_Valg[[#This Row],[Afhængig variabel ID]]&lt;=$B$5</f>
        <v>0</v>
      </c>
      <c r="F1752" t="str" cm="1">
        <f t="array" ref="F1752">IF(LineærRegression_Valg[[#This Row],[Indenfor range]],INDEX(DataTitel_liste,LineærRegression_Valg[[#This Row],[Afhængig variabel ID]]),INDEX(DataTitel_liste,1))</f>
        <v>Eksempel 1 (interval)</v>
      </c>
      <c r="G1752" s="188" t="str" cm="1">
        <f t="array" ref="G1752">IF(LineærRegression_Valg[[#This Row],[Indenfor range]],IF(LineærRegression_Valg[[#This Row],[Intet overlap]],INDEX(DataTitel_liste,LineærRegression_Valg[[#This Row],[Uafhængig variabel ID]]),INDEX(DataTitel_liste,IF(LineærRegression_Valg[[#This Row],[Afhængig variabel ID]]=1,2,1))),$B$7)</f>
        <v>Eksempel 2 (interval)</v>
      </c>
      <c r="H1752" s="188">
        <f>_xlfn.AGGREGATE(2,5,LineærRegression_Valg[[#This Row],[Tabel ID]])</f>
        <v>1</v>
      </c>
    </row>
    <row r="1753" spans="1:8" x14ac:dyDescent="0.2">
      <c r="A1753">
        <f>ROW(LineærRegression_Valg[[#This Row],[Tabel ID]])-ROW(LineærRegression_Valg[[#Headers],[Tabel ID]])</f>
        <v>1743</v>
      </c>
      <c r="B1753" s="188">
        <f>ROUNDDOWN((LineærRegression_Valg[[#This Row],[Tabel ID]]-1)/$B$5,0)+1</f>
        <v>436</v>
      </c>
      <c r="C1753" s="188">
        <f t="shared" si="27"/>
        <v>3</v>
      </c>
      <c r="D1753" s="188" t="b">
        <f>LineærRegression_Valg[[#This Row],[Afhængig variabel ID]]&lt;&gt;LineærRegression_Valg[[#This Row],[Uafhængig variabel ID]]</f>
        <v>1</v>
      </c>
      <c r="E1753" s="188" t="b">
        <f>LineærRegression_Valg[[#This Row],[Afhængig variabel ID]]&lt;=$B$5</f>
        <v>0</v>
      </c>
      <c r="F1753" t="str" cm="1">
        <f t="array" ref="F1753">IF(LineærRegression_Valg[[#This Row],[Indenfor range]],INDEX(DataTitel_liste,LineærRegression_Valg[[#This Row],[Afhængig variabel ID]]),INDEX(DataTitel_liste,1))</f>
        <v>Eksempel 1 (interval)</v>
      </c>
      <c r="G1753" s="188" t="str" cm="1">
        <f t="array" ref="G1753">IF(LineærRegression_Valg[[#This Row],[Indenfor range]],IF(LineærRegression_Valg[[#This Row],[Intet overlap]],INDEX(DataTitel_liste,LineærRegression_Valg[[#This Row],[Uafhængig variabel ID]]),INDEX(DataTitel_liste,IF(LineærRegression_Valg[[#This Row],[Afhængig variabel ID]]=1,2,1))),$B$7)</f>
        <v>Eksempel 2 (interval)</v>
      </c>
      <c r="H1753" s="188">
        <f>_xlfn.AGGREGATE(2,5,LineærRegression_Valg[[#This Row],[Tabel ID]])</f>
        <v>1</v>
      </c>
    </row>
    <row r="1754" spans="1:8" x14ac:dyDescent="0.2">
      <c r="A1754">
        <f>ROW(LineærRegression_Valg[[#This Row],[Tabel ID]])-ROW(LineærRegression_Valg[[#Headers],[Tabel ID]])</f>
        <v>1744</v>
      </c>
      <c r="B1754" s="188">
        <f>ROUNDDOWN((LineærRegression_Valg[[#This Row],[Tabel ID]]-1)/$B$5,0)+1</f>
        <v>436</v>
      </c>
      <c r="C1754" s="188">
        <f t="shared" si="27"/>
        <v>4</v>
      </c>
      <c r="D1754" s="188" t="b">
        <f>LineærRegression_Valg[[#This Row],[Afhængig variabel ID]]&lt;&gt;LineærRegression_Valg[[#This Row],[Uafhængig variabel ID]]</f>
        <v>1</v>
      </c>
      <c r="E1754" s="188" t="b">
        <f>LineærRegression_Valg[[#This Row],[Afhængig variabel ID]]&lt;=$B$5</f>
        <v>0</v>
      </c>
      <c r="F1754" t="str" cm="1">
        <f t="array" ref="F1754">IF(LineærRegression_Valg[[#This Row],[Indenfor range]],INDEX(DataTitel_liste,LineærRegression_Valg[[#This Row],[Afhængig variabel ID]]),INDEX(DataTitel_liste,1))</f>
        <v>Eksempel 1 (interval)</v>
      </c>
      <c r="G1754" s="188" t="str" cm="1">
        <f t="array" ref="G1754">IF(LineærRegression_Valg[[#This Row],[Indenfor range]],IF(LineærRegression_Valg[[#This Row],[Intet overlap]],INDEX(DataTitel_liste,LineærRegression_Valg[[#This Row],[Uafhængig variabel ID]]),INDEX(DataTitel_liste,IF(LineærRegression_Valg[[#This Row],[Afhængig variabel ID]]=1,2,1))),$B$7)</f>
        <v>Eksempel 2 (interval)</v>
      </c>
      <c r="H1754" s="188">
        <f>_xlfn.AGGREGATE(2,5,LineærRegression_Valg[[#This Row],[Tabel ID]])</f>
        <v>1</v>
      </c>
    </row>
    <row r="1755" spans="1:8" x14ac:dyDescent="0.2">
      <c r="A1755">
        <f>ROW(LineærRegression_Valg[[#This Row],[Tabel ID]])-ROW(LineærRegression_Valg[[#Headers],[Tabel ID]])</f>
        <v>1745</v>
      </c>
      <c r="B1755" s="188">
        <f>ROUNDDOWN((LineærRegression_Valg[[#This Row],[Tabel ID]]-1)/$B$5,0)+1</f>
        <v>437</v>
      </c>
      <c r="C1755" s="188">
        <f t="shared" si="27"/>
        <v>1</v>
      </c>
      <c r="D1755" s="188" t="b">
        <f>LineærRegression_Valg[[#This Row],[Afhængig variabel ID]]&lt;&gt;LineærRegression_Valg[[#This Row],[Uafhængig variabel ID]]</f>
        <v>1</v>
      </c>
      <c r="E1755" s="188" t="b">
        <f>LineærRegression_Valg[[#This Row],[Afhængig variabel ID]]&lt;=$B$5</f>
        <v>0</v>
      </c>
      <c r="F1755" t="str" cm="1">
        <f t="array" ref="F1755">IF(LineærRegression_Valg[[#This Row],[Indenfor range]],INDEX(DataTitel_liste,LineærRegression_Valg[[#This Row],[Afhængig variabel ID]]),INDEX(DataTitel_liste,1))</f>
        <v>Eksempel 1 (interval)</v>
      </c>
      <c r="G1755" s="188" t="str" cm="1">
        <f t="array" ref="G1755">IF(LineærRegression_Valg[[#This Row],[Indenfor range]],IF(LineærRegression_Valg[[#This Row],[Intet overlap]],INDEX(DataTitel_liste,LineærRegression_Valg[[#This Row],[Uafhængig variabel ID]]),INDEX(DataTitel_liste,IF(LineærRegression_Valg[[#This Row],[Afhængig variabel ID]]=1,2,1))),$B$7)</f>
        <v>Eksempel 2 (interval)</v>
      </c>
      <c r="H1755" s="188">
        <f>_xlfn.AGGREGATE(2,5,LineærRegression_Valg[[#This Row],[Tabel ID]])</f>
        <v>1</v>
      </c>
    </row>
    <row r="1756" spans="1:8" x14ac:dyDescent="0.2">
      <c r="A1756">
        <f>ROW(LineærRegression_Valg[[#This Row],[Tabel ID]])-ROW(LineærRegression_Valg[[#Headers],[Tabel ID]])</f>
        <v>1746</v>
      </c>
      <c r="B1756" s="188">
        <f>ROUNDDOWN((LineærRegression_Valg[[#This Row],[Tabel ID]]-1)/$B$5,0)+1</f>
        <v>437</v>
      </c>
      <c r="C1756" s="188">
        <f t="shared" si="27"/>
        <v>2</v>
      </c>
      <c r="D1756" s="188" t="b">
        <f>LineærRegression_Valg[[#This Row],[Afhængig variabel ID]]&lt;&gt;LineærRegression_Valg[[#This Row],[Uafhængig variabel ID]]</f>
        <v>1</v>
      </c>
      <c r="E1756" s="188" t="b">
        <f>LineærRegression_Valg[[#This Row],[Afhængig variabel ID]]&lt;=$B$5</f>
        <v>0</v>
      </c>
      <c r="F1756" t="str" cm="1">
        <f t="array" ref="F1756">IF(LineærRegression_Valg[[#This Row],[Indenfor range]],INDEX(DataTitel_liste,LineærRegression_Valg[[#This Row],[Afhængig variabel ID]]),INDEX(DataTitel_liste,1))</f>
        <v>Eksempel 1 (interval)</v>
      </c>
      <c r="G1756" s="188" t="str" cm="1">
        <f t="array" ref="G1756">IF(LineærRegression_Valg[[#This Row],[Indenfor range]],IF(LineærRegression_Valg[[#This Row],[Intet overlap]],INDEX(DataTitel_liste,LineærRegression_Valg[[#This Row],[Uafhængig variabel ID]]),INDEX(DataTitel_liste,IF(LineærRegression_Valg[[#This Row],[Afhængig variabel ID]]=1,2,1))),$B$7)</f>
        <v>Eksempel 2 (interval)</v>
      </c>
      <c r="H1756" s="188">
        <f>_xlfn.AGGREGATE(2,5,LineærRegression_Valg[[#This Row],[Tabel ID]])</f>
        <v>1</v>
      </c>
    </row>
    <row r="1757" spans="1:8" x14ac:dyDescent="0.2">
      <c r="A1757">
        <f>ROW(LineærRegression_Valg[[#This Row],[Tabel ID]])-ROW(LineærRegression_Valg[[#Headers],[Tabel ID]])</f>
        <v>1747</v>
      </c>
      <c r="B1757" s="188">
        <f>ROUNDDOWN((LineærRegression_Valg[[#This Row],[Tabel ID]]-1)/$B$5,0)+1</f>
        <v>437</v>
      </c>
      <c r="C1757" s="188">
        <f t="shared" si="27"/>
        <v>3</v>
      </c>
      <c r="D1757" s="188" t="b">
        <f>LineærRegression_Valg[[#This Row],[Afhængig variabel ID]]&lt;&gt;LineærRegression_Valg[[#This Row],[Uafhængig variabel ID]]</f>
        <v>1</v>
      </c>
      <c r="E1757" s="188" t="b">
        <f>LineærRegression_Valg[[#This Row],[Afhængig variabel ID]]&lt;=$B$5</f>
        <v>0</v>
      </c>
      <c r="F1757" t="str" cm="1">
        <f t="array" ref="F1757">IF(LineærRegression_Valg[[#This Row],[Indenfor range]],INDEX(DataTitel_liste,LineærRegression_Valg[[#This Row],[Afhængig variabel ID]]),INDEX(DataTitel_liste,1))</f>
        <v>Eksempel 1 (interval)</v>
      </c>
      <c r="G1757" s="188" t="str" cm="1">
        <f t="array" ref="G1757">IF(LineærRegression_Valg[[#This Row],[Indenfor range]],IF(LineærRegression_Valg[[#This Row],[Intet overlap]],INDEX(DataTitel_liste,LineærRegression_Valg[[#This Row],[Uafhængig variabel ID]]),INDEX(DataTitel_liste,IF(LineærRegression_Valg[[#This Row],[Afhængig variabel ID]]=1,2,1))),$B$7)</f>
        <v>Eksempel 2 (interval)</v>
      </c>
      <c r="H1757" s="188">
        <f>_xlfn.AGGREGATE(2,5,LineærRegression_Valg[[#This Row],[Tabel ID]])</f>
        <v>1</v>
      </c>
    </row>
    <row r="1758" spans="1:8" x14ac:dyDescent="0.2">
      <c r="A1758">
        <f>ROW(LineærRegression_Valg[[#This Row],[Tabel ID]])-ROW(LineærRegression_Valg[[#Headers],[Tabel ID]])</f>
        <v>1748</v>
      </c>
      <c r="B1758" s="188">
        <f>ROUNDDOWN((LineærRegression_Valg[[#This Row],[Tabel ID]]-1)/$B$5,0)+1</f>
        <v>437</v>
      </c>
      <c r="C1758" s="188">
        <f t="shared" si="27"/>
        <v>4</v>
      </c>
      <c r="D1758" s="188" t="b">
        <f>LineærRegression_Valg[[#This Row],[Afhængig variabel ID]]&lt;&gt;LineærRegression_Valg[[#This Row],[Uafhængig variabel ID]]</f>
        <v>1</v>
      </c>
      <c r="E1758" s="188" t="b">
        <f>LineærRegression_Valg[[#This Row],[Afhængig variabel ID]]&lt;=$B$5</f>
        <v>0</v>
      </c>
      <c r="F1758" t="str" cm="1">
        <f t="array" ref="F1758">IF(LineærRegression_Valg[[#This Row],[Indenfor range]],INDEX(DataTitel_liste,LineærRegression_Valg[[#This Row],[Afhængig variabel ID]]),INDEX(DataTitel_liste,1))</f>
        <v>Eksempel 1 (interval)</v>
      </c>
      <c r="G1758" s="188" t="str" cm="1">
        <f t="array" ref="G1758">IF(LineærRegression_Valg[[#This Row],[Indenfor range]],IF(LineærRegression_Valg[[#This Row],[Intet overlap]],INDEX(DataTitel_liste,LineærRegression_Valg[[#This Row],[Uafhængig variabel ID]]),INDEX(DataTitel_liste,IF(LineærRegression_Valg[[#This Row],[Afhængig variabel ID]]=1,2,1))),$B$7)</f>
        <v>Eksempel 2 (interval)</v>
      </c>
      <c r="H1758" s="188">
        <f>_xlfn.AGGREGATE(2,5,LineærRegression_Valg[[#This Row],[Tabel ID]])</f>
        <v>1</v>
      </c>
    </row>
    <row r="1759" spans="1:8" x14ac:dyDescent="0.2">
      <c r="A1759">
        <f>ROW(LineærRegression_Valg[[#This Row],[Tabel ID]])-ROW(LineærRegression_Valg[[#Headers],[Tabel ID]])</f>
        <v>1749</v>
      </c>
      <c r="B1759" s="188">
        <f>ROUNDDOWN((LineærRegression_Valg[[#This Row],[Tabel ID]]-1)/$B$5,0)+1</f>
        <v>438</v>
      </c>
      <c r="C1759" s="188">
        <f t="shared" si="27"/>
        <v>1</v>
      </c>
      <c r="D1759" s="188" t="b">
        <f>LineærRegression_Valg[[#This Row],[Afhængig variabel ID]]&lt;&gt;LineærRegression_Valg[[#This Row],[Uafhængig variabel ID]]</f>
        <v>1</v>
      </c>
      <c r="E1759" s="188" t="b">
        <f>LineærRegression_Valg[[#This Row],[Afhængig variabel ID]]&lt;=$B$5</f>
        <v>0</v>
      </c>
      <c r="F1759" t="str" cm="1">
        <f t="array" ref="F1759">IF(LineærRegression_Valg[[#This Row],[Indenfor range]],INDEX(DataTitel_liste,LineærRegression_Valg[[#This Row],[Afhængig variabel ID]]),INDEX(DataTitel_liste,1))</f>
        <v>Eksempel 1 (interval)</v>
      </c>
      <c r="G1759" s="188" t="str" cm="1">
        <f t="array" ref="G1759">IF(LineærRegression_Valg[[#This Row],[Indenfor range]],IF(LineærRegression_Valg[[#This Row],[Intet overlap]],INDEX(DataTitel_liste,LineærRegression_Valg[[#This Row],[Uafhængig variabel ID]]),INDEX(DataTitel_liste,IF(LineærRegression_Valg[[#This Row],[Afhængig variabel ID]]=1,2,1))),$B$7)</f>
        <v>Eksempel 2 (interval)</v>
      </c>
      <c r="H1759" s="188">
        <f>_xlfn.AGGREGATE(2,5,LineærRegression_Valg[[#This Row],[Tabel ID]])</f>
        <v>1</v>
      </c>
    </row>
    <row r="1760" spans="1:8" x14ac:dyDescent="0.2">
      <c r="A1760">
        <f>ROW(LineærRegression_Valg[[#This Row],[Tabel ID]])-ROW(LineærRegression_Valg[[#Headers],[Tabel ID]])</f>
        <v>1750</v>
      </c>
      <c r="B1760" s="188">
        <f>ROUNDDOWN((LineærRegression_Valg[[#This Row],[Tabel ID]]-1)/$B$5,0)+1</f>
        <v>438</v>
      </c>
      <c r="C1760" s="188">
        <f t="shared" si="27"/>
        <v>2</v>
      </c>
      <c r="D1760" s="188" t="b">
        <f>LineærRegression_Valg[[#This Row],[Afhængig variabel ID]]&lt;&gt;LineærRegression_Valg[[#This Row],[Uafhængig variabel ID]]</f>
        <v>1</v>
      </c>
      <c r="E1760" s="188" t="b">
        <f>LineærRegression_Valg[[#This Row],[Afhængig variabel ID]]&lt;=$B$5</f>
        <v>0</v>
      </c>
      <c r="F1760" t="str" cm="1">
        <f t="array" ref="F1760">IF(LineærRegression_Valg[[#This Row],[Indenfor range]],INDEX(DataTitel_liste,LineærRegression_Valg[[#This Row],[Afhængig variabel ID]]),INDEX(DataTitel_liste,1))</f>
        <v>Eksempel 1 (interval)</v>
      </c>
      <c r="G1760" s="188" t="str" cm="1">
        <f t="array" ref="G1760">IF(LineærRegression_Valg[[#This Row],[Indenfor range]],IF(LineærRegression_Valg[[#This Row],[Intet overlap]],INDEX(DataTitel_liste,LineærRegression_Valg[[#This Row],[Uafhængig variabel ID]]),INDEX(DataTitel_liste,IF(LineærRegression_Valg[[#This Row],[Afhængig variabel ID]]=1,2,1))),$B$7)</f>
        <v>Eksempel 2 (interval)</v>
      </c>
      <c r="H1760" s="188">
        <f>_xlfn.AGGREGATE(2,5,LineærRegression_Valg[[#This Row],[Tabel ID]])</f>
        <v>1</v>
      </c>
    </row>
    <row r="1761" spans="1:8" x14ac:dyDescent="0.2">
      <c r="A1761">
        <f>ROW(LineærRegression_Valg[[#This Row],[Tabel ID]])-ROW(LineærRegression_Valg[[#Headers],[Tabel ID]])</f>
        <v>1751</v>
      </c>
      <c r="B1761" s="188">
        <f>ROUNDDOWN((LineærRegression_Valg[[#This Row],[Tabel ID]]-1)/$B$5,0)+1</f>
        <v>438</v>
      </c>
      <c r="C1761" s="188">
        <f t="shared" si="27"/>
        <v>3</v>
      </c>
      <c r="D1761" s="188" t="b">
        <f>LineærRegression_Valg[[#This Row],[Afhængig variabel ID]]&lt;&gt;LineærRegression_Valg[[#This Row],[Uafhængig variabel ID]]</f>
        <v>1</v>
      </c>
      <c r="E1761" s="188" t="b">
        <f>LineærRegression_Valg[[#This Row],[Afhængig variabel ID]]&lt;=$B$5</f>
        <v>0</v>
      </c>
      <c r="F1761" t="str" cm="1">
        <f t="array" ref="F1761">IF(LineærRegression_Valg[[#This Row],[Indenfor range]],INDEX(DataTitel_liste,LineærRegression_Valg[[#This Row],[Afhængig variabel ID]]),INDEX(DataTitel_liste,1))</f>
        <v>Eksempel 1 (interval)</v>
      </c>
      <c r="G1761" s="188" t="str" cm="1">
        <f t="array" ref="G1761">IF(LineærRegression_Valg[[#This Row],[Indenfor range]],IF(LineærRegression_Valg[[#This Row],[Intet overlap]],INDEX(DataTitel_liste,LineærRegression_Valg[[#This Row],[Uafhængig variabel ID]]),INDEX(DataTitel_liste,IF(LineærRegression_Valg[[#This Row],[Afhængig variabel ID]]=1,2,1))),$B$7)</f>
        <v>Eksempel 2 (interval)</v>
      </c>
      <c r="H1761" s="188">
        <f>_xlfn.AGGREGATE(2,5,LineærRegression_Valg[[#This Row],[Tabel ID]])</f>
        <v>1</v>
      </c>
    </row>
    <row r="1762" spans="1:8" x14ac:dyDescent="0.2">
      <c r="A1762">
        <f>ROW(LineærRegression_Valg[[#This Row],[Tabel ID]])-ROW(LineærRegression_Valg[[#Headers],[Tabel ID]])</f>
        <v>1752</v>
      </c>
      <c r="B1762" s="188">
        <f>ROUNDDOWN((LineærRegression_Valg[[#This Row],[Tabel ID]]-1)/$B$5,0)+1</f>
        <v>438</v>
      </c>
      <c r="C1762" s="188">
        <f t="shared" si="27"/>
        <v>4</v>
      </c>
      <c r="D1762" s="188" t="b">
        <f>LineærRegression_Valg[[#This Row],[Afhængig variabel ID]]&lt;&gt;LineærRegression_Valg[[#This Row],[Uafhængig variabel ID]]</f>
        <v>1</v>
      </c>
      <c r="E1762" s="188" t="b">
        <f>LineærRegression_Valg[[#This Row],[Afhængig variabel ID]]&lt;=$B$5</f>
        <v>0</v>
      </c>
      <c r="F1762" t="str" cm="1">
        <f t="array" ref="F1762">IF(LineærRegression_Valg[[#This Row],[Indenfor range]],INDEX(DataTitel_liste,LineærRegression_Valg[[#This Row],[Afhængig variabel ID]]),INDEX(DataTitel_liste,1))</f>
        <v>Eksempel 1 (interval)</v>
      </c>
      <c r="G1762" s="188" t="str" cm="1">
        <f t="array" ref="G1762">IF(LineærRegression_Valg[[#This Row],[Indenfor range]],IF(LineærRegression_Valg[[#This Row],[Intet overlap]],INDEX(DataTitel_liste,LineærRegression_Valg[[#This Row],[Uafhængig variabel ID]]),INDEX(DataTitel_liste,IF(LineærRegression_Valg[[#This Row],[Afhængig variabel ID]]=1,2,1))),$B$7)</f>
        <v>Eksempel 2 (interval)</v>
      </c>
      <c r="H1762" s="188">
        <f>_xlfn.AGGREGATE(2,5,LineærRegression_Valg[[#This Row],[Tabel ID]])</f>
        <v>1</v>
      </c>
    </row>
    <row r="1763" spans="1:8" x14ac:dyDescent="0.2">
      <c r="A1763">
        <f>ROW(LineærRegression_Valg[[#This Row],[Tabel ID]])-ROW(LineærRegression_Valg[[#Headers],[Tabel ID]])</f>
        <v>1753</v>
      </c>
      <c r="B1763" s="188">
        <f>ROUNDDOWN((LineærRegression_Valg[[#This Row],[Tabel ID]]-1)/$B$5,0)+1</f>
        <v>439</v>
      </c>
      <c r="C1763" s="188">
        <f t="shared" si="27"/>
        <v>1</v>
      </c>
      <c r="D1763" s="188" t="b">
        <f>LineærRegression_Valg[[#This Row],[Afhængig variabel ID]]&lt;&gt;LineærRegression_Valg[[#This Row],[Uafhængig variabel ID]]</f>
        <v>1</v>
      </c>
      <c r="E1763" s="188" t="b">
        <f>LineærRegression_Valg[[#This Row],[Afhængig variabel ID]]&lt;=$B$5</f>
        <v>0</v>
      </c>
      <c r="F1763" t="str" cm="1">
        <f t="array" ref="F1763">IF(LineærRegression_Valg[[#This Row],[Indenfor range]],INDEX(DataTitel_liste,LineærRegression_Valg[[#This Row],[Afhængig variabel ID]]),INDEX(DataTitel_liste,1))</f>
        <v>Eksempel 1 (interval)</v>
      </c>
      <c r="G1763" s="188" t="str" cm="1">
        <f t="array" ref="G1763">IF(LineærRegression_Valg[[#This Row],[Indenfor range]],IF(LineærRegression_Valg[[#This Row],[Intet overlap]],INDEX(DataTitel_liste,LineærRegression_Valg[[#This Row],[Uafhængig variabel ID]]),INDEX(DataTitel_liste,IF(LineærRegression_Valg[[#This Row],[Afhængig variabel ID]]=1,2,1))),$B$7)</f>
        <v>Eksempel 2 (interval)</v>
      </c>
      <c r="H1763" s="188">
        <f>_xlfn.AGGREGATE(2,5,LineærRegression_Valg[[#This Row],[Tabel ID]])</f>
        <v>1</v>
      </c>
    </row>
    <row r="1764" spans="1:8" x14ac:dyDescent="0.2">
      <c r="A1764">
        <f>ROW(LineærRegression_Valg[[#This Row],[Tabel ID]])-ROW(LineærRegression_Valg[[#Headers],[Tabel ID]])</f>
        <v>1754</v>
      </c>
      <c r="B1764" s="188">
        <f>ROUNDDOWN((LineærRegression_Valg[[#This Row],[Tabel ID]]-1)/$B$5,0)+1</f>
        <v>439</v>
      </c>
      <c r="C1764" s="188">
        <f t="shared" si="27"/>
        <v>2</v>
      </c>
      <c r="D1764" s="188" t="b">
        <f>LineærRegression_Valg[[#This Row],[Afhængig variabel ID]]&lt;&gt;LineærRegression_Valg[[#This Row],[Uafhængig variabel ID]]</f>
        <v>1</v>
      </c>
      <c r="E1764" s="188" t="b">
        <f>LineærRegression_Valg[[#This Row],[Afhængig variabel ID]]&lt;=$B$5</f>
        <v>0</v>
      </c>
      <c r="F1764" t="str" cm="1">
        <f t="array" ref="F1764">IF(LineærRegression_Valg[[#This Row],[Indenfor range]],INDEX(DataTitel_liste,LineærRegression_Valg[[#This Row],[Afhængig variabel ID]]),INDEX(DataTitel_liste,1))</f>
        <v>Eksempel 1 (interval)</v>
      </c>
      <c r="G1764" s="188" t="str" cm="1">
        <f t="array" ref="G1764">IF(LineærRegression_Valg[[#This Row],[Indenfor range]],IF(LineærRegression_Valg[[#This Row],[Intet overlap]],INDEX(DataTitel_liste,LineærRegression_Valg[[#This Row],[Uafhængig variabel ID]]),INDEX(DataTitel_liste,IF(LineærRegression_Valg[[#This Row],[Afhængig variabel ID]]=1,2,1))),$B$7)</f>
        <v>Eksempel 2 (interval)</v>
      </c>
      <c r="H1764" s="188">
        <f>_xlfn.AGGREGATE(2,5,LineærRegression_Valg[[#This Row],[Tabel ID]])</f>
        <v>1</v>
      </c>
    </row>
    <row r="1765" spans="1:8" x14ac:dyDescent="0.2">
      <c r="A1765">
        <f>ROW(LineærRegression_Valg[[#This Row],[Tabel ID]])-ROW(LineærRegression_Valg[[#Headers],[Tabel ID]])</f>
        <v>1755</v>
      </c>
      <c r="B1765" s="188">
        <f>ROUNDDOWN((LineærRegression_Valg[[#This Row],[Tabel ID]]-1)/$B$5,0)+1</f>
        <v>439</v>
      </c>
      <c r="C1765" s="188">
        <f t="shared" si="27"/>
        <v>3</v>
      </c>
      <c r="D1765" s="188" t="b">
        <f>LineærRegression_Valg[[#This Row],[Afhængig variabel ID]]&lt;&gt;LineærRegression_Valg[[#This Row],[Uafhængig variabel ID]]</f>
        <v>1</v>
      </c>
      <c r="E1765" s="188" t="b">
        <f>LineærRegression_Valg[[#This Row],[Afhængig variabel ID]]&lt;=$B$5</f>
        <v>0</v>
      </c>
      <c r="F1765" t="str" cm="1">
        <f t="array" ref="F1765">IF(LineærRegression_Valg[[#This Row],[Indenfor range]],INDEX(DataTitel_liste,LineærRegression_Valg[[#This Row],[Afhængig variabel ID]]),INDEX(DataTitel_liste,1))</f>
        <v>Eksempel 1 (interval)</v>
      </c>
      <c r="G1765" s="188" t="str" cm="1">
        <f t="array" ref="G1765">IF(LineærRegression_Valg[[#This Row],[Indenfor range]],IF(LineærRegression_Valg[[#This Row],[Intet overlap]],INDEX(DataTitel_liste,LineærRegression_Valg[[#This Row],[Uafhængig variabel ID]]),INDEX(DataTitel_liste,IF(LineærRegression_Valg[[#This Row],[Afhængig variabel ID]]=1,2,1))),$B$7)</f>
        <v>Eksempel 2 (interval)</v>
      </c>
      <c r="H1765" s="188">
        <f>_xlfn.AGGREGATE(2,5,LineærRegression_Valg[[#This Row],[Tabel ID]])</f>
        <v>1</v>
      </c>
    </row>
    <row r="1766" spans="1:8" x14ac:dyDescent="0.2">
      <c r="A1766">
        <f>ROW(LineærRegression_Valg[[#This Row],[Tabel ID]])-ROW(LineærRegression_Valg[[#Headers],[Tabel ID]])</f>
        <v>1756</v>
      </c>
      <c r="B1766" s="188">
        <f>ROUNDDOWN((LineærRegression_Valg[[#This Row],[Tabel ID]]-1)/$B$5,0)+1</f>
        <v>439</v>
      </c>
      <c r="C1766" s="188">
        <f t="shared" si="27"/>
        <v>4</v>
      </c>
      <c r="D1766" s="188" t="b">
        <f>LineærRegression_Valg[[#This Row],[Afhængig variabel ID]]&lt;&gt;LineærRegression_Valg[[#This Row],[Uafhængig variabel ID]]</f>
        <v>1</v>
      </c>
      <c r="E1766" s="188" t="b">
        <f>LineærRegression_Valg[[#This Row],[Afhængig variabel ID]]&lt;=$B$5</f>
        <v>0</v>
      </c>
      <c r="F1766" t="str" cm="1">
        <f t="array" ref="F1766">IF(LineærRegression_Valg[[#This Row],[Indenfor range]],INDEX(DataTitel_liste,LineærRegression_Valg[[#This Row],[Afhængig variabel ID]]),INDEX(DataTitel_liste,1))</f>
        <v>Eksempel 1 (interval)</v>
      </c>
      <c r="G1766" s="188" t="str" cm="1">
        <f t="array" ref="G1766">IF(LineærRegression_Valg[[#This Row],[Indenfor range]],IF(LineærRegression_Valg[[#This Row],[Intet overlap]],INDEX(DataTitel_liste,LineærRegression_Valg[[#This Row],[Uafhængig variabel ID]]),INDEX(DataTitel_liste,IF(LineærRegression_Valg[[#This Row],[Afhængig variabel ID]]=1,2,1))),$B$7)</f>
        <v>Eksempel 2 (interval)</v>
      </c>
      <c r="H1766" s="188">
        <f>_xlfn.AGGREGATE(2,5,LineærRegression_Valg[[#This Row],[Tabel ID]])</f>
        <v>1</v>
      </c>
    </row>
    <row r="1767" spans="1:8" x14ac:dyDescent="0.2">
      <c r="A1767">
        <f>ROW(LineærRegression_Valg[[#This Row],[Tabel ID]])-ROW(LineærRegression_Valg[[#Headers],[Tabel ID]])</f>
        <v>1757</v>
      </c>
      <c r="B1767" s="188">
        <f>ROUNDDOWN((LineærRegression_Valg[[#This Row],[Tabel ID]]-1)/$B$5,0)+1</f>
        <v>440</v>
      </c>
      <c r="C1767" s="188">
        <f t="shared" si="27"/>
        <v>1</v>
      </c>
      <c r="D1767" s="188" t="b">
        <f>LineærRegression_Valg[[#This Row],[Afhængig variabel ID]]&lt;&gt;LineærRegression_Valg[[#This Row],[Uafhængig variabel ID]]</f>
        <v>1</v>
      </c>
      <c r="E1767" s="188" t="b">
        <f>LineærRegression_Valg[[#This Row],[Afhængig variabel ID]]&lt;=$B$5</f>
        <v>0</v>
      </c>
      <c r="F1767" t="str" cm="1">
        <f t="array" ref="F1767">IF(LineærRegression_Valg[[#This Row],[Indenfor range]],INDEX(DataTitel_liste,LineærRegression_Valg[[#This Row],[Afhængig variabel ID]]),INDEX(DataTitel_liste,1))</f>
        <v>Eksempel 1 (interval)</v>
      </c>
      <c r="G1767" s="188" t="str" cm="1">
        <f t="array" ref="G1767">IF(LineærRegression_Valg[[#This Row],[Indenfor range]],IF(LineærRegression_Valg[[#This Row],[Intet overlap]],INDEX(DataTitel_liste,LineærRegression_Valg[[#This Row],[Uafhængig variabel ID]]),INDEX(DataTitel_liste,IF(LineærRegression_Valg[[#This Row],[Afhængig variabel ID]]=1,2,1))),$B$7)</f>
        <v>Eksempel 2 (interval)</v>
      </c>
      <c r="H1767" s="188">
        <f>_xlfn.AGGREGATE(2,5,LineærRegression_Valg[[#This Row],[Tabel ID]])</f>
        <v>1</v>
      </c>
    </row>
    <row r="1768" spans="1:8" x14ac:dyDescent="0.2">
      <c r="A1768">
        <f>ROW(LineærRegression_Valg[[#This Row],[Tabel ID]])-ROW(LineærRegression_Valg[[#Headers],[Tabel ID]])</f>
        <v>1758</v>
      </c>
      <c r="B1768" s="188">
        <f>ROUNDDOWN((LineærRegression_Valg[[#This Row],[Tabel ID]]-1)/$B$5,0)+1</f>
        <v>440</v>
      </c>
      <c r="C1768" s="188">
        <f t="shared" si="27"/>
        <v>2</v>
      </c>
      <c r="D1768" s="188" t="b">
        <f>LineærRegression_Valg[[#This Row],[Afhængig variabel ID]]&lt;&gt;LineærRegression_Valg[[#This Row],[Uafhængig variabel ID]]</f>
        <v>1</v>
      </c>
      <c r="E1768" s="188" t="b">
        <f>LineærRegression_Valg[[#This Row],[Afhængig variabel ID]]&lt;=$B$5</f>
        <v>0</v>
      </c>
      <c r="F1768" t="str" cm="1">
        <f t="array" ref="F1768">IF(LineærRegression_Valg[[#This Row],[Indenfor range]],INDEX(DataTitel_liste,LineærRegression_Valg[[#This Row],[Afhængig variabel ID]]),INDEX(DataTitel_liste,1))</f>
        <v>Eksempel 1 (interval)</v>
      </c>
      <c r="G1768" s="188" t="str" cm="1">
        <f t="array" ref="G1768">IF(LineærRegression_Valg[[#This Row],[Indenfor range]],IF(LineærRegression_Valg[[#This Row],[Intet overlap]],INDEX(DataTitel_liste,LineærRegression_Valg[[#This Row],[Uafhængig variabel ID]]),INDEX(DataTitel_liste,IF(LineærRegression_Valg[[#This Row],[Afhængig variabel ID]]=1,2,1))),$B$7)</f>
        <v>Eksempel 2 (interval)</v>
      </c>
      <c r="H1768" s="188">
        <f>_xlfn.AGGREGATE(2,5,LineærRegression_Valg[[#This Row],[Tabel ID]])</f>
        <v>1</v>
      </c>
    </row>
    <row r="1769" spans="1:8" x14ac:dyDescent="0.2">
      <c r="A1769">
        <f>ROW(LineærRegression_Valg[[#This Row],[Tabel ID]])-ROW(LineærRegression_Valg[[#Headers],[Tabel ID]])</f>
        <v>1759</v>
      </c>
      <c r="B1769" s="188">
        <f>ROUNDDOWN((LineærRegression_Valg[[#This Row],[Tabel ID]]-1)/$B$5,0)+1</f>
        <v>440</v>
      </c>
      <c r="C1769" s="188">
        <f t="shared" si="27"/>
        <v>3</v>
      </c>
      <c r="D1769" s="188" t="b">
        <f>LineærRegression_Valg[[#This Row],[Afhængig variabel ID]]&lt;&gt;LineærRegression_Valg[[#This Row],[Uafhængig variabel ID]]</f>
        <v>1</v>
      </c>
      <c r="E1769" s="188" t="b">
        <f>LineærRegression_Valg[[#This Row],[Afhængig variabel ID]]&lt;=$B$5</f>
        <v>0</v>
      </c>
      <c r="F1769" t="str" cm="1">
        <f t="array" ref="F1769">IF(LineærRegression_Valg[[#This Row],[Indenfor range]],INDEX(DataTitel_liste,LineærRegression_Valg[[#This Row],[Afhængig variabel ID]]),INDEX(DataTitel_liste,1))</f>
        <v>Eksempel 1 (interval)</v>
      </c>
      <c r="G1769" s="188" t="str" cm="1">
        <f t="array" ref="G1769">IF(LineærRegression_Valg[[#This Row],[Indenfor range]],IF(LineærRegression_Valg[[#This Row],[Intet overlap]],INDEX(DataTitel_liste,LineærRegression_Valg[[#This Row],[Uafhængig variabel ID]]),INDEX(DataTitel_liste,IF(LineærRegression_Valg[[#This Row],[Afhængig variabel ID]]=1,2,1))),$B$7)</f>
        <v>Eksempel 2 (interval)</v>
      </c>
      <c r="H1769" s="188">
        <f>_xlfn.AGGREGATE(2,5,LineærRegression_Valg[[#This Row],[Tabel ID]])</f>
        <v>1</v>
      </c>
    </row>
    <row r="1770" spans="1:8" x14ac:dyDescent="0.2">
      <c r="A1770">
        <f>ROW(LineærRegression_Valg[[#This Row],[Tabel ID]])-ROW(LineærRegression_Valg[[#Headers],[Tabel ID]])</f>
        <v>1760</v>
      </c>
      <c r="B1770" s="188">
        <f>ROUNDDOWN((LineærRegression_Valg[[#This Row],[Tabel ID]]-1)/$B$5,0)+1</f>
        <v>440</v>
      </c>
      <c r="C1770" s="188">
        <f t="shared" si="27"/>
        <v>4</v>
      </c>
      <c r="D1770" s="188" t="b">
        <f>LineærRegression_Valg[[#This Row],[Afhængig variabel ID]]&lt;&gt;LineærRegression_Valg[[#This Row],[Uafhængig variabel ID]]</f>
        <v>1</v>
      </c>
      <c r="E1770" s="188" t="b">
        <f>LineærRegression_Valg[[#This Row],[Afhængig variabel ID]]&lt;=$B$5</f>
        <v>0</v>
      </c>
      <c r="F1770" t="str" cm="1">
        <f t="array" ref="F1770">IF(LineærRegression_Valg[[#This Row],[Indenfor range]],INDEX(DataTitel_liste,LineærRegression_Valg[[#This Row],[Afhængig variabel ID]]),INDEX(DataTitel_liste,1))</f>
        <v>Eksempel 1 (interval)</v>
      </c>
      <c r="G1770" s="188" t="str" cm="1">
        <f t="array" ref="G1770">IF(LineærRegression_Valg[[#This Row],[Indenfor range]],IF(LineærRegression_Valg[[#This Row],[Intet overlap]],INDEX(DataTitel_liste,LineærRegression_Valg[[#This Row],[Uafhængig variabel ID]]),INDEX(DataTitel_liste,IF(LineærRegression_Valg[[#This Row],[Afhængig variabel ID]]=1,2,1))),$B$7)</f>
        <v>Eksempel 2 (interval)</v>
      </c>
      <c r="H1770" s="188">
        <f>_xlfn.AGGREGATE(2,5,LineærRegression_Valg[[#This Row],[Tabel ID]])</f>
        <v>1</v>
      </c>
    </row>
    <row r="1771" spans="1:8" x14ac:dyDescent="0.2">
      <c r="A1771">
        <f>ROW(LineærRegression_Valg[[#This Row],[Tabel ID]])-ROW(LineærRegression_Valg[[#Headers],[Tabel ID]])</f>
        <v>1761</v>
      </c>
      <c r="B1771" s="188">
        <f>ROUNDDOWN((LineærRegression_Valg[[#This Row],[Tabel ID]]-1)/$B$5,0)+1</f>
        <v>441</v>
      </c>
      <c r="C1771" s="188">
        <f t="shared" si="27"/>
        <v>1</v>
      </c>
      <c r="D1771" s="188" t="b">
        <f>LineærRegression_Valg[[#This Row],[Afhængig variabel ID]]&lt;&gt;LineærRegression_Valg[[#This Row],[Uafhængig variabel ID]]</f>
        <v>1</v>
      </c>
      <c r="E1771" s="188" t="b">
        <f>LineærRegression_Valg[[#This Row],[Afhængig variabel ID]]&lt;=$B$5</f>
        <v>0</v>
      </c>
      <c r="F1771" t="str" cm="1">
        <f t="array" ref="F1771">IF(LineærRegression_Valg[[#This Row],[Indenfor range]],INDEX(DataTitel_liste,LineærRegression_Valg[[#This Row],[Afhængig variabel ID]]),INDEX(DataTitel_liste,1))</f>
        <v>Eksempel 1 (interval)</v>
      </c>
      <c r="G1771" s="188" t="str" cm="1">
        <f t="array" ref="G1771">IF(LineærRegression_Valg[[#This Row],[Indenfor range]],IF(LineærRegression_Valg[[#This Row],[Intet overlap]],INDEX(DataTitel_liste,LineærRegression_Valg[[#This Row],[Uafhængig variabel ID]]),INDEX(DataTitel_liste,IF(LineærRegression_Valg[[#This Row],[Afhængig variabel ID]]=1,2,1))),$B$7)</f>
        <v>Eksempel 2 (interval)</v>
      </c>
      <c r="H1771" s="188">
        <f>_xlfn.AGGREGATE(2,5,LineærRegression_Valg[[#This Row],[Tabel ID]])</f>
        <v>1</v>
      </c>
    </row>
    <row r="1772" spans="1:8" x14ac:dyDescent="0.2">
      <c r="A1772">
        <f>ROW(LineærRegression_Valg[[#This Row],[Tabel ID]])-ROW(LineærRegression_Valg[[#Headers],[Tabel ID]])</f>
        <v>1762</v>
      </c>
      <c r="B1772" s="188">
        <f>ROUNDDOWN((LineærRegression_Valg[[#This Row],[Tabel ID]]-1)/$B$5,0)+1</f>
        <v>441</v>
      </c>
      <c r="C1772" s="188">
        <f t="shared" si="27"/>
        <v>2</v>
      </c>
      <c r="D1772" s="188" t="b">
        <f>LineærRegression_Valg[[#This Row],[Afhængig variabel ID]]&lt;&gt;LineærRegression_Valg[[#This Row],[Uafhængig variabel ID]]</f>
        <v>1</v>
      </c>
      <c r="E1772" s="188" t="b">
        <f>LineærRegression_Valg[[#This Row],[Afhængig variabel ID]]&lt;=$B$5</f>
        <v>0</v>
      </c>
      <c r="F1772" t="str" cm="1">
        <f t="array" ref="F1772">IF(LineærRegression_Valg[[#This Row],[Indenfor range]],INDEX(DataTitel_liste,LineærRegression_Valg[[#This Row],[Afhængig variabel ID]]),INDEX(DataTitel_liste,1))</f>
        <v>Eksempel 1 (interval)</v>
      </c>
      <c r="G1772" s="188" t="str" cm="1">
        <f t="array" ref="G1772">IF(LineærRegression_Valg[[#This Row],[Indenfor range]],IF(LineærRegression_Valg[[#This Row],[Intet overlap]],INDEX(DataTitel_liste,LineærRegression_Valg[[#This Row],[Uafhængig variabel ID]]),INDEX(DataTitel_liste,IF(LineærRegression_Valg[[#This Row],[Afhængig variabel ID]]=1,2,1))),$B$7)</f>
        <v>Eksempel 2 (interval)</v>
      </c>
      <c r="H1772" s="188">
        <f>_xlfn.AGGREGATE(2,5,LineærRegression_Valg[[#This Row],[Tabel ID]])</f>
        <v>1</v>
      </c>
    </row>
    <row r="1773" spans="1:8" x14ac:dyDescent="0.2">
      <c r="A1773">
        <f>ROW(LineærRegression_Valg[[#This Row],[Tabel ID]])-ROW(LineærRegression_Valg[[#Headers],[Tabel ID]])</f>
        <v>1763</v>
      </c>
      <c r="B1773" s="188">
        <f>ROUNDDOWN((LineærRegression_Valg[[#This Row],[Tabel ID]]-1)/$B$5,0)+1</f>
        <v>441</v>
      </c>
      <c r="C1773" s="188">
        <f t="shared" si="27"/>
        <v>3</v>
      </c>
      <c r="D1773" s="188" t="b">
        <f>LineærRegression_Valg[[#This Row],[Afhængig variabel ID]]&lt;&gt;LineærRegression_Valg[[#This Row],[Uafhængig variabel ID]]</f>
        <v>1</v>
      </c>
      <c r="E1773" s="188" t="b">
        <f>LineærRegression_Valg[[#This Row],[Afhængig variabel ID]]&lt;=$B$5</f>
        <v>0</v>
      </c>
      <c r="F1773" t="str" cm="1">
        <f t="array" ref="F1773">IF(LineærRegression_Valg[[#This Row],[Indenfor range]],INDEX(DataTitel_liste,LineærRegression_Valg[[#This Row],[Afhængig variabel ID]]),INDEX(DataTitel_liste,1))</f>
        <v>Eksempel 1 (interval)</v>
      </c>
      <c r="G1773" s="188" t="str" cm="1">
        <f t="array" ref="G1773">IF(LineærRegression_Valg[[#This Row],[Indenfor range]],IF(LineærRegression_Valg[[#This Row],[Intet overlap]],INDEX(DataTitel_liste,LineærRegression_Valg[[#This Row],[Uafhængig variabel ID]]),INDEX(DataTitel_liste,IF(LineærRegression_Valg[[#This Row],[Afhængig variabel ID]]=1,2,1))),$B$7)</f>
        <v>Eksempel 2 (interval)</v>
      </c>
      <c r="H1773" s="188">
        <f>_xlfn.AGGREGATE(2,5,LineærRegression_Valg[[#This Row],[Tabel ID]])</f>
        <v>1</v>
      </c>
    </row>
    <row r="1774" spans="1:8" x14ac:dyDescent="0.2">
      <c r="A1774">
        <f>ROW(LineærRegression_Valg[[#This Row],[Tabel ID]])-ROW(LineærRegression_Valg[[#Headers],[Tabel ID]])</f>
        <v>1764</v>
      </c>
      <c r="B1774" s="188">
        <f>ROUNDDOWN((LineærRegression_Valg[[#This Row],[Tabel ID]]-1)/$B$5,0)+1</f>
        <v>441</v>
      </c>
      <c r="C1774" s="188">
        <f t="shared" si="27"/>
        <v>4</v>
      </c>
      <c r="D1774" s="188" t="b">
        <f>LineærRegression_Valg[[#This Row],[Afhængig variabel ID]]&lt;&gt;LineærRegression_Valg[[#This Row],[Uafhængig variabel ID]]</f>
        <v>1</v>
      </c>
      <c r="E1774" s="188" t="b">
        <f>LineærRegression_Valg[[#This Row],[Afhængig variabel ID]]&lt;=$B$5</f>
        <v>0</v>
      </c>
      <c r="F1774" t="str" cm="1">
        <f t="array" ref="F1774">IF(LineærRegression_Valg[[#This Row],[Indenfor range]],INDEX(DataTitel_liste,LineærRegression_Valg[[#This Row],[Afhængig variabel ID]]),INDEX(DataTitel_liste,1))</f>
        <v>Eksempel 1 (interval)</v>
      </c>
      <c r="G1774" s="188" t="str" cm="1">
        <f t="array" ref="G1774">IF(LineærRegression_Valg[[#This Row],[Indenfor range]],IF(LineærRegression_Valg[[#This Row],[Intet overlap]],INDEX(DataTitel_liste,LineærRegression_Valg[[#This Row],[Uafhængig variabel ID]]),INDEX(DataTitel_liste,IF(LineærRegression_Valg[[#This Row],[Afhængig variabel ID]]=1,2,1))),$B$7)</f>
        <v>Eksempel 2 (interval)</v>
      </c>
      <c r="H1774" s="188">
        <f>_xlfn.AGGREGATE(2,5,LineærRegression_Valg[[#This Row],[Tabel ID]])</f>
        <v>1</v>
      </c>
    </row>
    <row r="1775" spans="1:8" x14ac:dyDescent="0.2">
      <c r="A1775">
        <f>ROW(LineærRegression_Valg[[#This Row],[Tabel ID]])-ROW(LineærRegression_Valg[[#Headers],[Tabel ID]])</f>
        <v>1765</v>
      </c>
      <c r="B1775" s="188">
        <f>ROUNDDOWN((LineærRegression_Valg[[#This Row],[Tabel ID]]-1)/$B$5,0)+1</f>
        <v>442</v>
      </c>
      <c r="C1775" s="188">
        <f t="shared" si="27"/>
        <v>1</v>
      </c>
      <c r="D1775" s="188" t="b">
        <f>LineærRegression_Valg[[#This Row],[Afhængig variabel ID]]&lt;&gt;LineærRegression_Valg[[#This Row],[Uafhængig variabel ID]]</f>
        <v>1</v>
      </c>
      <c r="E1775" s="188" t="b">
        <f>LineærRegression_Valg[[#This Row],[Afhængig variabel ID]]&lt;=$B$5</f>
        <v>0</v>
      </c>
      <c r="F1775" t="str" cm="1">
        <f t="array" ref="F1775">IF(LineærRegression_Valg[[#This Row],[Indenfor range]],INDEX(DataTitel_liste,LineærRegression_Valg[[#This Row],[Afhængig variabel ID]]),INDEX(DataTitel_liste,1))</f>
        <v>Eksempel 1 (interval)</v>
      </c>
      <c r="G1775" s="188" t="str" cm="1">
        <f t="array" ref="G1775">IF(LineærRegression_Valg[[#This Row],[Indenfor range]],IF(LineærRegression_Valg[[#This Row],[Intet overlap]],INDEX(DataTitel_liste,LineærRegression_Valg[[#This Row],[Uafhængig variabel ID]]),INDEX(DataTitel_liste,IF(LineærRegression_Valg[[#This Row],[Afhængig variabel ID]]=1,2,1))),$B$7)</f>
        <v>Eksempel 2 (interval)</v>
      </c>
      <c r="H1775" s="188">
        <f>_xlfn.AGGREGATE(2,5,LineærRegression_Valg[[#This Row],[Tabel ID]])</f>
        <v>1</v>
      </c>
    </row>
    <row r="1776" spans="1:8" x14ac:dyDescent="0.2">
      <c r="A1776">
        <f>ROW(LineærRegression_Valg[[#This Row],[Tabel ID]])-ROW(LineærRegression_Valg[[#Headers],[Tabel ID]])</f>
        <v>1766</v>
      </c>
      <c r="B1776" s="188">
        <f>ROUNDDOWN((LineærRegression_Valg[[#This Row],[Tabel ID]]-1)/$B$5,0)+1</f>
        <v>442</v>
      </c>
      <c r="C1776" s="188">
        <f t="shared" si="27"/>
        <v>2</v>
      </c>
      <c r="D1776" s="188" t="b">
        <f>LineærRegression_Valg[[#This Row],[Afhængig variabel ID]]&lt;&gt;LineærRegression_Valg[[#This Row],[Uafhængig variabel ID]]</f>
        <v>1</v>
      </c>
      <c r="E1776" s="188" t="b">
        <f>LineærRegression_Valg[[#This Row],[Afhængig variabel ID]]&lt;=$B$5</f>
        <v>0</v>
      </c>
      <c r="F1776" t="str" cm="1">
        <f t="array" ref="F1776">IF(LineærRegression_Valg[[#This Row],[Indenfor range]],INDEX(DataTitel_liste,LineærRegression_Valg[[#This Row],[Afhængig variabel ID]]),INDEX(DataTitel_liste,1))</f>
        <v>Eksempel 1 (interval)</v>
      </c>
      <c r="G1776" s="188" t="str" cm="1">
        <f t="array" ref="G1776">IF(LineærRegression_Valg[[#This Row],[Indenfor range]],IF(LineærRegression_Valg[[#This Row],[Intet overlap]],INDEX(DataTitel_liste,LineærRegression_Valg[[#This Row],[Uafhængig variabel ID]]),INDEX(DataTitel_liste,IF(LineærRegression_Valg[[#This Row],[Afhængig variabel ID]]=1,2,1))),$B$7)</f>
        <v>Eksempel 2 (interval)</v>
      </c>
      <c r="H1776" s="188">
        <f>_xlfn.AGGREGATE(2,5,LineærRegression_Valg[[#This Row],[Tabel ID]])</f>
        <v>1</v>
      </c>
    </row>
    <row r="1777" spans="1:8" x14ac:dyDescent="0.2">
      <c r="A1777">
        <f>ROW(LineærRegression_Valg[[#This Row],[Tabel ID]])-ROW(LineærRegression_Valg[[#Headers],[Tabel ID]])</f>
        <v>1767</v>
      </c>
      <c r="B1777" s="188">
        <f>ROUNDDOWN((LineærRegression_Valg[[#This Row],[Tabel ID]]-1)/$B$5,0)+1</f>
        <v>442</v>
      </c>
      <c r="C1777" s="188">
        <f t="shared" si="27"/>
        <v>3</v>
      </c>
      <c r="D1777" s="188" t="b">
        <f>LineærRegression_Valg[[#This Row],[Afhængig variabel ID]]&lt;&gt;LineærRegression_Valg[[#This Row],[Uafhængig variabel ID]]</f>
        <v>1</v>
      </c>
      <c r="E1777" s="188" t="b">
        <f>LineærRegression_Valg[[#This Row],[Afhængig variabel ID]]&lt;=$B$5</f>
        <v>0</v>
      </c>
      <c r="F1777" t="str" cm="1">
        <f t="array" ref="F1777">IF(LineærRegression_Valg[[#This Row],[Indenfor range]],INDEX(DataTitel_liste,LineærRegression_Valg[[#This Row],[Afhængig variabel ID]]),INDEX(DataTitel_liste,1))</f>
        <v>Eksempel 1 (interval)</v>
      </c>
      <c r="G1777" s="188" t="str" cm="1">
        <f t="array" ref="G1777">IF(LineærRegression_Valg[[#This Row],[Indenfor range]],IF(LineærRegression_Valg[[#This Row],[Intet overlap]],INDEX(DataTitel_liste,LineærRegression_Valg[[#This Row],[Uafhængig variabel ID]]),INDEX(DataTitel_liste,IF(LineærRegression_Valg[[#This Row],[Afhængig variabel ID]]=1,2,1))),$B$7)</f>
        <v>Eksempel 2 (interval)</v>
      </c>
      <c r="H1777" s="188">
        <f>_xlfn.AGGREGATE(2,5,LineærRegression_Valg[[#This Row],[Tabel ID]])</f>
        <v>1</v>
      </c>
    </row>
    <row r="1778" spans="1:8" x14ac:dyDescent="0.2">
      <c r="A1778">
        <f>ROW(LineærRegression_Valg[[#This Row],[Tabel ID]])-ROW(LineærRegression_Valg[[#Headers],[Tabel ID]])</f>
        <v>1768</v>
      </c>
      <c r="B1778" s="188">
        <f>ROUNDDOWN((LineærRegression_Valg[[#This Row],[Tabel ID]]-1)/$B$5,0)+1</f>
        <v>442</v>
      </c>
      <c r="C1778" s="188">
        <f t="shared" si="27"/>
        <v>4</v>
      </c>
      <c r="D1778" s="188" t="b">
        <f>LineærRegression_Valg[[#This Row],[Afhængig variabel ID]]&lt;&gt;LineærRegression_Valg[[#This Row],[Uafhængig variabel ID]]</f>
        <v>1</v>
      </c>
      <c r="E1778" s="188" t="b">
        <f>LineærRegression_Valg[[#This Row],[Afhængig variabel ID]]&lt;=$B$5</f>
        <v>0</v>
      </c>
      <c r="F1778" t="str" cm="1">
        <f t="array" ref="F1778">IF(LineærRegression_Valg[[#This Row],[Indenfor range]],INDEX(DataTitel_liste,LineærRegression_Valg[[#This Row],[Afhængig variabel ID]]),INDEX(DataTitel_liste,1))</f>
        <v>Eksempel 1 (interval)</v>
      </c>
      <c r="G1778" s="188" t="str" cm="1">
        <f t="array" ref="G1778">IF(LineærRegression_Valg[[#This Row],[Indenfor range]],IF(LineærRegression_Valg[[#This Row],[Intet overlap]],INDEX(DataTitel_liste,LineærRegression_Valg[[#This Row],[Uafhængig variabel ID]]),INDEX(DataTitel_liste,IF(LineærRegression_Valg[[#This Row],[Afhængig variabel ID]]=1,2,1))),$B$7)</f>
        <v>Eksempel 2 (interval)</v>
      </c>
      <c r="H1778" s="188">
        <f>_xlfn.AGGREGATE(2,5,LineærRegression_Valg[[#This Row],[Tabel ID]])</f>
        <v>1</v>
      </c>
    </row>
    <row r="1779" spans="1:8" x14ac:dyDescent="0.2">
      <c r="A1779">
        <f>ROW(LineærRegression_Valg[[#This Row],[Tabel ID]])-ROW(LineærRegression_Valg[[#Headers],[Tabel ID]])</f>
        <v>1769</v>
      </c>
      <c r="B1779" s="188">
        <f>ROUNDDOWN((LineærRegression_Valg[[#This Row],[Tabel ID]]-1)/$B$5,0)+1</f>
        <v>443</v>
      </c>
      <c r="C1779" s="188">
        <f t="shared" si="27"/>
        <v>1</v>
      </c>
      <c r="D1779" s="188" t="b">
        <f>LineærRegression_Valg[[#This Row],[Afhængig variabel ID]]&lt;&gt;LineærRegression_Valg[[#This Row],[Uafhængig variabel ID]]</f>
        <v>1</v>
      </c>
      <c r="E1779" s="188" t="b">
        <f>LineærRegression_Valg[[#This Row],[Afhængig variabel ID]]&lt;=$B$5</f>
        <v>0</v>
      </c>
      <c r="F1779" t="str" cm="1">
        <f t="array" ref="F1779">IF(LineærRegression_Valg[[#This Row],[Indenfor range]],INDEX(DataTitel_liste,LineærRegression_Valg[[#This Row],[Afhængig variabel ID]]),INDEX(DataTitel_liste,1))</f>
        <v>Eksempel 1 (interval)</v>
      </c>
      <c r="G1779" s="188" t="str" cm="1">
        <f t="array" ref="G1779">IF(LineærRegression_Valg[[#This Row],[Indenfor range]],IF(LineærRegression_Valg[[#This Row],[Intet overlap]],INDEX(DataTitel_liste,LineærRegression_Valg[[#This Row],[Uafhængig variabel ID]]),INDEX(DataTitel_liste,IF(LineærRegression_Valg[[#This Row],[Afhængig variabel ID]]=1,2,1))),$B$7)</f>
        <v>Eksempel 2 (interval)</v>
      </c>
      <c r="H1779" s="188">
        <f>_xlfn.AGGREGATE(2,5,LineærRegression_Valg[[#This Row],[Tabel ID]])</f>
        <v>1</v>
      </c>
    </row>
    <row r="1780" spans="1:8" x14ac:dyDescent="0.2">
      <c r="A1780">
        <f>ROW(LineærRegression_Valg[[#This Row],[Tabel ID]])-ROW(LineærRegression_Valg[[#Headers],[Tabel ID]])</f>
        <v>1770</v>
      </c>
      <c r="B1780" s="188">
        <f>ROUNDDOWN((LineærRegression_Valg[[#This Row],[Tabel ID]]-1)/$B$5,0)+1</f>
        <v>443</v>
      </c>
      <c r="C1780" s="188">
        <f t="shared" si="27"/>
        <v>2</v>
      </c>
      <c r="D1780" s="188" t="b">
        <f>LineærRegression_Valg[[#This Row],[Afhængig variabel ID]]&lt;&gt;LineærRegression_Valg[[#This Row],[Uafhængig variabel ID]]</f>
        <v>1</v>
      </c>
      <c r="E1780" s="188" t="b">
        <f>LineærRegression_Valg[[#This Row],[Afhængig variabel ID]]&lt;=$B$5</f>
        <v>0</v>
      </c>
      <c r="F1780" t="str" cm="1">
        <f t="array" ref="F1780">IF(LineærRegression_Valg[[#This Row],[Indenfor range]],INDEX(DataTitel_liste,LineærRegression_Valg[[#This Row],[Afhængig variabel ID]]),INDEX(DataTitel_liste,1))</f>
        <v>Eksempel 1 (interval)</v>
      </c>
      <c r="G1780" s="188" t="str" cm="1">
        <f t="array" ref="G1780">IF(LineærRegression_Valg[[#This Row],[Indenfor range]],IF(LineærRegression_Valg[[#This Row],[Intet overlap]],INDEX(DataTitel_liste,LineærRegression_Valg[[#This Row],[Uafhængig variabel ID]]),INDEX(DataTitel_liste,IF(LineærRegression_Valg[[#This Row],[Afhængig variabel ID]]=1,2,1))),$B$7)</f>
        <v>Eksempel 2 (interval)</v>
      </c>
      <c r="H1780" s="188">
        <f>_xlfn.AGGREGATE(2,5,LineærRegression_Valg[[#This Row],[Tabel ID]])</f>
        <v>1</v>
      </c>
    </row>
    <row r="1781" spans="1:8" x14ac:dyDescent="0.2">
      <c r="A1781">
        <f>ROW(LineærRegression_Valg[[#This Row],[Tabel ID]])-ROW(LineærRegression_Valg[[#Headers],[Tabel ID]])</f>
        <v>1771</v>
      </c>
      <c r="B1781" s="188">
        <f>ROUNDDOWN((LineærRegression_Valg[[#This Row],[Tabel ID]]-1)/$B$5,0)+1</f>
        <v>443</v>
      </c>
      <c r="C1781" s="188">
        <f t="shared" si="27"/>
        <v>3</v>
      </c>
      <c r="D1781" s="188" t="b">
        <f>LineærRegression_Valg[[#This Row],[Afhængig variabel ID]]&lt;&gt;LineærRegression_Valg[[#This Row],[Uafhængig variabel ID]]</f>
        <v>1</v>
      </c>
      <c r="E1781" s="188" t="b">
        <f>LineærRegression_Valg[[#This Row],[Afhængig variabel ID]]&lt;=$B$5</f>
        <v>0</v>
      </c>
      <c r="F1781" t="str" cm="1">
        <f t="array" ref="F1781">IF(LineærRegression_Valg[[#This Row],[Indenfor range]],INDEX(DataTitel_liste,LineærRegression_Valg[[#This Row],[Afhængig variabel ID]]),INDEX(DataTitel_liste,1))</f>
        <v>Eksempel 1 (interval)</v>
      </c>
      <c r="G1781" s="188" t="str" cm="1">
        <f t="array" ref="G1781">IF(LineærRegression_Valg[[#This Row],[Indenfor range]],IF(LineærRegression_Valg[[#This Row],[Intet overlap]],INDEX(DataTitel_liste,LineærRegression_Valg[[#This Row],[Uafhængig variabel ID]]),INDEX(DataTitel_liste,IF(LineærRegression_Valg[[#This Row],[Afhængig variabel ID]]=1,2,1))),$B$7)</f>
        <v>Eksempel 2 (interval)</v>
      </c>
      <c r="H1781" s="188">
        <f>_xlfn.AGGREGATE(2,5,LineærRegression_Valg[[#This Row],[Tabel ID]])</f>
        <v>1</v>
      </c>
    </row>
    <row r="1782" spans="1:8" x14ac:dyDescent="0.2">
      <c r="A1782">
        <f>ROW(LineærRegression_Valg[[#This Row],[Tabel ID]])-ROW(LineærRegression_Valg[[#Headers],[Tabel ID]])</f>
        <v>1772</v>
      </c>
      <c r="B1782" s="188">
        <f>ROUNDDOWN((LineærRegression_Valg[[#This Row],[Tabel ID]]-1)/$B$5,0)+1</f>
        <v>443</v>
      </c>
      <c r="C1782" s="188">
        <f t="shared" si="27"/>
        <v>4</v>
      </c>
      <c r="D1782" s="188" t="b">
        <f>LineærRegression_Valg[[#This Row],[Afhængig variabel ID]]&lt;&gt;LineærRegression_Valg[[#This Row],[Uafhængig variabel ID]]</f>
        <v>1</v>
      </c>
      <c r="E1782" s="188" t="b">
        <f>LineærRegression_Valg[[#This Row],[Afhængig variabel ID]]&lt;=$B$5</f>
        <v>0</v>
      </c>
      <c r="F1782" t="str" cm="1">
        <f t="array" ref="F1782">IF(LineærRegression_Valg[[#This Row],[Indenfor range]],INDEX(DataTitel_liste,LineærRegression_Valg[[#This Row],[Afhængig variabel ID]]),INDEX(DataTitel_liste,1))</f>
        <v>Eksempel 1 (interval)</v>
      </c>
      <c r="G1782" s="188" t="str" cm="1">
        <f t="array" ref="G1782">IF(LineærRegression_Valg[[#This Row],[Indenfor range]],IF(LineærRegression_Valg[[#This Row],[Intet overlap]],INDEX(DataTitel_liste,LineærRegression_Valg[[#This Row],[Uafhængig variabel ID]]),INDEX(DataTitel_liste,IF(LineærRegression_Valg[[#This Row],[Afhængig variabel ID]]=1,2,1))),$B$7)</f>
        <v>Eksempel 2 (interval)</v>
      </c>
      <c r="H1782" s="188">
        <f>_xlfn.AGGREGATE(2,5,LineærRegression_Valg[[#This Row],[Tabel ID]])</f>
        <v>1</v>
      </c>
    </row>
    <row r="1783" spans="1:8" x14ac:dyDescent="0.2">
      <c r="A1783">
        <f>ROW(LineærRegression_Valg[[#This Row],[Tabel ID]])-ROW(LineærRegression_Valg[[#Headers],[Tabel ID]])</f>
        <v>1773</v>
      </c>
      <c r="B1783" s="188">
        <f>ROUNDDOWN((LineærRegression_Valg[[#This Row],[Tabel ID]]-1)/$B$5,0)+1</f>
        <v>444</v>
      </c>
      <c r="C1783" s="188">
        <f t="shared" si="27"/>
        <v>1</v>
      </c>
      <c r="D1783" s="188" t="b">
        <f>LineærRegression_Valg[[#This Row],[Afhængig variabel ID]]&lt;&gt;LineærRegression_Valg[[#This Row],[Uafhængig variabel ID]]</f>
        <v>1</v>
      </c>
      <c r="E1783" s="188" t="b">
        <f>LineærRegression_Valg[[#This Row],[Afhængig variabel ID]]&lt;=$B$5</f>
        <v>0</v>
      </c>
      <c r="F1783" t="str" cm="1">
        <f t="array" ref="F1783">IF(LineærRegression_Valg[[#This Row],[Indenfor range]],INDEX(DataTitel_liste,LineærRegression_Valg[[#This Row],[Afhængig variabel ID]]),INDEX(DataTitel_liste,1))</f>
        <v>Eksempel 1 (interval)</v>
      </c>
      <c r="G1783" s="188" t="str" cm="1">
        <f t="array" ref="G1783">IF(LineærRegression_Valg[[#This Row],[Indenfor range]],IF(LineærRegression_Valg[[#This Row],[Intet overlap]],INDEX(DataTitel_liste,LineærRegression_Valg[[#This Row],[Uafhængig variabel ID]]),INDEX(DataTitel_liste,IF(LineærRegression_Valg[[#This Row],[Afhængig variabel ID]]=1,2,1))),$B$7)</f>
        <v>Eksempel 2 (interval)</v>
      </c>
      <c r="H1783" s="188">
        <f>_xlfn.AGGREGATE(2,5,LineærRegression_Valg[[#This Row],[Tabel ID]])</f>
        <v>1</v>
      </c>
    </row>
    <row r="1784" spans="1:8" x14ac:dyDescent="0.2">
      <c r="A1784">
        <f>ROW(LineærRegression_Valg[[#This Row],[Tabel ID]])-ROW(LineærRegression_Valg[[#Headers],[Tabel ID]])</f>
        <v>1774</v>
      </c>
      <c r="B1784" s="188">
        <f>ROUNDDOWN((LineærRegression_Valg[[#This Row],[Tabel ID]]-1)/$B$5,0)+1</f>
        <v>444</v>
      </c>
      <c r="C1784" s="188">
        <f t="shared" si="27"/>
        <v>2</v>
      </c>
      <c r="D1784" s="188" t="b">
        <f>LineærRegression_Valg[[#This Row],[Afhængig variabel ID]]&lt;&gt;LineærRegression_Valg[[#This Row],[Uafhængig variabel ID]]</f>
        <v>1</v>
      </c>
      <c r="E1784" s="188" t="b">
        <f>LineærRegression_Valg[[#This Row],[Afhængig variabel ID]]&lt;=$B$5</f>
        <v>0</v>
      </c>
      <c r="F1784" t="str" cm="1">
        <f t="array" ref="F1784">IF(LineærRegression_Valg[[#This Row],[Indenfor range]],INDEX(DataTitel_liste,LineærRegression_Valg[[#This Row],[Afhængig variabel ID]]),INDEX(DataTitel_liste,1))</f>
        <v>Eksempel 1 (interval)</v>
      </c>
      <c r="G1784" s="188" t="str" cm="1">
        <f t="array" ref="G1784">IF(LineærRegression_Valg[[#This Row],[Indenfor range]],IF(LineærRegression_Valg[[#This Row],[Intet overlap]],INDEX(DataTitel_liste,LineærRegression_Valg[[#This Row],[Uafhængig variabel ID]]),INDEX(DataTitel_liste,IF(LineærRegression_Valg[[#This Row],[Afhængig variabel ID]]=1,2,1))),$B$7)</f>
        <v>Eksempel 2 (interval)</v>
      </c>
      <c r="H1784" s="188">
        <f>_xlfn.AGGREGATE(2,5,LineærRegression_Valg[[#This Row],[Tabel ID]])</f>
        <v>1</v>
      </c>
    </row>
    <row r="1785" spans="1:8" x14ac:dyDescent="0.2">
      <c r="A1785">
        <f>ROW(LineærRegression_Valg[[#This Row],[Tabel ID]])-ROW(LineærRegression_Valg[[#Headers],[Tabel ID]])</f>
        <v>1775</v>
      </c>
      <c r="B1785" s="188">
        <f>ROUNDDOWN((LineærRegression_Valg[[#This Row],[Tabel ID]]-1)/$B$5,0)+1</f>
        <v>444</v>
      </c>
      <c r="C1785" s="188">
        <f t="shared" si="27"/>
        <v>3</v>
      </c>
      <c r="D1785" s="188" t="b">
        <f>LineærRegression_Valg[[#This Row],[Afhængig variabel ID]]&lt;&gt;LineærRegression_Valg[[#This Row],[Uafhængig variabel ID]]</f>
        <v>1</v>
      </c>
      <c r="E1785" s="188" t="b">
        <f>LineærRegression_Valg[[#This Row],[Afhængig variabel ID]]&lt;=$B$5</f>
        <v>0</v>
      </c>
      <c r="F1785" t="str" cm="1">
        <f t="array" ref="F1785">IF(LineærRegression_Valg[[#This Row],[Indenfor range]],INDEX(DataTitel_liste,LineærRegression_Valg[[#This Row],[Afhængig variabel ID]]),INDEX(DataTitel_liste,1))</f>
        <v>Eksempel 1 (interval)</v>
      </c>
      <c r="G1785" s="188" t="str" cm="1">
        <f t="array" ref="G1785">IF(LineærRegression_Valg[[#This Row],[Indenfor range]],IF(LineærRegression_Valg[[#This Row],[Intet overlap]],INDEX(DataTitel_liste,LineærRegression_Valg[[#This Row],[Uafhængig variabel ID]]),INDEX(DataTitel_liste,IF(LineærRegression_Valg[[#This Row],[Afhængig variabel ID]]=1,2,1))),$B$7)</f>
        <v>Eksempel 2 (interval)</v>
      </c>
      <c r="H1785" s="188">
        <f>_xlfn.AGGREGATE(2,5,LineærRegression_Valg[[#This Row],[Tabel ID]])</f>
        <v>1</v>
      </c>
    </row>
    <row r="1786" spans="1:8" x14ac:dyDescent="0.2">
      <c r="A1786">
        <f>ROW(LineærRegression_Valg[[#This Row],[Tabel ID]])-ROW(LineærRegression_Valg[[#Headers],[Tabel ID]])</f>
        <v>1776</v>
      </c>
      <c r="B1786" s="188">
        <f>ROUNDDOWN((LineærRegression_Valg[[#This Row],[Tabel ID]]-1)/$B$5,0)+1</f>
        <v>444</v>
      </c>
      <c r="C1786" s="188">
        <f t="shared" si="27"/>
        <v>4</v>
      </c>
      <c r="D1786" s="188" t="b">
        <f>LineærRegression_Valg[[#This Row],[Afhængig variabel ID]]&lt;&gt;LineærRegression_Valg[[#This Row],[Uafhængig variabel ID]]</f>
        <v>1</v>
      </c>
      <c r="E1786" s="188" t="b">
        <f>LineærRegression_Valg[[#This Row],[Afhængig variabel ID]]&lt;=$B$5</f>
        <v>0</v>
      </c>
      <c r="F1786" t="str" cm="1">
        <f t="array" ref="F1786">IF(LineærRegression_Valg[[#This Row],[Indenfor range]],INDEX(DataTitel_liste,LineærRegression_Valg[[#This Row],[Afhængig variabel ID]]),INDEX(DataTitel_liste,1))</f>
        <v>Eksempel 1 (interval)</v>
      </c>
      <c r="G1786" s="188" t="str" cm="1">
        <f t="array" ref="G1786">IF(LineærRegression_Valg[[#This Row],[Indenfor range]],IF(LineærRegression_Valg[[#This Row],[Intet overlap]],INDEX(DataTitel_liste,LineærRegression_Valg[[#This Row],[Uafhængig variabel ID]]),INDEX(DataTitel_liste,IF(LineærRegression_Valg[[#This Row],[Afhængig variabel ID]]=1,2,1))),$B$7)</f>
        <v>Eksempel 2 (interval)</v>
      </c>
      <c r="H1786" s="188">
        <f>_xlfn.AGGREGATE(2,5,LineærRegression_Valg[[#This Row],[Tabel ID]])</f>
        <v>1</v>
      </c>
    </row>
    <row r="1787" spans="1:8" x14ac:dyDescent="0.2">
      <c r="A1787">
        <f>ROW(LineærRegression_Valg[[#This Row],[Tabel ID]])-ROW(LineærRegression_Valg[[#Headers],[Tabel ID]])</f>
        <v>1777</v>
      </c>
      <c r="B1787" s="188">
        <f>ROUNDDOWN((LineærRegression_Valg[[#This Row],[Tabel ID]]-1)/$B$5,0)+1</f>
        <v>445</v>
      </c>
      <c r="C1787" s="188">
        <f t="shared" si="27"/>
        <v>1</v>
      </c>
      <c r="D1787" s="188" t="b">
        <f>LineærRegression_Valg[[#This Row],[Afhængig variabel ID]]&lt;&gt;LineærRegression_Valg[[#This Row],[Uafhængig variabel ID]]</f>
        <v>1</v>
      </c>
      <c r="E1787" s="188" t="b">
        <f>LineærRegression_Valg[[#This Row],[Afhængig variabel ID]]&lt;=$B$5</f>
        <v>0</v>
      </c>
      <c r="F1787" t="str" cm="1">
        <f t="array" ref="F1787">IF(LineærRegression_Valg[[#This Row],[Indenfor range]],INDEX(DataTitel_liste,LineærRegression_Valg[[#This Row],[Afhængig variabel ID]]),INDEX(DataTitel_liste,1))</f>
        <v>Eksempel 1 (interval)</v>
      </c>
      <c r="G1787" s="188" t="str" cm="1">
        <f t="array" ref="G1787">IF(LineærRegression_Valg[[#This Row],[Indenfor range]],IF(LineærRegression_Valg[[#This Row],[Intet overlap]],INDEX(DataTitel_liste,LineærRegression_Valg[[#This Row],[Uafhængig variabel ID]]),INDEX(DataTitel_liste,IF(LineærRegression_Valg[[#This Row],[Afhængig variabel ID]]=1,2,1))),$B$7)</f>
        <v>Eksempel 2 (interval)</v>
      </c>
      <c r="H1787" s="188">
        <f>_xlfn.AGGREGATE(2,5,LineærRegression_Valg[[#This Row],[Tabel ID]])</f>
        <v>1</v>
      </c>
    </row>
    <row r="1788" spans="1:8" x14ac:dyDescent="0.2">
      <c r="A1788">
        <f>ROW(LineærRegression_Valg[[#This Row],[Tabel ID]])-ROW(LineærRegression_Valg[[#Headers],[Tabel ID]])</f>
        <v>1778</v>
      </c>
      <c r="B1788" s="188">
        <f>ROUNDDOWN((LineærRegression_Valg[[#This Row],[Tabel ID]]-1)/$B$5,0)+1</f>
        <v>445</v>
      </c>
      <c r="C1788" s="188">
        <f t="shared" si="27"/>
        <v>2</v>
      </c>
      <c r="D1788" s="188" t="b">
        <f>LineærRegression_Valg[[#This Row],[Afhængig variabel ID]]&lt;&gt;LineærRegression_Valg[[#This Row],[Uafhængig variabel ID]]</f>
        <v>1</v>
      </c>
      <c r="E1788" s="188" t="b">
        <f>LineærRegression_Valg[[#This Row],[Afhængig variabel ID]]&lt;=$B$5</f>
        <v>0</v>
      </c>
      <c r="F1788" t="str" cm="1">
        <f t="array" ref="F1788">IF(LineærRegression_Valg[[#This Row],[Indenfor range]],INDEX(DataTitel_liste,LineærRegression_Valg[[#This Row],[Afhængig variabel ID]]),INDEX(DataTitel_liste,1))</f>
        <v>Eksempel 1 (interval)</v>
      </c>
      <c r="G1788" s="188" t="str" cm="1">
        <f t="array" ref="G1788">IF(LineærRegression_Valg[[#This Row],[Indenfor range]],IF(LineærRegression_Valg[[#This Row],[Intet overlap]],INDEX(DataTitel_liste,LineærRegression_Valg[[#This Row],[Uafhængig variabel ID]]),INDEX(DataTitel_liste,IF(LineærRegression_Valg[[#This Row],[Afhængig variabel ID]]=1,2,1))),$B$7)</f>
        <v>Eksempel 2 (interval)</v>
      </c>
      <c r="H1788" s="188">
        <f>_xlfn.AGGREGATE(2,5,LineærRegression_Valg[[#This Row],[Tabel ID]])</f>
        <v>1</v>
      </c>
    </row>
    <row r="1789" spans="1:8" x14ac:dyDescent="0.2">
      <c r="A1789">
        <f>ROW(LineærRegression_Valg[[#This Row],[Tabel ID]])-ROW(LineærRegression_Valg[[#Headers],[Tabel ID]])</f>
        <v>1779</v>
      </c>
      <c r="B1789" s="188">
        <f>ROUNDDOWN((LineærRegression_Valg[[#This Row],[Tabel ID]]-1)/$B$5,0)+1</f>
        <v>445</v>
      </c>
      <c r="C1789" s="188">
        <f t="shared" si="27"/>
        <v>3</v>
      </c>
      <c r="D1789" s="188" t="b">
        <f>LineærRegression_Valg[[#This Row],[Afhængig variabel ID]]&lt;&gt;LineærRegression_Valg[[#This Row],[Uafhængig variabel ID]]</f>
        <v>1</v>
      </c>
      <c r="E1789" s="188" t="b">
        <f>LineærRegression_Valg[[#This Row],[Afhængig variabel ID]]&lt;=$B$5</f>
        <v>0</v>
      </c>
      <c r="F1789" t="str" cm="1">
        <f t="array" ref="F1789">IF(LineærRegression_Valg[[#This Row],[Indenfor range]],INDEX(DataTitel_liste,LineærRegression_Valg[[#This Row],[Afhængig variabel ID]]),INDEX(DataTitel_liste,1))</f>
        <v>Eksempel 1 (interval)</v>
      </c>
      <c r="G1789" s="188" t="str" cm="1">
        <f t="array" ref="G1789">IF(LineærRegression_Valg[[#This Row],[Indenfor range]],IF(LineærRegression_Valg[[#This Row],[Intet overlap]],INDEX(DataTitel_liste,LineærRegression_Valg[[#This Row],[Uafhængig variabel ID]]),INDEX(DataTitel_liste,IF(LineærRegression_Valg[[#This Row],[Afhængig variabel ID]]=1,2,1))),$B$7)</f>
        <v>Eksempel 2 (interval)</v>
      </c>
      <c r="H1789" s="188">
        <f>_xlfn.AGGREGATE(2,5,LineærRegression_Valg[[#This Row],[Tabel ID]])</f>
        <v>1</v>
      </c>
    </row>
    <row r="1790" spans="1:8" x14ac:dyDescent="0.2">
      <c r="A1790">
        <f>ROW(LineærRegression_Valg[[#This Row],[Tabel ID]])-ROW(LineærRegression_Valg[[#Headers],[Tabel ID]])</f>
        <v>1780</v>
      </c>
      <c r="B1790" s="188">
        <f>ROUNDDOWN((LineærRegression_Valg[[#This Row],[Tabel ID]]-1)/$B$5,0)+1</f>
        <v>445</v>
      </c>
      <c r="C1790" s="188">
        <f t="shared" si="27"/>
        <v>4</v>
      </c>
      <c r="D1790" s="188" t="b">
        <f>LineærRegression_Valg[[#This Row],[Afhængig variabel ID]]&lt;&gt;LineærRegression_Valg[[#This Row],[Uafhængig variabel ID]]</f>
        <v>1</v>
      </c>
      <c r="E1790" s="188" t="b">
        <f>LineærRegression_Valg[[#This Row],[Afhængig variabel ID]]&lt;=$B$5</f>
        <v>0</v>
      </c>
      <c r="F1790" t="str" cm="1">
        <f t="array" ref="F1790">IF(LineærRegression_Valg[[#This Row],[Indenfor range]],INDEX(DataTitel_liste,LineærRegression_Valg[[#This Row],[Afhængig variabel ID]]),INDEX(DataTitel_liste,1))</f>
        <v>Eksempel 1 (interval)</v>
      </c>
      <c r="G1790" s="188" t="str" cm="1">
        <f t="array" ref="G1790">IF(LineærRegression_Valg[[#This Row],[Indenfor range]],IF(LineærRegression_Valg[[#This Row],[Intet overlap]],INDEX(DataTitel_liste,LineærRegression_Valg[[#This Row],[Uafhængig variabel ID]]),INDEX(DataTitel_liste,IF(LineærRegression_Valg[[#This Row],[Afhængig variabel ID]]=1,2,1))),$B$7)</f>
        <v>Eksempel 2 (interval)</v>
      </c>
      <c r="H1790" s="188">
        <f>_xlfn.AGGREGATE(2,5,LineærRegression_Valg[[#This Row],[Tabel ID]])</f>
        <v>1</v>
      </c>
    </row>
    <row r="1791" spans="1:8" x14ac:dyDescent="0.2">
      <c r="A1791">
        <f>ROW(LineærRegression_Valg[[#This Row],[Tabel ID]])-ROW(LineærRegression_Valg[[#Headers],[Tabel ID]])</f>
        <v>1781</v>
      </c>
      <c r="B1791" s="188">
        <f>ROUNDDOWN((LineærRegression_Valg[[#This Row],[Tabel ID]]-1)/$B$5,0)+1</f>
        <v>446</v>
      </c>
      <c r="C1791" s="188">
        <f t="shared" si="27"/>
        <v>1</v>
      </c>
      <c r="D1791" s="188" t="b">
        <f>LineærRegression_Valg[[#This Row],[Afhængig variabel ID]]&lt;&gt;LineærRegression_Valg[[#This Row],[Uafhængig variabel ID]]</f>
        <v>1</v>
      </c>
      <c r="E1791" s="188" t="b">
        <f>LineærRegression_Valg[[#This Row],[Afhængig variabel ID]]&lt;=$B$5</f>
        <v>0</v>
      </c>
      <c r="F1791" t="str" cm="1">
        <f t="array" ref="F1791">IF(LineærRegression_Valg[[#This Row],[Indenfor range]],INDEX(DataTitel_liste,LineærRegression_Valg[[#This Row],[Afhængig variabel ID]]),INDEX(DataTitel_liste,1))</f>
        <v>Eksempel 1 (interval)</v>
      </c>
      <c r="G1791" s="188" t="str" cm="1">
        <f t="array" ref="G1791">IF(LineærRegression_Valg[[#This Row],[Indenfor range]],IF(LineærRegression_Valg[[#This Row],[Intet overlap]],INDEX(DataTitel_liste,LineærRegression_Valg[[#This Row],[Uafhængig variabel ID]]),INDEX(DataTitel_liste,IF(LineærRegression_Valg[[#This Row],[Afhængig variabel ID]]=1,2,1))),$B$7)</f>
        <v>Eksempel 2 (interval)</v>
      </c>
      <c r="H1791" s="188">
        <f>_xlfn.AGGREGATE(2,5,LineærRegression_Valg[[#This Row],[Tabel ID]])</f>
        <v>1</v>
      </c>
    </row>
    <row r="1792" spans="1:8" x14ac:dyDescent="0.2">
      <c r="A1792">
        <f>ROW(LineærRegression_Valg[[#This Row],[Tabel ID]])-ROW(LineærRegression_Valg[[#Headers],[Tabel ID]])</f>
        <v>1782</v>
      </c>
      <c r="B1792" s="188">
        <f>ROUNDDOWN((LineærRegression_Valg[[#This Row],[Tabel ID]]-1)/$B$5,0)+1</f>
        <v>446</v>
      </c>
      <c r="C1792" s="188">
        <f t="shared" si="27"/>
        <v>2</v>
      </c>
      <c r="D1792" s="188" t="b">
        <f>LineærRegression_Valg[[#This Row],[Afhængig variabel ID]]&lt;&gt;LineærRegression_Valg[[#This Row],[Uafhængig variabel ID]]</f>
        <v>1</v>
      </c>
      <c r="E1792" s="188" t="b">
        <f>LineærRegression_Valg[[#This Row],[Afhængig variabel ID]]&lt;=$B$5</f>
        <v>0</v>
      </c>
      <c r="F1792" t="str" cm="1">
        <f t="array" ref="F1792">IF(LineærRegression_Valg[[#This Row],[Indenfor range]],INDEX(DataTitel_liste,LineærRegression_Valg[[#This Row],[Afhængig variabel ID]]),INDEX(DataTitel_liste,1))</f>
        <v>Eksempel 1 (interval)</v>
      </c>
      <c r="G1792" s="188" t="str" cm="1">
        <f t="array" ref="G1792">IF(LineærRegression_Valg[[#This Row],[Indenfor range]],IF(LineærRegression_Valg[[#This Row],[Intet overlap]],INDEX(DataTitel_liste,LineærRegression_Valg[[#This Row],[Uafhængig variabel ID]]),INDEX(DataTitel_liste,IF(LineærRegression_Valg[[#This Row],[Afhængig variabel ID]]=1,2,1))),$B$7)</f>
        <v>Eksempel 2 (interval)</v>
      </c>
      <c r="H1792" s="188">
        <f>_xlfn.AGGREGATE(2,5,LineærRegression_Valg[[#This Row],[Tabel ID]])</f>
        <v>1</v>
      </c>
    </row>
    <row r="1793" spans="1:8" x14ac:dyDescent="0.2">
      <c r="A1793">
        <f>ROW(LineærRegression_Valg[[#This Row],[Tabel ID]])-ROW(LineærRegression_Valg[[#Headers],[Tabel ID]])</f>
        <v>1783</v>
      </c>
      <c r="B1793" s="188">
        <f>ROUNDDOWN((LineærRegression_Valg[[#This Row],[Tabel ID]]-1)/$B$5,0)+1</f>
        <v>446</v>
      </c>
      <c r="C1793" s="188">
        <f t="shared" si="27"/>
        <v>3</v>
      </c>
      <c r="D1793" s="188" t="b">
        <f>LineærRegression_Valg[[#This Row],[Afhængig variabel ID]]&lt;&gt;LineærRegression_Valg[[#This Row],[Uafhængig variabel ID]]</f>
        <v>1</v>
      </c>
      <c r="E1793" s="188" t="b">
        <f>LineærRegression_Valg[[#This Row],[Afhængig variabel ID]]&lt;=$B$5</f>
        <v>0</v>
      </c>
      <c r="F1793" t="str" cm="1">
        <f t="array" ref="F1793">IF(LineærRegression_Valg[[#This Row],[Indenfor range]],INDEX(DataTitel_liste,LineærRegression_Valg[[#This Row],[Afhængig variabel ID]]),INDEX(DataTitel_liste,1))</f>
        <v>Eksempel 1 (interval)</v>
      </c>
      <c r="G1793" s="188" t="str" cm="1">
        <f t="array" ref="G1793">IF(LineærRegression_Valg[[#This Row],[Indenfor range]],IF(LineærRegression_Valg[[#This Row],[Intet overlap]],INDEX(DataTitel_liste,LineærRegression_Valg[[#This Row],[Uafhængig variabel ID]]),INDEX(DataTitel_liste,IF(LineærRegression_Valg[[#This Row],[Afhængig variabel ID]]=1,2,1))),$B$7)</f>
        <v>Eksempel 2 (interval)</v>
      </c>
      <c r="H1793" s="188">
        <f>_xlfn.AGGREGATE(2,5,LineærRegression_Valg[[#This Row],[Tabel ID]])</f>
        <v>1</v>
      </c>
    </row>
    <row r="1794" spans="1:8" x14ac:dyDescent="0.2">
      <c r="A1794">
        <f>ROW(LineærRegression_Valg[[#This Row],[Tabel ID]])-ROW(LineærRegression_Valg[[#Headers],[Tabel ID]])</f>
        <v>1784</v>
      </c>
      <c r="B1794" s="188">
        <f>ROUNDDOWN((LineærRegression_Valg[[#This Row],[Tabel ID]]-1)/$B$5,0)+1</f>
        <v>446</v>
      </c>
      <c r="C1794" s="188">
        <f t="shared" si="27"/>
        <v>4</v>
      </c>
      <c r="D1794" s="188" t="b">
        <f>LineærRegression_Valg[[#This Row],[Afhængig variabel ID]]&lt;&gt;LineærRegression_Valg[[#This Row],[Uafhængig variabel ID]]</f>
        <v>1</v>
      </c>
      <c r="E1794" s="188" t="b">
        <f>LineærRegression_Valg[[#This Row],[Afhængig variabel ID]]&lt;=$B$5</f>
        <v>0</v>
      </c>
      <c r="F1794" t="str" cm="1">
        <f t="array" ref="F1794">IF(LineærRegression_Valg[[#This Row],[Indenfor range]],INDEX(DataTitel_liste,LineærRegression_Valg[[#This Row],[Afhængig variabel ID]]),INDEX(DataTitel_liste,1))</f>
        <v>Eksempel 1 (interval)</v>
      </c>
      <c r="G1794" s="188" t="str" cm="1">
        <f t="array" ref="G1794">IF(LineærRegression_Valg[[#This Row],[Indenfor range]],IF(LineærRegression_Valg[[#This Row],[Intet overlap]],INDEX(DataTitel_liste,LineærRegression_Valg[[#This Row],[Uafhængig variabel ID]]),INDEX(DataTitel_liste,IF(LineærRegression_Valg[[#This Row],[Afhængig variabel ID]]=1,2,1))),$B$7)</f>
        <v>Eksempel 2 (interval)</v>
      </c>
      <c r="H1794" s="188">
        <f>_xlfn.AGGREGATE(2,5,LineærRegression_Valg[[#This Row],[Tabel ID]])</f>
        <v>1</v>
      </c>
    </row>
    <row r="1795" spans="1:8" x14ac:dyDescent="0.2">
      <c r="A1795">
        <f>ROW(LineærRegression_Valg[[#This Row],[Tabel ID]])-ROW(LineærRegression_Valg[[#Headers],[Tabel ID]])</f>
        <v>1785</v>
      </c>
      <c r="B1795" s="188">
        <f>ROUNDDOWN((LineærRegression_Valg[[#This Row],[Tabel ID]]-1)/$B$5,0)+1</f>
        <v>447</v>
      </c>
      <c r="C1795" s="188">
        <f t="shared" si="27"/>
        <v>1</v>
      </c>
      <c r="D1795" s="188" t="b">
        <f>LineærRegression_Valg[[#This Row],[Afhængig variabel ID]]&lt;&gt;LineærRegression_Valg[[#This Row],[Uafhængig variabel ID]]</f>
        <v>1</v>
      </c>
      <c r="E1795" s="188" t="b">
        <f>LineærRegression_Valg[[#This Row],[Afhængig variabel ID]]&lt;=$B$5</f>
        <v>0</v>
      </c>
      <c r="F1795" t="str" cm="1">
        <f t="array" ref="F1795">IF(LineærRegression_Valg[[#This Row],[Indenfor range]],INDEX(DataTitel_liste,LineærRegression_Valg[[#This Row],[Afhængig variabel ID]]),INDEX(DataTitel_liste,1))</f>
        <v>Eksempel 1 (interval)</v>
      </c>
      <c r="G1795" s="188" t="str" cm="1">
        <f t="array" ref="G1795">IF(LineærRegression_Valg[[#This Row],[Indenfor range]],IF(LineærRegression_Valg[[#This Row],[Intet overlap]],INDEX(DataTitel_liste,LineærRegression_Valg[[#This Row],[Uafhængig variabel ID]]),INDEX(DataTitel_liste,IF(LineærRegression_Valg[[#This Row],[Afhængig variabel ID]]=1,2,1))),$B$7)</f>
        <v>Eksempel 2 (interval)</v>
      </c>
      <c r="H1795" s="188">
        <f>_xlfn.AGGREGATE(2,5,LineærRegression_Valg[[#This Row],[Tabel ID]])</f>
        <v>1</v>
      </c>
    </row>
    <row r="1796" spans="1:8" x14ac:dyDescent="0.2">
      <c r="A1796">
        <f>ROW(LineærRegression_Valg[[#This Row],[Tabel ID]])-ROW(LineærRegression_Valg[[#Headers],[Tabel ID]])</f>
        <v>1786</v>
      </c>
      <c r="B1796" s="188">
        <f>ROUNDDOWN((LineærRegression_Valg[[#This Row],[Tabel ID]]-1)/$B$5,0)+1</f>
        <v>447</v>
      </c>
      <c r="C1796" s="188">
        <f t="shared" si="27"/>
        <v>2</v>
      </c>
      <c r="D1796" s="188" t="b">
        <f>LineærRegression_Valg[[#This Row],[Afhængig variabel ID]]&lt;&gt;LineærRegression_Valg[[#This Row],[Uafhængig variabel ID]]</f>
        <v>1</v>
      </c>
      <c r="E1796" s="188" t="b">
        <f>LineærRegression_Valg[[#This Row],[Afhængig variabel ID]]&lt;=$B$5</f>
        <v>0</v>
      </c>
      <c r="F1796" t="str" cm="1">
        <f t="array" ref="F1796">IF(LineærRegression_Valg[[#This Row],[Indenfor range]],INDEX(DataTitel_liste,LineærRegression_Valg[[#This Row],[Afhængig variabel ID]]),INDEX(DataTitel_liste,1))</f>
        <v>Eksempel 1 (interval)</v>
      </c>
      <c r="G1796" s="188" t="str" cm="1">
        <f t="array" ref="G1796">IF(LineærRegression_Valg[[#This Row],[Indenfor range]],IF(LineærRegression_Valg[[#This Row],[Intet overlap]],INDEX(DataTitel_liste,LineærRegression_Valg[[#This Row],[Uafhængig variabel ID]]),INDEX(DataTitel_liste,IF(LineærRegression_Valg[[#This Row],[Afhængig variabel ID]]=1,2,1))),$B$7)</f>
        <v>Eksempel 2 (interval)</v>
      </c>
      <c r="H1796" s="188">
        <f>_xlfn.AGGREGATE(2,5,LineærRegression_Valg[[#This Row],[Tabel ID]])</f>
        <v>1</v>
      </c>
    </row>
    <row r="1797" spans="1:8" x14ac:dyDescent="0.2">
      <c r="A1797">
        <f>ROW(LineærRegression_Valg[[#This Row],[Tabel ID]])-ROW(LineærRegression_Valg[[#Headers],[Tabel ID]])</f>
        <v>1787</v>
      </c>
      <c r="B1797" s="188">
        <f>ROUNDDOWN((LineærRegression_Valg[[#This Row],[Tabel ID]]-1)/$B$5,0)+1</f>
        <v>447</v>
      </c>
      <c r="C1797" s="188">
        <f t="shared" si="27"/>
        <v>3</v>
      </c>
      <c r="D1797" s="188" t="b">
        <f>LineærRegression_Valg[[#This Row],[Afhængig variabel ID]]&lt;&gt;LineærRegression_Valg[[#This Row],[Uafhængig variabel ID]]</f>
        <v>1</v>
      </c>
      <c r="E1797" s="188" t="b">
        <f>LineærRegression_Valg[[#This Row],[Afhængig variabel ID]]&lt;=$B$5</f>
        <v>0</v>
      </c>
      <c r="F1797" t="str" cm="1">
        <f t="array" ref="F1797">IF(LineærRegression_Valg[[#This Row],[Indenfor range]],INDEX(DataTitel_liste,LineærRegression_Valg[[#This Row],[Afhængig variabel ID]]),INDEX(DataTitel_liste,1))</f>
        <v>Eksempel 1 (interval)</v>
      </c>
      <c r="G1797" s="188" t="str" cm="1">
        <f t="array" ref="G1797">IF(LineærRegression_Valg[[#This Row],[Indenfor range]],IF(LineærRegression_Valg[[#This Row],[Intet overlap]],INDEX(DataTitel_liste,LineærRegression_Valg[[#This Row],[Uafhængig variabel ID]]),INDEX(DataTitel_liste,IF(LineærRegression_Valg[[#This Row],[Afhængig variabel ID]]=1,2,1))),$B$7)</f>
        <v>Eksempel 2 (interval)</v>
      </c>
      <c r="H1797" s="188">
        <f>_xlfn.AGGREGATE(2,5,LineærRegression_Valg[[#This Row],[Tabel ID]])</f>
        <v>1</v>
      </c>
    </row>
    <row r="1798" spans="1:8" x14ac:dyDescent="0.2">
      <c r="A1798">
        <f>ROW(LineærRegression_Valg[[#This Row],[Tabel ID]])-ROW(LineærRegression_Valg[[#Headers],[Tabel ID]])</f>
        <v>1788</v>
      </c>
      <c r="B1798" s="188">
        <f>ROUNDDOWN((LineærRegression_Valg[[#This Row],[Tabel ID]]-1)/$B$5,0)+1</f>
        <v>447</v>
      </c>
      <c r="C1798" s="188">
        <f t="shared" si="27"/>
        <v>4</v>
      </c>
      <c r="D1798" s="188" t="b">
        <f>LineærRegression_Valg[[#This Row],[Afhængig variabel ID]]&lt;&gt;LineærRegression_Valg[[#This Row],[Uafhængig variabel ID]]</f>
        <v>1</v>
      </c>
      <c r="E1798" s="188" t="b">
        <f>LineærRegression_Valg[[#This Row],[Afhængig variabel ID]]&lt;=$B$5</f>
        <v>0</v>
      </c>
      <c r="F1798" t="str" cm="1">
        <f t="array" ref="F1798">IF(LineærRegression_Valg[[#This Row],[Indenfor range]],INDEX(DataTitel_liste,LineærRegression_Valg[[#This Row],[Afhængig variabel ID]]),INDEX(DataTitel_liste,1))</f>
        <v>Eksempel 1 (interval)</v>
      </c>
      <c r="G1798" s="188" t="str" cm="1">
        <f t="array" ref="G1798">IF(LineærRegression_Valg[[#This Row],[Indenfor range]],IF(LineærRegression_Valg[[#This Row],[Intet overlap]],INDEX(DataTitel_liste,LineærRegression_Valg[[#This Row],[Uafhængig variabel ID]]),INDEX(DataTitel_liste,IF(LineærRegression_Valg[[#This Row],[Afhængig variabel ID]]=1,2,1))),$B$7)</f>
        <v>Eksempel 2 (interval)</v>
      </c>
      <c r="H1798" s="188">
        <f>_xlfn.AGGREGATE(2,5,LineærRegression_Valg[[#This Row],[Tabel ID]])</f>
        <v>1</v>
      </c>
    </row>
    <row r="1799" spans="1:8" x14ac:dyDescent="0.2">
      <c r="A1799">
        <f>ROW(LineærRegression_Valg[[#This Row],[Tabel ID]])-ROW(LineærRegression_Valg[[#Headers],[Tabel ID]])</f>
        <v>1789</v>
      </c>
      <c r="B1799" s="188">
        <f>ROUNDDOWN((LineærRegression_Valg[[#This Row],[Tabel ID]]-1)/$B$5,0)+1</f>
        <v>448</v>
      </c>
      <c r="C1799" s="188">
        <f t="shared" si="27"/>
        <v>1</v>
      </c>
      <c r="D1799" s="188" t="b">
        <f>LineærRegression_Valg[[#This Row],[Afhængig variabel ID]]&lt;&gt;LineærRegression_Valg[[#This Row],[Uafhængig variabel ID]]</f>
        <v>1</v>
      </c>
      <c r="E1799" s="188" t="b">
        <f>LineærRegression_Valg[[#This Row],[Afhængig variabel ID]]&lt;=$B$5</f>
        <v>0</v>
      </c>
      <c r="F1799" t="str" cm="1">
        <f t="array" ref="F1799">IF(LineærRegression_Valg[[#This Row],[Indenfor range]],INDEX(DataTitel_liste,LineærRegression_Valg[[#This Row],[Afhængig variabel ID]]),INDEX(DataTitel_liste,1))</f>
        <v>Eksempel 1 (interval)</v>
      </c>
      <c r="G1799" s="188" t="str" cm="1">
        <f t="array" ref="G1799">IF(LineærRegression_Valg[[#This Row],[Indenfor range]],IF(LineærRegression_Valg[[#This Row],[Intet overlap]],INDEX(DataTitel_liste,LineærRegression_Valg[[#This Row],[Uafhængig variabel ID]]),INDEX(DataTitel_liste,IF(LineærRegression_Valg[[#This Row],[Afhængig variabel ID]]=1,2,1))),$B$7)</f>
        <v>Eksempel 2 (interval)</v>
      </c>
      <c r="H1799" s="188">
        <f>_xlfn.AGGREGATE(2,5,LineærRegression_Valg[[#This Row],[Tabel ID]])</f>
        <v>1</v>
      </c>
    </row>
    <row r="1800" spans="1:8" x14ac:dyDescent="0.2">
      <c r="A1800">
        <f>ROW(LineærRegression_Valg[[#This Row],[Tabel ID]])-ROW(LineærRegression_Valg[[#Headers],[Tabel ID]])</f>
        <v>1790</v>
      </c>
      <c r="B1800" s="188">
        <f>ROUNDDOWN((LineærRegression_Valg[[#This Row],[Tabel ID]]-1)/$B$5,0)+1</f>
        <v>448</v>
      </c>
      <c r="C1800" s="188">
        <f t="shared" si="27"/>
        <v>2</v>
      </c>
      <c r="D1800" s="188" t="b">
        <f>LineærRegression_Valg[[#This Row],[Afhængig variabel ID]]&lt;&gt;LineærRegression_Valg[[#This Row],[Uafhængig variabel ID]]</f>
        <v>1</v>
      </c>
      <c r="E1800" s="188" t="b">
        <f>LineærRegression_Valg[[#This Row],[Afhængig variabel ID]]&lt;=$B$5</f>
        <v>0</v>
      </c>
      <c r="F1800" t="str" cm="1">
        <f t="array" ref="F1800">IF(LineærRegression_Valg[[#This Row],[Indenfor range]],INDEX(DataTitel_liste,LineærRegression_Valg[[#This Row],[Afhængig variabel ID]]),INDEX(DataTitel_liste,1))</f>
        <v>Eksempel 1 (interval)</v>
      </c>
      <c r="G1800" s="188" t="str" cm="1">
        <f t="array" ref="G1800">IF(LineærRegression_Valg[[#This Row],[Indenfor range]],IF(LineærRegression_Valg[[#This Row],[Intet overlap]],INDEX(DataTitel_liste,LineærRegression_Valg[[#This Row],[Uafhængig variabel ID]]),INDEX(DataTitel_liste,IF(LineærRegression_Valg[[#This Row],[Afhængig variabel ID]]=1,2,1))),$B$7)</f>
        <v>Eksempel 2 (interval)</v>
      </c>
      <c r="H1800" s="188">
        <f>_xlfn.AGGREGATE(2,5,LineærRegression_Valg[[#This Row],[Tabel ID]])</f>
        <v>1</v>
      </c>
    </row>
    <row r="1801" spans="1:8" x14ac:dyDescent="0.2">
      <c r="A1801">
        <f>ROW(LineærRegression_Valg[[#This Row],[Tabel ID]])-ROW(LineærRegression_Valg[[#Headers],[Tabel ID]])</f>
        <v>1791</v>
      </c>
      <c r="B1801" s="188">
        <f>ROUNDDOWN((LineærRegression_Valg[[#This Row],[Tabel ID]]-1)/$B$5,0)+1</f>
        <v>448</v>
      </c>
      <c r="C1801" s="188">
        <f t="shared" si="27"/>
        <v>3</v>
      </c>
      <c r="D1801" s="188" t="b">
        <f>LineærRegression_Valg[[#This Row],[Afhængig variabel ID]]&lt;&gt;LineærRegression_Valg[[#This Row],[Uafhængig variabel ID]]</f>
        <v>1</v>
      </c>
      <c r="E1801" s="188" t="b">
        <f>LineærRegression_Valg[[#This Row],[Afhængig variabel ID]]&lt;=$B$5</f>
        <v>0</v>
      </c>
      <c r="F1801" t="str" cm="1">
        <f t="array" ref="F1801">IF(LineærRegression_Valg[[#This Row],[Indenfor range]],INDEX(DataTitel_liste,LineærRegression_Valg[[#This Row],[Afhængig variabel ID]]),INDEX(DataTitel_liste,1))</f>
        <v>Eksempel 1 (interval)</v>
      </c>
      <c r="G1801" s="188" t="str" cm="1">
        <f t="array" ref="G1801">IF(LineærRegression_Valg[[#This Row],[Indenfor range]],IF(LineærRegression_Valg[[#This Row],[Intet overlap]],INDEX(DataTitel_liste,LineærRegression_Valg[[#This Row],[Uafhængig variabel ID]]),INDEX(DataTitel_liste,IF(LineærRegression_Valg[[#This Row],[Afhængig variabel ID]]=1,2,1))),$B$7)</f>
        <v>Eksempel 2 (interval)</v>
      </c>
      <c r="H1801" s="188">
        <f>_xlfn.AGGREGATE(2,5,LineærRegression_Valg[[#This Row],[Tabel ID]])</f>
        <v>1</v>
      </c>
    </row>
    <row r="1802" spans="1:8" x14ac:dyDescent="0.2">
      <c r="A1802">
        <f>ROW(LineærRegression_Valg[[#This Row],[Tabel ID]])-ROW(LineærRegression_Valg[[#Headers],[Tabel ID]])</f>
        <v>1792</v>
      </c>
      <c r="B1802" s="188">
        <f>ROUNDDOWN((LineærRegression_Valg[[#This Row],[Tabel ID]]-1)/$B$5,0)+1</f>
        <v>448</v>
      </c>
      <c r="C1802" s="188">
        <f t="shared" si="27"/>
        <v>4</v>
      </c>
      <c r="D1802" s="188" t="b">
        <f>LineærRegression_Valg[[#This Row],[Afhængig variabel ID]]&lt;&gt;LineærRegression_Valg[[#This Row],[Uafhængig variabel ID]]</f>
        <v>1</v>
      </c>
      <c r="E1802" s="188" t="b">
        <f>LineærRegression_Valg[[#This Row],[Afhængig variabel ID]]&lt;=$B$5</f>
        <v>0</v>
      </c>
      <c r="F1802" t="str" cm="1">
        <f t="array" ref="F1802">IF(LineærRegression_Valg[[#This Row],[Indenfor range]],INDEX(DataTitel_liste,LineærRegression_Valg[[#This Row],[Afhængig variabel ID]]),INDEX(DataTitel_liste,1))</f>
        <v>Eksempel 1 (interval)</v>
      </c>
      <c r="G1802" s="188" t="str" cm="1">
        <f t="array" ref="G1802">IF(LineærRegression_Valg[[#This Row],[Indenfor range]],IF(LineærRegression_Valg[[#This Row],[Intet overlap]],INDEX(DataTitel_liste,LineærRegression_Valg[[#This Row],[Uafhængig variabel ID]]),INDEX(DataTitel_liste,IF(LineærRegression_Valg[[#This Row],[Afhængig variabel ID]]=1,2,1))),$B$7)</f>
        <v>Eksempel 2 (interval)</v>
      </c>
      <c r="H1802" s="188">
        <f>_xlfn.AGGREGATE(2,5,LineærRegression_Valg[[#This Row],[Tabel ID]])</f>
        <v>1</v>
      </c>
    </row>
    <row r="1803" spans="1:8" x14ac:dyDescent="0.2">
      <c r="A1803">
        <f>ROW(LineærRegression_Valg[[#This Row],[Tabel ID]])-ROW(LineærRegression_Valg[[#Headers],[Tabel ID]])</f>
        <v>1793</v>
      </c>
      <c r="B1803" s="188">
        <f>ROUNDDOWN((LineærRegression_Valg[[#This Row],[Tabel ID]]-1)/$B$5,0)+1</f>
        <v>449</v>
      </c>
      <c r="C1803" s="188">
        <f t="shared" ref="C1803:C1866" si="28">MOD(A1803-1,$B$5)+1</f>
        <v>1</v>
      </c>
      <c r="D1803" s="188" t="b">
        <f>LineærRegression_Valg[[#This Row],[Afhængig variabel ID]]&lt;&gt;LineærRegression_Valg[[#This Row],[Uafhængig variabel ID]]</f>
        <v>1</v>
      </c>
      <c r="E1803" s="188" t="b">
        <f>LineærRegression_Valg[[#This Row],[Afhængig variabel ID]]&lt;=$B$5</f>
        <v>0</v>
      </c>
      <c r="F1803" t="str" cm="1">
        <f t="array" ref="F1803">IF(LineærRegression_Valg[[#This Row],[Indenfor range]],INDEX(DataTitel_liste,LineærRegression_Valg[[#This Row],[Afhængig variabel ID]]),INDEX(DataTitel_liste,1))</f>
        <v>Eksempel 1 (interval)</v>
      </c>
      <c r="G1803" s="188" t="str" cm="1">
        <f t="array" ref="G1803">IF(LineærRegression_Valg[[#This Row],[Indenfor range]],IF(LineærRegression_Valg[[#This Row],[Intet overlap]],INDEX(DataTitel_liste,LineærRegression_Valg[[#This Row],[Uafhængig variabel ID]]),INDEX(DataTitel_liste,IF(LineærRegression_Valg[[#This Row],[Afhængig variabel ID]]=1,2,1))),$B$7)</f>
        <v>Eksempel 2 (interval)</v>
      </c>
      <c r="H1803" s="188">
        <f>_xlfn.AGGREGATE(2,5,LineærRegression_Valg[[#This Row],[Tabel ID]])</f>
        <v>1</v>
      </c>
    </row>
    <row r="1804" spans="1:8" x14ac:dyDescent="0.2">
      <c r="A1804">
        <f>ROW(LineærRegression_Valg[[#This Row],[Tabel ID]])-ROW(LineærRegression_Valg[[#Headers],[Tabel ID]])</f>
        <v>1794</v>
      </c>
      <c r="B1804" s="188">
        <f>ROUNDDOWN((LineærRegression_Valg[[#This Row],[Tabel ID]]-1)/$B$5,0)+1</f>
        <v>449</v>
      </c>
      <c r="C1804" s="188">
        <f t="shared" si="28"/>
        <v>2</v>
      </c>
      <c r="D1804" s="188" t="b">
        <f>LineærRegression_Valg[[#This Row],[Afhængig variabel ID]]&lt;&gt;LineærRegression_Valg[[#This Row],[Uafhængig variabel ID]]</f>
        <v>1</v>
      </c>
      <c r="E1804" s="188" t="b">
        <f>LineærRegression_Valg[[#This Row],[Afhængig variabel ID]]&lt;=$B$5</f>
        <v>0</v>
      </c>
      <c r="F1804" t="str" cm="1">
        <f t="array" ref="F1804">IF(LineærRegression_Valg[[#This Row],[Indenfor range]],INDEX(DataTitel_liste,LineærRegression_Valg[[#This Row],[Afhængig variabel ID]]),INDEX(DataTitel_liste,1))</f>
        <v>Eksempel 1 (interval)</v>
      </c>
      <c r="G1804" s="188" t="str" cm="1">
        <f t="array" ref="G1804">IF(LineærRegression_Valg[[#This Row],[Indenfor range]],IF(LineærRegression_Valg[[#This Row],[Intet overlap]],INDEX(DataTitel_liste,LineærRegression_Valg[[#This Row],[Uafhængig variabel ID]]),INDEX(DataTitel_liste,IF(LineærRegression_Valg[[#This Row],[Afhængig variabel ID]]=1,2,1))),$B$7)</f>
        <v>Eksempel 2 (interval)</v>
      </c>
      <c r="H1804" s="188">
        <f>_xlfn.AGGREGATE(2,5,LineærRegression_Valg[[#This Row],[Tabel ID]])</f>
        <v>1</v>
      </c>
    </row>
    <row r="1805" spans="1:8" x14ac:dyDescent="0.2">
      <c r="A1805">
        <f>ROW(LineærRegression_Valg[[#This Row],[Tabel ID]])-ROW(LineærRegression_Valg[[#Headers],[Tabel ID]])</f>
        <v>1795</v>
      </c>
      <c r="B1805" s="188">
        <f>ROUNDDOWN((LineærRegression_Valg[[#This Row],[Tabel ID]]-1)/$B$5,0)+1</f>
        <v>449</v>
      </c>
      <c r="C1805" s="188">
        <f t="shared" si="28"/>
        <v>3</v>
      </c>
      <c r="D1805" s="188" t="b">
        <f>LineærRegression_Valg[[#This Row],[Afhængig variabel ID]]&lt;&gt;LineærRegression_Valg[[#This Row],[Uafhængig variabel ID]]</f>
        <v>1</v>
      </c>
      <c r="E1805" s="188" t="b">
        <f>LineærRegression_Valg[[#This Row],[Afhængig variabel ID]]&lt;=$B$5</f>
        <v>0</v>
      </c>
      <c r="F1805" t="str" cm="1">
        <f t="array" ref="F1805">IF(LineærRegression_Valg[[#This Row],[Indenfor range]],INDEX(DataTitel_liste,LineærRegression_Valg[[#This Row],[Afhængig variabel ID]]),INDEX(DataTitel_liste,1))</f>
        <v>Eksempel 1 (interval)</v>
      </c>
      <c r="G1805" s="188" t="str" cm="1">
        <f t="array" ref="G1805">IF(LineærRegression_Valg[[#This Row],[Indenfor range]],IF(LineærRegression_Valg[[#This Row],[Intet overlap]],INDEX(DataTitel_liste,LineærRegression_Valg[[#This Row],[Uafhængig variabel ID]]),INDEX(DataTitel_liste,IF(LineærRegression_Valg[[#This Row],[Afhængig variabel ID]]=1,2,1))),$B$7)</f>
        <v>Eksempel 2 (interval)</v>
      </c>
      <c r="H1805" s="188">
        <f>_xlfn.AGGREGATE(2,5,LineærRegression_Valg[[#This Row],[Tabel ID]])</f>
        <v>1</v>
      </c>
    </row>
    <row r="1806" spans="1:8" x14ac:dyDescent="0.2">
      <c r="A1806">
        <f>ROW(LineærRegression_Valg[[#This Row],[Tabel ID]])-ROW(LineærRegression_Valg[[#Headers],[Tabel ID]])</f>
        <v>1796</v>
      </c>
      <c r="B1806" s="188">
        <f>ROUNDDOWN((LineærRegression_Valg[[#This Row],[Tabel ID]]-1)/$B$5,0)+1</f>
        <v>449</v>
      </c>
      <c r="C1806" s="188">
        <f t="shared" si="28"/>
        <v>4</v>
      </c>
      <c r="D1806" s="188" t="b">
        <f>LineærRegression_Valg[[#This Row],[Afhængig variabel ID]]&lt;&gt;LineærRegression_Valg[[#This Row],[Uafhængig variabel ID]]</f>
        <v>1</v>
      </c>
      <c r="E1806" s="188" t="b">
        <f>LineærRegression_Valg[[#This Row],[Afhængig variabel ID]]&lt;=$B$5</f>
        <v>0</v>
      </c>
      <c r="F1806" t="str" cm="1">
        <f t="array" ref="F1806">IF(LineærRegression_Valg[[#This Row],[Indenfor range]],INDEX(DataTitel_liste,LineærRegression_Valg[[#This Row],[Afhængig variabel ID]]),INDEX(DataTitel_liste,1))</f>
        <v>Eksempel 1 (interval)</v>
      </c>
      <c r="G1806" s="188" t="str" cm="1">
        <f t="array" ref="G1806">IF(LineærRegression_Valg[[#This Row],[Indenfor range]],IF(LineærRegression_Valg[[#This Row],[Intet overlap]],INDEX(DataTitel_liste,LineærRegression_Valg[[#This Row],[Uafhængig variabel ID]]),INDEX(DataTitel_liste,IF(LineærRegression_Valg[[#This Row],[Afhængig variabel ID]]=1,2,1))),$B$7)</f>
        <v>Eksempel 2 (interval)</v>
      </c>
      <c r="H1806" s="188">
        <f>_xlfn.AGGREGATE(2,5,LineærRegression_Valg[[#This Row],[Tabel ID]])</f>
        <v>1</v>
      </c>
    </row>
    <row r="1807" spans="1:8" x14ac:dyDescent="0.2">
      <c r="A1807">
        <f>ROW(LineærRegression_Valg[[#This Row],[Tabel ID]])-ROW(LineærRegression_Valg[[#Headers],[Tabel ID]])</f>
        <v>1797</v>
      </c>
      <c r="B1807" s="188">
        <f>ROUNDDOWN((LineærRegression_Valg[[#This Row],[Tabel ID]]-1)/$B$5,0)+1</f>
        <v>450</v>
      </c>
      <c r="C1807" s="188">
        <f t="shared" si="28"/>
        <v>1</v>
      </c>
      <c r="D1807" s="188" t="b">
        <f>LineærRegression_Valg[[#This Row],[Afhængig variabel ID]]&lt;&gt;LineærRegression_Valg[[#This Row],[Uafhængig variabel ID]]</f>
        <v>1</v>
      </c>
      <c r="E1807" s="188" t="b">
        <f>LineærRegression_Valg[[#This Row],[Afhængig variabel ID]]&lt;=$B$5</f>
        <v>0</v>
      </c>
      <c r="F1807" t="str" cm="1">
        <f t="array" ref="F1807">IF(LineærRegression_Valg[[#This Row],[Indenfor range]],INDEX(DataTitel_liste,LineærRegression_Valg[[#This Row],[Afhængig variabel ID]]),INDEX(DataTitel_liste,1))</f>
        <v>Eksempel 1 (interval)</v>
      </c>
      <c r="G1807" s="188" t="str" cm="1">
        <f t="array" ref="G1807">IF(LineærRegression_Valg[[#This Row],[Indenfor range]],IF(LineærRegression_Valg[[#This Row],[Intet overlap]],INDEX(DataTitel_liste,LineærRegression_Valg[[#This Row],[Uafhængig variabel ID]]),INDEX(DataTitel_liste,IF(LineærRegression_Valg[[#This Row],[Afhængig variabel ID]]=1,2,1))),$B$7)</f>
        <v>Eksempel 2 (interval)</v>
      </c>
      <c r="H1807" s="188">
        <f>_xlfn.AGGREGATE(2,5,LineærRegression_Valg[[#This Row],[Tabel ID]])</f>
        <v>1</v>
      </c>
    </row>
    <row r="1808" spans="1:8" x14ac:dyDescent="0.2">
      <c r="A1808">
        <f>ROW(LineærRegression_Valg[[#This Row],[Tabel ID]])-ROW(LineærRegression_Valg[[#Headers],[Tabel ID]])</f>
        <v>1798</v>
      </c>
      <c r="B1808" s="188">
        <f>ROUNDDOWN((LineærRegression_Valg[[#This Row],[Tabel ID]]-1)/$B$5,0)+1</f>
        <v>450</v>
      </c>
      <c r="C1808" s="188">
        <f t="shared" si="28"/>
        <v>2</v>
      </c>
      <c r="D1808" s="188" t="b">
        <f>LineærRegression_Valg[[#This Row],[Afhængig variabel ID]]&lt;&gt;LineærRegression_Valg[[#This Row],[Uafhængig variabel ID]]</f>
        <v>1</v>
      </c>
      <c r="E1808" s="188" t="b">
        <f>LineærRegression_Valg[[#This Row],[Afhængig variabel ID]]&lt;=$B$5</f>
        <v>0</v>
      </c>
      <c r="F1808" t="str" cm="1">
        <f t="array" ref="F1808">IF(LineærRegression_Valg[[#This Row],[Indenfor range]],INDEX(DataTitel_liste,LineærRegression_Valg[[#This Row],[Afhængig variabel ID]]),INDEX(DataTitel_liste,1))</f>
        <v>Eksempel 1 (interval)</v>
      </c>
      <c r="G1808" s="188" t="str" cm="1">
        <f t="array" ref="G1808">IF(LineærRegression_Valg[[#This Row],[Indenfor range]],IF(LineærRegression_Valg[[#This Row],[Intet overlap]],INDEX(DataTitel_liste,LineærRegression_Valg[[#This Row],[Uafhængig variabel ID]]),INDEX(DataTitel_liste,IF(LineærRegression_Valg[[#This Row],[Afhængig variabel ID]]=1,2,1))),$B$7)</f>
        <v>Eksempel 2 (interval)</v>
      </c>
      <c r="H1808" s="188">
        <f>_xlfn.AGGREGATE(2,5,LineærRegression_Valg[[#This Row],[Tabel ID]])</f>
        <v>1</v>
      </c>
    </row>
    <row r="1809" spans="1:8" x14ac:dyDescent="0.2">
      <c r="A1809">
        <f>ROW(LineærRegression_Valg[[#This Row],[Tabel ID]])-ROW(LineærRegression_Valg[[#Headers],[Tabel ID]])</f>
        <v>1799</v>
      </c>
      <c r="B1809" s="188">
        <f>ROUNDDOWN((LineærRegression_Valg[[#This Row],[Tabel ID]]-1)/$B$5,0)+1</f>
        <v>450</v>
      </c>
      <c r="C1809" s="188">
        <f t="shared" si="28"/>
        <v>3</v>
      </c>
      <c r="D1809" s="188" t="b">
        <f>LineærRegression_Valg[[#This Row],[Afhængig variabel ID]]&lt;&gt;LineærRegression_Valg[[#This Row],[Uafhængig variabel ID]]</f>
        <v>1</v>
      </c>
      <c r="E1809" s="188" t="b">
        <f>LineærRegression_Valg[[#This Row],[Afhængig variabel ID]]&lt;=$B$5</f>
        <v>0</v>
      </c>
      <c r="F1809" t="str" cm="1">
        <f t="array" ref="F1809">IF(LineærRegression_Valg[[#This Row],[Indenfor range]],INDEX(DataTitel_liste,LineærRegression_Valg[[#This Row],[Afhængig variabel ID]]),INDEX(DataTitel_liste,1))</f>
        <v>Eksempel 1 (interval)</v>
      </c>
      <c r="G1809" s="188" t="str" cm="1">
        <f t="array" ref="G1809">IF(LineærRegression_Valg[[#This Row],[Indenfor range]],IF(LineærRegression_Valg[[#This Row],[Intet overlap]],INDEX(DataTitel_liste,LineærRegression_Valg[[#This Row],[Uafhængig variabel ID]]),INDEX(DataTitel_liste,IF(LineærRegression_Valg[[#This Row],[Afhængig variabel ID]]=1,2,1))),$B$7)</f>
        <v>Eksempel 2 (interval)</v>
      </c>
      <c r="H1809" s="188">
        <f>_xlfn.AGGREGATE(2,5,LineærRegression_Valg[[#This Row],[Tabel ID]])</f>
        <v>1</v>
      </c>
    </row>
    <row r="1810" spans="1:8" x14ac:dyDescent="0.2">
      <c r="A1810">
        <f>ROW(LineærRegression_Valg[[#This Row],[Tabel ID]])-ROW(LineærRegression_Valg[[#Headers],[Tabel ID]])</f>
        <v>1800</v>
      </c>
      <c r="B1810" s="188">
        <f>ROUNDDOWN((LineærRegression_Valg[[#This Row],[Tabel ID]]-1)/$B$5,0)+1</f>
        <v>450</v>
      </c>
      <c r="C1810" s="188">
        <f t="shared" si="28"/>
        <v>4</v>
      </c>
      <c r="D1810" s="188" t="b">
        <f>LineærRegression_Valg[[#This Row],[Afhængig variabel ID]]&lt;&gt;LineærRegression_Valg[[#This Row],[Uafhængig variabel ID]]</f>
        <v>1</v>
      </c>
      <c r="E1810" s="188" t="b">
        <f>LineærRegression_Valg[[#This Row],[Afhængig variabel ID]]&lt;=$B$5</f>
        <v>0</v>
      </c>
      <c r="F1810" t="str" cm="1">
        <f t="array" ref="F1810">IF(LineærRegression_Valg[[#This Row],[Indenfor range]],INDEX(DataTitel_liste,LineærRegression_Valg[[#This Row],[Afhængig variabel ID]]),INDEX(DataTitel_liste,1))</f>
        <v>Eksempel 1 (interval)</v>
      </c>
      <c r="G1810" s="188" t="str" cm="1">
        <f t="array" ref="G1810">IF(LineærRegression_Valg[[#This Row],[Indenfor range]],IF(LineærRegression_Valg[[#This Row],[Intet overlap]],INDEX(DataTitel_liste,LineærRegression_Valg[[#This Row],[Uafhængig variabel ID]]),INDEX(DataTitel_liste,IF(LineærRegression_Valg[[#This Row],[Afhængig variabel ID]]=1,2,1))),$B$7)</f>
        <v>Eksempel 2 (interval)</v>
      </c>
      <c r="H1810" s="188">
        <f>_xlfn.AGGREGATE(2,5,LineærRegression_Valg[[#This Row],[Tabel ID]])</f>
        <v>1</v>
      </c>
    </row>
    <row r="1811" spans="1:8" x14ac:dyDescent="0.2">
      <c r="A1811">
        <f>ROW(LineærRegression_Valg[[#This Row],[Tabel ID]])-ROW(LineærRegression_Valg[[#Headers],[Tabel ID]])</f>
        <v>1801</v>
      </c>
      <c r="B1811" s="188">
        <f>ROUNDDOWN((LineærRegression_Valg[[#This Row],[Tabel ID]]-1)/$B$5,0)+1</f>
        <v>451</v>
      </c>
      <c r="C1811" s="188">
        <f t="shared" si="28"/>
        <v>1</v>
      </c>
      <c r="D1811" s="188" t="b">
        <f>LineærRegression_Valg[[#This Row],[Afhængig variabel ID]]&lt;&gt;LineærRegression_Valg[[#This Row],[Uafhængig variabel ID]]</f>
        <v>1</v>
      </c>
      <c r="E1811" s="188" t="b">
        <f>LineærRegression_Valg[[#This Row],[Afhængig variabel ID]]&lt;=$B$5</f>
        <v>0</v>
      </c>
      <c r="F1811" t="str" cm="1">
        <f t="array" ref="F1811">IF(LineærRegression_Valg[[#This Row],[Indenfor range]],INDEX(DataTitel_liste,LineærRegression_Valg[[#This Row],[Afhængig variabel ID]]),INDEX(DataTitel_liste,1))</f>
        <v>Eksempel 1 (interval)</v>
      </c>
      <c r="G1811" s="188" t="str" cm="1">
        <f t="array" ref="G1811">IF(LineærRegression_Valg[[#This Row],[Indenfor range]],IF(LineærRegression_Valg[[#This Row],[Intet overlap]],INDEX(DataTitel_liste,LineærRegression_Valg[[#This Row],[Uafhængig variabel ID]]),INDEX(DataTitel_liste,IF(LineærRegression_Valg[[#This Row],[Afhængig variabel ID]]=1,2,1))),$B$7)</f>
        <v>Eksempel 2 (interval)</v>
      </c>
      <c r="H1811" s="188">
        <f>_xlfn.AGGREGATE(2,5,LineærRegression_Valg[[#This Row],[Tabel ID]])</f>
        <v>1</v>
      </c>
    </row>
    <row r="1812" spans="1:8" x14ac:dyDescent="0.2">
      <c r="A1812">
        <f>ROW(LineærRegression_Valg[[#This Row],[Tabel ID]])-ROW(LineærRegression_Valg[[#Headers],[Tabel ID]])</f>
        <v>1802</v>
      </c>
      <c r="B1812" s="188">
        <f>ROUNDDOWN((LineærRegression_Valg[[#This Row],[Tabel ID]]-1)/$B$5,0)+1</f>
        <v>451</v>
      </c>
      <c r="C1812" s="188">
        <f t="shared" si="28"/>
        <v>2</v>
      </c>
      <c r="D1812" s="188" t="b">
        <f>LineærRegression_Valg[[#This Row],[Afhængig variabel ID]]&lt;&gt;LineærRegression_Valg[[#This Row],[Uafhængig variabel ID]]</f>
        <v>1</v>
      </c>
      <c r="E1812" s="188" t="b">
        <f>LineærRegression_Valg[[#This Row],[Afhængig variabel ID]]&lt;=$B$5</f>
        <v>0</v>
      </c>
      <c r="F1812" t="str" cm="1">
        <f t="array" ref="F1812">IF(LineærRegression_Valg[[#This Row],[Indenfor range]],INDEX(DataTitel_liste,LineærRegression_Valg[[#This Row],[Afhængig variabel ID]]),INDEX(DataTitel_liste,1))</f>
        <v>Eksempel 1 (interval)</v>
      </c>
      <c r="G1812" s="188" t="str" cm="1">
        <f t="array" ref="G1812">IF(LineærRegression_Valg[[#This Row],[Indenfor range]],IF(LineærRegression_Valg[[#This Row],[Intet overlap]],INDEX(DataTitel_liste,LineærRegression_Valg[[#This Row],[Uafhængig variabel ID]]),INDEX(DataTitel_liste,IF(LineærRegression_Valg[[#This Row],[Afhængig variabel ID]]=1,2,1))),$B$7)</f>
        <v>Eksempel 2 (interval)</v>
      </c>
      <c r="H1812" s="188">
        <f>_xlfn.AGGREGATE(2,5,LineærRegression_Valg[[#This Row],[Tabel ID]])</f>
        <v>1</v>
      </c>
    </row>
    <row r="1813" spans="1:8" x14ac:dyDescent="0.2">
      <c r="A1813">
        <f>ROW(LineærRegression_Valg[[#This Row],[Tabel ID]])-ROW(LineærRegression_Valg[[#Headers],[Tabel ID]])</f>
        <v>1803</v>
      </c>
      <c r="B1813" s="188">
        <f>ROUNDDOWN((LineærRegression_Valg[[#This Row],[Tabel ID]]-1)/$B$5,0)+1</f>
        <v>451</v>
      </c>
      <c r="C1813" s="188">
        <f t="shared" si="28"/>
        <v>3</v>
      </c>
      <c r="D1813" s="188" t="b">
        <f>LineærRegression_Valg[[#This Row],[Afhængig variabel ID]]&lt;&gt;LineærRegression_Valg[[#This Row],[Uafhængig variabel ID]]</f>
        <v>1</v>
      </c>
      <c r="E1813" s="188" t="b">
        <f>LineærRegression_Valg[[#This Row],[Afhængig variabel ID]]&lt;=$B$5</f>
        <v>0</v>
      </c>
      <c r="F1813" t="str" cm="1">
        <f t="array" ref="F1813">IF(LineærRegression_Valg[[#This Row],[Indenfor range]],INDEX(DataTitel_liste,LineærRegression_Valg[[#This Row],[Afhængig variabel ID]]),INDEX(DataTitel_liste,1))</f>
        <v>Eksempel 1 (interval)</v>
      </c>
      <c r="G1813" s="188" t="str" cm="1">
        <f t="array" ref="G1813">IF(LineærRegression_Valg[[#This Row],[Indenfor range]],IF(LineærRegression_Valg[[#This Row],[Intet overlap]],INDEX(DataTitel_liste,LineærRegression_Valg[[#This Row],[Uafhængig variabel ID]]),INDEX(DataTitel_liste,IF(LineærRegression_Valg[[#This Row],[Afhængig variabel ID]]=1,2,1))),$B$7)</f>
        <v>Eksempel 2 (interval)</v>
      </c>
      <c r="H1813" s="188">
        <f>_xlfn.AGGREGATE(2,5,LineærRegression_Valg[[#This Row],[Tabel ID]])</f>
        <v>1</v>
      </c>
    </row>
    <row r="1814" spans="1:8" x14ac:dyDescent="0.2">
      <c r="A1814">
        <f>ROW(LineærRegression_Valg[[#This Row],[Tabel ID]])-ROW(LineærRegression_Valg[[#Headers],[Tabel ID]])</f>
        <v>1804</v>
      </c>
      <c r="B1814" s="188">
        <f>ROUNDDOWN((LineærRegression_Valg[[#This Row],[Tabel ID]]-1)/$B$5,0)+1</f>
        <v>451</v>
      </c>
      <c r="C1814" s="188">
        <f t="shared" si="28"/>
        <v>4</v>
      </c>
      <c r="D1814" s="188" t="b">
        <f>LineærRegression_Valg[[#This Row],[Afhængig variabel ID]]&lt;&gt;LineærRegression_Valg[[#This Row],[Uafhængig variabel ID]]</f>
        <v>1</v>
      </c>
      <c r="E1814" s="188" t="b">
        <f>LineærRegression_Valg[[#This Row],[Afhængig variabel ID]]&lt;=$B$5</f>
        <v>0</v>
      </c>
      <c r="F1814" t="str" cm="1">
        <f t="array" ref="F1814">IF(LineærRegression_Valg[[#This Row],[Indenfor range]],INDEX(DataTitel_liste,LineærRegression_Valg[[#This Row],[Afhængig variabel ID]]),INDEX(DataTitel_liste,1))</f>
        <v>Eksempel 1 (interval)</v>
      </c>
      <c r="G1814" s="188" t="str" cm="1">
        <f t="array" ref="G1814">IF(LineærRegression_Valg[[#This Row],[Indenfor range]],IF(LineærRegression_Valg[[#This Row],[Intet overlap]],INDEX(DataTitel_liste,LineærRegression_Valg[[#This Row],[Uafhængig variabel ID]]),INDEX(DataTitel_liste,IF(LineærRegression_Valg[[#This Row],[Afhængig variabel ID]]=1,2,1))),$B$7)</f>
        <v>Eksempel 2 (interval)</v>
      </c>
      <c r="H1814" s="188">
        <f>_xlfn.AGGREGATE(2,5,LineærRegression_Valg[[#This Row],[Tabel ID]])</f>
        <v>1</v>
      </c>
    </row>
    <row r="1815" spans="1:8" x14ac:dyDescent="0.2">
      <c r="A1815">
        <f>ROW(LineærRegression_Valg[[#This Row],[Tabel ID]])-ROW(LineærRegression_Valg[[#Headers],[Tabel ID]])</f>
        <v>1805</v>
      </c>
      <c r="B1815" s="188">
        <f>ROUNDDOWN((LineærRegression_Valg[[#This Row],[Tabel ID]]-1)/$B$5,0)+1</f>
        <v>452</v>
      </c>
      <c r="C1815" s="188">
        <f t="shared" si="28"/>
        <v>1</v>
      </c>
      <c r="D1815" s="188" t="b">
        <f>LineærRegression_Valg[[#This Row],[Afhængig variabel ID]]&lt;&gt;LineærRegression_Valg[[#This Row],[Uafhængig variabel ID]]</f>
        <v>1</v>
      </c>
      <c r="E1815" s="188" t="b">
        <f>LineærRegression_Valg[[#This Row],[Afhængig variabel ID]]&lt;=$B$5</f>
        <v>0</v>
      </c>
      <c r="F1815" t="str" cm="1">
        <f t="array" ref="F1815">IF(LineærRegression_Valg[[#This Row],[Indenfor range]],INDEX(DataTitel_liste,LineærRegression_Valg[[#This Row],[Afhængig variabel ID]]),INDEX(DataTitel_liste,1))</f>
        <v>Eksempel 1 (interval)</v>
      </c>
      <c r="G1815" s="188" t="str" cm="1">
        <f t="array" ref="G1815">IF(LineærRegression_Valg[[#This Row],[Indenfor range]],IF(LineærRegression_Valg[[#This Row],[Intet overlap]],INDEX(DataTitel_liste,LineærRegression_Valg[[#This Row],[Uafhængig variabel ID]]),INDEX(DataTitel_liste,IF(LineærRegression_Valg[[#This Row],[Afhængig variabel ID]]=1,2,1))),$B$7)</f>
        <v>Eksempel 2 (interval)</v>
      </c>
      <c r="H1815" s="188">
        <f>_xlfn.AGGREGATE(2,5,LineærRegression_Valg[[#This Row],[Tabel ID]])</f>
        <v>1</v>
      </c>
    </row>
    <row r="1816" spans="1:8" x14ac:dyDescent="0.2">
      <c r="A1816">
        <f>ROW(LineærRegression_Valg[[#This Row],[Tabel ID]])-ROW(LineærRegression_Valg[[#Headers],[Tabel ID]])</f>
        <v>1806</v>
      </c>
      <c r="B1816" s="188">
        <f>ROUNDDOWN((LineærRegression_Valg[[#This Row],[Tabel ID]]-1)/$B$5,0)+1</f>
        <v>452</v>
      </c>
      <c r="C1816" s="188">
        <f t="shared" si="28"/>
        <v>2</v>
      </c>
      <c r="D1816" s="188" t="b">
        <f>LineærRegression_Valg[[#This Row],[Afhængig variabel ID]]&lt;&gt;LineærRegression_Valg[[#This Row],[Uafhængig variabel ID]]</f>
        <v>1</v>
      </c>
      <c r="E1816" s="188" t="b">
        <f>LineærRegression_Valg[[#This Row],[Afhængig variabel ID]]&lt;=$B$5</f>
        <v>0</v>
      </c>
      <c r="F1816" t="str" cm="1">
        <f t="array" ref="F1816">IF(LineærRegression_Valg[[#This Row],[Indenfor range]],INDEX(DataTitel_liste,LineærRegression_Valg[[#This Row],[Afhængig variabel ID]]),INDEX(DataTitel_liste,1))</f>
        <v>Eksempel 1 (interval)</v>
      </c>
      <c r="G1816" s="188" t="str" cm="1">
        <f t="array" ref="G1816">IF(LineærRegression_Valg[[#This Row],[Indenfor range]],IF(LineærRegression_Valg[[#This Row],[Intet overlap]],INDEX(DataTitel_liste,LineærRegression_Valg[[#This Row],[Uafhængig variabel ID]]),INDEX(DataTitel_liste,IF(LineærRegression_Valg[[#This Row],[Afhængig variabel ID]]=1,2,1))),$B$7)</f>
        <v>Eksempel 2 (interval)</v>
      </c>
      <c r="H1816" s="188">
        <f>_xlfn.AGGREGATE(2,5,LineærRegression_Valg[[#This Row],[Tabel ID]])</f>
        <v>1</v>
      </c>
    </row>
    <row r="1817" spans="1:8" x14ac:dyDescent="0.2">
      <c r="A1817">
        <f>ROW(LineærRegression_Valg[[#This Row],[Tabel ID]])-ROW(LineærRegression_Valg[[#Headers],[Tabel ID]])</f>
        <v>1807</v>
      </c>
      <c r="B1817" s="188">
        <f>ROUNDDOWN((LineærRegression_Valg[[#This Row],[Tabel ID]]-1)/$B$5,0)+1</f>
        <v>452</v>
      </c>
      <c r="C1817" s="188">
        <f t="shared" si="28"/>
        <v>3</v>
      </c>
      <c r="D1817" s="188" t="b">
        <f>LineærRegression_Valg[[#This Row],[Afhængig variabel ID]]&lt;&gt;LineærRegression_Valg[[#This Row],[Uafhængig variabel ID]]</f>
        <v>1</v>
      </c>
      <c r="E1817" s="188" t="b">
        <f>LineærRegression_Valg[[#This Row],[Afhængig variabel ID]]&lt;=$B$5</f>
        <v>0</v>
      </c>
      <c r="F1817" t="str" cm="1">
        <f t="array" ref="F1817">IF(LineærRegression_Valg[[#This Row],[Indenfor range]],INDEX(DataTitel_liste,LineærRegression_Valg[[#This Row],[Afhængig variabel ID]]),INDEX(DataTitel_liste,1))</f>
        <v>Eksempel 1 (interval)</v>
      </c>
      <c r="G1817" s="188" t="str" cm="1">
        <f t="array" ref="G1817">IF(LineærRegression_Valg[[#This Row],[Indenfor range]],IF(LineærRegression_Valg[[#This Row],[Intet overlap]],INDEX(DataTitel_liste,LineærRegression_Valg[[#This Row],[Uafhængig variabel ID]]),INDEX(DataTitel_liste,IF(LineærRegression_Valg[[#This Row],[Afhængig variabel ID]]=1,2,1))),$B$7)</f>
        <v>Eksempel 2 (interval)</v>
      </c>
      <c r="H1817" s="188">
        <f>_xlfn.AGGREGATE(2,5,LineærRegression_Valg[[#This Row],[Tabel ID]])</f>
        <v>1</v>
      </c>
    </row>
    <row r="1818" spans="1:8" x14ac:dyDescent="0.2">
      <c r="A1818">
        <f>ROW(LineærRegression_Valg[[#This Row],[Tabel ID]])-ROW(LineærRegression_Valg[[#Headers],[Tabel ID]])</f>
        <v>1808</v>
      </c>
      <c r="B1818" s="188">
        <f>ROUNDDOWN((LineærRegression_Valg[[#This Row],[Tabel ID]]-1)/$B$5,0)+1</f>
        <v>452</v>
      </c>
      <c r="C1818" s="188">
        <f t="shared" si="28"/>
        <v>4</v>
      </c>
      <c r="D1818" s="188" t="b">
        <f>LineærRegression_Valg[[#This Row],[Afhængig variabel ID]]&lt;&gt;LineærRegression_Valg[[#This Row],[Uafhængig variabel ID]]</f>
        <v>1</v>
      </c>
      <c r="E1818" s="188" t="b">
        <f>LineærRegression_Valg[[#This Row],[Afhængig variabel ID]]&lt;=$B$5</f>
        <v>0</v>
      </c>
      <c r="F1818" t="str" cm="1">
        <f t="array" ref="F1818">IF(LineærRegression_Valg[[#This Row],[Indenfor range]],INDEX(DataTitel_liste,LineærRegression_Valg[[#This Row],[Afhængig variabel ID]]),INDEX(DataTitel_liste,1))</f>
        <v>Eksempel 1 (interval)</v>
      </c>
      <c r="G1818" s="188" t="str" cm="1">
        <f t="array" ref="G1818">IF(LineærRegression_Valg[[#This Row],[Indenfor range]],IF(LineærRegression_Valg[[#This Row],[Intet overlap]],INDEX(DataTitel_liste,LineærRegression_Valg[[#This Row],[Uafhængig variabel ID]]),INDEX(DataTitel_liste,IF(LineærRegression_Valg[[#This Row],[Afhængig variabel ID]]=1,2,1))),$B$7)</f>
        <v>Eksempel 2 (interval)</v>
      </c>
      <c r="H1818" s="188">
        <f>_xlfn.AGGREGATE(2,5,LineærRegression_Valg[[#This Row],[Tabel ID]])</f>
        <v>1</v>
      </c>
    </row>
    <row r="1819" spans="1:8" x14ac:dyDescent="0.2">
      <c r="A1819">
        <f>ROW(LineærRegression_Valg[[#This Row],[Tabel ID]])-ROW(LineærRegression_Valg[[#Headers],[Tabel ID]])</f>
        <v>1809</v>
      </c>
      <c r="B1819" s="188">
        <f>ROUNDDOWN((LineærRegression_Valg[[#This Row],[Tabel ID]]-1)/$B$5,0)+1</f>
        <v>453</v>
      </c>
      <c r="C1819" s="188">
        <f t="shared" si="28"/>
        <v>1</v>
      </c>
      <c r="D1819" s="188" t="b">
        <f>LineærRegression_Valg[[#This Row],[Afhængig variabel ID]]&lt;&gt;LineærRegression_Valg[[#This Row],[Uafhængig variabel ID]]</f>
        <v>1</v>
      </c>
      <c r="E1819" s="188" t="b">
        <f>LineærRegression_Valg[[#This Row],[Afhængig variabel ID]]&lt;=$B$5</f>
        <v>0</v>
      </c>
      <c r="F1819" t="str" cm="1">
        <f t="array" ref="F1819">IF(LineærRegression_Valg[[#This Row],[Indenfor range]],INDEX(DataTitel_liste,LineærRegression_Valg[[#This Row],[Afhængig variabel ID]]),INDEX(DataTitel_liste,1))</f>
        <v>Eksempel 1 (interval)</v>
      </c>
      <c r="G1819" s="188" t="str" cm="1">
        <f t="array" ref="G1819">IF(LineærRegression_Valg[[#This Row],[Indenfor range]],IF(LineærRegression_Valg[[#This Row],[Intet overlap]],INDEX(DataTitel_liste,LineærRegression_Valg[[#This Row],[Uafhængig variabel ID]]),INDEX(DataTitel_liste,IF(LineærRegression_Valg[[#This Row],[Afhængig variabel ID]]=1,2,1))),$B$7)</f>
        <v>Eksempel 2 (interval)</v>
      </c>
      <c r="H1819" s="188">
        <f>_xlfn.AGGREGATE(2,5,LineærRegression_Valg[[#This Row],[Tabel ID]])</f>
        <v>1</v>
      </c>
    </row>
    <row r="1820" spans="1:8" x14ac:dyDescent="0.2">
      <c r="A1820">
        <f>ROW(LineærRegression_Valg[[#This Row],[Tabel ID]])-ROW(LineærRegression_Valg[[#Headers],[Tabel ID]])</f>
        <v>1810</v>
      </c>
      <c r="B1820" s="188">
        <f>ROUNDDOWN((LineærRegression_Valg[[#This Row],[Tabel ID]]-1)/$B$5,0)+1</f>
        <v>453</v>
      </c>
      <c r="C1820" s="188">
        <f t="shared" si="28"/>
        <v>2</v>
      </c>
      <c r="D1820" s="188" t="b">
        <f>LineærRegression_Valg[[#This Row],[Afhængig variabel ID]]&lt;&gt;LineærRegression_Valg[[#This Row],[Uafhængig variabel ID]]</f>
        <v>1</v>
      </c>
      <c r="E1820" s="188" t="b">
        <f>LineærRegression_Valg[[#This Row],[Afhængig variabel ID]]&lt;=$B$5</f>
        <v>0</v>
      </c>
      <c r="F1820" t="str" cm="1">
        <f t="array" ref="F1820">IF(LineærRegression_Valg[[#This Row],[Indenfor range]],INDEX(DataTitel_liste,LineærRegression_Valg[[#This Row],[Afhængig variabel ID]]),INDEX(DataTitel_liste,1))</f>
        <v>Eksempel 1 (interval)</v>
      </c>
      <c r="G1820" s="188" t="str" cm="1">
        <f t="array" ref="G1820">IF(LineærRegression_Valg[[#This Row],[Indenfor range]],IF(LineærRegression_Valg[[#This Row],[Intet overlap]],INDEX(DataTitel_liste,LineærRegression_Valg[[#This Row],[Uafhængig variabel ID]]),INDEX(DataTitel_liste,IF(LineærRegression_Valg[[#This Row],[Afhængig variabel ID]]=1,2,1))),$B$7)</f>
        <v>Eksempel 2 (interval)</v>
      </c>
      <c r="H1820" s="188">
        <f>_xlfn.AGGREGATE(2,5,LineærRegression_Valg[[#This Row],[Tabel ID]])</f>
        <v>1</v>
      </c>
    </row>
    <row r="1821" spans="1:8" x14ac:dyDescent="0.2">
      <c r="A1821">
        <f>ROW(LineærRegression_Valg[[#This Row],[Tabel ID]])-ROW(LineærRegression_Valg[[#Headers],[Tabel ID]])</f>
        <v>1811</v>
      </c>
      <c r="B1821" s="188">
        <f>ROUNDDOWN((LineærRegression_Valg[[#This Row],[Tabel ID]]-1)/$B$5,0)+1</f>
        <v>453</v>
      </c>
      <c r="C1821" s="188">
        <f t="shared" si="28"/>
        <v>3</v>
      </c>
      <c r="D1821" s="188" t="b">
        <f>LineærRegression_Valg[[#This Row],[Afhængig variabel ID]]&lt;&gt;LineærRegression_Valg[[#This Row],[Uafhængig variabel ID]]</f>
        <v>1</v>
      </c>
      <c r="E1821" s="188" t="b">
        <f>LineærRegression_Valg[[#This Row],[Afhængig variabel ID]]&lt;=$B$5</f>
        <v>0</v>
      </c>
      <c r="F1821" t="str" cm="1">
        <f t="array" ref="F1821">IF(LineærRegression_Valg[[#This Row],[Indenfor range]],INDEX(DataTitel_liste,LineærRegression_Valg[[#This Row],[Afhængig variabel ID]]),INDEX(DataTitel_liste,1))</f>
        <v>Eksempel 1 (interval)</v>
      </c>
      <c r="G1821" s="188" t="str" cm="1">
        <f t="array" ref="G1821">IF(LineærRegression_Valg[[#This Row],[Indenfor range]],IF(LineærRegression_Valg[[#This Row],[Intet overlap]],INDEX(DataTitel_liste,LineærRegression_Valg[[#This Row],[Uafhængig variabel ID]]),INDEX(DataTitel_liste,IF(LineærRegression_Valg[[#This Row],[Afhængig variabel ID]]=1,2,1))),$B$7)</f>
        <v>Eksempel 2 (interval)</v>
      </c>
      <c r="H1821" s="188">
        <f>_xlfn.AGGREGATE(2,5,LineærRegression_Valg[[#This Row],[Tabel ID]])</f>
        <v>1</v>
      </c>
    </row>
    <row r="1822" spans="1:8" x14ac:dyDescent="0.2">
      <c r="A1822">
        <f>ROW(LineærRegression_Valg[[#This Row],[Tabel ID]])-ROW(LineærRegression_Valg[[#Headers],[Tabel ID]])</f>
        <v>1812</v>
      </c>
      <c r="B1822" s="188">
        <f>ROUNDDOWN((LineærRegression_Valg[[#This Row],[Tabel ID]]-1)/$B$5,0)+1</f>
        <v>453</v>
      </c>
      <c r="C1822" s="188">
        <f t="shared" si="28"/>
        <v>4</v>
      </c>
      <c r="D1822" s="188" t="b">
        <f>LineærRegression_Valg[[#This Row],[Afhængig variabel ID]]&lt;&gt;LineærRegression_Valg[[#This Row],[Uafhængig variabel ID]]</f>
        <v>1</v>
      </c>
      <c r="E1822" s="188" t="b">
        <f>LineærRegression_Valg[[#This Row],[Afhængig variabel ID]]&lt;=$B$5</f>
        <v>0</v>
      </c>
      <c r="F1822" t="str" cm="1">
        <f t="array" ref="F1822">IF(LineærRegression_Valg[[#This Row],[Indenfor range]],INDEX(DataTitel_liste,LineærRegression_Valg[[#This Row],[Afhængig variabel ID]]),INDEX(DataTitel_liste,1))</f>
        <v>Eksempel 1 (interval)</v>
      </c>
      <c r="G1822" s="188" t="str" cm="1">
        <f t="array" ref="G1822">IF(LineærRegression_Valg[[#This Row],[Indenfor range]],IF(LineærRegression_Valg[[#This Row],[Intet overlap]],INDEX(DataTitel_liste,LineærRegression_Valg[[#This Row],[Uafhængig variabel ID]]),INDEX(DataTitel_liste,IF(LineærRegression_Valg[[#This Row],[Afhængig variabel ID]]=1,2,1))),$B$7)</f>
        <v>Eksempel 2 (interval)</v>
      </c>
      <c r="H1822" s="188">
        <f>_xlfn.AGGREGATE(2,5,LineærRegression_Valg[[#This Row],[Tabel ID]])</f>
        <v>1</v>
      </c>
    </row>
    <row r="1823" spans="1:8" x14ac:dyDescent="0.2">
      <c r="A1823">
        <f>ROW(LineærRegression_Valg[[#This Row],[Tabel ID]])-ROW(LineærRegression_Valg[[#Headers],[Tabel ID]])</f>
        <v>1813</v>
      </c>
      <c r="B1823" s="188">
        <f>ROUNDDOWN((LineærRegression_Valg[[#This Row],[Tabel ID]]-1)/$B$5,0)+1</f>
        <v>454</v>
      </c>
      <c r="C1823" s="188">
        <f t="shared" si="28"/>
        <v>1</v>
      </c>
      <c r="D1823" s="188" t="b">
        <f>LineærRegression_Valg[[#This Row],[Afhængig variabel ID]]&lt;&gt;LineærRegression_Valg[[#This Row],[Uafhængig variabel ID]]</f>
        <v>1</v>
      </c>
      <c r="E1823" s="188" t="b">
        <f>LineærRegression_Valg[[#This Row],[Afhængig variabel ID]]&lt;=$B$5</f>
        <v>0</v>
      </c>
      <c r="F1823" t="str" cm="1">
        <f t="array" ref="F1823">IF(LineærRegression_Valg[[#This Row],[Indenfor range]],INDEX(DataTitel_liste,LineærRegression_Valg[[#This Row],[Afhængig variabel ID]]),INDEX(DataTitel_liste,1))</f>
        <v>Eksempel 1 (interval)</v>
      </c>
      <c r="G1823" s="188" t="str" cm="1">
        <f t="array" ref="G1823">IF(LineærRegression_Valg[[#This Row],[Indenfor range]],IF(LineærRegression_Valg[[#This Row],[Intet overlap]],INDEX(DataTitel_liste,LineærRegression_Valg[[#This Row],[Uafhængig variabel ID]]),INDEX(DataTitel_liste,IF(LineærRegression_Valg[[#This Row],[Afhængig variabel ID]]=1,2,1))),$B$7)</f>
        <v>Eksempel 2 (interval)</v>
      </c>
      <c r="H1823" s="188">
        <f>_xlfn.AGGREGATE(2,5,LineærRegression_Valg[[#This Row],[Tabel ID]])</f>
        <v>1</v>
      </c>
    </row>
    <row r="1824" spans="1:8" x14ac:dyDescent="0.2">
      <c r="A1824">
        <f>ROW(LineærRegression_Valg[[#This Row],[Tabel ID]])-ROW(LineærRegression_Valg[[#Headers],[Tabel ID]])</f>
        <v>1814</v>
      </c>
      <c r="B1824" s="188">
        <f>ROUNDDOWN((LineærRegression_Valg[[#This Row],[Tabel ID]]-1)/$B$5,0)+1</f>
        <v>454</v>
      </c>
      <c r="C1824" s="188">
        <f t="shared" si="28"/>
        <v>2</v>
      </c>
      <c r="D1824" s="188" t="b">
        <f>LineærRegression_Valg[[#This Row],[Afhængig variabel ID]]&lt;&gt;LineærRegression_Valg[[#This Row],[Uafhængig variabel ID]]</f>
        <v>1</v>
      </c>
      <c r="E1824" s="188" t="b">
        <f>LineærRegression_Valg[[#This Row],[Afhængig variabel ID]]&lt;=$B$5</f>
        <v>0</v>
      </c>
      <c r="F1824" t="str" cm="1">
        <f t="array" ref="F1824">IF(LineærRegression_Valg[[#This Row],[Indenfor range]],INDEX(DataTitel_liste,LineærRegression_Valg[[#This Row],[Afhængig variabel ID]]),INDEX(DataTitel_liste,1))</f>
        <v>Eksempel 1 (interval)</v>
      </c>
      <c r="G1824" s="188" t="str" cm="1">
        <f t="array" ref="G1824">IF(LineærRegression_Valg[[#This Row],[Indenfor range]],IF(LineærRegression_Valg[[#This Row],[Intet overlap]],INDEX(DataTitel_liste,LineærRegression_Valg[[#This Row],[Uafhængig variabel ID]]),INDEX(DataTitel_liste,IF(LineærRegression_Valg[[#This Row],[Afhængig variabel ID]]=1,2,1))),$B$7)</f>
        <v>Eksempel 2 (interval)</v>
      </c>
      <c r="H1824" s="188">
        <f>_xlfn.AGGREGATE(2,5,LineærRegression_Valg[[#This Row],[Tabel ID]])</f>
        <v>1</v>
      </c>
    </row>
    <row r="1825" spans="1:8" x14ac:dyDescent="0.2">
      <c r="A1825">
        <f>ROW(LineærRegression_Valg[[#This Row],[Tabel ID]])-ROW(LineærRegression_Valg[[#Headers],[Tabel ID]])</f>
        <v>1815</v>
      </c>
      <c r="B1825" s="188">
        <f>ROUNDDOWN((LineærRegression_Valg[[#This Row],[Tabel ID]]-1)/$B$5,0)+1</f>
        <v>454</v>
      </c>
      <c r="C1825" s="188">
        <f t="shared" si="28"/>
        <v>3</v>
      </c>
      <c r="D1825" s="188" t="b">
        <f>LineærRegression_Valg[[#This Row],[Afhængig variabel ID]]&lt;&gt;LineærRegression_Valg[[#This Row],[Uafhængig variabel ID]]</f>
        <v>1</v>
      </c>
      <c r="E1825" s="188" t="b">
        <f>LineærRegression_Valg[[#This Row],[Afhængig variabel ID]]&lt;=$B$5</f>
        <v>0</v>
      </c>
      <c r="F1825" t="str" cm="1">
        <f t="array" ref="F1825">IF(LineærRegression_Valg[[#This Row],[Indenfor range]],INDEX(DataTitel_liste,LineærRegression_Valg[[#This Row],[Afhængig variabel ID]]),INDEX(DataTitel_liste,1))</f>
        <v>Eksempel 1 (interval)</v>
      </c>
      <c r="G1825" s="188" t="str" cm="1">
        <f t="array" ref="G1825">IF(LineærRegression_Valg[[#This Row],[Indenfor range]],IF(LineærRegression_Valg[[#This Row],[Intet overlap]],INDEX(DataTitel_liste,LineærRegression_Valg[[#This Row],[Uafhængig variabel ID]]),INDEX(DataTitel_liste,IF(LineærRegression_Valg[[#This Row],[Afhængig variabel ID]]=1,2,1))),$B$7)</f>
        <v>Eksempel 2 (interval)</v>
      </c>
      <c r="H1825" s="188">
        <f>_xlfn.AGGREGATE(2,5,LineærRegression_Valg[[#This Row],[Tabel ID]])</f>
        <v>1</v>
      </c>
    </row>
    <row r="1826" spans="1:8" x14ac:dyDescent="0.2">
      <c r="A1826">
        <f>ROW(LineærRegression_Valg[[#This Row],[Tabel ID]])-ROW(LineærRegression_Valg[[#Headers],[Tabel ID]])</f>
        <v>1816</v>
      </c>
      <c r="B1826" s="188">
        <f>ROUNDDOWN((LineærRegression_Valg[[#This Row],[Tabel ID]]-1)/$B$5,0)+1</f>
        <v>454</v>
      </c>
      <c r="C1826" s="188">
        <f t="shared" si="28"/>
        <v>4</v>
      </c>
      <c r="D1826" s="188" t="b">
        <f>LineærRegression_Valg[[#This Row],[Afhængig variabel ID]]&lt;&gt;LineærRegression_Valg[[#This Row],[Uafhængig variabel ID]]</f>
        <v>1</v>
      </c>
      <c r="E1826" s="188" t="b">
        <f>LineærRegression_Valg[[#This Row],[Afhængig variabel ID]]&lt;=$B$5</f>
        <v>0</v>
      </c>
      <c r="F1826" t="str" cm="1">
        <f t="array" ref="F1826">IF(LineærRegression_Valg[[#This Row],[Indenfor range]],INDEX(DataTitel_liste,LineærRegression_Valg[[#This Row],[Afhængig variabel ID]]),INDEX(DataTitel_liste,1))</f>
        <v>Eksempel 1 (interval)</v>
      </c>
      <c r="G1826" s="188" t="str" cm="1">
        <f t="array" ref="G1826">IF(LineærRegression_Valg[[#This Row],[Indenfor range]],IF(LineærRegression_Valg[[#This Row],[Intet overlap]],INDEX(DataTitel_liste,LineærRegression_Valg[[#This Row],[Uafhængig variabel ID]]),INDEX(DataTitel_liste,IF(LineærRegression_Valg[[#This Row],[Afhængig variabel ID]]=1,2,1))),$B$7)</f>
        <v>Eksempel 2 (interval)</v>
      </c>
      <c r="H1826" s="188">
        <f>_xlfn.AGGREGATE(2,5,LineærRegression_Valg[[#This Row],[Tabel ID]])</f>
        <v>1</v>
      </c>
    </row>
    <row r="1827" spans="1:8" x14ac:dyDescent="0.2">
      <c r="A1827">
        <f>ROW(LineærRegression_Valg[[#This Row],[Tabel ID]])-ROW(LineærRegression_Valg[[#Headers],[Tabel ID]])</f>
        <v>1817</v>
      </c>
      <c r="B1827" s="188">
        <f>ROUNDDOWN((LineærRegression_Valg[[#This Row],[Tabel ID]]-1)/$B$5,0)+1</f>
        <v>455</v>
      </c>
      <c r="C1827" s="188">
        <f t="shared" si="28"/>
        <v>1</v>
      </c>
      <c r="D1827" s="188" t="b">
        <f>LineærRegression_Valg[[#This Row],[Afhængig variabel ID]]&lt;&gt;LineærRegression_Valg[[#This Row],[Uafhængig variabel ID]]</f>
        <v>1</v>
      </c>
      <c r="E1827" s="188" t="b">
        <f>LineærRegression_Valg[[#This Row],[Afhængig variabel ID]]&lt;=$B$5</f>
        <v>0</v>
      </c>
      <c r="F1827" t="str" cm="1">
        <f t="array" ref="F1827">IF(LineærRegression_Valg[[#This Row],[Indenfor range]],INDEX(DataTitel_liste,LineærRegression_Valg[[#This Row],[Afhængig variabel ID]]),INDEX(DataTitel_liste,1))</f>
        <v>Eksempel 1 (interval)</v>
      </c>
      <c r="G1827" s="188" t="str" cm="1">
        <f t="array" ref="G1827">IF(LineærRegression_Valg[[#This Row],[Indenfor range]],IF(LineærRegression_Valg[[#This Row],[Intet overlap]],INDEX(DataTitel_liste,LineærRegression_Valg[[#This Row],[Uafhængig variabel ID]]),INDEX(DataTitel_liste,IF(LineærRegression_Valg[[#This Row],[Afhængig variabel ID]]=1,2,1))),$B$7)</f>
        <v>Eksempel 2 (interval)</v>
      </c>
      <c r="H1827" s="188">
        <f>_xlfn.AGGREGATE(2,5,LineærRegression_Valg[[#This Row],[Tabel ID]])</f>
        <v>1</v>
      </c>
    </row>
    <row r="1828" spans="1:8" x14ac:dyDescent="0.2">
      <c r="A1828">
        <f>ROW(LineærRegression_Valg[[#This Row],[Tabel ID]])-ROW(LineærRegression_Valg[[#Headers],[Tabel ID]])</f>
        <v>1818</v>
      </c>
      <c r="B1828" s="188">
        <f>ROUNDDOWN((LineærRegression_Valg[[#This Row],[Tabel ID]]-1)/$B$5,0)+1</f>
        <v>455</v>
      </c>
      <c r="C1828" s="188">
        <f t="shared" si="28"/>
        <v>2</v>
      </c>
      <c r="D1828" s="188" t="b">
        <f>LineærRegression_Valg[[#This Row],[Afhængig variabel ID]]&lt;&gt;LineærRegression_Valg[[#This Row],[Uafhængig variabel ID]]</f>
        <v>1</v>
      </c>
      <c r="E1828" s="188" t="b">
        <f>LineærRegression_Valg[[#This Row],[Afhængig variabel ID]]&lt;=$B$5</f>
        <v>0</v>
      </c>
      <c r="F1828" t="str" cm="1">
        <f t="array" ref="F1828">IF(LineærRegression_Valg[[#This Row],[Indenfor range]],INDEX(DataTitel_liste,LineærRegression_Valg[[#This Row],[Afhængig variabel ID]]),INDEX(DataTitel_liste,1))</f>
        <v>Eksempel 1 (interval)</v>
      </c>
      <c r="G1828" s="188" t="str" cm="1">
        <f t="array" ref="G1828">IF(LineærRegression_Valg[[#This Row],[Indenfor range]],IF(LineærRegression_Valg[[#This Row],[Intet overlap]],INDEX(DataTitel_liste,LineærRegression_Valg[[#This Row],[Uafhængig variabel ID]]),INDEX(DataTitel_liste,IF(LineærRegression_Valg[[#This Row],[Afhængig variabel ID]]=1,2,1))),$B$7)</f>
        <v>Eksempel 2 (interval)</v>
      </c>
      <c r="H1828" s="188">
        <f>_xlfn.AGGREGATE(2,5,LineærRegression_Valg[[#This Row],[Tabel ID]])</f>
        <v>1</v>
      </c>
    </row>
    <row r="1829" spans="1:8" x14ac:dyDescent="0.2">
      <c r="A1829">
        <f>ROW(LineærRegression_Valg[[#This Row],[Tabel ID]])-ROW(LineærRegression_Valg[[#Headers],[Tabel ID]])</f>
        <v>1819</v>
      </c>
      <c r="B1829" s="188">
        <f>ROUNDDOWN((LineærRegression_Valg[[#This Row],[Tabel ID]]-1)/$B$5,0)+1</f>
        <v>455</v>
      </c>
      <c r="C1829" s="188">
        <f t="shared" si="28"/>
        <v>3</v>
      </c>
      <c r="D1829" s="188" t="b">
        <f>LineærRegression_Valg[[#This Row],[Afhængig variabel ID]]&lt;&gt;LineærRegression_Valg[[#This Row],[Uafhængig variabel ID]]</f>
        <v>1</v>
      </c>
      <c r="E1829" s="188" t="b">
        <f>LineærRegression_Valg[[#This Row],[Afhængig variabel ID]]&lt;=$B$5</f>
        <v>0</v>
      </c>
      <c r="F1829" t="str" cm="1">
        <f t="array" ref="F1829">IF(LineærRegression_Valg[[#This Row],[Indenfor range]],INDEX(DataTitel_liste,LineærRegression_Valg[[#This Row],[Afhængig variabel ID]]),INDEX(DataTitel_liste,1))</f>
        <v>Eksempel 1 (interval)</v>
      </c>
      <c r="G1829" s="188" t="str" cm="1">
        <f t="array" ref="G1829">IF(LineærRegression_Valg[[#This Row],[Indenfor range]],IF(LineærRegression_Valg[[#This Row],[Intet overlap]],INDEX(DataTitel_liste,LineærRegression_Valg[[#This Row],[Uafhængig variabel ID]]),INDEX(DataTitel_liste,IF(LineærRegression_Valg[[#This Row],[Afhængig variabel ID]]=1,2,1))),$B$7)</f>
        <v>Eksempel 2 (interval)</v>
      </c>
      <c r="H1829" s="188">
        <f>_xlfn.AGGREGATE(2,5,LineærRegression_Valg[[#This Row],[Tabel ID]])</f>
        <v>1</v>
      </c>
    </row>
    <row r="1830" spans="1:8" x14ac:dyDescent="0.2">
      <c r="A1830">
        <f>ROW(LineærRegression_Valg[[#This Row],[Tabel ID]])-ROW(LineærRegression_Valg[[#Headers],[Tabel ID]])</f>
        <v>1820</v>
      </c>
      <c r="B1830" s="188">
        <f>ROUNDDOWN((LineærRegression_Valg[[#This Row],[Tabel ID]]-1)/$B$5,0)+1</f>
        <v>455</v>
      </c>
      <c r="C1830" s="188">
        <f t="shared" si="28"/>
        <v>4</v>
      </c>
      <c r="D1830" s="188" t="b">
        <f>LineærRegression_Valg[[#This Row],[Afhængig variabel ID]]&lt;&gt;LineærRegression_Valg[[#This Row],[Uafhængig variabel ID]]</f>
        <v>1</v>
      </c>
      <c r="E1830" s="188" t="b">
        <f>LineærRegression_Valg[[#This Row],[Afhængig variabel ID]]&lt;=$B$5</f>
        <v>0</v>
      </c>
      <c r="F1830" t="str" cm="1">
        <f t="array" ref="F1830">IF(LineærRegression_Valg[[#This Row],[Indenfor range]],INDEX(DataTitel_liste,LineærRegression_Valg[[#This Row],[Afhængig variabel ID]]),INDEX(DataTitel_liste,1))</f>
        <v>Eksempel 1 (interval)</v>
      </c>
      <c r="G1830" s="188" t="str" cm="1">
        <f t="array" ref="G1830">IF(LineærRegression_Valg[[#This Row],[Indenfor range]],IF(LineærRegression_Valg[[#This Row],[Intet overlap]],INDEX(DataTitel_liste,LineærRegression_Valg[[#This Row],[Uafhængig variabel ID]]),INDEX(DataTitel_liste,IF(LineærRegression_Valg[[#This Row],[Afhængig variabel ID]]=1,2,1))),$B$7)</f>
        <v>Eksempel 2 (interval)</v>
      </c>
      <c r="H1830" s="188">
        <f>_xlfn.AGGREGATE(2,5,LineærRegression_Valg[[#This Row],[Tabel ID]])</f>
        <v>1</v>
      </c>
    </row>
    <row r="1831" spans="1:8" x14ac:dyDescent="0.2">
      <c r="A1831">
        <f>ROW(LineærRegression_Valg[[#This Row],[Tabel ID]])-ROW(LineærRegression_Valg[[#Headers],[Tabel ID]])</f>
        <v>1821</v>
      </c>
      <c r="B1831" s="188">
        <f>ROUNDDOWN((LineærRegression_Valg[[#This Row],[Tabel ID]]-1)/$B$5,0)+1</f>
        <v>456</v>
      </c>
      <c r="C1831" s="188">
        <f t="shared" si="28"/>
        <v>1</v>
      </c>
      <c r="D1831" s="188" t="b">
        <f>LineærRegression_Valg[[#This Row],[Afhængig variabel ID]]&lt;&gt;LineærRegression_Valg[[#This Row],[Uafhængig variabel ID]]</f>
        <v>1</v>
      </c>
      <c r="E1831" s="188" t="b">
        <f>LineærRegression_Valg[[#This Row],[Afhængig variabel ID]]&lt;=$B$5</f>
        <v>0</v>
      </c>
      <c r="F1831" t="str" cm="1">
        <f t="array" ref="F1831">IF(LineærRegression_Valg[[#This Row],[Indenfor range]],INDEX(DataTitel_liste,LineærRegression_Valg[[#This Row],[Afhængig variabel ID]]),INDEX(DataTitel_liste,1))</f>
        <v>Eksempel 1 (interval)</v>
      </c>
      <c r="G1831" s="188" t="str" cm="1">
        <f t="array" ref="G1831">IF(LineærRegression_Valg[[#This Row],[Indenfor range]],IF(LineærRegression_Valg[[#This Row],[Intet overlap]],INDEX(DataTitel_liste,LineærRegression_Valg[[#This Row],[Uafhængig variabel ID]]),INDEX(DataTitel_liste,IF(LineærRegression_Valg[[#This Row],[Afhængig variabel ID]]=1,2,1))),$B$7)</f>
        <v>Eksempel 2 (interval)</v>
      </c>
      <c r="H1831" s="188">
        <f>_xlfn.AGGREGATE(2,5,LineærRegression_Valg[[#This Row],[Tabel ID]])</f>
        <v>1</v>
      </c>
    </row>
    <row r="1832" spans="1:8" x14ac:dyDescent="0.2">
      <c r="A1832">
        <f>ROW(LineærRegression_Valg[[#This Row],[Tabel ID]])-ROW(LineærRegression_Valg[[#Headers],[Tabel ID]])</f>
        <v>1822</v>
      </c>
      <c r="B1832" s="188">
        <f>ROUNDDOWN((LineærRegression_Valg[[#This Row],[Tabel ID]]-1)/$B$5,0)+1</f>
        <v>456</v>
      </c>
      <c r="C1832" s="188">
        <f t="shared" si="28"/>
        <v>2</v>
      </c>
      <c r="D1832" s="188" t="b">
        <f>LineærRegression_Valg[[#This Row],[Afhængig variabel ID]]&lt;&gt;LineærRegression_Valg[[#This Row],[Uafhængig variabel ID]]</f>
        <v>1</v>
      </c>
      <c r="E1832" s="188" t="b">
        <f>LineærRegression_Valg[[#This Row],[Afhængig variabel ID]]&lt;=$B$5</f>
        <v>0</v>
      </c>
      <c r="F1832" t="str" cm="1">
        <f t="array" ref="F1832">IF(LineærRegression_Valg[[#This Row],[Indenfor range]],INDEX(DataTitel_liste,LineærRegression_Valg[[#This Row],[Afhængig variabel ID]]),INDEX(DataTitel_liste,1))</f>
        <v>Eksempel 1 (interval)</v>
      </c>
      <c r="G1832" s="188" t="str" cm="1">
        <f t="array" ref="G1832">IF(LineærRegression_Valg[[#This Row],[Indenfor range]],IF(LineærRegression_Valg[[#This Row],[Intet overlap]],INDEX(DataTitel_liste,LineærRegression_Valg[[#This Row],[Uafhængig variabel ID]]),INDEX(DataTitel_liste,IF(LineærRegression_Valg[[#This Row],[Afhængig variabel ID]]=1,2,1))),$B$7)</f>
        <v>Eksempel 2 (interval)</v>
      </c>
      <c r="H1832" s="188">
        <f>_xlfn.AGGREGATE(2,5,LineærRegression_Valg[[#This Row],[Tabel ID]])</f>
        <v>1</v>
      </c>
    </row>
    <row r="1833" spans="1:8" x14ac:dyDescent="0.2">
      <c r="A1833">
        <f>ROW(LineærRegression_Valg[[#This Row],[Tabel ID]])-ROW(LineærRegression_Valg[[#Headers],[Tabel ID]])</f>
        <v>1823</v>
      </c>
      <c r="B1833" s="188">
        <f>ROUNDDOWN((LineærRegression_Valg[[#This Row],[Tabel ID]]-1)/$B$5,0)+1</f>
        <v>456</v>
      </c>
      <c r="C1833" s="188">
        <f t="shared" si="28"/>
        <v>3</v>
      </c>
      <c r="D1833" s="188" t="b">
        <f>LineærRegression_Valg[[#This Row],[Afhængig variabel ID]]&lt;&gt;LineærRegression_Valg[[#This Row],[Uafhængig variabel ID]]</f>
        <v>1</v>
      </c>
      <c r="E1833" s="188" t="b">
        <f>LineærRegression_Valg[[#This Row],[Afhængig variabel ID]]&lt;=$B$5</f>
        <v>0</v>
      </c>
      <c r="F1833" t="str" cm="1">
        <f t="array" ref="F1833">IF(LineærRegression_Valg[[#This Row],[Indenfor range]],INDEX(DataTitel_liste,LineærRegression_Valg[[#This Row],[Afhængig variabel ID]]),INDEX(DataTitel_liste,1))</f>
        <v>Eksempel 1 (interval)</v>
      </c>
      <c r="G1833" s="188" t="str" cm="1">
        <f t="array" ref="G1833">IF(LineærRegression_Valg[[#This Row],[Indenfor range]],IF(LineærRegression_Valg[[#This Row],[Intet overlap]],INDEX(DataTitel_liste,LineærRegression_Valg[[#This Row],[Uafhængig variabel ID]]),INDEX(DataTitel_liste,IF(LineærRegression_Valg[[#This Row],[Afhængig variabel ID]]=1,2,1))),$B$7)</f>
        <v>Eksempel 2 (interval)</v>
      </c>
      <c r="H1833" s="188">
        <f>_xlfn.AGGREGATE(2,5,LineærRegression_Valg[[#This Row],[Tabel ID]])</f>
        <v>1</v>
      </c>
    </row>
    <row r="1834" spans="1:8" x14ac:dyDescent="0.2">
      <c r="A1834">
        <f>ROW(LineærRegression_Valg[[#This Row],[Tabel ID]])-ROW(LineærRegression_Valg[[#Headers],[Tabel ID]])</f>
        <v>1824</v>
      </c>
      <c r="B1834" s="188">
        <f>ROUNDDOWN((LineærRegression_Valg[[#This Row],[Tabel ID]]-1)/$B$5,0)+1</f>
        <v>456</v>
      </c>
      <c r="C1834" s="188">
        <f t="shared" si="28"/>
        <v>4</v>
      </c>
      <c r="D1834" s="188" t="b">
        <f>LineærRegression_Valg[[#This Row],[Afhængig variabel ID]]&lt;&gt;LineærRegression_Valg[[#This Row],[Uafhængig variabel ID]]</f>
        <v>1</v>
      </c>
      <c r="E1834" s="188" t="b">
        <f>LineærRegression_Valg[[#This Row],[Afhængig variabel ID]]&lt;=$B$5</f>
        <v>0</v>
      </c>
      <c r="F1834" t="str" cm="1">
        <f t="array" ref="F1834">IF(LineærRegression_Valg[[#This Row],[Indenfor range]],INDEX(DataTitel_liste,LineærRegression_Valg[[#This Row],[Afhængig variabel ID]]),INDEX(DataTitel_liste,1))</f>
        <v>Eksempel 1 (interval)</v>
      </c>
      <c r="G1834" s="188" t="str" cm="1">
        <f t="array" ref="G1834">IF(LineærRegression_Valg[[#This Row],[Indenfor range]],IF(LineærRegression_Valg[[#This Row],[Intet overlap]],INDEX(DataTitel_liste,LineærRegression_Valg[[#This Row],[Uafhængig variabel ID]]),INDEX(DataTitel_liste,IF(LineærRegression_Valg[[#This Row],[Afhængig variabel ID]]=1,2,1))),$B$7)</f>
        <v>Eksempel 2 (interval)</v>
      </c>
      <c r="H1834" s="188">
        <f>_xlfn.AGGREGATE(2,5,LineærRegression_Valg[[#This Row],[Tabel ID]])</f>
        <v>1</v>
      </c>
    </row>
    <row r="1835" spans="1:8" x14ac:dyDescent="0.2">
      <c r="A1835">
        <f>ROW(LineærRegression_Valg[[#This Row],[Tabel ID]])-ROW(LineærRegression_Valg[[#Headers],[Tabel ID]])</f>
        <v>1825</v>
      </c>
      <c r="B1835" s="188">
        <f>ROUNDDOWN((LineærRegression_Valg[[#This Row],[Tabel ID]]-1)/$B$5,0)+1</f>
        <v>457</v>
      </c>
      <c r="C1835" s="188">
        <f t="shared" si="28"/>
        <v>1</v>
      </c>
      <c r="D1835" s="188" t="b">
        <f>LineærRegression_Valg[[#This Row],[Afhængig variabel ID]]&lt;&gt;LineærRegression_Valg[[#This Row],[Uafhængig variabel ID]]</f>
        <v>1</v>
      </c>
      <c r="E1835" s="188" t="b">
        <f>LineærRegression_Valg[[#This Row],[Afhængig variabel ID]]&lt;=$B$5</f>
        <v>0</v>
      </c>
      <c r="F1835" t="str" cm="1">
        <f t="array" ref="F1835">IF(LineærRegression_Valg[[#This Row],[Indenfor range]],INDEX(DataTitel_liste,LineærRegression_Valg[[#This Row],[Afhængig variabel ID]]),INDEX(DataTitel_liste,1))</f>
        <v>Eksempel 1 (interval)</v>
      </c>
      <c r="G1835" s="188" t="str" cm="1">
        <f t="array" ref="G1835">IF(LineærRegression_Valg[[#This Row],[Indenfor range]],IF(LineærRegression_Valg[[#This Row],[Intet overlap]],INDEX(DataTitel_liste,LineærRegression_Valg[[#This Row],[Uafhængig variabel ID]]),INDEX(DataTitel_liste,IF(LineærRegression_Valg[[#This Row],[Afhængig variabel ID]]=1,2,1))),$B$7)</f>
        <v>Eksempel 2 (interval)</v>
      </c>
      <c r="H1835" s="188">
        <f>_xlfn.AGGREGATE(2,5,LineærRegression_Valg[[#This Row],[Tabel ID]])</f>
        <v>1</v>
      </c>
    </row>
    <row r="1836" spans="1:8" x14ac:dyDescent="0.2">
      <c r="A1836">
        <f>ROW(LineærRegression_Valg[[#This Row],[Tabel ID]])-ROW(LineærRegression_Valg[[#Headers],[Tabel ID]])</f>
        <v>1826</v>
      </c>
      <c r="B1836" s="188">
        <f>ROUNDDOWN((LineærRegression_Valg[[#This Row],[Tabel ID]]-1)/$B$5,0)+1</f>
        <v>457</v>
      </c>
      <c r="C1836" s="188">
        <f t="shared" si="28"/>
        <v>2</v>
      </c>
      <c r="D1836" s="188" t="b">
        <f>LineærRegression_Valg[[#This Row],[Afhængig variabel ID]]&lt;&gt;LineærRegression_Valg[[#This Row],[Uafhængig variabel ID]]</f>
        <v>1</v>
      </c>
      <c r="E1836" s="188" t="b">
        <f>LineærRegression_Valg[[#This Row],[Afhængig variabel ID]]&lt;=$B$5</f>
        <v>0</v>
      </c>
      <c r="F1836" t="str" cm="1">
        <f t="array" ref="F1836">IF(LineærRegression_Valg[[#This Row],[Indenfor range]],INDEX(DataTitel_liste,LineærRegression_Valg[[#This Row],[Afhængig variabel ID]]),INDEX(DataTitel_liste,1))</f>
        <v>Eksempel 1 (interval)</v>
      </c>
      <c r="G1836" s="188" t="str" cm="1">
        <f t="array" ref="G1836">IF(LineærRegression_Valg[[#This Row],[Indenfor range]],IF(LineærRegression_Valg[[#This Row],[Intet overlap]],INDEX(DataTitel_liste,LineærRegression_Valg[[#This Row],[Uafhængig variabel ID]]),INDEX(DataTitel_liste,IF(LineærRegression_Valg[[#This Row],[Afhængig variabel ID]]=1,2,1))),$B$7)</f>
        <v>Eksempel 2 (interval)</v>
      </c>
      <c r="H1836" s="188">
        <f>_xlfn.AGGREGATE(2,5,LineærRegression_Valg[[#This Row],[Tabel ID]])</f>
        <v>1</v>
      </c>
    </row>
    <row r="1837" spans="1:8" x14ac:dyDescent="0.2">
      <c r="A1837">
        <f>ROW(LineærRegression_Valg[[#This Row],[Tabel ID]])-ROW(LineærRegression_Valg[[#Headers],[Tabel ID]])</f>
        <v>1827</v>
      </c>
      <c r="B1837" s="188">
        <f>ROUNDDOWN((LineærRegression_Valg[[#This Row],[Tabel ID]]-1)/$B$5,0)+1</f>
        <v>457</v>
      </c>
      <c r="C1837" s="188">
        <f t="shared" si="28"/>
        <v>3</v>
      </c>
      <c r="D1837" s="188" t="b">
        <f>LineærRegression_Valg[[#This Row],[Afhængig variabel ID]]&lt;&gt;LineærRegression_Valg[[#This Row],[Uafhængig variabel ID]]</f>
        <v>1</v>
      </c>
      <c r="E1837" s="188" t="b">
        <f>LineærRegression_Valg[[#This Row],[Afhængig variabel ID]]&lt;=$B$5</f>
        <v>0</v>
      </c>
      <c r="F1837" t="str" cm="1">
        <f t="array" ref="F1837">IF(LineærRegression_Valg[[#This Row],[Indenfor range]],INDEX(DataTitel_liste,LineærRegression_Valg[[#This Row],[Afhængig variabel ID]]),INDEX(DataTitel_liste,1))</f>
        <v>Eksempel 1 (interval)</v>
      </c>
      <c r="G1837" s="188" t="str" cm="1">
        <f t="array" ref="G1837">IF(LineærRegression_Valg[[#This Row],[Indenfor range]],IF(LineærRegression_Valg[[#This Row],[Intet overlap]],INDEX(DataTitel_liste,LineærRegression_Valg[[#This Row],[Uafhængig variabel ID]]),INDEX(DataTitel_liste,IF(LineærRegression_Valg[[#This Row],[Afhængig variabel ID]]=1,2,1))),$B$7)</f>
        <v>Eksempel 2 (interval)</v>
      </c>
      <c r="H1837" s="188">
        <f>_xlfn.AGGREGATE(2,5,LineærRegression_Valg[[#This Row],[Tabel ID]])</f>
        <v>1</v>
      </c>
    </row>
    <row r="1838" spans="1:8" x14ac:dyDescent="0.2">
      <c r="A1838">
        <f>ROW(LineærRegression_Valg[[#This Row],[Tabel ID]])-ROW(LineærRegression_Valg[[#Headers],[Tabel ID]])</f>
        <v>1828</v>
      </c>
      <c r="B1838" s="188">
        <f>ROUNDDOWN((LineærRegression_Valg[[#This Row],[Tabel ID]]-1)/$B$5,0)+1</f>
        <v>457</v>
      </c>
      <c r="C1838" s="188">
        <f t="shared" si="28"/>
        <v>4</v>
      </c>
      <c r="D1838" s="188" t="b">
        <f>LineærRegression_Valg[[#This Row],[Afhængig variabel ID]]&lt;&gt;LineærRegression_Valg[[#This Row],[Uafhængig variabel ID]]</f>
        <v>1</v>
      </c>
      <c r="E1838" s="188" t="b">
        <f>LineærRegression_Valg[[#This Row],[Afhængig variabel ID]]&lt;=$B$5</f>
        <v>0</v>
      </c>
      <c r="F1838" t="str" cm="1">
        <f t="array" ref="F1838">IF(LineærRegression_Valg[[#This Row],[Indenfor range]],INDEX(DataTitel_liste,LineærRegression_Valg[[#This Row],[Afhængig variabel ID]]),INDEX(DataTitel_liste,1))</f>
        <v>Eksempel 1 (interval)</v>
      </c>
      <c r="G1838" s="188" t="str" cm="1">
        <f t="array" ref="G1838">IF(LineærRegression_Valg[[#This Row],[Indenfor range]],IF(LineærRegression_Valg[[#This Row],[Intet overlap]],INDEX(DataTitel_liste,LineærRegression_Valg[[#This Row],[Uafhængig variabel ID]]),INDEX(DataTitel_liste,IF(LineærRegression_Valg[[#This Row],[Afhængig variabel ID]]=1,2,1))),$B$7)</f>
        <v>Eksempel 2 (interval)</v>
      </c>
      <c r="H1838" s="188">
        <f>_xlfn.AGGREGATE(2,5,LineærRegression_Valg[[#This Row],[Tabel ID]])</f>
        <v>1</v>
      </c>
    </row>
    <row r="1839" spans="1:8" x14ac:dyDescent="0.2">
      <c r="A1839">
        <f>ROW(LineærRegression_Valg[[#This Row],[Tabel ID]])-ROW(LineærRegression_Valg[[#Headers],[Tabel ID]])</f>
        <v>1829</v>
      </c>
      <c r="B1839" s="188">
        <f>ROUNDDOWN((LineærRegression_Valg[[#This Row],[Tabel ID]]-1)/$B$5,0)+1</f>
        <v>458</v>
      </c>
      <c r="C1839" s="188">
        <f t="shared" si="28"/>
        <v>1</v>
      </c>
      <c r="D1839" s="188" t="b">
        <f>LineærRegression_Valg[[#This Row],[Afhængig variabel ID]]&lt;&gt;LineærRegression_Valg[[#This Row],[Uafhængig variabel ID]]</f>
        <v>1</v>
      </c>
      <c r="E1839" s="188" t="b">
        <f>LineærRegression_Valg[[#This Row],[Afhængig variabel ID]]&lt;=$B$5</f>
        <v>0</v>
      </c>
      <c r="F1839" t="str" cm="1">
        <f t="array" ref="F1839">IF(LineærRegression_Valg[[#This Row],[Indenfor range]],INDEX(DataTitel_liste,LineærRegression_Valg[[#This Row],[Afhængig variabel ID]]),INDEX(DataTitel_liste,1))</f>
        <v>Eksempel 1 (interval)</v>
      </c>
      <c r="G1839" s="188" t="str" cm="1">
        <f t="array" ref="G1839">IF(LineærRegression_Valg[[#This Row],[Indenfor range]],IF(LineærRegression_Valg[[#This Row],[Intet overlap]],INDEX(DataTitel_liste,LineærRegression_Valg[[#This Row],[Uafhængig variabel ID]]),INDEX(DataTitel_liste,IF(LineærRegression_Valg[[#This Row],[Afhængig variabel ID]]=1,2,1))),$B$7)</f>
        <v>Eksempel 2 (interval)</v>
      </c>
      <c r="H1839" s="188">
        <f>_xlfn.AGGREGATE(2,5,LineærRegression_Valg[[#This Row],[Tabel ID]])</f>
        <v>1</v>
      </c>
    </row>
    <row r="1840" spans="1:8" x14ac:dyDescent="0.2">
      <c r="A1840">
        <f>ROW(LineærRegression_Valg[[#This Row],[Tabel ID]])-ROW(LineærRegression_Valg[[#Headers],[Tabel ID]])</f>
        <v>1830</v>
      </c>
      <c r="B1840" s="188">
        <f>ROUNDDOWN((LineærRegression_Valg[[#This Row],[Tabel ID]]-1)/$B$5,0)+1</f>
        <v>458</v>
      </c>
      <c r="C1840" s="188">
        <f t="shared" si="28"/>
        <v>2</v>
      </c>
      <c r="D1840" s="188" t="b">
        <f>LineærRegression_Valg[[#This Row],[Afhængig variabel ID]]&lt;&gt;LineærRegression_Valg[[#This Row],[Uafhængig variabel ID]]</f>
        <v>1</v>
      </c>
      <c r="E1840" s="188" t="b">
        <f>LineærRegression_Valg[[#This Row],[Afhængig variabel ID]]&lt;=$B$5</f>
        <v>0</v>
      </c>
      <c r="F1840" t="str" cm="1">
        <f t="array" ref="F1840">IF(LineærRegression_Valg[[#This Row],[Indenfor range]],INDEX(DataTitel_liste,LineærRegression_Valg[[#This Row],[Afhængig variabel ID]]),INDEX(DataTitel_liste,1))</f>
        <v>Eksempel 1 (interval)</v>
      </c>
      <c r="G1840" s="188" t="str" cm="1">
        <f t="array" ref="G1840">IF(LineærRegression_Valg[[#This Row],[Indenfor range]],IF(LineærRegression_Valg[[#This Row],[Intet overlap]],INDEX(DataTitel_liste,LineærRegression_Valg[[#This Row],[Uafhængig variabel ID]]),INDEX(DataTitel_liste,IF(LineærRegression_Valg[[#This Row],[Afhængig variabel ID]]=1,2,1))),$B$7)</f>
        <v>Eksempel 2 (interval)</v>
      </c>
      <c r="H1840" s="188">
        <f>_xlfn.AGGREGATE(2,5,LineærRegression_Valg[[#This Row],[Tabel ID]])</f>
        <v>1</v>
      </c>
    </row>
    <row r="1841" spans="1:8" x14ac:dyDescent="0.2">
      <c r="A1841">
        <f>ROW(LineærRegression_Valg[[#This Row],[Tabel ID]])-ROW(LineærRegression_Valg[[#Headers],[Tabel ID]])</f>
        <v>1831</v>
      </c>
      <c r="B1841" s="188">
        <f>ROUNDDOWN((LineærRegression_Valg[[#This Row],[Tabel ID]]-1)/$B$5,0)+1</f>
        <v>458</v>
      </c>
      <c r="C1841" s="188">
        <f t="shared" si="28"/>
        <v>3</v>
      </c>
      <c r="D1841" s="188" t="b">
        <f>LineærRegression_Valg[[#This Row],[Afhængig variabel ID]]&lt;&gt;LineærRegression_Valg[[#This Row],[Uafhængig variabel ID]]</f>
        <v>1</v>
      </c>
      <c r="E1841" s="188" t="b">
        <f>LineærRegression_Valg[[#This Row],[Afhængig variabel ID]]&lt;=$B$5</f>
        <v>0</v>
      </c>
      <c r="F1841" t="str" cm="1">
        <f t="array" ref="F1841">IF(LineærRegression_Valg[[#This Row],[Indenfor range]],INDEX(DataTitel_liste,LineærRegression_Valg[[#This Row],[Afhængig variabel ID]]),INDEX(DataTitel_liste,1))</f>
        <v>Eksempel 1 (interval)</v>
      </c>
      <c r="G1841" s="188" t="str" cm="1">
        <f t="array" ref="G1841">IF(LineærRegression_Valg[[#This Row],[Indenfor range]],IF(LineærRegression_Valg[[#This Row],[Intet overlap]],INDEX(DataTitel_liste,LineærRegression_Valg[[#This Row],[Uafhængig variabel ID]]),INDEX(DataTitel_liste,IF(LineærRegression_Valg[[#This Row],[Afhængig variabel ID]]=1,2,1))),$B$7)</f>
        <v>Eksempel 2 (interval)</v>
      </c>
      <c r="H1841" s="188">
        <f>_xlfn.AGGREGATE(2,5,LineærRegression_Valg[[#This Row],[Tabel ID]])</f>
        <v>1</v>
      </c>
    </row>
    <row r="1842" spans="1:8" x14ac:dyDescent="0.2">
      <c r="A1842">
        <f>ROW(LineærRegression_Valg[[#This Row],[Tabel ID]])-ROW(LineærRegression_Valg[[#Headers],[Tabel ID]])</f>
        <v>1832</v>
      </c>
      <c r="B1842" s="188">
        <f>ROUNDDOWN((LineærRegression_Valg[[#This Row],[Tabel ID]]-1)/$B$5,0)+1</f>
        <v>458</v>
      </c>
      <c r="C1842" s="188">
        <f t="shared" si="28"/>
        <v>4</v>
      </c>
      <c r="D1842" s="188" t="b">
        <f>LineærRegression_Valg[[#This Row],[Afhængig variabel ID]]&lt;&gt;LineærRegression_Valg[[#This Row],[Uafhængig variabel ID]]</f>
        <v>1</v>
      </c>
      <c r="E1842" s="188" t="b">
        <f>LineærRegression_Valg[[#This Row],[Afhængig variabel ID]]&lt;=$B$5</f>
        <v>0</v>
      </c>
      <c r="F1842" t="str" cm="1">
        <f t="array" ref="F1842">IF(LineærRegression_Valg[[#This Row],[Indenfor range]],INDEX(DataTitel_liste,LineærRegression_Valg[[#This Row],[Afhængig variabel ID]]),INDEX(DataTitel_liste,1))</f>
        <v>Eksempel 1 (interval)</v>
      </c>
      <c r="G1842" s="188" t="str" cm="1">
        <f t="array" ref="G1842">IF(LineærRegression_Valg[[#This Row],[Indenfor range]],IF(LineærRegression_Valg[[#This Row],[Intet overlap]],INDEX(DataTitel_liste,LineærRegression_Valg[[#This Row],[Uafhængig variabel ID]]),INDEX(DataTitel_liste,IF(LineærRegression_Valg[[#This Row],[Afhængig variabel ID]]=1,2,1))),$B$7)</f>
        <v>Eksempel 2 (interval)</v>
      </c>
      <c r="H1842" s="188">
        <f>_xlfn.AGGREGATE(2,5,LineærRegression_Valg[[#This Row],[Tabel ID]])</f>
        <v>1</v>
      </c>
    </row>
    <row r="1843" spans="1:8" x14ac:dyDescent="0.2">
      <c r="A1843">
        <f>ROW(LineærRegression_Valg[[#This Row],[Tabel ID]])-ROW(LineærRegression_Valg[[#Headers],[Tabel ID]])</f>
        <v>1833</v>
      </c>
      <c r="B1843" s="188">
        <f>ROUNDDOWN((LineærRegression_Valg[[#This Row],[Tabel ID]]-1)/$B$5,0)+1</f>
        <v>459</v>
      </c>
      <c r="C1843" s="188">
        <f t="shared" si="28"/>
        <v>1</v>
      </c>
      <c r="D1843" s="188" t="b">
        <f>LineærRegression_Valg[[#This Row],[Afhængig variabel ID]]&lt;&gt;LineærRegression_Valg[[#This Row],[Uafhængig variabel ID]]</f>
        <v>1</v>
      </c>
      <c r="E1843" s="188" t="b">
        <f>LineærRegression_Valg[[#This Row],[Afhængig variabel ID]]&lt;=$B$5</f>
        <v>0</v>
      </c>
      <c r="F1843" t="str" cm="1">
        <f t="array" ref="F1843">IF(LineærRegression_Valg[[#This Row],[Indenfor range]],INDEX(DataTitel_liste,LineærRegression_Valg[[#This Row],[Afhængig variabel ID]]),INDEX(DataTitel_liste,1))</f>
        <v>Eksempel 1 (interval)</v>
      </c>
      <c r="G1843" s="188" t="str" cm="1">
        <f t="array" ref="G1843">IF(LineærRegression_Valg[[#This Row],[Indenfor range]],IF(LineærRegression_Valg[[#This Row],[Intet overlap]],INDEX(DataTitel_liste,LineærRegression_Valg[[#This Row],[Uafhængig variabel ID]]),INDEX(DataTitel_liste,IF(LineærRegression_Valg[[#This Row],[Afhængig variabel ID]]=1,2,1))),$B$7)</f>
        <v>Eksempel 2 (interval)</v>
      </c>
      <c r="H1843" s="188">
        <f>_xlfn.AGGREGATE(2,5,LineærRegression_Valg[[#This Row],[Tabel ID]])</f>
        <v>1</v>
      </c>
    </row>
    <row r="1844" spans="1:8" x14ac:dyDescent="0.2">
      <c r="A1844">
        <f>ROW(LineærRegression_Valg[[#This Row],[Tabel ID]])-ROW(LineærRegression_Valg[[#Headers],[Tabel ID]])</f>
        <v>1834</v>
      </c>
      <c r="B1844" s="188">
        <f>ROUNDDOWN((LineærRegression_Valg[[#This Row],[Tabel ID]]-1)/$B$5,0)+1</f>
        <v>459</v>
      </c>
      <c r="C1844" s="188">
        <f t="shared" si="28"/>
        <v>2</v>
      </c>
      <c r="D1844" s="188" t="b">
        <f>LineærRegression_Valg[[#This Row],[Afhængig variabel ID]]&lt;&gt;LineærRegression_Valg[[#This Row],[Uafhængig variabel ID]]</f>
        <v>1</v>
      </c>
      <c r="E1844" s="188" t="b">
        <f>LineærRegression_Valg[[#This Row],[Afhængig variabel ID]]&lt;=$B$5</f>
        <v>0</v>
      </c>
      <c r="F1844" t="str" cm="1">
        <f t="array" ref="F1844">IF(LineærRegression_Valg[[#This Row],[Indenfor range]],INDEX(DataTitel_liste,LineærRegression_Valg[[#This Row],[Afhængig variabel ID]]),INDEX(DataTitel_liste,1))</f>
        <v>Eksempel 1 (interval)</v>
      </c>
      <c r="G1844" s="188" t="str" cm="1">
        <f t="array" ref="G1844">IF(LineærRegression_Valg[[#This Row],[Indenfor range]],IF(LineærRegression_Valg[[#This Row],[Intet overlap]],INDEX(DataTitel_liste,LineærRegression_Valg[[#This Row],[Uafhængig variabel ID]]),INDEX(DataTitel_liste,IF(LineærRegression_Valg[[#This Row],[Afhængig variabel ID]]=1,2,1))),$B$7)</f>
        <v>Eksempel 2 (interval)</v>
      </c>
      <c r="H1844" s="188">
        <f>_xlfn.AGGREGATE(2,5,LineærRegression_Valg[[#This Row],[Tabel ID]])</f>
        <v>1</v>
      </c>
    </row>
    <row r="1845" spans="1:8" x14ac:dyDescent="0.2">
      <c r="A1845">
        <f>ROW(LineærRegression_Valg[[#This Row],[Tabel ID]])-ROW(LineærRegression_Valg[[#Headers],[Tabel ID]])</f>
        <v>1835</v>
      </c>
      <c r="B1845" s="188">
        <f>ROUNDDOWN((LineærRegression_Valg[[#This Row],[Tabel ID]]-1)/$B$5,0)+1</f>
        <v>459</v>
      </c>
      <c r="C1845" s="188">
        <f t="shared" si="28"/>
        <v>3</v>
      </c>
      <c r="D1845" s="188" t="b">
        <f>LineærRegression_Valg[[#This Row],[Afhængig variabel ID]]&lt;&gt;LineærRegression_Valg[[#This Row],[Uafhængig variabel ID]]</f>
        <v>1</v>
      </c>
      <c r="E1845" s="188" t="b">
        <f>LineærRegression_Valg[[#This Row],[Afhængig variabel ID]]&lt;=$B$5</f>
        <v>0</v>
      </c>
      <c r="F1845" t="str" cm="1">
        <f t="array" ref="F1845">IF(LineærRegression_Valg[[#This Row],[Indenfor range]],INDEX(DataTitel_liste,LineærRegression_Valg[[#This Row],[Afhængig variabel ID]]),INDEX(DataTitel_liste,1))</f>
        <v>Eksempel 1 (interval)</v>
      </c>
      <c r="G1845" s="188" t="str" cm="1">
        <f t="array" ref="G1845">IF(LineærRegression_Valg[[#This Row],[Indenfor range]],IF(LineærRegression_Valg[[#This Row],[Intet overlap]],INDEX(DataTitel_liste,LineærRegression_Valg[[#This Row],[Uafhængig variabel ID]]),INDEX(DataTitel_liste,IF(LineærRegression_Valg[[#This Row],[Afhængig variabel ID]]=1,2,1))),$B$7)</f>
        <v>Eksempel 2 (interval)</v>
      </c>
      <c r="H1845" s="188">
        <f>_xlfn.AGGREGATE(2,5,LineærRegression_Valg[[#This Row],[Tabel ID]])</f>
        <v>1</v>
      </c>
    </row>
    <row r="1846" spans="1:8" x14ac:dyDescent="0.2">
      <c r="A1846">
        <f>ROW(LineærRegression_Valg[[#This Row],[Tabel ID]])-ROW(LineærRegression_Valg[[#Headers],[Tabel ID]])</f>
        <v>1836</v>
      </c>
      <c r="B1846" s="188">
        <f>ROUNDDOWN((LineærRegression_Valg[[#This Row],[Tabel ID]]-1)/$B$5,0)+1</f>
        <v>459</v>
      </c>
      <c r="C1846" s="188">
        <f t="shared" si="28"/>
        <v>4</v>
      </c>
      <c r="D1846" s="188" t="b">
        <f>LineærRegression_Valg[[#This Row],[Afhængig variabel ID]]&lt;&gt;LineærRegression_Valg[[#This Row],[Uafhængig variabel ID]]</f>
        <v>1</v>
      </c>
      <c r="E1846" s="188" t="b">
        <f>LineærRegression_Valg[[#This Row],[Afhængig variabel ID]]&lt;=$B$5</f>
        <v>0</v>
      </c>
      <c r="F1846" t="str" cm="1">
        <f t="array" ref="F1846">IF(LineærRegression_Valg[[#This Row],[Indenfor range]],INDEX(DataTitel_liste,LineærRegression_Valg[[#This Row],[Afhængig variabel ID]]),INDEX(DataTitel_liste,1))</f>
        <v>Eksempel 1 (interval)</v>
      </c>
      <c r="G1846" s="188" t="str" cm="1">
        <f t="array" ref="G1846">IF(LineærRegression_Valg[[#This Row],[Indenfor range]],IF(LineærRegression_Valg[[#This Row],[Intet overlap]],INDEX(DataTitel_liste,LineærRegression_Valg[[#This Row],[Uafhængig variabel ID]]),INDEX(DataTitel_liste,IF(LineærRegression_Valg[[#This Row],[Afhængig variabel ID]]=1,2,1))),$B$7)</f>
        <v>Eksempel 2 (interval)</v>
      </c>
      <c r="H1846" s="188">
        <f>_xlfn.AGGREGATE(2,5,LineærRegression_Valg[[#This Row],[Tabel ID]])</f>
        <v>1</v>
      </c>
    </row>
    <row r="1847" spans="1:8" x14ac:dyDescent="0.2">
      <c r="A1847">
        <f>ROW(LineærRegression_Valg[[#This Row],[Tabel ID]])-ROW(LineærRegression_Valg[[#Headers],[Tabel ID]])</f>
        <v>1837</v>
      </c>
      <c r="B1847" s="188">
        <f>ROUNDDOWN((LineærRegression_Valg[[#This Row],[Tabel ID]]-1)/$B$5,0)+1</f>
        <v>460</v>
      </c>
      <c r="C1847" s="188">
        <f t="shared" si="28"/>
        <v>1</v>
      </c>
      <c r="D1847" s="188" t="b">
        <f>LineærRegression_Valg[[#This Row],[Afhængig variabel ID]]&lt;&gt;LineærRegression_Valg[[#This Row],[Uafhængig variabel ID]]</f>
        <v>1</v>
      </c>
      <c r="E1847" s="188" t="b">
        <f>LineærRegression_Valg[[#This Row],[Afhængig variabel ID]]&lt;=$B$5</f>
        <v>0</v>
      </c>
      <c r="F1847" t="str" cm="1">
        <f t="array" ref="F1847">IF(LineærRegression_Valg[[#This Row],[Indenfor range]],INDEX(DataTitel_liste,LineærRegression_Valg[[#This Row],[Afhængig variabel ID]]),INDEX(DataTitel_liste,1))</f>
        <v>Eksempel 1 (interval)</v>
      </c>
      <c r="G1847" s="188" t="str" cm="1">
        <f t="array" ref="G1847">IF(LineærRegression_Valg[[#This Row],[Indenfor range]],IF(LineærRegression_Valg[[#This Row],[Intet overlap]],INDEX(DataTitel_liste,LineærRegression_Valg[[#This Row],[Uafhængig variabel ID]]),INDEX(DataTitel_liste,IF(LineærRegression_Valg[[#This Row],[Afhængig variabel ID]]=1,2,1))),$B$7)</f>
        <v>Eksempel 2 (interval)</v>
      </c>
      <c r="H1847" s="188">
        <f>_xlfn.AGGREGATE(2,5,LineærRegression_Valg[[#This Row],[Tabel ID]])</f>
        <v>1</v>
      </c>
    </row>
    <row r="1848" spans="1:8" x14ac:dyDescent="0.2">
      <c r="A1848">
        <f>ROW(LineærRegression_Valg[[#This Row],[Tabel ID]])-ROW(LineærRegression_Valg[[#Headers],[Tabel ID]])</f>
        <v>1838</v>
      </c>
      <c r="B1848" s="188">
        <f>ROUNDDOWN((LineærRegression_Valg[[#This Row],[Tabel ID]]-1)/$B$5,0)+1</f>
        <v>460</v>
      </c>
      <c r="C1848" s="188">
        <f t="shared" si="28"/>
        <v>2</v>
      </c>
      <c r="D1848" s="188" t="b">
        <f>LineærRegression_Valg[[#This Row],[Afhængig variabel ID]]&lt;&gt;LineærRegression_Valg[[#This Row],[Uafhængig variabel ID]]</f>
        <v>1</v>
      </c>
      <c r="E1848" s="188" t="b">
        <f>LineærRegression_Valg[[#This Row],[Afhængig variabel ID]]&lt;=$B$5</f>
        <v>0</v>
      </c>
      <c r="F1848" t="str" cm="1">
        <f t="array" ref="F1848">IF(LineærRegression_Valg[[#This Row],[Indenfor range]],INDEX(DataTitel_liste,LineærRegression_Valg[[#This Row],[Afhængig variabel ID]]),INDEX(DataTitel_liste,1))</f>
        <v>Eksempel 1 (interval)</v>
      </c>
      <c r="G1848" s="188" t="str" cm="1">
        <f t="array" ref="G1848">IF(LineærRegression_Valg[[#This Row],[Indenfor range]],IF(LineærRegression_Valg[[#This Row],[Intet overlap]],INDEX(DataTitel_liste,LineærRegression_Valg[[#This Row],[Uafhængig variabel ID]]),INDEX(DataTitel_liste,IF(LineærRegression_Valg[[#This Row],[Afhængig variabel ID]]=1,2,1))),$B$7)</f>
        <v>Eksempel 2 (interval)</v>
      </c>
      <c r="H1848" s="188">
        <f>_xlfn.AGGREGATE(2,5,LineærRegression_Valg[[#This Row],[Tabel ID]])</f>
        <v>1</v>
      </c>
    </row>
    <row r="1849" spans="1:8" x14ac:dyDescent="0.2">
      <c r="A1849">
        <f>ROW(LineærRegression_Valg[[#This Row],[Tabel ID]])-ROW(LineærRegression_Valg[[#Headers],[Tabel ID]])</f>
        <v>1839</v>
      </c>
      <c r="B1849" s="188">
        <f>ROUNDDOWN((LineærRegression_Valg[[#This Row],[Tabel ID]]-1)/$B$5,0)+1</f>
        <v>460</v>
      </c>
      <c r="C1849" s="188">
        <f t="shared" si="28"/>
        <v>3</v>
      </c>
      <c r="D1849" s="188" t="b">
        <f>LineærRegression_Valg[[#This Row],[Afhængig variabel ID]]&lt;&gt;LineærRegression_Valg[[#This Row],[Uafhængig variabel ID]]</f>
        <v>1</v>
      </c>
      <c r="E1849" s="188" t="b">
        <f>LineærRegression_Valg[[#This Row],[Afhængig variabel ID]]&lt;=$B$5</f>
        <v>0</v>
      </c>
      <c r="F1849" t="str" cm="1">
        <f t="array" ref="F1849">IF(LineærRegression_Valg[[#This Row],[Indenfor range]],INDEX(DataTitel_liste,LineærRegression_Valg[[#This Row],[Afhængig variabel ID]]),INDEX(DataTitel_liste,1))</f>
        <v>Eksempel 1 (interval)</v>
      </c>
      <c r="G1849" s="188" t="str" cm="1">
        <f t="array" ref="G1849">IF(LineærRegression_Valg[[#This Row],[Indenfor range]],IF(LineærRegression_Valg[[#This Row],[Intet overlap]],INDEX(DataTitel_liste,LineærRegression_Valg[[#This Row],[Uafhængig variabel ID]]),INDEX(DataTitel_liste,IF(LineærRegression_Valg[[#This Row],[Afhængig variabel ID]]=1,2,1))),$B$7)</f>
        <v>Eksempel 2 (interval)</v>
      </c>
      <c r="H1849" s="188">
        <f>_xlfn.AGGREGATE(2,5,LineærRegression_Valg[[#This Row],[Tabel ID]])</f>
        <v>1</v>
      </c>
    </row>
    <row r="1850" spans="1:8" x14ac:dyDescent="0.2">
      <c r="A1850">
        <f>ROW(LineærRegression_Valg[[#This Row],[Tabel ID]])-ROW(LineærRegression_Valg[[#Headers],[Tabel ID]])</f>
        <v>1840</v>
      </c>
      <c r="B1850" s="188">
        <f>ROUNDDOWN((LineærRegression_Valg[[#This Row],[Tabel ID]]-1)/$B$5,0)+1</f>
        <v>460</v>
      </c>
      <c r="C1850" s="188">
        <f t="shared" si="28"/>
        <v>4</v>
      </c>
      <c r="D1850" s="188" t="b">
        <f>LineærRegression_Valg[[#This Row],[Afhængig variabel ID]]&lt;&gt;LineærRegression_Valg[[#This Row],[Uafhængig variabel ID]]</f>
        <v>1</v>
      </c>
      <c r="E1850" s="188" t="b">
        <f>LineærRegression_Valg[[#This Row],[Afhængig variabel ID]]&lt;=$B$5</f>
        <v>0</v>
      </c>
      <c r="F1850" t="str" cm="1">
        <f t="array" ref="F1850">IF(LineærRegression_Valg[[#This Row],[Indenfor range]],INDEX(DataTitel_liste,LineærRegression_Valg[[#This Row],[Afhængig variabel ID]]),INDEX(DataTitel_liste,1))</f>
        <v>Eksempel 1 (interval)</v>
      </c>
      <c r="G1850" s="188" t="str" cm="1">
        <f t="array" ref="G1850">IF(LineærRegression_Valg[[#This Row],[Indenfor range]],IF(LineærRegression_Valg[[#This Row],[Intet overlap]],INDEX(DataTitel_liste,LineærRegression_Valg[[#This Row],[Uafhængig variabel ID]]),INDEX(DataTitel_liste,IF(LineærRegression_Valg[[#This Row],[Afhængig variabel ID]]=1,2,1))),$B$7)</f>
        <v>Eksempel 2 (interval)</v>
      </c>
      <c r="H1850" s="188">
        <f>_xlfn.AGGREGATE(2,5,LineærRegression_Valg[[#This Row],[Tabel ID]])</f>
        <v>1</v>
      </c>
    </row>
    <row r="1851" spans="1:8" x14ac:dyDescent="0.2">
      <c r="A1851">
        <f>ROW(LineærRegression_Valg[[#This Row],[Tabel ID]])-ROW(LineærRegression_Valg[[#Headers],[Tabel ID]])</f>
        <v>1841</v>
      </c>
      <c r="B1851" s="188">
        <f>ROUNDDOWN((LineærRegression_Valg[[#This Row],[Tabel ID]]-1)/$B$5,0)+1</f>
        <v>461</v>
      </c>
      <c r="C1851" s="188">
        <f t="shared" si="28"/>
        <v>1</v>
      </c>
      <c r="D1851" s="188" t="b">
        <f>LineærRegression_Valg[[#This Row],[Afhængig variabel ID]]&lt;&gt;LineærRegression_Valg[[#This Row],[Uafhængig variabel ID]]</f>
        <v>1</v>
      </c>
      <c r="E1851" s="188" t="b">
        <f>LineærRegression_Valg[[#This Row],[Afhængig variabel ID]]&lt;=$B$5</f>
        <v>0</v>
      </c>
      <c r="F1851" t="str" cm="1">
        <f t="array" ref="F1851">IF(LineærRegression_Valg[[#This Row],[Indenfor range]],INDEX(DataTitel_liste,LineærRegression_Valg[[#This Row],[Afhængig variabel ID]]),INDEX(DataTitel_liste,1))</f>
        <v>Eksempel 1 (interval)</v>
      </c>
      <c r="G1851" s="188" t="str" cm="1">
        <f t="array" ref="G1851">IF(LineærRegression_Valg[[#This Row],[Indenfor range]],IF(LineærRegression_Valg[[#This Row],[Intet overlap]],INDEX(DataTitel_liste,LineærRegression_Valg[[#This Row],[Uafhængig variabel ID]]),INDEX(DataTitel_liste,IF(LineærRegression_Valg[[#This Row],[Afhængig variabel ID]]=1,2,1))),$B$7)</f>
        <v>Eksempel 2 (interval)</v>
      </c>
      <c r="H1851" s="188">
        <f>_xlfn.AGGREGATE(2,5,LineærRegression_Valg[[#This Row],[Tabel ID]])</f>
        <v>1</v>
      </c>
    </row>
    <row r="1852" spans="1:8" x14ac:dyDescent="0.2">
      <c r="A1852">
        <f>ROW(LineærRegression_Valg[[#This Row],[Tabel ID]])-ROW(LineærRegression_Valg[[#Headers],[Tabel ID]])</f>
        <v>1842</v>
      </c>
      <c r="B1852" s="188">
        <f>ROUNDDOWN((LineærRegression_Valg[[#This Row],[Tabel ID]]-1)/$B$5,0)+1</f>
        <v>461</v>
      </c>
      <c r="C1852" s="188">
        <f t="shared" si="28"/>
        <v>2</v>
      </c>
      <c r="D1852" s="188" t="b">
        <f>LineærRegression_Valg[[#This Row],[Afhængig variabel ID]]&lt;&gt;LineærRegression_Valg[[#This Row],[Uafhængig variabel ID]]</f>
        <v>1</v>
      </c>
      <c r="E1852" s="188" t="b">
        <f>LineærRegression_Valg[[#This Row],[Afhængig variabel ID]]&lt;=$B$5</f>
        <v>0</v>
      </c>
      <c r="F1852" t="str" cm="1">
        <f t="array" ref="F1852">IF(LineærRegression_Valg[[#This Row],[Indenfor range]],INDEX(DataTitel_liste,LineærRegression_Valg[[#This Row],[Afhængig variabel ID]]),INDEX(DataTitel_liste,1))</f>
        <v>Eksempel 1 (interval)</v>
      </c>
      <c r="G1852" s="188" t="str" cm="1">
        <f t="array" ref="G1852">IF(LineærRegression_Valg[[#This Row],[Indenfor range]],IF(LineærRegression_Valg[[#This Row],[Intet overlap]],INDEX(DataTitel_liste,LineærRegression_Valg[[#This Row],[Uafhængig variabel ID]]),INDEX(DataTitel_liste,IF(LineærRegression_Valg[[#This Row],[Afhængig variabel ID]]=1,2,1))),$B$7)</f>
        <v>Eksempel 2 (interval)</v>
      </c>
      <c r="H1852" s="188">
        <f>_xlfn.AGGREGATE(2,5,LineærRegression_Valg[[#This Row],[Tabel ID]])</f>
        <v>1</v>
      </c>
    </row>
    <row r="1853" spans="1:8" x14ac:dyDescent="0.2">
      <c r="A1853">
        <f>ROW(LineærRegression_Valg[[#This Row],[Tabel ID]])-ROW(LineærRegression_Valg[[#Headers],[Tabel ID]])</f>
        <v>1843</v>
      </c>
      <c r="B1853" s="188">
        <f>ROUNDDOWN((LineærRegression_Valg[[#This Row],[Tabel ID]]-1)/$B$5,0)+1</f>
        <v>461</v>
      </c>
      <c r="C1853" s="188">
        <f t="shared" si="28"/>
        <v>3</v>
      </c>
      <c r="D1853" s="188" t="b">
        <f>LineærRegression_Valg[[#This Row],[Afhængig variabel ID]]&lt;&gt;LineærRegression_Valg[[#This Row],[Uafhængig variabel ID]]</f>
        <v>1</v>
      </c>
      <c r="E1853" s="188" t="b">
        <f>LineærRegression_Valg[[#This Row],[Afhængig variabel ID]]&lt;=$B$5</f>
        <v>0</v>
      </c>
      <c r="F1853" t="str" cm="1">
        <f t="array" ref="F1853">IF(LineærRegression_Valg[[#This Row],[Indenfor range]],INDEX(DataTitel_liste,LineærRegression_Valg[[#This Row],[Afhængig variabel ID]]),INDEX(DataTitel_liste,1))</f>
        <v>Eksempel 1 (interval)</v>
      </c>
      <c r="G1853" s="188" t="str" cm="1">
        <f t="array" ref="G1853">IF(LineærRegression_Valg[[#This Row],[Indenfor range]],IF(LineærRegression_Valg[[#This Row],[Intet overlap]],INDEX(DataTitel_liste,LineærRegression_Valg[[#This Row],[Uafhængig variabel ID]]),INDEX(DataTitel_liste,IF(LineærRegression_Valg[[#This Row],[Afhængig variabel ID]]=1,2,1))),$B$7)</f>
        <v>Eksempel 2 (interval)</v>
      </c>
      <c r="H1853" s="188">
        <f>_xlfn.AGGREGATE(2,5,LineærRegression_Valg[[#This Row],[Tabel ID]])</f>
        <v>1</v>
      </c>
    </row>
    <row r="1854" spans="1:8" x14ac:dyDescent="0.2">
      <c r="A1854">
        <f>ROW(LineærRegression_Valg[[#This Row],[Tabel ID]])-ROW(LineærRegression_Valg[[#Headers],[Tabel ID]])</f>
        <v>1844</v>
      </c>
      <c r="B1854" s="188">
        <f>ROUNDDOWN((LineærRegression_Valg[[#This Row],[Tabel ID]]-1)/$B$5,0)+1</f>
        <v>461</v>
      </c>
      <c r="C1854" s="188">
        <f t="shared" si="28"/>
        <v>4</v>
      </c>
      <c r="D1854" s="188" t="b">
        <f>LineærRegression_Valg[[#This Row],[Afhængig variabel ID]]&lt;&gt;LineærRegression_Valg[[#This Row],[Uafhængig variabel ID]]</f>
        <v>1</v>
      </c>
      <c r="E1854" s="188" t="b">
        <f>LineærRegression_Valg[[#This Row],[Afhængig variabel ID]]&lt;=$B$5</f>
        <v>0</v>
      </c>
      <c r="F1854" t="str" cm="1">
        <f t="array" ref="F1854">IF(LineærRegression_Valg[[#This Row],[Indenfor range]],INDEX(DataTitel_liste,LineærRegression_Valg[[#This Row],[Afhængig variabel ID]]),INDEX(DataTitel_liste,1))</f>
        <v>Eksempel 1 (interval)</v>
      </c>
      <c r="G1854" s="188" t="str" cm="1">
        <f t="array" ref="G1854">IF(LineærRegression_Valg[[#This Row],[Indenfor range]],IF(LineærRegression_Valg[[#This Row],[Intet overlap]],INDEX(DataTitel_liste,LineærRegression_Valg[[#This Row],[Uafhængig variabel ID]]),INDEX(DataTitel_liste,IF(LineærRegression_Valg[[#This Row],[Afhængig variabel ID]]=1,2,1))),$B$7)</f>
        <v>Eksempel 2 (interval)</v>
      </c>
      <c r="H1854" s="188">
        <f>_xlfn.AGGREGATE(2,5,LineærRegression_Valg[[#This Row],[Tabel ID]])</f>
        <v>1</v>
      </c>
    </row>
    <row r="1855" spans="1:8" x14ac:dyDescent="0.2">
      <c r="A1855">
        <f>ROW(LineærRegression_Valg[[#This Row],[Tabel ID]])-ROW(LineærRegression_Valg[[#Headers],[Tabel ID]])</f>
        <v>1845</v>
      </c>
      <c r="B1855" s="188">
        <f>ROUNDDOWN((LineærRegression_Valg[[#This Row],[Tabel ID]]-1)/$B$5,0)+1</f>
        <v>462</v>
      </c>
      <c r="C1855" s="188">
        <f t="shared" si="28"/>
        <v>1</v>
      </c>
      <c r="D1855" s="188" t="b">
        <f>LineærRegression_Valg[[#This Row],[Afhængig variabel ID]]&lt;&gt;LineærRegression_Valg[[#This Row],[Uafhængig variabel ID]]</f>
        <v>1</v>
      </c>
      <c r="E1855" s="188" t="b">
        <f>LineærRegression_Valg[[#This Row],[Afhængig variabel ID]]&lt;=$B$5</f>
        <v>0</v>
      </c>
      <c r="F1855" t="str" cm="1">
        <f t="array" ref="F1855">IF(LineærRegression_Valg[[#This Row],[Indenfor range]],INDEX(DataTitel_liste,LineærRegression_Valg[[#This Row],[Afhængig variabel ID]]),INDEX(DataTitel_liste,1))</f>
        <v>Eksempel 1 (interval)</v>
      </c>
      <c r="G1855" s="188" t="str" cm="1">
        <f t="array" ref="G1855">IF(LineærRegression_Valg[[#This Row],[Indenfor range]],IF(LineærRegression_Valg[[#This Row],[Intet overlap]],INDEX(DataTitel_liste,LineærRegression_Valg[[#This Row],[Uafhængig variabel ID]]),INDEX(DataTitel_liste,IF(LineærRegression_Valg[[#This Row],[Afhængig variabel ID]]=1,2,1))),$B$7)</f>
        <v>Eksempel 2 (interval)</v>
      </c>
      <c r="H1855" s="188">
        <f>_xlfn.AGGREGATE(2,5,LineærRegression_Valg[[#This Row],[Tabel ID]])</f>
        <v>1</v>
      </c>
    </row>
    <row r="1856" spans="1:8" x14ac:dyDescent="0.2">
      <c r="A1856">
        <f>ROW(LineærRegression_Valg[[#This Row],[Tabel ID]])-ROW(LineærRegression_Valg[[#Headers],[Tabel ID]])</f>
        <v>1846</v>
      </c>
      <c r="B1856" s="188">
        <f>ROUNDDOWN((LineærRegression_Valg[[#This Row],[Tabel ID]]-1)/$B$5,0)+1</f>
        <v>462</v>
      </c>
      <c r="C1856" s="188">
        <f t="shared" si="28"/>
        <v>2</v>
      </c>
      <c r="D1856" s="188" t="b">
        <f>LineærRegression_Valg[[#This Row],[Afhængig variabel ID]]&lt;&gt;LineærRegression_Valg[[#This Row],[Uafhængig variabel ID]]</f>
        <v>1</v>
      </c>
      <c r="E1856" s="188" t="b">
        <f>LineærRegression_Valg[[#This Row],[Afhængig variabel ID]]&lt;=$B$5</f>
        <v>0</v>
      </c>
      <c r="F1856" t="str" cm="1">
        <f t="array" ref="F1856">IF(LineærRegression_Valg[[#This Row],[Indenfor range]],INDEX(DataTitel_liste,LineærRegression_Valg[[#This Row],[Afhængig variabel ID]]),INDEX(DataTitel_liste,1))</f>
        <v>Eksempel 1 (interval)</v>
      </c>
      <c r="G1856" s="188" t="str" cm="1">
        <f t="array" ref="G1856">IF(LineærRegression_Valg[[#This Row],[Indenfor range]],IF(LineærRegression_Valg[[#This Row],[Intet overlap]],INDEX(DataTitel_liste,LineærRegression_Valg[[#This Row],[Uafhængig variabel ID]]),INDEX(DataTitel_liste,IF(LineærRegression_Valg[[#This Row],[Afhængig variabel ID]]=1,2,1))),$B$7)</f>
        <v>Eksempel 2 (interval)</v>
      </c>
      <c r="H1856" s="188">
        <f>_xlfn.AGGREGATE(2,5,LineærRegression_Valg[[#This Row],[Tabel ID]])</f>
        <v>1</v>
      </c>
    </row>
    <row r="1857" spans="1:8" x14ac:dyDescent="0.2">
      <c r="A1857">
        <f>ROW(LineærRegression_Valg[[#This Row],[Tabel ID]])-ROW(LineærRegression_Valg[[#Headers],[Tabel ID]])</f>
        <v>1847</v>
      </c>
      <c r="B1857" s="188">
        <f>ROUNDDOWN((LineærRegression_Valg[[#This Row],[Tabel ID]]-1)/$B$5,0)+1</f>
        <v>462</v>
      </c>
      <c r="C1857" s="188">
        <f t="shared" si="28"/>
        <v>3</v>
      </c>
      <c r="D1857" s="188" t="b">
        <f>LineærRegression_Valg[[#This Row],[Afhængig variabel ID]]&lt;&gt;LineærRegression_Valg[[#This Row],[Uafhængig variabel ID]]</f>
        <v>1</v>
      </c>
      <c r="E1857" s="188" t="b">
        <f>LineærRegression_Valg[[#This Row],[Afhængig variabel ID]]&lt;=$B$5</f>
        <v>0</v>
      </c>
      <c r="F1857" t="str" cm="1">
        <f t="array" ref="F1857">IF(LineærRegression_Valg[[#This Row],[Indenfor range]],INDEX(DataTitel_liste,LineærRegression_Valg[[#This Row],[Afhængig variabel ID]]),INDEX(DataTitel_liste,1))</f>
        <v>Eksempel 1 (interval)</v>
      </c>
      <c r="G1857" s="188" t="str" cm="1">
        <f t="array" ref="G1857">IF(LineærRegression_Valg[[#This Row],[Indenfor range]],IF(LineærRegression_Valg[[#This Row],[Intet overlap]],INDEX(DataTitel_liste,LineærRegression_Valg[[#This Row],[Uafhængig variabel ID]]),INDEX(DataTitel_liste,IF(LineærRegression_Valg[[#This Row],[Afhængig variabel ID]]=1,2,1))),$B$7)</f>
        <v>Eksempel 2 (interval)</v>
      </c>
      <c r="H1857" s="188">
        <f>_xlfn.AGGREGATE(2,5,LineærRegression_Valg[[#This Row],[Tabel ID]])</f>
        <v>1</v>
      </c>
    </row>
    <row r="1858" spans="1:8" x14ac:dyDescent="0.2">
      <c r="A1858">
        <f>ROW(LineærRegression_Valg[[#This Row],[Tabel ID]])-ROW(LineærRegression_Valg[[#Headers],[Tabel ID]])</f>
        <v>1848</v>
      </c>
      <c r="B1858" s="188">
        <f>ROUNDDOWN((LineærRegression_Valg[[#This Row],[Tabel ID]]-1)/$B$5,0)+1</f>
        <v>462</v>
      </c>
      <c r="C1858" s="188">
        <f t="shared" si="28"/>
        <v>4</v>
      </c>
      <c r="D1858" s="188" t="b">
        <f>LineærRegression_Valg[[#This Row],[Afhængig variabel ID]]&lt;&gt;LineærRegression_Valg[[#This Row],[Uafhængig variabel ID]]</f>
        <v>1</v>
      </c>
      <c r="E1858" s="188" t="b">
        <f>LineærRegression_Valg[[#This Row],[Afhængig variabel ID]]&lt;=$B$5</f>
        <v>0</v>
      </c>
      <c r="F1858" t="str" cm="1">
        <f t="array" ref="F1858">IF(LineærRegression_Valg[[#This Row],[Indenfor range]],INDEX(DataTitel_liste,LineærRegression_Valg[[#This Row],[Afhængig variabel ID]]),INDEX(DataTitel_liste,1))</f>
        <v>Eksempel 1 (interval)</v>
      </c>
      <c r="G1858" s="188" t="str" cm="1">
        <f t="array" ref="G1858">IF(LineærRegression_Valg[[#This Row],[Indenfor range]],IF(LineærRegression_Valg[[#This Row],[Intet overlap]],INDEX(DataTitel_liste,LineærRegression_Valg[[#This Row],[Uafhængig variabel ID]]),INDEX(DataTitel_liste,IF(LineærRegression_Valg[[#This Row],[Afhængig variabel ID]]=1,2,1))),$B$7)</f>
        <v>Eksempel 2 (interval)</v>
      </c>
      <c r="H1858" s="188">
        <f>_xlfn.AGGREGATE(2,5,LineærRegression_Valg[[#This Row],[Tabel ID]])</f>
        <v>1</v>
      </c>
    </row>
    <row r="1859" spans="1:8" x14ac:dyDescent="0.2">
      <c r="A1859">
        <f>ROW(LineærRegression_Valg[[#This Row],[Tabel ID]])-ROW(LineærRegression_Valg[[#Headers],[Tabel ID]])</f>
        <v>1849</v>
      </c>
      <c r="B1859" s="188">
        <f>ROUNDDOWN((LineærRegression_Valg[[#This Row],[Tabel ID]]-1)/$B$5,0)+1</f>
        <v>463</v>
      </c>
      <c r="C1859" s="188">
        <f t="shared" si="28"/>
        <v>1</v>
      </c>
      <c r="D1859" s="188" t="b">
        <f>LineærRegression_Valg[[#This Row],[Afhængig variabel ID]]&lt;&gt;LineærRegression_Valg[[#This Row],[Uafhængig variabel ID]]</f>
        <v>1</v>
      </c>
      <c r="E1859" s="188" t="b">
        <f>LineærRegression_Valg[[#This Row],[Afhængig variabel ID]]&lt;=$B$5</f>
        <v>0</v>
      </c>
      <c r="F1859" t="str" cm="1">
        <f t="array" ref="F1859">IF(LineærRegression_Valg[[#This Row],[Indenfor range]],INDEX(DataTitel_liste,LineærRegression_Valg[[#This Row],[Afhængig variabel ID]]),INDEX(DataTitel_liste,1))</f>
        <v>Eksempel 1 (interval)</v>
      </c>
      <c r="G1859" s="188" t="str" cm="1">
        <f t="array" ref="G1859">IF(LineærRegression_Valg[[#This Row],[Indenfor range]],IF(LineærRegression_Valg[[#This Row],[Intet overlap]],INDEX(DataTitel_liste,LineærRegression_Valg[[#This Row],[Uafhængig variabel ID]]),INDEX(DataTitel_liste,IF(LineærRegression_Valg[[#This Row],[Afhængig variabel ID]]=1,2,1))),$B$7)</f>
        <v>Eksempel 2 (interval)</v>
      </c>
      <c r="H1859" s="188">
        <f>_xlfn.AGGREGATE(2,5,LineærRegression_Valg[[#This Row],[Tabel ID]])</f>
        <v>1</v>
      </c>
    </row>
    <row r="1860" spans="1:8" x14ac:dyDescent="0.2">
      <c r="A1860">
        <f>ROW(LineærRegression_Valg[[#This Row],[Tabel ID]])-ROW(LineærRegression_Valg[[#Headers],[Tabel ID]])</f>
        <v>1850</v>
      </c>
      <c r="B1860" s="188">
        <f>ROUNDDOWN((LineærRegression_Valg[[#This Row],[Tabel ID]]-1)/$B$5,0)+1</f>
        <v>463</v>
      </c>
      <c r="C1860" s="188">
        <f t="shared" si="28"/>
        <v>2</v>
      </c>
      <c r="D1860" s="188" t="b">
        <f>LineærRegression_Valg[[#This Row],[Afhængig variabel ID]]&lt;&gt;LineærRegression_Valg[[#This Row],[Uafhængig variabel ID]]</f>
        <v>1</v>
      </c>
      <c r="E1860" s="188" t="b">
        <f>LineærRegression_Valg[[#This Row],[Afhængig variabel ID]]&lt;=$B$5</f>
        <v>0</v>
      </c>
      <c r="F1860" t="str" cm="1">
        <f t="array" ref="F1860">IF(LineærRegression_Valg[[#This Row],[Indenfor range]],INDEX(DataTitel_liste,LineærRegression_Valg[[#This Row],[Afhængig variabel ID]]),INDEX(DataTitel_liste,1))</f>
        <v>Eksempel 1 (interval)</v>
      </c>
      <c r="G1860" s="188" t="str" cm="1">
        <f t="array" ref="G1860">IF(LineærRegression_Valg[[#This Row],[Indenfor range]],IF(LineærRegression_Valg[[#This Row],[Intet overlap]],INDEX(DataTitel_liste,LineærRegression_Valg[[#This Row],[Uafhængig variabel ID]]),INDEX(DataTitel_liste,IF(LineærRegression_Valg[[#This Row],[Afhængig variabel ID]]=1,2,1))),$B$7)</f>
        <v>Eksempel 2 (interval)</v>
      </c>
      <c r="H1860" s="188">
        <f>_xlfn.AGGREGATE(2,5,LineærRegression_Valg[[#This Row],[Tabel ID]])</f>
        <v>1</v>
      </c>
    </row>
    <row r="1861" spans="1:8" x14ac:dyDescent="0.2">
      <c r="A1861">
        <f>ROW(LineærRegression_Valg[[#This Row],[Tabel ID]])-ROW(LineærRegression_Valg[[#Headers],[Tabel ID]])</f>
        <v>1851</v>
      </c>
      <c r="B1861" s="188">
        <f>ROUNDDOWN((LineærRegression_Valg[[#This Row],[Tabel ID]]-1)/$B$5,0)+1</f>
        <v>463</v>
      </c>
      <c r="C1861" s="188">
        <f t="shared" si="28"/>
        <v>3</v>
      </c>
      <c r="D1861" s="188" t="b">
        <f>LineærRegression_Valg[[#This Row],[Afhængig variabel ID]]&lt;&gt;LineærRegression_Valg[[#This Row],[Uafhængig variabel ID]]</f>
        <v>1</v>
      </c>
      <c r="E1861" s="188" t="b">
        <f>LineærRegression_Valg[[#This Row],[Afhængig variabel ID]]&lt;=$B$5</f>
        <v>0</v>
      </c>
      <c r="F1861" t="str" cm="1">
        <f t="array" ref="F1861">IF(LineærRegression_Valg[[#This Row],[Indenfor range]],INDEX(DataTitel_liste,LineærRegression_Valg[[#This Row],[Afhængig variabel ID]]),INDEX(DataTitel_liste,1))</f>
        <v>Eksempel 1 (interval)</v>
      </c>
      <c r="G1861" s="188" t="str" cm="1">
        <f t="array" ref="G1861">IF(LineærRegression_Valg[[#This Row],[Indenfor range]],IF(LineærRegression_Valg[[#This Row],[Intet overlap]],INDEX(DataTitel_liste,LineærRegression_Valg[[#This Row],[Uafhængig variabel ID]]),INDEX(DataTitel_liste,IF(LineærRegression_Valg[[#This Row],[Afhængig variabel ID]]=1,2,1))),$B$7)</f>
        <v>Eksempel 2 (interval)</v>
      </c>
      <c r="H1861" s="188">
        <f>_xlfn.AGGREGATE(2,5,LineærRegression_Valg[[#This Row],[Tabel ID]])</f>
        <v>1</v>
      </c>
    </row>
    <row r="1862" spans="1:8" x14ac:dyDescent="0.2">
      <c r="A1862">
        <f>ROW(LineærRegression_Valg[[#This Row],[Tabel ID]])-ROW(LineærRegression_Valg[[#Headers],[Tabel ID]])</f>
        <v>1852</v>
      </c>
      <c r="B1862" s="188">
        <f>ROUNDDOWN((LineærRegression_Valg[[#This Row],[Tabel ID]]-1)/$B$5,0)+1</f>
        <v>463</v>
      </c>
      <c r="C1862" s="188">
        <f t="shared" si="28"/>
        <v>4</v>
      </c>
      <c r="D1862" s="188" t="b">
        <f>LineærRegression_Valg[[#This Row],[Afhængig variabel ID]]&lt;&gt;LineærRegression_Valg[[#This Row],[Uafhængig variabel ID]]</f>
        <v>1</v>
      </c>
      <c r="E1862" s="188" t="b">
        <f>LineærRegression_Valg[[#This Row],[Afhængig variabel ID]]&lt;=$B$5</f>
        <v>0</v>
      </c>
      <c r="F1862" t="str" cm="1">
        <f t="array" ref="F1862">IF(LineærRegression_Valg[[#This Row],[Indenfor range]],INDEX(DataTitel_liste,LineærRegression_Valg[[#This Row],[Afhængig variabel ID]]),INDEX(DataTitel_liste,1))</f>
        <v>Eksempel 1 (interval)</v>
      </c>
      <c r="G1862" s="188" t="str" cm="1">
        <f t="array" ref="G1862">IF(LineærRegression_Valg[[#This Row],[Indenfor range]],IF(LineærRegression_Valg[[#This Row],[Intet overlap]],INDEX(DataTitel_liste,LineærRegression_Valg[[#This Row],[Uafhængig variabel ID]]),INDEX(DataTitel_liste,IF(LineærRegression_Valg[[#This Row],[Afhængig variabel ID]]=1,2,1))),$B$7)</f>
        <v>Eksempel 2 (interval)</v>
      </c>
      <c r="H1862" s="188">
        <f>_xlfn.AGGREGATE(2,5,LineærRegression_Valg[[#This Row],[Tabel ID]])</f>
        <v>1</v>
      </c>
    </row>
    <row r="1863" spans="1:8" x14ac:dyDescent="0.2">
      <c r="A1863">
        <f>ROW(LineærRegression_Valg[[#This Row],[Tabel ID]])-ROW(LineærRegression_Valg[[#Headers],[Tabel ID]])</f>
        <v>1853</v>
      </c>
      <c r="B1863" s="188">
        <f>ROUNDDOWN((LineærRegression_Valg[[#This Row],[Tabel ID]]-1)/$B$5,0)+1</f>
        <v>464</v>
      </c>
      <c r="C1863" s="188">
        <f t="shared" si="28"/>
        <v>1</v>
      </c>
      <c r="D1863" s="188" t="b">
        <f>LineærRegression_Valg[[#This Row],[Afhængig variabel ID]]&lt;&gt;LineærRegression_Valg[[#This Row],[Uafhængig variabel ID]]</f>
        <v>1</v>
      </c>
      <c r="E1863" s="188" t="b">
        <f>LineærRegression_Valg[[#This Row],[Afhængig variabel ID]]&lt;=$B$5</f>
        <v>0</v>
      </c>
      <c r="F1863" t="str" cm="1">
        <f t="array" ref="F1863">IF(LineærRegression_Valg[[#This Row],[Indenfor range]],INDEX(DataTitel_liste,LineærRegression_Valg[[#This Row],[Afhængig variabel ID]]),INDEX(DataTitel_liste,1))</f>
        <v>Eksempel 1 (interval)</v>
      </c>
      <c r="G1863" s="188" t="str" cm="1">
        <f t="array" ref="G1863">IF(LineærRegression_Valg[[#This Row],[Indenfor range]],IF(LineærRegression_Valg[[#This Row],[Intet overlap]],INDEX(DataTitel_liste,LineærRegression_Valg[[#This Row],[Uafhængig variabel ID]]),INDEX(DataTitel_liste,IF(LineærRegression_Valg[[#This Row],[Afhængig variabel ID]]=1,2,1))),$B$7)</f>
        <v>Eksempel 2 (interval)</v>
      </c>
      <c r="H1863" s="188">
        <f>_xlfn.AGGREGATE(2,5,LineærRegression_Valg[[#This Row],[Tabel ID]])</f>
        <v>1</v>
      </c>
    </row>
    <row r="1864" spans="1:8" x14ac:dyDescent="0.2">
      <c r="A1864">
        <f>ROW(LineærRegression_Valg[[#This Row],[Tabel ID]])-ROW(LineærRegression_Valg[[#Headers],[Tabel ID]])</f>
        <v>1854</v>
      </c>
      <c r="B1864" s="188">
        <f>ROUNDDOWN((LineærRegression_Valg[[#This Row],[Tabel ID]]-1)/$B$5,0)+1</f>
        <v>464</v>
      </c>
      <c r="C1864" s="188">
        <f t="shared" si="28"/>
        <v>2</v>
      </c>
      <c r="D1864" s="188" t="b">
        <f>LineærRegression_Valg[[#This Row],[Afhængig variabel ID]]&lt;&gt;LineærRegression_Valg[[#This Row],[Uafhængig variabel ID]]</f>
        <v>1</v>
      </c>
      <c r="E1864" s="188" t="b">
        <f>LineærRegression_Valg[[#This Row],[Afhængig variabel ID]]&lt;=$B$5</f>
        <v>0</v>
      </c>
      <c r="F1864" t="str" cm="1">
        <f t="array" ref="F1864">IF(LineærRegression_Valg[[#This Row],[Indenfor range]],INDEX(DataTitel_liste,LineærRegression_Valg[[#This Row],[Afhængig variabel ID]]),INDEX(DataTitel_liste,1))</f>
        <v>Eksempel 1 (interval)</v>
      </c>
      <c r="G1864" s="188" t="str" cm="1">
        <f t="array" ref="G1864">IF(LineærRegression_Valg[[#This Row],[Indenfor range]],IF(LineærRegression_Valg[[#This Row],[Intet overlap]],INDEX(DataTitel_liste,LineærRegression_Valg[[#This Row],[Uafhængig variabel ID]]),INDEX(DataTitel_liste,IF(LineærRegression_Valg[[#This Row],[Afhængig variabel ID]]=1,2,1))),$B$7)</f>
        <v>Eksempel 2 (interval)</v>
      </c>
      <c r="H1864" s="188">
        <f>_xlfn.AGGREGATE(2,5,LineærRegression_Valg[[#This Row],[Tabel ID]])</f>
        <v>1</v>
      </c>
    </row>
    <row r="1865" spans="1:8" x14ac:dyDescent="0.2">
      <c r="A1865">
        <f>ROW(LineærRegression_Valg[[#This Row],[Tabel ID]])-ROW(LineærRegression_Valg[[#Headers],[Tabel ID]])</f>
        <v>1855</v>
      </c>
      <c r="B1865" s="188">
        <f>ROUNDDOWN((LineærRegression_Valg[[#This Row],[Tabel ID]]-1)/$B$5,0)+1</f>
        <v>464</v>
      </c>
      <c r="C1865" s="188">
        <f t="shared" si="28"/>
        <v>3</v>
      </c>
      <c r="D1865" s="188" t="b">
        <f>LineærRegression_Valg[[#This Row],[Afhængig variabel ID]]&lt;&gt;LineærRegression_Valg[[#This Row],[Uafhængig variabel ID]]</f>
        <v>1</v>
      </c>
      <c r="E1865" s="188" t="b">
        <f>LineærRegression_Valg[[#This Row],[Afhængig variabel ID]]&lt;=$B$5</f>
        <v>0</v>
      </c>
      <c r="F1865" t="str" cm="1">
        <f t="array" ref="F1865">IF(LineærRegression_Valg[[#This Row],[Indenfor range]],INDEX(DataTitel_liste,LineærRegression_Valg[[#This Row],[Afhængig variabel ID]]),INDEX(DataTitel_liste,1))</f>
        <v>Eksempel 1 (interval)</v>
      </c>
      <c r="G1865" s="188" t="str" cm="1">
        <f t="array" ref="G1865">IF(LineærRegression_Valg[[#This Row],[Indenfor range]],IF(LineærRegression_Valg[[#This Row],[Intet overlap]],INDEX(DataTitel_liste,LineærRegression_Valg[[#This Row],[Uafhængig variabel ID]]),INDEX(DataTitel_liste,IF(LineærRegression_Valg[[#This Row],[Afhængig variabel ID]]=1,2,1))),$B$7)</f>
        <v>Eksempel 2 (interval)</v>
      </c>
      <c r="H1865" s="188">
        <f>_xlfn.AGGREGATE(2,5,LineærRegression_Valg[[#This Row],[Tabel ID]])</f>
        <v>1</v>
      </c>
    </row>
    <row r="1866" spans="1:8" x14ac:dyDescent="0.2">
      <c r="A1866">
        <f>ROW(LineærRegression_Valg[[#This Row],[Tabel ID]])-ROW(LineærRegression_Valg[[#Headers],[Tabel ID]])</f>
        <v>1856</v>
      </c>
      <c r="B1866" s="188">
        <f>ROUNDDOWN((LineærRegression_Valg[[#This Row],[Tabel ID]]-1)/$B$5,0)+1</f>
        <v>464</v>
      </c>
      <c r="C1866" s="188">
        <f t="shared" si="28"/>
        <v>4</v>
      </c>
      <c r="D1866" s="188" t="b">
        <f>LineærRegression_Valg[[#This Row],[Afhængig variabel ID]]&lt;&gt;LineærRegression_Valg[[#This Row],[Uafhængig variabel ID]]</f>
        <v>1</v>
      </c>
      <c r="E1866" s="188" t="b">
        <f>LineærRegression_Valg[[#This Row],[Afhængig variabel ID]]&lt;=$B$5</f>
        <v>0</v>
      </c>
      <c r="F1866" t="str" cm="1">
        <f t="array" ref="F1866">IF(LineærRegression_Valg[[#This Row],[Indenfor range]],INDEX(DataTitel_liste,LineærRegression_Valg[[#This Row],[Afhængig variabel ID]]),INDEX(DataTitel_liste,1))</f>
        <v>Eksempel 1 (interval)</v>
      </c>
      <c r="G1866" s="188" t="str" cm="1">
        <f t="array" ref="G1866">IF(LineærRegression_Valg[[#This Row],[Indenfor range]],IF(LineærRegression_Valg[[#This Row],[Intet overlap]],INDEX(DataTitel_liste,LineærRegression_Valg[[#This Row],[Uafhængig variabel ID]]),INDEX(DataTitel_liste,IF(LineærRegression_Valg[[#This Row],[Afhængig variabel ID]]=1,2,1))),$B$7)</f>
        <v>Eksempel 2 (interval)</v>
      </c>
      <c r="H1866" s="188">
        <f>_xlfn.AGGREGATE(2,5,LineærRegression_Valg[[#This Row],[Tabel ID]])</f>
        <v>1</v>
      </c>
    </row>
    <row r="1867" spans="1:8" x14ac:dyDescent="0.2">
      <c r="A1867">
        <f>ROW(LineærRegression_Valg[[#This Row],[Tabel ID]])-ROW(LineærRegression_Valg[[#Headers],[Tabel ID]])</f>
        <v>1857</v>
      </c>
      <c r="B1867" s="188">
        <f>ROUNDDOWN((LineærRegression_Valg[[#This Row],[Tabel ID]]-1)/$B$5,0)+1</f>
        <v>465</v>
      </c>
      <c r="C1867" s="188">
        <f t="shared" ref="C1867:C1930" si="29">MOD(A1867-1,$B$5)+1</f>
        <v>1</v>
      </c>
      <c r="D1867" s="188" t="b">
        <f>LineærRegression_Valg[[#This Row],[Afhængig variabel ID]]&lt;&gt;LineærRegression_Valg[[#This Row],[Uafhængig variabel ID]]</f>
        <v>1</v>
      </c>
      <c r="E1867" s="188" t="b">
        <f>LineærRegression_Valg[[#This Row],[Afhængig variabel ID]]&lt;=$B$5</f>
        <v>0</v>
      </c>
      <c r="F1867" t="str" cm="1">
        <f t="array" ref="F1867">IF(LineærRegression_Valg[[#This Row],[Indenfor range]],INDEX(DataTitel_liste,LineærRegression_Valg[[#This Row],[Afhængig variabel ID]]),INDEX(DataTitel_liste,1))</f>
        <v>Eksempel 1 (interval)</v>
      </c>
      <c r="G1867" s="188" t="str" cm="1">
        <f t="array" ref="G1867">IF(LineærRegression_Valg[[#This Row],[Indenfor range]],IF(LineærRegression_Valg[[#This Row],[Intet overlap]],INDEX(DataTitel_liste,LineærRegression_Valg[[#This Row],[Uafhængig variabel ID]]),INDEX(DataTitel_liste,IF(LineærRegression_Valg[[#This Row],[Afhængig variabel ID]]=1,2,1))),$B$7)</f>
        <v>Eksempel 2 (interval)</v>
      </c>
      <c r="H1867" s="188">
        <f>_xlfn.AGGREGATE(2,5,LineærRegression_Valg[[#This Row],[Tabel ID]])</f>
        <v>1</v>
      </c>
    </row>
    <row r="1868" spans="1:8" x14ac:dyDescent="0.2">
      <c r="A1868">
        <f>ROW(LineærRegression_Valg[[#This Row],[Tabel ID]])-ROW(LineærRegression_Valg[[#Headers],[Tabel ID]])</f>
        <v>1858</v>
      </c>
      <c r="B1868" s="188">
        <f>ROUNDDOWN((LineærRegression_Valg[[#This Row],[Tabel ID]]-1)/$B$5,0)+1</f>
        <v>465</v>
      </c>
      <c r="C1868" s="188">
        <f t="shared" si="29"/>
        <v>2</v>
      </c>
      <c r="D1868" s="188" t="b">
        <f>LineærRegression_Valg[[#This Row],[Afhængig variabel ID]]&lt;&gt;LineærRegression_Valg[[#This Row],[Uafhængig variabel ID]]</f>
        <v>1</v>
      </c>
      <c r="E1868" s="188" t="b">
        <f>LineærRegression_Valg[[#This Row],[Afhængig variabel ID]]&lt;=$B$5</f>
        <v>0</v>
      </c>
      <c r="F1868" t="str" cm="1">
        <f t="array" ref="F1868">IF(LineærRegression_Valg[[#This Row],[Indenfor range]],INDEX(DataTitel_liste,LineærRegression_Valg[[#This Row],[Afhængig variabel ID]]),INDEX(DataTitel_liste,1))</f>
        <v>Eksempel 1 (interval)</v>
      </c>
      <c r="G1868" s="188" t="str" cm="1">
        <f t="array" ref="G1868">IF(LineærRegression_Valg[[#This Row],[Indenfor range]],IF(LineærRegression_Valg[[#This Row],[Intet overlap]],INDEX(DataTitel_liste,LineærRegression_Valg[[#This Row],[Uafhængig variabel ID]]),INDEX(DataTitel_liste,IF(LineærRegression_Valg[[#This Row],[Afhængig variabel ID]]=1,2,1))),$B$7)</f>
        <v>Eksempel 2 (interval)</v>
      </c>
      <c r="H1868" s="188">
        <f>_xlfn.AGGREGATE(2,5,LineærRegression_Valg[[#This Row],[Tabel ID]])</f>
        <v>1</v>
      </c>
    </row>
    <row r="1869" spans="1:8" x14ac:dyDescent="0.2">
      <c r="A1869">
        <f>ROW(LineærRegression_Valg[[#This Row],[Tabel ID]])-ROW(LineærRegression_Valg[[#Headers],[Tabel ID]])</f>
        <v>1859</v>
      </c>
      <c r="B1869" s="188">
        <f>ROUNDDOWN((LineærRegression_Valg[[#This Row],[Tabel ID]]-1)/$B$5,0)+1</f>
        <v>465</v>
      </c>
      <c r="C1869" s="188">
        <f t="shared" si="29"/>
        <v>3</v>
      </c>
      <c r="D1869" s="188" t="b">
        <f>LineærRegression_Valg[[#This Row],[Afhængig variabel ID]]&lt;&gt;LineærRegression_Valg[[#This Row],[Uafhængig variabel ID]]</f>
        <v>1</v>
      </c>
      <c r="E1869" s="188" t="b">
        <f>LineærRegression_Valg[[#This Row],[Afhængig variabel ID]]&lt;=$B$5</f>
        <v>0</v>
      </c>
      <c r="F1869" t="str" cm="1">
        <f t="array" ref="F1869">IF(LineærRegression_Valg[[#This Row],[Indenfor range]],INDEX(DataTitel_liste,LineærRegression_Valg[[#This Row],[Afhængig variabel ID]]),INDEX(DataTitel_liste,1))</f>
        <v>Eksempel 1 (interval)</v>
      </c>
      <c r="G1869" s="188" t="str" cm="1">
        <f t="array" ref="G1869">IF(LineærRegression_Valg[[#This Row],[Indenfor range]],IF(LineærRegression_Valg[[#This Row],[Intet overlap]],INDEX(DataTitel_liste,LineærRegression_Valg[[#This Row],[Uafhængig variabel ID]]),INDEX(DataTitel_liste,IF(LineærRegression_Valg[[#This Row],[Afhængig variabel ID]]=1,2,1))),$B$7)</f>
        <v>Eksempel 2 (interval)</v>
      </c>
      <c r="H1869" s="188">
        <f>_xlfn.AGGREGATE(2,5,LineærRegression_Valg[[#This Row],[Tabel ID]])</f>
        <v>1</v>
      </c>
    </row>
    <row r="1870" spans="1:8" x14ac:dyDescent="0.2">
      <c r="A1870">
        <f>ROW(LineærRegression_Valg[[#This Row],[Tabel ID]])-ROW(LineærRegression_Valg[[#Headers],[Tabel ID]])</f>
        <v>1860</v>
      </c>
      <c r="B1870" s="188">
        <f>ROUNDDOWN((LineærRegression_Valg[[#This Row],[Tabel ID]]-1)/$B$5,0)+1</f>
        <v>465</v>
      </c>
      <c r="C1870" s="188">
        <f t="shared" si="29"/>
        <v>4</v>
      </c>
      <c r="D1870" s="188" t="b">
        <f>LineærRegression_Valg[[#This Row],[Afhængig variabel ID]]&lt;&gt;LineærRegression_Valg[[#This Row],[Uafhængig variabel ID]]</f>
        <v>1</v>
      </c>
      <c r="E1870" s="188" t="b">
        <f>LineærRegression_Valg[[#This Row],[Afhængig variabel ID]]&lt;=$B$5</f>
        <v>0</v>
      </c>
      <c r="F1870" t="str" cm="1">
        <f t="array" ref="F1870">IF(LineærRegression_Valg[[#This Row],[Indenfor range]],INDEX(DataTitel_liste,LineærRegression_Valg[[#This Row],[Afhængig variabel ID]]),INDEX(DataTitel_liste,1))</f>
        <v>Eksempel 1 (interval)</v>
      </c>
      <c r="G1870" s="188" t="str" cm="1">
        <f t="array" ref="G1870">IF(LineærRegression_Valg[[#This Row],[Indenfor range]],IF(LineærRegression_Valg[[#This Row],[Intet overlap]],INDEX(DataTitel_liste,LineærRegression_Valg[[#This Row],[Uafhængig variabel ID]]),INDEX(DataTitel_liste,IF(LineærRegression_Valg[[#This Row],[Afhængig variabel ID]]=1,2,1))),$B$7)</f>
        <v>Eksempel 2 (interval)</v>
      </c>
      <c r="H1870" s="188">
        <f>_xlfn.AGGREGATE(2,5,LineærRegression_Valg[[#This Row],[Tabel ID]])</f>
        <v>1</v>
      </c>
    </row>
    <row r="1871" spans="1:8" x14ac:dyDescent="0.2">
      <c r="A1871">
        <f>ROW(LineærRegression_Valg[[#This Row],[Tabel ID]])-ROW(LineærRegression_Valg[[#Headers],[Tabel ID]])</f>
        <v>1861</v>
      </c>
      <c r="B1871" s="188">
        <f>ROUNDDOWN((LineærRegression_Valg[[#This Row],[Tabel ID]]-1)/$B$5,0)+1</f>
        <v>466</v>
      </c>
      <c r="C1871" s="188">
        <f t="shared" si="29"/>
        <v>1</v>
      </c>
      <c r="D1871" s="188" t="b">
        <f>LineærRegression_Valg[[#This Row],[Afhængig variabel ID]]&lt;&gt;LineærRegression_Valg[[#This Row],[Uafhængig variabel ID]]</f>
        <v>1</v>
      </c>
      <c r="E1871" s="188" t="b">
        <f>LineærRegression_Valg[[#This Row],[Afhængig variabel ID]]&lt;=$B$5</f>
        <v>0</v>
      </c>
      <c r="F1871" t="str" cm="1">
        <f t="array" ref="F1871">IF(LineærRegression_Valg[[#This Row],[Indenfor range]],INDEX(DataTitel_liste,LineærRegression_Valg[[#This Row],[Afhængig variabel ID]]),INDEX(DataTitel_liste,1))</f>
        <v>Eksempel 1 (interval)</v>
      </c>
      <c r="G1871" s="188" t="str" cm="1">
        <f t="array" ref="G1871">IF(LineærRegression_Valg[[#This Row],[Indenfor range]],IF(LineærRegression_Valg[[#This Row],[Intet overlap]],INDEX(DataTitel_liste,LineærRegression_Valg[[#This Row],[Uafhængig variabel ID]]),INDEX(DataTitel_liste,IF(LineærRegression_Valg[[#This Row],[Afhængig variabel ID]]=1,2,1))),$B$7)</f>
        <v>Eksempel 2 (interval)</v>
      </c>
      <c r="H1871" s="188">
        <f>_xlfn.AGGREGATE(2,5,LineærRegression_Valg[[#This Row],[Tabel ID]])</f>
        <v>1</v>
      </c>
    </row>
    <row r="1872" spans="1:8" x14ac:dyDescent="0.2">
      <c r="A1872">
        <f>ROW(LineærRegression_Valg[[#This Row],[Tabel ID]])-ROW(LineærRegression_Valg[[#Headers],[Tabel ID]])</f>
        <v>1862</v>
      </c>
      <c r="B1872" s="188">
        <f>ROUNDDOWN((LineærRegression_Valg[[#This Row],[Tabel ID]]-1)/$B$5,0)+1</f>
        <v>466</v>
      </c>
      <c r="C1872" s="188">
        <f t="shared" si="29"/>
        <v>2</v>
      </c>
      <c r="D1872" s="188" t="b">
        <f>LineærRegression_Valg[[#This Row],[Afhængig variabel ID]]&lt;&gt;LineærRegression_Valg[[#This Row],[Uafhængig variabel ID]]</f>
        <v>1</v>
      </c>
      <c r="E1872" s="188" t="b">
        <f>LineærRegression_Valg[[#This Row],[Afhængig variabel ID]]&lt;=$B$5</f>
        <v>0</v>
      </c>
      <c r="F1872" t="str" cm="1">
        <f t="array" ref="F1872">IF(LineærRegression_Valg[[#This Row],[Indenfor range]],INDEX(DataTitel_liste,LineærRegression_Valg[[#This Row],[Afhængig variabel ID]]),INDEX(DataTitel_liste,1))</f>
        <v>Eksempel 1 (interval)</v>
      </c>
      <c r="G1872" s="188" t="str" cm="1">
        <f t="array" ref="G1872">IF(LineærRegression_Valg[[#This Row],[Indenfor range]],IF(LineærRegression_Valg[[#This Row],[Intet overlap]],INDEX(DataTitel_liste,LineærRegression_Valg[[#This Row],[Uafhængig variabel ID]]),INDEX(DataTitel_liste,IF(LineærRegression_Valg[[#This Row],[Afhængig variabel ID]]=1,2,1))),$B$7)</f>
        <v>Eksempel 2 (interval)</v>
      </c>
      <c r="H1872" s="188">
        <f>_xlfn.AGGREGATE(2,5,LineærRegression_Valg[[#This Row],[Tabel ID]])</f>
        <v>1</v>
      </c>
    </row>
    <row r="1873" spans="1:8" x14ac:dyDescent="0.2">
      <c r="A1873">
        <f>ROW(LineærRegression_Valg[[#This Row],[Tabel ID]])-ROW(LineærRegression_Valg[[#Headers],[Tabel ID]])</f>
        <v>1863</v>
      </c>
      <c r="B1873" s="188">
        <f>ROUNDDOWN((LineærRegression_Valg[[#This Row],[Tabel ID]]-1)/$B$5,0)+1</f>
        <v>466</v>
      </c>
      <c r="C1873" s="188">
        <f t="shared" si="29"/>
        <v>3</v>
      </c>
      <c r="D1873" s="188" t="b">
        <f>LineærRegression_Valg[[#This Row],[Afhængig variabel ID]]&lt;&gt;LineærRegression_Valg[[#This Row],[Uafhængig variabel ID]]</f>
        <v>1</v>
      </c>
      <c r="E1873" s="188" t="b">
        <f>LineærRegression_Valg[[#This Row],[Afhængig variabel ID]]&lt;=$B$5</f>
        <v>0</v>
      </c>
      <c r="F1873" t="str" cm="1">
        <f t="array" ref="F1873">IF(LineærRegression_Valg[[#This Row],[Indenfor range]],INDEX(DataTitel_liste,LineærRegression_Valg[[#This Row],[Afhængig variabel ID]]),INDEX(DataTitel_liste,1))</f>
        <v>Eksempel 1 (interval)</v>
      </c>
      <c r="G1873" s="188" t="str" cm="1">
        <f t="array" ref="G1873">IF(LineærRegression_Valg[[#This Row],[Indenfor range]],IF(LineærRegression_Valg[[#This Row],[Intet overlap]],INDEX(DataTitel_liste,LineærRegression_Valg[[#This Row],[Uafhængig variabel ID]]),INDEX(DataTitel_liste,IF(LineærRegression_Valg[[#This Row],[Afhængig variabel ID]]=1,2,1))),$B$7)</f>
        <v>Eksempel 2 (interval)</v>
      </c>
      <c r="H1873" s="188">
        <f>_xlfn.AGGREGATE(2,5,LineærRegression_Valg[[#This Row],[Tabel ID]])</f>
        <v>1</v>
      </c>
    </row>
    <row r="1874" spans="1:8" x14ac:dyDescent="0.2">
      <c r="A1874">
        <f>ROW(LineærRegression_Valg[[#This Row],[Tabel ID]])-ROW(LineærRegression_Valg[[#Headers],[Tabel ID]])</f>
        <v>1864</v>
      </c>
      <c r="B1874" s="188">
        <f>ROUNDDOWN((LineærRegression_Valg[[#This Row],[Tabel ID]]-1)/$B$5,0)+1</f>
        <v>466</v>
      </c>
      <c r="C1874" s="188">
        <f t="shared" si="29"/>
        <v>4</v>
      </c>
      <c r="D1874" s="188" t="b">
        <f>LineærRegression_Valg[[#This Row],[Afhængig variabel ID]]&lt;&gt;LineærRegression_Valg[[#This Row],[Uafhængig variabel ID]]</f>
        <v>1</v>
      </c>
      <c r="E1874" s="188" t="b">
        <f>LineærRegression_Valg[[#This Row],[Afhængig variabel ID]]&lt;=$B$5</f>
        <v>0</v>
      </c>
      <c r="F1874" t="str" cm="1">
        <f t="array" ref="F1874">IF(LineærRegression_Valg[[#This Row],[Indenfor range]],INDEX(DataTitel_liste,LineærRegression_Valg[[#This Row],[Afhængig variabel ID]]),INDEX(DataTitel_liste,1))</f>
        <v>Eksempel 1 (interval)</v>
      </c>
      <c r="G1874" s="188" t="str" cm="1">
        <f t="array" ref="G1874">IF(LineærRegression_Valg[[#This Row],[Indenfor range]],IF(LineærRegression_Valg[[#This Row],[Intet overlap]],INDEX(DataTitel_liste,LineærRegression_Valg[[#This Row],[Uafhængig variabel ID]]),INDEX(DataTitel_liste,IF(LineærRegression_Valg[[#This Row],[Afhængig variabel ID]]=1,2,1))),$B$7)</f>
        <v>Eksempel 2 (interval)</v>
      </c>
      <c r="H1874" s="188">
        <f>_xlfn.AGGREGATE(2,5,LineærRegression_Valg[[#This Row],[Tabel ID]])</f>
        <v>1</v>
      </c>
    </row>
    <row r="1875" spans="1:8" x14ac:dyDescent="0.2">
      <c r="A1875">
        <f>ROW(LineærRegression_Valg[[#This Row],[Tabel ID]])-ROW(LineærRegression_Valg[[#Headers],[Tabel ID]])</f>
        <v>1865</v>
      </c>
      <c r="B1875" s="188">
        <f>ROUNDDOWN((LineærRegression_Valg[[#This Row],[Tabel ID]]-1)/$B$5,0)+1</f>
        <v>467</v>
      </c>
      <c r="C1875" s="188">
        <f t="shared" si="29"/>
        <v>1</v>
      </c>
      <c r="D1875" s="188" t="b">
        <f>LineærRegression_Valg[[#This Row],[Afhængig variabel ID]]&lt;&gt;LineærRegression_Valg[[#This Row],[Uafhængig variabel ID]]</f>
        <v>1</v>
      </c>
      <c r="E1875" s="188" t="b">
        <f>LineærRegression_Valg[[#This Row],[Afhængig variabel ID]]&lt;=$B$5</f>
        <v>0</v>
      </c>
      <c r="F1875" t="str" cm="1">
        <f t="array" ref="F1875">IF(LineærRegression_Valg[[#This Row],[Indenfor range]],INDEX(DataTitel_liste,LineærRegression_Valg[[#This Row],[Afhængig variabel ID]]),INDEX(DataTitel_liste,1))</f>
        <v>Eksempel 1 (interval)</v>
      </c>
      <c r="G1875" s="188" t="str" cm="1">
        <f t="array" ref="G1875">IF(LineærRegression_Valg[[#This Row],[Indenfor range]],IF(LineærRegression_Valg[[#This Row],[Intet overlap]],INDEX(DataTitel_liste,LineærRegression_Valg[[#This Row],[Uafhængig variabel ID]]),INDEX(DataTitel_liste,IF(LineærRegression_Valg[[#This Row],[Afhængig variabel ID]]=1,2,1))),$B$7)</f>
        <v>Eksempel 2 (interval)</v>
      </c>
      <c r="H1875" s="188">
        <f>_xlfn.AGGREGATE(2,5,LineærRegression_Valg[[#This Row],[Tabel ID]])</f>
        <v>1</v>
      </c>
    </row>
    <row r="1876" spans="1:8" x14ac:dyDescent="0.2">
      <c r="A1876">
        <f>ROW(LineærRegression_Valg[[#This Row],[Tabel ID]])-ROW(LineærRegression_Valg[[#Headers],[Tabel ID]])</f>
        <v>1866</v>
      </c>
      <c r="B1876" s="188">
        <f>ROUNDDOWN((LineærRegression_Valg[[#This Row],[Tabel ID]]-1)/$B$5,0)+1</f>
        <v>467</v>
      </c>
      <c r="C1876" s="188">
        <f t="shared" si="29"/>
        <v>2</v>
      </c>
      <c r="D1876" s="188" t="b">
        <f>LineærRegression_Valg[[#This Row],[Afhængig variabel ID]]&lt;&gt;LineærRegression_Valg[[#This Row],[Uafhængig variabel ID]]</f>
        <v>1</v>
      </c>
      <c r="E1876" s="188" t="b">
        <f>LineærRegression_Valg[[#This Row],[Afhængig variabel ID]]&lt;=$B$5</f>
        <v>0</v>
      </c>
      <c r="F1876" t="str" cm="1">
        <f t="array" ref="F1876">IF(LineærRegression_Valg[[#This Row],[Indenfor range]],INDEX(DataTitel_liste,LineærRegression_Valg[[#This Row],[Afhængig variabel ID]]),INDEX(DataTitel_liste,1))</f>
        <v>Eksempel 1 (interval)</v>
      </c>
      <c r="G1876" s="188" t="str" cm="1">
        <f t="array" ref="G1876">IF(LineærRegression_Valg[[#This Row],[Indenfor range]],IF(LineærRegression_Valg[[#This Row],[Intet overlap]],INDEX(DataTitel_liste,LineærRegression_Valg[[#This Row],[Uafhængig variabel ID]]),INDEX(DataTitel_liste,IF(LineærRegression_Valg[[#This Row],[Afhængig variabel ID]]=1,2,1))),$B$7)</f>
        <v>Eksempel 2 (interval)</v>
      </c>
      <c r="H1876" s="188">
        <f>_xlfn.AGGREGATE(2,5,LineærRegression_Valg[[#This Row],[Tabel ID]])</f>
        <v>1</v>
      </c>
    </row>
    <row r="1877" spans="1:8" x14ac:dyDescent="0.2">
      <c r="A1877">
        <f>ROW(LineærRegression_Valg[[#This Row],[Tabel ID]])-ROW(LineærRegression_Valg[[#Headers],[Tabel ID]])</f>
        <v>1867</v>
      </c>
      <c r="B1877" s="188">
        <f>ROUNDDOWN((LineærRegression_Valg[[#This Row],[Tabel ID]]-1)/$B$5,0)+1</f>
        <v>467</v>
      </c>
      <c r="C1877" s="188">
        <f t="shared" si="29"/>
        <v>3</v>
      </c>
      <c r="D1877" s="188" t="b">
        <f>LineærRegression_Valg[[#This Row],[Afhængig variabel ID]]&lt;&gt;LineærRegression_Valg[[#This Row],[Uafhængig variabel ID]]</f>
        <v>1</v>
      </c>
      <c r="E1877" s="188" t="b">
        <f>LineærRegression_Valg[[#This Row],[Afhængig variabel ID]]&lt;=$B$5</f>
        <v>0</v>
      </c>
      <c r="F1877" t="str" cm="1">
        <f t="array" ref="F1877">IF(LineærRegression_Valg[[#This Row],[Indenfor range]],INDEX(DataTitel_liste,LineærRegression_Valg[[#This Row],[Afhængig variabel ID]]),INDEX(DataTitel_liste,1))</f>
        <v>Eksempel 1 (interval)</v>
      </c>
      <c r="G1877" s="188" t="str" cm="1">
        <f t="array" ref="G1877">IF(LineærRegression_Valg[[#This Row],[Indenfor range]],IF(LineærRegression_Valg[[#This Row],[Intet overlap]],INDEX(DataTitel_liste,LineærRegression_Valg[[#This Row],[Uafhængig variabel ID]]),INDEX(DataTitel_liste,IF(LineærRegression_Valg[[#This Row],[Afhængig variabel ID]]=1,2,1))),$B$7)</f>
        <v>Eksempel 2 (interval)</v>
      </c>
      <c r="H1877" s="188">
        <f>_xlfn.AGGREGATE(2,5,LineærRegression_Valg[[#This Row],[Tabel ID]])</f>
        <v>1</v>
      </c>
    </row>
    <row r="1878" spans="1:8" x14ac:dyDescent="0.2">
      <c r="A1878">
        <f>ROW(LineærRegression_Valg[[#This Row],[Tabel ID]])-ROW(LineærRegression_Valg[[#Headers],[Tabel ID]])</f>
        <v>1868</v>
      </c>
      <c r="B1878" s="188">
        <f>ROUNDDOWN((LineærRegression_Valg[[#This Row],[Tabel ID]]-1)/$B$5,0)+1</f>
        <v>467</v>
      </c>
      <c r="C1878" s="188">
        <f t="shared" si="29"/>
        <v>4</v>
      </c>
      <c r="D1878" s="188" t="b">
        <f>LineærRegression_Valg[[#This Row],[Afhængig variabel ID]]&lt;&gt;LineærRegression_Valg[[#This Row],[Uafhængig variabel ID]]</f>
        <v>1</v>
      </c>
      <c r="E1878" s="188" t="b">
        <f>LineærRegression_Valg[[#This Row],[Afhængig variabel ID]]&lt;=$B$5</f>
        <v>0</v>
      </c>
      <c r="F1878" t="str" cm="1">
        <f t="array" ref="F1878">IF(LineærRegression_Valg[[#This Row],[Indenfor range]],INDEX(DataTitel_liste,LineærRegression_Valg[[#This Row],[Afhængig variabel ID]]),INDEX(DataTitel_liste,1))</f>
        <v>Eksempel 1 (interval)</v>
      </c>
      <c r="G1878" s="188" t="str" cm="1">
        <f t="array" ref="G1878">IF(LineærRegression_Valg[[#This Row],[Indenfor range]],IF(LineærRegression_Valg[[#This Row],[Intet overlap]],INDEX(DataTitel_liste,LineærRegression_Valg[[#This Row],[Uafhængig variabel ID]]),INDEX(DataTitel_liste,IF(LineærRegression_Valg[[#This Row],[Afhængig variabel ID]]=1,2,1))),$B$7)</f>
        <v>Eksempel 2 (interval)</v>
      </c>
      <c r="H1878" s="188">
        <f>_xlfn.AGGREGATE(2,5,LineærRegression_Valg[[#This Row],[Tabel ID]])</f>
        <v>1</v>
      </c>
    </row>
    <row r="1879" spans="1:8" x14ac:dyDescent="0.2">
      <c r="A1879">
        <f>ROW(LineærRegression_Valg[[#This Row],[Tabel ID]])-ROW(LineærRegression_Valg[[#Headers],[Tabel ID]])</f>
        <v>1869</v>
      </c>
      <c r="B1879" s="188">
        <f>ROUNDDOWN((LineærRegression_Valg[[#This Row],[Tabel ID]]-1)/$B$5,0)+1</f>
        <v>468</v>
      </c>
      <c r="C1879" s="188">
        <f t="shared" si="29"/>
        <v>1</v>
      </c>
      <c r="D1879" s="188" t="b">
        <f>LineærRegression_Valg[[#This Row],[Afhængig variabel ID]]&lt;&gt;LineærRegression_Valg[[#This Row],[Uafhængig variabel ID]]</f>
        <v>1</v>
      </c>
      <c r="E1879" s="188" t="b">
        <f>LineærRegression_Valg[[#This Row],[Afhængig variabel ID]]&lt;=$B$5</f>
        <v>0</v>
      </c>
      <c r="F1879" t="str" cm="1">
        <f t="array" ref="F1879">IF(LineærRegression_Valg[[#This Row],[Indenfor range]],INDEX(DataTitel_liste,LineærRegression_Valg[[#This Row],[Afhængig variabel ID]]),INDEX(DataTitel_liste,1))</f>
        <v>Eksempel 1 (interval)</v>
      </c>
      <c r="G1879" s="188" t="str" cm="1">
        <f t="array" ref="G1879">IF(LineærRegression_Valg[[#This Row],[Indenfor range]],IF(LineærRegression_Valg[[#This Row],[Intet overlap]],INDEX(DataTitel_liste,LineærRegression_Valg[[#This Row],[Uafhængig variabel ID]]),INDEX(DataTitel_liste,IF(LineærRegression_Valg[[#This Row],[Afhængig variabel ID]]=1,2,1))),$B$7)</f>
        <v>Eksempel 2 (interval)</v>
      </c>
      <c r="H1879" s="188">
        <f>_xlfn.AGGREGATE(2,5,LineærRegression_Valg[[#This Row],[Tabel ID]])</f>
        <v>1</v>
      </c>
    </row>
    <row r="1880" spans="1:8" x14ac:dyDescent="0.2">
      <c r="A1880">
        <f>ROW(LineærRegression_Valg[[#This Row],[Tabel ID]])-ROW(LineærRegression_Valg[[#Headers],[Tabel ID]])</f>
        <v>1870</v>
      </c>
      <c r="B1880" s="188">
        <f>ROUNDDOWN((LineærRegression_Valg[[#This Row],[Tabel ID]]-1)/$B$5,0)+1</f>
        <v>468</v>
      </c>
      <c r="C1880" s="188">
        <f t="shared" si="29"/>
        <v>2</v>
      </c>
      <c r="D1880" s="188" t="b">
        <f>LineærRegression_Valg[[#This Row],[Afhængig variabel ID]]&lt;&gt;LineærRegression_Valg[[#This Row],[Uafhængig variabel ID]]</f>
        <v>1</v>
      </c>
      <c r="E1880" s="188" t="b">
        <f>LineærRegression_Valg[[#This Row],[Afhængig variabel ID]]&lt;=$B$5</f>
        <v>0</v>
      </c>
      <c r="F1880" t="str" cm="1">
        <f t="array" ref="F1880">IF(LineærRegression_Valg[[#This Row],[Indenfor range]],INDEX(DataTitel_liste,LineærRegression_Valg[[#This Row],[Afhængig variabel ID]]),INDEX(DataTitel_liste,1))</f>
        <v>Eksempel 1 (interval)</v>
      </c>
      <c r="G1880" s="188" t="str" cm="1">
        <f t="array" ref="G1880">IF(LineærRegression_Valg[[#This Row],[Indenfor range]],IF(LineærRegression_Valg[[#This Row],[Intet overlap]],INDEX(DataTitel_liste,LineærRegression_Valg[[#This Row],[Uafhængig variabel ID]]),INDEX(DataTitel_liste,IF(LineærRegression_Valg[[#This Row],[Afhængig variabel ID]]=1,2,1))),$B$7)</f>
        <v>Eksempel 2 (interval)</v>
      </c>
      <c r="H1880" s="188">
        <f>_xlfn.AGGREGATE(2,5,LineærRegression_Valg[[#This Row],[Tabel ID]])</f>
        <v>1</v>
      </c>
    </row>
    <row r="1881" spans="1:8" x14ac:dyDescent="0.2">
      <c r="A1881">
        <f>ROW(LineærRegression_Valg[[#This Row],[Tabel ID]])-ROW(LineærRegression_Valg[[#Headers],[Tabel ID]])</f>
        <v>1871</v>
      </c>
      <c r="B1881" s="188">
        <f>ROUNDDOWN((LineærRegression_Valg[[#This Row],[Tabel ID]]-1)/$B$5,0)+1</f>
        <v>468</v>
      </c>
      <c r="C1881" s="188">
        <f t="shared" si="29"/>
        <v>3</v>
      </c>
      <c r="D1881" s="188" t="b">
        <f>LineærRegression_Valg[[#This Row],[Afhængig variabel ID]]&lt;&gt;LineærRegression_Valg[[#This Row],[Uafhængig variabel ID]]</f>
        <v>1</v>
      </c>
      <c r="E1881" s="188" t="b">
        <f>LineærRegression_Valg[[#This Row],[Afhængig variabel ID]]&lt;=$B$5</f>
        <v>0</v>
      </c>
      <c r="F1881" t="str" cm="1">
        <f t="array" ref="F1881">IF(LineærRegression_Valg[[#This Row],[Indenfor range]],INDEX(DataTitel_liste,LineærRegression_Valg[[#This Row],[Afhængig variabel ID]]),INDEX(DataTitel_liste,1))</f>
        <v>Eksempel 1 (interval)</v>
      </c>
      <c r="G1881" s="188" t="str" cm="1">
        <f t="array" ref="G1881">IF(LineærRegression_Valg[[#This Row],[Indenfor range]],IF(LineærRegression_Valg[[#This Row],[Intet overlap]],INDEX(DataTitel_liste,LineærRegression_Valg[[#This Row],[Uafhængig variabel ID]]),INDEX(DataTitel_liste,IF(LineærRegression_Valg[[#This Row],[Afhængig variabel ID]]=1,2,1))),$B$7)</f>
        <v>Eksempel 2 (interval)</v>
      </c>
      <c r="H1881" s="188">
        <f>_xlfn.AGGREGATE(2,5,LineærRegression_Valg[[#This Row],[Tabel ID]])</f>
        <v>1</v>
      </c>
    </row>
    <row r="1882" spans="1:8" x14ac:dyDescent="0.2">
      <c r="A1882">
        <f>ROW(LineærRegression_Valg[[#This Row],[Tabel ID]])-ROW(LineærRegression_Valg[[#Headers],[Tabel ID]])</f>
        <v>1872</v>
      </c>
      <c r="B1882" s="188">
        <f>ROUNDDOWN((LineærRegression_Valg[[#This Row],[Tabel ID]]-1)/$B$5,0)+1</f>
        <v>468</v>
      </c>
      <c r="C1882" s="188">
        <f t="shared" si="29"/>
        <v>4</v>
      </c>
      <c r="D1882" s="188" t="b">
        <f>LineærRegression_Valg[[#This Row],[Afhængig variabel ID]]&lt;&gt;LineærRegression_Valg[[#This Row],[Uafhængig variabel ID]]</f>
        <v>1</v>
      </c>
      <c r="E1882" s="188" t="b">
        <f>LineærRegression_Valg[[#This Row],[Afhængig variabel ID]]&lt;=$B$5</f>
        <v>0</v>
      </c>
      <c r="F1882" t="str" cm="1">
        <f t="array" ref="F1882">IF(LineærRegression_Valg[[#This Row],[Indenfor range]],INDEX(DataTitel_liste,LineærRegression_Valg[[#This Row],[Afhængig variabel ID]]),INDEX(DataTitel_liste,1))</f>
        <v>Eksempel 1 (interval)</v>
      </c>
      <c r="G1882" s="188" t="str" cm="1">
        <f t="array" ref="G1882">IF(LineærRegression_Valg[[#This Row],[Indenfor range]],IF(LineærRegression_Valg[[#This Row],[Intet overlap]],INDEX(DataTitel_liste,LineærRegression_Valg[[#This Row],[Uafhængig variabel ID]]),INDEX(DataTitel_liste,IF(LineærRegression_Valg[[#This Row],[Afhængig variabel ID]]=1,2,1))),$B$7)</f>
        <v>Eksempel 2 (interval)</v>
      </c>
      <c r="H1882" s="188">
        <f>_xlfn.AGGREGATE(2,5,LineærRegression_Valg[[#This Row],[Tabel ID]])</f>
        <v>1</v>
      </c>
    </row>
    <row r="1883" spans="1:8" x14ac:dyDescent="0.2">
      <c r="A1883">
        <f>ROW(LineærRegression_Valg[[#This Row],[Tabel ID]])-ROW(LineærRegression_Valg[[#Headers],[Tabel ID]])</f>
        <v>1873</v>
      </c>
      <c r="B1883" s="188">
        <f>ROUNDDOWN((LineærRegression_Valg[[#This Row],[Tabel ID]]-1)/$B$5,0)+1</f>
        <v>469</v>
      </c>
      <c r="C1883" s="188">
        <f t="shared" si="29"/>
        <v>1</v>
      </c>
      <c r="D1883" s="188" t="b">
        <f>LineærRegression_Valg[[#This Row],[Afhængig variabel ID]]&lt;&gt;LineærRegression_Valg[[#This Row],[Uafhængig variabel ID]]</f>
        <v>1</v>
      </c>
      <c r="E1883" s="188" t="b">
        <f>LineærRegression_Valg[[#This Row],[Afhængig variabel ID]]&lt;=$B$5</f>
        <v>0</v>
      </c>
      <c r="F1883" t="str" cm="1">
        <f t="array" ref="F1883">IF(LineærRegression_Valg[[#This Row],[Indenfor range]],INDEX(DataTitel_liste,LineærRegression_Valg[[#This Row],[Afhængig variabel ID]]),INDEX(DataTitel_liste,1))</f>
        <v>Eksempel 1 (interval)</v>
      </c>
      <c r="G1883" s="188" t="str" cm="1">
        <f t="array" ref="G1883">IF(LineærRegression_Valg[[#This Row],[Indenfor range]],IF(LineærRegression_Valg[[#This Row],[Intet overlap]],INDEX(DataTitel_liste,LineærRegression_Valg[[#This Row],[Uafhængig variabel ID]]),INDEX(DataTitel_liste,IF(LineærRegression_Valg[[#This Row],[Afhængig variabel ID]]=1,2,1))),$B$7)</f>
        <v>Eksempel 2 (interval)</v>
      </c>
      <c r="H1883" s="188">
        <f>_xlfn.AGGREGATE(2,5,LineærRegression_Valg[[#This Row],[Tabel ID]])</f>
        <v>1</v>
      </c>
    </row>
    <row r="1884" spans="1:8" x14ac:dyDescent="0.2">
      <c r="A1884">
        <f>ROW(LineærRegression_Valg[[#This Row],[Tabel ID]])-ROW(LineærRegression_Valg[[#Headers],[Tabel ID]])</f>
        <v>1874</v>
      </c>
      <c r="B1884" s="188">
        <f>ROUNDDOWN((LineærRegression_Valg[[#This Row],[Tabel ID]]-1)/$B$5,0)+1</f>
        <v>469</v>
      </c>
      <c r="C1884" s="188">
        <f t="shared" si="29"/>
        <v>2</v>
      </c>
      <c r="D1884" s="188" t="b">
        <f>LineærRegression_Valg[[#This Row],[Afhængig variabel ID]]&lt;&gt;LineærRegression_Valg[[#This Row],[Uafhængig variabel ID]]</f>
        <v>1</v>
      </c>
      <c r="E1884" s="188" t="b">
        <f>LineærRegression_Valg[[#This Row],[Afhængig variabel ID]]&lt;=$B$5</f>
        <v>0</v>
      </c>
      <c r="F1884" t="str" cm="1">
        <f t="array" ref="F1884">IF(LineærRegression_Valg[[#This Row],[Indenfor range]],INDEX(DataTitel_liste,LineærRegression_Valg[[#This Row],[Afhængig variabel ID]]),INDEX(DataTitel_liste,1))</f>
        <v>Eksempel 1 (interval)</v>
      </c>
      <c r="G1884" s="188" t="str" cm="1">
        <f t="array" ref="G1884">IF(LineærRegression_Valg[[#This Row],[Indenfor range]],IF(LineærRegression_Valg[[#This Row],[Intet overlap]],INDEX(DataTitel_liste,LineærRegression_Valg[[#This Row],[Uafhængig variabel ID]]),INDEX(DataTitel_liste,IF(LineærRegression_Valg[[#This Row],[Afhængig variabel ID]]=1,2,1))),$B$7)</f>
        <v>Eksempel 2 (interval)</v>
      </c>
      <c r="H1884" s="188">
        <f>_xlfn.AGGREGATE(2,5,LineærRegression_Valg[[#This Row],[Tabel ID]])</f>
        <v>1</v>
      </c>
    </row>
    <row r="1885" spans="1:8" x14ac:dyDescent="0.2">
      <c r="A1885">
        <f>ROW(LineærRegression_Valg[[#This Row],[Tabel ID]])-ROW(LineærRegression_Valg[[#Headers],[Tabel ID]])</f>
        <v>1875</v>
      </c>
      <c r="B1885" s="188">
        <f>ROUNDDOWN((LineærRegression_Valg[[#This Row],[Tabel ID]]-1)/$B$5,0)+1</f>
        <v>469</v>
      </c>
      <c r="C1885" s="188">
        <f t="shared" si="29"/>
        <v>3</v>
      </c>
      <c r="D1885" s="188" t="b">
        <f>LineærRegression_Valg[[#This Row],[Afhængig variabel ID]]&lt;&gt;LineærRegression_Valg[[#This Row],[Uafhængig variabel ID]]</f>
        <v>1</v>
      </c>
      <c r="E1885" s="188" t="b">
        <f>LineærRegression_Valg[[#This Row],[Afhængig variabel ID]]&lt;=$B$5</f>
        <v>0</v>
      </c>
      <c r="F1885" t="str" cm="1">
        <f t="array" ref="F1885">IF(LineærRegression_Valg[[#This Row],[Indenfor range]],INDEX(DataTitel_liste,LineærRegression_Valg[[#This Row],[Afhængig variabel ID]]),INDEX(DataTitel_liste,1))</f>
        <v>Eksempel 1 (interval)</v>
      </c>
      <c r="G1885" s="188" t="str" cm="1">
        <f t="array" ref="G1885">IF(LineærRegression_Valg[[#This Row],[Indenfor range]],IF(LineærRegression_Valg[[#This Row],[Intet overlap]],INDEX(DataTitel_liste,LineærRegression_Valg[[#This Row],[Uafhængig variabel ID]]),INDEX(DataTitel_liste,IF(LineærRegression_Valg[[#This Row],[Afhængig variabel ID]]=1,2,1))),$B$7)</f>
        <v>Eksempel 2 (interval)</v>
      </c>
      <c r="H1885" s="188">
        <f>_xlfn.AGGREGATE(2,5,LineærRegression_Valg[[#This Row],[Tabel ID]])</f>
        <v>1</v>
      </c>
    </row>
    <row r="1886" spans="1:8" x14ac:dyDescent="0.2">
      <c r="A1886">
        <f>ROW(LineærRegression_Valg[[#This Row],[Tabel ID]])-ROW(LineærRegression_Valg[[#Headers],[Tabel ID]])</f>
        <v>1876</v>
      </c>
      <c r="B1886" s="188">
        <f>ROUNDDOWN((LineærRegression_Valg[[#This Row],[Tabel ID]]-1)/$B$5,0)+1</f>
        <v>469</v>
      </c>
      <c r="C1886" s="188">
        <f t="shared" si="29"/>
        <v>4</v>
      </c>
      <c r="D1886" s="188" t="b">
        <f>LineærRegression_Valg[[#This Row],[Afhængig variabel ID]]&lt;&gt;LineærRegression_Valg[[#This Row],[Uafhængig variabel ID]]</f>
        <v>1</v>
      </c>
      <c r="E1886" s="188" t="b">
        <f>LineærRegression_Valg[[#This Row],[Afhængig variabel ID]]&lt;=$B$5</f>
        <v>0</v>
      </c>
      <c r="F1886" t="str" cm="1">
        <f t="array" ref="F1886">IF(LineærRegression_Valg[[#This Row],[Indenfor range]],INDEX(DataTitel_liste,LineærRegression_Valg[[#This Row],[Afhængig variabel ID]]),INDEX(DataTitel_liste,1))</f>
        <v>Eksempel 1 (interval)</v>
      </c>
      <c r="G1886" s="188" t="str" cm="1">
        <f t="array" ref="G1886">IF(LineærRegression_Valg[[#This Row],[Indenfor range]],IF(LineærRegression_Valg[[#This Row],[Intet overlap]],INDEX(DataTitel_liste,LineærRegression_Valg[[#This Row],[Uafhængig variabel ID]]),INDEX(DataTitel_liste,IF(LineærRegression_Valg[[#This Row],[Afhængig variabel ID]]=1,2,1))),$B$7)</f>
        <v>Eksempel 2 (interval)</v>
      </c>
      <c r="H1886" s="188">
        <f>_xlfn.AGGREGATE(2,5,LineærRegression_Valg[[#This Row],[Tabel ID]])</f>
        <v>1</v>
      </c>
    </row>
    <row r="1887" spans="1:8" x14ac:dyDescent="0.2">
      <c r="A1887">
        <f>ROW(LineærRegression_Valg[[#This Row],[Tabel ID]])-ROW(LineærRegression_Valg[[#Headers],[Tabel ID]])</f>
        <v>1877</v>
      </c>
      <c r="B1887" s="188">
        <f>ROUNDDOWN((LineærRegression_Valg[[#This Row],[Tabel ID]]-1)/$B$5,0)+1</f>
        <v>470</v>
      </c>
      <c r="C1887" s="188">
        <f t="shared" si="29"/>
        <v>1</v>
      </c>
      <c r="D1887" s="188" t="b">
        <f>LineærRegression_Valg[[#This Row],[Afhængig variabel ID]]&lt;&gt;LineærRegression_Valg[[#This Row],[Uafhængig variabel ID]]</f>
        <v>1</v>
      </c>
      <c r="E1887" s="188" t="b">
        <f>LineærRegression_Valg[[#This Row],[Afhængig variabel ID]]&lt;=$B$5</f>
        <v>0</v>
      </c>
      <c r="F1887" t="str" cm="1">
        <f t="array" ref="F1887">IF(LineærRegression_Valg[[#This Row],[Indenfor range]],INDEX(DataTitel_liste,LineærRegression_Valg[[#This Row],[Afhængig variabel ID]]),INDEX(DataTitel_liste,1))</f>
        <v>Eksempel 1 (interval)</v>
      </c>
      <c r="G1887" s="188" t="str" cm="1">
        <f t="array" ref="G1887">IF(LineærRegression_Valg[[#This Row],[Indenfor range]],IF(LineærRegression_Valg[[#This Row],[Intet overlap]],INDEX(DataTitel_liste,LineærRegression_Valg[[#This Row],[Uafhængig variabel ID]]),INDEX(DataTitel_liste,IF(LineærRegression_Valg[[#This Row],[Afhængig variabel ID]]=1,2,1))),$B$7)</f>
        <v>Eksempel 2 (interval)</v>
      </c>
      <c r="H1887" s="188">
        <f>_xlfn.AGGREGATE(2,5,LineærRegression_Valg[[#This Row],[Tabel ID]])</f>
        <v>1</v>
      </c>
    </row>
    <row r="1888" spans="1:8" x14ac:dyDescent="0.2">
      <c r="A1888">
        <f>ROW(LineærRegression_Valg[[#This Row],[Tabel ID]])-ROW(LineærRegression_Valg[[#Headers],[Tabel ID]])</f>
        <v>1878</v>
      </c>
      <c r="B1888" s="188">
        <f>ROUNDDOWN((LineærRegression_Valg[[#This Row],[Tabel ID]]-1)/$B$5,0)+1</f>
        <v>470</v>
      </c>
      <c r="C1888" s="188">
        <f t="shared" si="29"/>
        <v>2</v>
      </c>
      <c r="D1888" s="188" t="b">
        <f>LineærRegression_Valg[[#This Row],[Afhængig variabel ID]]&lt;&gt;LineærRegression_Valg[[#This Row],[Uafhængig variabel ID]]</f>
        <v>1</v>
      </c>
      <c r="E1888" s="188" t="b">
        <f>LineærRegression_Valg[[#This Row],[Afhængig variabel ID]]&lt;=$B$5</f>
        <v>0</v>
      </c>
      <c r="F1888" t="str" cm="1">
        <f t="array" ref="F1888">IF(LineærRegression_Valg[[#This Row],[Indenfor range]],INDEX(DataTitel_liste,LineærRegression_Valg[[#This Row],[Afhængig variabel ID]]),INDEX(DataTitel_liste,1))</f>
        <v>Eksempel 1 (interval)</v>
      </c>
      <c r="G1888" s="188" t="str" cm="1">
        <f t="array" ref="G1888">IF(LineærRegression_Valg[[#This Row],[Indenfor range]],IF(LineærRegression_Valg[[#This Row],[Intet overlap]],INDEX(DataTitel_liste,LineærRegression_Valg[[#This Row],[Uafhængig variabel ID]]),INDEX(DataTitel_liste,IF(LineærRegression_Valg[[#This Row],[Afhængig variabel ID]]=1,2,1))),$B$7)</f>
        <v>Eksempel 2 (interval)</v>
      </c>
      <c r="H1888" s="188">
        <f>_xlfn.AGGREGATE(2,5,LineærRegression_Valg[[#This Row],[Tabel ID]])</f>
        <v>1</v>
      </c>
    </row>
    <row r="1889" spans="1:8" x14ac:dyDescent="0.2">
      <c r="A1889">
        <f>ROW(LineærRegression_Valg[[#This Row],[Tabel ID]])-ROW(LineærRegression_Valg[[#Headers],[Tabel ID]])</f>
        <v>1879</v>
      </c>
      <c r="B1889" s="188">
        <f>ROUNDDOWN((LineærRegression_Valg[[#This Row],[Tabel ID]]-1)/$B$5,0)+1</f>
        <v>470</v>
      </c>
      <c r="C1889" s="188">
        <f t="shared" si="29"/>
        <v>3</v>
      </c>
      <c r="D1889" s="188" t="b">
        <f>LineærRegression_Valg[[#This Row],[Afhængig variabel ID]]&lt;&gt;LineærRegression_Valg[[#This Row],[Uafhængig variabel ID]]</f>
        <v>1</v>
      </c>
      <c r="E1889" s="188" t="b">
        <f>LineærRegression_Valg[[#This Row],[Afhængig variabel ID]]&lt;=$B$5</f>
        <v>0</v>
      </c>
      <c r="F1889" t="str" cm="1">
        <f t="array" ref="F1889">IF(LineærRegression_Valg[[#This Row],[Indenfor range]],INDEX(DataTitel_liste,LineærRegression_Valg[[#This Row],[Afhængig variabel ID]]),INDEX(DataTitel_liste,1))</f>
        <v>Eksempel 1 (interval)</v>
      </c>
      <c r="G1889" s="188" t="str" cm="1">
        <f t="array" ref="G1889">IF(LineærRegression_Valg[[#This Row],[Indenfor range]],IF(LineærRegression_Valg[[#This Row],[Intet overlap]],INDEX(DataTitel_liste,LineærRegression_Valg[[#This Row],[Uafhængig variabel ID]]),INDEX(DataTitel_liste,IF(LineærRegression_Valg[[#This Row],[Afhængig variabel ID]]=1,2,1))),$B$7)</f>
        <v>Eksempel 2 (interval)</v>
      </c>
      <c r="H1889" s="188">
        <f>_xlfn.AGGREGATE(2,5,LineærRegression_Valg[[#This Row],[Tabel ID]])</f>
        <v>1</v>
      </c>
    </row>
    <row r="1890" spans="1:8" x14ac:dyDescent="0.2">
      <c r="A1890">
        <f>ROW(LineærRegression_Valg[[#This Row],[Tabel ID]])-ROW(LineærRegression_Valg[[#Headers],[Tabel ID]])</f>
        <v>1880</v>
      </c>
      <c r="B1890" s="188">
        <f>ROUNDDOWN((LineærRegression_Valg[[#This Row],[Tabel ID]]-1)/$B$5,0)+1</f>
        <v>470</v>
      </c>
      <c r="C1890" s="188">
        <f t="shared" si="29"/>
        <v>4</v>
      </c>
      <c r="D1890" s="188" t="b">
        <f>LineærRegression_Valg[[#This Row],[Afhængig variabel ID]]&lt;&gt;LineærRegression_Valg[[#This Row],[Uafhængig variabel ID]]</f>
        <v>1</v>
      </c>
      <c r="E1890" s="188" t="b">
        <f>LineærRegression_Valg[[#This Row],[Afhængig variabel ID]]&lt;=$B$5</f>
        <v>0</v>
      </c>
      <c r="F1890" t="str" cm="1">
        <f t="array" ref="F1890">IF(LineærRegression_Valg[[#This Row],[Indenfor range]],INDEX(DataTitel_liste,LineærRegression_Valg[[#This Row],[Afhængig variabel ID]]),INDEX(DataTitel_liste,1))</f>
        <v>Eksempel 1 (interval)</v>
      </c>
      <c r="G1890" s="188" t="str" cm="1">
        <f t="array" ref="G1890">IF(LineærRegression_Valg[[#This Row],[Indenfor range]],IF(LineærRegression_Valg[[#This Row],[Intet overlap]],INDEX(DataTitel_liste,LineærRegression_Valg[[#This Row],[Uafhængig variabel ID]]),INDEX(DataTitel_liste,IF(LineærRegression_Valg[[#This Row],[Afhængig variabel ID]]=1,2,1))),$B$7)</f>
        <v>Eksempel 2 (interval)</v>
      </c>
      <c r="H1890" s="188">
        <f>_xlfn.AGGREGATE(2,5,LineærRegression_Valg[[#This Row],[Tabel ID]])</f>
        <v>1</v>
      </c>
    </row>
    <row r="1891" spans="1:8" x14ac:dyDescent="0.2">
      <c r="A1891">
        <f>ROW(LineærRegression_Valg[[#This Row],[Tabel ID]])-ROW(LineærRegression_Valg[[#Headers],[Tabel ID]])</f>
        <v>1881</v>
      </c>
      <c r="B1891" s="188">
        <f>ROUNDDOWN((LineærRegression_Valg[[#This Row],[Tabel ID]]-1)/$B$5,0)+1</f>
        <v>471</v>
      </c>
      <c r="C1891" s="188">
        <f t="shared" si="29"/>
        <v>1</v>
      </c>
      <c r="D1891" s="188" t="b">
        <f>LineærRegression_Valg[[#This Row],[Afhængig variabel ID]]&lt;&gt;LineærRegression_Valg[[#This Row],[Uafhængig variabel ID]]</f>
        <v>1</v>
      </c>
      <c r="E1891" s="188" t="b">
        <f>LineærRegression_Valg[[#This Row],[Afhængig variabel ID]]&lt;=$B$5</f>
        <v>0</v>
      </c>
      <c r="F1891" t="str" cm="1">
        <f t="array" ref="F1891">IF(LineærRegression_Valg[[#This Row],[Indenfor range]],INDEX(DataTitel_liste,LineærRegression_Valg[[#This Row],[Afhængig variabel ID]]),INDEX(DataTitel_liste,1))</f>
        <v>Eksempel 1 (interval)</v>
      </c>
      <c r="G1891" s="188" t="str" cm="1">
        <f t="array" ref="G1891">IF(LineærRegression_Valg[[#This Row],[Indenfor range]],IF(LineærRegression_Valg[[#This Row],[Intet overlap]],INDEX(DataTitel_liste,LineærRegression_Valg[[#This Row],[Uafhængig variabel ID]]),INDEX(DataTitel_liste,IF(LineærRegression_Valg[[#This Row],[Afhængig variabel ID]]=1,2,1))),$B$7)</f>
        <v>Eksempel 2 (interval)</v>
      </c>
      <c r="H1891" s="188">
        <f>_xlfn.AGGREGATE(2,5,LineærRegression_Valg[[#This Row],[Tabel ID]])</f>
        <v>1</v>
      </c>
    </row>
    <row r="1892" spans="1:8" x14ac:dyDescent="0.2">
      <c r="A1892">
        <f>ROW(LineærRegression_Valg[[#This Row],[Tabel ID]])-ROW(LineærRegression_Valg[[#Headers],[Tabel ID]])</f>
        <v>1882</v>
      </c>
      <c r="B1892" s="188">
        <f>ROUNDDOWN((LineærRegression_Valg[[#This Row],[Tabel ID]]-1)/$B$5,0)+1</f>
        <v>471</v>
      </c>
      <c r="C1892" s="188">
        <f t="shared" si="29"/>
        <v>2</v>
      </c>
      <c r="D1892" s="188" t="b">
        <f>LineærRegression_Valg[[#This Row],[Afhængig variabel ID]]&lt;&gt;LineærRegression_Valg[[#This Row],[Uafhængig variabel ID]]</f>
        <v>1</v>
      </c>
      <c r="E1892" s="188" t="b">
        <f>LineærRegression_Valg[[#This Row],[Afhængig variabel ID]]&lt;=$B$5</f>
        <v>0</v>
      </c>
      <c r="F1892" t="str" cm="1">
        <f t="array" ref="F1892">IF(LineærRegression_Valg[[#This Row],[Indenfor range]],INDEX(DataTitel_liste,LineærRegression_Valg[[#This Row],[Afhængig variabel ID]]),INDEX(DataTitel_liste,1))</f>
        <v>Eksempel 1 (interval)</v>
      </c>
      <c r="G1892" s="188" t="str" cm="1">
        <f t="array" ref="G1892">IF(LineærRegression_Valg[[#This Row],[Indenfor range]],IF(LineærRegression_Valg[[#This Row],[Intet overlap]],INDEX(DataTitel_liste,LineærRegression_Valg[[#This Row],[Uafhængig variabel ID]]),INDEX(DataTitel_liste,IF(LineærRegression_Valg[[#This Row],[Afhængig variabel ID]]=1,2,1))),$B$7)</f>
        <v>Eksempel 2 (interval)</v>
      </c>
      <c r="H1892" s="188">
        <f>_xlfn.AGGREGATE(2,5,LineærRegression_Valg[[#This Row],[Tabel ID]])</f>
        <v>1</v>
      </c>
    </row>
    <row r="1893" spans="1:8" x14ac:dyDescent="0.2">
      <c r="A1893">
        <f>ROW(LineærRegression_Valg[[#This Row],[Tabel ID]])-ROW(LineærRegression_Valg[[#Headers],[Tabel ID]])</f>
        <v>1883</v>
      </c>
      <c r="B1893" s="188">
        <f>ROUNDDOWN((LineærRegression_Valg[[#This Row],[Tabel ID]]-1)/$B$5,0)+1</f>
        <v>471</v>
      </c>
      <c r="C1893" s="188">
        <f t="shared" si="29"/>
        <v>3</v>
      </c>
      <c r="D1893" s="188" t="b">
        <f>LineærRegression_Valg[[#This Row],[Afhængig variabel ID]]&lt;&gt;LineærRegression_Valg[[#This Row],[Uafhængig variabel ID]]</f>
        <v>1</v>
      </c>
      <c r="E1893" s="188" t="b">
        <f>LineærRegression_Valg[[#This Row],[Afhængig variabel ID]]&lt;=$B$5</f>
        <v>0</v>
      </c>
      <c r="F1893" t="str" cm="1">
        <f t="array" ref="F1893">IF(LineærRegression_Valg[[#This Row],[Indenfor range]],INDEX(DataTitel_liste,LineærRegression_Valg[[#This Row],[Afhængig variabel ID]]),INDEX(DataTitel_liste,1))</f>
        <v>Eksempel 1 (interval)</v>
      </c>
      <c r="G1893" s="188" t="str" cm="1">
        <f t="array" ref="G1893">IF(LineærRegression_Valg[[#This Row],[Indenfor range]],IF(LineærRegression_Valg[[#This Row],[Intet overlap]],INDEX(DataTitel_liste,LineærRegression_Valg[[#This Row],[Uafhængig variabel ID]]),INDEX(DataTitel_liste,IF(LineærRegression_Valg[[#This Row],[Afhængig variabel ID]]=1,2,1))),$B$7)</f>
        <v>Eksempel 2 (interval)</v>
      </c>
      <c r="H1893" s="188">
        <f>_xlfn.AGGREGATE(2,5,LineærRegression_Valg[[#This Row],[Tabel ID]])</f>
        <v>1</v>
      </c>
    </row>
    <row r="1894" spans="1:8" x14ac:dyDescent="0.2">
      <c r="A1894">
        <f>ROW(LineærRegression_Valg[[#This Row],[Tabel ID]])-ROW(LineærRegression_Valg[[#Headers],[Tabel ID]])</f>
        <v>1884</v>
      </c>
      <c r="B1894" s="188">
        <f>ROUNDDOWN((LineærRegression_Valg[[#This Row],[Tabel ID]]-1)/$B$5,0)+1</f>
        <v>471</v>
      </c>
      <c r="C1894" s="188">
        <f t="shared" si="29"/>
        <v>4</v>
      </c>
      <c r="D1894" s="188" t="b">
        <f>LineærRegression_Valg[[#This Row],[Afhængig variabel ID]]&lt;&gt;LineærRegression_Valg[[#This Row],[Uafhængig variabel ID]]</f>
        <v>1</v>
      </c>
      <c r="E1894" s="188" t="b">
        <f>LineærRegression_Valg[[#This Row],[Afhængig variabel ID]]&lt;=$B$5</f>
        <v>0</v>
      </c>
      <c r="F1894" t="str" cm="1">
        <f t="array" ref="F1894">IF(LineærRegression_Valg[[#This Row],[Indenfor range]],INDEX(DataTitel_liste,LineærRegression_Valg[[#This Row],[Afhængig variabel ID]]),INDEX(DataTitel_liste,1))</f>
        <v>Eksempel 1 (interval)</v>
      </c>
      <c r="G1894" s="188" t="str" cm="1">
        <f t="array" ref="G1894">IF(LineærRegression_Valg[[#This Row],[Indenfor range]],IF(LineærRegression_Valg[[#This Row],[Intet overlap]],INDEX(DataTitel_liste,LineærRegression_Valg[[#This Row],[Uafhængig variabel ID]]),INDEX(DataTitel_liste,IF(LineærRegression_Valg[[#This Row],[Afhængig variabel ID]]=1,2,1))),$B$7)</f>
        <v>Eksempel 2 (interval)</v>
      </c>
      <c r="H1894" s="188">
        <f>_xlfn.AGGREGATE(2,5,LineærRegression_Valg[[#This Row],[Tabel ID]])</f>
        <v>1</v>
      </c>
    </row>
    <row r="1895" spans="1:8" x14ac:dyDescent="0.2">
      <c r="A1895">
        <f>ROW(LineærRegression_Valg[[#This Row],[Tabel ID]])-ROW(LineærRegression_Valg[[#Headers],[Tabel ID]])</f>
        <v>1885</v>
      </c>
      <c r="B1895" s="188">
        <f>ROUNDDOWN((LineærRegression_Valg[[#This Row],[Tabel ID]]-1)/$B$5,0)+1</f>
        <v>472</v>
      </c>
      <c r="C1895" s="188">
        <f t="shared" si="29"/>
        <v>1</v>
      </c>
      <c r="D1895" s="188" t="b">
        <f>LineærRegression_Valg[[#This Row],[Afhængig variabel ID]]&lt;&gt;LineærRegression_Valg[[#This Row],[Uafhængig variabel ID]]</f>
        <v>1</v>
      </c>
      <c r="E1895" s="188" t="b">
        <f>LineærRegression_Valg[[#This Row],[Afhængig variabel ID]]&lt;=$B$5</f>
        <v>0</v>
      </c>
      <c r="F1895" t="str" cm="1">
        <f t="array" ref="F1895">IF(LineærRegression_Valg[[#This Row],[Indenfor range]],INDEX(DataTitel_liste,LineærRegression_Valg[[#This Row],[Afhængig variabel ID]]),INDEX(DataTitel_liste,1))</f>
        <v>Eksempel 1 (interval)</v>
      </c>
      <c r="G1895" s="188" t="str" cm="1">
        <f t="array" ref="G1895">IF(LineærRegression_Valg[[#This Row],[Indenfor range]],IF(LineærRegression_Valg[[#This Row],[Intet overlap]],INDEX(DataTitel_liste,LineærRegression_Valg[[#This Row],[Uafhængig variabel ID]]),INDEX(DataTitel_liste,IF(LineærRegression_Valg[[#This Row],[Afhængig variabel ID]]=1,2,1))),$B$7)</f>
        <v>Eksempel 2 (interval)</v>
      </c>
      <c r="H1895" s="188">
        <f>_xlfn.AGGREGATE(2,5,LineærRegression_Valg[[#This Row],[Tabel ID]])</f>
        <v>1</v>
      </c>
    </row>
    <row r="1896" spans="1:8" x14ac:dyDescent="0.2">
      <c r="A1896">
        <f>ROW(LineærRegression_Valg[[#This Row],[Tabel ID]])-ROW(LineærRegression_Valg[[#Headers],[Tabel ID]])</f>
        <v>1886</v>
      </c>
      <c r="B1896" s="188">
        <f>ROUNDDOWN((LineærRegression_Valg[[#This Row],[Tabel ID]]-1)/$B$5,0)+1</f>
        <v>472</v>
      </c>
      <c r="C1896" s="188">
        <f t="shared" si="29"/>
        <v>2</v>
      </c>
      <c r="D1896" s="188" t="b">
        <f>LineærRegression_Valg[[#This Row],[Afhængig variabel ID]]&lt;&gt;LineærRegression_Valg[[#This Row],[Uafhængig variabel ID]]</f>
        <v>1</v>
      </c>
      <c r="E1896" s="188" t="b">
        <f>LineærRegression_Valg[[#This Row],[Afhængig variabel ID]]&lt;=$B$5</f>
        <v>0</v>
      </c>
      <c r="F1896" t="str" cm="1">
        <f t="array" ref="F1896">IF(LineærRegression_Valg[[#This Row],[Indenfor range]],INDEX(DataTitel_liste,LineærRegression_Valg[[#This Row],[Afhængig variabel ID]]),INDEX(DataTitel_liste,1))</f>
        <v>Eksempel 1 (interval)</v>
      </c>
      <c r="G1896" s="188" t="str" cm="1">
        <f t="array" ref="G1896">IF(LineærRegression_Valg[[#This Row],[Indenfor range]],IF(LineærRegression_Valg[[#This Row],[Intet overlap]],INDEX(DataTitel_liste,LineærRegression_Valg[[#This Row],[Uafhængig variabel ID]]),INDEX(DataTitel_liste,IF(LineærRegression_Valg[[#This Row],[Afhængig variabel ID]]=1,2,1))),$B$7)</f>
        <v>Eksempel 2 (interval)</v>
      </c>
      <c r="H1896" s="188">
        <f>_xlfn.AGGREGATE(2,5,LineærRegression_Valg[[#This Row],[Tabel ID]])</f>
        <v>1</v>
      </c>
    </row>
    <row r="1897" spans="1:8" x14ac:dyDescent="0.2">
      <c r="A1897">
        <f>ROW(LineærRegression_Valg[[#This Row],[Tabel ID]])-ROW(LineærRegression_Valg[[#Headers],[Tabel ID]])</f>
        <v>1887</v>
      </c>
      <c r="B1897" s="188">
        <f>ROUNDDOWN((LineærRegression_Valg[[#This Row],[Tabel ID]]-1)/$B$5,0)+1</f>
        <v>472</v>
      </c>
      <c r="C1897" s="188">
        <f t="shared" si="29"/>
        <v>3</v>
      </c>
      <c r="D1897" s="188" t="b">
        <f>LineærRegression_Valg[[#This Row],[Afhængig variabel ID]]&lt;&gt;LineærRegression_Valg[[#This Row],[Uafhængig variabel ID]]</f>
        <v>1</v>
      </c>
      <c r="E1897" s="188" t="b">
        <f>LineærRegression_Valg[[#This Row],[Afhængig variabel ID]]&lt;=$B$5</f>
        <v>0</v>
      </c>
      <c r="F1897" t="str" cm="1">
        <f t="array" ref="F1897">IF(LineærRegression_Valg[[#This Row],[Indenfor range]],INDEX(DataTitel_liste,LineærRegression_Valg[[#This Row],[Afhængig variabel ID]]),INDEX(DataTitel_liste,1))</f>
        <v>Eksempel 1 (interval)</v>
      </c>
      <c r="G1897" s="188" t="str" cm="1">
        <f t="array" ref="G1897">IF(LineærRegression_Valg[[#This Row],[Indenfor range]],IF(LineærRegression_Valg[[#This Row],[Intet overlap]],INDEX(DataTitel_liste,LineærRegression_Valg[[#This Row],[Uafhængig variabel ID]]),INDEX(DataTitel_liste,IF(LineærRegression_Valg[[#This Row],[Afhængig variabel ID]]=1,2,1))),$B$7)</f>
        <v>Eksempel 2 (interval)</v>
      </c>
      <c r="H1897" s="188">
        <f>_xlfn.AGGREGATE(2,5,LineærRegression_Valg[[#This Row],[Tabel ID]])</f>
        <v>1</v>
      </c>
    </row>
    <row r="1898" spans="1:8" x14ac:dyDescent="0.2">
      <c r="A1898">
        <f>ROW(LineærRegression_Valg[[#This Row],[Tabel ID]])-ROW(LineærRegression_Valg[[#Headers],[Tabel ID]])</f>
        <v>1888</v>
      </c>
      <c r="B1898" s="188">
        <f>ROUNDDOWN((LineærRegression_Valg[[#This Row],[Tabel ID]]-1)/$B$5,0)+1</f>
        <v>472</v>
      </c>
      <c r="C1898" s="188">
        <f t="shared" si="29"/>
        <v>4</v>
      </c>
      <c r="D1898" s="188" t="b">
        <f>LineærRegression_Valg[[#This Row],[Afhængig variabel ID]]&lt;&gt;LineærRegression_Valg[[#This Row],[Uafhængig variabel ID]]</f>
        <v>1</v>
      </c>
      <c r="E1898" s="188" t="b">
        <f>LineærRegression_Valg[[#This Row],[Afhængig variabel ID]]&lt;=$B$5</f>
        <v>0</v>
      </c>
      <c r="F1898" t="str" cm="1">
        <f t="array" ref="F1898">IF(LineærRegression_Valg[[#This Row],[Indenfor range]],INDEX(DataTitel_liste,LineærRegression_Valg[[#This Row],[Afhængig variabel ID]]),INDEX(DataTitel_liste,1))</f>
        <v>Eksempel 1 (interval)</v>
      </c>
      <c r="G1898" s="188" t="str" cm="1">
        <f t="array" ref="G1898">IF(LineærRegression_Valg[[#This Row],[Indenfor range]],IF(LineærRegression_Valg[[#This Row],[Intet overlap]],INDEX(DataTitel_liste,LineærRegression_Valg[[#This Row],[Uafhængig variabel ID]]),INDEX(DataTitel_liste,IF(LineærRegression_Valg[[#This Row],[Afhængig variabel ID]]=1,2,1))),$B$7)</f>
        <v>Eksempel 2 (interval)</v>
      </c>
      <c r="H1898" s="188">
        <f>_xlfn.AGGREGATE(2,5,LineærRegression_Valg[[#This Row],[Tabel ID]])</f>
        <v>1</v>
      </c>
    </row>
    <row r="1899" spans="1:8" x14ac:dyDescent="0.2">
      <c r="A1899">
        <f>ROW(LineærRegression_Valg[[#This Row],[Tabel ID]])-ROW(LineærRegression_Valg[[#Headers],[Tabel ID]])</f>
        <v>1889</v>
      </c>
      <c r="B1899" s="188">
        <f>ROUNDDOWN((LineærRegression_Valg[[#This Row],[Tabel ID]]-1)/$B$5,0)+1</f>
        <v>473</v>
      </c>
      <c r="C1899" s="188">
        <f t="shared" si="29"/>
        <v>1</v>
      </c>
      <c r="D1899" s="188" t="b">
        <f>LineærRegression_Valg[[#This Row],[Afhængig variabel ID]]&lt;&gt;LineærRegression_Valg[[#This Row],[Uafhængig variabel ID]]</f>
        <v>1</v>
      </c>
      <c r="E1899" s="188" t="b">
        <f>LineærRegression_Valg[[#This Row],[Afhængig variabel ID]]&lt;=$B$5</f>
        <v>0</v>
      </c>
      <c r="F1899" t="str" cm="1">
        <f t="array" ref="F1899">IF(LineærRegression_Valg[[#This Row],[Indenfor range]],INDEX(DataTitel_liste,LineærRegression_Valg[[#This Row],[Afhængig variabel ID]]),INDEX(DataTitel_liste,1))</f>
        <v>Eksempel 1 (interval)</v>
      </c>
      <c r="G1899" s="188" t="str" cm="1">
        <f t="array" ref="G1899">IF(LineærRegression_Valg[[#This Row],[Indenfor range]],IF(LineærRegression_Valg[[#This Row],[Intet overlap]],INDEX(DataTitel_liste,LineærRegression_Valg[[#This Row],[Uafhængig variabel ID]]),INDEX(DataTitel_liste,IF(LineærRegression_Valg[[#This Row],[Afhængig variabel ID]]=1,2,1))),$B$7)</f>
        <v>Eksempel 2 (interval)</v>
      </c>
      <c r="H1899" s="188">
        <f>_xlfn.AGGREGATE(2,5,LineærRegression_Valg[[#This Row],[Tabel ID]])</f>
        <v>1</v>
      </c>
    </row>
    <row r="1900" spans="1:8" x14ac:dyDescent="0.2">
      <c r="A1900">
        <f>ROW(LineærRegression_Valg[[#This Row],[Tabel ID]])-ROW(LineærRegression_Valg[[#Headers],[Tabel ID]])</f>
        <v>1890</v>
      </c>
      <c r="B1900" s="188">
        <f>ROUNDDOWN((LineærRegression_Valg[[#This Row],[Tabel ID]]-1)/$B$5,0)+1</f>
        <v>473</v>
      </c>
      <c r="C1900" s="188">
        <f t="shared" si="29"/>
        <v>2</v>
      </c>
      <c r="D1900" s="188" t="b">
        <f>LineærRegression_Valg[[#This Row],[Afhængig variabel ID]]&lt;&gt;LineærRegression_Valg[[#This Row],[Uafhængig variabel ID]]</f>
        <v>1</v>
      </c>
      <c r="E1900" s="188" t="b">
        <f>LineærRegression_Valg[[#This Row],[Afhængig variabel ID]]&lt;=$B$5</f>
        <v>0</v>
      </c>
      <c r="F1900" t="str" cm="1">
        <f t="array" ref="F1900">IF(LineærRegression_Valg[[#This Row],[Indenfor range]],INDEX(DataTitel_liste,LineærRegression_Valg[[#This Row],[Afhængig variabel ID]]),INDEX(DataTitel_liste,1))</f>
        <v>Eksempel 1 (interval)</v>
      </c>
      <c r="G1900" s="188" t="str" cm="1">
        <f t="array" ref="G1900">IF(LineærRegression_Valg[[#This Row],[Indenfor range]],IF(LineærRegression_Valg[[#This Row],[Intet overlap]],INDEX(DataTitel_liste,LineærRegression_Valg[[#This Row],[Uafhængig variabel ID]]),INDEX(DataTitel_liste,IF(LineærRegression_Valg[[#This Row],[Afhængig variabel ID]]=1,2,1))),$B$7)</f>
        <v>Eksempel 2 (interval)</v>
      </c>
      <c r="H1900" s="188">
        <f>_xlfn.AGGREGATE(2,5,LineærRegression_Valg[[#This Row],[Tabel ID]])</f>
        <v>1</v>
      </c>
    </row>
    <row r="1901" spans="1:8" x14ac:dyDescent="0.2">
      <c r="A1901">
        <f>ROW(LineærRegression_Valg[[#This Row],[Tabel ID]])-ROW(LineærRegression_Valg[[#Headers],[Tabel ID]])</f>
        <v>1891</v>
      </c>
      <c r="B1901" s="188">
        <f>ROUNDDOWN((LineærRegression_Valg[[#This Row],[Tabel ID]]-1)/$B$5,0)+1</f>
        <v>473</v>
      </c>
      <c r="C1901" s="188">
        <f t="shared" si="29"/>
        <v>3</v>
      </c>
      <c r="D1901" s="188" t="b">
        <f>LineærRegression_Valg[[#This Row],[Afhængig variabel ID]]&lt;&gt;LineærRegression_Valg[[#This Row],[Uafhængig variabel ID]]</f>
        <v>1</v>
      </c>
      <c r="E1901" s="188" t="b">
        <f>LineærRegression_Valg[[#This Row],[Afhængig variabel ID]]&lt;=$B$5</f>
        <v>0</v>
      </c>
      <c r="F1901" t="str" cm="1">
        <f t="array" ref="F1901">IF(LineærRegression_Valg[[#This Row],[Indenfor range]],INDEX(DataTitel_liste,LineærRegression_Valg[[#This Row],[Afhængig variabel ID]]),INDEX(DataTitel_liste,1))</f>
        <v>Eksempel 1 (interval)</v>
      </c>
      <c r="G1901" s="188" t="str" cm="1">
        <f t="array" ref="G1901">IF(LineærRegression_Valg[[#This Row],[Indenfor range]],IF(LineærRegression_Valg[[#This Row],[Intet overlap]],INDEX(DataTitel_liste,LineærRegression_Valg[[#This Row],[Uafhængig variabel ID]]),INDEX(DataTitel_liste,IF(LineærRegression_Valg[[#This Row],[Afhængig variabel ID]]=1,2,1))),$B$7)</f>
        <v>Eksempel 2 (interval)</v>
      </c>
      <c r="H1901" s="188">
        <f>_xlfn.AGGREGATE(2,5,LineærRegression_Valg[[#This Row],[Tabel ID]])</f>
        <v>1</v>
      </c>
    </row>
    <row r="1902" spans="1:8" x14ac:dyDescent="0.2">
      <c r="A1902">
        <f>ROW(LineærRegression_Valg[[#This Row],[Tabel ID]])-ROW(LineærRegression_Valg[[#Headers],[Tabel ID]])</f>
        <v>1892</v>
      </c>
      <c r="B1902" s="188">
        <f>ROUNDDOWN((LineærRegression_Valg[[#This Row],[Tabel ID]]-1)/$B$5,0)+1</f>
        <v>473</v>
      </c>
      <c r="C1902" s="188">
        <f t="shared" si="29"/>
        <v>4</v>
      </c>
      <c r="D1902" s="188" t="b">
        <f>LineærRegression_Valg[[#This Row],[Afhængig variabel ID]]&lt;&gt;LineærRegression_Valg[[#This Row],[Uafhængig variabel ID]]</f>
        <v>1</v>
      </c>
      <c r="E1902" s="188" t="b">
        <f>LineærRegression_Valg[[#This Row],[Afhængig variabel ID]]&lt;=$B$5</f>
        <v>0</v>
      </c>
      <c r="F1902" t="str" cm="1">
        <f t="array" ref="F1902">IF(LineærRegression_Valg[[#This Row],[Indenfor range]],INDEX(DataTitel_liste,LineærRegression_Valg[[#This Row],[Afhængig variabel ID]]),INDEX(DataTitel_liste,1))</f>
        <v>Eksempel 1 (interval)</v>
      </c>
      <c r="G1902" s="188" t="str" cm="1">
        <f t="array" ref="G1902">IF(LineærRegression_Valg[[#This Row],[Indenfor range]],IF(LineærRegression_Valg[[#This Row],[Intet overlap]],INDEX(DataTitel_liste,LineærRegression_Valg[[#This Row],[Uafhængig variabel ID]]),INDEX(DataTitel_liste,IF(LineærRegression_Valg[[#This Row],[Afhængig variabel ID]]=1,2,1))),$B$7)</f>
        <v>Eksempel 2 (interval)</v>
      </c>
      <c r="H1902" s="188">
        <f>_xlfn.AGGREGATE(2,5,LineærRegression_Valg[[#This Row],[Tabel ID]])</f>
        <v>1</v>
      </c>
    </row>
    <row r="1903" spans="1:8" x14ac:dyDescent="0.2">
      <c r="A1903">
        <f>ROW(LineærRegression_Valg[[#This Row],[Tabel ID]])-ROW(LineærRegression_Valg[[#Headers],[Tabel ID]])</f>
        <v>1893</v>
      </c>
      <c r="B1903" s="188">
        <f>ROUNDDOWN((LineærRegression_Valg[[#This Row],[Tabel ID]]-1)/$B$5,0)+1</f>
        <v>474</v>
      </c>
      <c r="C1903" s="188">
        <f t="shared" si="29"/>
        <v>1</v>
      </c>
      <c r="D1903" s="188" t="b">
        <f>LineærRegression_Valg[[#This Row],[Afhængig variabel ID]]&lt;&gt;LineærRegression_Valg[[#This Row],[Uafhængig variabel ID]]</f>
        <v>1</v>
      </c>
      <c r="E1903" s="188" t="b">
        <f>LineærRegression_Valg[[#This Row],[Afhængig variabel ID]]&lt;=$B$5</f>
        <v>0</v>
      </c>
      <c r="F1903" t="str" cm="1">
        <f t="array" ref="F1903">IF(LineærRegression_Valg[[#This Row],[Indenfor range]],INDEX(DataTitel_liste,LineærRegression_Valg[[#This Row],[Afhængig variabel ID]]),INDEX(DataTitel_liste,1))</f>
        <v>Eksempel 1 (interval)</v>
      </c>
      <c r="G1903" s="188" t="str" cm="1">
        <f t="array" ref="G1903">IF(LineærRegression_Valg[[#This Row],[Indenfor range]],IF(LineærRegression_Valg[[#This Row],[Intet overlap]],INDEX(DataTitel_liste,LineærRegression_Valg[[#This Row],[Uafhængig variabel ID]]),INDEX(DataTitel_liste,IF(LineærRegression_Valg[[#This Row],[Afhængig variabel ID]]=1,2,1))),$B$7)</f>
        <v>Eksempel 2 (interval)</v>
      </c>
      <c r="H1903" s="188">
        <f>_xlfn.AGGREGATE(2,5,LineærRegression_Valg[[#This Row],[Tabel ID]])</f>
        <v>1</v>
      </c>
    </row>
    <row r="1904" spans="1:8" x14ac:dyDescent="0.2">
      <c r="A1904">
        <f>ROW(LineærRegression_Valg[[#This Row],[Tabel ID]])-ROW(LineærRegression_Valg[[#Headers],[Tabel ID]])</f>
        <v>1894</v>
      </c>
      <c r="B1904" s="188">
        <f>ROUNDDOWN((LineærRegression_Valg[[#This Row],[Tabel ID]]-1)/$B$5,0)+1</f>
        <v>474</v>
      </c>
      <c r="C1904" s="188">
        <f t="shared" si="29"/>
        <v>2</v>
      </c>
      <c r="D1904" s="188" t="b">
        <f>LineærRegression_Valg[[#This Row],[Afhængig variabel ID]]&lt;&gt;LineærRegression_Valg[[#This Row],[Uafhængig variabel ID]]</f>
        <v>1</v>
      </c>
      <c r="E1904" s="188" t="b">
        <f>LineærRegression_Valg[[#This Row],[Afhængig variabel ID]]&lt;=$B$5</f>
        <v>0</v>
      </c>
      <c r="F1904" t="str" cm="1">
        <f t="array" ref="F1904">IF(LineærRegression_Valg[[#This Row],[Indenfor range]],INDEX(DataTitel_liste,LineærRegression_Valg[[#This Row],[Afhængig variabel ID]]),INDEX(DataTitel_liste,1))</f>
        <v>Eksempel 1 (interval)</v>
      </c>
      <c r="G1904" s="188" t="str" cm="1">
        <f t="array" ref="G1904">IF(LineærRegression_Valg[[#This Row],[Indenfor range]],IF(LineærRegression_Valg[[#This Row],[Intet overlap]],INDEX(DataTitel_liste,LineærRegression_Valg[[#This Row],[Uafhængig variabel ID]]),INDEX(DataTitel_liste,IF(LineærRegression_Valg[[#This Row],[Afhængig variabel ID]]=1,2,1))),$B$7)</f>
        <v>Eksempel 2 (interval)</v>
      </c>
      <c r="H1904" s="188">
        <f>_xlfn.AGGREGATE(2,5,LineærRegression_Valg[[#This Row],[Tabel ID]])</f>
        <v>1</v>
      </c>
    </row>
    <row r="1905" spans="1:8" x14ac:dyDescent="0.2">
      <c r="A1905">
        <f>ROW(LineærRegression_Valg[[#This Row],[Tabel ID]])-ROW(LineærRegression_Valg[[#Headers],[Tabel ID]])</f>
        <v>1895</v>
      </c>
      <c r="B1905" s="188">
        <f>ROUNDDOWN((LineærRegression_Valg[[#This Row],[Tabel ID]]-1)/$B$5,0)+1</f>
        <v>474</v>
      </c>
      <c r="C1905" s="188">
        <f t="shared" si="29"/>
        <v>3</v>
      </c>
      <c r="D1905" s="188" t="b">
        <f>LineærRegression_Valg[[#This Row],[Afhængig variabel ID]]&lt;&gt;LineærRegression_Valg[[#This Row],[Uafhængig variabel ID]]</f>
        <v>1</v>
      </c>
      <c r="E1905" s="188" t="b">
        <f>LineærRegression_Valg[[#This Row],[Afhængig variabel ID]]&lt;=$B$5</f>
        <v>0</v>
      </c>
      <c r="F1905" t="str" cm="1">
        <f t="array" ref="F1905">IF(LineærRegression_Valg[[#This Row],[Indenfor range]],INDEX(DataTitel_liste,LineærRegression_Valg[[#This Row],[Afhængig variabel ID]]),INDEX(DataTitel_liste,1))</f>
        <v>Eksempel 1 (interval)</v>
      </c>
      <c r="G1905" s="188" t="str" cm="1">
        <f t="array" ref="G1905">IF(LineærRegression_Valg[[#This Row],[Indenfor range]],IF(LineærRegression_Valg[[#This Row],[Intet overlap]],INDEX(DataTitel_liste,LineærRegression_Valg[[#This Row],[Uafhængig variabel ID]]),INDEX(DataTitel_liste,IF(LineærRegression_Valg[[#This Row],[Afhængig variabel ID]]=1,2,1))),$B$7)</f>
        <v>Eksempel 2 (interval)</v>
      </c>
      <c r="H1905" s="188">
        <f>_xlfn.AGGREGATE(2,5,LineærRegression_Valg[[#This Row],[Tabel ID]])</f>
        <v>1</v>
      </c>
    </row>
    <row r="1906" spans="1:8" x14ac:dyDescent="0.2">
      <c r="A1906">
        <f>ROW(LineærRegression_Valg[[#This Row],[Tabel ID]])-ROW(LineærRegression_Valg[[#Headers],[Tabel ID]])</f>
        <v>1896</v>
      </c>
      <c r="B1906" s="188">
        <f>ROUNDDOWN((LineærRegression_Valg[[#This Row],[Tabel ID]]-1)/$B$5,0)+1</f>
        <v>474</v>
      </c>
      <c r="C1906" s="188">
        <f t="shared" si="29"/>
        <v>4</v>
      </c>
      <c r="D1906" s="188" t="b">
        <f>LineærRegression_Valg[[#This Row],[Afhængig variabel ID]]&lt;&gt;LineærRegression_Valg[[#This Row],[Uafhængig variabel ID]]</f>
        <v>1</v>
      </c>
      <c r="E1906" s="188" t="b">
        <f>LineærRegression_Valg[[#This Row],[Afhængig variabel ID]]&lt;=$B$5</f>
        <v>0</v>
      </c>
      <c r="F1906" t="str" cm="1">
        <f t="array" ref="F1906">IF(LineærRegression_Valg[[#This Row],[Indenfor range]],INDEX(DataTitel_liste,LineærRegression_Valg[[#This Row],[Afhængig variabel ID]]),INDEX(DataTitel_liste,1))</f>
        <v>Eksempel 1 (interval)</v>
      </c>
      <c r="G1906" s="188" t="str" cm="1">
        <f t="array" ref="G1906">IF(LineærRegression_Valg[[#This Row],[Indenfor range]],IF(LineærRegression_Valg[[#This Row],[Intet overlap]],INDEX(DataTitel_liste,LineærRegression_Valg[[#This Row],[Uafhængig variabel ID]]),INDEX(DataTitel_liste,IF(LineærRegression_Valg[[#This Row],[Afhængig variabel ID]]=1,2,1))),$B$7)</f>
        <v>Eksempel 2 (interval)</v>
      </c>
      <c r="H1906" s="188">
        <f>_xlfn.AGGREGATE(2,5,LineærRegression_Valg[[#This Row],[Tabel ID]])</f>
        <v>1</v>
      </c>
    </row>
    <row r="1907" spans="1:8" x14ac:dyDescent="0.2">
      <c r="A1907">
        <f>ROW(LineærRegression_Valg[[#This Row],[Tabel ID]])-ROW(LineærRegression_Valg[[#Headers],[Tabel ID]])</f>
        <v>1897</v>
      </c>
      <c r="B1907" s="188">
        <f>ROUNDDOWN((LineærRegression_Valg[[#This Row],[Tabel ID]]-1)/$B$5,0)+1</f>
        <v>475</v>
      </c>
      <c r="C1907" s="188">
        <f t="shared" si="29"/>
        <v>1</v>
      </c>
      <c r="D1907" s="188" t="b">
        <f>LineærRegression_Valg[[#This Row],[Afhængig variabel ID]]&lt;&gt;LineærRegression_Valg[[#This Row],[Uafhængig variabel ID]]</f>
        <v>1</v>
      </c>
      <c r="E1907" s="188" t="b">
        <f>LineærRegression_Valg[[#This Row],[Afhængig variabel ID]]&lt;=$B$5</f>
        <v>0</v>
      </c>
      <c r="F1907" t="str" cm="1">
        <f t="array" ref="F1907">IF(LineærRegression_Valg[[#This Row],[Indenfor range]],INDEX(DataTitel_liste,LineærRegression_Valg[[#This Row],[Afhængig variabel ID]]),INDEX(DataTitel_liste,1))</f>
        <v>Eksempel 1 (interval)</v>
      </c>
      <c r="G1907" s="188" t="str" cm="1">
        <f t="array" ref="G1907">IF(LineærRegression_Valg[[#This Row],[Indenfor range]],IF(LineærRegression_Valg[[#This Row],[Intet overlap]],INDEX(DataTitel_liste,LineærRegression_Valg[[#This Row],[Uafhængig variabel ID]]),INDEX(DataTitel_liste,IF(LineærRegression_Valg[[#This Row],[Afhængig variabel ID]]=1,2,1))),$B$7)</f>
        <v>Eksempel 2 (interval)</v>
      </c>
      <c r="H1907" s="188">
        <f>_xlfn.AGGREGATE(2,5,LineærRegression_Valg[[#This Row],[Tabel ID]])</f>
        <v>1</v>
      </c>
    </row>
    <row r="1908" spans="1:8" x14ac:dyDescent="0.2">
      <c r="A1908">
        <f>ROW(LineærRegression_Valg[[#This Row],[Tabel ID]])-ROW(LineærRegression_Valg[[#Headers],[Tabel ID]])</f>
        <v>1898</v>
      </c>
      <c r="B1908" s="188">
        <f>ROUNDDOWN((LineærRegression_Valg[[#This Row],[Tabel ID]]-1)/$B$5,0)+1</f>
        <v>475</v>
      </c>
      <c r="C1908" s="188">
        <f t="shared" si="29"/>
        <v>2</v>
      </c>
      <c r="D1908" s="188" t="b">
        <f>LineærRegression_Valg[[#This Row],[Afhængig variabel ID]]&lt;&gt;LineærRegression_Valg[[#This Row],[Uafhængig variabel ID]]</f>
        <v>1</v>
      </c>
      <c r="E1908" s="188" t="b">
        <f>LineærRegression_Valg[[#This Row],[Afhængig variabel ID]]&lt;=$B$5</f>
        <v>0</v>
      </c>
      <c r="F1908" t="str" cm="1">
        <f t="array" ref="F1908">IF(LineærRegression_Valg[[#This Row],[Indenfor range]],INDEX(DataTitel_liste,LineærRegression_Valg[[#This Row],[Afhængig variabel ID]]),INDEX(DataTitel_liste,1))</f>
        <v>Eksempel 1 (interval)</v>
      </c>
      <c r="G1908" s="188" t="str" cm="1">
        <f t="array" ref="G1908">IF(LineærRegression_Valg[[#This Row],[Indenfor range]],IF(LineærRegression_Valg[[#This Row],[Intet overlap]],INDEX(DataTitel_liste,LineærRegression_Valg[[#This Row],[Uafhængig variabel ID]]),INDEX(DataTitel_liste,IF(LineærRegression_Valg[[#This Row],[Afhængig variabel ID]]=1,2,1))),$B$7)</f>
        <v>Eksempel 2 (interval)</v>
      </c>
      <c r="H1908" s="188">
        <f>_xlfn.AGGREGATE(2,5,LineærRegression_Valg[[#This Row],[Tabel ID]])</f>
        <v>1</v>
      </c>
    </row>
    <row r="1909" spans="1:8" x14ac:dyDescent="0.2">
      <c r="A1909">
        <f>ROW(LineærRegression_Valg[[#This Row],[Tabel ID]])-ROW(LineærRegression_Valg[[#Headers],[Tabel ID]])</f>
        <v>1899</v>
      </c>
      <c r="B1909" s="188">
        <f>ROUNDDOWN((LineærRegression_Valg[[#This Row],[Tabel ID]]-1)/$B$5,0)+1</f>
        <v>475</v>
      </c>
      <c r="C1909" s="188">
        <f t="shared" si="29"/>
        <v>3</v>
      </c>
      <c r="D1909" s="188" t="b">
        <f>LineærRegression_Valg[[#This Row],[Afhængig variabel ID]]&lt;&gt;LineærRegression_Valg[[#This Row],[Uafhængig variabel ID]]</f>
        <v>1</v>
      </c>
      <c r="E1909" s="188" t="b">
        <f>LineærRegression_Valg[[#This Row],[Afhængig variabel ID]]&lt;=$B$5</f>
        <v>0</v>
      </c>
      <c r="F1909" t="str" cm="1">
        <f t="array" ref="F1909">IF(LineærRegression_Valg[[#This Row],[Indenfor range]],INDEX(DataTitel_liste,LineærRegression_Valg[[#This Row],[Afhængig variabel ID]]),INDEX(DataTitel_liste,1))</f>
        <v>Eksempel 1 (interval)</v>
      </c>
      <c r="G1909" s="188" t="str" cm="1">
        <f t="array" ref="G1909">IF(LineærRegression_Valg[[#This Row],[Indenfor range]],IF(LineærRegression_Valg[[#This Row],[Intet overlap]],INDEX(DataTitel_liste,LineærRegression_Valg[[#This Row],[Uafhængig variabel ID]]),INDEX(DataTitel_liste,IF(LineærRegression_Valg[[#This Row],[Afhængig variabel ID]]=1,2,1))),$B$7)</f>
        <v>Eksempel 2 (interval)</v>
      </c>
      <c r="H1909" s="188">
        <f>_xlfn.AGGREGATE(2,5,LineærRegression_Valg[[#This Row],[Tabel ID]])</f>
        <v>1</v>
      </c>
    </row>
    <row r="1910" spans="1:8" x14ac:dyDescent="0.2">
      <c r="A1910">
        <f>ROW(LineærRegression_Valg[[#This Row],[Tabel ID]])-ROW(LineærRegression_Valg[[#Headers],[Tabel ID]])</f>
        <v>1900</v>
      </c>
      <c r="B1910" s="188">
        <f>ROUNDDOWN((LineærRegression_Valg[[#This Row],[Tabel ID]]-1)/$B$5,0)+1</f>
        <v>475</v>
      </c>
      <c r="C1910" s="188">
        <f t="shared" si="29"/>
        <v>4</v>
      </c>
      <c r="D1910" s="188" t="b">
        <f>LineærRegression_Valg[[#This Row],[Afhængig variabel ID]]&lt;&gt;LineærRegression_Valg[[#This Row],[Uafhængig variabel ID]]</f>
        <v>1</v>
      </c>
      <c r="E1910" s="188" t="b">
        <f>LineærRegression_Valg[[#This Row],[Afhængig variabel ID]]&lt;=$B$5</f>
        <v>0</v>
      </c>
      <c r="F1910" t="str" cm="1">
        <f t="array" ref="F1910">IF(LineærRegression_Valg[[#This Row],[Indenfor range]],INDEX(DataTitel_liste,LineærRegression_Valg[[#This Row],[Afhængig variabel ID]]),INDEX(DataTitel_liste,1))</f>
        <v>Eksempel 1 (interval)</v>
      </c>
      <c r="G1910" s="188" t="str" cm="1">
        <f t="array" ref="G1910">IF(LineærRegression_Valg[[#This Row],[Indenfor range]],IF(LineærRegression_Valg[[#This Row],[Intet overlap]],INDEX(DataTitel_liste,LineærRegression_Valg[[#This Row],[Uafhængig variabel ID]]),INDEX(DataTitel_liste,IF(LineærRegression_Valg[[#This Row],[Afhængig variabel ID]]=1,2,1))),$B$7)</f>
        <v>Eksempel 2 (interval)</v>
      </c>
      <c r="H1910" s="188">
        <f>_xlfn.AGGREGATE(2,5,LineærRegression_Valg[[#This Row],[Tabel ID]])</f>
        <v>1</v>
      </c>
    </row>
    <row r="1911" spans="1:8" x14ac:dyDescent="0.2">
      <c r="A1911">
        <f>ROW(LineærRegression_Valg[[#This Row],[Tabel ID]])-ROW(LineærRegression_Valg[[#Headers],[Tabel ID]])</f>
        <v>1901</v>
      </c>
      <c r="B1911" s="188">
        <f>ROUNDDOWN((LineærRegression_Valg[[#This Row],[Tabel ID]]-1)/$B$5,0)+1</f>
        <v>476</v>
      </c>
      <c r="C1911" s="188">
        <f t="shared" si="29"/>
        <v>1</v>
      </c>
      <c r="D1911" s="188" t="b">
        <f>LineærRegression_Valg[[#This Row],[Afhængig variabel ID]]&lt;&gt;LineærRegression_Valg[[#This Row],[Uafhængig variabel ID]]</f>
        <v>1</v>
      </c>
      <c r="E1911" s="188" t="b">
        <f>LineærRegression_Valg[[#This Row],[Afhængig variabel ID]]&lt;=$B$5</f>
        <v>0</v>
      </c>
      <c r="F1911" t="str" cm="1">
        <f t="array" ref="F1911">IF(LineærRegression_Valg[[#This Row],[Indenfor range]],INDEX(DataTitel_liste,LineærRegression_Valg[[#This Row],[Afhængig variabel ID]]),INDEX(DataTitel_liste,1))</f>
        <v>Eksempel 1 (interval)</v>
      </c>
      <c r="G1911" s="188" t="str" cm="1">
        <f t="array" ref="G1911">IF(LineærRegression_Valg[[#This Row],[Indenfor range]],IF(LineærRegression_Valg[[#This Row],[Intet overlap]],INDEX(DataTitel_liste,LineærRegression_Valg[[#This Row],[Uafhængig variabel ID]]),INDEX(DataTitel_liste,IF(LineærRegression_Valg[[#This Row],[Afhængig variabel ID]]=1,2,1))),$B$7)</f>
        <v>Eksempel 2 (interval)</v>
      </c>
      <c r="H1911" s="188">
        <f>_xlfn.AGGREGATE(2,5,LineærRegression_Valg[[#This Row],[Tabel ID]])</f>
        <v>1</v>
      </c>
    </row>
    <row r="1912" spans="1:8" x14ac:dyDescent="0.2">
      <c r="A1912">
        <f>ROW(LineærRegression_Valg[[#This Row],[Tabel ID]])-ROW(LineærRegression_Valg[[#Headers],[Tabel ID]])</f>
        <v>1902</v>
      </c>
      <c r="B1912" s="188">
        <f>ROUNDDOWN((LineærRegression_Valg[[#This Row],[Tabel ID]]-1)/$B$5,0)+1</f>
        <v>476</v>
      </c>
      <c r="C1912" s="188">
        <f t="shared" si="29"/>
        <v>2</v>
      </c>
      <c r="D1912" s="188" t="b">
        <f>LineærRegression_Valg[[#This Row],[Afhængig variabel ID]]&lt;&gt;LineærRegression_Valg[[#This Row],[Uafhængig variabel ID]]</f>
        <v>1</v>
      </c>
      <c r="E1912" s="188" t="b">
        <f>LineærRegression_Valg[[#This Row],[Afhængig variabel ID]]&lt;=$B$5</f>
        <v>0</v>
      </c>
      <c r="F1912" t="str" cm="1">
        <f t="array" ref="F1912">IF(LineærRegression_Valg[[#This Row],[Indenfor range]],INDEX(DataTitel_liste,LineærRegression_Valg[[#This Row],[Afhængig variabel ID]]),INDEX(DataTitel_liste,1))</f>
        <v>Eksempel 1 (interval)</v>
      </c>
      <c r="G1912" s="188" t="str" cm="1">
        <f t="array" ref="G1912">IF(LineærRegression_Valg[[#This Row],[Indenfor range]],IF(LineærRegression_Valg[[#This Row],[Intet overlap]],INDEX(DataTitel_liste,LineærRegression_Valg[[#This Row],[Uafhængig variabel ID]]),INDEX(DataTitel_liste,IF(LineærRegression_Valg[[#This Row],[Afhængig variabel ID]]=1,2,1))),$B$7)</f>
        <v>Eksempel 2 (interval)</v>
      </c>
      <c r="H1912" s="188">
        <f>_xlfn.AGGREGATE(2,5,LineærRegression_Valg[[#This Row],[Tabel ID]])</f>
        <v>1</v>
      </c>
    </row>
    <row r="1913" spans="1:8" x14ac:dyDescent="0.2">
      <c r="A1913">
        <f>ROW(LineærRegression_Valg[[#This Row],[Tabel ID]])-ROW(LineærRegression_Valg[[#Headers],[Tabel ID]])</f>
        <v>1903</v>
      </c>
      <c r="B1913" s="188">
        <f>ROUNDDOWN((LineærRegression_Valg[[#This Row],[Tabel ID]]-1)/$B$5,0)+1</f>
        <v>476</v>
      </c>
      <c r="C1913" s="188">
        <f t="shared" si="29"/>
        <v>3</v>
      </c>
      <c r="D1913" s="188" t="b">
        <f>LineærRegression_Valg[[#This Row],[Afhængig variabel ID]]&lt;&gt;LineærRegression_Valg[[#This Row],[Uafhængig variabel ID]]</f>
        <v>1</v>
      </c>
      <c r="E1913" s="188" t="b">
        <f>LineærRegression_Valg[[#This Row],[Afhængig variabel ID]]&lt;=$B$5</f>
        <v>0</v>
      </c>
      <c r="F1913" t="str" cm="1">
        <f t="array" ref="F1913">IF(LineærRegression_Valg[[#This Row],[Indenfor range]],INDEX(DataTitel_liste,LineærRegression_Valg[[#This Row],[Afhængig variabel ID]]),INDEX(DataTitel_liste,1))</f>
        <v>Eksempel 1 (interval)</v>
      </c>
      <c r="G1913" s="188" t="str" cm="1">
        <f t="array" ref="G1913">IF(LineærRegression_Valg[[#This Row],[Indenfor range]],IF(LineærRegression_Valg[[#This Row],[Intet overlap]],INDEX(DataTitel_liste,LineærRegression_Valg[[#This Row],[Uafhængig variabel ID]]),INDEX(DataTitel_liste,IF(LineærRegression_Valg[[#This Row],[Afhængig variabel ID]]=1,2,1))),$B$7)</f>
        <v>Eksempel 2 (interval)</v>
      </c>
      <c r="H1913" s="188">
        <f>_xlfn.AGGREGATE(2,5,LineærRegression_Valg[[#This Row],[Tabel ID]])</f>
        <v>1</v>
      </c>
    </row>
    <row r="1914" spans="1:8" x14ac:dyDescent="0.2">
      <c r="A1914">
        <f>ROW(LineærRegression_Valg[[#This Row],[Tabel ID]])-ROW(LineærRegression_Valg[[#Headers],[Tabel ID]])</f>
        <v>1904</v>
      </c>
      <c r="B1914" s="188">
        <f>ROUNDDOWN((LineærRegression_Valg[[#This Row],[Tabel ID]]-1)/$B$5,0)+1</f>
        <v>476</v>
      </c>
      <c r="C1914" s="188">
        <f t="shared" si="29"/>
        <v>4</v>
      </c>
      <c r="D1914" s="188" t="b">
        <f>LineærRegression_Valg[[#This Row],[Afhængig variabel ID]]&lt;&gt;LineærRegression_Valg[[#This Row],[Uafhængig variabel ID]]</f>
        <v>1</v>
      </c>
      <c r="E1914" s="188" t="b">
        <f>LineærRegression_Valg[[#This Row],[Afhængig variabel ID]]&lt;=$B$5</f>
        <v>0</v>
      </c>
      <c r="F1914" t="str" cm="1">
        <f t="array" ref="F1914">IF(LineærRegression_Valg[[#This Row],[Indenfor range]],INDEX(DataTitel_liste,LineærRegression_Valg[[#This Row],[Afhængig variabel ID]]),INDEX(DataTitel_liste,1))</f>
        <v>Eksempel 1 (interval)</v>
      </c>
      <c r="G1914" s="188" t="str" cm="1">
        <f t="array" ref="G1914">IF(LineærRegression_Valg[[#This Row],[Indenfor range]],IF(LineærRegression_Valg[[#This Row],[Intet overlap]],INDEX(DataTitel_liste,LineærRegression_Valg[[#This Row],[Uafhængig variabel ID]]),INDEX(DataTitel_liste,IF(LineærRegression_Valg[[#This Row],[Afhængig variabel ID]]=1,2,1))),$B$7)</f>
        <v>Eksempel 2 (interval)</v>
      </c>
      <c r="H1914" s="188">
        <f>_xlfn.AGGREGATE(2,5,LineærRegression_Valg[[#This Row],[Tabel ID]])</f>
        <v>1</v>
      </c>
    </row>
    <row r="1915" spans="1:8" x14ac:dyDescent="0.2">
      <c r="A1915">
        <f>ROW(LineærRegression_Valg[[#This Row],[Tabel ID]])-ROW(LineærRegression_Valg[[#Headers],[Tabel ID]])</f>
        <v>1905</v>
      </c>
      <c r="B1915" s="188">
        <f>ROUNDDOWN((LineærRegression_Valg[[#This Row],[Tabel ID]]-1)/$B$5,0)+1</f>
        <v>477</v>
      </c>
      <c r="C1915" s="188">
        <f t="shared" si="29"/>
        <v>1</v>
      </c>
      <c r="D1915" s="188" t="b">
        <f>LineærRegression_Valg[[#This Row],[Afhængig variabel ID]]&lt;&gt;LineærRegression_Valg[[#This Row],[Uafhængig variabel ID]]</f>
        <v>1</v>
      </c>
      <c r="E1915" s="188" t="b">
        <f>LineærRegression_Valg[[#This Row],[Afhængig variabel ID]]&lt;=$B$5</f>
        <v>0</v>
      </c>
      <c r="F1915" t="str" cm="1">
        <f t="array" ref="F1915">IF(LineærRegression_Valg[[#This Row],[Indenfor range]],INDEX(DataTitel_liste,LineærRegression_Valg[[#This Row],[Afhængig variabel ID]]),INDEX(DataTitel_liste,1))</f>
        <v>Eksempel 1 (interval)</v>
      </c>
      <c r="G1915" s="188" t="str" cm="1">
        <f t="array" ref="G1915">IF(LineærRegression_Valg[[#This Row],[Indenfor range]],IF(LineærRegression_Valg[[#This Row],[Intet overlap]],INDEX(DataTitel_liste,LineærRegression_Valg[[#This Row],[Uafhængig variabel ID]]),INDEX(DataTitel_liste,IF(LineærRegression_Valg[[#This Row],[Afhængig variabel ID]]=1,2,1))),$B$7)</f>
        <v>Eksempel 2 (interval)</v>
      </c>
      <c r="H1915" s="188">
        <f>_xlfn.AGGREGATE(2,5,LineærRegression_Valg[[#This Row],[Tabel ID]])</f>
        <v>1</v>
      </c>
    </row>
    <row r="1916" spans="1:8" x14ac:dyDescent="0.2">
      <c r="A1916">
        <f>ROW(LineærRegression_Valg[[#This Row],[Tabel ID]])-ROW(LineærRegression_Valg[[#Headers],[Tabel ID]])</f>
        <v>1906</v>
      </c>
      <c r="B1916" s="188">
        <f>ROUNDDOWN((LineærRegression_Valg[[#This Row],[Tabel ID]]-1)/$B$5,0)+1</f>
        <v>477</v>
      </c>
      <c r="C1916" s="188">
        <f t="shared" si="29"/>
        <v>2</v>
      </c>
      <c r="D1916" s="188" t="b">
        <f>LineærRegression_Valg[[#This Row],[Afhængig variabel ID]]&lt;&gt;LineærRegression_Valg[[#This Row],[Uafhængig variabel ID]]</f>
        <v>1</v>
      </c>
      <c r="E1916" s="188" t="b">
        <f>LineærRegression_Valg[[#This Row],[Afhængig variabel ID]]&lt;=$B$5</f>
        <v>0</v>
      </c>
      <c r="F1916" t="str" cm="1">
        <f t="array" ref="F1916">IF(LineærRegression_Valg[[#This Row],[Indenfor range]],INDEX(DataTitel_liste,LineærRegression_Valg[[#This Row],[Afhængig variabel ID]]),INDEX(DataTitel_liste,1))</f>
        <v>Eksempel 1 (interval)</v>
      </c>
      <c r="G1916" s="188" t="str" cm="1">
        <f t="array" ref="G1916">IF(LineærRegression_Valg[[#This Row],[Indenfor range]],IF(LineærRegression_Valg[[#This Row],[Intet overlap]],INDEX(DataTitel_liste,LineærRegression_Valg[[#This Row],[Uafhængig variabel ID]]),INDEX(DataTitel_liste,IF(LineærRegression_Valg[[#This Row],[Afhængig variabel ID]]=1,2,1))),$B$7)</f>
        <v>Eksempel 2 (interval)</v>
      </c>
      <c r="H1916" s="188">
        <f>_xlfn.AGGREGATE(2,5,LineærRegression_Valg[[#This Row],[Tabel ID]])</f>
        <v>1</v>
      </c>
    </row>
    <row r="1917" spans="1:8" x14ac:dyDescent="0.2">
      <c r="A1917">
        <f>ROW(LineærRegression_Valg[[#This Row],[Tabel ID]])-ROW(LineærRegression_Valg[[#Headers],[Tabel ID]])</f>
        <v>1907</v>
      </c>
      <c r="B1917" s="188">
        <f>ROUNDDOWN((LineærRegression_Valg[[#This Row],[Tabel ID]]-1)/$B$5,0)+1</f>
        <v>477</v>
      </c>
      <c r="C1917" s="188">
        <f t="shared" si="29"/>
        <v>3</v>
      </c>
      <c r="D1917" s="188" t="b">
        <f>LineærRegression_Valg[[#This Row],[Afhængig variabel ID]]&lt;&gt;LineærRegression_Valg[[#This Row],[Uafhængig variabel ID]]</f>
        <v>1</v>
      </c>
      <c r="E1917" s="188" t="b">
        <f>LineærRegression_Valg[[#This Row],[Afhængig variabel ID]]&lt;=$B$5</f>
        <v>0</v>
      </c>
      <c r="F1917" t="str" cm="1">
        <f t="array" ref="F1917">IF(LineærRegression_Valg[[#This Row],[Indenfor range]],INDEX(DataTitel_liste,LineærRegression_Valg[[#This Row],[Afhængig variabel ID]]),INDEX(DataTitel_liste,1))</f>
        <v>Eksempel 1 (interval)</v>
      </c>
      <c r="G1917" s="188" t="str" cm="1">
        <f t="array" ref="G1917">IF(LineærRegression_Valg[[#This Row],[Indenfor range]],IF(LineærRegression_Valg[[#This Row],[Intet overlap]],INDEX(DataTitel_liste,LineærRegression_Valg[[#This Row],[Uafhængig variabel ID]]),INDEX(DataTitel_liste,IF(LineærRegression_Valg[[#This Row],[Afhængig variabel ID]]=1,2,1))),$B$7)</f>
        <v>Eksempel 2 (interval)</v>
      </c>
      <c r="H1917" s="188">
        <f>_xlfn.AGGREGATE(2,5,LineærRegression_Valg[[#This Row],[Tabel ID]])</f>
        <v>1</v>
      </c>
    </row>
    <row r="1918" spans="1:8" x14ac:dyDescent="0.2">
      <c r="A1918">
        <f>ROW(LineærRegression_Valg[[#This Row],[Tabel ID]])-ROW(LineærRegression_Valg[[#Headers],[Tabel ID]])</f>
        <v>1908</v>
      </c>
      <c r="B1918" s="188">
        <f>ROUNDDOWN((LineærRegression_Valg[[#This Row],[Tabel ID]]-1)/$B$5,0)+1</f>
        <v>477</v>
      </c>
      <c r="C1918" s="188">
        <f t="shared" si="29"/>
        <v>4</v>
      </c>
      <c r="D1918" s="188" t="b">
        <f>LineærRegression_Valg[[#This Row],[Afhængig variabel ID]]&lt;&gt;LineærRegression_Valg[[#This Row],[Uafhængig variabel ID]]</f>
        <v>1</v>
      </c>
      <c r="E1918" s="188" t="b">
        <f>LineærRegression_Valg[[#This Row],[Afhængig variabel ID]]&lt;=$B$5</f>
        <v>0</v>
      </c>
      <c r="F1918" t="str" cm="1">
        <f t="array" ref="F1918">IF(LineærRegression_Valg[[#This Row],[Indenfor range]],INDEX(DataTitel_liste,LineærRegression_Valg[[#This Row],[Afhængig variabel ID]]),INDEX(DataTitel_liste,1))</f>
        <v>Eksempel 1 (interval)</v>
      </c>
      <c r="G1918" s="188" t="str" cm="1">
        <f t="array" ref="G1918">IF(LineærRegression_Valg[[#This Row],[Indenfor range]],IF(LineærRegression_Valg[[#This Row],[Intet overlap]],INDEX(DataTitel_liste,LineærRegression_Valg[[#This Row],[Uafhængig variabel ID]]),INDEX(DataTitel_liste,IF(LineærRegression_Valg[[#This Row],[Afhængig variabel ID]]=1,2,1))),$B$7)</f>
        <v>Eksempel 2 (interval)</v>
      </c>
      <c r="H1918" s="188">
        <f>_xlfn.AGGREGATE(2,5,LineærRegression_Valg[[#This Row],[Tabel ID]])</f>
        <v>1</v>
      </c>
    </row>
    <row r="1919" spans="1:8" x14ac:dyDescent="0.2">
      <c r="A1919">
        <f>ROW(LineærRegression_Valg[[#This Row],[Tabel ID]])-ROW(LineærRegression_Valg[[#Headers],[Tabel ID]])</f>
        <v>1909</v>
      </c>
      <c r="B1919" s="188">
        <f>ROUNDDOWN((LineærRegression_Valg[[#This Row],[Tabel ID]]-1)/$B$5,0)+1</f>
        <v>478</v>
      </c>
      <c r="C1919" s="188">
        <f t="shared" si="29"/>
        <v>1</v>
      </c>
      <c r="D1919" s="188" t="b">
        <f>LineærRegression_Valg[[#This Row],[Afhængig variabel ID]]&lt;&gt;LineærRegression_Valg[[#This Row],[Uafhængig variabel ID]]</f>
        <v>1</v>
      </c>
      <c r="E1919" s="188" t="b">
        <f>LineærRegression_Valg[[#This Row],[Afhængig variabel ID]]&lt;=$B$5</f>
        <v>0</v>
      </c>
      <c r="F1919" t="str" cm="1">
        <f t="array" ref="F1919">IF(LineærRegression_Valg[[#This Row],[Indenfor range]],INDEX(DataTitel_liste,LineærRegression_Valg[[#This Row],[Afhængig variabel ID]]),INDEX(DataTitel_liste,1))</f>
        <v>Eksempel 1 (interval)</v>
      </c>
      <c r="G1919" s="188" t="str" cm="1">
        <f t="array" ref="G1919">IF(LineærRegression_Valg[[#This Row],[Indenfor range]],IF(LineærRegression_Valg[[#This Row],[Intet overlap]],INDEX(DataTitel_liste,LineærRegression_Valg[[#This Row],[Uafhængig variabel ID]]),INDEX(DataTitel_liste,IF(LineærRegression_Valg[[#This Row],[Afhængig variabel ID]]=1,2,1))),$B$7)</f>
        <v>Eksempel 2 (interval)</v>
      </c>
      <c r="H1919" s="188">
        <f>_xlfn.AGGREGATE(2,5,LineærRegression_Valg[[#This Row],[Tabel ID]])</f>
        <v>1</v>
      </c>
    </row>
    <row r="1920" spans="1:8" x14ac:dyDescent="0.2">
      <c r="A1920">
        <f>ROW(LineærRegression_Valg[[#This Row],[Tabel ID]])-ROW(LineærRegression_Valg[[#Headers],[Tabel ID]])</f>
        <v>1910</v>
      </c>
      <c r="B1920" s="188">
        <f>ROUNDDOWN((LineærRegression_Valg[[#This Row],[Tabel ID]]-1)/$B$5,0)+1</f>
        <v>478</v>
      </c>
      <c r="C1920" s="188">
        <f t="shared" si="29"/>
        <v>2</v>
      </c>
      <c r="D1920" s="188" t="b">
        <f>LineærRegression_Valg[[#This Row],[Afhængig variabel ID]]&lt;&gt;LineærRegression_Valg[[#This Row],[Uafhængig variabel ID]]</f>
        <v>1</v>
      </c>
      <c r="E1920" s="188" t="b">
        <f>LineærRegression_Valg[[#This Row],[Afhængig variabel ID]]&lt;=$B$5</f>
        <v>0</v>
      </c>
      <c r="F1920" t="str" cm="1">
        <f t="array" ref="F1920">IF(LineærRegression_Valg[[#This Row],[Indenfor range]],INDEX(DataTitel_liste,LineærRegression_Valg[[#This Row],[Afhængig variabel ID]]),INDEX(DataTitel_liste,1))</f>
        <v>Eksempel 1 (interval)</v>
      </c>
      <c r="G1920" s="188" t="str" cm="1">
        <f t="array" ref="G1920">IF(LineærRegression_Valg[[#This Row],[Indenfor range]],IF(LineærRegression_Valg[[#This Row],[Intet overlap]],INDEX(DataTitel_liste,LineærRegression_Valg[[#This Row],[Uafhængig variabel ID]]),INDEX(DataTitel_liste,IF(LineærRegression_Valg[[#This Row],[Afhængig variabel ID]]=1,2,1))),$B$7)</f>
        <v>Eksempel 2 (interval)</v>
      </c>
      <c r="H1920" s="188">
        <f>_xlfn.AGGREGATE(2,5,LineærRegression_Valg[[#This Row],[Tabel ID]])</f>
        <v>1</v>
      </c>
    </row>
    <row r="1921" spans="1:8" x14ac:dyDescent="0.2">
      <c r="A1921">
        <f>ROW(LineærRegression_Valg[[#This Row],[Tabel ID]])-ROW(LineærRegression_Valg[[#Headers],[Tabel ID]])</f>
        <v>1911</v>
      </c>
      <c r="B1921" s="188">
        <f>ROUNDDOWN((LineærRegression_Valg[[#This Row],[Tabel ID]]-1)/$B$5,0)+1</f>
        <v>478</v>
      </c>
      <c r="C1921" s="188">
        <f t="shared" si="29"/>
        <v>3</v>
      </c>
      <c r="D1921" s="188" t="b">
        <f>LineærRegression_Valg[[#This Row],[Afhængig variabel ID]]&lt;&gt;LineærRegression_Valg[[#This Row],[Uafhængig variabel ID]]</f>
        <v>1</v>
      </c>
      <c r="E1921" s="188" t="b">
        <f>LineærRegression_Valg[[#This Row],[Afhængig variabel ID]]&lt;=$B$5</f>
        <v>0</v>
      </c>
      <c r="F1921" t="str" cm="1">
        <f t="array" ref="F1921">IF(LineærRegression_Valg[[#This Row],[Indenfor range]],INDEX(DataTitel_liste,LineærRegression_Valg[[#This Row],[Afhængig variabel ID]]),INDEX(DataTitel_liste,1))</f>
        <v>Eksempel 1 (interval)</v>
      </c>
      <c r="G1921" s="188" t="str" cm="1">
        <f t="array" ref="G1921">IF(LineærRegression_Valg[[#This Row],[Indenfor range]],IF(LineærRegression_Valg[[#This Row],[Intet overlap]],INDEX(DataTitel_liste,LineærRegression_Valg[[#This Row],[Uafhængig variabel ID]]),INDEX(DataTitel_liste,IF(LineærRegression_Valg[[#This Row],[Afhængig variabel ID]]=1,2,1))),$B$7)</f>
        <v>Eksempel 2 (interval)</v>
      </c>
      <c r="H1921" s="188">
        <f>_xlfn.AGGREGATE(2,5,LineærRegression_Valg[[#This Row],[Tabel ID]])</f>
        <v>1</v>
      </c>
    </row>
    <row r="1922" spans="1:8" x14ac:dyDescent="0.2">
      <c r="A1922">
        <f>ROW(LineærRegression_Valg[[#This Row],[Tabel ID]])-ROW(LineærRegression_Valg[[#Headers],[Tabel ID]])</f>
        <v>1912</v>
      </c>
      <c r="B1922" s="188">
        <f>ROUNDDOWN((LineærRegression_Valg[[#This Row],[Tabel ID]]-1)/$B$5,0)+1</f>
        <v>478</v>
      </c>
      <c r="C1922" s="188">
        <f t="shared" si="29"/>
        <v>4</v>
      </c>
      <c r="D1922" s="188" t="b">
        <f>LineærRegression_Valg[[#This Row],[Afhængig variabel ID]]&lt;&gt;LineærRegression_Valg[[#This Row],[Uafhængig variabel ID]]</f>
        <v>1</v>
      </c>
      <c r="E1922" s="188" t="b">
        <f>LineærRegression_Valg[[#This Row],[Afhængig variabel ID]]&lt;=$B$5</f>
        <v>0</v>
      </c>
      <c r="F1922" t="str" cm="1">
        <f t="array" ref="F1922">IF(LineærRegression_Valg[[#This Row],[Indenfor range]],INDEX(DataTitel_liste,LineærRegression_Valg[[#This Row],[Afhængig variabel ID]]),INDEX(DataTitel_liste,1))</f>
        <v>Eksempel 1 (interval)</v>
      </c>
      <c r="G1922" s="188" t="str" cm="1">
        <f t="array" ref="G1922">IF(LineærRegression_Valg[[#This Row],[Indenfor range]],IF(LineærRegression_Valg[[#This Row],[Intet overlap]],INDEX(DataTitel_liste,LineærRegression_Valg[[#This Row],[Uafhængig variabel ID]]),INDEX(DataTitel_liste,IF(LineærRegression_Valg[[#This Row],[Afhængig variabel ID]]=1,2,1))),$B$7)</f>
        <v>Eksempel 2 (interval)</v>
      </c>
      <c r="H1922" s="188">
        <f>_xlfn.AGGREGATE(2,5,LineærRegression_Valg[[#This Row],[Tabel ID]])</f>
        <v>1</v>
      </c>
    </row>
    <row r="1923" spans="1:8" x14ac:dyDescent="0.2">
      <c r="A1923">
        <f>ROW(LineærRegression_Valg[[#This Row],[Tabel ID]])-ROW(LineærRegression_Valg[[#Headers],[Tabel ID]])</f>
        <v>1913</v>
      </c>
      <c r="B1923" s="188">
        <f>ROUNDDOWN((LineærRegression_Valg[[#This Row],[Tabel ID]]-1)/$B$5,0)+1</f>
        <v>479</v>
      </c>
      <c r="C1923" s="188">
        <f t="shared" si="29"/>
        <v>1</v>
      </c>
      <c r="D1923" s="188" t="b">
        <f>LineærRegression_Valg[[#This Row],[Afhængig variabel ID]]&lt;&gt;LineærRegression_Valg[[#This Row],[Uafhængig variabel ID]]</f>
        <v>1</v>
      </c>
      <c r="E1923" s="188" t="b">
        <f>LineærRegression_Valg[[#This Row],[Afhængig variabel ID]]&lt;=$B$5</f>
        <v>0</v>
      </c>
      <c r="F1923" t="str" cm="1">
        <f t="array" ref="F1923">IF(LineærRegression_Valg[[#This Row],[Indenfor range]],INDEX(DataTitel_liste,LineærRegression_Valg[[#This Row],[Afhængig variabel ID]]),INDEX(DataTitel_liste,1))</f>
        <v>Eksempel 1 (interval)</v>
      </c>
      <c r="G1923" s="188" t="str" cm="1">
        <f t="array" ref="G1923">IF(LineærRegression_Valg[[#This Row],[Indenfor range]],IF(LineærRegression_Valg[[#This Row],[Intet overlap]],INDEX(DataTitel_liste,LineærRegression_Valg[[#This Row],[Uafhængig variabel ID]]),INDEX(DataTitel_liste,IF(LineærRegression_Valg[[#This Row],[Afhængig variabel ID]]=1,2,1))),$B$7)</f>
        <v>Eksempel 2 (interval)</v>
      </c>
      <c r="H1923" s="188">
        <f>_xlfn.AGGREGATE(2,5,LineærRegression_Valg[[#This Row],[Tabel ID]])</f>
        <v>1</v>
      </c>
    </row>
    <row r="1924" spans="1:8" x14ac:dyDescent="0.2">
      <c r="A1924">
        <f>ROW(LineærRegression_Valg[[#This Row],[Tabel ID]])-ROW(LineærRegression_Valg[[#Headers],[Tabel ID]])</f>
        <v>1914</v>
      </c>
      <c r="B1924" s="188">
        <f>ROUNDDOWN((LineærRegression_Valg[[#This Row],[Tabel ID]]-1)/$B$5,0)+1</f>
        <v>479</v>
      </c>
      <c r="C1924" s="188">
        <f t="shared" si="29"/>
        <v>2</v>
      </c>
      <c r="D1924" s="188" t="b">
        <f>LineærRegression_Valg[[#This Row],[Afhængig variabel ID]]&lt;&gt;LineærRegression_Valg[[#This Row],[Uafhængig variabel ID]]</f>
        <v>1</v>
      </c>
      <c r="E1924" s="188" t="b">
        <f>LineærRegression_Valg[[#This Row],[Afhængig variabel ID]]&lt;=$B$5</f>
        <v>0</v>
      </c>
      <c r="F1924" t="str" cm="1">
        <f t="array" ref="F1924">IF(LineærRegression_Valg[[#This Row],[Indenfor range]],INDEX(DataTitel_liste,LineærRegression_Valg[[#This Row],[Afhængig variabel ID]]),INDEX(DataTitel_liste,1))</f>
        <v>Eksempel 1 (interval)</v>
      </c>
      <c r="G1924" s="188" t="str" cm="1">
        <f t="array" ref="G1924">IF(LineærRegression_Valg[[#This Row],[Indenfor range]],IF(LineærRegression_Valg[[#This Row],[Intet overlap]],INDEX(DataTitel_liste,LineærRegression_Valg[[#This Row],[Uafhængig variabel ID]]),INDEX(DataTitel_liste,IF(LineærRegression_Valg[[#This Row],[Afhængig variabel ID]]=1,2,1))),$B$7)</f>
        <v>Eksempel 2 (interval)</v>
      </c>
      <c r="H1924" s="188">
        <f>_xlfn.AGGREGATE(2,5,LineærRegression_Valg[[#This Row],[Tabel ID]])</f>
        <v>1</v>
      </c>
    </row>
    <row r="1925" spans="1:8" x14ac:dyDescent="0.2">
      <c r="A1925">
        <f>ROW(LineærRegression_Valg[[#This Row],[Tabel ID]])-ROW(LineærRegression_Valg[[#Headers],[Tabel ID]])</f>
        <v>1915</v>
      </c>
      <c r="B1925" s="188">
        <f>ROUNDDOWN((LineærRegression_Valg[[#This Row],[Tabel ID]]-1)/$B$5,0)+1</f>
        <v>479</v>
      </c>
      <c r="C1925" s="188">
        <f t="shared" si="29"/>
        <v>3</v>
      </c>
      <c r="D1925" s="188" t="b">
        <f>LineærRegression_Valg[[#This Row],[Afhængig variabel ID]]&lt;&gt;LineærRegression_Valg[[#This Row],[Uafhængig variabel ID]]</f>
        <v>1</v>
      </c>
      <c r="E1925" s="188" t="b">
        <f>LineærRegression_Valg[[#This Row],[Afhængig variabel ID]]&lt;=$B$5</f>
        <v>0</v>
      </c>
      <c r="F1925" t="str" cm="1">
        <f t="array" ref="F1925">IF(LineærRegression_Valg[[#This Row],[Indenfor range]],INDEX(DataTitel_liste,LineærRegression_Valg[[#This Row],[Afhængig variabel ID]]),INDEX(DataTitel_liste,1))</f>
        <v>Eksempel 1 (interval)</v>
      </c>
      <c r="G1925" s="188" t="str" cm="1">
        <f t="array" ref="G1925">IF(LineærRegression_Valg[[#This Row],[Indenfor range]],IF(LineærRegression_Valg[[#This Row],[Intet overlap]],INDEX(DataTitel_liste,LineærRegression_Valg[[#This Row],[Uafhængig variabel ID]]),INDEX(DataTitel_liste,IF(LineærRegression_Valg[[#This Row],[Afhængig variabel ID]]=1,2,1))),$B$7)</f>
        <v>Eksempel 2 (interval)</v>
      </c>
      <c r="H1925" s="188">
        <f>_xlfn.AGGREGATE(2,5,LineærRegression_Valg[[#This Row],[Tabel ID]])</f>
        <v>1</v>
      </c>
    </row>
    <row r="1926" spans="1:8" x14ac:dyDescent="0.2">
      <c r="A1926">
        <f>ROW(LineærRegression_Valg[[#This Row],[Tabel ID]])-ROW(LineærRegression_Valg[[#Headers],[Tabel ID]])</f>
        <v>1916</v>
      </c>
      <c r="B1926" s="188">
        <f>ROUNDDOWN((LineærRegression_Valg[[#This Row],[Tabel ID]]-1)/$B$5,0)+1</f>
        <v>479</v>
      </c>
      <c r="C1926" s="188">
        <f t="shared" si="29"/>
        <v>4</v>
      </c>
      <c r="D1926" s="188" t="b">
        <f>LineærRegression_Valg[[#This Row],[Afhængig variabel ID]]&lt;&gt;LineærRegression_Valg[[#This Row],[Uafhængig variabel ID]]</f>
        <v>1</v>
      </c>
      <c r="E1926" s="188" t="b">
        <f>LineærRegression_Valg[[#This Row],[Afhængig variabel ID]]&lt;=$B$5</f>
        <v>0</v>
      </c>
      <c r="F1926" t="str" cm="1">
        <f t="array" ref="F1926">IF(LineærRegression_Valg[[#This Row],[Indenfor range]],INDEX(DataTitel_liste,LineærRegression_Valg[[#This Row],[Afhængig variabel ID]]),INDEX(DataTitel_liste,1))</f>
        <v>Eksempel 1 (interval)</v>
      </c>
      <c r="G1926" s="188" t="str" cm="1">
        <f t="array" ref="G1926">IF(LineærRegression_Valg[[#This Row],[Indenfor range]],IF(LineærRegression_Valg[[#This Row],[Intet overlap]],INDEX(DataTitel_liste,LineærRegression_Valg[[#This Row],[Uafhængig variabel ID]]),INDEX(DataTitel_liste,IF(LineærRegression_Valg[[#This Row],[Afhængig variabel ID]]=1,2,1))),$B$7)</f>
        <v>Eksempel 2 (interval)</v>
      </c>
      <c r="H1926" s="188">
        <f>_xlfn.AGGREGATE(2,5,LineærRegression_Valg[[#This Row],[Tabel ID]])</f>
        <v>1</v>
      </c>
    </row>
    <row r="1927" spans="1:8" x14ac:dyDescent="0.2">
      <c r="A1927">
        <f>ROW(LineærRegression_Valg[[#This Row],[Tabel ID]])-ROW(LineærRegression_Valg[[#Headers],[Tabel ID]])</f>
        <v>1917</v>
      </c>
      <c r="B1927" s="188">
        <f>ROUNDDOWN((LineærRegression_Valg[[#This Row],[Tabel ID]]-1)/$B$5,0)+1</f>
        <v>480</v>
      </c>
      <c r="C1927" s="188">
        <f t="shared" si="29"/>
        <v>1</v>
      </c>
      <c r="D1927" s="188" t="b">
        <f>LineærRegression_Valg[[#This Row],[Afhængig variabel ID]]&lt;&gt;LineærRegression_Valg[[#This Row],[Uafhængig variabel ID]]</f>
        <v>1</v>
      </c>
      <c r="E1927" s="188" t="b">
        <f>LineærRegression_Valg[[#This Row],[Afhængig variabel ID]]&lt;=$B$5</f>
        <v>0</v>
      </c>
      <c r="F1927" t="str" cm="1">
        <f t="array" ref="F1927">IF(LineærRegression_Valg[[#This Row],[Indenfor range]],INDEX(DataTitel_liste,LineærRegression_Valg[[#This Row],[Afhængig variabel ID]]),INDEX(DataTitel_liste,1))</f>
        <v>Eksempel 1 (interval)</v>
      </c>
      <c r="G1927" s="188" t="str" cm="1">
        <f t="array" ref="G1927">IF(LineærRegression_Valg[[#This Row],[Indenfor range]],IF(LineærRegression_Valg[[#This Row],[Intet overlap]],INDEX(DataTitel_liste,LineærRegression_Valg[[#This Row],[Uafhængig variabel ID]]),INDEX(DataTitel_liste,IF(LineærRegression_Valg[[#This Row],[Afhængig variabel ID]]=1,2,1))),$B$7)</f>
        <v>Eksempel 2 (interval)</v>
      </c>
      <c r="H1927" s="188">
        <f>_xlfn.AGGREGATE(2,5,LineærRegression_Valg[[#This Row],[Tabel ID]])</f>
        <v>1</v>
      </c>
    </row>
    <row r="1928" spans="1:8" x14ac:dyDescent="0.2">
      <c r="A1928">
        <f>ROW(LineærRegression_Valg[[#This Row],[Tabel ID]])-ROW(LineærRegression_Valg[[#Headers],[Tabel ID]])</f>
        <v>1918</v>
      </c>
      <c r="B1928" s="188">
        <f>ROUNDDOWN((LineærRegression_Valg[[#This Row],[Tabel ID]]-1)/$B$5,0)+1</f>
        <v>480</v>
      </c>
      <c r="C1928" s="188">
        <f t="shared" si="29"/>
        <v>2</v>
      </c>
      <c r="D1928" s="188" t="b">
        <f>LineærRegression_Valg[[#This Row],[Afhængig variabel ID]]&lt;&gt;LineærRegression_Valg[[#This Row],[Uafhængig variabel ID]]</f>
        <v>1</v>
      </c>
      <c r="E1928" s="188" t="b">
        <f>LineærRegression_Valg[[#This Row],[Afhængig variabel ID]]&lt;=$B$5</f>
        <v>0</v>
      </c>
      <c r="F1928" t="str" cm="1">
        <f t="array" ref="F1928">IF(LineærRegression_Valg[[#This Row],[Indenfor range]],INDEX(DataTitel_liste,LineærRegression_Valg[[#This Row],[Afhængig variabel ID]]),INDEX(DataTitel_liste,1))</f>
        <v>Eksempel 1 (interval)</v>
      </c>
      <c r="G1928" s="188" t="str" cm="1">
        <f t="array" ref="G1928">IF(LineærRegression_Valg[[#This Row],[Indenfor range]],IF(LineærRegression_Valg[[#This Row],[Intet overlap]],INDEX(DataTitel_liste,LineærRegression_Valg[[#This Row],[Uafhængig variabel ID]]),INDEX(DataTitel_liste,IF(LineærRegression_Valg[[#This Row],[Afhængig variabel ID]]=1,2,1))),$B$7)</f>
        <v>Eksempel 2 (interval)</v>
      </c>
      <c r="H1928" s="188">
        <f>_xlfn.AGGREGATE(2,5,LineærRegression_Valg[[#This Row],[Tabel ID]])</f>
        <v>1</v>
      </c>
    </row>
    <row r="1929" spans="1:8" x14ac:dyDescent="0.2">
      <c r="A1929">
        <f>ROW(LineærRegression_Valg[[#This Row],[Tabel ID]])-ROW(LineærRegression_Valg[[#Headers],[Tabel ID]])</f>
        <v>1919</v>
      </c>
      <c r="B1929" s="188">
        <f>ROUNDDOWN((LineærRegression_Valg[[#This Row],[Tabel ID]]-1)/$B$5,0)+1</f>
        <v>480</v>
      </c>
      <c r="C1929" s="188">
        <f t="shared" si="29"/>
        <v>3</v>
      </c>
      <c r="D1929" s="188" t="b">
        <f>LineærRegression_Valg[[#This Row],[Afhængig variabel ID]]&lt;&gt;LineærRegression_Valg[[#This Row],[Uafhængig variabel ID]]</f>
        <v>1</v>
      </c>
      <c r="E1929" s="188" t="b">
        <f>LineærRegression_Valg[[#This Row],[Afhængig variabel ID]]&lt;=$B$5</f>
        <v>0</v>
      </c>
      <c r="F1929" t="str" cm="1">
        <f t="array" ref="F1929">IF(LineærRegression_Valg[[#This Row],[Indenfor range]],INDEX(DataTitel_liste,LineærRegression_Valg[[#This Row],[Afhængig variabel ID]]),INDEX(DataTitel_liste,1))</f>
        <v>Eksempel 1 (interval)</v>
      </c>
      <c r="G1929" s="188" t="str" cm="1">
        <f t="array" ref="G1929">IF(LineærRegression_Valg[[#This Row],[Indenfor range]],IF(LineærRegression_Valg[[#This Row],[Intet overlap]],INDEX(DataTitel_liste,LineærRegression_Valg[[#This Row],[Uafhængig variabel ID]]),INDEX(DataTitel_liste,IF(LineærRegression_Valg[[#This Row],[Afhængig variabel ID]]=1,2,1))),$B$7)</f>
        <v>Eksempel 2 (interval)</v>
      </c>
      <c r="H1929" s="188">
        <f>_xlfn.AGGREGATE(2,5,LineærRegression_Valg[[#This Row],[Tabel ID]])</f>
        <v>1</v>
      </c>
    </row>
    <row r="1930" spans="1:8" x14ac:dyDescent="0.2">
      <c r="A1930">
        <f>ROW(LineærRegression_Valg[[#This Row],[Tabel ID]])-ROW(LineærRegression_Valg[[#Headers],[Tabel ID]])</f>
        <v>1920</v>
      </c>
      <c r="B1930" s="188">
        <f>ROUNDDOWN((LineærRegression_Valg[[#This Row],[Tabel ID]]-1)/$B$5,0)+1</f>
        <v>480</v>
      </c>
      <c r="C1930" s="188">
        <f t="shared" si="29"/>
        <v>4</v>
      </c>
      <c r="D1930" s="188" t="b">
        <f>LineærRegression_Valg[[#This Row],[Afhængig variabel ID]]&lt;&gt;LineærRegression_Valg[[#This Row],[Uafhængig variabel ID]]</f>
        <v>1</v>
      </c>
      <c r="E1930" s="188" t="b">
        <f>LineærRegression_Valg[[#This Row],[Afhængig variabel ID]]&lt;=$B$5</f>
        <v>0</v>
      </c>
      <c r="F1930" t="str" cm="1">
        <f t="array" ref="F1930">IF(LineærRegression_Valg[[#This Row],[Indenfor range]],INDEX(DataTitel_liste,LineærRegression_Valg[[#This Row],[Afhængig variabel ID]]),INDEX(DataTitel_liste,1))</f>
        <v>Eksempel 1 (interval)</v>
      </c>
      <c r="G1930" s="188" t="str" cm="1">
        <f t="array" ref="G1930">IF(LineærRegression_Valg[[#This Row],[Indenfor range]],IF(LineærRegression_Valg[[#This Row],[Intet overlap]],INDEX(DataTitel_liste,LineærRegression_Valg[[#This Row],[Uafhængig variabel ID]]),INDEX(DataTitel_liste,IF(LineærRegression_Valg[[#This Row],[Afhængig variabel ID]]=1,2,1))),$B$7)</f>
        <v>Eksempel 2 (interval)</v>
      </c>
      <c r="H1930" s="188">
        <f>_xlfn.AGGREGATE(2,5,LineærRegression_Valg[[#This Row],[Tabel ID]])</f>
        <v>1</v>
      </c>
    </row>
    <row r="1931" spans="1:8" x14ac:dyDescent="0.2">
      <c r="A1931">
        <f>ROW(LineærRegression_Valg[[#This Row],[Tabel ID]])-ROW(LineærRegression_Valg[[#Headers],[Tabel ID]])</f>
        <v>1921</v>
      </c>
      <c r="B1931" s="188">
        <f>ROUNDDOWN((LineærRegression_Valg[[#This Row],[Tabel ID]]-1)/$B$5,0)+1</f>
        <v>481</v>
      </c>
      <c r="C1931" s="188">
        <f t="shared" ref="C1931:C1994" si="30">MOD(A1931-1,$B$5)+1</f>
        <v>1</v>
      </c>
      <c r="D1931" s="188" t="b">
        <f>LineærRegression_Valg[[#This Row],[Afhængig variabel ID]]&lt;&gt;LineærRegression_Valg[[#This Row],[Uafhængig variabel ID]]</f>
        <v>1</v>
      </c>
      <c r="E1931" s="188" t="b">
        <f>LineærRegression_Valg[[#This Row],[Afhængig variabel ID]]&lt;=$B$5</f>
        <v>0</v>
      </c>
      <c r="F1931" t="str" cm="1">
        <f t="array" ref="F1931">IF(LineærRegression_Valg[[#This Row],[Indenfor range]],INDEX(DataTitel_liste,LineærRegression_Valg[[#This Row],[Afhængig variabel ID]]),INDEX(DataTitel_liste,1))</f>
        <v>Eksempel 1 (interval)</v>
      </c>
      <c r="G1931" s="188" t="str" cm="1">
        <f t="array" ref="G1931">IF(LineærRegression_Valg[[#This Row],[Indenfor range]],IF(LineærRegression_Valg[[#This Row],[Intet overlap]],INDEX(DataTitel_liste,LineærRegression_Valg[[#This Row],[Uafhængig variabel ID]]),INDEX(DataTitel_liste,IF(LineærRegression_Valg[[#This Row],[Afhængig variabel ID]]=1,2,1))),$B$7)</f>
        <v>Eksempel 2 (interval)</v>
      </c>
      <c r="H1931" s="188">
        <f>_xlfn.AGGREGATE(2,5,LineærRegression_Valg[[#This Row],[Tabel ID]])</f>
        <v>1</v>
      </c>
    </row>
    <row r="1932" spans="1:8" x14ac:dyDescent="0.2">
      <c r="A1932">
        <f>ROW(LineærRegression_Valg[[#This Row],[Tabel ID]])-ROW(LineærRegression_Valg[[#Headers],[Tabel ID]])</f>
        <v>1922</v>
      </c>
      <c r="B1932" s="188">
        <f>ROUNDDOWN((LineærRegression_Valg[[#This Row],[Tabel ID]]-1)/$B$5,0)+1</f>
        <v>481</v>
      </c>
      <c r="C1932" s="188">
        <f t="shared" si="30"/>
        <v>2</v>
      </c>
      <c r="D1932" s="188" t="b">
        <f>LineærRegression_Valg[[#This Row],[Afhængig variabel ID]]&lt;&gt;LineærRegression_Valg[[#This Row],[Uafhængig variabel ID]]</f>
        <v>1</v>
      </c>
      <c r="E1932" s="188" t="b">
        <f>LineærRegression_Valg[[#This Row],[Afhængig variabel ID]]&lt;=$B$5</f>
        <v>0</v>
      </c>
      <c r="F1932" t="str" cm="1">
        <f t="array" ref="F1932">IF(LineærRegression_Valg[[#This Row],[Indenfor range]],INDEX(DataTitel_liste,LineærRegression_Valg[[#This Row],[Afhængig variabel ID]]),INDEX(DataTitel_liste,1))</f>
        <v>Eksempel 1 (interval)</v>
      </c>
      <c r="G1932" s="188" t="str" cm="1">
        <f t="array" ref="G1932">IF(LineærRegression_Valg[[#This Row],[Indenfor range]],IF(LineærRegression_Valg[[#This Row],[Intet overlap]],INDEX(DataTitel_liste,LineærRegression_Valg[[#This Row],[Uafhængig variabel ID]]),INDEX(DataTitel_liste,IF(LineærRegression_Valg[[#This Row],[Afhængig variabel ID]]=1,2,1))),$B$7)</f>
        <v>Eksempel 2 (interval)</v>
      </c>
      <c r="H1932" s="188">
        <f>_xlfn.AGGREGATE(2,5,LineærRegression_Valg[[#This Row],[Tabel ID]])</f>
        <v>1</v>
      </c>
    </row>
    <row r="1933" spans="1:8" x14ac:dyDescent="0.2">
      <c r="A1933">
        <f>ROW(LineærRegression_Valg[[#This Row],[Tabel ID]])-ROW(LineærRegression_Valg[[#Headers],[Tabel ID]])</f>
        <v>1923</v>
      </c>
      <c r="B1933" s="188">
        <f>ROUNDDOWN((LineærRegression_Valg[[#This Row],[Tabel ID]]-1)/$B$5,0)+1</f>
        <v>481</v>
      </c>
      <c r="C1933" s="188">
        <f t="shared" si="30"/>
        <v>3</v>
      </c>
      <c r="D1933" s="188" t="b">
        <f>LineærRegression_Valg[[#This Row],[Afhængig variabel ID]]&lt;&gt;LineærRegression_Valg[[#This Row],[Uafhængig variabel ID]]</f>
        <v>1</v>
      </c>
      <c r="E1933" s="188" t="b">
        <f>LineærRegression_Valg[[#This Row],[Afhængig variabel ID]]&lt;=$B$5</f>
        <v>0</v>
      </c>
      <c r="F1933" t="str" cm="1">
        <f t="array" ref="F1933">IF(LineærRegression_Valg[[#This Row],[Indenfor range]],INDEX(DataTitel_liste,LineærRegression_Valg[[#This Row],[Afhængig variabel ID]]),INDEX(DataTitel_liste,1))</f>
        <v>Eksempel 1 (interval)</v>
      </c>
      <c r="G1933" s="188" t="str" cm="1">
        <f t="array" ref="G1933">IF(LineærRegression_Valg[[#This Row],[Indenfor range]],IF(LineærRegression_Valg[[#This Row],[Intet overlap]],INDEX(DataTitel_liste,LineærRegression_Valg[[#This Row],[Uafhængig variabel ID]]),INDEX(DataTitel_liste,IF(LineærRegression_Valg[[#This Row],[Afhængig variabel ID]]=1,2,1))),$B$7)</f>
        <v>Eksempel 2 (interval)</v>
      </c>
      <c r="H1933" s="188">
        <f>_xlfn.AGGREGATE(2,5,LineærRegression_Valg[[#This Row],[Tabel ID]])</f>
        <v>1</v>
      </c>
    </row>
    <row r="1934" spans="1:8" x14ac:dyDescent="0.2">
      <c r="A1934">
        <f>ROW(LineærRegression_Valg[[#This Row],[Tabel ID]])-ROW(LineærRegression_Valg[[#Headers],[Tabel ID]])</f>
        <v>1924</v>
      </c>
      <c r="B1934" s="188">
        <f>ROUNDDOWN((LineærRegression_Valg[[#This Row],[Tabel ID]]-1)/$B$5,0)+1</f>
        <v>481</v>
      </c>
      <c r="C1934" s="188">
        <f t="shared" si="30"/>
        <v>4</v>
      </c>
      <c r="D1934" s="188" t="b">
        <f>LineærRegression_Valg[[#This Row],[Afhængig variabel ID]]&lt;&gt;LineærRegression_Valg[[#This Row],[Uafhængig variabel ID]]</f>
        <v>1</v>
      </c>
      <c r="E1934" s="188" t="b">
        <f>LineærRegression_Valg[[#This Row],[Afhængig variabel ID]]&lt;=$B$5</f>
        <v>0</v>
      </c>
      <c r="F1934" t="str" cm="1">
        <f t="array" ref="F1934">IF(LineærRegression_Valg[[#This Row],[Indenfor range]],INDEX(DataTitel_liste,LineærRegression_Valg[[#This Row],[Afhængig variabel ID]]),INDEX(DataTitel_liste,1))</f>
        <v>Eksempel 1 (interval)</v>
      </c>
      <c r="G1934" s="188" t="str" cm="1">
        <f t="array" ref="G1934">IF(LineærRegression_Valg[[#This Row],[Indenfor range]],IF(LineærRegression_Valg[[#This Row],[Intet overlap]],INDEX(DataTitel_liste,LineærRegression_Valg[[#This Row],[Uafhængig variabel ID]]),INDEX(DataTitel_liste,IF(LineærRegression_Valg[[#This Row],[Afhængig variabel ID]]=1,2,1))),$B$7)</f>
        <v>Eksempel 2 (interval)</v>
      </c>
      <c r="H1934" s="188">
        <f>_xlfn.AGGREGATE(2,5,LineærRegression_Valg[[#This Row],[Tabel ID]])</f>
        <v>1</v>
      </c>
    </row>
    <row r="1935" spans="1:8" x14ac:dyDescent="0.2">
      <c r="A1935">
        <f>ROW(LineærRegression_Valg[[#This Row],[Tabel ID]])-ROW(LineærRegression_Valg[[#Headers],[Tabel ID]])</f>
        <v>1925</v>
      </c>
      <c r="B1935" s="188">
        <f>ROUNDDOWN((LineærRegression_Valg[[#This Row],[Tabel ID]]-1)/$B$5,0)+1</f>
        <v>482</v>
      </c>
      <c r="C1935" s="188">
        <f t="shared" si="30"/>
        <v>1</v>
      </c>
      <c r="D1935" s="188" t="b">
        <f>LineærRegression_Valg[[#This Row],[Afhængig variabel ID]]&lt;&gt;LineærRegression_Valg[[#This Row],[Uafhængig variabel ID]]</f>
        <v>1</v>
      </c>
      <c r="E1935" s="188" t="b">
        <f>LineærRegression_Valg[[#This Row],[Afhængig variabel ID]]&lt;=$B$5</f>
        <v>0</v>
      </c>
      <c r="F1935" t="str" cm="1">
        <f t="array" ref="F1935">IF(LineærRegression_Valg[[#This Row],[Indenfor range]],INDEX(DataTitel_liste,LineærRegression_Valg[[#This Row],[Afhængig variabel ID]]),INDEX(DataTitel_liste,1))</f>
        <v>Eksempel 1 (interval)</v>
      </c>
      <c r="G1935" s="188" t="str" cm="1">
        <f t="array" ref="G1935">IF(LineærRegression_Valg[[#This Row],[Indenfor range]],IF(LineærRegression_Valg[[#This Row],[Intet overlap]],INDEX(DataTitel_liste,LineærRegression_Valg[[#This Row],[Uafhængig variabel ID]]),INDEX(DataTitel_liste,IF(LineærRegression_Valg[[#This Row],[Afhængig variabel ID]]=1,2,1))),$B$7)</f>
        <v>Eksempel 2 (interval)</v>
      </c>
      <c r="H1935" s="188">
        <f>_xlfn.AGGREGATE(2,5,LineærRegression_Valg[[#This Row],[Tabel ID]])</f>
        <v>1</v>
      </c>
    </row>
    <row r="1936" spans="1:8" x14ac:dyDescent="0.2">
      <c r="A1936">
        <f>ROW(LineærRegression_Valg[[#This Row],[Tabel ID]])-ROW(LineærRegression_Valg[[#Headers],[Tabel ID]])</f>
        <v>1926</v>
      </c>
      <c r="B1936" s="188">
        <f>ROUNDDOWN((LineærRegression_Valg[[#This Row],[Tabel ID]]-1)/$B$5,0)+1</f>
        <v>482</v>
      </c>
      <c r="C1936" s="188">
        <f t="shared" si="30"/>
        <v>2</v>
      </c>
      <c r="D1936" s="188" t="b">
        <f>LineærRegression_Valg[[#This Row],[Afhængig variabel ID]]&lt;&gt;LineærRegression_Valg[[#This Row],[Uafhængig variabel ID]]</f>
        <v>1</v>
      </c>
      <c r="E1936" s="188" t="b">
        <f>LineærRegression_Valg[[#This Row],[Afhængig variabel ID]]&lt;=$B$5</f>
        <v>0</v>
      </c>
      <c r="F1936" t="str" cm="1">
        <f t="array" ref="F1936">IF(LineærRegression_Valg[[#This Row],[Indenfor range]],INDEX(DataTitel_liste,LineærRegression_Valg[[#This Row],[Afhængig variabel ID]]),INDEX(DataTitel_liste,1))</f>
        <v>Eksempel 1 (interval)</v>
      </c>
      <c r="G1936" s="188" t="str" cm="1">
        <f t="array" ref="G1936">IF(LineærRegression_Valg[[#This Row],[Indenfor range]],IF(LineærRegression_Valg[[#This Row],[Intet overlap]],INDEX(DataTitel_liste,LineærRegression_Valg[[#This Row],[Uafhængig variabel ID]]),INDEX(DataTitel_liste,IF(LineærRegression_Valg[[#This Row],[Afhængig variabel ID]]=1,2,1))),$B$7)</f>
        <v>Eksempel 2 (interval)</v>
      </c>
      <c r="H1936" s="188">
        <f>_xlfn.AGGREGATE(2,5,LineærRegression_Valg[[#This Row],[Tabel ID]])</f>
        <v>1</v>
      </c>
    </row>
    <row r="1937" spans="1:8" x14ac:dyDescent="0.2">
      <c r="A1937">
        <f>ROW(LineærRegression_Valg[[#This Row],[Tabel ID]])-ROW(LineærRegression_Valg[[#Headers],[Tabel ID]])</f>
        <v>1927</v>
      </c>
      <c r="B1937" s="188">
        <f>ROUNDDOWN((LineærRegression_Valg[[#This Row],[Tabel ID]]-1)/$B$5,0)+1</f>
        <v>482</v>
      </c>
      <c r="C1937" s="188">
        <f t="shared" si="30"/>
        <v>3</v>
      </c>
      <c r="D1937" s="188" t="b">
        <f>LineærRegression_Valg[[#This Row],[Afhængig variabel ID]]&lt;&gt;LineærRegression_Valg[[#This Row],[Uafhængig variabel ID]]</f>
        <v>1</v>
      </c>
      <c r="E1937" s="188" t="b">
        <f>LineærRegression_Valg[[#This Row],[Afhængig variabel ID]]&lt;=$B$5</f>
        <v>0</v>
      </c>
      <c r="F1937" t="str" cm="1">
        <f t="array" ref="F1937">IF(LineærRegression_Valg[[#This Row],[Indenfor range]],INDEX(DataTitel_liste,LineærRegression_Valg[[#This Row],[Afhængig variabel ID]]),INDEX(DataTitel_liste,1))</f>
        <v>Eksempel 1 (interval)</v>
      </c>
      <c r="G1937" s="188" t="str" cm="1">
        <f t="array" ref="G1937">IF(LineærRegression_Valg[[#This Row],[Indenfor range]],IF(LineærRegression_Valg[[#This Row],[Intet overlap]],INDEX(DataTitel_liste,LineærRegression_Valg[[#This Row],[Uafhængig variabel ID]]),INDEX(DataTitel_liste,IF(LineærRegression_Valg[[#This Row],[Afhængig variabel ID]]=1,2,1))),$B$7)</f>
        <v>Eksempel 2 (interval)</v>
      </c>
      <c r="H1937" s="188">
        <f>_xlfn.AGGREGATE(2,5,LineærRegression_Valg[[#This Row],[Tabel ID]])</f>
        <v>1</v>
      </c>
    </row>
    <row r="1938" spans="1:8" x14ac:dyDescent="0.2">
      <c r="A1938">
        <f>ROW(LineærRegression_Valg[[#This Row],[Tabel ID]])-ROW(LineærRegression_Valg[[#Headers],[Tabel ID]])</f>
        <v>1928</v>
      </c>
      <c r="B1938" s="188">
        <f>ROUNDDOWN((LineærRegression_Valg[[#This Row],[Tabel ID]]-1)/$B$5,0)+1</f>
        <v>482</v>
      </c>
      <c r="C1938" s="188">
        <f t="shared" si="30"/>
        <v>4</v>
      </c>
      <c r="D1938" s="188" t="b">
        <f>LineærRegression_Valg[[#This Row],[Afhængig variabel ID]]&lt;&gt;LineærRegression_Valg[[#This Row],[Uafhængig variabel ID]]</f>
        <v>1</v>
      </c>
      <c r="E1938" s="188" t="b">
        <f>LineærRegression_Valg[[#This Row],[Afhængig variabel ID]]&lt;=$B$5</f>
        <v>0</v>
      </c>
      <c r="F1938" t="str" cm="1">
        <f t="array" ref="F1938">IF(LineærRegression_Valg[[#This Row],[Indenfor range]],INDEX(DataTitel_liste,LineærRegression_Valg[[#This Row],[Afhængig variabel ID]]),INDEX(DataTitel_liste,1))</f>
        <v>Eksempel 1 (interval)</v>
      </c>
      <c r="G1938" s="188" t="str" cm="1">
        <f t="array" ref="G1938">IF(LineærRegression_Valg[[#This Row],[Indenfor range]],IF(LineærRegression_Valg[[#This Row],[Intet overlap]],INDEX(DataTitel_liste,LineærRegression_Valg[[#This Row],[Uafhængig variabel ID]]),INDEX(DataTitel_liste,IF(LineærRegression_Valg[[#This Row],[Afhængig variabel ID]]=1,2,1))),$B$7)</f>
        <v>Eksempel 2 (interval)</v>
      </c>
      <c r="H1938" s="188">
        <f>_xlfn.AGGREGATE(2,5,LineærRegression_Valg[[#This Row],[Tabel ID]])</f>
        <v>1</v>
      </c>
    </row>
    <row r="1939" spans="1:8" x14ac:dyDescent="0.2">
      <c r="A1939">
        <f>ROW(LineærRegression_Valg[[#This Row],[Tabel ID]])-ROW(LineærRegression_Valg[[#Headers],[Tabel ID]])</f>
        <v>1929</v>
      </c>
      <c r="B1939" s="188">
        <f>ROUNDDOWN((LineærRegression_Valg[[#This Row],[Tabel ID]]-1)/$B$5,0)+1</f>
        <v>483</v>
      </c>
      <c r="C1939" s="188">
        <f t="shared" si="30"/>
        <v>1</v>
      </c>
      <c r="D1939" s="188" t="b">
        <f>LineærRegression_Valg[[#This Row],[Afhængig variabel ID]]&lt;&gt;LineærRegression_Valg[[#This Row],[Uafhængig variabel ID]]</f>
        <v>1</v>
      </c>
      <c r="E1939" s="188" t="b">
        <f>LineærRegression_Valg[[#This Row],[Afhængig variabel ID]]&lt;=$B$5</f>
        <v>0</v>
      </c>
      <c r="F1939" t="str" cm="1">
        <f t="array" ref="F1939">IF(LineærRegression_Valg[[#This Row],[Indenfor range]],INDEX(DataTitel_liste,LineærRegression_Valg[[#This Row],[Afhængig variabel ID]]),INDEX(DataTitel_liste,1))</f>
        <v>Eksempel 1 (interval)</v>
      </c>
      <c r="G1939" s="188" t="str" cm="1">
        <f t="array" ref="G1939">IF(LineærRegression_Valg[[#This Row],[Indenfor range]],IF(LineærRegression_Valg[[#This Row],[Intet overlap]],INDEX(DataTitel_liste,LineærRegression_Valg[[#This Row],[Uafhængig variabel ID]]),INDEX(DataTitel_liste,IF(LineærRegression_Valg[[#This Row],[Afhængig variabel ID]]=1,2,1))),$B$7)</f>
        <v>Eksempel 2 (interval)</v>
      </c>
      <c r="H1939" s="188">
        <f>_xlfn.AGGREGATE(2,5,LineærRegression_Valg[[#This Row],[Tabel ID]])</f>
        <v>1</v>
      </c>
    </row>
    <row r="1940" spans="1:8" x14ac:dyDescent="0.2">
      <c r="A1940">
        <f>ROW(LineærRegression_Valg[[#This Row],[Tabel ID]])-ROW(LineærRegression_Valg[[#Headers],[Tabel ID]])</f>
        <v>1930</v>
      </c>
      <c r="B1940" s="188">
        <f>ROUNDDOWN((LineærRegression_Valg[[#This Row],[Tabel ID]]-1)/$B$5,0)+1</f>
        <v>483</v>
      </c>
      <c r="C1940" s="188">
        <f t="shared" si="30"/>
        <v>2</v>
      </c>
      <c r="D1940" s="188" t="b">
        <f>LineærRegression_Valg[[#This Row],[Afhængig variabel ID]]&lt;&gt;LineærRegression_Valg[[#This Row],[Uafhængig variabel ID]]</f>
        <v>1</v>
      </c>
      <c r="E1940" s="188" t="b">
        <f>LineærRegression_Valg[[#This Row],[Afhængig variabel ID]]&lt;=$B$5</f>
        <v>0</v>
      </c>
      <c r="F1940" t="str" cm="1">
        <f t="array" ref="F1940">IF(LineærRegression_Valg[[#This Row],[Indenfor range]],INDEX(DataTitel_liste,LineærRegression_Valg[[#This Row],[Afhængig variabel ID]]),INDEX(DataTitel_liste,1))</f>
        <v>Eksempel 1 (interval)</v>
      </c>
      <c r="G1940" s="188" t="str" cm="1">
        <f t="array" ref="G1940">IF(LineærRegression_Valg[[#This Row],[Indenfor range]],IF(LineærRegression_Valg[[#This Row],[Intet overlap]],INDEX(DataTitel_liste,LineærRegression_Valg[[#This Row],[Uafhængig variabel ID]]),INDEX(DataTitel_liste,IF(LineærRegression_Valg[[#This Row],[Afhængig variabel ID]]=1,2,1))),$B$7)</f>
        <v>Eksempel 2 (interval)</v>
      </c>
      <c r="H1940" s="188">
        <f>_xlfn.AGGREGATE(2,5,LineærRegression_Valg[[#This Row],[Tabel ID]])</f>
        <v>1</v>
      </c>
    </row>
    <row r="1941" spans="1:8" x14ac:dyDescent="0.2">
      <c r="A1941">
        <f>ROW(LineærRegression_Valg[[#This Row],[Tabel ID]])-ROW(LineærRegression_Valg[[#Headers],[Tabel ID]])</f>
        <v>1931</v>
      </c>
      <c r="B1941" s="188">
        <f>ROUNDDOWN((LineærRegression_Valg[[#This Row],[Tabel ID]]-1)/$B$5,0)+1</f>
        <v>483</v>
      </c>
      <c r="C1941" s="188">
        <f t="shared" si="30"/>
        <v>3</v>
      </c>
      <c r="D1941" s="188" t="b">
        <f>LineærRegression_Valg[[#This Row],[Afhængig variabel ID]]&lt;&gt;LineærRegression_Valg[[#This Row],[Uafhængig variabel ID]]</f>
        <v>1</v>
      </c>
      <c r="E1941" s="188" t="b">
        <f>LineærRegression_Valg[[#This Row],[Afhængig variabel ID]]&lt;=$B$5</f>
        <v>0</v>
      </c>
      <c r="F1941" t="str" cm="1">
        <f t="array" ref="F1941">IF(LineærRegression_Valg[[#This Row],[Indenfor range]],INDEX(DataTitel_liste,LineærRegression_Valg[[#This Row],[Afhængig variabel ID]]),INDEX(DataTitel_liste,1))</f>
        <v>Eksempel 1 (interval)</v>
      </c>
      <c r="G1941" s="188" t="str" cm="1">
        <f t="array" ref="G1941">IF(LineærRegression_Valg[[#This Row],[Indenfor range]],IF(LineærRegression_Valg[[#This Row],[Intet overlap]],INDEX(DataTitel_liste,LineærRegression_Valg[[#This Row],[Uafhængig variabel ID]]),INDEX(DataTitel_liste,IF(LineærRegression_Valg[[#This Row],[Afhængig variabel ID]]=1,2,1))),$B$7)</f>
        <v>Eksempel 2 (interval)</v>
      </c>
      <c r="H1941" s="188">
        <f>_xlfn.AGGREGATE(2,5,LineærRegression_Valg[[#This Row],[Tabel ID]])</f>
        <v>1</v>
      </c>
    </row>
    <row r="1942" spans="1:8" x14ac:dyDescent="0.2">
      <c r="A1942">
        <f>ROW(LineærRegression_Valg[[#This Row],[Tabel ID]])-ROW(LineærRegression_Valg[[#Headers],[Tabel ID]])</f>
        <v>1932</v>
      </c>
      <c r="B1942" s="188">
        <f>ROUNDDOWN((LineærRegression_Valg[[#This Row],[Tabel ID]]-1)/$B$5,0)+1</f>
        <v>483</v>
      </c>
      <c r="C1942" s="188">
        <f t="shared" si="30"/>
        <v>4</v>
      </c>
      <c r="D1942" s="188" t="b">
        <f>LineærRegression_Valg[[#This Row],[Afhængig variabel ID]]&lt;&gt;LineærRegression_Valg[[#This Row],[Uafhængig variabel ID]]</f>
        <v>1</v>
      </c>
      <c r="E1942" s="188" t="b">
        <f>LineærRegression_Valg[[#This Row],[Afhængig variabel ID]]&lt;=$B$5</f>
        <v>0</v>
      </c>
      <c r="F1942" t="str" cm="1">
        <f t="array" ref="F1942">IF(LineærRegression_Valg[[#This Row],[Indenfor range]],INDEX(DataTitel_liste,LineærRegression_Valg[[#This Row],[Afhængig variabel ID]]),INDEX(DataTitel_liste,1))</f>
        <v>Eksempel 1 (interval)</v>
      </c>
      <c r="G1942" s="188" t="str" cm="1">
        <f t="array" ref="G1942">IF(LineærRegression_Valg[[#This Row],[Indenfor range]],IF(LineærRegression_Valg[[#This Row],[Intet overlap]],INDEX(DataTitel_liste,LineærRegression_Valg[[#This Row],[Uafhængig variabel ID]]),INDEX(DataTitel_liste,IF(LineærRegression_Valg[[#This Row],[Afhængig variabel ID]]=1,2,1))),$B$7)</f>
        <v>Eksempel 2 (interval)</v>
      </c>
      <c r="H1942" s="188">
        <f>_xlfn.AGGREGATE(2,5,LineærRegression_Valg[[#This Row],[Tabel ID]])</f>
        <v>1</v>
      </c>
    </row>
    <row r="1943" spans="1:8" x14ac:dyDescent="0.2">
      <c r="A1943">
        <f>ROW(LineærRegression_Valg[[#This Row],[Tabel ID]])-ROW(LineærRegression_Valg[[#Headers],[Tabel ID]])</f>
        <v>1933</v>
      </c>
      <c r="B1943" s="188">
        <f>ROUNDDOWN((LineærRegression_Valg[[#This Row],[Tabel ID]]-1)/$B$5,0)+1</f>
        <v>484</v>
      </c>
      <c r="C1943" s="188">
        <f t="shared" si="30"/>
        <v>1</v>
      </c>
      <c r="D1943" s="188" t="b">
        <f>LineærRegression_Valg[[#This Row],[Afhængig variabel ID]]&lt;&gt;LineærRegression_Valg[[#This Row],[Uafhængig variabel ID]]</f>
        <v>1</v>
      </c>
      <c r="E1943" s="188" t="b">
        <f>LineærRegression_Valg[[#This Row],[Afhængig variabel ID]]&lt;=$B$5</f>
        <v>0</v>
      </c>
      <c r="F1943" t="str" cm="1">
        <f t="array" ref="F1943">IF(LineærRegression_Valg[[#This Row],[Indenfor range]],INDEX(DataTitel_liste,LineærRegression_Valg[[#This Row],[Afhængig variabel ID]]),INDEX(DataTitel_liste,1))</f>
        <v>Eksempel 1 (interval)</v>
      </c>
      <c r="G1943" s="188" t="str" cm="1">
        <f t="array" ref="G1943">IF(LineærRegression_Valg[[#This Row],[Indenfor range]],IF(LineærRegression_Valg[[#This Row],[Intet overlap]],INDEX(DataTitel_liste,LineærRegression_Valg[[#This Row],[Uafhængig variabel ID]]),INDEX(DataTitel_liste,IF(LineærRegression_Valg[[#This Row],[Afhængig variabel ID]]=1,2,1))),$B$7)</f>
        <v>Eksempel 2 (interval)</v>
      </c>
      <c r="H1943" s="188">
        <f>_xlfn.AGGREGATE(2,5,LineærRegression_Valg[[#This Row],[Tabel ID]])</f>
        <v>1</v>
      </c>
    </row>
    <row r="1944" spans="1:8" x14ac:dyDescent="0.2">
      <c r="A1944">
        <f>ROW(LineærRegression_Valg[[#This Row],[Tabel ID]])-ROW(LineærRegression_Valg[[#Headers],[Tabel ID]])</f>
        <v>1934</v>
      </c>
      <c r="B1944" s="188">
        <f>ROUNDDOWN((LineærRegression_Valg[[#This Row],[Tabel ID]]-1)/$B$5,0)+1</f>
        <v>484</v>
      </c>
      <c r="C1944" s="188">
        <f t="shared" si="30"/>
        <v>2</v>
      </c>
      <c r="D1944" s="188" t="b">
        <f>LineærRegression_Valg[[#This Row],[Afhængig variabel ID]]&lt;&gt;LineærRegression_Valg[[#This Row],[Uafhængig variabel ID]]</f>
        <v>1</v>
      </c>
      <c r="E1944" s="188" t="b">
        <f>LineærRegression_Valg[[#This Row],[Afhængig variabel ID]]&lt;=$B$5</f>
        <v>0</v>
      </c>
      <c r="F1944" t="str" cm="1">
        <f t="array" ref="F1944">IF(LineærRegression_Valg[[#This Row],[Indenfor range]],INDEX(DataTitel_liste,LineærRegression_Valg[[#This Row],[Afhængig variabel ID]]),INDEX(DataTitel_liste,1))</f>
        <v>Eksempel 1 (interval)</v>
      </c>
      <c r="G1944" s="188" t="str" cm="1">
        <f t="array" ref="G1944">IF(LineærRegression_Valg[[#This Row],[Indenfor range]],IF(LineærRegression_Valg[[#This Row],[Intet overlap]],INDEX(DataTitel_liste,LineærRegression_Valg[[#This Row],[Uafhængig variabel ID]]),INDEX(DataTitel_liste,IF(LineærRegression_Valg[[#This Row],[Afhængig variabel ID]]=1,2,1))),$B$7)</f>
        <v>Eksempel 2 (interval)</v>
      </c>
      <c r="H1944" s="188">
        <f>_xlfn.AGGREGATE(2,5,LineærRegression_Valg[[#This Row],[Tabel ID]])</f>
        <v>1</v>
      </c>
    </row>
    <row r="1945" spans="1:8" x14ac:dyDescent="0.2">
      <c r="A1945">
        <f>ROW(LineærRegression_Valg[[#This Row],[Tabel ID]])-ROW(LineærRegression_Valg[[#Headers],[Tabel ID]])</f>
        <v>1935</v>
      </c>
      <c r="B1945" s="188">
        <f>ROUNDDOWN((LineærRegression_Valg[[#This Row],[Tabel ID]]-1)/$B$5,0)+1</f>
        <v>484</v>
      </c>
      <c r="C1945" s="188">
        <f t="shared" si="30"/>
        <v>3</v>
      </c>
      <c r="D1945" s="188" t="b">
        <f>LineærRegression_Valg[[#This Row],[Afhængig variabel ID]]&lt;&gt;LineærRegression_Valg[[#This Row],[Uafhængig variabel ID]]</f>
        <v>1</v>
      </c>
      <c r="E1945" s="188" t="b">
        <f>LineærRegression_Valg[[#This Row],[Afhængig variabel ID]]&lt;=$B$5</f>
        <v>0</v>
      </c>
      <c r="F1945" t="str" cm="1">
        <f t="array" ref="F1945">IF(LineærRegression_Valg[[#This Row],[Indenfor range]],INDEX(DataTitel_liste,LineærRegression_Valg[[#This Row],[Afhængig variabel ID]]),INDEX(DataTitel_liste,1))</f>
        <v>Eksempel 1 (interval)</v>
      </c>
      <c r="G1945" s="188" t="str" cm="1">
        <f t="array" ref="G1945">IF(LineærRegression_Valg[[#This Row],[Indenfor range]],IF(LineærRegression_Valg[[#This Row],[Intet overlap]],INDEX(DataTitel_liste,LineærRegression_Valg[[#This Row],[Uafhængig variabel ID]]),INDEX(DataTitel_liste,IF(LineærRegression_Valg[[#This Row],[Afhængig variabel ID]]=1,2,1))),$B$7)</f>
        <v>Eksempel 2 (interval)</v>
      </c>
      <c r="H1945" s="188">
        <f>_xlfn.AGGREGATE(2,5,LineærRegression_Valg[[#This Row],[Tabel ID]])</f>
        <v>1</v>
      </c>
    </row>
    <row r="1946" spans="1:8" x14ac:dyDescent="0.2">
      <c r="A1946">
        <f>ROW(LineærRegression_Valg[[#This Row],[Tabel ID]])-ROW(LineærRegression_Valg[[#Headers],[Tabel ID]])</f>
        <v>1936</v>
      </c>
      <c r="B1946" s="188">
        <f>ROUNDDOWN((LineærRegression_Valg[[#This Row],[Tabel ID]]-1)/$B$5,0)+1</f>
        <v>484</v>
      </c>
      <c r="C1946" s="188">
        <f t="shared" si="30"/>
        <v>4</v>
      </c>
      <c r="D1946" s="188" t="b">
        <f>LineærRegression_Valg[[#This Row],[Afhængig variabel ID]]&lt;&gt;LineærRegression_Valg[[#This Row],[Uafhængig variabel ID]]</f>
        <v>1</v>
      </c>
      <c r="E1946" s="188" t="b">
        <f>LineærRegression_Valg[[#This Row],[Afhængig variabel ID]]&lt;=$B$5</f>
        <v>0</v>
      </c>
      <c r="F1946" t="str" cm="1">
        <f t="array" ref="F1946">IF(LineærRegression_Valg[[#This Row],[Indenfor range]],INDEX(DataTitel_liste,LineærRegression_Valg[[#This Row],[Afhængig variabel ID]]),INDEX(DataTitel_liste,1))</f>
        <v>Eksempel 1 (interval)</v>
      </c>
      <c r="G1946" s="188" t="str" cm="1">
        <f t="array" ref="G1946">IF(LineærRegression_Valg[[#This Row],[Indenfor range]],IF(LineærRegression_Valg[[#This Row],[Intet overlap]],INDEX(DataTitel_liste,LineærRegression_Valg[[#This Row],[Uafhængig variabel ID]]),INDEX(DataTitel_liste,IF(LineærRegression_Valg[[#This Row],[Afhængig variabel ID]]=1,2,1))),$B$7)</f>
        <v>Eksempel 2 (interval)</v>
      </c>
      <c r="H1946" s="188">
        <f>_xlfn.AGGREGATE(2,5,LineærRegression_Valg[[#This Row],[Tabel ID]])</f>
        <v>1</v>
      </c>
    </row>
    <row r="1947" spans="1:8" x14ac:dyDescent="0.2">
      <c r="A1947">
        <f>ROW(LineærRegression_Valg[[#This Row],[Tabel ID]])-ROW(LineærRegression_Valg[[#Headers],[Tabel ID]])</f>
        <v>1937</v>
      </c>
      <c r="B1947" s="188">
        <f>ROUNDDOWN((LineærRegression_Valg[[#This Row],[Tabel ID]]-1)/$B$5,0)+1</f>
        <v>485</v>
      </c>
      <c r="C1947" s="188">
        <f t="shared" si="30"/>
        <v>1</v>
      </c>
      <c r="D1947" s="188" t="b">
        <f>LineærRegression_Valg[[#This Row],[Afhængig variabel ID]]&lt;&gt;LineærRegression_Valg[[#This Row],[Uafhængig variabel ID]]</f>
        <v>1</v>
      </c>
      <c r="E1947" s="188" t="b">
        <f>LineærRegression_Valg[[#This Row],[Afhængig variabel ID]]&lt;=$B$5</f>
        <v>0</v>
      </c>
      <c r="F1947" t="str" cm="1">
        <f t="array" ref="F1947">IF(LineærRegression_Valg[[#This Row],[Indenfor range]],INDEX(DataTitel_liste,LineærRegression_Valg[[#This Row],[Afhængig variabel ID]]),INDEX(DataTitel_liste,1))</f>
        <v>Eksempel 1 (interval)</v>
      </c>
      <c r="G1947" s="188" t="str" cm="1">
        <f t="array" ref="G1947">IF(LineærRegression_Valg[[#This Row],[Indenfor range]],IF(LineærRegression_Valg[[#This Row],[Intet overlap]],INDEX(DataTitel_liste,LineærRegression_Valg[[#This Row],[Uafhængig variabel ID]]),INDEX(DataTitel_liste,IF(LineærRegression_Valg[[#This Row],[Afhængig variabel ID]]=1,2,1))),$B$7)</f>
        <v>Eksempel 2 (interval)</v>
      </c>
      <c r="H1947" s="188">
        <f>_xlfn.AGGREGATE(2,5,LineærRegression_Valg[[#This Row],[Tabel ID]])</f>
        <v>1</v>
      </c>
    </row>
    <row r="1948" spans="1:8" x14ac:dyDescent="0.2">
      <c r="A1948">
        <f>ROW(LineærRegression_Valg[[#This Row],[Tabel ID]])-ROW(LineærRegression_Valg[[#Headers],[Tabel ID]])</f>
        <v>1938</v>
      </c>
      <c r="B1948" s="188">
        <f>ROUNDDOWN((LineærRegression_Valg[[#This Row],[Tabel ID]]-1)/$B$5,0)+1</f>
        <v>485</v>
      </c>
      <c r="C1948" s="188">
        <f t="shared" si="30"/>
        <v>2</v>
      </c>
      <c r="D1948" s="188" t="b">
        <f>LineærRegression_Valg[[#This Row],[Afhængig variabel ID]]&lt;&gt;LineærRegression_Valg[[#This Row],[Uafhængig variabel ID]]</f>
        <v>1</v>
      </c>
      <c r="E1948" s="188" t="b">
        <f>LineærRegression_Valg[[#This Row],[Afhængig variabel ID]]&lt;=$B$5</f>
        <v>0</v>
      </c>
      <c r="F1948" t="str" cm="1">
        <f t="array" ref="F1948">IF(LineærRegression_Valg[[#This Row],[Indenfor range]],INDEX(DataTitel_liste,LineærRegression_Valg[[#This Row],[Afhængig variabel ID]]),INDEX(DataTitel_liste,1))</f>
        <v>Eksempel 1 (interval)</v>
      </c>
      <c r="G1948" s="188" t="str" cm="1">
        <f t="array" ref="G1948">IF(LineærRegression_Valg[[#This Row],[Indenfor range]],IF(LineærRegression_Valg[[#This Row],[Intet overlap]],INDEX(DataTitel_liste,LineærRegression_Valg[[#This Row],[Uafhængig variabel ID]]),INDEX(DataTitel_liste,IF(LineærRegression_Valg[[#This Row],[Afhængig variabel ID]]=1,2,1))),$B$7)</f>
        <v>Eksempel 2 (interval)</v>
      </c>
      <c r="H1948" s="188">
        <f>_xlfn.AGGREGATE(2,5,LineærRegression_Valg[[#This Row],[Tabel ID]])</f>
        <v>1</v>
      </c>
    </row>
    <row r="1949" spans="1:8" x14ac:dyDescent="0.2">
      <c r="A1949">
        <f>ROW(LineærRegression_Valg[[#This Row],[Tabel ID]])-ROW(LineærRegression_Valg[[#Headers],[Tabel ID]])</f>
        <v>1939</v>
      </c>
      <c r="B1949" s="188">
        <f>ROUNDDOWN((LineærRegression_Valg[[#This Row],[Tabel ID]]-1)/$B$5,0)+1</f>
        <v>485</v>
      </c>
      <c r="C1949" s="188">
        <f t="shared" si="30"/>
        <v>3</v>
      </c>
      <c r="D1949" s="188" t="b">
        <f>LineærRegression_Valg[[#This Row],[Afhængig variabel ID]]&lt;&gt;LineærRegression_Valg[[#This Row],[Uafhængig variabel ID]]</f>
        <v>1</v>
      </c>
      <c r="E1949" s="188" t="b">
        <f>LineærRegression_Valg[[#This Row],[Afhængig variabel ID]]&lt;=$B$5</f>
        <v>0</v>
      </c>
      <c r="F1949" t="str" cm="1">
        <f t="array" ref="F1949">IF(LineærRegression_Valg[[#This Row],[Indenfor range]],INDEX(DataTitel_liste,LineærRegression_Valg[[#This Row],[Afhængig variabel ID]]),INDEX(DataTitel_liste,1))</f>
        <v>Eksempel 1 (interval)</v>
      </c>
      <c r="G1949" s="188" t="str" cm="1">
        <f t="array" ref="G1949">IF(LineærRegression_Valg[[#This Row],[Indenfor range]],IF(LineærRegression_Valg[[#This Row],[Intet overlap]],INDEX(DataTitel_liste,LineærRegression_Valg[[#This Row],[Uafhængig variabel ID]]),INDEX(DataTitel_liste,IF(LineærRegression_Valg[[#This Row],[Afhængig variabel ID]]=1,2,1))),$B$7)</f>
        <v>Eksempel 2 (interval)</v>
      </c>
      <c r="H1949" s="188">
        <f>_xlfn.AGGREGATE(2,5,LineærRegression_Valg[[#This Row],[Tabel ID]])</f>
        <v>1</v>
      </c>
    </row>
    <row r="1950" spans="1:8" x14ac:dyDescent="0.2">
      <c r="A1950">
        <f>ROW(LineærRegression_Valg[[#This Row],[Tabel ID]])-ROW(LineærRegression_Valg[[#Headers],[Tabel ID]])</f>
        <v>1940</v>
      </c>
      <c r="B1950" s="188">
        <f>ROUNDDOWN((LineærRegression_Valg[[#This Row],[Tabel ID]]-1)/$B$5,0)+1</f>
        <v>485</v>
      </c>
      <c r="C1950" s="188">
        <f t="shared" si="30"/>
        <v>4</v>
      </c>
      <c r="D1950" s="188" t="b">
        <f>LineærRegression_Valg[[#This Row],[Afhængig variabel ID]]&lt;&gt;LineærRegression_Valg[[#This Row],[Uafhængig variabel ID]]</f>
        <v>1</v>
      </c>
      <c r="E1950" s="188" t="b">
        <f>LineærRegression_Valg[[#This Row],[Afhængig variabel ID]]&lt;=$B$5</f>
        <v>0</v>
      </c>
      <c r="F1950" t="str" cm="1">
        <f t="array" ref="F1950">IF(LineærRegression_Valg[[#This Row],[Indenfor range]],INDEX(DataTitel_liste,LineærRegression_Valg[[#This Row],[Afhængig variabel ID]]),INDEX(DataTitel_liste,1))</f>
        <v>Eksempel 1 (interval)</v>
      </c>
      <c r="G1950" s="188" t="str" cm="1">
        <f t="array" ref="G1950">IF(LineærRegression_Valg[[#This Row],[Indenfor range]],IF(LineærRegression_Valg[[#This Row],[Intet overlap]],INDEX(DataTitel_liste,LineærRegression_Valg[[#This Row],[Uafhængig variabel ID]]),INDEX(DataTitel_liste,IF(LineærRegression_Valg[[#This Row],[Afhængig variabel ID]]=1,2,1))),$B$7)</f>
        <v>Eksempel 2 (interval)</v>
      </c>
      <c r="H1950" s="188">
        <f>_xlfn.AGGREGATE(2,5,LineærRegression_Valg[[#This Row],[Tabel ID]])</f>
        <v>1</v>
      </c>
    </row>
    <row r="1951" spans="1:8" x14ac:dyDescent="0.2">
      <c r="A1951">
        <f>ROW(LineærRegression_Valg[[#This Row],[Tabel ID]])-ROW(LineærRegression_Valg[[#Headers],[Tabel ID]])</f>
        <v>1941</v>
      </c>
      <c r="B1951" s="188">
        <f>ROUNDDOWN((LineærRegression_Valg[[#This Row],[Tabel ID]]-1)/$B$5,0)+1</f>
        <v>486</v>
      </c>
      <c r="C1951" s="188">
        <f t="shared" si="30"/>
        <v>1</v>
      </c>
      <c r="D1951" s="188" t="b">
        <f>LineærRegression_Valg[[#This Row],[Afhængig variabel ID]]&lt;&gt;LineærRegression_Valg[[#This Row],[Uafhængig variabel ID]]</f>
        <v>1</v>
      </c>
      <c r="E1951" s="188" t="b">
        <f>LineærRegression_Valg[[#This Row],[Afhængig variabel ID]]&lt;=$B$5</f>
        <v>0</v>
      </c>
      <c r="F1951" t="str" cm="1">
        <f t="array" ref="F1951">IF(LineærRegression_Valg[[#This Row],[Indenfor range]],INDEX(DataTitel_liste,LineærRegression_Valg[[#This Row],[Afhængig variabel ID]]),INDEX(DataTitel_liste,1))</f>
        <v>Eksempel 1 (interval)</v>
      </c>
      <c r="G1951" s="188" t="str" cm="1">
        <f t="array" ref="G1951">IF(LineærRegression_Valg[[#This Row],[Indenfor range]],IF(LineærRegression_Valg[[#This Row],[Intet overlap]],INDEX(DataTitel_liste,LineærRegression_Valg[[#This Row],[Uafhængig variabel ID]]),INDEX(DataTitel_liste,IF(LineærRegression_Valg[[#This Row],[Afhængig variabel ID]]=1,2,1))),$B$7)</f>
        <v>Eksempel 2 (interval)</v>
      </c>
      <c r="H1951" s="188">
        <f>_xlfn.AGGREGATE(2,5,LineærRegression_Valg[[#This Row],[Tabel ID]])</f>
        <v>1</v>
      </c>
    </row>
    <row r="1952" spans="1:8" x14ac:dyDescent="0.2">
      <c r="A1952">
        <f>ROW(LineærRegression_Valg[[#This Row],[Tabel ID]])-ROW(LineærRegression_Valg[[#Headers],[Tabel ID]])</f>
        <v>1942</v>
      </c>
      <c r="B1952" s="188">
        <f>ROUNDDOWN((LineærRegression_Valg[[#This Row],[Tabel ID]]-1)/$B$5,0)+1</f>
        <v>486</v>
      </c>
      <c r="C1952" s="188">
        <f t="shared" si="30"/>
        <v>2</v>
      </c>
      <c r="D1952" s="188" t="b">
        <f>LineærRegression_Valg[[#This Row],[Afhængig variabel ID]]&lt;&gt;LineærRegression_Valg[[#This Row],[Uafhængig variabel ID]]</f>
        <v>1</v>
      </c>
      <c r="E1952" s="188" t="b">
        <f>LineærRegression_Valg[[#This Row],[Afhængig variabel ID]]&lt;=$B$5</f>
        <v>0</v>
      </c>
      <c r="F1952" t="str" cm="1">
        <f t="array" ref="F1952">IF(LineærRegression_Valg[[#This Row],[Indenfor range]],INDEX(DataTitel_liste,LineærRegression_Valg[[#This Row],[Afhængig variabel ID]]),INDEX(DataTitel_liste,1))</f>
        <v>Eksempel 1 (interval)</v>
      </c>
      <c r="G1952" s="188" t="str" cm="1">
        <f t="array" ref="G1952">IF(LineærRegression_Valg[[#This Row],[Indenfor range]],IF(LineærRegression_Valg[[#This Row],[Intet overlap]],INDEX(DataTitel_liste,LineærRegression_Valg[[#This Row],[Uafhængig variabel ID]]),INDEX(DataTitel_liste,IF(LineærRegression_Valg[[#This Row],[Afhængig variabel ID]]=1,2,1))),$B$7)</f>
        <v>Eksempel 2 (interval)</v>
      </c>
      <c r="H1952" s="188">
        <f>_xlfn.AGGREGATE(2,5,LineærRegression_Valg[[#This Row],[Tabel ID]])</f>
        <v>1</v>
      </c>
    </row>
    <row r="1953" spans="1:8" x14ac:dyDescent="0.2">
      <c r="A1953">
        <f>ROW(LineærRegression_Valg[[#This Row],[Tabel ID]])-ROW(LineærRegression_Valg[[#Headers],[Tabel ID]])</f>
        <v>1943</v>
      </c>
      <c r="B1953" s="188">
        <f>ROUNDDOWN((LineærRegression_Valg[[#This Row],[Tabel ID]]-1)/$B$5,0)+1</f>
        <v>486</v>
      </c>
      <c r="C1953" s="188">
        <f t="shared" si="30"/>
        <v>3</v>
      </c>
      <c r="D1953" s="188" t="b">
        <f>LineærRegression_Valg[[#This Row],[Afhængig variabel ID]]&lt;&gt;LineærRegression_Valg[[#This Row],[Uafhængig variabel ID]]</f>
        <v>1</v>
      </c>
      <c r="E1953" s="188" t="b">
        <f>LineærRegression_Valg[[#This Row],[Afhængig variabel ID]]&lt;=$B$5</f>
        <v>0</v>
      </c>
      <c r="F1953" t="str" cm="1">
        <f t="array" ref="F1953">IF(LineærRegression_Valg[[#This Row],[Indenfor range]],INDEX(DataTitel_liste,LineærRegression_Valg[[#This Row],[Afhængig variabel ID]]),INDEX(DataTitel_liste,1))</f>
        <v>Eksempel 1 (interval)</v>
      </c>
      <c r="G1953" s="188" t="str" cm="1">
        <f t="array" ref="G1953">IF(LineærRegression_Valg[[#This Row],[Indenfor range]],IF(LineærRegression_Valg[[#This Row],[Intet overlap]],INDEX(DataTitel_liste,LineærRegression_Valg[[#This Row],[Uafhængig variabel ID]]),INDEX(DataTitel_liste,IF(LineærRegression_Valg[[#This Row],[Afhængig variabel ID]]=1,2,1))),$B$7)</f>
        <v>Eksempel 2 (interval)</v>
      </c>
      <c r="H1953" s="188">
        <f>_xlfn.AGGREGATE(2,5,LineærRegression_Valg[[#This Row],[Tabel ID]])</f>
        <v>1</v>
      </c>
    </row>
    <row r="1954" spans="1:8" x14ac:dyDescent="0.2">
      <c r="A1954">
        <f>ROW(LineærRegression_Valg[[#This Row],[Tabel ID]])-ROW(LineærRegression_Valg[[#Headers],[Tabel ID]])</f>
        <v>1944</v>
      </c>
      <c r="B1954" s="188">
        <f>ROUNDDOWN((LineærRegression_Valg[[#This Row],[Tabel ID]]-1)/$B$5,0)+1</f>
        <v>486</v>
      </c>
      <c r="C1954" s="188">
        <f t="shared" si="30"/>
        <v>4</v>
      </c>
      <c r="D1954" s="188" t="b">
        <f>LineærRegression_Valg[[#This Row],[Afhængig variabel ID]]&lt;&gt;LineærRegression_Valg[[#This Row],[Uafhængig variabel ID]]</f>
        <v>1</v>
      </c>
      <c r="E1954" s="188" t="b">
        <f>LineærRegression_Valg[[#This Row],[Afhængig variabel ID]]&lt;=$B$5</f>
        <v>0</v>
      </c>
      <c r="F1954" t="str" cm="1">
        <f t="array" ref="F1954">IF(LineærRegression_Valg[[#This Row],[Indenfor range]],INDEX(DataTitel_liste,LineærRegression_Valg[[#This Row],[Afhængig variabel ID]]),INDEX(DataTitel_liste,1))</f>
        <v>Eksempel 1 (interval)</v>
      </c>
      <c r="G1954" s="188" t="str" cm="1">
        <f t="array" ref="G1954">IF(LineærRegression_Valg[[#This Row],[Indenfor range]],IF(LineærRegression_Valg[[#This Row],[Intet overlap]],INDEX(DataTitel_liste,LineærRegression_Valg[[#This Row],[Uafhængig variabel ID]]),INDEX(DataTitel_liste,IF(LineærRegression_Valg[[#This Row],[Afhængig variabel ID]]=1,2,1))),$B$7)</f>
        <v>Eksempel 2 (interval)</v>
      </c>
      <c r="H1954" s="188">
        <f>_xlfn.AGGREGATE(2,5,LineærRegression_Valg[[#This Row],[Tabel ID]])</f>
        <v>1</v>
      </c>
    </row>
    <row r="1955" spans="1:8" x14ac:dyDescent="0.2">
      <c r="A1955">
        <f>ROW(LineærRegression_Valg[[#This Row],[Tabel ID]])-ROW(LineærRegression_Valg[[#Headers],[Tabel ID]])</f>
        <v>1945</v>
      </c>
      <c r="B1955" s="188">
        <f>ROUNDDOWN((LineærRegression_Valg[[#This Row],[Tabel ID]]-1)/$B$5,0)+1</f>
        <v>487</v>
      </c>
      <c r="C1955" s="188">
        <f t="shared" si="30"/>
        <v>1</v>
      </c>
      <c r="D1955" s="188" t="b">
        <f>LineærRegression_Valg[[#This Row],[Afhængig variabel ID]]&lt;&gt;LineærRegression_Valg[[#This Row],[Uafhængig variabel ID]]</f>
        <v>1</v>
      </c>
      <c r="E1955" s="188" t="b">
        <f>LineærRegression_Valg[[#This Row],[Afhængig variabel ID]]&lt;=$B$5</f>
        <v>0</v>
      </c>
      <c r="F1955" t="str" cm="1">
        <f t="array" ref="F1955">IF(LineærRegression_Valg[[#This Row],[Indenfor range]],INDEX(DataTitel_liste,LineærRegression_Valg[[#This Row],[Afhængig variabel ID]]),INDEX(DataTitel_liste,1))</f>
        <v>Eksempel 1 (interval)</v>
      </c>
      <c r="G1955" s="188" t="str" cm="1">
        <f t="array" ref="G1955">IF(LineærRegression_Valg[[#This Row],[Indenfor range]],IF(LineærRegression_Valg[[#This Row],[Intet overlap]],INDEX(DataTitel_liste,LineærRegression_Valg[[#This Row],[Uafhængig variabel ID]]),INDEX(DataTitel_liste,IF(LineærRegression_Valg[[#This Row],[Afhængig variabel ID]]=1,2,1))),$B$7)</f>
        <v>Eksempel 2 (interval)</v>
      </c>
      <c r="H1955" s="188">
        <f>_xlfn.AGGREGATE(2,5,LineærRegression_Valg[[#This Row],[Tabel ID]])</f>
        <v>1</v>
      </c>
    </row>
    <row r="1956" spans="1:8" x14ac:dyDescent="0.2">
      <c r="A1956">
        <f>ROW(LineærRegression_Valg[[#This Row],[Tabel ID]])-ROW(LineærRegression_Valg[[#Headers],[Tabel ID]])</f>
        <v>1946</v>
      </c>
      <c r="B1956" s="188">
        <f>ROUNDDOWN((LineærRegression_Valg[[#This Row],[Tabel ID]]-1)/$B$5,0)+1</f>
        <v>487</v>
      </c>
      <c r="C1956" s="188">
        <f t="shared" si="30"/>
        <v>2</v>
      </c>
      <c r="D1956" s="188" t="b">
        <f>LineærRegression_Valg[[#This Row],[Afhængig variabel ID]]&lt;&gt;LineærRegression_Valg[[#This Row],[Uafhængig variabel ID]]</f>
        <v>1</v>
      </c>
      <c r="E1956" s="188" t="b">
        <f>LineærRegression_Valg[[#This Row],[Afhængig variabel ID]]&lt;=$B$5</f>
        <v>0</v>
      </c>
      <c r="F1956" t="str" cm="1">
        <f t="array" ref="F1956">IF(LineærRegression_Valg[[#This Row],[Indenfor range]],INDEX(DataTitel_liste,LineærRegression_Valg[[#This Row],[Afhængig variabel ID]]),INDEX(DataTitel_liste,1))</f>
        <v>Eksempel 1 (interval)</v>
      </c>
      <c r="G1956" s="188" t="str" cm="1">
        <f t="array" ref="G1956">IF(LineærRegression_Valg[[#This Row],[Indenfor range]],IF(LineærRegression_Valg[[#This Row],[Intet overlap]],INDEX(DataTitel_liste,LineærRegression_Valg[[#This Row],[Uafhængig variabel ID]]),INDEX(DataTitel_liste,IF(LineærRegression_Valg[[#This Row],[Afhængig variabel ID]]=1,2,1))),$B$7)</f>
        <v>Eksempel 2 (interval)</v>
      </c>
      <c r="H1956" s="188">
        <f>_xlfn.AGGREGATE(2,5,LineærRegression_Valg[[#This Row],[Tabel ID]])</f>
        <v>1</v>
      </c>
    </row>
    <row r="1957" spans="1:8" x14ac:dyDescent="0.2">
      <c r="A1957">
        <f>ROW(LineærRegression_Valg[[#This Row],[Tabel ID]])-ROW(LineærRegression_Valg[[#Headers],[Tabel ID]])</f>
        <v>1947</v>
      </c>
      <c r="B1957" s="188">
        <f>ROUNDDOWN((LineærRegression_Valg[[#This Row],[Tabel ID]]-1)/$B$5,0)+1</f>
        <v>487</v>
      </c>
      <c r="C1957" s="188">
        <f t="shared" si="30"/>
        <v>3</v>
      </c>
      <c r="D1957" s="188" t="b">
        <f>LineærRegression_Valg[[#This Row],[Afhængig variabel ID]]&lt;&gt;LineærRegression_Valg[[#This Row],[Uafhængig variabel ID]]</f>
        <v>1</v>
      </c>
      <c r="E1957" s="188" t="b">
        <f>LineærRegression_Valg[[#This Row],[Afhængig variabel ID]]&lt;=$B$5</f>
        <v>0</v>
      </c>
      <c r="F1957" t="str" cm="1">
        <f t="array" ref="F1957">IF(LineærRegression_Valg[[#This Row],[Indenfor range]],INDEX(DataTitel_liste,LineærRegression_Valg[[#This Row],[Afhængig variabel ID]]),INDEX(DataTitel_liste,1))</f>
        <v>Eksempel 1 (interval)</v>
      </c>
      <c r="G1957" s="188" t="str" cm="1">
        <f t="array" ref="G1957">IF(LineærRegression_Valg[[#This Row],[Indenfor range]],IF(LineærRegression_Valg[[#This Row],[Intet overlap]],INDEX(DataTitel_liste,LineærRegression_Valg[[#This Row],[Uafhængig variabel ID]]),INDEX(DataTitel_liste,IF(LineærRegression_Valg[[#This Row],[Afhængig variabel ID]]=1,2,1))),$B$7)</f>
        <v>Eksempel 2 (interval)</v>
      </c>
      <c r="H1957" s="188">
        <f>_xlfn.AGGREGATE(2,5,LineærRegression_Valg[[#This Row],[Tabel ID]])</f>
        <v>1</v>
      </c>
    </row>
    <row r="1958" spans="1:8" x14ac:dyDescent="0.2">
      <c r="A1958">
        <f>ROW(LineærRegression_Valg[[#This Row],[Tabel ID]])-ROW(LineærRegression_Valg[[#Headers],[Tabel ID]])</f>
        <v>1948</v>
      </c>
      <c r="B1958" s="188">
        <f>ROUNDDOWN((LineærRegression_Valg[[#This Row],[Tabel ID]]-1)/$B$5,0)+1</f>
        <v>487</v>
      </c>
      <c r="C1958" s="188">
        <f t="shared" si="30"/>
        <v>4</v>
      </c>
      <c r="D1958" s="188" t="b">
        <f>LineærRegression_Valg[[#This Row],[Afhængig variabel ID]]&lt;&gt;LineærRegression_Valg[[#This Row],[Uafhængig variabel ID]]</f>
        <v>1</v>
      </c>
      <c r="E1958" s="188" t="b">
        <f>LineærRegression_Valg[[#This Row],[Afhængig variabel ID]]&lt;=$B$5</f>
        <v>0</v>
      </c>
      <c r="F1958" t="str" cm="1">
        <f t="array" ref="F1958">IF(LineærRegression_Valg[[#This Row],[Indenfor range]],INDEX(DataTitel_liste,LineærRegression_Valg[[#This Row],[Afhængig variabel ID]]),INDEX(DataTitel_liste,1))</f>
        <v>Eksempel 1 (interval)</v>
      </c>
      <c r="G1958" s="188" t="str" cm="1">
        <f t="array" ref="G1958">IF(LineærRegression_Valg[[#This Row],[Indenfor range]],IF(LineærRegression_Valg[[#This Row],[Intet overlap]],INDEX(DataTitel_liste,LineærRegression_Valg[[#This Row],[Uafhængig variabel ID]]),INDEX(DataTitel_liste,IF(LineærRegression_Valg[[#This Row],[Afhængig variabel ID]]=1,2,1))),$B$7)</f>
        <v>Eksempel 2 (interval)</v>
      </c>
      <c r="H1958" s="188">
        <f>_xlfn.AGGREGATE(2,5,LineærRegression_Valg[[#This Row],[Tabel ID]])</f>
        <v>1</v>
      </c>
    </row>
    <row r="1959" spans="1:8" x14ac:dyDescent="0.2">
      <c r="A1959">
        <f>ROW(LineærRegression_Valg[[#This Row],[Tabel ID]])-ROW(LineærRegression_Valg[[#Headers],[Tabel ID]])</f>
        <v>1949</v>
      </c>
      <c r="B1959" s="188">
        <f>ROUNDDOWN((LineærRegression_Valg[[#This Row],[Tabel ID]]-1)/$B$5,0)+1</f>
        <v>488</v>
      </c>
      <c r="C1959" s="188">
        <f t="shared" si="30"/>
        <v>1</v>
      </c>
      <c r="D1959" s="188" t="b">
        <f>LineærRegression_Valg[[#This Row],[Afhængig variabel ID]]&lt;&gt;LineærRegression_Valg[[#This Row],[Uafhængig variabel ID]]</f>
        <v>1</v>
      </c>
      <c r="E1959" s="188" t="b">
        <f>LineærRegression_Valg[[#This Row],[Afhængig variabel ID]]&lt;=$B$5</f>
        <v>0</v>
      </c>
      <c r="F1959" t="str" cm="1">
        <f t="array" ref="F1959">IF(LineærRegression_Valg[[#This Row],[Indenfor range]],INDEX(DataTitel_liste,LineærRegression_Valg[[#This Row],[Afhængig variabel ID]]),INDEX(DataTitel_liste,1))</f>
        <v>Eksempel 1 (interval)</v>
      </c>
      <c r="G1959" s="188" t="str" cm="1">
        <f t="array" ref="G1959">IF(LineærRegression_Valg[[#This Row],[Indenfor range]],IF(LineærRegression_Valg[[#This Row],[Intet overlap]],INDEX(DataTitel_liste,LineærRegression_Valg[[#This Row],[Uafhængig variabel ID]]),INDEX(DataTitel_liste,IF(LineærRegression_Valg[[#This Row],[Afhængig variabel ID]]=1,2,1))),$B$7)</f>
        <v>Eksempel 2 (interval)</v>
      </c>
      <c r="H1959" s="188">
        <f>_xlfn.AGGREGATE(2,5,LineærRegression_Valg[[#This Row],[Tabel ID]])</f>
        <v>1</v>
      </c>
    </row>
    <row r="1960" spans="1:8" x14ac:dyDescent="0.2">
      <c r="A1960">
        <f>ROW(LineærRegression_Valg[[#This Row],[Tabel ID]])-ROW(LineærRegression_Valg[[#Headers],[Tabel ID]])</f>
        <v>1950</v>
      </c>
      <c r="B1960" s="188">
        <f>ROUNDDOWN((LineærRegression_Valg[[#This Row],[Tabel ID]]-1)/$B$5,0)+1</f>
        <v>488</v>
      </c>
      <c r="C1960" s="188">
        <f t="shared" si="30"/>
        <v>2</v>
      </c>
      <c r="D1960" s="188" t="b">
        <f>LineærRegression_Valg[[#This Row],[Afhængig variabel ID]]&lt;&gt;LineærRegression_Valg[[#This Row],[Uafhængig variabel ID]]</f>
        <v>1</v>
      </c>
      <c r="E1960" s="188" t="b">
        <f>LineærRegression_Valg[[#This Row],[Afhængig variabel ID]]&lt;=$B$5</f>
        <v>0</v>
      </c>
      <c r="F1960" t="str" cm="1">
        <f t="array" ref="F1960">IF(LineærRegression_Valg[[#This Row],[Indenfor range]],INDEX(DataTitel_liste,LineærRegression_Valg[[#This Row],[Afhængig variabel ID]]),INDEX(DataTitel_liste,1))</f>
        <v>Eksempel 1 (interval)</v>
      </c>
      <c r="G1960" s="188" t="str" cm="1">
        <f t="array" ref="G1960">IF(LineærRegression_Valg[[#This Row],[Indenfor range]],IF(LineærRegression_Valg[[#This Row],[Intet overlap]],INDEX(DataTitel_liste,LineærRegression_Valg[[#This Row],[Uafhængig variabel ID]]),INDEX(DataTitel_liste,IF(LineærRegression_Valg[[#This Row],[Afhængig variabel ID]]=1,2,1))),$B$7)</f>
        <v>Eksempel 2 (interval)</v>
      </c>
      <c r="H1960" s="188">
        <f>_xlfn.AGGREGATE(2,5,LineærRegression_Valg[[#This Row],[Tabel ID]])</f>
        <v>1</v>
      </c>
    </row>
    <row r="1961" spans="1:8" x14ac:dyDescent="0.2">
      <c r="A1961">
        <f>ROW(LineærRegression_Valg[[#This Row],[Tabel ID]])-ROW(LineærRegression_Valg[[#Headers],[Tabel ID]])</f>
        <v>1951</v>
      </c>
      <c r="B1961" s="188">
        <f>ROUNDDOWN((LineærRegression_Valg[[#This Row],[Tabel ID]]-1)/$B$5,0)+1</f>
        <v>488</v>
      </c>
      <c r="C1961" s="188">
        <f t="shared" si="30"/>
        <v>3</v>
      </c>
      <c r="D1961" s="188" t="b">
        <f>LineærRegression_Valg[[#This Row],[Afhængig variabel ID]]&lt;&gt;LineærRegression_Valg[[#This Row],[Uafhængig variabel ID]]</f>
        <v>1</v>
      </c>
      <c r="E1961" s="188" t="b">
        <f>LineærRegression_Valg[[#This Row],[Afhængig variabel ID]]&lt;=$B$5</f>
        <v>0</v>
      </c>
      <c r="F1961" t="str" cm="1">
        <f t="array" ref="F1961">IF(LineærRegression_Valg[[#This Row],[Indenfor range]],INDEX(DataTitel_liste,LineærRegression_Valg[[#This Row],[Afhængig variabel ID]]),INDEX(DataTitel_liste,1))</f>
        <v>Eksempel 1 (interval)</v>
      </c>
      <c r="G1961" s="188" t="str" cm="1">
        <f t="array" ref="G1961">IF(LineærRegression_Valg[[#This Row],[Indenfor range]],IF(LineærRegression_Valg[[#This Row],[Intet overlap]],INDEX(DataTitel_liste,LineærRegression_Valg[[#This Row],[Uafhængig variabel ID]]),INDEX(DataTitel_liste,IF(LineærRegression_Valg[[#This Row],[Afhængig variabel ID]]=1,2,1))),$B$7)</f>
        <v>Eksempel 2 (interval)</v>
      </c>
      <c r="H1961" s="188">
        <f>_xlfn.AGGREGATE(2,5,LineærRegression_Valg[[#This Row],[Tabel ID]])</f>
        <v>1</v>
      </c>
    </row>
    <row r="1962" spans="1:8" x14ac:dyDescent="0.2">
      <c r="A1962">
        <f>ROW(LineærRegression_Valg[[#This Row],[Tabel ID]])-ROW(LineærRegression_Valg[[#Headers],[Tabel ID]])</f>
        <v>1952</v>
      </c>
      <c r="B1962" s="188">
        <f>ROUNDDOWN((LineærRegression_Valg[[#This Row],[Tabel ID]]-1)/$B$5,0)+1</f>
        <v>488</v>
      </c>
      <c r="C1962" s="188">
        <f t="shared" si="30"/>
        <v>4</v>
      </c>
      <c r="D1962" s="188" t="b">
        <f>LineærRegression_Valg[[#This Row],[Afhængig variabel ID]]&lt;&gt;LineærRegression_Valg[[#This Row],[Uafhængig variabel ID]]</f>
        <v>1</v>
      </c>
      <c r="E1962" s="188" t="b">
        <f>LineærRegression_Valg[[#This Row],[Afhængig variabel ID]]&lt;=$B$5</f>
        <v>0</v>
      </c>
      <c r="F1962" t="str" cm="1">
        <f t="array" ref="F1962">IF(LineærRegression_Valg[[#This Row],[Indenfor range]],INDEX(DataTitel_liste,LineærRegression_Valg[[#This Row],[Afhængig variabel ID]]),INDEX(DataTitel_liste,1))</f>
        <v>Eksempel 1 (interval)</v>
      </c>
      <c r="G1962" s="188" t="str" cm="1">
        <f t="array" ref="G1962">IF(LineærRegression_Valg[[#This Row],[Indenfor range]],IF(LineærRegression_Valg[[#This Row],[Intet overlap]],INDEX(DataTitel_liste,LineærRegression_Valg[[#This Row],[Uafhængig variabel ID]]),INDEX(DataTitel_liste,IF(LineærRegression_Valg[[#This Row],[Afhængig variabel ID]]=1,2,1))),$B$7)</f>
        <v>Eksempel 2 (interval)</v>
      </c>
      <c r="H1962" s="188">
        <f>_xlfn.AGGREGATE(2,5,LineærRegression_Valg[[#This Row],[Tabel ID]])</f>
        <v>1</v>
      </c>
    </row>
    <row r="1963" spans="1:8" x14ac:dyDescent="0.2">
      <c r="A1963">
        <f>ROW(LineærRegression_Valg[[#This Row],[Tabel ID]])-ROW(LineærRegression_Valg[[#Headers],[Tabel ID]])</f>
        <v>1953</v>
      </c>
      <c r="B1963" s="188">
        <f>ROUNDDOWN((LineærRegression_Valg[[#This Row],[Tabel ID]]-1)/$B$5,0)+1</f>
        <v>489</v>
      </c>
      <c r="C1963" s="188">
        <f t="shared" si="30"/>
        <v>1</v>
      </c>
      <c r="D1963" s="188" t="b">
        <f>LineærRegression_Valg[[#This Row],[Afhængig variabel ID]]&lt;&gt;LineærRegression_Valg[[#This Row],[Uafhængig variabel ID]]</f>
        <v>1</v>
      </c>
      <c r="E1963" s="188" t="b">
        <f>LineærRegression_Valg[[#This Row],[Afhængig variabel ID]]&lt;=$B$5</f>
        <v>0</v>
      </c>
      <c r="F1963" t="str" cm="1">
        <f t="array" ref="F1963">IF(LineærRegression_Valg[[#This Row],[Indenfor range]],INDEX(DataTitel_liste,LineærRegression_Valg[[#This Row],[Afhængig variabel ID]]),INDEX(DataTitel_liste,1))</f>
        <v>Eksempel 1 (interval)</v>
      </c>
      <c r="G1963" s="188" t="str" cm="1">
        <f t="array" ref="G1963">IF(LineærRegression_Valg[[#This Row],[Indenfor range]],IF(LineærRegression_Valg[[#This Row],[Intet overlap]],INDEX(DataTitel_liste,LineærRegression_Valg[[#This Row],[Uafhængig variabel ID]]),INDEX(DataTitel_liste,IF(LineærRegression_Valg[[#This Row],[Afhængig variabel ID]]=1,2,1))),$B$7)</f>
        <v>Eksempel 2 (interval)</v>
      </c>
      <c r="H1963" s="188">
        <f>_xlfn.AGGREGATE(2,5,LineærRegression_Valg[[#This Row],[Tabel ID]])</f>
        <v>1</v>
      </c>
    </row>
    <row r="1964" spans="1:8" x14ac:dyDescent="0.2">
      <c r="A1964">
        <f>ROW(LineærRegression_Valg[[#This Row],[Tabel ID]])-ROW(LineærRegression_Valg[[#Headers],[Tabel ID]])</f>
        <v>1954</v>
      </c>
      <c r="B1964" s="188">
        <f>ROUNDDOWN((LineærRegression_Valg[[#This Row],[Tabel ID]]-1)/$B$5,0)+1</f>
        <v>489</v>
      </c>
      <c r="C1964" s="188">
        <f t="shared" si="30"/>
        <v>2</v>
      </c>
      <c r="D1964" s="188" t="b">
        <f>LineærRegression_Valg[[#This Row],[Afhængig variabel ID]]&lt;&gt;LineærRegression_Valg[[#This Row],[Uafhængig variabel ID]]</f>
        <v>1</v>
      </c>
      <c r="E1964" s="188" t="b">
        <f>LineærRegression_Valg[[#This Row],[Afhængig variabel ID]]&lt;=$B$5</f>
        <v>0</v>
      </c>
      <c r="F1964" t="str" cm="1">
        <f t="array" ref="F1964">IF(LineærRegression_Valg[[#This Row],[Indenfor range]],INDEX(DataTitel_liste,LineærRegression_Valg[[#This Row],[Afhængig variabel ID]]),INDEX(DataTitel_liste,1))</f>
        <v>Eksempel 1 (interval)</v>
      </c>
      <c r="G1964" s="188" t="str" cm="1">
        <f t="array" ref="G1964">IF(LineærRegression_Valg[[#This Row],[Indenfor range]],IF(LineærRegression_Valg[[#This Row],[Intet overlap]],INDEX(DataTitel_liste,LineærRegression_Valg[[#This Row],[Uafhængig variabel ID]]),INDEX(DataTitel_liste,IF(LineærRegression_Valg[[#This Row],[Afhængig variabel ID]]=1,2,1))),$B$7)</f>
        <v>Eksempel 2 (interval)</v>
      </c>
      <c r="H1964" s="188">
        <f>_xlfn.AGGREGATE(2,5,LineærRegression_Valg[[#This Row],[Tabel ID]])</f>
        <v>1</v>
      </c>
    </row>
    <row r="1965" spans="1:8" x14ac:dyDescent="0.2">
      <c r="A1965">
        <f>ROW(LineærRegression_Valg[[#This Row],[Tabel ID]])-ROW(LineærRegression_Valg[[#Headers],[Tabel ID]])</f>
        <v>1955</v>
      </c>
      <c r="B1965" s="188">
        <f>ROUNDDOWN((LineærRegression_Valg[[#This Row],[Tabel ID]]-1)/$B$5,0)+1</f>
        <v>489</v>
      </c>
      <c r="C1965" s="188">
        <f t="shared" si="30"/>
        <v>3</v>
      </c>
      <c r="D1965" s="188" t="b">
        <f>LineærRegression_Valg[[#This Row],[Afhængig variabel ID]]&lt;&gt;LineærRegression_Valg[[#This Row],[Uafhængig variabel ID]]</f>
        <v>1</v>
      </c>
      <c r="E1965" s="188" t="b">
        <f>LineærRegression_Valg[[#This Row],[Afhængig variabel ID]]&lt;=$B$5</f>
        <v>0</v>
      </c>
      <c r="F1965" t="str" cm="1">
        <f t="array" ref="F1965">IF(LineærRegression_Valg[[#This Row],[Indenfor range]],INDEX(DataTitel_liste,LineærRegression_Valg[[#This Row],[Afhængig variabel ID]]),INDEX(DataTitel_liste,1))</f>
        <v>Eksempel 1 (interval)</v>
      </c>
      <c r="G1965" s="188" t="str" cm="1">
        <f t="array" ref="G1965">IF(LineærRegression_Valg[[#This Row],[Indenfor range]],IF(LineærRegression_Valg[[#This Row],[Intet overlap]],INDEX(DataTitel_liste,LineærRegression_Valg[[#This Row],[Uafhængig variabel ID]]),INDEX(DataTitel_liste,IF(LineærRegression_Valg[[#This Row],[Afhængig variabel ID]]=1,2,1))),$B$7)</f>
        <v>Eksempel 2 (interval)</v>
      </c>
      <c r="H1965" s="188">
        <f>_xlfn.AGGREGATE(2,5,LineærRegression_Valg[[#This Row],[Tabel ID]])</f>
        <v>1</v>
      </c>
    </row>
    <row r="1966" spans="1:8" x14ac:dyDescent="0.2">
      <c r="A1966">
        <f>ROW(LineærRegression_Valg[[#This Row],[Tabel ID]])-ROW(LineærRegression_Valg[[#Headers],[Tabel ID]])</f>
        <v>1956</v>
      </c>
      <c r="B1966" s="188">
        <f>ROUNDDOWN((LineærRegression_Valg[[#This Row],[Tabel ID]]-1)/$B$5,0)+1</f>
        <v>489</v>
      </c>
      <c r="C1966" s="188">
        <f t="shared" si="30"/>
        <v>4</v>
      </c>
      <c r="D1966" s="188" t="b">
        <f>LineærRegression_Valg[[#This Row],[Afhængig variabel ID]]&lt;&gt;LineærRegression_Valg[[#This Row],[Uafhængig variabel ID]]</f>
        <v>1</v>
      </c>
      <c r="E1966" s="188" t="b">
        <f>LineærRegression_Valg[[#This Row],[Afhængig variabel ID]]&lt;=$B$5</f>
        <v>0</v>
      </c>
      <c r="F1966" t="str" cm="1">
        <f t="array" ref="F1966">IF(LineærRegression_Valg[[#This Row],[Indenfor range]],INDEX(DataTitel_liste,LineærRegression_Valg[[#This Row],[Afhængig variabel ID]]),INDEX(DataTitel_liste,1))</f>
        <v>Eksempel 1 (interval)</v>
      </c>
      <c r="G1966" s="188" t="str" cm="1">
        <f t="array" ref="G1966">IF(LineærRegression_Valg[[#This Row],[Indenfor range]],IF(LineærRegression_Valg[[#This Row],[Intet overlap]],INDEX(DataTitel_liste,LineærRegression_Valg[[#This Row],[Uafhængig variabel ID]]),INDEX(DataTitel_liste,IF(LineærRegression_Valg[[#This Row],[Afhængig variabel ID]]=1,2,1))),$B$7)</f>
        <v>Eksempel 2 (interval)</v>
      </c>
      <c r="H1966" s="188">
        <f>_xlfn.AGGREGATE(2,5,LineærRegression_Valg[[#This Row],[Tabel ID]])</f>
        <v>1</v>
      </c>
    </row>
    <row r="1967" spans="1:8" x14ac:dyDescent="0.2">
      <c r="A1967">
        <f>ROW(LineærRegression_Valg[[#This Row],[Tabel ID]])-ROW(LineærRegression_Valg[[#Headers],[Tabel ID]])</f>
        <v>1957</v>
      </c>
      <c r="B1967" s="188">
        <f>ROUNDDOWN((LineærRegression_Valg[[#This Row],[Tabel ID]]-1)/$B$5,0)+1</f>
        <v>490</v>
      </c>
      <c r="C1967" s="188">
        <f t="shared" si="30"/>
        <v>1</v>
      </c>
      <c r="D1967" s="188" t="b">
        <f>LineærRegression_Valg[[#This Row],[Afhængig variabel ID]]&lt;&gt;LineærRegression_Valg[[#This Row],[Uafhængig variabel ID]]</f>
        <v>1</v>
      </c>
      <c r="E1967" s="188" t="b">
        <f>LineærRegression_Valg[[#This Row],[Afhængig variabel ID]]&lt;=$B$5</f>
        <v>0</v>
      </c>
      <c r="F1967" t="str" cm="1">
        <f t="array" ref="F1967">IF(LineærRegression_Valg[[#This Row],[Indenfor range]],INDEX(DataTitel_liste,LineærRegression_Valg[[#This Row],[Afhængig variabel ID]]),INDEX(DataTitel_liste,1))</f>
        <v>Eksempel 1 (interval)</v>
      </c>
      <c r="G1967" s="188" t="str" cm="1">
        <f t="array" ref="G1967">IF(LineærRegression_Valg[[#This Row],[Indenfor range]],IF(LineærRegression_Valg[[#This Row],[Intet overlap]],INDEX(DataTitel_liste,LineærRegression_Valg[[#This Row],[Uafhængig variabel ID]]),INDEX(DataTitel_liste,IF(LineærRegression_Valg[[#This Row],[Afhængig variabel ID]]=1,2,1))),$B$7)</f>
        <v>Eksempel 2 (interval)</v>
      </c>
      <c r="H1967" s="188">
        <f>_xlfn.AGGREGATE(2,5,LineærRegression_Valg[[#This Row],[Tabel ID]])</f>
        <v>1</v>
      </c>
    </row>
    <row r="1968" spans="1:8" x14ac:dyDescent="0.2">
      <c r="A1968">
        <f>ROW(LineærRegression_Valg[[#This Row],[Tabel ID]])-ROW(LineærRegression_Valg[[#Headers],[Tabel ID]])</f>
        <v>1958</v>
      </c>
      <c r="B1968" s="188">
        <f>ROUNDDOWN((LineærRegression_Valg[[#This Row],[Tabel ID]]-1)/$B$5,0)+1</f>
        <v>490</v>
      </c>
      <c r="C1968" s="188">
        <f t="shared" si="30"/>
        <v>2</v>
      </c>
      <c r="D1968" s="188" t="b">
        <f>LineærRegression_Valg[[#This Row],[Afhængig variabel ID]]&lt;&gt;LineærRegression_Valg[[#This Row],[Uafhængig variabel ID]]</f>
        <v>1</v>
      </c>
      <c r="E1968" s="188" t="b">
        <f>LineærRegression_Valg[[#This Row],[Afhængig variabel ID]]&lt;=$B$5</f>
        <v>0</v>
      </c>
      <c r="F1968" t="str" cm="1">
        <f t="array" ref="F1968">IF(LineærRegression_Valg[[#This Row],[Indenfor range]],INDEX(DataTitel_liste,LineærRegression_Valg[[#This Row],[Afhængig variabel ID]]),INDEX(DataTitel_liste,1))</f>
        <v>Eksempel 1 (interval)</v>
      </c>
      <c r="G1968" s="188" t="str" cm="1">
        <f t="array" ref="G1968">IF(LineærRegression_Valg[[#This Row],[Indenfor range]],IF(LineærRegression_Valg[[#This Row],[Intet overlap]],INDEX(DataTitel_liste,LineærRegression_Valg[[#This Row],[Uafhængig variabel ID]]),INDEX(DataTitel_liste,IF(LineærRegression_Valg[[#This Row],[Afhængig variabel ID]]=1,2,1))),$B$7)</f>
        <v>Eksempel 2 (interval)</v>
      </c>
      <c r="H1968" s="188">
        <f>_xlfn.AGGREGATE(2,5,LineærRegression_Valg[[#This Row],[Tabel ID]])</f>
        <v>1</v>
      </c>
    </row>
    <row r="1969" spans="1:8" x14ac:dyDescent="0.2">
      <c r="A1969">
        <f>ROW(LineærRegression_Valg[[#This Row],[Tabel ID]])-ROW(LineærRegression_Valg[[#Headers],[Tabel ID]])</f>
        <v>1959</v>
      </c>
      <c r="B1969" s="188">
        <f>ROUNDDOWN((LineærRegression_Valg[[#This Row],[Tabel ID]]-1)/$B$5,0)+1</f>
        <v>490</v>
      </c>
      <c r="C1969" s="188">
        <f t="shared" si="30"/>
        <v>3</v>
      </c>
      <c r="D1969" s="188" t="b">
        <f>LineærRegression_Valg[[#This Row],[Afhængig variabel ID]]&lt;&gt;LineærRegression_Valg[[#This Row],[Uafhængig variabel ID]]</f>
        <v>1</v>
      </c>
      <c r="E1969" s="188" t="b">
        <f>LineærRegression_Valg[[#This Row],[Afhængig variabel ID]]&lt;=$B$5</f>
        <v>0</v>
      </c>
      <c r="F1969" t="str" cm="1">
        <f t="array" ref="F1969">IF(LineærRegression_Valg[[#This Row],[Indenfor range]],INDEX(DataTitel_liste,LineærRegression_Valg[[#This Row],[Afhængig variabel ID]]),INDEX(DataTitel_liste,1))</f>
        <v>Eksempel 1 (interval)</v>
      </c>
      <c r="G1969" s="188" t="str" cm="1">
        <f t="array" ref="G1969">IF(LineærRegression_Valg[[#This Row],[Indenfor range]],IF(LineærRegression_Valg[[#This Row],[Intet overlap]],INDEX(DataTitel_liste,LineærRegression_Valg[[#This Row],[Uafhængig variabel ID]]),INDEX(DataTitel_liste,IF(LineærRegression_Valg[[#This Row],[Afhængig variabel ID]]=1,2,1))),$B$7)</f>
        <v>Eksempel 2 (interval)</v>
      </c>
      <c r="H1969" s="188">
        <f>_xlfn.AGGREGATE(2,5,LineærRegression_Valg[[#This Row],[Tabel ID]])</f>
        <v>1</v>
      </c>
    </row>
    <row r="1970" spans="1:8" x14ac:dyDescent="0.2">
      <c r="A1970">
        <f>ROW(LineærRegression_Valg[[#This Row],[Tabel ID]])-ROW(LineærRegression_Valg[[#Headers],[Tabel ID]])</f>
        <v>1960</v>
      </c>
      <c r="B1970" s="188">
        <f>ROUNDDOWN((LineærRegression_Valg[[#This Row],[Tabel ID]]-1)/$B$5,0)+1</f>
        <v>490</v>
      </c>
      <c r="C1970" s="188">
        <f t="shared" si="30"/>
        <v>4</v>
      </c>
      <c r="D1970" s="188" t="b">
        <f>LineærRegression_Valg[[#This Row],[Afhængig variabel ID]]&lt;&gt;LineærRegression_Valg[[#This Row],[Uafhængig variabel ID]]</f>
        <v>1</v>
      </c>
      <c r="E1970" s="188" t="b">
        <f>LineærRegression_Valg[[#This Row],[Afhængig variabel ID]]&lt;=$B$5</f>
        <v>0</v>
      </c>
      <c r="F1970" t="str" cm="1">
        <f t="array" ref="F1970">IF(LineærRegression_Valg[[#This Row],[Indenfor range]],INDEX(DataTitel_liste,LineærRegression_Valg[[#This Row],[Afhængig variabel ID]]),INDEX(DataTitel_liste,1))</f>
        <v>Eksempel 1 (interval)</v>
      </c>
      <c r="G1970" s="188" t="str" cm="1">
        <f t="array" ref="G1970">IF(LineærRegression_Valg[[#This Row],[Indenfor range]],IF(LineærRegression_Valg[[#This Row],[Intet overlap]],INDEX(DataTitel_liste,LineærRegression_Valg[[#This Row],[Uafhængig variabel ID]]),INDEX(DataTitel_liste,IF(LineærRegression_Valg[[#This Row],[Afhængig variabel ID]]=1,2,1))),$B$7)</f>
        <v>Eksempel 2 (interval)</v>
      </c>
      <c r="H1970" s="188">
        <f>_xlfn.AGGREGATE(2,5,LineærRegression_Valg[[#This Row],[Tabel ID]])</f>
        <v>1</v>
      </c>
    </row>
    <row r="1971" spans="1:8" x14ac:dyDescent="0.2">
      <c r="A1971">
        <f>ROW(LineærRegression_Valg[[#This Row],[Tabel ID]])-ROW(LineærRegression_Valg[[#Headers],[Tabel ID]])</f>
        <v>1961</v>
      </c>
      <c r="B1971" s="188">
        <f>ROUNDDOWN((LineærRegression_Valg[[#This Row],[Tabel ID]]-1)/$B$5,0)+1</f>
        <v>491</v>
      </c>
      <c r="C1971" s="188">
        <f t="shared" si="30"/>
        <v>1</v>
      </c>
      <c r="D1971" s="188" t="b">
        <f>LineærRegression_Valg[[#This Row],[Afhængig variabel ID]]&lt;&gt;LineærRegression_Valg[[#This Row],[Uafhængig variabel ID]]</f>
        <v>1</v>
      </c>
      <c r="E1971" s="188" t="b">
        <f>LineærRegression_Valg[[#This Row],[Afhængig variabel ID]]&lt;=$B$5</f>
        <v>0</v>
      </c>
      <c r="F1971" t="str" cm="1">
        <f t="array" ref="F1971">IF(LineærRegression_Valg[[#This Row],[Indenfor range]],INDEX(DataTitel_liste,LineærRegression_Valg[[#This Row],[Afhængig variabel ID]]),INDEX(DataTitel_liste,1))</f>
        <v>Eksempel 1 (interval)</v>
      </c>
      <c r="G1971" s="188" t="str" cm="1">
        <f t="array" ref="G1971">IF(LineærRegression_Valg[[#This Row],[Indenfor range]],IF(LineærRegression_Valg[[#This Row],[Intet overlap]],INDEX(DataTitel_liste,LineærRegression_Valg[[#This Row],[Uafhængig variabel ID]]),INDEX(DataTitel_liste,IF(LineærRegression_Valg[[#This Row],[Afhængig variabel ID]]=1,2,1))),$B$7)</f>
        <v>Eksempel 2 (interval)</v>
      </c>
      <c r="H1971" s="188">
        <f>_xlfn.AGGREGATE(2,5,LineærRegression_Valg[[#This Row],[Tabel ID]])</f>
        <v>1</v>
      </c>
    </row>
    <row r="1972" spans="1:8" x14ac:dyDescent="0.2">
      <c r="A1972">
        <f>ROW(LineærRegression_Valg[[#This Row],[Tabel ID]])-ROW(LineærRegression_Valg[[#Headers],[Tabel ID]])</f>
        <v>1962</v>
      </c>
      <c r="B1972" s="188">
        <f>ROUNDDOWN((LineærRegression_Valg[[#This Row],[Tabel ID]]-1)/$B$5,0)+1</f>
        <v>491</v>
      </c>
      <c r="C1972" s="188">
        <f t="shared" si="30"/>
        <v>2</v>
      </c>
      <c r="D1972" s="188" t="b">
        <f>LineærRegression_Valg[[#This Row],[Afhængig variabel ID]]&lt;&gt;LineærRegression_Valg[[#This Row],[Uafhængig variabel ID]]</f>
        <v>1</v>
      </c>
      <c r="E1972" s="188" t="b">
        <f>LineærRegression_Valg[[#This Row],[Afhængig variabel ID]]&lt;=$B$5</f>
        <v>0</v>
      </c>
      <c r="F1972" t="str" cm="1">
        <f t="array" ref="F1972">IF(LineærRegression_Valg[[#This Row],[Indenfor range]],INDEX(DataTitel_liste,LineærRegression_Valg[[#This Row],[Afhængig variabel ID]]),INDEX(DataTitel_liste,1))</f>
        <v>Eksempel 1 (interval)</v>
      </c>
      <c r="G1972" s="188" t="str" cm="1">
        <f t="array" ref="G1972">IF(LineærRegression_Valg[[#This Row],[Indenfor range]],IF(LineærRegression_Valg[[#This Row],[Intet overlap]],INDEX(DataTitel_liste,LineærRegression_Valg[[#This Row],[Uafhængig variabel ID]]),INDEX(DataTitel_liste,IF(LineærRegression_Valg[[#This Row],[Afhængig variabel ID]]=1,2,1))),$B$7)</f>
        <v>Eksempel 2 (interval)</v>
      </c>
      <c r="H1972" s="188">
        <f>_xlfn.AGGREGATE(2,5,LineærRegression_Valg[[#This Row],[Tabel ID]])</f>
        <v>1</v>
      </c>
    </row>
    <row r="1973" spans="1:8" x14ac:dyDescent="0.2">
      <c r="A1973">
        <f>ROW(LineærRegression_Valg[[#This Row],[Tabel ID]])-ROW(LineærRegression_Valg[[#Headers],[Tabel ID]])</f>
        <v>1963</v>
      </c>
      <c r="B1973" s="188">
        <f>ROUNDDOWN((LineærRegression_Valg[[#This Row],[Tabel ID]]-1)/$B$5,0)+1</f>
        <v>491</v>
      </c>
      <c r="C1973" s="188">
        <f t="shared" si="30"/>
        <v>3</v>
      </c>
      <c r="D1973" s="188" t="b">
        <f>LineærRegression_Valg[[#This Row],[Afhængig variabel ID]]&lt;&gt;LineærRegression_Valg[[#This Row],[Uafhængig variabel ID]]</f>
        <v>1</v>
      </c>
      <c r="E1973" s="188" t="b">
        <f>LineærRegression_Valg[[#This Row],[Afhængig variabel ID]]&lt;=$B$5</f>
        <v>0</v>
      </c>
      <c r="F1973" t="str" cm="1">
        <f t="array" ref="F1973">IF(LineærRegression_Valg[[#This Row],[Indenfor range]],INDEX(DataTitel_liste,LineærRegression_Valg[[#This Row],[Afhængig variabel ID]]),INDEX(DataTitel_liste,1))</f>
        <v>Eksempel 1 (interval)</v>
      </c>
      <c r="G1973" s="188" t="str" cm="1">
        <f t="array" ref="G1973">IF(LineærRegression_Valg[[#This Row],[Indenfor range]],IF(LineærRegression_Valg[[#This Row],[Intet overlap]],INDEX(DataTitel_liste,LineærRegression_Valg[[#This Row],[Uafhængig variabel ID]]),INDEX(DataTitel_liste,IF(LineærRegression_Valg[[#This Row],[Afhængig variabel ID]]=1,2,1))),$B$7)</f>
        <v>Eksempel 2 (interval)</v>
      </c>
      <c r="H1973" s="188">
        <f>_xlfn.AGGREGATE(2,5,LineærRegression_Valg[[#This Row],[Tabel ID]])</f>
        <v>1</v>
      </c>
    </row>
    <row r="1974" spans="1:8" x14ac:dyDescent="0.2">
      <c r="A1974">
        <f>ROW(LineærRegression_Valg[[#This Row],[Tabel ID]])-ROW(LineærRegression_Valg[[#Headers],[Tabel ID]])</f>
        <v>1964</v>
      </c>
      <c r="B1974" s="188">
        <f>ROUNDDOWN((LineærRegression_Valg[[#This Row],[Tabel ID]]-1)/$B$5,0)+1</f>
        <v>491</v>
      </c>
      <c r="C1974" s="188">
        <f t="shared" si="30"/>
        <v>4</v>
      </c>
      <c r="D1974" s="188" t="b">
        <f>LineærRegression_Valg[[#This Row],[Afhængig variabel ID]]&lt;&gt;LineærRegression_Valg[[#This Row],[Uafhængig variabel ID]]</f>
        <v>1</v>
      </c>
      <c r="E1974" s="188" t="b">
        <f>LineærRegression_Valg[[#This Row],[Afhængig variabel ID]]&lt;=$B$5</f>
        <v>0</v>
      </c>
      <c r="F1974" t="str" cm="1">
        <f t="array" ref="F1974">IF(LineærRegression_Valg[[#This Row],[Indenfor range]],INDEX(DataTitel_liste,LineærRegression_Valg[[#This Row],[Afhængig variabel ID]]),INDEX(DataTitel_liste,1))</f>
        <v>Eksempel 1 (interval)</v>
      </c>
      <c r="G1974" s="188" t="str" cm="1">
        <f t="array" ref="G1974">IF(LineærRegression_Valg[[#This Row],[Indenfor range]],IF(LineærRegression_Valg[[#This Row],[Intet overlap]],INDEX(DataTitel_liste,LineærRegression_Valg[[#This Row],[Uafhængig variabel ID]]),INDEX(DataTitel_liste,IF(LineærRegression_Valg[[#This Row],[Afhængig variabel ID]]=1,2,1))),$B$7)</f>
        <v>Eksempel 2 (interval)</v>
      </c>
      <c r="H1974" s="188">
        <f>_xlfn.AGGREGATE(2,5,LineærRegression_Valg[[#This Row],[Tabel ID]])</f>
        <v>1</v>
      </c>
    </row>
    <row r="1975" spans="1:8" x14ac:dyDescent="0.2">
      <c r="A1975">
        <f>ROW(LineærRegression_Valg[[#This Row],[Tabel ID]])-ROW(LineærRegression_Valg[[#Headers],[Tabel ID]])</f>
        <v>1965</v>
      </c>
      <c r="B1975" s="188">
        <f>ROUNDDOWN((LineærRegression_Valg[[#This Row],[Tabel ID]]-1)/$B$5,0)+1</f>
        <v>492</v>
      </c>
      <c r="C1975" s="188">
        <f t="shared" si="30"/>
        <v>1</v>
      </c>
      <c r="D1975" s="188" t="b">
        <f>LineærRegression_Valg[[#This Row],[Afhængig variabel ID]]&lt;&gt;LineærRegression_Valg[[#This Row],[Uafhængig variabel ID]]</f>
        <v>1</v>
      </c>
      <c r="E1975" s="188" t="b">
        <f>LineærRegression_Valg[[#This Row],[Afhængig variabel ID]]&lt;=$B$5</f>
        <v>0</v>
      </c>
      <c r="F1975" t="str" cm="1">
        <f t="array" ref="F1975">IF(LineærRegression_Valg[[#This Row],[Indenfor range]],INDEX(DataTitel_liste,LineærRegression_Valg[[#This Row],[Afhængig variabel ID]]),INDEX(DataTitel_liste,1))</f>
        <v>Eksempel 1 (interval)</v>
      </c>
      <c r="G1975" s="188" t="str" cm="1">
        <f t="array" ref="G1975">IF(LineærRegression_Valg[[#This Row],[Indenfor range]],IF(LineærRegression_Valg[[#This Row],[Intet overlap]],INDEX(DataTitel_liste,LineærRegression_Valg[[#This Row],[Uafhængig variabel ID]]),INDEX(DataTitel_liste,IF(LineærRegression_Valg[[#This Row],[Afhængig variabel ID]]=1,2,1))),$B$7)</f>
        <v>Eksempel 2 (interval)</v>
      </c>
      <c r="H1975" s="188">
        <f>_xlfn.AGGREGATE(2,5,LineærRegression_Valg[[#This Row],[Tabel ID]])</f>
        <v>1</v>
      </c>
    </row>
    <row r="1976" spans="1:8" x14ac:dyDescent="0.2">
      <c r="A1976">
        <f>ROW(LineærRegression_Valg[[#This Row],[Tabel ID]])-ROW(LineærRegression_Valg[[#Headers],[Tabel ID]])</f>
        <v>1966</v>
      </c>
      <c r="B1976" s="188">
        <f>ROUNDDOWN((LineærRegression_Valg[[#This Row],[Tabel ID]]-1)/$B$5,0)+1</f>
        <v>492</v>
      </c>
      <c r="C1976" s="188">
        <f t="shared" si="30"/>
        <v>2</v>
      </c>
      <c r="D1976" s="188" t="b">
        <f>LineærRegression_Valg[[#This Row],[Afhængig variabel ID]]&lt;&gt;LineærRegression_Valg[[#This Row],[Uafhængig variabel ID]]</f>
        <v>1</v>
      </c>
      <c r="E1976" s="188" t="b">
        <f>LineærRegression_Valg[[#This Row],[Afhængig variabel ID]]&lt;=$B$5</f>
        <v>0</v>
      </c>
      <c r="F1976" t="str" cm="1">
        <f t="array" ref="F1976">IF(LineærRegression_Valg[[#This Row],[Indenfor range]],INDEX(DataTitel_liste,LineærRegression_Valg[[#This Row],[Afhængig variabel ID]]),INDEX(DataTitel_liste,1))</f>
        <v>Eksempel 1 (interval)</v>
      </c>
      <c r="G1976" s="188" t="str" cm="1">
        <f t="array" ref="G1976">IF(LineærRegression_Valg[[#This Row],[Indenfor range]],IF(LineærRegression_Valg[[#This Row],[Intet overlap]],INDEX(DataTitel_liste,LineærRegression_Valg[[#This Row],[Uafhængig variabel ID]]),INDEX(DataTitel_liste,IF(LineærRegression_Valg[[#This Row],[Afhængig variabel ID]]=1,2,1))),$B$7)</f>
        <v>Eksempel 2 (interval)</v>
      </c>
      <c r="H1976" s="188">
        <f>_xlfn.AGGREGATE(2,5,LineærRegression_Valg[[#This Row],[Tabel ID]])</f>
        <v>1</v>
      </c>
    </row>
    <row r="1977" spans="1:8" x14ac:dyDescent="0.2">
      <c r="A1977">
        <f>ROW(LineærRegression_Valg[[#This Row],[Tabel ID]])-ROW(LineærRegression_Valg[[#Headers],[Tabel ID]])</f>
        <v>1967</v>
      </c>
      <c r="B1977" s="188">
        <f>ROUNDDOWN((LineærRegression_Valg[[#This Row],[Tabel ID]]-1)/$B$5,0)+1</f>
        <v>492</v>
      </c>
      <c r="C1977" s="188">
        <f t="shared" si="30"/>
        <v>3</v>
      </c>
      <c r="D1977" s="188" t="b">
        <f>LineærRegression_Valg[[#This Row],[Afhængig variabel ID]]&lt;&gt;LineærRegression_Valg[[#This Row],[Uafhængig variabel ID]]</f>
        <v>1</v>
      </c>
      <c r="E1977" s="188" t="b">
        <f>LineærRegression_Valg[[#This Row],[Afhængig variabel ID]]&lt;=$B$5</f>
        <v>0</v>
      </c>
      <c r="F1977" t="str" cm="1">
        <f t="array" ref="F1977">IF(LineærRegression_Valg[[#This Row],[Indenfor range]],INDEX(DataTitel_liste,LineærRegression_Valg[[#This Row],[Afhængig variabel ID]]),INDEX(DataTitel_liste,1))</f>
        <v>Eksempel 1 (interval)</v>
      </c>
      <c r="G1977" s="188" t="str" cm="1">
        <f t="array" ref="G1977">IF(LineærRegression_Valg[[#This Row],[Indenfor range]],IF(LineærRegression_Valg[[#This Row],[Intet overlap]],INDEX(DataTitel_liste,LineærRegression_Valg[[#This Row],[Uafhængig variabel ID]]),INDEX(DataTitel_liste,IF(LineærRegression_Valg[[#This Row],[Afhængig variabel ID]]=1,2,1))),$B$7)</f>
        <v>Eksempel 2 (interval)</v>
      </c>
      <c r="H1977" s="188">
        <f>_xlfn.AGGREGATE(2,5,LineærRegression_Valg[[#This Row],[Tabel ID]])</f>
        <v>1</v>
      </c>
    </row>
    <row r="1978" spans="1:8" x14ac:dyDescent="0.2">
      <c r="A1978">
        <f>ROW(LineærRegression_Valg[[#This Row],[Tabel ID]])-ROW(LineærRegression_Valg[[#Headers],[Tabel ID]])</f>
        <v>1968</v>
      </c>
      <c r="B1978" s="188">
        <f>ROUNDDOWN((LineærRegression_Valg[[#This Row],[Tabel ID]]-1)/$B$5,0)+1</f>
        <v>492</v>
      </c>
      <c r="C1978" s="188">
        <f t="shared" si="30"/>
        <v>4</v>
      </c>
      <c r="D1978" s="188" t="b">
        <f>LineærRegression_Valg[[#This Row],[Afhængig variabel ID]]&lt;&gt;LineærRegression_Valg[[#This Row],[Uafhængig variabel ID]]</f>
        <v>1</v>
      </c>
      <c r="E1978" s="188" t="b">
        <f>LineærRegression_Valg[[#This Row],[Afhængig variabel ID]]&lt;=$B$5</f>
        <v>0</v>
      </c>
      <c r="F1978" t="str" cm="1">
        <f t="array" ref="F1978">IF(LineærRegression_Valg[[#This Row],[Indenfor range]],INDEX(DataTitel_liste,LineærRegression_Valg[[#This Row],[Afhængig variabel ID]]),INDEX(DataTitel_liste,1))</f>
        <v>Eksempel 1 (interval)</v>
      </c>
      <c r="G1978" s="188" t="str" cm="1">
        <f t="array" ref="G1978">IF(LineærRegression_Valg[[#This Row],[Indenfor range]],IF(LineærRegression_Valg[[#This Row],[Intet overlap]],INDEX(DataTitel_liste,LineærRegression_Valg[[#This Row],[Uafhængig variabel ID]]),INDEX(DataTitel_liste,IF(LineærRegression_Valg[[#This Row],[Afhængig variabel ID]]=1,2,1))),$B$7)</f>
        <v>Eksempel 2 (interval)</v>
      </c>
      <c r="H1978" s="188">
        <f>_xlfn.AGGREGATE(2,5,LineærRegression_Valg[[#This Row],[Tabel ID]])</f>
        <v>1</v>
      </c>
    </row>
    <row r="1979" spans="1:8" x14ac:dyDescent="0.2">
      <c r="A1979">
        <f>ROW(LineærRegression_Valg[[#This Row],[Tabel ID]])-ROW(LineærRegression_Valg[[#Headers],[Tabel ID]])</f>
        <v>1969</v>
      </c>
      <c r="B1979" s="188">
        <f>ROUNDDOWN((LineærRegression_Valg[[#This Row],[Tabel ID]]-1)/$B$5,0)+1</f>
        <v>493</v>
      </c>
      <c r="C1979" s="188">
        <f t="shared" si="30"/>
        <v>1</v>
      </c>
      <c r="D1979" s="188" t="b">
        <f>LineærRegression_Valg[[#This Row],[Afhængig variabel ID]]&lt;&gt;LineærRegression_Valg[[#This Row],[Uafhængig variabel ID]]</f>
        <v>1</v>
      </c>
      <c r="E1979" s="188" t="b">
        <f>LineærRegression_Valg[[#This Row],[Afhængig variabel ID]]&lt;=$B$5</f>
        <v>0</v>
      </c>
      <c r="F1979" t="str" cm="1">
        <f t="array" ref="F1979">IF(LineærRegression_Valg[[#This Row],[Indenfor range]],INDEX(DataTitel_liste,LineærRegression_Valg[[#This Row],[Afhængig variabel ID]]),INDEX(DataTitel_liste,1))</f>
        <v>Eksempel 1 (interval)</v>
      </c>
      <c r="G1979" s="188" t="str" cm="1">
        <f t="array" ref="G1979">IF(LineærRegression_Valg[[#This Row],[Indenfor range]],IF(LineærRegression_Valg[[#This Row],[Intet overlap]],INDEX(DataTitel_liste,LineærRegression_Valg[[#This Row],[Uafhængig variabel ID]]),INDEX(DataTitel_liste,IF(LineærRegression_Valg[[#This Row],[Afhængig variabel ID]]=1,2,1))),$B$7)</f>
        <v>Eksempel 2 (interval)</v>
      </c>
      <c r="H1979" s="188">
        <f>_xlfn.AGGREGATE(2,5,LineærRegression_Valg[[#This Row],[Tabel ID]])</f>
        <v>1</v>
      </c>
    </row>
    <row r="1980" spans="1:8" x14ac:dyDescent="0.2">
      <c r="A1980">
        <f>ROW(LineærRegression_Valg[[#This Row],[Tabel ID]])-ROW(LineærRegression_Valg[[#Headers],[Tabel ID]])</f>
        <v>1970</v>
      </c>
      <c r="B1980" s="188">
        <f>ROUNDDOWN((LineærRegression_Valg[[#This Row],[Tabel ID]]-1)/$B$5,0)+1</f>
        <v>493</v>
      </c>
      <c r="C1980" s="188">
        <f t="shared" si="30"/>
        <v>2</v>
      </c>
      <c r="D1980" s="188" t="b">
        <f>LineærRegression_Valg[[#This Row],[Afhængig variabel ID]]&lt;&gt;LineærRegression_Valg[[#This Row],[Uafhængig variabel ID]]</f>
        <v>1</v>
      </c>
      <c r="E1980" s="188" t="b">
        <f>LineærRegression_Valg[[#This Row],[Afhængig variabel ID]]&lt;=$B$5</f>
        <v>0</v>
      </c>
      <c r="F1980" t="str" cm="1">
        <f t="array" ref="F1980">IF(LineærRegression_Valg[[#This Row],[Indenfor range]],INDEX(DataTitel_liste,LineærRegression_Valg[[#This Row],[Afhængig variabel ID]]),INDEX(DataTitel_liste,1))</f>
        <v>Eksempel 1 (interval)</v>
      </c>
      <c r="G1980" s="188" t="str" cm="1">
        <f t="array" ref="G1980">IF(LineærRegression_Valg[[#This Row],[Indenfor range]],IF(LineærRegression_Valg[[#This Row],[Intet overlap]],INDEX(DataTitel_liste,LineærRegression_Valg[[#This Row],[Uafhængig variabel ID]]),INDEX(DataTitel_liste,IF(LineærRegression_Valg[[#This Row],[Afhængig variabel ID]]=1,2,1))),$B$7)</f>
        <v>Eksempel 2 (interval)</v>
      </c>
      <c r="H1980" s="188">
        <f>_xlfn.AGGREGATE(2,5,LineærRegression_Valg[[#This Row],[Tabel ID]])</f>
        <v>1</v>
      </c>
    </row>
    <row r="1981" spans="1:8" x14ac:dyDescent="0.2">
      <c r="A1981">
        <f>ROW(LineærRegression_Valg[[#This Row],[Tabel ID]])-ROW(LineærRegression_Valg[[#Headers],[Tabel ID]])</f>
        <v>1971</v>
      </c>
      <c r="B1981" s="188">
        <f>ROUNDDOWN((LineærRegression_Valg[[#This Row],[Tabel ID]]-1)/$B$5,0)+1</f>
        <v>493</v>
      </c>
      <c r="C1981" s="188">
        <f t="shared" si="30"/>
        <v>3</v>
      </c>
      <c r="D1981" s="188" t="b">
        <f>LineærRegression_Valg[[#This Row],[Afhængig variabel ID]]&lt;&gt;LineærRegression_Valg[[#This Row],[Uafhængig variabel ID]]</f>
        <v>1</v>
      </c>
      <c r="E1981" s="188" t="b">
        <f>LineærRegression_Valg[[#This Row],[Afhængig variabel ID]]&lt;=$B$5</f>
        <v>0</v>
      </c>
      <c r="F1981" t="str" cm="1">
        <f t="array" ref="F1981">IF(LineærRegression_Valg[[#This Row],[Indenfor range]],INDEX(DataTitel_liste,LineærRegression_Valg[[#This Row],[Afhængig variabel ID]]),INDEX(DataTitel_liste,1))</f>
        <v>Eksempel 1 (interval)</v>
      </c>
      <c r="G1981" s="188" t="str" cm="1">
        <f t="array" ref="G1981">IF(LineærRegression_Valg[[#This Row],[Indenfor range]],IF(LineærRegression_Valg[[#This Row],[Intet overlap]],INDEX(DataTitel_liste,LineærRegression_Valg[[#This Row],[Uafhængig variabel ID]]),INDEX(DataTitel_liste,IF(LineærRegression_Valg[[#This Row],[Afhængig variabel ID]]=1,2,1))),$B$7)</f>
        <v>Eksempel 2 (interval)</v>
      </c>
      <c r="H1981" s="188">
        <f>_xlfn.AGGREGATE(2,5,LineærRegression_Valg[[#This Row],[Tabel ID]])</f>
        <v>1</v>
      </c>
    </row>
    <row r="1982" spans="1:8" x14ac:dyDescent="0.2">
      <c r="A1982">
        <f>ROW(LineærRegression_Valg[[#This Row],[Tabel ID]])-ROW(LineærRegression_Valg[[#Headers],[Tabel ID]])</f>
        <v>1972</v>
      </c>
      <c r="B1982" s="188">
        <f>ROUNDDOWN((LineærRegression_Valg[[#This Row],[Tabel ID]]-1)/$B$5,0)+1</f>
        <v>493</v>
      </c>
      <c r="C1982" s="188">
        <f t="shared" si="30"/>
        <v>4</v>
      </c>
      <c r="D1982" s="188" t="b">
        <f>LineærRegression_Valg[[#This Row],[Afhængig variabel ID]]&lt;&gt;LineærRegression_Valg[[#This Row],[Uafhængig variabel ID]]</f>
        <v>1</v>
      </c>
      <c r="E1982" s="188" t="b">
        <f>LineærRegression_Valg[[#This Row],[Afhængig variabel ID]]&lt;=$B$5</f>
        <v>0</v>
      </c>
      <c r="F1982" t="str" cm="1">
        <f t="array" ref="F1982">IF(LineærRegression_Valg[[#This Row],[Indenfor range]],INDEX(DataTitel_liste,LineærRegression_Valg[[#This Row],[Afhængig variabel ID]]),INDEX(DataTitel_liste,1))</f>
        <v>Eksempel 1 (interval)</v>
      </c>
      <c r="G1982" s="188" t="str" cm="1">
        <f t="array" ref="G1982">IF(LineærRegression_Valg[[#This Row],[Indenfor range]],IF(LineærRegression_Valg[[#This Row],[Intet overlap]],INDEX(DataTitel_liste,LineærRegression_Valg[[#This Row],[Uafhængig variabel ID]]),INDEX(DataTitel_liste,IF(LineærRegression_Valg[[#This Row],[Afhængig variabel ID]]=1,2,1))),$B$7)</f>
        <v>Eksempel 2 (interval)</v>
      </c>
      <c r="H1982" s="188">
        <f>_xlfn.AGGREGATE(2,5,LineærRegression_Valg[[#This Row],[Tabel ID]])</f>
        <v>1</v>
      </c>
    </row>
    <row r="1983" spans="1:8" x14ac:dyDescent="0.2">
      <c r="A1983">
        <f>ROW(LineærRegression_Valg[[#This Row],[Tabel ID]])-ROW(LineærRegression_Valg[[#Headers],[Tabel ID]])</f>
        <v>1973</v>
      </c>
      <c r="B1983" s="188">
        <f>ROUNDDOWN((LineærRegression_Valg[[#This Row],[Tabel ID]]-1)/$B$5,0)+1</f>
        <v>494</v>
      </c>
      <c r="C1983" s="188">
        <f t="shared" si="30"/>
        <v>1</v>
      </c>
      <c r="D1983" s="188" t="b">
        <f>LineærRegression_Valg[[#This Row],[Afhængig variabel ID]]&lt;&gt;LineærRegression_Valg[[#This Row],[Uafhængig variabel ID]]</f>
        <v>1</v>
      </c>
      <c r="E1983" s="188" t="b">
        <f>LineærRegression_Valg[[#This Row],[Afhængig variabel ID]]&lt;=$B$5</f>
        <v>0</v>
      </c>
      <c r="F1983" t="str" cm="1">
        <f t="array" ref="F1983">IF(LineærRegression_Valg[[#This Row],[Indenfor range]],INDEX(DataTitel_liste,LineærRegression_Valg[[#This Row],[Afhængig variabel ID]]),INDEX(DataTitel_liste,1))</f>
        <v>Eksempel 1 (interval)</v>
      </c>
      <c r="G1983" s="188" t="str" cm="1">
        <f t="array" ref="G1983">IF(LineærRegression_Valg[[#This Row],[Indenfor range]],IF(LineærRegression_Valg[[#This Row],[Intet overlap]],INDEX(DataTitel_liste,LineærRegression_Valg[[#This Row],[Uafhængig variabel ID]]),INDEX(DataTitel_liste,IF(LineærRegression_Valg[[#This Row],[Afhængig variabel ID]]=1,2,1))),$B$7)</f>
        <v>Eksempel 2 (interval)</v>
      </c>
      <c r="H1983" s="188">
        <f>_xlfn.AGGREGATE(2,5,LineærRegression_Valg[[#This Row],[Tabel ID]])</f>
        <v>1</v>
      </c>
    </row>
    <row r="1984" spans="1:8" x14ac:dyDescent="0.2">
      <c r="A1984">
        <f>ROW(LineærRegression_Valg[[#This Row],[Tabel ID]])-ROW(LineærRegression_Valg[[#Headers],[Tabel ID]])</f>
        <v>1974</v>
      </c>
      <c r="B1984" s="188">
        <f>ROUNDDOWN((LineærRegression_Valg[[#This Row],[Tabel ID]]-1)/$B$5,0)+1</f>
        <v>494</v>
      </c>
      <c r="C1984" s="188">
        <f t="shared" si="30"/>
        <v>2</v>
      </c>
      <c r="D1984" s="188" t="b">
        <f>LineærRegression_Valg[[#This Row],[Afhængig variabel ID]]&lt;&gt;LineærRegression_Valg[[#This Row],[Uafhængig variabel ID]]</f>
        <v>1</v>
      </c>
      <c r="E1984" s="188" t="b">
        <f>LineærRegression_Valg[[#This Row],[Afhængig variabel ID]]&lt;=$B$5</f>
        <v>0</v>
      </c>
      <c r="F1984" t="str" cm="1">
        <f t="array" ref="F1984">IF(LineærRegression_Valg[[#This Row],[Indenfor range]],INDEX(DataTitel_liste,LineærRegression_Valg[[#This Row],[Afhængig variabel ID]]),INDEX(DataTitel_liste,1))</f>
        <v>Eksempel 1 (interval)</v>
      </c>
      <c r="G1984" s="188" t="str" cm="1">
        <f t="array" ref="G1984">IF(LineærRegression_Valg[[#This Row],[Indenfor range]],IF(LineærRegression_Valg[[#This Row],[Intet overlap]],INDEX(DataTitel_liste,LineærRegression_Valg[[#This Row],[Uafhængig variabel ID]]),INDEX(DataTitel_liste,IF(LineærRegression_Valg[[#This Row],[Afhængig variabel ID]]=1,2,1))),$B$7)</f>
        <v>Eksempel 2 (interval)</v>
      </c>
      <c r="H1984" s="188">
        <f>_xlfn.AGGREGATE(2,5,LineærRegression_Valg[[#This Row],[Tabel ID]])</f>
        <v>1</v>
      </c>
    </row>
    <row r="1985" spans="1:8" x14ac:dyDescent="0.2">
      <c r="A1985">
        <f>ROW(LineærRegression_Valg[[#This Row],[Tabel ID]])-ROW(LineærRegression_Valg[[#Headers],[Tabel ID]])</f>
        <v>1975</v>
      </c>
      <c r="B1985" s="188">
        <f>ROUNDDOWN((LineærRegression_Valg[[#This Row],[Tabel ID]]-1)/$B$5,0)+1</f>
        <v>494</v>
      </c>
      <c r="C1985" s="188">
        <f t="shared" si="30"/>
        <v>3</v>
      </c>
      <c r="D1985" s="188" t="b">
        <f>LineærRegression_Valg[[#This Row],[Afhængig variabel ID]]&lt;&gt;LineærRegression_Valg[[#This Row],[Uafhængig variabel ID]]</f>
        <v>1</v>
      </c>
      <c r="E1985" s="188" t="b">
        <f>LineærRegression_Valg[[#This Row],[Afhængig variabel ID]]&lt;=$B$5</f>
        <v>0</v>
      </c>
      <c r="F1985" t="str" cm="1">
        <f t="array" ref="F1985">IF(LineærRegression_Valg[[#This Row],[Indenfor range]],INDEX(DataTitel_liste,LineærRegression_Valg[[#This Row],[Afhængig variabel ID]]),INDEX(DataTitel_liste,1))</f>
        <v>Eksempel 1 (interval)</v>
      </c>
      <c r="G1985" s="188" t="str" cm="1">
        <f t="array" ref="G1985">IF(LineærRegression_Valg[[#This Row],[Indenfor range]],IF(LineærRegression_Valg[[#This Row],[Intet overlap]],INDEX(DataTitel_liste,LineærRegression_Valg[[#This Row],[Uafhængig variabel ID]]),INDEX(DataTitel_liste,IF(LineærRegression_Valg[[#This Row],[Afhængig variabel ID]]=1,2,1))),$B$7)</f>
        <v>Eksempel 2 (interval)</v>
      </c>
      <c r="H1985" s="188">
        <f>_xlfn.AGGREGATE(2,5,LineærRegression_Valg[[#This Row],[Tabel ID]])</f>
        <v>1</v>
      </c>
    </row>
    <row r="1986" spans="1:8" x14ac:dyDescent="0.2">
      <c r="A1986">
        <f>ROW(LineærRegression_Valg[[#This Row],[Tabel ID]])-ROW(LineærRegression_Valg[[#Headers],[Tabel ID]])</f>
        <v>1976</v>
      </c>
      <c r="B1986" s="188">
        <f>ROUNDDOWN((LineærRegression_Valg[[#This Row],[Tabel ID]]-1)/$B$5,0)+1</f>
        <v>494</v>
      </c>
      <c r="C1986" s="188">
        <f t="shared" si="30"/>
        <v>4</v>
      </c>
      <c r="D1986" s="188" t="b">
        <f>LineærRegression_Valg[[#This Row],[Afhængig variabel ID]]&lt;&gt;LineærRegression_Valg[[#This Row],[Uafhængig variabel ID]]</f>
        <v>1</v>
      </c>
      <c r="E1986" s="188" t="b">
        <f>LineærRegression_Valg[[#This Row],[Afhængig variabel ID]]&lt;=$B$5</f>
        <v>0</v>
      </c>
      <c r="F1986" t="str" cm="1">
        <f t="array" ref="F1986">IF(LineærRegression_Valg[[#This Row],[Indenfor range]],INDEX(DataTitel_liste,LineærRegression_Valg[[#This Row],[Afhængig variabel ID]]),INDEX(DataTitel_liste,1))</f>
        <v>Eksempel 1 (interval)</v>
      </c>
      <c r="G1986" s="188" t="str" cm="1">
        <f t="array" ref="G1986">IF(LineærRegression_Valg[[#This Row],[Indenfor range]],IF(LineærRegression_Valg[[#This Row],[Intet overlap]],INDEX(DataTitel_liste,LineærRegression_Valg[[#This Row],[Uafhængig variabel ID]]),INDEX(DataTitel_liste,IF(LineærRegression_Valg[[#This Row],[Afhængig variabel ID]]=1,2,1))),$B$7)</f>
        <v>Eksempel 2 (interval)</v>
      </c>
      <c r="H1986" s="188">
        <f>_xlfn.AGGREGATE(2,5,LineærRegression_Valg[[#This Row],[Tabel ID]])</f>
        <v>1</v>
      </c>
    </row>
    <row r="1987" spans="1:8" x14ac:dyDescent="0.2">
      <c r="A1987">
        <f>ROW(LineærRegression_Valg[[#This Row],[Tabel ID]])-ROW(LineærRegression_Valg[[#Headers],[Tabel ID]])</f>
        <v>1977</v>
      </c>
      <c r="B1987" s="188">
        <f>ROUNDDOWN((LineærRegression_Valg[[#This Row],[Tabel ID]]-1)/$B$5,0)+1</f>
        <v>495</v>
      </c>
      <c r="C1987" s="188">
        <f t="shared" si="30"/>
        <v>1</v>
      </c>
      <c r="D1987" s="188" t="b">
        <f>LineærRegression_Valg[[#This Row],[Afhængig variabel ID]]&lt;&gt;LineærRegression_Valg[[#This Row],[Uafhængig variabel ID]]</f>
        <v>1</v>
      </c>
      <c r="E1987" s="188" t="b">
        <f>LineærRegression_Valg[[#This Row],[Afhængig variabel ID]]&lt;=$B$5</f>
        <v>0</v>
      </c>
      <c r="F1987" t="str" cm="1">
        <f t="array" ref="F1987">IF(LineærRegression_Valg[[#This Row],[Indenfor range]],INDEX(DataTitel_liste,LineærRegression_Valg[[#This Row],[Afhængig variabel ID]]),INDEX(DataTitel_liste,1))</f>
        <v>Eksempel 1 (interval)</v>
      </c>
      <c r="G1987" s="188" t="str" cm="1">
        <f t="array" ref="G1987">IF(LineærRegression_Valg[[#This Row],[Indenfor range]],IF(LineærRegression_Valg[[#This Row],[Intet overlap]],INDEX(DataTitel_liste,LineærRegression_Valg[[#This Row],[Uafhængig variabel ID]]),INDEX(DataTitel_liste,IF(LineærRegression_Valg[[#This Row],[Afhængig variabel ID]]=1,2,1))),$B$7)</f>
        <v>Eksempel 2 (interval)</v>
      </c>
      <c r="H1987" s="188">
        <f>_xlfn.AGGREGATE(2,5,LineærRegression_Valg[[#This Row],[Tabel ID]])</f>
        <v>1</v>
      </c>
    </row>
    <row r="1988" spans="1:8" x14ac:dyDescent="0.2">
      <c r="A1988">
        <f>ROW(LineærRegression_Valg[[#This Row],[Tabel ID]])-ROW(LineærRegression_Valg[[#Headers],[Tabel ID]])</f>
        <v>1978</v>
      </c>
      <c r="B1988" s="188">
        <f>ROUNDDOWN((LineærRegression_Valg[[#This Row],[Tabel ID]]-1)/$B$5,0)+1</f>
        <v>495</v>
      </c>
      <c r="C1988" s="188">
        <f t="shared" si="30"/>
        <v>2</v>
      </c>
      <c r="D1988" s="188" t="b">
        <f>LineærRegression_Valg[[#This Row],[Afhængig variabel ID]]&lt;&gt;LineærRegression_Valg[[#This Row],[Uafhængig variabel ID]]</f>
        <v>1</v>
      </c>
      <c r="E1988" s="188" t="b">
        <f>LineærRegression_Valg[[#This Row],[Afhængig variabel ID]]&lt;=$B$5</f>
        <v>0</v>
      </c>
      <c r="F1988" t="str" cm="1">
        <f t="array" ref="F1988">IF(LineærRegression_Valg[[#This Row],[Indenfor range]],INDEX(DataTitel_liste,LineærRegression_Valg[[#This Row],[Afhængig variabel ID]]),INDEX(DataTitel_liste,1))</f>
        <v>Eksempel 1 (interval)</v>
      </c>
      <c r="G1988" s="188" t="str" cm="1">
        <f t="array" ref="G1988">IF(LineærRegression_Valg[[#This Row],[Indenfor range]],IF(LineærRegression_Valg[[#This Row],[Intet overlap]],INDEX(DataTitel_liste,LineærRegression_Valg[[#This Row],[Uafhængig variabel ID]]),INDEX(DataTitel_liste,IF(LineærRegression_Valg[[#This Row],[Afhængig variabel ID]]=1,2,1))),$B$7)</f>
        <v>Eksempel 2 (interval)</v>
      </c>
      <c r="H1988" s="188">
        <f>_xlfn.AGGREGATE(2,5,LineærRegression_Valg[[#This Row],[Tabel ID]])</f>
        <v>1</v>
      </c>
    </row>
    <row r="1989" spans="1:8" x14ac:dyDescent="0.2">
      <c r="A1989">
        <f>ROW(LineærRegression_Valg[[#This Row],[Tabel ID]])-ROW(LineærRegression_Valg[[#Headers],[Tabel ID]])</f>
        <v>1979</v>
      </c>
      <c r="B1989" s="188">
        <f>ROUNDDOWN((LineærRegression_Valg[[#This Row],[Tabel ID]]-1)/$B$5,0)+1</f>
        <v>495</v>
      </c>
      <c r="C1989" s="188">
        <f t="shared" si="30"/>
        <v>3</v>
      </c>
      <c r="D1989" s="188" t="b">
        <f>LineærRegression_Valg[[#This Row],[Afhængig variabel ID]]&lt;&gt;LineærRegression_Valg[[#This Row],[Uafhængig variabel ID]]</f>
        <v>1</v>
      </c>
      <c r="E1989" s="188" t="b">
        <f>LineærRegression_Valg[[#This Row],[Afhængig variabel ID]]&lt;=$B$5</f>
        <v>0</v>
      </c>
      <c r="F1989" t="str" cm="1">
        <f t="array" ref="F1989">IF(LineærRegression_Valg[[#This Row],[Indenfor range]],INDEX(DataTitel_liste,LineærRegression_Valg[[#This Row],[Afhængig variabel ID]]),INDEX(DataTitel_liste,1))</f>
        <v>Eksempel 1 (interval)</v>
      </c>
      <c r="G1989" s="188" t="str" cm="1">
        <f t="array" ref="G1989">IF(LineærRegression_Valg[[#This Row],[Indenfor range]],IF(LineærRegression_Valg[[#This Row],[Intet overlap]],INDEX(DataTitel_liste,LineærRegression_Valg[[#This Row],[Uafhængig variabel ID]]),INDEX(DataTitel_liste,IF(LineærRegression_Valg[[#This Row],[Afhængig variabel ID]]=1,2,1))),$B$7)</f>
        <v>Eksempel 2 (interval)</v>
      </c>
      <c r="H1989" s="188">
        <f>_xlfn.AGGREGATE(2,5,LineærRegression_Valg[[#This Row],[Tabel ID]])</f>
        <v>1</v>
      </c>
    </row>
    <row r="1990" spans="1:8" x14ac:dyDescent="0.2">
      <c r="A1990">
        <f>ROW(LineærRegression_Valg[[#This Row],[Tabel ID]])-ROW(LineærRegression_Valg[[#Headers],[Tabel ID]])</f>
        <v>1980</v>
      </c>
      <c r="B1990" s="188">
        <f>ROUNDDOWN((LineærRegression_Valg[[#This Row],[Tabel ID]]-1)/$B$5,0)+1</f>
        <v>495</v>
      </c>
      <c r="C1990" s="188">
        <f t="shared" si="30"/>
        <v>4</v>
      </c>
      <c r="D1990" s="188" t="b">
        <f>LineærRegression_Valg[[#This Row],[Afhængig variabel ID]]&lt;&gt;LineærRegression_Valg[[#This Row],[Uafhængig variabel ID]]</f>
        <v>1</v>
      </c>
      <c r="E1990" s="188" t="b">
        <f>LineærRegression_Valg[[#This Row],[Afhængig variabel ID]]&lt;=$B$5</f>
        <v>0</v>
      </c>
      <c r="F1990" t="str" cm="1">
        <f t="array" ref="F1990">IF(LineærRegression_Valg[[#This Row],[Indenfor range]],INDEX(DataTitel_liste,LineærRegression_Valg[[#This Row],[Afhængig variabel ID]]),INDEX(DataTitel_liste,1))</f>
        <v>Eksempel 1 (interval)</v>
      </c>
      <c r="G1990" s="188" t="str" cm="1">
        <f t="array" ref="G1990">IF(LineærRegression_Valg[[#This Row],[Indenfor range]],IF(LineærRegression_Valg[[#This Row],[Intet overlap]],INDEX(DataTitel_liste,LineærRegression_Valg[[#This Row],[Uafhængig variabel ID]]),INDEX(DataTitel_liste,IF(LineærRegression_Valg[[#This Row],[Afhængig variabel ID]]=1,2,1))),$B$7)</f>
        <v>Eksempel 2 (interval)</v>
      </c>
      <c r="H1990" s="188">
        <f>_xlfn.AGGREGATE(2,5,LineærRegression_Valg[[#This Row],[Tabel ID]])</f>
        <v>1</v>
      </c>
    </row>
    <row r="1991" spans="1:8" x14ac:dyDescent="0.2">
      <c r="A1991">
        <f>ROW(LineærRegression_Valg[[#This Row],[Tabel ID]])-ROW(LineærRegression_Valg[[#Headers],[Tabel ID]])</f>
        <v>1981</v>
      </c>
      <c r="B1991" s="188">
        <f>ROUNDDOWN((LineærRegression_Valg[[#This Row],[Tabel ID]]-1)/$B$5,0)+1</f>
        <v>496</v>
      </c>
      <c r="C1991" s="188">
        <f t="shared" si="30"/>
        <v>1</v>
      </c>
      <c r="D1991" s="188" t="b">
        <f>LineærRegression_Valg[[#This Row],[Afhængig variabel ID]]&lt;&gt;LineærRegression_Valg[[#This Row],[Uafhængig variabel ID]]</f>
        <v>1</v>
      </c>
      <c r="E1991" s="188" t="b">
        <f>LineærRegression_Valg[[#This Row],[Afhængig variabel ID]]&lt;=$B$5</f>
        <v>0</v>
      </c>
      <c r="F1991" t="str" cm="1">
        <f t="array" ref="F1991">IF(LineærRegression_Valg[[#This Row],[Indenfor range]],INDEX(DataTitel_liste,LineærRegression_Valg[[#This Row],[Afhængig variabel ID]]),INDEX(DataTitel_liste,1))</f>
        <v>Eksempel 1 (interval)</v>
      </c>
      <c r="G1991" s="188" t="str" cm="1">
        <f t="array" ref="G1991">IF(LineærRegression_Valg[[#This Row],[Indenfor range]],IF(LineærRegression_Valg[[#This Row],[Intet overlap]],INDEX(DataTitel_liste,LineærRegression_Valg[[#This Row],[Uafhængig variabel ID]]),INDEX(DataTitel_liste,IF(LineærRegression_Valg[[#This Row],[Afhængig variabel ID]]=1,2,1))),$B$7)</f>
        <v>Eksempel 2 (interval)</v>
      </c>
      <c r="H1991" s="188">
        <f>_xlfn.AGGREGATE(2,5,LineærRegression_Valg[[#This Row],[Tabel ID]])</f>
        <v>1</v>
      </c>
    </row>
    <row r="1992" spans="1:8" x14ac:dyDescent="0.2">
      <c r="A1992">
        <f>ROW(LineærRegression_Valg[[#This Row],[Tabel ID]])-ROW(LineærRegression_Valg[[#Headers],[Tabel ID]])</f>
        <v>1982</v>
      </c>
      <c r="B1992" s="188">
        <f>ROUNDDOWN((LineærRegression_Valg[[#This Row],[Tabel ID]]-1)/$B$5,0)+1</f>
        <v>496</v>
      </c>
      <c r="C1992" s="188">
        <f t="shared" si="30"/>
        <v>2</v>
      </c>
      <c r="D1992" s="188" t="b">
        <f>LineærRegression_Valg[[#This Row],[Afhængig variabel ID]]&lt;&gt;LineærRegression_Valg[[#This Row],[Uafhængig variabel ID]]</f>
        <v>1</v>
      </c>
      <c r="E1992" s="188" t="b">
        <f>LineærRegression_Valg[[#This Row],[Afhængig variabel ID]]&lt;=$B$5</f>
        <v>0</v>
      </c>
      <c r="F1992" t="str" cm="1">
        <f t="array" ref="F1992">IF(LineærRegression_Valg[[#This Row],[Indenfor range]],INDEX(DataTitel_liste,LineærRegression_Valg[[#This Row],[Afhængig variabel ID]]),INDEX(DataTitel_liste,1))</f>
        <v>Eksempel 1 (interval)</v>
      </c>
      <c r="G1992" s="188" t="str" cm="1">
        <f t="array" ref="G1992">IF(LineærRegression_Valg[[#This Row],[Indenfor range]],IF(LineærRegression_Valg[[#This Row],[Intet overlap]],INDEX(DataTitel_liste,LineærRegression_Valg[[#This Row],[Uafhængig variabel ID]]),INDEX(DataTitel_liste,IF(LineærRegression_Valg[[#This Row],[Afhængig variabel ID]]=1,2,1))),$B$7)</f>
        <v>Eksempel 2 (interval)</v>
      </c>
      <c r="H1992" s="188">
        <f>_xlfn.AGGREGATE(2,5,LineærRegression_Valg[[#This Row],[Tabel ID]])</f>
        <v>1</v>
      </c>
    </row>
    <row r="1993" spans="1:8" x14ac:dyDescent="0.2">
      <c r="A1993">
        <f>ROW(LineærRegression_Valg[[#This Row],[Tabel ID]])-ROW(LineærRegression_Valg[[#Headers],[Tabel ID]])</f>
        <v>1983</v>
      </c>
      <c r="B1993" s="188">
        <f>ROUNDDOWN((LineærRegression_Valg[[#This Row],[Tabel ID]]-1)/$B$5,0)+1</f>
        <v>496</v>
      </c>
      <c r="C1993" s="188">
        <f t="shared" si="30"/>
        <v>3</v>
      </c>
      <c r="D1993" s="188" t="b">
        <f>LineærRegression_Valg[[#This Row],[Afhængig variabel ID]]&lt;&gt;LineærRegression_Valg[[#This Row],[Uafhængig variabel ID]]</f>
        <v>1</v>
      </c>
      <c r="E1993" s="188" t="b">
        <f>LineærRegression_Valg[[#This Row],[Afhængig variabel ID]]&lt;=$B$5</f>
        <v>0</v>
      </c>
      <c r="F1993" t="str" cm="1">
        <f t="array" ref="F1993">IF(LineærRegression_Valg[[#This Row],[Indenfor range]],INDEX(DataTitel_liste,LineærRegression_Valg[[#This Row],[Afhængig variabel ID]]),INDEX(DataTitel_liste,1))</f>
        <v>Eksempel 1 (interval)</v>
      </c>
      <c r="G1993" s="188" t="str" cm="1">
        <f t="array" ref="G1993">IF(LineærRegression_Valg[[#This Row],[Indenfor range]],IF(LineærRegression_Valg[[#This Row],[Intet overlap]],INDEX(DataTitel_liste,LineærRegression_Valg[[#This Row],[Uafhængig variabel ID]]),INDEX(DataTitel_liste,IF(LineærRegression_Valg[[#This Row],[Afhængig variabel ID]]=1,2,1))),$B$7)</f>
        <v>Eksempel 2 (interval)</v>
      </c>
      <c r="H1993" s="188">
        <f>_xlfn.AGGREGATE(2,5,LineærRegression_Valg[[#This Row],[Tabel ID]])</f>
        <v>1</v>
      </c>
    </row>
    <row r="1994" spans="1:8" x14ac:dyDescent="0.2">
      <c r="A1994">
        <f>ROW(LineærRegression_Valg[[#This Row],[Tabel ID]])-ROW(LineærRegression_Valg[[#Headers],[Tabel ID]])</f>
        <v>1984</v>
      </c>
      <c r="B1994" s="188">
        <f>ROUNDDOWN((LineærRegression_Valg[[#This Row],[Tabel ID]]-1)/$B$5,0)+1</f>
        <v>496</v>
      </c>
      <c r="C1994" s="188">
        <f t="shared" si="30"/>
        <v>4</v>
      </c>
      <c r="D1994" s="188" t="b">
        <f>LineærRegression_Valg[[#This Row],[Afhængig variabel ID]]&lt;&gt;LineærRegression_Valg[[#This Row],[Uafhængig variabel ID]]</f>
        <v>1</v>
      </c>
      <c r="E1994" s="188" t="b">
        <f>LineærRegression_Valg[[#This Row],[Afhængig variabel ID]]&lt;=$B$5</f>
        <v>0</v>
      </c>
      <c r="F1994" t="str" cm="1">
        <f t="array" ref="F1994">IF(LineærRegression_Valg[[#This Row],[Indenfor range]],INDEX(DataTitel_liste,LineærRegression_Valg[[#This Row],[Afhængig variabel ID]]),INDEX(DataTitel_liste,1))</f>
        <v>Eksempel 1 (interval)</v>
      </c>
      <c r="G1994" s="188" t="str" cm="1">
        <f t="array" ref="G1994">IF(LineærRegression_Valg[[#This Row],[Indenfor range]],IF(LineærRegression_Valg[[#This Row],[Intet overlap]],INDEX(DataTitel_liste,LineærRegression_Valg[[#This Row],[Uafhængig variabel ID]]),INDEX(DataTitel_liste,IF(LineærRegression_Valg[[#This Row],[Afhængig variabel ID]]=1,2,1))),$B$7)</f>
        <v>Eksempel 2 (interval)</v>
      </c>
      <c r="H1994" s="188">
        <f>_xlfn.AGGREGATE(2,5,LineærRegression_Valg[[#This Row],[Tabel ID]])</f>
        <v>1</v>
      </c>
    </row>
    <row r="1995" spans="1:8" x14ac:dyDescent="0.2">
      <c r="A1995">
        <f>ROW(LineærRegression_Valg[[#This Row],[Tabel ID]])-ROW(LineærRegression_Valg[[#Headers],[Tabel ID]])</f>
        <v>1985</v>
      </c>
      <c r="B1995" s="188">
        <f>ROUNDDOWN((LineærRegression_Valg[[#This Row],[Tabel ID]]-1)/$B$5,0)+1</f>
        <v>497</v>
      </c>
      <c r="C1995" s="188">
        <f t="shared" ref="C1995:C2058" si="31">MOD(A1995-1,$B$5)+1</f>
        <v>1</v>
      </c>
      <c r="D1995" s="188" t="b">
        <f>LineærRegression_Valg[[#This Row],[Afhængig variabel ID]]&lt;&gt;LineærRegression_Valg[[#This Row],[Uafhængig variabel ID]]</f>
        <v>1</v>
      </c>
      <c r="E1995" s="188" t="b">
        <f>LineærRegression_Valg[[#This Row],[Afhængig variabel ID]]&lt;=$B$5</f>
        <v>0</v>
      </c>
      <c r="F1995" t="str" cm="1">
        <f t="array" ref="F1995">IF(LineærRegression_Valg[[#This Row],[Indenfor range]],INDEX(DataTitel_liste,LineærRegression_Valg[[#This Row],[Afhængig variabel ID]]),INDEX(DataTitel_liste,1))</f>
        <v>Eksempel 1 (interval)</v>
      </c>
      <c r="G1995" s="188" t="str" cm="1">
        <f t="array" ref="G1995">IF(LineærRegression_Valg[[#This Row],[Indenfor range]],IF(LineærRegression_Valg[[#This Row],[Intet overlap]],INDEX(DataTitel_liste,LineærRegression_Valg[[#This Row],[Uafhængig variabel ID]]),INDEX(DataTitel_liste,IF(LineærRegression_Valg[[#This Row],[Afhængig variabel ID]]=1,2,1))),$B$7)</f>
        <v>Eksempel 2 (interval)</v>
      </c>
      <c r="H1995" s="188">
        <f>_xlfn.AGGREGATE(2,5,LineærRegression_Valg[[#This Row],[Tabel ID]])</f>
        <v>1</v>
      </c>
    </row>
    <row r="1996" spans="1:8" x14ac:dyDescent="0.2">
      <c r="A1996">
        <f>ROW(LineærRegression_Valg[[#This Row],[Tabel ID]])-ROW(LineærRegression_Valg[[#Headers],[Tabel ID]])</f>
        <v>1986</v>
      </c>
      <c r="B1996" s="188">
        <f>ROUNDDOWN((LineærRegression_Valg[[#This Row],[Tabel ID]]-1)/$B$5,0)+1</f>
        <v>497</v>
      </c>
      <c r="C1996" s="188">
        <f t="shared" si="31"/>
        <v>2</v>
      </c>
      <c r="D1996" s="188" t="b">
        <f>LineærRegression_Valg[[#This Row],[Afhængig variabel ID]]&lt;&gt;LineærRegression_Valg[[#This Row],[Uafhængig variabel ID]]</f>
        <v>1</v>
      </c>
      <c r="E1996" s="188" t="b">
        <f>LineærRegression_Valg[[#This Row],[Afhængig variabel ID]]&lt;=$B$5</f>
        <v>0</v>
      </c>
      <c r="F1996" t="str" cm="1">
        <f t="array" ref="F1996">IF(LineærRegression_Valg[[#This Row],[Indenfor range]],INDEX(DataTitel_liste,LineærRegression_Valg[[#This Row],[Afhængig variabel ID]]),INDEX(DataTitel_liste,1))</f>
        <v>Eksempel 1 (interval)</v>
      </c>
      <c r="G1996" s="188" t="str" cm="1">
        <f t="array" ref="G1996">IF(LineærRegression_Valg[[#This Row],[Indenfor range]],IF(LineærRegression_Valg[[#This Row],[Intet overlap]],INDEX(DataTitel_liste,LineærRegression_Valg[[#This Row],[Uafhængig variabel ID]]),INDEX(DataTitel_liste,IF(LineærRegression_Valg[[#This Row],[Afhængig variabel ID]]=1,2,1))),$B$7)</f>
        <v>Eksempel 2 (interval)</v>
      </c>
      <c r="H1996" s="188">
        <f>_xlfn.AGGREGATE(2,5,LineærRegression_Valg[[#This Row],[Tabel ID]])</f>
        <v>1</v>
      </c>
    </row>
    <row r="1997" spans="1:8" x14ac:dyDescent="0.2">
      <c r="A1997">
        <f>ROW(LineærRegression_Valg[[#This Row],[Tabel ID]])-ROW(LineærRegression_Valg[[#Headers],[Tabel ID]])</f>
        <v>1987</v>
      </c>
      <c r="B1997" s="188">
        <f>ROUNDDOWN((LineærRegression_Valg[[#This Row],[Tabel ID]]-1)/$B$5,0)+1</f>
        <v>497</v>
      </c>
      <c r="C1997" s="188">
        <f t="shared" si="31"/>
        <v>3</v>
      </c>
      <c r="D1997" s="188" t="b">
        <f>LineærRegression_Valg[[#This Row],[Afhængig variabel ID]]&lt;&gt;LineærRegression_Valg[[#This Row],[Uafhængig variabel ID]]</f>
        <v>1</v>
      </c>
      <c r="E1997" s="188" t="b">
        <f>LineærRegression_Valg[[#This Row],[Afhængig variabel ID]]&lt;=$B$5</f>
        <v>0</v>
      </c>
      <c r="F1997" t="str" cm="1">
        <f t="array" ref="F1997">IF(LineærRegression_Valg[[#This Row],[Indenfor range]],INDEX(DataTitel_liste,LineærRegression_Valg[[#This Row],[Afhængig variabel ID]]),INDEX(DataTitel_liste,1))</f>
        <v>Eksempel 1 (interval)</v>
      </c>
      <c r="G1997" s="188" t="str" cm="1">
        <f t="array" ref="G1997">IF(LineærRegression_Valg[[#This Row],[Indenfor range]],IF(LineærRegression_Valg[[#This Row],[Intet overlap]],INDEX(DataTitel_liste,LineærRegression_Valg[[#This Row],[Uafhængig variabel ID]]),INDEX(DataTitel_liste,IF(LineærRegression_Valg[[#This Row],[Afhængig variabel ID]]=1,2,1))),$B$7)</f>
        <v>Eksempel 2 (interval)</v>
      </c>
      <c r="H1997" s="188">
        <f>_xlfn.AGGREGATE(2,5,LineærRegression_Valg[[#This Row],[Tabel ID]])</f>
        <v>1</v>
      </c>
    </row>
    <row r="1998" spans="1:8" x14ac:dyDescent="0.2">
      <c r="A1998">
        <f>ROW(LineærRegression_Valg[[#This Row],[Tabel ID]])-ROW(LineærRegression_Valg[[#Headers],[Tabel ID]])</f>
        <v>1988</v>
      </c>
      <c r="B1998" s="188">
        <f>ROUNDDOWN((LineærRegression_Valg[[#This Row],[Tabel ID]]-1)/$B$5,0)+1</f>
        <v>497</v>
      </c>
      <c r="C1998" s="188">
        <f t="shared" si="31"/>
        <v>4</v>
      </c>
      <c r="D1998" s="188" t="b">
        <f>LineærRegression_Valg[[#This Row],[Afhængig variabel ID]]&lt;&gt;LineærRegression_Valg[[#This Row],[Uafhængig variabel ID]]</f>
        <v>1</v>
      </c>
      <c r="E1998" s="188" t="b">
        <f>LineærRegression_Valg[[#This Row],[Afhængig variabel ID]]&lt;=$B$5</f>
        <v>0</v>
      </c>
      <c r="F1998" t="str" cm="1">
        <f t="array" ref="F1998">IF(LineærRegression_Valg[[#This Row],[Indenfor range]],INDEX(DataTitel_liste,LineærRegression_Valg[[#This Row],[Afhængig variabel ID]]),INDEX(DataTitel_liste,1))</f>
        <v>Eksempel 1 (interval)</v>
      </c>
      <c r="G1998" s="188" t="str" cm="1">
        <f t="array" ref="G1998">IF(LineærRegression_Valg[[#This Row],[Indenfor range]],IF(LineærRegression_Valg[[#This Row],[Intet overlap]],INDEX(DataTitel_liste,LineærRegression_Valg[[#This Row],[Uafhængig variabel ID]]),INDEX(DataTitel_liste,IF(LineærRegression_Valg[[#This Row],[Afhængig variabel ID]]=1,2,1))),$B$7)</f>
        <v>Eksempel 2 (interval)</v>
      </c>
      <c r="H1998" s="188">
        <f>_xlfn.AGGREGATE(2,5,LineærRegression_Valg[[#This Row],[Tabel ID]])</f>
        <v>1</v>
      </c>
    </row>
    <row r="1999" spans="1:8" x14ac:dyDescent="0.2">
      <c r="A1999">
        <f>ROW(LineærRegression_Valg[[#This Row],[Tabel ID]])-ROW(LineærRegression_Valg[[#Headers],[Tabel ID]])</f>
        <v>1989</v>
      </c>
      <c r="B1999" s="188">
        <f>ROUNDDOWN((LineærRegression_Valg[[#This Row],[Tabel ID]]-1)/$B$5,0)+1</f>
        <v>498</v>
      </c>
      <c r="C1999" s="188">
        <f t="shared" si="31"/>
        <v>1</v>
      </c>
      <c r="D1999" s="188" t="b">
        <f>LineærRegression_Valg[[#This Row],[Afhængig variabel ID]]&lt;&gt;LineærRegression_Valg[[#This Row],[Uafhængig variabel ID]]</f>
        <v>1</v>
      </c>
      <c r="E1999" s="188" t="b">
        <f>LineærRegression_Valg[[#This Row],[Afhængig variabel ID]]&lt;=$B$5</f>
        <v>0</v>
      </c>
      <c r="F1999" t="str" cm="1">
        <f t="array" ref="F1999">IF(LineærRegression_Valg[[#This Row],[Indenfor range]],INDEX(DataTitel_liste,LineærRegression_Valg[[#This Row],[Afhængig variabel ID]]),INDEX(DataTitel_liste,1))</f>
        <v>Eksempel 1 (interval)</v>
      </c>
      <c r="G1999" s="188" t="str" cm="1">
        <f t="array" ref="G1999">IF(LineærRegression_Valg[[#This Row],[Indenfor range]],IF(LineærRegression_Valg[[#This Row],[Intet overlap]],INDEX(DataTitel_liste,LineærRegression_Valg[[#This Row],[Uafhængig variabel ID]]),INDEX(DataTitel_liste,IF(LineærRegression_Valg[[#This Row],[Afhængig variabel ID]]=1,2,1))),$B$7)</f>
        <v>Eksempel 2 (interval)</v>
      </c>
      <c r="H1999" s="188">
        <f>_xlfn.AGGREGATE(2,5,LineærRegression_Valg[[#This Row],[Tabel ID]])</f>
        <v>1</v>
      </c>
    </row>
    <row r="2000" spans="1:8" x14ac:dyDescent="0.2">
      <c r="A2000">
        <f>ROW(LineærRegression_Valg[[#This Row],[Tabel ID]])-ROW(LineærRegression_Valg[[#Headers],[Tabel ID]])</f>
        <v>1990</v>
      </c>
      <c r="B2000" s="188">
        <f>ROUNDDOWN((LineærRegression_Valg[[#This Row],[Tabel ID]]-1)/$B$5,0)+1</f>
        <v>498</v>
      </c>
      <c r="C2000" s="188">
        <f t="shared" si="31"/>
        <v>2</v>
      </c>
      <c r="D2000" s="188" t="b">
        <f>LineærRegression_Valg[[#This Row],[Afhængig variabel ID]]&lt;&gt;LineærRegression_Valg[[#This Row],[Uafhængig variabel ID]]</f>
        <v>1</v>
      </c>
      <c r="E2000" s="188" t="b">
        <f>LineærRegression_Valg[[#This Row],[Afhængig variabel ID]]&lt;=$B$5</f>
        <v>0</v>
      </c>
      <c r="F2000" t="str" cm="1">
        <f t="array" ref="F2000">IF(LineærRegression_Valg[[#This Row],[Indenfor range]],INDEX(DataTitel_liste,LineærRegression_Valg[[#This Row],[Afhængig variabel ID]]),INDEX(DataTitel_liste,1))</f>
        <v>Eksempel 1 (interval)</v>
      </c>
      <c r="G2000" s="188" t="str" cm="1">
        <f t="array" ref="G2000">IF(LineærRegression_Valg[[#This Row],[Indenfor range]],IF(LineærRegression_Valg[[#This Row],[Intet overlap]],INDEX(DataTitel_liste,LineærRegression_Valg[[#This Row],[Uafhængig variabel ID]]),INDEX(DataTitel_liste,IF(LineærRegression_Valg[[#This Row],[Afhængig variabel ID]]=1,2,1))),$B$7)</f>
        <v>Eksempel 2 (interval)</v>
      </c>
      <c r="H2000" s="188">
        <f>_xlfn.AGGREGATE(2,5,LineærRegression_Valg[[#This Row],[Tabel ID]])</f>
        <v>1</v>
      </c>
    </row>
    <row r="2001" spans="1:8" x14ac:dyDescent="0.2">
      <c r="A2001">
        <f>ROW(LineærRegression_Valg[[#This Row],[Tabel ID]])-ROW(LineærRegression_Valg[[#Headers],[Tabel ID]])</f>
        <v>1991</v>
      </c>
      <c r="B2001" s="188">
        <f>ROUNDDOWN((LineærRegression_Valg[[#This Row],[Tabel ID]]-1)/$B$5,0)+1</f>
        <v>498</v>
      </c>
      <c r="C2001" s="188">
        <f t="shared" si="31"/>
        <v>3</v>
      </c>
      <c r="D2001" s="188" t="b">
        <f>LineærRegression_Valg[[#This Row],[Afhængig variabel ID]]&lt;&gt;LineærRegression_Valg[[#This Row],[Uafhængig variabel ID]]</f>
        <v>1</v>
      </c>
      <c r="E2001" s="188" t="b">
        <f>LineærRegression_Valg[[#This Row],[Afhængig variabel ID]]&lt;=$B$5</f>
        <v>0</v>
      </c>
      <c r="F2001" t="str" cm="1">
        <f t="array" ref="F2001">IF(LineærRegression_Valg[[#This Row],[Indenfor range]],INDEX(DataTitel_liste,LineærRegression_Valg[[#This Row],[Afhængig variabel ID]]),INDEX(DataTitel_liste,1))</f>
        <v>Eksempel 1 (interval)</v>
      </c>
      <c r="G2001" s="188" t="str" cm="1">
        <f t="array" ref="G2001">IF(LineærRegression_Valg[[#This Row],[Indenfor range]],IF(LineærRegression_Valg[[#This Row],[Intet overlap]],INDEX(DataTitel_liste,LineærRegression_Valg[[#This Row],[Uafhængig variabel ID]]),INDEX(DataTitel_liste,IF(LineærRegression_Valg[[#This Row],[Afhængig variabel ID]]=1,2,1))),$B$7)</f>
        <v>Eksempel 2 (interval)</v>
      </c>
      <c r="H2001" s="188">
        <f>_xlfn.AGGREGATE(2,5,LineærRegression_Valg[[#This Row],[Tabel ID]])</f>
        <v>1</v>
      </c>
    </row>
    <row r="2002" spans="1:8" x14ac:dyDescent="0.2">
      <c r="A2002">
        <f>ROW(LineærRegression_Valg[[#This Row],[Tabel ID]])-ROW(LineærRegression_Valg[[#Headers],[Tabel ID]])</f>
        <v>1992</v>
      </c>
      <c r="B2002" s="188">
        <f>ROUNDDOWN((LineærRegression_Valg[[#This Row],[Tabel ID]]-1)/$B$5,0)+1</f>
        <v>498</v>
      </c>
      <c r="C2002" s="188">
        <f t="shared" si="31"/>
        <v>4</v>
      </c>
      <c r="D2002" s="188" t="b">
        <f>LineærRegression_Valg[[#This Row],[Afhængig variabel ID]]&lt;&gt;LineærRegression_Valg[[#This Row],[Uafhængig variabel ID]]</f>
        <v>1</v>
      </c>
      <c r="E2002" s="188" t="b">
        <f>LineærRegression_Valg[[#This Row],[Afhængig variabel ID]]&lt;=$B$5</f>
        <v>0</v>
      </c>
      <c r="F2002" t="str" cm="1">
        <f t="array" ref="F2002">IF(LineærRegression_Valg[[#This Row],[Indenfor range]],INDEX(DataTitel_liste,LineærRegression_Valg[[#This Row],[Afhængig variabel ID]]),INDEX(DataTitel_liste,1))</f>
        <v>Eksempel 1 (interval)</v>
      </c>
      <c r="G2002" s="188" t="str" cm="1">
        <f t="array" ref="G2002">IF(LineærRegression_Valg[[#This Row],[Indenfor range]],IF(LineærRegression_Valg[[#This Row],[Intet overlap]],INDEX(DataTitel_liste,LineærRegression_Valg[[#This Row],[Uafhængig variabel ID]]),INDEX(DataTitel_liste,IF(LineærRegression_Valg[[#This Row],[Afhængig variabel ID]]=1,2,1))),$B$7)</f>
        <v>Eksempel 2 (interval)</v>
      </c>
      <c r="H2002" s="188">
        <f>_xlfn.AGGREGATE(2,5,LineærRegression_Valg[[#This Row],[Tabel ID]])</f>
        <v>1</v>
      </c>
    </row>
    <row r="2003" spans="1:8" x14ac:dyDescent="0.2">
      <c r="A2003">
        <f>ROW(LineærRegression_Valg[[#This Row],[Tabel ID]])-ROW(LineærRegression_Valg[[#Headers],[Tabel ID]])</f>
        <v>1993</v>
      </c>
      <c r="B2003" s="188">
        <f>ROUNDDOWN((LineærRegression_Valg[[#This Row],[Tabel ID]]-1)/$B$5,0)+1</f>
        <v>499</v>
      </c>
      <c r="C2003" s="188">
        <f t="shared" si="31"/>
        <v>1</v>
      </c>
      <c r="D2003" s="188" t="b">
        <f>LineærRegression_Valg[[#This Row],[Afhængig variabel ID]]&lt;&gt;LineærRegression_Valg[[#This Row],[Uafhængig variabel ID]]</f>
        <v>1</v>
      </c>
      <c r="E2003" s="188" t="b">
        <f>LineærRegression_Valg[[#This Row],[Afhængig variabel ID]]&lt;=$B$5</f>
        <v>0</v>
      </c>
      <c r="F2003" t="str" cm="1">
        <f t="array" ref="F2003">IF(LineærRegression_Valg[[#This Row],[Indenfor range]],INDEX(DataTitel_liste,LineærRegression_Valg[[#This Row],[Afhængig variabel ID]]),INDEX(DataTitel_liste,1))</f>
        <v>Eksempel 1 (interval)</v>
      </c>
      <c r="G2003" s="188" t="str" cm="1">
        <f t="array" ref="G2003">IF(LineærRegression_Valg[[#This Row],[Indenfor range]],IF(LineærRegression_Valg[[#This Row],[Intet overlap]],INDEX(DataTitel_liste,LineærRegression_Valg[[#This Row],[Uafhængig variabel ID]]),INDEX(DataTitel_liste,IF(LineærRegression_Valg[[#This Row],[Afhængig variabel ID]]=1,2,1))),$B$7)</f>
        <v>Eksempel 2 (interval)</v>
      </c>
      <c r="H2003" s="188">
        <f>_xlfn.AGGREGATE(2,5,LineærRegression_Valg[[#This Row],[Tabel ID]])</f>
        <v>1</v>
      </c>
    </row>
    <row r="2004" spans="1:8" x14ac:dyDescent="0.2">
      <c r="A2004">
        <f>ROW(LineærRegression_Valg[[#This Row],[Tabel ID]])-ROW(LineærRegression_Valg[[#Headers],[Tabel ID]])</f>
        <v>1994</v>
      </c>
      <c r="B2004" s="188">
        <f>ROUNDDOWN((LineærRegression_Valg[[#This Row],[Tabel ID]]-1)/$B$5,0)+1</f>
        <v>499</v>
      </c>
      <c r="C2004" s="188">
        <f t="shared" si="31"/>
        <v>2</v>
      </c>
      <c r="D2004" s="188" t="b">
        <f>LineærRegression_Valg[[#This Row],[Afhængig variabel ID]]&lt;&gt;LineærRegression_Valg[[#This Row],[Uafhængig variabel ID]]</f>
        <v>1</v>
      </c>
      <c r="E2004" s="188" t="b">
        <f>LineærRegression_Valg[[#This Row],[Afhængig variabel ID]]&lt;=$B$5</f>
        <v>0</v>
      </c>
      <c r="F2004" t="str" cm="1">
        <f t="array" ref="F2004">IF(LineærRegression_Valg[[#This Row],[Indenfor range]],INDEX(DataTitel_liste,LineærRegression_Valg[[#This Row],[Afhængig variabel ID]]),INDEX(DataTitel_liste,1))</f>
        <v>Eksempel 1 (interval)</v>
      </c>
      <c r="G2004" s="188" t="str" cm="1">
        <f t="array" ref="G2004">IF(LineærRegression_Valg[[#This Row],[Indenfor range]],IF(LineærRegression_Valg[[#This Row],[Intet overlap]],INDEX(DataTitel_liste,LineærRegression_Valg[[#This Row],[Uafhængig variabel ID]]),INDEX(DataTitel_liste,IF(LineærRegression_Valg[[#This Row],[Afhængig variabel ID]]=1,2,1))),$B$7)</f>
        <v>Eksempel 2 (interval)</v>
      </c>
      <c r="H2004" s="188">
        <f>_xlfn.AGGREGATE(2,5,LineærRegression_Valg[[#This Row],[Tabel ID]])</f>
        <v>1</v>
      </c>
    </row>
    <row r="2005" spans="1:8" x14ac:dyDescent="0.2">
      <c r="A2005">
        <f>ROW(LineærRegression_Valg[[#This Row],[Tabel ID]])-ROW(LineærRegression_Valg[[#Headers],[Tabel ID]])</f>
        <v>1995</v>
      </c>
      <c r="B2005" s="188">
        <f>ROUNDDOWN((LineærRegression_Valg[[#This Row],[Tabel ID]]-1)/$B$5,0)+1</f>
        <v>499</v>
      </c>
      <c r="C2005" s="188">
        <f t="shared" si="31"/>
        <v>3</v>
      </c>
      <c r="D2005" s="188" t="b">
        <f>LineærRegression_Valg[[#This Row],[Afhængig variabel ID]]&lt;&gt;LineærRegression_Valg[[#This Row],[Uafhængig variabel ID]]</f>
        <v>1</v>
      </c>
      <c r="E2005" s="188" t="b">
        <f>LineærRegression_Valg[[#This Row],[Afhængig variabel ID]]&lt;=$B$5</f>
        <v>0</v>
      </c>
      <c r="F2005" t="str" cm="1">
        <f t="array" ref="F2005">IF(LineærRegression_Valg[[#This Row],[Indenfor range]],INDEX(DataTitel_liste,LineærRegression_Valg[[#This Row],[Afhængig variabel ID]]),INDEX(DataTitel_liste,1))</f>
        <v>Eksempel 1 (interval)</v>
      </c>
      <c r="G2005" s="188" t="str" cm="1">
        <f t="array" ref="G2005">IF(LineærRegression_Valg[[#This Row],[Indenfor range]],IF(LineærRegression_Valg[[#This Row],[Intet overlap]],INDEX(DataTitel_liste,LineærRegression_Valg[[#This Row],[Uafhængig variabel ID]]),INDEX(DataTitel_liste,IF(LineærRegression_Valg[[#This Row],[Afhængig variabel ID]]=1,2,1))),$B$7)</f>
        <v>Eksempel 2 (interval)</v>
      </c>
      <c r="H2005" s="188">
        <f>_xlfn.AGGREGATE(2,5,LineærRegression_Valg[[#This Row],[Tabel ID]])</f>
        <v>1</v>
      </c>
    </row>
    <row r="2006" spans="1:8" x14ac:dyDescent="0.2">
      <c r="A2006">
        <f>ROW(LineærRegression_Valg[[#This Row],[Tabel ID]])-ROW(LineærRegression_Valg[[#Headers],[Tabel ID]])</f>
        <v>1996</v>
      </c>
      <c r="B2006" s="188">
        <f>ROUNDDOWN((LineærRegression_Valg[[#This Row],[Tabel ID]]-1)/$B$5,0)+1</f>
        <v>499</v>
      </c>
      <c r="C2006" s="188">
        <f t="shared" si="31"/>
        <v>4</v>
      </c>
      <c r="D2006" s="188" t="b">
        <f>LineærRegression_Valg[[#This Row],[Afhængig variabel ID]]&lt;&gt;LineærRegression_Valg[[#This Row],[Uafhængig variabel ID]]</f>
        <v>1</v>
      </c>
      <c r="E2006" s="188" t="b">
        <f>LineærRegression_Valg[[#This Row],[Afhængig variabel ID]]&lt;=$B$5</f>
        <v>0</v>
      </c>
      <c r="F2006" t="str" cm="1">
        <f t="array" ref="F2006">IF(LineærRegression_Valg[[#This Row],[Indenfor range]],INDEX(DataTitel_liste,LineærRegression_Valg[[#This Row],[Afhængig variabel ID]]),INDEX(DataTitel_liste,1))</f>
        <v>Eksempel 1 (interval)</v>
      </c>
      <c r="G2006" s="188" t="str" cm="1">
        <f t="array" ref="G2006">IF(LineærRegression_Valg[[#This Row],[Indenfor range]],IF(LineærRegression_Valg[[#This Row],[Intet overlap]],INDEX(DataTitel_liste,LineærRegression_Valg[[#This Row],[Uafhængig variabel ID]]),INDEX(DataTitel_liste,IF(LineærRegression_Valg[[#This Row],[Afhængig variabel ID]]=1,2,1))),$B$7)</f>
        <v>Eksempel 2 (interval)</v>
      </c>
      <c r="H2006" s="188">
        <f>_xlfn.AGGREGATE(2,5,LineærRegression_Valg[[#This Row],[Tabel ID]])</f>
        <v>1</v>
      </c>
    </row>
    <row r="2007" spans="1:8" x14ac:dyDescent="0.2">
      <c r="A2007">
        <f>ROW(LineærRegression_Valg[[#This Row],[Tabel ID]])-ROW(LineærRegression_Valg[[#Headers],[Tabel ID]])</f>
        <v>1997</v>
      </c>
      <c r="B2007" s="188">
        <f>ROUNDDOWN((LineærRegression_Valg[[#This Row],[Tabel ID]]-1)/$B$5,0)+1</f>
        <v>500</v>
      </c>
      <c r="C2007" s="188">
        <f t="shared" si="31"/>
        <v>1</v>
      </c>
      <c r="D2007" s="188" t="b">
        <f>LineærRegression_Valg[[#This Row],[Afhængig variabel ID]]&lt;&gt;LineærRegression_Valg[[#This Row],[Uafhængig variabel ID]]</f>
        <v>1</v>
      </c>
      <c r="E2007" s="188" t="b">
        <f>LineærRegression_Valg[[#This Row],[Afhængig variabel ID]]&lt;=$B$5</f>
        <v>0</v>
      </c>
      <c r="F2007" t="str" cm="1">
        <f t="array" ref="F2007">IF(LineærRegression_Valg[[#This Row],[Indenfor range]],INDEX(DataTitel_liste,LineærRegression_Valg[[#This Row],[Afhængig variabel ID]]),INDEX(DataTitel_liste,1))</f>
        <v>Eksempel 1 (interval)</v>
      </c>
      <c r="G2007" s="188" t="str" cm="1">
        <f t="array" ref="G2007">IF(LineærRegression_Valg[[#This Row],[Indenfor range]],IF(LineærRegression_Valg[[#This Row],[Intet overlap]],INDEX(DataTitel_liste,LineærRegression_Valg[[#This Row],[Uafhængig variabel ID]]),INDEX(DataTitel_liste,IF(LineærRegression_Valg[[#This Row],[Afhængig variabel ID]]=1,2,1))),$B$7)</f>
        <v>Eksempel 2 (interval)</v>
      </c>
      <c r="H2007" s="188">
        <f>_xlfn.AGGREGATE(2,5,LineærRegression_Valg[[#This Row],[Tabel ID]])</f>
        <v>1</v>
      </c>
    </row>
    <row r="2008" spans="1:8" x14ac:dyDescent="0.2">
      <c r="A2008">
        <f>ROW(LineærRegression_Valg[[#This Row],[Tabel ID]])-ROW(LineærRegression_Valg[[#Headers],[Tabel ID]])</f>
        <v>1998</v>
      </c>
      <c r="B2008" s="188">
        <f>ROUNDDOWN((LineærRegression_Valg[[#This Row],[Tabel ID]]-1)/$B$5,0)+1</f>
        <v>500</v>
      </c>
      <c r="C2008" s="188">
        <f t="shared" si="31"/>
        <v>2</v>
      </c>
      <c r="D2008" s="188" t="b">
        <f>LineærRegression_Valg[[#This Row],[Afhængig variabel ID]]&lt;&gt;LineærRegression_Valg[[#This Row],[Uafhængig variabel ID]]</f>
        <v>1</v>
      </c>
      <c r="E2008" s="188" t="b">
        <f>LineærRegression_Valg[[#This Row],[Afhængig variabel ID]]&lt;=$B$5</f>
        <v>0</v>
      </c>
      <c r="F2008" t="str" cm="1">
        <f t="array" ref="F2008">IF(LineærRegression_Valg[[#This Row],[Indenfor range]],INDEX(DataTitel_liste,LineærRegression_Valg[[#This Row],[Afhængig variabel ID]]),INDEX(DataTitel_liste,1))</f>
        <v>Eksempel 1 (interval)</v>
      </c>
      <c r="G2008" s="188" t="str" cm="1">
        <f t="array" ref="G2008">IF(LineærRegression_Valg[[#This Row],[Indenfor range]],IF(LineærRegression_Valg[[#This Row],[Intet overlap]],INDEX(DataTitel_liste,LineærRegression_Valg[[#This Row],[Uafhængig variabel ID]]),INDEX(DataTitel_liste,IF(LineærRegression_Valg[[#This Row],[Afhængig variabel ID]]=1,2,1))),$B$7)</f>
        <v>Eksempel 2 (interval)</v>
      </c>
      <c r="H2008" s="188">
        <f>_xlfn.AGGREGATE(2,5,LineærRegression_Valg[[#This Row],[Tabel ID]])</f>
        <v>1</v>
      </c>
    </row>
    <row r="2009" spans="1:8" x14ac:dyDescent="0.2">
      <c r="A2009">
        <f>ROW(LineærRegression_Valg[[#This Row],[Tabel ID]])-ROW(LineærRegression_Valg[[#Headers],[Tabel ID]])</f>
        <v>1999</v>
      </c>
      <c r="B2009" s="188">
        <f>ROUNDDOWN((LineærRegression_Valg[[#This Row],[Tabel ID]]-1)/$B$5,0)+1</f>
        <v>500</v>
      </c>
      <c r="C2009" s="188">
        <f t="shared" si="31"/>
        <v>3</v>
      </c>
      <c r="D2009" s="188" t="b">
        <f>LineærRegression_Valg[[#This Row],[Afhængig variabel ID]]&lt;&gt;LineærRegression_Valg[[#This Row],[Uafhængig variabel ID]]</f>
        <v>1</v>
      </c>
      <c r="E2009" s="188" t="b">
        <f>LineærRegression_Valg[[#This Row],[Afhængig variabel ID]]&lt;=$B$5</f>
        <v>0</v>
      </c>
      <c r="F2009" t="str" cm="1">
        <f t="array" ref="F2009">IF(LineærRegression_Valg[[#This Row],[Indenfor range]],INDEX(DataTitel_liste,LineærRegression_Valg[[#This Row],[Afhængig variabel ID]]),INDEX(DataTitel_liste,1))</f>
        <v>Eksempel 1 (interval)</v>
      </c>
      <c r="G2009" s="188" t="str" cm="1">
        <f t="array" ref="G2009">IF(LineærRegression_Valg[[#This Row],[Indenfor range]],IF(LineærRegression_Valg[[#This Row],[Intet overlap]],INDEX(DataTitel_liste,LineærRegression_Valg[[#This Row],[Uafhængig variabel ID]]),INDEX(DataTitel_liste,IF(LineærRegression_Valg[[#This Row],[Afhængig variabel ID]]=1,2,1))),$B$7)</f>
        <v>Eksempel 2 (interval)</v>
      </c>
      <c r="H2009" s="188">
        <f>_xlfn.AGGREGATE(2,5,LineærRegression_Valg[[#This Row],[Tabel ID]])</f>
        <v>1</v>
      </c>
    </row>
    <row r="2010" spans="1:8" x14ac:dyDescent="0.2">
      <c r="A2010">
        <f>ROW(LineærRegression_Valg[[#This Row],[Tabel ID]])-ROW(LineærRegression_Valg[[#Headers],[Tabel ID]])</f>
        <v>2000</v>
      </c>
      <c r="B2010" s="188">
        <f>ROUNDDOWN((LineærRegression_Valg[[#This Row],[Tabel ID]]-1)/$B$5,0)+1</f>
        <v>500</v>
      </c>
      <c r="C2010" s="188">
        <f t="shared" si="31"/>
        <v>4</v>
      </c>
      <c r="D2010" s="188" t="b">
        <f>LineærRegression_Valg[[#This Row],[Afhængig variabel ID]]&lt;&gt;LineærRegression_Valg[[#This Row],[Uafhængig variabel ID]]</f>
        <v>1</v>
      </c>
      <c r="E2010" s="188" t="b">
        <f>LineærRegression_Valg[[#This Row],[Afhængig variabel ID]]&lt;=$B$5</f>
        <v>0</v>
      </c>
      <c r="F2010" t="str" cm="1">
        <f t="array" ref="F2010">IF(LineærRegression_Valg[[#This Row],[Indenfor range]],INDEX(DataTitel_liste,LineærRegression_Valg[[#This Row],[Afhængig variabel ID]]),INDEX(DataTitel_liste,1))</f>
        <v>Eksempel 1 (interval)</v>
      </c>
      <c r="G2010" s="188" t="str" cm="1">
        <f t="array" ref="G2010">IF(LineærRegression_Valg[[#This Row],[Indenfor range]],IF(LineærRegression_Valg[[#This Row],[Intet overlap]],INDEX(DataTitel_liste,LineærRegression_Valg[[#This Row],[Uafhængig variabel ID]]),INDEX(DataTitel_liste,IF(LineærRegression_Valg[[#This Row],[Afhængig variabel ID]]=1,2,1))),$B$7)</f>
        <v>Eksempel 2 (interval)</v>
      </c>
      <c r="H2010" s="188">
        <f>_xlfn.AGGREGATE(2,5,LineærRegression_Valg[[#This Row],[Tabel ID]])</f>
        <v>1</v>
      </c>
    </row>
    <row r="2011" spans="1:8" x14ac:dyDescent="0.2">
      <c r="A2011">
        <f>ROW(LineærRegression_Valg[[#This Row],[Tabel ID]])-ROW(LineærRegression_Valg[[#Headers],[Tabel ID]])</f>
        <v>2001</v>
      </c>
      <c r="B2011" s="188">
        <f>ROUNDDOWN((LineærRegression_Valg[[#This Row],[Tabel ID]]-1)/$B$5,0)+1</f>
        <v>501</v>
      </c>
      <c r="C2011" s="188">
        <f t="shared" si="31"/>
        <v>1</v>
      </c>
      <c r="D2011" s="188" t="b">
        <f>LineærRegression_Valg[[#This Row],[Afhængig variabel ID]]&lt;&gt;LineærRegression_Valg[[#This Row],[Uafhængig variabel ID]]</f>
        <v>1</v>
      </c>
      <c r="E2011" s="188" t="b">
        <f>LineærRegression_Valg[[#This Row],[Afhængig variabel ID]]&lt;=$B$5</f>
        <v>0</v>
      </c>
      <c r="F2011" t="str" cm="1">
        <f t="array" ref="F2011">IF(LineærRegression_Valg[[#This Row],[Indenfor range]],INDEX(DataTitel_liste,LineærRegression_Valg[[#This Row],[Afhængig variabel ID]]),INDEX(DataTitel_liste,1))</f>
        <v>Eksempel 1 (interval)</v>
      </c>
      <c r="G2011" s="188" t="str" cm="1">
        <f t="array" ref="G2011">IF(LineærRegression_Valg[[#This Row],[Indenfor range]],IF(LineærRegression_Valg[[#This Row],[Intet overlap]],INDEX(DataTitel_liste,LineærRegression_Valg[[#This Row],[Uafhængig variabel ID]]),INDEX(DataTitel_liste,IF(LineærRegression_Valg[[#This Row],[Afhængig variabel ID]]=1,2,1))),$B$7)</f>
        <v>Eksempel 2 (interval)</v>
      </c>
      <c r="H2011" s="188">
        <f>_xlfn.AGGREGATE(2,5,LineærRegression_Valg[[#This Row],[Tabel ID]])</f>
        <v>1</v>
      </c>
    </row>
    <row r="2012" spans="1:8" x14ac:dyDescent="0.2">
      <c r="A2012">
        <f>ROW(LineærRegression_Valg[[#This Row],[Tabel ID]])-ROW(LineærRegression_Valg[[#Headers],[Tabel ID]])</f>
        <v>2002</v>
      </c>
      <c r="B2012" s="188">
        <f>ROUNDDOWN((LineærRegression_Valg[[#This Row],[Tabel ID]]-1)/$B$5,0)+1</f>
        <v>501</v>
      </c>
      <c r="C2012" s="188">
        <f t="shared" si="31"/>
        <v>2</v>
      </c>
      <c r="D2012" s="188" t="b">
        <f>LineærRegression_Valg[[#This Row],[Afhængig variabel ID]]&lt;&gt;LineærRegression_Valg[[#This Row],[Uafhængig variabel ID]]</f>
        <v>1</v>
      </c>
      <c r="E2012" s="188" t="b">
        <f>LineærRegression_Valg[[#This Row],[Afhængig variabel ID]]&lt;=$B$5</f>
        <v>0</v>
      </c>
      <c r="F2012" t="str" cm="1">
        <f t="array" ref="F2012">IF(LineærRegression_Valg[[#This Row],[Indenfor range]],INDEX(DataTitel_liste,LineærRegression_Valg[[#This Row],[Afhængig variabel ID]]),INDEX(DataTitel_liste,1))</f>
        <v>Eksempel 1 (interval)</v>
      </c>
      <c r="G2012" s="188" t="str" cm="1">
        <f t="array" ref="G2012">IF(LineærRegression_Valg[[#This Row],[Indenfor range]],IF(LineærRegression_Valg[[#This Row],[Intet overlap]],INDEX(DataTitel_liste,LineærRegression_Valg[[#This Row],[Uafhængig variabel ID]]),INDEX(DataTitel_liste,IF(LineærRegression_Valg[[#This Row],[Afhængig variabel ID]]=1,2,1))),$B$7)</f>
        <v>Eksempel 2 (interval)</v>
      </c>
      <c r="H2012" s="188">
        <f>_xlfn.AGGREGATE(2,5,LineærRegression_Valg[[#This Row],[Tabel ID]])</f>
        <v>1</v>
      </c>
    </row>
    <row r="2013" spans="1:8" x14ac:dyDescent="0.2">
      <c r="A2013">
        <f>ROW(LineærRegression_Valg[[#This Row],[Tabel ID]])-ROW(LineærRegression_Valg[[#Headers],[Tabel ID]])</f>
        <v>2003</v>
      </c>
      <c r="B2013" s="188">
        <f>ROUNDDOWN((LineærRegression_Valg[[#This Row],[Tabel ID]]-1)/$B$5,0)+1</f>
        <v>501</v>
      </c>
      <c r="C2013" s="188">
        <f t="shared" si="31"/>
        <v>3</v>
      </c>
      <c r="D2013" s="188" t="b">
        <f>LineærRegression_Valg[[#This Row],[Afhængig variabel ID]]&lt;&gt;LineærRegression_Valg[[#This Row],[Uafhængig variabel ID]]</f>
        <v>1</v>
      </c>
      <c r="E2013" s="188" t="b">
        <f>LineærRegression_Valg[[#This Row],[Afhængig variabel ID]]&lt;=$B$5</f>
        <v>0</v>
      </c>
      <c r="F2013" t="str" cm="1">
        <f t="array" ref="F2013">IF(LineærRegression_Valg[[#This Row],[Indenfor range]],INDEX(DataTitel_liste,LineærRegression_Valg[[#This Row],[Afhængig variabel ID]]),INDEX(DataTitel_liste,1))</f>
        <v>Eksempel 1 (interval)</v>
      </c>
      <c r="G2013" s="188" t="str" cm="1">
        <f t="array" ref="G2013">IF(LineærRegression_Valg[[#This Row],[Indenfor range]],IF(LineærRegression_Valg[[#This Row],[Intet overlap]],INDEX(DataTitel_liste,LineærRegression_Valg[[#This Row],[Uafhængig variabel ID]]),INDEX(DataTitel_liste,IF(LineærRegression_Valg[[#This Row],[Afhængig variabel ID]]=1,2,1))),$B$7)</f>
        <v>Eksempel 2 (interval)</v>
      </c>
      <c r="H2013" s="188">
        <f>_xlfn.AGGREGATE(2,5,LineærRegression_Valg[[#This Row],[Tabel ID]])</f>
        <v>1</v>
      </c>
    </row>
    <row r="2014" spans="1:8" x14ac:dyDescent="0.2">
      <c r="A2014">
        <f>ROW(LineærRegression_Valg[[#This Row],[Tabel ID]])-ROW(LineærRegression_Valg[[#Headers],[Tabel ID]])</f>
        <v>2004</v>
      </c>
      <c r="B2014" s="188">
        <f>ROUNDDOWN((LineærRegression_Valg[[#This Row],[Tabel ID]]-1)/$B$5,0)+1</f>
        <v>501</v>
      </c>
      <c r="C2014" s="188">
        <f t="shared" si="31"/>
        <v>4</v>
      </c>
      <c r="D2014" s="188" t="b">
        <f>LineærRegression_Valg[[#This Row],[Afhængig variabel ID]]&lt;&gt;LineærRegression_Valg[[#This Row],[Uafhængig variabel ID]]</f>
        <v>1</v>
      </c>
      <c r="E2014" s="188" t="b">
        <f>LineærRegression_Valg[[#This Row],[Afhængig variabel ID]]&lt;=$B$5</f>
        <v>0</v>
      </c>
      <c r="F2014" t="str" cm="1">
        <f t="array" ref="F2014">IF(LineærRegression_Valg[[#This Row],[Indenfor range]],INDEX(DataTitel_liste,LineærRegression_Valg[[#This Row],[Afhængig variabel ID]]),INDEX(DataTitel_liste,1))</f>
        <v>Eksempel 1 (interval)</v>
      </c>
      <c r="G2014" s="188" t="str" cm="1">
        <f t="array" ref="G2014">IF(LineærRegression_Valg[[#This Row],[Indenfor range]],IF(LineærRegression_Valg[[#This Row],[Intet overlap]],INDEX(DataTitel_liste,LineærRegression_Valg[[#This Row],[Uafhængig variabel ID]]),INDEX(DataTitel_liste,IF(LineærRegression_Valg[[#This Row],[Afhængig variabel ID]]=1,2,1))),$B$7)</f>
        <v>Eksempel 2 (interval)</v>
      </c>
      <c r="H2014" s="188">
        <f>_xlfn.AGGREGATE(2,5,LineærRegression_Valg[[#This Row],[Tabel ID]])</f>
        <v>1</v>
      </c>
    </row>
    <row r="2015" spans="1:8" x14ac:dyDescent="0.2">
      <c r="A2015">
        <f>ROW(LineærRegression_Valg[[#This Row],[Tabel ID]])-ROW(LineærRegression_Valg[[#Headers],[Tabel ID]])</f>
        <v>2005</v>
      </c>
      <c r="B2015" s="188">
        <f>ROUNDDOWN((LineærRegression_Valg[[#This Row],[Tabel ID]]-1)/$B$5,0)+1</f>
        <v>502</v>
      </c>
      <c r="C2015" s="188">
        <f t="shared" si="31"/>
        <v>1</v>
      </c>
      <c r="D2015" s="188" t="b">
        <f>LineærRegression_Valg[[#This Row],[Afhængig variabel ID]]&lt;&gt;LineærRegression_Valg[[#This Row],[Uafhængig variabel ID]]</f>
        <v>1</v>
      </c>
      <c r="E2015" s="188" t="b">
        <f>LineærRegression_Valg[[#This Row],[Afhængig variabel ID]]&lt;=$B$5</f>
        <v>0</v>
      </c>
      <c r="F2015" t="str" cm="1">
        <f t="array" ref="F2015">IF(LineærRegression_Valg[[#This Row],[Indenfor range]],INDEX(DataTitel_liste,LineærRegression_Valg[[#This Row],[Afhængig variabel ID]]),INDEX(DataTitel_liste,1))</f>
        <v>Eksempel 1 (interval)</v>
      </c>
      <c r="G2015" s="188" t="str" cm="1">
        <f t="array" ref="G2015">IF(LineærRegression_Valg[[#This Row],[Indenfor range]],IF(LineærRegression_Valg[[#This Row],[Intet overlap]],INDEX(DataTitel_liste,LineærRegression_Valg[[#This Row],[Uafhængig variabel ID]]),INDEX(DataTitel_liste,IF(LineærRegression_Valg[[#This Row],[Afhængig variabel ID]]=1,2,1))),$B$7)</f>
        <v>Eksempel 2 (interval)</v>
      </c>
      <c r="H2015" s="188">
        <f>_xlfn.AGGREGATE(2,5,LineærRegression_Valg[[#This Row],[Tabel ID]])</f>
        <v>1</v>
      </c>
    </row>
    <row r="2016" spans="1:8" x14ac:dyDescent="0.2">
      <c r="A2016">
        <f>ROW(LineærRegression_Valg[[#This Row],[Tabel ID]])-ROW(LineærRegression_Valg[[#Headers],[Tabel ID]])</f>
        <v>2006</v>
      </c>
      <c r="B2016" s="188">
        <f>ROUNDDOWN((LineærRegression_Valg[[#This Row],[Tabel ID]]-1)/$B$5,0)+1</f>
        <v>502</v>
      </c>
      <c r="C2016" s="188">
        <f t="shared" si="31"/>
        <v>2</v>
      </c>
      <c r="D2016" s="188" t="b">
        <f>LineærRegression_Valg[[#This Row],[Afhængig variabel ID]]&lt;&gt;LineærRegression_Valg[[#This Row],[Uafhængig variabel ID]]</f>
        <v>1</v>
      </c>
      <c r="E2016" s="188" t="b">
        <f>LineærRegression_Valg[[#This Row],[Afhængig variabel ID]]&lt;=$B$5</f>
        <v>0</v>
      </c>
      <c r="F2016" t="str" cm="1">
        <f t="array" ref="F2016">IF(LineærRegression_Valg[[#This Row],[Indenfor range]],INDEX(DataTitel_liste,LineærRegression_Valg[[#This Row],[Afhængig variabel ID]]),INDEX(DataTitel_liste,1))</f>
        <v>Eksempel 1 (interval)</v>
      </c>
      <c r="G2016" s="188" t="str" cm="1">
        <f t="array" ref="G2016">IF(LineærRegression_Valg[[#This Row],[Indenfor range]],IF(LineærRegression_Valg[[#This Row],[Intet overlap]],INDEX(DataTitel_liste,LineærRegression_Valg[[#This Row],[Uafhængig variabel ID]]),INDEX(DataTitel_liste,IF(LineærRegression_Valg[[#This Row],[Afhængig variabel ID]]=1,2,1))),$B$7)</f>
        <v>Eksempel 2 (interval)</v>
      </c>
      <c r="H2016" s="188">
        <f>_xlfn.AGGREGATE(2,5,LineærRegression_Valg[[#This Row],[Tabel ID]])</f>
        <v>1</v>
      </c>
    </row>
    <row r="2017" spans="1:8" x14ac:dyDescent="0.2">
      <c r="A2017">
        <f>ROW(LineærRegression_Valg[[#This Row],[Tabel ID]])-ROW(LineærRegression_Valg[[#Headers],[Tabel ID]])</f>
        <v>2007</v>
      </c>
      <c r="B2017" s="188">
        <f>ROUNDDOWN((LineærRegression_Valg[[#This Row],[Tabel ID]]-1)/$B$5,0)+1</f>
        <v>502</v>
      </c>
      <c r="C2017" s="188">
        <f t="shared" si="31"/>
        <v>3</v>
      </c>
      <c r="D2017" s="188" t="b">
        <f>LineærRegression_Valg[[#This Row],[Afhængig variabel ID]]&lt;&gt;LineærRegression_Valg[[#This Row],[Uafhængig variabel ID]]</f>
        <v>1</v>
      </c>
      <c r="E2017" s="188" t="b">
        <f>LineærRegression_Valg[[#This Row],[Afhængig variabel ID]]&lt;=$B$5</f>
        <v>0</v>
      </c>
      <c r="F2017" t="str" cm="1">
        <f t="array" ref="F2017">IF(LineærRegression_Valg[[#This Row],[Indenfor range]],INDEX(DataTitel_liste,LineærRegression_Valg[[#This Row],[Afhængig variabel ID]]),INDEX(DataTitel_liste,1))</f>
        <v>Eksempel 1 (interval)</v>
      </c>
      <c r="G2017" s="188" t="str" cm="1">
        <f t="array" ref="G2017">IF(LineærRegression_Valg[[#This Row],[Indenfor range]],IF(LineærRegression_Valg[[#This Row],[Intet overlap]],INDEX(DataTitel_liste,LineærRegression_Valg[[#This Row],[Uafhængig variabel ID]]),INDEX(DataTitel_liste,IF(LineærRegression_Valg[[#This Row],[Afhængig variabel ID]]=1,2,1))),$B$7)</f>
        <v>Eksempel 2 (interval)</v>
      </c>
      <c r="H2017" s="188">
        <f>_xlfn.AGGREGATE(2,5,LineærRegression_Valg[[#This Row],[Tabel ID]])</f>
        <v>1</v>
      </c>
    </row>
    <row r="2018" spans="1:8" x14ac:dyDescent="0.2">
      <c r="A2018">
        <f>ROW(LineærRegression_Valg[[#This Row],[Tabel ID]])-ROW(LineærRegression_Valg[[#Headers],[Tabel ID]])</f>
        <v>2008</v>
      </c>
      <c r="B2018" s="188">
        <f>ROUNDDOWN((LineærRegression_Valg[[#This Row],[Tabel ID]]-1)/$B$5,0)+1</f>
        <v>502</v>
      </c>
      <c r="C2018" s="188">
        <f t="shared" si="31"/>
        <v>4</v>
      </c>
      <c r="D2018" s="188" t="b">
        <f>LineærRegression_Valg[[#This Row],[Afhængig variabel ID]]&lt;&gt;LineærRegression_Valg[[#This Row],[Uafhængig variabel ID]]</f>
        <v>1</v>
      </c>
      <c r="E2018" s="188" t="b">
        <f>LineærRegression_Valg[[#This Row],[Afhængig variabel ID]]&lt;=$B$5</f>
        <v>0</v>
      </c>
      <c r="F2018" t="str" cm="1">
        <f t="array" ref="F2018">IF(LineærRegression_Valg[[#This Row],[Indenfor range]],INDEX(DataTitel_liste,LineærRegression_Valg[[#This Row],[Afhængig variabel ID]]),INDEX(DataTitel_liste,1))</f>
        <v>Eksempel 1 (interval)</v>
      </c>
      <c r="G2018" s="188" t="str" cm="1">
        <f t="array" ref="G2018">IF(LineærRegression_Valg[[#This Row],[Indenfor range]],IF(LineærRegression_Valg[[#This Row],[Intet overlap]],INDEX(DataTitel_liste,LineærRegression_Valg[[#This Row],[Uafhængig variabel ID]]),INDEX(DataTitel_liste,IF(LineærRegression_Valg[[#This Row],[Afhængig variabel ID]]=1,2,1))),$B$7)</f>
        <v>Eksempel 2 (interval)</v>
      </c>
      <c r="H2018" s="188">
        <f>_xlfn.AGGREGATE(2,5,LineærRegression_Valg[[#This Row],[Tabel ID]])</f>
        <v>1</v>
      </c>
    </row>
    <row r="2019" spans="1:8" x14ac:dyDescent="0.2">
      <c r="A2019">
        <f>ROW(LineærRegression_Valg[[#This Row],[Tabel ID]])-ROW(LineærRegression_Valg[[#Headers],[Tabel ID]])</f>
        <v>2009</v>
      </c>
      <c r="B2019" s="188">
        <f>ROUNDDOWN((LineærRegression_Valg[[#This Row],[Tabel ID]]-1)/$B$5,0)+1</f>
        <v>503</v>
      </c>
      <c r="C2019" s="188">
        <f t="shared" si="31"/>
        <v>1</v>
      </c>
      <c r="D2019" s="188" t="b">
        <f>LineærRegression_Valg[[#This Row],[Afhængig variabel ID]]&lt;&gt;LineærRegression_Valg[[#This Row],[Uafhængig variabel ID]]</f>
        <v>1</v>
      </c>
      <c r="E2019" s="188" t="b">
        <f>LineærRegression_Valg[[#This Row],[Afhængig variabel ID]]&lt;=$B$5</f>
        <v>0</v>
      </c>
      <c r="F2019" t="str" cm="1">
        <f t="array" ref="F2019">IF(LineærRegression_Valg[[#This Row],[Indenfor range]],INDEX(DataTitel_liste,LineærRegression_Valg[[#This Row],[Afhængig variabel ID]]),INDEX(DataTitel_liste,1))</f>
        <v>Eksempel 1 (interval)</v>
      </c>
      <c r="G2019" s="188" t="str" cm="1">
        <f t="array" ref="G2019">IF(LineærRegression_Valg[[#This Row],[Indenfor range]],IF(LineærRegression_Valg[[#This Row],[Intet overlap]],INDEX(DataTitel_liste,LineærRegression_Valg[[#This Row],[Uafhængig variabel ID]]),INDEX(DataTitel_liste,IF(LineærRegression_Valg[[#This Row],[Afhængig variabel ID]]=1,2,1))),$B$7)</f>
        <v>Eksempel 2 (interval)</v>
      </c>
      <c r="H2019" s="188">
        <f>_xlfn.AGGREGATE(2,5,LineærRegression_Valg[[#This Row],[Tabel ID]])</f>
        <v>1</v>
      </c>
    </row>
    <row r="2020" spans="1:8" x14ac:dyDescent="0.2">
      <c r="A2020">
        <f>ROW(LineærRegression_Valg[[#This Row],[Tabel ID]])-ROW(LineærRegression_Valg[[#Headers],[Tabel ID]])</f>
        <v>2010</v>
      </c>
      <c r="B2020" s="188">
        <f>ROUNDDOWN((LineærRegression_Valg[[#This Row],[Tabel ID]]-1)/$B$5,0)+1</f>
        <v>503</v>
      </c>
      <c r="C2020" s="188">
        <f t="shared" si="31"/>
        <v>2</v>
      </c>
      <c r="D2020" s="188" t="b">
        <f>LineærRegression_Valg[[#This Row],[Afhængig variabel ID]]&lt;&gt;LineærRegression_Valg[[#This Row],[Uafhængig variabel ID]]</f>
        <v>1</v>
      </c>
      <c r="E2020" s="188" t="b">
        <f>LineærRegression_Valg[[#This Row],[Afhængig variabel ID]]&lt;=$B$5</f>
        <v>0</v>
      </c>
      <c r="F2020" t="str" cm="1">
        <f t="array" ref="F2020">IF(LineærRegression_Valg[[#This Row],[Indenfor range]],INDEX(DataTitel_liste,LineærRegression_Valg[[#This Row],[Afhængig variabel ID]]),INDEX(DataTitel_liste,1))</f>
        <v>Eksempel 1 (interval)</v>
      </c>
      <c r="G2020" s="188" t="str" cm="1">
        <f t="array" ref="G2020">IF(LineærRegression_Valg[[#This Row],[Indenfor range]],IF(LineærRegression_Valg[[#This Row],[Intet overlap]],INDEX(DataTitel_liste,LineærRegression_Valg[[#This Row],[Uafhængig variabel ID]]),INDEX(DataTitel_liste,IF(LineærRegression_Valg[[#This Row],[Afhængig variabel ID]]=1,2,1))),$B$7)</f>
        <v>Eksempel 2 (interval)</v>
      </c>
      <c r="H2020" s="188">
        <f>_xlfn.AGGREGATE(2,5,LineærRegression_Valg[[#This Row],[Tabel ID]])</f>
        <v>1</v>
      </c>
    </row>
    <row r="2021" spans="1:8" x14ac:dyDescent="0.2">
      <c r="A2021">
        <f>ROW(LineærRegression_Valg[[#This Row],[Tabel ID]])-ROW(LineærRegression_Valg[[#Headers],[Tabel ID]])</f>
        <v>2011</v>
      </c>
      <c r="B2021" s="188">
        <f>ROUNDDOWN((LineærRegression_Valg[[#This Row],[Tabel ID]]-1)/$B$5,0)+1</f>
        <v>503</v>
      </c>
      <c r="C2021" s="188">
        <f t="shared" si="31"/>
        <v>3</v>
      </c>
      <c r="D2021" s="188" t="b">
        <f>LineærRegression_Valg[[#This Row],[Afhængig variabel ID]]&lt;&gt;LineærRegression_Valg[[#This Row],[Uafhængig variabel ID]]</f>
        <v>1</v>
      </c>
      <c r="E2021" s="188" t="b">
        <f>LineærRegression_Valg[[#This Row],[Afhængig variabel ID]]&lt;=$B$5</f>
        <v>0</v>
      </c>
      <c r="F2021" t="str" cm="1">
        <f t="array" ref="F2021">IF(LineærRegression_Valg[[#This Row],[Indenfor range]],INDEX(DataTitel_liste,LineærRegression_Valg[[#This Row],[Afhængig variabel ID]]),INDEX(DataTitel_liste,1))</f>
        <v>Eksempel 1 (interval)</v>
      </c>
      <c r="G2021" s="188" t="str" cm="1">
        <f t="array" ref="G2021">IF(LineærRegression_Valg[[#This Row],[Indenfor range]],IF(LineærRegression_Valg[[#This Row],[Intet overlap]],INDEX(DataTitel_liste,LineærRegression_Valg[[#This Row],[Uafhængig variabel ID]]),INDEX(DataTitel_liste,IF(LineærRegression_Valg[[#This Row],[Afhængig variabel ID]]=1,2,1))),$B$7)</f>
        <v>Eksempel 2 (interval)</v>
      </c>
      <c r="H2021" s="188">
        <f>_xlfn.AGGREGATE(2,5,LineærRegression_Valg[[#This Row],[Tabel ID]])</f>
        <v>1</v>
      </c>
    </row>
    <row r="2022" spans="1:8" x14ac:dyDescent="0.2">
      <c r="A2022">
        <f>ROW(LineærRegression_Valg[[#This Row],[Tabel ID]])-ROW(LineærRegression_Valg[[#Headers],[Tabel ID]])</f>
        <v>2012</v>
      </c>
      <c r="B2022" s="188">
        <f>ROUNDDOWN((LineærRegression_Valg[[#This Row],[Tabel ID]]-1)/$B$5,0)+1</f>
        <v>503</v>
      </c>
      <c r="C2022" s="188">
        <f t="shared" si="31"/>
        <v>4</v>
      </c>
      <c r="D2022" s="188" t="b">
        <f>LineærRegression_Valg[[#This Row],[Afhængig variabel ID]]&lt;&gt;LineærRegression_Valg[[#This Row],[Uafhængig variabel ID]]</f>
        <v>1</v>
      </c>
      <c r="E2022" s="188" t="b">
        <f>LineærRegression_Valg[[#This Row],[Afhængig variabel ID]]&lt;=$B$5</f>
        <v>0</v>
      </c>
      <c r="F2022" t="str" cm="1">
        <f t="array" ref="F2022">IF(LineærRegression_Valg[[#This Row],[Indenfor range]],INDEX(DataTitel_liste,LineærRegression_Valg[[#This Row],[Afhængig variabel ID]]),INDEX(DataTitel_liste,1))</f>
        <v>Eksempel 1 (interval)</v>
      </c>
      <c r="G2022" s="188" t="str" cm="1">
        <f t="array" ref="G2022">IF(LineærRegression_Valg[[#This Row],[Indenfor range]],IF(LineærRegression_Valg[[#This Row],[Intet overlap]],INDEX(DataTitel_liste,LineærRegression_Valg[[#This Row],[Uafhængig variabel ID]]),INDEX(DataTitel_liste,IF(LineærRegression_Valg[[#This Row],[Afhængig variabel ID]]=1,2,1))),$B$7)</f>
        <v>Eksempel 2 (interval)</v>
      </c>
      <c r="H2022" s="188">
        <f>_xlfn.AGGREGATE(2,5,LineærRegression_Valg[[#This Row],[Tabel ID]])</f>
        <v>1</v>
      </c>
    </row>
    <row r="2023" spans="1:8" x14ac:dyDescent="0.2">
      <c r="A2023">
        <f>ROW(LineærRegression_Valg[[#This Row],[Tabel ID]])-ROW(LineærRegression_Valg[[#Headers],[Tabel ID]])</f>
        <v>2013</v>
      </c>
      <c r="B2023" s="188">
        <f>ROUNDDOWN((LineærRegression_Valg[[#This Row],[Tabel ID]]-1)/$B$5,0)+1</f>
        <v>504</v>
      </c>
      <c r="C2023" s="188">
        <f t="shared" si="31"/>
        <v>1</v>
      </c>
      <c r="D2023" s="188" t="b">
        <f>LineærRegression_Valg[[#This Row],[Afhængig variabel ID]]&lt;&gt;LineærRegression_Valg[[#This Row],[Uafhængig variabel ID]]</f>
        <v>1</v>
      </c>
      <c r="E2023" s="188" t="b">
        <f>LineærRegression_Valg[[#This Row],[Afhængig variabel ID]]&lt;=$B$5</f>
        <v>0</v>
      </c>
      <c r="F2023" t="str" cm="1">
        <f t="array" ref="F2023">IF(LineærRegression_Valg[[#This Row],[Indenfor range]],INDEX(DataTitel_liste,LineærRegression_Valg[[#This Row],[Afhængig variabel ID]]),INDEX(DataTitel_liste,1))</f>
        <v>Eksempel 1 (interval)</v>
      </c>
      <c r="G2023" s="188" t="str" cm="1">
        <f t="array" ref="G2023">IF(LineærRegression_Valg[[#This Row],[Indenfor range]],IF(LineærRegression_Valg[[#This Row],[Intet overlap]],INDEX(DataTitel_liste,LineærRegression_Valg[[#This Row],[Uafhængig variabel ID]]),INDEX(DataTitel_liste,IF(LineærRegression_Valg[[#This Row],[Afhængig variabel ID]]=1,2,1))),$B$7)</f>
        <v>Eksempel 2 (interval)</v>
      </c>
      <c r="H2023" s="188">
        <f>_xlfn.AGGREGATE(2,5,LineærRegression_Valg[[#This Row],[Tabel ID]])</f>
        <v>1</v>
      </c>
    </row>
    <row r="2024" spans="1:8" x14ac:dyDescent="0.2">
      <c r="A2024">
        <f>ROW(LineærRegression_Valg[[#This Row],[Tabel ID]])-ROW(LineærRegression_Valg[[#Headers],[Tabel ID]])</f>
        <v>2014</v>
      </c>
      <c r="B2024" s="188">
        <f>ROUNDDOWN((LineærRegression_Valg[[#This Row],[Tabel ID]]-1)/$B$5,0)+1</f>
        <v>504</v>
      </c>
      <c r="C2024" s="188">
        <f t="shared" si="31"/>
        <v>2</v>
      </c>
      <c r="D2024" s="188" t="b">
        <f>LineærRegression_Valg[[#This Row],[Afhængig variabel ID]]&lt;&gt;LineærRegression_Valg[[#This Row],[Uafhængig variabel ID]]</f>
        <v>1</v>
      </c>
      <c r="E2024" s="188" t="b">
        <f>LineærRegression_Valg[[#This Row],[Afhængig variabel ID]]&lt;=$B$5</f>
        <v>0</v>
      </c>
      <c r="F2024" t="str" cm="1">
        <f t="array" ref="F2024">IF(LineærRegression_Valg[[#This Row],[Indenfor range]],INDEX(DataTitel_liste,LineærRegression_Valg[[#This Row],[Afhængig variabel ID]]),INDEX(DataTitel_liste,1))</f>
        <v>Eksempel 1 (interval)</v>
      </c>
      <c r="G2024" s="188" t="str" cm="1">
        <f t="array" ref="G2024">IF(LineærRegression_Valg[[#This Row],[Indenfor range]],IF(LineærRegression_Valg[[#This Row],[Intet overlap]],INDEX(DataTitel_liste,LineærRegression_Valg[[#This Row],[Uafhængig variabel ID]]),INDEX(DataTitel_liste,IF(LineærRegression_Valg[[#This Row],[Afhængig variabel ID]]=1,2,1))),$B$7)</f>
        <v>Eksempel 2 (interval)</v>
      </c>
      <c r="H2024" s="188">
        <f>_xlfn.AGGREGATE(2,5,LineærRegression_Valg[[#This Row],[Tabel ID]])</f>
        <v>1</v>
      </c>
    </row>
    <row r="2025" spans="1:8" x14ac:dyDescent="0.2">
      <c r="A2025">
        <f>ROW(LineærRegression_Valg[[#This Row],[Tabel ID]])-ROW(LineærRegression_Valg[[#Headers],[Tabel ID]])</f>
        <v>2015</v>
      </c>
      <c r="B2025" s="188">
        <f>ROUNDDOWN((LineærRegression_Valg[[#This Row],[Tabel ID]]-1)/$B$5,0)+1</f>
        <v>504</v>
      </c>
      <c r="C2025" s="188">
        <f t="shared" si="31"/>
        <v>3</v>
      </c>
      <c r="D2025" s="188" t="b">
        <f>LineærRegression_Valg[[#This Row],[Afhængig variabel ID]]&lt;&gt;LineærRegression_Valg[[#This Row],[Uafhængig variabel ID]]</f>
        <v>1</v>
      </c>
      <c r="E2025" s="188" t="b">
        <f>LineærRegression_Valg[[#This Row],[Afhængig variabel ID]]&lt;=$B$5</f>
        <v>0</v>
      </c>
      <c r="F2025" t="str" cm="1">
        <f t="array" ref="F2025">IF(LineærRegression_Valg[[#This Row],[Indenfor range]],INDEX(DataTitel_liste,LineærRegression_Valg[[#This Row],[Afhængig variabel ID]]),INDEX(DataTitel_liste,1))</f>
        <v>Eksempel 1 (interval)</v>
      </c>
      <c r="G2025" s="188" t="str" cm="1">
        <f t="array" ref="G2025">IF(LineærRegression_Valg[[#This Row],[Indenfor range]],IF(LineærRegression_Valg[[#This Row],[Intet overlap]],INDEX(DataTitel_liste,LineærRegression_Valg[[#This Row],[Uafhængig variabel ID]]),INDEX(DataTitel_liste,IF(LineærRegression_Valg[[#This Row],[Afhængig variabel ID]]=1,2,1))),$B$7)</f>
        <v>Eksempel 2 (interval)</v>
      </c>
      <c r="H2025" s="188">
        <f>_xlfn.AGGREGATE(2,5,LineærRegression_Valg[[#This Row],[Tabel ID]])</f>
        <v>1</v>
      </c>
    </row>
    <row r="2026" spans="1:8" x14ac:dyDescent="0.2">
      <c r="A2026">
        <f>ROW(LineærRegression_Valg[[#This Row],[Tabel ID]])-ROW(LineærRegression_Valg[[#Headers],[Tabel ID]])</f>
        <v>2016</v>
      </c>
      <c r="B2026" s="188">
        <f>ROUNDDOWN((LineærRegression_Valg[[#This Row],[Tabel ID]]-1)/$B$5,0)+1</f>
        <v>504</v>
      </c>
      <c r="C2026" s="188">
        <f t="shared" si="31"/>
        <v>4</v>
      </c>
      <c r="D2026" s="188" t="b">
        <f>LineærRegression_Valg[[#This Row],[Afhængig variabel ID]]&lt;&gt;LineærRegression_Valg[[#This Row],[Uafhængig variabel ID]]</f>
        <v>1</v>
      </c>
      <c r="E2026" s="188" t="b">
        <f>LineærRegression_Valg[[#This Row],[Afhængig variabel ID]]&lt;=$B$5</f>
        <v>0</v>
      </c>
      <c r="F2026" t="str" cm="1">
        <f t="array" ref="F2026">IF(LineærRegression_Valg[[#This Row],[Indenfor range]],INDEX(DataTitel_liste,LineærRegression_Valg[[#This Row],[Afhængig variabel ID]]),INDEX(DataTitel_liste,1))</f>
        <v>Eksempel 1 (interval)</v>
      </c>
      <c r="G2026" s="188" t="str" cm="1">
        <f t="array" ref="G2026">IF(LineærRegression_Valg[[#This Row],[Indenfor range]],IF(LineærRegression_Valg[[#This Row],[Intet overlap]],INDEX(DataTitel_liste,LineærRegression_Valg[[#This Row],[Uafhængig variabel ID]]),INDEX(DataTitel_liste,IF(LineærRegression_Valg[[#This Row],[Afhængig variabel ID]]=1,2,1))),$B$7)</f>
        <v>Eksempel 2 (interval)</v>
      </c>
      <c r="H2026" s="188">
        <f>_xlfn.AGGREGATE(2,5,LineærRegression_Valg[[#This Row],[Tabel ID]])</f>
        <v>1</v>
      </c>
    </row>
    <row r="2027" spans="1:8" x14ac:dyDescent="0.2">
      <c r="A2027">
        <f>ROW(LineærRegression_Valg[[#This Row],[Tabel ID]])-ROW(LineærRegression_Valg[[#Headers],[Tabel ID]])</f>
        <v>2017</v>
      </c>
      <c r="B2027" s="188">
        <f>ROUNDDOWN((LineærRegression_Valg[[#This Row],[Tabel ID]]-1)/$B$5,0)+1</f>
        <v>505</v>
      </c>
      <c r="C2027" s="188">
        <f t="shared" si="31"/>
        <v>1</v>
      </c>
      <c r="D2027" s="188" t="b">
        <f>LineærRegression_Valg[[#This Row],[Afhængig variabel ID]]&lt;&gt;LineærRegression_Valg[[#This Row],[Uafhængig variabel ID]]</f>
        <v>1</v>
      </c>
      <c r="E2027" s="188" t="b">
        <f>LineærRegression_Valg[[#This Row],[Afhængig variabel ID]]&lt;=$B$5</f>
        <v>0</v>
      </c>
      <c r="F2027" t="str" cm="1">
        <f t="array" ref="F2027">IF(LineærRegression_Valg[[#This Row],[Indenfor range]],INDEX(DataTitel_liste,LineærRegression_Valg[[#This Row],[Afhængig variabel ID]]),INDEX(DataTitel_liste,1))</f>
        <v>Eksempel 1 (interval)</v>
      </c>
      <c r="G2027" s="188" t="str" cm="1">
        <f t="array" ref="G2027">IF(LineærRegression_Valg[[#This Row],[Indenfor range]],IF(LineærRegression_Valg[[#This Row],[Intet overlap]],INDEX(DataTitel_liste,LineærRegression_Valg[[#This Row],[Uafhængig variabel ID]]),INDEX(DataTitel_liste,IF(LineærRegression_Valg[[#This Row],[Afhængig variabel ID]]=1,2,1))),$B$7)</f>
        <v>Eksempel 2 (interval)</v>
      </c>
      <c r="H2027" s="188">
        <f>_xlfn.AGGREGATE(2,5,LineærRegression_Valg[[#This Row],[Tabel ID]])</f>
        <v>1</v>
      </c>
    </row>
    <row r="2028" spans="1:8" x14ac:dyDescent="0.2">
      <c r="A2028">
        <f>ROW(LineærRegression_Valg[[#This Row],[Tabel ID]])-ROW(LineærRegression_Valg[[#Headers],[Tabel ID]])</f>
        <v>2018</v>
      </c>
      <c r="B2028" s="188">
        <f>ROUNDDOWN((LineærRegression_Valg[[#This Row],[Tabel ID]]-1)/$B$5,0)+1</f>
        <v>505</v>
      </c>
      <c r="C2028" s="188">
        <f t="shared" si="31"/>
        <v>2</v>
      </c>
      <c r="D2028" s="188" t="b">
        <f>LineærRegression_Valg[[#This Row],[Afhængig variabel ID]]&lt;&gt;LineærRegression_Valg[[#This Row],[Uafhængig variabel ID]]</f>
        <v>1</v>
      </c>
      <c r="E2028" s="188" t="b">
        <f>LineærRegression_Valg[[#This Row],[Afhængig variabel ID]]&lt;=$B$5</f>
        <v>0</v>
      </c>
      <c r="F2028" t="str" cm="1">
        <f t="array" ref="F2028">IF(LineærRegression_Valg[[#This Row],[Indenfor range]],INDEX(DataTitel_liste,LineærRegression_Valg[[#This Row],[Afhængig variabel ID]]),INDEX(DataTitel_liste,1))</f>
        <v>Eksempel 1 (interval)</v>
      </c>
      <c r="G2028" s="188" t="str" cm="1">
        <f t="array" ref="G2028">IF(LineærRegression_Valg[[#This Row],[Indenfor range]],IF(LineærRegression_Valg[[#This Row],[Intet overlap]],INDEX(DataTitel_liste,LineærRegression_Valg[[#This Row],[Uafhængig variabel ID]]),INDEX(DataTitel_liste,IF(LineærRegression_Valg[[#This Row],[Afhængig variabel ID]]=1,2,1))),$B$7)</f>
        <v>Eksempel 2 (interval)</v>
      </c>
      <c r="H2028" s="188">
        <f>_xlfn.AGGREGATE(2,5,LineærRegression_Valg[[#This Row],[Tabel ID]])</f>
        <v>1</v>
      </c>
    </row>
    <row r="2029" spans="1:8" x14ac:dyDescent="0.2">
      <c r="A2029">
        <f>ROW(LineærRegression_Valg[[#This Row],[Tabel ID]])-ROW(LineærRegression_Valg[[#Headers],[Tabel ID]])</f>
        <v>2019</v>
      </c>
      <c r="B2029" s="188">
        <f>ROUNDDOWN((LineærRegression_Valg[[#This Row],[Tabel ID]]-1)/$B$5,0)+1</f>
        <v>505</v>
      </c>
      <c r="C2029" s="188">
        <f t="shared" si="31"/>
        <v>3</v>
      </c>
      <c r="D2029" s="188" t="b">
        <f>LineærRegression_Valg[[#This Row],[Afhængig variabel ID]]&lt;&gt;LineærRegression_Valg[[#This Row],[Uafhængig variabel ID]]</f>
        <v>1</v>
      </c>
      <c r="E2029" s="188" t="b">
        <f>LineærRegression_Valg[[#This Row],[Afhængig variabel ID]]&lt;=$B$5</f>
        <v>0</v>
      </c>
      <c r="F2029" t="str" cm="1">
        <f t="array" ref="F2029">IF(LineærRegression_Valg[[#This Row],[Indenfor range]],INDEX(DataTitel_liste,LineærRegression_Valg[[#This Row],[Afhængig variabel ID]]),INDEX(DataTitel_liste,1))</f>
        <v>Eksempel 1 (interval)</v>
      </c>
      <c r="G2029" s="188" t="str" cm="1">
        <f t="array" ref="G2029">IF(LineærRegression_Valg[[#This Row],[Indenfor range]],IF(LineærRegression_Valg[[#This Row],[Intet overlap]],INDEX(DataTitel_liste,LineærRegression_Valg[[#This Row],[Uafhængig variabel ID]]),INDEX(DataTitel_liste,IF(LineærRegression_Valg[[#This Row],[Afhængig variabel ID]]=1,2,1))),$B$7)</f>
        <v>Eksempel 2 (interval)</v>
      </c>
      <c r="H2029" s="188">
        <f>_xlfn.AGGREGATE(2,5,LineærRegression_Valg[[#This Row],[Tabel ID]])</f>
        <v>1</v>
      </c>
    </row>
    <row r="2030" spans="1:8" x14ac:dyDescent="0.2">
      <c r="A2030">
        <f>ROW(LineærRegression_Valg[[#This Row],[Tabel ID]])-ROW(LineærRegression_Valg[[#Headers],[Tabel ID]])</f>
        <v>2020</v>
      </c>
      <c r="B2030" s="188">
        <f>ROUNDDOWN((LineærRegression_Valg[[#This Row],[Tabel ID]]-1)/$B$5,0)+1</f>
        <v>505</v>
      </c>
      <c r="C2030" s="188">
        <f t="shared" si="31"/>
        <v>4</v>
      </c>
      <c r="D2030" s="188" t="b">
        <f>LineærRegression_Valg[[#This Row],[Afhængig variabel ID]]&lt;&gt;LineærRegression_Valg[[#This Row],[Uafhængig variabel ID]]</f>
        <v>1</v>
      </c>
      <c r="E2030" s="188" t="b">
        <f>LineærRegression_Valg[[#This Row],[Afhængig variabel ID]]&lt;=$B$5</f>
        <v>0</v>
      </c>
      <c r="F2030" t="str" cm="1">
        <f t="array" ref="F2030">IF(LineærRegression_Valg[[#This Row],[Indenfor range]],INDEX(DataTitel_liste,LineærRegression_Valg[[#This Row],[Afhængig variabel ID]]),INDEX(DataTitel_liste,1))</f>
        <v>Eksempel 1 (interval)</v>
      </c>
      <c r="G2030" s="188" t="str" cm="1">
        <f t="array" ref="G2030">IF(LineærRegression_Valg[[#This Row],[Indenfor range]],IF(LineærRegression_Valg[[#This Row],[Intet overlap]],INDEX(DataTitel_liste,LineærRegression_Valg[[#This Row],[Uafhængig variabel ID]]),INDEX(DataTitel_liste,IF(LineærRegression_Valg[[#This Row],[Afhængig variabel ID]]=1,2,1))),$B$7)</f>
        <v>Eksempel 2 (interval)</v>
      </c>
      <c r="H2030" s="188">
        <f>_xlfn.AGGREGATE(2,5,LineærRegression_Valg[[#This Row],[Tabel ID]])</f>
        <v>1</v>
      </c>
    </row>
    <row r="2031" spans="1:8" x14ac:dyDescent="0.2">
      <c r="A2031">
        <f>ROW(LineærRegression_Valg[[#This Row],[Tabel ID]])-ROW(LineærRegression_Valg[[#Headers],[Tabel ID]])</f>
        <v>2021</v>
      </c>
      <c r="B2031" s="188">
        <f>ROUNDDOWN((LineærRegression_Valg[[#This Row],[Tabel ID]]-1)/$B$5,0)+1</f>
        <v>506</v>
      </c>
      <c r="C2031" s="188">
        <f t="shared" si="31"/>
        <v>1</v>
      </c>
      <c r="D2031" s="188" t="b">
        <f>LineærRegression_Valg[[#This Row],[Afhængig variabel ID]]&lt;&gt;LineærRegression_Valg[[#This Row],[Uafhængig variabel ID]]</f>
        <v>1</v>
      </c>
      <c r="E2031" s="188" t="b">
        <f>LineærRegression_Valg[[#This Row],[Afhængig variabel ID]]&lt;=$B$5</f>
        <v>0</v>
      </c>
      <c r="F2031" t="str" cm="1">
        <f t="array" ref="F2031">IF(LineærRegression_Valg[[#This Row],[Indenfor range]],INDEX(DataTitel_liste,LineærRegression_Valg[[#This Row],[Afhængig variabel ID]]),INDEX(DataTitel_liste,1))</f>
        <v>Eksempel 1 (interval)</v>
      </c>
      <c r="G2031" s="188" t="str" cm="1">
        <f t="array" ref="G2031">IF(LineærRegression_Valg[[#This Row],[Indenfor range]],IF(LineærRegression_Valg[[#This Row],[Intet overlap]],INDEX(DataTitel_liste,LineærRegression_Valg[[#This Row],[Uafhængig variabel ID]]),INDEX(DataTitel_liste,IF(LineærRegression_Valg[[#This Row],[Afhængig variabel ID]]=1,2,1))),$B$7)</f>
        <v>Eksempel 2 (interval)</v>
      </c>
      <c r="H2031" s="188">
        <f>_xlfn.AGGREGATE(2,5,LineærRegression_Valg[[#This Row],[Tabel ID]])</f>
        <v>1</v>
      </c>
    </row>
    <row r="2032" spans="1:8" x14ac:dyDescent="0.2">
      <c r="A2032">
        <f>ROW(LineærRegression_Valg[[#This Row],[Tabel ID]])-ROW(LineærRegression_Valg[[#Headers],[Tabel ID]])</f>
        <v>2022</v>
      </c>
      <c r="B2032" s="188">
        <f>ROUNDDOWN((LineærRegression_Valg[[#This Row],[Tabel ID]]-1)/$B$5,0)+1</f>
        <v>506</v>
      </c>
      <c r="C2032" s="188">
        <f t="shared" si="31"/>
        <v>2</v>
      </c>
      <c r="D2032" s="188" t="b">
        <f>LineærRegression_Valg[[#This Row],[Afhængig variabel ID]]&lt;&gt;LineærRegression_Valg[[#This Row],[Uafhængig variabel ID]]</f>
        <v>1</v>
      </c>
      <c r="E2032" s="188" t="b">
        <f>LineærRegression_Valg[[#This Row],[Afhængig variabel ID]]&lt;=$B$5</f>
        <v>0</v>
      </c>
      <c r="F2032" t="str" cm="1">
        <f t="array" ref="F2032">IF(LineærRegression_Valg[[#This Row],[Indenfor range]],INDEX(DataTitel_liste,LineærRegression_Valg[[#This Row],[Afhængig variabel ID]]),INDEX(DataTitel_liste,1))</f>
        <v>Eksempel 1 (interval)</v>
      </c>
      <c r="G2032" s="188" t="str" cm="1">
        <f t="array" ref="G2032">IF(LineærRegression_Valg[[#This Row],[Indenfor range]],IF(LineærRegression_Valg[[#This Row],[Intet overlap]],INDEX(DataTitel_liste,LineærRegression_Valg[[#This Row],[Uafhængig variabel ID]]),INDEX(DataTitel_liste,IF(LineærRegression_Valg[[#This Row],[Afhængig variabel ID]]=1,2,1))),$B$7)</f>
        <v>Eksempel 2 (interval)</v>
      </c>
      <c r="H2032" s="188">
        <f>_xlfn.AGGREGATE(2,5,LineærRegression_Valg[[#This Row],[Tabel ID]])</f>
        <v>1</v>
      </c>
    </row>
    <row r="2033" spans="1:8" x14ac:dyDescent="0.2">
      <c r="A2033">
        <f>ROW(LineærRegression_Valg[[#This Row],[Tabel ID]])-ROW(LineærRegression_Valg[[#Headers],[Tabel ID]])</f>
        <v>2023</v>
      </c>
      <c r="B2033" s="188">
        <f>ROUNDDOWN((LineærRegression_Valg[[#This Row],[Tabel ID]]-1)/$B$5,0)+1</f>
        <v>506</v>
      </c>
      <c r="C2033" s="188">
        <f t="shared" si="31"/>
        <v>3</v>
      </c>
      <c r="D2033" s="188" t="b">
        <f>LineærRegression_Valg[[#This Row],[Afhængig variabel ID]]&lt;&gt;LineærRegression_Valg[[#This Row],[Uafhængig variabel ID]]</f>
        <v>1</v>
      </c>
      <c r="E2033" s="188" t="b">
        <f>LineærRegression_Valg[[#This Row],[Afhængig variabel ID]]&lt;=$B$5</f>
        <v>0</v>
      </c>
      <c r="F2033" t="str" cm="1">
        <f t="array" ref="F2033">IF(LineærRegression_Valg[[#This Row],[Indenfor range]],INDEX(DataTitel_liste,LineærRegression_Valg[[#This Row],[Afhængig variabel ID]]),INDEX(DataTitel_liste,1))</f>
        <v>Eksempel 1 (interval)</v>
      </c>
      <c r="G2033" s="188" t="str" cm="1">
        <f t="array" ref="G2033">IF(LineærRegression_Valg[[#This Row],[Indenfor range]],IF(LineærRegression_Valg[[#This Row],[Intet overlap]],INDEX(DataTitel_liste,LineærRegression_Valg[[#This Row],[Uafhængig variabel ID]]),INDEX(DataTitel_liste,IF(LineærRegression_Valg[[#This Row],[Afhængig variabel ID]]=1,2,1))),$B$7)</f>
        <v>Eksempel 2 (interval)</v>
      </c>
      <c r="H2033" s="188">
        <f>_xlfn.AGGREGATE(2,5,LineærRegression_Valg[[#This Row],[Tabel ID]])</f>
        <v>1</v>
      </c>
    </row>
    <row r="2034" spans="1:8" x14ac:dyDescent="0.2">
      <c r="A2034">
        <f>ROW(LineærRegression_Valg[[#This Row],[Tabel ID]])-ROW(LineærRegression_Valg[[#Headers],[Tabel ID]])</f>
        <v>2024</v>
      </c>
      <c r="B2034" s="188">
        <f>ROUNDDOWN((LineærRegression_Valg[[#This Row],[Tabel ID]]-1)/$B$5,0)+1</f>
        <v>506</v>
      </c>
      <c r="C2034" s="188">
        <f t="shared" si="31"/>
        <v>4</v>
      </c>
      <c r="D2034" s="188" t="b">
        <f>LineærRegression_Valg[[#This Row],[Afhængig variabel ID]]&lt;&gt;LineærRegression_Valg[[#This Row],[Uafhængig variabel ID]]</f>
        <v>1</v>
      </c>
      <c r="E2034" s="188" t="b">
        <f>LineærRegression_Valg[[#This Row],[Afhængig variabel ID]]&lt;=$B$5</f>
        <v>0</v>
      </c>
      <c r="F2034" t="str" cm="1">
        <f t="array" ref="F2034">IF(LineærRegression_Valg[[#This Row],[Indenfor range]],INDEX(DataTitel_liste,LineærRegression_Valg[[#This Row],[Afhængig variabel ID]]),INDEX(DataTitel_liste,1))</f>
        <v>Eksempel 1 (interval)</v>
      </c>
      <c r="G2034" s="188" t="str" cm="1">
        <f t="array" ref="G2034">IF(LineærRegression_Valg[[#This Row],[Indenfor range]],IF(LineærRegression_Valg[[#This Row],[Intet overlap]],INDEX(DataTitel_liste,LineærRegression_Valg[[#This Row],[Uafhængig variabel ID]]),INDEX(DataTitel_liste,IF(LineærRegression_Valg[[#This Row],[Afhængig variabel ID]]=1,2,1))),$B$7)</f>
        <v>Eksempel 2 (interval)</v>
      </c>
      <c r="H2034" s="188">
        <f>_xlfn.AGGREGATE(2,5,LineærRegression_Valg[[#This Row],[Tabel ID]])</f>
        <v>1</v>
      </c>
    </row>
    <row r="2035" spans="1:8" x14ac:dyDescent="0.2">
      <c r="A2035">
        <f>ROW(LineærRegression_Valg[[#This Row],[Tabel ID]])-ROW(LineærRegression_Valg[[#Headers],[Tabel ID]])</f>
        <v>2025</v>
      </c>
      <c r="B2035" s="188">
        <f>ROUNDDOWN((LineærRegression_Valg[[#This Row],[Tabel ID]]-1)/$B$5,0)+1</f>
        <v>507</v>
      </c>
      <c r="C2035" s="188">
        <f t="shared" si="31"/>
        <v>1</v>
      </c>
      <c r="D2035" s="188" t="b">
        <f>LineærRegression_Valg[[#This Row],[Afhængig variabel ID]]&lt;&gt;LineærRegression_Valg[[#This Row],[Uafhængig variabel ID]]</f>
        <v>1</v>
      </c>
      <c r="E2035" s="188" t="b">
        <f>LineærRegression_Valg[[#This Row],[Afhængig variabel ID]]&lt;=$B$5</f>
        <v>0</v>
      </c>
      <c r="F2035" t="str" cm="1">
        <f t="array" ref="F2035">IF(LineærRegression_Valg[[#This Row],[Indenfor range]],INDEX(DataTitel_liste,LineærRegression_Valg[[#This Row],[Afhængig variabel ID]]),INDEX(DataTitel_liste,1))</f>
        <v>Eksempel 1 (interval)</v>
      </c>
      <c r="G2035" s="188" t="str" cm="1">
        <f t="array" ref="G2035">IF(LineærRegression_Valg[[#This Row],[Indenfor range]],IF(LineærRegression_Valg[[#This Row],[Intet overlap]],INDEX(DataTitel_liste,LineærRegression_Valg[[#This Row],[Uafhængig variabel ID]]),INDEX(DataTitel_liste,IF(LineærRegression_Valg[[#This Row],[Afhængig variabel ID]]=1,2,1))),$B$7)</f>
        <v>Eksempel 2 (interval)</v>
      </c>
      <c r="H2035" s="188">
        <f>_xlfn.AGGREGATE(2,5,LineærRegression_Valg[[#This Row],[Tabel ID]])</f>
        <v>1</v>
      </c>
    </row>
    <row r="2036" spans="1:8" x14ac:dyDescent="0.2">
      <c r="A2036">
        <f>ROW(LineærRegression_Valg[[#This Row],[Tabel ID]])-ROW(LineærRegression_Valg[[#Headers],[Tabel ID]])</f>
        <v>2026</v>
      </c>
      <c r="B2036" s="188">
        <f>ROUNDDOWN((LineærRegression_Valg[[#This Row],[Tabel ID]]-1)/$B$5,0)+1</f>
        <v>507</v>
      </c>
      <c r="C2036" s="188">
        <f t="shared" si="31"/>
        <v>2</v>
      </c>
      <c r="D2036" s="188" t="b">
        <f>LineærRegression_Valg[[#This Row],[Afhængig variabel ID]]&lt;&gt;LineærRegression_Valg[[#This Row],[Uafhængig variabel ID]]</f>
        <v>1</v>
      </c>
      <c r="E2036" s="188" t="b">
        <f>LineærRegression_Valg[[#This Row],[Afhængig variabel ID]]&lt;=$B$5</f>
        <v>0</v>
      </c>
      <c r="F2036" t="str" cm="1">
        <f t="array" ref="F2036">IF(LineærRegression_Valg[[#This Row],[Indenfor range]],INDEX(DataTitel_liste,LineærRegression_Valg[[#This Row],[Afhængig variabel ID]]),INDEX(DataTitel_liste,1))</f>
        <v>Eksempel 1 (interval)</v>
      </c>
      <c r="G2036" s="188" t="str" cm="1">
        <f t="array" ref="G2036">IF(LineærRegression_Valg[[#This Row],[Indenfor range]],IF(LineærRegression_Valg[[#This Row],[Intet overlap]],INDEX(DataTitel_liste,LineærRegression_Valg[[#This Row],[Uafhængig variabel ID]]),INDEX(DataTitel_liste,IF(LineærRegression_Valg[[#This Row],[Afhængig variabel ID]]=1,2,1))),$B$7)</f>
        <v>Eksempel 2 (interval)</v>
      </c>
      <c r="H2036" s="188">
        <f>_xlfn.AGGREGATE(2,5,LineærRegression_Valg[[#This Row],[Tabel ID]])</f>
        <v>1</v>
      </c>
    </row>
    <row r="2037" spans="1:8" x14ac:dyDescent="0.2">
      <c r="A2037">
        <f>ROW(LineærRegression_Valg[[#This Row],[Tabel ID]])-ROW(LineærRegression_Valg[[#Headers],[Tabel ID]])</f>
        <v>2027</v>
      </c>
      <c r="B2037" s="188">
        <f>ROUNDDOWN((LineærRegression_Valg[[#This Row],[Tabel ID]]-1)/$B$5,0)+1</f>
        <v>507</v>
      </c>
      <c r="C2037" s="188">
        <f t="shared" si="31"/>
        <v>3</v>
      </c>
      <c r="D2037" s="188" t="b">
        <f>LineærRegression_Valg[[#This Row],[Afhængig variabel ID]]&lt;&gt;LineærRegression_Valg[[#This Row],[Uafhængig variabel ID]]</f>
        <v>1</v>
      </c>
      <c r="E2037" s="188" t="b">
        <f>LineærRegression_Valg[[#This Row],[Afhængig variabel ID]]&lt;=$B$5</f>
        <v>0</v>
      </c>
      <c r="F2037" t="str" cm="1">
        <f t="array" ref="F2037">IF(LineærRegression_Valg[[#This Row],[Indenfor range]],INDEX(DataTitel_liste,LineærRegression_Valg[[#This Row],[Afhængig variabel ID]]),INDEX(DataTitel_liste,1))</f>
        <v>Eksempel 1 (interval)</v>
      </c>
      <c r="G2037" s="188" t="str" cm="1">
        <f t="array" ref="G2037">IF(LineærRegression_Valg[[#This Row],[Indenfor range]],IF(LineærRegression_Valg[[#This Row],[Intet overlap]],INDEX(DataTitel_liste,LineærRegression_Valg[[#This Row],[Uafhængig variabel ID]]),INDEX(DataTitel_liste,IF(LineærRegression_Valg[[#This Row],[Afhængig variabel ID]]=1,2,1))),$B$7)</f>
        <v>Eksempel 2 (interval)</v>
      </c>
      <c r="H2037" s="188">
        <f>_xlfn.AGGREGATE(2,5,LineærRegression_Valg[[#This Row],[Tabel ID]])</f>
        <v>1</v>
      </c>
    </row>
    <row r="2038" spans="1:8" x14ac:dyDescent="0.2">
      <c r="A2038">
        <f>ROW(LineærRegression_Valg[[#This Row],[Tabel ID]])-ROW(LineærRegression_Valg[[#Headers],[Tabel ID]])</f>
        <v>2028</v>
      </c>
      <c r="B2038" s="188">
        <f>ROUNDDOWN((LineærRegression_Valg[[#This Row],[Tabel ID]]-1)/$B$5,0)+1</f>
        <v>507</v>
      </c>
      <c r="C2038" s="188">
        <f t="shared" si="31"/>
        <v>4</v>
      </c>
      <c r="D2038" s="188" t="b">
        <f>LineærRegression_Valg[[#This Row],[Afhængig variabel ID]]&lt;&gt;LineærRegression_Valg[[#This Row],[Uafhængig variabel ID]]</f>
        <v>1</v>
      </c>
      <c r="E2038" s="188" t="b">
        <f>LineærRegression_Valg[[#This Row],[Afhængig variabel ID]]&lt;=$B$5</f>
        <v>0</v>
      </c>
      <c r="F2038" t="str" cm="1">
        <f t="array" ref="F2038">IF(LineærRegression_Valg[[#This Row],[Indenfor range]],INDEX(DataTitel_liste,LineærRegression_Valg[[#This Row],[Afhængig variabel ID]]),INDEX(DataTitel_liste,1))</f>
        <v>Eksempel 1 (interval)</v>
      </c>
      <c r="G2038" s="188" t="str" cm="1">
        <f t="array" ref="G2038">IF(LineærRegression_Valg[[#This Row],[Indenfor range]],IF(LineærRegression_Valg[[#This Row],[Intet overlap]],INDEX(DataTitel_liste,LineærRegression_Valg[[#This Row],[Uafhængig variabel ID]]),INDEX(DataTitel_liste,IF(LineærRegression_Valg[[#This Row],[Afhængig variabel ID]]=1,2,1))),$B$7)</f>
        <v>Eksempel 2 (interval)</v>
      </c>
      <c r="H2038" s="188">
        <f>_xlfn.AGGREGATE(2,5,LineærRegression_Valg[[#This Row],[Tabel ID]])</f>
        <v>1</v>
      </c>
    </row>
    <row r="2039" spans="1:8" x14ac:dyDescent="0.2">
      <c r="A2039">
        <f>ROW(LineærRegression_Valg[[#This Row],[Tabel ID]])-ROW(LineærRegression_Valg[[#Headers],[Tabel ID]])</f>
        <v>2029</v>
      </c>
      <c r="B2039" s="188">
        <f>ROUNDDOWN((LineærRegression_Valg[[#This Row],[Tabel ID]]-1)/$B$5,0)+1</f>
        <v>508</v>
      </c>
      <c r="C2039" s="188">
        <f t="shared" si="31"/>
        <v>1</v>
      </c>
      <c r="D2039" s="188" t="b">
        <f>LineærRegression_Valg[[#This Row],[Afhængig variabel ID]]&lt;&gt;LineærRegression_Valg[[#This Row],[Uafhængig variabel ID]]</f>
        <v>1</v>
      </c>
      <c r="E2039" s="188" t="b">
        <f>LineærRegression_Valg[[#This Row],[Afhængig variabel ID]]&lt;=$B$5</f>
        <v>0</v>
      </c>
      <c r="F2039" t="str" cm="1">
        <f t="array" ref="F2039">IF(LineærRegression_Valg[[#This Row],[Indenfor range]],INDEX(DataTitel_liste,LineærRegression_Valg[[#This Row],[Afhængig variabel ID]]),INDEX(DataTitel_liste,1))</f>
        <v>Eksempel 1 (interval)</v>
      </c>
      <c r="G2039" s="188" t="str" cm="1">
        <f t="array" ref="G2039">IF(LineærRegression_Valg[[#This Row],[Indenfor range]],IF(LineærRegression_Valg[[#This Row],[Intet overlap]],INDEX(DataTitel_liste,LineærRegression_Valg[[#This Row],[Uafhængig variabel ID]]),INDEX(DataTitel_liste,IF(LineærRegression_Valg[[#This Row],[Afhængig variabel ID]]=1,2,1))),$B$7)</f>
        <v>Eksempel 2 (interval)</v>
      </c>
      <c r="H2039" s="188">
        <f>_xlfn.AGGREGATE(2,5,LineærRegression_Valg[[#This Row],[Tabel ID]])</f>
        <v>1</v>
      </c>
    </row>
    <row r="2040" spans="1:8" x14ac:dyDescent="0.2">
      <c r="A2040">
        <f>ROW(LineærRegression_Valg[[#This Row],[Tabel ID]])-ROW(LineærRegression_Valg[[#Headers],[Tabel ID]])</f>
        <v>2030</v>
      </c>
      <c r="B2040" s="188">
        <f>ROUNDDOWN((LineærRegression_Valg[[#This Row],[Tabel ID]]-1)/$B$5,0)+1</f>
        <v>508</v>
      </c>
      <c r="C2040" s="188">
        <f t="shared" si="31"/>
        <v>2</v>
      </c>
      <c r="D2040" s="188" t="b">
        <f>LineærRegression_Valg[[#This Row],[Afhængig variabel ID]]&lt;&gt;LineærRegression_Valg[[#This Row],[Uafhængig variabel ID]]</f>
        <v>1</v>
      </c>
      <c r="E2040" s="188" t="b">
        <f>LineærRegression_Valg[[#This Row],[Afhængig variabel ID]]&lt;=$B$5</f>
        <v>0</v>
      </c>
      <c r="F2040" t="str" cm="1">
        <f t="array" ref="F2040">IF(LineærRegression_Valg[[#This Row],[Indenfor range]],INDEX(DataTitel_liste,LineærRegression_Valg[[#This Row],[Afhængig variabel ID]]),INDEX(DataTitel_liste,1))</f>
        <v>Eksempel 1 (interval)</v>
      </c>
      <c r="G2040" s="188" t="str" cm="1">
        <f t="array" ref="G2040">IF(LineærRegression_Valg[[#This Row],[Indenfor range]],IF(LineærRegression_Valg[[#This Row],[Intet overlap]],INDEX(DataTitel_liste,LineærRegression_Valg[[#This Row],[Uafhængig variabel ID]]),INDEX(DataTitel_liste,IF(LineærRegression_Valg[[#This Row],[Afhængig variabel ID]]=1,2,1))),$B$7)</f>
        <v>Eksempel 2 (interval)</v>
      </c>
      <c r="H2040" s="188">
        <f>_xlfn.AGGREGATE(2,5,LineærRegression_Valg[[#This Row],[Tabel ID]])</f>
        <v>1</v>
      </c>
    </row>
    <row r="2041" spans="1:8" x14ac:dyDescent="0.2">
      <c r="A2041">
        <f>ROW(LineærRegression_Valg[[#This Row],[Tabel ID]])-ROW(LineærRegression_Valg[[#Headers],[Tabel ID]])</f>
        <v>2031</v>
      </c>
      <c r="B2041" s="188">
        <f>ROUNDDOWN((LineærRegression_Valg[[#This Row],[Tabel ID]]-1)/$B$5,0)+1</f>
        <v>508</v>
      </c>
      <c r="C2041" s="188">
        <f t="shared" si="31"/>
        <v>3</v>
      </c>
      <c r="D2041" s="188" t="b">
        <f>LineærRegression_Valg[[#This Row],[Afhængig variabel ID]]&lt;&gt;LineærRegression_Valg[[#This Row],[Uafhængig variabel ID]]</f>
        <v>1</v>
      </c>
      <c r="E2041" s="188" t="b">
        <f>LineærRegression_Valg[[#This Row],[Afhængig variabel ID]]&lt;=$B$5</f>
        <v>0</v>
      </c>
      <c r="F2041" t="str" cm="1">
        <f t="array" ref="F2041">IF(LineærRegression_Valg[[#This Row],[Indenfor range]],INDEX(DataTitel_liste,LineærRegression_Valg[[#This Row],[Afhængig variabel ID]]),INDEX(DataTitel_liste,1))</f>
        <v>Eksempel 1 (interval)</v>
      </c>
      <c r="G2041" s="188" t="str" cm="1">
        <f t="array" ref="G2041">IF(LineærRegression_Valg[[#This Row],[Indenfor range]],IF(LineærRegression_Valg[[#This Row],[Intet overlap]],INDEX(DataTitel_liste,LineærRegression_Valg[[#This Row],[Uafhængig variabel ID]]),INDEX(DataTitel_liste,IF(LineærRegression_Valg[[#This Row],[Afhængig variabel ID]]=1,2,1))),$B$7)</f>
        <v>Eksempel 2 (interval)</v>
      </c>
      <c r="H2041" s="188">
        <f>_xlfn.AGGREGATE(2,5,LineærRegression_Valg[[#This Row],[Tabel ID]])</f>
        <v>1</v>
      </c>
    </row>
    <row r="2042" spans="1:8" x14ac:dyDescent="0.2">
      <c r="A2042">
        <f>ROW(LineærRegression_Valg[[#This Row],[Tabel ID]])-ROW(LineærRegression_Valg[[#Headers],[Tabel ID]])</f>
        <v>2032</v>
      </c>
      <c r="B2042" s="188">
        <f>ROUNDDOWN((LineærRegression_Valg[[#This Row],[Tabel ID]]-1)/$B$5,0)+1</f>
        <v>508</v>
      </c>
      <c r="C2042" s="188">
        <f t="shared" si="31"/>
        <v>4</v>
      </c>
      <c r="D2042" s="188" t="b">
        <f>LineærRegression_Valg[[#This Row],[Afhængig variabel ID]]&lt;&gt;LineærRegression_Valg[[#This Row],[Uafhængig variabel ID]]</f>
        <v>1</v>
      </c>
      <c r="E2042" s="188" t="b">
        <f>LineærRegression_Valg[[#This Row],[Afhængig variabel ID]]&lt;=$B$5</f>
        <v>0</v>
      </c>
      <c r="F2042" t="str" cm="1">
        <f t="array" ref="F2042">IF(LineærRegression_Valg[[#This Row],[Indenfor range]],INDEX(DataTitel_liste,LineærRegression_Valg[[#This Row],[Afhængig variabel ID]]),INDEX(DataTitel_liste,1))</f>
        <v>Eksempel 1 (interval)</v>
      </c>
      <c r="G2042" s="188" t="str" cm="1">
        <f t="array" ref="G2042">IF(LineærRegression_Valg[[#This Row],[Indenfor range]],IF(LineærRegression_Valg[[#This Row],[Intet overlap]],INDEX(DataTitel_liste,LineærRegression_Valg[[#This Row],[Uafhængig variabel ID]]),INDEX(DataTitel_liste,IF(LineærRegression_Valg[[#This Row],[Afhængig variabel ID]]=1,2,1))),$B$7)</f>
        <v>Eksempel 2 (interval)</v>
      </c>
      <c r="H2042" s="188">
        <f>_xlfn.AGGREGATE(2,5,LineærRegression_Valg[[#This Row],[Tabel ID]])</f>
        <v>1</v>
      </c>
    </row>
    <row r="2043" spans="1:8" x14ac:dyDescent="0.2">
      <c r="A2043">
        <f>ROW(LineærRegression_Valg[[#This Row],[Tabel ID]])-ROW(LineærRegression_Valg[[#Headers],[Tabel ID]])</f>
        <v>2033</v>
      </c>
      <c r="B2043" s="188">
        <f>ROUNDDOWN((LineærRegression_Valg[[#This Row],[Tabel ID]]-1)/$B$5,0)+1</f>
        <v>509</v>
      </c>
      <c r="C2043" s="188">
        <f t="shared" si="31"/>
        <v>1</v>
      </c>
      <c r="D2043" s="188" t="b">
        <f>LineærRegression_Valg[[#This Row],[Afhængig variabel ID]]&lt;&gt;LineærRegression_Valg[[#This Row],[Uafhængig variabel ID]]</f>
        <v>1</v>
      </c>
      <c r="E2043" s="188" t="b">
        <f>LineærRegression_Valg[[#This Row],[Afhængig variabel ID]]&lt;=$B$5</f>
        <v>0</v>
      </c>
      <c r="F2043" t="str" cm="1">
        <f t="array" ref="F2043">IF(LineærRegression_Valg[[#This Row],[Indenfor range]],INDEX(DataTitel_liste,LineærRegression_Valg[[#This Row],[Afhængig variabel ID]]),INDEX(DataTitel_liste,1))</f>
        <v>Eksempel 1 (interval)</v>
      </c>
      <c r="G2043" s="188" t="str" cm="1">
        <f t="array" ref="G2043">IF(LineærRegression_Valg[[#This Row],[Indenfor range]],IF(LineærRegression_Valg[[#This Row],[Intet overlap]],INDEX(DataTitel_liste,LineærRegression_Valg[[#This Row],[Uafhængig variabel ID]]),INDEX(DataTitel_liste,IF(LineærRegression_Valg[[#This Row],[Afhængig variabel ID]]=1,2,1))),$B$7)</f>
        <v>Eksempel 2 (interval)</v>
      </c>
      <c r="H2043" s="188">
        <f>_xlfn.AGGREGATE(2,5,LineærRegression_Valg[[#This Row],[Tabel ID]])</f>
        <v>1</v>
      </c>
    </row>
    <row r="2044" spans="1:8" x14ac:dyDescent="0.2">
      <c r="A2044">
        <f>ROW(LineærRegression_Valg[[#This Row],[Tabel ID]])-ROW(LineærRegression_Valg[[#Headers],[Tabel ID]])</f>
        <v>2034</v>
      </c>
      <c r="B2044" s="188">
        <f>ROUNDDOWN((LineærRegression_Valg[[#This Row],[Tabel ID]]-1)/$B$5,0)+1</f>
        <v>509</v>
      </c>
      <c r="C2044" s="188">
        <f t="shared" si="31"/>
        <v>2</v>
      </c>
      <c r="D2044" s="188" t="b">
        <f>LineærRegression_Valg[[#This Row],[Afhængig variabel ID]]&lt;&gt;LineærRegression_Valg[[#This Row],[Uafhængig variabel ID]]</f>
        <v>1</v>
      </c>
      <c r="E2044" s="188" t="b">
        <f>LineærRegression_Valg[[#This Row],[Afhængig variabel ID]]&lt;=$B$5</f>
        <v>0</v>
      </c>
      <c r="F2044" t="str" cm="1">
        <f t="array" ref="F2044">IF(LineærRegression_Valg[[#This Row],[Indenfor range]],INDEX(DataTitel_liste,LineærRegression_Valg[[#This Row],[Afhængig variabel ID]]),INDEX(DataTitel_liste,1))</f>
        <v>Eksempel 1 (interval)</v>
      </c>
      <c r="G2044" s="188" t="str" cm="1">
        <f t="array" ref="G2044">IF(LineærRegression_Valg[[#This Row],[Indenfor range]],IF(LineærRegression_Valg[[#This Row],[Intet overlap]],INDEX(DataTitel_liste,LineærRegression_Valg[[#This Row],[Uafhængig variabel ID]]),INDEX(DataTitel_liste,IF(LineærRegression_Valg[[#This Row],[Afhængig variabel ID]]=1,2,1))),$B$7)</f>
        <v>Eksempel 2 (interval)</v>
      </c>
      <c r="H2044" s="188">
        <f>_xlfn.AGGREGATE(2,5,LineærRegression_Valg[[#This Row],[Tabel ID]])</f>
        <v>1</v>
      </c>
    </row>
    <row r="2045" spans="1:8" x14ac:dyDescent="0.2">
      <c r="A2045">
        <f>ROW(LineærRegression_Valg[[#This Row],[Tabel ID]])-ROW(LineærRegression_Valg[[#Headers],[Tabel ID]])</f>
        <v>2035</v>
      </c>
      <c r="B2045" s="188">
        <f>ROUNDDOWN((LineærRegression_Valg[[#This Row],[Tabel ID]]-1)/$B$5,0)+1</f>
        <v>509</v>
      </c>
      <c r="C2045" s="188">
        <f t="shared" si="31"/>
        <v>3</v>
      </c>
      <c r="D2045" s="188" t="b">
        <f>LineærRegression_Valg[[#This Row],[Afhængig variabel ID]]&lt;&gt;LineærRegression_Valg[[#This Row],[Uafhængig variabel ID]]</f>
        <v>1</v>
      </c>
      <c r="E2045" s="188" t="b">
        <f>LineærRegression_Valg[[#This Row],[Afhængig variabel ID]]&lt;=$B$5</f>
        <v>0</v>
      </c>
      <c r="F2045" t="str" cm="1">
        <f t="array" ref="F2045">IF(LineærRegression_Valg[[#This Row],[Indenfor range]],INDEX(DataTitel_liste,LineærRegression_Valg[[#This Row],[Afhængig variabel ID]]),INDEX(DataTitel_liste,1))</f>
        <v>Eksempel 1 (interval)</v>
      </c>
      <c r="G2045" s="188" t="str" cm="1">
        <f t="array" ref="G2045">IF(LineærRegression_Valg[[#This Row],[Indenfor range]],IF(LineærRegression_Valg[[#This Row],[Intet overlap]],INDEX(DataTitel_liste,LineærRegression_Valg[[#This Row],[Uafhængig variabel ID]]),INDEX(DataTitel_liste,IF(LineærRegression_Valg[[#This Row],[Afhængig variabel ID]]=1,2,1))),$B$7)</f>
        <v>Eksempel 2 (interval)</v>
      </c>
      <c r="H2045" s="188">
        <f>_xlfn.AGGREGATE(2,5,LineærRegression_Valg[[#This Row],[Tabel ID]])</f>
        <v>1</v>
      </c>
    </row>
    <row r="2046" spans="1:8" x14ac:dyDescent="0.2">
      <c r="A2046">
        <f>ROW(LineærRegression_Valg[[#This Row],[Tabel ID]])-ROW(LineærRegression_Valg[[#Headers],[Tabel ID]])</f>
        <v>2036</v>
      </c>
      <c r="B2046" s="188">
        <f>ROUNDDOWN((LineærRegression_Valg[[#This Row],[Tabel ID]]-1)/$B$5,0)+1</f>
        <v>509</v>
      </c>
      <c r="C2046" s="188">
        <f t="shared" si="31"/>
        <v>4</v>
      </c>
      <c r="D2046" s="188" t="b">
        <f>LineærRegression_Valg[[#This Row],[Afhængig variabel ID]]&lt;&gt;LineærRegression_Valg[[#This Row],[Uafhængig variabel ID]]</f>
        <v>1</v>
      </c>
      <c r="E2046" s="188" t="b">
        <f>LineærRegression_Valg[[#This Row],[Afhængig variabel ID]]&lt;=$B$5</f>
        <v>0</v>
      </c>
      <c r="F2046" t="str" cm="1">
        <f t="array" ref="F2046">IF(LineærRegression_Valg[[#This Row],[Indenfor range]],INDEX(DataTitel_liste,LineærRegression_Valg[[#This Row],[Afhængig variabel ID]]),INDEX(DataTitel_liste,1))</f>
        <v>Eksempel 1 (interval)</v>
      </c>
      <c r="G2046" s="188" t="str" cm="1">
        <f t="array" ref="G2046">IF(LineærRegression_Valg[[#This Row],[Indenfor range]],IF(LineærRegression_Valg[[#This Row],[Intet overlap]],INDEX(DataTitel_liste,LineærRegression_Valg[[#This Row],[Uafhængig variabel ID]]),INDEX(DataTitel_liste,IF(LineærRegression_Valg[[#This Row],[Afhængig variabel ID]]=1,2,1))),$B$7)</f>
        <v>Eksempel 2 (interval)</v>
      </c>
      <c r="H2046" s="188">
        <f>_xlfn.AGGREGATE(2,5,LineærRegression_Valg[[#This Row],[Tabel ID]])</f>
        <v>1</v>
      </c>
    </row>
    <row r="2047" spans="1:8" x14ac:dyDescent="0.2">
      <c r="A2047">
        <f>ROW(LineærRegression_Valg[[#This Row],[Tabel ID]])-ROW(LineærRegression_Valg[[#Headers],[Tabel ID]])</f>
        <v>2037</v>
      </c>
      <c r="B2047" s="188">
        <f>ROUNDDOWN((LineærRegression_Valg[[#This Row],[Tabel ID]]-1)/$B$5,0)+1</f>
        <v>510</v>
      </c>
      <c r="C2047" s="188">
        <f t="shared" si="31"/>
        <v>1</v>
      </c>
      <c r="D2047" s="188" t="b">
        <f>LineærRegression_Valg[[#This Row],[Afhængig variabel ID]]&lt;&gt;LineærRegression_Valg[[#This Row],[Uafhængig variabel ID]]</f>
        <v>1</v>
      </c>
      <c r="E2047" s="188" t="b">
        <f>LineærRegression_Valg[[#This Row],[Afhængig variabel ID]]&lt;=$B$5</f>
        <v>0</v>
      </c>
      <c r="F2047" t="str" cm="1">
        <f t="array" ref="F2047">IF(LineærRegression_Valg[[#This Row],[Indenfor range]],INDEX(DataTitel_liste,LineærRegression_Valg[[#This Row],[Afhængig variabel ID]]),INDEX(DataTitel_liste,1))</f>
        <v>Eksempel 1 (interval)</v>
      </c>
      <c r="G2047" s="188" t="str" cm="1">
        <f t="array" ref="G2047">IF(LineærRegression_Valg[[#This Row],[Indenfor range]],IF(LineærRegression_Valg[[#This Row],[Intet overlap]],INDEX(DataTitel_liste,LineærRegression_Valg[[#This Row],[Uafhængig variabel ID]]),INDEX(DataTitel_liste,IF(LineærRegression_Valg[[#This Row],[Afhængig variabel ID]]=1,2,1))),$B$7)</f>
        <v>Eksempel 2 (interval)</v>
      </c>
      <c r="H2047" s="188">
        <f>_xlfn.AGGREGATE(2,5,LineærRegression_Valg[[#This Row],[Tabel ID]])</f>
        <v>1</v>
      </c>
    </row>
    <row r="2048" spans="1:8" x14ac:dyDescent="0.2">
      <c r="A2048">
        <f>ROW(LineærRegression_Valg[[#This Row],[Tabel ID]])-ROW(LineærRegression_Valg[[#Headers],[Tabel ID]])</f>
        <v>2038</v>
      </c>
      <c r="B2048" s="188">
        <f>ROUNDDOWN((LineærRegression_Valg[[#This Row],[Tabel ID]]-1)/$B$5,0)+1</f>
        <v>510</v>
      </c>
      <c r="C2048" s="188">
        <f t="shared" si="31"/>
        <v>2</v>
      </c>
      <c r="D2048" s="188" t="b">
        <f>LineærRegression_Valg[[#This Row],[Afhængig variabel ID]]&lt;&gt;LineærRegression_Valg[[#This Row],[Uafhængig variabel ID]]</f>
        <v>1</v>
      </c>
      <c r="E2048" s="188" t="b">
        <f>LineærRegression_Valg[[#This Row],[Afhængig variabel ID]]&lt;=$B$5</f>
        <v>0</v>
      </c>
      <c r="F2048" t="str" cm="1">
        <f t="array" ref="F2048">IF(LineærRegression_Valg[[#This Row],[Indenfor range]],INDEX(DataTitel_liste,LineærRegression_Valg[[#This Row],[Afhængig variabel ID]]),INDEX(DataTitel_liste,1))</f>
        <v>Eksempel 1 (interval)</v>
      </c>
      <c r="G2048" s="188" t="str" cm="1">
        <f t="array" ref="G2048">IF(LineærRegression_Valg[[#This Row],[Indenfor range]],IF(LineærRegression_Valg[[#This Row],[Intet overlap]],INDEX(DataTitel_liste,LineærRegression_Valg[[#This Row],[Uafhængig variabel ID]]),INDEX(DataTitel_liste,IF(LineærRegression_Valg[[#This Row],[Afhængig variabel ID]]=1,2,1))),$B$7)</f>
        <v>Eksempel 2 (interval)</v>
      </c>
      <c r="H2048" s="188">
        <f>_xlfn.AGGREGATE(2,5,LineærRegression_Valg[[#This Row],[Tabel ID]])</f>
        <v>1</v>
      </c>
    </row>
    <row r="2049" spans="1:8" x14ac:dyDescent="0.2">
      <c r="A2049">
        <f>ROW(LineærRegression_Valg[[#This Row],[Tabel ID]])-ROW(LineærRegression_Valg[[#Headers],[Tabel ID]])</f>
        <v>2039</v>
      </c>
      <c r="B2049" s="188">
        <f>ROUNDDOWN((LineærRegression_Valg[[#This Row],[Tabel ID]]-1)/$B$5,0)+1</f>
        <v>510</v>
      </c>
      <c r="C2049" s="188">
        <f t="shared" si="31"/>
        <v>3</v>
      </c>
      <c r="D2049" s="188" t="b">
        <f>LineærRegression_Valg[[#This Row],[Afhængig variabel ID]]&lt;&gt;LineærRegression_Valg[[#This Row],[Uafhængig variabel ID]]</f>
        <v>1</v>
      </c>
      <c r="E2049" s="188" t="b">
        <f>LineærRegression_Valg[[#This Row],[Afhængig variabel ID]]&lt;=$B$5</f>
        <v>0</v>
      </c>
      <c r="F2049" t="str" cm="1">
        <f t="array" ref="F2049">IF(LineærRegression_Valg[[#This Row],[Indenfor range]],INDEX(DataTitel_liste,LineærRegression_Valg[[#This Row],[Afhængig variabel ID]]),INDEX(DataTitel_liste,1))</f>
        <v>Eksempel 1 (interval)</v>
      </c>
      <c r="G2049" s="188" t="str" cm="1">
        <f t="array" ref="G2049">IF(LineærRegression_Valg[[#This Row],[Indenfor range]],IF(LineærRegression_Valg[[#This Row],[Intet overlap]],INDEX(DataTitel_liste,LineærRegression_Valg[[#This Row],[Uafhængig variabel ID]]),INDEX(DataTitel_liste,IF(LineærRegression_Valg[[#This Row],[Afhængig variabel ID]]=1,2,1))),$B$7)</f>
        <v>Eksempel 2 (interval)</v>
      </c>
      <c r="H2049" s="188">
        <f>_xlfn.AGGREGATE(2,5,LineærRegression_Valg[[#This Row],[Tabel ID]])</f>
        <v>1</v>
      </c>
    </row>
    <row r="2050" spans="1:8" x14ac:dyDescent="0.2">
      <c r="A2050">
        <f>ROW(LineærRegression_Valg[[#This Row],[Tabel ID]])-ROW(LineærRegression_Valg[[#Headers],[Tabel ID]])</f>
        <v>2040</v>
      </c>
      <c r="B2050" s="188">
        <f>ROUNDDOWN((LineærRegression_Valg[[#This Row],[Tabel ID]]-1)/$B$5,0)+1</f>
        <v>510</v>
      </c>
      <c r="C2050" s="188">
        <f t="shared" si="31"/>
        <v>4</v>
      </c>
      <c r="D2050" s="188" t="b">
        <f>LineærRegression_Valg[[#This Row],[Afhængig variabel ID]]&lt;&gt;LineærRegression_Valg[[#This Row],[Uafhængig variabel ID]]</f>
        <v>1</v>
      </c>
      <c r="E2050" s="188" t="b">
        <f>LineærRegression_Valg[[#This Row],[Afhængig variabel ID]]&lt;=$B$5</f>
        <v>0</v>
      </c>
      <c r="F2050" t="str" cm="1">
        <f t="array" ref="F2050">IF(LineærRegression_Valg[[#This Row],[Indenfor range]],INDEX(DataTitel_liste,LineærRegression_Valg[[#This Row],[Afhængig variabel ID]]),INDEX(DataTitel_liste,1))</f>
        <v>Eksempel 1 (interval)</v>
      </c>
      <c r="G2050" s="188" t="str" cm="1">
        <f t="array" ref="G2050">IF(LineærRegression_Valg[[#This Row],[Indenfor range]],IF(LineærRegression_Valg[[#This Row],[Intet overlap]],INDEX(DataTitel_liste,LineærRegression_Valg[[#This Row],[Uafhængig variabel ID]]),INDEX(DataTitel_liste,IF(LineærRegression_Valg[[#This Row],[Afhængig variabel ID]]=1,2,1))),$B$7)</f>
        <v>Eksempel 2 (interval)</v>
      </c>
      <c r="H2050" s="188">
        <f>_xlfn.AGGREGATE(2,5,LineærRegression_Valg[[#This Row],[Tabel ID]])</f>
        <v>1</v>
      </c>
    </row>
    <row r="2051" spans="1:8" x14ac:dyDescent="0.2">
      <c r="A2051">
        <f>ROW(LineærRegression_Valg[[#This Row],[Tabel ID]])-ROW(LineærRegression_Valg[[#Headers],[Tabel ID]])</f>
        <v>2041</v>
      </c>
      <c r="B2051" s="188">
        <f>ROUNDDOWN((LineærRegression_Valg[[#This Row],[Tabel ID]]-1)/$B$5,0)+1</f>
        <v>511</v>
      </c>
      <c r="C2051" s="188">
        <f t="shared" si="31"/>
        <v>1</v>
      </c>
      <c r="D2051" s="188" t="b">
        <f>LineærRegression_Valg[[#This Row],[Afhængig variabel ID]]&lt;&gt;LineærRegression_Valg[[#This Row],[Uafhængig variabel ID]]</f>
        <v>1</v>
      </c>
      <c r="E2051" s="188" t="b">
        <f>LineærRegression_Valg[[#This Row],[Afhængig variabel ID]]&lt;=$B$5</f>
        <v>0</v>
      </c>
      <c r="F2051" t="str" cm="1">
        <f t="array" ref="F2051">IF(LineærRegression_Valg[[#This Row],[Indenfor range]],INDEX(DataTitel_liste,LineærRegression_Valg[[#This Row],[Afhængig variabel ID]]),INDEX(DataTitel_liste,1))</f>
        <v>Eksempel 1 (interval)</v>
      </c>
      <c r="G2051" s="188" t="str" cm="1">
        <f t="array" ref="G2051">IF(LineærRegression_Valg[[#This Row],[Indenfor range]],IF(LineærRegression_Valg[[#This Row],[Intet overlap]],INDEX(DataTitel_liste,LineærRegression_Valg[[#This Row],[Uafhængig variabel ID]]),INDEX(DataTitel_liste,IF(LineærRegression_Valg[[#This Row],[Afhængig variabel ID]]=1,2,1))),$B$7)</f>
        <v>Eksempel 2 (interval)</v>
      </c>
      <c r="H2051" s="188">
        <f>_xlfn.AGGREGATE(2,5,LineærRegression_Valg[[#This Row],[Tabel ID]])</f>
        <v>1</v>
      </c>
    </row>
    <row r="2052" spans="1:8" x14ac:dyDescent="0.2">
      <c r="A2052">
        <f>ROW(LineærRegression_Valg[[#This Row],[Tabel ID]])-ROW(LineærRegression_Valg[[#Headers],[Tabel ID]])</f>
        <v>2042</v>
      </c>
      <c r="B2052" s="188">
        <f>ROUNDDOWN((LineærRegression_Valg[[#This Row],[Tabel ID]]-1)/$B$5,0)+1</f>
        <v>511</v>
      </c>
      <c r="C2052" s="188">
        <f t="shared" si="31"/>
        <v>2</v>
      </c>
      <c r="D2052" s="188" t="b">
        <f>LineærRegression_Valg[[#This Row],[Afhængig variabel ID]]&lt;&gt;LineærRegression_Valg[[#This Row],[Uafhængig variabel ID]]</f>
        <v>1</v>
      </c>
      <c r="E2052" s="188" t="b">
        <f>LineærRegression_Valg[[#This Row],[Afhængig variabel ID]]&lt;=$B$5</f>
        <v>0</v>
      </c>
      <c r="F2052" t="str" cm="1">
        <f t="array" ref="F2052">IF(LineærRegression_Valg[[#This Row],[Indenfor range]],INDEX(DataTitel_liste,LineærRegression_Valg[[#This Row],[Afhængig variabel ID]]),INDEX(DataTitel_liste,1))</f>
        <v>Eksempel 1 (interval)</v>
      </c>
      <c r="G2052" s="188" t="str" cm="1">
        <f t="array" ref="G2052">IF(LineærRegression_Valg[[#This Row],[Indenfor range]],IF(LineærRegression_Valg[[#This Row],[Intet overlap]],INDEX(DataTitel_liste,LineærRegression_Valg[[#This Row],[Uafhængig variabel ID]]),INDEX(DataTitel_liste,IF(LineærRegression_Valg[[#This Row],[Afhængig variabel ID]]=1,2,1))),$B$7)</f>
        <v>Eksempel 2 (interval)</v>
      </c>
      <c r="H2052" s="188">
        <f>_xlfn.AGGREGATE(2,5,LineærRegression_Valg[[#This Row],[Tabel ID]])</f>
        <v>1</v>
      </c>
    </row>
    <row r="2053" spans="1:8" x14ac:dyDescent="0.2">
      <c r="A2053">
        <f>ROW(LineærRegression_Valg[[#This Row],[Tabel ID]])-ROW(LineærRegression_Valg[[#Headers],[Tabel ID]])</f>
        <v>2043</v>
      </c>
      <c r="B2053" s="188">
        <f>ROUNDDOWN((LineærRegression_Valg[[#This Row],[Tabel ID]]-1)/$B$5,0)+1</f>
        <v>511</v>
      </c>
      <c r="C2053" s="188">
        <f t="shared" si="31"/>
        <v>3</v>
      </c>
      <c r="D2053" s="188" t="b">
        <f>LineærRegression_Valg[[#This Row],[Afhængig variabel ID]]&lt;&gt;LineærRegression_Valg[[#This Row],[Uafhængig variabel ID]]</f>
        <v>1</v>
      </c>
      <c r="E2053" s="188" t="b">
        <f>LineærRegression_Valg[[#This Row],[Afhængig variabel ID]]&lt;=$B$5</f>
        <v>0</v>
      </c>
      <c r="F2053" t="str" cm="1">
        <f t="array" ref="F2053">IF(LineærRegression_Valg[[#This Row],[Indenfor range]],INDEX(DataTitel_liste,LineærRegression_Valg[[#This Row],[Afhængig variabel ID]]),INDEX(DataTitel_liste,1))</f>
        <v>Eksempel 1 (interval)</v>
      </c>
      <c r="G2053" s="188" t="str" cm="1">
        <f t="array" ref="G2053">IF(LineærRegression_Valg[[#This Row],[Indenfor range]],IF(LineærRegression_Valg[[#This Row],[Intet overlap]],INDEX(DataTitel_liste,LineærRegression_Valg[[#This Row],[Uafhængig variabel ID]]),INDEX(DataTitel_liste,IF(LineærRegression_Valg[[#This Row],[Afhængig variabel ID]]=1,2,1))),$B$7)</f>
        <v>Eksempel 2 (interval)</v>
      </c>
      <c r="H2053" s="188">
        <f>_xlfn.AGGREGATE(2,5,LineærRegression_Valg[[#This Row],[Tabel ID]])</f>
        <v>1</v>
      </c>
    </row>
    <row r="2054" spans="1:8" x14ac:dyDescent="0.2">
      <c r="A2054">
        <f>ROW(LineærRegression_Valg[[#This Row],[Tabel ID]])-ROW(LineærRegression_Valg[[#Headers],[Tabel ID]])</f>
        <v>2044</v>
      </c>
      <c r="B2054" s="188">
        <f>ROUNDDOWN((LineærRegression_Valg[[#This Row],[Tabel ID]]-1)/$B$5,0)+1</f>
        <v>511</v>
      </c>
      <c r="C2054" s="188">
        <f t="shared" si="31"/>
        <v>4</v>
      </c>
      <c r="D2054" s="188" t="b">
        <f>LineærRegression_Valg[[#This Row],[Afhængig variabel ID]]&lt;&gt;LineærRegression_Valg[[#This Row],[Uafhængig variabel ID]]</f>
        <v>1</v>
      </c>
      <c r="E2054" s="188" t="b">
        <f>LineærRegression_Valg[[#This Row],[Afhængig variabel ID]]&lt;=$B$5</f>
        <v>0</v>
      </c>
      <c r="F2054" t="str" cm="1">
        <f t="array" ref="F2054">IF(LineærRegression_Valg[[#This Row],[Indenfor range]],INDEX(DataTitel_liste,LineærRegression_Valg[[#This Row],[Afhængig variabel ID]]),INDEX(DataTitel_liste,1))</f>
        <v>Eksempel 1 (interval)</v>
      </c>
      <c r="G2054" s="188" t="str" cm="1">
        <f t="array" ref="G2054">IF(LineærRegression_Valg[[#This Row],[Indenfor range]],IF(LineærRegression_Valg[[#This Row],[Intet overlap]],INDEX(DataTitel_liste,LineærRegression_Valg[[#This Row],[Uafhængig variabel ID]]),INDEX(DataTitel_liste,IF(LineærRegression_Valg[[#This Row],[Afhængig variabel ID]]=1,2,1))),$B$7)</f>
        <v>Eksempel 2 (interval)</v>
      </c>
      <c r="H2054" s="188">
        <f>_xlfn.AGGREGATE(2,5,LineærRegression_Valg[[#This Row],[Tabel ID]])</f>
        <v>1</v>
      </c>
    </row>
    <row r="2055" spans="1:8" x14ac:dyDescent="0.2">
      <c r="A2055">
        <f>ROW(LineærRegression_Valg[[#This Row],[Tabel ID]])-ROW(LineærRegression_Valg[[#Headers],[Tabel ID]])</f>
        <v>2045</v>
      </c>
      <c r="B2055" s="188">
        <f>ROUNDDOWN((LineærRegression_Valg[[#This Row],[Tabel ID]]-1)/$B$5,0)+1</f>
        <v>512</v>
      </c>
      <c r="C2055" s="188">
        <f t="shared" si="31"/>
        <v>1</v>
      </c>
      <c r="D2055" s="188" t="b">
        <f>LineærRegression_Valg[[#This Row],[Afhængig variabel ID]]&lt;&gt;LineærRegression_Valg[[#This Row],[Uafhængig variabel ID]]</f>
        <v>1</v>
      </c>
      <c r="E2055" s="188" t="b">
        <f>LineærRegression_Valg[[#This Row],[Afhængig variabel ID]]&lt;=$B$5</f>
        <v>0</v>
      </c>
      <c r="F2055" t="str" cm="1">
        <f t="array" ref="F2055">IF(LineærRegression_Valg[[#This Row],[Indenfor range]],INDEX(DataTitel_liste,LineærRegression_Valg[[#This Row],[Afhængig variabel ID]]),INDEX(DataTitel_liste,1))</f>
        <v>Eksempel 1 (interval)</v>
      </c>
      <c r="G2055" s="188" t="str" cm="1">
        <f t="array" ref="G2055">IF(LineærRegression_Valg[[#This Row],[Indenfor range]],IF(LineærRegression_Valg[[#This Row],[Intet overlap]],INDEX(DataTitel_liste,LineærRegression_Valg[[#This Row],[Uafhængig variabel ID]]),INDEX(DataTitel_liste,IF(LineærRegression_Valg[[#This Row],[Afhængig variabel ID]]=1,2,1))),$B$7)</f>
        <v>Eksempel 2 (interval)</v>
      </c>
      <c r="H2055" s="188">
        <f>_xlfn.AGGREGATE(2,5,LineærRegression_Valg[[#This Row],[Tabel ID]])</f>
        <v>1</v>
      </c>
    </row>
    <row r="2056" spans="1:8" x14ac:dyDescent="0.2">
      <c r="A2056">
        <f>ROW(LineærRegression_Valg[[#This Row],[Tabel ID]])-ROW(LineærRegression_Valg[[#Headers],[Tabel ID]])</f>
        <v>2046</v>
      </c>
      <c r="B2056" s="188">
        <f>ROUNDDOWN((LineærRegression_Valg[[#This Row],[Tabel ID]]-1)/$B$5,0)+1</f>
        <v>512</v>
      </c>
      <c r="C2056" s="188">
        <f t="shared" si="31"/>
        <v>2</v>
      </c>
      <c r="D2056" s="188" t="b">
        <f>LineærRegression_Valg[[#This Row],[Afhængig variabel ID]]&lt;&gt;LineærRegression_Valg[[#This Row],[Uafhængig variabel ID]]</f>
        <v>1</v>
      </c>
      <c r="E2056" s="188" t="b">
        <f>LineærRegression_Valg[[#This Row],[Afhængig variabel ID]]&lt;=$B$5</f>
        <v>0</v>
      </c>
      <c r="F2056" t="str" cm="1">
        <f t="array" ref="F2056">IF(LineærRegression_Valg[[#This Row],[Indenfor range]],INDEX(DataTitel_liste,LineærRegression_Valg[[#This Row],[Afhængig variabel ID]]),INDEX(DataTitel_liste,1))</f>
        <v>Eksempel 1 (interval)</v>
      </c>
      <c r="G2056" s="188" t="str" cm="1">
        <f t="array" ref="G2056">IF(LineærRegression_Valg[[#This Row],[Indenfor range]],IF(LineærRegression_Valg[[#This Row],[Intet overlap]],INDEX(DataTitel_liste,LineærRegression_Valg[[#This Row],[Uafhængig variabel ID]]),INDEX(DataTitel_liste,IF(LineærRegression_Valg[[#This Row],[Afhængig variabel ID]]=1,2,1))),$B$7)</f>
        <v>Eksempel 2 (interval)</v>
      </c>
      <c r="H2056" s="188">
        <f>_xlfn.AGGREGATE(2,5,LineærRegression_Valg[[#This Row],[Tabel ID]])</f>
        <v>1</v>
      </c>
    </row>
    <row r="2057" spans="1:8" x14ac:dyDescent="0.2">
      <c r="A2057">
        <f>ROW(LineærRegression_Valg[[#This Row],[Tabel ID]])-ROW(LineærRegression_Valg[[#Headers],[Tabel ID]])</f>
        <v>2047</v>
      </c>
      <c r="B2057" s="188">
        <f>ROUNDDOWN((LineærRegression_Valg[[#This Row],[Tabel ID]]-1)/$B$5,0)+1</f>
        <v>512</v>
      </c>
      <c r="C2057" s="188">
        <f t="shared" si="31"/>
        <v>3</v>
      </c>
      <c r="D2057" s="188" t="b">
        <f>LineærRegression_Valg[[#This Row],[Afhængig variabel ID]]&lt;&gt;LineærRegression_Valg[[#This Row],[Uafhængig variabel ID]]</f>
        <v>1</v>
      </c>
      <c r="E2057" s="188" t="b">
        <f>LineærRegression_Valg[[#This Row],[Afhængig variabel ID]]&lt;=$B$5</f>
        <v>0</v>
      </c>
      <c r="F2057" t="str" cm="1">
        <f t="array" ref="F2057">IF(LineærRegression_Valg[[#This Row],[Indenfor range]],INDEX(DataTitel_liste,LineærRegression_Valg[[#This Row],[Afhængig variabel ID]]),INDEX(DataTitel_liste,1))</f>
        <v>Eksempel 1 (interval)</v>
      </c>
      <c r="G2057" s="188" t="str" cm="1">
        <f t="array" ref="G2057">IF(LineærRegression_Valg[[#This Row],[Indenfor range]],IF(LineærRegression_Valg[[#This Row],[Intet overlap]],INDEX(DataTitel_liste,LineærRegression_Valg[[#This Row],[Uafhængig variabel ID]]),INDEX(DataTitel_liste,IF(LineærRegression_Valg[[#This Row],[Afhængig variabel ID]]=1,2,1))),$B$7)</f>
        <v>Eksempel 2 (interval)</v>
      </c>
      <c r="H2057" s="188">
        <f>_xlfn.AGGREGATE(2,5,LineærRegression_Valg[[#This Row],[Tabel ID]])</f>
        <v>1</v>
      </c>
    </row>
    <row r="2058" spans="1:8" x14ac:dyDescent="0.2">
      <c r="A2058">
        <f>ROW(LineærRegression_Valg[[#This Row],[Tabel ID]])-ROW(LineærRegression_Valg[[#Headers],[Tabel ID]])</f>
        <v>2048</v>
      </c>
      <c r="B2058" s="188">
        <f>ROUNDDOWN((LineærRegression_Valg[[#This Row],[Tabel ID]]-1)/$B$5,0)+1</f>
        <v>512</v>
      </c>
      <c r="C2058" s="188">
        <f t="shared" si="31"/>
        <v>4</v>
      </c>
      <c r="D2058" s="188" t="b">
        <f>LineærRegression_Valg[[#This Row],[Afhængig variabel ID]]&lt;&gt;LineærRegression_Valg[[#This Row],[Uafhængig variabel ID]]</f>
        <v>1</v>
      </c>
      <c r="E2058" s="188" t="b">
        <f>LineærRegression_Valg[[#This Row],[Afhængig variabel ID]]&lt;=$B$5</f>
        <v>0</v>
      </c>
      <c r="F2058" t="str" cm="1">
        <f t="array" ref="F2058">IF(LineærRegression_Valg[[#This Row],[Indenfor range]],INDEX(DataTitel_liste,LineærRegression_Valg[[#This Row],[Afhængig variabel ID]]),INDEX(DataTitel_liste,1))</f>
        <v>Eksempel 1 (interval)</v>
      </c>
      <c r="G2058" s="188" t="str" cm="1">
        <f t="array" ref="G2058">IF(LineærRegression_Valg[[#This Row],[Indenfor range]],IF(LineærRegression_Valg[[#This Row],[Intet overlap]],INDEX(DataTitel_liste,LineærRegression_Valg[[#This Row],[Uafhængig variabel ID]]),INDEX(DataTitel_liste,IF(LineærRegression_Valg[[#This Row],[Afhængig variabel ID]]=1,2,1))),$B$7)</f>
        <v>Eksempel 2 (interval)</v>
      </c>
      <c r="H2058" s="188">
        <f>_xlfn.AGGREGATE(2,5,LineærRegression_Valg[[#This Row],[Tabel ID]])</f>
        <v>1</v>
      </c>
    </row>
    <row r="2059" spans="1:8" x14ac:dyDescent="0.2">
      <c r="A2059">
        <f>ROW(LineærRegression_Valg[[#This Row],[Tabel ID]])-ROW(LineærRegression_Valg[[#Headers],[Tabel ID]])</f>
        <v>2049</v>
      </c>
      <c r="B2059" s="188">
        <f>ROUNDDOWN((LineærRegression_Valg[[#This Row],[Tabel ID]]-1)/$B$5,0)+1</f>
        <v>513</v>
      </c>
      <c r="C2059" s="188">
        <f t="shared" ref="C2059:C2122" si="32">MOD(A2059-1,$B$5)+1</f>
        <v>1</v>
      </c>
      <c r="D2059" s="188" t="b">
        <f>LineærRegression_Valg[[#This Row],[Afhængig variabel ID]]&lt;&gt;LineærRegression_Valg[[#This Row],[Uafhængig variabel ID]]</f>
        <v>1</v>
      </c>
      <c r="E2059" s="188" t="b">
        <f>LineærRegression_Valg[[#This Row],[Afhængig variabel ID]]&lt;=$B$5</f>
        <v>0</v>
      </c>
      <c r="F2059" t="str" cm="1">
        <f t="array" ref="F2059">IF(LineærRegression_Valg[[#This Row],[Indenfor range]],INDEX(DataTitel_liste,LineærRegression_Valg[[#This Row],[Afhængig variabel ID]]),INDEX(DataTitel_liste,1))</f>
        <v>Eksempel 1 (interval)</v>
      </c>
      <c r="G2059" s="188" t="str" cm="1">
        <f t="array" ref="G2059">IF(LineærRegression_Valg[[#This Row],[Indenfor range]],IF(LineærRegression_Valg[[#This Row],[Intet overlap]],INDEX(DataTitel_liste,LineærRegression_Valg[[#This Row],[Uafhængig variabel ID]]),INDEX(DataTitel_liste,IF(LineærRegression_Valg[[#This Row],[Afhængig variabel ID]]=1,2,1))),$B$7)</f>
        <v>Eksempel 2 (interval)</v>
      </c>
      <c r="H2059" s="188">
        <f>_xlfn.AGGREGATE(2,5,LineærRegression_Valg[[#This Row],[Tabel ID]])</f>
        <v>1</v>
      </c>
    </row>
    <row r="2060" spans="1:8" x14ac:dyDescent="0.2">
      <c r="A2060">
        <f>ROW(LineærRegression_Valg[[#This Row],[Tabel ID]])-ROW(LineærRegression_Valg[[#Headers],[Tabel ID]])</f>
        <v>2050</v>
      </c>
      <c r="B2060" s="188">
        <f>ROUNDDOWN((LineærRegression_Valg[[#This Row],[Tabel ID]]-1)/$B$5,0)+1</f>
        <v>513</v>
      </c>
      <c r="C2060" s="188">
        <f t="shared" si="32"/>
        <v>2</v>
      </c>
      <c r="D2060" s="188" t="b">
        <f>LineærRegression_Valg[[#This Row],[Afhængig variabel ID]]&lt;&gt;LineærRegression_Valg[[#This Row],[Uafhængig variabel ID]]</f>
        <v>1</v>
      </c>
      <c r="E2060" s="188" t="b">
        <f>LineærRegression_Valg[[#This Row],[Afhængig variabel ID]]&lt;=$B$5</f>
        <v>0</v>
      </c>
      <c r="F2060" t="str" cm="1">
        <f t="array" ref="F2060">IF(LineærRegression_Valg[[#This Row],[Indenfor range]],INDEX(DataTitel_liste,LineærRegression_Valg[[#This Row],[Afhængig variabel ID]]),INDEX(DataTitel_liste,1))</f>
        <v>Eksempel 1 (interval)</v>
      </c>
      <c r="G2060" s="188" t="str" cm="1">
        <f t="array" ref="G2060">IF(LineærRegression_Valg[[#This Row],[Indenfor range]],IF(LineærRegression_Valg[[#This Row],[Intet overlap]],INDEX(DataTitel_liste,LineærRegression_Valg[[#This Row],[Uafhængig variabel ID]]),INDEX(DataTitel_liste,IF(LineærRegression_Valg[[#This Row],[Afhængig variabel ID]]=1,2,1))),$B$7)</f>
        <v>Eksempel 2 (interval)</v>
      </c>
      <c r="H2060" s="188">
        <f>_xlfn.AGGREGATE(2,5,LineærRegression_Valg[[#This Row],[Tabel ID]])</f>
        <v>1</v>
      </c>
    </row>
    <row r="2061" spans="1:8" x14ac:dyDescent="0.2">
      <c r="A2061">
        <f>ROW(LineærRegression_Valg[[#This Row],[Tabel ID]])-ROW(LineærRegression_Valg[[#Headers],[Tabel ID]])</f>
        <v>2051</v>
      </c>
      <c r="B2061" s="188">
        <f>ROUNDDOWN((LineærRegression_Valg[[#This Row],[Tabel ID]]-1)/$B$5,0)+1</f>
        <v>513</v>
      </c>
      <c r="C2061" s="188">
        <f t="shared" si="32"/>
        <v>3</v>
      </c>
      <c r="D2061" s="188" t="b">
        <f>LineærRegression_Valg[[#This Row],[Afhængig variabel ID]]&lt;&gt;LineærRegression_Valg[[#This Row],[Uafhængig variabel ID]]</f>
        <v>1</v>
      </c>
      <c r="E2061" s="188" t="b">
        <f>LineærRegression_Valg[[#This Row],[Afhængig variabel ID]]&lt;=$B$5</f>
        <v>0</v>
      </c>
      <c r="F2061" t="str" cm="1">
        <f t="array" ref="F2061">IF(LineærRegression_Valg[[#This Row],[Indenfor range]],INDEX(DataTitel_liste,LineærRegression_Valg[[#This Row],[Afhængig variabel ID]]),INDEX(DataTitel_liste,1))</f>
        <v>Eksempel 1 (interval)</v>
      </c>
      <c r="G2061" s="188" t="str" cm="1">
        <f t="array" ref="G2061">IF(LineærRegression_Valg[[#This Row],[Indenfor range]],IF(LineærRegression_Valg[[#This Row],[Intet overlap]],INDEX(DataTitel_liste,LineærRegression_Valg[[#This Row],[Uafhængig variabel ID]]),INDEX(DataTitel_liste,IF(LineærRegression_Valg[[#This Row],[Afhængig variabel ID]]=1,2,1))),$B$7)</f>
        <v>Eksempel 2 (interval)</v>
      </c>
      <c r="H2061" s="188">
        <f>_xlfn.AGGREGATE(2,5,LineærRegression_Valg[[#This Row],[Tabel ID]])</f>
        <v>1</v>
      </c>
    </row>
    <row r="2062" spans="1:8" x14ac:dyDescent="0.2">
      <c r="A2062">
        <f>ROW(LineærRegression_Valg[[#This Row],[Tabel ID]])-ROW(LineærRegression_Valg[[#Headers],[Tabel ID]])</f>
        <v>2052</v>
      </c>
      <c r="B2062" s="188">
        <f>ROUNDDOWN((LineærRegression_Valg[[#This Row],[Tabel ID]]-1)/$B$5,0)+1</f>
        <v>513</v>
      </c>
      <c r="C2062" s="188">
        <f t="shared" si="32"/>
        <v>4</v>
      </c>
      <c r="D2062" s="188" t="b">
        <f>LineærRegression_Valg[[#This Row],[Afhængig variabel ID]]&lt;&gt;LineærRegression_Valg[[#This Row],[Uafhængig variabel ID]]</f>
        <v>1</v>
      </c>
      <c r="E2062" s="188" t="b">
        <f>LineærRegression_Valg[[#This Row],[Afhængig variabel ID]]&lt;=$B$5</f>
        <v>0</v>
      </c>
      <c r="F2062" t="str" cm="1">
        <f t="array" ref="F2062">IF(LineærRegression_Valg[[#This Row],[Indenfor range]],INDEX(DataTitel_liste,LineærRegression_Valg[[#This Row],[Afhængig variabel ID]]),INDEX(DataTitel_liste,1))</f>
        <v>Eksempel 1 (interval)</v>
      </c>
      <c r="G2062" s="188" t="str" cm="1">
        <f t="array" ref="G2062">IF(LineærRegression_Valg[[#This Row],[Indenfor range]],IF(LineærRegression_Valg[[#This Row],[Intet overlap]],INDEX(DataTitel_liste,LineærRegression_Valg[[#This Row],[Uafhængig variabel ID]]),INDEX(DataTitel_liste,IF(LineærRegression_Valg[[#This Row],[Afhængig variabel ID]]=1,2,1))),$B$7)</f>
        <v>Eksempel 2 (interval)</v>
      </c>
      <c r="H2062" s="188">
        <f>_xlfn.AGGREGATE(2,5,LineærRegression_Valg[[#This Row],[Tabel ID]])</f>
        <v>1</v>
      </c>
    </row>
    <row r="2063" spans="1:8" x14ac:dyDescent="0.2">
      <c r="A2063">
        <f>ROW(LineærRegression_Valg[[#This Row],[Tabel ID]])-ROW(LineærRegression_Valg[[#Headers],[Tabel ID]])</f>
        <v>2053</v>
      </c>
      <c r="B2063" s="188">
        <f>ROUNDDOWN((LineærRegression_Valg[[#This Row],[Tabel ID]]-1)/$B$5,0)+1</f>
        <v>514</v>
      </c>
      <c r="C2063" s="188">
        <f t="shared" si="32"/>
        <v>1</v>
      </c>
      <c r="D2063" s="188" t="b">
        <f>LineærRegression_Valg[[#This Row],[Afhængig variabel ID]]&lt;&gt;LineærRegression_Valg[[#This Row],[Uafhængig variabel ID]]</f>
        <v>1</v>
      </c>
      <c r="E2063" s="188" t="b">
        <f>LineærRegression_Valg[[#This Row],[Afhængig variabel ID]]&lt;=$B$5</f>
        <v>0</v>
      </c>
      <c r="F2063" t="str" cm="1">
        <f t="array" ref="F2063">IF(LineærRegression_Valg[[#This Row],[Indenfor range]],INDEX(DataTitel_liste,LineærRegression_Valg[[#This Row],[Afhængig variabel ID]]),INDEX(DataTitel_liste,1))</f>
        <v>Eksempel 1 (interval)</v>
      </c>
      <c r="G2063" s="188" t="str" cm="1">
        <f t="array" ref="G2063">IF(LineærRegression_Valg[[#This Row],[Indenfor range]],IF(LineærRegression_Valg[[#This Row],[Intet overlap]],INDEX(DataTitel_liste,LineærRegression_Valg[[#This Row],[Uafhængig variabel ID]]),INDEX(DataTitel_liste,IF(LineærRegression_Valg[[#This Row],[Afhængig variabel ID]]=1,2,1))),$B$7)</f>
        <v>Eksempel 2 (interval)</v>
      </c>
      <c r="H2063" s="188">
        <f>_xlfn.AGGREGATE(2,5,LineærRegression_Valg[[#This Row],[Tabel ID]])</f>
        <v>1</v>
      </c>
    </row>
    <row r="2064" spans="1:8" x14ac:dyDescent="0.2">
      <c r="A2064">
        <f>ROW(LineærRegression_Valg[[#This Row],[Tabel ID]])-ROW(LineærRegression_Valg[[#Headers],[Tabel ID]])</f>
        <v>2054</v>
      </c>
      <c r="B2064" s="188">
        <f>ROUNDDOWN((LineærRegression_Valg[[#This Row],[Tabel ID]]-1)/$B$5,0)+1</f>
        <v>514</v>
      </c>
      <c r="C2064" s="188">
        <f t="shared" si="32"/>
        <v>2</v>
      </c>
      <c r="D2064" s="188" t="b">
        <f>LineærRegression_Valg[[#This Row],[Afhængig variabel ID]]&lt;&gt;LineærRegression_Valg[[#This Row],[Uafhængig variabel ID]]</f>
        <v>1</v>
      </c>
      <c r="E2064" s="188" t="b">
        <f>LineærRegression_Valg[[#This Row],[Afhængig variabel ID]]&lt;=$B$5</f>
        <v>0</v>
      </c>
      <c r="F2064" t="str" cm="1">
        <f t="array" ref="F2064">IF(LineærRegression_Valg[[#This Row],[Indenfor range]],INDEX(DataTitel_liste,LineærRegression_Valg[[#This Row],[Afhængig variabel ID]]),INDEX(DataTitel_liste,1))</f>
        <v>Eksempel 1 (interval)</v>
      </c>
      <c r="G2064" s="188" t="str" cm="1">
        <f t="array" ref="G2064">IF(LineærRegression_Valg[[#This Row],[Indenfor range]],IF(LineærRegression_Valg[[#This Row],[Intet overlap]],INDEX(DataTitel_liste,LineærRegression_Valg[[#This Row],[Uafhængig variabel ID]]),INDEX(DataTitel_liste,IF(LineærRegression_Valg[[#This Row],[Afhængig variabel ID]]=1,2,1))),$B$7)</f>
        <v>Eksempel 2 (interval)</v>
      </c>
      <c r="H2064" s="188">
        <f>_xlfn.AGGREGATE(2,5,LineærRegression_Valg[[#This Row],[Tabel ID]])</f>
        <v>1</v>
      </c>
    </row>
    <row r="2065" spans="1:8" x14ac:dyDescent="0.2">
      <c r="A2065">
        <f>ROW(LineærRegression_Valg[[#This Row],[Tabel ID]])-ROW(LineærRegression_Valg[[#Headers],[Tabel ID]])</f>
        <v>2055</v>
      </c>
      <c r="B2065" s="188">
        <f>ROUNDDOWN((LineærRegression_Valg[[#This Row],[Tabel ID]]-1)/$B$5,0)+1</f>
        <v>514</v>
      </c>
      <c r="C2065" s="188">
        <f t="shared" si="32"/>
        <v>3</v>
      </c>
      <c r="D2065" s="188" t="b">
        <f>LineærRegression_Valg[[#This Row],[Afhængig variabel ID]]&lt;&gt;LineærRegression_Valg[[#This Row],[Uafhængig variabel ID]]</f>
        <v>1</v>
      </c>
      <c r="E2065" s="188" t="b">
        <f>LineærRegression_Valg[[#This Row],[Afhængig variabel ID]]&lt;=$B$5</f>
        <v>0</v>
      </c>
      <c r="F2065" t="str" cm="1">
        <f t="array" ref="F2065">IF(LineærRegression_Valg[[#This Row],[Indenfor range]],INDEX(DataTitel_liste,LineærRegression_Valg[[#This Row],[Afhængig variabel ID]]),INDEX(DataTitel_liste,1))</f>
        <v>Eksempel 1 (interval)</v>
      </c>
      <c r="G2065" s="188" t="str" cm="1">
        <f t="array" ref="G2065">IF(LineærRegression_Valg[[#This Row],[Indenfor range]],IF(LineærRegression_Valg[[#This Row],[Intet overlap]],INDEX(DataTitel_liste,LineærRegression_Valg[[#This Row],[Uafhængig variabel ID]]),INDEX(DataTitel_liste,IF(LineærRegression_Valg[[#This Row],[Afhængig variabel ID]]=1,2,1))),$B$7)</f>
        <v>Eksempel 2 (interval)</v>
      </c>
      <c r="H2065" s="188">
        <f>_xlfn.AGGREGATE(2,5,LineærRegression_Valg[[#This Row],[Tabel ID]])</f>
        <v>1</v>
      </c>
    </row>
    <row r="2066" spans="1:8" x14ac:dyDescent="0.2">
      <c r="A2066">
        <f>ROW(LineærRegression_Valg[[#This Row],[Tabel ID]])-ROW(LineærRegression_Valg[[#Headers],[Tabel ID]])</f>
        <v>2056</v>
      </c>
      <c r="B2066" s="188">
        <f>ROUNDDOWN((LineærRegression_Valg[[#This Row],[Tabel ID]]-1)/$B$5,0)+1</f>
        <v>514</v>
      </c>
      <c r="C2066" s="188">
        <f t="shared" si="32"/>
        <v>4</v>
      </c>
      <c r="D2066" s="188" t="b">
        <f>LineærRegression_Valg[[#This Row],[Afhængig variabel ID]]&lt;&gt;LineærRegression_Valg[[#This Row],[Uafhængig variabel ID]]</f>
        <v>1</v>
      </c>
      <c r="E2066" s="188" t="b">
        <f>LineærRegression_Valg[[#This Row],[Afhængig variabel ID]]&lt;=$B$5</f>
        <v>0</v>
      </c>
      <c r="F2066" t="str" cm="1">
        <f t="array" ref="F2066">IF(LineærRegression_Valg[[#This Row],[Indenfor range]],INDEX(DataTitel_liste,LineærRegression_Valg[[#This Row],[Afhængig variabel ID]]),INDEX(DataTitel_liste,1))</f>
        <v>Eksempel 1 (interval)</v>
      </c>
      <c r="G2066" s="188" t="str" cm="1">
        <f t="array" ref="G2066">IF(LineærRegression_Valg[[#This Row],[Indenfor range]],IF(LineærRegression_Valg[[#This Row],[Intet overlap]],INDEX(DataTitel_liste,LineærRegression_Valg[[#This Row],[Uafhængig variabel ID]]),INDEX(DataTitel_liste,IF(LineærRegression_Valg[[#This Row],[Afhængig variabel ID]]=1,2,1))),$B$7)</f>
        <v>Eksempel 2 (interval)</v>
      </c>
      <c r="H2066" s="188">
        <f>_xlfn.AGGREGATE(2,5,LineærRegression_Valg[[#This Row],[Tabel ID]])</f>
        <v>1</v>
      </c>
    </row>
    <row r="2067" spans="1:8" x14ac:dyDescent="0.2">
      <c r="A2067">
        <f>ROW(LineærRegression_Valg[[#This Row],[Tabel ID]])-ROW(LineærRegression_Valg[[#Headers],[Tabel ID]])</f>
        <v>2057</v>
      </c>
      <c r="B2067" s="188">
        <f>ROUNDDOWN((LineærRegression_Valg[[#This Row],[Tabel ID]]-1)/$B$5,0)+1</f>
        <v>515</v>
      </c>
      <c r="C2067" s="188">
        <f t="shared" si="32"/>
        <v>1</v>
      </c>
      <c r="D2067" s="188" t="b">
        <f>LineærRegression_Valg[[#This Row],[Afhængig variabel ID]]&lt;&gt;LineærRegression_Valg[[#This Row],[Uafhængig variabel ID]]</f>
        <v>1</v>
      </c>
      <c r="E2067" s="188" t="b">
        <f>LineærRegression_Valg[[#This Row],[Afhængig variabel ID]]&lt;=$B$5</f>
        <v>0</v>
      </c>
      <c r="F2067" t="str" cm="1">
        <f t="array" ref="F2067">IF(LineærRegression_Valg[[#This Row],[Indenfor range]],INDEX(DataTitel_liste,LineærRegression_Valg[[#This Row],[Afhængig variabel ID]]),INDEX(DataTitel_liste,1))</f>
        <v>Eksempel 1 (interval)</v>
      </c>
      <c r="G2067" s="188" t="str" cm="1">
        <f t="array" ref="G2067">IF(LineærRegression_Valg[[#This Row],[Indenfor range]],IF(LineærRegression_Valg[[#This Row],[Intet overlap]],INDEX(DataTitel_liste,LineærRegression_Valg[[#This Row],[Uafhængig variabel ID]]),INDEX(DataTitel_liste,IF(LineærRegression_Valg[[#This Row],[Afhængig variabel ID]]=1,2,1))),$B$7)</f>
        <v>Eksempel 2 (interval)</v>
      </c>
      <c r="H2067" s="188">
        <f>_xlfn.AGGREGATE(2,5,LineærRegression_Valg[[#This Row],[Tabel ID]])</f>
        <v>1</v>
      </c>
    </row>
    <row r="2068" spans="1:8" x14ac:dyDescent="0.2">
      <c r="A2068">
        <f>ROW(LineærRegression_Valg[[#This Row],[Tabel ID]])-ROW(LineærRegression_Valg[[#Headers],[Tabel ID]])</f>
        <v>2058</v>
      </c>
      <c r="B2068" s="188">
        <f>ROUNDDOWN((LineærRegression_Valg[[#This Row],[Tabel ID]]-1)/$B$5,0)+1</f>
        <v>515</v>
      </c>
      <c r="C2068" s="188">
        <f t="shared" si="32"/>
        <v>2</v>
      </c>
      <c r="D2068" s="188" t="b">
        <f>LineærRegression_Valg[[#This Row],[Afhængig variabel ID]]&lt;&gt;LineærRegression_Valg[[#This Row],[Uafhængig variabel ID]]</f>
        <v>1</v>
      </c>
      <c r="E2068" s="188" t="b">
        <f>LineærRegression_Valg[[#This Row],[Afhængig variabel ID]]&lt;=$B$5</f>
        <v>0</v>
      </c>
      <c r="F2068" t="str" cm="1">
        <f t="array" ref="F2068">IF(LineærRegression_Valg[[#This Row],[Indenfor range]],INDEX(DataTitel_liste,LineærRegression_Valg[[#This Row],[Afhængig variabel ID]]),INDEX(DataTitel_liste,1))</f>
        <v>Eksempel 1 (interval)</v>
      </c>
      <c r="G2068" s="188" t="str" cm="1">
        <f t="array" ref="G2068">IF(LineærRegression_Valg[[#This Row],[Indenfor range]],IF(LineærRegression_Valg[[#This Row],[Intet overlap]],INDEX(DataTitel_liste,LineærRegression_Valg[[#This Row],[Uafhængig variabel ID]]),INDEX(DataTitel_liste,IF(LineærRegression_Valg[[#This Row],[Afhængig variabel ID]]=1,2,1))),$B$7)</f>
        <v>Eksempel 2 (interval)</v>
      </c>
      <c r="H2068" s="188">
        <f>_xlfn.AGGREGATE(2,5,LineærRegression_Valg[[#This Row],[Tabel ID]])</f>
        <v>1</v>
      </c>
    </row>
    <row r="2069" spans="1:8" x14ac:dyDescent="0.2">
      <c r="A2069">
        <f>ROW(LineærRegression_Valg[[#This Row],[Tabel ID]])-ROW(LineærRegression_Valg[[#Headers],[Tabel ID]])</f>
        <v>2059</v>
      </c>
      <c r="B2069" s="188">
        <f>ROUNDDOWN((LineærRegression_Valg[[#This Row],[Tabel ID]]-1)/$B$5,0)+1</f>
        <v>515</v>
      </c>
      <c r="C2069" s="188">
        <f t="shared" si="32"/>
        <v>3</v>
      </c>
      <c r="D2069" s="188" t="b">
        <f>LineærRegression_Valg[[#This Row],[Afhængig variabel ID]]&lt;&gt;LineærRegression_Valg[[#This Row],[Uafhængig variabel ID]]</f>
        <v>1</v>
      </c>
      <c r="E2069" s="188" t="b">
        <f>LineærRegression_Valg[[#This Row],[Afhængig variabel ID]]&lt;=$B$5</f>
        <v>0</v>
      </c>
      <c r="F2069" t="str" cm="1">
        <f t="array" ref="F2069">IF(LineærRegression_Valg[[#This Row],[Indenfor range]],INDEX(DataTitel_liste,LineærRegression_Valg[[#This Row],[Afhængig variabel ID]]),INDEX(DataTitel_liste,1))</f>
        <v>Eksempel 1 (interval)</v>
      </c>
      <c r="G2069" s="188" t="str" cm="1">
        <f t="array" ref="G2069">IF(LineærRegression_Valg[[#This Row],[Indenfor range]],IF(LineærRegression_Valg[[#This Row],[Intet overlap]],INDEX(DataTitel_liste,LineærRegression_Valg[[#This Row],[Uafhængig variabel ID]]),INDEX(DataTitel_liste,IF(LineærRegression_Valg[[#This Row],[Afhængig variabel ID]]=1,2,1))),$B$7)</f>
        <v>Eksempel 2 (interval)</v>
      </c>
      <c r="H2069" s="188">
        <f>_xlfn.AGGREGATE(2,5,LineærRegression_Valg[[#This Row],[Tabel ID]])</f>
        <v>1</v>
      </c>
    </row>
    <row r="2070" spans="1:8" x14ac:dyDescent="0.2">
      <c r="A2070">
        <f>ROW(LineærRegression_Valg[[#This Row],[Tabel ID]])-ROW(LineærRegression_Valg[[#Headers],[Tabel ID]])</f>
        <v>2060</v>
      </c>
      <c r="B2070" s="188">
        <f>ROUNDDOWN((LineærRegression_Valg[[#This Row],[Tabel ID]]-1)/$B$5,0)+1</f>
        <v>515</v>
      </c>
      <c r="C2070" s="188">
        <f t="shared" si="32"/>
        <v>4</v>
      </c>
      <c r="D2070" s="188" t="b">
        <f>LineærRegression_Valg[[#This Row],[Afhængig variabel ID]]&lt;&gt;LineærRegression_Valg[[#This Row],[Uafhængig variabel ID]]</f>
        <v>1</v>
      </c>
      <c r="E2070" s="188" t="b">
        <f>LineærRegression_Valg[[#This Row],[Afhængig variabel ID]]&lt;=$B$5</f>
        <v>0</v>
      </c>
      <c r="F2070" t="str" cm="1">
        <f t="array" ref="F2070">IF(LineærRegression_Valg[[#This Row],[Indenfor range]],INDEX(DataTitel_liste,LineærRegression_Valg[[#This Row],[Afhængig variabel ID]]),INDEX(DataTitel_liste,1))</f>
        <v>Eksempel 1 (interval)</v>
      </c>
      <c r="G2070" s="188" t="str" cm="1">
        <f t="array" ref="G2070">IF(LineærRegression_Valg[[#This Row],[Indenfor range]],IF(LineærRegression_Valg[[#This Row],[Intet overlap]],INDEX(DataTitel_liste,LineærRegression_Valg[[#This Row],[Uafhængig variabel ID]]),INDEX(DataTitel_liste,IF(LineærRegression_Valg[[#This Row],[Afhængig variabel ID]]=1,2,1))),$B$7)</f>
        <v>Eksempel 2 (interval)</v>
      </c>
      <c r="H2070" s="188">
        <f>_xlfn.AGGREGATE(2,5,LineærRegression_Valg[[#This Row],[Tabel ID]])</f>
        <v>1</v>
      </c>
    </row>
    <row r="2071" spans="1:8" x14ac:dyDescent="0.2">
      <c r="A2071">
        <f>ROW(LineærRegression_Valg[[#This Row],[Tabel ID]])-ROW(LineærRegression_Valg[[#Headers],[Tabel ID]])</f>
        <v>2061</v>
      </c>
      <c r="B2071" s="188">
        <f>ROUNDDOWN((LineærRegression_Valg[[#This Row],[Tabel ID]]-1)/$B$5,0)+1</f>
        <v>516</v>
      </c>
      <c r="C2071" s="188">
        <f t="shared" si="32"/>
        <v>1</v>
      </c>
      <c r="D2071" s="188" t="b">
        <f>LineærRegression_Valg[[#This Row],[Afhængig variabel ID]]&lt;&gt;LineærRegression_Valg[[#This Row],[Uafhængig variabel ID]]</f>
        <v>1</v>
      </c>
      <c r="E2071" s="188" t="b">
        <f>LineærRegression_Valg[[#This Row],[Afhængig variabel ID]]&lt;=$B$5</f>
        <v>0</v>
      </c>
      <c r="F2071" t="str" cm="1">
        <f t="array" ref="F2071">IF(LineærRegression_Valg[[#This Row],[Indenfor range]],INDEX(DataTitel_liste,LineærRegression_Valg[[#This Row],[Afhængig variabel ID]]),INDEX(DataTitel_liste,1))</f>
        <v>Eksempel 1 (interval)</v>
      </c>
      <c r="G2071" s="188" t="str" cm="1">
        <f t="array" ref="G2071">IF(LineærRegression_Valg[[#This Row],[Indenfor range]],IF(LineærRegression_Valg[[#This Row],[Intet overlap]],INDEX(DataTitel_liste,LineærRegression_Valg[[#This Row],[Uafhængig variabel ID]]),INDEX(DataTitel_liste,IF(LineærRegression_Valg[[#This Row],[Afhængig variabel ID]]=1,2,1))),$B$7)</f>
        <v>Eksempel 2 (interval)</v>
      </c>
      <c r="H2071" s="188">
        <f>_xlfn.AGGREGATE(2,5,LineærRegression_Valg[[#This Row],[Tabel ID]])</f>
        <v>1</v>
      </c>
    </row>
    <row r="2072" spans="1:8" x14ac:dyDescent="0.2">
      <c r="A2072">
        <f>ROW(LineærRegression_Valg[[#This Row],[Tabel ID]])-ROW(LineærRegression_Valg[[#Headers],[Tabel ID]])</f>
        <v>2062</v>
      </c>
      <c r="B2072" s="188">
        <f>ROUNDDOWN((LineærRegression_Valg[[#This Row],[Tabel ID]]-1)/$B$5,0)+1</f>
        <v>516</v>
      </c>
      <c r="C2072" s="188">
        <f t="shared" si="32"/>
        <v>2</v>
      </c>
      <c r="D2072" s="188" t="b">
        <f>LineærRegression_Valg[[#This Row],[Afhængig variabel ID]]&lt;&gt;LineærRegression_Valg[[#This Row],[Uafhængig variabel ID]]</f>
        <v>1</v>
      </c>
      <c r="E2072" s="188" t="b">
        <f>LineærRegression_Valg[[#This Row],[Afhængig variabel ID]]&lt;=$B$5</f>
        <v>0</v>
      </c>
      <c r="F2072" t="str" cm="1">
        <f t="array" ref="F2072">IF(LineærRegression_Valg[[#This Row],[Indenfor range]],INDEX(DataTitel_liste,LineærRegression_Valg[[#This Row],[Afhængig variabel ID]]),INDEX(DataTitel_liste,1))</f>
        <v>Eksempel 1 (interval)</v>
      </c>
      <c r="G2072" s="188" t="str" cm="1">
        <f t="array" ref="G2072">IF(LineærRegression_Valg[[#This Row],[Indenfor range]],IF(LineærRegression_Valg[[#This Row],[Intet overlap]],INDEX(DataTitel_liste,LineærRegression_Valg[[#This Row],[Uafhængig variabel ID]]),INDEX(DataTitel_liste,IF(LineærRegression_Valg[[#This Row],[Afhængig variabel ID]]=1,2,1))),$B$7)</f>
        <v>Eksempel 2 (interval)</v>
      </c>
      <c r="H2072" s="188">
        <f>_xlfn.AGGREGATE(2,5,LineærRegression_Valg[[#This Row],[Tabel ID]])</f>
        <v>1</v>
      </c>
    </row>
    <row r="2073" spans="1:8" x14ac:dyDescent="0.2">
      <c r="A2073">
        <f>ROW(LineærRegression_Valg[[#This Row],[Tabel ID]])-ROW(LineærRegression_Valg[[#Headers],[Tabel ID]])</f>
        <v>2063</v>
      </c>
      <c r="B2073" s="188">
        <f>ROUNDDOWN((LineærRegression_Valg[[#This Row],[Tabel ID]]-1)/$B$5,0)+1</f>
        <v>516</v>
      </c>
      <c r="C2073" s="188">
        <f t="shared" si="32"/>
        <v>3</v>
      </c>
      <c r="D2073" s="188" t="b">
        <f>LineærRegression_Valg[[#This Row],[Afhængig variabel ID]]&lt;&gt;LineærRegression_Valg[[#This Row],[Uafhængig variabel ID]]</f>
        <v>1</v>
      </c>
      <c r="E2073" s="188" t="b">
        <f>LineærRegression_Valg[[#This Row],[Afhængig variabel ID]]&lt;=$B$5</f>
        <v>0</v>
      </c>
      <c r="F2073" t="str" cm="1">
        <f t="array" ref="F2073">IF(LineærRegression_Valg[[#This Row],[Indenfor range]],INDEX(DataTitel_liste,LineærRegression_Valg[[#This Row],[Afhængig variabel ID]]),INDEX(DataTitel_liste,1))</f>
        <v>Eksempel 1 (interval)</v>
      </c>
      <c r="G2073" s="188" t="str" cm="1">
        <f t="array" ref="G2073">IF(LineærRegression_Valg[[#This Row],[Indenfor range]],IF(LineærRegression_Valg[[#This Row],[Intet overlap]],INDEX(DataTitel_liste,LineærRegression_Valg[[#This Row],[Uafhængig variabel ID]]),INDEX(DataTitel_liste,IF(LineærRegression_Valg[[#This Row],[Afhængig variabel ID]]=1,2,1))),$B$7)</f>
        <v>Eksempel 2 (interval)</v>
      </c>
      <c r="H2073" s="188">
        <f>_xlfn.AGGREGATE(2,5,LineærRegression_Valg[[#This Row],[Tabel ID]])</f>
        <v>1</v>
      </c>
    </row>
    <row r="2074" spans="1:8" x14ac:dyDescent="0.2">
      <c r="A2074">
        <f>ROW(LineærRegression_Valg[[#This Row],[Tabel ID]])-ROW(LineærRegression_Valg[[#Headers],[Tabel ID]])</f>
        <v>2064</v>
      </c>
      <c r="B2074" s="188">
        <f>ROUNDDOWN((LineærRegression_Valg[[#This Row],[Tabel ID]]-1)/$B$5,0)+1</f>
        <v>516</v>
      </c>
      <c r="C2074" s="188">
        <f t="shared" si="32"/>
        <v>4</v>
      </c>
      <c r="D2074" s="188" t="b">
        <f>LineærRegression_Valg[[#This Row],[Afhængig variabel ID]]&lt;&gt;LineærRegression_Valg[[#This Row],[Uafhængig variabel ID]]</f>
        <v>1</v>
      </c>
      <c r="E2074" s="188" t="b">
        <f>LineærRegression_Valg[[#This Row],[Afhængig variabel ID]]&lt;=$B$5</f>
        <v>0</v>
      </c>
      <c r="F2074" t="str" cm="1">
        <f t="array" ref="F2074">IF(LineærRegression_Valg[[#This Row],[Indenfor range]],INDEX(DataTitel_liste,LineærRegression_Valg[[#This Row],[Afhængig variabel ID]]),INDEX(DataTitel_liste,1))</f>
        <v>Eksempel 1 (interval)</v>
      </c>
      <c r="G2074" s="188" t="str" cm="1">
        <f t="array" ref="G2074">IF(LineærRegression_Valg[[#This Row],[Indenfor range]],IF(LineærRegression_Valg[[#This Row],[Intet overlap]],INDEX(DataTitel_liste,LineærRegression_Valg[[#This Row],[Uafhængig variabel ID]]),INDEX(DataTitel_liste,IF(LineærRegression_Valg[[#This Row],[Afhængig variabel ID]]=1,2,1))),$B$7)</f>
        <v>Eksempel 2 (interval)</v>
      </c>
      <c r="H2074" s="188">
        <f>_xlfn.AGGREGATE(2,5,LineærRegression_Valg[[#This Row],[Tabel ID]])</f>
        <v>1</v>
      </c>
    </row>
    <row r="2075" spans="1:8" x14ac:dyDescent="0.2">
      <c r="A2075">
        <f>ROW(LineærRegression_Valg[[#This Row],[Tabel ID]])-ROW(LineærRegression_Valg[[#Headers],[Tabel ID]])</f>
        <v>2065</v>
      </c>
      <c r="B2075" s="188">
        <f>ROUNDDOWN((LineærRegression_Valg[[#This Row],[Tabel ID]]-1)/$B$5,0)+1</f>
        <v>517</v>
      </c>
      <c r="C2075" s="188">
        <f t="shared" si="32"/>
        <v>1</v>
      </c>
      <c r="D2075" s="188" t="b">
        <f>LineærRegression_Valg[[#This Row],[Afhængig variabel ID]]&lt;&gt;LineærRegression_Valg[[#This Row],[Uafhængig variabel ID]]</f>
        <v>1</v>
      </c>
      <c r="E2075" s="188" t="b">
        <f>LineærRegression_Valg[[#This Row],[Afhængig variabel ID]]&lt;=$B$5</f>
        <v>0</v>
      </c>
      <c r="F2075" t="str" cm="1">
        <f t="array" ref="F2075">IF(LineærRegression_Valg[[#This Row],[Indenfor range]],INDEX(DataTitel_liste,LineærRegression_Valg[[#This Row],[Afhængig variabel ID]]),INDEX(DataTitel_liste,1))</f>
        <v>Eksempel 1 (interval)</v>
      </c>
      <c r="G2075" s="188" t="str" cm="1">
        <f t="array" ref="G2075">IF(LineærRegression_Valg[[#This Row],[Indenfor range]],IF(LineærRegression_Valg[[#This Row],[Intet overlap]],INDEX(DataTitel_liste,LineærRegression_Valg[[#This Row],[Uafhængig variabel ID]]),INDEX(DataTitel_liste,IF(LineærRegression_Valg[[#This Row],[Afhængig variabel ID]]=1,2,1))),$B$7)</f>
        <v>Eksempel 2 (interval)</v>
      </c>
      <c r="H2075" s="188">
        <f>_xlfn.AGGREGATE(2,5,LineærRegression_Valg[[#This Row],[Tabel ID]])</f>
        <v>1</v>
      </c>
    </row>
    <row r="2076" spans="1:8" x14ac:dyDescent="0.2">
      <c r="A2076">
        <f>ROW(LineærRegression_Valg[[#This Row],[Tabel ID]])-ROW(LineærRegression_Valg[[#Headers],[Tabel ID]])</f>
        <v>2066</v>
      </c>
      <c r="B2076" s="188">
        <f>ROUNDDOWN((LineærRegression_Valg[[#This Row],[Tabel ID]]-1)/$B$5,0)+1</f>
        <v>517</v>
      </c>
      <c r="C2076" s="188">
        <f t="shared" si="32"/>
        <v>2</v>
      </c>
      <c r="D2076" s="188" t="b">
        <f>LineærRegression_Valg[[#This Row],[Afhængig variabel ID]]&lt;&gt;LineærRegression_Valg[[#This Row],[Uafhængig variabel ID]]</f>
        <v>1</v>
      </c>
      <c r="E2076" s="188" t="b">
        <f>LineærRegression_Valg[[#This Row],[Afhængig variabel ID]]&lt;=$B$5</f>
        <v>0</v>
      </c>
      <c r="F2076" t="str" cm="1">
        <f t="array" ref="F2076">IF(LineærRegression_Valg[[#This Row],[Indenfor range]],INDEX(DataTitel_liste,LineærRegression_Valg[[#This Row],[Afhængig variabel ID]]),INDEX(DataTitel_liste,1))</f>
        <v>Eksempel 1 (interval)</v>
      </c>
      <c r="G2076" s="188" t="str" cm="1">
        <f t="array" ref="G2076">IF(LineærRegression_Valg[[#This Row],[Indenfor range]],IF(LineærRegression_Valg[[#This Row],[Intet overlap]],INDEX(DataTitel_liste,LineærRegression_Valg[[#This Row],[Uafhængig variabel ID]]),INDEX(DataTitel_liste,IF(LineærRegression_Valg[[#This Row],[Afhængig variabel ID]]=1,2,1))),$B$7)</f>
        <v>Eksempel 2 (interval)</v>
      </c>
      <c r="H2076" s="188">
        <f>_xlfn.AGGREGATE(2,5,LineærRegression_Valg[[#This Row],[Tabel ID]])</f>
        <v>1</v>
      </c>
    </row>
    <row r="2077" spans="1:8" x14ac:dyDescent="0.2">
      <c r="A2077">
        <f>ROW(LineærRegression_Valg[[#This Row],[Tabel ID]])-ROW(LineærRegression_Valg[[#Headers],[Tabel ID]])</f>
        <v>2067</v>
      </c>
      <c r="B2077" s="188">
        <f>ROUNDDOWN((LineærRegression_Valg[[#This Row],[Tabel ID]]-1)/$B$5,0)+1</f>
        <v>517</v>
      </c>
      <c r="C2077" s="188">
        <f t="shared" si="32"/>
        <v>3</v>
      </c>
      <c r="D2077" s="188" t="b">
        <f>LineærRegression_Valg[[#This Row],[Afhængig variabel ID]]&lt;&gt;LineærRegression_Valg[[#This Row],[Uafhængig variabel ID]]</f>
        <v>1</v>
      </c>
      <c r="E2077" s="188" t="b">
        <f>LineærRegression_Valg[[#This Row],[Afhængig variabel ID]]&lt;=$B$5</f>
        <v>0</v>
      </c>
      <c r="F2077" t="str" cm="1">
        <f t="array" ref="F2077">IF(LineærRegression_Valg[[#This Row],[Indenfor range]],INDEX(DataTitel_liste,LineærRegression_Valg[[#This Row],[Afhængig variabel ID]]),INDEX(DataTitel_liste,1))</f>
        <v>Eksempel 1 (interval)</v>
      </c>
      <c r="G2077" s="188" t="str" cm="1">
        <f t="array" ref="G2077">IF(LineærRegression_Valg[[#This Row],[Indenfor range]],IF(LineærRegression_Valg[[#This Row],[Intet overlap]],INDEX(DataTitel_liste,LineærRegression_Valg[[#This Row],[Uafhængig variabel ID]]),INDEX(DataTitel_liste,IF(LineærRegression_Valg[[#This Row],[Afhængig variabel ID]]=1,2,1))),$B$7)</f>
        <v>Eksempel 2 (interval)</v>
      </c>
      <c r="H2077" s="188">
        <f>_xlfn.AGGREGATE(2,5,LineærRegression_Valg[[#This Row],[Tabel ID]])</f>
        <v>1</v>
      </c>
    </row>
    <row r="2078" spans="1:8" x14ac:dyDescent="0.2">
      <c r="A2078">
        <f>ROW(LineærRegression_Valg[[#This Row],[Tabel ID]])-ROW(LineærRegression_Valg[[#Headers],[Tabel ID]])</f>
        <v>2068</v>
      </c>
      <c r="B2078" s="188">
        <f>ROUNDDOWN((LineærRegression_Valg[[#This Row],[Tabel ID]]-1)/$B$5,0)+1</f>
        <v>517</v>
      </c>
      <c r="C2078" s="188">
        <f t="shared" si="32"/>
        <v>4</v>
      </c>
      <c r="D2078" s="188" t="b">
        <f>LineærRegression_Valg[[#This Row],[Afhængig variabel ID]]&lt;&gt;LineærRegression_Valg[[#This Row],[Uafhængig variabel ID]]</f>
        <v>1</v>
      </c>
      <c r="E2078" s="188" t="b">
        <f>LineærRegression_Valg[[#This Row],[Afhængig variabel ID]]&lt;=$B$5</f>
        <v>0</v>
      </c>
      <c r="F2078" t="str" cm="1">
        <f t="array" ref="F2078">IF(LineærRegression_Valg[[#This Row],[Indenfor range]],INDEX(DataTitel_liste,LineærRegression_Valg[[#This Row],[Afhængig variabel ID]]),INDEX(DataTitel_liste,1))</f>
        <v>Eksempel 1 (interval)</v>
      </c>
      <c r="G2078" s="188" t="str" cm="1">
        <f t="array" ref="G2078">IF(LineærRegression_Valg[[#This Row],[Indenfor range]],IF(LineærRegression_Valg[[#This Row],[Intet overlap]],INDEX(DataTitel_liste,LineærRegression_Valg[[#This Row],[Uafhængig variabel ID]]),INDEX(DataTitel_liste,IF(LineærRegression_Valg[[#This Row],[Afhængig variabel ID]]=1,2,1))),$B$7)</f>
        <v>Eksempel 2 (interval)</v>
      </c>
      <c r="H2078" s="188">
        <f>_xlfn.AGGREGATE(2,5,LineærRegression_Valg[[#This Row],[Tabel ID]])</f>
        <v>1</v>
      </c>
    </row>
    <row r="2079" spans="1:8" x14ac:dyDescent="0.2">
      <c r="A2079">
        <f>ROW(LineærRegression_Valg[[#This Row],[Tabel ID]])-ROW(LineærRegression_Valg[[#Headers],[Tabel ID]])</f>
        <v>2069</v>
      </c>
      <c r="B2079" s="188">
        <f>ROUNDDOWN((LineærRegression_Valg[[#This Row],[Tabel ID]]-1)/$B$5,0)+1</f>
        <v>518</v>
      </c>
      <c r="C2079" s="188">
        <f t="shared" si="32"/>
        <v>1</v>
      </c>
      <c r="D2079" s="188" t="b">
        <f>LineærRegression_Valg[[#This Row],[Afhængig variabel ID]]&lt;&gt;LineærRegression_Valg[[#This Row],[Uafhængig variabel ID]]</f>
        <v>1</v>
      </c>
      <c r="E2079" s="188" t="b">
        <f>LineærRegression_Valg[[#This Row],[Afhængig variabel ID]]&lt;=$B$5</f>
        <v>0</v>
      </c>
      <c r="F2079" t="str" cm="1">
        <f t="array" ref="F2079">IF(LineærRegression_Valg[[#This Row],[Indenfor range]],INDEX(DataTitel_liste,LineærRegression_Valg[[#This Row],[Afhængig variabel ID]]),INDEX(DataTitel_liste,1))</f>
        <v>Eksempel 1 (interval)</v>
      </c>
      <c r="G2079" s="188" t="str" cm="1">
        <f t="array" ref="G2079">IF(LineærRegression_Valg[[#This Row],[Indenfor range]],IF(LineærRegression_Valg[[#This Row],[Intet overlap]],INDEX(DataTitel_liste,LineærRegression_Valg[[#This Row],[Uafhængig variabel ID]]),INDEX(DataTitel_liste,IF(LineærRegression_Valg[[#This Row],[Afhængig variabel ID]]=1,2,1))),$B$7)</f>
        <v>Eksempel 2 (interval)</v>
      </c>
      <c r="H2079" s="188">
        <f>_xlfn.AGGREGATE(2,5,LineærRegression_Valg[[#This Row],[Tabel ID]])</f>
        <v>1</v>
      </c>
    </row>
    <row r="2080" spans="1:8" x14ac:dyDescent="0.2">
      <c r="A2080">
        <f>ROW(LineærRegression_Valg[[#This Row],[Tabel ID]])-ROW(LineærRegression_Valg[[#Headers],[Tabel ID]])</f>
        <v>2070</v>
      </c>
      <c r="B2080" s="188">
        <f>ROUNDDOWN((LineærRegression_Valg[[#This Row],[Tabel ID]]-1)/$B$5,0)+1</f>
        <v>518</v>
      </c>
      <c r="C2080" s="188">
        <f t="shared" si="32"/>
        <v>2</v>
      </c>
      <c r="D2080" s="188" t="b">
        <f>LineærRegression_Valg[[#This Row],[Afhængig variabel ID]]&lt;&gt;LineærRegression_Valg[[#This Row],[Uafhængig variabel ID]]</f>
        <v>1</v>
      </c>
      <c r="E2080" s="188" t="b">
        <f>LineærRegression_Valg[[#This Row],[Afhængig variabel ID]]&lt;=$B$5</f>
        <v>0</v>
      </c>
      <c r="F2080" t="str" cm="1">
        <f t="array" ref="F2080">IF(LineærRegression_Valg[[#This Row],[Indenfor range]],INDEX(DataTitel_liste,LineærRegression_Valg[[#This Row],[Afhængig variabel ID]]),INDEX(DataTitel_liste,1))</f>
        <v>Eksempel 1 (interval)</v>
      </c>
      <c r="G2080" s="188" t="str" cm="1">
        <f t="array" ref="G2080">IF(LineærRegression_Valg[[#This Row],[Indenfor range]],IF(LineærRegression_Valg[[#This Row],[Intet overlap]],INDEX(DataTitel_liste,LineærRegression_Valg[[#This Row],[Uafhængig variabel ID]]),INDEX(DataTitel_liste,IF(LineærRegression_Valg[[#This Row],[Afhængig variabel ID]]=1,2,1))),$B$7)</f>
        <v>Eksempel 2 (interval)</v>
      </c>
      <c r="H2080" s="188">
        <f>_xlfn.AGGREGATE(2,5,LineærRegression_Valg[[#This Row],[Tabel ID]])</f>
        <v>1</v>
      </c>
    </row>
    <row r="2081" spans="1:8" x14ac:dyDescent="0.2">
      <c r="A2081">
        <f>ROW(LineærRegression_Valg[[#This Row],[Tabel ID]])-ROW(LineærRegression_Valg[[#Headers],[Tabel ID]])</f>
        <v>2071</v>
      </c>
      <c r="B2081" s="188">
        <f>ROUNDDOWN((LineærRegression_Valg[[#This Row],[Tabel ID]]-1)/$B$5,0)+1</f>
        <v>518</v>
      </c>
      <c r="C2081" s="188">
        <f t="shared" si="32"/>
        <v>3</v>
      </c>
      <c r="D2081" s="188" t="b">
        <f>LineærRegression_Valg[[#This Row],[Afhængig variabel ID]]&lt;&gt;LineærRegression_Valg[[#This Row],[Uafhængig variabel ID]]</f>
        <v>1</v>
      </c>
      <c r="E2081" s="188" t="b">
        <f>LineærRegression_Valg[[#This Row],[Afhængig variabel ID]]&lt;=$B$5</f>
        <v>0</v>
      </c>
      <c r="F2081" t="str" cm="1">
        <f t="array" ref="F2081">IF(LineærRegression_Valg[[#This Row],[Indenfor range]],INDEX(DataTitel_liste,LineærRegression_Valg[[#This Row],[Afhængig variabel ID]]),INDEX(DataTitel_liste,1))</f>
        <v>Eksempel 1 (interval)</v>
      </c>
      <c r="G2081" s="188" t="str" cm="1">
        <f t="array" ref="G2081">IF(LineærRegression_Valg[[#This Row],[Indenfor range]],IF(LineærRegression_Valg[[#This Row],[Intet overlap]],INDEX(DataTitel_liste,LineærRegression_Valg[[#This Row],[Uafhængig variabel ID]]),INDEX(DataTitel_liste,IF(LineærRegression_Valg[[#This Row],[Afhængig variabel ID]]=1,2,1))),$B$7)</f>
        <v>Eksempel 2 (interval)</v>
      </c>
      <c r="H2081" s="188">
        <f>_xlfn.AGGREGATE(2,5,LineærRegression_Valg[[#This Row],[Tabel ID]])</f>
        <v>1</v>
      </c>
    </row>
    <row r="2082" spans="1:8" x14ac:dyDescent="0.2">
      <c r="A2082">
        <f>ROW(LineærRegression_Valg[[#This Row],[Tabel ID]])-ROW(LineærRegression_Valg[[#Headers],[Tabel ID]])</f>
        <v>2072</v>
      </c>
      <c r="B2082" s="188">
        <f>ROUNDDOWN((LineærRegression_Valg[[#This Row],[Tabel ID]]-1)/$B$5,0)+1</f>
        <v>518</v>
      </c>
      <c r="C2082" s="188">
        <f t="shared" si="32"/>
        <v>4</v>
      </c>
      <c r="D2082" s="188" t="b">
        <f>LineærRegression_Valg[[#This Row],[Afhængig variabel ID]]&lt;&gt;LineærRegression_Valg[[#This Row],[Uafhængig variabel ID]]</f>
        <v>1</v>
      </c>
      <c r="E2082" s="188" t="b">
        <f>LineærRegression_Valg[[#This Row],[Afhængig variabel ID]]&lt;=$B$5</f>
        <v>0</v>
      </c>
      <c r="F2082" t="str" cm="1">
        <f t="array" ref="F2082">IF(LineærRegression_Valg[[#This Row],[Indenfor range]],INDEX(DataTitel_liste,LineærRegression_Valg[[#This Row],[Afhængig variabel ID]]),INDEX(DataTitel_liste,1))</f>
        <v>Eksempel 1 (interval)</v>
      </c>
      <c r="G2082" s="188" t="str" cm="1">
        <f t="array" ref="G2082">IF(LineærRegression_Valg[[#This Row],[Indenfor range]],IF(LineærRegression_Valg[[#This Row],[Intet overlap]],INDEX(DataTitel_liste,LineærRegression_Valg[[#This Row],[Uafhængig variabel ID]]),INDEX(DataTitel_liste,IF(LineærRegression_Valg[[#This Row],[Afhængig variabel ID]]=1,2,1))),$B$7)</f>
        <v>Eksempel 2 (interval)</v>
      </c>
      <c r="H2082" s="188">
        <f>_xlfn.AGGREGATE(2,5,LineærRegression_Valg[[#This Row],[Tabel ID]])</f>
        <v>1</v>
      </c>
    </row>
    <row r="2083" spans="1:8" x14ac:dyDescent="0.2">
      <c r="A2083">
        <f>ROW(LineærRegression_Valg[[#This Row],[Tabel ID]])-ROW(LineærRegression_Valg[[#Headers],[Tabel ID]])</f>
        <v>2073</v>
      </c>
      <c r="B2083" s="188">
        <f>ROUNDDOWN((LineærRegression_Valg[[#This Row],[Tabel ID]]-1)/$B$5,0)+1</f>
        <v>519</v>
      </c>
      <c r="C2083" s="188">
        <f t="shared" si="32"/>
        <v>1</v>
      </c>
      <c r="D2083" s="188" t="b">
        <f>LineærRegression_Valg[[#This Row],[Afhængig variabel ID]]&lt;&gt;LineærRegression_Valg[[#This Row],[Uafhængig variabel ID]]</f>
        <v>1</v>
      </c>
      <c r="E2083" s="188" t="b">
        <f>LineærRegression_Valg[[#This Row],[Afhængig variabel ID]]&lt;=$B$5</f>
        <v>0</v>
      </c>
      <c r="F2083" t="str" cm="1">
        <f t="array" ref="F2083">IF(LineærRegression_Valg[[#This Row],[Indenfor range]],INDEX(DataTitel_liste,LineærRegression_Valg[[#This Row],[Afhængig variabel ID]]),INDEX(DataTitel_liste,1))</f>
        <v>Eksempel 1 (interval)</v>
      </c>
      <c r="G2083" s="188" t="str" cm="1">
        <f t="array" ref="G2083">IF(LineærRegression_Valg[[#This Row],[Indenfor range]],IF(LineærRegression_Valg[[#This Row],[Intet overlap]],INDEX(DataTitel_liste,LineærRegression_Valg[[#This Row],[Uafhængig variabel ID]]),INDEX(DataTitel_liste,IF(LineærRegression_Valg[[#This Row],[Afhængig variabel ID]]=1,2,1))),$B$7)</f>
        <v>Eksempel 2 (interval)</v>
      </c>
      <c r="H2083" s="188">
        <f>_xlfn.AGGREGATE(2,5,LineærRegression_Valg[[#This Row],[Tabel ID]])</f>
        <v>1</v>
      </c>
    </row>
    <row r="2084" spans="1:8" x14ac:dyDescent="0.2">
      <c r="A2084">
        <f>ROW(LineærRegression_Valg[[#This Row],[Tabel ID]])-ROW(LineærRegression_Valg[[#Headers],[Tabel ID]])</f>
        <v>2074</v>
      </c>
      <c r="B2084" s="188">
        <f>ROUNDDOWN((LineærRegression_Valg[[#This Row],[Tabel ID]]-1)/$B$5,0)+1</f>
        <v>519</v>
      </c>
      <c r="C2084" s="188">
        <f t="shared" si="32"/>
        <v>2</v>
      </c>
      <c r="D2084" s="188" t="b">
        <f>LineærRegression_Valg[[#This Row],[Afhængig variabel ID]]&lt;&gt;LineærRegression_Valg[[#This Row],[Uafhængig variabel ID]]</f>
        <v>1</v>
      </c>
      <c r="E2084" s="188" t="b">
        <f>LineærRegression_Valg[[#This Row],[Afhængig variabel ID]]&lt;=$B$5</f>
        <v>0</v>
      </c>
      <c r="F2084" t="str" cm="1">
        <f t="array" ref="F2084">IF(LineærRegression_Valg[[#This Row],[Indenfor range]],INDEX(DataTitel_liste,LineærRegression_Valg[[#This Row],[Afhængig variabel ID]]),INDEX(DataTitel_liste,1))</f>
        <v>Eksempel 1 (interval)</v>
      </c>
      <c r="G2084" s="188" t="str" cm="1">
        <f t="array" ref="G2084">IF(LineærRegression_Valg[[#This Row],[Indenfor range]],IF(LineærRegression_Valg[[#This Row],[Intet overlap]],INDEX(DataTitel_liste,LineærRegression_Valg[[#This Row],[Uafhængig variabel ID]]),INDEX(DataTitel_liste,IF(LineærRegression_Valg[[#This Row],[Afhængig variabel ID]]=1,2,1))),$B$7)</f>
        <v>Eksempel 2 (interval)</v>
      </c>
      <c r="H2084" s="188">
        <f>_xlfn.AGGREGATE(2,5,LineærRegression_Valg[[#This Row],[Tabel ID]])</f>
        <v>1</v>
      </c>
    </row>
    <row r="2085" spans="1:8" x14ac:dyDescent="0.2">
      <c r="A2085">
        <f>ROW(LineærRegression_Valg[[#This Row],[Tabel ID]])-ROW(LineærRegression_Valg[[#Headers],[Tabel ID]])</f>
        <v>2075</v>
      </c>
      <c r="B2085" s="188">
        <f>ROUNDDOWN((LineærRegression_Valg[[#This Row],[Tabel ID]]-1)/$B$5,0)+1</f>
        <v>519</v>
      </c>
      <c r="C2085" s="188">
        <f t="shared" si="32"/>
        <v>3</v>
      </c>
      <c r="D2085" s="188" t="b">
        <f>LineærRegression_Valg[[#This Row],[Afhængig variabel ID]]&lt;&gt;LineærRegression_Valg[[#This Row],[Uafhængig variabel ID]]</f>
        <v>1</v>
      </c>
      <c r="E2085" s="188" t="b">
        <f>LineærRegression_Valg[[#This Row],[Afhængig variabel ID]]&lt;=$B$5</f>
        <v>0</v>
      </c>
      <c r="F2085" t="str" cm="1">
        <f t="array" ref="F2085">IF(LineærRegression_Valg[[#This Row],[Indenfor range]],INDEX(DataTitel_liste,LineærRegression_Valg[[#This Row],[Afhængig variabel ID]]),INDEX(DataTitel_liste,1))</f>
        <v>Eksempel 1 (interval)</v>
      </c>
      <c r="G2085" s="188" t="str" cm="1">
        <f t="array" ref="G2085">IF(LineærRegression_Valg[[#This Row],[Indenfor range]],IF(LineærRegression_Valg[[#This Row],[Intet overlap]],INDEX(DataTitel_liste,LineærRegression_Valg[[#This Row],[Uafhængig variabel ID]]),INDEX(DataTitel_liste,IF(LineærRegression_Valg[[#This Row],[Afhængig variabel ID]]=1,2,1))),$B$7)</f>
        <v>Eksempel 2 (interval)</v>
      </c>
      <c r="H2085" s="188">
        <f>_xlfn.AGGREGATE(2,5,LineærRegression_Valg[[#This Row],[Tabel ID]])</f>
        <v>1</v>
      </c>
    </row>
    <row r="2086" spans="1:8" x14ac:dyDescent="0.2">
      <c r="A2086">
        <f>ROW(LineærRegression_Valg[[#This Row],[Tabel ID]])-ROW(LineærRegression_Valg[[#Headers],[Tabel ID]])</f>
        <v>2076</v>
      </c>
      <c r="B2086" s="188">
        <f>ROUNDDOWN((LineærRegression_Valg[[#This Row],[Tabel ID]]-1)/$B$5,0)+1</f>
        <v>519</v>
      </c>
      <c r="C2086" s="188">
        <f t="shared" si="32"/>
        <v>4</v>
      </c>
      <c r="D2086" s="188" t="b">
        <f>LineærRegression_Valg[[#This Row],[Afhængig variabel ID]]&lt;&gt;LineærRegression_Valg[[#This Row],[Uafhængig variabel ID]]</f>
        <v>1</v>
      </c>
      <c r="E2086" s="188" t="b">
        <f>LineærRegression_Valg[[#This Row],[Afhængig variabel ID]]&lt;=$B$5</f>
        <v>0</v>
      </c>
      <c r="F2086" t="str" cm="1">
        <f t="array" ref="F2086">IF(LineærRegression_Valg[[#This Row],[Indenfor range]],INDEX(DataTitel_liste,LineærRegression_Valg[[#This Row],[Afhængig variabel ID]]),INDEX(DataTitel_liste,1))</f>
        <v>Eksempel 1 (interval)</v>
      </c>
      <c r="G2086" s="188" t="str" cm="1">
        <f t="array" ref="G2086">IF(LineærRegression_Valg[[#This Row],[Indenfor range]],IF(LineærRegression_Valg[[#This Row],[Intet overlap]],INDEX(DataTitel_liste,LineærRegression_Valg[[#This Row],[Uafhængig variabel ID]]),INDEX(DataTitel_liste,IF(LineærRegression_Valg[[#This Row],[Afhængig variabel ID]]=1,2,1))),$B$7)</f>
        <v>Eksempel 2 (interval)</v>
      </c>
      <c r="H2086" s="188">
        <f>_xlfn.AGGREGATE(2,5,LineærRegression_Valg[[#This Row],[Tabel ID]])</f>
        <v>1</v>
      </c>
    </row>
    <row r="2087" spans="1:8" x14ac:dyDescent="0.2">
      <c r="A2087">
        <f>ROW(LineærRegression_Valg[[#This Row],[Tabel ID]])-ROW(LineærRegression_Valg[[#Headers],[Tabel ID]])</f>
        <v>2077</v>
      </c>
      <c r="B2087" s="188">
        <f>ROUNDDOWN((LineærRegression_Valg[[#This Row],[Tabel ID]]-1)/$B$5,0)+1</f>
        <v>520</v>
      </c>
      <c r="C2087" s="188">
        <f t="shared" si="32"/>
        <v>1</v>
      </c>
      <c r="D2087" s="188" t="b">
        <f>LineærRegression_Valg[[#This Row],[Afhængig variabel ID]]&lt;&gt;LineærRegression_Valg[[#This Row],[Uafhængig variabel ID]]</f>
        <v>1</v>
      </c>
      <c r="E2087" s="188" t="b">
        <f>LineærRegression_Valg[[#This Row],[Afhængig variabel ID]]&lt;=$B$5</f>
        <v>0</v>
      </c>
      <c r="F2087" t="str" cm="1">
        <f t="array" ref="F2087">IF(LineærRegression_Valg[[#This Row],[Indenfor range]],INDEX(DataTitel_liste,LineærRegression_Valg[[#This Row],[Afhængig variabel ID]]),INDEX(DataTitel_liste,1))</f>
        <v>Eksempel 1 (interval)</v>
      </c>
      <c r="G2087" s="188" t="str" cm="1">
        <f t="array" ref="G2087">IF(LineærRegression_Valg[[#This Row],[Indenfor range]],IF(LineærRegression_Valg[[#This Row],[Intet overlap]],INDEX(DataTitel_liste,LineærRegression_Valg[[#This Row],[Uafhængig variabel ID]]),INDEX(DataTitel_liste,IF(LineærRegression_Valg[[#This Row],[Afhængig variabel ID]]=1,2,1))),$B$7)</f>
        <v>Eksempel 2 (interval)</v>
      </c>
      <c r="H2087" s="188">
        <f>_xlfn.AGGREGATE(2,5,LineærRegression_Valg[[#This Row],[Tabel ID]])</f>
        <v>1</v>
      </c>
    </row>
    <row r="2088" spans="1:8" x14ac:dyDescent="0.2">
      <c r="A2088">
        <f>ROW(LineærRegression_Valg[[#This Row],[Tabel ID]])-ROW(LineærRegression_Valg[[#Headers],[Tabel ID]])</f>
        <v>2078</v>
      </c>
      <c r="B2088" s="188">
        <f>ROUNDDOWN((LineærRegression_Valg[[#This Row],[Tabel ID]]-1)/$B$5,0)+1</f>
        <v>520</v>
      </c>
      <c r="C2088" s="188">
        <f t="shared" si="32"/>
        <v>2</v>
      </c>
      <c r="D2088" s="188" t="b">
        <f>LineærRegression_Valg[[#This Row],[Afhængig variabel ID]]&lt;&gt;LineærRegression_Valg[[#This Row],[Uafhængig variabel ID]]</f>
        <v>1</v>
      </c>
      <c r="E2088" s="188" t="b">
        <f>LineærRegression_Valg[[#This Row],[Afhængig variabel ID]]&lt;=$B$5</f>
        <v>0</v>
      </c>
      <c r="F2088" t="str" cm="1">
        <f t="array" ref="F2088">IF(LineærRegression_Valg[[#This Row],[Indenfor range]],INDEX(DataTitel_liste,LineærRegression_Valg[[#This Row],[Afhængig variabel ID]]),INDEX(DataTitel_liste,1))</f>
        <v>Eksempel 1 (interval)</v>
      </c>
      <c r="G2088" s="188" t="str" cm="1">
        <f t="array" ref="G2088">IF(LineærRegression_Valg[[#This Row],[Indenfor range]],IF(LineærRegression_Valg[[#This Row],[Intet overlap]],INDEX(DataTitel_liste,LineærRegression_Valg[[#This Row],[Uafhængig variabel ID]]),INDEX(DataTitel_liste,IF(LineærRegression_Valg[[#This Row],[Afhængig variabel ID]]=1,2,1))),$B$7)</f>
        <v>Eksempel 2 (interval)</v>
      </c>
      <c r="H2088" s="188">
        <f>_xlfn.AGGREGATE(2,5,LineærRegression_Valg[[#This Row],[Tabel ID]])</f>
        <v>1</v>
      </c>
    </row>
    <row r="2089" spans="1:8" x14ac:dyDescent="0.2">
      <c r="A2089">
        <f>ROW(LineærRegression_Valg[[#This Row],[Tabel ID]])-ROW(LineærRegression_Valg[[#Headers],[Tabel ID]])</f>
        <v>2079</v>
      </c>
      <c r="B2089" s="188">
        <f>ROUNDDOWN((LineærRegression_Valg[[#This Row],[Tabel ID]]-1)/$B$5,0)+1</f>
        <v>520</v>
      </c>
      <c r="C2089" s="188">
        <f t="shared" si="32"/>
        <v>3</v>
      </c>
      <c r="D2089" s="188" t="b">
        <f>LineærRegression_Valg[[#This Row],[Afhængig variabel ID]]&lt;&gt;LineærRegression_Valg[[#This Row],[Uafhængig variabel ID]]</f>
        <v>1</v>
      </c>
      <c r="E2089" s="188" t="b">
        <f>LineærRegression_Valg[[#This Row],[Afhængig variabel ID]]&lt;=$B$5</f>
        <v>0</v>
      </c>
      <c r="F2089" t="str" cm="1">
        <f t="array" ref="F2089">IF(LineærRegression_Valg[[#This Row],[Indenfor range]],INDEX(DataTitel_liste,LineærRegression_Valg[[#This Row],[Afhængig variabel ID]]),INDEX(DataTitel_liste,1))</f>
        <v>Eksempel 1 (interval)</v>
      </c>
      <c r="G2089" s="188" t="str" cm="1">
        <f t="array" ref="G2089">IF(LineærRegression_Valg[[#This Row],[Indenfor range]],IF(LineærRegression_Valg[[#This Row],[Intet overlap]],INDEX(DataTitel_liste,LineærRegression_Valg[[#This Row],[Uafhængig variabel ID]]),INDEX(DataTitel_liste,IF(LineærRegression_Valg[[#This Row],[Afhængig variabel ID]]=1,2,1))),$B$7)</f>
        <v>Eksempel 2 (interval)</v>
      </c>
      <c r="H2089" s="188">
        <f>_xlfn.AGGREGATE(2,5,LineærRegression_Valg[[#This Row],[Tabel ID]])</f>
        <v>1</v>
      </c>
    </row>
    <row r="2090" spans="1:8" x14ac:dyDescent="0.2">
      <c r="A2090">
        <f>ROW(LineærRegression_Valg[[#This Row],[Tabel ID]])-ROW(LineærRegression_Valg[[#Headers],[Tabel ID]])</f>
        <v>2080</v>
      </c>
      <c r="B2090" s="188">
        <f>ROUNDDOWN((LineærRegression_Valg[[#This Row],[Tabel ID]]-1)/$B$5,0)+1</f>
        <v>520</v>
      </c>
      <c r="C2090" s="188">
        <f t="shared" si="32"/>
        <v>4</v>
      </c>
      <c r="D2090" s="188" t="b">
        <f>LineærRegression_Valg[[#This Row],[Afhængig variabel ID]]&lt;&gt;LineærRegression_Valg[[#This Row],[Uafhængig variabel ID]]</f>
        <v>1</v>
      </c>
      <c r="E2090" s="188" t="b">
        <f>LineærRegression_Valg[[#This Row],[Afhængig variabel ID]]&lt;=$B$5</f>
        <v>0</v>
      </c>
      <c r="F2090" t="str" cm="1">
        <f t="array" ref="F2090">IF(LineærRegression_Valg[[#This Row],[Indenfor range]],INDEX(DataTitel_liste,LineærRegression_Valg[[#This Row],[Afhængig variabel ID]]),INDEX(DataTitel_liste,1))</f>
        <v>Eksempel 1 (interval)</v>
      </c>
      <c r="G2090" s="188" t="str" cm="1">
        <f t="array" ref="G2090">IF(LineærRegression_Valg[[#This Row],[Indenfor range]],IF(LineærRegression_Valg[[#This Row],[Intet overlap]],INDEX(DataTitel_liste,LineærRegression_Valg[[#This Row],[Uafhængig variabel ID]]),INDEX(DataTitel_liste,IF(LineærRegression_Valg[[#This Row],[Afhængig variabel ID]]=1,2,1))),$B$7)</f>
        <v>Eksempel 2 (interval)</v>
      </c>
      <c r="H2090" s="188">
        <f>_xlfn.AGGREGATE(2,5,LineærRegression_Valg[[#This Row],[Tabel ID]])</f>
        <v>1</v>
      </c>
    </row>
    <row r="2091" spans="1:8" x14ac:dyDescent="0.2">
      <c r="A2091">
        <f>ROW(LineærRegression_Valg[[#This Row],[Tabel ID]])-ROW(LineærRegression_Valg[[#Headers],[Tabel ID]])</f>
        <v>2081</v>
      </c>
      <c r="B2091" s="188">
        <f>ROUNDDOWN((LineærRegression_Valg[[#This Row],[Tabel ID]]-1)/$B$5,0)+1</f>
        <v>521</v>
      </c>
      <c r="C2091" s="188">
        <f t="shared" si="32"/>
        <v>1</v>
      </c>
      <c r="D2091" s="188" t="b">
        <f>LineærRegression_Valg[[#This Row],[Afhængig variabel ID]]&lt;&gt;LineærRegression_Valg[[#This Row],[Uafhængig variabel ID]]</f>
        <v>1</v>
      </c>
      <c r="E2091" s="188" t="b">
        <f>LineærRegression_Valg[[#This Row],[Afhængig variabel ID]]&lt;=$B$5</f>
        <v>0</v>
      </c>
      <c r="F2091" t="str" cm="1">
        <f t="array" ref="F2091">IF(LineærRegression_Valg[[#This Row],[Indenfor range]],INDEX(DataTitel_liste,LineærRegression_Valg[[#This Row],[Afhængig variabel ID]]),INDEX(DataTitel_liste,1))</f>
        <v>Eksempel 1 (interval)</v>
      </c>
      <c r="G2091" s="188" t="str" cm="1">
        <f t="array" ref="G2091">IF(LineærRegression_Valg[[#This Row],[Indenfor range]],IF(LineærRegression_Valg[[#This Row],[Intet overlap]],INDEX(DataTitel_liste,LineærRegression_Valg[[#This Row],[Uafhængig variabel ID]]),INDEX(DataTitel_liste,IF(LineærRegression_Valg[[#This Row],[Afhængig variabel ID]]=1,2,1))),$B$7)</f>
        <v>Eksempel 2 (interval)</v>
      </c>
      <c r="H2091" s="188">
        <f>_xlfn.AGGREGATE(2,5,LineærRegression_Valg[[#This Row],[Tabel ID]])</f>
        <v>1</v>
      </c>
    </row>
    <row r="2092" spans="1:8" x14ac:dyDescent="0.2">
      <c r="A2092">
        <f>ROW(LineærRegression_Valg[[#This Row],[Tabel ID]])-ROW(LineærRegression_Valg[[#Headers],[Tabel ID]])</f>
        <v>2082</v>
      </c>
      <c r="B2092" s="188">
        <f>ROUNDDOWN((LineærRegression_Valg[[#This Row],[Tabel ID]]-1)/$B$5,0)+1</f>
        <v>521</v>
      </c>
      <c r="C2092" s="188">
        <f t="shared" si="32"/>
        <v>2</v>
      </c>
      <c r="D2092" s="188" t="b">
        <f>LineærRegression_Valg[[#This Row],[Afhængig variabel ID]]&lt;&gt;LineærRegression_Valg[[#This Row],[Uafhængig variabel ID]]</f>
        <v>1</v>
      </c>
      <c r="E2092" s="188" t="b">
        <f>LineærRegression_Valg[[#This Row],[Afhængig variabel ID]]&lt;=$B$5</f>
        <v>0</v>
      </c>
      <c r="F2092" t="str" cm="1">
        <f t="array" ref="F2092">IF(LineærRegression_Valg[[#This Row],[Indenfor range]],INDEX(DataTitel_liste,LineærRegression_Valg[[#This Row],[Afhængig variabel ID]]),INDEX(DataTitel_liste,1))</f>
        <v>Eksempel 1 (interval)</v>
      </c>
      <c r="G2092" s="188" t="str" cm="1">
        <f t="array" ref="G2092">IF(LineærRegression_Valg[[#This Row],[Indenfor range]],IF(LineærRegression_Valg[[#This Row],[Intet overlap]],INDEX(DataTitel_liste,LineærRegression_Valg[[#This Row],[Uafhængig variabel ID]]),INDEX(DataTitel_liste,IF(LineærRegression_Valg[[#This Row],[Afhængig variabel ID]]=1,2,1))),$B$7)</f>
        <v>Eksempel 2 (interval)</v>
      </c>
      <c r="H2092" s="188">
        <f>_xlfn.AGGREGATE(2,5,LineærRegression_Valg[[#This Row],[Tabel ID]])</f>
        <v>1</v>
      </c>
    </row>
    <row r="2093" spans="1:8" x14ac:dyDescent="0.2">
      <c r="A2093">
        <f>ROW(LineærRegression_Valg[[#This Row],[Tabel ID]])-ROW(LineærRegression_Valg[[#Headers],[Tabel ID]])</f>
        <v>2083</v>
      </c>
      <c r="B2093" s="188">
        <f>ROUNDDOWN((LineærRegression_Valg[[#This Row],[Tabel ID]]-1)/$B$5,0)+1</f>
        <v>521</v>
      </c>
      <c r="C2093" s="188">
        <f t="shared" si="32"/>
        <v>3</v>
      </c>
      <c r="D2093" s="188" t="b">
        <f>LineærRegression_Valg[[#This Row],[Afhængig variabel ID]]&lt;&gt;LineærRegression_Valg[[#This Row],[Uafhængig variabel ID]]</f>
        <v>1</v>
      </c>
      <c r="E2093" s="188" t="b">
        <f>LineærRegression_Valg[[#This Row],[Afhængig variabel ID]]&lt;=$B$5</f>
        <v>0</v>
      </c>
      <c r="F2093" t="str" cm="1">
        <f t="array" ref="F2093">IF(LineærRegression_Valg[[#This Row],[Indenfor range]],INDEX(DataTitel_liste,LineærRegression_Valg[[#This Row],[Afhængig variabel ID]]),INDEX(DataTitel_liste,1))</f>
        <v>Eksempel 1 (interval)</v>
      </c>
      <c r="G2093" s="188" t="str" cm="1">
        <f t="array" ref="G2093">IF(LineærRegression_Valg[[#This Row],[Indenfor range]],IF(LineærRegression_Valg[[#This Row],[Intet overlap]],INDEX(DataTitel_liste,LineærRegression_Valg[[#This Row],[Uafhængig variabel ID]]),INDEX(DataTitel_liste,IF(LineærRegression_Valg[[#This Row],[Afhængig variabel ID]]=1,2,1))),$B$7)</f>
        <v>Eksempel 2 (interval)</v>
      </c>
      <c r="H2093" s="188">
        <f>_xlfn.AGGREGATE(2,5,LineærRegression_Valg[[#This Row],[Tabel ID]])</f>
        <v>1</v>
      </c>
    </row>
    <row r="2094" spans="1:8" x14ac:dyDescent="0.2">
      <c r="A2094">
        <f>ROW(LineærRegression_Valg[[#This Row],[Tabel ID]])-ROW(LineærRegression_Valg[[#Headers],[Tabel ID]])</f>
        <v>2084</v>
      </c>
      <c r="B2094" s="188">
        <f>ROUNDDOWN((LineærRegression_Valg[[#This Row],[Tabel ID]]-1)/$B$5,0)+1</f>
        <v>521</v>
      </c>
      <c r="C2094" s="188">
        <f t="shared" si="32"/>
        <v>4</v>
      </c>
      <c r="D2094" s="188" t="b">
        <f>LineærRegression_Valg[[#This Row],[Afhængig variabel ID]]&lt;&gt;LineærRegression_Valg[[#This Row],[Uafhængig variabel ID]]</f>
        <v>1</v>
      </c>
      <c r="E2094" s="188" t="b">
        <f>LineærRegression_Valg[[#This Row],[Afhængig variabel ID]]&lt;=$B$5</f>
        <v>0</v>
      </c>
      <c r="F2094" t="str" cm="1">
        <f t="array" ref="F2094">IF(LineærRegression_Valg[[#This Row],[Indenfor range]],INDEX(DataTitel_liste,LineærRegression_Valg[[#This Row],[Afhængig variabel ID]]),INDEX(DataTitel_liste,1))</f>
        <v>Eksempel 1 (interval)</v>
      </c>
      <c r="G2094" s="188" t="str" cm="1">
        <f t="array" ref="G2094">IF(LineærRegression_Valg[[#This Row],[Indenfor range]],IF(LineærRegression_Valg[[#This Row],[Intet overlap]],INDEX(DataTitel_liste,LineærRegression_Valg[[#This Row],[Uafhængig variabel ID]]),INDEX(DataTitel_liste,IF(LineærRegression_Valg[[#This Row],[Afhængig variabel ID]]=1,2,1))),$B$7)</f>
        <v>Eksempel 2 (interval)</v>
      </c>
      <c r="H2094" s="188">
        <f>_xlfn.AGGREGATE(2,5,LineærRegression_Valg[[#This Row],[Tabel ID]])</f>
        <v>1</v>
      </c>
    </row>
    <row r="2095" spans="1:8" x14ac:dyDescent="0.2">
      <c r="A2095">
        <f>ROW(LineærRegression_Valg[[#This Row],[Tabel ID]])-ROW(LineærRegression_Valg[[#Headers],[Tabel ID]])</f>
        <v>2085</v>
      </c>
      <c r="B2095" s="188">
        <f>ROUNDDOWN((LineærRegression_Valg[[#This Row],[Tabel ID]]-1)/$B$5,0)+1</f>
        <v>522</v>
      </c>
      <c r="C2095" s="188">
        <f t="shared" si="32"/>
        <v>1</v>
      </c>
      <c r="D2095" s="188" t="b">
        <f>LineærRegression_Valg[[#This Row],[Afhængig variabel ID]]&lt;&gt;LineærRegression_Valg[[#This Row],[Uafhængig variabel ID]]</f>
        <v>1</v>
      </c>
      <c r="E2095" s="188" t="b">
        <f>LineærRegression_Valg[[#This Row],[Afhængig variabel ID]]&lt;=$B$5</f>
        <v>0</v>
      </c>
      <c r="F2095" t="str" cm="1">
        <f t="array" ref="F2095">IF(LineærRegression_Valg[[#This Row],[Indenfor range]],INDEX(DataTitel_liste,LineærRegression_Valg[[#This Row],[Afhængig variabel ID]]),INDEX(DataTitel_liste,1))</f>
        <v>Eksempel 1 (interval)</v>
      </c>
      <c r="G2095" s="188" t="str" cm="1">
        <f t="array" ref="G2095">IF(LineærRegression_Valg[[#This Row],[Indenfor range]],IF(LineærRegression_Valg[[#This Row],[Intet overlap]],INDEX(DataTitel_liste,LineærRegression_Valg[[#This Row],[Uafhængig variabel ID]]),INDEX(DataTitel_liste,IF(LineærRegression_Valg[[#This Row],[Afhængig variabel ID]]=1,2,1))),$B$7)</f>
        <v>Eksempel 2 (interval)</v>
      </c>
      <c r="H2095" s="188">
        <f>_xlfn.AGGREGATE(2,5,LineærRegression_Valg[[#This Row],[Tabel ID]])</f>
        <v>1</v>
      </c>
    </row>
    <row r="2096" spans="1:8" x14ac:dyDescent="0.2">
      <c r="A2096">
        <f>ROW(LineærRegression_Valg[[#This Row],[Tabel ID]])-ROW(LineærRegression_Valg[[#Headers],[Tabel ID]])</f>
        <v>2086</v>
      </c>
      <c r="B2096" s="188">
        <f>ROUNDDOWN((LineærRegression_Valg[[#This Row],[Tabel ID]]-1)/$B$5,0)+1</f>
        <v>522</v>
      </c>
      <c r="C2096" s="188">
        <f t="shared" si="32"/>
        <v>2</v>
      </c>
      <c r="D2096" s="188" t="b">
        <f>LineærRegression_Valg[[#This Row],[Afhængig variabel ID]]&lt;&gt;LineærRegression_Valg[[#This Row],[Uafhængig variabel ID]]</f>
        <v>1</v>
      </c>
      <c r="E2096" s="188" t="b">
        <f>LineærRegression_Valg[[#This Row],[Afhængig variabel ID]]&lt;=$B$5</f>
        <v>0</v>
      </c>
      <c r="F2096" t="str" cm="1">
        <f t="array" ref="F2096">IF(LineærRegression_Valg[[#This Row],[Indenfor range]],INDEX(DataTitel_liste,LineærRegression_Valg[[#This Row],[Afhængig variabel ID]]),INDEX(DataTitel_liste,1))</f>
        <v>Eksempel 1 (interval)</v>
      </c>
      <c r="G2096" s="188" t="str" cm="1">
        <f t="array" ref="G2096">IF(LineærRegression_Valg[[#This Row],[Indenfor range]],IF(LineærRegression_Valg[[#This Row],[Intet overlap]],INDEX(DataTitel_liste,LineærRegression_Valg[[#This Row],[Uafhængig variabel ID]]),INDEX(DataTitel_liste,IF(LineærRegression_Valg[[#This Row],[Afhængig variabel ID]]=1,2,1))),$B$7)</f>
        <v>Eksempel 2 (interval)</v>
      </c>
      <c r="H2096" s="188">
        <f>_xlfn.AGGREGATE(2,5,LineærRegression_Valg[[#This Row],[Tabel ID]])</f>
        <v>1</v>
      </c>
    </row>
    <row r="2097" spans="1:8" x14ac:dyDescent="0.2">
      <c r="A2097">
        <f>ROW(LineærRegression_Valg[[#This Row],[Tabel ID]])-ROW(LineærRegression_Valg[[#Headers],[Tabel ID]])</f>
        <v>2087</v>
      </c>
      <c r="B2097" s="188">
        <f>ROUNDDOWN((LineærRegression_Valg[[#This Row],[Tabel ID]]-1)/$B$5,0)+1</f>
        <v>522</v>
      </c>
      <c r="C2097" s="188">
        <f t="shared" si="32"/>
        <v>3</v>
      </c>
      <c r="D2097" s="188" t="b">
        <f>LineærRegression_Valg[[#This Row],[Afhængig variabel ID]]&lt;&gt;LineærRegression_Valg[[#This Row],[Uafhængig variabel ID]]</f>
        <v>1</v>
      </c>
      <c r="E2097" s="188" t="b">
        <f>LineærRegression_Valg[[#This Row],[Afhængig variabel ID]]&lt;=$B$5</f>
        <v>0</v>
      </c>
      <c r="F2097" t="str" cm="1">
        <f t="array" ref="F2097">IF(LineærRegression_Valg[[#This Row],[Indenfor range]],INDEX(DataTitel_liste,LineærRegression_Valg[[#This Row],[Afhængig variabel ID]]),INDEX(DataTitel_liste,1))</f>
        <v>Eksempel 1 (interval)</v>
      </c>
      <c r="G2097" s="188" t="str" cm="1">
        <f t="array" ref="G2097">IF(LineærRegression_Valg[[#This Row],[Indenfor range]],IF(LineærRegression_Valg[[#This Row],[Intet overlap]],INDEX(DataTitel_liste,LineærRegression_Valg[[#This Row],[Uafhængig variabel ID]]),INDEX(DataTitel_liste,IF(LineærRegression_Valg[[#This Row],[Afhængig variabel ID]]=1,2,1))),$B$7)</f>
        <v>Eksempel 2 (interval)</v>
      </c>
      <c r="H2097" s="188">
        <f>_xlfn.AGGREGATE(2,5,LineærRegression_Valg[[#This Row],[Tabel ID]])</f>
        <v>1</v>
      </c>
    </row>
    <row r="2098" spans="1:8" x14ac:dyDescent="0.2">
      <c r="A2098">
        <f>ROW(LineærRegression_Valg[[#This Row],[Tabel ID]])-ROW(LineærRegression_Valg[[#Headers],[Tabel ID]])</f>
        <v>2088</v>
      </c>
      <c r="B2098" s="188">
        <f>ROUNDDOWN((LineærRegression_Valg[[#This Row],[Tabel ID]]-1)/$B$5,0)+1</f>
        <v>522</v>
      </c>
      <c r="C2098" s="188">
        <f t="shared" si="32"/>
        <v>4</v>
      </c>
      <c r="D2098" s="188" t="b">
        <f>LineærRegression_Valg[[#This Row],[Afhængig variabel ID]]&lt;&gt;LineærRegression_Valg[[#This Row],[Uafhængig variabel ID]]</f>
        <v>1</v>
      </c>
      <c r="E2098" s="188" t="b">
        <f>LineærRegression_Valg[[#This Row],[Afhængig variabel ID]]&lt;=$B$5</f>
        <v>0</v>
      </c>
      <c r="F2098" t="str" cm="1">
        <f t="array" ref="F2098">IF(LineærRegression_Valg[[#This Row],[Indenfor range]],INDEX(DataTitel_liste,LineærRegression_Valg[[#This Row],[Afhængig variabel ID]]),INDEX(DataTitel_liste,1))</f>
        <v>Eksempel 1 (interval)</v>
      </c>
      <c r="G2098" s="188" t="str" cm="1">
        <f t="array" ref="G2098">IF(LineærRegression_Valg[[#This Row],[Indenfor range]],IF(LineærRegression_Valg[[#This Row],[Intet overlap]],INDEX(DataTitel_liste,LineærRegression_Valg[[#This Row],[Uafhængig variabel ID]]),INDEX(DataTitel_liste,IF(LineærRegression_Valg[[#This Row],[Afhængig variabel ID]]=1,2,1))),$B$7)</f>
        <v>Eksempel 2 (interval)</v>
      </c>
      <c r="H2098" s="188">
        <f>_xlfn.AGGREGATE(2,5,LineærRegression_Valg[[#This Row],[Tabel ID]])</f>
        <v>1</v>
      </c>
    </row>
    <row r="2099" spans="1:8" x14ac:dyDescent="0.2">
      <c r="A2099">
        <f>ROW(LineærRegression_Valg[[#This Row],[Tabel ID]])-ROW(LineærRegression_Valg[[#Headers],[Tabel ID]])</f>
        <v>2089</v>
      </c>
      <c r="B2099" s="188">
        <f>ROUNDDOWN((LineærRegression_Valg[[#This Row],[Tabel ID]]-1)/$B$5,0)+1</f>
        <v>523</v>
      </c>
      <c r="C2099" s="188">
        <f t="shared" si="32"/>
        <v>1</v>
      </c>
      <c r="D2099" s="188" t="b">
        <f>LineærRegression_Valg[[#This Row],[Afhængig variabel ID]]&lt;&gt;LineærRegression_Valg[[#This Row],[Uafhængig variabel ID]]</f>
        <v>1</v>
      </c>
      <c r="E2099" s="188" t="b">
        <f>LineærRegression_Valg[[#This Row],[Afhængig variabel ID]]&lt;=$B$5</f>
        <v>0</v>
      </c>
      <c r="F2099" t="str" cm="1">
        <f t="array" ref="F2099">IF(LineærRegression_Valg[[#This Row],[Indenfor range]],INDEX(DataTitel_liste,LineærRegression_Valg[[#This Row],[Afhængig variabel ID]]),INDEX(DataTitel_liste,1))</f>
        <v>Eksempel 1 (interval)</v>
      </c>
      <c r="G2099" s="188" t="str" cm="1">
        <f t="array" ref="G2099">IF(LineærRegression_Valg[[#This Row],[Indenfor range]],IF(LineærRegression_Valg[[#This Row],[Intet overlap]],INDEX(DataTitel_liste,LineærRegression_Valg[[#This Row],[Uafhængig variabel ID]]),INDEX(DataTitel_liste,IF(LineærRegression_Valg[[#This Row],[Afhængig variabel ID]]=1,2,1))),$B$7)</f>
        <v>Eksempel 2 (interval)</v>
      </c>
      <c r="H2099" s="188">
        <f>_xlfn.AGGREGATE(2,5,LineærRegression_Valg[[#This Row],[Tabel ID]])</f>
        <v>1</v>
      </c>
    </row>
    <row r="2100" spans="1:8" x14ac:dyDescent="0.2">
      <c r="A2100">
        <f>ROW(LineærRegression_Valg[[#This Row],[Tabel ID]])-ROW(LineærRegression_Valg[[#Headers],[Tabel ID]])</f>
        <v>2090</v>
      </c>
      <c r="B2100" s="188">
        <f>ROUNDDOWN((LineærRegression_Valg[[#This Row],[Tabel ID]]-1)/$B$5,0)+1</f>
        <v>523</v>
      </c>
      <c r="C2100" s="188">
        <f t="shared" si="32"/>
        <v>2</v>
      </c>
      <c r="D2100" s="188" t="b">
        <f>LineærRegression_Valg[[#This Row],[Afhængig variabel ID]]&lt;&gt;LineærRegression_Valg[[#This Row],[Uafhængig variabel ID]]</f>
        <v>1</v>
      </c>
      <c r="E2100" s="188" t="b">
        <f>LineærRegression_Valg[[#This Row],[Afhængig variabel ID]]&lt;=$B$5</f>
        <v>0</v>
      </c>
      <c r="F2100" t="str" cm="1">
        <f t="array" ref="F2100">IF(LineærRegression_Valg[[#This Row],[Indenfor range]],INDEX(DataTitel_liste,LineærRegression_Valg[[#This Row],[Afhængig variabel ID]]),INDEX(DataTitel_liste,1))</f>
        <v>Eksempel 1 (interval)</v>
      </c>
      <c r="G2100" s="188" t="str" cm="1">
        <f t="array" ref="G2100">IF(LineærRegression_Valg[[#This Row],[Indenfor range]],IF(LineærRegression_Valg[[#This Row],[Intet overlap]],INDEX(DataTitel_liste,LineærRegression_Valg[[#This Row],[Uafhængig variabel ID]]),INDEX(DataTitel_liste,IF(LineærRegression_Valg[[#This Row],[Afhængig variabel ID]]=1,2,1))),$B$7)</f>
        <v>Eksempel 2 (interval)</v>
      </c>
      <c r="H2100" s="188">
        <f>_xlfn.AGGREGATE(2,5,LineærRegression_Valg[[#This Row],[Tabel ID]])</f>
        <v>1</v>
      </c>
    </row>
    <row r="2101" spans="1:8" x14ac:dyDescent="0.2">
      <c r="A2101">
        <f>ROW(LineærRegression_Valg[[#This Row],[Tabel ID]])-ROW(LineærRegression_Valg[[#Headers],[Tabel ID]])</f>
        <v>2091</v>
      </c>
      <c r="B2101" s="188">
        <f>ROUNDDOWN((LineærRegression_Valg[[#This Row],[Tabel ID]]-1)/$B$5,0)+1</f>
        <v>523</v>
      </c>
      <c r="C2101" s="188">
        <f t="shared" si="32"/>
        <v>3</v>
      </c>
      <c r="D2101" s="188" t="b">
        <f>LineærRegression_Valg[[#This Row],[Afhængig variabel ID]]&lt;&gt;LineærRegression_Valg[[#This Row],[Uafhængig variabel ID]]</f>
        <v>1</v>
      </c>
      <c r="E2101" s="188" t="b">
        <f>LineærRegression_Valg[[#This Row],[Afhængig variabel ID]]&lt;=$B$5</f>
        <v>0</v>
      </c>
      <c r="F2101" t="str" cm="1">
        <f t="array" ref="F2101">IF(LineærRegression_Valg[[#This Row],[Indenfor range]],INDEX(DataTitel_liste,LineærRegression_Valg[[#This Row],[Afhængig variabel ID]]),INDEX(DataTitel_liste,1))</f>
        <v>Eksempel 1 (interval)</v>
      </c>
      <c r="G2101" s="188" t="str" cm="1">
        <f t="array" ref="G2101">IF(LineærRegression_Valg[[#This Row],[Indenfor range]],IF(LineærRegression_Valg[[#This Row],[Intet overlap]],INDEX(DataTitel_liste,LineærRegression_Valg[[#This Row],[Uafhængig variabel ID]]),INDEX(DataTitel_liste,IF(LineærRegression_Valg[[#This Row],[Afhængig variabel ID]]=1,2,1))),$B$7)</f>
        <v>Eksempel 2 (interval)</v>
      </c>
      <c r="H2101" s="188">
        <f>_xlfn.AGGREGATE(2,5,LineærRegression_Valg[[#This Row],[Tabel ID]])</f>
        <v>1</v>
      </c>
    </row>
    <row r="2102" spans="1:8" x14ac:dyDescent="0.2">
      <c r="A2102">
        <f>ROW(LineærRegression_Valg[[#This Row],[Tabel ID]])-ROW(LineærRegression_Valg[[#Headers],[Tabel ID]])</f>
        <v>2092</v>
      </c>
      <c r="B2102" s="188">
        <f>ROUNDDOWN((LineærRegression_Valg[[#This Row],[Tabel ID]]-1)/$B$5,0)+1</f>
        <v>523</v>
      </c>
      <c r="C2102" s="188">
        <f t="shared" si="32"/>
        <v>4</v>
      </c>
      <c r="D2102" s="188" t="b">
        <f>LineærRegression_Valg[[#This Row],[Afhængig variabel ID]]&lt;&gt;LineærRegression_Valg[[#This Row],[Uafhængig variabel ID]]</f>
        <v>1</v>
      </c>
      <c r="E2102" s="188" t="b">
        <f>LineærRegression_Valg[[#This Row],[Afhængig variabel ID]]&lt;=$B$5</f>
        <v>0</v>
      </c>
      <c r="F2102" t="str" cm="1">
        <f t="array" ref="F2102">IF(LineærRegression_Valg[[#This Row],[Indenfor range]],INDEX(DataTitel_liste,LineærRegression_Valg[[#This Row],[Afhængig variabel ID]]),INDEX(DataTitel_liste,1))</f>
        <v>Eksempel 1 (interval)</v>
      </c>
      <c r="G2102" s="188" t="str" cm="1">
        <f t="array" ref="G2102">IF(LineærRegression_Valg[[#This Row],[Indenfor range]],IF(LineærRegression_Valg[[#This Row],[Intet overlap]],INDEX(DataTitel_liste,LineærRegression_Valg[[#This Row],[Uafhængig variabel ID]]),INDEX(DataTitel_liste,IF(LineærRegression_Valg[[#This Row],[Afhængig variabel ID]]=1,2,1))),$B$7)</f>
        <v>Eksempel 2 (interval)</v>
      </c>
      <c r="H2102" s="188">
        <f>_xlfn.AGGREGATE(2,5,LineærRegression_Valg[[#This Row],[Tabel ID]])</f>
        <v>1</v>
      </c>
    </row>
    <row r="2103" spans="1:8" x14ac:dyDescent="0.2">
      <c r="A2103">
        <f>ROW(LineærRegression_Valg[[#This Row],[Tabel ID]])-ROW(LineærRegression_Valg[[#Headers],[Tabel ID]])</f>
        <v>2093</v>
      </c>
      <c r="B2103" s="188">
        <f>ROUNDDOWN((LineærRegression_Valg[[#This Row],[Tabel ID]]-1)/$B$5,0)+1</f>
        <v>524</v>
      </c>
      <c r="C2103" s="188">
        <f t="shared" si="32"/>
        <v>1</v>
      </c>
      <c r="D2103" s="188" t="b">
        <f>LineærRegression_Valg[[#This Row],[Afhængig variabel ID]]&lt;&gt;LineærRegression_Valg[[#This Row],[Uafhængig variabel ID]]</f>
        <v>1</v>
      </c>
      <c r="E2103" s="188" t="b">
        <f>LineærRegression_Valg[[#This Row],[Afhængig variabel ID]]&lt;=$B$5</f>
        <v>0</v>
      </c>
      <c r="F2103" t="str" cm="1">
        <f t="array" ref="F2103">IF(LineærRegression_Valg[[#This Row],[Indenfor range]],INDEX(DataTitel_liste,LineærRegression_Valg[[#This Row],[Afhængig variabel ID]]),INDEX(DataTitel_liste,1))</f>
        <v>Eksempel 1 (interval)</v>
      </c>
      <c r="G2103" s="188" t="str" cm="1">
        <f t="array" ref="G2103">IF(LineærRegression_Valg[[#This Row],[Indenfor range]],IF(LineærRegression_Valg[[#This Row],[Intet overlap]],INDEX(DataTitel_liste,LineærRegression_Valg[[#This Row],[Uafhængig variabel ID]]),INDEX(DataTitel_liste,IF(LineærRegression_Valg[[#This Row],[Afhængig variabel ID]]=1,2,1))),$B$7)</f>
        <v>Eksempel 2 (interval)</v>
      </c>
      <c r="H2103" s="188">
        <f>_xlfn.AGGREGATE(2,5,LineærRegression_Valg[[#This Row],[Tabel ID]])</f>
        <v>1</v>
      </c>
    </row>
    <row r="2104" spans="1:8" x14ac:dyDescent="0.2">
      <c r="A2104">
        <f>ROW(LineærRegression_Valg[[#This Row],[Tabel ID]])-ROW(LineærRegression_Valg[[#Headers],[Tabel ID]])</f>
        <v>2094</v>
      </c>
      <c r="B2104" s="188">
        <f>ROUNDDOWN((LineærRegression_Valg[[#This Row],[Tabel ID]]-1)/$B$5,0)+1</f>
        <v>524</v>
      </c>
      <c r="C2104" s="188">
        <f t="shared" si="32"/>
        <v>2</v>
      </c>
      <c r="D2104" s="188" t="b">
        <f>LineærRegression_Valg[[#This Row],[Afhængig variabel ID]]&lt;&gt;LineærRegression_Valg[[#This Row],[Uafhængig variabel ID]]</f>
        <v>1</v>
      </c>
      <c r="E2104" s="188" t="b">
        <f>LineærRegression_Valg[[#This Row],[Afhængig variabel ID]]&lt;=$B$5</f>
        <v>0</v>
      </c>
      <c r="F2104" t="str" cm="1">
        <f t="array" ref="F2104">IF(LineærRegression_Valg[[#This Row],[Indenfor range]],INDEX(DataTitel_liste,LineærRegression_Valg[[#This Row],[Afhængig variabel ID]]),INDEX(DataTitel_liste,1))</f>
        <v>Eksempel 1 (interval)</v>
      </c>
      <c r="G2104" s="188" t="str" cm="1">
        <f t="array" ref="G2104">IF(LineærRegression_Valg[[#This Row],[Indenfor range]],IF(LineærRegression_Valg[[#This Row],[Intet overlap]],INDEX(DataTitel_liste,LineærRegression_Valg[[#This Row],[Uafhængig variabel ID]]),INDEX(DataTitel_liste,IF(LineærRegression_Valg[[#This Row],[Afhængig variabel ID]]=1,2,1))),$B$7)</f>
        <v>Eksempel 2 (interval)</v>
      </c>
      <c r="H2104" s="188">
        <f>_xlfn.AGGREGATE(2,5,LineærRegression_Valg[[#This Row],[Tabel ID]])</f>
        <v>1</v>
      </c>
    </row>
    <row r="2105" spans="1:8" x14ac:dyDescent="0.2">
      <c r="A2105">
        <f>ROW(LineærRegression_Valg[[#This Row],[Tabel ID]])-ROW(LineærRegression_Valg[[#Headers],[Tabel ID]])</f>
        <v>2095</v>
      </c>
      <c r="B2105" s="188">
        <f>ROUNDDOWN((LineærRegression_Valg[[#This Row],[Tabel ID]]-1)/$B$5,0)+1</f>
        <v>524</v>
      </c>
      <c r="C2105" s="188">
        <f t="shared" si="32"/>
        <v>3</v>
      </c>
      <c r="D2105" s="188" t="b">
        <f>LineærRegression_Valg[[#This Row],[Afhængig variabel ID]]&lt;&gt;LineærRegression_Valg[[#This Row],[Uafhængig variabel ID]]</f>
        <v>1</v>
      </c>
      <c r="E2105" s="188" t="b">
        <f>LineærRegression_Valg[[#This Row],[Afhængig variabel ID]]&lt;=$B$5</f>
        <v>0</v>
      </c>
      <c r="F2105" t="str" cm="1">
        <f t="array" ref="F2105">IF(LineærRegression_Valg[[#This Row],[Indenfor range]],INDEX(DataTitel_liste,LineærRegression_Valg[[#This Row],[Afhængig variabel ID]]),INDEX(DataTitel_liste,1))</f>
        <v>Eksempel 1 (interval)</v>
      </c>
      <c r="G2105" s="188" t="str" cm="1">
        <f t="array" ref="G2105">IF(LineærRegression_Valg[[#This Row],[Indenfor range]],IF(LineærRegression_Valg[[#This Row],[Intet overlap]],INDEX(DataTitel_liste,LineærRegression_Valg[[#This Row],[Uafhængig variabel ID]]),INDEX(DataTitel_liste,IF(LineærRegression_Valg[[#This Row],[Afhængig variabel ID]]=1,2,1))),$B$7)</f>
        <v>Eksempel 2 (interval)</v>
      </c>
      <c r="H2105" s="188">
        <f>_xlfn.AGGREGATE(2,5,LineærRegression_Valg[[#This Row],[Tabel ID]])</f>
        <v>1</v>
      </c>
    </row>
    <row r="2106" spans="1:8" x14ac:dyDescent="0.2">
      <c r="A2106">
        <f>ROW(LineærRegression_Valg[[#This Row],[Tabel ID]])-ROW(LineærRegression_Valg[[#Headers],[Tabel ID]])</f>
        <v>2096</v>
      </c>
      <c r="B2106" s="188">
        <f>ROUNDDOWN((LineærRegression_Valg[[#This Row],[Tabel ID]]-1)/$B$5,0)+1</f>
        <v>524</v>
      </c>
      <c r="C2106" s="188">
        <f t="shared" si="32"/>
        <v>4</v>
      </c>
      <c r="D2106" s="188" t="b">
        <f>LineærRegression_Valg[[#This Row],[Afhængig variabel ID]]&lt;&gt;LineærRegression_Valg[[#This Row],[Uafhængig variabel ID]]</f>
        <v>1</v>
      </c>
      <c r="E2106" s="188" t="b">
        <f>LineærRegression_Valg[[#This Row],[Afhængig variabel ID]]&lt;=$B$5</f>
        <v>0</v>
      </c>
      <c r="F2106" t="str" cm="1">
        <f t="array" ref="F2106">IF(LineærRegression_Valg[[#This Row],[Indenfor range]],INDEX(DataTitel_liste,LineærRegression_Valg[[#This Row],[Afhængig variabel ID]]),INDEX(DataTitel_liste,1))</f>
        <v>Eksempel 1 (interval)</v>
      </c>
      <c r="G2106" s="188" t="str" cm="1">
        <f t="array" ref="G2106">IF(LineærRegression_Valg[[#This Row],[Indenfor range]],IF(LineærRegression_Valg[[#This Row],[Intet overlap]],INDEX(DataTitel_liste,LineærRegression_Valg[[#This Row],[Uafhængig variabel ID]]),INDEX(DataTitel_liste,IF(LineærRegression_Valg[[#This Row],[Afhængig variabel ID]]=1,2,1))),$B$7)</f>
        <v>Eksempel 2 (interval)</v>
      </c>
      <c r="H2106" s="188">
        <f>_xlfn.AGGREGATE(2,5,LineærRegression_Valg[[#This Row],[Tabel ID]])</f>
        <v>1</v>
      </c>
    </row>
    <row r="2107" spans="1:8" x14ac:dyDescent="0.2">
      <c r="A2107">
        <f>ROW(LineærRegression_Valg[[#This Row],[Tabel ID]])-ROW(LineærRegression_Valg[[#Headers],[Tabel ID]])</f>
        <v>2097</v>
      </c>
      <c r="B2107" s="188">
        <f>ROUNDDOWN((LineærRegression_Valg[[#This Row],[Tabel ID]]-1)/$B$5,0)+1</f>
        <v>525</v>
      </c>
      <c r="C2107" s="188">
        <f t="shared" si="32"/>
        <v>1</v>
      </c>
      <c r="D2107" s="188" t="b">
        <f>LineærRegression_Valg[[#This Row],[Afhængig variabel ID]]&lt;&gt;LineærRegression_Valg[[#This Row],[Uafhængig variabel ID]]</f>
        <v>1</v>
      </c>
      <c r="E2107" s="188" t="b">
        <f>LineærRegression_Valg[[#This Row],[Afhængig variabel ID]]&lt;=$B$5</f>
        <v>0</v>
      </c>
      <c r="F2107" t="str" cm="1">
        <f t="array" ref="F2107">IF(LineærRegression_Valg[[#This Row],[Indenfor range]],INDEX(DataTitel_liste,LineærRegression_Valg[[#This Row],[Afhængig variabel ID]]),INDEX(DataTitel_liste,1))</f>
        <v>Eksempel 1 (interval)</v>
      </c>
      <c r="G2107" s="188" t="str" cm="1">
        <f t="array" ref="G2107">IF(LineærRegression_Valg[[#This Row],[Indenfor range]],IF(LineærRegression_Valg[[#This Row],[Intet overlap]],INDEX(DataTitel_liste,LineærRegression_Valg[[#This Row],[Uafhængig variabel ID]]),INDEX(DataTitel_liste,IF(LineærRegression_Valg[[#This Row],[Afhængig variabel ID]]=1,2,1))),$B$7)</f>
        <v>Eksempel 2 (interval)</v>
      </c>
      <c r="H2107" s="188">
        <f>_xlfn.AGGREGATE(2,5,LineærRegression_Valg[[#This Row],[Tabel ID]])</f>
        <v>1</v>
      </c>
    </row>
    <row r="2108" spans="1:8" x14ac:dyDescent="0.2">
      <c r="A2108">
        <f>ROW(LineærRegression_Valg[[#This Row],[Tabel ID]])-ROW(LineærRegression_Valg[[#Headers],[Tabel ID]])</f>
        <v>2098</v>
      </c>
      <c r="B2108" s="188">
        <f>ROUNDDOWN((LineærRegression_Valg[[#This Row],[Tabel ID]]-1)/$B$5,0)+1</f>
        <v>525</v>
      </c>
      <c r="C2108" s="188">
        <f t="shared" si="32"/>
        <v>2</v>
      </c>
      <c r="D2108" s="188" t="b">
        <f>LineærRegression_Valg[[#This Row],[Afhængig variabel ID]]&lt;&gt;LineærRegression_Valg[[#This Row],[Uafhængig variabel ID]]</f>
        <v>1</v>
      </c>
      <c r="E2108" s="188" t="b">
        <f>LineærRegression_Valg[[#This Row],[Afhængig variabel ID]]&lt;=$B$5</f>
        <v>0</v>
      </c>
      <c r="F2108" t="str" cm="1">
        <f t="array" ref="F2108">IF(LineærRegression_Valg[[#This Row],[Indenfor range]],INDEX(DataTitel_liste,LineærRegression_Valg[[#This Row],[Afhængig variabel ID]]),INDEX(DataTitel_liste,1))</f>
        <v>Eksempel 1 (interval)</v>
      </c>
      <c r="G2108" s="188" t="str" cm="1">
        <f t="array" ref="G2108">IF(LineærRegression_Valg[[#This Row],[Indenfor range]],IF(LineærRegression_Valg[[#This Row],[Intet overlap]],INDEX(DataTitel_liste,LineærRegression_Valg[[#This Row],[Uafhængig variabel ID]]),INDEX(DataTitel_liste,IF(LineærRegression_Valg[[#This Row],[Afhængig variabel ID]]=1,2,1))),$B$7)</f>
        <v>Eksempel 2 (interval)</v>
      </c>
      <c r="H2108" s="188">
        <f>_xlfn.AGGREGATE(2,5,LineærRegression_Valg[[#This Row],[Tabel ID]])</f>
        <v>1</v>
      </c>
    </row>
    <row r="2109" spans="1:8" x14ac:dyDescent="0.2">
      <c r="A2109">
        <f>ROW(LineærRegression_Valg[[#This Row],[Tabel ID]])-ROW(LineærRegression_Valg[[#Headers],[Tabel ID]])</f>
        <v>2099</v>
      </c>
      <c r="B2109" s="188">
        <f>ROUNDDOWN((LineærRegression_Valg[[#This Row],[Tabel ID]]-1)/$B$5,0)+1</f>
        <v>525</v>
      </c>
      <c r="C2109" s="188">
        <f t="shared" si="32"/>
        <v>3</v>
      </c>
      <c r="D2109" s="188" t="b">
        <f>LineærRegression_Valg[[#This Row],[Afhængig variabel ID]]&lt;&gt;LineærRegression_Valg[[#This Row],[Uafhængig variabel ID]]</f>
        <v>1</v>
      </c>
      <c r="E2109" s="188" t="b">
        <f>LineærRegression_Valg[[#This Row],[Afhængig variabel ID]]&lt;=$B$5</f>
        <v>0</v>
      </c>
      <c r="F2109" t="str" cm="1">
        <f t="array" ref="F2109">IF(LineærRegression_Valg[[#This Row],[Indenfor range]],INDEX(DataTitel_liste,LineærRegression_Valg[[#This Row],[Afhængig variabel ID]]),INDEX(DataTitel_liste,1))</f>
        <v>Eksempel 1 (interval)</v>
      </c>
      <c r="G2109" s="188" t="str" cm="1">
        <f t="array" ref="G2109">IF(LineærRegression_Valg[[#This Row],[Indenfor range]],IF(LineærRegression_Valg[[#This Row],[Intet overlap]],INDEX(DataTitel_liste,LineærRegression_Valg[[#This Row],[Uafhængig variabel ID]]),INDEX(DataTitel_liste,IF(LineærRegression_Valg[[#This Row],[Afhængig variabel ID]]=1,2,1))),$B$7)</f>
        <v>Eksempel 2 (interval)</v>
      </c>
      <c r="H2109" s="188">
        <f>_xlfn.AGGREGATE(2,5,LineærRegression_Valg[[#This Row],[Tabel ID]])</f>
        <v>1</v>
      </c>
    </row>
    <row r="2110" spans="1:8" x14ac:dyDescent="0.2">
      <c r="A2110">
        <f>ROW(LineærRegression_Valg[[#This Row],[Tabel ID]])-ROW(LineærRegression_Valg[[#Headers],[Tabel ID]])</f>
        <v>2100</v>
      </c>
      <c r="B2110" s="188">
        <f>ROUNDDOWN((LineærRegression_Valg[[#This Row],[Tabel ID]]-1)/$B$5,0)+1</f>
        <v>525</v>
      </c>
      <c r="C2110" s="188">
        <f t="shared" si="32"/>
        <v>4</v>
      </c>
      <c r="D2110" s="188" t="b">
        <f>LineærRegression_Valg[[#This Row],[Afhængig variabel ID]]&lt;&gt;LineærRegression_Valg[[#This Row],[Uafhængig variabel ID]]</f>
        <v>1</v>
      </c>
      <c r="E2110" s="188" t="b">
        <f>LineærRegression_Valg[[#This Row],[Afhængig variabel ID]]&lt;=$B$5</f>
        <v>0</v>
      </c>
      <c r="F2110" t="str" cm="1">
        <f t="array" ref="F2110">IF(LineærRegression_Valg[[#This Row],[Indenfor range]],INDEX(DataTitel_liste,LineærRegression_Valg[[#This Row],[Afhængig variabel ID]]),INDEX(DataTitel_liste,1))</f>
        <v>Eksempel 1 (interval)</v>
      </c>
      <c r="G2110" s="188" t="str" cm="1">
        <f t="array" ref="G2110">IF(LineærRegression_Valg[[#This Row],[Indenfor range]],IF(LineærRegression_Valg[[#This Row],[Intet overlap]],INDEX(DataTitel_liste,LineærRegression_Valg[[#This Row],[Uafhængig variabel ID]]),INDEX(DataTitel_liste,IF(LineærRegression_Valg[[#This Row],[Afhængig variabel ID]]=1,2,1))),$B$7)</f>
        <v>Eksempel 2 (interval)</v>
      </c>
      <c r="H2110" s="188">
        <f>_xlfn.AGGREGATE(2,5,LineærRegression_Valg[[#This Row],[Tabel ID]])</f>
        <v>1</v>
      </c>
    </row>
    <row r="2111" spans="1:8" x14ac:dyDescent="0.2">
      <c r="A2111">
        <f>ROW(LineærRegression_Valg[[#This Row],[Tabel ID]])-ROW(LineærRegression_Valg[[#Headers],[Tabel ID]])</f>
        <v>2101</v>
      </c>
      <c r="B2111" s="188">
        <f>ROUNDDOWN((LineærRegression_Valg[[#This Row],[Tabel ID]]-1)/$B$5,0)+1</f>
        <v>526</v>
      </c>
      <c r="C2111" s="188">
        <f t="shared" si="32"/>
        <v>1</v>
      </c>
      <c r="D2111" s="188" t="b">
        <f>LineærRegression_Valg[[#This Row],[Afhængig variabel ID]]&lt;&gt;LineærRegression_Valg[[#This Row],[Uafhængig variabel ID]]</f>
        <v>1</v>
      </c>
      <c r="E2111" s="188" t="b">
        <f>LineærRegression_Valg[[#This Row],[Afhængig variabel ID]]&lt;=$B$5</f>
        <v>0</v>
      </c>
      <c r="F2111" t="str" cm="1">
        <f t="array" ref="F2111">IF(LineærRegression_Valg[[#This Row],[Indenfor range]],INDEX(DataTitel_liste,LineærRegression_Valg[[#This Row],[Afhængig variabel ID]]),INDEX(DataTitel_liste,1))</f>
        <v>Eksempel 1 (interval)</v>
      </c>
      <c r="G2111" s="188" t="str" cm="1">
        <f t="array" ref="G2111">IF(LineærRegression_Valg[[#This Row],[Indenfor range]],IF(LineærRegression_Valg[[#This Row],[Intet overlap]],INDEX(DataTitel_liste,LineærRegression_Valg[[#This Row],[Uafhængig variabel ID]]),INDEX(DataTitel_liste,IF(LineærRegression_Valg[[#This Row],[Afhængig variabel ID]]=1,2,1))),$B$7)</f>
        <v>Eksempel 2 (interval)</v>
      </c>
      <c r="H2111" s="188">
        <f>_xlfn.AGGREGATE(2,5,LineærRegression_Valg[[#This Row],[Tabel ID]])</f>
        <v>1</v>
      </c>
    </row>
    <row r="2112" spans="1:8" x14ac:dyDescent="0.2">
      <c r="A2112">
        <f>ROW(LineærRegression_Valg[[#This Row],[Tabel ID]])-ROW(LineærRegression_Valg[[#Headers],[Tabel ID]])</f>
        <v>2102</v>
      </c>
      <c r="B2112" s="188">
        <f>ROUNDDOWN((LineærRegression_Valg[[#This Row],[Tabel ID]]-1)/$B$5,0)+1</f>
        <v>526</v>
      </c>
      <c r="C2112" s="188">
        <f t="shared" si="32"/>
        <v>2</v>
      </c>
      <c r="D2112" s="188" t="b">
        <f>LineærRegression_Valg[[#This Row],[Afhængig variabel ID]]&lt;&gt;LineærRegression_Valg[[#This Row],[Uafhængig variabel ID]]</f>
        <v>1</v>
      </c>
      <c r="E2112" s="188" t="b">
        <f>LineærRegression_Valg[[#This Row],[Afhængig variabel ID]]&lt;=$B$5</f>
        <v>0</v>
      </c>
      <c r="F2112" t="str" cm="1">
        <f t="array" ref="F2112">IF(LineærRegression_Valg[[#This Row],[Indenfor range]],INDEX(DataTitel_liste,LineærRegression_Valg[[#This Row],[Afhængig variabel ID]]),INDEX(DataTitel_liste,1))</f>
        <v>Eksempel 1 (interval)</v>
      </c>
      <c r="G2112" s="188" t="str" cm="1">
        <f t="array" ref="G2112">IF(LineærRegression_Valg[[#This Row],[Indenfor range]],IF(LineærRegression_Valg[[#This Row],[Intet overlap]],INDEX(DataTitel_liste,LineærRegression_Valg[[#This Row],[Uafhængig variabel ID]]),INDEX(DataTitel_liste,IF(LineærRegression_Valg[[#This Row],[Afhængig variabel ID]]=1,2,1))),$B$7)</f>
        <v>Eksempel 2 (interval)</v>
      </c>
      <c r="H2112" s="188">
        <f>_xlfn.AGGREGATE(2,5,LineærRegression_Valg[[#This Row],[Tabel ID]])</f>
        <v>1</v>
      </c>
    </row>
    <row r="2113" spans="1:8" x14ac:dyDescent="0.2">
      <c r="A2113">
        <f>ROW(LineærRegression_Valg[[#This Row],[Tabel ID]])-ROW(LineærRegression_Valg[[#Headers],[Tabel ID]])</f>
        <v>2103</v>
      </c>
      <c r="B2113" s="188">
        <f>ROUNDDOWN((LineærRegression_Valg[[#This Row],[Tabel ID]]-1)/$B$5,0)+1</f>
        <v>526</v>
      </c>
      <c r="C2113" s="188">
        <f t="shared" si="32"/>
        <v>3</v>
      </c>
      <c r="D2113" s="188" t="b">
        <f>LineærRegression_Valg[[#This Row],[Afhængig variabel ID]]&lt;&gt;LineærRegression_Valg[[#This Row],[Uafhængig variabel ID]]</f>
        <v>1</v>
      </c>
      <c r="E2113" s="188" t="b">
        <f>LineærRegression_Valg[[#This Row],[Afhængig variabel ID]]&lt;=$B$5</f>
        <v>0</v>
      </c>
      <c r="F2113" t="str" cm="1">
        <f t="array" ref="F2113">IF(LineærRegression_Valg[[#This Row],[Indenfor range]],INDEX(DataTitel_liste,LineærRegression_Valg[[#This Row],[Afhængig variabel ID]]),INDEX(DataTitel_liste,1))</f>
        <v>Eksempel 1 (interval)</v>
      </c>
      <c r="G2113" s="188" t="str" cm="1">
        <f t="array" ref="G2113">IF(LineærRegression_Valg[[#This Row],[Indenfor range]],IF(LineærRegression_Valg[[#This Row],[Intet overlap]],INDEX(DataTitel_liste,LineærRegression_Valg[[#This Row],[Uafhængig variabel ID]]),INDEX(DataTitel_liste,IF(LineærRegression_Valg[[#This Row],[Afhængig variabel ID]]=1,2,1))),$B$7)</f>
        <v>Eksempel 2 (interval)</v>
      </c>
      <c r="H2113" s="188">
        <f>_xlfn.AGGREGATE(2,5,LineærRegression_Valg[[#This Row],[Tabel ID]])</f>
        <v>1</v>
      </c>
    </row>
    <row r="2114" spans="1:8" x14ac:dyDescent="0.2">
      <c r="A2114">
        <f>ROW(LineærRegression_Valg[[#This Row],[Tabel ID]])-ROW(LineærRegression_Valg[[#Headers],[Tabel ID]])</f>
        <v>2104</v>
      </c>
      <c r="B2114" s="188">
        <f>ROUNDDOWN((LineærRegression_Valg[[#This Row],[Tabel ID]]-1)/$B$5,0)+1</f>
        <v>526</v>
      </c>
      <c r="C2114" s="188">
        <f t="shared" si="32"/>
        <v>4</v>
      </c>
      <c r="D2114" s="188" t="b">
        <f>LineærRegression_Valg[[#This Row],[Afhængig variabel ID]]&lt;&gt;LineærRegression_Valg[[#This Row],[Uafhængig variabel ID]]</f>
        <v>1</v>
      </c>
      <c r="E2114" s="188" t="b">
        <f>LineærRegression_Valg[[#This Row],[Afhængig variabel ID]]&lt;=$B$5</f>
        <v>0</v>
      </c>
      <c r="F2114" t="str" cm="1">
        <f t="array" ref="F2114">IF(LineærRegression_Valg[[#This Row],[Indenfor range]],INDEX(DataTitel_liste,LineærRegression_Valg[[#This Row],[Afhængig variabel ID]]),INDEX(DataTitel_liste,1))</f>
        <v>Eksempel 1 (interval)</v>
      </c>
      <c r="G2114" s="188" t="str" cm="1">
        <f t="array" ref="G2114">IF(LineærRegression_Valg[[#This Row],[Indenfor range]],IF(LineærRegression_Valg[[#This Row],[Intet overlap]],INDEX(DataTitel_liste,LineærRegression_Valg[[#This Row],[Uafhængig variabel ID]]),INDEX(DataTitel_liste,IF(LineærRegression_Valg[[#This Row],[Afhængig variabel ID]]=1,2,1))),$B$7)</f>
        <v>Eksempel 2 (interval)</v>
      </c>
      <c r="H2114" s="188">
        <f>_xlfn.AGGREGATE(2,5,LineærRegression_Valg[[#This Row],[Tabel ID]])</f>
        <v>1</v>
      </c>
    </row>
    <row r="2115" spans="1:8" x14ac:dyDescent="0.2">
      <c r="A2115">
        <f>ROW(LineærRegression_Valg[[#This Row],[Tabel ID]])-ROW(LineærRegression_Valg[[#Headers],[Tabel ID]])</f>
        <v>2105</v>
      </c>
      <c r="B2115" s="188">
        <f>ROUNDDOWN((LineærRegression_Valg[[#This Row],[Tabel ID]]-1)/$B$5,0)+1</f>
        <v>527</v>
      </c>
      <c r="C2115" s="188">
        <f t="shared" si="32"/>
        <v>1</v>
      </c>
      <c r="D2115" s="188" t="b">
        <f>LineærRegression_Valg[[#This Row],[Afhængig variabel ID]]&lt;&gt;LineærRegression_Valg[[#This Row],[Uafhængig variabel ID]]</f>
        <v>1</v>
      </c>
      <c r="E2115" s="188" t="b">
        <f>LineærRegression_Valg[[#This Row],[Afhængig variabel ID]]&lt;=$B$5</f>
        <v>0</v>
      </c>
      <c r="F2115" t="str" cm="1">
        <f t="array" ref="F2115">IF(LineærRegression_Valg[[#This Row],[Indenfor range]],INDEX(DataTitel_liste,LineærRegression_Valg[[#This Row],[Afhængig variabel ID]]),INDEX(DataTitel_liste,1))</f>
        <v>Eksempel 1 (interval)</v>
      </c>
      <c r="G2115" s="188" t="str" cm="1">
        <f t="array" ref="G2115">IF(LineærRegression_Valg[[#This Row],[Indenfor range]],IF(LineærRegression_Valg[[#This Row],[Intet overlap]],INDEX(DataTitel_liste,LineærRegression_Valg[[#This Row],[Uafhængig variabel ID]]),INDEX(DataTitel_liste,IF(LineærRegression_Valg[[#This Row],[Afhængig variabel ID]]=1,2,1))),$B$7)</f>
        <v>Eksempel 2 (interval)</v>
      </c>
      <c r="H2115" s="188">
        <f>_xlfn.AGGREGATE(2,5,LineærRegression_Valg[[#This Row],[Tabel ID]])</f>
        <v>1</v>
      </c>
    </row>
    <row r="2116" spans="1:8" x14ac:dyDescent="0.2">
      <c r="A2116">
        <f>ROW(LineærRegression_Valg[[#This Row],[Tabel ID]])-ROW(LineærRegression_Valg[[#Headers],[Tabel ID]])</f>
        <v>2106</v>
      </c>
      <c r="B2116" s="188">
        <f>ROUNDDOWN((LineærRegression_Valg[[#This Row],[Tabel ID]]-1)/$B$5,0)+1</f>
        <v>527</v>
      </c>
      <c r="C2116" s="188">
        <f t="shared" si="32"/>
        <v>2</v>
      </c>
      <c r="D2116" s="188" t="b">
        <f>LineærRegression_Valg[[#This Row],[Afhængig variabel ID]]&lt;&gt;LineærRegression_Valg[[#This Row],[Uafhængig variabel ID]]</f>
        <v>1</v>
      </c>
      <c r="E2116" s="188" t="b">
        <f>LineærRegression_Valg[[#This Row],[Afhængig variabel ID]]&lt;=$B$5</f>
        <v>0</v>
      </c>
      <c r="F2116" t="str" cm="1">
        <f t="array" ref="F2116">IF(LineærRegression_Valg[[#This Row],[Indenfor range]],INDEX(DataTitel_liste,LineærRegression_Valg[[#This Row],[Afhængig variabel ID]]),INDEX(DataTitel_liste,1))</f>
        <v>Eksempel 1 (interval)</v>
      </c>
      <c r="G2116" s="188" t="str" cm="1">
        <f t="array" ref="G2116">IF(LineærRegression_Valg[[#This Row],[Indenfor range]],IF(LineærRegression_Valg[[#This Row],[Intet overlap]],INDEX(DataTitel_liste,LineærRegression_Valg[[#This Row],[Uafhængig variabel ID]]),INDEX(DataTitel_liste,IF(LineærRegression_Valg[[#This Row],[Afhængig variabel ID]]=1,2,1))),$B$7)</f>
        <v>Eksempel 2 (interval)</v>
      </c>
      <c r="H2116" s="188">
        <f>_xlfn.AGGREGATE(2,5,LineærRegression_Valg[[#This Row],[Tabel ID]])</f>
        <v>1</v>
      </c>
    </row>
    <row r="2117" spans="1:8" x14ac:dyDescent="0.2">
      <c r="A2117">
        <f>ROW(LineærRegression_Valg[[#This Row],[Tabel ID]])-ROW(LineærRegression_Valg[[#Headers],[Tabel ID]])</f>
        <v>2107</v>
      </c>
      <c r="B2117" s="188">
        <f>ROUNDDOWN((LineærRegression_Valg[[#This Row],[Tabel ID]]-1)/$B$5,0)+1</f>
        <v>527</v>
      </c>
      <c r="C2117" s="188">
        <f t="shared" si="32"/>
        <v>3</v>
      </c>
      <c r="D2117" s="188" t="b">
        <f>LineærRegression_Valg[[#This Row],[Afhængig variabel ID]]&lt;&gt;LineærRegression_Valg[[#This Row],[Uafhængig variabel ID]]</f>
        <v>1</v>
      </c>
      <c r="E2117" s="188" t="b">
        <f>LineærRegression_Valg[[#This Row],[Afhængig variabel ID]]&lt;=$B$5</f>
        <v>0</v>
      </c>
      <c r="F2117" t="str" cm="1">
        <f t="array" ref="F2117">IF(LineærRegression_Valg[[#This Row],[Indenfor range]],INDEX(DataTitel_liste,LineærRegression_Valg[[#This Row],[Afhængig variabel ID]]),INDEX(DataTitel_liste,1))</f>
        <v>Eksempel 1 (interval)</v>
      </c>
      <c r="G2117" s="188" t="str" cm="1">
        <f t="array" ref="G2117">IF(LineærRegression_Valg[[#This Row],[Indenfor range]],IF(LineærRegression_Valg[[#This Row],[Intet overlap]],INDEX(DataTitel_liste,LineærRegression_Valg[[#This Row],[Uafhængig variabel ID]]),INDEX(DataTitel_liste,IF(LineærRegression_Valg[[#This Row],[Afhængig variabel ID]]=1,2,1))),$B$7)</f>
        <v>Eksempel 2 (interval)</v>
      </c>
      <c r="H2117" s="188">
        <f>_xlfn.AGGREGATE(2,5,LineærRegression_Valg[[#This Row],[Tabel ID]])</f>
        <v>1</v>
      </c>
    </row>
    <row r="2118" spans="1:8" x14ac:dyDescent="0.2">
      <c r="A2118">
        <f>ROW(LineærRegression_Valg[[#This Row],[Tabel ID]])-ROW(LineærRegression_Valg[[#Headers],[Tabel ID]])</f>
        <v>2108</v>
      </c>
      <c r="B2118" s="188">
        <f>ROUNDDOWN((LineærRegression_Valg[[#This Row],[Tabel ID]]-1)/$B$5,0)+1</f>
        <v>527</v>
      </c>
      <c r="C2118" s="188">
        <f t="shared" si="32"/>
        <v>4</v>
      </c>
      <c r="D2118" s="188" t="b">
        <f>LineærRegression_Valg[[#This Row],[Afhængig variabel ID]]&lt;&gt;LineærRegression_Valg[[#This Row],[Uafhængig variabel ID]]</f>
        <v>1</v>
      </c>
      <c r="E2118" s="188" t="b">
        <f>LineærRegression_Valg[[#This Row],[Afhængig variabel ID]]&lt;=$B$5</f>
        <v>0</v>
      </c>
      <c r="F2118" t="str" cm="1">
        <f t="array" ref="F2118">IF(LineærRegression_Valg[[#This Row],[Indenfor range]],INDEX(DataTitel_liste,LineærRegression_Valg[[#This Row],[Afhængig variabel ID]]),INDEX(DataTitel_liste,1))</f>
        <v>Eksempel 1 (interval)</v>
      </c>
      <c r="G2118" s="188" t="str" cm="1">
        <f t="array" ref="G2118">IF(LineærRegression_Valg[[#This Row],[Indenfor range]],IF(LineærRegression_Valg[[#This Row],[Intet overlap]],INDEX(DataTitel_liste,LineærRegression_Valg[[#This Row],[Uafhængig variabel ID]]),INDEX(DataTitel_liste,IF(LineærRegression_Valg[[#This Row],[Afhængig variabel ID]]=1,2,1))),$B$7)</f>
        <v>Eksempel 2 (interval)</v>
      </c>
      <c r="H2118" s="188">
        <f>_xlfn.AGGREGATE(2,5,LineærRegression_Valg[[#This Row],[Tabel ID]])</f>
        <v>1</v>
      </c>
    </row>
    <row r="2119" spans="1:8" x14ac:dyDescent="0.2">
      <c r="A2119">
        <f>ROW(LineærRegression_Valg[[#This Row],[Tabel ID]])-ROW(LineærRegression_Valg[[#Headers],[Tabel ID]])</f>
        <v>2109</v>
      </c>
      <c r="B2119" s="188">
        <f>ROUNDDOWN((LineærRegression_Valg[[#This Row],[Tabel ID]]-1)/$B$5,0)+1</f>
        <v>528</v>
      </c>
      <c r="C2119" s="188">
        <f t="shared" si="32"/>
        <v>1</v>
      </c>
      <c r="D2119" s="188" t="b">
        <f>LineærRegression_Valg[[#This Row],[Afhængig variabel ID]]&lt;&gt;LineærRegression_Valg[[#This Row],[Uafhængig variabel ID]]</f>
        <v>1</v>
      </c>
      <c r="E2119" s="188" t="b">
        <f>LineærRegression_Valg[[#This Row],[Afhængig variabel ID]]&lt;=$B$5</f>
        <v>0</v>
      </c>
      <c r="F2119" t="str" cm="1">
        <f t="array" ref="F2119">IF(LineærRegression_Valg[[#This Row],[Indenfor range]],INDEX(DataTitel_liste,LineærRegression_Valg[[#This Row],[Afhængig variabel ID]]),INDEX(DataTitel_liste,1))</f>
        <v>Eksempel 1 (interval)</v>
      </c>
      <c r="G2119" s="188" t="str" cm="1">
        <f t="array" ref="G2119">IF(LineærRegression_Valg[[#This Row],[Indenfor range]],IF(LineærRegression_Valg[[#This Row],[Intet overlap]],INDEX(DataTitel_liste,LineærRegression_Valg[[#This Row],[Uafhængig variabel ID]]),INDEX(DataTitel_liste,IF(LineærRegression_Valg[[#This Row],[Afhængig variabel ID]]=1,2,1))),$B$7)</f>
        <v>Eksempel 2 (interval)</v>
      </c>
      <c r="H2119" s="188">
        <f>_xlfn.AGGREGATE(2,5,LineærRegression_Valg[[#This Row],[Tabel ID]])</f>
        <v>1</v>
      </c>
    </row>
    <row r="2120" spans="1:8" x14ac:dyDescent="0.2">
      <c r="A2120">
        <f>ROW(LineærRegression_Valg[[#This Row],[Tabel ID]])-ROW(LineærRegression_Valg[[#Headers],[Tabel ID]])</f>
        <v>2110</v>
      </c>
      <c r="B2120" s="188">
        <f>ROUNDDOWN((LineærRegression_Valg[[#This Row],[Tabel ID]]-1)/$B$5,0)+1</f>
        <v>528</v>
      </c>
      <c r="C2120" s="188">
        <f t="shared" si="32"/>
        <v>2</v>
      </c>
      <c r="D2120" s="188" t="b">
        <f>LineærRegression_Valg[[#This Row],[Afhængig variabel ID]]&lt;&gt;LineærRegression_Valg[[#This Row],[Uafhængig variabel ID]]</f>
        <v>1</v>
      </c>
      <c r="E2120" s="188" t="b">
        <f>LineærRegression_Valg[[#This Row],[Afhængig variabel ID]]&lt;=$B$5</f>
        <v>0</v>
      </c>
      <c r="F2120" t="str" cm="1">
        <f t="array" ref="F2120">IF(LineærRegression_Valg[[#This Row],[Indenfor range]],INDEX(DataTitel_liste,LineærRegression_Valg[[#This Row],[Afhængig variabel ID]]),INDEX(DataTitel_liste,1))</f>
        <v>Eksempel 1 (interval)</v>
      </c>
      <c r="G2120" s="188" t="str" cm="1">
        <f t="array" ref="G2120">IF(LineærRegression_Valg[[#This Row],[Indenfor range]],IF(LineærRegression_Valg[[#This Row],[Intet overlap]],INDEX(DataTitel_liste,LineærRegression_Valg[[#This Row],[Uafhængig variabel ID]]),INDEX(DataTitel_liste,IF(LineærRegression_Valg[[#This Row],[Afhængig variabel ID]]=1,2,1))),$B$7)</f>
        <v>Eksempel 2 (interval)</v>
      </c>
      <c r="H2120" s="188">
        <f>_xlfn.AGGREGATE(2,5,LineærRegression_Valg[[#This Row],[Tabel ID]])</f>
        <v>1</v>
      </c>
    </row>
    <row r="2121" spans="1:8" x14ac:dyDescent="0.2">
      <c r="A2121">
        <f>ROW(LineærRegression_Valg[[#This Row],[Tabel ID]])-ROW(LineærRegression_Valg[[#Headers],[Tabel ID]])</f>
        <v>2111</v>
      </c>
      <c r="B2121" s="188">
        <f>ROUNDDOWN((LineærRegression_Valg[[#This Row],[Tabel ID]]-1)/$B$5,0)+1</f>
        <v>528</v>
      </c>
      <c r="C2121" s="188">
        <f t="shared" si="32"/>
        <v>3</v>
      </c>
      <c r="D2121" s="188" t="b">
        <f>LineærRegression_Valg[[#This Row],[Afhængig variabel ID]]&lt;&gt;LineærRegression_Valg[[#This Row],[Uafhængig variabel ID]]</f>
        <v>1</v>
      </c>
      <c r="E2121" s="188" t="b">
        <f>LineærRegression_Valg[[#This Row],[Afhængig variabel ID]]&lt;=$B$5</f>
        <v>0</v>
      </c>
      <c r="F2121" t="str" cm="1">
        <f t="array" ref="F2121">IF(LineærRegression_Valg[[#This Row],[Indenfor range]],INDEX(DataTitel_liste,LineærRegression_Valg[[#This Row],[Afhængig variabel ID]]),INDEX(DataTitel_liste,1))</f>
        <v>Eksempel 1 (interval)</v>
      </c>
      <c r="G2121" s="188" t="str" cm="1">
        <f t="array" ref="G2121">IF(LineærRegression_Valg[[#This Row],[Indenfor range]],IF(LineærRegression_Valg[[#This Row],[Intet overlap]],INDEX(DataTitel_liste,LineærRegression_Valg[[#This Row],[Uafhængig variabel ID]]),INDEX(DataTitel_liste,IF(LineærRegression_Valg[[#This Row],[Afhængig variabel ID]]=1,2,1))),$B$7)</f>
        <v>Eksempel 2 (interval)</v>
      </c>
      <c r="H2121" s="188">
        <f>_xlfn.AGGREGATE(2,5,LineærRegression_Valg[[#This Row],[Tabel ID]])</f>
        <v>1</v>
      </c>
    </row>
    <row r="2122" spans="1:8" x14ac:dyDescent="0.2">
      <c r="A2122">
        <f>ROW(LineærRegression_Valg[[#This Row],[Tabel ID]])-ROW(LineærRegression_Valg[[#Headers],[Tabel ID]])</f>
        <v>2112</v>
      </c>
      <c r="B2122" s="188">
        <f>ROUNDDOWN((LineærRegression_Valg[[#This Row],[Tabel ID]]-1)/$B$5,0)+1</f>
        <v>528</v>
      </c>
      <c r="C2122" s="188">
        <f t="shared" si="32"/>
        <v>4</v>
      </c>
      <c r="D2122" s="188" t="b">
        <f>LineærRegression_Valg[[#This Row],[Afhængig variabel ID]]&lt;&gt;LineærRegression_Valg[[#This Row],[Uafhængig variabel ID]]</f>
        <v>1</v>
      </c>
      <c r="E2122" s="188" t="b">
        <f>LineærRegression_Valg[[#This Row],[Afhængig variabel ID]]&lt;=$B$5</f>
        <v>0</v>
      </c>
      <c r="F2122" t="str" cm="1">
        <f t="array" ref="F2122">IF(LineærRegression_Valg[[#This Row],[Indenfor range]],INDEX(DataTitel_liste,LineærRegression_Valg[[#This Row],[Afhængig variabel ID]]),INDEX(DataTitel_liste,1))</f>
        <v>Eksempel 1 (interval)</v>
      </c>
      <c r="G2122" s="188" t="str" cm="1">
        <f t="array" ref="G2122">IF(LineærRegression_Valg[[#This Row],[Indenfor range]],IF(LineærRegression_Valg[[#This Row],[Intet overlap]],INDEX(DataTitel_liste,LineærRegression_Valg[[#This Row],[Uafhængig variabel ID]]),INDEX(DataTitel_liste,IF(LineærRegression_Valg[[#This Row],[Afhængig variabel ID]]=1,2,1))),$B$7)</f>
        <v>Eksempel 2 (interval)</v>
      </c>
      <c r="H2122" s="188">
        <f>_xlfn.AGGREGATE(2,5,LineærRegression_Valg[[#This Row],[Tabel ID]])</f>
        <v>1</v>
      </c>
    </row>
    <row r="2123" spans="1:8" x14ac:dyDescent="0.2">
      <c r="A2123">
        <f>ROW(LineærRegression_Valg[[#This Row],[Tabel ID]])-ROW(LineærRegression_Valg[[#Headers],[Tabel ID]])</f>
        <v>2113</v>
      </c>
      <c r="B2123" s="188">
        <f>ROUNDDOWN((LineærRegression_Valg[[#This Row],[Tabel ID]]-1)/$B$5,0)+1</f>
        <v>529</v>
      </c>
      <c r="C2123" s="188">
        <f t="shared" ref="C2123:C2186" si="33">MOD(A2123-1,$B$5)+1</f>
        <v>1</v>
      </c>
      <c r="D2123" s="188" t="b">
        <f>LineærRegression_Valg[[#This Row],[Afhængig variabel ID]]&lt;&gt;LineærRegression_Valg[[#This Row],[Uafhængig variabel ID]]</f>
        <v>1</v>
      </c>
      <c r="E2123" s="188" t="b">
        <f>LineærRegression_Valg[[#This Row],[Afhængig variabel ID]]&lt;=$B$5</f>
        <v>0</v>
      </c>
      <c r="F2123" t="str" cm="1">
        <f t="array" ref="F2123">IF(LineærRegression_Valg[[#This Row],[Indenfor range]],INDEX(DataTitel_liste,LineærRegression_Valg[[#This Row],[Afhængig variabel ID]]),INDEX(DataTitel_liste,1))</f>
        <v>Eksempel 1 (interval)</v>
      </c>
      <c r="G2123" s="188" t="str" cm="1">
        <f t="array" ref="G2123">IF(LineærRegression_Valg[[#This Row],[Indenfor range]],IF(LineærRegression_Valg[[#This Row],[Intet overlap]],INDEX(DataTitel_liste,LineærRegression_Valg[[#This Row],[Uafhængig variabel ID]]),INDEX(DataTitel_liste,IF(LineærRegression_Valg[[#This Row],[Afhængig variabel ID]]=1,2,1))),$B$7)</f>
        <v>Eksempel 2 (interval)</v>
      </c>
      <c r="H2123" s="188">
        <f>_xlfn.AGGREGATE(2,5,LineærRegression_Valg[[#This Row],[Tabel ID]])</f>
        <v>1</v>
      </c>
    </row>
    <row r="2124" spans="1:8" x14ac:dyDescent="0.2">
      <c r="A2124">
        <f>ROW(LineærRegression_Valg[[#This Row],[Tabel ID]])-ROW(LineærRegression_Valg[[#Headers],[Tabel ID]])</f>
        <v>2114</v>
      </c>
      <c r="B2124" s="188">
        <f>ROUNDDOWN((LineærRegression_Valg[[#This Row],[Tabel ID]]-1)/$B$5,0)+1</f>
        <v>529</v>
      </c>
      <c r="C2124" s="188">
        <f t="shared" si="33"/>
        <v>2</v>
      </c>
      <c r="D2124" s="188" t="b">
        <f>LineærRegression_Valg[[#This Row],[Afhængig variabel ID]]&lt;&gt;LineærRegression_Valg[[#This Row],[Uafhængig variabel ID]]</f>
        <v>1</v>
      </c>
      <c r="E2124" s="188" t="b">
        <f>LineærRegression_Valg[[#This Row],[Afhængig variabel ID]]&lt;=$B$5</f>
        <v>0</v>
      </c>
      <c r="F2124" t="str" cm="1">
        <f t="array" ref="F2124">IF(LineærRegression_Valg[[#This Row],[Indenfor range]],INDEX(DataTitel_liste,LineærRegression_Valg[[#This Row],[Afhængig variabel ID]]),INDEX(DataTitel_liste,1))</f>
        <v>Eksempel 1 (interval)</v>
      </c>
      <c r="G2124" s="188" t="str" cm="1">
        <f t="array" ref="G2124">IF(LineærRegression_Valg[[#This Row],[Indenfor range]],IF(LineærRegression_Valg[[#This Row],[Intet overlap]],INDEX(DataTitel_liste,LineærRegression_Valg[[#This Row],[Uafhængig variabel ID]]),INDEX(DataTitel_liste,IF(LineærRegression_Valg[[#This Row],[Afhængig variabel ID]]=1,2,1))),$B$7)</f>
        <v>Eksempel 2 (interval)</v>
      </c>
      <c r="H2124" s="188">
        <f>_xlfn.AGGREGATE(2,5,LineærRegression_Valg[[#This Row],[Tabel ID]])</f>
        <v>1</v>
      </c>
    </row>
    <row r="2125" spans="1:8" x14ac:dyDescent="0.2">
      <c r="A2125">
        <f>ROW(LineærRegression_Valg[[#This Row],[Tabel ID]])-ROW(LineærRegression_Valg[[#Headers],[Tabel ID]])</f>
        <v>2115</v>
      </c>
      <c r="B2125" s="188">
        <f>ROUNDDOWN((LineærRegression_Valg[[#This Row],[Tabel ID]]-1)/$B$5,0)+1</f>
        <v>529</v>
      </c>
      <c r="C2125" s="188">
        <f t="shared" si="33"/>
        <v>3</v>
      </c>
      <c r="D2125" s="188" t="b">
        <f>LineærRegression_Valg[[#This Row],[Afhængig variabel ID]]&lt;&gt;LineærRegression_Valg[[#This Row],[Uafhængig variabel ID]]</f>
        <v>1</v>
      </c>
      <c r="E2125" s="188" t="b">
        <f>LineærRegression_Valg[[#This Row],[Afhængig variabel ID]]&lt;=$B$5</f>
        <v>0</v>
      </c>
      <c r="F2125" t="str" cm="1">
        <f t="array" ref="F2125">IF(LineærRegression_Valg[[#This Row],[Indenfor range]],INDEX(DataTitel_liste,LineærRegression_Valg[[#This Row],[Afhængig variabel ID]]),INDEX(DataTitel_liste,1))</f>
        <v>Eksempel 1 (interval)</v>
      </c>
      <c r="G2125" s="188" t="str" cm="1">
        <f t="array" ref="G2125">IF(LineærRegression_Valg[[#This Row],[Indenfor range]],IF(LineærRegression_Valg[[#This Row],[Intet overlap]],INDEX(DataTitel_liste,LineærRegression_Valg[[#This Row],[Uafhængig variabel ID]]),INDEX(DataTitel_liste,IF(LineærRegression_Valg[[#This Row],[Afhængig variabel ID]]=1,2,1))),$B$7)</f>
        <v>Eksempel 2 (interval)</v>
      </c>
      <c r="H2125" s="188">
        <f>_xlfn.AGGREGATE(2,5,LineærRegression_Valg[[#This Row],[Tabel ID]])</f>
        <v>1</v>
      </c>
    </row>
    <row r="2126" spans="1:8" x14ac:dyDescent="0.2">
      <c r="A2126">
        <f>ROW(LineærRegression_Valg[[#This Row],[Tabel ID]])-ROW(LineærRegression_Valg[[#Headers],[Tabel ID]])</f>
        <v>2116</v>
      </c>
      <c r="B2126" s="188">
        <f>ROUNDDOWN((LineærRegression_Valg[[#This Row],[Tabel ID]]-1)/$B$5,0)+1</f>
        <v>529</v>
      </c>
      <c r="C2126" s="188">
        <f t="shared" si="33"/>
        <v>4</v>
      </c>
      <c r="D2126" s="188" t="b">
        <f>LineærRegression_Valg[[#This Row],[Afhængig variabel ID]]&lt;&gt;LineærRegression_Valg[[#This Row],[Uafhængig variabel ID]]</f>
        <v>1</v>
      </c>
      <c r="E2126" s="188" t="b">
        <f>LineærRegression_Valg[[#This Row],[Afhængig variabel ID]]&lt;=$B$5</f>
        <v>0</v>
      </c>
      <c r="F2126" t="str" cm="1">
        <f t="array" ref="F2126">IF(LineærRegression_Valg[[#This Row],[Indenfor range]],INDEX(DataTitel_liste,LineærRegression_Valg[[#This Row],[Afhængig variabel ID]]),INDEX(DataTitel_liste,1))</f>
        <v>Eksempel 1 (interval)</v>
      </c>
      <c r="G2126" s="188" t="str" cm="1">
        <f t="array" ref="G2126">IF(LineærRegression_Valg[[#This Row],[Indenfor range]],IF(LineærRegression_Valg[[#This Row],[Intet overlap]],INDEX(DataTitel_liste,LineærRegression_Valg[[#This Row],[Uafhængig variabel ID]]),INDEX(DataTitel_liste,IF(LineærRegression_Valg[[#This Row],[Afhængig variabel ID]]=1,2,1))),$B$7)</f>
        <v>Eksempel 2 (interval)</v>
      </c>
      <c r="H2126" s="188">
        <f>_xlfn.AGGREGATE(2,5,LineærRegression_Valg[[#This Row],[Tabel ID]])</f>
        <v>1</v>
      </c>
    </row>
    <row r="2127" spans="1:8" x14ac:dyDescent="0.2">
      <c r="A2127">
        <f>ROW(LineærRegression_Valg[[#This Row],[Tabel ID]])-ROW(LineærRegression_Valg[[#Headers],[Tabel ID]])</f>
        <v>2117</v>
      </c>
      <c r="B2127" s="188">
        <f>ROUNDDOWN((LineærRegression_Valg[[#This Row],[Tabel ID]]-1)/$B$5,0)+1</f>
        <v>530</v>
      </c>
      <c r="C2127" s="188">
        <f t="shared" si="33"/>
        <v>1</v>
      </c>
      <c r="D2127" s="188" t="b">
        <f>LineærRegression_Valg[[#This Row],[Afhængig variabel ID]]&lt;&gt;LineærRegression_Valg[[#This Row],[Uafhængig variabel ID]]</f>
        <v>1</v>
      </c>
      <c r="E2127" s="188" t="b">
        <f>LineærRegression_Valg[[#This Row],[Afhængig variabel ID]]&lt;=$B$5</f>
        <v>0</v>
      </c>
      <c r="F2127" t="str" cm="1">
        <f t="array" ref="F2127">IF(LineærRegression_Valg[[#This Row],[Indenfor range]],INDEX(DataTitel_liste,LineærRegression_Valg[[#This Row],[Afhængig variabel ID]]),INDEX(DataTitel_liste,1))</f>
        <v>Eksempel 1 (interval)</v>
      </c>
      <c r="G2127" s="188" t="str" cm="1">
        <f t="array" ref="G2127">IF(LineærRegression_Valg[[#This Row],[Indenfor range]],IF(LineærRegression_Valg[[#This Row],[Intet overlap]],INDEX(DataTitel_liste,LineærRegression_Valg[[#This Row],[Uafhængig variabel ID]]),INDEX(DataTitel_liste,IF(LineærRegression_Valg[[#This Row],[Afhængig variabel ID]]=1,2,1))),$B$7)</f>
        <v>Eksempel 2 (interval)</v>
      </c>
      <c r="H2127" s="188">
        <f>_xlfn.AGGREGATE(2,5,LineærRegression_Valg[[#This Row],[Tabel ID]])</f>
        <v>1</v>
      </c>
    </row>
    <row r="2128" spans="1:8" x14ac:dyDescent="0.2">
      <c r="A2128">
        <f>ROW(LineærRegression_Valg[[#This Row],[Tabel ID]])-ROW(LineærRegression_Valg[[#Headers],[Tabel ID]])</f>
        <v>2118</v>
      </c>
      <c r="B2128" s="188">
        <f>ROUNDDOWN((LineærRegression_Valg[[#This Row],[Tabel ID]]-1)/$B$5,0)+1</f>
        <v>530</v>
      </c>
      <c r="C2128" s="188">
        <f t="shared" si="33"/>
        <v>2</v>
      </c>
      <c r="D2128" s="188" t="b">
        <f>LineærRegression_Valg[[#This Row],[Afhængig variabel ID]]&lt;&gt;LineærRegression_Valg[[#This Row],[Uafhængig variabel ID]]</f>
        <v>1</v>
      </c>
      <c r="E2128" s="188" t="b">
        <f>LineærRegression_Valg[[#This Row],[Afhængig variabel ID]]&lt;=$B$5</f>
        <v>0</v>
      </c>
      <c r="F2128" t="str" cm="1">
        <f t="array" ref="F2128">IF(LineærRegression_Valg[[#This Row],[Indenfor range]],INDEX(DataTitel_liste,LineærRegression_Valg[[#This Row],[Afhængig variabel ID]]),INDEX(DataTitel_liste,1))</f>
        <v>Eksempel 1 (interval)</v>
      </c>
      <c r="G2128" s="188" t="str" cm="1">
        <f t="array" ref="G2128">IF(LineærRegression_Valg[[#This Row],[Indenfor range]],IF(LineærRegression_Valg[[#This Row],[Intet overlap]],INDEX(DataTitel_liste,LineærRegression_Valg[[#This Row],[Uafhængig variabel ID]]),INDEX(DataTitel_liste,IF(LineærRegression_Valg[[#This Row],[Afhængig variabel ID]]=1,2,1))),$B$7)</f>
        <v>Eksempel 2 (interval)</v>
      </c>
      <c r="H2128" s="188">
        <f>_xlfn.AGGREGATE(2,5,LineærRegression_Valg[[#This Row],[Tabel ID]])</f>
        <v>1</v>
      </c>
    </row>
    <row r="2129" spans="1:8" x14ac:dyDescent="0.2">
      <c r="A2129">
        <f>ROW(LineærRegression_Valg[[#This Row],[Tabel ID]])-ROW(LineærRegression_Valg[[#Headers],[Tabel ID]])</f>
        <v>2119</v>
      </c>
      <c r="B2129" s="188">
        <f>ROUNDDOWN((LineærRegression_Valg[[#This Row],[Tabel ID]]-1)/$B$5,0)+1</f>
        <v>530</v>
      </c>
      <c r="C2129" s="188">
        <f t="shared" si="33"/>
        <v>3</v>
      </c>
      <c r="D2129" s="188" t="b">
        <f>LineærRegression_Valg[[#This Row],[Afhængig variabel ID]]&lt;&gt;LineærRegression_Valg[[#This Row],[Uafhængig variabel ID]]</f>
        <v>1</v>
      </c>
      <c r="E2129" s="188" t="b">
        <f>LineærRegression_Valg[[#This Row],[Afhængig variabel ID]]&lt;=$B$5</f>
        <v>0</v>
      </c>
      <c r="F2129" t="str" cm="1">
        <f t="array" ref="F2129">IF(LineærRegression_Valg[[#This Row],[Indenfor range]],INDEX(DataTitel_liste,LineærRegression_Valg[[#This Row],[Afhængig variabel ID]]),INDEX(DataTitel_liste,1))</f>
        <v>Eksempel 1 (interval)</v>
      </c>
      <c r="G2129" s="188" t="str" cm="1">
        <f t="array" ref="G2129">IF(LineærRegression_Valg[[#This Row],[Indenfor range]],IF(LineærRegression_Valg[[#This Row],[Intet overlap]],INDEX(DataTitel_liste,LineærRegression_Valg[[#This Row],[Uafhængig variabel ID]]),INDEX(DataTitel_liste,IF(LineærRegression_Valg[[#This Row],[Afhængig variabel ID]]=1,2,1))),$B$7)</f>
        <v>Eksempel 2 (interval)</v>
      </c>
      <c r="H2129" s="188">
        <f>_xlfn.AGGREGATE(2,5,LineærRegression_Valg[[#This Row],[Tabel ID]])</f>
        <v>1</v>
      </c>
    </row>
    <row r="2130" spans="1:8" x14ac:dyDescent="0.2">
      <c r="A2130">
        <f>ROW(LineærRegression_Valg[[#This Row],[Tabel ID]])-ROW(LineærRegression_Valg[[#Headers],[Tabel ID]])</f>
        <v>2120</v>
      </c>
      <c r="B2130" s="188">
        <f>ROUNDDOWN((LineærRegression_Valg[[#This Row],[Tabel ID]]-1)/$B$5,0)+1</f>
        <v>530</v>
      </c>
      <c r="C2130" s="188">
        <f t="shared" si="33"/>
        <v>4</v>
      </c>
      <c r="D2130" s="188" t="b">
        <f>LineærRegression_Valg[[#This Row],[Afhængig variabel ID]]&lt;&gt;LineærRegression_Valg[[#This Row],[Uafhængig variabel ID]]</f>
        <v>1</v>
      </c>
      <c r="E2130" s="188" t="b">
        <f>LineærRegression_Valg[[#This Row],[Afhængig variabel ID]]&lt;=$B$5</f>
        <v>0</v>
      </c>
      <c r="F2130" t="str" cm="1">
        <f t="array" ref="F2130">IF(LineærRegression_Valg[[#This Row],[Indenfor range]],INDEX(DataTitel_liste,LineærRegression_Valg[[#This Row],[Afhængig variabel ID]]),INDEX(DataTitel_liste,1))</f>
        <v>Eksempel 1 (interval)</v>
      </c>
      <c r="G2130" s="188" t="str" cm="1">
        <f t="array" ref="G2130">IF(LineærRegression_Valg[[#This Row],[Indenfor range]],IF(LineærRegression_Valg[[#This Row],[Intet overlap]],INDEX(DataTitel_liste,LineærRegression_Valg[[#This Row],[Uafhængig variabel ID]]),INDEX(DataTitel_liste,IF(LineærRegression_Valg[[#This Row],[Afhængig variabel ID]]=1,2,1))),$B$7)</f>
        <v>Eksempel 2 (interval)</v>
      </c>
      <c r="H2130" s="188">
        <f>_xlfn.AGGREGATE(2,5,LineærRegression_Valg[[#This Row],[Tabel ID]])</f>
        <v>1</v>
      </c>
    </row>
    <row r="2131" spans="1:8" x14ac:dyDescent="0.2">
      <c r="A2131">
        <f>ROW(LineærRegression_Valg[[#This Row],[Tabel ID]])-ROW(LineærRegression_Valg[[#Headers],[Tabel ID]])</f>
        <v>2121</v>
      </c>
      <c r="B2131" s="188">
        <f>ROUNDDOWN((LineærRegression_Valg[[#This Row],[Tabel ID]]-1)/$B$5,0)+1</f>
        <v>531</v>
      </c>
      <c r="C2131" s="188">
        <f t="shared" si="33"/>
        <v>1</v>
      </c>
      <c r="D2131" s="188" t="b">
        <f>LineærRegression_Valg[[#This Row],[Afhængig variabel ID]]&lt;&gt;LineærRegression_Valg[[#This Row],[Uafhængig variabel ID]]</f>
        <v>1</v>
      </c>
      <c r="E2131" s="188" t="b">
        <f>LineærRegression_Valg[[#This Row],[Afhængig variabel ID]]&lt;=$B$5</f>
        <v>0</v>
      </c>
      <c r="F2131" t="str" cm="1">
        <f t="array" ref="F2131">IF(LineærRegression_Valg[[#This Row],[Indenfor range]],INDEX(DataTitel_liste,LineærRegression_Valg[[#This Row],[Afhængig variabel ID]]),INDEX(DataTitel_liste,1))</f>
        <v>Eksempel 1 (interval)</v>
      </c>
      <c r="G2131" s="188" t="str" cm="1">
        <f t="array" ref="G2131">IF(LineærRegression_Valg[[#This Row],[Indenfor range]],IF(LineærRegression_Valg[[#This Row],[Intet overlap]],INDEX(DataTitel_liste,LineærRegression_Valg[[#This Row],[Uafhængig variabel ID]]),INDEX(DataTitel_liste,IF(LineærRegression_Valg[[#This Row],[Afhængig variabel ID]]=1,2,1))),$B$7)</f>
        <v>Eksempel 2 (interval)</v>
      </c>
      <c r="H2131" s="188">
        <f>_xlfn.AGGREGATE(2,5,LineærRegression_Valg[[#This Row],[Tabel ID]])</f>
        <v>1</v>
      </c>
    </row>
    <row r="2132" spans="1:8" x14ac:dyDescent="0.2">
      <c r="A2132">
        <f>ROW(LineærRegression_Valg[[#This Row],[Tabel ID]])-ROW(LineærRegression_Valg[[#Headers],[Tabel ID]])</f>
        <v>2122</v>
      </c>
      <c r="B2132" s="188">
        <f>ROUNDDOWN((LineærRegression_Valg[[#This Row],[Tabel ID]]-1)/$B$5,0)+1</f>
        <v>531</v>
      </c>
      <c r="C2132" s="188">
        <f t="shared" si="33"/>
        <v>2</v>
      </c>
      <c r="D2132" s="188" t="b">
        <f>LineærRegression_Valg[[#This Row],[Afhængig variabel ID]]&lt;&gt;LineærRegression_Valg[[#This Row],[Uafhængig variabel ID]]</f>
        <v>1</v>
      </c>
      <c r="E2132" s="188" t="b">
        <f>LineærRegression_Valg[[#This Row],[Afhængig variabel ID]]&lt;=$B$5</f>
        <v>0</v>
      </c>
      <c r="F2132" t="str" cm="1">
        <f t="array" ref="F2132">IF(LineærRegression_Valg[[#This Row],[Indenfor range]],INDEX(DataTitel_liste,LineærRegression_Valg[[#This Row],[Afhængig variabel ID]]),INDEX(DataTitel_liste,1))</f>
        <v>Eksempel 1 (interval)</v>
      </c>
      <c r="G2132" s="188" t="str" cm="1">
        <f t="array" ref="G2132">IF(LineærRegression_Valg[[#This Row],[Indenfor range]],IF(LineærRegression_Valg[[#This Row],[Intet overlap]],INDEX(DataTitel_liste,LineærRegression_Valg[[#This Row],[Uafhængig variabel ID]]),INDEX(DataTitel_liste,IF(LineærRegression_Valg[[#This Row],[Afhængig variabel ID]]=1,2,1))),$B$7)</f>
        <v>Eksempel 2 (interval)</v>
      </c>
      <c r="H2132" s="188">
        <f>_xlfn.AGGREGATE(2,5,LineærRegression_Valg[[#This Row],[Tabel ID]])</f>
        <v>1</v>
      </c>
    </row>
    <row r="2133" spans="1:8" x14ac:dyDescent="0.2">
      <c r="A2133">
        <f>ROW(LineærRegression_Valg[[#This Row],[Tabel ID]])-ROW(LineærRegression_Valg[[#Headers],[Tabel ID]])</f>
        <v>2123</v>
      </c>
      <c r="B2133" s="188">
        <f>ROUNDDOWN((LineærRegression_Valg[[#This Row],[Tabel ID]]-1)/$B$5,0)+1</f>
        <v>531</v>
      </c>
      <c r="C2133" s="188">
        <f t="shared" si="33"/>
        <v>3</v>
      </c>
      <c r="D2133" s="188" t="b">
        <f>LineærRegression_Valg[[#This Row],[Afhængig variabel ID]]&lt;&gt;LineærRegression_Valg[[#This Row],[Uafhængig variabel ID]]</f>
        <v>1</v>
      </c>
      <c r="E2133" s="188" t="b">
        <f>LineærRegression_Valg[[#This Row],[Afhængig variabel ID]]&lt;=$B$5</f>
        <v>0</v>
      </c>
      <c r="F2133" t="str" cm="1">
        <f t="array" ref="F2133">IF(LineærRegression_Valg[[#This Row],[Indenfor range]],INDEX(DataTitel_liste,LineærRegression_Valg[[#This Row],[Afhængig variabel ID]]),INDEX(DataTitel_liste,1))</f>
        <v>Eksempel 1 (interval)</v>
      </c>
      <c r="G2133" s="188" t="str" cm="1">
        <f t="array" ref="G2133">IF(LineærRegression_Valg[[#This Row],[Indenfor range]],IF(LineærRegression_Valg[[#This Row],[Intet overlap]],INDEX(DataTitel_liste,LineærRegression_Valg[[#This Row],[Uafhængig variabel ID]]),INDEX(DataTitel_liste,IF(LineærRegression_Valg[[#This Row],[Afhængig variabel ID]]=1,2,1))),$B$7)</f>
        <v>Eksempel 2 (interval)</v>
      </c>
      <c r="H2133" s="188">
        <f>_xlfn.AGGREGATE(2,5,LineærRegression_Valg[[#This Row],[Tabel ID]])</f>
        <v>1</v>
      </c>
    </row>
    <row r="2134" spans="1:8" x14ac:dyDescent="0.2">
      <c r="A2134">
        <f>ROW(LineærRegression_Valg[[#This Row],[Tabel ID]])-ROW(LineærRegression_Valg[[#Headers],[Tabel ID]])</f>
        <v>2124</v>
      </c>
      <c r="B2134" s="188">
        <f>ROUNDDOWN((LineærRegression_Valg[[#This Row],[Tabel ID]]-1)/$B$5,0)+1</f>
        <v>531</v>
      </c>
      <c r="C2134" s="188">
        <f t="shared" si="33"/>
        <v>4</v>
      </c>
      <c r="D2134" s="188" t="b">
        <f>LineærRegression_Valg[[#This Row],[Afhængig variabel ID]]&lt;&gt;LineærRegression_Valg[[#This Row],[Uafhængig variabel ID]]</f>
        <v>1</v>
      </c>
      <c r="E2134" s="188" t="b">
        <f>LineærRegression_Valg[[#This Row],[Afhængig variabel ID]]&lt;=$B$5</f>
        <v>0</v>
      </c>
      <c r="F2134" t="str" cm="1">
        <f t="array" ref="F2134">IF(LineærRegression_Valg[[#This Row],[Indenfor range]],INDEX(DataTitel_liste,LineærRegression_Valg[[#This Row],[Afhængig variabel ID]]),INDEX(DataTitel_liste,1))</f>
        <v>Eksempel 1 (interval)</v>
      </c>
      <c r="G2134" s="188" t="str" cm="1">
        <f t="array" ref="G2134">IF(LineærRegression_Valg[[#This Row],[Indenfor range]],IF(LineærRegression_Valg[[#This Row],[Intet overlap]],INDEX(DataTitel_liste,LineærRegression_Valg[[#This Row],[Uafhængig variabel ID]]),INDEX(DataTitel_liste,IF(LineærRegression_Valg[[#This Row],[Afhængig variabel ID]]=1,2,1))),$B$7)</f>
        <v>Eksempel 2 (interval)</v>
      </c>
      <c r="H2134" s="188">
        <f>_xlfn.AGGREGATE(2,5,LineærRegression_Valg[[#This Row],[Tabel ID]])</f>
        <v>1</v>
      </c>
    </row>
    <row r="2135" spans="1:8" x14ac:dyDescent="0.2">
      <c r="A2135">
        <f>ROW(LineærRegression_Valg[[#This Row],[Tabel ID]])-ROW(LineærRegression_Valg[[#Headers],[Tabel ID]])</f>
        <v>2125</v>
      </c>
      <c r="B2135" s="188">
        <f>ROUNDDOWN((LineærRegression_Valg[[#This Row],[Tabel ID]]-1)/$B$5,0)+1</f>
        <v>532</v>
      </c>
      <c r="C2135" s="188">
        <f t="shared" si="33"/>
        <v>1</v>
      </c>
      <c r="D2135" s="188" t="b">
        <f>LineærRegression_Valg[[#This Row],[Afhængig variabel ID]]&lt;&gt;LineærRegression_Valg[[#This Row],[Uafhængig variabel ID]]</f>
        <v>1</v>
      </c>
      <c r="E2135" s="188" t="b">
        <f>LineærRegression_Valg[[#This Row],[Afhængig variabel ID]]&lt;=$B$5</f>
        <v>0</v>
      </c>
      <c r="F2135" t="str" cm="1">
        <f t="array" ref="F2135">IF(LineærRegression_Valg[[#This Row],[Indenfor range]],INDEX(DataTitel_liste,LineærRegression_Valg[[#This Row],[Afhængig variabel ID]]),INDEX(DataTitel_liste,1))</f>
        <v>Eksempel 1 (interval)</v>
      </c>
      <c r="G2135" s="188" t="str" cm="1">
        <f t="array" ref="G2135">IF(LineærRegression_Valg[[#This Row],[Indenfor range]],IF(LineærRegression_Valg[[#This Row],[Intet overlap]],INDEX(DataTitel_liste,LineærRegression_Valg[[#This Row],[Uafhængig variabel ID]]),INDEX(DataTitel_liste,IF(LineærRegression_Valg[[#This Row],[Afhængig variabel ID]]=1,2,1))),$B$7)</f>
        <v>Eksempel 2 (interval)</v>
      </c>
      <c r="H2135" s="188">
        <f>_xlfn.AGGREGATE(2,5,LineærRegression_Valg[[#This Row],[Tabel ID]])</f>
        <v>1</v>
      </c>
    </row>
    <row r="2136" spans="1:8" x14ac:dyDescent="0.2">
      <c r="A2136">
        <f>ROW(LineærRegression_Valg[[#This Row],[Tabel ID]])-ROW(LineærRegression_Valg[[#Headers],[Tabel ID]])</f>
        <v>2126</v>
      </c>
      <c r="B2136" s="188">
        <f>ROUNDDOWN((LineærRegression_Valg[[#This Row],[Tabel ID]]-1)/$B$5,0)+1</f>
        <v>532</v>
      </c>
      <c r="C2136" s="188">
        <f t="shared" si="33"/>
        <v>2</v>
      </c>
      <c r="D2136" s="188" t="b">
        <f>LineærRegression_Valg[[#This Row],[Afhængig variabel ID]]&lt;&gt;LineærRegression_Valg[[#This Row],[Uafhængig variabel ID]]</f>
        <v>1</v>
      </c>
      <c r="E2136" s="188" t="b">
        <f>LineærRegression_Valg[[#This Row],[Afhængig variabel ID]]&lt;=$B$5</f>
        <v>0</v>
      </c>
      <c r="F2136" t="str" cm="1">
        <f t="array" ref="F2136">IF(LineærRegression_Valg[[#This Row],[Indenfor range]],INDEX(DataTitel_liste,LineærRegression_Valg[[#This Row],[Afhængig variabel ID]]),INDEX(DataTitel_liste,1))</f>
        <v>Eksempel 1 (interval)</v>
      </c>
      <c r="G2136" s="188" t="str" cm="1">
        <f t="array" ref="G2136">IF(LineærRegression_Valg[[#This Row],[Indenfor range]],IF(LineærRegression_Valg[[#This Row],[Intet overlap]],INDEX(DataTitel_liste,LineærRegression_Valg[[#This Row],[Uafhængig variabel ID]]),INDEX(DataTitel_liste,IF(LineærRegression_Valg[[#This Row],[Afhængig variabel ID]]=1,2,1))),$B$7)</f>
        <v>Eksempel 2 (interval)</v>
      </c>
      <c r="H2136" s="188">
        <f>_xlfn.AGGREGATE(2,5,LineærRegression_Valg[[#This Row],[Tabel ID]])</f>
        <v>1</v>
      </c>
    </row>
    <row r="2137" spans="1:8" x14ac:dyDescent="0.2">
      <c r="A2137">
        <f>ROW(LineærRegression_Valg[[#This Row],[Tabel ID]])-ROW(LineærRegression_Valg[[#Headers],[Tabel ID]])</f>
        <v>2127</v>
      </c>
      <c r="B2137" s="188">
        <f>ROUNDDOWN((LineærRegression_Valg[[#This Row],[Tabel ID]]-1)/$B$5,0)+1</f>
        <v>532</v>
      </c>
      <c r="C2137" s="188">
        <f t="shared" si="33"/>
        <v>3</v>
      </c>
      <c r="D2137" s="188" t="b">
        <f>LineærRegression_Valg[[#This Row],[Afhængig variabel ID]]&lt;&gt;LineærRegression_Valg[[#This Row],[Uafhængig variabel ID]]</f>
        <v>1</v>
      </c>
      <c r="E2137" s="188" t="b">
        <f>LineærRegression_Valg[[#This Row],[Afhængig variabel ID]]&lt;=$B$5</f>
        <v>0</v>
      </c>
      <c r="F2137" t="str" cm="1">
        <f t="array" ref="F2137">IF(LineærRegression_Valg[[#This Row],[Indenfor range]],INDEX(DataTitel_liste,LineærRegression_Valg[[#This Row],[Afhængig variabel ID]]),INDEX(DataTitel_liste,1))</f>
        <v>Eksempel 1 (interval)</v>
      </c>
      <c r="G2137" s="188" t="str" cm="1">
        <f t="array" ref="G2137">IF(LineærRegression_Valg[[#This Row],[Indenfor range]],IF(LineærRegression_Valg[[#This Row],[Intet overlap]],INDEX(DataTitel_liste,LineærRegression_Valg[[#This Row],[Uafhængig variabel ID]]),INDEX(DataTitel_liste,IF(LineærRegression_Valg[[#This Row],[Afhængig variabel ID]]=1,2,1))),$B$7)</f>
        <v>Eksempel 2 (interval)</v>
      </c>
      <c r="H2137" s="188">
        <f>_xlfn.AGGREGATE(2,5,LineærRegression_Valg[[#This Row],[Tabel ID]])</f>
        <v>1</v>
      </c>
    </row>
    <row r="2138" spans="1:8" x14ac:dyDescent="0.2">
      <c r="A2138">
        <f>ROW(LineærRegression_Valg[[#This Row],[Tabel ID]])-ROW(LineærRegression_Valg[[#Headers],[Tabel ID]])</f>
        <v>2128</v>
      </c>
      <c r="B2138" s="188">
        <f>ROUNDDOWN((LineærRegression_Valg[[#This Row],[Tabel ID]]-1)/$B$5,0)+1</f>
        <v>532</v>
      </c>
      <c r="C2138" s="188">
        <f t="shared" si="33"/>
        <v>4</v>
      </c>
      <c r="D2138" s="188" t="b">
        <f>LineærRegression_Valg[[#This Row],[Afhængig variabel ID]]&lt;&gt;LineærRegression_Valg[[#This Row],[Uafhængig variabel ID]]</f>
        <v>1</v>
      </c>
      <c r="E2138" s="188" t="b">
        <f>LineærRegression_Valg[[#This Row],[Afhængig variabel ID]]&lt;=$B$5</f>
        <v>0</v>
      </c>
      <c r="F2138" t="str" cm="1">
        <f t="array" ref="F2138">IF(LineærRegression_Valg[[#This Row],[Indenfor range]],INDEX(DataTitel_liste,LineærRegression_Valg[[#This Row],[Afhængig variabel ID]]),INDEX(DataTitel_liste,1))</f>
        <v>Eksempel 1 (interval)</v>
      </c>
      <c r="G2138" s="188" t="str" cm="1">
        <f t="array" ref="G2138">IF(LineærRegression_Valg[[#This Row],[Indenfor range]],IF(LineærRegression_Valg[[#This Row],[Intet overlap]],INDEX(DataTitel_liste,LineærRegression_Valg[[#This Row],[Uafhængig variabel ID]]),INDEX(DataTitel_liste,IF(LineærRegression_Valg[[#This Row],[Afhængig variabel ID]]=1,2,1))),$B$7)</f>
        <v>Eksempel 2 (interval)</v>
      </c>
      <c r="H2138" s="188">
        <f>_xlfn.AGGREGATE(2,5,LineærRegression_Valg[[#This Row],[Tabel ID]])</f>
        <v>1</v>
      </c>
    </row>
    <row r="2139" spans="1:8" x14ac:dyDescent="0.2">
      <c r="A2139">
        <f>ROW(LineærRegression_Valg[[#This Row],[Tabel ID]])-ROW(LineærRegression_Valg[[#Headers],[Tabel ID]])</f>
        <v>2129</v>
      </c>
      <c r="B2139" s="188">
        <f>ROUNDDOWN((LineærRegression_Valg[[#This Row],[Tabel ID]]-1)/$B$5,0)+1</f>
        <v>533</v>
      </c>
      <c r="C2139" s="188">
        <f t="shared" si="33"/>
        <v>1</v>
      </c>
      <c r="D2139" s="188" t="b">
        <f>LineærRegression_Valg[[#This Row],[Afhængig variabel ID]]&lt;&gt;LineærRegression_Valg[[#This Row],[Uafhængig variabel ID]]</f>
        <v>1</v>
      </c>
      <c r="E2139" s="188" t="b">
        <f>LineærRegression_Valg[[#This Row],[Afhængig variabel ID]]&lt;=$B$5</f>
        <v>0</v>
      </c>
      <c r="F2139" t="str" cm="1">
        <f t="array" ref="F2139">IF(LineærRegression_Valg[[#This Row],[Indenfor range]],INDEX(DataTitel_liste,LineærRegression_Valg[[#This Row],[Afhængig variabel ID]]),INDEX(DataTitel_liste,1))</f>
        <v>Eksempel 1 (interval)</v>
      </c>
      <c r="G2139" s="188" t="str" cm="1">
        <f t="array" ref="G2139">IF(LineærRegression_Valg[[#This Row],[Indenfor range]],IF(LineærRegression_Valg[[#This Row],[Intet overlap]],INDEX(DataTitel_liste,LineærRegression_Valg[[#This Row],[Uafhængig variabel ID]]),INDEX(DataTitel_liste,IF(LineærRegression_Valg[[#This Row],[Afhængig variabel ID]]=1,2,1))),$B$7)</f>
        <v>Eksempel 2 (interval)</v>
      </c>
      <c r="H2139" s="188">
        <f>_xlfn.AGGREGATE(2,5,LineærRegression_Valg[[#This Row],[Tabel ID]])</f>
        <v>1</v>
      </c>
    </row>
    <row r="2140" spans="1:8" x14ac:dyDescent="0.2">
      <c r="A2140">
        <f>ROW(LineærRegression_Valg[[#This Row],[Tabel ID]])-ROW(LineærRegression_Valg[[#Headers],[Tabel ID]])</f>
        <v>2130</v>
      </c>
      <c r="B2140" s="188">
        <f>ROUNDDOWN((LineærRegression_Valg[[#This Row],[Tabel ID]]-1)/$B$5,0)+1</f>
        <v>533</v>
      </c>
      <c r="C2140" s="188">
        <f t="shared" si="33"/>
        <v>2</v>
      </c>
      <c r="D2140" s="188" t="b">
        <f>LineærRegression_Valg[[#This Row],[Afhængig variabel ID]]&lt;&gt;LineærRegression_Valg[[#This Row],[Uafhængig variabel ID]]</f>
        <v>1</v>
      </c>
      <c r="E2140" s="188" t="b">
        <f>LineærRegression_Valg[[#This Row],[Afhængig variabel ID]]&lt;=$B$5</f>
        <v>0</v>
      </c>
      <c r="F2140" t="str" cm="1">
        <f t="array" ref="F2140">IF(LineærRegression_Valg[[#This Row],[Indenfor range]],INDEX(DataTitel_liste,LineærRegression_Valg[[#This Row],[Afhængig variabel ID]]),INDEX(DataTitel_liste,1))</f>
        <v>Eksempel 1 (interval)</v>
      </c>
      <c r="G2140" s="188" t="str" cm="1">
        <f t="array" ref="G2140">IF(LineærRegression_Valg[[#This Row],[Indenfor range]],IF(LineærRegression_Valg[[#This Row],[Intet overlap]],INDEX(DataTitel_liste,LineærRegression_Valg[[#This Row],[Uafhængig variabel ID]]),INDEX(DataTitel_liste,IF(LineærRegression_Valg[[#This Row],[Afhængig variabel ID]]=1,2,1))),$B$7)</f>
        <v>Eksempel 2 (interval)</v>
      </c>
      <c r="H2140" s="188">
        <f>_xlfn.AGGREGATE(2,5,LineærRegression_Valg[[#This Row],[Tabel ID]])</f>
        <v>1</v>
      </c>
    </row>
    <row r="2141" spans="1:8" x14ac:dyDescent="0.2">
      <c r="A2141">
        <f>ROW(LineærRegression_Valg[[#This Row],[Tabel ID]])-ROW(LineærRegression_Valg[[#Headers],[Tabel ID]])</f>
        <v>2131</v>
      </c>
      <c r="B2141" s="188">
        <f>ROUNDDOWN((LineærRegression_Valg[[#This Row],[Tabel ID]]-1)/$B$5,0)+1</f>
        <v>533</v>
      </c>
      <c r="C2141" s="188">
        <f t="shared" si="33"/>
        <v>3</v>
      </c>
      <c r="D2141" s="188" t="b">
        <f>LineærRegression_Valg[[#This Row],[Afhængig variabel ID]]&lt;&gt;LineærRegression_Valg[[#This Row],[Uafhængig variabel ID]]</f>
        <v>1</v>
      </c>
      <c r="E2141" s="188" t="b">
        <f>LineærRegression_Valg[[#This Row],[Afhængig variabel ID]]&lt;=$B$5</f>
        <v>0</v>
      </c>
      <c r="F2141" t="str" cm="1">
        <f t="array" ref="F2141">IF(LineærRegression_Valg[[#This Row],[Indenfor range]],INDEX(DataTitel_liste,LineærRegression_Valg[[#This Row],[Afhængig variabel ID]]),INDEX(DataTitel_liste,1))</f>
        <v>Eksempel 1 (interval)</v>
      </c>
      <c r="G2141" s="188" t="str" cm="1">
        <f t="array" ref="G2141">IF(LineærRegression_Valg[[#This Row],[Indenfor range]],IF(LineærRegression_Valg[[#This Row],[Intet overlap]],INDEX(DataTitel_liste,LineærRegression_Valg[[#This Row],[Uafhængig variabel ID]]),INDEX(DataTitel_liste,IF(LineærRegression_Valg[[#This Row],[Afhængig variabel ID]]=1,2,1))),$B$7)</f>
        <v>Eksempel 2 (interval)</v>
      </c>
      <c r="H2141" s="188">
        <f>_xlfn.AGGREGATE(2,5,LineærRegression_Valg[[#This Row],[Tabel ID]])</f>
        <v>1</v>
      </c>
    </row>
    <row r="2142" spans="1:8" x14ac:dyDescent="0.2">
      <c r="A2142">
        <f>ROW(LineærRegression_Valg[[#This Row],[Tabel ID]])-ROW(LineærRegression_Valg[[#Headers],[Tabel ID]])</f>
        <v>2132</v>
      </c>
      <c r="B2142" s="188">
        <f>ROUNDDOWN((LineærRegression_Valg[[#This Row],[Tabel ID]]-1)/$B$5,0)+1</f>
        <v>533</v>
      </c>
      <c r="C2142" s="188">
        <f t="shared" si="33"/>
        <v>4</v>
      </c>
      <c r="D2142" s="188" t="b">
        <f>LineærRegression_Valg[[#This Row],[Afhængig variabel ID]]&lt;&gt;LineærRegression_Valg[[#This Row],[Uafhængig variabel ID]]</f>
        <v>1</v>
      </c>
      <c r="E2142" s="188" t="b">
        <f>LineærRegression_Valg[[#This Row],[Afhængig variabel ID]]&lt;=$B$5</f>
        <v>0</v>
      </c>
      <c r="F2142" t="str" cm="1">
        <f t="array" ref="F2142">IF(LineærRegression_Valg[[#This Row],[Indenfor range]],INDEX(DataTitel_liste,LineærRegression_Valg[[#This Row],[Afhængig variabel ID]]),INDEX(DataTitel_liste,1))</f>
        <v>Eksempel 1 (interval)</v>
      </c>
      <c r="G2142" s="188" t="str" cm="1">
        <f t="array" ref="G2142">IF(LineærRegression_Valg[[#This Row],[Indenfor range]],IF(LineærRegression_Valg[[#This Row],[Intet overlap]],INDEX(DataTitel_liste,LineærRegression_Valg[[#This Row],[Uafhængig variabel ID]]),INDEX(DataTitel_liste,IF(LineærRegression_Valg[[#This Row],[Afhængig variabel ID]]=1,2,1))),$B$7)</f>
        <v>Eksempel 2 (interval)</v>
      </c>
      <c r="H2142" s="188">
        <f>_xlfn.AGGREGATE(2,5,LineærRegression_Valg[[#This Row],[Tabel ID]])</f>
        <v>1</v>
      </c>
    </row>
    <row r="2143" spans="1:8" x14ac:dyDescent="0.2">
      <c r="A2143">
        <f>ROW(LineærRegression_Valg[[#This Row],[Tabel ID]])-ROW(LineærRegression_Valg[[#Headers],[Tabel ID]])</f>
        <v>2133</v>
      </c>
      <c r="B2143" s="188">
        <f>ROUNDDOWN((LineærRegression_Valg[[#This Row],[Tabel ID]]-1)/$B$5,0)+1</f>
        <v>534</v>
      </c>
      <c r="C2143" s="188">
        <f t="shared" si="33"/>
        <v>1</v>
      </c>
      <c r="D2143" s="188" t="b">
        <f>LineærRegression_Valg[[#This Row],[Afhængig variabel ID]]&lt;&gt;LineærRegression_Valg[[#This Row],[Uafhængig variabel ID]]</f>
        <v>1</v>
      </c>
      <c r="E2143" s="188" t="b">
        <f>LineærRegression_Valg[[#This Row],[Afhængig variabel ID]]&lt;=$B$5</f>
        <v>0</v>
      </c>
      <c r="F2143" t="str" cm="1">
        <f t="array" ref="F2143">IF(LineærRegression_Valg[[#This Row],[Indenfor range]],INDEX(DataTitel_liste,LineærRegression_Valg[[#This Row],[Afhængig variabel ID]]),INDEX(DataTitel_liste,1))</f>
        <v>Eksempel 1 (interval)</v>
      </c>
      <c r="G2143" s="188" t="str" cm="1">
        <f t="array" ref="G2143">IF(LineærRegression_Valg[[#This Row],[Indenfor range]],IF(LineærRegression_Valg[[#This Row],[Intet overlap]],INDEX(DataTitel_liste,LineærRegression_Valg[[#This Row],[Uafhængig variabel ID]]),INDEX(DataTitel_liste,IF(LineærRegression_Valg[[#This Row],[Afhængig variabel ID]]=1,2,1))),$B$7)</f>
        <v>Eksempel 2 (interval)</v>
      </c>
      <c r="H2143" s="188">
        <f>_xlfn.AGGREGATE(2,5,LineærRegression_Valg[[#This Row],[Tabel ID]])</f>
        <v>1</v>
      </c>
    </row>
    <row r="2144" spans="1:8" x14ac:dyDescent="0.2">
      <c r="A2144">
        <f>ROW(LineærRegression_Valg[[#This Row],[Tabel ID]])-ROW(LineærRegression_Valg[[#Headers],[Tabel ID]])</f>
        <v>2134</v>
      </c>
      <c r="B2144" s="188">
        <f>ROUNDDOWN((LineærRegression_Valg[[#This Row],[Tabel ID]]-1)/$B$5,0)+1</f>
        <v>534</v>
      </c>
      <c r="C2144" s="188">
        <f t="shared" si="33"/>
        <v>2</v>
      </c>
      <c r="D2144" s="188" t="b">
        <f>LineærRegression_Valg[[#This Row],[Afhængig variabel ID]]&lt;&gt;LineærRegression_Valg[[#This Row],[Uafhængig variabel ID]]</f>
        <v>1</v>
      </c>
      <c r="E2144" s="188" t="b">
        <f>LineærRegression_Valg[[#This Row],[Afhængig variabel ID]]&lt;=$B$5</f>
        <v>0</v>
      </c>
      <c r="F2144" t="str" cm="1">
        <f t="array" ref="F2144">IF(LineærRegression_Valg[[#This Row],[Indenfor range]],INDEX(DataTitel_liste,LineærRegression_Valg[[#This Row],[Afhængig variabel ID]]),INDEX(DataTitel_liste,1))</f>
        <v>Eksempel 1 (interval)</v>
      </c>
      <c r="G2144" s="188" t="str" cm="1">
        <f t="array" ref="G2144">IF(LineærRegression_Valg[[#This Row],[Indenfor range]],IF(LineærRegression_Valg[[#This Row],[Intet overlap]],INDEX(DataTitel_liste,LineærRegression_Valg[[#This Row],[Uafhængig variabel ID]]),INDEX(DataTitel_liste,IF(LineærRegression_Valg[[#This Row],[Afhængig variabel ID]]=1,2,1))),$B$7)</f>
        <v>Eksempel 2 (interval)</v>
      </c>
      <c r="H2144" s="188">
        <f>_xlfn.AGGREGATE(2,5,LineærRegression_Valg[[#This Row],[Tabel ID]])</f>
        <v>1</v>
      </c>
    </row>
    <row r="2145" spans="1:8" x14ac:dyDescent="0.2">
      <c r="A2145">
        <f>ROW(LineærRegression_Valg[[#This Row],[Tabel ID]])-ROW(LineærRegression_Valg[[#Headers],[Tabel ID]])</f>
        <v>2135</v>
      </c>
      <c r="B2145" s="188">
        <f>ROUNDDOWN((LineærRegression_Valg[[#This Row],[Tabel ID]]-1)/$B$5,0)+1</f>
        <v>534</v>
      </c>
      <c r="C2145" s="188">
        <f t="shared" si="33"/>
        <v>3</v>
      </c>
      <c r="D2145" s="188" t="b">
        <f>LineærRegression_Valg[[#This Row],[Afhængig variabel ID]]&lt;&gt;LineærRegression_Valg[[#This Row],[Uafhængig variabel ID]]</f>
        <v>1</v>
      </c>
      <c r="E2145" s="188" t="b">
        <f>LineærRegression_Valg[[#This Row],[Afhængig variabel ID]]&lt;=$B$5</f>
        <v>0</v>
      </c>
      <c r="F2145" t="str" cm="1">
        <f t="array" ref="F2145">IF(LineærRegression_Valg[[#This Row],[Indenfor range]],INDEX(DataTitel_liste,LineærRegression_Valg[[#This Row],[Afhængig variabel ID]]),INDEX(DataTitel_liste,1))</f>
        <v>Eksempel 1 (interval)</v>
      </c>
      <c r="G2145" s="188" t="str" cm="1">
        <f t="array" ref="G2145">IF(LineærRegression_Valg[[#This Row],[Indenfor range]],IF(LineærRegression_Valg[[#This Row],[Intet overlap]],INDEX(DataTitel_liste,LineærRegression_Valg[[#This Row],[Uafhængig variabel ID]]),INDEX(DataTitel_liste,IF(LineærRegression_Valg[[#This Row],[Afhængig variabel ID]]=1,2,1))),$B$7)</f>
        <v>Eksempel 2 (interval)</v>
      </c>
      <c r="H2145" s="188">
        <f>_xlfn.AGGREGATE(2,5,LineærRegression_Valg[[#This Row],[Tabel ID]])</f>
        <v>1</v>
      </c>
    </row>
    <row r="2146" spans="1:8" x14ac:dyDescent="0.2">
      <c r="A2146">
        <f>ROW(LineærRegression_Valg[[#This Row],[Tabel ID]])-ROW(LineærRegression_Valg[[#Headers],[Tabel ID]])</f>
        <v>2136</v>
      </c>
      <c r="B2146" s="188">
        <f>ROUNDDOWN((LineærRegression_Valg[[#This Row],[Tabel ID]]-1)/$B$5,0)+1</f>
        <v>534</v>
      </c>
      <c r="C2146" s="188">
        <f t="shared" si="33"/>
        <v>4</v>
      </c>
      <c r="D2146" s="188" t="b">
        <f>LineærRegression_Valg[[#This Row],[Afhængig variabel ID]]&lt;&gt;LineærRegression_Valg[[#This Row],[Uafhængig variabel ID]]</f>
        <v>1</v>
      </c>
      <c r="E2146" s="188" t="b">
        <f>LineærRegression_Valg[[#This Row],[Afhængig variabel ID]]&lt;=$B$5</f>
        <v>0</v>
      </c>
      <c r="F2146" t="str" cm="1">
        <f t="array" ref="F2146">IF(LineærRegression_Valg[[#This Row],[Indenfor range]],INDEX(DataTitel_liste,LineærRegression_Valg[[#This Row],[Afhængig variabel ID]]),INDEX(DataTitel_liste,1))</f>
        <v>Eksempel 1 (interval)</v>
      </c>
      <c r="G2146" s="188" t="str" cm="1">
        <f t="array" ref="G2146">IF(LineærRegression_Valg[[#This Row],[Indenfor range]],IF(LineærRegression_Valg[[#This Row],[Intet overlap]],INDEX(DataTitel_liste,LineærRegression_Valg[[#This Row],[Uafhængig variabel ID]]),INDEX(DataTitel_liste,IF(LineærRegression_Valg[[#This Row],[Afhængig variabel ID]]=1,2,1))),$B$7)</f>
        <v>Eksempel 2 (interval)</v>
      </c>
      <c r="H2146" s="188">
        <f>_xlfn.AGGREGATE(2,5,LineærRegression_Valg[[#This Row],[Tabel ID]])</f>
        <v>1</v>
      </c>
    </row>
    <row r="2147" spans="1:8" x14ac:dyDescent="0.2">
      <c r="A2147">
        <f>ROW(LineærRegression_Valg[[#This Row],[Tabel ID]])-ROW(LineærRegression_Valg[[#Headers],[Tabel ID]])</f>
        <v>2137</v>
      </c>
      <c r="B2147" s="188">
        <f>ROUNDDOWN((LineærRegression_Valg[[#This Row],[Tabel ID]]-1)/$B$5,0)+1</f>
        <v>535</v>
      </c>
      <c r="C2147" s="188">
        <f t="shared" si="33"/>
        <v>1</v>
      </c>
      <c r="D2147" s="188" t="b">
        <f>LineærRegression_Valg[[#This Row],[Afhængig variabel ID]]&lt;&gt;LineærRegression_Valg[[#This Row],[Uafhængig variabel ID]]</f>
        <v>1</v>
      </c>
      <c r="E2147" s="188" t="b">
        <f>LineærRegression_Valg[[#This Row],[Afhængig variabel ID]]&lt;=$B$5</f>
        <v>0</v>
      </c>
      <c r="F2147" t="str" cm="1">
        <f t="array" ref="F2147">IF(LineærRegression_Valg[[#This Row],[Indenfor range]],INDEX(DataTitel_liste,LineærRegression_Valg[[#This Row],[Afhængig variabel ID]]),INDEX(DataTitel_liste,1))</f>
        <v>Eksempel 1 (interval)</v>
      </c>
      <c r="G2147" s="188" t="str" cm="1">
        <f t="array" ref="G2147">IF(LineærRegression_Valg[[#This Row],[Indenfor range]],IF(LineærRegression_Valg[[#This Row],[Intet overlap]],INDEX(DataTitel_liste,LineærRegression_Valg[[#This Row],[Uafhængig variabel ID]]),INDEX(DataTitel_liste,IF(LineærRegression_Valg[[#This Row],[Afhængig variabel ID]]=1,2,1))),$B$7)</f>
        <v>Eksempel 2 (interval)</v>
      </c>
      <c r="H2147" s="188">
        <f>_xlfn.AGGREGATE(2,5,LineærRegression_Valg[[#This Row],[Tabel ID]])</f>
        <v>1</v>
      </c>
    </row>
    <row r="2148" spans="1:8" x14ac:dyDescent="0.2">
      <c r="A2148">
        <f>ROW(LineærRegression_Valg[[#This Row],[Tabel ID]])-ROW(LineærRegression_Valg[[#Headers],[Tabel ID]])</f>
        <v>2138</v>
      </c>
      <c r="B2148" s="188">
        <f>ROUNDDOWN((LineærRegression_Valg[[#This Row],[Tabel ID]]-1)/$B$5,0)+1</f>
        <v>535</v>
      </c>
      <c r="C2148" s="188">
        <f t="shared" si="33"/>
        <v>2</v>
      </c>
      <c r="D2148" s="188" t="b">
        <f>LineærRegression_Valg[[#This Row],[Afhængig variabel ID]]&lt;&gt;LineærRegression_Valg[[#This Row],[Uafhængig variabel ID]]</f>
        <v>1</v>
      </c>
      <c r="E2148" s="188" t="b">
        <f>LineærRegression_Valg[[#This Row],[Afhængig variabel ID]]&lt;=$B$5</f>
        <v>0</v>
      </c>
      <c r="F2148" t="str" cm="1">
        <f t="array" ref="F2148">IF(LineærRegression_Valg[[#This Row],[Indenfor range]],INDEX(DataTitel_liste,LineærRegression_Valg[[#This Row],[Afhængig variabel ID]]),INDEX(DataTitel_liste,1))</f>
        <v>Eksempel 1 (interval)</v>
      </c>
      <c r="G2148" s="188" t="str" cm="1">
        <f t="array" ref="G2148">IF(LineærRegression_Valg[[#This Row],[Indenfor range]],IF(LineærRegression_Valg[[#This Row],[Intet overlap]],INDEX(DataTitel_liste,LineærRegression_Valg[[#This Row],[Uafhængig variabel ID]]),INDEX(DataTitel_liste,IF(LineærRegression_Valg[[#This Row],[Afhængig variabel ID]]=1,2,1))),$B$7)</f>
        <v>Eksempel 2 (interval)</v>
      </c>
      <c r="H2148" s="188">
        <f>_xlfn.AGGREGATE(2,5,LineærRegression_Valg[[#This Row],[Tabel ID]])</f>
        <v>1</v>
      </c>
    </row>
    <row r="2149" spans="1:8" x14ac:dyDescent="0.2">
      <c r="A2149">
        <f>ROW(LineærRegression_Valg[[#This Row],[Tabel ID]])-ROW(LineærRegression_Valg[[#Headers],[Tabel ID]])</f>
        <v>2139</v>
      </c>
      <c r="B2149" s="188">
        <f>ROUNDDOWN((LineærRegression_Valg[[#This Row],[Tabel ID]]-1)/$B$5,0)+1</f>
        <v>535</v>
      </c>
      <c r="C2149" s="188">
        <f t="shared" si="33"/>
        <v>3</v>
      </c>
      <c r="D2149" s="188" t="b">
        <f>LineærRegression_Valg[[#This Row],[Afhængig variabel ID]]&lt;&gt;LineærRegression_Valg[[#This Row],[Uafhængig variabel ID]]</f>
        <v>1</v>
      </c>
      <c r="E2149" s="188" t="b">
        <f>LineærRegression_Valg[[#This Row],[Afhængig variabel ID]]&lt;=$B$5</f>
        <v>0</v>
      </c>
      <c r="F2149" t="str" cm="1">
        <f t="array" ref="F2149">IF(LineærRegression_Valg[[#This Row],[Indenfor range]],INDEX(DataTitel_liste,LineærRegression_Valg[[#This Row],[Afhængig variabel ID]]),INDEX(DataTitel_liste,1))</f>
        <v>Eksempel 1 (interval)</v>
      </c>
      <c r="G2149" s="188" t="str" cm="1">
        <f t="array" ref="G2149">IF(LineærRegression_Valg[[#This Row],[Indenfor range]],IF(LineærRegression_Valg[[#This Row],[Intet overlap]],INDEX(DataTitel_liste,LineærRegression_Valg[[#This Row],[Uafhængig variabel ID]]),INDEX(DataTitel_liste,IF(LineærRegression_Valg[[#This Row],[Afhængig variabel ID]]=1,2,1))),$B$7)</f>
        <v>Eksempel 2 (interval)</v>
      </c>
      <c r="H2149" s="188">
        <f>_xlfn.AGGREGATE(2,5,LineærRegression_Valg[[#This Row],[Tabel ID]])</f>
        <v>1</v>
      </c>
    </row>
    <row r="2150" spans="1:8" x14ac:dyDescent="0.2">
      <c r="A2150">
        <f>ROW(LineærRegression_Valg[[#This Row],[Tabel ID]])-ROW(LineærRegression_Valg[[#Headers],[Tabel ID]])</f>
        <v>2140</v>
      </c>
      <c r="B2150" s="188">
        <f>ROUNDDOWN((LineærRegression_Valg[[#This Row],[Tabel ID]]-1)/$B$5,0)+1</f>
        <v>535</v>
      </c>
      <c r="C2150" s="188">
        <f t="shared" si="33"/>
        <v>4</v>
      </c>
      <c r="D2150" s="188" t="b">
        <f>LineærRegression_Valg[[#This Row],[Afhængig variabel ID]]&lt;&gt;LineærRegression_Valg[[#This Row],[Uafhængig variabel ID]]</f>
        <v>1</v>
      </c>
      <c r="E2150" s="188" t="b">
        <f>LineærRegression_Valg[[#This Row],[Afhængig variabel ID]]&lt;=$B$5</f>
        <v>0</v>
      </c>
      <c r="F2150" t="str" cm="1">
        <f t="array" ref="F2150">IF(LineærRegression_Valg[[#This Row],[Indenfor range]],INDEX(DataTitel_liste,LineærRegression_Valg[[#This Row],[Afhængig variabel ID]]),INDEX(DataTitel_liste,1))</f>
        <v>Eksempel 1 (interval)</v>
      </c>
      <c r="G2150" s="188" t="str" cm="1">
        <f t="array" ref="G2150">IF(LineærRegression_Valg[[#This Row],[Indenfor range]],IF(LineærRegression_Valg[[#This Row],[Intet overlap]],INDEX(DataTitel_liste,LineærRegression_Valg[[#This Row],[Uafhængig variabel ID]]),INDEX(DataTitel_liste,IF(LineærRegression_Valg[[#This Row],[Afhængig variabel ID]]=1,2,1))),$B$7)</f>
        <v>Eksempel 2 (interval)</v>
      </c>
      <c r="H2150" s="188">
        <f>_xlfn.AGGREGATE(2,5,LineærRegression_Valg[[#This Row],[Tabel ID]])</f>
        <v>1</v>
      </c>
    </row>
    <row r="2151" spans="1:8" x14ac:dyDescent="0.2">
      <c r="A2151">
        <f>ROW(LineærRegression_Valg[[#This Row],[Tabel ID]])-ROW(LineærRegression_Valg[[#Headers],[Tabel ID]])</f>
        <v>2141</v>
      </c>
      <c r="B2151" s="188">
        <f>ROUNDDOWN((LineærRegression_Valg[[#This Row],[Tabel ID]]-1)/$B$5,0)+1</f>
        <v>536</v>
      </c>
      <c r="C2151" s="188">
        <f t="shared" si="33"/>
        <v>1</v>
      </c>
      <c r="D2151" s="188" t="b">
        <f>LineærRegression_Valg[[#This Row],[Afhængig variabel ID]]&lt;&gt;LineærRegression_Valg[[#This Row],[Uafhængig variabel ID]]</f>
        <v>1</v>
      </c>
      <c r="E2151" s="188" t="b">
        <f>LineærRegression_Valg[[#This Row],[Afhængig variabel ID]]&lt;=$B$5</f>
        <v>0</v>
      </c>
      <c r="F2151" t="str" cm="1">
        <f t="array" ref="F2151">IF(LineærRegression_Valg[[#This Row],[Indenfor range]],INDEX(DataTitel_liste,LineærRegression_Valg[[#This Row],[Afhængig variabel ID]]),INDEX(DataTitel_liste,1))</f>
        <v>Eksempel 1 (interval)</v>
      </c>
      <c r="G2151" s="188" t="str" cm="1">
        <f t="array" ref="G2151">IF(LineærRegression_Valg[[#This Row],[Indenfor range]],IF(LineærRegression_Valg[[#This Row],[Intet overlap]],INDEX(DataTitel_liste,LineærRegression_Valg[[#This Row],[Uafhængig variabel ID]]),INDEX(DataTitel_liste,IF(LineærRegression_Valg[[#This Row],[Afhængig variabel ID]]=1,2,1))),$B$7)</f>
        <v>Eksempel 2 (interval)</v>
      </c>
      <c r="H2151" s="188">
        <f>_xlfn.AGGREGATE(2,5,LineærRegression_Valg[[#This Row],[Tabel ID]])</f>
        <v>1</v>
      </c>
    </row>
    <row r="2152" spans="1:8" x14ac:dyDescent="0.2">
      <c r="A2152">
        <f>ROW(LineærRegression_Valg[[#This Row],[Tabel ID]])-ROW(LineærRegression_Valg[[#Headers],[Tabel ID]])</f>
        <v>2142</v>
      </c>
      <c r="B2152" s="188">
        <f>ROUNDDOWN((LineærRegression_Valg[[#This Row],[Tabel ID]]-1)/$B$5,0)+1</f>
        <v>536</v>
      </c>
      <c r="C2152" s="188">
        <f t="shared" si="33"/>
        <v>2</v>
      </c>
      <c r="D2152" s="188" t="b">
        <f>LineærRegression_Valg[[#This Row],[Afhængig variabel ID]]&lt;&gt;LineærRegression_Valg[[#This Row],[Uafhængig variabel ID]]</f>
        <v>1</v>
      </c>
      <c r="E2152" s="188" t="b">
        <f>LineærRegression_Valg[[#This Row],[Afhængig variabel ID]]&lt;=$B$5</f>
        <v>0</v>
      </c>
      <c r="F2152" t="str" cm="1">
        <f t="array" ref="F2152">IF(LineærRegression_Valg[[#This Row],[Indenfor range]],INDEX(DataTitel_liste,LineærRegression_Valg[[#This Row],[Afhængig variabel ID]]),INDEX(DataTitel_liste,1))</f>
        <v>Eksempel 1 (interval)</v>
      </c>
      <c r="G2152" s="188" t="str" cm="1">
        <f t="array" ref="G2152">IF(LineærRegression_Valg[[#This Row],[Indenfor range]],IF(LineærRegression_Valg[[#This Row],[Intet overlap]],INDEX(DataTitel_liste,LineærRegression_Valg[[#This Row],[Uafhængig variabel ID]]),INDEX(DataTitel_liste,IF(LineærRegression_Valg[[#This Row],[Afhængig variabel ID]]=1,2,1))),$B$7)</f>
        <v>Eksempel 2 (interval)</v>
      </c>
      <c r="H2152" s="188">
        <f>_xlfn.AGGREGATE(2,5,LineærRegression_Valg[[#This Row],[Tabel ID]])</f>
        <v>1</v>
      </c>
    </row>
    <row r="2153" spans="1:8" x14ac:dyDescent="0.2">
      <c r="A2153">
        <f>ROW(LineærRegression_Valg[[#This Row],[Tabel ID]])-ROW(LineærRegression_Valg[[#Headers],[Tabel ID]])</f>
        <v>2143</v>
      </c>
      <c r="B2153" s="188">
        <f>ROUNDDOWN((LineærRegression_Valg[[#This Row],[Tabel ID]]-1)/$B$5,0)+1</f>
        <v>536</v>
      </c>
      <c r="C2153" s="188">
        <f t="shared" si="33"/>
        <v>3</v>
      </c>
      <c r="D2153" s="188" t="b">
        <f>LineærRegression_Valg[[#This Row],[Afhængig variabel ID]]&lt;&gt;LineærRegression_Valg[[#This Row],[Uafhængig variabel ID]]</f>
        <v>1</v>
      </c>
      <c r="E2153" s="188" t="b">
        <f>LineærRegression_Valg[[#This Row],[Afhængig variabel ID]]&lt;=$B$5</f>
        <v>0</v>
      </c>
      <c r="F2153" t="str" cm="1">
        <f t="array" ref="F2153">IF(LineærRegression_Valg[[#This Row],[Indenfor range]],INDEX(DataTitel_liste,LineærRegression_Valg[[#This Row],[Afhængig variabel ID]]),INDEX(DataTitel_liste,1))</f>
        <v>Eksempel 1 (interval)</v>
      </c>
      <c r="G2153" s="188" t="str" cm="1">
        <f t="array" ref="G2153">IF(LineærRegression_Valg[[#This Row],[Indenfor range]],IF(LineærRegression_Valg[[#This Row],[Intet overlap]],INDEX(DataTitel_liste,LineærRegression_Valg[[#This Row],[Uafhængig variabel ID]]),INDEX(DataTitel_liste,IF(LineærRegression_Valg[[#This Row],[Afhængig variabel ID]]=1,2,1))),$B$7)</f>
        <v>Eksempel 2 (interval)</v>
      </c>
      <c r="H2153" s="188">
        <f>_xlfn.AGGREGATE(2,5,LineærRegression_Valg[[#This Row],[Tabel ID]])</f>
        <v>1</v>
      </c>
    </row>
    <row r="2154" spans="1:8" x14ac:dyDescent="0.2">
      <c r="A2154">
        <f>ROW(LineærRegression_Valg[[#This Row],[Tabel ID]])-ROW(LineærRegression_Valg[[#Headers],[Tabel ID]])</f>
        <v>2144</v>
      </c>
      <c r="B2154" s="188">
        <f>ROUNDDOWN((LineærRegression_Valg[[#This Row],[Tabel ID]]-1)/$B$5,0)+1</f>
        <v>536</v>
      </c>
      <c r="C2154" s="188">
        <f t="shared" si="33"/>
        <v>4</v>
      </c>
      <c r="D2154" s="188" t="b">
        <f>LineærRegression_Valg[[#This Row],[Afhængig variabel ID]]&lt;&gt;LineærRegression_Valg[[#This Row],[Uafhængig variabel ID]]</f>
        <v>1</v>
      </c>
      <c r="E2154" s="188" t="b">
        <f>LineærRegression_Valg[[#This Row],[Afhængig variabel ID]]&lt;=$B$5</f>
        <v>0</v>
      </c>
      <c r="F2154" t="str" cm="1">
        <f t="array" ref="F2154">IF(LineærRegression_Valg[[#This Row],[Indenfor range]],INDEX(DataTitel_liste,LineærRegression_Valg[[#This Row],[Afhængig variabel ID]]),INDEX(DataTitel_liste,1))</f>
        <v>Eksempel 1 (interval)</v>
      </c>
      <c r="G2154" s="188" t="str" cm="1">
        <f t="array" ref="G2154">IF(LineærRegression_Valg[[#This Row],[Indenfor range]],IF(LineærRegression_Valg[[#This Row],[Intet overlap]],INDEX(DataTitel_liste,LineærRegression_Valg[[#This Row],[Uafhængig variabel ID]]),INDEX(DataTitel_liste,IF(LineærRegression_Valg[[#This Row],[Afhængig variabel ID]]=1,2,1))),$B$7)</f>
        <v>Eksempel 2 (interval)</v>
      </c>
      <c r="H2154" s="188">
        <f>_xlfn.AGGREGATE(2,5,LineærRegression_Valg[[#This Row],[Tabel ID]])</f>
        <v>1</v>
      </c>
    </row>
    <row r="2155" spans="1:8" x14ac:dyDescent="0.2">
      <c r="A2155">
        <f>ROW(LineærRegression_Valg[[#This Row],[Tabel ID]])-ROW(LineærRegression_Valg[[#Headers],[Tabel ID]])</f>
        <v>2145</v>
      </c>
      <c r="B2155" s="188">
        <f>ROUNDDOWN((LineærRegression_Valg[[#This Row],[Tabel ID]]-1)/$B$5,0)+1</f>
        <v>537</v>
      </c>
      <c r="C2155" s="188">
        <f t="shared" si="33"/>
        <v>1</v>
      </c>
      <c r="D2155" s="188" t="b">
        <f>LineærRegression_Valg[[#This Row],[Afhængig variabel ID]]&lt;&gt;LineærRegression_Valg[[#This Row],[Uafhængig variabel ID]]</f>
        <v>1</v>
      </c>
      <c r="E2155" s="188" t="b">
        <f>LineærRegression_Valg[[#This Row],[Afhængig variabel ID]]&lt;=$B$5</f>
        <v>0</v>
      </c>
      <c r="F2155" t="str" cm="1">
        <f t="array" ref="F2155">IF(LineærRegression_Valg[[#This Row],[Indenfor range]],INDEX(DataTitel_liste,LineærRegression_Valg[[#This Row],[Afhængig variabel ID]]),INDEX(DataTitel_liste,1))</f>
        <v>Eksempel 1 (interval)</v>
      </c>
      <c r="G2155" s="188" t="str" cm="1">
        <f t="array" ref="G2155">IF(LineærRegression_Valg[[#This Row],[Indenfor range]],IF(LineærRegression_Valg[[#This Row],[Intet overlap]],INDEX(DataTitel_liste,LineærRegression_Valg[[#This Row],[Uafhængig variabel ID]]),INDEX(DataTitel_liste,IF(LineærRegression_Valg[[#This Row],[Afhængig variabel ID]]=1,2,1))),$B$7)</f>
        <v>Eksempel 2 (interval)</v>
      </c>
      <c r="H2155" s="188">
        <f>_xlfn.AGGREGATE(2,5,LineærRegression_Valg[[#This Row],[Tabel ID]])</f>
        <v>1</v>
      </c>
    </row>
    <row r="2156" spans="1:8" x14ac:dyDescent="0.2">
      <c r="A2156">
        <f>ROW(LineærRegression_Valg[[#This Row],[Tabel ID]])-ROW(LineærRegression_Valg[[#Headers],[Tabel ID]])</f>
        <v>2146</v>
      </c>
      <c r="B2156" s="188">
        <f>ROUNDDOWN((LineærRegression_Valg[[#This Row],[Tabel ID]]-1)/$B$5,0)+1</f>
        <v>537</v>
      </c>
      <c r="C2156" s="188">
        <f t="shared" si="33"/>
        <v>2</v>
      </c>
      <c r="D2156" s="188" t="b">
        <f>LineærRegression_Valg[[#This Row],[Afhængig variabel ID]]&lt;&gt;LineærRegression_Valg[[#This Row],[Uafhængig variabel ID]]</f>
        <v>1</v>
      </c>
      <c r="E2156" s="188" t="b">
        <f>LineærRegression_Valg[[#This Row],[Afhængig variabel ID]]&lt;=$B$5</f>
        <v>0</v>
      </c>
      <c r="F2156" t="str" cm="1">
        <f t="array" ref="F2156">IF(LineærRegression_Valg[[#This Row],[Indenfor range]],INDEX(DataTitel_liste,LineærRegression_Valg[[#This Row],[Afhængig variabel ID]]),INDEX(DataTitel_liste,1))</f>
        <v>Eksempel 1 (interval)</v>
      </c>
      <c r="G2156" s="188" t="str" cm="1">
        <f t="array" ref="G2156">IF(LineærRegression_Valg[[#This Row],[Indenfor range]],IF(LineærRegression_Valg[[#This Row],[Intet overlap]],INDEX(DataTitel_liste,LineærRegression_Valg[[#This Row],[Uafhængig variabel ID]]),INDEX(DataTitel_liste,IF(LineærRegression_Valg[[#This Row],[Afhængig variabel ID]]=1,2,1))),$B$7)</f>
        <v>Eksempel 2 (interval)</v>
      </c>
      <c r="H2156" s="188">
        <f>_xlfn.AGGREGATE(2,5,LineærRegression_Valg[[#This Row],[Tabel ID]])</f>
        <v>1</v>
      </c>
    </row>
    <row r="2157" spans="1:8" x14ac:dyDescent="0.2">
      <c r="A2157">
        <f>ROW(LineærRegression_Valg[[#This Row],[Tabel ID]])-ROW(LineærRegression_Valg[[#Headers],[Tabel ID]])</f>
        <v>2147</v>
      </c>
      <c r="B2157" s="188">
        <f>ROUNDDOWN((LineærRegression_Valg[[#This Row],[Tabel ID]]-1)/$B$5,0)+1</f>
        <v>537</v>
      </c>
      <c r="C2157" s="188">
        <f t="shared" si="33"/>
        <v>3</v>
      </c>
      <c r="D2157" s="188" t="b">
        <f>LineærRegression_Valg[[#This Row],[Afhængig variabel ID]]&lt;&gt;LineærRegression_Valg[[#This Row],[Uafhængig variabel ID]]</f>
        <v>1</v>
      </c>
      <c r="E2157" s="188" t="b">
        <f>LineærRegression_Valg[[#This Row],[Afhængig variabel ID]]&lt;=$B$5</f>
        <v>0</v>
      </c>
      <c r="F2157" t="str" cm="1">
        <f t="array" ref="F2157">IF(LineærRegression_Valg[[#This Row],[Indenfor range]],INDEX(DataTitel_liste,LineærRegression_Valg[[#This Row],[Afhængig variabel ID]]),INDEX(DataTitel_liste,1))</f>
        <v>Eksempel 1 (interval)</v>
      </c>
      <c r="G2157" s="188" t="str" cm="1">
        <f t="array" ref="G2157">IF(LineærRegression_Valg[[#This Row],[Indenfor range]],IF(LineærRegression_Valg[[#This Row],[Intet overlap]],INDEX(DataTitel_liste,LineærRegression_Valg[[#This Row],[Uafhængig variabel ID]]),INDEX(DataTitel_liste,IF(LineærRegression_Valg[[#This Row],[Afhængig variabel ID]]=1,2,1))),$B$7)</f>
        <v>Eksempel 2 (interval)</v>
      </c>
      <c r="H2157" s="188">
        <f>_xlfn.AGGREGATE(2,5,LineærRegression_Valg[[#This Row],[Tabel ID]])</f>
        <v>1</v>
      </c>
    </row>
    <row r="2158" spans="1:8" x14ac:dyDescent="0.2">
      <c r="A2158">
        <f>ROW(LineærRegression_Valg[[#This Row],[Tabel ID]])-ROW(LineærRegression_Valg[[#Headers],[Tabel ID]])</f>
        <v>2148</v>
      </c>
      <c r="B2158" s="188">
        <f>ROUNDDOWN((LineærRegression_Valg[[#This Row],[Tabel ID]]-1)/$B$5,0)+1</f>
        <v>537</v>
      </c>
      <c r="C2158" s="188">
        <f t="shared" si="33"/>
        <v>4</v>
      </c>
      <c r="D2158" s="188" t="b">
        <f>LineærRegression_Valg[[#This Row],[Afhængig variabel ID]]&lt;&gt;LineærRegression_Valg[[#This Row],[Uafhængig variabel ID]]</f>
        <v>1</v>
      </c>
      <c r="E2158" s="188" t="b">
        <f>LineærRegression_Valg[[#This Row],[Afhængig variabel ID]]&lt;=$B$5</f>
        <v>0</v>
      </c>
      <c r="F2158" t="str" cm="1">
        <f t="array" ref="F2158">IF(LineærRegression_Valg[[#This Row],[Indenfor range]],INDEX(DataTitel_liste,LineærRegression_Valg[[#This Row],[Afhængig variabel ID]]),INDEX(DataTitel_liste,1))</f>
        <v>Eksempel 1 (interval)</v>
      </c>
      <c r="G2158" s="188" t="str" cm="1">
        <f t="array" ref="G2158">IF(LineærRegression_Valg[[#This Row],[Indenfor range]],IF(LineærRegression_Valg[[#This Row],[Intet overlap]],INDEX(DataTitel_liste,LineærRegression_Valg[[#This Row],[Uafhængig variabel ID]]),INDEX(DataTitel_liste,IF(LineærRegression_Valg[[#This Row],[Afhængig variabel ID]]=1,2,1))),$B$7)</f>
        <v>Eksempel 2 (interval)</v>
      </c>
      <c r="H2158" s="188">
        <f>_xlfn.AGGREGATE(2,5,LineærRegression_Valg[[#This Row],[Tabel ID]])</f>
        <v>1</v>
      </c>
    </row>
    <row r="2159" spans="1:8" x14ac:dyDescent="0.2">
      <c r="A2159">
        <f>ROW(LineærRegression_Valg[[#This Row],[Tabel ID]])-ROW(LineærRegression_Valg[[#Headers],[Tabel ID]])</f>
        <v>2149</v>
      </c>
      <c r="B2159" s="188">
        <f>ROUNDDOWN((LineærRegression_Valg[[#This Row],[Tabel ID]]-1)/$B$5,0)+1</f>
        <v>538</v>
      </c>
      <c r="C2159" s="188">
        <f t="shared" si="33"/>
        <v>1</v>
      </c>
      <c r="D2159" s="188" t="b">
        <f>LineærRegression_Valg[[#This Row],[Afhængig variabel ID]]&lt;&gt;LineærRegression_Valg[[#This Row],[Uafhængig variabel ID]]</f>
        <v>1</v>
      </c>
      <c r="E2159" s="188" t="b">
        <f>LineærRegression_Valg[[#This Row],[Afhængig variabel ID]]&lt;=$B$5</f>
        <v>0</v>
      </c>
      <c r="F2159" t="str" cm="1">
        <f t="array" ref="F2159">IF(LineærRegression_Valg[[#This Row],[Indenfor range]],INDEX(DataTitel_liste,LineærRegression_Valg[[#This Row],[Afhængig variabel ID]]),INDEX(DataTitel_liste,1))</f>
        <v>Eksempel 1 (interval)</v>
      </c>
      <c r="G2159" s="188" t="str" cm="1">
        <f t="array" ref="G2159">IF(LineærRegression_Valg[[#This Row],[Indenfor range]],IF(LineærRegression_Valg[[#This Row],[Intet overlap]],INDEX(DataTitel_liste,LineærRegression_Valg[[#This Row],[Uafhængig variabel ID]]),INDEX(DataTitel_liste,IF(LineærRegression_Valg[[#This Row],[Afhængig variabel ID]]=1,2,1))),$B$7)</f>
        <v>Eksempel 2 (interval)</v>
      </c>
      <c r="H2159" s="188">
        <f>_xlfn.AGGREGATE(2,5,LineærRegression_Valg[[#This Row],[Tabel ID]])</f>
        <v>1</v>
      </c>
    </row>
    <row r="2160" spans="1:8" x14ac:dyDescent="0.2">
      <c r="A2160">
        <f>ROW(LineærRegression_Valg[[#This Row],[Tabel ID]])-ROW(LineærRegression_Valg[[#Headers],[Tabel ID]])</f>
        <v>2150</v>
      </c>
      <c r="B2160" s="188">
        <f>ROUNDDOWN((LineærRegression_Valg[[#This Row],[Tabel ID]]-1)/$B$5,0)+1</f>
        <v>538</v>
      </c>
      <c r="C2160" s="188">
        <f t="shared" si="33"/>
        <v>2</v>
      </c>
      <c r="D2160" s="188" t="b">
        <f>LineærRegression_Valg[[#This Row],[Afhængig variabel ID]]&lt;&gt;LineærRegression_Valg[[#This Row],[Uafhængig variabel ID]]</f>
        <v>1</v>
      </c>
      <c r="E2160" s="188" t="b">
        <f>LineærRegression_Valg[[#This Row],[Afhængig variabel ID]]&lt;=$B$5</f>
        <v>0</v>
      </c>
      <c r="F2160" t="str" cm="1">
        <f t="array" ref="F2160">IF(LineærRegression_Valg[[#This Row],[Indenfor range]],INDEX(DataTitel_liste,LineærRegression_Valg[[#This Row],[Afhængig variabel ID]]),INDEX(DataTitel_liste,1))</f>
        <v>Eksempel 1 (interval)</v>
      </c>
      <c r="G2160" s="188" t="str" cm="1">
        <f t="array" ref="G2160">IF(LineærRegression_Valg[[#This Row],[Indenfor range]],IF(LineærRegression_Valg[[#This Row],[Intet overlap]],INDEX(DataTitel_liste,LineærRegression_Valg[[#This Row],[Uafhængig variabel ID]]),INDEX(DataTitel_liste,IF(LineærRegression_Valg[[#This Row],[Afhængig variabel ID]]=1,2,1))),$B$7)</f>
        <v>Eksempel 2 (interval)</v>
      </c>
      <c r="H2160" s="188">
        <f>_xlfn.AGGREGATE(2,5,LineærRegression_Valg[[#This Row],[Tabel ID]])</f>
        <v>1</v>
      </c>
    </row>
    <row r="2161" spans="1:8" x14ac:dyDescent="0.2">
      <c r="A2161">
        <f>ROW(LineærRegression_Valg[[#This Row],[Tabel ID]])-ROW(LineærRegression_Valg[[#Headers],[Tabel ID]])</f>
        <v>2151</v>
      </c>
      <c r="B2161" s="188">
        <f>ROUNDDOWN((LineærRegression_Valg[[#This Row],[Tabel ID]]-1)/$B$5,0)+1</f>
        <v>538</v>
      </c>
      <c r="C2161" s="188">
        <f t="shared" si="33"/>
        <v>3</v>
      </c>
      <c r="D2161" s="188" t="b">
        <f>LineærRegression_Valg[[#This Row],[Afhængig variabel ID]]&lt;&gt;LineærRegression_Valg[[#This Row],[Uafhængig variabel ID]]</f>
        <v>1</v>
      </c>
      <c r="E2161" s="188" t="b">
        <f>LineærRegression_Valg[[#This Row],[Afhængig variabel ID]]&lt;=$B$5</f>
        <v>0</v>
      </c>
      <c r="F2161" t="str" cm="1">
        <f t="array" ref="F2161">IF(LineærRegression_Valg[[#This Row],[Indenfor range]],INDEX(DataTitel_liste,LineærRegression_Valg[[#This Row],[Afhængig variabel ID]]),INDEX(DataTitel_liste,1))</f>
        <v>Eksempel 1 (interval)</v>
      </c>
      <c r="G2161" s="188" t="str" cm="1">
        <f t="array" ref="G2161">IF(LineærRegression_Valg[[#This Row],[Indenfor range]],IF(LineærRegression_Valg[[#This Row],[Intet overlap]],INDEX(DataTitel_liste,LineærRegression_Valg[[#This Row],[Uafhængig variabel ID]]),INDEX(DataTitel_liste,IF(LineærRegression_Valg[[#This Row],[Afhængig variabel ID]]=1,2,1))),$B$7)</f>
        <v>Eksempel 2 (interval)</v>
      </c>
      <c r="H2161" s="188">
        <f>_xlfn.AGGREGATE(2,5,LineærRegression_Valg[[#This Row],[Tabel ID]])</f>
        <v>1</v>
      </c>
    </row>
    <row r="2162" spans="1:8" x14ac:dyDescent="0.2">
      <c r="A2162">
        <f>ROW(LineærRegression_Valg[[#This Row],[Tabel ID]])-ROW(LineærRegression_Valg[[#Headers],[Tabel ID]])</f>
        <v>2152</v>
      </c>
      <c r="B2162" s="188">
        <f>ROUNDDOWN((LineærRegression_Valg[[#This Row],[Tabel ID]]-1)/$B$5,0)+1</f>
        <v>538</v>
      </c>
      <c r="C2162" s="188">
        <f t="shared" si="33"/>
        <v>4</v>
      </c>
      <c r="D2162" s="188" t="b">
        <f>LineærRegression_Valg[[#This Row],[Afhængig variabel ID]]&lt;&gt;LineærRegression_Valg[[#This Row],[Uafhængig variabel ID]]</f>
        <v>1</v>
      </c>
      <c r="E2162" s="188" t="b">
        <f>LineærRegression_Valg[[#This Row],[Afhængig variabel ID]]&lt;=$B$5</f>
        <v>0</v>
      </c>
      <c r="F2162" t="str" cm="1">
        <f t="array" ref="F2162">IF(LineærRegression_Valg[[#This Row],[Indenfor range]],INDEX(DataTitel_liste,LineærRegression_Valg[[#This Row],[Afhængig variabel ID]]),INDEX(DataTitel_liste,1))</f>
        <v>Eksempel 1 (interval)</v>
      </c>
      <c r="G2162" s="188" t="str" cm="1">
        <f t="array" ref="G2162">IF(LineærRegression_Valg[[#This Row],[Indenfor range]],IF(LineærRegression_Valg[[#This Row],[Intet overlap]],INDEX(DataTitel_liste,LineærRegression_Valg[[#This Row],[Uafhængig variabel ID]]),INDEX(DataTitel_liste,IF(LineærRegression_Valg[[#This Row],[Afhængig variabel ID]]=1,2,1))),$B$7)</f>
        <v>Eksempel 2 (interval)</v>
      </c>
      <c r="H2162" s="188">
        <f>_xlfn.AGGREGATE(2,5,LineærRegression_Valg[[#This Row],[Tabel ID]])</f>
        <v>1</v>
      </c>
    </row>
    <row r="2163" spans="1:8" x14ac:dyDescent="0.2">
      <c r="A2163">
        <f>ROW(LineærRegression_Valg[[#This Row],[Tabel ID]])-ROW(LineærRegression_Valg[[#Headers],[Tabel ID]])</f>
        <v>2153</v>
      </c>
      <c r="B2163" s="188">
        <f>ROUNDDOWN((LineærRegression_Valg[[#This Row],[Tabel ID]]-1)/$B$5,0)+1</f>
        <v>539</v>
      </c>
      <c r="C2163" s="188">
        <f t="shared" si="33"/>
        <v>1</v>
      </c>
      <c r="D2163" s="188" t="b">
        <f>LineærRegression_Valg[[#This Row],[Afhængig variabel ID]]&lt;&gt;LineærRegression_Valg[[#This Row],[Uafhængig variabel ID]]</f>
        <v>1</v>
      </c>
      <c r="E2163" s="188" t="b">
        <f>LineærRegression_Valg[[#This Row],[Afhængig variabel ID]]&lt;=$B$5</f>
        <v>0</v>
      </c>
      <c r="F2163" t="str" cm="1">
        <f t="array" ref="F2163">IF(LineærRegression_Valg[[#This Row],[Indenfor range]],INDEX(DataTitel_liste,LineærRegression_Valg[[#This Row],[Afhængig variabel ID]]),INDEX(DataTitel_liste,1))</f>
        <v>Eksempel 1 (interval)</v>
      </c>
      <c r="G2163" s="188" t="str" cm="1">
        <f t="array" ref="G2163">IF(LineærRegression_Valg[[#This Row],[Indenfor range]],IF(LineærRegression_Valg[[#This Row],[Intet overlap]],INDEX(DataTitel_liste,LineærRegression_Valg[[#This Row],[Uafhængig variabel ID]]),INDEX(DataTitel_liste,IF(LineærRegression_Valg[[#This Row],[Afhængig variabel ID]]=1,2,1))),$B$7)</f>
        <v>Eksempel 2 (interval)</v>
      </c>
      <c r="H2163" s="188">
        <f>_xlfn.AGGREGATE(2,5,LineærRegression_Valg[[#This Row],[Tabel ID]])</f>
        <v>1</v>
      </c>
    </row>
    <row r="2164" spans="1:8" x14ac:dyDescent="0.2">
      <c r="A2164">
        <f>ROW(LineærRegression_Valg[[#This Row],[Tabel ID]])-ROW(LineærRegression_Valg[[#Headers],[Tabel ID]])</f>
        <v>2154</v>
      </c>
      <c r="B2164" s="188">
        <f>ROUNDDOWN((LineærRegression_Valg[[#This Row],[Tabel ID]]-1)/$B$5,0)+1</f>
        <v>539</v>
      </c>
      <c r="C2164" s="188">
        <f t="shared" si="33"/>
        <v>2</v>
      </c>
      <c r="D2164" s="188" t="b">
        <f>LineærRegression_Valg[[#This Row],[Afhængig variabel ID]]&lt;&gt;LineærRegression_Valg[[#This Row],[Uafhængig variabel ID]]</f>
        <v>1</v>
      </c>
      <c r="E2164" s="188" t="b">
        <f>LineærRegression_Valg[[#This Row],[Afhængig variabel ID]]&lt;=$B$5</f>
        <v>0</v>
      </c>
      <c r="F2164" t="str" cm="1">
        <f t="array" ref="F2164">IF(LineærRegression_Valg[[#This Row],[Indenfor range]],INDEX(DataTitel_liste,LineærRegression_Valg[[#This Row],[Afhængig variabel ID]]),INDEX(DataTitel_liste,1))</f>
        <v>Eksempel 1 (interval)</v>
      </c>
      <c r="G2164" s="188" t="str" cm="1">
        <f t="array" ref="G2164">IF(LineærRegression_Valg[[#This Row],[Indenfor range]],IF(LineærRegression_Valg[[#This Row],[Intet overlap]],INDEX(DataTitel_liste,LineærRegression_Valg[[#This Row],[Uafhængig variabel ID]]),INDEX(DataTitel_liste,IF(LineærRegression_Valg[[#This Row],[Afhængig variabel ID]]=1,2,1))),$B$7)</f>
        <v>Eksempel 2 (interval)</v>
      </c>
      <c r="H2164" s="188">
        <f>_xlfn.AGGREGATE(2,5,LineærRegression_Valg[[#This Row],[Tabel ID]])</f>
        <v>1</v>
      </c>
    </row>
    <row r="2165" spans="1:8" x14ac:dyDescent="0.2">
      <c r="A2165">
        <f>ROW(LineærRegression_Valg[[#This Row],[Tabel ID]])-ROW(LineærRegression_Valg[[#Headers],[Tabel ID]])</f>
        <v>2155</v>
      </c>
      <c r="B2165" s="188">
        <f>ROUNDDOWN((LineærRegression_Valg[[#This Row],[Tabel ID]]-1)/$B$5,0)+1</f>
        <v>539</v>
      </c>
      <c r="C2165" s="188">
        <f t="shared" si="33"/>
        <v>3</v>
      </c>
      <c r="D2165" s="188" t="b">
        <f>LineærRegression_Valg[[#This Row],[Afhængig variabel ID]]&lt;&gt;LineærRegression_Valg[[#This Row],[Uafhængig variabel ID]]</f>
        <v>1</v>
      </c>
      <c r="E2165" s="188" t="b">
        <f>LineærRegression_Valg[[#This Row],[Afhængig variabel ID]]&lt;=$B$5</f>
        <v>0</v>
      </c>
      <c r="F2165" t="str" cm="1">
        <f t="array" ref="F2165">IF(LineærRegression_Valg[[#This Row],[Indenfor range]],INDEX(DataTitel_liste,LineærRegression_Valg[[#This Row],[Afhængig variabel ID]]),INDEX(DataTitel_liste,1))</f>
        <v>Eksempel 1 (interval)</v>
      </c>
      <c r="G2165" s="188" t="str" cm="1">
        <f t="array" ref="G2165">IF(LineærRegression_Valg[[#This Row],[Indenfor range]],IF(LineærRegression_Valg[[#This Row],[Intet overlap]],INDEX(DataTitel_liste,LineærRegression_Valg[[#This Row],[Uafhængig variabel ID]]),INDEX(DataTitel_liste,IF(LineærRegression_Valg[[#This Row],[Afhængig variabel ID]]=1,2,1))),$B$7)</f>
        <v>Eksempel 2 (interval)</v>
      </c>
      <c r="H2165" s="188">
        <f>_xlfn.AGGREGATE(2,5,LineærRegression_Valg[[#This Row],[Tabel ID]])</f>
        <v>1</v>
      </c>
    </row>
    <row r="2166" spans="1:8" x14ac:dyDescent="0.2">
      <c r="A2166">
        <f>ROW(LineærRegression_Valg[[#This Row],[Tabel ID]])-ROW(LineærRegression_Valg[[#Headers],[Tabel ID]])</f>
        <v>2156</v>
      </c>
      <c r="B2166" s="188">
        <f>ROUNDDOWN((LineærRegression_Valg[[#This Row],[Tabel ID]]-1)/$B$5,0)+1</f>
        <v>539</v>
      </c>
      <c r="C2166" s="188">
        <f t="shared" si="33"/>
        <v>4</v>
      </c>
      <c r="D2166" s="188" t="b">
        <f>LineærRegression_Valg[[#This Row],[Afhængig variabel ID]]&lt;&gt;LineærRegression_Valg[[#This Row],[Uafhængig variabel ID]]</f>
        <v>1</v>
      </c>
      <c r="E2166" s="188" t="b">
        <f>LineærRegression_Valg[[#This Row],[Afhængig variabel ID]]&lt;=$B$5</f>
        <v>0</v>
      </c>
      <c r="F2166" t="str" cm="1">
        <f t="array" ref="F2166">IF(LineærRegression_Valg[[#This Row],[Indenfor range]],INDEX(DataTitel_liste,LineærRegression_Valg[[#This Row],[Afhængig variabel ID]]),INDEX(DataTitel_liste,1))</f>
        <v>Eksempel 1 (interval)</v>
      </c>
      <c r="G2166" s="188" t="str" cm="1">
        <f t="array" ref="G2166">IF(LineærRegression_Valg[[#This Row],[Indenfor range]],IF(LineærRegression_Valg[[#This Row],[Intet overlap]],INDEX(DataTitel_liste,LineærRegression_Valg[[#This Row],[Uafhængig variabel ID]]),INDEX(DataTitel_liste,IF(LineærRegression_Valg[[#This Row],[Afhængig variabel ID]]=1,2,1))),$B$7)</f>
        <v>Eksempel 2 (interval)</v>
      </c>
      <c r="H2166" s="188">
        <f>_xlfn.AGGREGATE(2,5,LineærRegression_Valg[[#This Row],[Tabel ID]])</f>
        <v>1</v>
      </c>
    </row>
    <row r="2167" spans="1:8" x14ac:dyDescent="0.2">
      <c r="A2167">
        <f>ROW(LineærRegression_Valg[[#This Row],[Tabel ID]])-ROW(LineærRegression_Valg[[#Headers],[Tabel ID]])</f>
        <v>2157</v>
      </c>
      <c r="B2167" s="188">
        <f>ROUNDDOWN((LineærRegression_Valg[[#This Row],[Tabel ID]]-1)/$B$5,0)+1</f>
        <v>540</v>
      </c>
      <c r="C2167" s="188">
        <f t="shared" si="33"/>
        <v>1</v>
      </c>
      <c r="D2167" s="188" t="b">
        <f>LineærRegression_Valg[[#This Row],[Afhængig variabel ID]]&lt;&gt;LineærRegression_Valg[[#This Row],[Uafhængig variabel ID]]</f>
        <v>1</v>
      </c>
      <c r="E2167" s="188" t="b">
        <f>LineærRegression_Valg[[#This Row],[Afhængig variabel ID]]&lt;=$B$5</f>
        <v>0</v>
      </c>
      <c r="F2167" t="str" cm="1">
        <f t="array" ref="F2167">IF(LineærRegression_Valg[[#This Row],[Indenfor range]],INDEX(DataTitel_liste,LineærRegression_Valg[[#This Row],[Afhængig variabel ID]]),INDEX(DataTitel_liste,1))</f>
        <v>Eksempel 1 (interval)</v>
      </c>
      <c r="G2167" s="188" t="str" cm="1">
        <f t="array" ref="G2167">IF(LineærRegression_Valg[[#This Row],[Indenfor range]],IF(LineærRegression_Valg[[#This Row],[Intet overlap]],INDEX(DataTitel_liste,LineærRegression_Valg[[#This Row],[Uafhængig variabel ID]]),INDEX(DataTitel_liste,IF(LineærRegression_Valg[[#This Row],[Afhængig variabel ID]]=1,2,1))),$B$7)</f>
        <v>Eksempel 2 (interval)</v>
      </c>
      <c r="H2167" s="188">
        <f>_xlfn.AGGREGATE(2,5,LineærRegression_Valg[[#This Row],[Tabel ID]])</f>
        <v>1</v>
      </c>
    </row>
    <row r="2168" spans="1:8" x14ac:dyDescent="0.2">
      <c r="A2168">
        <f>ROW(LineærRegression_Valg[[#This Row],[Tabel ID]])-ROW(LineærRegression_Valg[[#Headers],[Tabel ID]])</f>
        <v>2158</v>
      </c>
      <c r="B2168" s="188">
        <f>ROUNDDOWN((LineærRegression_Valg[[#This Row],[Tabel ID]]-1)/$B$5,0)+1</f>
        <v>540</v>
      </c>
      <c r="C2168" s="188">
        <f t="shared" si="33"/>
        <v>2</v>
      </c>
      <c r="D2168" s="188" t="b">
        <f>LineærRegression_Valg[[#This Row],[Afhængig variabel ID]]&lt;&gt;LineærRegression_Valg[[#This Row],[Uafhængig variabel ID]]</f>
        <v>1</v>
      </c>
      <c r="E2168" s="188" t="b">
        <f>LineærRegression_Valg[[#This Row],[Afhængig variabel ID]]&lt;=$B$5</f>
        <v>0</v>
      </c>
      <c r="F2168" t="str" cm="1">
        <f t="array" ref="F2168">IF(LineærRegression_Valg[[#This Row],[Indenfor range]],INDEX(DataTitel_liste,LineærRegression_Valg[[#This Row],[Afhængig variabel ID]]),INDEX(DataTitel_liste,1))</f>
        <v>Eksempel 1 (interval)</v>
      </c>
      <c r="G2168" s="188" t="str" cm="1">
        <f t="array" ref="G2168">IF(LineærRegression_Valg[[#This Row],[Indenfor range]],IF(LineærRegression_Valg[[#This Row],[Intet overlap]],INDEX(DataTitel_liste,LineærRegression_Valg[[#This Row],[Uafhængig variabel ID]]),INDEX(DataTitel_liste,IF(LineærRegression_Valg[[#This Row],[Afhængig variabel ID]]=1,2,1))),$B$7)</f>
        <v>Eksempel 2 (interval)</v>
      </c>
      <c r="H2168" s="188">
        <f>_xlfn.AGGREGATE(2,5,LineærRegression_Valg[[#This Row],[Tabel ID]])</f>
        <v>1</v>
      </c>
    </row>
    <row r="2169" spans="1:8" x14ac:dyDescent="0.2">
      <c r="A2169">
        <f>ROW(LineærRegression_Valg[[#This Row],[Tabel ID]])-ROW(LineærRegression_Valg[[#Headers],[Tabel ID]])</f>
        <v>2159</v>
      </c>
      <c r="B2169" s="188">
        <f>ROUNDDOWN((LineærRegression_Valg[[#This Row],[Tabel ID]]-1)/$B$5,0)+1</f>
        <v>540</v>
      </c>
      <c r="C2169" s="188">
        <f t="shared" si="33"/>
        <v>3</v>
      </c>
      <c r="D2169" s="188" t="b">
        <f>LineærRegression_Valg[[#This Row],[Afhængig variabel ID]]&lt;&gt;LineærRegression_Valg[[#This Row],[Uafhængig variabel ID]]</f>
        <v>1</v>
      </c>
      <c r="E2169" s="188" t="b">
        <f>LineærRegression_Valg[[#This Row],[Afhængig variabel ID]]&lt;=$B$5</f>
        <v>0</v>
      </c>
      <c r="F2169" t="str" cm="1">
        <f t="array" ref="F2169">IF(LineærRegression_Valg[[#This Row],[Indenfor range]],INDEX(DataTitel_liste,LineærRegression_Valg[[#This Row],[Afhængig variabel ID]]),INDEX(DataTitel_liste,1))</f>
        <v>Eksempel 1 (interval)</v>
      </c>
      <c r="G2169" s="188" t="str" cm="1">
        <f t="array" ref="G2169">IF(LineærRegression_Valg[[#This Row],[Indenfor range]],IF(LineærRegression_Valg[[#This Row],[Intet overlap]],INDEX(DataTitel_liste,LineærRegression_Valg[[#This Row],[Uafhængig variabel ID]]),INDEX(DataTitel_liste,IF(LineærRegression_Valg[[#This Row],[Afhængig variabel ID]]=1,2,1))),$B$7)</f>
        <v>Eksempel 2 (interval)</v>
      </c>
      <c r="H2169" s="188">
        <f>_xlfn.AGGREGATE(2,5,LineærRegression_Valg[[#This Row],[Tabel ID]])</f>
        <v>1</v>
      </c>
    </row>
    <row r="2170" spans="1:8" x14ac:dyDescent="0.2">
      <c r="A2170">
        <f>ROW(LineærRegression_Valg[[#This Row],[Tabel ID]])-ROW(LineærRegression_Valg[[#Headers],[Tabel ID]])</f>
        <v>2160</v>
      </c>
      <c r="B2170" s="188">
        <f>ROUNDDOWN((LineærRegression_Valg[[#This Row],[Tabel ID]]-1)/$B$5,0)+1</f>
        <v>540</v>
      </c>
      <c r="C2170" s="188">
        <f t="shared" si="33"/>
        <v>4</v>
      </c>
      <c r="D2170" s="188" t="b">
        <f>LineærRegression_Valg[[#This Row],[Afhængig variabel ID]]&lt;&gt;LineærRegression_Valg[[#This Row],[Uafhængig variabel ID]]</f>
        <v>1</v>
      </c>
      <c r="E2170" s="188" t="b">
        <f>LineærRegression_Valg[[#This Row],[Afhængig variabel ID]]&lt;=$B$5</f>
        <v>0</v>
      </c>
      <c r="F2170" t="str" cm="1">
        <f t="array" ref="F2170">IF(LineærRegression_Valg[[#This Row],[Indenfor range]],INDEX(DataTitel_liste,LineærRegression_Valg[[#This Row],[Afhængig variabel ID]]),INDEX(DataTitel_liste,1))</f>
        <v>Eksempel 1 (interval)</v>
      </c>
      <c r="G2170" s="188" t="str" cm="1">
        <f t="array" ref="G2170">IF(LineærRegression_Valg[[#This Row],[Indenfor range]],IF(LineærRegression_Valg[[#This Row],[Intet overlap]],INDEX(DataTitel_liste,LineærRegression_Valg[[#This Row],[Uafhængig variabel ID]]),INDEX(DataTitel_liste,IF(LineærRegression_Valg[[#This Row],[Afhængig variabel ID]]=1,2,1))),$B$7)</f>
        <v>Eksempel 2 (interval)</v>
      </c>
      <c r="H2170" s="188">
        <f>_xlfn.AGGREGATE(2,5,LineærRegression_Valg[[#This Row],[Tabel ID]])</f>
        <v>1</v>
      </c>
    </row>
    <row r="2171" spans="1:8" x14ac:dyDescent="0.2">
      <c r="A2171">
        <f>ROW(LineærRegression_Valg[[#This Row],[Tabel ID]])-ROW(LineærRegression_Valg[[#Headers],[Tabel ID]])</f>
        <v>2161</v>
      </c>
      <c r="B2171" s="188">
        <f>ROUNDDOWN((LineærRegression_Valg[[#This Row],[Tabel ID]]-1)/$B$5,0)+1</f>
        <v>541</v>
      </c>
      <c r="C2171" s="188">
        <f t="shared" si="33"/>
        <v>1</v>
      </c>
      <c r="D2171" s="188" t="b">
        <f>LineærRegression_Valg[[#This Row],[Afhængig variabel ID]]&lt;&gt;LineærRegression_Valg[[#This Row],[Uafhængig variabel ID]]</f>
        <v>1</v>
      </c>
      <c r="E2171" s="188" t="b">
        <f>LineærRegression_Valg[[#This Row],[Afhængig variabel ID]]&lt;=$B$5</f>
        <v>0</v>
      </c>
      <c r="F2171" t="str" cm="1">
        <f t="array" ref="F2171">IF(LineærRegression_Valg[[#This Row],[Indenfor range]],INDEX(DataTitel_liste,LineærRegression_Valg[[#This Row],[Afhængig variabel ID]]),INDEX(DataTitel_liste,1))</f>
        <v>Eksempel 1 (interval)</v>
      </c>
      <c r="G2171" s="188" t="str" cm="1">
        <f t="array" ref="G2171">IF(LineærRegression_Valg[[#This Row],[Indenfor range]],IF(LineærRegression_Valg[[#This Row],[Intet overlap]],INDEX(DataTitel_liste,LineærRegression_Valg[[#This Row],[Uafhængig variabel ID]]),INDEX(DataTitel_liste,IF(LineærRegression_Valg[[#This Row],[Afhængig variabel ID]]=1,2,1))),$B$7)</f>
        <v>Eksempel 2 (interval)</v>
      </c>
      <c r="H2171" s="188">
        <f>_xlfn.AGGREGATE(2,5,LineærRegression_Valg[[#This Row],[Tabel ID]])</f>
        <v>1</v>
      </c>
    </row>
    <row r="2172" spans="1:8" x14ac:dyDescent="0.2">
      <c r="A2172">
        <f>ROW(LineærRegression_Valg[[#This Row],[Tabel ID]])-ROW(LineærRegression_Valg[[#Headers],[Tabel ID]])</f>
        <v>2162</v>
      </c>
      <c r="B2172" s="188">
        <f>ROUNDDOWN((LineærRegression_Valg[[#This Row],[Tabel ID]]-1)/$B$5,0)+1</f>
        <v>541</v>
      </c>
      <c r="C2172" s="188">
        <f t="shared" si="33"/>
        <v>2</v>
      </c>
      <c r="D2172" s="188" t="b">
        <f>LineærRegression_Valg[[#This Row],[Afhængig variabel ID]]&lt;&gt;LineærRegression_Valg[[#This Row],[Uafhængig variabel ID]]</f>
        <v>1</v>
      </c>
      <c r="E2172" s="188" t="b">
        <f>LineærRegression_Valg[[#This Row],[Afhængig variabel ID]]&lt;=$B$5</f>
        <v>0</v>
      </c>
      <c r="F2172" t="str" cm="1">
        <f t="array" ref="F2172">IF(LineærRegression_Valg[[#This Row],[Indenfor range]],INDEX(DataTitel_liste,LineærRegression_Valg[[#This Row],[Afhængig variabel ID]]),INDEX(DataTitel_liste,1))</f>
        <v>Eksempel 1 (interval)</v>
      </c>
      <c r="G2172" s="188" t="str" cm="1">
        <f t="array" ref="G2172">IF(LineærRegression_Valg[[#This Row],[Indenfor range]],IF(LineærRegression_Valg[[#This Row],[Intet overlap]],INDEX(DataTitel_liste,LineærRegression_Valg[[#This Row],[Uafhængig variabel ID]]),INDEX(DataTitel_liste,IF(LineærRegression_Valg[[#This Row],[Afhængig variabel ID]]=1,2,1))),$B$7)</f>
        <v>Eksempel 2 (interval)</v>
      </c>
      <c r="H2172" s="188">
        <f>_xlfn.AGGREGATE(2,5,LineærRegression_Valg[[#This Row],[Tabel ID]])</f>
        <v>1</v>
      </c>
    </row>
    <row r="2173" spans="1:8" x14ac:dyDescent="0.2">
      <c r="A2173">
        <f>ROW(LineærRegression_Valg[[#This Row],[Tabel ID]])-ROW(LineærRegression_Valg[[#Headers],[Tabel ID]])</f>
        <v>2163</v>
      </c>
      <c r="B2173" s="188">
        <f>ROUNDDOWN((LineærRegression_Valg[[#This Row],[Tabel ID]]-1)/$B$5,0)+1</f>
        <v>541</v>
      </c>
      <c r="C2173" s="188">
        <f t="shared" si="33"/>
        <v>3</v>
      </c>
      <c r="D2173" s="188" t="b">
        <f>LineærRegression_Valg[[#This Row],[Afhængig variabel ID]]&lt;&gt;LineærRegression_Valg[[#This Row],[Uafhængig variabel ID]]</f>
        <v>1</v>
      </c>
      <c r="E2173" s="188" t="b">
        <f>LineærRegression_Valg[[#This Row],[Afhængig variabel ID]]&lt;=$B$5</f>
        <v>0</v>
      </c>
      <c r="F2173" t="str" cm="1">
        <f t="array" ref="F2173">IF(LineærRegression_Valg[[#This Row],[Indenfor range]],INDEX(DataTitel_liste,LineærRegression_Valg[[#This Row],[Afhængig variabel ID]]),INDEX(DataTitel_liste,1))</f>
        <v>Eksempel 1 (interval)</v>
      </c>
      <c r="G2173" s="188" t="str" cm="1">
        <f t="array" ref="G2173">IF(LineærRegression_Valg[[#This Row],[Indenfor range]],IF(LineærRegression_Valg[[#This Row],[Intet overlap]],INDEX(DataTitel_liste,LineærRegression_Valg[[#This Row],[Uafhængig variabel ID]]),INDEX(DataTitel_liste,IF(LineærRegression_Valg[[#This Row],[Afhængig variabel ID]]=1,2,1))),$B$7)</f>
        <v>Eksempel 2 (interval)</v>
      </c>
      <c r="H2173" s="188">
        <f>_xlfn.AGGREGATE(2,5,LineærRegression_Valg[[#This Row],[Tabel ID]])</f>
        <v>1</v>
      </c>
    </row>
    <row r="2174" spans="1:8" x14ac:dyDescent="0.2">
      <c r="A2174">
        <f>ROW(LineærRegression_Valg[[#This Row],[Tabel ID]])-ROW(LineærRegression_Valg[[#Headers],[Tabel ID]])</f>
        <v>2164</v>
      </c>
      <c r="B2174" s="188">
        <f>ROUNDDOWN((LineærRegression_Valg[[#This Row],[Tabel ID]]-1)/$B$5,0)+1</f>
        <v>541</v>
      </c>
      <c r="C2174" s="188">
        <f t="shared" si="33"/>
        <v>4</v>
      </c>
      <c r="D2174" s="188" t="b">
        <f>LineærRegression_Valg[[#This Row],[Afhængig variabel ID]]&lt;&gt;LineærRegression_Valg[[#This Row],[Uafhængig variabel ID]]</f>
        <v>1</v>
      </c>
      <c r="E2174" s="188" t="b">
        <f>LineærRegression_Valg[[#This Row],[Afhængig variabel ID]]&lt;=$B$5</f>
        <v>0</v>
      </c>
      <c r="F2174" t="str" cm="1">
        <f t="array" ref="F2174">IF(LineærRegression_Valg[[#This Row],[Indenfor range]],INDEX(DataTitel_liste,LineærRegression_Valg[[#This Row],[Afhængig variabel ID]]),INDEX(DataTitel_liste,1))</f>
        <v>Eksempel 1 (interval)</v>
      </c>
      <c r="G2174" s="188" t="str" cm="1">
        <f t="array" ref="G2174">IF(LineærRegression_Valg[[#This Row],[Indenfor range]],IF(LineærRegression_Valg[[#This Row],[Intet overlap]],INDEX(DataTitel_liste,LineærRegression_Valg[[#This Row],[Uafhængig variabel ID]]),INDEX(DataTitel_liste,IF(LineærRegression_Valg[[#This Row],[Afhængig variabel ID]]=1,2,1))),$B$7)</f>
        <v>Eksempel 2 (interval)</v>
      </c>
      <c r="H2174" s="188">
        <f>_xlfn.AGGREGATE(2,5,LineærRegression_Valg[[#This Row],[Tabel ID]])</f>
        <v>1</v>
      </c>
    </row>
    <row r="2175" spans="1:8" x14ac:dyDescent="0.2">
      <c r="A2175">
        <f>ROW(LineærRegression_Valg[[#This Row],[Tabel ID]])-ROW(LineærRegression_Valg[[#Headers],[Tabel ID]])</f>
        <v>2165</v>
      </c>
      <c r="B2175" s="188">
        <f>ROUNDDOWN((LineærRegression_Valg[[#This Row],[Tabel ID]]-1)/$B$5,0)+1</f>
        <v>542</v>
      </c>
      <c r="C2175" s="188">
        <f t="shared" si="33"/>
        <v>1</v>
      </c>
      <c r="D2175" s="188" t="b">
        <f>LineærRegression_Valg[[#This Row],[Afhængig variabel ID]]&lt;&gt;LineærRegression_Valg[[#This Row],[Uafhængig variabel ID]]</f>
        <v>1</v>
      </c>
      <c r="E2175" s="188" t="b">
        <f>LineærRegression_Valg[[#This Row],[Afhængig variabel ID]]&lt;=$B$5</f>
        <v>0</v>
      </c>
      <c r="F2175" t="str" cm="1">
        <f t="array" ref="F2175">IF(LineærRegression_Valg[[#This Row],[Indenfor range]],INDEX(DataTitel_liste,LineærRegression_Valg[[#This Row],[Afhængig variabel ID]]),INDEX(DataTitel_liste,1))</f>
        <v>Eksempel 1 (interval)</v>
      </c>
      <c r="G2175" s="188" t="str" cm="1">
        <f t="array" ref="G2175">IF(LineærRegression_Valg[[#This Row],[Indenfor range]],IF(LineærRegression_Valg[[#This Row],[Intet overlap]],INDEX(DataTitel_liste,LineærRegression_Valg[[#This Row],[Uafhængig variabel ID]]),INDEX(DataTitel_liste,IF(LineærRegression_Valg[[#This Row],[Afhængig variabel ID]]=1,2,1))),$B$7)</f>
        <v>Eksempel 2 (interval)</v>
      </c>
      <c r="H2175" s="188">
        <f>_xlfn.AGGREGATE(2,5,LineærRegression_Valg[[#This Row],[Tabel ID]])</f>
        <v>1</v>
      </c>
    </row>
    <row r="2176" spans="1:8" x14ac:dyDescent="0.2">
      <c r="A2176">
        <f>ROW(LineærRegression_Valg[[#This Row],[Tabel ID]])-ROW(LineærRegression_Valg[[#Headers],[Tabel ID]])</f>
        <v>2166</v>
      </c>
      <c r="B2176" s="188">
        <f>ROUNDDOWN((LineærRegression_Valg[[#This Row],[Tabel ID]]-1)/$B$5,0)+1</f>
        <v>542</v>
      </c>
      <c r="C2176" s="188">
        <f t="shared" si="33"/>
        <v>2</v>
      </c>
      <c r="D2176" s="188" t="b">
        <f>LineærRegression_Valg[[#This Row],[Afhængig variabel ID]]&lt;&gt;LineærRegression_Valg[[#This Row],[Uafhængig variabel ID]]</f>
        <v>1</v>
      </c>
      <c r="E2176" s="188" t="b">
        <f>LineærRegression_Valg[[#This Row],[Afhængig variabel ID]]&lt;=$B$5</f>
        <v>0</v>
      </c>
      <c r="F2176" t="str" cm="1">
        <f t="array" ref="F2176">IF(LineærRegression_Valg[[#This Row],[Indenfor range]],INDEX(DataTitel_liste,LineærRegression_Valg[[#This Row],[Afhængig variabel ID]]),INDEX(DataTitel_liste,1))</f>
        <v>Eksempel 1 (interval)</v>
      </c>
      <c r="G2176" s="188" t="str" cm="1">
        <f t="array" ref="G2176">IF(LineærRegression_Valg[[#This Row],[Indenfor range]],IF(LineærRegression_Valg[[#This Row],[Intet overlap]],INDEX(DataTitel_liste,LineærRegression_Valg[[#This Row],[Uafhængig variabel ID]]),INDEX(DataTitel_liste,IF(LineærRegression_Valg[[#This Row],[Afhængig variabel ID]]=1,2,1))),$B$7)</f>
        <v>Eksempel 2 (interval)</v>
      </c>
      <c r="H2176" s="188">
        <f>_xlfn.AGGREGATE(2,5,LineærRegression_Valg[[#This Row],[Tabel ID]])</f>
        <v>1</v>
      </c>
    </row>
    <row r="2177" spans="1:8" x14ac:dyDescent="0.2">
      <c r="A2177">
        <f>ROW(LineærRegression_Valg[[#This Row],[Tabel ID]])-ROW(LineærRegression_Valg[[#Headers],[Tabel ID]])</f>
        <v>2167</v>
      </c>
      <c r="B2177" s="188">
        <f>ROUNDDOWN((LineærRegression_Valg[[#This Row],[Tabel ID]]-1)/$B$5,0)+1</f>
        <v>542</v>
      </c>
      <c r="C2177" s="188">
        <f t="shared" si="33"/>
        <v>3</v>
      </c>
      <c r="D2177" s="188" t="b">
        <f>LineærRegression_Valg[[#This Row],[Afhængig variabel ID]]&lt;&gt;LineærRegression_Valg[[#This Row],[Uafhængig variabel ID]]</f>
        <v>1</v>
      </c>
      <c r="E2177" s="188" t="b">
        <f>LineærRegression_Valg[[#This Row],[Afhængig variabel ID]]&lt;=$B$5</f>
        <v>0</v>
      </c>
      <c r="F2177" t="str" cm="1">
        <f t="array" ref="F2177">IF(LineærRegression_Valg[[#This Row],[Indenfor range]],INDEX(DataTitel_liste,LineærRegression_Valg[[#This Row],[Afhængig variabel ID]]),INDEX(DataTitel_liste,1))</f>
        <v>Eksempel 1 (interval)</v>
      </c>
      <c r="G2177" s="188" t="str" cm="1">
        <f t="array" ref="G2177">IF(LineærRegression_Valg[[#This Row],[Indenfor range]],IF(LineærRegression_Valg[[#This Row],[Intet overlap]],INDEX(DataTitel_liste,LineærRegression_Valg[[#This Row],[Uafhængig variabel ID]]),INDEX(DataTitel_liste,IF(LineærRegression_Valg[[#This Row],[Afhængig variabel ID]]=1,2,1))),$B$7)</f>
        <v>Eksempel 2 (interval)</v>
      </c>
      <c r="H2177" s="188">
        <f>_xlfn.AGGREGATE(2,5,LineærRegression_Valg[[#This Row],[Tabel ID]])</f>
        <v>1</v>
      </c>
    </row>
    <row r="2178" spans="1:8" x14ac:dyDescent="0.2">
      <c r="A2178">
        <f>ROW(LineærRegression_Valg[[#This Row],[Tabel ID]])-ROW(LineærRegression_Valg[[#Headers],[Tabel ID]])</f>
        <v>2168</v>
      </c>
      <c r="B2178" s="188">
        <f>ROUNDDOWN((LineærRegression_Valg[[#This Row],[Tabel ID]]-1)/$B$5,0)+1</f>
        <v>542</v>
      </c>
      <c r="C2178" s="188">
        <f t="shared" si="33"/>
        <v>4</v>
      </c>
      <c r="D2178" s="188" t="b">
        <f>LineærRegression_Valg[[#This Row],[Afhængig variabel ID]]&lt;&gt;LineærRegression_Valg[[#This Row],[Uafhængig variabel ID]]</f>
        <v>1</v>
      </c>
      <c r="E2178" s="188" t="b">
        <f>LineærRegression_Valg[[#This Row],[Afhængig variabel ID]]&lt;=$B$5</f>
        <v>0</v>
      </c>
      <c r="F2178" t="str" cm="1">
        <f t="array" ref="F2178">IF(LineærRegression_Valg[[#This Row],[Indenfor range]],INDEX(DataTitel_liste,LineærRegression_Valg[[#This Row],[Afhængig variabel ID]]),INDEX(DataTitel_liste,1))</f>
        <v>Eksempel 1 (interval)</v>
      </c>
      <c r="G2178" s="188" t="str" cm="1">
        <f t="array" ref="G2178">IF(LineærRegression_Valg[[#This Row],[Indenfor range]],IF(LineærRegression_Valg[[#This Row],[Intet overlap]],INDEX(DataTitel_liste,LineærRegression_Valg[[#This Row],[Uafhængig variabel ID]]),INDEX(DataTitel_liste,IF(LineærRegression_Valg[[#This Row],[Afhængig variabel ID]]=1,2,1))),$B$7)</f>
        <v>Eksempel 2 (interval)</v>
      </c>
      <c r="H2178" s="188">
        <f>_xlfn.AGGREGATE(2,5,LineærRegression_Valg[[#This Row],[Tabel ID]])</f>
        <v>1</v>
      </c>
    </row>
    <row r="2179" spans="1:8" x14ac:dyDescent="0.2">
      <c r="A2179">
        <f>ROW(LineærRegression_Valg[[#This Row],[Tabel ID]])-ROW(LineærRegression_Valg[[#Headers],[Tabel ID]])</f>
        <v>2169</v>
      </c>
      <c r="B2179" s="188">
        <f>ROUNDDOWN((LineærRegression_Valg[[#This Row],[Tabel ID]]-1)/$B$5,0)+1</f>
        <v>543</v>
      </c>
      <c r="C2179" s="188">
        <f t="shared" si="33"/>
        <v>1</v>
      </c>
      <c r="D2179" s="188" t="b">
        <f>LineærRegression_Valg[[#This Row],[Afhængig variabel ID]]&lt;&gt;LineærRegression_Valg[[#This Row],[Uafhængig variabel ID]]</f>
        <v>1</v>
      </c>
      <c r="E2179" s="188" t="b">
        <f>LineærRegression_Valg[[#This Row],[Afhængig variabel ID]]&lt;=$B$5</f>
        <v>0</v>
      </c>
      <c r="F2179" t="str" cm="1">
        <f t="array" ref="F2179">IF(LineærRegression_Valg[[#This Row],[Indenfor range]],INDEX(DataTitel_liste,LineærRegression_Valg[[#This Row],[Afhængig variabel ID]]),INDEX(DataTitel_liste,1))</f>
        <v>Eksempel 1 (interval)</v>
      </c>
      <c r="G2179" s="188" t="str" cm="1">
        <f t="array" ref="G2179">IF(LineærRegression_Valg[[#This Row],[Indenfor range]],IF(LineærRegression_Valg[[#This Row],[Intet overlap]],INDEX(DataTitel_liste,LineærRegression_Valg[[#This Row],[Uafhængig variabel ID]]),INDEX(DataTitel_liste,IF(LineærRegression_Valg[[#This Row],[Afhængig variabel ID]]=1,2,1))),$B$7)</f>
        <v>Eksempel 2 (interval)</v>
      </c>
      <c r="H2179" s="188">
        <f>_xlfn.AGGREGATE(2,5,LineærRegression_Valg[[#This Row],[Tabel ID]])</f>
        <v>1</v>
      </c>
    </row>
    <row r="2180" spans="1:8" x14ac:dyDescent="0.2">
      <c r="A2180">
        <f>ROW(LineærRegression_Valg[[#This Row],[Tabel ID]])-ROW(LineærRegression_Valg[[#Headers],[Tabel ID]])</f>
        <v>2170</v>
      </c>
      <c r="B2180" s="188">
        <f>ROUNDDOWN((LineærRegression_Valg[[#This Row],[Tabel ID]]-1)/$B$5,0)+1</f>
        <v>543</v>
      </c>
      <c r="C2180" s="188">
        <f t="shared" si="33"/>
        <v>2</v>
      </c>
      <c r="D2180" s="188" t="b">
        <f>LineærRegression_Valg[[#This Row],[Afhængig variabel ID]]&lt;&gt;LineærRegression_Valg[[#This Row],[Uafhængig variabel ID]]</f>
        <v>1</v>
      </c>
      <c r="E2180" s="188" t="b">
        <f>LineærRegression_Valg[[#This Row],[Afhængig variabel ID]]&lt;=$B$5</f>
        <v>0</v>
      </c>
      <c r="F2180" t="str" cm="1">
        <f t="array" ref="F2180">IF(LineærRegression_Valg[[#This Row],[Indenfor range]],INDEX(DataTitel_liste,LineærRegression_Valg[[#This Row],[Afhængig variabel ID]]),INDEX(DataTitel_liste,1))</f>
        <v>Eksempel 1 (interval)</v>
      </c>
      <c r="G2180" s="188" t="str" cm="1">
        <f t="array" ref="G2180">IF(LineærRegression_Valg[[#This Row],[Indenfor range]],IF(LineærRegression_Valg[[#This Row],[Intet overlap]],INDEX(DataTitel_liste,LineærRegression_Valg[[#This Row],[Uafhængig variabel ID]]),INDEX(DataTitel_liste,IF(LineærRegression_Valg[[#This Row],[Afhængig variabel ID]]=1,2,1))),$B$7)</f>
        <v>Eksempel 2 (interval)</v>
      </c>
      <c r="H2180" s="188">
        <f>_xlfn.AGGREGATE(2,5,LineærRegression_Valg[[#This Row],[Tabel ID]])</f>
        <v>1</v>
      </c>
    </row>
    <row r="2181" spans="1:8" x14ac:dyDescent="0.2">
      <c r="A2181">
        <f>ROW(LineærRegression_Valg[[#This Row],[Tabel ID]])-ROW(LineærRegression_Valg[[#Headers],[Tabel ID]])</f>
        <v>2171</v>
      </c>
      <c r="B2181" s="188">
        <f>ROUNDDOWN((LineærRegression_Valg[[#This Row],[Tabel ID]]-1)/$B$5,0)+1</f>
        <v>543</v>
      </c>
      <c r="C2181" s="188">
        <f t="shared" si="33"/>
        <v>3</v>
      </c>
      <c r="D2181" s="188" t="b">
        <f>LineærRegression_Valg[[#This Row],[Afhængig variabel ID]]&lt;&gt;LineærRegression_Valg[[#This Row],[Uafhængig variabel ID]]</f>
        <v>1</v>
      </c>
      <c r="E2181" s="188" t="b">
        <f>LineærRegression_Valg[[#This Row],[Afhængig variabel ID]]&lt;=$B$5</f>
        <v>0</v>
      </c>
      <c r="F2181" t="str" cm="1">
        <f t="array" ref="F2181">IF(LineærRegression_Valg[[#This Row],[Indenfor range]],INDEX(DataTitel_liste,LineærRegression_Valg[[#This Row],[Afhængig variabel ID]]),INDEX(DataTitel_liste,1))</f>
        <v>Eksempel 1 (interval)</v>
      </c>
      <c r="G2181" s="188" t="str" cm="1">
        <f t="array" ref="G2181">IF(LineærRegression_Valg[[#This Row],[Indenfor range]],IF(LineærRegression_Valg[[#This Row],[Intet overlap]],INDEX(DataTitel_liste,LineærRegression_Valg[[#This Row],[Uafhængig variabel ID]]),INDEX(DataTitel_liste,IF(LineærRegression_Valg[[#This Row],[Afhængig variabel ID]]=1,2,1))),$B$7)</f>
        <v>Eksempel 2 (interval)</v>
      </c>
      <c r="H2181" s="188">
        <f>_xlfn.AGGREGATE(2,5,LineærRegression_Valg[[#This Row],[Tabel ID]])</f>
        <v>1</v>
      </c>
    </row>
    <row r="2182" spans="1:8" x14ac:dyDescent="0.2">
      <c r="A2182">
        <f>ROW(LineærRegression_Valg[[#This Row],[Tabel ID]])-ROW(LineærRegression_Valg[[#Headers],[Tabel ID]])</f>
        <v>2172</v>
      </c>
      <c r="B2182" s="188">
        <f>ROUNDDOWN((LineærRegression_Valg[[#This Row],[Tabel ID]]-1)/$B$5,0)+1</f>
        <v>543</v>
      </c>
      <c r="C2182" s="188">
        <f t="shared" si="33"/>
        <v>4</v>
      </c>
      <c r="D2182" s="188" t="b">
        <f>LineærRegression_Valg[[#This Row],[Afhængig variabel ID]]&lt;&gt;LineærRegression_Valg[[#This Row],[Uafhængig variabel ID]]</f>
        <v>1</v>
      </c>
      <c r="E2182" s="188" t="b">
        <f>LineærRegression_Valg[[#This Row],[Afhængig variabel ID]]&lt;=$B$5</f>
        <v>0</v>
      </c>
      <c r="F2182" t="str" cm="1">
        <f t="array" ref="F2182">IF(LineærRegression_Valg[[#This Row],[Indenfor range]],INDEX(DataTitel_liste,LineærRegression_Valg[[#This Row],[Afhængig variabel ID]]),INDEX(DataTitel_liste,1))</f>
        <v>Eksempel 1 (interval)</v>
      </c>
      <c r="G2182" s="188" t="str" cm="1">
        <f t="array" ref="G2182">IF(LineærRegression_Valg[[#This Row],[Indenfor range]],IF(LineærRegression_Valg[[#This Row],[Intet overlap]],INDEX(DataTitel_liste,LineærRegression_Valg[[#This Row],[Uafhængig variabel ID]]),INDEX(DataTitel_liste,IF(LineærRegression_Valg[[#This Row],[Afhængig variabel ID]]=1,2,1))),$B$7)</f>
        <v>Eksempel 2 (interval)</v>
      </c>
      <c r="H2182" s="188">
        <f>_xlfn.AGGREGATE(2,5,LineærRegression_Valg[[#This Row],[Tabel ID]])</f>
        <v>1</v>
      </c>
    </row>
    <row r="2183" spans="1:8" x14ac:dyDescent="0.2">
      <c r="A2183">
        <f>ROW(LineærRegression_Valg[[#This Row],[Tabel ID]])-ROW(LineærRegression_Valg[[#Headers],[Tabel ID]])</f>
        <v>2173</v>
      </c>
      <c r="B2183" s="188">
        <f>ROUNDDOWN((LineærRegression_Valg[[#This Row],[Tabel ID]]-1)/$B$5,0)+1</f>
        <v>544</v>
      </c>
      <c r="C2183" s="188">
        <f t="shared" si="33"/>
        <v>1</v>
      </c>
      <c r="D2183" s="188" t="b">
        <f>LineærRegression_Valg[[#This Row],[Afhængig variabel ID]]&lt;&gt;LineærRegression_Valg[[#This Row],[Uafhængig variabel ID]]</f>
        <v>1</v>
      </c>
      <c r="E2183" s="188" t="b">
        <f>LineærRegression_Valg[[#This Row],[Afhængig variabel ID]]&lt;=$B$5</f>
        <v>0</v>
      </c>
      <c r="F2183" t="str" cm="1">
        <f t="array" ref="F2183">IF(LineærRegression_Valg[[#This Row],[Indenfor range]],INDEX(DataTitel_liste,LineærRegression_Valg[[#This Row],[Afhængig variabel ID]]),INDEX(DataTitel_liste,1))</f>
        <v>Eksempel 1 (interval)</v>
      </c>
      <c r="G2183" s="188" t="str" cm="1">
        <f t="array" ref="G2183">IF(LineærRegression_Valg[[#This Row],[Indenfor range]],IF(LineærRegression_Valg[[#This Row],[Intet overlap]],INDEX(DataTitel_liste,LineærRegression_Valg[[#This Row],[Uafhængig variabel ID]]),INDEX(DataTitel_liste,IF(LineærRegression_Valg[[#This Row],[Afhængig variabel ID]]=1,2,1))),$B$7)</f>
        <v>Eksempel 2 (interval)</v>
      </c>
      <c r="H2183" s="188">
        <f>_xlfn.AGGREGATE(2,5,LineærRegression_Valg[[#This Row],[Tabel ID]])</f>
        <v>1</v>
      </c>
    </row>
    <row r="2184" spans="1:8" x14ac:dyDescent="0.2">
      <c r="A2184">
        <f>ROW(LineærRegression_Valg[[#This Row],[Tabel ID]])-ROW(LineærRegression_Valg[[#Headers],[Tabel ID]])</f>
        <v>2174</v>
      </c>
      <c r="B2184" s="188">
        <f>ROUNDDOWN((LineærRegression_Valg[[#This Row],[Tabel ID]]-1)/$B$5,0)+1</f>
        <v>544</v>
      </c>
      <c r="C2184" s="188">
        <f t="shared" si="33"/>
        <v>2</v>
      </c>
      <c r="D2184" s="188" t="b">
        <f>LineærRegression_Valg[[#This Row],[Afhængig variabel ID]]&lt;&gt;LineærRegression_Valg[[#This Row],[Uafhængig variabel ID]]</f>
        <v>1</v>
      </c>
      <c r="E2184" s="188" t="b">
        <f>LineærRegression_Valg[[#This Row],[Afhængig variabel ID]]&lt;=$B$5</f>
        <v>0</v>
      </c>
      <c r="F2184" t="str" cm="1">
        <f t="array" ref="F2184">IF(LineærRegression_Valg[[#This Row],[Indenfor range]],INDEX(DataTitel_liste,LineærRegression_Valg[[#This Row],[Afhængig variabel ID]]),INDEX(DataTitel_liste,1))</f>
        <v>Eksempel 1 (interval)</v>
      </c>
      <c r="G2184" s="188" t="str" cm="1">
        <f t="array" ref="G2184">IF(LineærRegression_Valg[[#This Row],[Indenfor range]],IF(LineærRegression_Valg[[#This Row],[Intet overlap]],INDEX(DataTitel_liste,LineærRegression_Valg[[#This Row],[Uafhængig variabel ID]]),INDEX(DataTitel_liste,IF(LineærRegression_Valg[[#This Row],[Afhængig variabel ID]]=1,2,1))),$B$7)</f>
        <v>Eksempel 2 (interval)</v>
      </c>
      <c r="H2184" s="188">
        <f>_xlfn.AGGREGATE(2,5,LineærRegression_Valg[[#This Row],[Tabel ID]])</f>
        <v>1</v>
      </c>
    </row>
    <row r="2185" spans="1:8" x14ac:dyDescent="0.2">
      <c r="A2185">
        <f>ROW(LineærRegression_Valg[[#This Row],[Tabel ID]])-ROW(LineærRegression_Valg[[#Headers],[Tabel ID]])</f>
        <v>2175</v>
      </c>
      <c r="B2185" s="188">
        <f>ROUNDDOWN((LineærRegression_Valg[[#This Row],[Tabel ID]]-1)/$B$5,0)+1</f>
        <v>544</v>
      </c>
      <c r="C2185" s="188">
        <f t="shared" si="33"/>
        <v>3</v>
      </c>
      <c r="D2185" s="188" t="b">
        <f>LineærRegression_Valg[[#This Row],[Afhængig variabel ID]]&lt;&gt;LineærRegression_Valg[[#This Row],[Uafhængig variabel ID]]</f>
        <v>1</v>
      </c>
      <c r="E2185" s="188" t="b">
        <f>LineærRegression_Valg[[#This Row],[Afhængig variabel ID]]&lt;=$B$5</f>
        <v>0</v>
      </c>
      <c r="F2185" t="str" cm="1">
        <f t="array" ref="F2185">IF(LineærRegression_Valg[[#This Row],[Indenfor range]],INDEX(DataTitel_liste,LineærRegression_Valg[[#This Row],[Afhængig variabel ID]]),INDEX(DataTitel_liste,1))</f>
        <v>Eksempel 1 (interval)</v>
      </c>
      <c r="G2185" s="188" t="str" cm="1">
        <f t="array" ref="G2185">IF(LineærRegression_Valg[[#This Row],[Indenfor range]],IF(LineærRegression_Valg[[#This Row],[Intet overlap]],INDEX(DataTitel_liste,LineærRegression_Valg[[#This Row],[Uafhængig variabel ID]]),INDEX(DataTitel_liste,IF(LineærRegression_Valg[[#This Row],[Afhængig variabel ID]]=1,2,1))),$B$7)</f>
        <v>Eksempel 2 (interval)</v>
      </c>
      <c r="H2185" s="188">
        <f>_xlfn.AGGREGATE(2,5,LineærRegression_Valg[[#This Row],[Tabel ID]])</f>
        <v>1</v>
      </c>
    </row>
    <row r="2186" spans="1:8" x14ac:dyDescent="0.2">
      <c r="A2186">
        <f>ROW(LineærRegression_Valg[[#This Row],[Tabel ID]])-ROW(LineærRegression_Valg[[#Headers],[Tabel ID]])</f>
        <v>2176</v>
      </c>
      <c r="B2186" s="188">
        <f>ROUNDDOWN((LineærRegression_Valg[[#This Row],[Tabel ID]]-1)/$B$5,0)+1</f>
        <v>544</v>
      </c>
      <c r="C2186" s="188">
        <f t="shared" si="33"/>
        <v>4</v>
      </c>
      <c r="D2186" s="188" t="b">
        <f>LineærRegression_Valg[[#This Row],[Afhængig variabel ID]]&lt;&gt;LineærRegression_Valg[[#This Row],[Uafhængig variabel ID]]</f>
        <v>1</v>
      </c>
      <c r="E2186" s="188" t="b">
        <f>LineærRegression_Valg[[#This Row],[Afhængig variabel ID]]&lt;=$B$5</f>
        <v>0</v>
      </c>
      <c r="F2186" t="str" cm="1">
        <f t="array" ref="F2186">IF(LineærRegression_Valg[[#This Row],[Indenfor range]],INDEX(DataTitel_liste,LineærRegression_Valg[[#This Row],[Afhængig variabel ID]]),INDEX(DataTitel_liste,1))</f>
        <v>Eksempel 1 (interval)</v>
      </c>
      <c r="G2186" s="188" t="str" cm="1">
        <f t="array" ref="G2186">IF(LineærRegression_Valg[[#This Row],[Indenfor range]],IF(LineærRegression_Valg[[#This Row],[Intet overlap]],INDEX(DataTitel_liste,LineærRegression_Valg[[#This Row],[Uafhængig variabel ID]]),INDEX(DataTitel_liste,IF(LineærRegression_Valg[[#This Row],[Afhængig variabel ID]]=1,2,1))),$B$7)</f>
        <v>Eksempel 2 (interval)</v>
      </c>
      <c r="H2186" s="188">
        <f>_xlfn.AGGREGATE(2,5,LineærRegression_Valg[[#This Row],[Tabel ID]])</f>
        <v>1</v>
      </c>
    </row>
    <row r="2187" spans="1:8" x14ac:dyDescent="0.2">
      <c r="A2187">
        <f>ROW(LineærRegression_Valg[[#This Row],[Tabel ID]])-ROW(LineærRegression_Valg[[#Headers],[Tabel ID]])</f>
        <v>2177</v>
      </c>
      <c r="B2187" s="188">
        <f>ROUNDDOWN((LineærRegression_Valg[[#This Row],[Tabel ID]]-1)/$B$5,0)+1</f>
        <v>545</v>
      </c>
      <c r="C2187" s="188">
        <f t="shared" ref="C2187:C2250" si="34">MOD(A2187-1,$B$5)+1</f>
        <v>1</v>
      </c>
      <c r="D2187" s="188" t="b">
        <f>LineærRegression_Valg[[#This Row],[Afhængig variabel ID]]&lt;&gt;LineærRegression_Valg[[#This Row],[Uafhængig variabel ID]]</f>
        <v>1</v>
      </c>
      <c r="E2187" s="188" t="b">
        <f>LineærRegression_Valg[[#This Row],[Afhængig variabel ID]]&lt;=$B$5</f>
        <v>0</v>
      </c>
      <c r="F2187" t="str" cm="1">
        <f t="array" ref="F2187">IF(LineærRegression_Valg[[#This Row],[Indenfor range]],INDEX(DataTitel_liste,LineærRegression_Valg[[#This Row],[Afhængig variabel ID]]),INDEX(DataTitel_liste,1))</f>
        <v>Eksempel 1 (interval)</v>
      </c>
      <c r="G2187" s="188" t="str" cm="1">
        <f t="array" ref="G2187">IF(LineærRegression_Valg[[#This Row],[Indenfor range]],IF(LineærRegression_Valg[[#This Row],[Intet overlap]],INDEX(DataTitel_liste,LineærRegression_Valg[[#This Row],[Uafhængig variabel ID]]),INDEX(DataTitel_liste,IF(LineærRegression_Valg[[#This Row],[Afhængig variabel ID]]=1,2,1))),$B$7)</f>
        <v>Eksempel 2 (interval)</v>
      </c>
      <c r="H2187" s="188">
        <f>_xlfn.AGGREGATE(2,5,LineærRegression_Valg[[#This Row],[Tabel ID]])</f>
        <v>1</v>
      </c>
    </row>
    <row r="2188" spans="1:8" x14ac:dyDescent="0.2">
      <c r="A2188">
        <f>ROW(LineærRegression_Valg[[#This Row],[Tabel ID]])-ROW(LineærRegression_Valg[[#Headers],[Tabel ID]])</f>
        <v>2178</v>
      </c>
      <c r="B2188" s="188">
        <f>ROUNDDOWN((LineærRegression_Valg[[#This Row],[Tabel ID]]-1)/$B$5,0)+1</f>
        <v>545</v>
      </c>
      <c r="C2188" s="188">
        <f t="shared" si="34"/>
        <v>2</v>
      </c>
      <c r="D2188" s="188" t="b">
        <f>LineærRegression_Valg[[#This Row],[Afhængig variabel ID]]&lt;&gt;LineærRegression_Valg[[#This Row],[Uafhængig variabel ID]]</f>
        <v>1</v>
      </c>
      <c r="E2188" s="188" t="b">
        <f>LineærRegression_Valg[[#This Row],[Afhængig variabel ID]]&lt;=$B$5</f>
        <v>0</v>
      </c>
      <c r="F2188" t="str" cm="1">
        <f t="array" ref="F2188">IF(LineærRegression_Valg[[#This Row],[Indenfor range]],INDEX(DataTitel_liste,LineærRegression_Valg[[#This Row],[Afhængig variabel ID]]),INDEX(DataTitel_liste,1))</f>
        <v>Eksempel 1 (interval)</v>
      </c>
      <c r="G2188" s="188" t="str" cm="1">
        <f t="array" ref="G2188">IF(LineærRegression_Valg[[#This Row],[Indenfor range]],IF(LineærRegression_Valg[[#This Row],[Intet overlap]],INDEX(DataTitel_liste,LineærRegression_Valg[[#This Row],[Uafhængig variabel ID]]),INDEX(DataTitel_liste,IF(LineærRegression_Valg[[#This Row],[Afhængig variabel ID]]=1,2,1))),$B$7)</f>
        <v>Eksempel 2 (interval)</v>
      </c>
      <c r="H2188" s="188">
        <f>_xlfn.AGGREGATE(2,5,LineærRegression_Valg[[#This Row],[Tabel ID]])</f>
        <v>1</v>
      </c>
    </row>
    <row r="2189" spans="1:8" x14ac:dyDescent="0.2">
      <c r="A2189">
        <f>ROW(LineærRegression_Valg[[#This Row],[Tabel ID]])-ROW(LineærRegression_Valg[[#Headers],[Tabel ID]])</f>
        <v>2179</v>
      </c>
      <c r="B2189" s="188">
        <f>ROUNDDOWN((LineærRegression_Valg[[#This Row],[Tabel ID]]-1)/$B$5,0)+1</f>
        <v>545</v>
      </c>
      <c r="C2189" s="188">
        <f t="shared" si="34"/>
        <v>3</v>
      </c>
      <c r="D2189" s="188" t="b">
        <f>LineærRegression_Valg[[#This Row],[Afhængig variabel ID]]&lt;&gt;LineærRegression_Valg[[#This Row],[Uafhængig variabel ID]]</f>
        <v>1</v>
      </c>
      <c r="E2189" s="188" t="b">
        <f>LineærRegression_Valg[[#This Row],[Afhængig variabel ID]]&lt;=$B$5</f>
        <v>0</v>
      </c>
      <c r="F2189" t="str" cm="1">
        <f t="array" ref="F2189">IF(LineærRegression_Valg[[#This Row],[Indenfor range]],INDEX(DataTitel_liste,LineærRegression_Valg[[#This Row],[Afhængig variabel ID]]),INDEX(DataTitel_liste,1))</f>
        <v>Eksempel 1 (interval)</v>
      </c>
      <c r="G2189" s="188" t="str" cm="1">
        <f t="array" ref="G2189">IF(LineærRegression_Valg[[#This Row],[Indenfor range]],IF(LineærRegression_Valg[[#This Row],[Intet overlap]],INDEX(DataTitel_liste,LineærRegression_Valg[[#This Row],[Uafhængig variabel ID]]),INDEX(DataTitel_liste,IF(LineærRegression_Valg[[#This Row],[Afhængig variabel ID]]=1,2,1))),$B$7)</f>
        <v>Eksempel 2 (interval)</v>
      </c>
      <c r="H2189" s="188">
        <f>_xlfn.AGGREGATE(2,5,LineærRegression_Valg[[#This Row],[Tabel ID]])</f>
        <v>1</v>
      </c>
    </row>
    <row r="2190" spans="1:8" x14ac:dyDescent="0.2">
      <c r="A2190">
        <f>ROW(LineærRegression_Valg[[#This Row],[Tabel ID]])-ROW(LineærRegression_Valg[[#Headers],[Tabel ID]])</f>
        <v>2180</v>
      </c>
      <c r="B2190" s="188">
        <f>ROUNDDOWN((LineærRegression_Valg[[#This Row],[Tabel ID]]-1)/$B$5,0)+1</f>
        <v>545</v>
      </c>
      <c r="C2190" s="188">
        <f t="shared" si="34"/>
        <v>4</v>
      </c>
      <c r="D2190" s="188" t="b">
        <f>LineærRegression_Valg[[#This Row],[Afhængig variabel ID]]&lt;&gt;LineærRegression_Valg[[#This Row],[Uafhængig variabel ID]]</f>
        <v>1</v>
      </c>
      <c r="E2190" s="188" t="b">
        <f>LineærRegression_Valg[[#This Row],[Afhængig variabel ID]]&lt;=$B$5</f>
        <v>0</v>
      </c>
      <c r="F2190" t="str" cm="1">
        <f t="array" ref="F2190">IF(LineærRegression_Valg[[#This Row],[Indenfor range]],INDEX(DataTitel_liste,LineærRegression_Valg[[#This Row],[Afhængig variabel ID]]),INDEX(DataTitel_liste,1))</f>
        <v>Eksempel 1 (interval)</v>
      </c>
      <c r="G2190" s="188" t="str" cm="1">
        <f t="array" ref="G2190">IF(LineærRegression_Valg[[#This Row],[Indenfor range]],IF(LineærRegression_Valg[[#This Row],[Intet overlap]],INDEX(DataTitel_liste,LineærRegression_Valg[[#This Row],[Uafhængig variabel ID]]),INDEX(DataTitel_liste,IF(LineærRegression_Valg[[#This Row],[Afhængig variabel ID]]=1,2,1))),$B$7)</f>
        <v>Eksempel 2 (interval)</v>
      </c>
      <c r="H2190" s="188">
        <f>_xlfn.AGGREGATE(2,5,LineærRegression_Valg[[#This Row],[Tabel ID]])</f>
        <v>1</v>
      </c>
    </row>
    <row r="2191" spans="1:8" x14ac:dyDescent="0.2">
      <c r="A2191">
        <f>ROW(LineærRegression_Valg[[#This Row],[Tabel ID]])-ROW(LineærRegression_Valg[[#Headers],[Tabel ID]])</f>
        <v>2181</v>
      </c>
      <c r="B2191" s="188">
        <f>ROUNDDOWN((LineærRegression_Valg[[#This Row],[Tabel ID]]-1)/$B$5,0)+1</f>
        <v>546</v>
      </c>
      <c r="C2191" s="188">
        <f t="shared" si="34"/>
        <v>1</v>
      </c>
      <c r="D2191" s="188" t="b">
        <f>LineærRegression_Valg[[#This Row],[Afhængig variabel ID]]&lt;&gt;LineærRegression_Valg[[#This Row],[Uafhængig variabel ID]]</f>
        <v>1</v>
      </c>
      <c r="E2191" s="188" t="b">
        <f>LineærRegression_Valg[[#This Row],[Afhængig variabel ID]]&lt;=$B$5</f>
        <v>0</v>
      </c>
      <c r="F2191" t="str" cm="1">
        <f t="array" ref="F2191">IF(LineærRegression_Valg[[#This Row],[Indenfor range]],INDEX(DataTitel_liste,LineærRegression_Valg[[#This Row],[Afhængig variabel ID]]),INDEX(DataTitel_liste,1))</f>
        <v>Eksempel 1 (interval)</v>
      </c>
      <c r="G2191" s="188" t="str" cm="1">
        <f t="array" ref="G2191">IF(LineærRegression_Valg[[#This Row],[Indenfor range]],IF(LineærRegression_Valg[[#This Row],[Intet overlap]],INDEX(DataTitel_liste,LineærRegression_Valg[[#This Row],[Uafhængig variabel ID]]),INDEX(DataTitel_liste,IF(LineærRegression_Valg[[#This Row],[Afhængig variabel ID]]=1,2,1))),$B$7)</f>
        <v>Eksempel 2 (interval)</v>
      </c>
      <c r="H2191" s="188">
        <f>_xlfn.AGGREGATE(2,5,LineærRegression_Valg[[#This Row],[Tabel ID]])</f>
        <v>1</v>
      </c>
    </row>
    <row r="2192" spans="1:8" x14ac:dyDescent="0.2">
      <c r="A2192">
        <f>ROW(LineærRegression_Valg[[#This Row],[Tabel ID]])-ROW(LineærRegression_Valg[[#Headers],[Tabel ID]])</f>
        <v>2182</v>
      </c>
      <c r="B2192" s="188">
        <f>ROUNDDOWN((LineærRegression_Valg[[#This Row],[Tabel ID]]-1)/$B$5,0)+1</f>
        <v>546</v>
      </c>
      <c r="C2192" s="188">
        <f t="shared" si="34"/>
        <v>2</v>
      </c>
      <c r="D2192" s="188" t="b">
        <f>LineærRegression_Valg[[#This Row],[Afhængig variabel ID]]&lt;&gt;LineærRegression_Valg[[#This Row],[Uafhængig variabel ID]]</f>
        <v>1</v>
      </c>
      <c r="E2192" s="188" t="b">
        <f>LineærRegression_Valg[[#This Row],[Afhængig variabel ID]]&lt;=$B$5</f>
        <v>0</v>
      </c>
      <c r="F2192" t="str" cm="1">
        <f t="array" ref="F2192">IF(LineærRegression_Valg[[#This Row],[Indenfor range]],INDEX(DataTitel_liste,LineærRegression_Valg[[#This Row],[Afhængig variabel ID]]),INDEX(DataTitel_liste,1))</f>
        <v>Eksempel 1 (interval)</v>
      </c>
      <c r="G2192" s="188" t="str" cm="1">
        <f t="array" ref="G2192">IF(LineærRegression_Valg[[#This Row],[Indenfor range]],IF(LineærRegression_Valg[[#This Row],[Intet overlap]],INDEX(DataTitel_liste,LineærRegression_Valg[[#This Row],[Uafhængig variabel ID]]),INDEX(DataTitel_liste,IF(LineærRegression_Valg[[#This Row],[Afhængig variabel ID]]=1,2,1))),$B$7)</f>
        <v>Eksempel 2 (interval)</v>
      </c>
      <c r="H2192" s="188">
        <f>_xlfn.AGGREGATE(2,5,LineærRegression_Valg[[#This Row],[Tabel ID]])</f>
        <v>1</v>
      </c>
    </row>
    <row r="2193" spans="1:8" x14ac:dyDescent="0.2">
      <c r="A2193">
        <f>ROW(LineærRegression_Valg[[#This Row],[Tabel ID]])-ROW(LineærRegression_Valg[[#Headers],[Tabel ID]])</f>
        <v>2183</v>
      </c>
      <c r="B2193" s="188">
        <f>ROUNDDOWN((LineærRegression_Valg[[#This Row],[Tabel ID]]-1)/$B$5,0)+1</f>
        <v>546</v>
      </c>
      <c r="C2193" s="188">
        <f t="shared" si="34"/>
        <v>3</v>
      </c>
      <c r="D2193" s="188" t="b">
        <f>LineærRegression_Valg[[#This Row],[Afhængig variabel ID]]&lt;&gt;LineærRegression_Valg[[#This Row],[Uafhængig variabel ID]]</f>
        <v>1</v>
      </c>
      <c r="E2193" s="188" t="b">
        <f>LineærRegression_Valg[[#This Row],[Afhængig variabel ID]]&lt;=$B$5</f>
        <v>0</v>
      </c>
      <c r="F2193" t="str" cm="1">
        <f t="array" ref="F2193">IF(LineærRegression_Valg[[#This Row],[Indenfor range]],INDEX(DataTitel_liste,LineærRegression_Valg[[#This Row],[Afhængig variabel ID]]),INDEX(DataTitel_liste,1))</f>
        <v>Eksempel 1 (interval)</v>
      </c>
      <c r="G2193" s="188" t="str" cm="1">
        <f t="array" ref="G2193">IF(LineærRegression_Valg[[#This Row],[Indenfor range]],IF(LineærRegression_Valg[[#This Row],[Intet overlap]],INDEX(DataTitel_liste,LineærRegression_Valg[[#This Row],[Uafhængig variabel ID]]),INDEX(DataTitel_liste,IF(LineærRegression_Valg[[#This Row],[Afhængig variabel ID]]=1,2,1))),$B$7)</f>
        <v>Eksempel 2 (interval)</v>
      </c>
      <c r="H2193" s="188">
        <f>_xlfn.AGGREGATE(2,5,LineærRegression_Valg[[#This Row],[Tabel ID]])</f>
        <v>1</v>
      </c>
    </row>
    <row r="2194" spans="1:8" x14ac:dyDescent="0.2">
      <c r="A2194">
        <f>ROW(LineærRegression_Valg[[#This Row],[Tabel ID]])-ROW(LineærRegression_Valg[[#Headers],[Tabel ID]])</f>
        <v>2184</v>
      </c>
      <c r="B2194" s="188">
        <f>ROUNDDOWN((LineærRegression_Valg[[#This Row],[Tabel ID]]-1)/$B$5,0)+1</f>
        <v>546</v>
      </c>
      <c r="C2194" s="188">
        <f t="shared" si="34"/>
        <v>4</v>
      </c>
      <c r="D2194" s="188" t="b">
        <f>LineærRegression_Valg[[#This Row],[Afhængig variabel ID]]&lt;&gt;LineærRegression_Valg[[#This Row],[Uafhængig variabel ID]]</f>
        <v>1</v>
      </c>
      <c r="E2194" s="188" t="b">
        <f>LineærRegression_Valg[[#This Row],[Afhængig variabel ID]]&lt;=$B$5</f>
        <v>0</v>
      </c>
      <c r="F2194" t="str" cm="1">
        <f t="array" ref="F2194">IF(LineærRegression_Valg[[#This Row],[Indenfor range]],INDEX(DataTitel_liste,LineærRegression_Valg[[#This Row],[Afhængig variabel ID]]),INDEX(DataTitel_liste,1))</f>
        <v>Eksempel 1 (interval)</v>
      </c>
      <c r="G2194" s="188" t="str" cm="1">
        <f t="array" ref="G2194">IF(LineærRegression_Valg[[#This Row],[Indenfor range]],IF(LineærRegression_Valg[[#This Row],[Intet overlap]],INDEX(DataTitel_liste,LineærRegression_Valg[[#This Row],[Uafhængig variabel ID]]),INDEX(DataTitel_liste,IF(LineærRegression_Valg[[#This Row],[Afhængig variabel ID]]=1,2,1))),$B$7)</f>
        <v>Eksempel 2 (interval)</v>
      </c>
      <c r="H2194" s="188">
        <f>_xlfn.AGGREGATE(2,5,LineærRegression_Valg[[#This Row],[Tabel ID]])</f>
        <v>1</v>
      </c>
    </row>
    <row r="2195" spans="1:8" x14ac:dyDescent="0.2">
      <c r="A2195">
        <f>ROW(LineærRegression_Valg[[#This Row],[Tabel ID]])-ROW(LineærRegression_Valg[[#Headers],[Tabel ID]])</f>
        <v>2185</v>
      </c>
      <c r="B2195" s="188">
        <f>ROUNDDOWN((LineærRegression_Valg[[#This Row],[Tabel ID]]-1)/$B$5,0)+1</f>
        <v>547</v>
      </c>
      <c r="C2195" s="188">
        <f t="shared" si="34"/>
        <v>1</v>
      </c>
      <c r="D2195" s="188" t="b">
        <f>LineærRegression_Valg[[#This Row],[Afhængig variabel ID]]&lt;&gt;LineærRegression_Valg[[#This Row],[Uafhængig variabel ID]]</f>
        <v>1</v>
      </c>
      <c r="E2195" s="188" t="b">
        <f>LineærRegression_Valg[[#This Row],[Afhængig variabel ID]]&lt;=$B$5</f>
        <v>0</v>
      </c>
      <c r="F2195" t="str" cm="1">
        <f t="array" ref="F2195">IF(LineærRegression_Valg[[#This Row],[Indenfor range]],INDEX(DataTitel_liste,LineærRegression_Valg[[#This Row],[Afhængig variabel ID]]),INDEX(DataTitel_liste,1))</f>
        <v>Eksempel 1 (interval)</v>
      </c>
      <c r="G2195" s="188" t="str" cm="1">
        <f t="array" ref="G2195">IF(LineærRegression_Valg[[#This Row],[Indenfor range]],IF(LineærRegression_Valg[[#This Row],[Intet overlap]],INDEX(DataTitel_liste,LineærRegression_Valg[[#This Row],[Uafhængig variabel ID]]),INDEX(DataTitel_liste,IF(LineærRegression_Valg[[#This Row],[Afhængig variabel ID]]=1,2,1))),$B$7)</f>
        <v>Eksempel 2 (interval)</v>
      </c>
      <c r="H2195" s="188">
        <f>_xlfn.AGGREGATE(2,5,LineærRegression_Valg[[#This Row],[Tabel ID]])</f>
        <v>1</v>
      </c>
    </row>
    <row r="2196" spans="1:8" x14ac:dyDescent="0.2">
      <c r="A2196">
        <f>ROW(LineærRegression_Valg[[#This Row],[Tabel ID]])-ROW(LineærRegression_Valg[[#Headers],[Tabel ID]])</f>
        <v>2186</v>
      </c>
      <c r="B2196" s="188">
        <f>ROUNDDOWN((LineærRegression_Valg[[#This Row],[Tabel ID]]-1)/$B$5,0)+1</f>
        <v>547</v>
      </c>
      <c r="C2196" s="188">
        <f t="shared" si="34"/>
        <v>2</v>
      </c>
      <c r="D2196" s="188" t="b">
        <f>LineærRegression_Valg[[#This Row],[Afhængig variabel ID]]&lt;&gt;LineærRegression_Valg[[#This Row],[Uafhængig variabel ID]]</f>
        <v>1</v>
      </c>
      <c r="E2196" s="188" t="b">
        <f>LineærRegression_Valg[[#This Row],[Afhængig variabel ID]]&lt;=$B$5</f>
        <v>0</v>
      </c>
      <c r="F2196" t="str" cm="1">
        <f t="array" ref="F2196">IF(LineærRegression_Valg[[#This Row],[Indenfor range]],INDEX(DataTitel_liste,LineærRegression_Valg[[#This Row],[Afhængig variabel ID]]),INDEX(DataTitel_liste,1))</f>
        <v>Eksempel 1 (interval)</v>
      </c>
      <c r="G2196" s="188" t="str" cm="1">
        <f t="array" ref="G2196">IF(LineærRegression_Valg[[#This Row],[Indenfor range]],IF(LineærRegression_Valg[[#This Row],[Intet overlap]],INDEX(DataTitel_liste,LineærRegression_Valg[[#This Row],[Uafhængig variabel ID]]),INDEX(DataTitel_liste,IF(LineærRegression_Valg[[#This Row],[Afhængig variabel ID]]=1,2,1))),$B$7)</f>
        <v>Eksempel 2 (interval)</v>
      </c>
      <c r="H2196" s="188">
        <f>_xlfn.AGGREGATE(2,5,LineærRegression_Valg[[#This Row],[Tabel ID]])</f>
        <v>1</v>
      </c>
    </row>
    <row r="2197" spans="1:8" x14ac:dyDescent="0.2">
      <c r="A2197">
        <f>ROW(LineærRegression_Valg[[#This Row],[Tabel ID]])-ROW(LineærRegression_Valg[[#Headers],[Tabel ID]])</f>
        <v>2187</v>
      </c>
      <c r="B2197" s="188">
        <f>ROUNDDOWN((LineærRegression_Valg[[#This Row],[Tabel ID]]-1)/$B$5,0)+1</f>
        <v>547</v>
      </c>
      <c r="C2197" s="188">
        <f t="shared" si="34"/>
        <v>3</v>
      </c>
      <c r="D2197" s="188" t="b">
        <f>LineærRegression_Valg[[#This Row],[Afhængig variabel ID]]&lt;&gt;LineærRegression_Valg[[#This Row],[Uafhængig variabel ID]]</f>
        <v>1</v>
      </c>
      <c r="E2197" s="188" t="b">
        <f>LineærRegression_Valg[[#This Row],[Afhængig variabel ID]]&lt;=$B$5</f>
        <v>0</v>
      </c>
      <c r="F2197" t="str" cm="1">
        <f t="array" ref="F2197">IF(LineærRegression_Valg[[#This Row],[Indenfor range]],INDEX(DataTitel_liste,LineærRegression_Valg[[#This Row],[Afhængig variabel ID]]),INDEX(DataTitel_liste,1))</f>
        <v>Eksempel 1 (interval)</v>
      </c>
      <c r="G2197" s="188" t="str" cm="1">
        <f t="array" ref="G2197">IF(LineærRegression_Valg[[#This Row],[Indenfor range]],IF(LineærRegression_Valg[[#This Row],[Intet overlap]],INDEX(DataTitel_liste,LineærRegression_Valg[[#This Row],[Uafhængig variabel ID]]),INDEX(DataTitel_liste,IF(LineærRegression_Valg[[#This Row],[Afhængig variabel ID]]=1,2,1))),$B$7)</f>
        <v>Eksempel 2 (interval)</v>
      </c>
      <c r="H2197" s="188">
        <f>_xlfn.AGGREGATE(2,5,LineærRegression_Valg[[#This Row],[Tabel ID]])</f>
        <v>1</v>
      </c>
    </row>
    <row r="2198" spans="1:8" x14ac:dyDescent="0.2">
      <c r="A2198">
        <f>ROW(LineærRegression_Valg[[#This Row],[Tabel ID]])-ROW(LineærRegression_Valg[[#Headers],[Tabel ID]])</f>
        <v>2188</v>
      </c>
      <c r="B2198" s="188">
        <f>ROUNDDOWN((LineærRegression_Valg[[#This Row],[Tabel ID]]-1)/$B$5,0)+1</f>
        <v>547</v>
      </c>
      <c r="C2198" s="188">
        <f t="shared" si="34"/>
        <v>4</v>
      </c>
      <c r="D2198" s="188" t="b">
        <f>LineærRegression_Valg[[#This Row],[Afhængig variabel ID]]&lt;&gt;LineærRegression_Valg[[#This Row],[Uafhængig variabel ID]]</f>
        <v>1</v>
      </c>
      <c r="E2198" s="188" t="b">
        <f>LineærRegression_Valg[[#This Row],[Afhængig variabel ID]]&lt;=$B$5</f>
        <v>0</v>
      </c>
      <c r="F2198" t="str" cm="1">
        <f t="array" ref="F2198">IF(LineærRegression_Valg[[#This Row],[Indenfor range]],INDEX(DataTitel_liste,LineærRegression_Valg[[#This Row],[Afhængig variabel ID]]),INDEX(DataTitel_liste,1))</f>
        <v>Eksempel 1 (interval)</v>
      </c>
      <c r="G2198" s="188" t="str" cm="1">
        <f t="array" ref="G2198">IF(LineærRegression_Valg[[#This Row],[Indenfor range]],IF(LineærRegression_Valg[[#This Row],[Intet overlap]],INDEX(DataTitel_liste,LineærRegression_Valg[[#This Row],[Uafhængig variabel ID]]),INDEX(DataTitel_liste,IF(LineærRegression_Valg[[#This Row],[Afhængig variabel ID]]=1,2,1))),$B$7)</f>
        <v>Eksempel 2 (interval)</v>
      </c>
      <c r="H2198" s="188">
        <f>_xlfn.AGGREGATE(2,5,LineærRegression_Valg[[#This Row],[Tabel ID]])</f>
        <v>1</v>
      </c>
    </row>
    <row r="2199" spans="1:8" x14ac:dyDescent="0.2">
      <c r="A2199">
        <f>ROW(LineærRegression_Valg[[#This Row],[Tabel ID]])-ROW(LineærRegression_Valg[[#Headers],[Tabel ID]])</f>
        <v>2189</v>
      </c>
      <c r="B2199" s="188">
        <f>ROUNDDOWN((LineærRegression_Valg[[#This Row],[Tabel ID]]-1)/$B$5,0)+1</f>
        <v>548</v>
      </c>
      <c r="C2199" s="188">
        <f t="shared" si="34"/>
        <v>1</v>
      </c>
      <c r="D2199" s="188" t="b">
        <f>LineærRegression_Valg[[#This Row],[Afhængig variabel ID]]&lt;&gt;LineærRegression_Valg[[#This Row],[Uafhængig variabel ID]]</f>
        <v>1</v>
      </c>
      <c r="E2199" s="188" t="b">
        <f>LineærRegression_Valg[[#This Row],[Afhængig variabel ID]]&lt;=$B$5</f>
        <v>0</v>
      </c>
      <c r="F2199" t="str" cm="1">
        <f t="array" ref="F2199">IF(LineærRegression_Valg[[#This Row],[Indenfor range]],INDEX(DataTitel_liste,LineærRegression_Valg[[#This Row],[Afhængig variabel ID]]),INDEX(DataTitel_liste,1))</f>
        <v>Eksempel 1 (interval)</v>
      </c>
      <c r="G2199" s="188" t="str" cm="1">
        <f t="array" ref="G2199">IF(LineærRegression_Valg[[#This Row],[Indenfor range]],IF(LineærRegression_Valg[[#This Row],[Intet overlap]],INDEX(DataTitel_liste,LineærRegression_Valg[[#This Row],[Uafhængig variabel ID]]),INDEX(DataTitel_liste,IF(LineærRegression_Valg[[#This Row],[Afhængig variabel ID]]=1,2,1))),$B$7)</f>
        <v>Eksempel 2 (interval)</v>
      </c>
      <c r="H2199" s="188">
        <f>_xlfn.AGGREGATE(2,5,LineærRegression_Valg[[#This Row],[Tabel ID]])</f>
        <v>1</v>
      </c>
    </row>
    <row r="2200" spans="1:8" x14ac:dyDescent="0.2">
      <c r="A2200">
        <f>ROW(LineærRegression_Valg[[#This Row],[Tabel ID]])-ROW(LineærRegression_Valg[[#Headers],[Tabel ID]])</f>
        <v>2190</v>
      </c>
      <c r="B2200" s="188">
        <f>ROUNDDOWN((LineærRegression_Valg[[#This Row],[Tabel ID]]-1)/$B$5,0)+1</f>
        <v>548</v>
      </c>
      <c r="C2200" s="188">
        <f t="shared" si="34"/>
        <v>2</v>
      </c>
      <c r="D2200" s="188" t="b">
        <f>LineærRegression_Valg[[#This Row],[Afhængig variabel ID]]&lt;&gt;LineærRegression_Valg[[#This Row],[Uafhængig variabel ID]]</f>
        <v>1</v>
      </c>
      <c r="E2200" s="188" t="b">
        <f>LineærRegression_Valg[[#This Row],[Afhængig variabel ID]]&lt;=$B$5</f>
        <v>0</v>
      </c>
      <c r="F2200" t="str" cm="1">
        <f t="array" ref="F2200">IF(LineærRegression_Valg[[#This Row],[Indenfor range]],INDEX(DataTitel_liste,LineærRegression_Valg[[#This Row],[Afhængig variabel ID]]),INDEX(DataTitel_liste,1))</f>
        <v>Eksempel 1 (interval)</v>
      </c>
      <c r="G2200" s="188" t="str" cm="1">
        <f t="array" ref="G2200">IF(LineærRegression_Valg[[#This Row],[Indenfor range]],IF(LineærRegression_Valg[[#This Row],[Intet overlap]],INDEX(DataTitel_liste,LineærRegression_Valg[[#This Row],[Uafhængig variabel ID]]),INDEX(DataTitel_liste,IF(LineærRegression_Valg[[#This Row],[Afhængig variabel ID]]=1,2,1))),$B$7)</f>
        <v>Eksempel 2 (interval)</v>
      </c>
      <c r="H2200" s="188">
        <f>_xlfn.AGGREGATE(2,5,LineærRegression_Valg[[#This Row],[Tabel ID]])</f>
        <v>1</v>
      </c>
    </row>
    <row r="2201" spans="1:8" x14ac:dyDescent="0.2">
      <c r="A2201">
        <f>ROW(LineærRegression_Valg[[#This Row],[Tabel ID]])-ROW(LineærRegression_Valg[[#Headers],[Tabel ID]])</f>
        <v>2191</v>
      </c>
      <c r="B2201" s="188">
        <f>ROUNDDOWN((LineærRegression_Valg[[#This Row],[Tabel ID]]-1)/$B$5,0)+1</f>
        <v>548</v>
      </c>
      <c r="C2201" s="188">
        <f t="shared" si="34"/>
        <v>3</v>
      </c>
      <c r="D2201" s="188" t="b">
        <f>LineærRegression_Valg[[#This Row],[Afhængig variabel ID]]&lt;&gt;LineærRegression_Valg[[#This Row],[Uafhængig variabel ID]]</f>
        <v>1</v>
      </c>
      <c r="E2201" s="188" t="b">
        <f>LineærRegression_Valg[[#This Row],[Afhængig variabel ID]]&lt;=$B$5</f>
        <v>0</v>
      </c>
      <c r="F2201" t="str" cm="1">
        <f t="array" ref="F2201">IF(LineærRegression_Valg[[#This Row],[Indenfor range]],INDEX(DataTitel_liste,LineærRegression_Valg[[#This Row],[Afhængig variabel ID]]),INDEX(DataTitel_liste,1))</f>
        <v>Eksempel 1 (interval)</v>
      </c>
      <c r="G2201" s="188" t="str" cm="1">
        <f t="array" ref="G2201">IF(LineærRegression_Valg[[#This Row],[Indenfor range]],IF(LineærRegression_Valg[[#This Row],[Intet overlap]],INDEX(DataTitel_liste,LineærRegression_Valg[[#This Row],[Uafhængig variabel ID]]),INDEX(DataTitel_liste,IF(LineærRegression_Valg[[#This Row],[Afhængig variabel ID]]=1,2,1))),$B$7)</f>
        <v>Eksempel 2 (interval)</v>
      </c>
      <c r="H2201" s="188">
        <f>_xlfn.AGGREGATE(2,5,LineærRegression_Valg[[#This Row],[Tabel ID]])</f>
        <v>1</v>
      </c>
    </row>
    <row r="2202" spans="1:8" x14ac:dyDescent="0.2">
      <c r="A2202">
        <f>ROW(LineærRegression_Valg[[#This Row],[Tabel ID]])-ROW(LineærRegression_Valg[[#Headers],[Tabel ID]])</f>
        <v>2192</v>
      </c>
      <c r="B2202" s="188">
        <f>ROUNDDOWN((LineærRegression_Valg[[#This Row],[Tabel ID]]-1)/$B$5,0)+1</f>
        <v>548</v>
      </c>
      <c r="C2202" s="188">
        <f t="shared" si="34"/>
        <v>4</v>
      </c>
      <c r="D2202" s="188" t="b">
        <f>LineærRegression_Valg[[#This Row],[Afhængig variabel ID]]&lt;&gt;LineærRegression_Valg[[#This Row],[Uafhængig variabel ID]]</f>
        <v>1</v>
      </c>
      <c r="E2202" s="188" t="b">
        <f>LineærRegression_Valg[[#This Row],[Afhængig variabel ID]]&lt;=$B$5</f>
        <v>0</v>
      </c>
      <c r="F2202" t="str" cm="1">
        <f t="array" ref="F2202">IF(LineærRegression_Valg[[#This Row],[Indenfor range]],INDEX(DataTitel_liste,LineærRegression_Valg[[#This Row],[Afhængig variabel ID]]),INDEX(DataTitel_liste,1))</f>
        <v>Eksempel 1 (interval)</v>
      </c>
      <c r="G2202" s="188" t="str" cm="1">
        <f t="array" ref="G2202">IF(LineærRegression_Valg[[#This Row],[Indenfor range]],IF(LineærRegression_Valg[[#This Row],[Intet overlap]],INDEX(DataTitel_liste,LineærRegression_Valg[[#This Row],[Uafhængig variabel ID]]),INDEX(DataTitel_liste,IF(LineærRegression_Valg[[#This Row],[Afhængig variabel ID]]=1,2,1))),$B$7)</f>
        <v>Eksempel 2 (interval)</v>
      </c>
      <c r="H2202" s="188">
        <f>_xlfn.AGGREGATE(2,5,LineærRegression_Valg[[#This Row],[Tabel ID]])</f>
        <v>1</v>
      </c>
    </row>
    <row r="2203" spans="1:8" x14ac:dyDescent="0.2">
      <c r="A2203">
        <f>ROW(LineærRegression_Valg[[#This Row],[Tabel ID]])-ROW(LineærRegression_Valg[[#Headers],[Tabel ID]])</f>
        <v>2193</v>
      </c>
      <c r="B2203" s="188">
        <f>ROUNDDOWN((LineærRegression_Valg[[#This Row],[Tabel ID]]-1)/$B$5,0)+1</f>
        <v>549</v>
      </c>
      <c r="C2203" s="188">
        <f t="shared" si="34"/>
        <v>1</v>
      </c>
      <c r="D2203" s="188" t="b">
        <f>LineærRegression_Valg[[#This Row],[Afhængig variabel ID]]&lt;&gt;LineærRegression_Valg[[#This Row],[Uafhængig variabel ID]]</f>
        <v>1</v>
      </c>
      <c r="E2203" s="188" t="b">
        <f>LineærRegression_Valg[[#This Row],[Afhængig variabel ID]]&lt;=$B$5</f>
        <v>0</v>
      </c>
      <c r="F2203" t="str" cm="1">
        <f t="array" ref="F2203">IF(LineærRegression_Valg[[#This Row],[Indenfor range]],INDEX(DataTitel_liste,LineærRegression_Valg[[#This Row],[Afhængig variabel ID]]),INDEX(DataTitel_liste,1))</f>
        <v>Eksempel 1 (interval)</v>
      </c>
      <c r="G2203" s="188" t="str" cm="1">
        <f t="array" ref="G2203">IF(LineærRegression_Valg[[#This Row],[Indenfor range]],IF(LineærRegression_Valg[[#This Row],[Intet overlap]],INDEX(DataTitel_liste,LineærRegression_Valg[[#This Row],[Uafhængig variabel ID]]),INDEX(DataTitel_liste,IF(LineærRegression_Valg[[#This Row],[Afhængig variabel ID]]=1,2,1))),$B$7)</f>
        <v>Eksempel 2 (interval)</v>
      </c>
      <c r="H2203" s="188">
        <f>_xlfn.AGGREGATE(2,5,LineærRegression_Valg[[#This Row],[Tabel ID]])</f>
        <v>1</v>
      </c>
    </row>
    <row r="2204" spans="1:8" x14ac:dyDescent="0.2">
      <c r="A2204">
        <f>ROW(LineærRegression_Valg[[#This Row],[Tabel ID]])-ROW(LineærRegression_Valg[[#Headers],[Tabel ID]])</f>
        <v>2194</v>
      </c>
      <c r="B2204" s="188">
        <f>ROUNDDOWN((LineærRegression_Valg[[#This Row],[Tabel ID]]-1)/$B$5,0)+1</f>
        <v>549</v>
      </c>
      <c r="C2204" s="188">
        <f t="shared" si="34"/>
        <v>2</v>
      </c>
      <c r="D2204" s="188" t="b">
        <f>LineærRegression_Valg[[#This Row],[Afhængig variabel ID]]&lt;&gt;LineærRegression_Valg[[#This Row],[Uafhængig variabel ID]]</f>
        <v>1</v>
      </c>
      <c r="E2204" s="188" t="b">
        <f>LineærRegression_Valg[[#This Row],[Afhængig variabel ID]]&lt;=$B$5</f>
        <v>0</v>
      </c>
      <c r="F2204" t="str" cm="1">
        <f t="array" ref="F2204">IF(LineærRegression_Valg[[#This Row],[Indenfor range]],INDEX(DataTitel_liste,LineærRegression_Valg[[#This Row],[Afhængig variabel ID]]),INDEX(DataTitel_liste,1))</f>
        <v>Eksempel 1 (interval)</v>
      </c>
      <c r="G2204" s="188" t="str" cm="1">
        <f t="array" ref="G2204">IF(LineærRegression_Valg[[#This Row],[Indenfor range]],IF(LineærRegression_Valg[[#This Row],[Intet overlap]],INDEX(DataTitel_liste,LineærRegression_Valg[[#This Row],[Uafhængig variabel ID]]),INDEX(DataTitel_liste,IF(LineærRegression_Valg[[#This Row],[Afhængig variabel ID]]=1,2,1))),$B$7)</f>
        <v>Eksempel 2 (interval)</v>
      </c>
      <c r="H2204" s="188">
        <f>_xlfn.AGGREGATE(2,5,LineærRegression_Valg[[#This Row],[Tabel ID]])</f>
        <v>1</v>
      </c>
    </row>
    <row r="2205" spans="1:8" x14ac:dyDescent="0.2">
      <c r="A2205">
        <f>ROW(LineærRegression_Valg[[#This Row],[Tabel ID]])-ROW(LineærRegression_Valg[[#Headers],[Tabel ID]])</f>
        <v>2195</v>
      </c>
      <c r="B2205" s="188">
        <f>ROUNDDOWN((LineærRegression_Valg[[#This Row],[Tabel ID]]-1)/$B$5,0)+1</f>
        <v>549</v>
      </c>
      <c r="C2205" s="188">
        <f t="shared" si="34"/>
        <v>3</v>
      </c>
      <c r="D2205" s="188" t="b">
        <f>LineærRegression_Valg[[#This Row],[Afhængig variabel ID]]&lt;&gt;LineærRegression_Valg[[#This Row],[Uafhængig variabel ID]]</f>
        <v>1</v>
      </c>
      <c r="E2205" s="188" t="b">
        <f>LineærRegression_Valg[[#This Row],[Afhængig variabel ID]]&lt;=$B$5</f>
        <v>0</v>
      </c>
      <c r="F2205" t="str" cm="1">
        <f t="array" ref="F2205">IF(LineærRegression_Valg[[#This Row],[Indenfor range]],INDEX(DataTitel_liste,LineærRegression_Valg[[#This Row],[Afhængig variabel ID]]),INDEX(DataTitel_liste,1))</f>
        <v>Eksempel 1 (interval)</v>
      </c>
      <c r="G2205" s="188" t="str" cm="1">
        <f t="array" ref="G2205">IF(LineærRegression_Valg[[#This Row],[Indenfor range]],IF(LineærRegression_Valg[[#This Row],[Intet overlap]],INDEX(DataTitel_liste,LineærRegression_Valg[[#This Row],[Uafhængig variabel ID]]),INDEX(DataTitel_liste,IF(LineærRegression_Valg[[#This Row],[Afhængig variabel ID]]=1,2,1))),$B$7)</f>
        <v>Eksempel 2 (interval)</v>
      </c>
      <c r="H2205" s="188">
        <f>_xlfn.AGGREGATE(2,5,LineærRegression_Valg[[#This Row],[Tabel ID]])</f>
        <v>1</v>
      </c>
    </row>
    <row r="2206" spans="1:8" x14ac:dyDescent="0.2">
      <c r="A2206">
        <f>ROW(LineærRegression_Valg[[#This Row],[Tabel ID]])-ROW(LineærRegression_Valg[[#Headers],[Tabel ID]])</f>
        <v>2196</v>
      </c>
      <c r="B2206" s="188">
        <f>ROUNDDOWN((LineærRegression_Valg[[#This Row],[Tabel ID]]-1)/$B$5,0)+1</f>
        <v>549</v>
      </c>
      <c r="C2206" s="188">
        <f t="shared" si="34"/>
        <v>4</v>
      </c>
      <c r="D2206" s="188" t="b">
        <f>LineærRegression_Valg[[#This Row],[Afhængig variabel ID]]&lt;&gt;LineærRegression_Valg[[#This Row],[Uafhængig variabel ID]]</f>
        <v>1</v>
      </c>
      <c r="E2206" s="188" t="b">
        <f>LineærRegression_Valg[[#This Row],[Afhængig variabel ID]]&lt;=$B$5</f>
        <v>0</v>
      </c>
      <c r="F2206" t="str" cm="1">
        <f t="array" ref="F2206">IF(LineærRegression_Valg[[#This Row],[Indenfor range]],INDEX(DataTitel_liste,LineærRegression_Valg[[#This Row],[Afhængig variabel ID]]),INDEX(DataTitel_liste,1))</f>
        <v>Eksempel 1 (interval)</v>
      </c>
      <c r="G2206" s="188" t="str" cm="1">
        <f t="array" ref="G2206">IF(LineærRegression_Valg[[#This Row],[Indenfor range]],IF(LineærRegression_Valg[[#This Row],[Intet overlap]],INDEX(DataTitel_liste,LineærRegression_Valg[[#This Row],[Uafhængig variabel ID]]),INDEX(DataTitel_liste,IF(LineærRegression_Valg[[#This Row],[Afhængig variabel ID]]=1,2,1))),$B$7)</f>
        <v>Eksempel 2 (interval)</v>
      </c>
      <c r="H2206" s="188">
        <f>_xlfn.AGGREGATE(2,5,LineærRegression_Valg[[#This Row],[Tabel ID]])</f>
        <v>1</v>
      </c>
    </row>
    <row r="2207" spans="1:8" x14ac:dyDescent="0.2">
      <c r="A2207">
        <f>ROW(LineærRegression_Valg[[#This Row],[Tabel ID]])-ROW(LineærRegression_Valg[[#Headers],[Tabel ID]])</f>
        <v>2197</v>
      </c>
      <c r="B2207" s="188">
        <f>ROUNDDOWN((LineærRegression_Valg[[#This Row],[Tabel ID]]-1)/$B$5,0)+1</f>
        <v>550</v>
      </c>
      <c r="C2207" s="188">
        <f t="shared" si="34"/>
        <v>1</v>
      </c>
      <c r="D2207" s="188" t="b">
        <f>LineærRegression_Valg[[#This Row],[Afhængig variabel ID]]&lt;&gt;LineærRegression_Valg[[#This Row],[Uafhængig variabel ID]]</f>
        <v>1</v>
      </c>
      <c r="E2207" s="188" t="b">
        <f>LineærRegression_Valg[[#This Row],[Afhængig variabel ID]]&lt;=$B$5</f>
        <v>0</v>
      </c>
      <c r="F2207" t="str" cm="1">
        <f t="array" ref="F2207">IF(LineærRegression_Valg[[#This Row],[Indenfor range]],INDEX(DataTitel_liste,LineærRegression_Valg[[#This Row],[Afhængig variabel ID]]),INDEX(DataTitel_liste,1))</f>
        <v>Eksempel 1 (interval)</v>
      </c>
      <c r="G2207" s="188" t="str" cm="1">
        <f t="array" ref="G2207">IF(LineærRegression_Valg[[#This Row],[Indenfor range]],IF(LineærRegression_Valg[[#This Row],[Intet overlap]],INDEX(DataTitel_liste,LineærRegression_Valg[[#This Row],[Uafhængig variabel ID]]),INDEX(DataTitel_liste,IF(LineærRegression_Valg[[#This Row],[Afhængig variabel ID]]=1,2,1))),$B$7)</f>
        <v>Eksempel 2 (interval)</v>
      </c>
      <c r="H2207" s="188">
        <f>_xlfn.AGGREGATE(2,5,LineærRegression_Valg[[#This Row],[Tabel ID]])</f>
        <v>1</v>
      </c>
    </row>
    <row r="2208" spans="1:8" x14ac:dyDescent="0.2">
      <c r="A2208">
        <f>ROW(LineærRegression_Valg[[#This Row],[Tabel ID]])-ROW(LineærRegression_Valg[[#Headers],[Tabel ID]])</f>
        <v>2198</v>
      </c>
      <c r="B2208" s="188">
        <f>ROUNDDOWN((LineærRegression_Valg[[#This Row],[Tabel ID]]-1)/$B$5,0)+1</f>
        <v>550</v>
      </c>
      <c r="C2208" s="188">
        <f t="shared" si="34"/>
        <v>2</v>
      </c>
      <c r="D2208" s="188" t="b">
        <f>LineærRegression_Valg[[#This Row],[Afhængig variabel ID]]&lt;&gt;LineærRegression_Valg[[#This Row],[Uafhængig variabel ID]]</f>
        <v>1</v>
      </c>
      <c r="E2208" s="188" t="b">
        <f>LineærRegression_Valg[[#This Row],[Afhængig variabel ID]]&lt;=$B$5</f>
        <v>0</v>
      </c>
      <c r="F2208" t="str" cm="1">
        <f t="array" ref="F2208">IF(LineærRegression_Valg[[#This Row],[Indenfor range]],INDEX(DataTitel_liste,LineærRegression_Valg[[#This Row],[Afhængig variabel ID]]),INDEX(DataTitel_liste,1))</f>
        <v>Eksempel 1 (interval)</v>
      </c>
      <c r="G2208" s="188" t="str" cm="1">
        <f t="array" ref="G2208">IF(LineærRegression_Valg[[#This Row],[Indenfor range]],IF(LineærRegression_Valg[[#This Row],[Intet overlap]],INDEX(DataTitel_liste,LineærRegression_Valg[[#This Row],[Uafhængig variabel ID]]),INDEX(DataTitel_liste,IF(LineærRegression_Valg[[#This Row],[Afhængig variabel ID]]=1,2,1))),$B$7)</f>
        <v>Eksempel 2 (interval)</v>
      </c>
      <c r="H2208" s="188">
        <f>_xlfn.AGGREGATE(2,5,LineærRegression_Valg[[#This Row],[Tabel ID]])</f>
        <v>1</v>
      </c>
    </row>
    <row r="2209" spans="1:8" x14ac:dyDescent="0.2">
      <c r="A2209">
        <f>ROW(LineærRegression_Valg[[#This Row],[Tabel ID]])-ROW(LineærRegression_Valg[[#Headers],[Tabel ID]])</f>
        <v>2199</v>
      </c>
      <c r="B2209" s="188">
        <f>ROUNDDOWN((LineærRegression_Valg[[#This Row],[Tabel ID]]-1)/$B$5,0)+1</f>
        <v>550</v>
      </c>
      <c r="C2209" s="188">
        <f t="shared" si="34"/>
        <v>3</v>
      </c>
      <c r="D2209" s="188" t="b">
        <f>LineærRegression_Valg[[#This Row],[Afhængig variabel ID]]&lt;&gt;LineærRegression_Valg[[#This Row],[Uafhængig variabel ID]]</f>
        <v>1</v>
      </c>
      <c r="E2209" s="188" t="b">
        <f>LineærRegression_Valg[[#This Row],[Afhængig variabel ID]]&lt;=$B$5</f>
        <v>0</v>
      </c>
      <c r="F2209" t="str" cm="1">
        <f t="array" ref="F2209">IF(LineærRegression_Valg[[#This Row],[Indenfor range]],INDEX(DataTitel_liste,LineærRegression_Valg[[#This Row],[Afhængig variabel ID]]),INDEX(DataTitel_liste,1))</f>
        <v>Eksempel 1 (interval)</v>
      </c>
      <c r="G2209" s="188" t="str" cm="1">
        <f t="array" ref="G2209">IF(LineærRegression_Valg[[#This Row],[Indenfor range]],IF(LineærRegression_Valg[[#This Row],[Intet overlap]],INDEX(DataTitel_liste,LineærRegression_Valg[[#This Row],[Uafhængig variabel ID]]),INDEX(DataTitel_liste,IF(LineærRegression_Valg[[#This Row],[Afhængig variabel ID]]=1,2,1))),$B$7)</f>
        <v>Eksempel 2 (interval)</v>
      </c>
      <c r="H2209" s="188">
        <f>_xlfn.AGGREGATE(2,5,LineærRegression_Valg[[#This Row],[Tabel ID]])</f>
        <v>1</v>
      </c>
    </row>
    <row r="2210" spans="1:8" x14ac:dyDescent="0.2">
      <c r="A2210">
        <f>ROW(LineærRegression_Valg[[#This Row],[Tabel ID]])-ROW(LineærRegression_Valg[[#Headers],[Tabel ID]])</f>
        <v>2200</v>
      </c>
      <c r="B2210" s="188">
        <f>ROUNDDOWN((LineærRegression_Valg[[#This Row],[Tabel ID]]-1)/$B$5,0)+1</f>
        <v>550</v>
      </c>
      <c r="C2210" s="188">
        <f t="shared" si="34"/>
        <v>4</v>
      </c>
      <c r="D2210" s="188" t="b">
        <f>LineærRegression_Valg[[#This Row],[Afhængig variabel ID]]&lt;&gt;LineærRegression_Valg[[#This Row],[Uafhængig variabel ID]]</f>
        <v>1</v>
      </c>
      <c r="E2210" s="188" t="b">
        <f>LineærRegression_Valg[[#This Row],[Afhængig variabel ID]]&lt;=$B$5</f>
        <v>0</v>
      </c>
      <c r="F2210" t="str" cm="1">
        <f t="array" ref="F2210">IF(LineærRegression_Valg[[#This Row],[Indenfor range]],INDEX(DataTitel_liste,LineærRegression_Valg[[#This Row],[Afhængig variabel ID]]),INDEX(DataTitel_liste,1))</f>
        <v>Eksempel 1 (interval)</v>
      </c>
      <c r="G2210" s="188" t="str" cm="1">
        <f t="array" ref="G2210">IF(LineærRegression_Valg[[#This Row],[Indenfor range]],IF(LineærRegression_Valg[[#This Row],[Intet overlap]],INDEX(DataTitel_liste,LineærRegression_Valg[[#This Row],[Uafhængig variabel ID]]),INDEX(DataTitel_liste,IF(LineærRegression_Valg[[#This Row],[Afhængig variabel ID]]=1,2,1))),$B$7)</f>
        <v>Eksempel 2 (interval)</v>
      </c>
      <c r="H2210" s="188">
        <f>_xlfn.AGGREGATE(2,5,LineærRegression_Valg[[#This Row],[Tabel ID]])</f>
        <v>1</v>
      </c>
    </row>
    <row r="2211" spans="1:8" x14ac:dyDescent="0.2">
      <c r="A2211">
        <f>ROW(LineærRegression_Valg[[#This Row],[Tabel ID]])-ROW(LineærRegression_Valg[[#Headers],[Tabel ID]])</f>
        <v>2201</v>
      </c>
      <c r="B2211" s="188">
        <f>ROUNDDOWN((LineærRegression_Valg[[#This Row],[Tabel ID]]-1)/$B$5,0)+1</f>
        <v>551</v>
      </c>
      <c r="C2211" s="188">
        <f t="shared" si="34"/>
        <v>1</v>
      </c>
      <c r="D2211" s="188" t="b">
        <f>LineærRegression_Valg[[#This Row],[Afhængig variabel ID]]&lt;&gt;LineærRegression_Valg[[#This Row],[Uafhængig variabel ID]]</f>
        <v>1</v>
      </c>
      <c r="E2211" s="188" t="b">
        <f>LineærRegression_Valg[[#This Row],[Afhængig variabel ID]]&lt;=$B$5</f>
        <v>0</v>
      </c>
      <c r="F2211" t="str" cm="1">
        <f t="array" ref="F2211">IF(LineærRegression_Valg[[#This Row],[Indenfor range]],INDEX(DataTitel_liste,LineærRegression_Valg[[#This Row],[Afhængig variabel ID]]),INDEX(DataTitel_liste,1))</f>
        <v>Eksempel 1 (interval)</v>
      </c>
      <c r="G2211" s="188" t="str" cm="1">
        <f t="array" ref="G2211">IF(LineærRegression_Valg[[#This Row],[Indenfor range]],IF(LineærRegression_Valg[[#This Row],[Intet overlap]],INDEX(DataTitel_liste,LineærRegression_Valg[[#This Row],[Uafhængig variabel ID]]),INDEX(DataTitel_liste,IF(LineærRegression_Valg[[#This Row],[Afhængig variabel ID]]=1,2,1))),$B$7)</f>
        <v>Eksempel 2 (interval)</v>
      </c>
      <c r="H2211" s="188">
        <f>_xlfn.AGGREGATE(2,5,LineærRegression_Valg[[#This Row],[Tabel ID]])</f>
        <v>1</v>
      </c>
    </row>
    <row r="2212" spans="1:8" x14ac:dyDescent="0.2">
      <c r="A2212">
        <f>ROW(LineærRegression_Valg[[#This Row],[Tabel ID]])-ROW(LineærRegression_Valg[[#Headers],[Tabel ID]])</f>
        <v>2202</v>
      </c>
      <c r="B2212" s="188">
        <f>ROUNDDOWN((LineærRegression_Valg[[#This Row],[Tabel ID]]-1)/$B$5,0)+1</f>
        <v>551</v>
      </c>
      <c r="C2212" s="188">
        <f t="shared" si="34"/>
        <v>2</v>
      </c>
      <c r="D2212" s="188" t="b">
        <f>LineærRegression_Valg[[#This Row],[Afhængig variabel ID]]&lt;&gt;LineærRegression_Valg[[#This Row],[Uafhængig variabel ID]]</f>
        <v>1</v>
      </c>
      <c r="E2212" s="188" t="b">
        <f>LineærRegression_Valg[[#This Row],[Afhængig variabel ID]]&lt;=$B$5</f>
        <v>0</v>
      </c>
      <c r="F2212" t="str" cm="1">
        <f t="array" ref="F2212">IF(LineærRegression_Valg[[#This Row],[Indenfor range]],INDEX(DataTitel_liste,LineærRegression_Valg[[#This Row],[Afhængig variabel ID]]),INDEX(DataTitel_liste,1))</f>
        <v>Eksempel 1 (interval)</v>
      </c>
      <c r="G2212" s="188" t="str" cm="1">
        <f t="array" ref="G2212">IF(LineærRegression_Valg[[#This Row],[Indenfor range]],IF(LineærRegression_Valg[[#This Row],[Intet overlap]],INDEX(DataTitel_liste,LineærRegression_Valg[[#This Row],[Uafhængig variabel ID]]),INDEX(DataTitel_liste,IF(LineærRegression_Valg[[#This Row],[Afhængig variabel ID]]=1,2,1))),$B$7)</f>
        <v>Eksempel 2 (interval)</v>
      </c>
      <c r="H2212" s="188">
        <f>_xlfn.AGGREGATE(2,5,LineærRegression_Valg[[#This Row],[Tabel ID]])</f>
        <v>1</v>
      </c>
    </row>
    <row r="2213" spans="1:8" x14ac:dyDescent="0.2">
      <c r="A2213">
        <f>ROW(LineærRegression_Valg[[#This Row],[Tabel ID]])-ROW(LineærRegression_Valg[[#Headers],[Tabel ID]])</f>
        <v>2203</v>
      </c>
      <c r="B2213" s="188">
        <f>ROUNDDOWN((LineærRegression_Valg[[#This Row],[Tabel ID]]-1)/$B$5,0)+1</f>
        <v>551</v>
      </c>
      <c r="C2213" s="188">
        <f t="shared" si="34"/>
        <v>3</v>
      </c>
      <c r="D2213" s="188" t="b">
        <f>LineærRegression_Valg[[#This Row],[Afhængig variabel ID]]&lt;&gt;LineærRegression_Valg[[#This Row],[Uafhængig variabel ID]]</f>
        <v>1</v>
      </c>
      <c r="E2213" s="188" t="b">
        <f>LineærRegression_Valg[[#This Row],[Afhængig variabel ID]]&lt;=$B$5</f>
        <v>0</v>
      </c>
      <c r="F2213" t="str" cm="1">
        <f t="array" ref="F2213">IF(LineærRegression_Valg[[#This Row],[Indenfor range]],INDEX(DataTitel_liste,LineærRegression_Valg[[#This Row],[Afhængig variabel ID]]),INDEX(DataTitel_liste,1))</f>
        <v>Eksempel 1 (interval)</v>
      </c>
      <c r="G2213" s="188" t="str" cm="1">
        <f t="array" ref="G2213">IF(LineærRegression_Valg[[#This Row],[Indenfor range]],IF(LineærRegression_Valg[[#This Row],[Intet overlap]],INDEX(DataTitel_liste,LineærRegression_Valg[[#This Row],[Uafhængig variabel ID]]),INDEX(DataTitel_liste,IF(LineærRegression_Valg[[#This Row],[Afhængig variabel ID]]=1,2,1))),$B$7)</f>
        <v>Eksempel 2 (interval)</v>
      </c>
      <c r="H2213" s="188">
        <f>_xlfn.AGGREGATE(2,5,LineærRegression_Valg[[#This Row],[Tabel ID]])</f>
        <v>1</v>
      </c>
    </row>
    <row r="2214" spans="1:8" x14ac:dyDescent="0.2">
      <c r="A2214">
        <f>ROW(LineærRegression_Valg[[#This Row],[Tabel ID]])-ROW(LineærRegression_Valg[[#Headers],[Tabel ID]])</f>
        <v>2204</v>
      </c>
      <c r="B2214" s="188">
        <f>ROUNDDOWN((LineærRegression_Valg[[#This Row],[Tabel ID]]-1)/$B$5,0)+1</f>
        <v>551</v>
      </c>
      <c r="C2214" s="188">
        <f t="shared" si="34"/>
        <v>4</v>
      </c>
      <c r="D2214" s="188" t="b">
        <f>LineærRegression_Valg[[#This Row],[Afhængig variabel ID]]&lt;&gt;LineærRegression_Valg[[#This Row],[Uafhængig variabel ID]]</f>
        <v>1</v>
      </c>
      <c r="E2214" s="188" t="b">
        <f>LineærRegression_Valg[[#This Row],[Afhængig variabel ID]]&lt;=$B$5</f>
        <v>0</v>
      </c>
      <c r="F2214" t="str" cm="1">
        <f t="array" ref="F2214">IF(LineærRegression_Valg[[#This Row],[Indenfor range]],INDEX(DataTitel_liste,LineærRegression_Valg[[#This Row],[Afhængig variabel ID]]),INDEX(DataTitel_liste,1))</f>
        <v>Eksempel 1 (interval)</v>
      </c>
      <c r="G2214" s="188" t="str" cm="1">
        <f t="array" ref="G2214">IF(LineærRegression_Valg[[#This Row],[Indenfor range]],IF(LineærRegression_Valg[[#This Row],[Intet overlap]],INDEX(DataTitel_liste,LineærRegression_Valg[[#This Row],[Uafhængig variabel ID]]),INDEX(DataTitel_liste,IF(LineærRegression_Valg[[#This Row],[Afhængig variabel ID]]=1,2,1))),$B$7)</f>
        <v>Eksempel 2 (interval)</v>
      </c>
      <c r="H2214" s="188">
        <f>_xlfn.AGGREGATE(2,5,LineærRegression_Valg[[#This Row],[Tabel ID]])</f>
        <v>1</v>
      </c>
    </row>
    <row r="2215" spans="1:8" x14ac:dyDescent="0.2">
      <c r="A2215">
        <f>ROW(LineærRegression_Valg[[#This Row],[Tabel ID]])-ROW(LineærRegression_Valg[[#Headers],[Tabel ID]])</f>
        <v>2205</v>
      </c>
      <c r="B2215" s="188">
        <f>ROUNDDOWN((LineærRegression_Valg[[#This Row],[Tabel ID]]-1)/$B$5,0)+1</f>
        <v>552</v>
      </c>
      <c r="C2215" s="188">
        <f t="shared" si="34"/>
        <v>1</v>
      </c>
      <c r="D2215" s="188" t="b">
        <f>LineærRegression_Valg[[#This Row],[Afhængig variabel ID]]&lt;&gt;LineærRegression_Valg[[#This Row],[Uafhængig variabel ID]]</f>
        <v>1</v>
      </c>
      <c r="E2215" s="188" t="b">
        <f>LineærRegression_Valg[[#This Row],[Afhængig variabel ID]]&lt;=$B$5</f>
        <v>0</v>
      </c>
      <c r="F2215" t="str" cm="1">
        <f t="array" ref="F2215">IF(LineærRegression_Valg[[#This Row],[Indenfor range]],INDEX(DataTitel_liste,LineærRegression_Valg[[#This Row],[Afhængig variabel ID]]),INDEX(DataTitel_liste,1))</f>
        <v>Eksempel 1 (interval)</v>
      </c>
      <c r="G2215" s="188" t="str" cm="1">
        <f t="array" ref="G2215">IF(LineærRegression_Valg[[#This Row],[Indenfor range]],IF(LineærRegression_Valg[[#This Row],[Intet overlap]],INDEX(DataTitel_liste,LineærRegression_Valg[[#This Row],[Uafhængig variabel ID]]),INDEX(DataTitel_liste,IF(LineærRegression_Valg[[#This Row],[Afhængig variabel ID]]=1,2,1))),$B$7)</f>
        <v>Eksempel 2 (interval)</v>
      </c>
      <c r="H2215" s="188">
        <f>_xlfn.AGGREGATE(2,5,LineærRegression_Valg[[#This Row],[Tabel ID]])</f>
        <v>1</v>
      </c>
    </row>
    <row r="2216" spans="1:8" x14ac:dyDescent="0.2">
      <c r="A2216">
        <f>ROW(LineærRegression_Valg[[#This Row],[Tabel ID]])-ROW(LineærRegression_Valg[[#Headers],[Tabel ID]])</f>
        <v>2206</v>
      </c>
      <c r="B2216" s="188">
        <f>ROUNDDOWN((LineærRegression_Valg[[#This Row],[Tabel ID]]-1)/$B$5,0)+1</f>
        <v>552</v>
      </c>
      <c r="C2216" s="188">
        <f t="shared" si="34"/>
        <v>2</v>
      </c>
      <c r="D2216" s="188" t="b">
        <f>LineærRegression_Valg[[#This Row],[Afhængig variabel ID]]&lt;&gt;LineærRegression_Valg[[#This Row],[Uafhængig variabel ID]]</f>
        <v>1</v>
      </c>
      <c r="E2216" s="188" t="b">
        <f>LineærRegression_Valg[[#This Row],[Afhængig variabel ID]]&lt;=$B$5</f>
        <v>0</v>
      </c>
      <c r="F2216" t="str" cm="1">
        <f t="array" ref="F2216">IF(LineærRegression_Valg[[#This Row],[Indenfor range]],INDEX(DataTitel_liste,LineærRegression_Valg[[#This Row],[Afhængig variabel ID]]),INDEX(DataTitel_liste,1))</f>
        <v>Eksempel 1 (interval)</v>
      </c>
      <c r="G2216" s="188" t="str" cm="1">
        <f t="array" ref="G2216">IF(LineærRegression_Valg[[#This Row],[Indenfor range]],IF(LineærRegression_Valg[[#This Row],[Intet overlap]],INDEX(DataTitel_liste,LineærRegression_Valg[[#This Row],[Uafhængig variabel ID]]),INDEX(DataTitel_liste,IF(LineærRegression_Valg[[#This Row],[Afhængig variabel ID]]=1,2,1))),$B$7)</f>
        <v>Eksempel 2 (interval)</v>
      </c>
      <c r="H2216" s="188">
        <f>_xlfn.AGGREGATE(2,5,LineærRegression_Valg[[#This Row],[Tabel ID]])</f>
        <v>1</v>
      </c>
    </row>
    <row r="2217" spans="1:8" x14ac:dyDescent="0.2">
      <c r="A2217">
        <f>ROW(LineærRegression_Valg[[#This Row],[Tabel ID]])-ROW(LineærRegression_Valg[[#Headers],[Tabel ID]])</f>
        <v>2207</v>
      </c>
      <c r="B2217" s="188">
        <f>ROUNDDOWN((LineærRegression_Valg[[#This Row],[Tabel ID]]-1)/$B$5,0)+1</f>
        <v>552</v>
      </c>
      <c r="C2217" s="188">
        <f t="shared" si="34"/>
        <v>3</v>
      </c>
      <c r="D2217" s="188" t="b">
        <f>LineærRegression_Valg[[#This Row],[Afhængig variabel ID]]&lt;&gt;LineærRegression_Valg[[#This Row],[Uafhængig variabel ID]]</f>
        <v>1</v>
      </c>
      <c r="E2217" s="188" t="b">
        <f>LineærRegression_Valg[[#This Row],[Afhængig variabel ID]]&lt;=$B$5</f>
        <v>0</v>
      </c>
      <c r="F2217" t="str" cm="1">
        <f t="array" ref="F2217">IF(LineærRegression_Valg[[#This Row],[Indenfor range]],INDEX(DataTitel_liste,LineærRegression_Valg[[#This Row],[Afhængig variabel ID]]),INDEX(DataTitel_liste,1))</f>
        <v>Eksempel 1 (interval)</v>
      </c>
      <c r="G2217" s="188" t="str" cm="1">
        <f t="array" ref="G2217">IF(LineærRegression_Valg[[#This Row],[Indenfor range]],IF(LineærRegression_Valg[[#This Row],[Intet overlap]],INDEX(DataTitel_liste,LineærRegression_Valg[[#This Row],[Uafhængig variabel ID]]),INDEX(DataTitel_liste,IF(LineærRegression_Valg[[#This Row],[Afhængig variabel ID]]=1,2,1))),$B$7)</f>
        <v>Eksempel 2 (interval)</v>
      </c>
      <c r="H2217" s="188">
        <f>_xlfn.AGGREGATE(2,5,LineærRegression_Valg[[#This Row],[Tabel ID]])</f>
        <v>1</v>
      </c>
    </row>
    <row r="2218" spans="1:8" x14ac:dyDescent="0.2">
      <c r="A2218">
        <f>ROW(LineærRegression_Valg[[#This Row],[Tabel ID]])-ROW(LineærRegression_Valg[[#Headers],[Tabel ID]])</f>
        <v>2208</v>
      </c>
      <c r="B2218" s="188">
        <f>ROUNDDOWN((LineærRegression_Valg[[#This Row],[Tabel ID]]-1)/$B$5,0)+1</f>
        <v>552</v>
      </c>
      <c r="C2218" s="188">
        <f t="shared" si="34"/>
        <v>4</v>
      </c>
      <c r="D2218" s="188" t="b">
        <f>LineærRegression_Valg[[#This Row],[Afhængig variabel ID]]&lt;&gt;LineærRegression_Valg[[#This Row],[Uafhængig variabel ID]]</f>
        <v>1</v>
      </c>
      <c r="E2218" s="188" t="b">
        <f>LineærRegression_Valg[[#This Row],[Afhængig variabel ID]]&lt;=$B$5</f>
        <v>0</v>
      </c>
      <c r="F2218" t="str" cm="1">
        <f t="array" ref="F2218">IF(LineærRegression_Valg[[#This Row],[Indenfor range]],INDEX(DataTitel_liste,LineærRegression_Valg[[#This Row],[Afhængig variabel ID]]),INDEX(DataTitel_liste,1))</f>
        <v>Eksempel 1 (interval)</v>
      </c>
      <c r="G2218" s="188" t="str" cm="1">
        <f t="array" ref="G2218">IF(LineærRegression_Valg[[#This Row],[Indenfor range]],IF(LineærRegression_Valg[[#This Row],[Intet overlap]],INDEX(DataTitel_liste,LineærRegression_Valg[[#This Row],[Uafhængig variabel ID]]),INDEX(DataTitel_liste,IF(LineærRegression_Valg[[#This Row],[Afhængig variabel ID]]=1,2,1))),$B$7)</f>
        <v>Eksempel 2 (interval)</v>
      </c>
      <c r="H2218" s="188">
        <f>_xlfn.AGGREGATE(2,5,LineærRegression_Valg[[#This Row],[Tabel ID]])</f>
        <v>1</v>
      </c>
    </row>
    <row r="2219" spans="1:8" x14ac:dyDescent="0.2">
      <c r="A2219">
        <f>ROW(LineærRegression_Valg[[#This Row],[Tabel ID]])-ROW(LineærRegression_Valg[[#Headers],[Tabel ID]])</f>
        <v>2209</v>
      </c>
      <c r="B2219" s="188">
        <f>ROUNDDOWN((LineærRegression_Valg[[#This Row],[Tabel ID]]-1)/$B$5,0)+1</f>
        <v>553</v>
      </c>
      <c r="C2219" s="188">
        <f t="shared" si="34"/>
        <v>1</v>
      </c>
      <c r="D2219" s="188" t="b">
        <f>LineærRegression_Valg[[#This Row],[Afhængig variabel ID]]&lt;&gt;LineærRegression_Valg[[#This Row],[Uafhængig variabel ID]]</f>
        <v>1</v>
      </c>
      <c r="E2219" s="188" t="b">
        <f>LineærRegression_Valg[[#This Row],[Afhængig variabel ID]]&lt;=$B$5</f>
        <v>0</v>
      </c>
      <c r="F2219" t="str" cm="1">
        <f t="array" ref="F2219">IF(LineærRegression_Valg[[#This Row],[Indenfor range]],INDEX(DataTitel_liste,LineærRegression_Valg[[#This Row],[Afhængig variabel ID]]),INDEX(DataTitel_liste,1))</f>
        <v>Eksempel 1 (interval)</v>
      </c>
      <c r="G2219" s="188" t="str" cm="1">
        <f t="array" ref="G2219">IF(LineærRegression_Valg[[#This Row],[Indenfor range]],IF(LineærRegression_Valg[[#This Row],[Intet overlap]],INDEX(DataTitel_liste,LineærRegression_Valg[[#This Row],[Uafhængig variabel ID]]),INDEX(DataTitel_liste,IF(LineærRegression_Valg[[#This Row],[Afhængig variabel ID]]=1,2,1))),$B$7)</f>
        <v>Eksempel 2 (interval)</v>
      </c>
      <c r="H2219" s="188">
        <f>_xlfn.AGGREGATE(2,5,LineærRegression_Valg[[#This Row],[Tabel ID]])</f>
        <v>1</v>
      </c>
    </row>
    <row r="2220" spans="1:8" x14ac:dyDescent="0.2">
      <c r="A2220">
        <f>ROW(LineærRegression_Valg[[#This Row],[Tabel ID]])-ROW(LineærRegression_Valg[[#Headers],[Tabel ID]])</f>
        <v>2210</v>
      </c>
      <c r="B2220" s="188">
        <f>ROUNDDOWN((LineærRegression_Valg[[#This Row],[Tabel ID]]-1)/$B$5,0)+1</f>
        <v>553</v>
      </c>
      <c r="C2220" s="188">
        <f t="shared" si="34"/>
        <v>2</v>
      </c>
      <c r="D2220" s="188" t="b">
        <f>LineærRegression_Valg[[#This Row],[Afhængig variabel ID]]&lt;&gt;LineærRegression_Valg[[#This Row],[Uafhængig variabel ID]]</f>
        <v>1</v>
      </c>
      <c r="E2220" s="188" t="b">
        <f>LineærRegression_Valg[[#This Row],[Afhængig variabel ID]]&lt;=$B$5</f>
        <v>0</v>
      </c>
      <c r="F2220" t="str" cm="1">
        <f t="array" ref="F2220">IF(LineærRegression_Valg[[#This Row],[Indenfor range]],INDEX(DataTitel_liste,LineærRegression_Valg[[#This Row],[Afhængig variabel ID]]),INDEX(DataTitel_liste,1))</f>
        <v>Eksempel 1 (interval)</v>
      </c>
      <c r="G2220" s="188" t="str" cm="1">
        <f t="array" ref="G2220">IF(LineærRegression_Valg[[#This Row],[Indenfor range]],IF(LineærRegression_Valg[[#This Row],[Intet overlap]],INDEX(DataTitel_liste,LineærRegression_Valg[[#This Row],[Uafhængig variabel ID]]),INDEX(DataTitel_liste,IF(LineærRegression_Valg[[#This Row],[Afhængig variabel ID]]=1,2,1))),$B$7)</f>
        <v>Eksempel 2 (interval)</v>
      </c>
      <c r="H2220" s="188">
        <f>_xlfn.AGGREGATE(2,5,LineærRegression_Valg[[#This Row],[Tabel ID]])</f>
        <v>1</v>
      </c>
    </row>
    <row r="2221" spans="1:8" x14ac:dyDescent="0.2">
      <c r="A2221">
        <f>ROW(LineærRegression_Valg[[#This Row],[Tabel ID]])-ROW(LineærRegression_Valg[[#Headers],[Tabel ID]])</f>
        <v>2211</v>
      </c>
      <c r="B2221" s="188">
        <f>ROUNDDOWN((LineærRegression_Valg[[#This Row],[Tabel ID]]-1)/$B$5,0)+1</f>
        <v>553</v>
      </c>
      <c r="C2221" s="188">
        <f t="shared" si="34"/>
        <v>3</v>
      </c>
      <c r="D2221" s="188" t="b">
        <f>LineærRegression_Valg[[#This Row],[Afhængig variabel ID]]&lt;&gt;LineærRegression_Valg[[#This Row],[Uafhængig variabel ID]]</f>
        <v>1</v>
      </c>
      <c r="E2221" s="188" t="b">
        <f>LineærRegression_Valg[[#This Row],[Afhængig variabel ID]]&lt;=$B$5</f>
        <v>0</v>
      </c>
      <c r="F2221" t="str" cm="1">
        <f t="array" ref="F2221">IF(LineærRegression_Valg[[#This Row],[Indenfor range]],INDEX(DataTitel_liste,LineærRegression_Valg[[#This Row],[Afhængig variabel ID]]),INDEX(DataTitel_liste,1))</f>
        <v>Eksempel 1 (interval)</v>
      </c>
      <c r="G2221" s="188" t="str" cm="1">
        <f t="array" ref="G2221">IF(LineærRegression_Valg[[#This Row],[Indenfor range]],IF(LineærRegression_Valg[[#This Row],[Intet overlap]],INDEX(DataTitel_liste,LineærRegression_Valg[[#This Row],[Uafhængig variabel ID]]),INDEX(DataTitel_liste,IF(LineærRegression_Valg[[#This Row],[Afhængig variabel ID]]=1,2,1))),$B$7)</f>
        <v>Eksempel 2 (interval)</v>
      </c>
      <c r="H2221" s="188">
        <f>_xlfn.AGGREGATE(2,5,LineærRegression_Valg[[#This Row],[Tabel ID]])</f>
        <v>1</v>
      </c>
    </row>
    <row r="2222" spans="1:8" x14ac:dyDescent="0.2">
      <c r="A2222">
        <f>ROW(LineærRegression_Valg[[#This Row],[Tabel ID]])-ROW(LineærRegression_Valg[[#Headers],[Tabel ID]])</f>
        <v>2212</v>
      </c>
      <c r="B2222" s="188">
        <f>ROUNDDOWN((LineærRegression_Valg[[#This Row],[Tabel ID]]-1)/$B$5,0)+1</f>
        <v>553</v>
      </c>
      <c r="C2222" s="188">
        <f t="shared" si="34"/>
        <v>4</v>
      </c>
      <c r="D2222" s="188" t="b">
        <f>LineærRegression_Valg[[#This Row],[Afhængig variabel ID]]&lt;&gt;LineærRegression_Valg[[#This Row],[Uafhængig variabel ID]]</f>
        <v>1</v>
      </c>
      <c r="E2222" s="188" t="b">
        <f>LineærRegression_Valg[[#This Row],[Afhængig variabel ID]]&lt;=$B$5</f>
        <v>0</v>
      </c>
      <c r="F2222" t="str" cm="1">
        <f t="array" ref="F2222">IF(LineærRegression_Valg[[#This Row],[Indenfor range]],INDEX(DataTitel_liste,LineærRegression_Valg[[#This Row],[Afhængig variabel ID]]),INDEX(DataTitel_liste,1))</f>
        <v>Eksempel 1 (interval)</v>
      </c>
      <c r="G2222" s="188" t="str" cm="1">
        <f t="array" ref="G2222">IF(LineærRegression_Valg[[#This Row],[Indenfor range]],IF(LineærRegression_Valg[[#This Row],[Intet overlap]],INDEX(DataTitel_liste,LineærRegression_Valg[[#This Row],[Uafhængig variabel ID]]),INDEX(DataTitel_liste,IF(LineærRegression_Valg[[#This Row],[Afhængig variabel ID]]=1,2,1))),$B$7)</f>
        <v>Eksempel 2 (interval)</v>
      </c>
      <c r="H2222" s="188">
        <f>_xlfn.AGGREGATE(2,5,LineærRegression_Valg[[#This Row],[Tabel ID]])</f>
        <v>1</v>
      </c>
    </row>
    <row r="2223" spans="1:8" x14ac:dyDescent="0.2">
      <c r="A2223">
        <f>ROW(LineærRegression_Valg[[#This Row],[Tabel ID]])-ROW(LineærRegression_Valg[[#Headers],[Tabel ID]])</f>
        <v>2213</v>
      </c>
      <c r="B2223" s="188">
        <f>ROUNDDOWN((LineærRegression_Valg[[#This Row],[Tabel ID]]-1)/$B$5,0)+1</f>
        <v>554</v>
      </c>
      <c r="C2223" s="188">
        <f t="shared" si="34"/>
        <v>1</v>
      </c>
      <c r="D2223" s="188" t="b">
        <f>LineærRegression_Valg[[#This Row],[Afhængig variabel ID]]&lt;&gt;LineærRegression_Valg[[#This Row],[Uafhængig variabel ID]]</f>
        <v>1</v>
      </c>
      <c r="E2223" s="188" t="b">
        <f>LineærRegression_Valg[[#This Row],[Afhængig variabel ID]]&lt;=$B$5</f>
        <v>0</v>
      </c>
      <c r="F2223" t="str" cm="1">
        <f t="array" ref="F2223">IF(LineærRegression_Valg[[#This Row],[Indenfor range]],INDEX(DataTitel_liste,LineærRegression_Valg[[#This Row],[Afhængig variabel ID]]),INDEX(DataTitel_liste,1))</f>
        <v>Eksempel 1 (interval)</v>
      </c>
      <c r="G2223" s="188" t="str" cm="1">
        <f t="array" ref="G2223">IF(LineærRegression_Valg[[#This Row],[Indenfor range]],IF(LineærRegression_Valg[[#This Row],[Intet overlap]],INDEX(DataTitel_liste,LineærRegression_Valg[[#This Row],[Uafhængig variabel ID]]),INDEX(DataTitel_liste,IF(LineærRegression_Valg[[#This Row],[Afhængig variabel ID]]=1,2,1))),$B$7)</f>
        <v>Eksempel 2 (interval)</v>
      </c>
      <c r="H2223" s="188">
        <f>_xlfn.AGGREGATE(2,5,LineærRegression_Valg[[#This Row],[Tabel ID]])</f>
        <v>1</v>
      </c>
    </row>
    <row r="2224" spans="1:8" x14ac:dyDescent="0.2">
      <c r="A2224">
        <f>ROW(LineærRegression_Valg[[#This Row],[Tabel ID]])-ROW(LineærRegression_Valg[[#Headers],[Tabel ID]])</f>
        <v>2214</v>
      </c>
      <c r="B2224" s="188">
        <f>ROUNDDOWN((LineærRegression_Valg[[#This Row],[Tabel ID]]-1)/$B$5,0)+1</f>
        <v>554</v>
      </c>
      <c r="C2224" s="188">
        <f t="shared" si="34"/>
        <v>2</v>
      </c>
      <c r="D2224" s="188" t="b">
        <f>LineærRegression_Valg[[#This Row],[Afhængig variabel ID]]&lt;&gt;LineærRegression_Valg[[#This Row],[Uafhængig variabel ID]]</f>
        <v>1</v>
      </c>
      <c r="E2224" s="188" t="b">
        <f>LineærRegression_Valg[[#This Row],[Afhængig variabel ID]]&lt;=$B$5</f>
        <v>0</v>
      </c>
      <c r="F2224" t="str" cm="1">
        <f t="array" ref="F2224">IF(LineærRegression_Valg[[#This Row],[Indenfor range]],INDEX(DataTitel_liste,LineærRegression_Valg[[#This Row],[Afhængig variabel ID]]),INDEX(DataTitel_liste,1))</f>
        <v>Eksempel 1 (interval)</v>
      </c>
      <c r="G2224" s="188" t="str" cm="1">
        <f t="array" ref="G2224">IF(LineærRegression_Valg[[#This Row],[Indenfor range]],IF(LineærRegression_Valg[[#This Row],[Intet overlap]],INDEX(DataTitel_liste,LineærRegression_Valg[[#This Row],[Uafhængig variabel ID]]),INDEX(DataTitel_liste,IF(LineærRegression_Valg[[#This Row],[Afhængig variabel ID]]=1,2,1))),$B$7)</f>
        <v>Eksempel 2 (interval)</v>
      </c>
      <c r="H2224" s="188">
        <f>_xlfn.AGGREGATE(2,5,LineærRegression_Valg[[#This Row],[Tabel ID]])</f>
        <v>1</v>
      </c>
    </row>
    <row r="2225" spans="1:8" x14ac:dyDescent="0.2">
      <c r="A2225">
        <f>ROW(LineærRegression_Valg[[#This Row],[Tabel ID]])-ROW(LineærRegression_Valg[[#Headers],[Tabel ID]])</f>
        <v>2215</v>
      </c>
      <c r="B2225" s="188">
        <f>ROUNDDOWN((LineærRegression_Valg[[#This Row],[Tabel ID]]-1)/$B$5,0)+1</f>
        <v>554</v>
      </c>
      <c r="C2225" s="188">
        <f t="shared" si="34"/>
        <v>3</v>
      </c>
      <c r="D2225" s="188" t="b">
        <f>LineærRegression_Valg[[#This Row],[Afhængig variabel ID]]&lt;&gt;LineærRegression_Valg[[#This Row],[Uafhængig variabel ID]]</f>
        <v>1</v>
      </c>
      <c r="E2225" s="188" t="b">
        <f>LineærRegression_Valg[[#This Row],[Afhængig variabel ID]]&lt;=$B$5</f>
        <v>0</v>
      </c>
      <c r="F2225" t="str" cm="1">
        <f t="array" ref="F2225">IF(LineærRegression_Valg[[#This Row],[Indenfor range]],INDEX(DataTitel_liste,LineærRegression_Valg[[#This Row],[Afhængig variabel ID]]),INDEX(DataTitel_liste,1))</f>
        <v>Eksempel 1 (interval)</v>
      </c>
      <c r="G2225" s="188" t="str" cm="1">
        <f t="array" ref="G2225">IF(LineærRegression_Valg[[#This Row],[Indenfor range]],IF(LineærRegression_Valg[[#This Row],[Intet overlap]],INDEX(DataTitel_liste,LineærRegression_Valg[[#This Row],[Uafhængig variabel ID]]),INDEX(DataTitel_liste,IF(LineærRegression_Valg[[#This Row],[Afhængig variabel ID]]=1,2,1))),$B$7)</f>
        <v>Eksempel 2 (interval)</v>
      </c>
      <c r="H2225" s="188">
        <f>_xlfn.AGGREGATE(2,5,LineærRegression_Valg[[#This Row],[Tabel ID]])</f>
        <v>1</v>
      </c>
    </row>
    <row r="2226" spans="1:8" x14ac:dyDescent="0.2">
      <c r="A2226">
        <f>ROW(LineærRegression_Valg[[#This Row],[Tabel ID]])-ROW(LineærRegression_Valg[[#Headers],[Tabel ID]])</f>
        <v>2216</v>
      </c>
      <c r="B2226" s="188">
        <f>ROUNDDOWN((LineærRegression_Valg[[#This Row],[Tabel ID]]-1)/$B$5,0)+1</f>
        <v>554</v>
      </c>
      <c r="C2226" s="188">
        <f t="shared" si="34"/>
        <v>4</v>
      </c>
      <c r="D2226" s="188" t="b">
        <f>LineærRegression_Valg[[#This Row],[Afhængig variabel ID]]&lt;&gt;LineærRegression_Valg[[#This Row],[Uafhængig variabel ID]]</f>
        <v>1</v>
      </c>
      <c r="E2226" s="188" t="b">
        <f>LineærRegression_Valg[[#This Row],[Afhængig variabel ID]]&lt;=$B$5</f>
        <v>0</v>
      </c>
      <c r="F2226" t="str" cm="1">
        <f t="array" ref="F2226">IF(LineærRegression_Valg[[#This Row],[Indenfor range]],INDEX(DataTitel_liste,LineærRegression_Valg[[#This Row],[Afhængig variabel ID]]),INDEX(DataTitel_liste,1))</f>
        <v>Eksempel 1 (interval)</v>
      </c>
      <c r="G2226" s="188" t="str" cm="1">
        <f t="array" ref="G2226">IF(LineærRegression_Valg[[#This Row],[Indenfor range]],IF(LineærRegression_Valg[[#This Row],[Intet overlap]],INDEX(DataTitel_liste,LineærRegression_Valg[[#This Row],[Uafhængig variabel ID]]),INDEX(DataTitel_liste,IF(LineærRegression_Valg[[#This Row],[Afhængig variabel ID]]=1,2,1))),$B$7)</f>
        <v>Eksempel 2 (interval)</v>
      </c>
      <c r="H2226" s="188">
        <f>_xlfn.AGGREGATE(2,5,LineærRegression_Valg[[#This Row],[Tabel ID]])</f>
        <v>1</v>
      </c>
    </row>
    <row r="2227" spans="1:8" x14ac:dyDescent="0.2">
      <c r="A2227">
        <f>ROW(LineærRegression_Valg[[#This Row],[Tabel ID]])-ROW(LineærRegression_Valg[[#Headers],[Tabel ID]])</f>
        <v>2217</v>
      </c>
      <c r="B2227" s="188">
        <f>ROUNDDOWN((LineærRegression_Valg[[#This Row],[Tabel ID]]-1)/$B$5,0)+1</f>
        <v>555</v>
      </c>
      <c r="C2227" s="188">
        <f t="shared" si="34"/>
        <v>1</v>
      </c>
      <c r="D2227" s="188" t="b">
        <f>LineærRegression_Valg[[#This Row],[Afhængig variabel ID]]&lt;&gt;LineærRegression_Valg[[#This Row],[Uafhængig variabel ID]]</f>
        <v>1</v>
      </c>
      <c r="E2227" s="188" t="b">
        <f>LineærRegression_Valg[[#This Row],[Afhængig variabel ID]]&lt;=$B$5</f>
        <v>0</v>
      </c>
      <c r="F2227" t="str" cm="1">
        <f t="array" ref="F2227">IF(LineærRegression_Valg[[#This Row],[Indenfor range]],INDEX(DataTitel_liste,LineærRegression_Valg[[#This Row],[Afhængig variabel ID]]),INDEX(DataTitel_liste,1))</f>
        <v>Eksempel 1 (interval)</v>
      </c>
      <c r="G2227" s="188" t="str" cm="1">
        <f t="array" ref="G2227">IF(LineærRegression_Valg[[#This Row],[Indenfor range]],IF(LineærRegression_Valg[[#This Row],[Intet overlap]],INDEX(DataTitel_liste,LineærRegression_Valg[[#This Row],[Uafhængig variabel ID]]),INDEX(DataTitel_liste,IF(LineærRegression_Valg[[#This Row],[Afhængig variabel ID]]=1,2,1))),$B$7)</f>
        <v>Eksempel 2 (interval)</v>
      </c>
      <c r="H2227" s="188">
        <f>_xlfn.AGGREGATE(2,5,LineærRegression_Valg[[#This Row],[Tabel ID]])</f>
        <v>1</v>
      </c>
    </row>
    <row r="2228" spans="1:8" x14ac:dyDescent="0.2">
      <c r="A2228">
        <f>ROW(LineærRegression_Valg[[#This Row],[Tabel ID]])-ROW(LineærRegression_Valg[[#Headers],[Tabel ID]])</f>
        <v>2218</v>
      </c>
      <c r="B2228" s="188">
        <f>ROUNDDOWN((LineærRegression_Valg[[#This Row],[Tabel ID]]-1)/$B$5,0)+1</f>
        <v>555</v>
      </c>
      <c r="C2228" s="188">
        <f t="shared" si="34"/>
        <v>2</v>
      </c>
      <c r="D2228" s="188" t="b">
        <f>LineærRegression_Valg[[#This Row],[Afhængig variabel ID]]&lt;&gt;LineærRegression_Valg[[#This Row],[Uafhængig variabel ID]]</f>
        <v>1</v>
      </c>
      <c r="E2228" s="188" t="b">
        <f>LineærRegression_Valg[[#This Row],[Afhængig variabel ID]]&lt;=$B$5</f>
        <v>0</v>
      </c>
      <c r="F2228" t="str" cm="1">
        <f t="array" ref="F2228">IF(LineærRegression_Valg[[#This Row],[Indenfor range]],INDEX(DataTitel_liste,LineærRegression_Valg[[#This Row],[Afhængig variabel ID]]),INDEX(DataTitel_liste,1))</f>
        <v>Eksempel 1 (interval)</v>
      </c>
      <c r="G2228" s="188" t="str" cm="1">
        <f t="array" ref="G2228">IF(LineærRegression_Valg[[#This Row],[Indenfor range]],IF(LineærRegression_Valg[[#This Row],[Intet overlap]],INDEX(DataTitel_liste,LineærRegression_Valg[[#This Row],[Uafhængig variabel ID]]),INDEX(DataTitel_liste,IF(LineærRegression_Valg[[#This Row],[Afhængig variabel ID]]=1,2,1))),$B$7)</f>
        <v>Eksempel 2 (interval)</v>
      </c>
      <c r="H2228" s="188">
        <f>_xlfn.AGGREGATE(2,5,LineærRegression_Valg[[#This Row],[Tabel ID]])</f>
        <v>1</v>
      </c>
    </row>
    <row r="2229" spans="1:8" x14ac:dyDescent="0.2">
      <c r="A2229">
        <f>ROW(LineærRegression_Valg[[#This Row],[Tabel ID]])-ROW(LineærRegression_Valg[[#Headers],[Tabel ID]])</f>
        <v>2219</v>
      </c>
      <c r="B2229" s="188">
        <f>ROUNDDOWN((LineærRegression_Valg[[#This Row],[Tabel ID]]-1)/$B$5,0)+1</f>
        <v>555</v>
      </c>
      <c r="C2229" s="188">
        <f t="shared" si="34"/>
        <v>3</v>
      </c>
      <c r="D2229" s="188" t="b">
        <f>LineærRegression_Valg[[#This Row],[Afhængig variabel ID]]&lt;&gt;LineærRegression_Valg[[#This Row],[Uafhængig variabel ID]]</f>
        <v>1</v>
      </c>
      <c r="E2229" s="188" t="b">
        <f>LineærRegression_Valg[[#This Row],[Afhængig variabel ID]]&lt;=$B$5</f>
        <v>0</v>
      </c>
      <c r="F2229" t="str" cm="1">
        <f t="array" ref="F2229">IF(LineærRegression_Valg[[#This Row],[Indenfor range]],INDEX(DataTitel_liste,LineærRegression_Valg[[#This Row],[Afhængig variabel ID]]),INDEX(DataTitel_liste,1))</f>
        <v>Eksempel 1 (interval)</v>
      </c>
      <c r="G2229" s="188" t="str" cm="1">
        <f t="array" ref="G2229">IF(LineærRegression_Valg[[#This Row],[Indenfor range]],IF(LineærRegression_Valg[[#This Row],[Intet overlap]],INDEX(DataTitel_liste,LineærRegression_Valg[[#This Row],[Uafhængig variabel ID]]),INDEX(DataTitel_liste,IF(LineærRegression_Valg[[#This Row],[Afhængig variabel ID]]=1,2,1))),$B$7)</f>
        <v>Eksempel 2 (interval)</v>
      </c>
      <c r="H2229" s="188">
        <f>_xlfn.AGGREGATE(2,5,LineærRegression_Valg[[#This Row],[Tabel ID]])</f>
        <v>1</v>
      </c>
    </row>
    <row r="2230" spans="1:8" x14ac:dyDescent="0.2">
      <c r="A2230">
        <f>ROW(LineærRegression_Valg[[#This Row],[Tabel ID]])-ROW(LineærRegression_Valg[[#Headers],[Tabel ID]])</f>
        <v>2220</v>
      </c>
      <c r="B2230" s="188">
        <f>ROUNDDOWN((LineærRegression_Valg[[#This Row],[Tabel ID]]-1)/$B$5,0)+1</f>
        <v>555</v>
      </c>
      <c r="C2230" s="188">
        <f t="shared" si="34"/>
        <v>4</v>
      </c>
      <c r="D2230" s="188" t="b">
        <f>LineærRegression_Valg[[#This Row],[Afhængig variabel ID]]&lt;&gt;LineærRegression_Valg[[#This Row],[Uafhængig variabel ID]]</f>
        <v>1</v>
      </c>
      <c r="E2230" s="188" t="b">
        <f>LineærRegression_Valg[[#This Row],[Afhængig variabel ID]]&lt;=$B$5</f>
        <v>0</v>
      </c>
      <c r="F2230" t="str" cm="1">
        <f t="array" ref="F2230">IF(LineærRegression_Valg[[#This Row],[Indenfor range]],INDEX(DataTitel_liste,LineærRegression_Valg[[#This Row],[Afhængig variabel ID]]),INDEX(DataTitel_liste,1))</f>
        <v>Eksempel 1 (interval)</v>
      </c>
      <c r="G2230" s="188" t="str" cm="1">
        <f t="array" ref="G2230">IF(LineærRegression_Valg[[#This Row],[Indenfor range]],IF(LineærRegression_Valg[[#This Row],[Intet overlap]],INDEX(DataTitel_liste,LineærRegression_Valg[[#This Row],[Uafhængig variabel ID]]),INDEX(DataTitel_liste,IF(LineærRegression_Valg[[#This Row],[Afhængig variabel ID]]=1,2,1))),$B$7)</f>
        <v>Eksempel 2 (interval)</v>
      </c>
      <c r="H2230" s="188">
        <f>_xlfn.AGGREGATE(2,5,LineærRegression_Valg[[#This Row],[Tabel ID]])</f>
        <v>1</v>
      </c>
    </row>
    <row r="2231" spans="1:8" x14ac:dyDescent="0.2">
      <c r="A2231">
        <f>ROW(LineærRegression_Valg[[#This Row],[Tabel ID]])-ROW(LineærRegression_Valg[[#Headers],[Tabel ID]])</f>
        <v>2221</v>
      </c>
      <c r="B2231" s="188">
        <f>ROUNDDOWN((LineærRegression_Valg[[#This Row],[Tabel ID]]-1)/$B$5,0)+1</f>
        <v>556</v>
      </c>
      <c r="C2231" s="188">
        <f t="shared" si="34"/>
        <v>1</v>
      </c>
      <c r="D2231" s="188" t="b">
        <f>LineærRegression_Valg[[#This Row],[Afhængig variabel ID]]&lt;&gt;LineærRegression_Valg[[#This Row],[Uafhængig variabel ID]]</f>
        <v>1</v>
      </c>
      <c r="E2231" s="188" t="b">
        <f>LineærRegression_Valg[[#This Row],[Afhængig variabel ID]]&lt;=$B$5</f>
        <v>0</v>
      </c>
      <c r="F2231" t="str" cm="1">
        <f t="array" ref="F2231">IF(LineærRegression_Valg[[#This Row],[Indenfor range]],INDEX(DataTitel_liste,LineærRegression_Valg[[#This Row],[Afhængig variabel ID]]),INDEX(DataTitel_liste,1))</f>
        <v>Eksempel 1 (interval)</v>
      </c>
      <c r="G2231" s="188" t="str" cm="1">
        <f t="array" ref="G2231">IF(LineærRegression_Valg[[#This Row],[Indenfor range]],IF(LineærRegression_Valg[[#This Row],[Intet overlap]],INDEX(DataTitel_liste,LineærRegression_Valg[[#This Row],[Uafhængig variabel ID]]),INDEX(DataTitel_liste,IF(LineærRegression_Valg[[#This Row],[Afhængig variabel ID]]=1,2,1))),$B$7)</f>
        <v>Eksempel 2 (interval)</v>
      </c>
      <c r="H2231" s="188">
        <f>_xlfn.AGGREGATE(2,5,LineærRegression_Valg[[#This Row],[Tabel ID]])</f>
        <v>1</v>
      </c>
    </row>
    <row r="2232" spans="1:8" x14ac:dyDescent="0.2">
      <c r="A2232">
        <f>ROW(LineærRegression_Valg[[#This Row],[Tabel ID]])-ROW(LineærRegression_Valg[[#Headers],[Tabel ID]])</f>
        <v>2222</v>
      </c>
      <c r="B2232" s="188">
        <f>ROUNDDOWN((LineærRegression_Valg[[#This Row],[Tabel ID]]-1)/$B$5,0)+1</f>
        <v>556</v>
      </c>
      <c r="C2232" s="188">
        <f t="shared" si="34"/>
        <v>2</v>
      </c>
      <c r="D2232" s="188" t="b">
        <f>LineærRegression_Valg[[#This Row],[Afhængig variabel ID]]&lt;&gt;LineærRegression_Valg[[#This Row],[Uafhængig variabel ID]]</f>
        <v>1</v>
      </c>
      <c r="E2232" s="188" t="b">
        <f>LineærRegression_Valg[[#This Row],[Afhængig variabel ID]]&lt;=$B$5</f>
        <v>0</v>
      </c>
      <c r="F2232" t="str" cm="1">
        <f t="array" ref="F2232">IF(LineærRegression_Valg[[#This Row],[Indenfor range]],INDEX(DataTitel_liste,LineærRegression_Valg[[#This Row],[Afhængig variabel ID]]),INDEX(DataTitel_liste,1))</f>
        <v>Eksempel 1 (interval)</v>
      </c>
      <c r="G2232" s="188" t="str" cm="1">
        <f t="array" ref="G2232">IF(LineærRegression_Valg[[#This Row],[Indenfor range]],IF(LineærRegression_Valg[[#This Row],[Intet overlap]],INDEX(DataTitel_liste,LineærRegression_Valg[[#This Row],[Uafhængig variabel ID]]),INDEX(DataTitel_liste,IF(LineærRegression_Valg[[#This Row],[Afhængig variabel ID]]=1,2,1))),$B$7)</f>
        <v>Eksempel 2 (interval)</v>
      </c>
      <c r="H2232" s="188">
        <f>_xlfn.AGGREGATE(2,5,LineærRegression_Valg[[#This Row],[Tabel ID]])</f>
        <v>1</v>
      </c>
    </row>
    <row r="2233" spans="1:8" x14ac:dyDescent="0.2">
      <c r="A2233">
        <f>ROW(LineærRegression_Valg[[#This Row],[Tabel ID]])-ROW(LineærRegression_Valg[[#Headers],[Tabel ID]])</f>
        <v>2223</v>
      </c>
      <c r="B2233" s="188">
        <f>ROUNDDOWN((LineærRegression_Valg[[#This Row],[Tabel ID]]-1)/$B$5,0)+1</f>
        <v>556</v>
      </c>
      <c r="C2233" s="188">
        <f t="shared" si="34"/>
        <v>3</v>
      </c>
      <c r="D2233" s="188" t="b">
        <f>LineærRegression_Valg[[#This Row],[Afhængig variabel ID]]&lt;&gt;LineærRegression_Valg[[#This Row],[Uafhængig variabel ID]]</f>
        <v>1</v>
      </c>
      <c r="E2233" s="188" t="b">
        <f>LineærRegression_Valg[[#This Row],[Afhængig variabel ID]]&lt;=$B$5</f>
        <v>0</v>
      </c>
      <c r="F2233" t="str" cm="1">
        <f t="array" ref="F2233">IF(LineærRegression_Valg[[#This Row],[Indenfor range]],INDEX(DataTitel_liste,LineærRegression_Valg[[#This Row],[Afhængig variabel ID]]),INDEX(DataTitel_liste,1))</f>
        <v>Eksempel 1 (interval)</v>
      </c>
      <c r="G2233" s="188" t="str" cm="1">
        <f t="array" ref="G2233">IF(LineærRegression_Valg[[#This Row],[Indenfor range]],IF(LineærRegression_Valg[[#This Row],[Intet overlap]],INDEX(DataTitel_liste,LineærRegression_Valg[[#This Row],[Uafhængig variabel ID]]),INDEX(DataTitel_liste,IF(LineærRegression_Valg[[#This Row],[Afhængig variabel ID]]=1,2,1))),$B$7)</f>
        <v>Eksempel 2 (interval)</v>
      </c>
      <c r="H2233" s="188">
        <f>_xlfn.AGGREGATE(2,5,LineærRegression_Valg[[#This Row],[Tabel ID]])</f>
        <v>1</v>
      </c>
    </row>
    <row r="2234" spans="1:8" x14ac:dyDescent="0.2">
      <c r="A2234">
        <f>ROW(LineærRegression_Valg[[#This Row],[Tabel ID]])-ROW(LineærRegression_Valg[[#Headers],[Tabel ID]])</f>
        <v>2224</v>
      </c>
      <c r="B2234" s="188">
        <f>ROUNDDOWN((LineærRegression_Valg[[#This Row],[Tabel ID]]-1)/$B$5,0)+1</f>
        <v>556</v>
      </c>
      <c r="C2234" s="188">
        <f t="shared" si="34"/>
        <v>4</v>
      </c>
      <c r="D2234" s="188" t="b">
        <f>LineærRegression_Valg[[#This Row],[Afhængig variabel ID]]&lt;&gt;LineærRegression_Valg[[#This Row],[Uafhængig variabel ID]]</f>
        <v>1</v>
      </c>
      <c r="E2234" s="188" t="b">
        <f>LineærRegression_Valg[[#This Row],[Afhængig variabel ID]]&lt;=$B$5</f>
        <v>0</v>
      </c>
      <c r="F2234" t="str" cm="1">
        <f t="array" ref="F2234">IF(LineærRegression_Valg[[#This Row],[Indenfor range]],INDEX(DataTitel_liste,LineærRegression_Valg[[#This Row],[Afhængig variabel ID]]),INDEX(DataTitel_liste,1))</f>
        <v>Eksempel 1 (interval)</v>
      </c>
      <c r="G2234" s="188" t="str" cm="1">
        <f t="array" ref="G2234">IF(LineærRegression_Valg[[#This Row],[Indenfor range]],IF(LineærRegression_Valg[[#This Row],[Intet overlap]],INDEX(DataTitel_liste,LineærRegression_Valg[[#This Row],[Uafhængig variabel ID]]),INDEX(DataTitel_liste,IF(LineærRegression_Valg[[#This Row],[Afhængig variabel ID]]=1,2,1))),$B$7)</f>
        <v>Eksempel 2 (interval)</v>
      </c>
      <c r="H2234" s="188">
        <f>_xlfn.AGGREGATE(2,5,LineærRegression_Valg[[#This Row],[Tabel ID]])</f>
        <v>1</v>
      </c>
    </row>
    <row r="2235" spans="1:8" x14ac:dyDescent="0.2">
      <c r="A2235">
        <f>ROW(LineærRegression_Valg[[#This Row],[Tabel ID]])-ROW(LineærRegression_Valg[[#Headers],[Tabel ID]])</f>
        <v>2225</v>
      </c>
      <c r="B2235" s="188">
        <f>ROUNDDOWN((LineærRegression_Valg[[#This Row],[Tabel ID]]-1)/$B$5,0)+1</f>
        <v>557</v>
      </c>
      <c r="C2235" s="188">
        <f t="shared" si="34"/>
        <v>1</v>
      </c>
      <c r="D2235" s="188" t="b">
        <f>LineærRegression_Valg[[#This Row],[Afhængig variabel ID]]&lt;&gt;LineærRegression_Valg[[#This Row],[Uafhængig variabel ID]]</f>
        <v>1</v>
      </c>
      <c r="E2235" s="188" t="b">
        <f>LineærRegression_Valg[[#This Row],[Afhængig variabel ID]]&lt;=$B$5</f>
        <v>0</v>
      </c>
      <c r="F2235" t="str" cm="1">
        <f t="array" ref="F2235">IF(LineærRegression_Valg[[#This Row],[Indenfor range]],INDEX(DataTitel_liste,LineærRegression_Valg[[#This Row],[Afhængig variabel ID]]),INDEX(DataTitel_liste,1))</f>
        <v>Eksempel 1 (interval)</v>
      </c>
      <c r="G2235" s="188" t="str" cm="1">
        <f t="array" ref="G2235">IF(LineærRegression_Valg[[#This Row],[Indenfor range]],IF(LineærRegression_Valg[[#This Row],[Intet overlap]],INDEX(DataTitel_liste,LineærRegression_Valg[[#This Row],[Uafhængig variabel ID]]),INDEX(DataTitel_liste,IF(LineærRegression_Valg[[#This Row],[Afhængig variabel ID]]=1,2,1))),$B$7)</f>
        <v>Eksempel 2 (interval)</v>
      </c>
      <c r="H2235" s="188">
        <f>_xlfn.AGGREGATE(2,5,LineærRegression_Valg[[#This Row],[Tabel ID]])</f>
        <v>1</v>
      </c>
    </row>
    <row r="2236" spans="1:8" x14ac:dyDescent="0.2">
      <c r="A2236">
        <f>ROW(LineærRegression_Valg[[#This Row],[Tabel ID]])-ROW(LineærRegression_Valg[[#Headers],[Tabel ID]])</f>
        <v>2226</v>
      </c>
      <c r="B2236" s="188">
        <f>ROUNDDOWN((LineærRegression_Valg[[#This Row],[Tabel ID]]-1)/$B$5,0)+1</f>
        <v>557</v>
      </c>
      <c r="C2236" s="188">
        <f t="shared" si="34"/>
        <v>2</v>
      </c>
      <c r="D2236" s="188" t="b">
        <f>LineærRegression_Valg[[#This Row],[Afhængig variabel ID]]&lt;&gt;LineærRegression_Valg[[#This Row],[Uafhængig variabel ID]]</f>
        <v>1</v>
      </c>
      <c r="E2236" s="188" t="b">
        <f>LineærRegression_Valg[[#This Row],[Afhængig variabel ID]]&lt;=$B$5</f>
        <v>0</v>
      </c>
      <c r="F2236" t="str" cm="1">
        <f t="array" ref="F2236">IF(LineærRegression_Valg[[#This Row],[Indenfor range]],INDEX(DataTitel_liste,LineærRegression_Valg[[#This Row],[Afhængig variabel ID]]),INDEX(DataTitel_liste,1))</f>
        <v>Eksempel 1 (interval)</v>
      </c>
      <c r="G2236" s="188" t="str" cm="1">
        <f t="array" ref="G2236">IF(LineærRegression_Valg[[#This Row],[Indenfor range]],IF(LineærRegression_Valg[[#This Row],[Intet overlap]],INDEX(DataTitel_liste,LineærRegression_Valg[[#This Row],[Uafhængig variabel ID]]),INDEX(DataTitel_liste,IF(LineærRegression_Valg[[#This Row],[Afhængig variabel ID]]=1,2,1))),$B$7)</f>
        <v>Eksempel 2 (interval)</v>
      </c>
      <c r="H2236" s="188">
        <f>_xlfn.AGGREGATE(2,5,LineærRegression_Valg[[#This Row],[Tabel ID]])</f>
        <v>1</v>
      </c>
    </row>
    <row r="2237" spans="1:8" x14ac:dyDescent="0.2">
      <c r="A2237">
        <f>ROW(LineærRegression_Valg[[#This Row],[Tabel ID]])-ROW(LineærRegression_Valg[[#Headers],[Tabel ID]])</f>
        <v>2227</v>
      </c>
      <c r="B2237" s="188">
        <f>ROUNDDOWN((LineærRegression_Valg[[#This Row],[Tabel ID]]-1)/$B$5,0)+1</f>
        <v>557</v>
      </c>
      <c r="C2237" s="188">
        <f t="shared" si="34"/>
        <v>3</v>
      </c>
      <c r="D2237" s="188" t="b">
        <f>LineærRegression_Valg[[#This Row],[Afhængig variabel ID]]&lt;&gt;LineærRegression_Valg[[#This Row],[Uafhængig variabel ID]]</f>
        <v>1</v>
      </c>
      <c r="E2237" s="188" t="b">
        <f>LineærRegression_Valg[[#This Row],[Afhængig variabel ID]]&lt;=$B$5</f>
        <v>0</v>
      </c>
      <c r="F2237" t="str" cm="1">
        <f t="array" ref="F2237">IF(LineærRegression_Valg[[#This Row],[Indenfor range]],INDEX(DataTitel_liste,LineærRegression_Valg[[#This Row],[Afhængig variabel ID]]),INDEX(DataTitel_liste,1))</f>
        <v>Eksempel 1 (interval)</v>
      </c>
      <c r="G2237" s="188" t="str" cm="1">
        <f t="array" ref="G2237">IF(LineærRegression_Valg[[#This Row],[Indenfor range]],IF(LineærRegression_Valg[[#This Row],[Intet overlap]],INDEX(DataTitel_liste,LineærRegression_Valg[[#This Row],[Uafhængig variabel ID]]),INDEX(DataTitel_liste,IF(LineærRegression_Valg[[#This Row],[Afhængig variabel ID]]=1,2,1))),$B$7)</f>
        <v>Eksempel 2 (interval)</v>
      </c>
      <c r="H2237" s="188">
        <f>_xlfn.AGGREGATE(2,5,LineærRegression_Valg[[#This Row],[Tabel ID]])</f>
        <v>1</v>
      </c>
    </row>
    <row r="2238" spans="1:8" x14ac:dyDescent="0.2">
      <c r="A2238">
        <f>ROW(LineærRegression_Valg[[#This Row],[Tabel ID]])-ROW(LineærRegression_Valg[[#Headers],[Tabel ID]])</f>
        <v>2228</v>
      </c>
      <c r="B2238" s="188">
        <f>ROUNDDOWN((LineærRegression_Valg[[#This Row],[Tabel ID]]-1)/$B$5,0)+1</f>
        <v>557</v>
      </c>
      <c r="C2238" s="188">
        <f t="shared" si="34"/>
        <v>4</v>
      </c>
      <c r="D2238" s="188" t="b">
        <f>LineærRegression_Valg[[#This Row],[Afhængig variabel ID]]&lt;&gt;LineærRegression_Valg[[#This Row],[Uafhængig variabel ID]]</f>
        <v>1</v>
      </c>
      <c r="E2238" s="188" t="b">
        <f>LineærRegression_Valg[[#This Row],[Afhængig variabel ID]]&lt;=$B$5</f>
        <v>0</v>
      </c>
      <c r="F2238" t="str" cm="1">
        <f t="array" ref="F2238">IF(LineærRegression_Valg[[#This Row],[Indenfor range]],INDEX(DataTitel_liste,LineærRegression_Valg[[#This Row],[Afhængig variabel ID]]),INDEX(DataTitel_liste,1))</f>
        <v>Eksempel 1 (interval)</v>
      </c>
      <c r="G2238" s="188" t="str" cm="1">
        <f t="array" ref="G2238">IF(LineærRegression_Valg[[#This Row],[Indenfor range]],IF(LineærRegression_Valg[[#This Row],[Intet overlap]],INDEX(DataTitel_liste,LineærRegression_Valg[[#This Row],[Uafhængig variabel ID]]),INDEX(DataTitel_liste,IF(LineærRegression_Valg[[#This Row],[Afhængig variabel ID]]=1,2,1))),$B$7)</f>
        <v>Eksempel 2 (interval)</v>
      </c>
      <c r="H2238" s="188">
        <f>_xlfn.AGGREGATE(2,5,LineærRegression_Valg[[#This Row],[Tabel ID]])</f>
        <v>1</v>
      </c>
    </row>
    <row r="2239" spans="1:8" x14ac:dyDescent="0.2">
      <c r="A2239">
        <f>ROW(LineærRegression_Valg[[#This Row],[Tabel ID]])-ROW(LineærRegression_Valg[[#Headers],[Tabel ID]])</f>
        <v>2229</v>
      </c>
      <c r="B2239" s="188">
        <f>ROUNDDOWN((LineærRegression_Valg[[#This Row],[Tabel ID]]-1)/$B$5,0)+1</f>
        <v>558</v>
      </c>
      <c r="C2239" s="188">
        <f t="shared" si="34"/>
        <v>1</v>
      </c>
      <c r="D2239" s="188" t="b">
        <f>LineærRegression_Valg[[#This Row],[Afhængig variabel ID]]&lt;&gt;LineærRegression_Valg[[#This Row],[Uafhængig variabel ID]]</f>
        <v>1</v>
      </c>
      <c r="E2239" s="188" t="b">
        <f>LineærRegression_Valg[[#This Row],[Afhængig variabel ID]]&lt;=$B$5</f>
        <v>0</v>
      </c>
      <c r="F2239" t="str" cm="1">
        <f t="array" ref="F2239">IF(LineærRegression_Valg[[#This Row],[Indenfor range]],INDEX(DataTitel_liste,LineærRegression_Valg[[#This Row],[Afhængig variabel ID]]),INDEX(DataTitel_liste,1))</f>
        <v>Eksempel 1 (interval)</v>
      </c>
      <c r="G2239" s="188" t="str" cm="1">
        <f t="array" ref="G2239">IF(LineærRegression_Valg[[#This Row],[Indenfor range]],IF(LineærRegression_Valg[[#This Row],[Intet overlap]],INDEX(DataTitel_liste,LineærRegression_Valg[[#This Row],[Uafhængig variabel ID]]),INDEX(DataTitel_liste,IF(LineærRegression_Valg[[#This Row],[Afhængig variabel ID]]=1,2,1))),$B$7)</f>
        <v>Eksempel 2 (interval)</v>
      </c>
      <c r="H2239" s="188">
        <f>_xlfn.AGGREGATE(2,5,LineærRegression_Valg[[#This Row],[Tabel ID]])</f>
        <v>1</v>
      </c>
    </row>
    <row r="2240" spans="1:8" x14ac:dyDescent="0.2">
      <c r="A2240">
        <f>ROW(LineærRegression_Valg[[#This Row],[Tabel ID]])-ROW(LineærRegression_Valg[[#Headers],[Tabel ID]])</f>
        <v>2230</v>
      </c>
      <c r="B2240" s="188">
        <f>ROUNDDOWN((LineærRegression_Valg[[#This Row],[Tabel ID]]-1)/$B$5,0)+1</f>
        <v>558</v>
      </c>
      <c r="C2240" s="188">
        <f t="shared" si="34"/>
        <v>2</v>
      </c>
      <c r="D2240" s="188" t="b">
        <f>LineærRegression_Valg[[#This Row],[Afhængig variabel ID]]&lt;&gt;LineærRegression_Valg[[#This Row],[Uafhængig variabel ID]]</f>
        <v>1</v>
      </c>
      <c r="E2240" s="188" t="b">
        <f>LineærRegression_Valg[[#This Row],[Afhængig variabel ID]]&lt;=$B$5</f>
        <v>0</v>
      </c>
      <c r="F2240" t="str" cm="1">
        <f t="array" ref="F2240">IF(LineærRegression_Valg[[#This Row],[Indenfor range]],INDEX(DataTitel_liste,LineærRegression_Valg[[#This Row],[Afhængig variabel ID]]),INDEX(DataTitel_liste,1))</f>
        <v>Eksempel 1 (interval)</v>
      </c>
      <c r="G2240" s="188" t="str" cm="1">
        <f t="array" ref="G2240">IF(LineærRegression_Valg[[#This Row],[Indenfor range]],IF(LineærRegression_Valg[[#This Row],[Intet overlap]],INDEX(DataTitel_liste,LineærRegression_Valg[[#This Row],[Uafhængig variabel ID]]),INDEX(DataTitel_liste,IF(LineærRegression_Valg[[#This Row],[Afhængig variabel ID]]=1,2,1))),$B$7)</f>
        <v>Eksempel 2 (interval)</v>
      </c>
      <c r="H2240" s="188">
        <f>_xlfn.AGGREGATE(2,5,LineærRegression_Valg[[#This Row],[Tabel ID]])</f>
        <v>1</v>
      </c>
    </row>
    <row r="2241" spans="1:8" x14ac:dyDescent="0.2">
      <c r="A2241">
        <f>ROW(LineærRegression_Valg[[#This Row],[Tabel ID]])-ROW(LineærRegression_Valg[[#Headers],[Tabel ID]])</f>
        <v>2231</v>
      </c>
      <c r="B2241" s="188">
        <f>ROUNDDOWN((LineærRegression_Valg[[#This Row],[Tabel ID]]-1)/$B$5,0)+1</f>
        <v>558</v>
      </c>
      <c r="C2241" s="188">
        <f t="shared" si="34"/>
        <v>3</v>
      </c>
      <c r="D2241" s="188" t="b">
        <f>LineærRegression_Valg[[#This Row],[Afhængig variabel ID]]&lt;&gt;LineærRegression_Valg[[#This Row],[Uafhængig variabel ID]]</f>
        <v>1</v>
      </c>
      <c r="E2241" s="188" t="b">
        <f>LineærRegression_Valg[[#This Row],[Afhængig variabel ID]]&lt;=$B$5</f>
        <v>0</v>
      </c>
      <c r="F2241" t="str" cm="1">
        <f t="array" ref="F2241">IF(LineærRegression_Valg[[#This Row],[Indenfor range]],INDEX(DataTitel_liste,LineærRegression_Valg[[#This Row],[Afhængig variabel ID]]),INDEX(DataTitel_liste,1))</f>
        <v>Eksempel 1 (interval)</v>
      </c>
      <c r="G2241" s="188" t="str" cm="1">
        <f t="array" ref="G2241">IF(LineærRegression_Valg[[#This Row],[Indenfor range]],IF(LineærRegression_Valg[[#This Row],[Intet overlap]],INDEX(DataTitel_liste,LineærRegression_Valg[[#This Row],[Uafhængig variabel ID]]),INDEX(DataTitel_liste,IF(LineærRegression_Valg[[#This Row],[Afhængig variabel ID]]=1,2,1))),$B$7)</f>
        <v>Eksempel 2 (interval)</v>
      </c>
      <c r="H2241" s="188">
        <f>_xlfn.AGGREGATE(2,5,LineærRegression_Valg[[#This Row],[Tabel ID]])</f>
        <v>1</v>
      </c>
    </row>
    <row r="2242" spans="1:8" x14ac:dyDescent="0.2">
      <c r="A2242">
        <f>ROW(LineærRegression_Valg[[#This Row],[Tabel ID]])-ROW(LineærRegression_Valg[[#Headers],[Tabel ID]])</f>
        <v>2232</v>
      </c>
      <c r="B2242" s="188">
        <f>ROUNDDOWN((LineærRegression_Valg[[#This Row],[Tabel ID]]-1)/$B$5,0)+1</f>
        <v>558</v>
      </c>
      <c r="C2242" s="188">
        <f t="shared" si="34"/>
        <v>4</v>
      </c>
      <c r="D2242" s="188" t="b">
        <f>LineærRegression_Valg[[#This Row],[Afhængig variabel ID]]&lt;&gt;LineærRegression_Valg[[#This Row],[Uafhængig variabel ID]]</f>
        <v>1</v>
      </c>
      <c r="E2242" s="188" t="b">
        <f>LineærRegression_Valg[[#This Row],[Afhængig variabel ID]]&lt;=$B$5</f>
        <v>0</v>
      </c>
      <c r="F2242" t="str" cm="1">
        <f t="array" ref="F2242">IF(LineærRegression_Valg[[#This Row],[Indenfor range]],INDEX(DataTitel_liste,LineærRegression_Valg[[#This Row],[Afhængig variabel ID]]),INDEX(DataTitel_liste,1))</f>
        <v>Eksempel 1 (interval)</v>
      </c>
      <c r="G2242" s="188" t="str" cm="1">
        <f t="array" ref="G2242">IF(LineærRegression_Valg[[#This Row],[Indenfor range]],IF(LineærRegression_Valg[[#This Row],[Intet overlap]],INDEX(DataTitel_liste,LineærRegression_Valg[[#This Row],[Uafhængig variabel ID]]),INDEX(DataTitel_liste,IF(LineærRegression_Valg[[#This Row],[Afhængig variabel ID]]=1,2,1))),$B$7)</f>
        <v>Eksempel 2 (interval)</v>
      </c>
      <c r="H2242" s="188">
        <f>_xlfn.AGGREGATE(2,5,LineærRegression_Valg[[#This Row],[Tabel ID]])</f>
        <v>1</v>
      </c>
    </row>
    <row r="2243" spans="1:8" x14ac:dyDescent="0.2">
      <c r="A2243">
        <f>ROW(LineærRegression_Valg[[#This Row],[Tabel ID]])-ROW(LineærRegression_Valg[[#Headers],[Tabel ID]])</f>
        <v>2233</v>
      </c>
      <c r="B2243" s="188">
        <f>ROUNDDOWN((LineærRegression_Valg[[#This Row],[Tabel ID]]-1)/$B$5,0)+1</f>
        <v>559</v>
      </c>
      <c r="C2243" s="188">
        <f t="shared" si="34"/>
        <v>1</v>
      </c>
      <c r="D2243" s="188" t="b">
        <f>LineærRegression_Valg[[#This Row],[Afhængig variabel ID]]&lt;&gt;LineærRegression_Valg[[#This Row],[Uafhængig variabel ID]]</f>
        <v>1</v>
      </c>
      <c r="E2243" s="188" t="b">
        <f>LineærRegression_Valg[[#This Row],[Afhængig variabel ID]]&lt;=$B$5</f>
        <v>0</v>
      </c>
      <c r="F2243" t="str" cm="1">
        <f t="array" ref="F2243">IF(LineærRegression_Valg[[#This Row],[Indenfor range]],INDEX(DataTitel_liste,LineærRegression_Valg[[#This Row],[Afhængig variabel ID]]),INDEX(DataTitel_liste,1))</f>
        <v>Eksempel 1 (interval)</v>
      </c>
      <c r="G2243" s="188" t="str" cm="1">
        <f t="array" ref="G2243">IF(LineærRegression_Valg[[#This Row],[Indenfor range]],IF(LineærRegression_Valg[[#This Row],[Intet overlap]],INDEX(DataTitel_liste,LineærRegression_Valg[[#This Row],[Uafhængig variabel ID]]),INDEX(DataTitel_liste,IF(LineærRegression_Valg[[#This Row],[Afhængig variabel ID]]=1,2,1))),$B$7)</f>
        <v>Eksempel 2 (interval)</v>
      </c>
      <c r="H2243" s="188">
        <f>_xlfn.AGGREGATE(2,5,LineærRegression_Valg[[#This Row],[Tabel ID]])</f>
        <v>1</v>
      </c>
    </row>
    <row r="2244" spans="1:8" x14ac:dyDescent="0.2">
      <c r="A2244">
        <f>ROW(LineærRegression_Valg[[#This Row],[Tabel ID]])-ROW(LineærRegression_Valg[[#Headers],[Tabel ID]])</f>
        <v>2234</v>
      </c>
      <c r="B2244" s="188">
        <f>ROUNDDOWN((LineærRegression_Valg[[#This Row],[Tabel ID]]-1)/$B$5,0)+1</f>
        <v>559</v>
      </c>
      <c r="C2244" s="188">
        <f t="shared" si="34"/>
        <v>2</v>
      </c>
      <c r="D2244" s="188" t="b">
        <f>LineærRegression_Valg[[#This Row],[Afhængig variabel ID]]&lt;&gt;LineærRegression_Valg[[#This Row],[Uafhængig variabel ID]]</f>
        <v>1</v>
      </c>
      <c r="E2244" s="188" t="b">
        <f>LineærRegression_Valg[[#This Row],[Afhængig variabel ID]]&lt;=$B$5</f>
        <v>0</v>
      </c>
      <c r="F2244" t="str" cm="1">
        <f t="array" ref="F2244">IF(LineærRegression_Valg[[#This Row],[Indenfor range]],INDEX(DataTitel_liste,LineærRegression_Valg[[#This Row],[Afhængig variabel ID]]),INDEX(DataTitel_liste,1))</f>
        <v>Eksempel 1 (interval)</v>
      </c>
      <c r="G2244" s="188" t="str" cm="1">
        <f t="array" ref="G2244">IF(LineærRegression_Valg[[#This Row],[Indenfor range]],IF(LineærRegression_Valg[[#This Row],[Intet overlap]],INDEX(DataTitel_liste,LineærRegression_Valg[[#This Row],[Uafhængig variabel ID]]),INDEX(DataTitel_liste,IF(LineærRegression_Valg[[#This Row],[Afhængig variabel ID]]=1,2,1))),$B$7)</f>
        <v>Eksempel 2 (interval)</v>
      </c>
      <c r="H2244" s="188">
        <f>_xlfn.AGGREGATE(2,5,LineærRegression_Valg[[#This Row],[Tabel ID]])</f>
        <v>1</v>
      </c>
    </row>
    <row r="2245" spans="1:8" x14ac:dyDescent="0.2">
      <c r="A2245">
        <f>ROW(LineærRegression_Valg[[#This Row],[Tabel ID]])-ROW(LineærRegression_Valg[[#Headers],[Tabel ID]])</f>
        <v>2235</v>
      </c>
      <c r="B2245" s="188">
        <f>ROUNDDOWN((LineærRegression_Valg[[#This Row],[Tabel ID]]-1)/$B$5,0)+1</f>
        <v>559</v>
      </c>
      <c r="C2245" s="188">
        <f t="shared" si="34"/>
        <v>3</v>
      </c>
      <c r="D2245" s="188" t="b">
        <f>LineærRegression_Valg[[#This Row],[Afhængig variabel ID]]&lt;&gt;LineærRegression_Valg[[#This Row],[Uafhængig variabel ID]]</f>
        <v>1</v>
      </c>
      <c r="E2245" s="188" t="b">
        <f>LineærRegression_Valg[[#This Row],[Afhængig variabel ID]]&lt;=$B$5</f>
        <v>0</v>
      </c>
      <c r="F2245" t="str" cm="1">
        <f t="array" ref="F2245">IF(LineærRegression_Valg[[#This Row],[Indenfor range]],INDEX(DataTitel_liste,LineærRegression_Valg[[#This Row],[Afhængig variabel ID]]),INDEX(DataTitel_liste,1))</f>
        <v>Eksempel 1 (interval)</v>
      </c>
      <c r="G2245" s="188" t="str" cm="1">
        <f t="array" ref="G2245">IF(LineærRegression_Valg[[#This Row],[Indenfor range]],IF(LineærRegression_Valg[[#This Row],[Intet overlap]],INDEX(DataTitel_liste,LineærRegression_Valg[[#This Row],[Uafhængig variabel ID]]),INDEX(DataTitel_liste,IF(LineærRegression_Valg[[#This Row],[Afhængig variabel ID]]=1,2,1))),$B$7)</f>
        <v>Eksempel 2 (interval)</v>
      </c>
      <c r="H2245" s="188">
        <f>_xlfn.AGGREGATE(2,5,LineærRegression_Valg[[#This Row],[Tabel ID]])</f>
        <v>1</v>
      </c>
    </row>
    <row r="2246" spans="1:8" x14ac:dyDescent="0.2">
      <c r="A2246">
        <f>ROW(LineærRegression_Valg[[#This Row],[Tabel ID]])-ROW(LineærRegression_Valg[[#Headers],[Tabel ID]])</f>
        <v>2236</v>
      </c>
      <c r="B2246" s="188">
        <f>ROUNDDOWN((LineærRegression_Valg[[#This Row],[Tabel ID]]-1)/$B$5,0)+1</f>
        <v>559</v>
      </c>
      <c r="C2246" s="188">
        <f t="shared" si="34"/>
        <v>4</v>
      </c>
      <c r="D2246" s="188" t="b">
        <f>LineærRegression_Valg[[#This Row],[Afhængig variabel ID]]&lt;&gt;LineærRegression_Valg[[#This Row],[Uafhængig variabel ID]]</f>
        <v>1</v>
      </c>
      <c r="E2246" s="188" t="b">
        <f>LineærRegression_Valg[[#This Row],[Afhængig variabel ID]]&lt;=$B$5</f>
        <v>0</v>
      </c>
      <c r="F2246" t="str" cm="1">
        <f t="array" ref="F2246">IF(LineærRegression_Valg[[#This Row],[Indenfor range]],INDEX(DataTitel_liste,LineærRegression_Valg[[#This Row],[Afhængig variabel ID]]),INDEX(DataTitel_liste,1))</f>
        <v>Eksempel 1 (interval)</v>
      </c>
      <c r="G2246" s="188" t="str" cm="1">
        <f t="array" ref="G2246">IF(LineærRegression_Valg[[#This Row],[Indenfor range]],IF(LineærRegression_Valg[[#This Row],[Intet overlap]],INDEX(DataTitel_liste,LineærRegression_Valg[[#This Row],[Uafhængig variabel ID]]),INDEX(DataTitel_liste,IF(LineærRegression_Valg[[#This Row],[Afhængig variabel ID]]=1,2,1))),$B$7)</f>
        <v>Eksempel 2 (interval)</v>
      </c>
      <c r="H2246" s="188">
        <f>_xlfn.AGGREGATE(2,5,LineærRegression_Valg[[#This Row],[Tabel ID]])</f>
        <v>1</v>
      </c>
    </row>
    <row r="2247" spans="1:8" x14ac:dyDescent="0.2">
      <c r="A2247">
        <f>ROW(LineærRegression_Valg[[#This Row],[Tabel ID]])-ROW(LineærRegression_Valg[[#Headers],[Tabel ID]])</f>
        <v>2237</v>
      </c>
      <c r="B2247" s="188">
        <f>ROUNDDOWN((LineærRegression_Valg[[#This Row],[Tabel ID]]-1)/$B$5,0)+1</f>
        <v>560</v>
      </c>
      <c r="C2247" s="188">
        <f t="shared" si="34"/>
        <v>1</v>
      </c>
      <c r="D2247" s="188" t="b">
        <f>LineærRegression_Valg[[#This Row],[Afhængig variabel ID]]&lt;&gt;LineærRegression_Valg[[#This Row],[Uafhængig variabel ID]]</f>
        <v>1</v>
      </c>
      <c r="E2247" s="188" t="b">
        <f>LineærRegression_Valg[[#This Row],[Afhængig variabel ID]]&lt;=$B$5</f>
        <v>0</v>
      </c>
      <c r="F2247" t="str" cm="1">
        <f t="array" ref="F2247">IF(LineærRegression_Valg[[#This Row],[Indenfor range]],INDEX(DataTitel_liste,LineærRegression_Valg[[#This Row],[Afhængig variabel ID]]),INDEX(DataTitel_liste,1))</f>
        <v>Eksempel 1 (interval)</v>
      </c>
      <c r="G2247" s="188" t="str" cm="1">
        <f t="array" ref="G2247">IF(LineærRegression_Valg[[#This Row],[Indenfor range]],IF(LineærRegression_Valg[[#This Row],[Intet overlap]],INDEX(DataTitel_liste,LineærRegression_Valg[[#This Row],[Uafhængig variabel ID]]),INDEX(DataTitel_liste,IF(LineærRegression_Valg[[#This Row],[Afhængig variabel ID]]=1,2,1))),$B$7)</f>
        <v>Eksempel 2 (interval)</v>
      </c>
      <c r="H2247" s="188">
        <f>_xlfn.AGGREGATE(2,5,LineærRegression_Valg[[#This Row],[Tabel ID]])</f>
        <v>1</v>
      </c>
    </row>
    <row r="2248" spans="1:8" x14ac:dyDescent="0.2">
      <c r="A2248">
        <f>ROW(LineærRegression_Valg[[#This Row],[Tabel ID]])-ROW(LineærRegression_Valg[[#Headers],[Tabel ID]])</f>
        <v>2238</v>
      </c>
      <c r="B2248" s="188">
        <f>ROUNDDOWN((LineærRegression_Valg[[#This Row],[Tabel ID]]-1)/$B$5,0)+1</f>
        <v>560</v>
      </c>
      <c r="C2248" s="188">
        <f t="shared" si="34"/>
        <v>2</v>
      </c>
      <c r="D2248" s="188" t="b">
        <f>LineærRegression_Valg[[#This Row],[Afhængig variabel ID]]&lt;&gt;LineærRegression_Valg[[#This Row],[Uafhængig variabel ID]]</f>
        <v>1</v>
      </c>
      <c r="E2248" s="188" t="b">
        <f>LineærRegression_Valg[[#This Row],[Afhængig variabel ID]]&lt;=$B$5</f>
        <v>0</v>
      </c>
      <c r="F2248" t="str" cm="1">
        <f t="array" ref="F2248">IF(LineærRegression_Valg[[#This Row],[Indenfor range]],INDEX(DataTitel_liste,LineærRegression_Valg[[#This Row],[Afhængig variabel ID]]),INDEX(DataTitel_liste,1))</f>
        <v>Eksempel 1 (interval)</v>
      </c>
      <c r="G2248" s="188" t="str" cm="1">
        <f t="array" ref="G2248">IF(LineærRegression_Valg[[#This Row],[Indenfor range]],IF(LineærRegression_Valg[[#This Row],[Intet overlap]],INDEX(DataTitel_liste,LineærRegression_Valg[[#This Row],[Uafhængig variabel ID]]),INDEX(DataTitel_liste,IF(LineærRegression_Valg[[#This Row],[Afhængig variabel ID]]=1,2,1))),$B$7)</f>
        <v>Eksempel 2 (interval)</v>
      </c>
      <c r="H2248" s="188">
        <f>_xlfn.AGGREGATE(2,5,LineærRegression_Valg[[#This Row],[Tabel ID]])</f>
        <v>1</v>
      </c>
    </row>
    <row r="2249" spans="1:8" x14ac:dyDescent="0.2">
      <c r="A2249">
        <f>ROW(LineærRegression_Valg[[#This Row],[Tabel ID]])-ROW(LineærRegression_Valg[[#Headers],[Tabel ID]])</f>
        <v>2239</v>
      </c>
      <c r="B2249" s="188">
        <f>ROUNDDOWN((LineærRegression_Valg[[#This Row],[Tabel ID]]-1)/$B$5,0)+1</f>
        <v>560</v>
      </c>
      <c r="C2249" s="188">
        <f t="shared" si="34"/>
        <v>3</v>
      </c>
      <c r="D2249" s="188" t="b">
        <f>LineærRegression_Valg[[#This Row],[Afhængig variabel ID]]&lt;&gt;LineærRegression_Valg[[#This Row],[Uafhængig variabel ID]]</f>
        <v>1</v>
      </c>
      <c r="E2249" s="188" t="b">
        <f>LineærRegression_Valg[[#This Row],[Afhængig variabel ID]]&lt;=$B$5</f>
        <v>0</v>
      </c>
      <c r="F2249" t="str" cm="1">
        <f t="array" ref="F2249">IF(LineærRegression_Valg[[#This Row],[Indenfor range]],INDEX(DataTitel_liste,LineærRegression_Valg[[#This Row],[Afhængig variabel ID]]),INDEX(DataTitel_liste,1))</f>
        <v>Eksempel 1 (interval)</v>
      </c>
      <c r="G2249" s="188" t="str" cm="1">
        <f t="array" ref="G2249">IF(LineærRegression_Valg[[#This Row],[Indenfor range]],IF(LineærRegression_Valg[[#This Row],[Intet overlap]],INDEX(DataTitel_liste,LineærRegression_Valg[[#This Row],[Uafhængig variabel ID]]),INDEX(DataTitel_liste,IF(LineærRegression_Valg[[#This Row],[Afhængig variabel ID]]=1,2,1))),$B$7)</f>
        <v>Eksempel 2 (interval)</v>
      </c>
      <c r="H2249" s="188">
        <f>_xlfn.AGGREGATE(2,5,LineærRegression_Valg[[#This Row],[Tabel ID]])</f>
        <v>1</v>
      </c>
    </row>
    <row r="2250" spans="1:8" x14ac:dyDescent="0.2">
      <c r="A2250">
        <f>ROW(LineærRegression_Valg[[#This Row],[Tabel ID]])-ROW(LineærRegression_Valg[[#Headers],[Tabel ID]])</f>
        <v>2240</v>
      </c>
      <c r="B2250" s="188">
        <f>ROUNDDOWN((LineærRegression_Valg[[#This Row],[Tabel ID]]-1)/$B$5,0)+1</f>
        <v>560</v>
      </c>
      <c r="C2250" s="188">
        <f t="shared" si="34"/>
        <v>4</v>
      </c>
      <c r="D2250" s="188" t="b">
        <f>LineærRegression_Valg[[#This Row],[Afhængig variabel ID]]&lt;&gt;LineærRegression_Valg[[#This Row],[Uafhængig variabel ID]]</f>
        <v>1</v>
      </c>
      <c r="E2250" s="188" t="b">
        <f>LineærRegression_Valg[[#This Row],[Afhængig variabel ID]]&lt;=$B$5</f>
        <v>0</v>
      </c>
      <c r="F2250" t="str" cm="1">
        <f t="array" ref="F2250">IF(LineærRegression_Valg[[#This Row],[Indenfor range]],INDEX(DataTitel_liste,LineærRegression_Valg[[#This Row],[Afhængig variabel ID]]),INDEX(DataTitel_liste,1))</f>
        <v>Eksempel 1 (interval)</v>
      </c>
      <c r="G2250" s="188" t="str" cm="1">
        <f t="array" ref="G2250">IF(LineærRegression_Valg[[#This Row],[Indenfor range]],IF(LineærRegression_Valg[[#This Row],[Intet overlap]],INDEX(DataTitel_liste,LineærRegression_Valg[[#This Row],[Uafhængig variabel ID]]),INDEX(DataTitel_liste,IF(LineærRegression_Valg[[#This Row],[Afhængig variabel ID]]=1,2,1))),$B$7)</f>
        <v>Eksempel 2 (interval)</v>
      </c>
      <c r="H2250" s="188">
        <f>_xlfn.AGGREGATE(2,5,LineærRegression_Valg[[#This Row],[Tabel ID]])</f>
        <v>1</v>
      </c>
    </row>
    <row r="2251" spans="1:8" x14ac:dyDescent="0.2">
      <c r="A2251">
        <f>ROW(LineærRegression_Valg[[#This Row],[Tabel ID]])-ROW(LineærRegression_Valg[[#Headers],[Tabel ID]])</f>
        <v>2241</v>
      </c>
      <c r="B2251" s="188">
        <f>ROUNDDOWN((LineærRegression_Valg[[#This Row],[Tabel ID]]-1)/$B$5,0)+1</f>
        <v>561</v>
      </c>
      <c r="C2251" s="188">
        <f t="shared" ref="C2251:C2314" si="35">MOD(A2251-1,$B$5)+1</f>
        <v>1</v>
      </c>
      <c r="D2251" s="188" t="b">
        <f>LineærRegression_Valg[[#This Row],[Afhængig variabel ID]]&lt;&gt;LineærRegression_Valg[[#This Row],[Uafhængig variabel ID]]</f>
        <v>1</v>
      </c>
      <c r="E2251" s="188" t="b">
        <f>LineærRegression_Valg[[#This Row],[Afhængig variabel ID]]&lt;=$B$5</f>
        <v>0</v>
      </c>
      <c r="F2251" t="str" cm="1">
        <f t="array" ref="F2251">IF(LineærRegression_Valg[[#This Row],[Indenfor range]],INDEX(DataTitel_liste,LineærRegression_Valg[[#This Row],[Afhængig variabel ID]]),INDEX(DataTitel_liste,1))</f>
        <v>Eksempel 1 (interval)</v>
      </c>
      <c r="G2251" s="188" t="str" cm="1">
        <f t="array" ref="G2251">IF(LineærRegression_Valg[[#This Row],[Indenfor range]],IF(LineærRegression_Valg[[#This Row],[Intet overlap]],INDEX(DataTitel_liste,LineærRegression_Valg[[#This Row],[Uafhængig variabel ID]]),INDEX(DataTitel_liste,IF(LineærRegression_Valg[[#This Row],[Afhængig variabel ID]]=1,2,1))),$B$7)</f>
        <v>Eksempel 2 (interval)</v>
      </c>
      <c r="H2251" s="188">
        <f>_xlfn.AGGREGATE(2,5,LineærRegression_Valg[[#This Row],[Tabel ID]])</f>
        <v>1</v>
      </c>
    </row>
    <row r="2252" spans="1:8" x14ac:dyDescent="0.2">
      <c r="A2252">
        <f>ROW(LineærRegression_Valg[[#This Row],[Tabel ID]])-ROW(LineærRegression_Valg[[#Headers],[Tabel ID]])</f>
        <v>2242</v>
      </c>
      <c r="B2252" s="188">
        <f>ROUNDDOWN((LineærRegression_Valg[[#This Row],[Tabel ID]]-1)/$B$5,0)+1</f>
        <v>561</v>
      </c>
      <c r="C2252" s="188">
        <f t="shared" si="35"/>
        <v>2</v>
      </c>
      <c r="D2252" s="188" t="b">
        <f>LineærRegression_Valg[[#This Row],[Afhængig variabel ID]]&lt;&gt;LineærRegression_Valg[[#This Row],[Uafhængig variabel ID]]</f>
        <v>1</v>
      </c>
      <c r="E2252" s="188" t="b">
        <f>LineærRegression_Valg[[#This Row],[Afhængig variabel ID]]&lt;=$B$5</f>
        <v>0</v>
      </c>
      <c r="F2252" t="str" cm="1">
        <f t="array" ref="F2252">IF(LineærRegression_Valg[[#This Row],[Indenfor range]],INDEX(DataTitel_liste,LineærRegression_Valg[[#This Row],[Afhængig variabel ID]]),INDEX(DataTitel_liste,1))</f>
        <v>Eksempel 1 (interval)</v>
      </c>
      <c r="G2252" s="188" t="str" cm="1">
        <f t="array" ref="G2252">IF(LineærRegression_Valg[[#This Row],[Indenfor range]],IF(LineærRegression_Valg[[#This Row],[Intet overlap]],INDEX(DataTitel_liste,LineærRegression_Valg[[#This Row],[Uafhængig variabel ID]]),INDEX(DataTitel_liste,IF(LineærRegression_Valg[[#This Row],[Afhængig variabel ID]]=1,2,1))),$B$7)</f>
        <v>Eksempel 2 (interval)</v>
      </c>
      <c r="H2252" s="188">
        <f>_xlfn.AGGREGATE(2,5,LineærRegression_Valg[[#This Row],[Tabel ID]])</f>
        <v>1</v>
      </c>
    </row>
    <row r="2253" spans="1:8" x14ac:dyDescent="0.2">
      <c r="A2253">
        <f>ROW(LineærRegression_Valg[[#This Row],[Tabel ID]])-ROW(LineærRegression_Valg[[#Headers],[Tabel ID]])</f>
        <v>2243</v>
      </c>
      <c r="B2253" s="188">
        <f>ROUNDDOWN((LineærRegression_Valg[[#This Row],[Tabel ID]]-1)/$B$5,0)+1</f>
        <v>561</v>
      </c>
      <c r="C2253" s="188">
        <f t="shared" si="35"/>
        <v>3</v>
      </c>
      <c r="D2253" s="188" t="b">
        <f>LineærRegression_Valg[[#This Row],[Afhængig variabel ID]]&lt;&gt;LineærRegression_Valg[[#This Row],[Uafhængig variabel ID]]</f>
        <v>1</v>
      </c>
      <c r="E2253" s="188" t="b">
        <f>LineærRegression_Valg[[#This Row],[Afhængig variabel ID]]&lt;=$B$5</f>
        <v>0</v>
      </c>
      <c r="F2253" t="str" cm="1">
        <f t="array" ref="F2253">IF(LineærRegression_Valg[[#This Row],[Indenfor range]],INDEX(DataTitel_liste,LineærRegression_Valg[[#This Row],[Afhængig variabel ID]]),INDEX(DataTitel_liste,1))</f>
        <v>Eksempel 1 (interval)</v>
      </c>
      <c r="G2253" s="188" t="str" cm="1">
        <f t="array" ref="G2253">IF(LineærRegression_Valg[[#This Row],[Indenfor range]],IF(LineærRegression_Valg[[#This Row],[Intet overlap]],INDEX(DataTitel_liste,LineærRegression_Valg[[#This Row],[Uafhængig variabel ID]]),INDEX(DataTitel_liste,IF(LineærRegression_Valg[[#This Row],[Afhængig variabel ID]]=1,2,1))),$B$7)</f>
        <v>Eksempel 2 (interval)</v>
      </c>
      <c r="H2253" s="188">
        <f>_xlfn.AGGREGATE(2,5,LineærRegression_Valg[[#This Row],[Tabel ID]])</f>
        <v>1</v>
      </c>
    </row>
    <row r="2254" spans="1:8" x14ac:dyDescent="0.2">
      <c r="A2254">
        <f>ROW(LineærRegression_Valg[[#This Row],[Tabel ID]])-ROW(LineærRegression_Valg[[#Headers],[Tabel ID]])</f>
        <v>2244</v>
      </c>
      <c r="B2254" s="188">
        <f>ROUNDDOWN((LineærRegression_Valg[[#This Row],[Tabel ID]]-1)/$B$5,0)+1</f>
        <v>561</v>
      </c>
      <c r="C2254" s="188">
        <f t="shared" si="35"/>
        <v>4</v>
      </c>
      <c r="D2254" s="188" t="b">
        <f>LineærRegression_Valg[[#This Row],[Afhængig variabel ID]]&lt;&gt;LineærRegression_Valg[[#This Row],[Uafhængig variabel ID]]</f>
        <v>1</v>
      </c>
      <c r="E2254" s="188" t="b">
        <f>LineærRegression_Valg[[#This Row],[Afhængig variabel ID]]&lt;=$B$5</f>
        <v>0</v>
      </c>
      <c r="F2254" t="str" cm="1">
        <f t="array" ref="F2254">IF(LineærRegression_Valg[[#This Row],[Indenfor range]],INDEX(DataTitel_liste,LineærRegression_Valg[[#This Row],[Afhængig variabel ID]]),INDEX(DataTitel_liste,1))</f>
        <v>Eksempel 1 (interval)</v>
      </c>
      <c r="G2254" s="188" t="str" cm="1">
        <f t="array" ref="G2254">IF(LineærRegression_Valg[[#This Row],[Indenfor range]],IF(LineærRegression_Valg[[#This Row],[Intet overlap]],INDEX(DataTitel_liste,LineærRegression_Valg[[#This Row],[Uafhængig variabel ID]]),INDEX(DataTitel_liste,IF(LineærRegression_Valg[[#This Row],[Afhængig variabel ID]]=1,2,1))),$B$7)</f>
        <v>Eksempel 2 (interval)</v>
      </c>
      <c r="H2254" s="188">
        <f>_xlfn.AGGREGATE(2,5,LineærRegression_Valg[[#This Row],[Tabel ID]])</f>
        <v>1</v>
      </c>
    </row>
    <row r="2255" spans="1:8" x14ac:dyDescent="0.2">
      <c r="A2255">
        <f>ROW(LineærRegression_Valg[[#This Row],[Tabel ID]])-ROW(LineærRegression_Valg[[#Headers],[Tabel ID]])</f>
        <v>2245</v>
      </c>
      <c r="B2255" s="188">
        <f>ROUNDDOWN((LineærRegression_Valg[[#This Row],[Tabel ID]]-1)/$B$5,0)+1</f>
        <v>562</v>
      </c>
      <c r="C2255" s="188">
        <f t="shared" si="35"/>
        <v>1</v>
      </c>
      <c r="D2255" s="188" t="b">
        <f>LineærRegression_Valg[[#This Row],[Afhængig variabel ID]]&lt;&gt;LineærRegression_Valg[[#This Row],[Uafhængig variabel ID]]</f>
        <v>1</v>
      </c>
      <c r="E2255" s="188" t="b">
        <f>LineærRegression_Valg[[#This Row],[Afhængig variabel ID]]&lt;=$B$5</f>
        <v>0</v>
      </c>
      <c r="F2255" t="str" cm="1">
        <f t="array" ref="F2255">IF(LineærRegression_Valg[[#This Row],[Indenfor range]],INDEX(DataTitel_liste,LineærRegression_Valg[[#This Row],[Afhængig variabel ID]]),INDEX(DataTitel_liste,1))</f>
        <v>Eksempel 1 (interval)</v>
      </c>
      <c r="G2255" s="188" t="str" cm="1">
        <f t="array" ref="G2255">IF(LineærRegression_Valg[[#This Row],[Indenfor range]],IF(LineærRegression_Valg[[#This Row],[Intet overlap]],INDEX(DataTitel_liste,LineærRegression_Valg[[#This Row],[Uafhængig variabel ID]]),INDEX(DataTitel_liste,IF(LineærRegression_Valg[[#This Row],[Afhængig variabel ID]]=1,2,1))),$B$7)</f>
        <v>Eksempel 2 (interval)</v>
      </c>
      <c r="H2255" s="188">
        <f>_xlfn.AGGREGATE(2,5,LineærRegression_Valg[[#This Row],[Tabel ID]])</f>
        <v>1</v>
      </c>
    </row>
    <row r="2256" spans="1:8" x14ac:dyDescent="0.2">
      <c r="A2256">
        <f>ROW(LineærRegression_Valg[[#This Row],[Tabel ID]])-ROW(LineærRegression_Valg[[#Headers],[Tabel ID]])</f>
        <v>2246</v>
      </c>
      <c r="B2256" s="188">
        <f>ROUNDDOWN((LineærRegression_Valg[[#This Row],[Tabel ID]]-1)/$B$5,0)+1</f>
        <v>562</v>
      </c>
      <c r="C2256" s="188">
        <f t="shared" si="35"/>
        <v>2</v>
      </c>
      <c r="D2256" s="188" t="b">
        <f>LineærRegression_Valg[[#This Row],[Afhængig variabel ID]]&lt;&gt;LineærRegression_Valg[[#This Row],[Uafhængig variabel ID]]</f>
        <v>1</v>
      </c>
      <c r="E2256" s="188" t="b">
        <f>LineærRegression_Valg[[#This Row],[Afhængig variabel ID]]&lt;=$B$5</f>
        <v>0</v>
      </c>
      <c r="F2256" t="str" cm="1">
        <f t="array" ref="F2256">IF(LineærRegression_Valg[[#This Row],[Indenfor range]],INDEX(DataTitel_liste,LineærRegression_Valg[[#This Row],[Afhængig variabel ID]]),INDEX(DataTitel_liste,1))</f>
        <v>Eksempel 1 (interval)</v>
      </c>
      <c r="G2256" s="188" t="str" cm="1">
        <f t="array" ref="G2256">IF(LineærRegression_Valg[[#This Row],[Indenfor range]],IF(LineærRegression_Valg[[#This Row],[Intet overlap]],INDEX(DataTitel_liste,LineærRegression_Valg[[#This Row],[Uafhængig variabel ID]]),INDEX(DataTitel_liste,IF(LineærRegression_Valg[[#This Row],[Afhængig variabel ID]]=1,2,1))),$B$7)</f>
        <v>Eksempel 2 (interval)</v>
      </c>
      <c r="H2256" s="188">
        <f>_xlfn.AGGREGATE(2,5,LineærRegression_Valg[[#This Row],[Tabel ID]])</f>
        <v>1</v>
      </c>
    </row>
    <row r="2257" spans="1:8" x14ac:dyDescent="0.2">
      <c r="A2257">
        <f>ROW(LineærRegression_Valg[[#This Row],[Tabel ID]])-ROW(LineærRegression_Valg[[#Headers],[Tabel ID]])</f>
        <v>2247</v>
      </c>
      <c r="B2257" s="188">
        <f>ROUNDDOWN((LineærRegression_Valg[[#This Row],[Tabel ID]]-1)/$B$5,0)+1</f>
        <v>562</v>
      </c>
      <c r="C2257" s="188">
        <f t="shared" si="35"/>
        <v>3</v>
      </c>
      <c r="D2257" s="188" t="b">
        <f>LineærRegression_Valg[[#This Row],[Afhængig variabel ID]]&lt;&gt;LineærRegression_Valg[[#This Row],[Uafhængig variabel ID]]</f>
        <v>1</v>
      </c>
      <c r="E2257" s="188" t="b">
        <f>LineærRegression_Valg[[#This Row],[Afhængig variabel ID]]&lt;=$B$5</f>
        <v>0</v>
      </c>
      <c r="F2257" t="str" cm="1">
        <f t="array" ref="F2257">IF(LineærRegression_Valg[[#This Row],[Indenfor range]],INDEX(DataTitel_liste,LineærRegression_Valg[[#This Row],[Afhængig variabel ID]]),INDEX(DataTitel_liste,1))</f>
        <v>Eksempel 1 (interval)</v>
      </c>
      <c r="G2257" s="188" t="str" cm="1">
        <f t="array" ref="G2257">IF(LineærRegression_Valg[[#This Row],[Indenfor range]],IF(LineærRegression_Valg[[#This Row],[Intet overlap]],INDEX(DataTitel_liste,LineærRegression_Valg[[#This Row],[Uafhængig variabel ID]]),INDEX(DataTitel_liste,IF(LineærRegression_Valg[[#This Row],[Afhængig variabel ID]]=1,2,1))),$B$7)</f>
        <v>Eksempel 2 (interval)</v>
      </c>
      <c r="H2257" s="188">
        <f>_xlfn.AGGREGATE(2,5,LineærRegression_Valg[[#This Row],[Tabel ID]])</f>
        <v>1</v>
      </c>
    </row>
    <row r="2258" spans="1:8" x14ac:dyDescent="0.2">
      <c r="A2258">
        <f>ROW(LineærRegression_Valg[[#This Row],[Tabel ID]])-ROW(LineærRegression_Valg[[#Headers],[Tabel ID]])</f>
        <v>2248</v>
      </c>
      <c r="B2258" s="188">
        <f>ROUNDDOWN((LineærRegression_Valg[[#This Row],[Tabel ID]]-1)/$B$5,0)+1</f>
        <v>562</v>
      </c>
      <c r="C2258" s="188">
        <f t="shared" si="35"/>
        <v>4</v>
      </c>
      <c r="D2258" s="188" t="b">
        <f>LineærRegression_Valg[[#This Row],[Afhængig variabel ID]]&lt;&gt;LineærRegression_Valg[[#This Row],[Uafhængig variabel ID]]</f>
        <v>1</v>
      </c>
      <c r="E2258" s="188" t="b">
        <f>LineærRegression_Valg[[#This Row],[Afhængig variabel ID]]&lt;=$B$5</f>
        <v>0</v>
      </c>
      <c r="F2258" t="str" cm="1">
        <f t="array" ref="F2258">IF(LineærRegression_Valg[[#This Row],[Indenfor range]],INDEX(DataTitel_liste,LineærRegression_Valg[[#This Row],[Afhængig variabel ID]]),INDEX(DataTitel_liste,1))</f>
        <v>Eksempel 1 (interval)</v>
      </c>
      <c r="G2258" s="188" t="str" cm="1">
        <f t="array" ref="G2258">IF(LineærRegression_Valg[[#This Row],[Indenfor range]],IF(LineærRegression_Valg[[#This Row],[Intet overlap]],INDEX(DataTitel_liste,LineærRegression_Valg[[#This Row],[Uafhængig variabel ID]]),INDEX(DataTitel_liste,IF(LineærRegression_Valg[[#This Row],[Afhængig variabel ID]]=1,2,1))),$B$7)</f>
        <v>Eksempel 2 (interval)</v>
      </c>
      <c r="H2258" s="188">
        <f>_xlfn.AGGREGATE(2,5,LineærRegression_Valg[[#This Row],[Tabel ID]])</f>
        <v>1</v>
      </c>
    </row>
    <row r="2259" spans="1:8" x14ac:dyDescent="0.2">
      <c r="A2259">
        <f>ROW(LineærRegression_Valg[[#This Row],[Tabel ID]])-ROW(LineærRegression_Valg[[#Headers],[Tabel ID]])</f>
        <v>2249</v>
      </c>
      <c r="B2259" s="188">
        <f>ROUNDDOWN((LineærRegression_Valg[[#This Row],[Tabel ID]]-1)/$B$5,0)+1</f>
        <v>563</v>
      </c>
      <c r="C2259" s="188">
        <f t="shared" si="35"/>
        <v>1</v>
      </c>
      <c r="D2259" s="188" t="b">
        <f>LineærRegression_Valg[[#This Row],[Afhængig variabel ID]]&lt;&gt;LineærRegression_Valg[[#This Row],[Uafhængig variabel ID]]</f>
        <v>1</v>
      </c>
      <c r="E2259" s="188" t="b">
        <f>LineærRegression_Valg[[#This Row],[Afhængig variabel ID]]&lt;=$B$5</f>
        <v>0</v>
      </c>
      <c r="F2259" t="str" cm="1">
        <f t="array" ref="F2259">IF(LineærRegression_Valg[[#This Row],[Indenfor range]],INDEX(DataTitel_liste,LineærRegression_Valg[[#This Row],[Afhængig variabel ID]]),INDEX(DataTitel_liste,1))</f>
        <v>Eksempel 1 (interval)</v>
      </c>
      <c r="G2259" s="188" t="str" cm="1">
        <f t="array" ref="G2259">IF(LineærRegression_Valg[[#This Row],[Indenfor range]],IF(LineærRegression_Valg[[#This Row],[Intet overlap]],INDEX(DataTitel_liste,LineærRegression_Valg[[#This Row],[Uafhængig variabel ID]]),INDEX(DataTitel_liste,IF(LineærRegression_Valg[[#This Row],[Afhængig variabel ID]]=1,2,1))),$B$7)</f>
        <v>Eksempel 2 (interval)</v>
      </c>
      <c r="H2259" s="188">
        <f>_xlfn.AGGREGATE(2,5,LineærRegression_Valg[[#This Row],[Tabel ID]])</f>
        <v>1</v>
      </c>
    </row>
    <row r="2260" spans="1:8" x14ac:dyDescent="0.2">
      <c r="A2260">
        <f>ROW(LineærRegression_Valg[[#This Row],[Tabel ID]])-ROW(LineærRegression_Valg[[#Headers],[Tabel ID]])</f>
        <v>2250</v>
      </c>
      <c r="B2260" s="188">
        <f>ROUNDDOWN((LineærRegression_Valg[[#This Row],[Tabel ID]]-1)/$B$5,0)+1</f>
        <v>563</v>
      </c>
      <c r="C2260" s="188">
        <f t="shared" si="35"/>
        <v>2</v>
      </c>
      <c r="D2260" s="188" t="b">
        <f>LineærRegression_Valg[[#This Row],[Afhængig variabel ID]]&lt;&gt;LineærRegression_Valg[[#This Row],[Uafhængig variabel ID]]</f>
        <v>1</v>
      </c>
      <c r="E2260" s="188" t="b">
        <f>LineærRegression_Valg[[#This Row],[Afhængig variabel ID]]&lt;=$B$5</f>
        <v>0</v>
      </c>
      <c r="F2260" t="str" cm="1">
        <f t="array" ref="F2260">IF(LineærRegression_Valg[[#This Row],[Indenfor range]],INDEX(DataTitel_liste,LineærRegression_Valg[[#This Row],[Afhængig variabel ID]]),INDEX(DataTitel_liste,1))</f>
        <v>Eksempel 1 (interval)</v>
      </c>
      <c r="G2260" s="188" t="str" cm="1">
        <f t="array" ref="G2260">IF(LineærRegression_Valg[[#This Row],[Indenfor range]],IF(LineærRegression_Valg[[#This Row],[Intet overlap]],INDEX(DataTitel_liste,LineærRegression_Valg[[#This Row],[Uafhængig variabel ID]]),INDEX(DataTitel_liste,IF(LineærRegression_Valg[[#This Row],[Afhængig variabel ID]]=1,2,1))),$B$7)</f>
        <v>Eksempel 2 (interval)</v>
      </c>
      <c r="H2260" s="188">
        <f>_xlfn.AGGREGATE(2,5,LineærRegression_Valg[[#This Row],[Tabel ID]])</f>
        <v>1</v>
      </c>
    </row>
    <row r="2261" spans="1:8" x14ac:dyDescent="0.2">
      <c r="A2261">
        <f>ROW(LineærRegression_Valg[[#This Row],[Tabel ID]])-ROW(LineærRegression_Valg[[#Headers],[Tabel ID]])</f>
        <v>2251</v>
      </c>
      <c r="B2261" s="188">
        <f>ROUNDDOWN((LineærRegression_Valg[[#This Row],[Tabel ID]]-1)/$B$5,0)+1</f>
        <v>563</v>
      </c>
      <c r="C2261" s="188">
        <f t="shared" si="35"/>
        <v>3</v>
      </c>
      <c r="D2261" s="188" t="b">
        <f>LineærRegression_Valg[[#This Row],[Afhængig variabel ID]]&lt;&gt;LineærRegression_Valg[[#This Row],[Uafhængig variabel ID]]</f>
        <v>1</v>
      </c>
      <c r="E2261" s="188" t="b">
        <f>LineærRegression_Valg[[#This Row],[Afhængig variabel ID]]&lt;=$B$5</f>
        <v>0</v>
      </c>
      <c r="F2261" t="str" cm="1">
        <f t="array" ref="F2261">IF(LineærRegression_Valg[[#This Row],[Indenfor range]],INDEX(DataTitel_liste,LineærRegression_Valg[[#This Row],[Afhængig variabel ID]]),INDEX(DataTitel_liste,1))</f>
        <v>Eksempel 1 (interval)</v>
      </c>
      <c r="G2261" s="188" t="str" cm="1">
        <f t="array" ref="G2261">IF(LineærRegression_Valg[[#This Row],[Indenfor range]],IF(LineærRegression_Valg[[#This Row],[Intet overlap]],INDEX(DataTitel_liste,LineærRegression_Valg[[#This Row],[Uafhængig variabel ID]]),INDEX(DataTitel_liste,IF(LineærRegression_Valg[[#This Row],[Afhængig variabel ID]]=1,2,1))),$B$7)</f>
        <v>Eksempel 2 (interval)</v>
      </c>
      <c r="H2261" s="188">
        <f>_xlfn.AGGREGATE(2,5,LineærRegression_Valg[[#This Row],[Tabel ID]])</f>
        <v>1</v>
      </c>
    </row>
    <row r="2262" spans="1:8" x14ac:dyDescent="0.2">
      <c r="A2262">
        <f>ROW(LineærRegression_Valg[[#This Row],[Tabel ID]])-ROW(LineærRegression_Valg[[#Headers],[Tabel ID]])</f>
        <v>2252</v>
      </c>
      <c r="B2262" s="188">
        <f>ROUNDDOWN((LineærRegression_Valg[[#This Row],[Tabel ID]]-1)/$B$5,0)+1</f>
        <v>563</v>
      </c>
      <c r="C2262" s="188">
        <f t="shared" si="35"/>
        <v>4</v>
      </c>
      <c r="D2262" s="188" t="b">
        <f>LineærRegression_Valg[[#This Row],[Afhængig variabel ID]]&lt;&gt;LineærRegression_Valg[[#This Row],[Uafhængig variabel ID]]</f>
        <v>1</v>
      </c>
      <c r="E2262" s="188" t="b">
        <f>LineærRegression_Valg[[#This Row],[Afhængig variabel ID]]&lt;=$B$5</f>
        <v>0</v>
      </c>
      <c r="F2262" t="str" cm="1">
        <f t="array" ref="F2262">IF(LineærRegression_Valg[[#This Row],[Indenfor range]],INDEX(DataTitel_liste,LineærRegression_Valg[[#This Row],[Afhængig variabel ID]]),INDEX(DataTitel_liste,1))</f>
        <v>Eksempel 1 (interval)</v>
      </c>
      <c r="G2262" s="188" t="str" cm="1">
        <f t="array" ref="G2262">IF(LineærRegression_Valg[[#This Row],[Indenfor range]],IF(LineærRegression_Valg[[#This Row],[Intet overlap]],INDEX(DataTitel_liste,LineærRegression_Valg[[#This Row],[Uafhængig variabel ID]]),INDEX(DataTitel_liste,IF(LineærRegression_Valg[[#This Row],[Afhængig variabel ID]]=1,2,1))),$B$7)</f>
        <v>Eksempel 2 (interval)</v>
      </c>
      <c r="H2262" s="188">
        <f>_xlfn.AGGREGATE(2,5,LineærRegression_Valg[[#This Row],[Tabel ID]])</f>
        <v>1</v>
      </c>
    </row>
    <row r="2263" spans="1:8" x14ac:dyDescent="0.2">
      <c r="A2263">
        <f>ROW(LineærRegression_Valg[[#This Row],[Tabel ID]])-ROW(LineærRegression_Valg[[#Headers],[Tabel ID]])</f>
        <v>2253</v>
      </c>
      <c r="B2263" s="188">
        <f>ROUNDDOWN((LineærRegression_Valg[[#This Row],[Tabel ID]]-1)/$B$5,0)+1</f>
        <v>564</v>
      </c>
      <c r="C2263" s="188">
        <f t="shared" si="35"/>
        <v>1</v>
      </c>
      <c r="D2263" s="188" t="b">
        <f>LineærRegression_Valg[[#This Row],[Afhængig variabel ID]]&lt;&gt;LineærRegression_Valg[[#This Row],[Uafhængig variabel ID]]</f>
        <v>1</v>
      </c>
      <c r="E2263" s="188" t="b">
        <f>LineærRegression_Valg[[#This Row],[Afhængig variabel ID]]&lt;=$B$5</f>
        <v>0</v>
      </c>
      <c r="F2263" t="str" cm="1">
        <f t="array" ref="F2263">IF(LineærRegression_Valg[[#This Row],[Indenfor range]],INDEX(DataTitel_liste,LineærRegression_Valg[[#This Row],[Afhængig variabel ID]]),INDEX(DataTitel_liste,1))</f>
        <v>Eksempel 1 (interval)</v>
      </c>
      <c r="G2263" s="188" t="str" cm="1">
        <f t="array" ref="G2263">IF(LineærRegression_Valg[[#This Row],[Indenfor range]],IF(LineærRegression_Valg[[#This Row],[Intet overlap]],INDEX(DataTitel_liste,LineærRegression_Valg[[#This Row],[Uafhængig variabel ID]]),INDEX(DataTitel_liste,IF(LineærRegression_Valg[[#This Row],[Afhængig variabel ID]]=1,2,1))),$B$7)</f>
        <v>Eksempel 2 (interval)</v>
      </c>
      <c r="H2263" s="188">
        <f>_xlfn.AGGREGATE(2,5,LineærRegression_Valg[[#This Row],[Tabel ID]])</f>
        <v>1</v>
      </c>
    </row>
    <row r="2264" spans="1:8" x14ac:dyDescent="0.2">
      <c r="A2264">
        <f>ROW(LineærRegression_Valg[[#This Row],[Tabel ID]])-ROW(LineærRegression_Valg[[#Headers],[Tabel ID]])</f>
        <v>2254</v>
      </c>
      <c r="B2264" s="188">
        <f>ROUNDDOWN((LineærRegression_Valg[[#This Row],[Tabel ID]]-1)/$B$5,0)+1</f>
        <v>564</v>
      </c>
      <c r="C2264" s="188">
        <f t="shared" si="35"/>
        <v>2</v>
      </c>
      <c r="D2264" s="188" t="b">
        <f>LineærRegression_Valg[[#This Row],[Afhængig variabel ID]]&lt;&gt;LineærRegression_Valg[[#This Row],[Uafhængig variabel ID]]</f>
        <v>1</v>
      </c>
      <c r="E2264" s="188" t="b">
        <f>LineærRegression_Valg[[#This Row],[Afhængig variabel ID]]&lt;=$B$5</f>
        <v>0</v>
      </c>
      <c r="F2264" t="str" cm="1">
        <f t="array" ref="F2264">IF(LineærRegression_Valg[[#This Row],[Indenfor range]],INDEX(DataTitel_liste,LineærRegression_Valg[[#This Row],[Afhængig variabel ID]]),INDEX(DataTitel_liste,1))</f>
        <v>Eksempel 1 (interval)</v>
      </c>
      <c r="G2264" s="188" t="str" cm="1">
        <f t="array" ref="G2264">IF(LineærRegression_Valg[[#This Row],[Indenfor range]],IF(LineærRegression_Valg[[#This Row],[Intet overlap]],INDEX(DataTitel_liste,LineærRegression_Valg[[#This Row],[Uafhængig variabel ID]]),INDEX(DataTitel_liste,IF(LineærRegression_Valg[[#This Row],[Afhængig variabel ID]]=1,2,1))),$B$7)</f>
        <v>Eksempel 2 (interval)</v>
      </c>
      <c r="H2264" s="188">
        <f>_xlfn.AGGREGATE(2,5,LineærRegression_Valg[[#This Row],[Tabel ID]])</f>
        <v>1</v>
      </c>
    </row>
    <row r="2265" spans="1:8" x14ac:dyDescent="0.2">
      <c r="A2265">
        <f>ROW(LineærRegression_Valg[[#This Row],[Tabel ID]])-ROW(LineærRegression_Valg[[#Headers],[Tabel ID]])</f>
        <v>2255</v>
      </c>
      <c r="B2265" s="188">
        <f>ROUNDDOWN((LineærRegression_Valg[[#This Row],[Tabel ID]]-1)/$B$5,0)+1</f>
        <v>564</v>
      </c>
      <c r="C2265" s="188">
        <f t="shared" si="35"/>
        <v>3</v>
      </c>
      <c r="D2265" s="188" t="b">
        <f>LineærRegression_Valg[[#This Row],[Afhængig variabel ID]]&lt;&gt;LineærRegression_Valg[[#This Row],[Uafhængig variabel ID]]</f>
        <v>1</v>
      </c>
      <c r="E2265" s="188" t="b">
        <f>LineærRegression_Valg[[#This Row],[Afhængig variabel ID]]&lt;=$B$5</f>
        <v>0</v>
      </c>
      <c r="F2265" t="str" cm="1">
        <f t="array" ref="F2265">IF(LineærRegression_Valg[[#This Row],[Indenfor range]],INDEX(DataTitel_liste,LineærRegression_Valg[[#This Row],[Afhængig variabel ID]]),INDEX(DataTitel_liste,1))</f>
        <v>Eksempel 1 (interval)</v>
      </c>
      <c r="G2265" s="188" t="str" cm="1">
        <f t="array" ref="G2265">IF(LineærRegression_Valg[[#This Row],[Indenfor range]],IF(LineærRegression_Valg[[#This Row],[Intet overlap]],INDEX(DataTitel_liste,LineærRegression_Valg[[#This Row],[Uafhængig variabel ID]]),INDEX(DataTitel_liste,IF(LineærRegression_Valg[[#This Row],[Afhængig variabel ID]]=1,2,1))),$B$7)</f>
        <v>Eksempel 2 (interval)</v>
      </c>
      <c r="H2265" s="188">
        <f>_xlfn.AGGREGATE(2,5,LineærRegression_Valg[[#This Row],[Tabel ID]])</f>
        <v>1</v>
      </c>
    </row>
    <row r="2266" spans="1:8" x14ac:dyDescent="0.2">
      <c r="A2266">
        <f>ROW(LineærRegression_Valg[[#This Row],[Tabel ID]])-ROW(LineærRegression_Valg[[#Headers],[Tabel ID]])</f>
        <v>2256</v>
      </c>
      <c r="B2266" s="188">
        <f>ROUNDDOWN((LineærRegression_Valg[[#This Row],[Tabel ID]]-1)/$B$5,0)+1</f>
        <v>564</v>
      </c>
      <c r="C2266" s="188">
        <f t="shared" si="35"/>
        <v>4</v>
      </c>
      <c r="D2266" s="188" t="b">
        <f>LineærRegression_Valg[[#This Row],[Afhængig variabel ID]]&lt;&gt;LineærRegression_Valg[[#This Row],[Uafhængig variabel ID]]</f>
        <v>1</v>
      </c>
      <c r="E2266" s="188" t="b">
        <f>LineærRegression_Valg[[#This Row],[Afhængig variabel ID]]&lt;=$B$5</f>
        <v>0</v>
      </c>
      <c r="F2266" t="str" cm="1">
        <f t="array" ref="F2266">IF(LineærRegression_Valg[[#This Row],[Indenfor range]],INDEX(DataTitel_liste,LineærRegression_Valg[[#This Row],[Afhængig variabel ID]]),INDEX(DataTitel_liste,1))</f>
        <v>Eksempel 1 (interval)</v>
      </c>
      <c r="G2266" s="188" t="str" cm="1">
        <f t="array" ref="G2266">IF(LineærRegression_Valg[[#This Row],[Indenfor range]],IF(LineærRegression_Valg[[#This Row],[Intet overlap]],INDEX(DataTitel_liste,LineærRegression_Valg[[#This Row],[Uafhængig variabel ID]]),INDEX(DataTitel_liste,IF(LineærRegression_Valg[[#This Row],[Afhængig variabel ID]]=1,2,1))),$B$7)</f>
        <v>Eksempel 2 (interval)</v>
      </c>
      <c r="H2266" s="188">
        <f>_xlfn.AGGREGATE(2,5,LineærRegression_Valg[[#This Row],[Tabel ID]])</f>
        <v>1</v>
      </c>
    </row>
    <row r="2267" spans="1:8" x14ac:dyDescent="0.2">
      <c r="A2267">
        <f>ROW(LineærRegression_Valg[[#This Row],[Tabel ID]])-ROW(LineærRegression_Valg[[#Headers],[Tabel ID]])</f>
        <v>2257</v>
      </c>
      <c r="B2267" s="188">
        <f>ROUNDDOWN((LineærRegression_Valg[[#This Row],[Tabel ID]]-1)/$B$5,0)+1</f>
        <v>565</v>
      </c>
      <c r="C2267" s="188">
        <f t="shared" si="35"/>
        <v>1</v>
      </c>
      <c r="D2267" s="188" t="b">
        <f>LineærRegression_Valg[[#This Row],[Afhængig variabel ID]]&lt;&gt;LineærRegression_Valg[[#This Row],[Uafhængig variabel ID]]</f>
        <v>1</v>
      </c>
      <c r="E2267" s="188" t="b">
        <f>LineærRegression_Valg[[#This Row],[Afhængig variabel ID]]&lt;=$B$5</f>
        <v>0</v>
      </c>
      <c r="F2267" t="str" cm="1">
        <f t="array" ref="F2267">IF(LineærRegression_Valg[[#This Row],[Indenfor range]],INDEX(DataTitel_liste,LineærRegression_Valg[[#This Row],[Afhængig variabel ID]]),INDEX(DataTitel_liste,1))</f>
        <v>Eksempel 1 (interval)</v>
      </c>
      <c r="G2267" s="188" t="str" cm="1">
        <f t="array" ref="G2267">IF(LineærRegression_Valg[[#This Row],[Indenfor range]],IF(LineærRegression_Valg[[#This Row],[Intet overlap]],INDEX(DataTitel_liste,LineærRegression_Valg[[#This Row],[Uafhængig variabel ID]]),INDEX(DataTitel_liste,IF(LineærRegression_Valg[[#This Row],[Afhængig variabel ID]]=1,2,1))),$B$7)</f>
        <v>Eksempel 2 (interval)</v>
      </c>
      <c r="H2267" s="188">
        <f>_xlfn.AGGREGATE(2,5,LineærRegression_Valg[[#This Row],[Tabel ID]])</f>
        <v>1</v>
      </c>
    </row>
    <row r="2268" spans="1:8" x14ac:dyDescent="0.2">
      <c r="A2268">
        <f>ROW(LineærRegression_Valg[[#This Row],[Tabel ID]])-ROW(LineærRegression_Valg[[#Headers],[Tabel ID]])</f>
        <v>2258</v>
      </c>
      <c r="B2268" s="188">
        <f>ROUNDDOWN((LineærRegression_Valg[[#This Row],[Tabel ID]]-1)/$B$5,0)+1</f>
        <v>565</v>
      </c>
      <c r="C2268" s="188">
        <f t="shared" si="35"/>
        <v>2</v>
      </c>
      <c r="D2268" s="188" t="b">
        <f>LineærRegression_Valg[[#This Row],[Afhængig variabel ID]]&lt;&gt;LineærRegression_Valg[[#This Row],[Uafhængig variabel ID]]</f>
        <v>1</v>
      </c>
      <c r="E2268" s="188" t="b">
        <f>LineærRegression_Valg[[#This Row],[Afhængig variabel ID]]&lt;=$B$5</f>
        <v>0</v>
      </c>
      <c r="F2268" t="str" cm="1">
        <f t="array" ref="F2268">IF(LineærRegression_Valg[[#This Row],[Indenfor range]],INDEX(DataTitel_liste,LineærRegression_Valg[[#This Row],[Afhængig variabel ID]]),INDEX(DataTitel_liste,1))</f>
        <v>Eksempel 1 (interval)</v>
      </c>
      <c r="G2268" s="188" t="str" cm="1">
        <f t="array" ref="G2268">IF(LineærRegression_Valg[[#This Row],[Indenfor range]],IF(LineærRegression_Valg[[#This Row],[Intet overlap]],INDEX(DataTitel_liste,LineærRegression_Valg[[#This Row],[Uafhængig variabel ID]]),INDEX(DataTitel_liste,IF(LineærRegression_Valg[[#This Row],[Afhængig variabel ID]]=1,2,1))),$B$7)</f>
        <v>Eksempel 2 (interval)</v>
      </c>
      <c r="H2268" s="188">
        <f>_xlfn.AGGREGATE(2,5,LineærRegression_Valg[[#This Row],[Tabel ID]])</f>
        <v>1</v>
      </c>
    </row>
    <row r="2269" spans="1:8" x14ac:dyDescent="0.2">
      <c r="A2269">
        <f>ROW(LineærRegression_Valg[[#This Row],[Tabel ID]])-ROW(LineærRegression_Valg[[#Headers],[Tabel ID]])</f>
        <v>2259</v>
      </c>
      <c r="B2269" s="188">
        <f>ROUNDDOWN((LineærRegression_Valg[[#This Row],[Tabel ID]]-1)/$B$5,0)+1</f>
        <v>565</v>
      </c>
      <c r="C2269" s="188">
        <f t="shared" si="35"/>
        <v>3</v>
      </c>
      <c r="D2269" s="188" t="b">
        <f>LineærRegression_Valg[[#This Row],[Afhængig variabel ID]]&lt;&gt;LineærRegression_Valg[[#This Row],[Uafhængig variabel ID]]</f>
        <v>1</v>
      </c>
      <c r="E2269" s="188" t="b">
        <f>LineærRegression_Valg[[#This Row],[Afhængig variabel ID]]&lt;=$B$5</f>
        <v>0</v>
      </c>
      <c r="F2269" t="str" cm="1">
        <f t="array" ref="F2269">IF(LineærRegression_Valg[[#This Row],[Indenfor range]],INDEX(DataTitel_liste,LineærRegression_Valg[[#This Row],[Afhængig variabel ID]]),INDEX(DataTitel_liste,1))</f>
        <v>Eksempel 1 (interval)</v>
      </c>
      <c r="G2269" s="188" t="str" cm="1">
        <f t="array" ref="G2269">IF(LineærRegression_Valg[[#This Row],[Indenfor range]],IF(LineærRegression_Valg[[#This Row],[Intet overlap]],INDEX(DataTitel_liste,LineærRegression_Valg[[#This Row],[Uafhængig variabel ID]]),INDEX(DataTitel_liste,IF(LineærRegression_Valg[[#This Row],[Afhængig variabel ID]]=1,2,1))),$B$7)</f>
        <v>Eksempel 2 (interval)</v>
      </c>
      <c r="H2269" s="188">
        <f>_xlfn.AGGREGATE(2,5,LineærRegression_Valg[[#This Row],[Tabel ID]])</f>
        <v>1</v>
      </c>
    </row>
    <row r="2270" spans="1:8" x14ac:dyDescent="0.2">
      <c r="A2270">
        <f>ROW(LineærRegression_Valg[[#This Row],[Tabel ID]])-ROW(LineærRegression_Valg[[#Headers],[Tabel ID]])</f>
        <v>2260</v>
      </c>
      <c r="B2270" s="188">
        <f>ROUNDDOWN((LineærRegression_Valg[[#This Row],[Tabel ID]]-1)/$B$5,0)+1</f>
        <v>565</v>
      </c>
      <c r="C2270" s="188">
        <f t="shared" si="35"/>
        <v>4</v>
      </c>
      <c r="D2270" s="188" t="b">
        <f>LineærRegression_Valg[[#This Row],[Afhængig variabel ID]]&lt;&gt;LineærRegression_Valg[[#This Row],[Uafhængig variabel ID]]</f>
        <v>1</v>
      </c>
      <c r="E2270" s="188" t="b">
        <f>LineærRegression_Valg[[#This Row],[Afhængig variabel ID]]&lt;=$B$5</f>
        <v>0</v>
      </c>
      <c r="F2270" t="str" cm="1">
        <f t="array" ref="F2270">IF(LineærRegression_Valg[[#This Row],[Indenfor range]],INDEX(DataTitel_liste,LineærRegression_Valg[[#This Row],[Afhængig variabel ID]]),INDEX(DataTitel_liste,1))</f>
        <v>Eksempel 1 (interval)</v>
      </c>
      <c r="G2270" s="188" t="str" cm="1">
        <f t="array" ref="G2270">IF(LineærRegression_Valg[[#This Row],[Indenfor range]],IF(LineærRegression_Valg[[#This Row],[Intet overlap]],INDEX(DataTitel_liste,LineærRegression_Valg[[#This Row],[Uafhængig variabel ID]]),INDEX(DataTitel_liste,IF(LineærRegression_Valg[[#This Row],[Afhængig variabel ID]]=1,2,1))),$B$7)</f>
        <v>Eksempel 2 (interval)</v>
      </c>
      <c r="H2270" s="188">
        <f>_xlfn.AGGREGATE(2,5,LineærRegression_Valg[[#This Row],[Tabel ID]])</f>
        <v>1</v>
      </c>
    </row>
    <row r="2271" spans="1:8" x14ac:dyDescent="0.2">
      <c r="A2271">
        <f>ROW(LineærRegression_Valg[[#This Row],[Tabel ID]])-ROW(LineærRegression_Valg[[#Headers],[Tabel ID]])</f>
        <v>2261</v>
      </c>
      <c r="B2271" s="188">
        <f>ROUNDDOWN((LineærRegression_Valg[[#This Row],[Tabel ID]]-1)/$B$5,0)+1</f>
        <v>566</v>
      </c>
      <c r="C2271" s="188">
        <f t="shared" si="35"/>
        <v>1</v>
      </c>
      <c r="D2271" s="188" t="b">
        <f>LineærRegression_Valg[[#This Row],[Afhængig variabel ID]]&lt;&gt;LineærRegression_Valg[[#This Row],[Uafhængig variabel ID]]</f>
        <v>1</v>
      </c>
      <c r="E2271" s="188" t="b">
        <f>LineærRegression_Valg[[#This Row],[Afhængig variabel ID]]&lt;=$B$5</f>
        <v>0</v>
      </c>
      <c r="F2271" t="str" cm="1">
        <f t="array" ref="F2271">IF(LineærRegression_Valg[[#This Row],[Indenfor range]],INDEX(DataTitel_liste,LineærRegression_Valg[[#This Row],[Afhængig variabel ID]]),INDEX(DataTitel_liste,1))</f>
        <v>Eksempel 1 (interval)</v>
      </c>
      <c r="G2271" s="188" t="str" cm="1">
        <f t="array" ref="G2271">IF(LineærRegression_Valg[[#This Row],[Indenfor range]],IF(LineærRegression_Valg[[#This Row],[Intet overlap]],INDEX(DataTitel_liste,LineærRegression_Valg[[#This Row],[Uafhængig variabel ID]]),INDEX(DataTitel_liste,IF(LineærRegression_Valg[[#This Row],[Afhængig variabel ID]]=1,2,1))),$B$7)</f>
        <v>Eksempel 2 (interval)</v>
      </c>
      <c r="H2271" s="188">
        <f>_xlfn.AGGREGATE(2,5,LineærRegression_Valg[[#This Row],[Tabel ID]])</f>
        <v>1</v>
      </c>
    </row>
    <row r="2272" spans="1:8" x14ac:dyDescent="0.2">
      <c r="A2272">
        <f>ROW(LineærRegression_Valg[[#This Row],[Tabel ID]])-ROW(LineærRegression_Valg[[#Headers],[Tabel ID]])</f>
        <v>2262</v>
      </c>
      <c r="B2272" s="188">
        <f>ROUNDDOWN((LineærRegression_Valg[[#This Row],[Tabel ID]]-1)/$B$5,0)+1</f>
        <v>566</v>
      </c>
      <c r="C2272" s="188">
        <f t="shared" si="35"/>
        <v>2</v>
      </c>
      <c r="D2272" s="188" t="b">
        <f>LineærRegression_Valg[[#This Row],[Afhængig variabel ID]]&lt;&gt;LineærRegression_Valg[[#This Row],[Uafhængig variabel ID]]</f>
        <v>1</v>
      </c>
      <c r="E2272" s="188" t="b">
        <f>LineærRegression_Valg[[#This Row],[Afhængig variabel ID]]&lt;=$B$5</f>
        <v>0</v>
      </c>
      <c r="F2272" t="str" cm="1">
        <f t="array" ref="F2272">IF(LineærRegression_Valg[[#This Row],[Indenfor range]],INDEX(DataTitel_liste,LineærRegression_Valg[[#This Row],[Afhængig variabel ID]]),INDEX(DataTitel_liste,1))</f>
        <v>Eksempel 1 (interval)</v>
      </c>
      <c r="G2272" s="188" t="str" cm="1">
        <f t="array" ref="G2272">IF(LineærRegression_Valg[[#This Row],[Indenfor range]],IF(LineærRegression_Valg[[#This Row],[Intet overlap]],INDEX(DataTitel_liste,LineærRegression_Valg[[#This Row],[Uafhængig variabel ID]]),INDEX(DataTitel_liste,IF(LineærRegression_Valg[[#This Row],[Afhængig variabel ID]]=1,2,1))),$B$7)</f>
        <v>Eksempel 2 (interval)</v>
      </c>
      <c r="H2272" s="188">
        <f>_xlfn.AGGREGATE(2,5,LineærRegression_Valg[[#This Row],[Tabel ID]])</f>
        <v>1</v>
      </c>
    </row>
    <row r="2273" spans="1:8" x14ac:dyDescent="0.2">
      <c r="A2273">
        <f>ROW(LineærRegression_Valg[[#This Row],[Tabel ID]])-ROW(LineærRegression_Valg[[#Headers],[Tabel ID]])</f>
        <v>2263</v>
      </c>
      <c r="B2273" s="188">
        <f>ROUNDDOWN((LineærRegression_Valg[[#This Row],[Tabel ID]]-1)/$B$5,0)+1</f>
        <v>566</v>
      </c>
      <c r="C2273" s="188">
        <f t="shared" si="35"/>
        <v>3</v>
      </c>
      <c r="D2273" s="188" t="b">
        <f>LineærRegression_Valg[[#This Row],[Afhængig variabel ID]]&lt;&gt;LineærRegression_Valg[[#This Row],[Uafhængig variabel ID]]</f>
        <v>1</v>
      </c>
      <c r="E2273" s="188" t="b">
        <f>LineærRegression_Valg[[#This Row],[Afhængig variabel ID]]&lt;=$B$5</f>
        <v>0</v>
      </c>
      <c r="F2273" t="str" cm="1">
        <f t="array" ref="F2273">IF(LineærRegression_Valg[[#This Row],[Indenfor range]],INDEX(DataTitel_liste,LineærRegression_Valg[[#This Row],[Afhængig variabel ID]]),INDEX(DataTitel_liste,1))</f>
        <v>Eksempel 1 (interval)</v>
      </c>
      <c r="G2273" s="188" t="str" cm="1">
        <f t="array" ref="G2273">IF(LineærRegression_Valg[[#This Row],[Indenfor range]],IF(LineærRegression_Valg[[#This Row],[Intet overlap]],INDEX(DataTitel_liste,LineærRegression_Valg[[#This Row],[Uafhængig variabel ID]]),INDEX(DataTitel_liste,IF(LineærRegression_Valg[[#This Row],[Afhængig variabel ID]]=1,2,1))),$B$7)</f>
        <v>Eksempel 2 (interval)</v>
      </c>
      <c r="H2273" s="188">
        <f>_xlfn.AGGREGATE(2,5,LineærRegression_Valg[[#This Row],[Tabel ID]])</f>
        <v>1</v>
      </c>
    </row>
    <row r="2274" spans="1:8" x14ac:dyDescent="0.2">
      <c r="A2274">
        <f>ROW(LineærRegression_Valg[[#This Row],[Tabel ID]])-ROW(LineærRegression_Valg[[#Headers],[Tabel ID]])</f>
        <v>2264</v>
      </c>
      <c r="B2274" s="188">
        <f>ROUNDDOWN((LineærRegression_Valg[[#This Row],[Tabel ID]]-1)/$B$5,0)+1</f>
        <v>566</v>
      </c>
      <c r="C2274" s="188">
        <f t="shared" si="35"/>
        <v>4</v>
      </c>
      <c r="D2274" s="188" t="b">
        <f>LineærRegression_Valg[[#This Row],[Afhængig variabel ID]]&lt;&gt;LineærRegression_Valg[[#This Row],[Uafhængig variabel ID]]</f>
        <v>1</v>
      </c>
      <c r="E2274" s="188" t="b">
        <f>LineærRegression_Valg[[#This Row],[Afhængig variabel ID]]&lt;=$B$5</f>
        <v>0</v>
      </c>
      <c r="F2274" t="str" cm="1">
        <f t="array" ref="F2274">IF(LineærRegression_Valg[[#This Row],[Indenfor range]],INDEX(DataTitel_liste,LineærRegression_Valg[[#This Row],[Afhængig variabel ID]]),INDEX(DataTitel_liste,1))</f>
        <v>Eksempel 1 (interval)</v>
      </c>
      <c r="G2274" s="188" t="str" cm="1">
        <f t="array" ref="G2274">IF(LineærRegression_Valg[[#This Row],[Indenfor range]],IF(LineærRegression_Valg[[#This Row],[Intet overlap]],INDEX(DataTitel_liste,LineærRegression_Valg[[#This Row],[Uafhængig variabel ID]]),INDEX(DataTitel_liste,IF(LineærRegression_Valg[[#This Row],[Afhængig variabel ID]]=1,2,1))),$B$7)</f>
        <v>Eksempel 2 (interval)</v>
      </c>
      <c r="H2274" s="188">
        <f>_xlfn.AGGREGATE(2,5,LineærRegression_Valg[[#This Row],[Tabel ID]])</f>
        <v>1</v>
      </c>
    </row>
    <row r="2275" spans="1:8" x14ac:dyDescent="0.2">
      <c r="A2275">
        <f>ROW(LineærRegression_Valg[[#This Row],[Tabel ID]])-ROW(LineærRegression_Valg[[#Headers],[Tabel ID]])</f>
        <v>2265</v>
      </c>
      <c r="B2275" s="188">
        <f>ROUNDDOWN((LineærRegression_Valg[[#This Row],[Tabel ID]]-1)/$B$5,0)+1</f>
        <v>567</v>
      </c>
      <c r="C2275" s="188">
        <f t="shared" si="35"/>
        <v>1</v>
      </c>
      <c r="D2275" s="188" t="b">
        <f>LineærRegression_Valg[[#This Row],[Afhængig variabel ID]]&lt;&gt;LineærRegression_Valg[[#This Row],[Uafhængig variabel ID]]</f>
        <v>1</v>
      </c>
      <c r="E2275" s="188" t="b">
        <f>LineærRegression_Valg[[#This Row],[Afhængig variabel ID]]&lt;=$B$5</f>
        <v>0</v>
      </c>
      <c r="F2275" t="str" cm="1">
        <f t="array" ref="F2275">IF(LineærRegression_Valg[[#This Row],[Indenfor range]],INDEX(DataTitel_liste,LineærRegression_Valg[[#This Row],[Afhængig variabel ID]]),INDEX(DataTitel_liste,1))</f>
        <v>Eksempel 1 (interval)</v>
      </c>
      <c r="G2275" s="188" t="str" cm="1">
        <f t="array" ref="G2275">IF(LineærRegression_Valg[[#This Row],[Indenfor range]],IF(LineærRegression_Valg[[#This Row],[Intet overlap]],INDEX(DataTitel_liste,LineærRegression_Valg[[#This Row],[Uafhængig variabel ID]]),INDEX(DataTitel_liste,IF(LineærRegression_Valg[[#This Row],[Afhængig variabel ID]]=1,2,1))),$B$7)</f>
        <v>Eksempel 2 (interval)</v>
      </c>
      <c r="H2275" s="188">
        <f>_xlfn.AGGREGATE(2,5,LineærRegression_Valg[[#This Row],[Tabel ID]])</f>
        <v>1</v>
      </c>
    </row>
    <row r="2276" spans="1:8" x14ac:dyDescent="0.2">
      <c r="A2276">
        <f>ROW(LineærRegression_Valg[[#This Row],[Tabel ID]])-ROW(LineærRegression_Valg[[#Headers],[Tabel ID]])</f>
        <v>2266</v>
      </c>
      <c r="B2276" s="188">
        <f>ROUNDDOWN((LineærRegression_Valg[[#This Row],[Tabel ID]]-1)/$B$5,0)+1</f>
        <v>567</v>
      </c>
      <c r="C2276" s="188">
        <f t="shared" si="35"/>
        <v>2</v>
      </c>
      <c r="D2276" s="188" t="b">
        <f>LineærRegression_Valg[[#This Row],[Afhængig variabel ID]]&lt;&gt;LineærRegression_Valg[[#This Row],[Uafhængig variabel ID]]</f>
        <v>1</v>
      </c>
      <c r="E2276" s="188" t="b">
        <f>LineærRegression_Valg[[#This Row],[Afhængig variabel ID]]&lt;=$B$5</f>
        <v>0</v>
      </c>
      <c r="F2276" t="str" cm="1">
        <f t="array" ref="F2276">IF(LineærRegression_Valg[[#This Row],[Indenfor range]],INDEX(DataTitel_liste,LineærRegression_Valg[[#This Row],[Afhængig variabel ID]]),INDEX(DataTitel_liste,1))</f>
        <v>Eksempel 1 (interval)</v>
      </c>
      <c r="G2276" s="188" t="str" cm="1">
        <f t="array" ref="G2276">IF(LineærRegression_Valg[[#This Row],[Indenfor range]],IF(LineærRegression_Valg[[#This Row],[Intet overlap]],INDEX(DataTitel_liste,LineærRegression_Valg[[#This Row],[Uafhængig variabel ID]]),INDEX(DataTitel_liste,IF(LineærRegression_Valg[[#This Row],[Afhængig variabel ID]]=1,2,1))),$B$7)</f>
        <v>Eksempel 2 (interval)</v>
      </c>
      <c r="H2276" s="188">
        <f>_xlfn.AGGREGATE(2,5,LineærRegression_Valg[[#This Row],[Tabel ID]])</f>
        <v>1</v>
      </c>
    </row>
    <row r="2277" spans="1:8" x14ac:dyDescent="0.2">
      <c r="A2277">
        <f>ROW(LineærRegression_Valg[[#This Row],[Tabel ID]])-ROW(LineærRegression_Valg[[#Headers],[Tabel ID]])</f>
        <v>2267</v>
      </c>
      <c r="B2277" s="188">
        <f>ROUNDDOWN((LineærRegression_Valg[[#This Row],[Tabel ID]]-1)/$B$5,0)+1</f>
        <v>567</v>
      </c>
      <c r="C2277" s="188">
        <f t="shared" si="35"/>
        <v>3</v>
      </c>
      <c r="D2277" s="188" t="b">
        <f>LineærRegression_Valg[[#This Row],[Afhængig variabel ID]]&lt;&gt;LineærRegression_Valg[[#This Row],[Uafhængig variabel ID]]</f>
        <v>1</v>
      </c>
      <c r="E2277" s="188" t="b">
        <f>LineærRegression_Valg[[#This Row],[Afhængig variabel ID]]&lt;=$B$5</f>
        <v>0</v>
      </c>
      <c r="F2277" t="str" cm="1">
        <f t="array" ref="F2277">IF(LineærRegression_Valg[[#This Row],[Indenfor range]],INDEX(DataTitel_liste,LineærRegression_Valg[[#This Row],[Afhængig variabel ID]]),INDEX(DataTitel_liste,1))</f>
        <v>Eksempel 1 (interval)</v>
      </c>
      <c r="G2277" s="188" t="str" cm="1">
        <f t="array" ref="G2277">IF(LineærRegression_Valg[[#This Row],[Indenfor range]],IF(LineærRegression_Valg[[#This Row],[Intet overlap]],INDEX(DataTitel_liste,LineærRegression_Valg[[#This Row],[Uafhængig variabel ID]]),INDEX(DataTitel_liste,IF(LineærRegression_Valg[[#This Row],[Afhængig variabel ID]]=1,2,1))),$B$7)</f>
        <v>Eksempel 2 (interval)</v>
      </c>
      <c r="H2277" s="188">
        <f>_xlfn.AGGREGATE(2,5,LineærRegression_Valg[[#This Row],[Tabel ID]])</f>
        <v>1</v>
      </c>
    </row>
    <row r="2278" spans="1:8" x14ac:dyDescent="0.2">
      <c r="A2278">
        <f>ROW(LineærRegression_Valg[[#This Row],[Tabel ID]])-ROW(LineærRegression_Valg[[#Headers],[Tabel ID]])</f>
        <v>2268</v>
      </c>
      <c r="B2278" s="188">
        <f>ROUNDDOWN((LineærRegression_Valg[[#This Row],[Tabel ID]]-1)/$B$5,0)+1</f>
        <v>567</v>
      </c>
      <c r="C2278" s="188">
        <f t="shared" si="35"/>
        <v>4</v>
      </c>
      <c r="D2278" s="188" t="b">
        <f>LineærRegression_Valg[[#This Row],[Afhængig variabel ID]]&lt;&gt;LineærRegression_Valg[[#This Row],[Uafhængig variabel ID]]</f>
        <v>1</v>
      </c>
      <c r="E2278" s="188" t="b">
        <f>LineærRegression_Valg[[#This Row],[Afhængig variabel ID]]&lt;=$B$5</f>
        <v>0</v>
      </c>
      <c r="F2278" t="str" cm="1">
        <f t="array" ref="F2278">IF(LineærRegression_Valg[[#This Row],[Indenfor range]],INDEX(DataTitel_liste,LineærRegression_Valg[[#This Row],[Afhængig variabel ID]]),INDEX(DataTitel_liste,1))</f>
        <v>Eksempel 1 (interval)</v>
      </c>
      <c r="G2278" s="188" t="str" cm="1">
        <f t="array" ref="G2278">IF(LineærRegression_Valg[[#This Row],[Indenfor range]],IF(LineærRegression_Valg[[#This Row],[Intet overlap]],INDEX(DataTitel_liste,LineærRegression_Valg[[#This Row],[Uafhængig variabel ID]]),INDEX(DataTitel_liste,IF(LineærRegression_Valg[[#This Row],[Afhængig variabel ID]]=1,2,1))),$B$7)</f>
        <v>Eksempel 2 (interval)</v>
      </c>
      <c r="H2278" s="188">
        <f>_xlfn.AGGREGATE(2,5,LineærRegression_Valg[[#This Row],[Tabel ID]])</f>
        <v>1</v>
      </c>
    </row>
    <row r="2279" spans="1:8" x14ac:dyDescent="0.2">
      <c r="A2279">
        <f>ROW(LineærRegression_Valg[[#This Row],[Tabel ID]])-ROW(LineærRegression_Valg[[#Headers],[Tabel ID]])</f>
        <v>2269</v>
      </c>
      <c r="B2279" s="188">
        <f>ROUNDDOWN((LineærRegression_Valg[[#This Row],[Tabel ID]]-1)/$B$5,0)+1</f>
        <v>568</v>
      </c>
      <c r="C2279" s="188">
        <f t="shared" si="35"/>
        <v>1</v>
      </c>
      <c r="D2279" s="188" t="b">
        <f>LineærRegression_Valg[[#This Row],[Afhængig variabel ID]]&lt;&gt;LineærRegression_Valg[[#This Row],[Uafhængig variabel ID]]</f>
        <v>1</v>
      </c>
      <c r="E2279" s="188" t="b">
        <f>LineærRegression_Valg[[#This Row],[Afhængig variabel ID]]&lt;=$B$5</f>
        <v>0</v>
      </c>
      <c r="F2279" t="str" cm="1">
        <f t="array" ref="F2279">IF(LineærRegression_Valg[[#This Row],[Indenfor range]],INDEX(DataTitel_liste,LineærRegression_Valg[[#This Row],[Afhængig variabel ID]]),INDEX(DataTitel_liste,1))</f>
        <v>Eksempel 1 (interval)</v>
      </c>
      <c r="G2279" s="188" t="str" cm="1">
        <f t="array" ref="G2279">IF(LineærRegression_Valg[[#This Row],[Indenfor range]],IF(LineærRegression_Valg[[#This Row],[Intet overlap]],INDEX(DataTitel_liste,LineærRegression_Valg[[#This Row],[Uafhængig variabel ID]]),INDEX(DataTitel_liste,IF(LineærRegression_Valg[[#This Row],[Afhængig variabel ID]]=1,2,1))),$B$7)</f>
        <v>Eksempel 2 (interval)</v>
      </c>
      <c r="H2279" s="188">
        <f>_xlfn.AGGREGATE(2,5,LineærRegression_Valg[[#This Row],[Tabel ID]])</f>
        <v>1</v>
      </c>
    </row>
    <row r="2280" spans="1:8" x14ac:dyDescent="0.2">
      <c r="A2280">
        <f>ROW(LineærRegression_Valg[[#This Row],[Tabel ID]])-ROW(LineærRegression_Valg[[#Headers],[Tabel ID]])</f>
        <v>2270</v>
      </c>
      <c r="B2280" s="188">
        <f>ROUNDDOWN((LineærRegression_Valg[[#This Row],[Tabel ID]]-1)/$B$5,0)+1</f>
        <v>568</v>
      </c>
      <c r="C2280" s="188">
        <f t="shared" si="35"/>
        <v>2</v>
      </c>
      <c r="D2280" s="188" t="b">
        <f>LineærRegression_Valg[[#This Row],[Afhængig variabel ID]]&lt;&gt;LineærRegression_Valg[[#This Row],[Uafhængig variabel ID]]</f>
        <v>1</v>
      </c>
      <c r="E2280" s="188" t="b">
        <f>LineærRegression_Valg[[#This Row],[Afhængig variabel ID]]&lt;=$B$5</f>
        <v>0</v>
      </c>
      <c r="F2280" t="str" cm="1">
        <f t="array" ref="F2280">IF(LineærRegression_Valg[[#This Row],[Indenfor range]],INDEX(DataTitel_liste,LineærRegression_Valg[[#This Row],[Afhængig variabel ID]]),INDEX(DataTitel_liste,1))</f>
        <v>Eksempel 1 (interval)</v>
      </c>
      <c r="G2280" s="188" t="str" cm="1">
        <f t="array" ref="G2280">IF(LineærRegression_Valg[[#This Row],[Indenfor range]],IF(LineærRegression_Valg[[#This Row],[Intet overlap]],INDEX(DataTitel_liste,LineærRegression_Valg[[#This Row],[Uafhængig variabel ID]]),INDEX(DataTitel_liste,IF(LineærRegression_Valg[[#This Row],[Afhængig variabel ID]]=1,2,1))),$B$7)</f>
        <v>Eksempel 2 (interval)</v>
      </c>
      <c r="H2280" s="188">
        <f>_xlfn.AGGREGATE(2,5,LineærRegression_Valg[[#This Row],[Tabel ID]])</f>
        <v>1</v>
      </c>
    </row>
    <row r="2281" spans="1:8" x14ac:dyDescent="0.2">
      <c r="A2281">
        <f>ROW(LineærRegression_Valg[[#This Row],[Tabel ID]])-ROW(LineærRegression_Valg[[#Headers],[Tabel ID]])</f>
        <v>2271</v>
      </c>
      <c r="B2281" s="188">
        <f>ROUNDDOWN((LineærRegression_Valg[[#This Row],[Tabel ID]]-1)/$B$5,0)+1</f>
        <v>568</v>
      </c>
      <c r="C2281" s="188">
        <f t="shared" si="35"/>
        <v>3</v>
      </c>
      <c r="D2281" s="188" t="b">
        <f>LineærRegression_Valg[[#This Row],[Afhængig variabel ID]]&lt;&gt;LineærRegression_Valg[[#This Row],[Uafhængig variabel ID]]</f>
        <v>1</v>
      </c>
      <c r="E2281" s="188" t="b">
        <f>LineærRegression_Valg[[#This Row],[Afhængig variabel ID]]&lt;=$B$5</f>
        <v>0</v>
      </c>
      <c r="F2281" t="str" cm="1">
        <f t="array" ref="F2281">IF(LineærRegression_Valg[[#This Row],[Indenfor range]],INDEX(DataTitel_liste,LineærRegression_Valg[[#This Row],[Afhængig variabel ID]]),INDEX(DataTitel_liste,1))</f>
        <v>Eksempel 1 (interval)</v>
      </c>
      <c r="G2281" s="188" t="str" cm="1">
        <f t="array" ref="G2281">IF(LineærRegression_Valg[[#This Row],[Indenfor range]],IF(LineærRegression_Valg[[#This Row],[Intet overlap]],INDEX(DataTitel_liste,LineærRegression_Valg[[#This Row],[Uafhængig variabel ID]]),INDEX(DataTitel_liste,IF(LineærRegression_Valg[[#This Row],[Afhængig variabel ID]]=1,2,1))),$B$7)</f>
        <v>Eksempel 2 (interval)</v>
      </c>
      <c r="H2281" s="188">
        <f>_xlfn.AGGREGATE(2,5,LineærRegression_Valg[[#This Row],[Tabel ID]])</f>
        <v>1</v>
      </c>
    </row>
    <row r="2282" spans="1:8" x14ac:dyDescent="0.2">
      <c r="A2282">
        <f>ROW(LineærRegression_Valg[[#This Row],[Tabel ID]])-ROW(LineærRegression_Valg[[#Headers],[Tabel ID]])</f>
        <v>2272</v>
      </c>
      <c r="B2282" s="188">
        <f>ROUNDDOWN((LineærRegression_Valg[[#This Row],[Tabel ID]]-1)/$B$5,0)+1</f>
        <v>568</v>
      </c>
      <c r="C2282" s="188">
        <f t="shared" si="35"/>
        <v>4</v>
      </c>
      <c r="D2282" s="188" t="b">
        <f>LineærRegression_Valg[[#This Row],[Afhængig variabel ID]]&lt;&gt;LineærRegression_Valg[[#This Row],[Uafhængig variabel ID]]</f>
        <v>1</v>
      </c>
      <c r="E2282" s="188" t="b">
        <f>LineærRegression_Valg[[#This Row],[Afhængig variabel ID]]&lt;=$B$5</f>
        <v>0</v>
      </c>
      <c r="F2282" t="str" cm="1">
        <f t="array" ref="F2282">IF(LineærRegression_Valg[[#This Row],[Indenfor range]],INDEX(DataTitel_liste,LineærRegression_Valg[[#This Row],[Afhængig variabel ID]]),INDEX(DataTitel_liste,1))</f>
        <v>Eksempel 1 (interval)</v>
      </c>
      <c r="G2282" s="188" t="str" cm="1">
        <f t="array" ref="G2282">IF(LineærRegression_Valg[[#This Row],[Indenfor range]],IF(LineærRegression_Valg[[#This Row],[Intet overlap]],INDEX(DataTitel_liste,LineærRegression_Valg[[#This Row],[Uafhængig variabel ID]]),INDEX(DataTitel_liste,IF(LineærRegression_Valg[[#This Row],[Afhængig variabel ID]]=1,2,1))),$B$7)</f>
        <v>Eksempel 2 (interval)</v>
      </c>
      <c r="H2282" s="188">
        <f>_xlfn.AGGREGATE(2,5,LineærRegression_Valg[[#This Row],[Tabel ID]])</f>
        <v>1</v>
      </c>
    </row>
    <row r="2283" spans="1:8" x14ac:dyDescent="0.2">
      <c r="A2283">
        <f>ROW(LineærRegression_Valg[[#This Row],[Tabel ID]])-ROW(LineærRegression_Valg[[#Headers],[Tabel ID]])</f>
        <v>2273</v>
      </c>
      <c r="B2283" s="188">
        <f>ROUNDDOWN((LineærRegression_Valg[[#This Row],[Tabel ID]]-1)/$B$5,0)+1</f>
        <v>569</v>
      </c>
      <c r="C2283" s="188">
        <f t="shared" si="35"/>
        <v>1</v>
      </c>
      <c r="D2283" s="188" t="b">
        <f>LineærRegression_Valg[[#This Row],[Afhængig variabel ID]]&lt;&gt;LineærRegression_Valg[[#This Row],[Uafhængig variabel ID]]</f>
        <v>1</v>
      </c>
      <c r="E2283" s="188" t="b">
        <f>LineærRegression_Valg[[#This Row],[Afhængig variabel ID]]&lt;=$B$5</f>
        <v>0</v>
      </c>
      <c r="F2283" t="str" cm="1">
        <f t="array" ref="F2283">IF(LineærRegression_Valg[[#This Row],[Indenfor range]],INDEX(DataTitel_liste,LineærRegression_Valg[[#This Row],[Afhængig variabel ID]]),INDEX(DataTitel_liste,1))</f>
        <v>Eksempel 1 (interval)</v>
      </c>
      <c r="G2283" s="188" t="str" cm="1">
        <f t="array" ref="G2283">IF(LineærRegression_Valg[[#This Row],[Indenfor range]],IF(LineærRegression_Valg[[#This Row],[Intet overlap]],INDEX(DataTitel_liste,LineærRegression_Valg[[#This Row],[Uafhængig variabel ID]]),INDEX(DataTitel_liste,IF(LineærRegression_Valg[[#This Row],[Afhængig variabel ID]]=1,2,1))),$B$7)</f>
        <v>Eksempel 2 (interval)</v>
      </c>
      <c r="H2283" s="188">
        <f>_xlfn.AGGREGATE(2,5,LineærRegression_Valg[[#This Row],[Tabel ID]])</f>
        <v>1</v>
      </c>
    </row>
    <row r="2284" spans="1:8" x14ac:dyDescent="0.2">
      <c r="A2284">
        <f>ROW(LineærRegression_Valg[[#This Row],[Tabel ID]])-ROW(LineærRegression_Valg[[#Headers],[Tabel ID]])</f>
        <v>2274</v>
      </c>
      <c r="B2284" s="188">
        <f>ROUNDDOWN((LineærRegression_Valg[[#This Row],[Tabel ID]]-1)/$B$5,0)+1</f>
        <v>569</v>
      </c>
      <c r="C2284" s="188">
        <f t="shared" si="35"/>
        <v>2</v>
      </c>
      <c r="D2284" s="188" t="b">
        <f>LineærRegression_Valg[[#This Row],[Afhængig variabel ID]]&lt;&gt;LineærRegression_Valg[[#This Row],[Uafhængig variabel ID]]</f>
        <v>1</v>
      </c>
      <c r="E2284" s="188" t="b">
        <f>LineærRegression_Valg[[#This Row],[Afhængig variabel ID]]&lt;=$B$5</f>
        <v>0</v>
      </c>
      <c r="F2284" t="str" cm="1">
        <f t="array" ref="F2284">IF(LineærRegression_Valg[[#This Row],[Indenfor range]],INDEX(DataTitel_liste,LineærRegression_Valg[[#This Row],[Afhængig variabel ID]]),INDEX(DataTitel_liste,1))</f>
        <v>Eksempel 1 (interval)</v>
      </c>
      <c r="G2284" s="188" t="str" cm="1">
        <f t="array" ref="G2284">IF(LineærRegression_Valg[[#This Row],[Indenfor range]],IF(LineærRegression_Valg[[#This Row],[Intet overlap]],INDEX(DataTitel_liste,LineærRegression_Valg[[#This Row],[Uafhængig variabel ID]]),INDEX(DataTitel_liste,IF(LineærRegression_Valg[[#This Row],[Afhængig variabel ID]]=1,2,1))),$B$7)</f>
        <v>Eksempel 2 (interval)</v>
      </c>
      <c r="H2284" s="188">
        <f>_xlfn.AGGREGATE(2,5,LineærRegression_Valg[[#This Row],[Tabel ID]])</f>
        <v>1</v>
      </c>
    </row>
    <row r="2285" spans="1:8" x14ac:dyDescent="0.2">
      <c r="A2285">
        <f>ROW(LineærRegression_Valg[[#This Row],[Tabel ID]])-ROW(LineærRegression_Valg[[#Headers],[Tabel ID]])</f>
        <v>2275</v>
      </c>
      <c r="B2285" s="188">
        <f>ROUNDDOWN((LineærRegression_Valg[[#This Row],[Tabel ID]]-1)/$B$5,0)+1</f>
        <v>569</v>
      </c>
      <c r="C2285" s="188">
        <f t="shared" si="35"/>
        <v>3</v>
      </c>
      <c r="D2285" s="188" t="b">
        <f>LineærRegression_Valg[[#This Row],[Afhængig variabel ID]]&lt;&gt;LineærRegression_Valg[[#This Row],[Uafhængig variabel ID]]</f>
        <v>1</v>
      </c>
      <c r="E2285" s="188" t="b">
        <f>LineærRegression_Valg[[#This Row],[Afhængig variabel ID]]&lt;=$B$5</f>
        <v>0</v>
      </c>
      <c r="F2285" t="str" cm="1">
        <f t="array" ref="F2285">IF(LineærRegression_Valg[[#This Row],[Indenfor range]],INDEX(DataTitel_liste,LineærRegression_Valg[[#This Row],[Afhængig variabel ID]]),INDEX(DataTitel_liste,1))</f>
        <v>Eksempel 1 (interval)</v>
      </c>
      <c r="G2285" s="188" t="str" cm="1">
        <f t="array" ref="G2285">IF(LineærRegression_Valg[[#This Row],[Indenfor range]],IF(LineærRegression_Valg[[#This Row],[Intet overlap]],INDEX(DataTitel_liste,LineærRegression_Valg[[#This Row],[Uafhængig variabel ID]]),INDEX(DataTitel_liste,IF(LineærRegression_Valg[[#This Row],[Afhængig variabel ID]]=1,2,1))),$B$7)</f>
        <v>Eksempel 2 (interval)</v>
      </c>
      <c r="H2285" s="188">
        <f>_xlfn.AGGREGATE(2,5,LineærRegression_Valg[[#This Row],[Tabel ID]])</f>
        <v>1</v>
      </c>
    </row>
    <row r="2286" spans="1:8" x14ac:dyDescent="0.2">
      <c r="A2286">
        <f>ROW(LineærRegression_Valg[[#This Row],[Tabel ID]])-ROW(LineærRegression_Valg[[#Headers],[Tabel ID]])</f>
        <v>2276</v>
      </c>
      <c r="B2286" s="188">
        <f>ROUNDDOWN((LineærRegression_Valg[[#This Row],[Tabel ID]]-1)/$B$5,0)+1</f>
        <v>569</v>
      </c>
      <c r="C2286" s="188">
        <f t="shared" si="35"/>
        <v>4</v>
      </c>
      <c r="D2286" s="188" t="b">
        <f>LineærRegression_Valg[[#This Row],[Afhængig variabel ID]]&lt;&gt;LineærRegression_Valg[[#This Row],[Uafhængig variabel ID]]</f>
        <v>1</v>
      </c>
      <c r="E2286" s="188" t="b">
        <f>LineærRegression_Valg[[#This Row],[Afhængig variabel ID]]&lt;=$B$5</f>
        <v>0</v>
      </c>
      <c r="F2286" t="str" cm="1">
        <f t="array" ref="F2286">IF(LineærRegression_Valg[[#This Row],[Indenfor range]],INDEX(DataTitel_liste,LineærRegression_Valg[[#This Row],[Afhængig variabel ID]]),INDEX(DataTitel_liste,1))</f>
        <v>Eksempel 1 (interval)</v>
      </c>
      <c r="G2286" s="188" t="str" cm="1">
        <f t="array" ref="G2286">IF(LineærRegression_Valg[[#This Row],[Indenfor range]],IF(LineærRegression_Valg[[#This Row],[Intet overlap]],INDEX(DataTitel_liste,LineærRegression_Valg[[#This Row],[Uafhængig variabel ID]]),INDEX(DataTitel_liste,IF(LineærRegression_Valg[[#This Row],[Afhængig variabel ID]]=1,2,1))),$B$7)</f>
        <v>Eksempel 2 (interval)</v>
      </c>
      <c r="H2286" s="188">
        <f>_xlfn.AGGREGATE(2,5,LineærRegression_Valg[[#This Row],[Tabel ID]])</f>
        <v>1</v>
      </c>
    </row>
    <row r="2287" spans="1:8" x14ac:dyDescent="0.2">
      <c r="A2287">
        <f>ROW(LineærRegression_Valg[[#This Row],[Tabel ID]])-ROW(LineærRegression_Valg[[#Headers],[Tabel ID]])</f>
        <v>2277</v>
      </c>
      <c r="B2287" s="188">
        <f>ROUNDDOWN((LineærRegression_Valg[[#This Row],[Tabel ID]]-1)/$B$5,0)+1</f>
        <v>570</v>
      </c>
      <c r="C2287" s="188">
        <f t="shared" si="35"/>
        <v>1</v>
      </c>
      <c r="D2287" s="188" t="b">
        <f>LineærRegression_Valg[[#This Row],[Afhængig variabel ID]]&lt;&gt;LineærRegression_Valg[[#This Row],[Uafhængig variabel ID]]</f>
        <v>1</v>
      </c>
      <c r="E2287" s="188" t="b">
        <f>LineærRegression_Valg[[#This Row],[Afhængig variabel ID]]&lt;=$B$5</f>
        <v>0</v>
      </c>
      <c r="F2287" t="str" cm="1">
        <f t="array" ref="F2287">IF(LineærRegression_Valg[[#This Row],[Indenfor range]],INDEX(DataTitel_liste,LineærRegression_Valg[[#This Row],[Afhængig variabel ID]]),INDEX(DataTitel_liste,1))</f>
        <v>Eksempel 1 (interval)</v>
      </c>
      <c r="G2287" s="188" t="str" cm="1">
        <f t="array" ref="G2287">IF(LineærRegression_Valg[[#This Row],[Indenfor range]],IF(LineærRegression_Valg[[#This Row],[Intet overlap]],INDEX(DataTitel_liste,LineærRegression_Valg[[#This Row],[Uafhængig variabel ID]]),INDEX(DataTitel_liste,IF(LineærRegression_Valg[[#This Row],[Afhængig variabel ID]]=1,2,1))),$B$7)</f>
        <v>Eksempel 2 (interval)</v>
      </c>
      <c r="H2287" s="188">
        <f>_xlfn.AGGREGATE(2,5,LineærRegression_Valg[[#This Row],[Tabel ID]])</f>
        <v>1</v>
      </c>
    </row>
    <row r="2288" spans="1:8" x14ac:dyDescent="0.2">
      <c r="A2288">
        <f>ROW(LineærRegression_Valg[[#This Row],[Tabel ID]])-ROW(LineærRegression_Valg[[#Headers],[Tabel ID]])</f>
        <v>2278</v>
      </c>
      <c r="B2288" s="188">
        <f>ROUNDDOWN((LineærRegression_Valg[[#This Row],[Tabel ID]]-1)/$B$5,0)+1</f>
        <v>570</v>
      </c>
      <c r="C2288" s="188">
        <f t="shared" si="35"/>
        <v>2</v>
      </c>
      <c r="D2288" s="188" t="b">
        <f>LineærRegression_Valg[[#This Row],[Afhængig variabel ID]]&lt;&gt;LineærRegression_Valg[[#This Row],[Uafhængig variabel ID]]</f>
        <v>1</v>
      </c>
      <c r="E2288" s="188" t="b">
        <f>LineærRegression_Valg[[#This Row],[Afhængig variabel ID]]&lt;=$B$5</f>
        <v>0</v>
      </c>
      <c r="F2288" t="str" cm="1">
        <f t="array" ref="F2288">IF(LineærRegression_Valg[[#This Row],[Indenfor range]],INDEX(DataTitel_liste,LineærRegression_Valg[[#This Row],[Afhængig variabel ID]]),INDEX(DataTitel_liste,1))</f>
        <v>Eksempel 1 (interval)</v>
      </c>
      <c r="G2288" s="188" t="str" cm="1">
        <f t="array" ref="G2288">IF(LineærRegression_Valg[[#This Row],[Indenfor range]],IF(LineærRegression_Valg[[#This Row],[Intet overlap]],INDEX(DataTitel_liste,LineærRegression_Valg[[#This Row],[Uafhængig variabel ID]]),INDEX(DataTitel_liste,IF(LineærRegression_Valg[[#This Row],[Afhængig variabel ID]]=1,2,1))),$B$7)</f>
        <v>Eksempel 2 (interval)</v>
      </c>
      <c r="H2288" s="188">
        <f>_xlfn.AGGREGATE(2,5,LineærRegression_Valg[[#This Row],[Tabel ID]])</f>
        <v>1</v>
      </c>
    </row>
    <row r="2289" spans="1:8" x14ac:dyDescent="0.2">
      <c r="A2289">
        <f>ROW(LineærRegression_Valg[[#This Row],[Tabel ID]])-ROW(LineærRegression_Valg[[#Headers],[Tabel ID]])</f>
        <v>2279</v>
      </c>
      <c r="B2289" s="188">
        <f>ROUNDDOWN((LineærRegression_Valg[[#This Row],[Tabel ID]]-1)/$B$5,0)+1</f>
        <v>570</v>
      </c>
      <c r="C2289" s="188">
        <f t="shared" si="35"/>
        <v>3</v>
      </c>
      <c r="D2289" s="188" t="b">
        <f>LineærRegression_Valg[[#This Row],[Afhængig variabel ID]]&lt;&gt;LineærRegression_Valg[[#This Row],[Uafhængig variabel ID]]</f>
        <v>1</v>
      </c>
      <c r="E2289" s="188" t="b">
        <f>LineærRegression_Valg[[#This Row],[Afhængig variabel ID]]&lt;=$B$5</f>
        <v>0</v>
      </c>
      <c r="F2289" t="str" cm="1">
        <f t="array" ref="F2289">IF(LineærRegression_Valg[[#This Row],[Indenfor range]],INDEX(DataTitel_liste,LineærRegression_Valg[[#This Row],[Afhængig variabel ID]]),INDEX(DataTitel_liste,1))</f>
        <v>Eksempel 1 (interval)</v>
      </c>
      <c r="G2289" s="188" t="str" cm="1">
        <f t="array" ref="G2289">IF(LineærRegression_Valg[[#This Row],[Indenfor range]],IF(LineærRegression_Valg[[#This Row],[Intet overlap]],INDEX(DataTitel_liste,LineærRegression_Valg[[#This Row],[Uafhængig variabel ID]]),INDEX(DataTitel_liste,IF(LineærRegression_Valg[[#This Row],[Afhængig variabel ID]]=1,2,1))),$B$7)</f>
        <v>Eksempel 2 (interval)</v>
      </c>
      <c r="H2289" s="188">
        <f>_xlfn.AGGREGATE(2,5,LineærRegression_Valg[[#This Row],[Tabel ID]])</f>
        <v>1</v>
      </c>
    </row>
    <row r="2290" spans="1:8" x14ac:dyDescent="0.2">
      <c r="A2290">
        <f>ROW(LineærRegression_Valg[[#This Row],[Tabel ID]])-ROW(LineærRegression_Valg[[#Headers],[Tabel ID]])</f>
        <v>2280</v>
      </c>
      <c r="B2290" s="188">
        <f>ROUNDDOWN((LineærRegression_Valg[[#This Row],[Tabel ID]]-1)/$B$5,0)+1</f>
        <v>570</v>
      </c>
      <c r="C2290" s="188">
        <f t="shared" si="35"/>
        <v>4</v>
      </c>
      <c r="D2290" s="188" t="b">
        <f>LineærRegression_Valg[[#This Row],[Afhængig variabel ID]]&lt;&gt;LineærRegression_Valg[[#This Row],[Uafhængig variabel ID]]</f>
        <v>1</v>
      </c>
      <c r="E2290" s="188" t="b">
        <f>LineærRegression_Valg[[#This Row],[Afhængig variabel ID]]&lt;=$B$5</f>
        <v>0</v>
      </c>
      <c r="F2290" t="str" cm="1">
        <f t="array" ref="F2290">IF(LineærRegression_Valg[[#This Row],[Indenfor range]],INDEX(DataTitel_liste,LineærRegression_Valg[[#This Row],[Afhængig variabel ID]]),INDEX(DataTitel_liste,1))</f>
        <v>Eksempel 1 (interval)</v>
      </c>
      <c r="G2290" s="188" t="str" cm="1">
        <f t="array" ref="G2290">IF(LineærRegression_Valg[[#This Row],[Indenfor range]],IF(LineærRegression_Valg[[#This Row],[Intet overlap]],INDEX(DataTitel_liste,LineærRegression_Valg[[#This Row],[Uafhængig variabel ID]]),INDEX(DataTitel_liste,IF(LineærRegression_Valg[[#This Row],[Afhængig variabel ID]]=1,2,1))),$B$7)</f>
        <v>Eksempel 2 (interval)</v>
      </c>
      <c r="H2290" s="188">
        <f>_xlfn.AGGREGATE(2,5,LineærRegression_Valg[[#This Row],[Tabel ID]])</f>
        <v>1</v>
      </c>
    </row>
    <row r="2291" spans="1:8" x14ac:dyDescent="0.2">
      <c r="A2291">
        <f>ROW(LineærRegression_Valg[[#This Row],[Tabel ID]])-ROW(LineærRegression_Valg[[#Headers],[Tabel ID]])</f>
        <v>2281</v>
      </c>
      <c r="B2291" s="188">
        <f>ROUNDDOWN((LineærRegression_Valg[[#This Row],[Tabel ID]]-1)/$B$5,0)+1</f>
        <v>571</v>
      </c>
      <c r="C2291" s="188">
        <f t="shared" si="35"/>
        <v>1</v>
      </c>
      <c r="D2291" s="188" t="b">
        <f>LineærRegression_Valg[[#This Row],[Afhængig variabel ID]]&lt;&gt;LineærRegression_Valg[[#This Row],[Uafhængig variabel ID]]</f>
        <v>1</v>
      </c>
      <c r="E2291" s="188" t="b">
        <f>LineærRegression_Valg[[#This Row],[Afhængig variabel ID]]&lt;=$B$5</f>
        <v>0</v>
      </c>
      <c r="F2291" t="str" cm="1">
        <f t="array" ref="F2291">IF(LineærRegression_Valg[[#This Row],[Indenfor range]],INDEX(DataTitel_liste,LineærRegression_Valg[[#This Row],[Afhængig variabel ID]]),INDEX(DataTitel_liste,1))</f>
        <v>Eksempel 1 (interval)</v>
      </c>
      <c r="G2291" s="188" t="str" cm="1">
        <f t="array" ref="G2291">IF(LineærRegression_Valg[[#This Row],[Indenfor range]],IF(LineærRegression_Valg[[#This Row],[Intet overlap]],INDEX(DataTitel_liste,LineærRegression_Valg[[#This Row],[Uafhængig variabel ID]]),INDEX(DataTitel_liste,IF(LineærRegression_Valg[[#This Row],[Afhængig variabel ID]]=1,2,1))),$B$7)</f>
        <v>Eksempel 2 (interval)</v>
      </c>
      <c r="H2291" s="188">
        <f>_xlfn.AGGREGATE(2,5,LineærRegression_Valg[[#This Row],[Tabel ID]])</f>
        <v>1</v>
      </c>
    </row>
    <row r="2292" spans="1:8" x14ac:dyDescent="0.2">
      <c r="A2292">
        <f>ROW(LineærRegression_Valg[[#This Row],[Tabel ID]])-ROW(LineærRegression_Valg[[#Headers],[Tabel ID]])</f>
        <v>2282</v>
      </c>
      <c r="B2292" s="188">
        <f>ROUNDDOWN((LineærRegression_Valg[[#This Row],[Tabel ID]]-1)/$B$5,0)+1</f>
        <v>571</v>
      </c>
      <c r="C2292" s="188">
        <f t="shared" si="35"/>
        <v>2</v>
      </c>
      <c r="D2292" s="188" t="b">
        <f>LineærRegression_Valg[[#This Row],[Afhængig variabel ID]]&lt;&gt;LineærRegression_Valg[[#This Row],[Uafhængig variabel ID]]</f>
        <v>1</v>
      </c>
      <c r="E2292" s="188" t="b">
        <f>LineærRegression_Valg[[#This Row],[Afhængig variabel ID]]&lt;=$B$5</f>
        <v>0</v>
      </c>
      <c r="F2292" t="str" cm="1">
        <f t="array" ref="F2292">IF(LineærRegression_Valg[[#This Row],[Indenfor range]],INDEX(DataTitel_liste,LineærRegression_Valg[[#This Row],[Afhængig variabel ID]]),INDEX(DataTitel_liste,1))</f>
        <v>Eksempel 1 (interval)</v>
      </c>
      <c r="G2292" s="188" t="str" cm="1">
        <f t="array" ref="G2292">IF(LineærRegression_Valg[[#This Row],[Indenfor range]],IF(LineærRegression_Valg[[#This Row],[Intet overlap]],INDEX(DataTitel_liste,LineærRegression_Valg[[#This Row],[Uafhængig variabel ID]]),INDEX(DataTitel_liste,IF(LineærRegression_Valg[[#This Row],[Afhængig variabel ID]]=1,2,1))),$B$7)</f>
        <v>Eksempel 2 (interval)</v>
      </c>
      <c r="H2292" s="188">
        <f>_xlfn.AGGREGATE(2,5,LineærRegression_Valg[[#This Row],[Tabel ID]])</f>
        <v>1</v>
      </c>
    </row>
    <row r="2293" spans="1:8" x14ac:dyDescent="0.2">
      <c r="A2293">
        <f>ROW(LineærRegression_Valg[[#This Row],[Tabel ID]])-ROW(LineærRegression_Valg[[#Headers],[Tabel ID]])</f>
        <v>2283</v>
      </c>
      <c r="B2293" s="188">
        <f>ROUNDDOWN((LineærRegression_Valg[[#This Row],[Tabel ID]]-1)/$B$5,0)+1</f>
        <v>571</v>
      </c>
      <c r="C2293" s="188">
        <f t="shared" si="35"/>
        <v>3</v>
      </c>
      <c r="D2293" s="188" t="b">
        <f>LineærRegression_Valg[[#This Row],[Afhængig variabel ID]]&lt;&gt;LineærRegression_Valg[[#This Row],[Uafhængig variabel ID]]</f>
        <v>1</v>
      </c>
      <c r="E2293" s="188" t="b">
        <f>LineærRegression_Valg[[#This Row],[Afhængig variabel ID]]&lt;=$B$5</f>
        <v>0</v>
      </c>
      <c r="F2293" t="str" cm="1">
        <f t="array" ref="F2293">IF(LineærRegression_Valg[[#This Row],[Indenfor range]],INDEX(DataTitel_liste,LineærRegression_Valg[[#This Row],[Afhængig variabel ID]]),INDEX(DataTitel_liste,1))</f>
        <v>Eksempel 1 (interval)</v>
      </c>
      <c r="G2293" s="188" t="str" cm="1">
        <f t="array" ref="G2293">IF(LineærRegression_Valg[[#This Row],[Indenfor range]],IF(LineærRegression_Valg[[#This Row],[Intet overlap]],INDEX(DataTitel_liste,LineærRegression_Valg[[#This Row],[Uafhængig variabel ID]]),INDEX(DataTitel_liste,IF(LineærRegression_Valg[[#This Row],[Afhængig variabel ID]]=1,2,1))),$B$7)</f>
        <v>Eksempel 2 (interval)</v>
      </c>
      <c r="H2293" s="188">
        <f>_xlfn.AGGREGATE(2,5,LineærRegression_Valg[[#This Row],[Tabel ID]])</f>
        <v>1</v>
      </c>
    </row>
    <row r="2294" spans="1:8" x14ac:dyDescent="0.2">
      <c r="A2294">
        <f>ROW(LineærRegression_Valg[[#This Row],[Tabel ID]])-ROW(LineærRegression_Valg[[#Headers],[Tabel ID]])</f>
        <v>2284</v>
      </c>
      <c r="B2294" s="188">
        <f>ROUNDDOWN((LineærRegression_Valg[[#This Row],[Tabel ID]]-1)/$B$5,0)+1</f>
        <v>571</v>
      </c>
      <c r="C2294" s="188">
        <f t="shared" si="35"/>
        <v>4</v>
      </c>
      <c r="D2294" s="188" t="b">
        <f>LineærRegression_Valg[[#This Row],[Afhængig variabel ID]]&lt;&gt;LineærRegression_Valg[[#This Row],[Uafhængig variabel ID]]</f>
        <v>1</v>
      </c>
      <c r="E2294" s="188" t="b">
        <f>LineærRegression_Valg[[#This Row],[Afhængig variabel ID]]&lt;=$B$5</f>
        <v>0</v>
      </c>
      <c r="F2294" t="str" cm="1">
        <f t="array" ref="F2294">IF(LineærRegression_Valg[[#This Row],[Indenfor range]],INDEX(DataTitel_liste,LineærRegression_Valg[[#This Row],[Afhængig variabel ID]]),INDEX(DataTitel_liste,1))</f>
        <v>Eksempel 1 (interval)</v>
      </c>
      <c r="G2294" s="188" t="str" cm="1">
        <f t="array" ref="G2294">IF(LineærRegression_Valg[[#This Row],[Indenfor range]],IF(LineærRegression_Valg[[#This Row],[Intet overlap]],INDEX(DataTitel_liste,LineærRegression_Valg[[#This Row],[Uafhængig variabel ID]]),INDEX(DataTitel_liste,IF(LineærRegression_Valg[[#This Row],[Afhængig variabel ID]]=1,2,1))),$B$7)</f>
        <v>Eksempel 2 (interval)</v>
      </c>
      <c r="H2294" s="188">
        <f>_xlfn.AGGREGATE(2,5,LineærRegression_Valg[[#This Row],[Tabel ID]])</f>
        <v>1</v>
      </c>
    </row>
    <row r="2295" spans="1:8" x14ac:dyDescent="0.2">
      <c r="A2295">
        <f>ROW(LineærRegression_Valg[[#This Row],[Tabel ID]])-ROW(LineærRegression_Valg[[#Headers],[Tabel ID]])</f>
        <v>2285</v>
      </c>
      <c r="B2295" s="188">
        <f>ROUNDDOWN((LineærRegression_Valg[[#This Row],[Tabel ID]]-1)/$B$5,0)+1</f>
        <v>572</v>
      </c>
      <c r="C2295" s="188">
        <f t="shared" si="35"/>
        <v>1</v>
      </c>
      <c r="D2295" s="188" t="b">
        <f>LineærRegression_Valg[[#This Row],[Afhængig variabel ID]]&lt;&gt;LineærRegression_Valg[[#This Row],[Uafhængig variabel ID]]</f>
        <v>1</v>
      </c>
      <c r="E2295" s="188" t="b">
        <f>LineærRegression_Valg[[#This Row],[Afhængig variabel ID]]&lt;=$B$5</f>
        <v>0</v>
      </c>
      <c r="F2295" t="str" cm="1">
        <f t="array" ref="F2295">IF(LineærRegression_Valg[[#This Row],[Indenfor range]],INDEX(DataTitel_liste,LineærRegression_Valg[[#This Row],[Afhængig variabel ID]]),INDEX(DataTitel_liste,1))</f>
        <v>Eksempel 1 (interval)</v>
      </c>
      <c r="G2295" s="188" t="str" cm="1">
        <f t="array" ref="G2295">IF(LineærRegression_Valg[[#This Row],[Indenfor range]],IF(LineærRegression_Valg[[#This Row],[Intet overlap]],INDEX(DataTitel_liste,LineærRegression_Valg[[#This Row],[Uafhængig variabel ID]]),INDEX(DataTitel_liste,IF(LineærRegression_Valg[[#This Row],[Afhængig variabel ID]]=1,2,1))),$B$7)</f>
        <v>Eksempel 2 (interval)</v>
      </c>
      <c r="H2295" s="188">
        <f>_xlfn.AGGREGATE(2,5,LineærRegression_Valg[[#This Row],[Tabel ID]])</f>
        <v>1</v>
      </c>
    </row>
    <row r="2296" spans="1:8" x14ac:dyDescent="0.2">
      <c r="A2296">
        <f>ROW(LineærRegression_Valg[[#This Row],[Tabel ID]])-ROW(LineærRegression_Valg[[#Headers],[Tabel ID]])</f>
        <v>2286</v>
      </c>
      <c r="B2296" s="188">
        <f>ROUNDDOWN((LineærRegression_Valg[[#This Row],[Tabel ID]]-1)/$B$5,0)+1</f>
        <v>572</v>
      </c>
      <c r="C2296" s="188">
        <f t="shared" si="35"/>
        <v>2</v>
      </c>
      <c r="D2296" s="188" t="b">
        <f>LineærRegression_Valg[[#This Row],[Afhængig variabel ID]]&lt;&gt;LineærRegression_Valg[[#This Row],[Uafhængig variabel ID]]</f>
        <v>1</v>
      </c>
      <c r="E2296" s="188" t="b">
        <f>LineærRegression_Valg[[#This Row],[Afhængig variabel ID]]&lt;=$B$5</f>
        <v>0</v>
      </c>
      <c r="F2296" t="str" cm="1">
        <f t="array" ref="F2296">IF(LineærRegression_Valg[[#This Row],[Indenfor range]],INDEX(DataTitel_liste,LineærRegression_Valg[[#This Row],[Afhængig variabel ID]]),INDEX(DataTitel_liste,1))</f>
        <v>Eksempel 1 (interval)</v>
      </c>
      <c r="G2296" s="188" t="str" cm="1">
        <f t="array" ref="G2296">IF(LineærRegression_Valg[[#This Row],[Indenfor range]],IF(LineærRegression_Valg[[#This Row],[Intet overlap]],INDEX(DataTitel_liste,LineærRegression_Valg[[#This Row],[Uafhængig variabel ID]]),INDEX(DataTitel_liste,IF(LineærRegression_Valg[[#This Row],[Afhængig variabel ID]]=1,2,1))),$B$7)</f>
        <v>Eksempel 2 (interval)</v>
      </c>
      <c r="H2296" s="188">
        <f>_xlfn.AGGREGATE(2,5,LineærRegression_Valg[[#This Row],[Tabel ID]])</f>
        <v>1</v>
      </c>
    </row>
    <row r="2297" spans="1:8" x14ac:dyDescent="0.2">
      <c r="A2297">
        <f>ROW(LineærRegression_Valg[[#This Row],[Tabel ID]])-ROW(LineærRegression_Valg[[#Headers],[Tabel ID]])</f>
        <v>2287</v>
      </c>
      <c r="B2297" s="188">
        <f>ROUNDDOWN((LineærRegression_Valg[[#This Row],[Tabel ID]]-1)/$B$5,0)+1</f>
        <v>572</v>
      </c>
      <c r="C2297" s="188">
        <f t="shared" si="35"/>
        <v>3</v>
      </c>
      <c r="D2297" s="188" t="b">
        <f>LineærRegression_Valg[[#This Row],[Afhængig variabel ID]]&lt;&gt;LineærRegression_Valg[[#This Row],[Uafhængig variabel ID]]</f>
        <v>1</v>
      </c>
      <c r="E2297" s="188" t="b">
        <f>LineærRegression_Valg[[#This Row],[Afhængig variabel ID]]&lt;=$B$5</f>
        <v>0</v>
      </c>
      <c r="F2297" t="str" cm="1">
        <f t="array" ref="F2297">IF(LineærRegression_Valg[[#This Row],[Indenfor range]],INDEX(DataTitel_liste,LineærRegression_Valg[[#This Row],[Afhængig variabel ID]]),INDEX(DataTitel_liste,1))</f>
        <v>Eksempel 1 (interval)</v>
      </c>
      <c r="G2297" s="188" t="str" cm="1">
        <f t="array" ref="G2297">IF(LineærRegression_Valg[[#This Row],[Indenfor range]],IF(LineærRegression_Valg[[#This Row],[Intet overlap]],INDEX(DataTitel_liste,LineærRegression_Valg[[#This Row],[Uafhængig variabel ID]]),INDEX(DataTitel_liste,IF(LineærRegression_Valg[[#This Row],[Afhængig variabel ID]]=1,2,1))),$B$7)</f>
        <v>Eksempel 2 (interval)</v>
      </c>
      <c r="H2297" s="188">
        <f>_xlfn.AGGREGATE(2,5,LineærRegression_Valg[[#This Row],[Tabel ID]])</f>
        <v>1</v>
      </c>
    </row>
    <row r="2298" spans="1:8" x14ac:dyDescent="0.2">
      <c r="A2298">
        <f>ROW(LineærRegression_Valg[[#This Row],[Tabel ID]])-ROW(LineærRegression_Valg[[#Headers],[Tabel ID]])</f>
        <v>2288</v>
      </c>
      <c r="B2298" s="188">
        <f>ROUNDDOWN((LineærRegression_Valg[[#This Row],[Tabel ID]]-1)/$B$5,0)+1</f>
        <v>572</v>
      </c>
      <c r="C2298" s="188">
        <f t="shared" si="35"/>
        <v>4</v>
      </c>
      <c r="D2298" s="188" t="b">
        <f>LineærRegression_Valg[[#This Row],[Afhængig variabel ID]]&lt;&gt;LineærRegression_Valg[[#This Row],[Uafhængig variabel ID]]</f>
        <v>1</v>
      </c>
      <c r="E2298" s="188" t="b">
        <f>LineærRegression_Valg[[#This Row],[Afhængig variabel ID]]&lt;=$B$5</f>
        <v>0</v>
      </c>
      <c r="F2298" t="str" cm="1">
        <f t="array" ref="F2298">IF(LineærRegression_Valg[[#This Row],[Indenfor range]],INDEX(DataTitel_liste,LineærRegression_Valg[[#This Row],[Afhængig variabel ID]]),INDEX(DataTitel_liste,1))</f>
        <v>Eksempel 1 (interval)</v>
      </c>
      <c r="G2298" s="188" t="str" cm="1">
        <f t="array" ref="G2298">IF(LineærRegression_Valg[[#This Row],[Indenfor range]],IF(LineærRegression_Valg[[#This Row],[Intet overlap]],INDEX(DataTitel_liste,LineærRegression_Valg[[#This Row],[Uafhængig variabel ID]]),INDEX(DataTitel_liste,IF(LineærRegression_Valg[[#This Row],[Afhængig variabel ID]]=1,2,1))),$B$7)</f>
        <v>Eksempel 2 (interval)</v>
      </c>
      <c r="H2298" s="188">
        <f>_xlfn.AGGREGATE(2,5,LineærRegression_Valg[[#This Row],[Tabel ID]])</f>
        <v>1</v>
      </c>
    </row>
    <row r="2299" spans="1:8" x14ac:dyDescent="0.2">
      <c r="A2299">
        <f>ROW(LineærRegression_Valg[[#This Row],[Tabel ID]])-ROW(LineærRegression_Valg[[#Headers],[Tabel ID]])</f>
        <v>2289</v>
      </c>
      <c r="B2299" s="188">
        <f>ROUNDDOWN((LineærRegression_Valg[[#This Row],[Tabel ID]]-1)/$B$5,0)+1</f>
        <v>573</v>
      </c>
      <c r="C2299" s="188">
        <f t="shared" si="35"/>
        <v>1</v>
      </c>
      <c r="D2299" s="188" t="b">
        <f>LineærRegression_Valg[[#This Row],[Afhængig variabel ID]]&lt;&gt;LineærRegression_Valg[[#This Row],[Uafhængig variabel ID]]</f>
        <v>1</v>
      </c>
      <c r="E2299" s="188" t="b">
        <f>LineærRegression_Valg[[#This Row],[Afhængig variabel ID]]&lt;=$B$5</f>
        <v>0</v>
      </c>
      <c r="F2299" t="str" cm="1">
        <f t="array" ref="F2299">IF(LineærRegression_Valg[[#This Row],[Indenfor range]],INDEX(DataTitel_liste,LineærRegression_Valg[[#This Row],[Afhængig variabel ID]]),INDEX(DataTitel_liste,1))</f>
        <v>Eksempel 1 (interval)</v>
      </c>
      <c r="G2299" s="188" t="str" cm="1">
        <f t="array" ref="G2299">IF(LineærRegression_Valg[[#This Row],[Indenfor range]],IF(LineærRegression_Valg[[#This Row],[Intet overlap]],INDEX(DataTitel_liste,LineærRegression_Valg[[#This Row],[Uafhængig variabel ID]]),INDEX(DataTitel_liste,IF(LineærRegression_Valg[[#This Row],[Afhængig variabel ID]]=1,2,1))),$B$7)</f>
        <v>Eksempel 2 (interval)</v>
      </c>
      <c r="H2299" s="188">
        <f>_xlfn.AGGREGATE(2,5,LineærRegression_Valg[[#This Row],[Tabel ID]])</f>
        <v>1</v>
      </c>
    </row>
    <row r="2300" spans="1:8" x14ac:dyDescent="0.2">
      <c r="A2300">
        <f>ROW(LineærRegression_Valg[[#This Row],[Tabel ID]])-ROW(LineærRegression_Valg[[#Headers],[Tabel ID]])</f>
        <v>2290</v>
      </c>
      <c r="B2300" s="188">
        <f>ROUNDDOWN((LineærRegression_Valg[[#This Row],[Tabel ID]]-1)/$B$5,0)+1</f>
        <v>573</v>
      </c>
      <c r="C2300" s="188">
        <f t="shared" si="35"/>
        <v>2</v>
      </c>
      <c r="D2300" s="188" t="b">
        <f>LineærRegression_Valg[[#This Row],[Afhængig variabel ID]]&lt;&gt;LineærRegression_Valg[[#This Row],[Uafhængig variabel ID]]</f>
        <v>1</v>
      </c>
      <c r="E2300" s="188" t="b">
        <f>LineærRegression_Valg[[#This Row],[Afhængig variabel ID]]&lt;=$B$5</f>
        <v>0</v>
      </c>
      <c r="F2300" t="str" cm="1">
        <f t="array" ref="F2300">IF(LineærRegression_Valg[[#This Row],[Indenfor range]],INDEX(DataTitel_liste,LineærRegression_Valg[[#This Row],[Afhængig variabel ID]]),INDEX(DataTitel_liste,1))</f>
        <v>Eksempel 1 (interval)</v>
      </c>
      <c r="G2300" s="188" t="str" cm="1">
        <f t="array" ref="G2300">IF(LineærRegression_Valg[[#This Row],[Indenfor range]],IF(LineærRegression_Valg[[#This Row],[Intet overlap]],INDEX(DataTitel_liste,LineærRegression_Valg[[#This Row],[Uafhængig variabel ID]]),INDEX(DataTitel_liste,IF(LineærRegression_Valg[[#This Row],[Afhængig variabel ID]]=1,2,1))),$B$7)</f>
        <v>Eksempel 2 (interval)</v>
      </c>
      <c r="H2300" s="188">
        <f>_xlfn.AGGREGATE(2,5,LineærRegression_Valg[[#This Row],[Tabel ID]])</f>
        <v>1</v>
      </c>
    </row>
    <row r="2301" spans="1:8" x14ac:dyDescent="0.2">
      <c r="A2301">
        <f>ROW(LineærRegression_Valg[[#This Row],[Tabel ID]])-ROW(LineærRegression_Valg[[#Headers],[Tabel ID]])</f>
        <v>2291</v>
      </c>
      <c r="B2301" s="188">
        <f>ROUNDDOWN((LineærRegression_Valg[[#This Row],[Tabel ID]]-1)/$B$5,0)+1</f>
        <v>573</v>
      </c>
      <c r="C2301" s="188">
        <f t="shared" si="35"/>
        <v>3</v>
      </c>
      <c r="D2301" s="188" t="b">
        <f>LineærRegression_Valg[[#This Row],[Afhængig variabel ID]]&lt;&gt;LineærRegression_Valg[[#This Row],[Uafhængig variabel ID]]</f>
        <v>1</v>
      </c>
      <c r="E2301" s="188" t="b">
        <f>LineærRegression_Valg[[#This Row],[Afhængig variabel ID]]&lt;=$B$5</f>
        <v>0</v>
      </c>
      <c r="F2301" t="str" cm="1">
        <f t="array" ref="F2301">IF(LineærRegression_Valg[[#This Row],[Indenfor range]],INDEX(DataTitel_liste,LineærRegression_Valg[[#This Row],[Afhængig variabel ID]]),INDEX(DataTitel_liste,1))</f>
        <v>Eksempel 1 (interval)</v>
      </c>
      <c r="G2301" s="188" t="str" cm="1">
        <f t="array" ref="G2301">IF(LineærRegression_Valg[[#This Row],[Indenfor range]],IF(LineærRegression_Valg[[#This Row],[Intet overlap]],INDEX(DataTitel_liste,LineærRegression_Valg[[#This Row],[Uafhængig variabel ID]]),INDEX(DataTitel_liste,IF(LineærRegression_Valg[[#This Row],[Afhængig variabel ID]]=1,2,1))),$B$7)</f>
        <v>Eksempel 2 (interval)</v>
      </c>
      <c r="H2301" s="188">
        <f>_xlfn.AGGREGATE(2,5,LineærRegression_Valg[[#This Row],[Tabel ID]])</f>
        <v>1</v>
      </c>
    </row>
    <row r="2302" spans="1:8" x14ac:dyDescent="0.2">
      <c r="A2302">
        <f>ROW(LineærRegression_Valg[[#This Row],[Tabel ID]])-ROW(LineærRegression_Valg[[#Headers],[Tabel ID]])</f>
        <v>2292</v>
      </c>
      <c r="B2302" s="188">
        <f>ROUNDDOWN((LineærRegression_Valg[[#This Row],[Tabel ID]]-1)/$B$5,0)+1</f>
        <v>573</v>
      </c>
      <c r="C2302" s="188">
        <f t="shared" si="35"/>
        <v>4</v>
      </c>
      <c r="D2302" s="188" t="b">
        <f>LineærRegression_Valg[[#This Row],[Afhængig variabel ID]]&lt;&gt;LineærRegression_Valg[[#This Row],[Uafhængig variabel ID]]</f>
        <v>1</v>
      </c>
      <c r="E2302" s="188" t="b">
        <f>LineærRegression_Valg[[#This Row],[Afhængig variabel ID]]&lt;=$B$5</f>
        <v>0</v>
      </c>
      <c r="F2302" t="str" cm="1">
        <f t="array" ref="F2302">IF(LineærRegression_Valg[[#This Row],[Indenfor range]],INDEX(DataTitel_liste,LineærRegression_Valg[[#This Row],[Afhængig variabel ID]]),INDEX(DataTitel_liste,1))</f>
        <v>Eksempel 1 (interval)</v>
      </c>
      <c r="G2302" s="188" t="str" cm="1">
        <f t="array" ref="G2302">IF(LineærRegression_Valg[[#This Row],[Indenfor range]],IF(LineærRegression_Valg[[#This Row],[Intet overlap]],INDEX(DataTitel_liste,LineærRegression_Valg[[#This Row],[Uafhængig variabel ID]]),INDEX(DataTitel_liste,IF(LineærRegression_Valg[[#This Row],[Afhængig variabel ID]]=1,2,1))),$B$7)</f>
        <v>Eksempel 2 (interval)</v>
      </c>
      <c r="H2302" s="188">
        <f>_xlfn.AGGREGATE(2,5,LineærRegression_Valg[[#This Row],[Tabel ID]])</f>
        <v>1</v>
      </c>
    </row>
    <row r="2303" spans="1:8" x14ac:dyDescent="0.2">
      <c r="A2303">
        <f>ROW(LineærRegression_Valg[[#This Row],[Tabel ID]])-ROW(LineærRegression_Valg[[#Headers],[Tabel ID]])</f>
        <v>2293</v>
      </c>
      <c r="B2303" s="188">
        <f>ROUNDDOWN((LineærRegression_Valg[[#This Row],[Tabel ID]]-1)/$B$5,0)+1</f>
        <v>574</v>
      </c>
      <c r="C2303" s="188">
        <f t="shared" si="35"/>
        <v>1</v>
      </c>
      <c r="D2303" s="188" t="b">
        <f>LineærRegression_Valg[[#This Row],[Afhængig variabel ID]]&lt;&gt;LineærRegression_Valg[[#This Row],[Uafhængig variabel ID]]</f>
        <v>1</v>
      </c>
      <c r="E2303" s="188" t="b">
        <f>LineærRegression_Valg[[#This Row],[Afhængig variabel ID]]&lt;=$B$5</f>
        <v>0</v>
      </c>
      <c r="F2303" t="str" cm="1">
        <f t="array" ref="F2303">IF(LineærRegression_Valg[[#This Row],[Indenfor range]],INDEX(DataTitel_liste,LineærRegression_Valg[[#This Row],[Afhængig variabel ID]]),INDEX(DataTitel_liste,1))</f>
        <v>Eksempel 1 (interval)</v>
      </c>
      <c r="G2303" s="188" t="str" cm="1">
        <f t="array" ref="G2303">IF(LineærRegression_Valg[[#This Row],[Indenfor range]],IF(LineærRegression_Valg[[#This Row],[Intet overlap]],INDEX(DataTitel_liste,LineærRegression_Valg[[#This Row],[Uafhængig variabel ID]]),INDEX(DataTitel_liste,IF(LineærRegression_Valg[[#This Row],[Afhængig variabel ID]]=1,2,1))),$B$7)</f>
        <v>Eksempel 2 (interval)</v>
      </c>
      <c r="H2303" s="188">
        <f>_xlfn.AGGREGATE(2,5,LineærRegression_Valg[[#This Row],[Tabel ID]])</f>
        <v>1</v>
      </c>
    </row>
    <row r="2304" spans="1:8" x14ac:dyDescent="0.2">
      <c r="A2304">
        <f>ROW(LineærRegression_Valg[[#This Row],[Tabel ID]])-ROW(LineærRegression_Valg[[#Headers],[Tabel ID]])</f>
        <v>2294</v>
      </c>
      <c r="B2304" s="188">
        <f>ROUNDDOWN((LineærRegression_Valg[[#This Row],[Tabel ID]]-1)/$B$5,0)+1</f>
        <v>574</v>
      </c>
      <c r="C2304" s="188">
        <f t="shared" si="35"/>
        <v>2</v>
      </c>
      <c r="D2304" s="188" t="b">
        <f>LineærRegression_Valg[[#This Row],[Afhængig variabel ID]]&lt;&gt;LineærRegression_Valg[[#This Row],[Uafhængig variabel ID]]</f>
        <v>1</v>
      </c>
      <c r="E2304" s="188" t="b">
        <f>LineærRegression_Valg[[#This Row],[Afhængig variabel ID]]&lt;=$B$5</f>
        <v>0</v>
      </c>
      <c r="F2304" t="str" cm="1">
        <f t="array" ref="F2304">IF(LineærRegression_Valg[[#This Row],[Indenfor range]],INDEX(DataTitel_liste,LineærRegression_Valg[[#This Row],[Afhængig variabel ID]]),INDEX(DataTitel_liste,1))</f>
        <v>Eksempel 1 (interval)</v>
      </c>
      <c r="G2304" s="188" t="str" cm="1">
        <f t="array" ref="G2304">IF(LineærRegression_Valg[[#This Row],[Indenfor range]],IF(LineærRegression_Valg[[#This Row],[Intet overlap]],INDEX(DataTitel_liste,LineærRegression_Valg[[#This Row],[Uafhængig variabel ID]]),INDEX(DataTitel_liste,IF(LineærRegression_Valg[[#This Row],[Afhængig variabel ID]]=1,2,1))),$B$7)</f>
        <v>Eksempel 2 (interval)</v>
      </c>
      <c r="H2304" s="188">
        <f>_xlfn.AGGREGATE(2,5,LineærRegression_Valg[[#This Row],[Tabel ID]])</f>
        <v>1</v>
      </c>
    </row>
    <row r="2305" spans="1:8" x14ac:dyDescent="0.2">
      <c r="A2305">
        <f>ROW(LineærRegression_Valg[[#This Row],[Tabel ID]])-ROW(LineærRegression_Valg[[#Headers],[Tabel ID]])</f>
        <v>2295</v>
      </c>
      <c r="B2305" s="188">
        <f>ROUNDDOWN((LineærRegression_Valg[[#This Row],[Tabel ID]]-1)/$B$5,0)+1</f>
        <v>574</v>
      </c>
      <c r="C2305" s="188">
        <f t="shared" si="35"/>
        <v>3</v>
      </c>
      <c r="D2305" s="188" t="b">
        <f>LineærRegression_Valg[[#This Row],[Afhængig variabel ID]]&lt;&gt;LineærRegression_Valg[[#This Row],[Uafhængig variabel ID]]</f>
        <v>1</v>
      </c>
      <c r="E2305" s="188" t="b">
        <f>LineærRegression_Valg[[#This Row],[Afhængig variabel ID]]&lt;=$B$5</f>
        <v>0</v>
      </c>
      <c r="F2305" t="str" cm="1">
        <f t="array" ref="F2305">IF(LineærRegression_Valg[[#This Row],[Indenfor range]],INDEX(DataTitel_liste,LineærRegression_Valg[[#This Row],[Afhængig variabel ID]]),INDEX(DataTitel_liste,1))</f>
        <v>Eksempel 1 (interval)</v>
      </c>
      <c r="G2305" s="188" t="str" cm="1">
        <f t="array" ref="G2305">IF(LineærRegression_Valg[[#This Row],[Indenfor range]],IF(LineærRegression_Valg[[#This Row],[Intet overlap]],INDEX(DataTitel_liste,LineærRegression_Valg[[#This Row],[Uafhængig variabel ID]]),INDEX(DataTitel_liste,IF(LineærRegression_Valg[[#This Row],[Afhængig variabel ID]]=1,2,1))),$B$7)</f>
        <v>Eksempel 2 (interval)</v>
      </c>
      <c r="H2305" s="188">
        <f>_xlfn.AGGREGATE(2,5,LineærRegression_Valg[[#This Row],[Tabel ID]])</f>
        <v>1</v>
      </c>
    </row>
    <row r="2306" spans="1:8" x14ac:dyDescent="0.2">
      <c r="A2306">
        <f>ROW(LineærRegression_Valg[[#This Row],[Tabel ID]])-ROW(LineærRegression_Valg[[#Headers],[Tabel ID]])</f>
        <v>2296</v>
      </c>
      <c r="B2306" s="188">
        <f>ROUNDDOWN((LineærRegression_Valg[[#This Row],[Tabel ID]]-1)/$B$5,0)+1</f>
        <v>574</v>
      </c>
      <c r="C2306" s="188">
        <f t="shared" si="35"/>
        <v>4</v>
      </c>
      <c r="D2306" s="188" t="b">
        <f>LineærRegression_Valg[[#This Row],[Afhængig variabel ID]]&lt;&gt;LineærRegression_Valg[[#This Row],[Uafhængig variabel ID]]</f>
        <v>1</v>
      </c>
      <c r="E2306" s="188" t="b">
        <f>LineærRegression_Valg[[#This Row],[Afhængig variabel ID]]&lt;=$B$5</f>
        <v>0</v>
      </c>
      <c r="F2306" t="str" cm="1">
        <f t="array" ref="F2306">IF(LineærRegression_Valg[[#This Row],[Indenfor range]],INDEX(DataTitel_liste,LineærRegression_Valg[[#This Row],[Afhængig variabel ID]]),INDEX(DataTitel_liste,1))</f>
        <v>Eksempel 1 (interval)</v>
      </c>
      <c r="G2306" s="188" t="str" cm="1">
        <f t="array" ref="G2306">IF(LineærRegression_Valg[[#This Row],[Indenfor range]],IF(LineærRegression_Valg[[#This Row],[Intet overlap]],INDEX(DataTitel_liste,LineærRegression_Valg[[#This Row],[Uafhængig variabel ID]]),INDEX(DataTitel_liste,IF(LineærRegression_Valg[[#This Row],[Afhængig variabel ID]]=1,2,1))),$B$7)</f>
        <v>Eksempel 2 (interval)</v>
      </c>
      <c r="H2306" s="188">
        <f>_xlfn.AGGREGATE(2,5,LineærRegression_Valg[[#This Row],[Tabel ID]])</f>
        <v>1</v>
      </c>
    </row>
    <row r="2307" spans="1:8" x14ac:dyDescent="0.2">
      <c r="A2307">
        <f>ROW(LineærRegression_Valg[[#This Row],[Tabel ID]])-ROW(LineærRegression_Valg[[#Headers],[Tabel ID]])</f>
        <v>2297</v>
      </c>
      <c r="B2307" s="188">
        <f>ROUNDDOWN((LineærRegression_Valg[[#This Row],[Tabel ID]]-1)/$B$5,0)+1</f>
        <v>575</v>
      </c>
      <c r="C2307" s="188">
        <f t="shared" si="35"/>
        <v>1</v>
      </c>
      <c r="D2307" s="188" t="b">
        <f>LineærRegression_Valg[[#This Row],[Afhængig variabel ID]]&lt;&gt;LineærRegression_Valg[[#This Row],[Uafhængig variabel ID]]</f>
        <v>1</v>
      </c>
      <c r="E2307" s="188" t="b">
        <f>LineærRegression_Valg[[#This Row],[Afhængig variabel ID]]&lt;=$B$5</f>
        <v>0</v>
      </c>
      <c r="F2307" t="str" cm="1">
        <f t="array" ref="F2307">IF(LineærRegression_Valg[[#This Row],[Indenfor range]],INDEX(DataTitel_liste,LineærRegression_Valg[[#This Row],[Afhængig variabel ID]]),INDEX(DataTitel_liste,1))</f>
        <v>Eksempel 1 (interval)</v>
      </c>
      <c r="G2307" s="188" t="str" cm="1">
        <f t="array" ref="G2307">IF(LineærRegression_Valg[[#This Row],[Indenfor range]],IF(LineærRegression_Valg[[#This Row],[Intet overlap]],INDEX(DataTitel_liste,LineærRegression_Valg[[#This Row],[Uafhængig variabel ID]]),INDEX(DataTitel_liste,IF(LineærRegression_Valg[[#This Row],[Afhængig variabel ID]]=1,2,1))),$B$7)</f>
        <v>Eksempel 2 (interval)</v>
      </c>
      <c r="H2307" s="188">
        <f>_xlfn.AGGREGATE(2,5,LineærRegression_Valg[[#This Row],[Tabel ID]])</f>
        <v>1</v>
      </c>
    </row>
    <row r="2308" spans="1:8" x14ac:dyDescent="0.2">
      <c r="A2308">
        <f>ROW(LineærRegression_Valg[[#This Row],[Tabel ID]])-ROW(LineærRegression_Valg[[#Headers],[Tabel ID]])</f>
        <v>2298</v>
      </c>
      <c r="B2308" s="188">
        <f>ROUNDDOWN((LineærRegression_Valg[[#This Row],[Tabel ID]]-1)/$B$5,0)+1</f>
        <v>575</v>
      </c>
      <c r="C2308" s="188">
        <f t="shared" si="35"/>
        <v>2</v>
      </c>
      <c r="D2308" s="188" t="b">
        <f>LineærRegression_Valg[[#This Row],[Afhængig variabel ID]]&lt;&gt;LineærRegression_Valg[[#This Row],[Uafhængig variabel ID]]</f>
        <v>1</v>
      </c>
      <c r="E2308" s="188" t="b">
        <f>LineærRegression_Valg[[#This Row],[Afhængig variabel ID]]&lt;=$B$5</f>
        <v>0</v>
      </c>
      <c r="F2308" t="str" cm="1">
        <f t="array" ref="F2308">IF(LineærRegression_Valg[[#This Row],[Indenfor range]],INDEX(DataTitel_liste,LineærRegression_Valg[[#This Row],[Afhængig variabel ID]]),INDEX(DataTitel_liste,1))</f>
        <v>Eksempel 1 (interval)</v>
      </c>
      <c r="G2308" s="188" t="str" cm="1">
        <f t="array" ref="G2308">IF(LineærRegression_Valg[[#This Row],[Indenfor range]],IF(LineærRegression_Valg[[#This Row],[Intet overlap]],INDEX(DataTitel_liste,LineærRegression_Valg[[#This Row],[Uafhængig variabel ID]]),INDEX(DataTitel_liste,IF(LineærRegression_Valg[[#This Row],[Afhængig variabel ID]]=1,2,1))),$B$7)</f>
        <v>Eksempel 2 (interval)</v>
      </c>
      <c r="H2308" s="188">
        <f>_xlfn.AGGREGATE(2,5,LineærRegression_Valg[[#This Row],[Tabel ID]])</f>
        <v>1</v>
      </c>
    </row>
    <row r="2309" spans="1:8" x14ac:dyDescent="0.2">
      <c r="A2309">
        <f>ROW(LineærRegression_Valg[[#This Row],[Tabel ID]])-ROW(LineærRegression_Valg[[#Headers],[Tabel ID]])</f>
        <v>2299</v>
      </c>
      <c r="B2309" s="188">
        <f>ROUNDDOWN((LineærRegression_Valg[[#This Row],[Tabel ID]]-1)/$B$5,0)+1</f>
        <v>575</v>
      </c>
      <c r="C2309" s="188">
        <f t="shared" si="35"/>
        <v>3</v>
      </c>
      <c r="D2309" s="188" t="b">
        <f>LineærRegression_Valg[[#This Row],[Afhængig variabel ID]]&lt;&gt;LineærRegression_Valg[[#This Row],[Uafhængig variabel ID]]</f>
        <v>1</v>
      </c>
      <c r="E2309" s="188" t="b">
        <f>LineærRegression_Valg[[#This Row],[Afhængig variabel ID]]&lt;=$B$5</f>
        <v>0</v>
      </c>
      <c r="F2309" t="str" cm="1">
        <f t="array" ref="F2309">IF(LineærRegression_Valg[[#This Row],[Indenfor range]],INDEX(DataTitel_liste,LineærRegression_Valg[[#This Row],[Afhængig variabel ID]]),INDEX(DataTitel_liste,1))</f>
        <v>Eksempel 1 (interval)</v>
      </c>
      <c r="G2309" s="188" t="str" cm="1">
        <f t="array" ref="G2309">IF(LineærRegression_Valg[[#This Row],[Indenfor range]],IF(LineærRegression_Valg[[#This Row],[Intet overlap]],INDEX(DataTitel_liste,LineærRegression_Valg[[#This Row],[Uafhængig variabel ID]]),INDEX(DataTitel_liste,IF(LineærRegression_Valg[[#This Row],[Afhængig variabel ID]]=1,2,1))),$B$7)</f>
        <v>Eksempel 2 (interval)</v>
      </c>
      <c r="H2309" s="188">
        <f>_xlfn.AGGREGATE(2,5,LineærRegression_Valg[[#This Row],[Tabel ID]])</f>
        <v>1</v>
      </c>
    </row>
    <row r="2310" spans="1:8" x14ac:dyDescent="0.2">
      <c r="A2310">
        <f>ROW(LineærRegression_Valg[[#This Row],[Tabel ID]])-ROW(LineærRegression_Valg[[#Headers],[Tabel ID]])</f>
        <v>2300</v>
      </c>
      <c r="B2310" s="188">
        <f>ROUNDDOWN((LineærRegression_Valg[[#This Row],[Tabel ID]]-1)/$B$5,0)+1</f>
        <v>575</v>
      </c>
      <c r="C2310" s="188">
        <f t="shared" si="35"/>
        <v>4</v>
      </c>
      <c r="D2310" s="188" t="b">
        <f>LineærRegression_Valg[[#This Row],[Afhængig variabel ID]]&lt;&gt;LineærRegression_Valg[[#This Row],[Uafhængig variabel ID]]</f>
        <v>1</v>
      </c>
      <c r="E2310" s="188" t="b">
        <f>LineærRegression_Valg[[#This Row],[Afhængig variabel ID]]&lt;=$B$5</f>
        <v>0</v>
      </c>
      <c r="F2310" t="str" cm="1">
        <f t="array" ref="F2310">IF(LineærRegression_Valg[[#This Row],[Indenfor range]],INDEX(DataTitel_liste,LineærRegression_Valg[[#This Row],[Afhængig variabel ID]]),INDEX(DataTitel_liste,1))</f>
        <v>Eksempel 1 (interval)</v>
      </c>
      <c r="G2310" s="188" t="str" cm="1">
        <f t="array" ref="G2310">IF(LineærRegression_Valg[[#This Row],[Indenfor range]],IF(LineærRegression_Valg[[#This Row],[Intet overlap]],INDEX(DataTitel_liste,LineærRegression_Valg[[#This Row],[Uafhængig variabel ID]]),INDEX(DataTitel_liste,IF(LineærRegression_Valg[[#This Row],[Afhængig variabel ID]]=1,2,1))),$B$7)</f>
        <v>Eksempel 2 (interval)</v>
      </c>
      <c r="H2310" s="188">
        <f>_xlfn.AGGREGATE(2,5,LineærRegression_Valg[[#This Row],[Tabel ID]])</f>
        <v>1</v>
      </c>
    </row>
    <row r="2311" spans="1:8" x14ac:dyDescent="0.2">
      <c r="A2311">
        <f>ROW(LineærRegression_Valg[[#This Row],[Tabel ID]])-ROW(LineærRegression_Valg[[#Headers],[Tabel ID]])</f>
        <v>2301</v>
      </c>
      <c r="B2311" s="188">
        <f>ROUNDDOWN((LineærRegression_Valg[[#This Row],[Tabel ID]]-1)/$B$5,0)+1</f>
        <v>576</v>
      </c>
      <c r="C2311" s="188">
        <f t="shared" si="35"/>
        <v>1</v>
      </c>
      <c r="D2311" s="188" t="b">
        <f>LineærRegression_Valg[[#This Row],[Afhængig variabel ID]]&lt;&gt;LineærRegression_Valg[[#This Row],[Uafhængig variabel ID]]</f>
        <v>1</v>
      </c>
      <c r="E2311" s="188" t="b">
        <f>LineærRegression_Valg[[#This Row],[Afhængig variabel ID]]&lt;=$B$5</f>
        <v>0</v>
      </c>
      <c r="F2311" t="str" cm="1">
        <f t="array" ref="F2311">IF(LineærRegression_Valg[[#This Row],[Indenfor range]],INDEX(DataTitel_liste,LineærRegression_Valg[[#This Row],[Afhængig variabel ID]]),INDEX(DataTitel_liste,1))</f>
        <v>Eksempel 1 (interval)</v>
      </c>
      <c r="G2311" s="188" t="str" cm="1">
        <f t="array" ref="G2311">IF(LineærRegression_Valg[[#This Row],[Indenfor range]],IF(LineærRegression_Valg[[#This Row],[Intet overlap]],INDEX(DataTitel_liste,LineærRegression_Valg[[#This Row],[Uafhængig variabel ID]]),INDEX(DataTitel_liste,IF(LineærRegression_Valg[[#This Row],[Afhængig variabel ID]]=1,2,1))),$B$7)</f>
        <v>Eksempel 2 (interval)</v>
      </c>
      <c r="H2311" s="188">
        <f>_xlfn.AGGREGATE(2,5,LineærRegression_Valg[[#This Row],[Tabel ID]])</f>
        <v>1</v>
      </c>
    </row>
    <row r="2312" spans="1:8" x14ac:dyDescent="0.2">
      <c r="A2312">
        <f>ROW(LineærRegression_Valg[[#This Row],[Tabel ID]])-ROW(LineærRegression_Valg[[#Headers],[Tabel ID]])</f>
        <v>2302</v>
      </c>
      <c r="B2312" s="188">
        <f>ROUNDDOWN((LineærRegression_Valg[[#This Row],[Tabel ID]]-1)/$B$5,0)+1</f>
        <v>576</v>
      </c>
      <c r="C2312" s="188">
        <f t="shared" si="35"/>
        <v>2</v>
      </c>
      <c r="D2312" s="188" t="b">
        <f>LineærRegression_Valg[[#This Row],[Afhængig variabel ID]]&lt;&gt;LineærRegression_Valg[[#This Row],[Uafhængig variabel ID]]</f>
        <v>1</v>
      </c>
      <c r="E2312" s="188" t="b">
        <f>LineærRegression_Valg[[#This Row],[Afhængig variabel ID]]&lt;=$B$5</f>
        <v>0</v>
      </c>
      <c r="F2312" t="str" cm="1">
        <f t="array" ref="F2312">IF(LineærRegression_Valg[[#This Row],[Indenfor range]],INDEX(DataTitel_liste,LineærRegression_Valg[[#This Row],[Afhængig variabel ID]]),INDEX(DataTitel_liste,1))</f>
        <v>Eksempel 1 (interval)</v>
      </c>
      <c r="G2312" s="188" t="str" cm="1">
        <f t="array" ref="G2312">IF(LineærRegression_Valg[[#This Row],[Indenfor range]],IF(LineærRegression_Valg[[#This Row],[Intet overlap]],INDEX(DataTitel_liste,LineærRegression_Valg[[#This Row],[Uafhængig variabel ID]]),INDEX(DataTitel_liste,IF(LineærRegression_Valg[[#This Row],[Afhængig variabel ID]]=1,2,1))),$B$7)</f>
        <v>Eksempel 2 (interval)</v>
      </c>
      <c r="H2312" s="188">
        <f>_xlfn.AGGREGATE(2,5,LineærRegression_Valg[[#This Row],[Tabel ID]])</f>
        <v>1</v>
      </c>
    </row>
    <row r="2313" spans="1:8" x14ac:dyDescent="0.2">
      <c r="A2313">
        <f>ROW(LineærRegression_Valg[[#This Row],[Tabel ID]])-ROW(LineærRegression_Valg[[#Headers],[Tabel ID]])</f>
        <v>2303</v>
      </c>
      <c r="B2313" s="188">
        <f>ROUNDDOWN((LineærRegression_Valg[[#This Row],[Tabel ID]]-1)/$B$5,0)+1</f>
        <v>576</v>
      </c>
      <c r="C2313" s="188">
        <f t="shared" si="35"/>
        <v>3</v>
      </c>
      <c r="D2313" s="188" t="b">
        <f>LineærRegression_Valg[[#This Row],[Afhængig variabel ID]]&lt;&gt;LineærRegression_Valg[[#This Row],[Uafhængig variabel ID]]</f>
        <v>1</v>
      </c>
      <c r="E2313" s="188" t="b">
        <f>LineærRegression_Valg[[#This Row],[Afhængig variabel ID]]&lt;=$B$5</f>
        <v>0</v>
      </c>
      <c r="F2313" t="str" cm="1">
        <f t="array" ref="F2313">IF(LineærRegression_Valg[[#This Row],[Indenfor range]],INDEX(DataTitel_liste,LineærRegression_Valg[[#This Row],[Afhængig variabel ID]]),INDEX(DataTitel_liste,1))</f>
        <v>Eksempel 1 (interval)</v>
      </c>
      <c r="G2313" s="188" t="str" cm="1">
        <f t="array" ref="G2313">IF(LineærRegression_Valg[[#This Row],[Indenfor range]],IF(LineærRegression_Valg[[#This Row],[Intet overlap]],INDEX(DataTitel_liste,LineærRegression_Valg[[#This Row],[Uafhængig variabel ID]]),INDEX(DataTitel_liste,IF(LineærRegression_Valg[[#This Row],[Afhængig variabel ID]]=1,2,1))),$B$7)</f>
        <v>Eksempel 2 (interval)</v>
      </c>
      <c r="H2313" s="188">
        <f>_xlfn.AGGREGATE(2,5,LineærRegression_Valg[[#This Row],[Tabel ID]])</f>
        <v>1</v>
      </c>
    </row>
    <row r="2314" spans="1:8" x14ac:dyDescent="0.2">
      <c r="A2314">
        <f>ROW(LineærRegression_Valg[[#This Row],[Tabel ID]])-ROW(LineærRegression_Valg[[#Headers],[Tabel ID]])</f>
        <v>2304</v>
      </c>
      <c r="B2314" s="188">
        <f>ROUNDDOWN((LineærRegression_Valg[[#This Row],[Tabel ID]]-1)/$B$5,0)+1</f>
        <v>576</v>
      </c>
      <c r="C2314" s="188">
        <f t="shared" si="35"/>
        <v>4</v>
      </c>
      <c r="D2314" s="188" t="b">
        <f>LineærRegression_Valg[[#This Row],[Afhængig variabel ID]]&lt;&gt;LineærRegression_Valg[[#This Row],[Uafhængig variabel ID]]</f>
        <v>1</v>
      </c>
      <c r="E2314" s="188" t="b">
        <f>LineærRegression_Valg[[#This Row],[Afhængig variabel ID]]&lt;=$B$5</f>
        <v>0</v>
      </c>
      <c r="F2314" t="str" cm="1">
        <f t="array" ref="F2314">IF(LineærRegression_Valg[[#This Row],[Indenfor range]],INDEX(DataTitel_liste,LineærRegression_Valg[[#This Row],[Afhængig variabel ID]]),INDEX(DataTitel_liste,1))</f>
        <v>Eksempel 1 (interval)</v>
      </c>
      <c r="G2314" s="188" t="str" cm="1">
        <f t="array" ref="G2314">IF(LineærRegression_Valg[[#This Row],[Indenfor range]],IF(LineærRegression_Valg[[#This Row],[Intet overlap]],INDEX(DataTitel_liste,LineærRegression_Valg[[#This Row],[Uafhængig variabel ID]]),INDEX(DataTitel_liste,IF(LineærRegression_Valg[[#This Row],[Afhængig variabel ID]]=1,2,1))),$B$7)</f>
        <v>Eksempel 2 (interval)</v>
      </c>
      <c r="H2314" s="188">
        <f>_xlfn.AGGREGATE(2,5,LineærRegression_Valg[[#This Row],[Tabel ID]])</f>
        <v>1</v>
      </c>
    </row>
    <row r="2315" spans="1:8" x14ac:dyDescent="0.2">
      <c r="A2315">
        <f>ROW(LineærRegression_Valg[[#This Row],[Tabel ID]])-ROW(LineærRegression_Valg[[#Headers],[Tabel ID]])</f>
        <v>2305</v>
      </c>
      <c r="B2315" s="188">
        <f>ROUNDDOWN((LineærRegression_Valg[[#This Row],[Tabel ID]]-1)/$B$5,0)+1</f>
        <v>577</v>
      </c>
      <c r="C2315" s="188">
        <f t="shared" ref="C2315:C2378" si="36">MOD(A2315-1,$B$5)+1</f>
        <v>1</v>
      </c>
      <c r="D2315" s="188" t="b">
        <f>LineærRegression_Valg[[#This Row],[Afhængig variabel ID]]&lt;&gt;LineærRegression_Valg[[#This Row],[Uafhængig variabel ID]]</f>
        <v>1</v>
      </c>
      <c r="E2315" s="188" t="b">
        <f>LineærRegression_Valg[[#This Row],[Afhængig variabel ID]]&lt;=$B$5</f>
        <v>0</v>
      </c>
      <c r="F2315" t="str" cm="1">
        <f t="array" ref="F2315">IF(LineærRegression_Valg[[#This Row],[Indenfor range]],INDEX(DataTitel_liste,LineærRegression_Valg[[#This Row],[Afhængig variabel ID]]),INDEX(DataTitel_liste,1))</f>
        <v>Eksempel 1 (interval)</v>
      </c>
      <c r="G2315" s="188" t="str" cm="1">
        <f t="array" ref="G2315">IF(LineærRegression_Valg[[#This Row],[Indenfor range]],IF(LineærRegression_Valg[[#This Row],[Intet overlap]],INDEX(DataTitel_liste,LineærRegression_Valg[[#This Row],[Uafhængig variabel ID]]),INDEX(DataTitel_liste,IF(LineærRegression_Valg[[#This Row],[Afhængig variabel ID]]=1,2,1))),$B$7)</f>
        <v>Eksempel 2 (interval)</v>
      </c>
      <c r="H2315" s="188">
        <f>_xlfn.AGGREGATE(2,5,LineærRegression_Valg[[#This Row],[Tabel ID]])</f>
        <v>1</v>
      </c>
    </row>
    <row r="2316" spans="1:8" x14ac:dyDescent="0.2">
      <c r="A2316">
        <f>ROW(LineærRegression_Valg[[#This Row],[Tabel ID]])-ROW(LineærRegression_Valg[[#Headers],[Tabel ID]])</f>
        <v>2306</v>
      </c>
      <c r="B2316" s="188">
        <f>ROUNDDOWN((LineærRegression_Valg[[#This Row],[Tabel ID]]-1)/$B$5,0)+1</f>
        <v>577</v>
      </c>
      <c r="C2316" s="188">
        <f t="shared" si="36"/>
        <v>2</v>
      </c>
      <c r="D2316" s="188" t="b">
        <f>LineærRegression_Valg[[#This Row],[Afhængig variabel ID]]&lt;&gt;LineærRegression_Valg[[#This Row],[Uafhængig variabel ID]]</f>
        <v>1</v>
      </c>
      <c r="E2316" s="188" t="b">
        <f>LineærRegression_Valg[[#This Row],[Afhængig variabel ID]]&lt;=$B$5</f>
        <v>0</v>
      </c>
      <c r="F2316" t="str" cm="1">
        <f t="array" ref="F2316">IF(LineærRegression_Valg[[#This Row],[Indenfor range]],INDEX(DataTitel_liste,LineærRegression_Valg[[#This Row],[Afhængig variabel ID]]),INDEX(DataTitel_liste,1))</f>
        <v>Eksempel 1 (interval)</v>
      </c>
      <c r="G2316" s="188" t="str" cm="1">
        <f t="array" ref="G2316">IF(LineærRegression_Valg[[#This Row],[Indenfor range]],IF(LineærRegression_Valg[[#This Row],[Intet overlap]],INDEX(DataTitel_liste,LineærRegression_Valg[[#This Row],[Uafhængig variabel ID]]),INDEX(DataTitel_liste,IF(LineærRegression_Valg[[#This Row],[Afhængig variabel ID]]=1,2,1))),$B$7)</f>
        <v>Eksempel 2 (interval)</v>
      </c>
      <c r="H2316" s="188">
        <f>_xlfn.AGGREGATE(2,5,LineærRegression_Valg[[#This Row],[Tabel ID]])</f>
        <v>1</v>
      </c>
    </row>
    <row r="2317" spans="1:8" x14ac:dyDescent="0.2">
      <c r="A2317">
        <f>ROW(LineærRegression_Valg[[#This Row],[Tabel ID]])-ROW(LineærRegression_Valg[[#Headers],[Tabel ID]])</f>
        <v>2307</v>
      </c>
      <c r="B2317" s="188">
        <f>ROUNDDOWN((LineærRegression_Valg[[#This Row],[Tabel ID]]-1)/$B$5,0)+1</f>
        <v>577</v>
      </c>
      <c r="C2317" s="188">
        <f t="shared" si="36"/>
        <v>3</v>
      </c>
      <c r="D2317" s="188" t="b">
        <f>LineærRegression_Valg[[#This Row],[Afhængig variabel ID]]&lt;&gt;LineærRegression_Valg[[#This Row],[Uafhængig variabel ID]]</f>
        <v>1</v>
      </c>
      <c r="E2317" s="188" t="b">
        <f>LineærRegression_Valg[[#This Row],[Afhængig variabel ID]]&lt;=$B$5</f>
        <v>0</v>
      </c>
      <c r="F2317" t="str" cm="1">
        <f t="array" ref="F2317">IF(LineærRegression_Valg[[#This Row],[Indenfor range]],INDEX(DataTitel_liste,LineærRegression_Valg[[#This Row],[Afhængig variabel ID]]),INDEX(DataTitel_liste,1))</f>
        <v>Eksempel 1 (interval)</v>
      </c>
      <c r="G2317" s="188" t="str" cm="1">
        <f t="array" ref="G2317">IF(LineærRegression_Valg[[#This Row],[Indenfor range]],IF(LineærRegression_Valg[[#This Row],[Intet overlap]],INDEX(DataTitel_liste,LineærRegression_Valg[[#This Row],[Uafhængig variabel ID]]),INDEX(DataTitel_liste,IF(LineærRegression_Valg[[#This Row],[Afhængig variabel ID]]=1,2,1))),$B$7)</f>
        <v>Eksempel 2 (interval)</v>
      </c>
      <c r="H2317" s="188">
        <f>_xlfn.AGGREGATE(2,5,LineærRegression_Valg[[#This Row],[Tabel ID]])</f>
        <v>1</v>
      </c>
    </row>
    <row r="2318" spans="1:8" x14ac:dyDescent="0.2">
      <c r="A2318">
        <f>ROW(LineærRegression_Valg[[#This Row],[Tabel ID]])-ROW(LineærRegression_Valg[[#Headers],[Tabel ID]])</f>
        <v>2308</v>
      </c>
      <c r="B2318" s="188">
        <f>ROUNDDOWN((LineærRegression_Valg[[#This Row],[Tabel ID]]-1)/$B$5,0)+1</f>
        <v>577</v>
      </c>
      <c r="C2318" s="188">
        <f t="shared" si="36"/>
        <v>4</v>
      </c>
      <c r="D2318" s="188" t="b">
        <f>LineærRegression_Valg[[#This Row],[Afhængig variabel ID]]&lt;&gt;LineærRegression_Valg[[#This Row],[Uafhængig variabel ID]]</f>
        <v>1</v>
      </c>
      <c r="E2318" s="188" t="b">
        <f>LineærRegression_Valg[[#This Row],[Afhængig variabel ID]]&lt;=$B$5</f>
        <v>0</v>
      </c>
      <c r="F2318" t="str" cm="1">
        <f t="array" ref="F2318">IF(LineærRegression_Valg[[#This Row],[Indenfor range]],INDEX(DataTitel_liste,LineærRegression_Valg[[#This Row],[Afhængig variabel ID]]),INDEX(DataTitel_liste,1))</f>
        <v>Eksempel 1 (interval)</v>
      </c>
      <c r="G2318" s="188" t="str" cm="1">
        <f t="array" ref="G2318">IF(LineærRegression_Valg[[#This Row],[Indenfor range]],IF(LineærRegression_Valg[[#This Row],[Intet overlap]],INDEX(DataTitel_liste,LineærRegression_Valg[[#This Row],[Uafhængig variabel ID]]),INDEX(DataTitel_liste,IF(LineærRegression_Valg[[#This Row],[Afhængig variabel ID]]=1,2,1))),$B$7)</f>
        <v>Eksempel 2 (interval)</v>
      </c>
      <c r="H2318" s="188">
        <f>_xlfn.AGGREGATE(2,5,LineærRegression_Valg[[#This Row],[Tabel ID]])</f>
        <v>1</v>
      </c>
    </row>
    <row r="2319" spans="1:8" x14ac:dyDescent="0.2">
      <c r="A2319">
        <f>ROW(LineærRegression_Valg[[#This Row],[Tabel ID]])-ROW(LineærRegression_Valg[[#Headers],[Tabel ID]])</f>
        <v>2309</v>
      </c>
      <c r="B2319" s="188">
        <f>ROUNDDOWN((LineærRegression_Valg[[#This Row],[Tabel ID]]-1)/$B$5,0)+1</f>
        <v>578</v>
      </c>
      <c r="C2319" s="188">
        <f t="shared" si="36"/>
        <v>1</v>
      </c>
      <c r="D2319" s="188" t="b">
        <f>LineærRegression_Valg[[#This Row],[Afhængig variabel ID]]&lt;&gt;LineærRegression_Valg[[#This Row],[Uafhængig variabel ID]]</f>
        <v>1</v>
      </c>
      <c r="E2319" s="188" t="b">
        <f>LineærRegression_Valg[[#This Row],[Afhængig variabel ID]]&lt;=$B$5</f>
        <v>0</v>
      </c>
      <c r="F2319" t="str" cm="1">
        <f t="array" ref="F2319">IF(LineærRegression_Valg[[#This Row],[Indenfor range]],INDEX(DataTitel_liste,LineærRegression_Valg[[#This Row],[Afhængig variabel ID]]),INDEX(DataTitel_liste,1))</f>
        <v>Eksempel 1 (interval)</v>
      </c>
      <c r="G2319" s="188" t="str" cm="1">
        <f t="array" ref="G2319">IF(LineærRegression_Valg[[#This Row],[Indenfor range]],IF(LineærRegression_Valg[[#This Row],[Intet overlap]],INDEX(DataTitel_liste,LineærRegression_Valg[[#This Row],[Uafhængig variabel ID]]),INDEX(DataTitel_liste,IF(LineærRegression_Valg[[#This Row],[Afhængig variabel ID]]=1,2,1))),$B$7)</f>
        <v>Eksempel 2 (interval)</v>
      </c>
      <c r="H2319" s="188">
        <f>_xlfn.AGGREGATE(2,5,LineærRegression_Valg[[#This Row],[Tabel ID]])</f>
        <v>1</v>
      </c>
    </row>
    <row r="2320" spans="1:8" x14ac:dyDescent="0.2">
      <c r="A2320">
        <f>ROW(LineærRegression_Valg[[#This Row],[Tabel ID]])-ROW(LineærRegression_Valg[[#Headers],[Tabel ID]])</f>
        <v>2310</v>
      </c>
      <c r="B2320" s="188">
        <f>ROUNDDOWN((LineærRegression_Valg[[#This Row],[Tabel ID]]-1)/$B$5,0)+1</f>
        <v>578</v>
      </c>
      <c r="C2320" s="188">
        <f t="shared" si="36"/>
        <v>2</v>
      </c>
      <c r="D2320" s="188" t="b">
        <f>LineærRegression_Valg[[#This Row],[Afhængig variabel ID]]&lt;&gt;LineærRegression_Valg[[#This Row],[Uafhængig variabel ID]]</f>
        <v>1</v>
      </c>
      <c r="E2320" s="188" t="b">
        <f>LineærRegression_Valg[[#This Row],[Afhængig variabel ID]]&lt;=$B$5</f>
        <v>0</v>
      </c>
      <c r="F2320" t="str" cm="1">
        <f t="array" ref="F2320">IF(LineærRegression_Valg[[#This Row],[Indenfor range]],INDEX(DataTitel_liste,LineærRegression_Valg[[#This Row],[Afhængig variabel ID]]),INDEX(DataTitel_liste,1))</f>
        <v>Eksempel 1 (interval)</v>
      </c>
      <c r="G2320" s="188" t="str" cm="1">
        <f t="array" ref="G2320">IF(LineærRegression_Valg[[#This Row],[Indenfor range]],IF(LineærRegression_Valg[[#This Row],[Intet overlap]],INDEX(DataTitel_liste,LineærRegression_Valg[[#This Row],[Uafhængig variabel ID]]),INDEX(DataTitel_liste,IF(LineærRegression_Valg[[#This Row],[Afhængig variabel ID]]=1,2,1))),$B$7)</f>
        <v>Eksempel 2 (interval)</v>
      </c>
      <c r="H2320" s="188">
        <f>_xlfn.AGGREGATE(2,5,LineærRegression_Valg[[#This Row],[Tabel ID]])</f>
        <v>1</v>
      </c>
    </row>
    <row r="2321" spans="1:8" x14ac:dyDescent="0.2">
      <c r="A2321">
        <f>ROW(LineærRegression_Valg[[#This Row],[Tabel ID]])-ROW(LineærRegression_Valg[[#Headers],[Tabel ID]])</f>
        <v>2311</v>
      </c>
      <c r="B2321" s="188">
        <f>ROUNDDOWN((LineærRegression_Valg[[#This Row],[Tabel ID]]-1)/$B$5,0)+1</f>
        <v>578</v>
      </c>
      <c r="C2321" s="188">
        <f t="shared" si="36"/>
        <v>3</v>
      </c>
      <c r="D2321" s="188" t="b">
        <f>LineærRegression_Valg[[#This Row],[Afhængig variabel ID]]&lt;&gt;LineærRegression_Valg[[#This Row],[Uafhængig variabel ID]]</f>
        <v>1</v>
      </c>
      <c r="E2321" s="188" t="b">
        <f>LineærRegression_Valg[[#This Row],[Afhængig variabel ID]]&lt;=$B$5</f>
        <v>0</v>
      </c>
      <c r="F2321" t="str" cm="1">
        <f t="array" ref="F2321">IF(LineærRegression_Valg[[#This Row],[Indenfor range]],INDEX(DataTitel_liste,LineærRegression_Valg[[#This Row],[Afhængig variabel ID]]),INDEX(DataTitel_liste,1))</f>
        <v>Eksempel 1 (interval)</v>
      </c>
      <c r="G2321" s="188" t="str" cm="1">
        <f t="array" ref="G2321">IF(LineærRegression_Valg[[#This Row],[Indenfor range]],IF(LineærRegression_Valg[[#This Row],[Intet overlap]],INDEX(DataTitel_liste,LineærRegression_Valg[[#This Row],[Uafhængig variabel ID]]),INDEX(DataTitel_liste,IF(LineærRegression_Valg[[#This Row],[Afhængig variabel ID]]=1,2,1))),$B$7)</f>
        <v>Eksempel 2 (interval)</v>
      </c>
      <c r="H2321" s="188">
        <f>_xlfn.AGGREGATE(2,5,LineærRegression_Valg[[#This Row],[Tabel ID]])</f>
        <v>1</v>
      </c>
    </row>
    <row r="2322" spans="1:8" x14ac:dyDescent="0.2">
      <c r="A2322">
        <f>ROW(LineærRegression_Valg[[#This Row],[Tabel ID]])-ROW(LineærRegression_Valg[[#Headers],[Tabel ID]])</f>
        <v>2312</v>
      </c>
      <c r="B2322" s="188">
        <f>ROUNDDOWN((LineærRegression_Valg[[#This Row],[Tabel ID]]-1)/$B$5,0)+1</f>
        <v>578</v>
      </c>
      <c r="C2322" s="188">
        <f t="shared" si="36"/>
        <v>4</v>
      </c>
      <c r="D2322" s="188" t="b">
        <f>LineærRegression_Valg[[#This Row],[Afhængig variabel ID]]&lt;&gt;LineærRegression_Valg[[#This Row],[Uafhængig variabel ID]]</f>
        <v>1</v>
      </c>
      <c r="E2322" s="188" t="b">
        <f>LineærRegression_Valg[[#This Row],[Afhængig variabel ID]]&lt;=$B$5</f>
        <v>0</v>
      </c>
      <c r="F2322" t="str" cm="1">
        <f t="array" ref="F2322">IF(LineærRegression_Valg[[#This Row],[Indenfor range]],INDEX(DataTitel_liste,LineærRegression_Valg[[#This Row],[Afhængig variabel ID]]),INDEX(DataTitel_liste,1))</f>
        <v>Eksempel 1 (interval)</v>
      </c>
      <c r="G2322" s="188" t="str" cm="1">
        <f t="array" ref="G2322">IF(LineærRegression_Valg[[#This Row],[Indenfor range]],IF(LineærRegression_Valg[[#This Row],[Intet overlap]],INDEX(DataTitel_liste,LineærRegression_Valg[[#This Row],[Uafhængig variabel ID]]),INDEX(DataTitel_liste,IF(LineærRegression_Valg[[#This Row],[Afhængig variabel ID]]=1,2,1))),$B$7)</f>
        <v>Eksempel 2 (interval)</v>
      </c>
      <c r="H2322" s="188">
        <f>_xlfn.AGGREGATE(2,5,LineærRegression_Valg[[#This Row],[Tabel ID]])</f>
        <v>1</v>
      </c>
    </row>
    <row r="2323" spans="1:8" x14ac:dyDescent="0.2">
      <c r="A2323">
        <f>ROW(LineærRegression_Valg[[#This Row],[Tabel ID]])-ROW(LineærRegression_Valg[[#Headers],[Tabel ID]])</f>
        <v>2313</v>
      </c>
      <c r="B2323" s="188">
        <f>ROUNDDOWN((LineærRegression_Valg[[#This Row],[Tabel ID]]-1)/$B$5,0)+1</f>
        <v>579</v>
      </c>
      <c r="C2323" s="188">
        <f t="shared" si="36"/>
        <v>1</v>
      </c>
      <c r="D2323" s="188" t="b">
        <f>LineærRegression_Valg[[#This Row],[Afhængig variabel ID]]&lt;&gt;LineærRegression_Valg[[#This Row],[Uafhængig variabel ID]]</f>
        <v>1</v>
      </c>
      <c r="E2323" s="188" t="b">
        <f>LineærRegression_Valg[[#This Row],[Afhængig variabel ID]]&lt;=$B$5</f>
        <v>0</v>
      </c>
      <c r="F2323" t="str" cm="1">
        <f t="array" ref="F2323">IF(LineærRegression_Valg[[#This Row],[Indenfor range]],INDEX(DataTitel_liste,LineærRegression_Valg[[#This Row],[Afhængig variabel ID]]),INDEX(DataTitel_liste,1))</f>
        <v>Eksempel 1 (interval)</v>
      </c>
      <c r="G2323" s="188" t="str" cm="1">
        <f t="array" ref="G2323">IF(LineærRegression_Valg[[#This Row],[Indenfor range]],IF(LineærRegression_Valg[[#This Row],[Intet overlap]],INDEX(DataTitel_liste,LineærRegression_Valg[[#This Row],[Uafhængig variabel ID]]),INDEX(DataTitel_liste,IF(LineærRegression_Valg[[#This Row],[Afhængig variabel ID]]=1,2,1))),$B$7)</f>
        <v>Eksempel 2 (interval)</v>
      </c>
      <c r="H2323" s="188">
        <f>_xlfn.AGGREGATE(2,5,LineærRegression_Valg[[#This Row],[Tabel ID]])</f>
        <v>1</v>
      </c>
    </row>
    <row r="2324" spans="1:8" x14ac:dyDescent="0.2">
      <c r="A2324">
        <f>ROW(LineærRegression_Valg[[#This Row],[Tabel ID]])-ROW(LineærRegression_Valg[[#Headers],[Tabel ID]])</f>
        <v>2314</v>
      </c>
      <c r="B2324" s="188">
        <f>ROUNDDOWN((LineærRegression_Valg[[#This Row],[Tabel ID]]-1)/$B$5,0)+1</f>
        <v>579</v>
      </c>
      <c r="C2324" s="188">
        <f t="shared" si="36"/>
        <v>2</v>
      </c>
      <c r="D2324" s="188" t="b">
        <f>LineærRegression_Valg[[#This Row],[Afhængig variabel ID]]&lt;&gt;LineærRegression_Valg[[#This Row],[Uafhængig variabel ID]]</f>
        <v>1</v>
      </c>
      <c r="E2324" s="188" t="b">
        <f>LineærRegression_Valg[[#This Row],[Afhængig variabel ID]]&lt;=$B$5</f>
        <v>0</v>
      </c>
      <c r="F2324" t="str" cm="1">
        <f t="array" ref="F2324">IF(LineærRegression_Valg[[#This Row],[Indenfor range]],INDEX(DataTitel_liste,LineærRegression_Valg[[#This Row],[Afhængig variabel ID]]),INDEX(DataTitel_liste,1))</f>
        <v>Eksempel 1 (interval)</v>
      </c>
      <c r="G2324" s="188" t="str" cm="1">
        <f t="array" ref="G2324">IF(LineærRegression_Valg[[#This Row],[Indenfor range]],IF(LineærRegression_Valg[[#This Row],[Intet overlap]],INDEX(DataTitel_liste,LineærRegression_Valg[[#This Row],[Uafhængig variabel ID]]),INDEX(DataTitel_liste,IF(LineærRegression_Valg[[#This Row],[Afhængig variabel ID]]=1,2,1))),$B$7)</f>
        <v>Eksempel 2 (interval)</v>
      </c>
      <c r="H2324" s="188">
        <f>_xlfn.AGGREGATE(2,5,LineærRegression_Valg[[#This Row],[Tabel ID]])</f>
        <v>1</v>
      </c>
    </row>
    <row r="2325" spans="1:8" x14ac:dyDescent="0.2">
      <c r="A2325">
        <f>ROW(LineærRegression_Valg[[#This Row],[Tabel ID]])-ROW(LineærRegression_Valg[[#Headers],[Tabel ID]])</f>
        <v>2315</v>
      </c>
      <c r="B2325" s="188">
        <f>ROUNDDOWN((LineærRegression_Valg[[#This Row],[Tabel ID]]-1)/$B$5,0)+1</f>
        <v>579</v>
      </c>
      <c r="C2325" s="188">
        <f t="shared" si="36"/>
        <v>3</v>
      </c>
      <c r="D2325" s="188" t="b">
        <f>LineærRegression_Valg[[#This Row],[Afhængig variabel ID]]&lt;&gt;LineærRegression_Valg[[#This Row],[Uafhængig variabel ID]]</f>
        <v>1</v>
      </c>
      <c r="E2325" s="188" t="b">
        <f>LineærRegression_Valg[[#This Row],[Afhængig variabel ID]]&lt;=$B$5</f>
        <v>0</v>
      </c>
      <c r="F2325" t="str" cm="1">
        <f t="array" ref="F2325">IF(LineærRegression_Valg[[#This Row],[Indenfor range]],INDEX(DataTitel_liste,LineærRegression_Valg[[#This Row],[Afhængig variabel ID]]),INDEX(DataTitel_liste,1))</f>
        <v>Eksempel 1 (interval)</v>
      </c>
      <c r="G2325" s="188" t="str" cm="1">
        <f t="array" ref="G2325">IF(LineærRegression_Valg[[#This Row],[Indenfor range]],IF(LineærRegression_Valg[[#This Row],[Intet overlap]],INDEX(DataTitel_liste,LineærRegression_Valg[[#This Row],[Uafhængig variabel ID]]),INDEX(DataTitel_liste,IF(LineærRegression_Valg[[#This Row],[Afhængig variabel ID]]=1,2,1))),$B$7)</f>
        <v>Eksempel 2 (interval)</v>
      </c>
      <c r="H2325" s="188">
        <f>_xlfn.AGGREGATE(2,5,LineærRegression_Valg[[#This Row],[Tabel ID]])</f>
        <v>1</v>
      </c>
    </row>
    <row r="2326" spans="1:8" x14ac:dyDescent="0.2">
      <c r="A2326">
        <f>ROW(LineærRegression_Valg[[#This Row],[Tabel ID]])-ROW(LineærRegression_Valg[[#Headers],[Tabel ID]])</f>
        <v>2316</v>
      </c>
      <c r="B2326" s="188">
        <f>ROUNDDOWN((LineærRegression_Valg[[#This Row],[Tabel ID]]-1)/$B$5,0)+1</f>
        <v>579</v>
      </c>
      <c r="C2326" s="188">
        <f t="shared" si="36"/>
        <v>4</v>
      </c>
      <c r="D2326" s="188" t="b">
        <f>LineærRegression_Valg[[#This Row],[Afhængig variabel ID]]&lt;&gt;LineærRegression_Valg[[#This Row],[Uafhængig variabel ID]]</f>
        <v>1</v>
      </c>
      <c r="E2326" s="188" t="b">
        <f>LineærRegression_Valg[[#This Row],[Afhængig variabel ID]]&lt;=$B$5</f>
        <v>0</v>
      </c>
      <c r="F2326" t="str" cm="1">
        <f t="array" ref="F2326">IF(LineærRegression_Valg[[#This Row],[Indenfor range]],INDEX(DataTitel_liste,LineærRegression_Valg[[#This Row],[Afhængig variabel ID]]),INDEX(DataTitel_liste,1))</f>
        <v>Eksempel 1 (interval)</v>
      </c>
      <c r="G2326" s="188" t="str" cm="1">
        <f t="array" ref="G2326">IF(LineærRegression_Valg[[#This Row],[Indenfor range]],IF(LineærRegression_Valg[[#This Row],[Intet overlap]],INDEX(DataTitel_liste,LineærRegression_Valg[[#This Row],[Uafhængig variabel ID]]),INDEX(DataTitel_liste,IF(LineærRegression_Valg[[#This Row],[Afhængig variabel ID]]=1,2,1))),$B$7)</f>
        <v>Eksempel 2 (interval)</v>
      </c>
      <c r="H2326" s="188">
        <f>_xlfn.AGGREGATE(2,5,LineærRegression_Valg[[#This Row],[Tabel ID]])</f>
        <v>1</v>
      </c>
    </row>
    <row r="2327" spans="1:8" x14ac:dyDescent="0.2">
      <c r="A2327">
        <f>ROW(LineærRegression_Valg[[#This Row],[Tabel ID]])-ROW(LineærRegression_Valg[[#Headers],[Tabel ID]])</f>
        <v>2317</v>
      </c>
      <c r="B2327" s="188">
        <f>ROUNDDOWN((LineærRegression_Valg[[#This Row],[Tabel ID]]-1)/$B$5,0)+1</f>
        <v>580</v>
      </c>
      <c r="C2327" s="188">
        <f t="shared" si="36"/>
        <v>1</v>
      </c>
      <c r="D2327" s="188" t="b">
        <f>LineærRegression_Valg[[#This Row],[Afhængig variabel ID]]&lt;&gt;LineærRegression_Valg[[#This Row],[Uafhængig variabel ID]]</f>
        <v>1</v>
      </c>
      <c r="E2327" s="188" t="b">
        <f>LineærRegression_Valg[[#This Row],[Afhængig variabel ID]]&lt;=$B$5</f>
        <v>0</v>
      </c>
      <c r="F2327" t="str" cm="1">
        <f t="array" ref="F2327">IF(LineærRegression_Valg[[#This Row],[Indenfor range]],INDEX(DataTitel_liste,LineærRegression_Valg[[#This Row],[Afhængig variabel ID]]),INDEX(DataTitel_liste,1))</f>
        <v>Eksempel 1 (interval)</v>
      </c>
      <c r="G2327" s="188" t="str" cm="1">
        <f t="array" ref="G2327">IF(LineærRegression_Valg[[#This Row],[Indenfor range]],IF(LineærRegression_Valg[[#This Row],[Intet overlap]],INDEX(DataTitel_liste,LineærRegression_Valg[[#This Row],[Uafhængig variabel ID]]),INDEX(DataTitel_liste,IF(LineærRegression_Valg[[#This Row],[Afhængig variabel ID]]=1,2,1))),$B$7)</f>
        <v>Eksempel 2 (interval)</v>
      </c>
      <c r="H2327" s="188">
        <f>_xlfn.AGGREGATE(2,5,LineærRegression_Valg[[#This Row],[Tabel ID]])</f>
        <v>1</v>
      </c>
    </row>
    <row r="2328" spans="1:8" x14ac:dyDescent="0.2">
      <c r="A2328">
        <f>ROW(LineærRegression_Valg[[#This Row],[Tabel ID]])-ROW(LineærRegression_Valg[[#Headers],[Tabel ID]])</f>
        <v>2318</v>
      </c>
      <c r="B2328" s="188">
        <f>ROUNDDOWN((LineærRegression_Valg[[#This Row],[Tabel ID]]-1)/$B$5,0)+1</f>
        <v>580</v>
      </c>
      <c r="C2328" s="188">
        <f t="shared" si="36"/>
        <v>2</v>
      </c>
      <c r="D2328" s="188" t="b">
        <f>LineærRegression_Valg[[#This Row],[Afhængig variabel ID]]&lt;&gt;LineærRegression_Valg[[#This Row],[Uafhængig variabel ID]]</f>
        <v>1</v>
      </c>
      <c r="E2328" s="188" t="b">
        <f>LineærRegression_Valg[[#This Row],[Afhængig variabel ID]]&lt;=$B$5</f>
        <v>0</v>
      </c>
      <c r="F2328" t="str" cm="1">
        <f t="array" ref="F2328">IF(LineærRegression_Valg[[#This Row],[Indenfor range]],INDEX(DataTitel_liste,LineærRegression_Valg[[#This Row],[Afhængig variabel ID]]),INDEX(DataTitel_liste,1))</f>
        <v>Eksempel 1 (interval)</v>
      </c>
      <c r="G2328" s="188" t="str" cm="1">
        <f t="array" ref="G2328">IF(LineærRegression_Valg[[#This Row],[Indenfor range]],IF(LineærRegression_Valg[[#This Row],[Intet overlap]],INDEX(DataTitel_liste,LineærRegression_Valg[[#This Row],[Uafhængig variabel ID]]),INDEX(DataTitel_liste,IF(LineærRegression_Valg[[#This Row],[Afhængig variabel ID]]=1,2,1))),$B$7)</f>
        <v>Eksempel 2 (interval)</v>
      </c>
      <c r="H2328" s="188">
        <f>_xlfn.AGGREGATE(2,5,LineærRegression_Valg[[#This Row],[Tabel ID]])</f>
        <v>1</v>
      </c>
    </row>
    <row r="2329" spans="1:8" x14ac:dyDescent="0.2">
      <c r="A2329">
        <f>ROW(LineærRegression_Valg[[#This Row],[Tabel ID]])-ROW(LineærRegression_Valg[[#Headers],[Tabel ID]])</f>
        <v>2319</v>
      </c>
      <c r="B2329" s="188">
        <f>ROUNDDOWN((LineærRegression_Valg[[#This Row],[Tabel ID]]-1)/$B$5,0)+1</f>
        <v>580</v>
      </c>
      <c r="C2329" s="188">
        <f t="shared" si="36"/>
        <v>3</v>
      </c>
      <c r="D2329" s="188" t="b">
        <f>LineærRegression_Valg[[#This Row],[Afhængig variabel ID]]&lt;&gt;LineærRegression_Valg[[#This Row],[Uafhængig variabel ID]]</f>
        <v>1</v>
      </c>
      <c r="E2329" s="188" t="b">
        <f>LineærRegression_Valg[[#This Row],[Afhængig variabel ID]]&lt;=$B$5</f>
        <v>0</v>
      </c>
      <c r="F2329" t="str" cm="1">
        <f t="array" ref="F2329">IF(LineærRegression_Valg[[#This Row],[Indenfor range]],INDEX(DataTitel_liste,LineærRegression_Valg[[#This Row],[Afhængig variabel ID]]),INDEX(DataTitel_liste,1))</f>
        <v>Eksempel 1 (interval)</v>
      </c>
      <c r="G2329" s="188" t="str" cm="1">
        <f t="array" ref="G2329">IF(LineærRegression_Valg[[#This Row],[Indenfor range]],IF(LineærRegression_Valg[[#This Row],[Intet overlap]],INDEX(DataTitel_liste,LineærRegression_Valg[[#This Row],[Uafhængig variabel ID]]),INDEX(DataTitel_liste,IF(LineærRegression_Valg[[#This Row],[Afhængig variabel ID]]=1,2,1))),$B$7)</f>
        <v>Eksempel 2 (interval)</v>
      </c>
      <c r="H2329" s="188">
        <f>_xlfn.AGGREGATE(2,5,LineærRegression_Valg[[#This Row],[Tabel ID]])</f>
        <v>1</v>
      </c>
    </row>
    <row r="2330" spans="1:8" x14ac:dyDescent="0.2">
      <c r="A2330">
        <f>ROW(LineærRegression_Valg[[#This Row],[Tabel ID]])-ROW(LineærRegression_Valg[[#Headers],[Tabel ID]])</f>
        <v>2320</v>
      </c>
      <c r="B2330" s="188">
        <f>ROUNDDOWN((LineærRegression_Valg[[#This Row],[Tabel ID]]-1)/$B$5,0)+1</f>
        <v>580</v>
      </c>
      <c r="C2330" s="188">
        <f t="shared" si="36"/>
        <v>4</v>
      </c>
      <c r="D2330" s="188" t="b">
        <f>LineærRegression_Valg[[#This Row],[Afhængig variabel ID]]&lt;&gt;LineærRegression_Valg[[#This Row],[Uafhængig variabel ID]]</f>
        <v>1</v>
      </c>
      <c r="E2330" s="188" t="b">
        <f>LineærRegression_Valg[[#This Row],[Afhængig variabel ID]]&lt;=$B$5</f>
        <v>0</v>
      </c>
      <c r="F2330" t="str" cm="1">
        <f t="array" ref="F2330">IF(LineærRegression_Valg[[#This Row],[Indenfor range]],INDEX(DataTitel_liste,LineærRegression_Valg[[#This Row],[Afhængig variabel ID]]),INDEX(DataTitel_liste,1))</f>
        <v>Eksempel 1 (interval)</v>
      </c>
      <c r="G2330" s="188" t="str" cm="1">
        <f t="array" ref="G2330">IF(LineærRegression_Valg[[#This Row],[Indenfor range]],IF(LineærRegression_Valg[[#This Row],[Intet overlap]],INDEX(DataTitel_liste,LineærRegression_Valg[[#This Row],[Uafhængig variabel ID]]),INDEX(DataTitel_liste,IF(LineærRegression_Valg[[#This Row],[Afhængig variabel ID]]=1,2,1))),$B$7)</f>
        <v>Eksempel 2 (interval)</v>
      </c>
      <c r="H2330" s="188">
        <f>_xlfn.AGGREGATE(2,5,LineærRegression_Valg[[#This Row],[Tabel ID]])</f>
        <v>1</v>
      </c>
    </row>
    <row r="2331" spans="1:8" x14ac:dyDescent="0.2">
      <c r="A2331">
        <f>ROW(LineærRegression_Valg[[#This Row],[Tabel ID]])-ROW(LineærRegression_Valg[[#Headers],[Tabel ID]])</f>
        <v>2321</v>
      </c>
      <c r="B2331" s="188">
        <f>ROUNDDOWN((LineærRegression_Valg[[#This Row],[Tabel ID]]-1)/$B$5,0)+1</f>
        <v>581</v>
      </c>
      <c r="C2331" s="188">
        <f t="shared" si="36"/>
        <v>1</v>
      </c>
      <c r="D2331" s="188" t="b">
        <f>LineærRegression_Valg[[#This Row],[Afhængig variabel ID]]&lt;&gt;LineærRegression_Valg[[#This Row],[Uafhængig variabel ID]]</f>
        <v>1</v>
      </c>
      <c r="E2331" s="188" t="b">
        <f>LineærRegression_Valg[[#This Row],[Afhængig variabel ID]]&lt;=$B$5</f>
        <v>0</v>
      </c>
      <c r="F2331" t="str" cm="1">
        <f t="array" ref="F2331">IF(LineærRegression_Valg[[#This Row],[Indenfor range]],INDEX(DataTitel_liste,LineærRegression_Valg[[#This Row],[Afhængig variabel ID]]),INDEX(DataTitel_liste,1))</f>
        <v>Eksempel 1 (interval)</v>
      </c>
      <c r="G2331" s="188" t="str" cm="1">
        <f t="array" ref="G2331">IF(LineærRegression_Valg[[#This Row],[Indenfor range]],IF(LineærRegression_Valg[[#This Row],[Intet overlap]],INDEX(DataTitel_liste,LineærRegression_Valg[[#This Row],[Uafhængig variabel ID]]),INDEX(DataTitel_liste,IF(LineærRegression_Valg[[#This Row],[Afhængig variabel ID]]=1,2,1))),$B$7)</f>
        <v>Eksempel 2 (interval)</v>
      </c>
      <c r="H2331" s="188">
        <f>_xlfn.AGGREGATE(2,5,LineærRegression_Valg[[#This Row],[Tabel ID]])</f>
        <v>1</v>
      </c>
    </row>
    <row r="2332" spans="1:8" x14ac:dyDescent="0.2">
      <c r="A2332">
        <f>ROW(LineærRegression_Valg[[#This Row],[Tabel ID]])-ROW(LineærRegression_Valg[[#Headers],[Tabel ID]])</f>
        <v>2322</v>
      </c>
      <c r="B2332" s="188">
        <f>ROUNDDOWN((LineærRegression_Valg[[#This Row],[Tabel ID]]-1)/$B$5,0)+1</f>
        <v>581</v>
      </c>
      <c r="C2332" s="188">
        <f t="shared" si="36"/>
        <v>2</v>
      </c>
      <c r="D2332" s="188" t="b">
        <f>LineærRegression_Valg[[#This Row],[Afhængig variabel ID]]&lt;&gt;LineærRegression_Valg[[#This Row],[Uafhængig variabel ID]]</f>
        <v>1</v>
      </c>
      <c r="E2332" s="188" t="b">
        <f>LineærRegression_Valg[[#This Row],[Afhængig variabel ID]]&lt;=$B$5</f>
        <v>0</v>
      </c>
      <c r="F2332" t="str" cm="1">
        <f t="array" ref="F2332">IF(LineærRegression_Valg[[#This Row],[Indenfor range]],INDEX(DataTitel_liste,LineærRegression_Valg[[#This Row],[Afhængig variabel ID]]),INDEX(DataTitel_liste,1))</f>
        <v>Eksempel 1 (interval)</v>
      </c>
      <c r="G2332" s="188" t="str" cm="1">
        <f t="array" ref="G2332">IF(LineærRegression_Valg[[#This Row],[Indenfor range]],IF(LineærRegression_Valg[[#This Row],[Intet overlap]],INDEX(DataTitel_liste,LineærRegression_Valg[[#This Row],[Uafhængig variabel ID]]),INDEX(DataTitel_liste,IF(LineærRegression_Valg[[#This Row],[Afhængig variabel ID]]=1,2,1))),$B$7)</f>
        <v>Eksempel 2 (interval)</v>
      </c>
      <c r="H2332" s="188">
        <f>_xlfn.AGGREGATE(2,5,LineærRegression_Valg[[#This Row],[Tabel ID]])</f>
        <v>1</v>
      </c>
    </row>
    <row r="2333" spans="1:8" x14ac:dyDescent="0.2">
      <c r="A2333">
        <f>ROW(LineærRegression_Valg[[#This Row],[Tabel ID]])-ROW(LineærRegression_Valg[[#Headers],[Tabel ID]])</f>
        <v>2323</v>
      </c>
      <c r="B2333" s="188">
        <f>ROUNDDOWN((LineærRegression_Valg[[#This Row],[Tabel ID]]-1)/$B$5,0)+1</f>
        <v>581</v>
      </c>
      <c r="C2333" s="188">
        <f t="shared" si="36"/>
        <v>3</v>
      </c>
      <c r="D2333" s="188" t="b">
        <f>LineærRegression_Valg[[#This Row],[Afhængig variabel ID]]&lt;&gt;LineærRegression_Valg[[#This Row],[Uafhængig variabel ID]]</f>
        <v>1</v>
      </c>
      <c r="E2333" s="188" t="b">
        <f>LineærRegression_Valg[[#This Row],[Afhængig variabel ID]]&lt;=$B$5</f>
        <v>0</v>
      </c>
      <c r="F2333" t="str" cm="1">
        <f t="array" ref="F2333">IF(LineærRegression_Valg[[#This Row],[Indenfor range]],INDEX(DataTitel_liste,LineærRegression_Valg[[#This Row],[Afhængig variabel ID]]),INDEX(DataTitel_liste,1))</f>
        <v>Eksempel 1 (interval)</v>
      </c>
      <c r="G2333" s="188" t="str" cm="1">
        <f t="array" ref="G2333">IF(LineærRegression_Valg[[#This Row],[Indenfor range]],IF(LineærRegression_Valg[[#This Row],[Intet overlap]],INDEX(DataTitel_liste,LineærRegression_Valg[[#This Row],[Uafhængig variabel ID]]),INDEX(DataTitel_liste,IF(LineærRegression_Valg[[#This Row],[Afhængig variabel ID]]=1,2,1))),$B$7)</f>
        <v>Eksempel 2 (interval)</v>
      </c>
      <c r="H2333" s="188">
        <f>_xlfn.AGGREGATE(2,5,LineærRegression_Valg[[#This Row],[Tabel ID]])</f>
        <v>1</v>
      </c>
    </row>
    <row r="2334" spans="1:8" x14ac:dyDescent="0.2">
      <c r="A2334">
        <f>ROW(LineærRegression_Valg[[#This Row],[Tabel ID]])-ROW(LineærRegression_Valg[[#Headers],[Tabel ID]])</f>
        <v>2324</v>
      </c>
      <c r="B2334" s="188">
        <f>ROUNDDOWN((LineærRegression_Valg[[#This Row],[Tabel ID]]-1)/$B$5,0)+1</f>
        <v>581</v>
      </c>
      <c r="C2334" s="188">
        <f t="shared" si="36"/>
        <v>4</v>
      </c>
      <c r="D2334" s="188" t="b">
        <f>LineærRegression_Valg[[#This Row],[Afhængig variabel ID]]&lt;&gt;LineærRegression_Valg[[#This Row],[Uafhængig variabel ID]]</f>
        <v>1</v>
      </c>
      <c r="E2334" s="188" t="b">
        <f>LineærRegression_Valg[[#This Row],[Afhængig variabel ID]]&lt;=$B$5</f>
        <v>0</v>
      </c>
      <c r="F2334" t="str" cm="1">
        <f t="array" ref="F2334">IF(LineærRegression_Valg[[#This Row],[Indenfor range]],INDEX(DataTitel_liste,LineærRegression_Valg[[#This Row],[Afhængig variabel ID]]),INDEX(DataTitel_liste,1))</f>
        <v>Eksempel 1 (interval)</v>
      </c>
      <c r="G2334" s="188" t="str" cm="1">
        <f t="array" ref="G2334">IF(LineærRegression_Valg[[#This Row],[Indenfor range]],IF(LineærRegression_Valg[[#This Row],[Intet overlap]],INDEX(DataTitel_liste,LineærRegression_Valg[[#This Row],[Uafhængig variabel ID]]),INDEX(DataTitel_liste,IF(LineærRegression_Valg[[#This Row],[Afhængig variabel ID]]=1,2,1))),$B$7)</f>
        <v>Eksempel 2 (interval)</v>
      </c>
      <c r="H2334" s="188">
        <f>_xlfn.AGGREGATE(2,5,LineærRegression_Valg[[#This Row],[Tabel ID]])</f>
        <v>1</v>
      </c>
    </row>
    <row r="2335" spans="1:8" x14ac:dyDescent="0.2">
      <c r="A2335">
        <f>ROW(LineærRegression_Valg[[#This Row],[Tabel ID]])-ROW(LineærRegression_Valg[[#Headers],[Tabel ID]])</f>
        <v>2325</v>
      </c>
      <c r="B2335" s="188">
        <f>ROUNDDOWN((LineærRegression_Valg[[#This Row],[Tabel ID]]-1)/$B$5,0)+1</f>
        <v>582</v>
      </c>
      <c r="C2335" s="188">
        <f t="shared" si="36"/>
        <v>1</v>
      </c>
      <c r="D2335" s="188" t="b">
        <f>LineærRegression_Valg[[#This Row],[Afhængig variabel ID]]&lt;&gt;LineærRegression_Valg[[#This Row],[Uafhængig variabel ID]]</f>
        <v>1</v>
      </c>
      <c r="E2335" s="188" t="b">
        <f>LineærRegression_Valg[[#This Row],[Afhængig variabel ID]]&lt;=$B$5</f>
        <v>0</v>
      </c>
      <c r="F2335" t="str" cm="1">
        <f t="array" ref="F2335">IF(LineærRegression_Valg[[#This Row],[Indenfor range]],INDEX(DataTitel_liste,LineærRegression_Valg[[#This Row],[Afhængig variabel ID]]),INDEX(DataTitel_liste,1))</f>
        <v>Eksempel 1 (interval)</v>
      </c>
      <c r="G2335" s="188" t="str" cm="1">
        <f t="array" ref="G2335">IF(LineærRegression_Valg[[#This Row],[Indenfor range]],IF(LineærRegression_Valg[[#This Row],[Intet overlap]],INDEX(DataTitel_liste,LineærRegression_Valg[[#This Row],[Uafhængig variabel ID]]),INDEX(DataTitel_liste,IF(LineærRegression_Valg[[#This Row],[Afhængig variabel ID]]=1,2,1))),$B$7)</f>
        <v>Eksempel 2 (interval)</v>
      </c>
      <c r="H2335" s="188">
        <f>_xlfn.AGGREGATE(2,5,LineærRegression_Valg[[#This Row],[Tabel ID]])</f>
        <v>1</v>
      </c>
    </row>
    <row r="2336" spans="1:8" x14ac:dyDescent="0.2">
      <c r="A2336">
        <f>ROW(LineærRegression_Valg[[#This Row],[Tabel ID]])-ROW(LineærRegression_Valg[[#Headers],[Tabel ID]])</f>
        <v>2326</v>
      </c>
      <c r="B2336" s="188">
        <f>ROUNDDOWN((LineærRegression_Valg[[#This Row],[Tabel ID]]-1)/$B$5,0)+1</f>
        <v>582</v>
      </c>
      <c r="C2336" s="188">
        <f t="shared" si="36"/>
        <v>2</v>
      </c>
      <c r="D2336" s="188" t="b">
        <f>LineærRegression_Valg[[#This Row],[Afhængig variabel ID]]&lt;&gt;LineærRegression_Valg[[#This Row],[Uafhængig variabel ID]]</f>
        <v>1</v>
      </c>
      <c r="E2336" s="188" t="b">
        <f>LineærRegression_Valg[[#This Row],[Afhængig variabel ID]]&lt;=$B$5</f>
        <v>0</v>
      </c>
      <c r="F2336" t="str" cm="1">
        <f t="array" ref="F2336">IF(LineærRegression_Valg[[#This Row],[Indenfor range]],INDEX(DataTitel_liste,LineærRegression_Valg[[#This Row],[Afhængig variabel ID]]),INDEX(DataTitel_liste,1))</f>
        <v>Eksempel 1 (interval)</v>
      </c>
      <c r="G2336" s="188" t="str" cm="1">
        <f t="array" ref="G2336">IF(LineærRegression_Valg[[#This Row],[Indenfor range]],IF(LineærRegression_Valg[[#This Row],[Intet overlap]],INDEX(DataTitel_liste,LineærRegression_Valg[[#This Row],[Uafhængig variabel ID]]),INDEX(DataTitel_liste,IF(LineærRegression_Valg[[#This Row],[Afhængig variabel ID]]=1,2,1))),$B$7)</f>
        <v>Eksempel 2 (interval)</v>
      </c>
      <c r="H2336" s="188">
        <f>_xlfn.AGGREGATE(2,5,LineærRegression_Valg[[#This Row],[Tabel ID]])</f>
        <v>1</v>
      </c>
    </row>
    <row r="2337" spans="1:8" x14ac:dyDescent="0.2">
      <c r="A2337">
        <f>ROW(LineærRegression_Valg[[#This Row],[Tabel ID]])-ROW(LineærRegression_Valg[[#Headers],[Tabel ID]])</f>
        <v>2327</v>
      </c>
      <c r="B2337" s="188">
        <f>ROUNDDOWN((LineærRegression_Valg[[#This Row],[Tabel ID]]-1)/$B$5,0)+1</f>
        <v>582</v>
      </c>
      <c r="C2337" s="188">
        <f t="shared" si="36"/>
        <v>3</v>
      </c>
      <c r="D2337" s="188" t="b">
        <f>LineærRegression_Valg[[#This Row],[Afhængig variabel ID]]&lt;&gt;LineærRegression_Valg[[#This Row],[Uafhængig variabel ID]]</f>
        <v>1</v>
      </c>
      <c r="E2337" s="188" t="b">
        <f>LineærRegression_Valg[[#This Row],[Afhængig variabel ID]]&lt;=$B$5</f>
        <v>0</v>
      </c>
      <c r="F2337" t="str" cm="1">
        <f t="array" ref="F2337">IF(LineærRegression_Valg[[#This Row],[Indenfor range]],INDEX(DataTitel_liste,LineærRegression_Valg[[#This Row],[Afhængig variabel ID]]),INDEX(DataTitel_liste,1))</f>
        <v>Eksempel 1 (interval)</v>
      </c>
      <c r="G2337" s="188" t="str" cm="1">
        <f t="array" ref="G2337">IF(LineærRegression_Valg[[#This Row],[Indenfor range]],IF(LineærRegression_Valg[[#This Row],[Intet overlap]],INDEX(DataTitel_liste,LineærRegression_Valg[[#This Row],[Uafhængig variabel ID]]),INDEX(DataTitel_liste,IF(LineærRegression_Valg[[#This Row],[Afhængig variabel ID]]=1,2,1))),$B$7)</f>
        <v>Eksempel 2 (interval)</v>
      </c>
      <c r="H2337" s="188">
        <f>_xlfn.AGGREGATE(2,5,LineærRegression_Valg[[#This Row],[Tabel ID]])</f>
        <v>1</v>
      </c>
    </row>
    <row r="2338" spans="1:8" x14ac:dyDescent="0.2">
      <c r="A2338">
        <f>ROW(LineærRegression_Valg[[#This Row],[Tabel ID]])-ROW(LineærRegression_Valg[[#Headers],[Tabel ID]])</f>
        <v>2328</v>
      </c>
      <c r="B2338" s="188">
        <f>ROUNDDOWN((LineærRegression_Valg[[#This Row],[Tabel ID]]-1)/$B$5,0)+1</f>
        <v>582</v>
      </c>
      <c r="C2338" s="188">
        <f t="shared" si="36"/>
        <v>4</v>
      </c>
      <c r="D2338" s="188" t="b">
        <f>LineærRegression_Valg[[#This Row],[Afhængig variabel ID]]&lt;&gt;LineærRegression_Valg[[#This Row],[Uafhængig variabel ID]]</f>
        <v>1</v>
      </c>
      <c r="E2338" s="188" t="b">
        <f>LineærRegression_Valg[[#This Row],[Afhængig variabel ID]]&lt;=$B$5</f>
        <v>0</v>
      </c>
      <c r="F2338" t="str" cm="1">
        <f t="array" ref="F2338">IF(LineærRegression_Valg[[#This Row],[Indenfor range]],INDEX(DataTitel_liste,LineærRegression_Valg[[#This Row],[Afhængig variabel ID]]),INDEX(DataTitel_liste,1))</f>
        <v>Eksempel 1 (interval)</v>
      </c>
      <c r="G2338" s="188" t="str" cm="1">
        <f t="array" ref="G2338">IF(LineærRegression_Valg[[#This Row],[Indenfor range]],IF(LineærRegression_Valg[[#This Row],[Intet overlap]],INDEX(DataTitel_liste,LineærRegression_Valg[[#This Row],[Uafhængig variabel ID]]),INDEX(DataTitel_liste,IF(LineærRegression_Valg[[#This Row],[Afhængig variabel ID]]=1,2,1))),$B$7)</f>
        <v>Eksempel 2 (interval)</v>
      </c>
      <c r="H2338" s="188">
        <f>_xlfn.AGGREGATE(2,5,LineærRegression_Valg[[#This Row],[Tabel ID]])</f>
        <v>1</v>
      </c>
    </row>
    <row r="2339" spans="1:8" x14ac:dyDescent="0.2">
      <c r="A2339">
        <f>ROW(LineærRegression_Valg[[#This Row],[Tabel ID]])-ROW(LineærRegression_Valg[[#Headers],[Tabel ID]])</f>
        <v>2329</v>
      </c>
      <c r="B2339" s="188">
        <f>ROUNDDOWN((LineærRegression_Valg[[#This Row],[Tabel ID]]-1)/$B$5,0)+1</f>
        <v>583</v>
      </c>
      <c r="C2339" s="188">
        <f t="shared" si="36"/>
        <v>1</v>
      </c>
      <c r="D2339" s="188" t="b">
        <f>LineærRegression_Valg[[#This Row],[Afhængig variabel ID]]&lt;&gt;LineærRegression_Valg[[#This Row],[Uafhængig variabel ID]]</f>
        <v>1</v>
      </c>
      <c r="E2339" s="188" t="b">
        <f>LineærRegression_Valg[[#This Row],[Afhængig variabel ID]]&lt;=$B$5</f>
        <v>0</v>
      </c>
      <c r="F2339" t="str" cm="1">
        <f t="array" ref="F2339">IF(LineærRegression_Valg[[#This Row],[Indenfor range]],INDEX(DataTitel_liste,LineærRegression_Valg[[#This Row],[Afhængig variabel ID]]),INDEX(DataTitel_liste,1))</f>
        <v>Eksempel 1 (interval)</v>
      </c>
      <c r="G2339" s="188" t="str" cm="1">
        <f t="array" ref="G2339">IF(LineærRegression_Valg[[#This Row],[Indenfor range]],IF(LineærRegression_Valg[[#This Row],[Intet overlap]],INDEX(DataTitel_liste,LineærRegression_Valg[[#This Row],[Uafhængig variabel ID]]),INDEX(DataTitel_liste,IF(LineærRegression_Valg[[#This Row],[Afhængig variabel ID]]=1,2,1))),$B$7)</f>
        <v>Eksempel 2 (interval)</v>
      </c>
      <c r="H2339" s="188">
        <f>_xlfn.AGGREGATE(2,5,LineærRegression_Valg[[#This Row],[Tabel ID]])</f>
        <v>1</v>
      </c>
    </row>
    <row r="2340" spans="1:8" x14ac:dyDescent="0.2">
      <c r="A2340">
        <f>ROW(LineærRegression_Valg[[#This Row],[Tabel ID]])-ROW(LineærRegression_Valg[[#Headers],[Tabel ID]])</f>
        <v>2330</v>
      </c>
      <c r="B2340" s="188">
        <f>ROUNDDOWN((LineærRegression_Valg[[#This Row],[Tabel ID]]-1)/$B$5,0)+1</f>
        <v>583</v>
      </c>
      <c r="C2340" s="188">
        <f t="shared" si="36"/>
        <v>2</v>
      </c>
      <c r="D2340" s="188" t="b">
        <f>LineærRegression_Valg[[#This Row],[Afhængig variabel ID]]&lt;&gt;LineærRegression_Valg[[#This Row],[Uafhængig variabel ID]]</f>
        <v>1</v>
      </c>
      <c r="E2340" s="188" t="b">
        <f>LineærRegression_Valg[[#This Row],[Afhængig variabel ID]]&lt;=$B$5</f>
        <v>0</v>
      </c>
      <c r="F2340" t="str" cm="1">
        <f t="array" ref="F2340">IF(LineærRegression_Valg[[#This Row],[Indenfor range]],INDEX(DataTitel_liste,LineærRegression_Valg[[#This Row],[Afhængig variabel ID]]),INDEX(DataTitel_liste,1))</f>
        <v>Eksempel 1 (interval)</v>
      </c>
      <c r="G2340" s="188" t="str" cm="1">
        <f t="array" ref="G2340">IF(LineærRegression_Valg[[#This Row],[Indenfor range]],IF(LineærRegression_Valg[[#This Row],[Intet overlap]],INDEX(DataTitel_liste,LineærRegression_Valg[[#This Row],[Uafhængig variabel ID]]),INDEX(DataTitel_liste,IF(LineærRegression_Valg[[#This Row],[Afhængig variabel ID]]=1,2,1))),$B$7)</f>
        <v>Eksempel 2 (interval)</v>
      </c>
      <c r="H2340" s="188">
        <f>_xlfn.AGGREGATE(2,5,LineærRegression_Valg[[#This Row],[Tabel ID]])</f>
        <v>1</v>
      </c>
    </row>
    <row r="2341" spans="1:8" x14ac:dyDescent="0.2">
      <c r="A2341">
        <f>ROW(LineærRegression_Valg[[#This Row],[Tabel ID]])-ROW(LineærRegression_Valg[[#Headers],[Tabel ID]])</f>
        <v>2331</v>
      </c>
      <c r="B2341" s="188">
        <f>ROUNDDOWN((LineærRegression_Valg[[#This Row],[Tabel ID]]-1)/$B$5,0)+1</f>
        <v>583</v>
      </c>
      <c r="C2341" s="188">
        <f t="shared" si="36"/>
        <v>3</v>
      </c>
      <c r="D2341" s="188" t="b">
        <f>LineærRegression_Valg[[#This Row],[Afhængig variabel ID]]&lt;&gt;LineærRegression_Valg[[#This Row],[Uafhængig variabel ID]]</f>
        <v>1</v>
      </c>
      <c r="E2341" s="188" t="b">
        <f>LineærRegression_Valg[[#This Row],[Afhængig variabel ID]]&lt;=$B$5</f>
        <v>0</v>
      </c>
      <c r="F2341" t="str" cm="1">
        <f t="array" ref="F2341">IF(LineærRegression_Valg[[#This Row],[Indenfor range]],INDEX(DataTitel_liste,LineærRegression_Valg[[#This Row],[Afhængig variabel ID]]),INDEX(DataTitel_liste,1))</f>
        <v>Eksempel 1 (interval)</v>
      </c>
      <c r="G2341" s="188" t="str" cm="1">
        <f t="array" ref="G2341">IF(LineærRegression_Valg[[#This Row],[Indenfor range]],IF(LineærRegression_Valg[[#This Row],[Intet overlap]],INDEX(DataTitel_liste,LineærRegression_Valg[[#This Row],[Uafhængig variabel ID]]),INDEX(DataTitel_liste,IF(LineærRegression_Valg[[#This Row],[Afhængig variabel ID]]=1,2,1))),$B$7)</f>
        <v>Eksempel 2 (interval)</v>
      </c>
      <c r="H2341" s="188">
        <f>_xlfn.AGGREGATE(2,5,LineærRegression_Valg[[#This Row],[Tabel ID]])</f>
        <v>1</v>
      </c>
    </row>
    <row r="2342" spans="1:8" x14ac:dyDescent="0.2">
      <c r="A2342">
        <f>ROW(LineærRegression_Valg[[#This Row],[Tabel ID]])-ROW(LineærRegression_Valg[[#Headers],[Tabel ID]])</f>
        <v>2332</v>
      </c>
      <c r="B2342" s="188">
        <f>ROUNDDOWN((LineærRegression_Valg[[#This Row],[Tabel ID]]-1)/$B$5,0)+1</f>
        <v>583</v>
      </c>
      <c r="C2342" s="188">
        <f t="shared" si="36"/>
        <v>4</v>
      </c>
      <c r="D2342" s="188" t="b">
        <f>LineærRegression_Valg[[#This Row],[Afhængig variabel ID]]&lt;&gt;LineærRegression_Valg[[#This Row],[Uafhængig variabel ID]]</f>
        <v>1</v>
      </c>
      <c r="E2342" s="188" t="b">
        <f>LineærRegression_Valg[[#This Row],[Afhængig variabel ID]]&lt;=$B$5</f>
        <v>0</v>
      </c>
      <c r="F2342" t="str" cm="1">
        <f t="array" ref="F2342">IF(LineærRegression_Valg[[#This Row],[Indenfor range]],INDEX(DataTitel_liste,LineærRegression_Valg[[#This Row],[Afhængig variabel ID]]),INDEX(DataTitel_liste,1))</f>
        <v>Eksempel 1 (interval)</v>
      </c>
      <c r="G2342" s="188" t="str" cm="1">
        <f t="array" ref="G2342">IF(LineærRegression_Valg[[#This Row],[Indenfor range]],IF(LineærRegression_Valg[[#This Row],[Intet overlap]],INDEX(DataTitel_liste,LineærRegression_Valg[[#This Row],[Uafhængig variabel ID]]),INDEX(DataTitel_liste,IF(LineærRegression_Valg[[#This Row],[Afhængig variabel ID]]=1,2,1))),$B$7)</f>
        <v>Eksempel 2 (interval)</v>
      </c>
      <c r="H2342" s="188">
        <f>_xlfn.AGGREGATE(2,5,LineærRegression_Valg[[#This Row],[Tabel ID]])</f>
        <v>1</v>
      </c>
    </row>
    <row r="2343" spans="1:8" x14ac:dyDescent="0.2">
      <c r="A2343">
        <f>ROW(LineærRegression_Valg[[#This Row],[Tabel ID]])-ROW(LineærRegression_Valg[[#Headers],[Tabel ID]])</f>
        <v>2333</v>
      </c>
      <c r="B2343" s="188">
        <f>ROUNDDOWN((LineærRegression_Valg[[#This Row],[Tabel ID]]-1)/$B$5,0)+1</f>
        <v>584</v>
      </c>
      <c r="C2343" s="188">
        <f t="shared" si="36"/>
        <v>1</v>
      </c>
      <c r="D2343" s="188" t="b">
        <f>LineærRegression_Valg[[#This Row],[Afhængig variabel ID]]&lt;&gt;LineærRegression_Valg[[#This Row],[Uafhængig variabel ID]]</f>
        <v>1</v>
      </c>
      <c r="E2343" s="188" t="b">
        <f>LineærRegression_Valg[[#This Row],[Afhængig variabel ID]]&lt;=$B$5</f>
        <v>0</v>
      </c>
      <c r="F2343" t="str" cm="1">
        <f t="array" ref="F2343">IF(LineærRegression_Valg[[#This Row],[Indenfor range]],INDEX(DataTitel_liste,LineærRegression_Valg[[#This Row],[Afhængig variabel ID]]),INDEX(DataTitel_liste,1))</f>
        <v>Eksempel 1 (interval)</v>
      </c>
      <c r="G2343" s="188" t="str" cm="1">
        <f t="array" ref="G2343">IF(LineærRegression_Valg[[#This Row],[Indenfor range]],IF(LineærRegression_Valg[[#This Row],[Intet overlap]],INDEX(DataTitel_liste,LineærRegression_Valg[[#This Row],[Uafhængig variabel ID]]),INDEX(DataTitel_liste,IF(LineærRegression_Valg[[#This Row],[Afhængig variabel ID]]=1,2,1))),$B$7)</f>
        <v>Eksempel 2 (interval)</v>
      </c>
      <c r="H2343" s="188">
        <f>_xlfn.AGGREGATE(2,5,LineærRegression_Valg[[#This Row],[Tabel ID]])</f>
        <v>1</v>
      </c>
    </row>
    <row r="2344" spans="1:8" x14ac:dyDescent="0.2">
      <c r="A2344">
        <f>ROW(LineærRegression_Valg[[#This Row],[Tabel ID]])-ROW(LineærRegression_Valg[[#Headers],[Tabel ID]])</f>
        <v>2334</v>
      </c>
      <c r="B2344" s="188">
        <f>ROUNDDOWN((LineærRegression_Valg[[#This Row],[Tabel ID]]-1)/$B$5,0)+1</f>
        <v>584</v>
      </c>
      <c r="C2344" s="188">
        <f t="shared" si="36"/>
        <v>2</v>
      </c>
      <c r="D2344" s="188" t="b">
        <f>LineærRegression_Valg[[#This Row],[Afhængig variabel ID]]&lt;&gt;LineærRegression_Valg[[#This Row],[Uafhængig variabel ID]]</f>
        <v>1</v>
      </c>
      <c r="E2344" s="188" t="b">
        <f>LineærRegression_Valg[[#This Row],[Afhængig variabel ID]]&lt;=$B$5</f>
        <v>0</v>
      </c>
      <c r="F2344" t="str" cm="1">
        <f t="array" ref="F2344">IF(LineærRegression_Valg[[#This Row],[Indenfor range]],INDEX(DataTitel_liste,LineærRegression_Valg[[#This Row],[Afhængig variabel ID]]),INDEX(DataTitel_liste,1))</f>
        <v>Eksempel 1 (interval)</v>
      </c>
      <c r="G2344" s="188" t="str" cm="1">
        <f t="array" ref="G2344">IF(LineærRegression_Valg[[#This Row],[Indenfor range]],IF(LineærRegression_Valg[[#This Row],[Intet overlap]],INDEX(DataTitel_liste,LineærRegression_Valg[[#This Row],[Uafhængig variabel ID]]),INDEX(DataTitel_liste,IF(LineærRegression_Valg[[#This Row],[Afhængig variabel ID]]=1,2,1))),$B$7)</f>
        <v>Eksempel 2 (interval)</v>
      </c>
      <c r="H2344" s="188">
        <f>_xlfn.AGGREGATE(2,5,LineærRegression_Valg[[#This Row],[Tabel ID]])</f>
        <v>1</v>
      </c>
    </row>
    <row r="2345" spans="1:8" x14ac:dyDescent="0.2">
      <c r="A2345">
        <f>ROW(LineærRegression_Valg[[#This Row],[Tabel ID]])-ROW(LineærRegression_Valg[[#Headers],[Tabel ID]])</f>
        <v>2335</v>
      </c>
      <c r="B2345" s="188">
        <f>ROUNDDOWN((LineærRegression_Valg[[#This Row],[Tabel ID]]-1)/$B$5,0)+1</f>
        <v>584</v>
      </c>
      <c r="C2345" s="188">
        <f t="shared" si="36"/>
        <v>3</v>
      </c>
      <c r="D2345" s="188" t="b">
        <f>LineærRegression_Valg[[#This Row],[Afhængig variabel ID]]&lt;&gt;LineærRegression_Valg[[#This Row],[Uafhængig variabel ID]]</f>
        <v>1</v>
      </c>
      <c r="E2345" s="188" t="b">
        <f>LineærRegression_Valg[[#This Row],[Afhængig variabel ID]]&lt;=$B$5</f>
        <v>0</v>
      </c>
      <c r="F2345" t="str" cm="1">
        <f t="array" ref="F2345">IF(LineærRegression_Valg[[#This Row],[Indenfor range]],INDEX(DataTitel_liste,LineærRegression_Valg[[#This Row],[Afhængig variabel ID]]),INDEX(DataTitel_liste,1))</f>
        <v>Eksempel 1 (interval)</v>
      </c>
      <c r="G2345" s="188" t="str" cm="1">
        <f t="array" ref="G2345">IF(LineærRegression_Valg[[#This Row],[Indenfor range]],IF(LineærRegression_Valg[[#This Row],[Intet overlap]],INDEX(DataTitel_liste,LineærRegression_Valg[[#This Row],[Uafhængig variabel ID]]),INDEX(DataTitel_liste,IF(LineærRegression_Valg[[#This Row],[Afhængig variabel ID]]=1,2,1))),$B$7)</f>
        <v>Eksempel 2 (interval)</v>
      </c>
      <c r="H2345" s="188">
        <f>_xlfn.AGGREGATE(2,5,LineærRegression_Valg[[#This Row],[Tabel ID]])</f>
        <v>1</v>
      </c>
    </row>
    <row r="2346" spans="1:8" x14ac:dyDescent="0.2">
      <c r="A2346">
        <f>ROW(LineærRegression_Valg[[#This Row],[Tabel ID]])-ROW(LineærRegression_Valg[[#Headers],[Tabel ID]])</f>
        <v>2336</v>
      </c>
      <c r="B2346" s="188">
        <f>ROUNDDOWN((LineærRegression_Valg[[#This Row],[Tabel ID]]-1)/$B$5,0)+1</f>
        <v>584</v>
      </c>
      <c r="C2346" s="188">
        <f t="shared" si="36"/>
        <v>4</v>
      </c>
      <c r="D2346" s="188" t="b">
        <f>LineærRegression_Valg[[#This Row],[Afhængig variabel ID]]&lt;&gt;LineærRegression_Valg[[#This Row],[Uafhængig variabel ID]]</f>
        <v>1</v>
      </c>
      <c r="E2346" s="188" t="b">
        <f>LineærRegression_Valg[[#This Row],[Afhængig variabel ID]]&lt;=$B$5</f>
        <v>0</v>
      </c>
      <c r="F2346" t="str" cm="1">
        <f t="array" ref="F2346">IF(LineærRegression_Valg[[#This Row],[Indenfor range]],INDEX(DataTitel_liste,LineærRegression_Valg[[#This Row],[Afhængig variabel ID]]),INDEX(DataTitel_liste,1))</f>
        <v>Eksempel 1 (interval)</v>
      </c>
      <c r="G2346" s="188" t="str" cm="1">
        <f t="array" ref="G2346">IF(LineærRegression_Valg[[#This Row],[Indenfor range]],IF(LineærRegression_Valg[[#This Row],[Intet overlap]],INDEX(DataTitel_liste,LineærRegression_Valg[[#This Row],[Uafhængig variabel ID]]),INDEX(DataTitel_liste,IF(LineærRegression_Valg[[#This Row],[Afhængig variabel ID]]=1,2,1))),$B$7)</f>
        <v>Eksempel 2 (interval)</v>
      </c>
      <c r="H2346" s="188">
        <f>_xlfn.AGGREGATE(2,5,LineærRegression_Valg[[#This Row],[Tabel ID]])</f>
        <v>1</v>
      </c>
    </row>
    <row r="2347" spans="1:8" x14ac:dyDescent="0.2">
      <c r="A2347">
        <f>ROW(LineærRegression_Valg[[#This Row],[Tabel ID]])-ROW(LineærRegression_Valg[[#Headers],[Tabel ID]])</f>
        <v>2337</v>
      </c>
      <c r="B2347" s="188">
        <f>ROUNDDOWN((LineærRegression_Valg[[#This Row],[Tabel ID]]-1)/$B$5,0)+1</f>
        <v>585</v>
      </c>
      <c r="C2347" s="188">
        <f t="shared" si="36"/>
        <v>1</v>
      </c>
      <c r="D2347" s="188" t="b">
        <f>LineærRegression_Valg[[#This Row],[Afhængig variabel ID]]&lt;&gt;LineærRegression_Valg[[#This Row],[Uafhængig variabel ID]]</f>
        <v>1</v>
      </c>
      <c r="E2347" s="188" t="b">
        <f>LineærRegression_Valg[[#This Row],[Afhængig variabel ID]]&lt;=$B$5</f>
        <v>0</v>
      </c>
      <c r="F2347" t="str" cm="1">
        <f t="array" ref="F2347">IF(LineærRegression_Valg[[#This Row],[Indenfor range]],INDEX(DataTitel_liste,LineærRegression_Valg[[#This Row],[Afhængig variabel ID]]),INDEX(DataTitel_liste,1))</f>
        <v>Eksempel 1 (interval)</v>
      </c>
      <c r="G2347" s="188" t="str" cm="1">
        <f t="array" ref="G2347">IF(LineærRegression_Valg[[#This Row],[Indenfor range]],IF(LineærRegression_Valg[[#This Row],[Intet overlap]],INDEX(DataTitel_liste,LineærRegression_Valg[[#This Row],[Uafhængig variabel ID]]),INDEX(DataTitel_liste,IF(LineærRegression_Valg[[#This Row],[Afhængig variabel ID]]=1,2,1))),$B$7)</f>
        <v>Eksempel 2 (interval)</v>
      </c>
      <c r="H2347" s="188">
        <f>_xlfn.AGGREGATE(2,5,LineærRegression_Valg[[#This Row],[Tabel ID]])</f>
        <v>1</v>
      </c>
    </row>
    <row r="2348" spans="1:8" x14ac:dyDescent="0.2">
      <c r="A2348">
        <f>ROW(LineærRegression_Valg[[#This Row],[Tabel ID]])-ROW(LineærRegression_Valg[[#Headers],[Tabel ID]])</f>
        <v>2338</v>
      </c>
      <c r="B2348" s="188">
        <f>ROUNDDOWN((LineærRegression_Valg[[#This Row],[Tabel ID]]-1)/$B$5,0)+1</f>
        <v>585</v>
      </c>
      <c r="C2348" s="188">
        <f t="shared" si="36"/>
        <v>2</v>
      </c>
      <c r="D2348" s="188" t="b">
        <f>LineærRegression_Valg[[#This Row],[Afhængig variabel ID]]&lt;&gt;LineærRegression_Valg[[#This Row],[Uafhængig variabel ID]]</f>
        <v>1</v>
      </c>
      <c r="E2348" s="188" t="b">
        <f>LineærRegression_Valg[[#This Row],[Afhængig variabel ID]]&lt;=$B$5</f>
        <v>0</v>
      </c>
      <c r="F2348" t="str" cm="1">
        <f t="array" ref="F2348">IF(LineærRegression_Valg[[#This Row],[Indenfor range]],INDEX(DataTitel_liste,LineærRegression_Valg[[#This Row],[Afhængig variabel ID]]),INDEX(DataTitel_liste,1))</f>
        <v>Eksempel 1 (interval)</v>
      </c>
      <c r="G2348" s="188" t="str" cm="1">
        <f t="array" ref="G2348">IF(LineærRegression_Valg[[#This Row],[Indenfor range]],IF(LineærRegression_Valg[[#This Row],[Intet overlap]],INDEX(DataTitel_liste,LineærRegression_Valg[[#This Row],[Uafhængig variabel ID]]),INDEX(DataTitel_liste,IF(LineærRegression_Valg[[#This Row],[Afhængig variabel ID]]=1,2,1))),$B$7)</f>
        <v>Eksempel 2 (interval)</v>
      </c>
      <c r="H2348" s="188">
        <f>_xlfn.AGGREGATE(2,5,LineærRegression_Valg[[#This Row],[Tabel ID]])</f>
        <v>1</v>
      </c>
    </row>
    <row r="2349" spans="1:8" x14ac:dyDescent="0.2">
      <c r="A2349">
        <f>ROW(LineærRegression_Valg[[#This Row],[Tabel ID]])-ROW(LineærRegression_Valg[[#Headers],[Tabel ID]])</f>
        <v>2339</v>
      </c>
      <c r="B2349" s="188">
        <f>ROUNDDOWN((LineærRegression_Valg[[#This Row],[Tabel ID]]-1)/$B$5,0)+1</f>
        <v>585</v>
      </c>
      <c r="C2349" s="188">
        <f t="shared" si="36"/>
        <v>3</v>
      </c>
      <c r="D2349" s="188" t="b">
        <f>LineærRegression_Valg[[#This Row],[Afhængig variabel ID]]&lt;&gt;LineærRegression_Valg[[#This Row],[Uafhængig variabel ID]]</f>
        <v>1</v>
      </c>
      <c r="E2349" s="188" t="b">
        <f>LineærRegression_Valg[[#This Row],[Afhængig variabel ID]]&lt;=$B$5</f>
        <v>0</v>
      </c>
      <c r="F2349" t="str" cm="1">
        <f t="array" ref="F2349">IF(LineærRegression_Valg[[#This Row],[Indenfor range]],INDEX(DataTitel_liste,LineærRegression_Valg[[#This Row],[Afhængig variabel ID]]),INDEX(DataTitel_liste,1))</f>
        <v>Eksempel 1 (interval)</v>
      </c>
      <c r="G2349" s="188" t="str" cm="1">
        <f t="array" ref="G2349">IF(LineærRegression_Valg[[#This Row],[Indenfor range]],IF(LineærRegression_Valg[[#This Row],[Intet overlap]],INDEX(DataTitel_liste,LineærRegression_Valg[[#This Row],[Uafhængig variabel ID]]),INDEX(DataTitel_liste,IF(LineærRegression_Valg[[#This Row],[Afhængig variabel ID]]=1,2,1))),$B$7)</f>
        <v>Eksempel 2 (interval)</v>
      </c>
      <c r="H2349" s="188">
        <f>_xlfn.AGGREGATE(2,5,LineærRegression_Valg[[#This Row],[Tabel ID]])</f>
        <v>1</v>
      </c>
    </row>
    <row r="2350" spans="1:8" x14ac:dyDescent="0.2">
      <c r="A2350">
        <f>ROW(LineærRegression_Valg[[#This Row],[Tabel ID]])-ROW(LineærRegression_Valg[[#Headers],[Tabel ID]])</f>
        <v>2340</v>
      </c>
      <c r="B2350" s="188">
        <f>ROUNDDOWN((LineærRegression_Valg[[#This Row],[Tabel ID]]-1)/$B$5,0)+1</f>
        <v>585</v>
      </c>
      <c r="C2350" s="188">
        <f t="shared" si="36"/>
        <v>4</v>
      </c>
      <c r="D2350" s="188" t="b">
        <f>LineærRegression_Valg[[#This Row],[Afhængig variabel ID]]&lt;&gt;LineærRegression_Valg[[#This Row],[Uafhængig variabel ID]]</f>
        <v>1</v>
      </c>
      <c r="E2350" s="188" t="b">
        <f>LineærRegression_Valg[[#This Row],[Afhængig variabel ID]]&lt;=$B$5</f>
        <v>0</v>
      </c>
      <c r="F2350" t="str" cm="1">
        <f t="array" ref="F2350">IF(LineærRegression_Valg[[#This Row],[Indenfor range]],INDEX(DataTitel_liste,LineærRegression_Valg[[#This Row],[Afhængig variabel ID]]),INDEX(DataTitel_liste,1))</f>
        <v>Eksempel 1 (interval)</v>
      </c>
      <c r="G2350" s="188" t="str" cm="1">
        <f t="array" ref="G2350">IF(LineærRegression_Valg[[#This Row],[Indenfor range]],IF(LineærRegression_Valg[[#This Row],[Intet overlap]],INDEX(DataTitel_liste,LineærRegression_Valg[[#This Row],[Uafhængig variabel ID]]),INDEX(DataTitel_liste,IF(LineærRegression_Valg[[#This Row],[Afhængig variabel ID]]=1,2,1))),$B$7)</f>
        <v>Eksempel 2 (interval)</v>
      </c>
      <c r="H2350" s="188">
        <f>_xlfn.AGGREGATE(2,5,LineærRegression_Valg[[#This Row],[Tabel ID]])</f>
        <v>1</v>
      </c>
    </row>
    <row r="2351" spans="1:8" x14ac:dyDescent="0.2">
      <c r="A2351">
        <f>ROW(LineærRegression_Valg[[#This Row],[Tabel ID]])-ROW(LineærRegression_Valg[[#Headers],[Tabel ID]])</f>
        <v>2341</v>
      </c>
      <c r="B2351" s="188">
        <f>ROUNDDOWN((LineærRegression_Valg[[#This Row],[Tabel ID]]-1)/$B$5,0)+1</f>
        <v>586</v>
      </c>
      <c r="C2351" s="188">
        <f t="shared" si="36"/>
        <v>1</v>
      </c>
      <c r="D2351" s="188" t="b">
        <f>LineærRegression_Valg[[#This Row],[Afhængig variabel ID]]&lt;&gt;LineærRegression_Valg[[#This Row],[Uafhængig variabel ID]]</f>
        <v>1</v>
      </c>
      <c r="E2351" s="188" t="b">
        <f>LineærRegression_Valg[[#This Row],[Afhængig variabel ID]]&lt;=$B$5</f>
        <v>0</v>
      </c>
      <c r="F2351" t="str" cm="1">
        <f t="array" ref="F2351">IF(LineærRegression_Valg[[#This Row],[Indenfor range]],INDEX(DataTitel_liste,LineærRegression_Valg[[#This Row],[Afhængig variabel ID]]),INDEX(DataTitel_liste,1))</f>
        <v>Eksempel 1 (interval)</v>
      </c>
      <c r="G2351" s="188" t="str" cm="1">
        <f t="array" ref="G2351">IF(LineærRegression_Valg[[#This Row],[Indenfor range]],IF(LineærRegression_Valg[[#This Row],[Intet overlap]],INDEX(DataTitel_liste,LineærRegression_Valg[[#This Row],[Uafhængig variabel ID]]),INDEX(DataTitel_liste,IF(LineærRegression_Valg[[#This Row],[Afhængig variabel ID]]=1,2,1))),$B$7)</f>
        <v>Eksempel 2 (interval)</v>
      </c>
      <c r="H2351" s="188">
        <f>_xlfn.AGGREGATE(2,5,LineærRegression_Valg[[#This Row],[Tabel ID]])</f>
        <v>1</v>
      </c>
    </row>
    <row r="2352" spans="1:8" x14ac:dyDescent="0.2">
      <c r="A2352">
        <f>ROW(LineærRegression_Valg[[#This Row],[Tabel ID]])-ROW(LineærRegression_Valg[[#Headers],[Tabel ID]])</f>
        <v>2342</v>
      </c>
      <c r="B2352" s="188">
        <f>ROUNDDOWN((LineærRegression_Valg[[#This Row],[Tabel ID]]-1)/$B$5,0)+1</f>
        <v>586</v>
      </c>
      <c r="C2352" s="188">
        <f t="shared" si="36"/>
        <v>2</v>
      </c>
      <c r="D2352" s="188" t="b">
        <f>LineærRegression_Valg[[#This Row],[Afhængig variabel ID]]&lt;&gt;LineærRegression_Valg[[#This Row],[Uafhængig variabel ID]]</f>
        <v>1</v>
      </c>
      <c r="E2352" s="188" t="b">
        <f>LineærRegression_Valg[[#This Row],[Afhængig variabel ID]]&lt;=$B$5</f>
        <v>0</v>
      </c>
      <c r="F2352" t="str" cm="1">
        <f t="array" ref="F2352">IF(LineærRegression_Valg[[#This Row],[Indenfor range]],INDEX(DataTitel_liste,LineærRegression_Valg[[#This Row],[Afhængig variabel ID]]),INDEX(DataTitel_liste,1))</f>
        <v>Eksempel 1 (interval)</v>
      </c>
      <c r="G2352" s="188" t="str" cm="1">
        <f t="array" ref="G2352">IF(LineærRegression_Valg[[#This Row],[Indenfor range]],IF(LineærRegression_Valg[[#This Row],[Intet overlap]],INDEX(DataTitel_liste,LineærRegression_Valg[[#This Row],[Uafhængig variabel ID]]),INDEX(DataTitel_liste,IF(LineærRegression_Valg[[#This Row],[Afhængig variabel ID]]=1,2,1))),$B$7)</f>
        <v>Eksempel 2 (interval)</v>
      </c>
      <c r="H2352" s="188">
        <f>_xlfn.AGGREGATE(2,5,LineærRegression_Valg[[#This Row],[Tabel ID]])</f>
        <v>1</v>
      </c>
    </row>
    <row r="2353" spans="1:8" x14ac:dyDescent="0.2">
      <c r="A2353">
        <f>ROW(LineærRegression_Valg[[#This Row],[Tabel ID]])-ROW(LineærRegression_Valg[[#Headers],[Tabel ID]])</f>
        <v>2343</v>
      </c>
      <c r="B2353" s="188">
        <f>ROUNDDOWN((LineærRegression_Valg[[#This Row],[Tabel ID]]-1)/$B$5,0)+1</f>
        <v>586</v>
      </c>
      <c r="C2353" s="188">
        <f t="shared" si="36"/>
        <v>3</v>
      </c>
      <c r="D2353" s="188" t="b">
        <f>LineærRegression_Valg[[#This Row],[Afhængig variabel ID]]&lt;&gt;LineærRegression_Valg[[#This Row],[Uafhængig variabel ID]]</f>
        <v>1</v>
      </c>
      <c r="E2353" s="188" t="b">
        <f>LineærRegression_Valg[[#This Row],[Afhængig variabel ID]]&lt;=$B$5</f>
        <v>0</v>
      </c>
      <c r="F2353" t="str" cm="1">
        <f t="array" ref="F2353">IF(LineærRegression_Valg[[#This Row],[Indenfor range]],INDEX(DataTitel_liste,LineærRegression_Valg[[#This Row],[Afhængig variabel ID]]),INDEX(DataTitel_liste,1))</f>
        <v>Eksempel 1 (interval)</v>
      </c>
      <c r="G2353" s="188" t="str" cm="1">
        <f t="array" ref="G2353">IF(LineærRegression_Valg[[#This Row],[Indenfor range]],IF(LineærRegression_Valg[[#This Row],[Intet overlap]],INDEX(DataTitel_liste,LineærRegression_Valg[[#This Row],[Uafhængig variabel ID]]),INDEX(DataTitel_liste,IF(LineærRegression_Valg[[#This Row],[Afhængig variabel ID]]=1,2,1))),$B$7)</f>
        <v>Eksempel 2 (interval)</v>
      </c>
      <c r="H2353" s="188">
        <f>_xlfn.AGGREGATE(2,5,LineærRegression_Valg[[#This Row],[Tabel ID]])</f>
        <v>1</v>
      </c>
    </row>
    <row r="2354" spans="1:8" x14ac:dyDescent="0.2">
      <c r="A2354">
        <f>ROW(LineærRegression_Valg[[#This Row],[Tabel ID]])-ROW(LineærRegression_Valg[[#Headers],[Tabel ID]])</f>
        <v>2344</v>
      </c>
      <c r="B2354" s="188">
        <f>ROUNDDOWN((LineærRegression_Valg[[#This Row],[Tabel ID]]-1)/$B$5,0)+1</f>
        <v>586</v>
      </c>
      <c r="C2354" s="188">
        <f t="shared" si="36"/>
        <v>4</v>
      </c>
      <c r="D2354" s="188" t="b">
        <f>LineærRegression_Valg[[#This Row],[Afhængig variabel ID]]&lt;&gt;LineærRegression_Valg[[#This Row],[Uafhængig variabel ID]]</f>
        <v>1</v>
      </c>
      <c r="E2354" s="188" t="b">
        <f>LineærRegression_Valg[[#This Row],[Afhængig variabel ID]]&lt;=$B$5</f>
        <v>0</v>
      </c>
      <c r="F2354" t="str" cm="1">
        <f t="array" ref="F2354">IF(LineærRegression_Valg[[#This Row],[Indenfor range]],INDEX(DataTitel_liste,LineærRegression_Valg[[#This Row],[Afhængig variabel ID]]),INDEX(DataTitel_liste,1))</f>
        <v>Eksempel 1 (interval)</v>
      </c>
      <c r="G2354" s="188" t="str" cm="1">
        <f t="array" ref="G2354">IF(LineærRegression_Valg[[#This Row],[Indenfor range]],IF(LineærRegression_Valg[[#This Row],[Intet overlap]],INDEX(DataTitel_liste,LineærRegression_Valg[[#This Row],[Uafhængig variabel ID]]),INDEX(DataTitel_liste,IF(LineærRegression_Valg[[#This Row],[Afhængig variabel ID]]=1,2,1))),$B$7)</f>
        <v>Eksempel 2 (interval)</v>
      </c>
      <c r="H2354" s="188">
        <f>_xlfn.AGGREGATE(2,5,LineærRegression_Valg[[#This Row],[Tabel ID]])</f>
        <v>1</v>
      </c>
    </row>
    <row r="2355" spans="1:8" x14ac:dyDescent="0.2">
      <c r="A2355">
        <f>ROW(LineærRegression_Valg[[#This Row],[Tabel ID]])-ROW(LineærRegression_Valg[[#Headers],[Tabel ID]])</f>
        <v>2345</v>
      </c>
      <c r="B2355" s="188">
        <f>ROUNDDOWN((LineærRegression_Valg[[#This Row],[Tabel ID]]-1)/$B$5,0)+1</f>
        <v>587</v>
      </c>
      <c r="C2355" s="188">
        <f t="shared" si="36"/>
        <v>1</v>
      </c>
      <c r="D2355" s="188" t="b">
        <f>LineærRegression_Valg[[#This Row],[Afhængig variabel ID]]&lt;&gt;LineærRegression_Valg[[#This Row],[Uafhængig variabel ID]]</f>
        <v>1</v>
      </c>
      <c r="E2355" s="188" t="b">
        <f>LineærRegression_Valg[[#This Row],[Afhængig variabel ID]]&lt;=$B$5</f>
        <v>0</v>
      </c>
      <c r="F2355" t="str" cm="1">
        <f t="array" ref="F2355">IF(LineærRegression_Valg[[#This Row],[Indenfor range]],INDEX(DataTitel_liste,LineærRegression_Valg[[#This Row],[Afhængig variabel ID]]),INDEX(DataTitel_liste,1))</f>
        <v>Eksempel 1 (interval)</v>
      </c>
      <c r="G2355" s="188" t="str" cm="1">
        <f t="array" ref="G2355">IF(LineærRegression_Valg[[#This Row],[Indenfor range]],IF(LineærRegression_Valg[[#This Row],[Intet overlap]],INDEX(DataTitel_liste,LineærRegression_Valg[[#This Row],[Uafhængig variabel ID]]),INDEX(DataTitel_liste,IF(LineærRegression_Valg[[#This Row],[Afhængig variabel ID]]=1,2,1))),$B$7)</f>
        <v>Eksempel 2 (interval)</v>
      </c>
      <c r="H2355" s="188">
        <f>_xlfn.AGGREGATE(2,5,LineærRegression_Valg[[#This Row],[Tabel ID]])</f>
        <v>1</v>
      </c>
    </row>
    <row r="2356" spans="1:8" x14ac:dyDescent="0.2">
      <c r="A2356">
        <f>ROW(LineærRegression_Valg[[#This Row],[Tabel ID]])-ROW(LineærRegression_Valg[[#Headers],[Tabel ID]])</f>
        <v>2346</v>
      </c>
      <c r="B2356" s="188">
        <f>ROUNDDOWN((LineærRegression_Valg[[#This Row],[Tabel ID]]-1)/$B$5,0)+1</f>
        <v>587</v>
      </c>
      <c r="C2356" s="188">
        <f t="shared" si="36"/>
        <v>2</v>
      </c>
      <c r="D2356" s="188" t="b">
        <f>LineærRegression_Valg[[#This Row],[Afhængig variabel ID]]&lt;&gt;LineærRegression_Valg[[#This Row],[Uafhængig variabel ID]]</f>
        <v>1</v>
      </c>
      <c r="E2356" s="188" t="b">
        <f>LineærRegression_Valg[[#This Row],[Afhængig variabel ID]]&lt;=$B$5</f>
        <v>0</v>
      </c>
      <c r="F2356" t="str" cm="1">
        <f t="array" ref="F2356">IF(LineærRegression_Valg[[#This Row],[Indenfor range]],INDEX(DataTitel_liste,LineærRegression_Valg[[#This Row],[Afhængig variabel ID]]),INDEX(DataTitel_liste,1))</f>
        <v>Eksempel 1 (interval)</v>
      </c>
      <c r="G2356" s="188" t="str" cm="1">
        <f t="array" ref="G2356">IF(LineærRegression_Valg[[#This Row],[Indenfor range]],IF(LineærRegression_Valg[[#This Row],[Intet overlap]],INDEX(DataTitel_liste,LineærRegression_Valg[[#This Row],[Uafhængig variabel ID]]),INDEX(DataTitel_liste,IF(LineærRegression_Valg[[#This Row],[Afhængig variabel ID]]=1,2,1))),$B$7)</f>
        <v>Eksempel 2 (interval)</v>
      </c>
      <c r="H2356" s="188">
        <f>_xlfn.AGGREGATE(2,5,LineærRegression_Valg[[#This Row],[Tabel ID]])</f>
        <v>1</v>
      </c>
    </row>
    <row r="2357" spans="1:8" x14ac:dyDescent="0.2">
      <c r="A2357">
        <f>ROW(LineærRegression_Valg[[#This Row],[Tabel ID]])-ROW(LineærRegression_Valg[[#Headers],[Tabel ID]])</f>
        <v>2347</v>
      </c>
      <c r="B2357" s="188">
        <f>ROUNDDOWN((LineærRegression_Valg[[#This Row],[Tabel ID]]-1)/$B$5,0)+1</f>
        <v>587</v>
      </c>
      <c r="C2357" s="188">
        <f t="shared" si="36"/>
        <v>3</v>
      </c>
      <c r="D2357" s="188" t="b">
        <f>LineærRegression_Valg[[#This Row],[Afhængig variabel ID]]&lt;&gt;LineærRegression_Valg[[#This Row],[Uafhængig variabel ID]]</f>
        <v>1</v>
      </c>
      <c r="E2357" s="188" t="b">
        <f>LineærRegression_Valg[[#This Row],[Afhængig variabel ID]]&lt;=$B$5</f>
        <v>0</v>
      </c>
      <c r="F2357" t="str" cm="1">
        <f t="array" ref="F2357">IF(LineærRegression_Valg[[#This Row],[Indenfor range]],INDEX(DataTitel_liste,LineærRegression_Valg[[#This Row],[Afhængig variabel ID]]),INDEX(DataTitel_liste,1))</f>
        <v>Eksempel 1 (interval)</v>
      </c>
      <c r="G2357" s="188" t="str" cm="1">
        <f t="array" ref="G2357">IF(LineærRegression_Valg[[#This Row],[Indenfor range]],IF(LineærRegression_Valg[[#This Row],[Intet overlap]],INDEX(DataTitel_liste,LineærRegression_Valg[[#This Row],[Uafhængig variabel ID]]),INDEX(DataTitel_liste,IF(LineærRegression_Valg[[#This Row],[Afhængig variabel ID]]=1,2,1))),$B$7)</f>
        <v>Eksempel 2 (interval)</v>
      </c>
      <c r="H2357" s="188">
        <f>_xlfn.AGGREGATE(2,5,LineærRegression_Valg[[#This Row],[Tabel ID]])</f>
        <v>1</v>
      </c>
    </row>
    <row r="2358" spans="1:8" x14ac:dyDescent="0.2">
      <c r="A2358">
        <f>ROW(LineærRegression_Valg[[#This Row],[Tabel ID]])-ROW(LineærRegression_Valg[[#Headers],[Tabel ID]])</f>
        <v>2348</v>
      </c>
      <c r="B2358" s="188">
        <f>ROUNDDOWN((LineærRegression_Valg[[#This Row],[Tabel ID]]-1)/$B$5,0)+1</f>
        <v>587</v>
      </c>
      <c r="C2358" s="188">
        <f t="shared" si="36"/>
        <v>4</v>
      </c>
      <c r="D2358" s="188" t="b">
        <f>LineærRegression_Valg[[#This Row],[Afhængig variabel ID]]&lt;&gt;LineærRegression_Valg[[#This Row],[Uafhængig variabel ID]]</f>
        <v>1</v>
      </c>
      <c r="E2358" s="188" t="b">
        <f>LineærRegression_Valg[[#This Row],[Afhængig variabel ID]]&lt;=$B$5</f>
        <v>0</v>
      </c>
      <c r="F2358" t="str" cm="1">
        <f t="array" ref="F2358">IF(LineærRegression_Valg[[#This Row],[Indenfor range]],INDEX(DataTitel_liste,LineærRegression_Valg[[#This Row],[Afhængig variabel ID]]),INDEX(DataTitel_liste,1))</f>
        <v>Eksempel 1 (interval)</v>
      </c>
      <c r="G2358" s="188" t="str" cm="1">
        <f t="array" ref="G2358">IF(LineærRegression_Valg[[#This Row],[Indenfor range]],IF(LineærRegression_Valg[[#This Row],[Intet overlap]],INDEX(DataTitel_liste,LineærRegression_Valg[[#This Row],[Uafhængig variabel ID]]),INDEX(DataTitel_liste,IF(LineærRegression_Valg[[#This Row],[Afhængig variabel ID]]=1,2,1))),$B$7)</f>
        <v>Eksempel 2 (interval)</v>
      </c>
      <c r="H2358" s="188">
        <f>_xlfn.AGGREGATE(2,5,LineærRegression_Valg[[#This Row],[Tabel ID]])</f>
        <v>1</v>
      </c>
    </row>
    <row r="2359" spans="1:8" x14ac:dyDescent="0.2">
      <c r="A2359">
        <f>ROW(LineærRegression_Valg[[#This Row],[Tabel ID]])-ROW(LineærRegression_Valg[[#Headers],[Tabel ID]])</f>
        <v>2349</v>
      </c>
      <c r="B2359" s="188">
        <f>ROUNDDOWN((LineærRegression_Valg[[#This Row],[Tabel ID]]-1)/$B$5,0)+1</f>
        <v>588</v>
      </c>
      <c r="C2359" s="188">
        <f t="shared" si="36"/>
        <v>1</v>
      </c>
      <c r="D2359" s="188" t="b">
        <f>LineærRegression_Valg[[#This Row],[Afhængig variabel ID]]&lt;&gt;LineærRegression_Valg[[#This Row],[Uafhængig variabel ID]]</f>
        <v>1</v>
      </c>
      <c r="E2359" s="188" t="b">
        <f>LineærRegression_Valg[[#This Row],[Afhængig variabel ID]]&lt;=$B$5</f>
        <v>0</v>
      </c>
      <c r="F2359" t="str" cm="1">
        <f t="array" ref="F2359">IF(LineærRegression_Valg[[#This Row],[Indenfor range]],INDEX(DataTitel_liste,LineærRegression_Valg[[#This Row],[Afhængig variabel ID]]),INDEX(DataTitel_liste,1))</f>
        <v>Eksempel 1 (interval)</v>
      </c>
      <c r="G2359" s="188" t="str" cm="1">
        <f t="array" ref="G2359">IF(LineærRegression_Valg[[#This Row],[Indenfor range]],IF(LineærRegression_Valg[[#This Row],[Intet overlap]],INDEX(DataTitel_liste,LineærRegression_Valg[[#This Row],[Uafhængig variabel ID]]),INDEX(DataTitel_liste,IF(LineærRegression_Valg[[#This Row],[Afhængig variabel ID]]=1,2,1))),$B$7)</f>
        <v>Eksempel 2 (interval)</v>
      </c>
      <c r="H2359" s="188">
        <f>_xlfn.AGGREGATE(2,5,LineærRegression_Valg[[#This Row],[Tabel ID]])</f>
        <v>1</v>
      </c>
    </row>
    <row r="2360" spans="1:8" x14ac:dyDescent="0.2">
      <c r="A2360">
        <f>ROW(LineærRegression_Valg[[#This Row],[Tabel ID]])-ROW(LineærRegression_Valg[[#Headers],[Tabel ID]])</f>
        <v>2350</v>
      </c>
      <c r="B2360" s="188">
        <f>ROUNDDOWN((LineærRegression_Valg[[#This Row],[Tabel ID]]-1)/$B$5,0)+1</f>
        <v>588</v>
      </c>
      <c r="C2360" s="188">
        <f t="shared" si="36"/>
        <v>2</v>
      </c>
      <c r="D2360" s="188" t="b">
        <f>LineærRegression_Valg[[#This Row],[Afhængig variabel ID]]&lt;&gt;LineærRegression_Valg[[#This Row],[Uafhængig variabel ID]]</f>
        <v>1</v>
      </c>
      <c r="E2360" s="188" t="b">
        <f>LineærRegression_Valg[[#This Row],[Afhængig variabel ID]]&lt;=$B$5</f>
        <v>0</v>
      </c>
      <c r="F2360" t="str" cm="1">
        <f t="array" ref="F2360">IF(LineærRegression_Valg[[#This Row],[Indenfor range]],INDEX(DataTitel_liste,LineærRegression_Valg[[#This Row],[Afhængig variabel ID]]),INDEX(DataTitel_liste,1))</f>
        <v>Eksempel 1 (interval)</v>
      </c>
      <c r="G2360" s="188" t="str" cm="1">
        <f t="array" ref="G2360">IF(LineærRegression_Valg[[#This Row],[Indenfor range]],IF(LineærRegression_Valg[[#This Row],[Intet overlap]],INDEX(DataTitel_liste,LineærRegression_Valg[[#This Row],[Uafhængig variabel ID]]),INDEX(DataTitel_liste,IF(LineærRegression_Valg[[#This Row],[Afhængig variabel ID]]=1,2,1))),$B$7)</f>
        <v>Eksempel 2 (interval)</v>
      </c>
      <c r="H2360" s="188">
        <f>_xlfn.AGGREGATE(2,5,LineærRegression_Valg[[#This Row],[Tabel ID]])</f>
        <v>1</v>
      </c>
    </row>
    <row r="2361" spans="1:8" x14ac:dyDescent="0.2">
      <c r="A2361">
        <f>ROW(LineærRegression_Valg[[#This Row],[Tabel ID]])-ROW(LineærRegression_Valg[[#Headers],[Tabel ID]])</f>
        <v>2351</v>
      </c>
      <c r="B2361" s="188">
        <f>ROUNDDOWN((LineærRegression_Valg[[#This Row],[Tabel ID]]-1)/$B$5,0)+1</f>
        <v>588</v>
      </c>
      <c r="C2361" s="188">
        <f t="shared" si="36"/>
        <v>3</v>
      </c>
      <c r="D2361" s="188" t="b">
        <f>LineærRegression_Valg[[#This Row],[Afhængig variabel ID]]&lt;&gt;LineærRegression_Valg[[#This Row],[Uafhængig variabel ID]]</f>
        <v>1</v>
      </c>
      <c r="E2361" s="188" t="b">
        <f>LineærRegression_Valg[[#This Row],[Afhængig variabel ID]]&lt;=$B$5</f>
        <v>0</v>
      </c>
      <c r="F2361" t="str" cm="1">
        <f t="array" ref="F2361">IF(LineærRegression_Valg[[#This Row],[Indenfor range]],INDEX(DataTitel_liste,LineærRegression_Valg[[#This Row],[Afhængig variabel ID]]),INDEX(DataTitel_liste,1))</f>
        <v>Eksempel 1 (interval)</v>
      </c>
      <c r="G2361" s="188" t="str" cm="1">
        <f t="array" ref="G2361">IF(LineærRegression_Valg[[#This Row],[Indenfor range]],IF(LineærRegression_Valg[[#This Row],[Intet overlap]],INDEX(DataTitel_liste,LineærRegression_Valg[[#This Row],[Uafhængig variabel ID]]),INDEX(DataTitel_liste,IF(LineærRegression_Valg[[#This Row],[Afhængig variabel ID]]=1,2,1))),$B$7)</f>
        <v>Eksempel 2 (interval)</v>
      </c>
      <c r="H2361" s="188">
        <f>_xlfn.AGGREGATE(2,5,LineærRegression_Valg[[#This Row],[Tabel ID]])</f>
        <v>1</v>
      </c>
    </row>
    <row r="2362" spans="1:8" x14ac:dyDescent="0.2">
      <c r="A2362">
        <f>ROW(LineærRegression_Valg[[#This Row],[Tabel ID]])-ROW(LineærRegression_Valg[[#Headers],[Tabel ID]])</f>
        <v>2352</v>
      </c>
      <c r="B2362" s="188">
        <f>ROUNDDOWN((LineærRegression_Valg[[#This Row],[Tabel ID]]-1)/$B$5,0)+1</f>
        <v>588</v>
      </c>
      <c r="C2362" s="188">
        <f t="shared" si="36"/>
        <v>4</v>
      </c>
      <c r="D2362" s="188" t="b">
        <f>LineærRegression_Valg[[#This Row],[Afhængig variabel ID]]&lt;&gt;LineærRegression_Valg[[#This Row],[Uafhængig variabel ID]]</f>
        <v>1</v>
      </c>
      <c r="E2362" s="188" t="b">
        <f>LineærRegression_Valg[[#This Row],[Afhængig variabel ID]]&lt;=$B$5</f>
        <v>0</v>
      </c>
      <c r="F2362" t="str" cm="1">
        <f t="array" ref="F2362">IF(LineærRegression_Valg[[#This Row],[Indenfor range]],INDEX(DataTitel_liste,LineærRegression_Valg[[#This Row],[Afhængig variabel ID]]),INDEX(DataTitel_liste,1))</f>
        <v>Eksempel 1 (interval)</v>
      </c>
      <c r="G2362" s="188" t="str" cm="1">
        <f t="array" ref="G2362">IF(LineærRegression_Valg[[#This Row],[Indenfor range]],IF(LineærRegression_Valg[[#This Row],[Intet overlap]],INDEX(DataTitel_liste,LineærRegression_Valg[[#This Row],[Uafhængig variabel ID]]),INDEX(DataTitel_liste,IF(LineærRegression_Valg[[#This Row],[Afhængig variabel ID]]=1,2,1))),$B$7)</f>
        <v>Eksempel 2 (interval)</v>
      </c>
      <c r="H2362" s="188">
        <f>_xlfn.AGGREGATE(2,5,LineærRegression_Valg[[#This Row],[Tabel ID]])</f>
        <v>1</v>
      </c>
    </row>
    <row r="2363" spans="1:8" x14ac:dyDescent="0.2">
      <c r="A2363">
        <f>ROW(LineærRegression_Valg[[#This Row],[Tabel ID]])-ROW(LineærRegression_Valg[[#Headers],[Tabel ID]])</f>
        <v>2353</v>
      </c>
      <c r="B2363" s="188">
        <f>ROUNDDOWN((LineærRegression_Valg[[#This Row],[Tabel ID]]-1)/$B$5,0)+1</f>
        <v>589</v>
      </c>
      <c r="C2363" s="188">
        <f t="shared" si="36"/>
        <v>1</v>
      </c>
      <c r="D2363" s="188" t="b">
        <f>LineærRegression_Valg[[#This Row],[Afhængig variabel ID]]&lt;&gt;LineærRegression_Valg[[#This Row],[Uafhængig variabel ID]]</f>
        <v>1</v>
      </c>
      <c r="E2363" s="188" t="b">
        <f>LineærRegression_Valg[[#This Row],[Afhængig variabel ID]]&lt;=$B$5</f>
        <v>0</v>
      </c>
      <c r="F2363" t="str" cm="1">
        <f t="array" ref="F2363">IF(LineærRegression_Valg[[#This Row],[Indenfor range]],INDEX(DataTitel_liste,LineærRegression_Valg[[#This Row],[Afhængig variabel ID]]),INDEX(DataTitel_liste,1))</f>
        <v>Eksempel 1 (interval)</v>
      </c>
      <c r="G2363" s="188" t="str" cm="1">
        <f t="array" ref="G2363">IF(LineærRegression_Valg[[#This Row],[Indenfor range]],IF(LineærRegression_Valg[[#This Row],[Intet overlap]],INDEX(DataTitel_liste,LineærRegression_Valg[[#This Row],[Uafhængig variabel ID]]),INDEX(DataTitel_liste,IF(LineærRegression_Valg[[#This Row],[Afhængig variabel ID]]=1,2,1))),$B$7)</f>
        <v>Eksempel 2 (interval)</v>
      </c>
      <c r="H2363" s="188">
        <f>_xlfn.AGGREGATE(2,5,LineærRegression_Valg[[#This Row],[Tabel ID]])</f>
        <v>1</v>
      </c>
    </row>
    <row r="2364" spans="1:8" x14ac:dyDescent="0.2">
      <c r="A2364">
        <f>ROW(LineærRegression_Valg[[#This Row],[Tabel ID]])-ROW(LineærRegression_Valg[[#Headers],[Tabel ID]])</f>
        <v>2354</v>
      </c>
      <c r="B2364" s="188">
        <f>ROUNDDOWN((LineærRegression_Valg[[#This Row],[Tabel ID]]-1)/$B$5,0)+1</f>
        <v>589</v>
      </c>
      <c r="C2364" s="188">
        <f t="shared" si="36"/>
        <v>2</v>
      </c>
      <c r="D2364" s="188" t="b">
        <f>LineærRegression_Valg[[#This Row],[Afhængig variabel ID]]&lt;&gt;LineærRegression_Valg[[#This Row],[Uafhængig variabel ID]]</f>
        <v>1</v>
      </c>
      <c r="E2364" s="188" t="b">
        <f>LineærRegression_Valg[[#This Row],[Afhængig variabel ID]]&lt;=$B$5</f>
        <v>0</v>
      </c>
      <c r="F2364" t="str" cm="1">
        <f t="array" ref="F2364">IF(LineærRegression_Valg[[#This Row],[Indenfor range]],INDEX(DataTitel_liste,LineærRegression_Valg[[#This Row],[Afhængig variabel ID]]),INDEX(DataTitel_liste,1))</f>
        <v>Eksempel 1 (interval)</v>
      </c>
      <c r="G2364" s="188" t="str" cm="1">
        <f t="array" ref="G2364">IF(LineærRegression_Valg[[#This Row],[Indenfor range]],IF(LineærRegression_Valg[[#This Row],[Intet overlap]],INDEX(DataTitel_liste,LineærRegression_Valg[[#This Row],[Uafhængig variabel ID]]),INDEX(DataTitel_liste,IF(LineærRegression_Valg[[#This Row],[Afhængig variabel ID]]=1,2,1))),$B$7)</f>
        <v>Eksempel 2 (interval)</v>
      </c>
      <c r="H2364" s="188">
        <f>_xlfn.AGGREGATE(2,5,LineærRegression_Valg[[#This Row],[Tabel ID]])</f>
        <v>1</v>
      </c>
    </row>
    <row r="2365" spans="1:8" x14ac:dyDescent="0.2">
      <c r="A2365">
        <f>ROW(LineærRegression_Valg[[#This Row],[Tabel ID]])-ROW(LineærRegression_Valg[[#Headers],[Tabel ID]])</f>
        <v>2355</v>
      </c>
      <c r="B2365" s="188">
        <f>ROUNDDOWN((LineærRegression_Valg[[#This Row],[Tabel ID]]-1)/$B$5,0)+1</f>
        <v>589</v>
      </c>
      <c r="C2365" s="188">
        <f t="shared" si="36"/>
        <v>3</v>
      </c>
      <c r="D2365" s="188" t="b">
        <f>LineærRegression_Valg[[#This Row],[Afhængig variabel ID]]&lt;&gt;LineærRegression_Valg[[#This Row],[Uafhængig variabel ID]]</f>
        <v>1</v>
      </c>
      <c r="E2365" s="188" t="b">
        <f>LineærRegression_Valg[[#This Row],[Afhængig variabel ID]]&lt;=$B$5</f>
        <v>0</v>
      </c>
      <c r="F2365" t="str" cm="1">
        <f t="array" ref="F2365">IF(LineærRegression_Valg[[#This Row],[Indenfor range]],INDEX(DataTitel_liste,LineærRegression_Valg[[#This Row],[Afhængig variabel ID]]),INDEX(DataTitel_liste,1))</f>
        <v>Eksempel 1 (interval)</v>
      </c>
      <c r="G2365" s="188" t="str" cm="1">
        <f t="array" ref="G2365">IF(LineærRegression_Valg[[#This Row],[Indenfor range]],IF(LineærRegression_Valg[[#This Row],[Intet overlap]],INDEX(DataTitel_liste,LineærRegression_Valg[[#This Row],[Uafhængig variabel ID]]),INDEX(DataTitel_liste,IF(LineærRegression_Valg[[#This Row],[Afhængig variabel ID]]=1,2,1))),$B$7)</f>
        <v>Eksempel 2 (interval)</v>
      </c>
      <c r="H2365" s="188">
        <f>_xlfn.AGGREGATE(2,5,LineærRegression_Valg[[#This Row],[Tabel ID]])</f>
        <v>1</v>
      </c>
    </row>
    <row r="2366" spans="1:8" x14ac:dyDescent="0.2">
      <c r="A2366">
        <f>ROW(LineærRegression_Valg[[#This Row],[Tabel ID]])-ROW(LineærRegression_Valg[[#Headers],[Tabel ID]])</f>
        <v>2356</v>
      </c>
      <c r="B2366" s="188">
        <f>ROUNDDOWN((LineærRegression_Valg[[#This Row],[Tabel ID]]-1)/$B$5,0)+1</f>
        <v>589</v>
      </c>
      <c r="C2366" s="188">
        <f t="shared" si="36"/>
        <v>4</v>
      </c>
      <c r="D2366" s="188" t="b">
        <f>LineærRegression_Valg[[#This Row],[Afhængig variabel ID]]&lt;&gt;LineærRegression_Valg[[#This Row],[Uafhængig variabel ID]]</f>
        <v>1</v>
      </c>
      <c r="E2366" s="188" t="b">
        <f>LineærRegression_Valg[[#This Row],[Afhængig variabel ID]]&lt;=$B$5</f>
        <v>0</v>
      </c>
      <c r="F2366" t="str" cm="1">
        <f t="array" ref="F2366">IF(LineærRegression_Valg[[#This Row],[Indenfor range]],INDEX(DataTitel_liste,LineærRegression_Valg[[#This Row],[Afhængig variabel ID]]),INDEX(DataTitel_liste,1))</f>
        <v>Eksempel 1 (interval)</v>
      </c>
      <c r="G2366" s="188" t="str" cm="1">
        <f t="array" ref="G2366">IF(LineærRegression_Valg[[#This Row],[Indenfor range]],IF(LineærRegression_Valg[[#This Row],[Intet overlap]],INDEX(DataTitel_liste,LineærRegression_Valg[[#This Row],[Uafhængig variabel ID]]),INDEX(DataTitel_liste,IF(LineærRegression_Valg[[#This Row],[Afhængig variabel ID]]=1,2,1))),$B$7)</f>
        <v>Eksempel 2 (interval)</v>
      </c>
      <c r="H2366" s="188">
        <f>_xlfn.AGGREGATE(2,5,LineærRegression_Valg[[#This Row],[Tabel ID]])</f>
        <v>1</v>
      </c>
    </row>
    <row r="2367" spans="1:8" x14ac:dyDescent="0.2">
      <c r="A2367">
        <f>ROW(LineærRegression_Valg[[#This Row],[Tabel ID]])-ROW(LineærRegression_Valg[[#Headers],[Tabel ID]])</f>
        <v>2357</v>
      </c>
      <c r="B2367" s="188">
        <f>ROUNDDOWN((LineærRegression_Valg[[#This Row],[Tabel ID]]-1)/$B$5,0)+1</f>
        <v>590</v>
      </c>
      <c r="C2367" s="188">
        <f t="shared" si="36"/>
        <v>1</v>
      </c>
      <c r="D2367" s="188" t="b">
        <f>LineærRegression_Valg[[#This Row],[Afhængig variabel ID]]&lt;&gt;LineærRegression_Valg[[#This Row],[Uafhængig variabel ID]]</f>
        <v>1</v>
      </c>
      <c r="E2367" s="188" t="b">
        <f>LineærRegression_Valg[[#This Row],[Afhængig variabel ID]]&lt;=$B$5</f>
        <v>0</v>
      </c>
      <c r="F2367" t="str" cm="1">
        <f t="array" ref="F2367">IF(LineærRegression_Valg[[#This Row],[Indenfor range]],INDEX(DataTitel_liste,LineærRegression_Valg[[#This Row],[Afhængig variabel ID]]),INDEX(DataTitel_liste,1))</f>
        <v>Eksempel 1 (interval)</v>
      </c>
      <c r="G2367" s="188" t="str" cm="1">
        <f t="array" ref="G2367">IF(LineærRegression_Valg[[#This Row],[Indenfor range]],IF(LineærRegression_Valg[[#This Row],[Intet overlap]],INDEX(DataTitel_liste,LineærRegression_Valg[[#This Row],[Uafhængig variabel ID]]),INDEX(DataTitel_liste,IF(LineærRegression_Valg[[#This Row],[Afhængig variabel ID]]=1,2,1))),$B$7)</f>
        <v>Eksempel 2 (interval)</v>
      </c>
      <c r="H2367" s="188">
        <f>_xlfn.AGGREGATE(2,5,LineærRegression_Valg[[#This Row],[Tabel ID]])</f>
        <v>1</v>
      </c>
    </row>
    <row r="2368" spans="1:8" x14ac:dyDescent="0.2">
      <c r="A2368">
        <f>ROW(LineærRegression_Valg[[#This Row],[Tabel ID]])-ROW(LineærRegression_Valg[[#Headers],[Tabel ID]])</f>
        <v>2358</v>
      </c>
      <c r="B2368" s="188">
        <f>ROUNDDOWN((LineærRegression_Valg[[#This Row],[Tabel ID]]-1)/$B$5,0)+1</f>
        <v>590</v>
      </c>
      <c r="C2368" s="188">
        <f t="shared" si="36"/>
        <v>2</v>
      </c>
      <c r="D2368" s="188" t="b">
        <f>LineærRegression_Valg[[#This Row],[Afhængig variabel ID]]&lt;&gt;LineærRegression_Valg[[#This Row],[Uafhængig variabel ID]]</f>
        <v>1</v>
      </c>
      <c r="E2368" s="188" t="b">
        <f>LineærRegression_Valg[[#This Row],[Afhængig variabel ID]]&lt;=$B$5</f>
        <v>0</v>
      </c>
      <c r="F2368" t="str" cm="1">
        <f t="array" ref="F2368">IF(LineærRegression_Valg[[#This Row],[Indenfor range]],INDEX(DataTitel_liste,LineærRegression_Valg[[#This Row],[Afhængig variabel ID]]),INDEX(DataTitel_liste,1))</f>
        <v>Eksempel 1 (interval)</v>
      </c>
      <c r="G2368" s="188" t="str" cm="1">
        <f t="array" ref="G2368">IF(LineærRegression_Valg[[#This Row],[Indenfor range]],IF(LineærRegression_Valg[[#This Row],[Intet overlap]],INDEX(DataTitel_liste,LineærRegression_Valg[[#This Row],[Uafhængig variabel ID]]),INDEX(DataTitel_liste,IF(LineærRegression_Valg[[#This Row],[Afhængig variabel ID]]=1,2,1))),$B$7)</f>
        <v>Eksempel 2 (interval)</v>
      </c>
      <c r="H2368" s="188">
        <f>_xlfn.AGGREGATE(2,5,LineærRegression_Valg[[#This Row],[Tabel ID]])</f>
        <v>1</v>
      </c>
    </row>
    <row r="2369" spans="1:8" x14ac:dyDescent="0.2">
      <c r="A2369">
        <f>ROW(LineærRegression_Valg[[#This Row],[Tabel ID]])-ROW(LineærRegression_Valg[[#Headers],[Tabel ID]])</f>
        <v>2359</v>
      </c>
      <c r="B2369" s="188">
        <f>ROUNDDOWN((LineærRegression_Valg[[#This Row],[Tabel ID]]-1)/$B$5,0)+1</f>
        <v>590</v>
      </c>
      <c r="C2369" s="188">
        <f t="shared" si="36"/>
        <v>3</v>
      </c>
      <c r="D2369" s="188" t="b">
        <f>LineærRegression_Valg[[#This Row],[Afhængig variabel ID]]&lt;&gt;LineærRegression_Valg[[#This Row],[Uafhængig variabel ID]]</f>
        <v>1</v>
      </c>
      <c r="E2369" s="188" t="b">
        <f>LineærRegression_Valg[[#This Row],[Afhængig variabel ID]]&lt;=$B$5</f>
        <v>0</v>
      </c>
      <c r="F2369" t="str" cm="1">
        <f t="array" ref="F2369">IF(LineærRegression_Valg[[#This Row],[Indenfor range]],INDEX(DataTitel_liste,LineærRegression_Valg[[#This Row],[Afhængig variabel ID]]),INDEX(DataTitel_liste,1))</f>
        <v>Eksempel 1 (interval)</v>
      </c>
      <c r="G2369" s="188" t="str" cm="1">
        <f t="array" ref="G2369">IF(LineærRegression_Valg[[#This Row],[Indenfor range]],IF(LineærRegression_Valg[[#This Row],[Intet overlap]],INDEX(DataTitel_liste,LineærRegression_Valg[[#This Row],[Uafhængig variabel ID]]),INDEX(DataTitel_liste,IF(LineærRegression_Valg[[#This Row],[Afhængig variabel ID]]=1,2,1))),$B$7)</f>
        <v>Eksempel 2 (interval)</v>
      </c>
      <c r="H2369" s="188">
        <f>_xlfn.AGGREGATE(2,5,LineærRegression_Valg[[#This Row],[Tabel ID]])</f>
        <v>1</v>
      </c>
    </row>
    <row r="2370" spans="1:8" x14ac:dyDescent="0.2">
      <c r="A2370">
        <f>ROW(LineærRegression_Valg[[#This Row],[Tabel ID]])-ROW(LineærRegression_Valg[[#Headers],[Tabel ID]])</f>
        <v>2360</v>
      </c>
      <c r="B2370" s="188">
        <f>ROUNDDOWN((LineærRegression_Valg[[#This Row],[Tabel ID]]-1)/$B$5,0)+1</f>
        <v>590</v>
      </c>
      <c r="C2370" s="188">
        <f t="shared" si="36"/>
        <v>4</v>
      </c>
      <c r="D2370" s="188" t="b">
        <f>LineærRegression_Valg[[#This Row],[Afhængig variabel ID]]&lt;&gt;LineærRegression_Valg[[#This Row],[Uafhængig variabel ID]]</f>
        <v>1</v>
      </c>
      <c r="E2370" s="188" t="b">
        <f>LineærRegression_Valg[[#This Row],[Afhængig variabel ID]]&lt;=$B$5</f>
        <v>0</v>
      </c>
      <c r="F2370" t="str" cm="1">
        <f t="array" ref="F2370">IF(LineærRegression_Valg[[#This Row],[Indenfor range]],INDEX(DataTitel_liste,LineærRegression_Valg[[#This Row],[Afhængig variabel ID]]),INDEX(DataTitel_liste,1))</f>
        <v>Eksempel 1 (interval)</v>
      </c>
      <c r="G2370" s="188" t="str" cm="1">
        <f t="array" ref="G2370">IF(LineærRegression_Valg[[#This Row],[Indenfor range]],IF(LineærRegression_Valg[[#This Row],[Intet overlap]],INDEX(DataTitel_liste,LineærRegression_Valg[[#This Row],[Uafhængig variabel ID]]),INDEX(DataTitel_liste,IF(LineærRegression_Valg[[#This Row],[Afhængig variabel ID]]=1,2,1))),$B$7)</f>
        <v>Eksempel 2 (interval)</v>
      </c>
      <c r="H2370" s="188">
        <f>_xlfn.AGGREGATE(2,5,LineærRegression_Valg[[#This Row],[Tabel ID]])</f>
        <v>1</v>
      </c>
    </row>
    <row r="2371" spans="1:8" x14ac:dyDescent="0.2">
      <c r="A2371">
        <f>ROW(LineærRegression_Valg[[#This Row],[Tabel ID]])-ROW(LineærRegression_Valg[[#Headers],[Tabel ID]])</f>
        <v>2361</v>
      </c>
      <c r="B2371" s="188">
        <f>ROUNDDOWN((LineærRegression_Valg[[#This Row],[Tabel ID]]-1)/$B$5,0)+1</f>
        <v>591</v>
      </c>
      <c r="C2371" s="188">
        <f t="shared" si="36"/>
        <v>1</v>
      </c>
      <c r="D2371" s="188" t="b">
        <f>LineærRegression_Valg[[#This Row],[Afhængig variabel ID]]&lt;&gt;LineærRegression_Valg[[#This Row],[Uafhængig variabel ID]]</f>
        <v>1</v>
      </c>
      <c r="E2371" s="188" t="b">
        <f>LineærRegression_Valg[[#This Row],[Afhængig variabel ID]]&lt;=$B$5</f>
        <v>0</v>
      </c>
      <c r="F2371" t="str" cm="1">
        <f t="array" ref="F2371">IF(LineærRegression_Valg[[#This Row],[Indenfor range]],INDEX(DataTitel_liste,LineærRegression_Valg[[#This Row],[Afhængig variabel ID]]),INDEX(DataTitel_liste,1))</f>
        <v>Eksempel 1 (interval)</v>
      </c>
      <c r="G2371" s="188" t="str" cm="1">
        <f t="array" ref="G2371">IF(LineærRegression_Valg[[#This Row],[Indenfor range]],IF(LineærRegression_Valg[[#This Row],[Intet overlap]],INDEX(DataTitel_liste,LineærRegression_Valg[[#This Row],[Uafhængig variabel ID]]),INDEX(DataTitel_liste,IF(LineærRegression_Valg[[#This Row],[Afhængig variabel ID]]=1,2,1))),$B$7)</f>
        <v>Eksempel 2 (interval)</v>
      </c>
      <c r="H2371" s="188">
        <f>_xlfn.AGGREGATE(2,5,LineærRegression_Valg[[#This Row],[Tabel ID]])</f>
        <v>1</v>
      </c>
    </row>
    <row r="2372" spans="1:8" x14ac:dyDescent="0.2">
      <c r="A2372">
        <f>ROW(LineærRegression_Valg[[#This Row],[Tabel ID]])-ROW(LineærRegression_Valg[[#Headers],[Tabel ID]])</f>
        <v>2362</v>
      </c>
      <c r="B2372" s="188">
        <f>ROUNDDOWN((LineærRegression_Valg[[#This Row],[Tabel ID]]-1)/$B$5,0)+1</f>
        <v>591</v>
      </c>
      <c r="C2372" s="188">
        <f t="shared" si="36"/>
        <v>2</v>
      </c>
      <c r="D2372" s="188" t="b">
        <f>LineærRegression_Valg[[#This Row],[Afhængig variabel ID]]&lt;&gt;LineærRegression_Valg[[#This Row],[Uafhængig variabel ID]]</f>
        <v>1</v>
      </c>
      <c r="E2372" s="188" t="b">
        <f>LineærRegression_Valg[[#This Row],[Afhængig variabel ID]]&lt;=$B$5</f>
        <v>0</v>
      </c>
      <c r="F2372" t="str" cm="1">
        <f t="array" ref="F2372">IF(LineærRegression_Valg[[#This Row],[Indenfor range]],INDEX(DataTitel_liste,LineærRegression_Valg[[#This Row],[Afhængig variabel ID]]),INDEX(DataTitel_liste,1))</f>
        <v>Eksempel 1 (interval)</v>
      </c>
      <c r="G2372" s="188" t="str" cm="1">
        <f t="array" ref="G2372">IF(LineærRegression_Valg[[#This Row],[Indenfor range]],IF(LineærRegression_Valg[[#This Row],[Intet overlap]],INDEX(DataTitel_liste,LineærRegression_Valg[[#This Row],[Uafhængig variabel ID]]),INDEX(DataTitel_liste,IF(LineærRegression_Valg[[#This Row],[Afhængig variabel ID]]=1,2,1))),$B$7)</f>
        <v>Eksempel 2 (interval)</v>
      </c>
      <c r="H2372" s="188">
        <f>_xlfn.AGGREGATE(2,5,LineærRegression_Valg[[#This Row],[Tabel ID]])</f>
        <v>1</v>
      </c>
    </row>
    <row r="2373" spans="1:8" x14ac:dyDescent="0.2">
      <c r="A2373">
        <f>ROW(LineærRegression_Valg[[#This Row],[Tabel ID]])-ROW(LineærRegression_Valg[[#Headers],[Tabel ID]])</f>
        <v>2363</v>
      </c>
      <c r="B2373" s="188">
        <f>ROUNDDOWN((LineærRegression_Valg[[#This Row],[Tabel ID]]-1)/$B$5,0)+1</f>
        <v>591</v>
      </c>
      <c r="C2373" s="188">
        <f t="shared" si="36"/>
        <v>3</v>
      </c>
      <c r="D2373" s="188" t="b">
        <f>LineærRegression_Valg[[#This Row],[Afhængig variabel ID]]&lt;&gt;LineærRegression_Valg[[#This Row],[Uafhængig variabel ID]]</f>
        <v>1</v>
      </c>
      <c r="E2373" s="188" t="b">
        <f>LineærRegression_Valg[[#This Row],[Afhængig variabel ID]]&lt;=$B$5</f>
        <v>0</v>
      </c>
      <c r="F2373" t="str" cm="1">
        <f t="array" ref="F2373">IF(LineærRegression_Valg[[#This Row],[Indenfor range]],INDEX(DataTitel_liste,LineærRegression_Valg[[#This Row],[Afhængig variabel ID]]),INDEX(DataTitel_liste,1))</f>
        <v>Eksempel 1 (interval)</v>
      </c>
      <c r="G2373" s="188" t="str" cm="1">
        <f t="array" ref="G2373">IF(LineærRegression_Valg[[#This Row],[Indenfor range]],IF(LineærRegression_Valg[[#This Row],[Intet overlap]],INDEX(DataTitel_liste,LineærRegression_Valg[[#This Row],[Uafhængig variabel ID]]),INDEX(DataTitel_liste,IF(LineærRegression_Valg[[#This Row],[Afhængig variabel ID]]=1,2,1))),$B$7)</f>
        <v>Eksempel 2 (interval)</v>
      </c>
      <c r="H2373" s="188">
        <f>_xlfn.AGGREGATE(2,5,LineærRegression_Valg[[#This Row],[Tabel ID]])</f>
        <v>1</v>
      </c>
    </row>
    <row r="2374" spans="1:8" x14ac:dyDescent="0.2">
      <c r="A2374">
        <f>ROW(LineærRegression_Valg[[#This Row],[Tabel ID]])-ROW(LineærRegression_Valg[[#Headers],[Tabel ID]])</f>
        <v>2364</v>
      </c>
      <c r="B2374" s="188">
        <f>ROUNDDOWN((LineærRegression_Valg[[#This Row],[Tabel ID]]-1)/$B$5,0)+1</f>
        <v>591</v>
      </c>
      <c r="C2374" s="188">
        <f t="shared" si="36"/>
        <v>4</v>
      </c>
      <c r="D2374" s="188" t="b">
        <f>LineærRegression_Valg[[#This Row],[Afhængig variabel ID]]&lt;&gt;LineærRegression_Valg[[#This Row],[Uafhængig variabel ID]]</f>
        <v>1</v>
      </c>
      <c r="E2374" s="188" t="b">
        <f>LineærRegression_Valg[[#This Row],[Afhængig variabel ID]]&lt;=$B$5</f>
        <v>0</v>
      </c>
      <c r="F2374" t="str" cm="1">
        <f t="array" ref="F2374">IF(LineærRegression_Valg[[#This Row],[Indenfor range]],INDEX(DataTitel_liste,LineærRegression_Valg[[#This Row],[Afhængig variabel ID]]),INDEX(DataTitel_liste,1))</f>
        <v>Eksempel 1 (interval)</v>
      </c>
      <c r="G2374" s="188" t="str" cm="1">
        <f t="array" ref="G2374">IF(LineærRegression_Valg[[#This Row],[Indenfor range]],IF(LineærRegression_Valg[[#This Row],[Intet overlap]],INDEX(DataTitel_liste,LineærRegression_Valg[[#This Row],[Uafhængig variabel ID]]),INDEX(DataTitel_liste,IF(LineærRegression_Valg[[#This Row],[Afhængig variabel ID]]=1,2,1))),$B$7)</f>
        <v>Eksempel 2 (interval)</v>
      </c>
      <c r="H2374" s="188">
        <f>_xlfn.AGGREGATE(2,5,LineærRegression_Valg[[#This Row],[Tabel ID]])</f>
        <v>1</v>
      </c>
    </row>
    <row r="2375" spans="1:8" x14ac:dyDescent="0.2">
      <c r="A2375">
        <f>ROW(LineærRegression_Valg[[#This Row],[Tabel ID]])-ROW(LineærRegression_Valg[[#Headers],[Tabel ID]])</f>
        <v>2365</v>
      </c>
      <c r="B2375" s="188">
        <f>ROUNDDOWN((LineærRegression_Valg[[#This Row],[Tabel ID]]-1)/$B$5,0)+1</f>
        <v>592</v>
      </c>
      <c r="C2375" s="188">
        <f t="shared" si="36"/>
        <v>1</v>
      </c>
      <c r="D2375" s="188" t="b">
        <f>LineærRegression_Valg[[#This Row],[Afhængig variabel ID]]&lt;&gt;LineærRegression_Valg[[#This Row],[Uafhængig variabel ID]]</f>
        <v>1</v>
      </c>
      <c r="E2375" s="188" t="b">
        <f>LineærRegression_Valg[[#This Row],[Afhængig variabel ID]]&lt;=$B$5</f>
        <v>0</v>
      </c>
      <c r="F2375" t="str" cm="1">
        <f t="array" ref="F2375">IF(LineærRegression_Valg[[#This Row],[Indenfor range]],INDEX(DataTitel_liste,LineærRegression_Valg[[#This Row],[Afhængig variabel ID]]),INDEX(DataTitel_liste,1))</f>
        <v>Eksempel 1 (interval)</v>
      </c>
      <c r="G2375" s="188" t="str" cm="1">
        <f t="array" ref="G2375">IF(LineærRegression_Valg[[#This Row],[Indenfor range]],IF(LineærRegression_Valg[[#This Row],[Intet overlap]],INDEX(DataTitel_liste,LineærRegression_Valg[[#This Row],[Uafhængig variabel ID]]),INDEX(DataTitel_liste,IF(LineærRegression_Valg[[#This Row],[Afhængig variabel ID]]=1,2,1))),$B$7)</f>
        <v>Eksempel 2 (interval)</v>
      </c>
      <c r="H2375" s="188">
        <f>_xlfn.AGGREGATE(2,5,LineærRegression_Valg[[#This Row],[Tabel ID]])</f>
        <v>1</v>
      </c>
    </row>
    <row r="2376" spans="1:8" x14ac:dyDescent="0.2">
      <c r="A2376">
        <f>ROW(LineærRegression_Valg[[#This Row],[Tabel ID]])-ROW(LineærRegression_Valg[[#Headers],[Tabel ID]])</f>
        <v>2366</v>
      </c>
      <c r="B2376" s="188">
        <f>ROUNDDOWN((LineærRegression_Valg[[#This Row],[Tabel ID]]-1)/$B$5,0)+1</f>
        <v>592</v>
      </c>
      <c r="C2376" s="188">
        <f t="shared" si="36"/>
        <v>2</v>
      </c>
      <c r="D2376" s="188" t="b">
        <f>LineærRegression_Valg[[#This Row],[Afhængig variabel ID]]&lt;&gt;LineærRegression_Valg[[#This Row],[Uafhængig variabel ID]]</f>
        <v>1</v>
      </c>
      <c r="E2376" s="188" t="b">
        <f>LineærRegression_Valg[[#This Row],[Afhængig variabel ID]]&lt;=$B$5</f>
        <v>0</v>
      </c>
      <c r="F2376" t="str" cm="1">
        <f t="array" ref="F2376">IF(LineærRegression_Valg[[#This Row],[Indenfor range]],INDEX(DataTitel_liste,LineærRegression_Valg[[#This Row],[Afhængig variabel ID]]),INDEX(DataTitel_liste,1))</f>
        <v>Eksempel 1 (interval)</v>
      </c>
      <c r="G2376" s="188" t="str" cm="1">
        <f t="array" ref="G2376">IF(LineærRegression_Valg[[#This Row],[Indenfor range]],IF(LineærRegression_Valg[[#This Row],[Intet overlap]],INDEX(DataTitel_liste,LineærRegression_Valg[[#This Row],[Uafhængig variabel ID]]),INDEX(DataTitel_liste,IF(LineærRegression_Valg[[#This Row],[Afhængig variabel ID]]=1,2,1))),$B$7)</f>
        <v>Eksempel 2 (interval)</v>
      </c>
      <c r="H2376" s="188">
        <f>_xlfn.AGGREGATE(2,5,LineærRegression_Valg[[#This Row],[Tabel ID]])</f>
        <v>1</v>
      </c>
    </row>
    <row r="2377" spans="1:8" x14ac:dyDescent="0.2">
      <c r="A2377">
        <f>ROW(LineærRegression_Valg[[#This Row],[Tabel ID]])-ROW(LineærRegression_Valg[[#Headers],[Tabel ID]])</f>
        <v>2367</v>
      </c>
      <c r="B2377" s="188">
        <f>ROUNDDOWN((LineærRegression_Valg[[#This Row],[Tabel ID]]-1)/$B$5,0)+1</f>
        <v>592</v>
      </c>
      <c r="C2377" s="188">
        <f t="shared" si="36"/>
        <v>3</v>
      </c>
      <c r="D2377" s="188" t="b">
        <f>LineærRegression_Valg[[#This Row],[Afhængig variabel ID]]&lt;&gt;LineærRegression_Valg[[#This Row],[Uafhængig variabel ID]]</f>
        <v>1</v>
      </c>
      <c r="E2377" s="188" t="b">
        <f>LineærRegression_Valg[[#This Row],[Afhængig variabel ID]]&lt;=$B$5</f>
        <v>0</v>
      </c>
      <c r="F2377" t="str" cm="1">
        <f t="array" ref="F2377">IF(LineærRegression_Valg[[#This Row],[Indenfor range]],INDEX(DataTitel_liste,LineærRegression_Valg[[#This Row],[Afhængig variabel ID]]),INDEX(DataTitel_liste,1))</f>
        <v>Eksempel 1 (interval)</v>
      </c>
      <c r="G2377" s="188" t="str" cm="1">
        <f t="array" ref="G2377">IF(LineærRegression_Valg[[#This Row],[Indenfor range]],IF(LineærRegression_Valg[[#This Row],[Intet overlap]],INDEX(DataTitel_liste,LineærRegression_Valg[[#This Row],[Uafhængig variabel ID]]),INDEX(DataTitel_liste,IF(LineærRegression_Valg[[#This Row],[Afhængig variabel ID]]=1,2,1))),$B$7)</f>
        <v>Eksempel 2 (interval)</v>
      </c>
      <c r="H2377" s="188">
        <f>_xlfn.AGGREGATE(2,5,LineærRegression_Valg[[#This Row],[Tabel ID]])</f>
        <v>1</v>
      </c>
    </row>
    <row r="2378" spans="1:8" x14ac:dyDescent="0.2">
      <c r="A2378">
        <f>ROW(LineærRegression_Valg[[#This Row],[Tabel ID]])-ROW(LineærRegression_Valg[[#Headers],[Tabel ID]])</f>
        <v>2368</v>
      </c>
      <c r="B2378" s="188">
        <f>ROUNDDOWN((LineærRegression_Valg[[#This Row],[Tabel ID]]-1)/$B$5,0)+1</f>
        <v>592</v>
      </c>
      <c r="C2378" s="188">
        <f t="shared" si="36"/>
        <v>4</v>
      </c>
      <c r="D2378" s="188" t="b">
        <f>LineærRegression_Valg[[#This Row],[Afhængig variabel ID]]&lt;&gt;LineærRegression_Valg[[#This Row],[Uafhængig variabel ID]]</f>
        <v>1</v>
      </c>
      <c r="E2378" s="188" t="b">
        <f>LineærRegression_Valg[[#This Row],[Afhængig variabel ID]]&lt;=$B$5</f>
        <v>0</v>
      </c>
      <c r="F2378" t="str" cm="1">
        <f t="array" ref="F2378">IF(LineærRegression_Valg[[#This Row],[Indenfor range]],INDEX(DataTitel_liste,LineærRegression_Valg[[#This Row],[Afhængig variabel ID]]),INDEX(DataTitel_liste,1))</f>
        <v>Eksempel 1 (interval)</v>
      </c>
      <c r="G2378" s="188" t="str" cm="1">
        <f t="array" ref="G2378">IF(LineærRegression_Valg[[#This Row],[Indenfor range]],IF(LineærRegression_Valg[[#This Row],[Intet overlap]],INDEX(DataTitel_liste,LineærRegression_Valg[[#This Row],[Uafhængig variabel ID]]),INDEX(DataTitel_liste,IF(LineærRegression_Valg[[#This Row],[Afhængig variabel ID]]=1,2,1))),$B$7)</f>
        <v>Eksempel 2 (interval)</v>
      </c>
      <c r="H2378" s="188">
        <f>_xlfn.AGGREGATE(2,5,LineærRegression_Valg[[#This Row],[Tabel ID]])</f>
        <v>1</v>
      </c>
    </row>
    <row r="2379" spans="1:8" x14ac:dyDescent="0.2">
      <c r="A2379">
        <f>ROW(LineærRegression_Valg[[#This Row],[Tabel ID]])-ROW(LineærRegression_Valg[[#Headers],[Tabel ID]])</f>
        <v>2369</v>
      </c>
      <c r="B2379" s="188">
        <f>ROUNDDOWN((LineærRegression_Valg[[#This Row],[Tabel ID]]-1)/$B$5,0)+1</f>
        <v>593</v>
      </c>
      <c r="C2379" s="188">
        <f t="shared" ref="C2379:C2442" si="37">MOD(A2379-1,$B$5)+1</f>
        <v>1</v>
      </c>
      <c r="D2379" s="188" t="b">
        <f>LineærRegression_Valg[[#This Row],[Afhængig variabel ID]]&lt;&gt;LineærRegression_Valg[[#This Row],[Uafhængig variabel ID]]</f>
        <v>1</v>
      </c>
      <c r="E2379" s="188" t="b">
        <f>LineærRegression_Valg[[#This Row],[Afhængig variabel ID]]&lt;=$B$5</f>
        <v>0</v>
      </c>
      <c r="F2379" t="str" cm="1">
        <f t="array" ref="F2379">IF(LineærRegression_Valg[[#This Row],[Indenfor range]],INDEX(DataTitel_liste,LineærRegression_Valg[[#This Row],[Afhængig variabel ID]]),INDEX(DataTitel_liste,1))</f>
        <v>Eksempel 1 (interval)</v>
      </c>
      <c r="G2379" s="188" t="str" cm="1">
        <f t="array" ref="G2379">IF(LineærRegression_Valg[[#This Row],[Indenfor range]],IF(LineærRegression_Valg[[#This Row],[Intet overlap]],INDEX(DataTitel_liste,LineærRegression_Valg[[#This Row],[Uafhængig variabel ID]]),INDEX(DataTitel_liste,IF(LineærRegression_Valg[[#This Row],[Afhængig variabel ID]]=1,2,1))),$B$7)</f>
        <v>Eksempel 2 (interval)</v>
      </c>
      <c r="H2379" s="188">
        <f>_xlfn.AGGREGATE(2,5,LineærRegression_Valg[[#This Row],[Tabel ID]])</f>
        <v>1</v>
      </c>
    </row>
    <row r="2380" spans="1:8" x14ac:dyDescent="0.2">
      <c r="A2380">
        <f>ROW(LineærRegression_Valg[[#This Row],[Tabel ID]])-ROW(LineærRegression_Valg[[#Headers],[Tabel ID]])</f>
        <v>2370</v>
      </c>
      <c r="B2380" s="188">
        <f>ROUNDDOWN((LineærRegression_Valg[[#This Row],[Tabel ID]]-1)/$B$5,0)+1</f>
        <v>593</v>
      </c>
      <c r="C2380" s="188">
        <f t="shared" si="37"/>
        <v>2</v>
      </c>
      <c r="D2380" s="188" t="b">
        <f>LineærRegression_Valg[[#This Row],[Afhængig variabel ID]]&lt;&gt;LineærRegression_Valg[[#This Row],[Uafhængig variabel ID]]</f>
        <v>1</v>
      </c>
      <c r="E2380" s="188" t="b">
        <f>LineærRegression_Valg[[#This Row],[Afhængig variabel ID]]&lt;=$B$5</f>
        <v>0</v>
      </c>
      <c r="F2380" t="str" cm="1">
        <f t="array" ref="F2380">IF(LineærRegression_Valg[[#This Row],[Indenfor range]],INDEX(DataTitel_liste,LineærRegression_Valg[[#This Row],[Afhængig variabel ID]]),INDEX(DataTitel_liste,1))</f>
        <v>Eksempel 1 (interval)</v>
      </c>
      <c r="G2380" s="188" t="str" cm="1">
        <f t="array" ref="G2380">IF(LineærRegression_Valg[[#This Row],[Indenfor range]],IF(LineærRegression_Valg[[#This Row],[Intet overlap]],INDEX(DataTitel_liste,LineærRegression_Valg[[#This Row],[Uafhængig variabel ID]]),INDEX(DataTitel_liste,IF(LineærRegression_Valg[[#This Row],[Afhængig variabel ID]]=1,2,1))),$B$7)</f>
        <v>Eksempel 2 (interval)</v>
      </c>
      <c r="H2380" s="188">
        <f>_xlfn.AGGREGATE(2,5,LineærRegression_Valg[[#This Row],[Tabel ID]])</f>
        <v>1</v>
      </c>
    </row>
    <row r="2381" spans="1:8" x14ac:dyDescent="0.2">
      <c r="A2381">
        <f>ROW(LineærRegression_Valg[[#This Row],[Tabel ID]])-ROW(LineærRegression_Valg[[#Headers],[Tabel ID]])</f>
        <v>2371</v>
      </c>
      <c r="B2381" s="188">
        <f>ROUNDDOWN((LineærRegression_Valg[[#This Row],[Tabel ID]]-1)/$B$5,0)+1</f>
        <v>593</v>
      </c>
      <c r="C2381" s="188">
        <f t="shared" si="37"/>
        <v>3</v>
      </c>
      <c r="D2381" s="188" t="b">
        <f>LineærRegression_Valg[[#This Row],[Afhængig variabel ID]]&lt;&gt;LineærRegression_Valg[[#This Row],[Uafhængig variabel ID]]</f>
        <v>1</v>
      </c>
      <c r="E2381" s="188" t="b">
        <f>LineærRegression_Valg[[#This Row],[Afhængig variabel ID]]&lt;=$B$5</f>
        <v>0</v>
      </c>
      <c r="F2381" t="str" cm="1">
        <f t="array" ref="F2381">IF(LineærRegression_Valg[[#This Row],[Indenfor range]],INDEX(DataTitel_liste,LineærRegression_Valg[[#This Row],[Afhængig variabel ID]]),INDEX(DataTitel_liste,1))</f>
        <v>Eksempel 1 (interval)</v>
      </c>
      <c r="G2381" s="188" t="str" cm="1">
        <f t="array" ref="G2381">IF(LineærRegression_Valg[[#This Row],[Indenfor range]],IF(LineærRegression_Valg[[#This Row],[Intet overlap]],INDEX(DataTitel_liste,LineærRegression_Valg[[#This Row],[Uafhængig variabel ID]]),INDEX(DataTitel_liste,IF(LineærRegression_Valg[[#This Row],[Afhængig variabel ID]]=1,2,1))),$B$7)</f>
        <v>Eksempel 2 (interval)</v>
      </c>
      <c r="H2381" s="188">
        <f>_xlfn.AGGREGATE(2,5,LineærRegression_Valg[[#This Row],[Tabel ID]])</f>
        <v>1</v>
      </c>
    </row>
    <row r="2382" spans="1:8" x14ac:dyDescent="0.2">
      <c r="A2382">
        <f>ROW(LineærRegression_Valg[[#This Row],[Tabel ID]])-ROW(LineærRegression_Valg[[#Headers],[Tabel ID]])</f>
        <v>2372</v>
      </c>
      <c r="B2382" s="188">
        <f>ROUNDDOWN((LineærRegression_Valg[[#This Row],[Tabel ID]]-1)/$B$5,0)+1</f>
        <v>593</v>
      </c>
      <c r="C2382" s="188">
        <f t="shared" si="37"/>
        <v>4</v>
      </c>
      <c r="D2382" s="188" t="b">
        <f>LineærRegression_Valg[[#This Row],[Afhængig variabel ID]]&lt;&gt;LineærRegression_Valg[[#This Row],[Uafhængig variabel ID]]</f>
        <v>1</v>
      </c>
      <c r="E2382" s="188" t="b">
        <f>LineærRegression_Valg[[#This Row],[Afhængig variabel ID]]&lt;=$B$5</f>
        <v>0</v>
      </c>
      <c r="F2382" t="str" cm="1">
        <f t="array" ref="F2382">IF(LineærRegression_Valg[[#This Row],[Indenfor range]],INDEX(DataTitel_liste,LineærRegression_Valg[[#This Row],[Afhængig variabel ID]]),INDEX(DataTitel_liste,1))</f>
        <v>Eksempel 1 (interval)</v>
      </c>
      <c r="G2382" s="188" t="str" cm="1">
        <f t="array" ref="G2382">IF(LineærRegression_Valg[[#This Row],[Indenfor range]],IF(LineærRegression_Valg[[#This Row],[Intet overlap]],INDEX(DataTitel_liste,LineærRegression_Valg[[#This Row],[Uafhængig variabel ID]]),INDEX(DataTitel_liste,IF(LineærRegression_Valg[[#This Row],[Afhængig variabel ID]]=1,2,1))),$B$7)</f>
        <v>Eksempel 2 (interval)</v>
      </c>
      <c r="H2382" s="188">
        <f>_xlfn.AGGREGATE(2,5,LineærRegression_Valg[[#This Row],[Tabel ID]])</f>
        <v>1</v>
      </c>
    </row>
    <row r="2383" spans="1:8" x14ac:dyDescent="0.2">
      <c r="A2383">
        <f>ROW(LineærRegression_Valg[[#This Row],[Tabel ID]])-ROW(LineærRegression_Valg[[#Headers],[Tabel ID]])</f>
        <v>2373</v>
      </c>
      <c r="B2383" s="188">
        <f>ROUNDDOWN((LineærRegression_Valg[[#This Row],[Tabel ID]]-1)/$B$5,0)+1</f>
        <v>594</v>
      </c>
      <c r="C2383" s="188">
        <f t="shared" si="37"/>
        <v>1</v>
      </c>
      <c r="D2383" s="188" t="b">
        <f>LineærRegression_Valg[[#This Row],[Afhængig variabel ID]]&lt;&gt;LineærRegression_Valg[[#This Row],[Uafhængig variabel ID]]</f>
        <v>1</v>
      </c>
      <c r="E2383" s="188" t="b">
        <f>LineærRegression_Valg[[#This Row],[Afhængig variabel ID]]&lt;=$B$5</f>
        <v>0</v>
      </c>
      <c r="F2383" t="str" cm="1">
        <f t="array" ref="F2383">IF(LineærRegression_Valg[[#This Row],[Indenfor range]],INDEX(DataTitel_liste,LineærRegression_Valg[[#This Row],[Afhængig variabel ID]]),INDEX(DataTitel_liste,1))</f>
        <v>Eksempel 1 (interval)</v>
      </c>
      <c r="G2383" s="188" t="str" cm="1">
        <f t="array" ref="G2383">IF(LineærRegression_Valg[[#This Row],[Indenfor range]],IF(LineærRegression_Valg[[#This Row],[Intet overlap]],INDEX(DataTitel_liste,LineærRegression_Valg[[#This Row],[Uafhængig variabel ID]]),INDEX(DataTitel_liste,IF(LineærRegression_Valg[[#This Row],[Afhængig variabel ID]]=1,2,1))),$B$7)</f>
        <v>Eksempel 2 (interval)</v>
      </c>
      <c r="H2383" s="188">
        <f>_xlfn.AGGREGATE(2,5,LineærRegression_Valg[[#This Row],[Tabel ID]])</f>
        <v>1</v>
      </c>
    </row>
    <row r="2384" spans="1:8" x14ac:dyDescent="0.2">
      <c r="A2384">
        <f>ROW(LineærRegression_Valg[[#This Row],[Tabel ID]])-ROW(LineærRegression_Valg[[#Headers],[Tabel ID]])</f>
        <v>2374</v>
      </c>
      <c r="B2384" s="188">
        <f>ROUNDDOWN((LineærRegression_Valg[[#This Row],[Tabel ID]]-1)/$B$5,0)+1</f>
        <v>594</v>
      </c>
      <c r="C2384" s="188">
        <f t="shared" si="37"/>
        <v>2</v>
      </c>
      <c r="D2384" s="188" t="b">
        <f>LineærRegression_Valg[[#This Row],[Afhængig variabel ID]]&lt;&gt;LineærRegression_Valg[[#This Row],[Uafhængig variabel ID]]</f>
        <v>1</v>
      </c>
      <c r="E2384" s="188" t="b">
        <f>LineærRegression_Valg[[#This Row],[Afhængig variabel ID]]&lt;=$B$5</f>
        <v>0</v>
      </c>
      <c r="F2384" t="str" cm="1">
        <f t="array" ref="F2384">IF(LineærRegression_Valg[[#This Row],[Indenfor range]],INDEX(DataTitel_liste,LineærRegression_Valg[[#This Row],[Afhængig variabel ID]]),INDEX(DataTitel_liste,1))</f>
        <v>Eksempel 1 (interval)</v>
      </c>
      <c r="G2384" s="188" t="str" cm="1">
        <f t="array" ref="G2384">IF(LineærRegression_Valg[[#This Row],[Indenfor range]],IF(LineærRegression_Valg[[#This Row],[Intet overlap]],INDEX(DataTitel_liste,LineærRegression_Valg[[#This Row],[Uafhængig variabel ID]]),INDEX(DataTitel_liste,IF(LineærRegression_Valg[[#This Row],[Afhængig variabel ID]]=1,2,1))),$B$7)</f>
        <v>Eksempel 2 (interval)</v>
      </c>
      <c r="H2384" s="188">
        <f>_xlfn.AGGREGATE(2,5,LineærRegression_Valg[[#This Row],[Tabel ID]])</f>
        <v>1</v>
      </c>
    </row>
    <row r="2385" spans="1:8" x14ac:dyDescent="0.2">
      <c r="A2385">
        <f>ROW(LineærRegression_Valg[[#This Row],[Tabel ID]])-ROW(LineærRegression_Valg[[#Headers],[Tabel ID]])</f>
        <v>2375</v>
      </c>
      <c r="B2385" s="188">
        <f>ROUNDDOWN((LineærRegression_Valg[[#This Row],[Tabel ID]]-1)/$B$5,0)+1</f>
        <v>594</v>
      </c>
      <c r="C2385" s="188">
        <f t="shared" si="37"/>
        <v>3</v>
      </c>
      <c r="D2385" s="188" t="b">
        <f>LineærRegression_Valg[[#This Row],[Afhængig variabel ID]]&lt;&gt;LineærRegression_Valg[[#This Row],[Uafhængig variabel ID]]</f>
        <v>1</v>
      </c>
      <c r="E2385" s="188" t="b">
        <f>LineærRegression_Valg[[#This Row],[Afhængig variabel ID]]&lt;=$B$5</f>
        <v>0</v>
      </c>
      <c r="F2385" t="str" cm="1">
        <f t="array" ref="F2385">IF(LineærRegression_Valg[[#This Row],[Indenfor range]],INDEX(DataTitel_liste,LineærRegression_Valg[[#This Row],[Afhængig variabel ID]]),INDEX(DataTitel_liste,1))</f>
        <v>Eksempel 1 (interval)</v>
      </c>
      <c r="G2385" s="188" t="str" cm="1">
        <f t="array" ref="G2385">IF(LineærRegression_Valg[[#This Row],[Indenfor range]],IF(LineærRegression_Valg[[#This Row],[Intet overlap]],INDEX(DataTitel_liste,LineærRegression_Valg[[#This Row],[Uafhængig variabel ID]]),INDEX(DataTitel_liste,IF(LineærRegression_Valg[[#This Row],[Afhængig variabel ID]]=1,2,1))),$B$7)</f>
        <v>Eksempel 2 (interval)</v>
      </c>
      <c r="H2385" s="188">
        <f>_xlfn.AGGREGATE(2,5,LineærRegression_Valg[[#This Row],[Tabel ID]])</f>
        <v>1</v>
      </c>
    </row>
    <row r="2386" spans="1:8" x14ac:dyDescent="0.2">
      <c r="A2386">
        <f>ROW(LineærRegression_Valg[[#This Row],[Tabel ID]])-ROW(LineærRegression_Valg[[#Headers],[Tabel ID]])</f>
        <v>2376</v>
      </c>
      <c r="B2386" s="188">
        <f>ROUNDDOWN((LineærRegression_Valg[[#This Row],[Tabel ID]]-1)/$B$5,0)+1</f>
        <v>594</v>
      </c>
      <c r="C2386" s="188">
        <f t="shared" si="37"/>
        <v>4</v>
      </c>
      <c r="D2386" s="188" t="b">
        <f>LineærRegression_Valg[[#This Row],[Afhængig variabel ID]]&lt;&gt;LineærRegression_Valg[[#This Row],[Uafhængig variabel ID]]</f>
        <v>1</v>
      </c>
      <c r="E2386" s="188" t="b">
        <f>LineærRegression_Valg[[#This Row],[Afhængig variabel ID]]&lt;=$B$5</f>
        <v>0</v>
      </c>
      <c r="F2386" t="str" cm="1">
        <f t="array" ref="F2386">IF(LineærRegression_Valg[[#This Row],[Indenfor range]],INDEX(DataTitel_liste,LineærRegression_Valg[[#This Row],[Afhængig variabel ID]]),INDEX(DataTitel_liste,1))</f>
        <v>Eksempel 1 (interval)</v>
      </c>
      <c r="G2386" s="188" t="str" cm="1">
        <f t="array" ref="G2386">IF(LineærRegression_Valg[[#This Row],[Indenfor range]],IF(LineærRegression_Valg[[#This Row],[Intet overlap]],INDEX(DataTitel_liste,LineærRegression_Valg[[#This Row],[Uafhængig variabel ID]]),INDEX(DataTitel_liste,IF(LineærRegression_Valg[[#This Row],[Afhængig variabel ID]]=1,2,1))),$B$7)</f>
        <v>Eksempel 2 (interval)</v>
      </c>
      <c r="H2386" s="188">
        <f>_xlfn.AGGREGATE(2,5,LineærRegression_Valg[[#This Row],[Tabel ID]])</f>
        <v>1</v>
      </c>
    </row>
    <row r="2387" spans="1:8" x14ac:dyDescent="0.2">
      <c r="A2387">
        <f>ROW(LineærRegression_Valg[[#This Row],[Tabel ID]])-ROW(LineærRegression_Valg[[#Headers],[Tabel ID]])</f>
        <v>2377</v>
      </c>
      <c r="B2387" s="188">
        <f>ROUNDDOWN((LineærRegression_Valg[[#This Row],[Tabel ID]]-1)/$B$5,0)+1</f>
        <v>595</v>
      </c>
      <c r="C2387" s="188">
        <f t="shared" si="37"/>
        <v>1</v>
      </c>
      <c r="D2387" s="188" t="b">
        <f>LineærRegression_Valg[[#This Row],[Afhængig variabel ID]]&lt;&gt;LineærRegression_Valg[[#This Row],[Uafhængig variabel ID]]</f>
        <v>1</v>
      </c>
      <c r="E2387" s="188" t="b">
        <f>LineærRegression_Valg[[#This Row],[Afhængig variabel ID]]&lt;=$B$5</f>
        <v>0</v>
      </c>
      <c r="F2387" t="str" cm="1">
        <f t="array" ref="F2387">IF(LineærRegression_Valg[[#This Row],[Indenfor range]],INDEX(DataTitel_liste,LineærRegression_Valg[[#This Row],[Afhængig variabel ID]]),INDEX(DataTitel_liste,1))</f>
        <v>Eksempel 1 (interval)</v>
      </c>
      <c r="G2387" s="188" t="str" cm="1">
        <f t="array" ref="G2387">IF(LineærRegression_Valg[[#This Row],[Indenfor range]],IF(LineærRegression_Valg[[#This Row],[Intet overlap]],INDEX(DataTitel_liste,LineærRegression_Valg[[#This Row],[Uafhængig variabel ID]]),INDEX(DataTitel_liste,IF(LineærRegression_Valg[[#This Row],[Afhængig variabel ID]]=1,2,1))),$B$7)</f>
        <v>Eksempel 2 (interval)</v>
      </c>
      <c r="H2387" s="188">
        <f>_xlfn.AGGREGATE(2,5,LineærRegression_Valg[[#This Row],[Tabel ID]])</f>
        <v>1</v>
      </c>
    </row>
    <row r="2388" spans="1:8" x14ac:dyDescent="0.2">
      <c r="A2388">
        <f>ROW(LineærRegression_Valg[[#This Row],[Tabel ID]])-ROW(LineærRegression_Valg[[#Headers],[Tabel ID]])</f>
        <v>2378</v>
      </c>
      <c r="B2388" s="188">
        <f>ROUNDDOWN((LineærRegression_Valg[[#This Row],[Tabel ID]]-1)/$B$5,0)+1</f>
        <v>595</v>
      </c>
      <c r="C2388" s="188">
        <f t="shared" si="37"/>
        <v>2</v>
      </c>
      <c r="D2388" s="188" t="b">
        <f>LineærRegression_Valg[[#This Row],[Afhængig variabel ID]]&lt;&gt;LineærRegression_Valg[[#This Row],[Uafhængig variabel ID]]</f>
        <v>1</v>
      </c>
      <c r="E2388" s="188" t="b">
        <f>LineærRegression_Valg[[#This Row],[Afhængig variabel ID]]&lt;=$B$5</f>
        <v>0</v>
      </c>
      <c r="F2388" t="str" cm="1">
        <f t="array" ref="F2388">IF(LineærRegression_Valg[[#This Row],[Indenfor range]],INDEX(DataTitel_liste,LineærRegression_Valg[[#This Row],[Afhængig variabel ID]]),INDEX(DataTitel_liste,1))</f>
        <v>Eksempel 1 (interval)</v>
      </c>
      <c r="G2388" s="188" t="str" cm="1">
        <f t="array" ref="G2388">IF(LineærRegression_Valg[[#This Row],[Indenfor range]],IF(LineærRegression_Valg[[#This Row],[Intet overlap]],INDEX(DataTitel_liste,LineærRegression_Valg[[#This Row],[Uafhængig variabel ID]]),INDEX(DataTitel_liste,IF(LineærRegression_Valg[[#This Row],[Afhængig variabel ID]]=1,2,1))),$B$7)</f>
        <v>Eksempel 2 (interval)</v>
      </c>
      <c r="H2388" s="188">
        <f>_xlfn.AGGREGATE(2,5,LineærRegression_Valg[[#This Row],[Tabel ID]])</f>
        <v>1</v>
      </c>
    </row>
    <row r="2389" spans="1:8" x14ac:dyDescent="0.2">
      <c r="A2389">
        <f>ROW(LineærRegression_Valg[[#This Row],[Tabel ID]])-ROW(LineærRegression_Valg[[#Headers],[Tabel ID]])</f>
        <v>2379</v>
      </c>
      <c r="B2389" s="188">
        <f>ROUNDDOWN((LineærRegression_Valg[[#This Row],[Tabel ID]]-1)/$B$5,0)+1</f>
        <v>595</v>
      </c>
      <c r="C2389" s="188">
        <f t="shared" si="37"/>
        <v>3</v>
      </c>
      <c r="D2389" s="188" t="b">
        <f>LineærRegression_Valg[[#This Row],[Afhængig variabel ID]]&lt;&gt;LineærRegression_Valg[[#This Row],[Uafhængig variabel ID]]</f>
        <v>1</v>
      </c>
      <c r="E2389" s="188" t="b">
        <f>LineærRegression_Valg[[#This Row],[Afhængig variabel ID]]&lt;=$B$5</f>
        <v>0</v>
      </c>
      <c r="F2389" t="str" cm="1">
        <f t="array" ref="F2389">IF(LineærRegression_Valg[[#This Row],[Indenfor range]],INDEX(DataTitel_liste,LineærRegression_Valg[[#This Row],[Afhængig variabel ID]]),INDEX(DataTitel_liste,1))</f>
        <v>Eksempel 1 (interval)</v>
      </c>
      <c r="G2389" s="188" t="str" cm="1">
        <f t="array" ref="G2389">IF(LineærRegression_Valg[[#This Row],[Indenfor range]],IF(LineærRegression_Valg[[#This Row],[Intet overlap]],INDEX(DataTitel_liste,LineærRegression_Valg[[#This Row],[Uafhængig variabel ID]]),INDEX(DataTitel_liste,IF(LineærRegression_Valg[[#This Row],[Afhængig variabel ID]]=1,2,1))),$B$7)</f>
        <v>Eksempel 2 (interval)</v>
      </c>
      <c r="H2389" s="188">
        <f>_xlfn.AGGREGATE(2,5,LineærRegression_Valg[[#This Row],[Tabel ID]])</f>
        <v>1</v>
      </c>
    </row>
    <row r="2390" spans="1:8" x14ac:dyDescent="0.2">
      <c r="A2390">
        <f>ROW(LineærRegression_Valg[[#This Row],[Tabel ID]])-ROW(LineærRegression_Valg[[#Headers],[Tabel ID]])</f>
        <v>2380</v>
      </c>
      <c r="B2390" s="188">
        <f>ROUNDDOWN((LineærRegression_Valg[[#This Row],[Tabel ID]]-1)/$B$5,0)+1</f>
        <v>595</v>
      </c>
      <c r="C2390" s="188">
        <f t="shared" si="37"/>
        <v>4</v>
      </c>
      <c r="D2390" s="188" t="b">
        <f>LineærRegression_Valg[[#This Row],[Afhængig variabel ID]]&lt;&gt;LineærRegression_Valg[[#This Row],[Uafhængig variabel ID]]</f>
        <v>1</v>
      </c>
      <c r="E2390" s="188" t="b">
        <f>LineærRegression_Valg[[#This Row],[Afhængig variabel ID]]&lt;=$B$5</f>
        <v>0</v>
      </c>
      <c r="F2390" t="str" cm="1">
        <f t="array" ref="F2390">IF(LineærRegression_Valg[[#This Row],[Indenfor range]],INDEX(DataTitel_liste,LineærRegression_Valg[[#This Row],[Afhængig variabel ID]]),INDEX(DataTitel_liste,1))</f>
        <v>Eksempel 1 (interval)</v>
      </c>
      <c r="G2390" s="188" t="str" cm="1">
        <f t="array" ref="G2390">IF(LineærRegression_Valg[[#This Row],[Indenfor range]],IF(LineærRegression_Valg[[#This Row],[Intet overlap]],INDEX(DataTitel_liste,LineærRegression_Valg[[#This Row],[Uafhængig variabel ID]]),INDEX(DataTitel_liste,IF(LineærRegression_Valg[[#This Row],[Afhængig variabel ID]]=1,2,1))),$B$7)</f>
        <v>Eksempel 2 (interval)</v>
      </c>
      <c r="H2390" s="188">
        <f>_xlfn.AGGREGATE(2,5,LineærRegression_Valg[[#This Row],[Tabel ID]])</f>
        <v>1</v>
      </c>
    </row>
    <row r="2391" spans="1:8" x14ac:dyDescent="0.2">
      <c r="A2391">
        <f>ROW(LineærRegression_Valg[[#This Row],[Tabel ID]])-ROW(LineærRegression_Valg[[#Headers],[Tabel ID]])</f>
        <v>2381</v>
      </c>
      <c r="B2391" s="188">
        <f>ROUNDDOWN((LineærRegression_Valg[[#This Row],[Tabel ID]]-1)/$B$5,0)+1</f>
        <v>596</v>
      </c>
      <c r="C2391" s="188">
        <f t="shared" si="37"/>
        <v>1</v>
      </c>
      <c r="D2391" s="188" t="b">
        <f>LineærRegression_Valg[[#This Row],[Afhængig variabel ID]]&lt;&gt;LineærRegression_Valg[[#This Row],[Uafhængig variabel ID]]</f>
        <v>1</v>
      </c>
      <c r="E2391" s="188" t="b">
        <f>LineærRegression_Valg[[#This Row],[Afhængig variabel ID]]&lt;=$B$5</f>
        <v>0</v>
      </c>
      <c r="F2391" t="str" cm="1">
        <f t="array" ref="F2391">IF(LineærRegression_Valg[[#This Row],[Indenfor range]],INDEX(DataTitel_liste,LineærRegression_Valg[[#This Row],[Afhængig variabel ID]]),INDEX(DataTitel_liste,1))</f>
        <v>Eksempel 1 (interval)</v>
      </c>
      <c r="G2391" s="188" t="str" cm="1">
        <f t="array" ref="G2391">IF(LineærRegression_Valg[[#This Row],[Indenfor range]],IF(LineærRegression_Valg[[#This Row],[Intet overlap]],INDEX(DataTitel_liste,LineærRegression_Valg[[#This Row],[Uafhængig variabel ID]]),INDEX(DataTitel_liste,IF(LineærRegression_Valg[[#This Row],[Afhængig variabel ID]]=1,2,1))),$B$7)</f>
        <v>Eksempel 2 (interval)</v>
      </c>
      <c r="H2391" s="188">
        <f>_xlfn.AGGREGATE(2,5,LineærRegression_Valg[[#This Row],[Tabel ID]])</f>
        <v>1</v>
      </c>
    </row>
    <row r="2392" spans="1:8" x14ac:dyDescent="0.2">
      <c r="A2392">
        <f>ROW(LineærRegression_Valg[[#This Row],[Tabel ID]])-ROW(LineærRegression_Valg[[#Headers],[Tabel ID]])</f>
        <v>2382</v>
      </c>
      <c r="B2392" s="188">
        <f>ROUNDDOWN((LineærRegression_Valg[[#This Row],[Tabel ID]]-1)/$B$5,0)+1</f>
        <v>596</v>
      </c>
      <c r="C2392" s="188">
        <f t="shared" si="37"/>
        <v>2</v>
      </c>
      <c r="D2392" s="188" t="b">
        <f>LineærRegression_Valg[[#This Row],[Afhængig variabel ID]]&lt;&gt;LineærRegression_Valg[[#This Row],[Uafhængig variabel ID]]</f>
        <v>1</v>
      </c>
      <c r="E2392" s="188" t="b">
        <f>LineærRegression_Valg[[#This Row],[Afhængig variabel ID]]&lt;=$B$5</f>
        <v>0</v>
      </c>
      <c r="F2392" t="str" cm="1">
        <f t="array" ref="F2392">IF(LineærRegression_Valg[[#This Row],[Indenfor range]],INDEX(DataTitel_liste,LineærRegression_Valg[[#This Row],[Afhængig variabel ID]]),INDEX(DataTitel_liste,1))</f>
        <v>Eksempel 1 (interval)</v>
      </c>
      <c r="G2392" s="188" t="str" cm="1">
        <f t="array" ref="G2392">IF(LineærRegression_Valg[[#This Row],[Indenfor range]],IF(LineærRegression_Valg[[#This Row],[Intet overlap]],INDEX(DataTitel_liste,LineærRegression_Valg[[#This Row],[Uafhængig variabel ID]]),INDEX(DataTitel_liste,IF(LineærRegression_Valg[[#This Row],[Afhængig variabel ID]]=1,2,1))),$B$7)</f>
        <v>Eksempel 2 (interval)</v>
      </c>
      <c r="H2392" s="188">
        <f>_xlfn.AGGREGATE(2,5,LineærRegression_Valg[[#This Row],[Tabel ID]])</f>
        <v>1</v>
      </c>
    </row>
    <row r="2393" spans="1:8" x14ac:dyDescent="0.2">
      <c r="A2393">
        <f>ROW(LineærRegression_Valg[[#This Row],[Tabel ID]])-ROW(LineærRegression_Valg[[#Headers],[Tabel ID]])</f>
        <v>2383</v>
      </c>
      <c r="B2393" s="188">
        <f>ROUNDDOWN((LineærRegression_Valg[[#This Row],[Tabel ID]]-1)/$B$5,0)+1</f>
        <v>596</v>
      </c>
      <c r="C2393" s="188">
        <f t="shared" si="37"/>
        <v>3</v>
      </c>
      <c r="D2393" s="188" t="b">
        <f>LineærRegression_Valg[[#This Row],[Afhængig variabel ID]]&lt;&gt;LineærRegression_Valg[[#This Row],[Uafhængig variabel ID]]</f>
        <v>1</v>
      </c>
      <c r="E2393" s="188" t="b">
        <f>LineærRegression_Valg[[#This Row],[Afhængig variabel ID]]&lt;=$B$5</f>
        <v>0</v>
      </c>
      <c r="F2393" t="str" cm="1">
        <f t="array" ref="F2393">IF(LineærRegression_Valg[[#This Row],[Indenfor range]],INDEX(DataTitel_liste,LineærRegression_Valg[[#This Row],[Afhængig variabel ID]]),INDEX(DataTitel_liste,1))</f>
        <v>Eksempel 1 (interval)</v>
      </c>
      <c r="G2393" s="188" t="str" cm="1">
        <f t="array" ref="G2393">IF(LineærRegression_Valg[[#This Row],[Indenfor range]],IF(LineærRegression_Valg[[#This Row],[Intet overlap]],INDEX(DataTitel_liste,LineærRegression_Valg[[#This Row],[Uafhængig variabel ID]]),INDEX(DataTitel_liste,IF(LineærRegression_Valg[[#This Row],[Afhængig variabel ID]]=1,2,1))),$B$7)</f>
        <v>Eksempel 2 (interval)</v>
      </c>
      <c r="H2393" s="188">
        <f>_xlfn.AGGREGATE(2,5,LineærRegression_Valg[[#This Row],[Tabel ID]])</f>
        <v>1</v>
      </c>
    </row>
    <row r="2394" spans="1:8" x14ac:dyDescent="0.2">
      <c r="A2394">
        <f>ROW(LineærRegression_Valg[[#This Row],[Tabel ID]])-ROW(LineærRegression_Valg[[#Headers],[Tabel ID]])</f>
        <v>2384</v>
      </c>
      <c r="B2394" s="188">
        <f>ROUNDDOWN((LineærRegression_Valg[[#This Row],[Tabel ID]]-1)/$B$5,0)+1</f>
        <v>596</v>
      </c>
      <c r="C2394" s="188">
        <f t="shared" si="37"/>
        <v>4</v>
      </c>
      <c r="D2394" s="188" t="b">
        <f>LineærRegression_Valg[[#This Row],[Afhængig variabel ID]]&lt;&gt;LineærRegression_Valg[[#This Row],[Uafhængig variabel ID]]</f>
        <v>1</v>
      </c>
      <c r="E2394" s="188" t="b">
        <f>LineærRegression_Valg[[#This Row],[Afhængig variabel ID]]&lt;=$B$5</f>
        <v>0</v>
      </c>
      <c r="F2394" t="str" cm="1">
        <f t="array" ref="F2394">IF(LineærRegression_Valg[[#This Row],[Indenfor range]],INDEX(DataTitel_liste,LineærRegression_Valg[[#This Row],[Afhængig variabel ID]]),INDEX(DataTitel_liste,1))</f>
        <v>Eksempel 1 (interval)</v>
      </c>
      <c r="G2394" s="188" t="str" cm="1">
        <f t="array" ref="G2394">IF(LineærRegression_Valg[[#This Row],[Indenfor range]],IF(LineærRegression_Valg[[#This Row],[Intet overlap]],INDEX(DataTitel_liste,LineærRegression_Valg[[#This Row],[Uafhængig variabel ID]]),INDEX(DataTitel_liste,IF(LineærRegression_Valg[[#This Row],[Afhængig variabel ID]]=1,2,1))),$B$7)</f>
        <v>Eksempel 2 (interval)</v>
      </c>
      <c r="H2394" s="188">
        <f>_xlfn.AGGREGATE(2,5,LineærRegression_Valg[[#This Row],[Tabel ID]])</f>
        <v>1</v>
      </c>
    </row>
    <row r="2395" spans="1:8" x14ac:dyDescent="0.2">
      <c r="A2395">
        <f>ROW(LineærRegression_Valg[[#This Row],[Tabel ID]])-ROW(LineærRegression_Valg[[#Headers],[Tabel ID]])</f>
        <v>2385</v>
      </c>
      <c r="B2395" s="188">
        <f>ROUNDDOWN((LineærRegression_Valg[[#This Row],[Tabel ID]]-1)/$B$5,0)+1</f>
        <v>597</v>
      </c>
      <c r="C2395" s="188">
        <f t="shared" si="37"/>
        <v>1</v>
      </c>
      <c r="D2395" s="188" t="b">
        <f>LineærRegression_Valg[[#This Row],[Afhængig variabel ID]]&lt;&gt;LineærRegression_Valg[[#This Row],[Uafhængig variabel ID]]</f>
        <v>1</v>
      </c>
      <c r="E2395" s="188" t="b">
        <f>LineærRegression_Valg[[#This Row],[Afhængig variabel ID]]&lt;=$B$5</f>
        <v>0</v>
      </c>
      <c r="F2395" t="str" cm="1">
        <f t="array" ref="F2395">IF(LineærRegression_Valg[[#This Row],[Indenfor range]],INDEX(DataTitel_liste,LineærRegression_Valg[[#This Row],[Afhængig variabel ID]]),INDEX(DataTitel_liste,1))</f>
        <v>Eksempel 1 (interval)</v>
      </c>
      <c r="G2395" s="188" t="str" cm="1">
        <f t="array" ref="G2395">IF(LineærRegression_Valg[[#This Row],[Indenfor range]],IF(LineærRegression_Valg[[#This Row],[Intet overlap]],INDEX(DataTitel_liste,LineærRegression_Valg[[#This Row],[Uafhængig variabel ID]]),INDEX(DataTitel_liste,IF(LineærRegression_Valg[[#This Row],[Afhængig variabel ID]]=1,2,1))),$B$7)</f>
        <v>Eksempel 2 (interval)</v>
      </c>
      <c r="H2395" s="188">
        <f>_xlfn.AGGREGATE(2,5,LineærRegression_Valg[[#This Row],[Tabel ID]])</f>
        <v>1</v>
      </c>
    </row>
    <row r="2396" spans="1:8" x14ac:dyDescent="0.2">
      <c r="A2396">
        <f>ROW(LineærRegression_Valg[[#This Row],[Tabel ID]])-ROW(LineærRegression_Valg[[#Headers],[Tabel ID]])</f>
        <v>2386</v>
      </c>
      <c r="B2396" s="188">
        <f>ROUNDDOWN((LineærRegression_Valg[[#This Row],[Tabel ID]]-1)/$B$5,0)+1</f>
        <v>597</v>
      </c>
      <c r="C2396" s="188">
        <f t="shared" si="37"/>
        <v>2</v>
      </c>
      <c r="D2396" s="188" t="b">
        <f>LineærRegression_Valg[[#This Row],[Afhængig variabel ID]]&lt;&gt;LineærRegression_Valg[[#This Row],[Uafhængig variabel ID]]</f>
        <v>1</v>
      </c>
      <c r="E2396" s="188" t="b">
        <f>LineærRegression_Valg[[#This Row],[Afhængig variabel ID]]&lt;=$B$5</f>
        <v>0</v>
      </c>
      <c r="F2396" t="str" cm="1">
        <f t="array" ref="F2396">IF(LineærRegression_Valg[[#This Row],[Indenfor range]],INDEX(DataTitel_liste,LineærRegression_Valg[[#This Row],[Afhængig variabel ID]]),INDEX(DataTitel_liste,1))</f>
        <v>Eksempel 1 (interval)</v>
      </c>
      <c r="G2396" s="188" t="str" cm="1">
        <f t="array" ref="G2396">IF(LineærRegression_Valg[[#This Row],[Indenfor range]],IF(LineærRegression_Valg[[#This Row],[Intet overlap]],INDEX(DataTitel_liste,LineærRegression_Valg[[#This Row],[Uafhængig variabel ID]]),INDEX(DataTitel_liste,IF(LineærRegression_Valg[[#This Row],[Afhængig variabel ID]]=1,2,1))),$B$7)</f>
        <v>Eksempel 2 (interval)</v>
      </c>
      <c r="H2396" s="188">
        <f>_xlfn.AGGREGATE(2,5,LineærRegression_Valg[[#This Row],[Tabel ID]])</f>
        <v>1</v>
      </c>
    </row>
    <row r="2397" spans="1:8" x14ac:dyDescent="0.2">
      <c r="A2397">
        <f>ROW(LineærRegression_Valg[[#This Row],[Tabel ID]])-ROW(LineærRegression_Valg[[#Headers],[Tabel ID]])</f>
        <v>2387</v>
      </c>
      <c r="B2397" s="188">
        <f>ROUNDDOWN((LineærRegression_Valg[[#This Row],[Tabel ID]]-1)/$B$5,0)+1</f>
        <v>597</v>
      </c>
      <c r="C2397" s="188">
        <f t="shared" si="37"/>
        <v>3</v>
      </c>
      <c r="D2397" s="188" t="b">
        <f>LineærRegression_Valg[[#This Row],[Afhængig variabel ID]]&lt;&gt;LineærRegression_Valg[[#This Row],[Uafhængig variabel ID]]</f>
        <v>1</v>
      </c>
      <c r="E2397" s="188" t="b">
        <f>LineærRegression_Valg[[#This Row],[Afhængig variabel ID]]&lt;=$B$5</f>
        <v>0</v>
      </c>
      <c r="F2397" t="str" cm="1">
        <f t="array" ref="F2397">IF(LineærRegression_Valg[[#This Row],[Indenfor range]],INDEX(DataTitel_liste,LineærRegression_Valg[[#This Row],[Afhængig variabel ID]]),INDEX(DataTitel_liste,1))</f>
        <v>Eksempel 1 (interval)</v>
      </c>
      <c r="G2397" s="188" t="str" cm="1">
        <f t="array" ref="G2397">IF(LineærRegression_Valg[[#This Row],[Indenfor range]],IF(LineærRegression_Valg[[#This Row],[Intet overlap]],INDEX(DataTitel_liste,LineærRegression_Valg[[#This Row],[Uafhængig variabel ID]]),INDEX(DataTitel_liste,IF(LineærRegression_Valg[[#This Row],[Afhængig variabel ID]]=1,2,1))),$B$7)</f>
        <v>Eksempel 2 (interval)</v>
      </c>
      <c r="H2397" s="188">
        <f>_xlfn.AGGREGATE(2,5,LineærRegression_Valg[[#This Row],[Tabel ID]])</f>
        <v>1</v>
      </c>
    </row>
    <row r="2398" spans="1:8" x14ac:dyDescent="0.2">
      <c r="A2398">
        <f>ROW(LineærRegression_Valg[[#This Row],[Tabel ID]])-ROW(LineærRegression_Valg[[#Headers],[Tabel ID]])</f>
        <v>2388</v>
      </c>
      <c r="B2398" s="188">
        <f>ROUNDDOWN((LineærRegression_Valg[[#This Row],[Tabel ID]]-1)/$B$5,0)+1</f>
        <v>597</v>
      </c>
      <c r="C2398" s="188">
        <f t="shared" si="37"/>
        <v>4</v>
      </c>
      <c r="D2398" s="188" t="b">
        <f>LineærRegression_Valg[[#This Row],[Afhængig variabel ID]]&lt;&gt;LineærRegression_Valg[[#This Row],[Uafhængig variabel ID]]</f>
        <v>1</v>
      </c>
      <c r="E2398" s="188" t="b">
        <f>LineærRegression_Valg[[#This Row],[Afhængig variabel ID]]&lt;=$B$5</f>
        <v>0</v>
      </c>
      <c r="F2398" t="str" cm="1">
        <f t="array" ref="F2398">IF(LineærRegression_Valg[[#This Row],[Indenfor range]],INDEX(DataTitel_liste,LineærRegression_Valg[[#This Row],[Afhængig variabel ID]]),INDEX(DataTitel_liste,1))</f>
        <v>Eksempel 1 (interval)</v>
      </c>
      <c r="G2398" s="188" t="str" cm="1">
        <f t="array" ref="G2398">IF(LineærRegression_Valg[[#This Row],[Indenfor range]],IF(LineærRegression_Valg[[#This Row],[Intet overlap]],INDEX(DataTitel_liste,LineærRegression_Valg[[#This Row],[Uafhængig variabel ID]]),INDEX(DataTitel_liste,IF(LineærRegression_Valg[[#This Row],[Afhængig variabel ID]]=1,2,1))),$B$7)</f>
        <v>Eksempel 2 (interval)</v>
      </c>
      <c r="H2398" s="188">
        <f>_xlfn.AGGREGATE(2,5,LineærRegression_Valg[[#This Row],[Tabel ID]])</f>
        <v>1</v>
      </c>
    </row>
    <row r="2399" spans="1:8" x14ac:dyDescent="0.2">
      <c r="A2399">
        <f>ROW(LineærRegression_Valg[[#This Row],[Tabel ID]])-ROW(LineærRegression_Valg[[#Headers],[Tabel ID]])</f>
        <v>2389</v>
      </c>
      <c r="B2399" s="188">
        <f>ROUNDDOWN((LineærRegression_Valg[[#This Row],[Tabel ID]]-1)/$B$5,0)+1</f>
        <v>598</v>
      </c>
      <c r="C2399" s="188">
        <f t="shared" si="37"/>
        <v>1</v>
      </c>
      <c r="D2399" s="188" t="b">
        <f>LineærRegression_Valg[[#This Row],[Afhængig variabel ID]]&lt;&gt;LineærRegression_Valg[[#This Row],[Uafhængig variabel ID]]</f>
        <v>1</v>
      </c>
      <c r="E2399" s="188" t="b">
        <f>LineærRegression_Valg[[#This Row],[Afhængig variabel ID]]&lt;=$B$5</f>
        <v>0</v>
      </c>
      <c r="F2399" t="str" cm="1">
        <f t="array" ref="F2399">IF(LineærRegression_Valg[[#This Row],[Indenfor range]],INDEX(DataTitel_liste,LineærRegression_Valg[[#This Row],[Afhængig variabel ID]]),INDEX(DataTitel_liste,1))</f>
        <v>Eksempel 1 (interval)</v>
      </c>
      <c r="G2399" s="188" t="str" cm="1">
        <f t="array" ref="G2399">IF(LineærRegression_Valg[[#This Row],[Indenfor range]],IF(LineærRegression_Valg[[#This Row],[Intet overlap]],INDEX(DataTitel_liste,LineærRegression_Valg[[#This Row],[Uafhængig variabel ID]]),INDEX(DataTitel_liste,IF(LineærRegression_Valg[[#This Row],[Afhængig variabel ID]]=1,2,1))),$B$7)</f>
        <v>Eksempel 2 (interval)</v>
      </c>
      <c r="H2399" s="188">
        <f>_xlfn.AGGREGATE(2,5,LineærRegression_Valg[[#This Row],[Tabel ID]])</f>
        <v>1</v>
      </c>
    </row>
    <row r="2400" spans="1:8" x14ac:dyDescent="0.2">
      <c r="A2400">
        <f>ROW(LineærRegression_Valg[[#This Row],[Tabel ID]])-ROW(LineærRegression_Valg[[#Headers],[Tabel ID]])</f>
        <v>2390</v>
      </c>
      <c r="B2400" s="188">
        <f>ROUNDDOWN((LineærRegression_Valg[[#This Row],[Tabel ID]]-1)/$B$5,0)+1</f>
        <v>598</v>
      </c>
      <c r="C2400" s="188">
        <f t="shared" si="37"/>
        <v>2</v>
      </c>
      <c r="D2400" s="188" t="b">
        <f>LineærRegression_Valg[[#This Row],[Afhængig variabel ID]]&lt;&gt;LineærRegression_Valg[[#This Row],[Uafhængig variabel ID]]</f>
        <v>1</v>
      </c>
      <c r="E2400" s="188" t="b">
        <f>LineærRegression_Valg[[#This Row],[Afhængig variabel ID]]&lt;=$B$5</f>
        <v>0</v>
      </c>
      <c r="F2400" t="str" cm="1">
        <f t="array" ref="F2400">IF(LineærRegression_Valg[[#This Row],[Indenfor range]],INDEX(DataTitel_liste,LineærRegression_Valg[[#This Row],[Afhængig variabel ID]]),INDEX(DataTitel_liste,1))</f>
        <v>Eksempel 1 (interval)</v>
      </c>
      <c r="G2400" s="188" t="str" cm="1">
        <f t="array" ref="G2400">IF(LineærRegression_Valg[[#This Row],[Indenfor range]],IF(LineærRegression_Valg[[#This Row],[Intet overlap]],INDEX(DataTitel_liste,LineærRegression_Valg[[#This Row],[Uafhængig variabel ID]]),INDEX(DataTitel_liste,IF(LineærRegression_Valg[[#This Row],[Afhængig variabel ID]]=1,2,1))),$B$7)</f>
        <v>Eksempel 2 (interval)</v>
      </c>
      <c r="H2400" s="188">
        <f>_xlfn.AGGREGATE(2,5,LineærRegression_Valg[[#This Row],[Tabel ID]])</f>
        <v>1</v>
      </c>
    </row>
    <row r="2401" spans="1:8" x14ac:dyDescent="0.2">
      <c r="A2401">
        <f>ROW(LineærRegression_Valg[[#This Row],[Tabel ID]])-ROW(LineærRegression_Valg[[#Headers],[Tabel ID]])</f>
        <v>2391</v>
      </c>
      <c r="B2401" s="188">
        <f>ROUNDDOWN((LineærRegression_Valg[[#This Row],[Tabel ID]]-1)/$B$5,0)+1</f>
        <v>598</v>
      </c>
      <c r="C2401" s="188">
        <f t="shared" si="37"/>
        <v>3</v>
      </c>
      <c r="D2401" s="188" t="b">
        <f>LineærRegression_Valg[[#This Row],[Afhængig variabel ID]]&lt;&gt;LineærRegression_Valg[[#This Row],[Uafhængig variabel ID]]</f>
        <v>1</v>
      </c>
      <c r="E2401" s="188" t="b">
        <f>LineærRegression_Valg[[#This Row],[Afhængig variabel ID]]&lt;=$B$5</f>
        <v>0</v>
      </c>
      <c r="F2401" t="str" cm="1">
        <f t="array" ref="F2401">IF(LineærRegression_Valg[[#This Row],[Indenfor range]],INDEX(DataTitel_liste,LineærRegression_Valg[[#This Row],[Afhængig variabel ID]]),INDEX(DataTitel_liste,1))</f>
        <v>Eksempel 1 (interval)</v>
      </c>
      <c r="G2401" s="188" t="str" cm="1">
        <f t="array" ref="G2401">IF(LineærRegression_Valg[[#This Row],[Indenfor range]],IF(LineærRegression_Valg[[#This Row],[Intet overlap]],INDEX(DataTitel_liste,LineærRegression_Valg[[#This Row],[Uafhængig variabel ID]]),INDEX(DataTitel_liste,IF(LineærRegression_Valg[[#This Row],[Afhængig variabel ID]]=1,2,1))),$B$7)</f>
        <v>Eksempel 2 (interval)</v>
      </c>
      <c r="H2401" s="188">
        <f>_xlfn.AGGREGATE(2,5,LineærRegression_Valg[[#This Row],[Tabel ID]])</f>
        <v>1</v>
      </c>
    </row>
    <row r="2402" spans="1:8" x14ac:dyDescent="0.2">
      <c r="A2402">
        <f>ROW(LineærRegression_Valg[[#This Row],[Tabel ID]])-ROW(LineærRegression_Valg[[#Headers],[Tabel ID]])</f>
        <v>2392</v>
      </c>
      <c r="B2402" s="188">
        <f>ROUNDDOWN((LineærRegression_Valg[[#This Row],[Tabel ID]]-1)/$B$5,0)+1</f>
        <v>598</v>
      </c>
      <c r="C2402" s="188">
        <f t="shared" si="37"/>
        <v>4</v>
      </c>
      <c r="D2402" s="188" t="b">
        <f>LineærRegression_Valg[[#This Row],[Afhængig variabel ID]]&lt;&gt;LineærRegression_Valg[[#This Row],[Uafhængig variabel ID]]</f>
        <v>1</v>
      </c>
      <c r="E2402" s="188" t="b">
        <f>LineærRegression_Valg[[#This Row],[Afhængig variabel ID]]&lt;=$B$5</f>
        <v>0</v>
      </c>
      <c r="F2402" t="str" cm="1">
        <f t="array" ref="F2402">IF(LineærRegression_Valg[[#This Row],[Indenfor range]],INDEX(DataTitel_liste,LineærRegression_Valg[[#This Row],[Afhængig variabel ID]]),INDEX(DataTitel_liste,1))</f>
        <v>Eksempel 1 (interval)</v>
      </c>
      <c r="G2402" s="188" t="str" cm="1">
        <f t="array" ref="G2402">IF(LineærRegression_Valg[[#This Row],[Indenfor range]],IF(LineærRegression_Valg[[#This Row],[Intet overlap]],INDEX(DataTitel_liste,LineærRegression_Valg[[#This Row],[Uafhængig variabel ID]]),INDEX(DataTitel_liste,IF(LineærRegression_Valg[[#This Row],[Afhængig variabel ID]]=1,2,1))),$B$7)</f>
        <v>Eksempel 2 (interval)</v>
      </c>
      <c r="H2402" s="188">
        <f>_xlfn.AGGREGATE(2,5,LineærRegression_Valg[[#This Row],[Tabel ID]])</f>
        <v>1</v>
      </c>
    </row>
    <row r="2403" spans="1:8" x14ac:dyDescent="0.2">
      <c r="A2403">
        <f>ROW(LineærRegression_Valg[[#This Row],[Tabel ID]])-ROW(LineærRegression_Valg[[#Headers],[Tabel ID]])</f>
        <v>2393</v>
      </c>
      <c r="B2403" s="188">
        <f>ROUNDDOWN((LineærRegression_Valg[[#This Row],[Tabel ID]]-1)/$B$5,0)+1</f>
        <v>599</v>
      </c>
      <c r="C2403" s="188">
        <f t="shared" si="37"/>
        <v>1</v>
      </c>
      <c r="D2403" s="188" t="b">
        <f>LineærRegression_Valg[[#This Row],[Afhængig variabel ID]]&lt;&gt;LineærRegression_Valg[[#This Row],[Uafhængig variabel ID]]</f>
        <v>1</v>
      </c>
      <c r="E2403" s="188" t="b">
        <f>LineærRegression_Valg[[#This Row],[Afhængig variabel ID]]&lt;=$B$5</f>
        <v>0</v>
      </c>
      <c r="F2403" t="str" cm="1">
        <f t="array" ref="F2403">IF(LineærRegression_Valg[[#This Row],[Indenfor range]],INDEX(DataTitel_liste,LineærRegression_Valg[[#This Row],[Afhængig variabel ID]]),INDEX(DataTitel_liste,1))</f>
        <v>Eksempel 1 (interval)</v>
      </c>
      <c r="G2403" s="188" t="str" cm="1">
        <f t="array" ref="G2403">IF(LineærRegression_Valg[[#This Row],[Indenfor range]],IF(LineærRegression_Valg[[#This Row],[Intet overlap]],INDEX(DataTitel_liste,LineærRegression_Valg[[#This Row],[Uafhængig variabel ID]]),INDEX(DataTitel_liste,IF(LineærRegression_Valg[[#This Row],[Afhængig variabel ID]]=1,2,1))),$B$7)</f>
        <v>Eksempel 2 (interval)</v>
      </c>
      <c r="H2403" s="188">
        <f>_xlfn.AGGREGATE(2,5,LineærRegression_Valg[[#This Row],[Tabel ID]])</f>
        <v>1</v>
      </c>
    </row>
    <row r="2404" spans="1:8" x14ac:dyDescent="0.2">
      <c r="A2404">
        <f>ROW(LineærRegression_Valg[[#This Row],[Tabel ID]])-ROW(LineærRegression_Valg[[#Headers],[Tabel ID]])</f>
        <v>2394</v>
      </c>
      <c r="B2404" s="188">
        <f>ROUNDDOWN((LineærRegression_Valg[[#This Row],[Tabel ID]]-1)/$B$5,0)+1</f>
        <v>599</v>
      </c>
      <c r="C2404" s="188">
        <f t="shared" si="37"/>
        <v>2</v>
      </c>
      <c r="D2404" s="188" t="b">
        <f>LineærRegression_Valg[[#This Row],[Afhængig variabel ID]]&lt;&gt;LineærRegression_Valg[[#This Row],[Uafhængig variabel ID]]</f>
        <v>1</v>
      </c>
      <c r="E2404" s="188" t="b">
        <f>LineærRegression_Valg[[#This Row],[Afhængig variabel ID]]&lt;=$B$5</f>
        <v>0</v>
      </c>
      <c r="F2404" t="str" cm="1">
        <f t="array" ref="F2404">IF(LineærRegression_Valg[[#This Row],[Indenfor range]],INDEX(DataTitel_liste,LineærRegression_Valg[[#This Row],[Afhængig variabel ID]]),INDEX(DataTitel_liste,1))</f>
        <v>Eksempel 1 (interval)</v>
      </c>
      <c r="G2404" s="188" t="str" cm="1">
        <f t="array" ref="G2404">IF(LineærRegression_Valg[[#This Row],[Indenfor range]],IF(LineærRegression_Valg[[#This Row],[Intet overlap]],INDEX(DataTitel_liste,LineærRegression_Valg[[#This Row],[Uafhængig variabel ID]]),INDEX(DataTitel_liste,IF(LineærRegression_Valg[[#This Row],[Afhængig variabel ID]]=1,2,1))),$B$7)</f>
        <v>Eksempel 2 (interval)</v>
      </c>
      <c r="H2404" s="188">
        <f>_xlfn.AGGREGATE(2,5,LineærRegression_Valg[[#This Row],[Tabel ID]])</f>
        <v>1</v>
      </c>
    </row>
    <row r="2405" spans="1:8" x14ac:dyDescent="0.2">
      <c r="A2405">
        <f>ROW(LineærRegression_Valg[[#This Row],[Tabel ID]])-ROW(LineærRegression_Valg[[#Headers],[Tabel ID]])</f>
        <v>2395</v>
      </c>
      <c r="B2405" s="188">
        <f>ROUNDDOWN((LineærRegression_Valg[[#This Row],[Tabel ID]]-1)/$B$5,0)+1</f>
        <v>599</v>
      </c>
      <c r="C2405" s="188">
        <f t="shared" si="37"/>
        <v>3</v>
      </c>
      <c r="D2405" s="188" t="b">
        <f>LineærRegression_Valg[[#This Row],[Afhængig variabel ID]]&lt;&gt;LineærRegression_Valg[[#This Row],[Uafhængig variabel ID]]</f>
        <v>1</v>
      </c>
      <c r="E2405" s="188" t="b">
        <f>LineærRegression_Valg[[#This Row],[Afhængig variabel ID]]&lt;=$B$5</f>
        <v>0</v>
      </c>
      <c r="F2405" t="str" cm="1">
        <f t="array" ref="F2405">IF(LineærRegression_Valg[[#This Row],[Indenfor range]],INDEX(DataTitel_liste,LineærRegression_Valg[[#This Row],[Afhængig variabel ID]]),INDEX(DataTitel_liste,1))</f>
        <v>Eksempel 1 (interval)</v>
      </c>
      <c r="G2405" s="188" t="str" cm="1">
        <f t="array" ref="G2405">IF(LineærRegression_Valg[[#This Row],[Indenfor range]],IF(LineærRegression_Valg[[#This Row],[Intet overlap]],INDEX(DataTitel_liste,LineærRegression_Valg[[#This Row],[Uafhængig variabel ID]]),INDEX(DataTitel_liste,IF(LineærRegression_Valg[[#This Row],[Afhængig variabel ID]]=1,2,1))),$B$7)</f>
        <v>Eksempel 2 (interval)</v>
      </c>
      <c r="H2405" s="188">
        <f>_xlfn.AGGREGATE(2,5,LineærRegression_Valg[[#This Row],[Tabel ID]])</f>
        <v>1</v>
      </c>
    </row>
    <row r="2406" spans="1:8" x14ac:dyDescent="0.2">
      <c r="A2406">
        <f>ROW(LineærRegression_Valg[[#This Row],[Tabel ID]])-ROW(LineærRegression_Valg[[#Headers],[Tabel ID]])</f>
        <v>2396</v>
      </c>
      <c r="B2406" s="188">
        <f>ROUNDDOWN((LineærRegression_Valg[[#This Row],[Tabel ID]]-1)/$B$5,0)+1</f>
        <v>599</v>
      </c>
      <c r="C2406" s="188">
        <f t="shared" si="37"/>
        <v>4</v>
      </c>
      <c r="D2406" s="188" t="b">
        <f>LineærRegression_Valg[[#This Row],[Afhængig variabel ID]]&lt;&gt;LineærRegression_Valg[[#This Row],[Uafhængig variabel ID]]</f>
        <v>1</v>
      </c>
      <c r="E2406" s="188" t="b">
        <f>LineærRegression_Valg[[#This Row],[Afhængig variabel ID]]&lt;=$B$5</f>
        <v>0</v>
      </c>
      <c r="F2406" t="str" cm="1">
        <f t="array" ref="F2406">IF(LineærRegression_Valg[[#This Row],[Indenfor range]],INDEX(DataTitel_liste,LineærRegression_Valg[[#This Row],[Afhængig variabel ID]]),INDEX(DataTitel_liste,1))</f>
        <v>Eksempel 1 (interval)</v>
      </c>
      <c r="G2406" s="188" t="str" cm="1">
        <f t="array" ref="G2406">IF(LineærRegression_Valg[[#This Row],[Indenfor range]],IF(LineærRegression_Valg[[#This Row],[Intet overlap]],INDEX(DataTitel_liste,LineærRegression_Valg[[#This Row],[Uafhængig variabel ID]]),INDEX(DataTitel_liste,IF(LineærRegression_Valg[[#This Row],[Afhængig variabel ID]]=1,2,1))),$B$7)</f>
        <v>Eksempel 2 (interval)</v>
      </c>
      <c r="H2406" s="188">
        <f>_xlfn.AGGREGATE(2,5,LineærRegression_Valg[[#This Row],[Tabel ID]])</f>
        <v>1</v>
      </c>
    </row>
    <row r="2407" spans="1:8" x14ac:dyDescent="0.2">
      <c r="A2407">
        <f>ROW(LineærRegression_Valg[[#This Row],[Tabel ID]])-ROW(LineærRegression_Valg[[#Headers],[Tabel ID]])</f>
        <v>2397</v>
      </c>
      <c r="B2407" s="188">
        <f>ROUNDDOWN((LineærRegression_Valg[[#This Row],[Tabel ID]]-1)/$B$5,0)+1</f>
        <v>600</v>
      </c>
      <c r="C2407" s="188">
        <f t="shared" si="37"/>
        <v>1</v>
      </c>
      <c r="D2407" s="188" t="b">
        <f>LineærRegression_Valg[[#This Row],[Afhængig variabel ID]]&lt;&gt;LineærRegression_Valg[[#This Row],[Uafhængig variabel ID]]</f>
        <v>1</v>
      </c>
      <c r="E2407" s="188" t="b">
        <f>LineærRegression_Valg[[#This Row],[Afhængig variabel ID]]&lt;=$B$5</f>
        <v>0</v>
      </c>
      <c r="F2407" t="str" cm="1">
        <f t="array" ref="F2407">IF(LineærRegression_Valg[[#This Row],[Indenfor range]],INDEX(DataTitel_liste,LineærRegression_Valg[[#This Row],[Afhængig variabel ID]]),INDEX(DataTitel_liste,1))</f>
        <v>Eksempel 1 (interval)</v>
      </c>
      <c r="G2407" s="188" t="str" cm="1">
        <f t="array" ref="G2407">IF(LineærRegression_Valg[[#This Row],[Indenfor range]],IF(LineærRegression_Valg[[#This Row],[Intet overlap]],INDEX(DataTitel_liste,LineærRegression_Valg[[#This Row],[Uafhængig variabel ID]]),INDEX(DataTitel_liste,IF(LineærRegression_Valg[[#This Row],[Afhængig variabel ID]]=1,2,1))),$B$7)</f>
        <v>Eksempel 2 (interval)</v>
      </c>
      <c r="H2407" s="188">
        <f>_xlfn.AGGREGATE(2,5,LineærRegression_Valg[[#This Row],[Tabel ID]])</f>
        <v>1</v>
      </c>
    </row>
    <row r="2408" spans="1:8" x14ac:dyDescent="0.2">
      <c r="A2408">
        <f>ROW(LineærRegression_Valg[[#This Row],[Tabel ID]])-ROW(LineærRegression_Valg[[#Headers],[Tabel ID]])</f>
        <v>2398</v>
      </c>
      <c r="B2408" s="188">
        <f>ROUNDDOWN((LineærRegression_Valg[[#This Row],[Tabel ID]]-1)/$B$5,0)+1</f>
        <v>600</v>
      </c>
      <c r="C2408" s="188">
        <f t="shared" si="37"/>
        <v>2</v>
      </c>
      <c r="D2408" s="188" t="b">
        <f>LineærRegression_Valg[[#This Row],[Afhængig variabel ID]]&lt;&gt;LineærRegression_Valg[[#This Row],[Uafhængig variabel ID]]</f>
        <v>1</v>
      </c>
      <c r="E2408" s="188" t="b">
        <f>LineærRegression_Valg[[#This Row],[Afhængig variabel ID]]&lt;=$B$5</f>
        <v>0</v>
      </c>
      <c r="F2408" t="str" cm="1">
        <f t="array" ref="F2408">IF(LineærRegression_Valg[[#This Row],[Indenfor range]],INDEX(DataTitel_liste,LineærRegression_Valg[[#This Row],[Afhængig variabel ID]]),INDEX(DataTitel_liste,1))</f>
        <v>Eksempel 1 (interval)</v>
      </c>
      <c r="G2408" s="188" t="str" cm="1">
        <f t="array" ref="G2408">IF(LineærRegression_Valg[[#This Row],[Indenfor range]],IF(LineærRegression_Valg[[#This Row],[Intet overlap]],INDEX(DataTitel_liste,LineærRegression_Valg[[#This Row],[Uafhængig variabel ID]]),INDEX(DataTitel_liste,IF(LineærRegression_Valg[[#This Row],[Afhængig variabel ID]]=1,2,1))),$B$7)</f>
        <v>Eksempel 2 (interval)</v>
      </c>
      <c r="H2408" s="188">
        <f>_xlfn.AGGREGATE(2,5,LineærRegression_Valg[[#This Row],[Tabel ID]])</f>
        <v>1</v>
      </c>
    </row>
    <row r="2409" spans="1:8" x14ac:dyDescent="0.2">
      <c r="A2409">
        <f>ROW(LineærRegression_Valg[[#This Row],[Tabel ID]])-ROW(LineærRegression_Valg[[#Headers],[Tabel ID]])</f>
        <v>2399</v>
      </c>
      <c r="B2409" s="188">
        <f>ROUNDDOWN((LineærRegression_Valg[[#This Row],[Tabel ID]]-1)/$B$5,0)+1</f>
        <v>600</v>
      </c>
      <c r="C2409" s="188">
        <f t="shared" si="37"/>
        <v>3</v>
      </c>
      <c r="D2409" s="188" t="b">
        <f>LineærRegression_Valg[[#This Row],[Afhængig variabel ID]]&lt;&gt;LineærRegression_Valg[[#This Row],[Uafhængig variabel ID]]</f>
        <v>1</v>
      </c>
      <c r="E2409" s="188" t="b">
        <f>LineærRegression_Valg[[#This Row],[Afhængig variabel ID]]&lt;=$B$5</f>
        <v>0</v>
      </c>
      <c r="F2409" t="str" cm="1">
        <f t="array" ref="F2409">IF(LineærRegression_Valg[[#This Row],[Indenfor range]],INDEX(DataTitel_liste,LineærRegression_Valg[[#This Row],[Afhængig variabel ID]]),INDEX(DataTitel_liste,1))</f>
        <v>Eksempel 1 (interval)</v>
      </c>
      <c r="G2409" s="188" t="str" cm="1">
        <f t="array" ref="G2409">IF(LineærRegression_Valg[[#This Row],[Indenfor range]],IF(LineærRegression_Valg[[#This Row],[Intet overlap]],INDEX(DataTitel_liste,LineærRegression_Valg[[#This Row],[Uafhængig variabel ID]]),INDEX(DataTitel_liste,IF(LineærRegression_Valg[[#This Row],[Afhængig variabel ID]]=1,2,1))),$B$7)</f>
        <v>Eksempel 2 (interval)</v>
      </c>
      <c r="H2409" s="188">
        <f>_xlfn.AGGREGATE(2,5,LineærRegression_Valg[[#This Row],[Tabel ID]])</f>
        <v>1</v>
      </c>
    </row>
    <row r="2410" spans="1:8" x14ac:dyDescent="0.2">
      <c r="A2410">
        <f>ROW(LineærRegression_Valg[[#This Row],[Tabel ID]])-ROW(LineærRegression_Valg[[#Headers],[Tabel ID]])</f>
        <v>2400</v>
      </c>
      <c r="B2410" s="188">
        <f>ROUNDDOWN((LineærRegression_Valg[[#This Row],[Tabel ID]]-1)/$B$5,0)+1</f>
        <v>600</v>
      </c>
      <c r="C2410" s="188">
        <f t="shared" si="37"/>
        <v>4</v>
      </c>
      <c r="D2410" s="188" t="b">
        <f>LineærRegression_Valg[[#This Row],[Afhængig variabel ID]]&lt;&gt;LineærRegression_Valg[[#This Row],[Uafhængig variabel ID]]</f>
        <v>1</v>
      </c>
      <c r="E2410" s="188" t="b">
        <f>LineærRegression_Valg[[#This Row],[Afhængig variabel ID]]&lt;=$B$5</f>
        <v>0</v>
      </c>
      <c r="F2410" t="str" cm="1">
        <f t="array" ref="F2410">IF(LineærRegression_Valg[[#This Row],[Indenfor range]],INDEX(DataTitel_liste,LineærRegression_Valg[[#This Row],[Afhængig variabel ID]]),INDEX(DataTitel_liste,1))</f>
        <v>Eksempel 1 (interval)</v>
      </c>
      <c r="G2410" s="188" t="str" cm="1">
        <f t="array" ref="G2410">IF(LineærRegression_Valg[[#This Row],[Indenfor range]],IF(LineærRegression_Valg[[#This Row],[Intet overlap]],INDEX(DataTitel_liste,LineærRegression_Valg[[#This Row],[Uafhængig variabel ID]]),INDEX(DataTitel_liste,IF(LineærRegression_Valg[[#This Row],[Afhængig variabel ID]]=1,2,1))),$B$7)</f>
        <v>Eksempel 2 (interval)</v>
      </c>
      <c r="H2410" s="188">
        <f>_xlfn.AGGREGATE(2,5,LineærRegression_Valg[[#This Row],[Tabel ID]])</f>
        <v>1</v>
      </c>
    </row>
    <row r="2411" spans="1:8" x14ac:dyDescent="0.2">
      <c r="A2411">
        <f>ROW(LineærRegression_Valg[[#This Row],[Tabel ID]])-ROW(LineærRegression_Valg[[#Headers],[Tabel ID]])</f>
        <v>2401</v>
      </c>
      <c r="B2411" s="188">
        <f>ROUNDDOWN((LineærRegression_Valg[[#This Row],[Tabel ID]]-1)/$B$5,0)+1</f>
        <v>601</v>
      </c>
      <c r="C2411" s="188">
        <f t="shared" si="37"/>
        <v>1</v>
      </c>
      <c r="D2411" s="188" t="b">
        <f>LineærRegression_Valg[[#This Row],[Afhængig variabel ID]]&lt;&gt;LineærRegression_Valg[[#This Row],[Uafhængig variabel ID]]</f>
        <v>1</v>
      </c>
      <c r="E2411" s="188" t="b">
        <f>LineærRegression_Valg[[#This Row],[Afhængig variabel ID]]&lt;=$B$5</f>
        <v>0</v>
      </c>
      <c r="F2411" t="str" cm="1">
        <f t="array" ref="F2411">IF(LineærRegression_Valg[[#This Row],[Indenfor range]],INDEX(DataTitel_liste,LineærRegression_Valg[[#This Row],[Afhængig variabel ID]]),INDEX(DataTitel_liste,1))</f>
        <v>Eksempel 1 (interval)</v>
      </c>
      <c r="G2411" s="188" t="str" cm="1">
        <f t="array" ref="G2411">IF(LineærRegression_Valg[[#This Row],[Indenfor range]],IF(LineærRegression_Valg[[#This Row],[Intet overlap]],INDEX(DataTitel_liste,LineærRegression_Valg[[#This Row],[Uafhængig variabel ID]]),INDEX(DataTitel_liste,IF(LineærRegression_Valg[[#This Row],[Afhængig variabel ID]]=1,2,1))),$B$7)</f>
        <v>Eksempel 2 (interval)</v>
      </c>
      <c r="H2411" s="188">
        <f>_xlfn.AGGREGATE(2,5,LineærRegression_Valg[[#This Row],[Tabel ID]])</f>
        <v>1</v>
      </c>
    </row>
    <row r="2412" spans="1:8" x14ac:dyDescent="0.2">
      <c r="A2412">
        <f>ROW(LineærRegression_Valg[[#This Row],[Tabel ID]])-ROW(LineærRegression_Valg[[#Headers],[Tabel ID]])</f>
        <v>2402</v>
      </c>
      <c r="B2412" s="188">
        <f>ROUNDDOWN((LineærRegression_Valg[[#This Row],[Tabel ID]]-1)/$B$5,0)+1</f>
        <v>601</v>
      </c>
      <c r="C2412" s="188">
        <f t="shared" si="37"/>
        <v>2</v>
      </c>
      <c r="D2412" s="188" t="b">
        <f>LineærRegression_Valg[[#This Row],[Afhængig variabel ID]]&lt;&gt;LineærRegression_Valg[[#This Row],[Uafhængig variabel ID]]</f>
        <v>1</v>
      </c>
      <c r="E2412" s="188" t="b">
        <f>LineærRegression_Valg[[#This Row],[Afhængig variabel ID]]&lt;=$B$5</f>
        <v>0</v>
      </c>
      <c r="F2412" t="str" cm="1">
        <f t="array" ref="F2412">IF(LineærRegression_Valg[[#This Row],[Indenfor range]],INDEX(DataTitel_liste,LineærRegression_Valg[[#This Row],[Afhængig variabel ID]]),INDEX(DataTitel_liste,1))</f>
        <v>Eksempel 1 (interval)</v>
      </c>
      <c r="G2412" s="188" t="str" cm="1">
        <f t="array" ref="G2412">IF(LineærRegression_Valg[[#This Row],[Indenfor range]],IF(LineærRegression_Valg[[#This Row],[Intet overlap]],INDEX(DataTitel_liste,LineærRegression_Valg[[#This Row],[Uafhængig variabel ID]]),INDEX(DataTitel_liste,IF(LineærRegression_Valg[[#This Row],[Afhængig variabel ID]]=1,2,1))),$B$7)</f>
        <v>Eksempel 2 (interval)</v>
      </c>
      <c r="H2412" s="188">
        <f>_xlfn.AGGREGATE(2,5,LineærRegression_Valg[[#This Row],[Tabel ID]])</f>
        <v>1</v>
      </c>
    </row>
    <row r="2413" spans="1:8" x14ac:dyDescent="0.2">
      <c r="A2413">
        <f>ROW(LineærRegression_Valg[[#This Row],[Tabel ID]])-ROW(LineærRegression_Valg[[#Headers],[Tabel ID]])</f>
        <v>2403</v>
      </c>
      <c r="B2413" s="188">
        <f>ROUNDDOWN((LineærRegression_Valg[[#This Row],[Tabel ID]]-1)/$B$5,0)+1</f>
        <v>601</v>
      </c>
      <c r="C2413" s="188">
        <f t="shared" si="37"/>
        <v>3</v>
      </c>
      <c r="D2413" s="188" t="b">
        <f>LineærRegression_Valg[[#This Row],[Afhængig variabel ID]]&lt;&gt;LineærRegression_Valg[[#This Row],[Uafhængig variabel ID]]</f>
        <v>1</v>
      </c>
      <c r="E2413" s="188" t="b">
        <f>LineærRegression_Valg[[#This Row],[Afhængig variabel ID]]&lt;=$B$5</f>
        <v>0</v>
      </c>
      <c r="F2413" t="str" cm="1">
        <f t="array" ref="F2413">IF(LineærRegression_Valg[[#This Row],[Indenfor range]],INDEX(DataTitel_liste,LineærRegression_Valg[[#This Row],[Afhængig variabel ID]]),INDEX(DataTitel_liste,1))</f>
        <v>Eksempel 1 (interval)</v>
      </c>
      <c r="G2413" s="188" t="str" cm="1">
        <f t="array" ref="G2413">IF(LineærRegression_Valg[[#This Row],[Indenfor range]],IF(LineærRegression_Valg[[#This Row],[Intet overlap]],INDEX(DataTitel_liste,LineærRegression_Valg[[#This Row],[Uafhængig variabel ID]]),INDEX(DataTitel_liste,IF(LineærRegression_Valg[[#This Row],[Afhængig variabel ID]]=1,2,1))),$B$7)</f>
        <v>Eksempel 2 (interval)</v>
      </c>
      <c r="H2413" s="188">
        <f>_xlfn.AGGREGATE(2,5,LineærRegression_Valg[[#This Row],[Tabel ID]])</f>
        <v>1</v>
      </c>
    </row>
    <row r="2414" spans="1:8" x14ac:dyDescent="0.2">
      <c r="A2414">
        <f>ROW(LineærRegression_Valg[[#This Row],[Tabel ID]])-ROW(LineærRegression_Valg[[#Headers],[Tabel ID]])</f>
        <v>2404</v>
      </c>
      <c r="B2414" s="188">
        <f>ROUNDDOWN((LineærRegression_Valg[[#This Row],[Tabel ID]]-1)/$B$5,0)+1</f>
        <v>601</v>
      </c>
      <c r="C2414" s="188">
        <f t="shared" si="37"/>
        <v>4</v>
      </c>
      <c r="D2414" s="188" t="b">
        <f>LineærRegression_Valg[[#This Row],[Afhængig variabel ID]]&lt;&gt;LineærRegression_Valg[[#This Row],[Uafhængig variabel ID]]</f>
        <v>1</v>
      </c>
      <c r="E2414" s="188" t="b">
        <f>LineærRegression_Valg[[#This Row],[Afhængig variabel ID]]&lt;=$B$5</f>
        <v>0</v>
      </c>
      <c r="F2414" t="str" cm="1">
        <f t="array" ref="F2414">IF(LineærRegression_Valg[[#This Row],[Indenfor range]],INDEX(DataTitel_liste,LineærRegression_Valg[[#This Row],[Afhængig variabel ID]]),INDEX(DataTitel_liste,1))</f>
        <v>Eksempel 1 (interval)</v>
      </c>
      <c r="G2414" s="188" t="str" cm="1">
        <f t="array" ref="G2414">IF(LineærRegression_Valg[[#This Row],[Indenfor range]],IF(LineærRegression_Valg[[#This Row],[Intet overlap]],INDEX(DataTitel_liste,LineærRegression_Valg[[#This Row],[Uafhængig variabel ID]]),INDEX(DataTitel_liste,IF(LineærRegression_Valg[[#This Row],[Afhængig variabel ID]]=1,2,1))),$B$7)</f>
        <v>Eksempel 2 (interval)</v>
      </c>
      <c r="H2414" s="188">
        <f>_xlfn.AGGREGATE(2,5,LineærRegression_Valg[[#This Row],[Tabel ID]])</f>
        <v>1</v>
      </c>
    </row>
    <row r="2415" spans="1:8" x14ac:dyDescent="0.2">
      <c r="A2415">
        <f>ROW(LineærRegression_Valg[[#This Row],[Tabel ID]])-ROW(LineærRegression_Valg[[#Headers],[Tabel ID]])</f>
        <v>2405</v>
      </c>
      <c r="B2415" s="188">
        <f>ROUNDDOWN((LineærRegression_Valg[[#This Row],[Tabel ID]]-1)/$B$5,0)+1</f>
        <v>602</v>
      </c>
      <c r="C2415" s="188">
        <f t="shared" si="37"/>
        <v>1</v>
      </c>
      <c r="D2415" s="188" t="b">
        <f>LineærRegression_Valg[[#This Row],[Afhængig variabel ID]]&lt;&gt;LineærRegression_Valg[[#This Row],[Uafhængig variabel ID]]</f>
        <v>1</v>
      </c>
      <c r="E2415" s="188" t="b">
        <f>LineærRegression_Valg[[#This Row],[Afhængig variabel ID]]&lt;=$B$5</f>
        <v>0</v>
      </c>
      <c r="F2415" t="str" cm="1">
        <f t="array" ref="F2415">IF(LineærRegression_Valg[[#This Row],[Indenfor range]],INDEX(DataTitel_liste,LineærRegression_Valg[[#This Row],[Afhængig variabel ID]]),INDEX(DataTitel_liste,1))</f>
        <v>Eksempel 1 (interval)</v>
      </c>
      <c r="G2415" s="188" t="str" cm="1">
        <f t="array" ref="G2415">IF(LineærRegression_Valg[[#This Row],[Indenfor range]],IF(LineærRegression_Valg[[#This Row],[Intet overlap]],INDEX(DataTitel_liste,LineærRegression_Valg[[#This Row],[Uafhængig variabel ID]]),INDEX(DataTitel_liste,IF(LineærRegression_Valg[[#This Row],[Afhængig variabel ID]]=1,2,1))),$B$7)</f>
        <v>Eksempel 2 (interval)</v>
      </c>
      <c r="H2415" s="188">
        <f>_xlfn.AGGREGATE(2,5,LineærRegression_Valg[[#This Row],[Tabel ID]])</f>
        <v>1</v>
      </c>
    </row>
    <row r="2416" spans="1:8" x14ac:dyDescent="0.2">
      <c r="A2416">
        <f>ROW(LineærRegression_Valg[[#This Row],[Tabel ID]])-ROW(LineærRegression_Valg[[#Headers],[Tabel ID]])</f>
        <v>2406</v>
      </c>
      <c r="B2416" s="188">
        <f>ROUNDDOWN((LineærRegression_Valg[[#This Row],[Tabel ID]]-1)/$B$5,0)+1</f>
        <v>602</v>
      </c>
      <c r="C2416" s="188">
        <f t="shared" si="37"/>
        <v>2</v>
      </c>
      <c r="D2416" s="188" t="b">
        <f>LineærRegression_Valg[[#This Row],[Afhængig variabel ID]]&lt;&gt;LineærRegression_Valg[[#This Row],[Uafhængig variabel ID]]</f>
        <v>1</v>
      </c>
      <c r="E2416" s="188" t="b">
        <f>LineærRegression_Valg[[#This Row],[Afhængig variabel ID]]&lt;=$B$5</f>
        <v>0</v>
      </c>
      <c r="F2416" t="str" cm="1">
        <f t="array" ref="F2416">IF(LineærRegression_Valg[[#This Row],[Indenfor range]],INDEX(DataTitel_liste,LineærRegression_Valg[[#This Row],[Afhængig variabel ID]]),INDEX(DataTitel_liste,1))</f>
        <v>Eksempel 1 (interval)</v>
      </c>
      <c r="G2416" s="188" t="str" cm="1">
        <f t="array" ref="G2416">IF(LineærRegression_Valg[[#This Row],[Indenfor range]],IF(LineærRegression_Valg[[#This Row],[Intet overlap]],INDEX(DataTitel_liste,LineærRegression_Valg[[#This Row],[Uafhængig variabel ID]]),INDEX(DataTitel_liste,IF(LineærRegression_Valg[[#This Row],[Afhængig variabel ID]]=1,2,1))),$B$7)</f>
        <v>Eksempel 2 (interval)</v>
      </c>
      <c r="H2416" s="188">
        <f>_xlfn.AGGREGATE(2,5,LineærRegression_Valg[[#This Row],[Tabel ID]])</f>
        <v>1</v>
      </c>
    </row>
    <row r="2417" spans="1:8" x14ac:dyDescent="0.2">
      <c r="A2417">
        <f>ROW(LineærRegression_Valg[[#This Row],[Tabel ID]])-ROW(LineærRegression_Valg[[#Headers],[Tabel ID]])</f>
        <v>2407</v>
      </c>
      <c r="B2417" s="188">
        <f>ROUNDDOWN((LineærRegression_Valg[[#This Row],[Tabel ID]]-1)/$B$5,0)+1</f>
        <v>602</v>
      </c>
      <c r="C2417" s="188">
        <f t="shared" si="37"/>
        <v>3</v>
      </c>
      <c r="D2417" s="188" t="b">
        <f>LineærRegression_Valg[[#This Row],[Afhængig variabel ID]]&lt;&gt;LineærRegression_Valg[[#This Row],[Uafhængig variabel ID]]</f>
        <v>1</v>
      </c>
      <c r="E2417" s="188" t="b">
        <f>LineærRegression_Valg[[#This Row],[Afhængig variabel ID]]&lt;=$B$5</f>
        <v>0</v>
      </c>
      <c r="F2417" t="str" cm="1">
        <f t="array" ref="F2417">IF(LineærRegression_Valg[[#This Row],[Indenfor range]],INDEX(DataTitel_liste,LineærRegression_Valg[[#This Row],[Afhængig variabel ID]]),INDEX(DataTitel_liste,1))</f>
        <v>Eksempel 1 (interval)</v>
      </c>
      <c r="G2417" s="188" t="str" cm="1">
        <f t="array" ref="G2417">IF(LineærRegression_Valg[[#This Row],[Indenfor range]],IF(LineærRegression_Valg[[#This Row],[Intet overlap]],INDEX(DataTitel_liste,LineærRegression_Valg[[#This Row],[Uafhængig variabel ID]]),INDEX(DataTitel_liste,IF(LineærRegression_Valg[[#This Row],[Afhængig variabel ID]]=1,2,1))),$B$7)</f>
        <v>Eksempel 2 (interval)</v>
      </c>
      <c r="H2417" s="188">
        <f>_xlfn.AGGREGATE(2,5,LineærRegression_Valg[[#This Row],[Tabel ID]])</f>
        <v>1</v>
      </c>
    </row>
    <row r="2418" spans="1:8" x14ac:dyDescent="0.2">
      <c r="A2418">
        <f>ROW(LineærRegression_Valg[[#This Row],[Tabel ID]])-ROW(LineærRegression_Valg[[#Headers],[Tabel ID]])</f>
        <v>2408</v>
      </c>
      <c r="B2418" s="188">
        <f>ROUNDDOWN((LineærRegression_Valg[[#This Row],[Tabel ID]]-1)/$B$5,0)+1</f>
        <v>602</v>
      </c>
      <c r="C2418" s="188">
        <f t="shared" si="37"/>
        <v>4</v>
      </c>
      <c r="D2418" s="188" t="b">
        <f>LineærRegression_Valg[[#This Row],[Afhængig variabel ID]]&lt;&gt;LineærRegression_Valg[[#This Row],[Uafhængig variabel ID]]</f>
        <v>1</v>
      </c>
      <c r="E2418" s="188" t="b">
        <f>LineærRegression_Valg[[#This Row],[Afhængig variabel ID]]&lt;=$B$5</f>
        <v>0</v>
      </c>
      <c r="F2418" t="str" cm="1">
        <f t="array" ref="F2418">IF(LineærRegression_Valg[[#This Row],[Indenfor range]],INDEX(DataTitel_liste,LineærRegression_Valg[[#This Row],[Afhængig variabel ID]]),INDEX(DataTitel_liste,1))</f>
        <v>Eksempel 1 (interval)</v>
      </c>
      <c r="G2418" s="188" t="str" cm="1">
        <f t="array" ref="G2418">IF(LineærRegression_Valg[[#This Row],[Indenfor range]],IF(LineærRegression_Valg[[#This Row],[Intet overlap]],INDEX(DataTitel_liste,LineærRegression_Valg[[#This Row],[Uafhængig variabel ID]]),INDEX(DataTitel_liste,IF(LineærRegression_Valg[[#This Row],[Afhængig variabel ID]]=1,2,1))),$B$7)</f>
        <v>Eksempel 2 (interval)</v>
      </c>
      <c r="H2418" s="188">
        <f>_xlfn.AGGREGATE(2,5,LineærRegression_Valg[[#This Row],[Tabel ID]])</f>
        <v>1</v>
      </c>
    </row>
    <row r="2419" spans="1:8" x14ac:dyDescent="0.2">
      <c r="A2419">
        <f>ROW(LineærRegression_Valg[[#This Row],[Tabel ID]])-ROW(LineærRegression_Valg[[#Headers],[Tabel ID]])</f>
        <v>2409</v>
      </c>
      <c r="B2419" s="188">
        <f>ROUNDDOWN((LineærRegression_Valg[[#This Row],[Tabel ID]]-1)/$B$5,0)+1</f>
        <v>603</v>
      </c>
      <c r="C2419" s="188">
        <f t="shared" si="37"/>
        <v>1</v>
      </c>
      <c r="D2419" s="188" t="b">
        <f>LineærRegression_Valg[[#This Row],[Afhængig variabel ID]]&lt;&gt;LineærRegression_Valg[[#This Row],[Uafhængig variabel ID]]</f>
        <v>1</v>
      </c>
      <c r="E2419" s="188" t="b">
        <f>LineærRegression_Valg[[#This Row],[Afhængig variabel ID]]&lt;=$B$5</f>
        <v>0</v>
      </c>
      <c r="F2419" t="str" cm="1">
        <f t="array" ref="F2419">IF(LineærRegression_Valg[[#This Row],[Indenfor range]],INDEX(DataTitel_liste,LineærRegression_Valg[[#This Row],[Afhængig variabel ID]]),INDEX(DataTitel_liste,1))</f>
        <v>Eksempel 1 (interval)</v>
      </c>
      <c r="G2419" s="188" t="str" cm="1">
        <f t="array" ref="G2419">IF(LineærRegression_Valg[[#This Row],[Indenfor range]],IF(LineærRegression_Valg[[#This Row],[Intet overlap]],INDEX(DataTitel_liste,LineærRegression_Valg[[#This Row],[Uafhængig variabel ID]]),INDEX(DataTitel_liste,IF(LineærRegression_Valg[[#This Row],[Afhængig variabel ID]]=1,2,1))),$B$7)</f>
        <v>Eksempel 2 (interval)</v>
      </c>
      <c r="H2419" s="188">
        <f>_xlfn.AGGREGATE(2,5,LineærRegression_Valg[[#This Row],[Tabel ID]])</f>
        <v>1</v>
      </c>
    </row>
    <row r="2420" spans="1:8" x14ac:dyDescent="0.2">
      <c r="A2420">
        <f>ROW(LineærRegression_Valg[[#This Row],[Tabel ID]])-ROW(LineærRegression_Valg[[#Headers],[Tabel ID]])</f>
        <v>2410</v>
      </c>
      <c r="B2420" s="188">
        <f>ROUNDDOWN((LineærRegression_Valg[[#This Row],[Tabel ID]]-1)/$B$5,0)+1</f>
        <v>603</v>
      </c>
      <c r="C2420" s="188">
        <f t="shared" si="37"/>
        <v>2</v>
      </c>
      <c r="D2420" s="188" t="b">
        <f>LineærRegression_Valg[[#This Row],[Afhængig variabel ID]]&lt;&gt;LineærRegression_Valg[[#This Row],[Uafhængig variabel ID]]</f>
        <v>1</v>
      </c>
      <c r="E2420" s="188" t="b">
        <f>LineærRegression_Valg[[#This Row],[Afhængig variabel ID]]&lt;=$B$5</f>
        <v>0</v>
      </c>
      <c r="F2420" t="str" cm="1">
        <f t="array" ref="F2420">IF(LineærRegression_Valg[[#This Row],[Indenfor range]],INDEX(DataTitel_liste,LineærRegression_Valg[[#This Row],[Afhængig variabel ID]]),INDEX(DataTitel_liste,1))</f>
        <v>Eksempel 1 (interval)</v>
      </c>
      <c r="G2420" s="188" t="str" cm="1">
        <f t="array" ref="G2420">IF(LineærRegression_Valg[[#This Row],[Indenfor range]],IF(LineærRegression_Valg[[#This Row],[Intet overlap]],INDEX(DataTitel_liste,LineærRegression_Valg[[#This Row],[Uafhængig variabel ID]]),INDEX(DataTitel_liste,IF(LineærRegression_Valg[[#This Row],[Afhængig variabel ID]]=1,2,1))),$B$7)</f>
        <v>Eksempel 2 (interval)</v>
      </c>
      <c r="H2420" s="188">
        <f>_xlfn.AGGREGATE(2,5,LineærRegression_Valg[[#This Row],[Tabel ID]])</f>
        <v>1</v>
      </c>
    </row>
    <row r="2421" spans="1:8" x14ac:dyDescent="0.2">
      <c r="A2421">
        <f>ROW(LineærRegression_Valg[[#This Row],[Tabel ID]])-ROW(LineærRegression_Valg[[#Headers],[Tabel ID]])</f>
        <v>2411</v>
      </c>
      <c r="B2421" s="188">
        <f>ROUNDDOWN((LineærRegression_Valg[[#This Row],[Tabel ID]]-1)/$B$5,0)+1</f>
        <v>603</v>
      </c>
      <c r="C2421" s="188">
        <f t="shared" si="37"/>
        <v>3</v>
      </c>
      <c r="D2421" s="188" t="b">
        <f>LineærRegression_Valg[[#This Row],[Afhængig variabel ID]]&lt;&gt;LineærRegression_Valg[[#This Row],[Uafhængig variabel ID]]</f>
        <v>1</v>
      </c>
      <c r="E2421" s="188" t="b">
        <f>LineærRegression_Valg[[#This Row],[Afhængig variabel ID]]&lt;=$B$5</f>
        <v>0</v>
      </c>
      <c r="F2421" t="str" cm="1">
        <f t="array" ref="F2421">IF(LineærRegression_Valg[[#This Row],[Indenfor range]],INDEX(DataTitel_liste,LineærRegression_Valg[[#This Row],[Afhængig variabel ID]]),INDEX(DataTitel_liste,1))</f>
        <v>Eksempel 1 (interval)</v>
      </c>
      <c r="G2421" s="188" t="str" cm="1">
        <f t="array" ref="G2421">IF(LineærRegression_Valg[[#This Row],[Indenfor range]],IF(LineærRegression_Valg[[#This Row],[Intet overlap]],INDEX(DataTitel_liste,LineærRegression_Valg[[#This Row],[Uafhængig variabel ID]]),INDEX(DataTitel_liste,IF(LineærRegression_Valg[[#This Row],[Afhængig variabel ID]]=1,2,1))),$B$7)</f>
        <v>Eksempel 2 (interval)</v>
      </c>
      <c r="H2421" s="188">
        <f>_xlfn.AGGREGATE(2,5,LineærRegression_Valg[[#This Row],[Tabel ID]])</f>
        <v>1</v>
      </c>
    </row>
    <row r="2422" spans="1:8" x14ac:dyDescent="0.2">
      <c r="A2422">
        <f>ROW(LineærRegression_Valg[[#This Row],[Tabel ID]])-ROW(LineærRegression_Valg[[#Headers],[Tabel ID]])</f>
        <v>2412</v>
      </c>
      <c r="B2422" s="188">
        <f>ROUNDDOWN((LineærRegression_Valg[[#This Row],[Tabel ID]]-1)/$B$5,0)+1</f>
        <v>603</v>
      </c>
      <c r="C2422" s="188">
        <f t="shared" si="37"/>
        <v>4</v>
      </c>
      <c r="D2422" s="188" t="b">
        <f>LineærRegression_Valg[[#This Row],[Afhængig variabel ID]]&lt;&gt;LineærRegression_Valg[[#This Row],[Uafhængig variabel ID]]</f>
        <v>1</v>
      </c>
      <c r="E2422" s="188" t="b">
        <f>LineærRegression_Valg[[#This Row],[Afhængig variabel ID]]&lt;=$B$5</f>
        <v>0</v>
      </c>
      <c r="F2422" t="str" cm="1">
        <f t="array" ref="F2422">IF(LineærRegression_Valg[[#This Row],[Indenfor range]],INDEX(DataTitel_liste,LineærRegression_Valg[[#This Row],[Afhængig variabel ID]]),INDEX(DataTitel_liste,1))</f>
        <v>Eksempel 1 (interval)</v>
      </c>
      <c r="G2422" s="188" t="str" cm="1">
        <f t="array" ref="G2422">IF(LineærRegression_Valg[[#This Row],[Indenfor range]],IF(LineærRegression_Valg[[#This Row],[Intet overlap]],INDEX(DataTitel_liste,LineærRegression_Valg[[#This Row],[Uafhængig variabel ID]]),INDEX(DataTitel_liste,IF(LineærRegression_Valg[[#This Row],[Afhængig variabel ID]]=1,2,1))),$B$7)</f>
        <v>Eksempel 2 (interval)</v>
      </c>
      <c r="H2422" s="188">
        <f>_xlfn.AGGREGATE(2,5,LineærRegression_Valg[[#This Row],[Tabel ID]])</f>
        <v>1</v>
      </c>
    </row>
    <row r="2423" spans="1:8" x14ac:dyDescent="0.2">
      <c r="A2423">
        <f>ROW(LineærRegression_Valg[[#This Row],[Tabel ID]])-ROW(LineærRegression_Valg[[#Headers],[Tabel ID]])</f>
        <v>2413</v>
      </c>
      <c r="B2423" s="188">
        <f>ROUNDDOWN((LineærRegression_Valg[[#This Row],[Tabel ID]]-1)/$B$5,0)+1</f>
        <v>604</v>
      </c>
      <c r="C2423" s="188">
        <f t="shared" si="37"/>
        <v>1</v>
      </c>
      <c r="D2423" s="188" t="b">
        <f>LineærRegression_Valg[[#This Row],[Afhængig variabel ID]]&lt;&gt;LineærRegression_Valg[[#This Row],[Uafhængig variabel ID]]</f>
        <v>1</v>
      </c>
      <c r="E2423" s="188" t="b">
        <f>LineærRegression_Valg[[#This Row],[Afhængig variabel ID]]&lt;=$B$5</f>
        <v>0</v>
      </c>
      <c r="F2423" t="str" cm="1">
        <f t="array" ref="F2423">IF(LineærRegression_Valg[[#This Row],[Indenfor range]],INDEX(DataTitel_liste,LineærRegression_Valg[[#This Row],[Afhængig variabel ID]]),INDEX(DataTitel_liste,1))</f>
        <v>Eksempel 1 (interval)</v>
      </c>
      <c r="G2423" s="188" t="str" cm="1">
        <f t="array" ref="G2423">IF(LineærRegression_Valg[[#This Row],[Indenfor range]],IF(LineærRegression_Valg[[#This Row],[Intet overlap]],INDEX(DataTitel_liste,LineærRegression_Valg[[#This Row],[Uafhængig variabel ID]]),INDEX(DataTitel_liste,IF(LineærRegression_Valg[[#This Row],[Afhængig variabel ID]]=1,2,1))),$B$7)</f>
        <v>Eksempel 2 (interval)</v>
      </c>
      <c r="H2423" s="188">
        <f>_xlfn.AGGREGATE(2,5,LineærRegression_Valg[[#This Row],[Tabel ID]])</f>
        <v>1</v>
      </c>
    </row>
    <row r="2424" spans="1:8" x14ac:dyDescent="0.2">
      <c r="A2424">
        <f>ROW(LineærRegression_Valg[[#This Row],[Tabel ID]])-ROW(LineærRegression_Valg[[#Headers],[Tabel ID]])</f>
        <v>2414</v>
      </c>
      <c r="B2424" s="188">
        <f>ROUNDDOWN((LineærRegression_Valg[[#This Row],[Tabel ID]]-1)/$B$5,0)+1</f>
        <v>604</v>
      </c>
      <c r="C2424" s="188">
        <f t="shared" si="37"/>
        <v>2</v>
      </c>
      <c r="D2424" s="188" t="b">
        <f>LineærRegression_Valg[[#This Row],[Afhængig variabel ID]]&lt;&gt;LineærRegression_Valg[[#This Row],[Uafhængig variabel ID]]</f>
        <v>1</v>
      </c>
      <c r="E2424" s="188" t="b">
        <f>LineærRegression_Valg[[#This Row],[Afhængig variabel ID]]&lt;=$B$5</f>
        <v>0</v>
      </c>
      <c r="F2424" t="str" cm="1">
        <f t="array" ref="F2424">IF(LineærRegression_Valg[[#This Row],[Indenfor range]],INDEX(DataTitel_liste,LineærRegression_Valg[[#This Row],[Afhængig variabel ID]]),INDEX(DataTitel_liste,1))</f>
        <v>Eksempel 1 (interval)</v>
      </c>
      <c r="G2424" s="188" t="str" cm="1">
        <f t="array" ref="G2424">IF(LineærRegression_Valg[[#This Row],[Indenfor range]],IF(LineærRegression_Valg[[#This Row],[Intet overlap]],INDEX(DataTitel_liste,LineærRegression_Valg[[#This Row],[Uafhængig variabel ID]]),INDEX(DataTitel_liste,IF(LineærRegression_Valg[[#This Row],[Afhængig variabel ID]]=1,2,1))),$B$7)</f>
        <v>Eksempel 2 (interval)</v>
      </c>
      <c r="H2424" s="188">
        <f>_xlfn.AGGREGATE(2,5,LineærRegression_Valg[[#This Row],[Tabel ID]])</f>
        <v>1</v>
      </c>
    </row>
    <row r="2425" spans="1:8" x14ac:dyDescent="0.2">
      <c r="A2425">
        <f>ROW(LineærRegression_Valg[[#This Row],[Tabel ID]])-ROW(LineærRegression_Valg[[#Headers],[Tabel ID]])</f>
        <v>2415</v>
      </c>
      <c r="B2425" s="188">
        <f>ROUNDDOWN((LineærRegression_Valg[[#This Row],[Tabel ID]]-1)/$B$5,0)+1</f>
        <v>604</v>
      </c>
      <c r="C2425" s="188">
        <f t="shared" si="37"/>
        <v>3</v>
      </c>
      <c r="D2425" s="188" t="b">
        <f>LineærRegression_Valg[[#This Row],[Afhængig variabel ID]]&lt;&gt;LineærRegression_Valg[[#This Row],[Uafhængig variabel ID]]</f>
        <v>1</v>
      </c>
      <c r="E2425" s="188" t="b">
        <f>LineærRegression_Valg[[#This Row],[Afhængig variabel ID]]&lt;=$B$5</f>
        <v>0</v>
      </c>
      <c r="F2425" t="str" cm="1">
        <f t="array" ref="F2425">IF(LineærRegression_Valg[[#This Row],[Indenfor range]],INDEX(DataTitel_liste,LineærRegression_Valg[[#This Row],[Afhængig variabel ID]]),INDEX(DataTitel_liste,1))</f>
        <v>Eksempel 1 (interval)</v>
      </c>
      <c r="G2425" s="188" t="str" cm="1">
        <f t="array" ref="G2425">IF(LineærRegression_Valg[[#This Row],[Indenfor range]],IF(LineærRegression_Valg[[#This Row],[Intet overlap]],INDEX(DataTitel_liste,LineærRegression_Valg[[#This Row],[Uafhængig variabel ID]]),INDEX(DataTitel_liste,IF(LineærRegression_Valg[[#This Row],[Afhængig variabel ID]]=1,2,1))),$B$7)</f>
        <v>Eksempel 2 (interval)</v>
      </c>
      <c r="H2425" s="188">
        <f>_xlfn.AGGREGATE(2,5,LineærRegression_Valg[[#This Row],[Tabel ID]])</f>
        <v>1</v>
      </c>
    </row>
    <row r="2426" spans="1:8" x14ac:dyDescent="0.2">
      <c r="A2426">
        <f>ROW(LineærRegression_Valg[[#This Row],[Tabel ID]])-ROW(LineærRegression_Valg[[#Headers],[Tabel ID]])</f>
        <v>2416</v>
      </c>
      <c r="B2426" s="188">
        <f>ROUNDDOWN((LineærRegression_Valg[[#This Row],[Tabel ID]]-1)/$B$5,0)+1</f>
        <v>604</v>
      </c>
      <c r="C2426" s="188">
        <f t="shared" si="37"/>
        <v>4</v>
      </c>
      <c r="D2426" s="188" t="b">
        <f>LineærRegression_Valg[[#This Row],[Afhængig variabel ID]]&lt;&gt;LineærRegression_Valg[[#This Row],[Uafhængig variabel ID]]</f>
        <v>1</v>
      </c>
      <c r="E2426" s="188" t="b">
        <f>LineærRegression_Valg[[#This Row],[Afhængig variabel ID]]&lt;=$B$5</f>
        <v>0</v>
      </c>
      <c r="F2426" t="str" cm="1">
        <f t="array" ref="F2426">IF(LineærRegression_Valg[[#This Row],[Indenfor range]],INDEX(DataTitel_liste,LineærRegression_Valg[[#This Row],[Afhængig variabel ID]]),INDEX(DataTitel_liste,1))</f>
        <v>Eksempel 1 (interval)</v>
      </c>
      <c r="G2426" s="188" t="str" cm="1">
        <f t="array" ref="G2426">IF(LineærRegression_Valg[[#This Row],[Indenfor range]],IF(LineærRegression_Valg[[#This Row],[Intet overlap]],INDEX(DataTitel_liste,LineærRegression_Valg[[#This Row],[Uafhængig variabel ID]]),INDEX(DataTitel_liste,IF(LineærRegression_Valg[[#This Row],[Afhængig variabel ID]]=1,2,1))),$B$7)</f>
        <v>Eksempel 2 (interval)</v>
      </c>
      <c r="H2426" s="188">
        <f>_xlfn.AGGREGATE(2,5,LineærRegression_Valg[[#This Row],[Tabel ID]])</f>
        <v>1</v>
      </c>
    </row>
    <row r="2427" spans="1:8" x14ac:dyDescent="0.2">
      <c r="A2427">
        <f>ROW(LineærRegression_Valg[[#This Row],[Tabel ID]])-ROW(LineærRegression_Valg[[#Headers],[Tabel ID]])</f>
        <v>2417</v>
      </c>
      <c r="B2427" s="188">
        <f>ROUNDDOWN((LineærRegression_Valg[[#This Row],[Tabel ID]]-1)/$B$5,0)+1</f>
        <v>605</v>
      </c>
      <c r="C2427" s="188">
        <f t="shared" si="37"/>
        <v>1</v>
      </c>
      <c r="D2427" s="188" t="b">
        <f>LineærRegression_Valg[[#This Row],[Afhængig variabel ID]]&lt;&gt;LineærRegression_Valg[[#This Row],[Uafhængig variabel ID]]</f>
        <v>1</v>
      </c>
      <c r="E2427" s="188" t="b">
        <f>LineærRegression_Valg[[#This Row],[Afhængig variabel ID]]&lt;=$B$5</f>
        <v>0</v>
      </c>
      <c r="F2427" t="str" cm="1">
        <f t="array" ref="F2427">IF(LineærRegression_Valg[[#This Row],[Indenfor range]],INDEX(DataTitel_liste,LineærRegression_Valg[[#This Row],[Afhængig variabel ID]]),INDEX(DataTitel_liste,1))</f>
        <v>Eksempel 1 (interval)</v>
      </c>
      <c r="G2427" s="188" t="str" cm="1">
        <f t="array" ref="G2427">IF(LineærRegression_Valg[[#This Row],[Indenfor range]],IF(LineærRegression_Valg[[#This Row],[Intet overlap]],INDEX(DataTitel_liste,LineærRegression_Valg[[#This Row],[Uafhængig variabel ID]]),INDEX(DataTitel_liste,IF(LineærRegression_Valg[[#This Row],[Afhængig variabel ID]]=1,2,1))),$B$7)</f>
        <v>Eksempel 2 (interval)</v>
      </c>
      <c r="H2427" s="188">
        <f>_xlfn.AGGREGATE(2,5,LineærRegression_Valg[[#This Row],[Tabel ID]])</f>
        <v>1</v>
      </c>
    </row>
    <row r="2428" spans="1:8" x14ac:dyDescent="0.2">
      <c r="A2428">
        <f>ROW(LineærRegression_Valg[[#This Row],[Tabel ID]])-ROW(LineærRegression_Valg[[#Headers],[Tabel ID]])</f>
        <v>2418</v>
      </c>
      <c r="B2428" s="188">
        <f>ROUNDDOWN((LineærRegression_Valg[[#This Row],[Tabel ID]]-1)/$B$5,0)+1</f>
        <v>605</v>
      </c>
      <c r="C2428" s="188">
        <f t="shared" si="37"/>
        <v>2</v>
      </c>
      <c r="D2428" s="188" t="b">
        <f>LineærRegression_Valg[[#This Row],[Afhængig variabel ID]]&lt;&gt;LineærRegression_Valg[[#This Row],[Uafhængig variabel ID]]</f>
        <v>1</v>
      </c>
      <c r="E2428" s="188" t="b">
        <f>LineærRegression_Valg[[#This Row],[Afhængig variabel ID]]&lt;=$B$5</f>
        <v>0</v>
      </c>
      <c r="F2428" t="str" cm="1">
        <f t="array" ref="F2428">IF(LineærRegression_Valg[[#This Row],[Indenfor range]],INDEX(DataTitel_liste,LineærRegression_Valg[[#This Row],[Afhængig variabel ID]]),INDEX(DataTitel_liste,1))</f>
        <v>Eksempel 1 (interval)</v>
      </c>
      <c r="G2428" s="188" t="str" cm="1">
        <f t="array" ref="G2428">IF(LineærRegression_Valg[[#This Row],[Indenfor range]],IF(LineærRegression_Valg[[#This Row],[Intet overlap]],INDEX(DataTitel_liste,LineærRegression_Valg[[#This Row],[Uafhængig variabel ID]]),INDEX(DataTitel_liste,IF(LineærRegression_Valg[[#This Row],[Afhængig variabel ID]]=1,2,1))),$B$7)</f>
        <v>Eksempel 2 (interval)</v>
      </c>
      <c r="H2428" s="188">
        <f>_xlfn.AGGREGATE(2,5,LineærRegression_Valg[[#This Row],[Tabel ID]])</f>
        <v>1</v>
      </c>
    </row>
    <row r="2429" spans="1:8" x14ac:dyDescent="0.2">
      <c r="A2429">
        <f>ROW(LineærRegression_Valg[[#This Row],[Tabel ID]])-ROW(LineærRegression_Valg[[#Headers],[Tabel ID]])</f>
        <v>2419</v>
      </c>
      <c r="B2429" s="188">
        <f>ROUNDDOWN((LineærRegression_Valg[[#This Row],[Tabel ID]]-1)/$B$5,0)+1</f>
        <v>605</v>
      </c>
      <c r="C2429" s="188">
        <f t="shared" si="37"/>
        <v>3</v>
      </c>
      <c r="D2429" s="188" t="b">
        <f>LineærRegression_Valg[[#This Row],[Afhængig variabel ID]]&lt;&gt;LineærRegression_Valg[[#This Row],[Uafhængig variabel ID]]</f>
        <v>1</v>
      </c>
      <c r="E2429" s="188" t="b">
        <f>LineærRegression_Valg[[#This Row],[Afhængig variabel ID]]&lt;=$B$5</f>
        <v>0</v>
      </c>
      <c r="F2429" t="str" cm="1">
        <f t="array" ref="F2429">IF(LineærRegression_Valg[[#This Row],[Indenfor range]],INDEX(DataTitel_liste,LineærRegression_Valg[[#This Row],[Afhængig variabel ID]]),INDEX(DataTitel_liste,1))</f>
        <v>Eksempel 1 (interval)</v>
      </c>
      <c r="G2429" s="188" t="str" cm="1">
        <f t="array" ref="G2429">IF(LineærRegression_Valg[[#This Row],[Indenfor range]],IF(LineærRegression_Valg[[#This Row],[Intet overlap]],INDEX(DataTitel_liste,LineærRegression_Valg[[#This Row],[Uafhængig variabel ID]]),INDEX(DataTitel_liste,IF(LineærRegression_Valg[[#This Row],[Afhængig variabel ID]]=1,2,1))),$B$7)</f>
        <v>Eksempel 2 (interval)</v>
      </c>
      <c r="H2429" s="188">
        <f>_xlfn.AGGREGATE(2,5,LineærRegression_Valg[[#This Row],[Tabel ID]])</f>
        <v>1</v>
      </c>
    </row>
    <row r="2430" spans="1:8" x14ac:dyDescent="0.2">
      <c r="A2430">
        <f>ROW(LineærRegression_Valg[[#This Row],[Tabel ID]])-ROW(LineærRegression_Valg[[#Headers],[Tabel ID]])</f>
        <v>2420</v>
      </c>
      <c r="B2430" s="188">
        <f>ROUNDDOWN((LineærRegression_Valg[[#This Row],[Tabel ID]]-1)/$B$5,0)+1</f>
        <v>605</v>
      </c>
      <c r="C2430" s="188">
        <f t="shared" si="37"/>
        <v>4</v>
      </c>
      <c r="D2430" s="188" t="b">
        <f>LineærRegression_Valg[[#This Row],[Afhængig variabel ID]]&lt;&gt;LineærRegression_Valg[[#This Row],[Uafhængig variabel ID]]</f>
        <v>1</v>
      </c>
      <c r="E2430" s="188" t="b">
        <f>LineærRegression_Valg[[#This Row],[Afhængig variabel ID]]&lt;=$B$5</f>
        <v>0</v>
      </c>
      <c r="F2430" t="str" cm="1">
        <f t="array" ref="F2430">IF(LineærRegression_Valg[[#This Row],[Indenfor range]],INDEX(DataTitel_liste,LineærRegression_Valg[[#This Row],[Afhængig variabel ID]]),INDEX(DataTitel_liste,1))</f>
        <v>Eksempel 1 (interval)</v>
      </c>
      <c r="G2430" s="188" t="str" cm="1">
        <f t="array" ref="G2430">IF(LineærRegression_Valg[[#This Row],[Indenfor range]],IF(LineærRegression_Valg[[#This Row],[Intet overlap]],INDEX(DataTitel_liste,LineærRegression_Valg[[#This Row],[Uafhængig variabel ID]]),INDEX(DataTitel_liste,IF(LineærRegression_Valg[[#This Row],[Afhængig variabel ID]]=1,2,1))),$B$7)</f>
        <v>Eksempel 2 (interval)</v>
      </c>
      <c r="H2430" s="188">
        <f>_xlfn.AGGREGATE(2,5,LineærRegression_Valg[[#This Row],[Tabel ID]])</f>
        <v>1</v>
      </c>
    </row>
    <row r="2431" spans="1:8" x14ac:dyDescent="0.2">
      <c r="A2431">
        <f>ROW(LineærRegression_Valg[[#This Row],[Tabel ID]])-ROW(LineærRegression_Valg[[#Headers],[Tabel ID]])</f>
        <v>2421</v>
      </c>
      <c r="B2431" s="188">
        <f>ROUNDDOWN((LineærRegression_Valg[[#This Row],[Tabel ID]]-1)/$B$5,0)+1</f>
        <v>606</v>
      </c>
      <c r="C2431" s="188">
        <f t="shared" si="37"/>
        <v>1</v>
      </c>
      <c r="D2431" s="188" t="b">
        <f>LineærRegression_Valg[[#This Row],[Afhængig variabel ID]]&lt;&gt;LineærRegression_Valg[[#This Row],[Uafhængig variabel ID]]</f>
        <v>1</v>
      </c>
      <c r="E2431" s="188" t="b">
        <f>LineærRegression_Valg[[#This Row],[Afhængig variabel ID]]&lt;=$B$5</f>
        <v>0</v>
      </c>
      <c r="F2431" t="str" cm="1">
        <f t="array" ref="F2431">IF(LineærRegression_Valg[[#This Row],[Indenfor range]],INDEX(DataTitel_liste,LineærRegression_Valg[[#This Row],[Afhængig variabel ID]]),INDEX(DataTitel_liste,1))</f>
        <v>Eksempel 1 (interval)</v>
      </c>
      <c r="G2431" s="188" t="str" cm="1">
        <f t="array" ref="G2431">IF(LineærRegression_Valg[[#This Row],[Indenfor range]],IF(LineærRegression_Valg[[#This Row],[Intet overlap]],INDEX(DataTitel_liste,LineærRegression_Valg[[#This Row],[Uafhængig variabel ID]]),INDEX(DataTitel_liste,IF(LineærRegression_Valg[[#This Row],[Afhængig variabel ID]]=1,2,1))),$B$7)</f>
        <v>Eksempel 2 (interval)</v>
      </c>
      <c r="H2431" s="188">
        <f>_xlfn.AGGREGATE(2,5,LineærRegression_Valg[[#This Row],[Tabel ID]])</f>
        <v>1</v>
      </c>
    </row>
    <row r="2432" spans="1:8" x14ac:dyDescent="0.2">
      <c r="A2432">
        <f>ROW(LineærRegression_Valg[[#This Row],[Tabel ID]])-ROW(LineærRegression_Valg[[#Headers],[Tabel ID]])</f>
        <v>2422</v>
      </c>
      <c r="B2432" s="188">
        <f>ROUNDDOWN((LineærRegression_Valg[[#This Row],[Tabel ID]]-1)/$B$5,0)+1</f>
        <v>606</v>
      </c>
      <c r="C2432" s="188">
        <f t="shared" si="37"/>
        <v>2</v>
      </c>
      <c r="D2432" s="188" t="b">
        <f>LineærRegression_Valg[[#This Row],[Afhængig variabel ID]]&lt;&gt;LineærRegression_Valg[[#This Row],[Uafhængig variabel ID]]</f>
        <v>1</v>
      </c>
      <c r="E2432" s="188" t="b">
        <f>LineærRegression_Valg[[#This Row],[Afhængig variabel ID]]&lt;=$B$5</f>
        <v>0</v>
      </c>
      <c r="F2432" t="str" cm="1">
        <f t="array" ref="F2432">IF(LineærRegression_Valg[[#This Row],[Indenfor range]],INDEX(DataTitel_liste,LineærRegression_Valg[[#This Row],[Afhængig variabel ID]]),INDEX(DataTitel_liste,1))</f>
        <v>Eksempel 1 (interval)</v>
      </c>
      <c r="G2432" s="188" t="str" cm="1">
        <f t="array" ref="G2432">IF(LineærRegression_Valg[[#This Row],[Indenfor range]],IF(LineærRegression_Valg[[#This Row],[Intet overlap]],INDEX(DataTitel_liste,LineærRegression_Valg[[#This Row],[Uafhængig variabel ID]]),INDEX(DataTitel_liste,IF(LineærRegression_Valg[[#This Row],[Afhængig variabel ID]]=1,2,1))),$B$7)</f>
        <v>Eksempel 2 (interval)</v>
      </c>
      <c r="H2432" s="188">
        <f>_xlfn.AGGREGATE(2,5,LineærRegression_Valg[[#This Row],[Tabel ID]])</f>
        <v>1</v>
      </c>
    </row>
    <row r="2433" spans="1:8" x14ac:dyDescent="0.2">
      <c r="A2433">
        <f>ROW(LineærRegression_Valg[[#This Row],[Tabel ID]])-ROW(LineærRegression_Valg[[#Headers],[Tabel ID]])</f>
        <v>2423</v>
      </c>
      <c r="B2433" s="188">
        <f>ROUNDDOWN((LineærRegression_Valg[[#This Row],[Tabel ID]]-1)/$B$5,0)+1</f>
        <v>606</v>
      </c>
      <c r="C2433" s="188">
        <f t="shared" si="37"/>
        <v>3</v>
      </c>
      <c r="D2433" s="188" t="b">
        <f>LineærRegression_Valg[[#This Row],[Afhængig variabel ID]]&lt;&gt;LineærRegression_Valg[[#This Row],[Uafhængig variabel ID]]</f>
        <v>1</v>
      </c>
      <c r="E2433" s="188" t="b">
        <f>LineærRegression_Valg[[#This Row],[Afhængig variabel ID]]&lt;=$B$5</f>
        <v>0</v>
      </c>
      <c r="F2433" t="str" cm="1">
        <f t="array" ref="F2433">IF(LineærRegression_Valg[[#This Row],[Indenfor range]],INDEX(DataTitel_liste,LineærRegression_Valg[[#This Row],[Afhængig variabel ID]]),INDEX(DataTitel_liste,1))</f>
        <v>Eksempel 1 (interval)</v>
      </c>
      <c r="G2433" s="188" t="str" cm="1">
        <f t="array" ref="G2433">IF(LineærRegression_Valg[[#This Row],[Indenfor range]],IF(LineærRegression_Valg[[#This Row],[Intet overlap]],INDEX(DataTitel_liste,LineærRegression_Valg[[#This Row],[Uafhængig variabel ID]]),INDEX(DataTitel_liste,IF(LineærRegression_Valg[[#This Row],[Afhængig variabel ID]]=1,2,1))),$B$7)</f>
        <v>Eksempel 2 (interval)</v>
      </c>
      <c r="H2433" s="188">
        <f>_xlfn.AGGREGATE(2,5,LineærRegression_Valg[[#This Row],[Tabel ID]])</f>
        <v>1</v>
      </c>
    </row>
    <row r="2434" spans="1:8" x14ac:dyDescent="0.2">
      <c r="A2434">
        <f>ROW(LineærRegression_Valg[[#This Row],[Tabel ID]])-ROW(LineærRegression_Valg[[#Headers],[Tabel ID]])</f>
        <v>2424</v>
      </c>
      <c r="B2434" s="188">
        <f>ROUNDDOWN((LineærRegression_Valg[[#This Row],[Tabel ID]]-1)/$B$5,0)+1</f>
        <v>606</v>
      </c>
      <c r="C2434" s="188">
        <f t="shared" si="37"/>
        <v>4</v>
      </c>
      <c r="D2434" s="188" t="b">
        <f>LineærRegression_Valg[[#This Row],[Afhængig variabel ID]]&lt;&gt;LineærRegression_Valg[[#This Row],[Uafhængig variabel ID]]</f>
        <v>1</v>
      </c>
      <c r="E2434" s="188" t="b">
        <f>LineærRegression_Valg[[#This Row],[Afhængig variabel ID]]&lt;=$B$5</f>
        <v>0</v>
      </c>
      <c r="F2434" t="str" cm="1">
        <f t="array" ref="F2434">IF(LineærRegression_Valg[[#This Row],[Indenfor range]],INDEX(DataTitel_liste,LineærRegression_Valg[[#This Row],[Afhængig variabel ID]]),INDEX(DataTitel_liste,1))</f>
        <v>Eksempel 1 (interval)</v>
      </c>
      <c r="G2434" s="188" t="str" cm="1">
        <f t="array" ref="G2434">IF(LineærRegression_Valg[[#This Row],[Indenfor range]],IF(LineærRegression_Valg[[#This Row],[Intet overlap]],INDEX(DataTitel_liste,LineærRegression_Valg[[#This Row],[Uafhængig variabel ID]]),INDEX(DataTitel_liste,IF(LineærRegression_Valg[[#This Row],[Afhængig variabel ID]]=1,2,1))),$B$7)</f>
        <v>Eksempel 2 (interval)</v>
      </c>
      <c r="H2434" s="188">
        <f>_xlfn.AGGREGATE(2,5,LineærRegression_Valg[[#This Row],[Tabel ID]])</f>
        <v>1</v>
      </c>
    </row>
    <row r="2435" spans="1:8" x14ac:dyDescent="0.2">
      <c r="A2435">
        <f>ROW(LineærRegression_Valg[[#This Row],[Tabel ID]])-ROW(LineærRegression_Valg[[#Headers],[Tabel ID]])</f>
        <v>2425</v>
      </c>
      <c r="B2435" s="188">
        <f>ROUNDDOWN((LineærRegression_Valg[[#This Row],[Tabel ID]]-1)/$B$5,0)+1</f>
        <v>607</v>
      </c>
      <c r="C2435" s="188">
        <f t="shared" si="37"/>
        <v>1</v>
      </c>
      <c r="D2435" s="188" t="b">
        <f>LineærRegression_Valg[[#This Row],[Afhængig variabel ID]]&lt;&gt;LineærRegression_Valg[[#This Row],[Uafhængig variabel ID]]</f>
        <v>1</v>
      </c>
      <c r="E2435" s="188" t="b">
        <f>LineærRegression_Valg[[#This Row],[Afhængig variabel ID]]&lt;=$B$5</f>
        <v>0</v>
      </c>
      <c r="F2435" t="str" cm="1">
        <f t="array" ref="F2435">IF(LineærRegression_Valg[[#This Row],[Indenfor range]],INDEX(DataTitel_liste,LineærRegression_Valg[[#This Row],[Afhængig variabel ID]]),INDEX(DataTitel_liste,1))</f>
        <v>Eksempel 1 (interval)</v>
      </c>
      <c r="G2435" s="188" t="str" cm="1">
        <f t="array" ref="G2435">IF(LineærRegression_Valg[[#This Row],[Indenfor range]],IF(LineærRegression_Valg[[#This Row],[Intet overlap]],INDEX(DataTitel_liste,LineærRegression_Valg[[#This Row],[Uafhængig variabel ID]]),INDEX(DataTitel_liste,IF(LineærRegression_Valg[[#This Row],[Afhængig variabel ID]]=1,2,1))),$B$7)</f>
        <v>Eksempel 2 (interval)</v>
      </c>
      <c r="H2435" s="188">
        <f>_xlfn.AGGREGATE(2,5,LineærRegression_Valg[[#This Row],[Tabel ID]])</f>
        <v>1</v>
      </c>
    </row>
    <row r="2436" spans="1:8" x14ac:dyDescent="0.2">
      <c r="A2436">
        <f>ROW(LineærRegression_Valg[[#This Row],[Tabel ID]])-ROW(LineærRegression_Valg[[#Headers],[Tabel ID]])</f>
        <v>2426</v>
      </c>
      <c r="B2436" s="188">
        <f>ROUNDDOWN((LineærRegression_Valg[[#This Row],[Tabel ID]]-1)/$B$5,0)+1</f>
        <v>607</v>
      </c>
      <c r="C2436" s="188">
        <f t="shared" si="37"/>
        <v>2</v>
      </c>
      <c r="D2436" s="188" t="b">
        <f>LineærRegression_Valg[[#This Row],[Afhængig variabel ID]]&lt;&gt;LineærRegression_Valg[[#This Row],[Uafhængig variabel ID]]</f>
        <v>1</v>
      </c>
      <c r="E2436" s="188" t="b">
        <f>LineærRegression_Valg[[#This Row],[Afhængig variabel ID]]&lt;=$B$5</f>
        <v>0</v>
      </c>
      <c r="F2436" t="str" cm="1">
        <f t="array" ref="F2436">IF(LineærRegression_Valg[[#This Row],[Indenfor range]],INDEX(DataTitel_liste,LineærRegression_Valg[[#This Row],[Afhængig variabel ID]]),INDEX(DataTitel_liste,1))</f>
        <v>Eksempel 1 (interval)</v>
      </c>
      <c r="G2436" s="188" t="str" cm="1">
        <f t="array" ref="G2436">IF(LineærRegression_Valg[[#This Row],[Indenfor range]],IF(LineærRegression_Valg[[#This Row],[Intet overlap]],INDEX(DataTitel_liste,LineærRegression_Valg[[#This Row],[Uafhængig variabel ID]]),INDEX(DataTitel_liste,IF(LineærRegression_Valg[[#This Row],[Afhængig variabel ID]]=1,2,1))),$B$7)</f>
        <v>Eksempel 2 (interval)</v>
      </c>
      <c r="H2436" s="188">
        <f>_xlfn.AGGREGATE(2,5,LineærRegression_Valg[[#This Row],[Tabel ID]])</f>
        <v>1</v>
      </c>
    </row>
    <row r="2437" spans="1:8" x14ac:dyDescent="0.2">
      <c r="A2437">
        <f>ROW(LineærRegression_Valg[[#This Row],[Tabel ID]])-ROW(LineærRegression_Valg[[#Headers],[Tabel ID]])</f>
        <v>2427</v>
      </c>
      <c r="B2437" s="188">
        <f>ROUNDDOWN((LineærRegression_Valg[[#This Row],[Tabel ID]]-1)/$B$5,0)+1</f>
        <v>607</v>
      </c>
      <c r="C2437" s="188">
        <f t="shared" si="37"/>
        <v>3</v>
      </c>
      <c r="D2437" s="188" t="b">
        <f>LineærRegression_Valg[[#This Row],[Afhængig variabel ID]]&lt;&gt;LineærRegression_Valg[[#This Row],[Uafhængig variabel ID]]</f>
        <v>1</v>
      </c>
      <c r="E2437" s="188" t="b">
        <f>LineærRegression_Valg[[#This Row],[Afhængig variabel ID]]&lt;=$B$5</f>
        <v>0</v>
      </c>
      <c r="F2437" t="str" cm="1">
        <f t="array" ref="F2437">IF(LineærRegression_Valg[[#This Row],[Indenfor range]],INDEX(DataTitel_liste,LineærRegression_Valg[[#This Row],[Afhængig variabel ID]]),INDEX(DataTitel_liste,1))</f>
        <v>Eksempel 1 (interval)</v>
      </c>
      <c r="G2437" s="188" t="str" cm="1">
        <f t="array" ref="G2437">IF(LineærRegression_Valg[[#This Row],[Indenfor range]],IF(LineærRegression_Valg[[#This Row],[Intet overlap]],INDEX(DataTitel_liste,LineærRegression_Valg[[#This Row],[Uafhængig variabel ID]]),INDEX(DataTitel_liste,IF(LineærRegression_Valg[[#This Row],[Afhængig variabel ID]]=1,2,1))),$B$7)</f>
        <v>Eksempel 2 (interval)</v>
      </c>
      <c r="H2437" s="188">
        <f>_xlfn.AGGREGATE(2,5,LineærRegression_Valg[[#This Row],[Tabel ID]])</f>
        <v>1</v>
      </c>
    </row>
    <row r="2438" spans="1:8" x14ac:dyDescent="0.2">
      <c r="A2438">
        <f>ROW(LineærRegression_Valg[[#This Row],[Tabel ID]])-ROW(LineærRegression_Valg[[#Headers],[Tabel ID]])</f>
        <v>2428</v>
      </c>
      <c r="B2438" s="188">
        <f>ROUNDDOWN((LineærRegression_Valg[[#This Row],[Tabel ID]]-1)/$B$5,0)+1</f>
        <v>607</v>
      </c>
      <c r="C2438" s="188">
        <f t="shared" si="37"/>
        <v>4</v>
      </c>
      <c r="D2438" s="188" t="b">
        <f>LineærRegression_Valg[[#This Row],[Afhængig variabel ID]]&lt;&gt;LineærRegression_Valg[[#This Row],[Uafhængig variabel ID]]</f>
        <v>1</v>
      </c>
      <c r="E2438" s="188" t="b">
        <f>LineærRegression_Valg[[#This Row],[Afhængig variabel ID]]&lt;=$B$5</f>
        <v>0</v>
      </c>
      <c r="F2438" t="str" cm="1">
        <f t="array" ref="F2438">IF(LineærRegression_Valg[[#This Row],[Indenfor range]],INDEX(DataTitel_liste,LineærRegression_Valg[[#This Row],[Afhængig variabel ID]]),INDEX(DataTitel_liste,1))</f>
        <v>Eksempel 1 (interval)</v>
      </c>
      <c r="G2438" s="188" t="str" cm="1">
        <f t="array" ref="G2438">IF(LineærRegression_Valg[[#This Row],[Indenfor range]],IF(LineærRegression_Valg[[#This Row],[Intet overlap]],INDEX(DataTitel_liste,LineærRegression_Valg[[#This Row],[Uafhængig variabel ID]]),INDEX(DataTitel_liste,IF(LineærRegression_Valg[[#This Row],[Afhængig variabel ID]]=1,2,1))),$B$7)</f>
        <v>Eksempel 2 (interval)</v>
      </c>
      <c r="H2438" s="188">
        <f>_xlfn.AGGREGATE(2,5,LineærRegression_Valg[[#This Row],[Tabel ID]])</f>
        <v>1</v>
      </c>
    </row>
    <row r="2439" spans="1:8" x14ac:dyDescent="0.2">
      <c r="A2439">
        <f>ROW(LineærRegression_Valg[[#This Row],[Tabel ID]])-ROW(LineærRegression_Valg[[#Headers],[Tabel ID]])</f>
        <v>2429</v>
      </c>
      <c r="B2439" s="188">
        <f>ROUNDDOWN((LineærRegression_Valg[[#This Row],[Tabel ID]]-1)/$B$5,0)+1</f>
        <v>608</v>
      </c>
      <c r="C2439" s="188">
        <f t="shared" si="37"/>
        <v>1</v>
      </c>
      <c r="D2439" s="188" t="b">
        <f>LineærRegression_Valg[[#This Row],[Afhængig variabel ID]]&lt;&gt;LineærRegression_Valg[[#This Row],[Uafhængig variabel ID]]</f>
        <v>1</v>
      </c>
      <c r="E2439" s="188" t="b">
        <f>LineærRegression_Valg[[#This Row],[Afhængig variabel ID]]&lt;=$B$5</f>
        <v>0</v>
      </c>
      <c r="F2439" t="str" cm="1">
        <f t="array" ref="F2439">IF(LineærRegression_Valg[[#This Row],[Indenfor range]],INDEX(DataTitel_liste,LineærRegression_Valg[[#This Row],[Afhængig variabel ID]]),INDEX(DataTitel_liste,1))</f>
        <v>Eksempel 1 (interval)</v>
      </c>
      <c r="G2439" s="188" t="str" cm="1">
        <f t="array" ref="G2439">IF(LineærRegression_Valg[[#This Row],[Indenfor range]],IF(LineærRegression_Valg[[#This Row],[Intet overlap]],INDEX(DataTitel_liste,LineærRegression_Valg[[#This Row],[Uafhængig variabel ID]]),INDEX(DataTitel_liste,IF(LineærRegression_Valg[[#This Row],[Afhængig variabel ID]]=1,2,1))),$B$7)</f>
        <v>Eksempel 2 (interval)</v>
      </c>
      <c r="H2439" s="188">
        <f>_xlfn.AGGREGATE(2,5,LineærRegression_Valg[[#This Row],[Tabel ID]])</f>
        <v>1</v>
      </c>
    </row>
    <row r="2440" spans="1:8" x14ac:dyDescent="0.2">
      <c r="A2440">
        <f>ROW(LineærRegression_Valg[[#This Row],[Tabel ID]])-ROW(LineærRegression_Valg[[#Headers],[Tabel ID]])</f>
        <v>2430</v>
      </c>
      <c r="B2440" s="188">
        <f>ROUNDDOWN((LineærRegression_Valg[[#This Row],[Tabel ID]]-1)/$B$5,0)+1</f>
        <v>608</v>
      </c>
      <c r="C2440" s="188">
        <f t="shared" si="37"/>
        <v>2</v>
      </c>
      <c r="D2440" s="188" t="b">
        <f>LineærRegression_Valg[[#This Row],[Afhængig variabel ID]]&lt;&gt;LineærRegression_Valg[[#This Row],[Uafhængig variabel ID]]</f>
        <v>1</v>
      </c>
      <c r="E2440" s="188" t="b">
        <f>LineærRegression_Valg[[#This Row],[Afhængig variabel ID]]&lt;=$B$5</f>
        <v>0</v>
      </c>
      <c r="F2440" t="str" cm="1">
        <f t="array" ref="F2440">IF(LineærRegression_Valg[[#This Row],[Indenfor range]],INDEX(DataTitel_liste,LineærRegression_Valg[[#This Row],[Afhængig variabel ID]]),INDEX(DataTitel_liste,1))</f>
        <v>Eksempel 1 (interval)</v>
      </c>
      <c r="G2440" s="188" t="str" cm="1">
        <f t="array" ref="G2440">IF(LineærRegression_Valg[[#This Row],[Indenfor range]],IF(LineærRegression_Valg[[#This Row],[Intet overlap]],INDEX(DataTitel_liste,LineærRegression_Valg[[#This Row],[Uafhængig variabel ID]]),INDEX(DataTitel_liste,IF(LineærRegression_Valg[[#This Row],[Afhængig variabel ID]]=1,2,1))),$B$7)</f>
        <v>Eksempel 2 (interval)</v>
      </c>
      <c r="H2440" s="188">
        <f>_xlfn.AGGREGATE(2,5,LineærRegression_Valg[[#This Row],[Tabel ID]])</f>
        <v>1</v>
      </c>
    </row>
    <row r="2441" spans="1:8" x14ac:dyDescent="0.2">
      <c r="A2441">
        <f>ROW(LineærRegression_Valg[[#This Row],[Tabel ID]])-ROW(LineærRegression_Valg[[#Headers],[Tabel ID]])</f>
        <v>2431</v>
      </c>
      <c r="B2441" s="188">
        <f>ROUNDDOWN((LineærRegression_Valg[[#This Row],[Tabel ID]]-1)/$B$5,0)+1</f>
        <v>608</v>
      </c>
      <c r="C2441" s="188">
        <f t="shared" si="37"/>
        <v>3</v>
      </c>
      <c r="D2441" s="188" t="b">
        <f>LineærRegression_Valg[[#This Row],[Afhængig variabel ID]]&lt;&gt;LineærRegression_Valg[[#This Row],[Uafhængig variabel ID]]</f>
        <v>1</v>
      </c>
      <c r="E2441" s="188" t="b">
        <f>LineærRegression_Valg[[#This Row],[Afhængig variabel ID]]&lt;=$B$5</f>
        <v>0</v>
      </c>
      <c r="F2441" t="str" cm="1">
        <f t="array" ref="F2441">IF(LineærRegression_Valg[[#This Row],[Indenfor range]],INDEX(DataTitel_liste,LineærRegression_Valg[[#This Row],[Afhængig variabel ID]]),INDEX(DataTitel_liste,1))</f>
        <v>Eksempel 1 (interval)</v>
      </c>
      <c r="G2441" s="188" t="str" cm="1">
        <f t="array" ref="G2441">IF(LineærRegression_Valg[[#This Row],[Indenfor range]],IF(LineærRegression_Valg[[#This Row],[Intet overlap]],INDEX(DataTitel_liste,LineærRegression_Valg[[#This Row],[Uafhængig variabel ID]]),INDEX(DataTitel_liste,IF(LineærRegression_Valg[[#This Row],[Afhængig variabel ID]]=1,2,1))),$B$7)</f>
        <v>Eksempel 2 (interval)</v>
      </c>
      <c r="H2441" s="188">
        <f>_xlfn.AGGREGATE(2,5,LineærRegression_Valg[[#This Row],[Tabel ID]])</f>
        <v>1</v>
      </c>
    </row>
    <row r="2442" spans="1:8" x14ac:dyDescent="0.2">
      <c r="A2442">
        <f>ROW(LineærRegression_Valg[[#This Row],[Tabel ID]])-ROW(LineærRegression_Valg[[#Headers],[Tabel ID]])</f>
        <v>2432</v>
      </c>
      <c r="B2442" s="188">
        <f>ROUNDDOWN((LineærRegression_Valg[[#This Row],[Tabel ID]]-1)/$B$5,0)+1</f>
        <v>608</v>
      </c>
      <c r="C2442" s="188">
        <f t="shared" si="37"/>
        <v>4</v>
      </c>
      <c r="D2442" s="188" t="b">
        <f>LineærRegression_Valg[[#This Row],[Afhængig variabel ID]]&lt;&gt;LineærRegression_Valg[[#This Row],[Uafhængig variabel ID]]</f>
        <v>1</v>
      </c>
      <c r="E2442" s="188" t="b">
        <f>LineærRegression_Valg[[#This Row],[Afhængig variabel ID]]&lt;=$B$5</f>
        <v>0</v>
      </c>
      <c r="F2442" t="str" cm="1">
        <f t="array" ref="F2442">IF(LineærRegression_Valg[[#This Row],[Indenfor range]],INDEX(DataTitel_liste,LineærRegression_Valg[[#This Row],[Afhængig variabel ID]]),INDEX(DataTitel_liste,1))</f>
        <v>Eksempel 1 (interval)</v>
      </c>
      <c r="G2442" s="188" t="str" cm="1">
        <f t="array" ref="G2442">IF(LineærRegression_Valg[[#This Row],[Indenfor range]],IF(LineærRegression_Valg[[#This Row],[Intet overlap]],INDEX(DataTitel_liste,LineærRegression_Valg[[#This Row],[Uafhængig variabel ID]]),INDEX(DataTitel_liste,IF(LineærRegression_Valg[[#This Row],[Afhængig variabel ID]]=1,2,1))),$B$7)</f>
        <v>Eksempel 2 (interval)</v>
      </c>
      <c r="H2442" s="188">
        <f>_xlfn.AGGREGATE(2,5,LineærRegression_Valg[[#This Row],[Tabel ID]])</f>
        <v>1</v>
      </c>
    </row>
    <row r="2443" spans="1:8" x14ac:dyDescent="0.2">
      <c r="A2443">
        <f>ROW(LineærRegression_Valg[[#This Row],[Tabel ID]])-ROW(LineærRegression_Valg[[#Headers],[Tabel ID]])</f>
        <v>2433</v>
      </c>
      <c r="B2443" s="188">
        <f>ROUNDDOWN((LineærRegression_Valg[[#This Row],[Tabel ID]]-1)/$B$5,0)+1</f>
        <v>609</v>
      </c>
      <c r="C2443" s="188">
        <f t="shared" ref="C2443:C2510" si="38">MOD(A2443-1,$B$5)+1</f>
        <v>1</v>
      </c>
      <c r="D2443" s="188" t="b">
        <f>LineærRegression_Valg[[#This Row],[Afhængig variabel ID]]&lt;&gt;LineærRegression_Valg[[#This Row],[Uafhængig variabel ID]]</f>
        <v>1</v>
      </c>
      <c r="E2443" s="188" t="b">
        <f>LineærRegression_Valg[[#This Row],[Afhængig variabel ID]]&lt;=$B$5</f>
        <v>0</v>
      </c>
      <c r="F2443" t="str" cm="1">
        <f t="array" ref="F2443">IF(LineærRegression_Valg[[#This Row],[Indenfor range]],INDEX(DataTitel_liste,LineærRegression_Valg[[#This Row],[Afhængig variabel ID]]),INDEX(DataTitel_liste,1))</f>
        <v>Eksempel 1 (interval)</v>
      </c>
      <c r="G2443" s="188" t="str" cm="1">
        <f t="array" ref="G2443">IF(LineærRegression_Valg[[#This Row],[Indenfor range]],IF(LineærRegression_Valg[[#This Row],[Intet overlap]],INDEX(DataTitel_liste,LineærRegression_Valg[[#This Row],[Uafhængig variabel ID]]),INDEX(DataTitel_liste,IF(LineærRegression_Valg[[#This Row],[Afhængig variabel ID]]=1,2,1))),$B$7)</f>
        <v>Eksempel 2 (interval)</v>
      </c>
      <c r="H2443" s="188">
        <f>_xlfn.AGGREGATE(2,5,LineærRegression_Valg[[#This Row],[Tabel ID]])</f>
        <v>1</v>
      </c>
    </row>
    <row r="2444" spans="1:8" x14ac:dyDescent="0.2">
      <c r="A2444">
        <f>ROW(LineærRegression_Valg[[#This Row],[Tabel ID]])-ROW(LineærRegression_Valg[[#Headers],[Tabel ID]])</f>
        <v>2434</v>
      </c>
      <c r="B2444" s="188">
        <f>ROUNDDOWN((LineærRegression_Valg[[#This Row],[Tabel ID]]-1)/$B$5,0)+1</f>
        <v>609</v>
      </c>
      <c r="C2444" s="188">
        <f t="shared" si="38"/>
        <v>2</v>
      </c>
      <c r="D2444" s="188" t="b">
        <f>LineærRegression_Valg[[#This Row],[Afhængig variabel ID]]&lt;&gt;LineærRegression_Valg[[#This Row],[Uafhængig variabel ID]]</f>
        <v>1</v>
      </c>
      <c r="E2444" s="188" t="b">
        <f>LineærRegression_Valg[[#This Row],[Afhængig variabel ID]]&lt;=$B$5</f>
        <v>0</v>
      </c>
      <c r="F2444" t="str" cm="1">
        <f t="array" ref="F2444">IF(LineærRegression_Valg[[#This Row],[Indenfor range]],INDEX(DataTitel_liste,LineærRegression_Valg[[#This Row],[Afhængig variabel ID]]),INDEX(DataTitel_liste,1))</f>
        <v>Eksempel 1 (interval)</v>
      </c>
      <c r="G2444" s="188" t="str" cm="1">
        <f t="array" ref="G2444">IF(LineærRegression_Valg[[#This Row],[Indenfor range]],IF(LineærRegression_Valg[[#This Row],[Intet overlap]],INDEX(DataTitel_liste,LineærRegression_Valg[[#This Row],[Uafhængig variabel ID]]),INDEX(DataTitel_liste,IF(LineærRegression_Valg[[#This Row],[Afhængig variabel ID]]=1,2,1))),$B$7)</f>
        <v>Eksempel 2 (interval)</v>
      </c>
      <c r="H2444" s="188">
        <f>_xlfn.AGGREGATE(2,5,LineærRegression_Valg[[#This Row],[Tabel ID]])</f>
        <v>1</v>
      </c>
    </row>
    <row r="2445" spans="1:8" x14ac:dyDescent="0.2">
      <c r="A2445">
        <f>ROW(LineærRegression_Valg[[#This Row],[Tabel ID]])-ROW(LineærRegression_Valg[[#Headers],[Tabel ID]])</f>
        <v>2435</v>
      </c>
      <c r="B2445" s="188">
        <f>ROUNDDOWN((LineærRegression_Valg[[#This Row],[Tabel ID]]-1)/$B$5,0)+1</f>
        <v>609</v>
      </c>
      <c r="C2445" s="188">
        <f t="shared" si="38"/>
        <v>3</v>
      </c>
      <c r="D2445" s="188" t="b">
        <f>LineærRegression_Valg[[#This Row],[Afhængig variabel ID]]&lt;&gt;LineærRegression_Valg[[#This Row],[Uafhængig variabel ID]]</f>
        <v>1</v>
      </c>
      <c r="E2445" s="188" t="b">
        <f>LineærRegression_Valg[[#This Row],[Afhængig variabel ID]]&lt;=$B$5</f>
        <v>0</v>
      </c>
      <c r="F2445" t="str" cm="1">
        <f t="array" ref="F2445">IF(LineærRegression_Valg[[#This Row],[Indenfor range]],INDEX(DataTitel_liste,LineærRegression_Valg[[#This Row],[Afhængig variabel ID]]),INDEX(DataTitel_liste,1))</f>
        <v>Eksempel 1 (interval)</v>
      </c>
      <c r="G2445" s="188" t="str" cm="1">
        <f t="array" ref="G2445">IF(LineærRegression_Valg[[#This Row],[Indenfor range]],IF(LineærRegression_Valg[[#This Row],[Intet overlap]],INDEX(DataTitel_liste,LineærRegression_Valg[[#This Row],[Uafhængig variabel ID]]),INDEX(DataTitel_liste,IF(LineærRegression_Valg[[#This Row],[Afhængig variabel ID]]=1,2,1))),$B$7)</f>
        <v>Eksempel 2 (interval)</v>
      </c>
      <c r="H2445" s="188">
        <f>_xlfn.AGGREGATE(2,5,LineærRegression_Valg[[#This Row],[Tabel ID]])</f>
        <v>1</v>
      </c>
    </row>
    <row r="2446" spans="1:8" x14ac:dyDescent="0.2">
      <c r="A2446">
        <f>ROW(LineærRegression_Valg[[#This Row],[Tabel ID]])-ROW(LineærRegression_Valg[[#Headers],[Tabel ID]])</f>
        <v>2436</v>
      </c>
      <c r="B2446" s="188">
        <f>ROUNDDOWN((LineærRegression_Valg[[#This Row],[Tabel ID]]-1)/$B$5,0)+1</f>
        <v>609</v>
      </c>
      <c r="C2446" s="188">
        <f t="shared" si="38"/>
        <v>4</v>
      </c>
      <c r="D2446" s="188" t="b">
        <f>LineærRegression_Valg[[#This Row],[Afhængig variabel ID]]&lt;&gt;LineærRegression_Valg[[#This Row],[Uafhængig variabel ID]]</f>
        <v>1</v>
      </c>
      <c r="E2446" s="188" t="b">
        <f>LineærRegression_Valg[[#This Row],[Afhængig variabel ID]]&lt;=$B$5</f>
        <v>0</v>
      </c>
      <c r="F2446" t="str" cm="1">
        <f t="array" ref="F2446">IF(LineærRegression_Valg[[#This Row],[Indenfor range]],INDEX(DataTitel_liste,LineærRegression_Valg[[#This Row],[Afhængig variabel ID]]),INDEX(DataTitel_liste,1))</f>
        <v>Eksempel 1 (interval)</v>
      </c>
      <c r="G2446" s="188" t="str" cm="1">
        <f t="array" ref="G2446">IF(LineærRegression_Valg[[#This Row],[Indenfor range]],IF(LineærRegression_Valg[[#This Row],[Intet overlap]],INDEX(DataTitel_liste,LineærRegression_Valg[[#This Row],[Uafhængig variabel ID]]),INDEX(DataTitel_liste,IF(LineærRegression_Valg[[#This Row],[Afhængig variabel ID]]=1,2,1))),$B$7)</f>
        <v>Eksempel 2 (interval)</v>
      </c>
      <c r="H2446" s="188">
        <f>_xlfn.AGGREGATE(2,5,LineærRegression_Valg[[#This Row],[Tabel ID]])</f>
        <v>1</v>
      </c>
    </row>
    <row r="2447" spans="1:8" x14ac:dyDescent="0.2">
      <c r="A2447">
        <f>ROW(LineærRegression_Valg[[#This Row],[Tabel ID]])-ROW(LineærRegression_Valg[[#Headers],[Tabel ID]])</f>
        <v>2437</v>
      </c>
      <c r="B2447" s="188">
        <f>ROUNDDOWN((LineærRegression_Valg[[#This Row],[Tabel ID]]-1)/$B$5,0)+1</f>
        <v>610</v>
      </c>
      <c r="C2447" s="188">
        <f t="shared" si="38"/>
        <v>1</v>
      </c>
      <c r="D2447" s="188" t="b">
        <f>LineærRegression_Valg[[#This Row],[Afhængig variabel ID]]&lt;&gt;LineærRegression_Valg[[#This Row],[Uafhængig variabel ID]]</f>
        <v>1</v>
      </c>
      <c r="E2447" s="188" t="b">
        <f>LineærRegression_Valg[[#This Row],[Afhængig variabel ID]]&lt;=$B$5</f>
        <v>0</v>
      </c>
      <c r="F2447" t="str" cm="1">
        <f t="array" ref="F2447">IF(LineærRegression_Valg[[#This Row],[Indenfor range]],INDEX(DataTitel_liste,LineærRegression_Valg[[#This Row],[Afhængig variabel ID]]),INDEX(DataTitel_liste,1))</f>
        <v>Eksempel 1 (interval)</v>
      </c>
      <c r="G2447" s="188" t="str" cm="1">
        <f t="array" ref="G2447">IF(LineærRegression_Valg[[#This Row],[Indenfor range]],IF(LineærRegression_Valg[[#This Row],[Intet overlap]],INDEX(DataTitel_liste,LineærRegression_Valg[[#This Row],[Uafhængig variabel ID]]),INDEX(DataTitel_liste,IF(LineærRegression_Valg[[#This Row],[Afhængig variabel ID]]=1,2,1))),$B$7)</f>
        <v>Eksempel 2 (interval)</v>
      </c>
      <c r="H2447" s="188">
        <f>_xlfn.AGGREGATE(2,5,LineærRegression_Valg[[#This Row],[Tabel ID]])</f>
        <v>1</v>
      </c>
    </row>
    <row r="2448" spans="1:8" x14ac:dyDescent="0.2">
      <c r="A2448">
        <f>ROW(LineærRegression_Valg[[#This Row],[Tabel ID]])-ROW(LineærRegression_Valg[[#Headers],[Tabel ID]])</f>
        <v>2438</v>
      </c>
      <c r="B2448" s="188">
        <f>ROUNDDOWN((LineærRegression_Valg[[#This Row],[Tabel ID]]-1)/$B$5,0)+1</f>
        <v>610</v>
      </c>
      <c r="C2448" s="188">
        <f t="shared" si="38"/>
        <v>2</v>
      </c>
      <c r="D2448" s="188" t="b">
        <f>LineærRegression_Valg[[#This Row],[Afhængig variabel ID]]&lt;&gt;LineærRegression_Valg[[#This Row],[Uafhængig variabel ID]]</f>
        <v>1</v>
      </c>
      <c r="E2448" s="188" t="b">
        <f>LineærRegression_Valg[[#This Row],[Afhængig variabel ID]]&lt;=$B$5</f>
        <v>0</v>
      </c>
      <c r="F2448" t="str" cm="1">
        <f t="array" ref="F2448">IF(LineærRegression_Valg[[#This Row],[Indenfor range]],INDEX(DataTitel_liste,LineærRegression_Valg[[#This Row],[Afhængig variabel ID]]),INDEX(DataTitel_liste,1))</f>
        <v>Eksempel 1 (interval)</v>
      </c>
      <c r="G2448" s="188" t="str" cm="1">
        <f t="array" ref="G2448">IF(LineærRegression_Valg[[#This Row],[Indenfor range]],IF(LineærRegression_Valg[[#This Row],[Intet overlap]],INDEX(DataTitel_liste,LineærRegression_Valg[[#This Row],[Uafhængig variabel ID]]),INDEX(DataTitel_liste,IF(LineærRegression_Valg[[#This Row],[Afhængig variabel ID]]=1,2,1))),$B$7)</f>
        <v>Eksempel 2 (interval)</v>
      </c>
      <c r="H2448" s="188">
        <f>_xlfn.AGGREGATE(2,5,LineærRegression_Valg[[#This Row],[Tabel ID]])</f>
        <v>1</v>
      </c>
    </row>
    <row r="2449" spans="1:8" x14ac:dyDescent="0.2">
      <c r="A2449">
        <f>ROW(LineærRegression_Valg[[#This Row],[Tabel ID]])-ROW(LineærRegression_Valg[[#Headers],[Tabel ID]])</f>
        <v>2439</v>
      </c>
      <c r="B2449" s="188">
        <f>ROUNDDOWN((LineærRegression_Valg[[#This Row],[Tabel ID]]-1)/$B$5,0)+1</f>
        <v>610</v>
      </c>
      <c r="C2449" s="188">
        <f t="shared" si="38"/>
        <v>3</v>
      </c>
      <c r="D2449" s="188" t="b">
        <f>LineærRegression_Valg[[#This Row],[Afhængig variabel ID]]&lt;&gt;LineærRegression_Valg[[#This Row],[Uafhængig variabel ID]]</f>
        <v>1</v>
      </c>
      <c r="E2449" s="188" t="b">
        <f>LineærRegression_Valg[[#This Row],[Afhængig variabel ID]]&lt;=$B$5</f>
        <v>0</v>
      </c>
      <c r="F2449" t="str" cm="1">
        <f t="array" ref="F2449">IF(LineærRegression_Valg[[#This Row],[Indenfor range]],INDEX(DataTitel_liste,LineærRegression_Valg[[#This Row],[Afhængig variabel ID]]),INDEX(DataTitel_liste,1))</f>
        <v>Eksempel 1 (interval)</v>
      </c>
      <c r="G2449" s="188" t="str" cm="1">
        <f t="array" ref="G2449">IF(LineærRegression_Valg[[#This Row],[Indenfor range]],IF(LineærRegression_Valg[[#This Row],[Intet overlap]],INDEX(DataTitel_liste,LineærRegression_Valg[[#This Row],[Uafhængig variabel ID]]),INDEX(DataTitel_liste,IF(LineærRegression_Valg[[#This Row],[Afhængig variabel ID]]=1,2,1))),$B$7)</f>
        <v>Eksempel 2 (interval)</v>
      </c>
      <c r="H2449" s="188">
        <f>_xlfn.AGGREGATE(2,5,LineærRegression_Valg[[#This Row],[Tabel ID]])</f>
        <v>1</v>
      </c>
    </row>
    <row r="2450" spans="1:8" x14ac:dyDescent="0.2">
      <c r="A2450">
        <f>ROW(LineærRegression_Valg[[#This Row],[Tabel ID]])-ROW(LineærRegression_Valg[[#Headers],[Tabel ID]])</f>
        <v>2440</v>
      </c>
      <c r="B2450" s="188">
        <f>ROUNDDOWN((LineærRegression_Valg[[#This Row],[Tabel ID]]-1)/$B$5,0)+1</f>
        <v>610</v>
      </c>
      <c r="C2450" s="188">
        <f t="shared" si="38"/>
        <v>4</v>
      </c>
      <c r="D2450" s="188" t="b">
        <f>LineærRegression_Valg[[#This Row],[Afhængig variabel ID]]&lt;&gt;LineærRegression_Valg[[#This Row],[Uafhængig variabel ID]]</f>
        <v>1</v>
      </c>
      <c r="E2450" s="188" t="b">
        <f>LineærRegression_Valg[[#This Row],[Afhængig variabel ID]]&lt;=$B$5</f>
        <v>0</v>
      </c>
      <c r="F2450" t="str" cm="1">
        <f t="array" ref="F2450">IF(LineærRegression_Valg[[#This Row],[Indenfor range]],INDEX(DataTitel_liste,LineærRegression_Valg[[#This Row],[Afhængig variabel ID]]),INDEX(DataTitel_liste,1))</f>
        <v>Eksempel 1 (interval)</v>
      </c>
      <c r="G2450" s="188" t="str" cm="1">
        <f t="array" ref="G2450">IF(LineærRegression_Valg[[#This Row],[Indenfor range]],IF(LineærRegression_Valg[[#This Row],[Intet overlap]],INDEX(DataTitel_liste,LineærRegression_Valg[[#This Row],[Uafhængig variabel ID]]),INDEX(DataTitel_liste,IF(LineærRegression_Valg[[#This Row],[Afhængig variabel ID]]=1,2,1))),$B$7)</f>
        <v>Eksempel 2 (interval)</v>
      </c>
      <c r="H2450" s="188">
        <f>_xlfn.AGGREGATE(2,5,LineærRegression_Valg[[#This Row],[Tabel ID]])</f>
        <v>1</v>
      </c>
    </row>
    <row r="2451" spans="1:8" x14ac:dyDescent="0.2">
      <c r="A2451">
        <f>ROW(LineærRegression_Valg[[#This Row],[Tabel ID]])-ROW(LineærRegression_Valg[[#Headers],[Tabel ID]])</f>
        <v>2441</v>
      </c>
      <c r="B2451" s="188">
        <f>ROUNDDOWN((LineærRegression_Valg[[#This Row],[Tabel ID]]-1)/$B$5,0)+1</f>
        <v>611</v>
      </c>
      <c r="C2451" s="188">
        <f t="shared" si="38"/>
        <v>1</v>
      </c>
      <c r="D2451" s="188" t="b">
        <f>LineærRegression_Valg[[#This Row],[Afhængig variabel ID]]&lt;&gt;LineærRegression_Valg[[#This Row],[Uafhængig variabel ID]]</f>
        <v>1</v>
      </c>
      <c r="E2451" s="188" t="b">
        <f>LineærRegression_Valg[[#This Row],[Afhængig variabel ID]]&lt;=$B$5</f>
        <v>0</v>
      </c>
      <c r="F2451" t="str" cm="1">
        <f t="array" ref="F2451">IF(LineærRegression_Valg[[#This Row],[Indenfor range]],INDEX(DataTitel_liste,LineærRegression_Valg[[#This Row],[Afhængig variabel ID]]),INDEX(DataTitel_liste,1))</f>
        <v>Eksempel 1 (interval)</v>
      </c>
      <c r="G2451" s="188" t="str" cm="1">
        <f t="array" ref="G2451">IF(LineærRegression_Valg[[#This Row],[Indenfor range]],IF(LineærRegression_Valg[[#This Row],[Intet overlap]],INDEX(DataTitel_liste,LineærRegression_Valg[[#This Row],[Uafhængig variabel ID]]),INDEX(DataTitel_liste,IF(LineærRegression_Valg[[#This Row],[Afhængig variabel ID]]=1,2,1))),$B$7)</f>
        <v>Eksempel 2 (interval)</v>
      </c>
      <c r="H2451" s="188">
        <f>_xlfn.AGGREGATE(2,5,LineærRegression_Valg[[#This Row],[Tabel ID]])</f>
        <v>1</v>
      </c>
    </row>
    <row r="2452" spans="1:8" x14ac:dyDescent="0.2">
      <c r="A2452">
        <f>ROW(LineærRegression_Valg[[#This Row],[Tabel ID]])-ROW(LineærRegression_Valg[[#Headers],[Tabel ID]])</f>
        <v>2442</v>
      </c>
      <c r="B2452" s="188">
        <f>ROUNDDOWN((LineærRegression_Valg[[#This Row],[Tabel ID]]-1)/$B$5,0)+1</f>
        <v>611</v>
      </c>
      <c r="C2452" s="188">
        <f t="shared" si="38"/>
        <v>2</v>
      </c>
      <c r="D2452" s="188" t="b">
        <f>LineærRegression_Valg[[#This Row],[Afhængig variabel ID]]&lt;&gt;LineærRegression_Valg[[#This Row],[Uafhængig variabel ID]]</f>
        <v>1</v>
      </c>
      <c r="E2452" s="188" t="b">
        <f>LineærRegression_Valg[[#This Row],[Afhængig variabel ID]]&lt;=$B$5</f>
        <v>0</v>
      </c>
      <c r="F2452" t="str" cm="1">
        <f t="array" ref="F2452">IF(LineærRegression_Valg[[#This Row],[Indenfor range]],INDEX(DataTitel_liste,LineærRegression_Valg[[#This Row],[Afhængig variabel ID]]),INDEX(DataTitel_liste,1))</f>
        <v>Eksempel 1 (interval)</v>
      </c>
      <c r="G2452" s="188" t="str" cm="1">
        <f t="array" ref="G2452">IF(LineærRegression_Valg[[#This Row],[Indenfor range]],IF(LineærRegression_Valg[[#This Row],[Intet overlap]],INDEX(DataTitel_liste,LineærRegression_Valg[[#This Row],[Uafhængig variabel ID]]),INDEX(DataTitel_liste,IF(LineærRegression_Valg[[#This Row],[Afhængig variabel ID]]=1,2,1))),$B$7)</f>
        <v>Eksempel 2 (interval)</v>
      </c>
      <c r="H2452" s="188">
        <f>_xlfn.AGGREGATE(2,5,LineærRegression_Valg[[#This Row],[Tabel ID]])</f>
        <v>1</v>
      </c>
    </row>
    <row r="2453" spans="1:8" x14ac:dyDescent="0.2">
      <c r="A2453">
        <f>ROW(LineærRegression_Valg[[#This Row],[Tabel ID]])-ROW(LineærRegression_Valg[[#Headers],[Tabel ID]])</f>
        <v>2443</v>
      </c>
      <c r="B2453" s="188">
        <f>ROUNDDOWN((LineærRegression_Valg[[#This Row],[Tabel ID]]-1)/$B$5,0)+1</f>
        <v>611</v>
      </c>
      <c r="C2453" s="188">
        <f t="shared" si="38"/>
        <v>3</v>
      </c>
      <c r="D2453" s="188" t="b">
        <f>LineærRegression_Valg[[#This Row],[Afhængig variabel ID]]&lt;&gt;LineærRegression_Valg[[#This Row],[Uafhængig variabel ID]]</f>
        <v>1</v>
      </c>
      <c r="E2453" s="188" t="b">
        <f>LineærRegression_Valg[[#This Row],[Afhængig variabel ID]]&lt;=$B$5</f>
        <v>0</v>
      </c>
      <c r="F2453" t="str" cm="1">
        <f t="array" ref="F2453">IF(LineærRegression_Valg[[#This Row],[Indenfor range]],INDEX(DataTitel_liste,LineærRegression_Valg[[#This Row],[Afhængig variabel ID]]),INDEX(DataTitel_liste,1))</f>
        <v>Eksempel 1 (interval)</v>
      </c>
      <c r="G2453" s="188" t="str" cm="1">
        <f t="array" ref="G2453">IF(LineærRegression_Valg[[#This Row],[Indenfor range]],IF(LineærRegression_Valg[[#This Row],[Intet overlap]],INDEX(DataTitel_liste,LineærRegression_Valg[[#This Row],[Uafhængig variabel ID]]),INDEX(DataTitel_liste,IF(LineærRegression_Valg[[#This Row],[Afhængig variabel ID]]=1,2,1))),$B$7)</f>
        <v>Eksempel 2 (interval)</v>
      </c>
      <c r="H2453" s="188">
        <f>_xlfn.AGGREGATE(2,5,LineærRegression_Valg[[#This Row],[Tabel ID]])</f>
        <v>1</v>
      </c>
    </row>
    <row r="2454" spans="1:8" x14ac:dyDescent="0.2">
      <c r="A2454">
        <f>ROW(LineærRegression_Valg[[#This Row],[Tabel ID]])-ROW(LineærRegression_Valg[[#Headers],[Tabel ID]])</f>
        <v>2444</v>
      </c>
      <c r="B2454" s="188">
        <f>ROUNDDOWN((LineærRegression_Valg[[#This Row],[Tabel ID]]-1)/$B$5,0)+1</f>
        <v>611</v>
      </c>
      <c r="C2454" s="188">
        <f t="shared" si="38"/>
        <v>4</v>
      </c>
      <c r="D2454" s="188" t="b">
        <f>LineærRegression_Valg[[#This Row],[Afhængig variabel ID]]&lt;&gt;LineærRegression_Valg[[#This Row],[Uafhængig variabel ID]]</f>
        <v>1</v>
      </c>
      <c r="E2454" s="188" t="b">
        <f>LineærRegression_Valg[[#This Row],[Afhængig variabel ID]]&lt;=$B$5</f>
        <v>0</v>
      </c>
      <c r="F2454" t="str" cm="1">
        <f t="array" ref="F2454">IF(LineærRegression_Valg[[#This Row],[Indenfor range]],INDEX(DataTitel_liste,LineærRegression_Valg[[#This Row],[Afhængig variabel ID]]),INDEX(DataTitel_liste,1))</f>
        <v>Eksempel 1 (interval)</v>
      </c>
      <c r="G2454" s="188" t="str" cm="1">
        <f t="array" ref="G2454">IF(LineærRegression_Valg[[#This Row],[Indenfor range]],IF(LineærRegression_Valg[[#This Row],[Intet overlap]],INDEX(DataTitel_liste,LineærRegression_Valg[[#This Row],[Uafhængig variabel ID]]),INDEX(DataTitel_liste,IF(LineærRegression_Valg[[#This Row],[Afhængig variabel ID]]=1,2,1))),$B$7)</f>
        <v>Eksempel 2 (interval)</v>
      </c>
      <c r="H2454" s="188">
        <f>_xlfn.AGGREGATE(2,5,LineærRegression_Valg[[#This Row],[Tabel ID]])</f>
        <v>1</v>
      </c>
    </row>
    <row r="2455" spans="1:8" x14ac:dyDescent="0.2">
      <c r="A2455">
        <f>ROW(LineærRegression_Valg[[#This Row],[Tabel ID]])-ROW(LineærRegression_Valg[[#Headers],[Tabel ID]])</f>
        <v>2445</v>
      </c>
      <c r="B2455" s="188">
        <f>ROUNDDOWN((LineærRegression_Valg[[#This Row],[Tabel ID]]-1)/$B$5,0)+1</f>
        <v>612</v>
      </c>
      <c r="C2455" s="188">
        <f t="shared" si="38"/>
        <v>1</v>
      </c>
      <c r="D2455" s="188" t="b">
        <f>LineærRegression_Valg[[#This Row],[Afhængig variabel ID]]&lt;&gt;LineærRegression_Valg[[#This Row],[Uafhængig variabel ID]]</f>
        <v>1</v>
      </c>
      <c r="E2455" s="188" t="b">
        <f>LineærRegression_Valg[[#This Row],[Afhængig variabel ID]]&lt;=$B$5</f>
        <v>0</v>
      </c>
      <c r="F2455" t="str" cm="1">
        <f t="array" ref="F2455">IF(LineærRegression_Valg[[#This Row],[Indenfor range]],INDEX(DataTitel_liste,LineærRegression_Valg[[#This Row],[Afhængig variabel ID]]),INDEX(DataTitel_liste,1))</f>
        <v>Eksempel 1 (interval)</v>
      </c>
      <c r="G2455" s="188" t="str" cm="1">
        <f t="array" ref="G2455">IF(LineærRegression_Valg[[#This Row],[Indenfor range]],IF(LineærRegression_Valg[[#This Row],[Intet overlap]],INDEX(DataTitel_liste,LineærRegression_Valg[[#This Row],[Uafhængig variabel ID]]),INDEX(DataTitel_liste,IF(LineærRegression_Valg[[#This Row],[Afhængig variabel ID]]=1,2,1))),$B$7)</f>
        <v>Eksempel 2 (interval)</v>
      </c>
      <c r="H2455" s="188">
        <f>_xlfn.AGGREGATE(2,5,LineærRegression_Valg[[#This Row],[Tabel ID]])</f>
        <v>1</v>
      </c>
    </row>
    <row r="2456" spans="1:8" x14ac:dyDescent="0.2">
      <c r="A2456">
        <f>ROW(LineærRegression_Valg[[#This Row],[Tabel ID]])-ROW(LineærRegression_Valg[[#Headers],[Tabel ID]])</f>
        <v>2446</v>
      </c>
      <c r="B2456" s="188">
        <f>ROUNDDOWN((LineærRegression_Valg[[#This Row],[Tabel ID]]-1)/$B$5,0)+1</f>
        <v>612</v>
      </c>
      <c r="C2456" s="188">
        <f t="shared" si="38"/>
        <v>2</v>
      </c>
      <c r="D2456" s="188" t="b">
        <f>LineærRegression_Valg[[#This Row],[Afhængig variabel ID]]&lt;&gt;LineærRegression_Valg[[#This Row],[Uafhængig variabel ID]]</f>
        <v>1</v>
      </c>
      <c r="E2456" s="188" t="b">
        <f>LineærRegression_Valg[[#This Row],[Afhængig variabel ID]]&lt;=$B$5</f>
        <v>0</v>
      </c>
      <c r="F2456" t="str" cm="1">
        <f t="array" ref="F2456">IF(LineærRegression_Valg[[#This Row],[Indenfor range]],INDEX(DataTitel_liste,LineærRegression_Valg[[#This Row],[Afhængig variabel ID]]),INDEX(DataTitel_liste,1))</f>
        <v>Eksempel 1 (interval)</v>
      </c>
      <c r="G2456" s="188" t="str" cm="1">
        <f t="array" ref="G2456">IF(LineærRegression_Valg[[#This Row],[Indenfor range]],IF(LineærRegression_Valg[[#This Row],[Intet overlap]],INDEX(DataTitel_liste,LineærRegression_Valg[[#This Row],[Uafhængig variabel ID]]),INDEX(DataTitel_liste,IF(LineærRegression_Valg[[#This Row],[Afhængig variabel ID]]=1,2,1))),$B$7)</f>
        <v>Eksempel 2 (interval)</v>
      </c>
      <c r="H2456" s="188">
        <f>_xlfn.AGGREGATE(2,5,LineærRegression_Valg[[#This Row],[Tabel ID]])</f>
        <v>1</v>
      </c>
    </row>
    <row r="2457" spans="1:8" x14ac:dyDescent="0.2">
      <c r="A2457">
        <f>ROW(LineærRegression_Valg[[#This Row],[Tabel ID]])-ROW(LineærRegression_Valg[[#Headers],[Tabel ID]])</f>
        <v>2447</v>
      </c>
      <c r="B2457" s="188">
        <f>ROUNDDOWN((LineærRegression_Valg[[#This Row],[Tabel ID]]-1)/$B$5,0)+1</f>
        <v>612</v>
      </c>
      <c r="C2457" s="188">
        <f t="shared" si="38"/>
        <v>3</v>
      </c>
      <c r="D2457" s="188" t="b">
        <f>LineærRegression_Valg[[#This Row],[Afhængig variabel ID]]&lt;&gt;LineærRegression_Valg[[#This Row],[Uafhængig variabel ID]]</f>
        <v>1</v>
      </c>
      <c r="E2457" s="188" t="b">
        <f>LineærRegression_Valg[[#This Row],[Afhængig variabel ID]]&lt;=$B$5</f>
        <v>0</v>
      </c>
      <c r="F2457" t="str" cm="1">
        <f t="array" ref="F2457">IF(LineærRegression_Valg[[#This Row],[Indenfor range]],INDEX(DataTitel_liste,LineærRegression_Valg[[#This Row],[Afhængig variabel ID]]),INDEX(DataTitel_liste,1))</f>
        <v>Eksempel 1 (interval)</v>
      </c>
      <c r="G2457" s="188" t="str" cm="1">
        <f t="array" ref="G2457">IF(LineærRegression_Valg[[#This Row],[Indenfor range]],IF(LineærRegression_Valg[[#This Row],[Intet overlap]],INDEX(DataTitel_liste,LineærRegression_Valg[[#This Row],[Uafhængig variabel ID]]),INDEX(DataTitel_liste,IF(LineærRegression_Valg[[#This Row],[Afhængig variabel ID]]=1,2,1))),$B$7)</f>
        <v>Eksempel 2 (interval)</v>
      </c>
      <c r="H2457" s="188">
        <f>_xlfn.AGGREGATE(2,5,LineærRegression_Valg[[#This Row],[Tabel ID]])</f>
        <v>1</v>
      </c>
    </row>
    <row r="2458" spans="1:8" x14ac:dyDescent="0.2">
      <c r="A2458">
        <f>ROW(LineærRegression_Valg[[#This Row],[Tabel ID]])-ROW(LineærRegression_Valg[[#Headers],[Tabel ID]])</f>
        <v>2448</v>
      </c>
      <c r="B2458" s="188">
        <f>ROUNDDOWN((LineærRegression_Valg[[#This Row],[Tabel ID]]-1)/$B$5,0)+1</f>
        <v>612</v>
      </c>
      <c r="C2458" s="188">
        <f t="shared" si="38"/>
        <v>4</v>
      </c>
      <c r="D2458" s="188" t="b">
        <f>LineærRegression_Valg[[#This Row],[Afhængig variabel ID]]&lt;&gt;LineærRegression_Valg[[#This Row],[Uafhængig variabel ID]]</f>
        <v>1</v>
      </c>
      <c r="E2458" s="188" t="b">
        <f>LineærRegression_Valg[[#This Row],[Afhængig variabel ID]]&lt;=$B$5</f>
        <v>0</v>
      </c>
      <c r="F2458" t="str" cm="1">
        <f t="array" ref="F2458">IF(LineærRegression_Valg[[#This Row],[Indenfor range]],INDEX(DataTitel_liste,LineærRegression_Valg[[#This Row],[Afhængig variabel ID]]),INDEX(DataTitel_liste,1))</f>
        <v>Eksempel 1 (interval)</v>
      </c>
      <c r="G2458" s="188" t="str" cm="1">
        <f t="array" ref="G2458">IF(LineærRegression_Valg[[#This Row],[Indenfor range]],IF(LineærRegression_Valg[[#This Row],[Intet overlap]],INDEX(DataTitel_liste,LineærRegression_Valg[[#This Row],[Uafhængig variabel ID]]),INDEX(DataTitel_liste,IF(LineærRegression_Valg[[#This Row],[Afhængig variabel ID]]=1,2,1))),$B$7)</f>
        <v>Eksempel 2 (interval)</v>
      </c>
      <c r="H2458" s="188">
        <f>_xlfn.AGGREGATE(2,5,LineærRegression_Valg[[#This Row],[Tabel ID]])</f>
        <v>1</v>
      </c>
    </row>
    <row r="2459" spans="1:8" x14ac:dyDescent="0.2">
      <c r="A2459">
        <f>ROW(LineærRegression_Valg[[#This Row],[Tabel ID]])-ROW(LineærRegression_Valg[[#Headers],[Tabel ID]])</f>
        <v>2449</v>
      </c>
      <c r="B2459" s="188">
        <f>ROUNDDOWN((LineærRegression_Valg[[#This Row],[Tabel ID]]-1)/$B$5,0)+1</f>
        <v>613</v>
      </c>
      <c r="C2459" s="188">
        <f t="shared" si="38"/>
        <v>1</v>
      </c>
      <c r="D2459" s="188" t="b">
        <f>LineærRegression_Valg[[#This Row],[Afhængig variabel ID]]&lt;&gt;LineærRegression_Valg[[#This Row],[Uafhængig variabel ID]]</f>
        <v>1</v>
      </c>
      <c r="E2459" s="188" t="b">
        <f>LineærRegression_Valg[[#This Row],[Afhængig variabel ID]]&lt;=$B$5</f>
        <v>0</v>
      </c>
      <c r="F2459" t="str" cm="1">
        <f t="array" ref="F2459">IF(LineærRegression_Valg[[#This Row],[Indenfor range]],INDEX(DataTitel_liste,LineærRegression_Valg[[#This Row],[Afhængig variabel ID]]),INDEX(DataTitel_liste,1))</f>
        <v>Eksempel 1 (interval)</v>
      </c>
      <c r="G2459" s="188" t="str" cm="1">
        <f t="array" ref="G2459">IF(LineærRegression_Valg[[#This Row],[Indenfor range]],IF(LineærRegression_Valg[[#This Row],[Intet overlap]],INDEX(DataTitel_liste,LineærRegression_Valg[[#This Row],[Uafhængig variabel ID]]),INDEX(DataTitel_liste,IF(LineærRegression_Valg[[#This Row],[Afhængig variabel ID]]=1,2,1))),$B$7)</f>
        <v>Eksempel 2 (interval)</v>
      </c>
      <c r="H2459" s="188">
        <f>_xlfn.AGGREGATE(2,5,LineærRegression_Valg[[#This Row],[Tabel ID]])</f>
        <v>1</v>
      </c>
    </row>
    <row r="2460" spans="1:8" x14ac:dyDescent="0.2">
      <c r="A2460">
        <f>ROW(LineærRegression_Valg[[#This Row],[Tabel ID]])-ROW(LineærRegression_Valg[[#Headers],[Tabel ID]])</f>
        <v>2450</v>
      </c>
      <c r="B2460" s="188">
        <f>ROUNDDOWN((LineærRegression_Valg[[#This Row],[Tabel ID]]-1)/$B$5,0)+1</f>
        <v>613</v>
      </c>
      <c r="C2460" s="188">
        <f t="shared" si="38"/>
        <v>2</v>
      </c>
      <c r="D2460" s="188" t="b">
        <f>LineærRegression_Valg[[#This Row],[Afhængig variabel ID]]&lt;&gt;LineærRegression_Valg[[#This Row],[Uafhængig variabel ID]]</f>
        <v>1</v>
      </c>
      <c r="E2460" s="188" t="b">
        <f>LineærRegression_Valg[[#This Row],[Afhængig variabel ID]]&lt;=$B$5</f>
        <v>0</v>
      </c>
      <c r="F2460" t="str" cm="1">
        <f t="array" ref="F2460">IF(LineærRegression_Valg[[#This Row],[Indenfor range]],INDEX(DataTitel_liste,LineærRegression_Valg[[#This Row],[Afhængig variabel ID]]),INDEX(DataTitel_liste,1))</f>
        <v>Eksempel 1 (interval)</v>
      </c>
      <c r="G2460" s="188" t="str" cm="1">
        <f t="array" ref="G2460">IF(LineærRegression_Valg[[#This Row],[Indenfor range]],IF(LineærRegression_Valg[[#This Row],[Intet overlap]],INDEX(DataTitel_liste,LineærRegression_Valg[[#This Row],[Uafhængig variabel ID]]),INDEX(DataTitel_liste,IF(LineærRegression_Valg[[#This Row],[Afhængig variabel ID]]=1,2,1))),$B$7)</f>
        <v>Eksempel 2 (interval)</v>
      </c>
      <c r="H2460" s="188">
        <f>_xlfn.AGGREGATE(2,5,LineærRegression_Valg[[#This Row],[Tabel ID]])</f>
        <v>1</v>
      </c>
    </row>
    <row r="2461" spans="1:8" x14ac:dyDescent="0.2">
      <c r="A2461">
        <f>ROW(LineærRegression_Valg[[#This Row],[Tabel ID]])-ROW(LineærRegression_Valg[[#Headers],[Tabel ID]])</f>
        <v>2451</v>
      </c>
      <c r="B2461" s="188">
        <f>ROUNDDOWN((LineærRegression_Valg[[#This Row],[Tabel ID]]-1)/$B$5,0)+1</f>
        <v>613</v>
      </c>
      <c r="C2461" s="188">
        <f t="shared" si="38"/>
        <v>3</v>
      </c>
      <c r="D2461" s="188" t="b">
        <f>LineærRegression_Valg[[#This Row],[Afhængig variabel ID]]&lt;&gt;LineærRegression_Valg[[#This Row],[Uafhængig variabel ID]]</f>
        <v>1</v>
      </c>
      <c r="E2461" s="188" t="b">
        <f>LineærRegression_Valg[[#This Row],[Afhængig variabel ID]]&lt;=$B$5</f>
        <v>0</v>
      </c>
      <c r="F2461" t="str" cm="1">
        <f t="array" ref="F2461">IF(LineærRegression_Valg[[#This Row],[Indenfor range]],INDEX(DataTitel_liste,LineærRegression_Valg[[#This Row],[Afhængig variabel ID]]),INDEX(DataTitel_liste,1))</f>
        <v>Eksempel 1 (interval)</v>
      </c>
      <c r="G2461" s="188" t="str" cm="1">
        <f t="array" ref="G2461">IF(LineærRegression_Valg[[#This Row],[Indenfor range]],IF(LineærRegression_Valg[[#This Row],[Intet overlap]],INDEX(DataTitel_liste,LineærRegression_Valg[[#This Row],[Uafhængig variabel ID]]),INDEX(DataTitel_liste,IF(LineærRegression_Valg[[#This Row],[Afhængig variabel ID]]=1,2,1))),$B$7)</f>
        <v>Eksempel 2 (interval)</v>
      </c>
      <c r="H2461" s="188">
        <f>_xlfn.AGGREGATE(2,5,LineærRegression_Valg[[#This Row],[Tabel ID]])</f>
        <v>1</v>
      </c>
    </row>
    <row r="2462" spans="1:8" x14ac:dyDescent="0.2">
      <c r="A2462">
        <f>ROW(LineærRegression_Valg[[#This Row],[Tabel ID]])-ROW(LineærRegression_Valg[[#Headers],[Tabel ID]])</f>
        <v>2452</v>
      </c>
      <c r="B2462" s="188">
        <f>ROUNDDOWN((LineærRegression_Valg[[#This Row],[Tabel ID]]-1)/$B$5,0)+1</f>
        <v>613</v>
      </c>
      <c r="C2462" s="188">
        <f t="shared" si="38"/>
        <v>4</v>
      </c>
      <c r="D2462" s="188" t="b">
        <f>LineærRegression_Valg[[#This Row],[Afhængig variabel ID]]&lt;&gt;LineærRegression_Valg[[#This Row],[Uafhængig variabel ID]]</f>
        <v>1</v>
      </c>
      <c r="E2462" s="188" t="b">
        <f>LineærRegression_Valg[[#This Row],[Afhængig variabel ID]]&lt;=$B$5</f>
        <v>0</v>
      </c>
      <c r="F2462" t="str" cm="1">
        <f t="array" ref="F2462">IF(LineærRegression_Valg[[#This Row],[Indenfor range]],INDEX(DataTitel_liste,LineærRegression_Valg[[#This Row],[Afhængig variabel ID]]),INDEX(DataTitel_liste,1))</f>
        <v>Eksempel 1 (interval)</v>
      </c>
      <c r="G2462" s="188" t="str" cm="1">
        <f t="array" ref="G2462">IF(LineærRegression_Valg[[#This Row],[Indenfor range]],IF(LineærRegression_Valg[[#This Row],[Intet overlap]],INDEX(DataTitel_liste,LineærRegression_Valg[[#This Row],[Uafhængig variabel ID]]),INDEX(DataTitel_liste,IF(LineærRegression_Valg[[#This Row],[Afhængig variabel ID]]=1,2,1))),$B$7)</f>
        <v>Eksempel 2 (interval)</v>
      </c>
      <c r="H2462" s="188">
        <f>_xlfn.AGGREGATE(2,5,LineærRegression_Valg[[#This Row],[Tabel ID]])</f>
        <v>1</v>
      </c>
    </row>
    <row r="2463" spans="1:8" x14ac:dyDescent="0.2">
      <c r="A2463">
        <f>ROW(LineærRegression_Valg[[#This Row],[Tabel ID]])-ROW(LineærRegression_Valg[[#Headers],[Tabel ID]])</f>
        <v>2453</v>
      </c>
      <c r="B2463" s="188">
        <f>ROUNDDOWN((LineærRegression_Valg[[#This Row],[Tabel ID]]-1)/$B$5,0)+1</f>
        <v>614</v>
      </c>
      <c r="C2463" s="188">
        <f t="shared" si="38"/>
        <v>1</v>
      </c>
      <c r="D2463" s="188" t="b">
        <f>LineærRegression_Valg[[#This Row],[Afhængig variabel ID]]&lt;&gt;LineærRegression_Valg[[#This Row],[Uafhængig variabel ID]]</f>
        <v>1</v>
      </c>
      <c r="E2463" s="188" t="b">
        <f>LineærRegression_Valg[[#This Row],[Afhængig variabel ID]]&lt;=$B$5</f>
        <v>0</v>
      </c>
      <c r="F2463" t="str" cm="1">
        <f t="array" ref="F2463">IF(LineærRegression_Valg[[#This Row],[Indenfor range]],INDEX(DataTitel_liste,LineærRegression_Valg[[#This Row],[Afhængig variabel ID]]),INDEX(DataTitel_liste,1))</f>
        <v>Eksempel 1 (interval)</v>
      </c>
      <c r="G2463" s="188" t="str" cm="1">
        <f t="array" ref="G2463">IF(LineærRegression_Valg[[#This Row],[Indenfor range]],IF(LineærRegression_Valg[[#This Row],[Intet overlap]],INDEX(DataTitel_liste,LineærRegression_Valg[[#This Row],[Uafhængig variabel ID]]),INDEX(DataTitel_liste,IF(LineærRegression_Valg[[#This Row],[Afhængig variabel ID]]=1,2,1))),$B$7)</f>
        <v>Eksempel 2 (interval)</v>
      </c>
      <c r="H2463" s="188">
        <f>_xlfn.AGGREGATE(2,5,LineærRegression_Valg[[#This Row],[Tabel ID]])</f>
        <v>1</v>
      </c>
    </row>
    <row r="2464" spans="1:8" x14ac:dyDescent="0.2">
      <c r="A2464">
        <f>ROW(LineærRegression_Valg[[#This Row],[Tabel ID]])-ROW(LineærRegression_Valg[[#Headers],[Tabel ID]])</f>
        <v>2454</v>
      </c>
      <c r="B2464" s="188">
        <f>ROUNDDOWN((LineærRegression_Valg[[#This Row],[Tabel ID]]-1)/$B$5,0)+1</f>
        <v>614</v>
      </c>
      <c r="C2464" s="188">
        <f t="shared" si="38"/>
        <v>2</v>
      </c>
      <c r="D2464" s="188" t="b">
        <f>LineærRegression_Valg[[#This Row],[Afhængig variabel ID]]&lt;&gt;LineærRegression_Valg[[#This Row],[Uafhængig variabel ID]]</f>
        <v>1</v>
      </c>
      <c r="E2464" s="188" t="b">
        <f>LineærRegression_Valg[[#This Row],[Afhængig variabel ID]]&lt;=$B$5</f>
        <v>0</v>
      </c>
      <c r="F2464" t="str" cm="1">
        <f t="array" ref="F2464">IF(LineærRegression_Valg[[#This Row],[Indenfor range]],INDEX(DataTitel_liste,LineærRegression_Valg[[#This Row],[Afhængig variabel ID]]),INDEX(DataTitel_liste,1))</f>
        <v>Eksempel 1 (interval)</v>
      </c>
      <c r="G2464" s="188" t="str" cm="1">
        <f t="array" ref="G2464">IF(LineærRegression_Valg[[#This Row],[Indenfor range]],IF(LineærRegression_Valg[[#This Row],[Intet overlap]],INDEX(DataTitel_liste,LineærRegression_Valg[[#This Row],[Uafhængig variabel ID]]),INDEX(DataTitel_liste,IF(LineærRegression_Valg[[#This Row],[Afhængig variabel ID]]=1,2,1))),$B$7)</f>
        <v>Eksempel 2 (interval)</v>
      </c>
      <c r="H2464" s="188">
        <f>_xlfn.AGGREGATE(2,5,LineærRegression_Valg[[#This Row],[Tabel ID]])</f>
        <v>1</v>
      </c>
    </row>
    <row r="2465" spans="1:8" x14ac:dyDescent="0.2">
      <c r="A2465">
        <f>ROW(LineærRegression_Valg[[#This Row],[Tabel ID]])-ROW(LineærRegression_Valg[[#Headers],[Tabel ID]])</f>
        <v>2455</v>
      </c>
      <c r="B2465" s="188">
        <f>ROUNDDOWN((LineærRegression_Valg[[#This Row],[Tabel ID]]-1)/$B$5,0)+1</f>
        <v>614</v>
      </c>
      <c r="C2465" s="188">
        <f t="shared" si="38"/>
        <v>3</v>
      </c>
      <c r="D2465" s="188" t="b">
        <f>LineærRegression_Valg[[#This Row],[Afhængig variabel ID]]&lt;&gt;LineærRegression_Valg[[#This Row],[Uafhængig variabel ID]]</f>
        <v>1</v>
      </c>
      <c r="E2465" s="188" t="b">
        <f>LineærRegression_Valg[[#This Row],[Afhængig variabel ID]]&lt;=$B$5</f>
        <v>0</v>
      </c>
      <c r="F2465" t="str" cm="1">
        <f t="array" ref="F2465">IF(LineærRegression_Valg[[#This Row],[Indenfor range]],INDEX(DataTitel_liste,LineærRegression_Valg[[#This Row],[Afhængig variabel ID]]),INDEX(DataTitel_liste,1))</f>
        <v>Eksempel 1 (interval)</v>
      </c>
      <c r="G2465" s="188" t="str" cm="1">
        <f t="array" ref="G2465">IF(LineærRegression_Valg[[#This Row],[Indenfor range]],IF(LineærRegression_Valg[[#This Row],[Intet overlap]],INDEX(DataTitel_liste,LineærRegression_Valg[[#This Row],[Uafhængig variabel ID]]),INDEX(DataTitel_liste,IF(LineærRegression_Valg[[#This Row],[Afhængig variabel ID]]=1,2,1))),$B$7)</f>
        <v>Eksempel 2 (interval)</v>
      </c>
      <c r="H2465" s="188">
        <f>_xlfn.AGGREGATE(2,5,LineærRegression_Valg[[#This Row],[Tabel ID]])</f>
        <v>1</v>
      </c>
    </row>
    <row r="2466" spans="1:8" x14ac:dyDescent="0.2">
      <c r="A2466">
        <f>ROW(LineærRegression_Valg[[#This Row],[Tabel ID]])-ROW(LineærRegression_Valg[[#Headers],[Tabel ID]])</f>
        <v>2456</v>
      </c>
      <c r="B2466" s="188">
        <f>ROUNDDOWN((LineærRegression_Valg[[#This Row],[Tabel ID]]-1)/$B$5,0)+1</f>
        <v>614</v>
      </c>
      <c r="C2466" s="188">
        <f t="shared" si="38"/>
        <v>4</v>
      </c>
      <c r="D2466" s="188" t="b">
        <f>LineærRegression_Valg[[#This Row],[Afhængig variabel ID]]&lt;&gt;LineærRegression_Valg[[#This Row],[Uafhængig variabel ID]]</f>
        <v>1</v>
      </c>
      <c r="E2466" s="188" t="b">
        <f>LineærRegression_Valg[[#This Row],[Afhængig variabel ID]]&lt;=$B$5</f>
        <v>0</v>
      </c>
      <c r="F2466" t="str" cm="1">
        <f t="array" ref="F2466">IF(LineærRegression_Valg[[#This Row],[Indenfor range]],INDEX(DataTitel_liste,LineærRegression_Valg[[#This Row],[Afhængig variabel ID]]),INDEX(DataTitel_liste,1))</f>
        <v>Eksempel 1 (interval)</v>
      </c>
      <c r="G2466" s="188" t="str" cm="1">
        <f t="array" ref="G2466">IF(LineærRegression_Valg[[#This Row],[Indenfor range]],IF(LineærRegression_Valg[[#This Row],[Intet overlap]],INDEX(DataTitel_liste,LineærRegression_Valg[[#This Row],[Uafhængig variabel ID]]),INDEX(DataTitel_liste,IF(LineærRegression_Valg[[#This Row],[Afhængig variabel ID]]=1,2,1))),$B$7)</f>
        <v>Eksempel 2 (interval)</v>
      </c>
      <c r="H2466" s="188">
        <f>_xlfn.AGGREGATE(2,5,LineærRegression_Valg[[#This Row],[Tabel ID]])</f>
        <v>1</v>
      </c>
    </row>
    <row r="2467" spans="1:8" x14ac:dyDescent="0.2">
      <c r="A2467">
        <f>ROW(LineærRegression_Valg[[#This Row],[Tabel ID]])-ROW(LineærRegression_Valg[[#Headers],[Tabel ID]])</f>
        <v>2457</v>
      </c>
      <c r="B2467" s="188">
        <f>ROUNDDOWN((LineærRegression_Valg[[#This Row],[Tabel ID]]-1)/$B$5,0)+1</f>
        <v>615</v>
      </c>
      <c r="C2467" s="188">
        <f t="shared" si="38"/>
        <v>1</v>
      </c>
      <c r="D2467" s="188" t="b">
        <f>LineærRegression_Valg[[#This Row],[Afhængig variabel ID]]&lt;&gt;LineærRegression_Valg[[#This Row],[Uafhængig variabel ID]]</f>
        <v>1</v>
      </c>
      <c r="E2467" s="188" t="b">
        <f>LineærRegression_Valg[[#This Row],[Afhængig variabel ID]]&lt;=$B$5</f>
        <v>0</v>
      </c>
      <c r="F2467" t="str" cm="1">
        <f t="array" ref="F2467">IF(LineærRegression_Valg[[#This Row],[Indenfor range]],INDEX(DataTitel_liste,LineærRegression_Valg[[#This Row],[Afhængig variabel ID]]),INDEX(DataTitel_liste,1))</f>
        <v>Eksempel 1 (interval)</v>
      </c>
      <c r="G2467" s="188" t="str" cm="1">
        <f t="array" ref="G2467">IF(LineærRegression_Valg[[#This Row],[Indenfor range]],IF(LineærRegression_Valg[[#This Row],[Intet overlap]],INDEX(DataTitel_liste,LineærRegression_Valg[[#This Row],[Uafhængig variabel ID]]),INDEX(DataTitel_liste,IF(LineærRegression_Valg[[#This Row],[Afhængig variabel ID]]=1,2,1))),$B$7)</f>
        <v>Eksempel 2 (interval)</v>
      </c>
      <c r="H2467" s="188">
        <f>_xlfn.AGGREGATE(2,5,LineærRegression_Valg[[#This Row],[Tabel ID]])</f>
        <v>1</v>
      </c>
    </row>
    <row r="2468" spans="1:8" x14ac:dyDescent="0.2">
      <c r="A2468">
        <f>ROW(LineærRegression_Valg[[#This Row],[Tabel ID]])-ROW(LineærRegression_Valg[[#Headers],[Tabel ID]])</f>
        <v>2458</v>
      </c>
      <c r="B2468" s="188">
        <f>ROUNDDOWN((LineærRegression_Valg[[#This Row],[Tabel ID]]-1)/$B$5,0)+1</f>
        <v>615</v>
      </c>
      <c r="C2468" s="188">
        <f t="shared" si="38"/>
        <v>2</v>
      </c>
      <c r="D2468" s="188" t="b">
        <f>LineærRegression_Valg[[#This Row],[Afhængig variabel ID]]&lt;&gt;LineærRegression_Valg[[#This Row],[Uafhængig variabel ID]]</f>
        <v>1</v>
      </c>
      <c r="E2468" s="188" t="b">
        <f>LineærRegression_Valg[[#This Row],[Afhængig variabel ID]]&lt;=$B$5</f>
        <v>0</v>
      </c>
      <c r="F2468" t="str" cm="1">
        <f t="array" ref="F2468">IF(LineærRegression_Valg[[#This Row],[Indenfor range]],INDEX(DataTitel_liste,LineærRegression_Valg[[#This Row],[Afhængig variabel ID]]),INDEX(DataTitel_liste,1))</f>
        <v>Eksempel 1 (interval)</v>
      </c>
      <c r="G2468" s="188" t="str" cm="1">
        <f t="array" ref="G2468">IF(LineærRegression_Valg[[#This Row],[Indenfor range]],IF(LineærRegression_Valg[[#This Row],[Intet overlap]],INDEX(DataTitel_liste,LineærRegression_Valg[[#This Row],[Uafhængig variabel ID]]),INDEX(DataTitel_liste,IF(LineærRegression_Valg[[#This Row],[Afhængig variabel ID]]=1,2,1))),$B$7)</f>
        <v>Eksempel 2 (interval)</v>
      </c>
      <c r="H2468" s="188">
        <f>_xlfn.AGGREGATE(2,5,LineærRegression_Valg[[#This Row],[Tabel ID]])</f>
        <v>1</v>
      </c>
    </row>
    <row r="2469" spans="1:8" x14ac:dyDescent="0.2">
      <c r="A2469">
        <f>ROW(LineærRegression_Valg[[#This Row],[Tabel ID]])-ROW(LineærRegression_Valg[[#Headers],[Tabel ID]])</f>
        <v>2459</v>
      </c>
      <c r="B2469" s="188">
        <f>ROUNDDOWN((LineærRegression_Valg[[#This Row],[Tabel ID]]-1)/$B$5,0)+1</f>
        <v>615</v>
      </c>
      <c r="C2469" s="188">
        <f t="shared" si="38"/>
        <v>3</v>
      </c>
      <c r="D2469" s="188" t="b">
        <f>LineærRegression_Valg[[#This Row],[Afhængig variabel ID]]&lt;&gt;LineærRegression_Valg[[#This Row],[Uafhængig variabel ID]]</f>
        <v>1</v>
      </c>
      <c r="E2469" s="188" t="b">
        <f>LineærRegression_Valg[[#This Row],[Afhængig variabel ID]]&lt;=$B$5</f>
        <v>0</v>
      </c>
      <c r="F2469" t="str" cm="1">
        <f t="array" ref="F2469">IF(LineærRegression_Valg[[#This Row],[Indenfor range]],INDEX(DataTitel_liste,LineærRegression_Valg[[#This Row],[Afhængig variabel ID]]),INDEX(DataTitel_liste,1))</f>
        <v>Eksempel 1 (interval)</v>
      </c>
      <c r="G2469" s="188" t="str" cm="1">
        <f t="array" ref="G2469">IF(LineærRegression_Valg[[#This Row],[Indenfor range]],IF(LineærRegression_Valg[[#This Row],[Intet overlap]],INDEX(DataTitel_liste,LineærRegression_Valg[[#This Row],[Uafhængig variabel ID]]),INDEX(DataTitel_liste,IF(LineærRegression_Valg[[#This Row],[Afhængig variabel ID]]=1,2,1))),$B$7)</f>
        <v>Eksempel 2 (interval)</v>
      </c>
      <c r="H2469" s="188">
        <f>_xlfn.AGGREGATE(2,5,LineærRegression_Valg[[#This Row],[Tabel ID]])</f>
        <v>1</v>
      </c>
    </row>
    <row r="2470" spans="1:8" x14ac:dyDescent="0.2">
      <c r="A2470">
        <f>ROW(LineærRegression_Valg[[#This Row],[Tabel ID]])-ROW(LineærRegression_Valg[[#Headers],[Tabel ID]])</f>
        <v>2460</v>
      </c>
      <c r="B2470" s="188">
        <f>ROUNDDOWN((LineærRegression_Valg[[#This Row],[Tabel ID]]-1)/$B$5,0)+1</f>
        <v>615</v>
      </c>
      <c r="C2470" s="188">
        <f t="shared" si="38"/>
        <v>4</v>
      </c>
      <c r="D2470" s="188" t="b">
        <f>LineærRegression_Valg[[#This Row],[Afhængig variabel ID]]&lt;&gt;LineærRegression_Valg[[#This Row],[Uafhængig variabel ID]]</f>
        <v>1</v>
      </c>
      <c r="E2470" s="188" t="b">
        <f>LineærRegression_Valg[[#This Row],[Afhængig variabel ID]]&lt;=$B$5</f>
        <v>0</v>
      </c>
      <c r="F2470" t="str" cm="1">
        <f t="array" ref="F2470">IF(LineærRegression_Valg[[#This Row],[Indenfor range]],INDEX(DataTitel_liste,LineærRegression_Valg[[#This Row],[Afhængig variabel ID]]),INDEX(DataTitel_liste,1))</f>
        <v>Eksempel 1 (interval)</v>
      </c>
      <c r="G2470" s="188" t="str" cm="1">
        <f t="array" ref="G2470">IF(LineærRegression_Valg[[#This Row],[Indenfor range]],IF(LineærRegression_Valg[[#This Row],[Intet overlap]],INDEX(DataTitel_liste,LineærRegression_Valg[[#This Row],[Uafhængig variabel ID]]),INDEX(DataTitel_liste,IF(LineærRegression_Valg[[#This Row],[Afhængig variabel ID]]=1,2,1))),$B$7)</f>
        <v>Eksempel 2 (interval)</v>
      </c>
      <c r="H2470" s="188">
        <f>_xlfn.AGGREGATE(2,5,LineærRegression_Valg[[#This Row],[Tabel ID]])</f>
        <v>1</v>
      </c>
    </row>
    <row r="2471" spans="1:8" x14ac:dyDescent="0.2">
      <c r="A2471">
        <f>ROW(LineærRegression_Valg[[#This Row],[Tabel ID]])-ROW(LineærRegression_Valg[[#Headers],[Tabel ID]])</f>
        <v>2461</v>
      </c>
      <c r="B2471" s="188">
        <f>ROUNDDOWN((LineærRegression_Valg[[#This Row],[Tabel ID]]-1)/$B$5,0)+1</f>
        <v>616</v>
      </c>
      <c r="C2471" s="188">
        <f t="shared" si="38"/>
        <v>1</v>
      </c>
      <c r="D2471" s="188" t="b">
        <f>LineærRegression_Valg[[#This Row],[Afhængig variabel ID]]&lt;&gt;LineærRegression_Valg[[#This Row],[Uafhængig variabel ID]]</f>
        <v>1</v>
      </c>
      <c r="E2471" s="188" t="b">
        <f>LineærRegression_Valg[[#This Row],[Afhængig variabel ID]]&lt;=$B$5</f>
        <v>0</v>
      </c>
      <c r="F2471" t="str" cm="1">
        <f t="array" ref="F2471">IF(LineærRegression_Valg[[#This Row],[Indenfor range]],INDEX(DataTitel_liste,LineærRegression_Valg[[#This Row],[Afhængig variabel ID]]),INDEX(DataTitel_liste,1))</f>
        <v>Eksempel 1 (interval)</v>
      </c>
      <c r="G2471" s="188" t="str" cm="1">
        <f t="array" ref="G2471">IF(LineærRegression_Valg[[#This Row],[Indenfor range]],IF(LineærRegression_Valg[[#This Row],[Intet overlap]],INDEX(DataTitel_liste,LineærRegression_Valg[[#This Row],[Uafhængig variabel ID]]),INDEX(DataTitel_liste,IF(LineærRegression_Valg[[#This Row],[Afhængig variabel ID]]=1,2,1))),$B$7)</f>
        <v>Eksempel 2 (interval)</v>
      </c>
      <c r="H2471" s="188">
        <f>_xlfn.AGGREGATE(2,5,LineærRegression_Valg[[#This Row],[Tabel ID]])</f>
        <v>1</v>
      </c>
    </row>
    <row r="2472" spans="1:8" x14ac:dyDescent="0.2">
      <c r="A2472">
        <f>ROW(LineærRegression_Valg[[#This Row],[Tabel ID]])-ROW(LineærRegression_Valg[[#Headers],[Tabel ID]])</f>
        <v>2462</v>
      </c>
      <c r="B2472" s="188">
        <f>ROUNDDOWN((LineærRegression_Valg[[#This Row],[Tabel ID]]-1)/$B$5,0)+1</f>
        <v>616</v>
      </c>
      <c r="C2472" s="188">
        <f t="shared" si="38"/>
        <v>2</v>
      </c>
      <c r="D2472" s="188" t="b">
        <f>LineærRegression_Valg[[#This Row],[Afhængig variabel ID]]&lt;&gt;LineærRegression_Valg[[#This Row],[Uafhængig variabel ID]]</f>
        <v>1</v>
      </c>
      <c r="E2472" s="188" t="b">
        <f>LineærRegression_Valg[[#This Row],[Afhængig variabel ID]]&lt;=$B$5</f>
        <v>0</v>
      </c>
      <c r="F2472" t="str" cm="1">
        <f t="array" ref="F2472">IF(LineærRegression_Valg[[#This Row],[Indenfor range]],INDEX(DataTitel_liste,LineærRegression_Valg[[#This Row],[Afhængig variabel ID]]),INDEX(DataTitel_liste,1))</f>
        <v>Eksempel 1 (interval)</v>
      </c>
      <c r="G2472" s="188" t="str" cm="1">
        <f t="array" ref="G2472">IF(LineærRegression_Valg[[#This Row],[Indenfor range]],IF(LineærRegression_Valg[[#This Row],[Intet overlap]],INDEX(DataTitel_liste,LineærRegression_Valg[[#This Row],[Uafhængig variabel ID]]),INDEX(DataTitel_liste,IF(LineærRegression_Valg[[#This Row],[Afhængig variabel ID]]=1,2,1))),$B$7)</f>
        <v>Eksempel 2 (interval)</v>
      </c>
      <c r="H2472" s="188">
        <f>_xlfn.AGGREGATE(2,5,LineærRegression_Valg[[#This Row],[Tabel ID]])</f>
        <v>1</v>
      </c>
    </row>
    <row r="2473" spans="1:8" x14ac:dyDescent="0.2">
      <c r="A2473">
        <f>ROW(LineærRegression_Valg[[#This Row],[Tabel ID]])-ROW(LineærRegression_Valg[[#Headers],[Tabel ID]])</f>
        <v>2463</v>
      </c>
      <c r="B2473" s="188">
        <f>ROUNDDOWN((LineærRegression_Valg[[#This Row],[Tabel ID]]-1)/$B$5,0)+1</f>
        <v>616</v>
      </c>
      <c r="C2473" s="188">
        <f t="shared" si="38"/>
        <v>3</v>
      </c>
      <c r="D2473" s="188" t="b">
        <f>LineærRegression_Valg[[#This Row],[Afhængig variabel ID]]&lt;&gt;LineærRegression_Valg[[#This Row],[Uafhængig variabel ID]]</f>
        <v>1</v>
      </c>
      <c r="E2473" s="188" t="b">
        <f>LineærRegression_Valg[[#This Row],[Afhængig variabel ID]]&lt;=$B$5</f>
        <v>0</v>
      </c>
      <c r="F2473" t="str" cm="1">
        <f t="array" ref="F2473">IF(LineærRegression_Valg[[#This Row],[Indenfor range]],INDEX(DataTitel_liste,LineærRegression_Valg[[#This Row],[Afhængig variabel ID]]),INDEX(DataTitel_liste,1))</f>
        <v>Eksempel 1 (interval)</v>
      </c>
      <c r="G2473" s="188" t="str" cm="1">
        <f t="array" ref="G2473">IF(LineærRegression_Valg[[#This Row],[Indenfor range]],IF(LineærRegression_Valg[[#This Row],[Intet overlap]],INDEX(DataTitel_liste,LineærRegression_Valg[[#This Row],[Uafhængig variabel ID]]),INDEX(DataTitel_liste,IF(LineærRegression_Valg[[#This Row],[Afhængig variabel ID]]=1,2,1))),$B$7)</f>
        <v>Eksempel 2 (interval)</v>
      </c>
      <c r="H2473" s="188">
        <f>_xlfn.AGGREGATE(2,5,LineærRegression_Valg[[#This Row],[Tabel ID]])</f>
        <v>1</v>
      </c>
    </row>
    <row r="2474" spans="1:8" x14ac:dyDescent="0.2">
      <c r="A2474">
        <f>ROW(LineærRegression_Valg[[#This Row],[Tabel ID]])-ROW(LineærRegression_Valg[[#Headers],[Tabel ID]])</f>
        <v>2464</v>
      </c>
      <c r="B2474" s="188">
        <f>ROUNDDOWN((LineærRegression_Valg[[#This Row],[Tabel ID]]-1)/$B$5,0)+1</f>
        <v>616</v>
      </c>
      <c r="C2474" s="188">
        <f t="shared" si="38"/>
        <v>4</v>
      </c>
      <c r="D2474" s="188" t="b">
        <f>LineærRegression_Valg[[#This Row],[Afhængig variabel ID]]&lt;&gt;LineærRegression_Valg[[#This Row],[Uafhængig variabel ID]]</f>
        <v>1</v>
      </c>
      <c r="E2474" s="188" t="b">
        <f>LineærRegression_Valg[[#This Row],[Afhængig variabel ID]]&lt;=$B$5</f>
        <v>0</v>
      </c>
      <c r="F2474" t="str" cm="1">
        <f t="array" ref="F2474">IF(LineærRegression_Valg[[#This Row],[Indenfor range]],INDEX(DataTitel_liste,LineærRegression_Valg[[#This Row],[Afhængig variabel ID]]),INDEX(DataTitel_liste,1))</f>
        <v>Eksempel 1 (interval)</v>
      </c>
      <c r="G2474" s="188" t="str" cm="1">
        <f t="array" ref="G2474">IF(LineærRegression_Valg[[#This Row],[Indenfor range]],IF(LineærRegression_Valg[[#This Row],[Intet overlap]],INDEX(DataTitel_liste,LineærRegression_Valg[[#This Row],[Uafhængig variabel ID]]),INDEX(DataTitel_liste,IF(LineærRegression_Valg[[#This Row],[Afhængig variabel ID]]=1,2,1))),$B$7)</f>
        <v>Eksempel 2 (interval)</v>
      </c>
      <c r="H2474" s="188">
        <f>_xlfn.AGGREGATE(2,5,LineærRegression_Valg[[#This Row],[Tabel ID]])</f>
        <v>1</v>
      </c>
    </row>
    <row r="2475" spans="1:8" x14ac:dyDescent="0.2">
      <c r="A2475">
        <f>ROW(LineærRegression_Valg[[#This Row],[Tabel ID]])-ROW(LineærRegression_Valg[[#Headers],[Tabel ID]])</f>
        <v>2465</v>
      </c>
      <c r="B2475" s="188">
        <f>ROUNDDOWN((LineærRegression_Valg[[#This Row],[Tabel ID]]-1)/$B$5,0)+1</f>
        <v>617</v>
      </c>
      <c r="C2475" s="188">
        <f t="shared" si="38"/>
        <v>1</v>
      </c>
      <c r="D2475" s="188" t="b">
        <f>LineærRegression_Valg[[#This Row],[Afhængig variabel ID]]&lt;&gt;LineærRegression_Valg[[#This Row],[Uafhængig variabel ID]]</f>
        <v>1</v>
      </c>
      <c r="E2475" s="188" t="b">
        <f>LineærRegression_Valg[[#This Row],[Afhængig variabel ID]]&lt;=$B$5</f>
        <v>0</v>
      </c>
      <c r="F2475" t="str" cm="1">
        <f t="array" ref="F2475">IF(LineærRegression_Valg[[#This Row],[Indenfor range]],INDEX(DataTitel_liste,LineærRegression_Valg[[#This Row],[Afhængig variabel ID]]),INDEX(DataTitel_liste,1))</f>
        <v>Eksempel 1 (interval)</v>
      </c>
      <c r="G2475" s="188" t="str" cm="1">
        <f t="array" ref="G2475">IF(LineærRegression_Valg[[#This Row],[Indenfor range]],IF(LineærRegression_Valg[[#This Row],[Intet overlap]],INDEX(DataTitel_liste,LineærRegression_Valg[[#This Row],[Uafhængig variabel ID]]),INDEX(DataTitel_liste,IF(LineærRegression_Valg[[#This Row],[Afhængig variabel ID]]=1,2,1))),$B$7)</f>
        <v>Eksempel 2 (interval)</v>
      </c>
      <c r="H2475" s="188">
        <f>_xlfn.AGGREGATE(2,5,LineærRegression_Valg[[#This Row],[Tabel ID]])</f>
        <v>1</v>
      </c>
    </row>
    <row r="2476" spans="1:8" x14ac:dyDescent="0.2">
      <c r="A2476">
        <f>ROW(LineærRegression_Valg[[#This Row],[Tabel ID]])-ROW(LineærRegression_Valg[[#Headers],[Tabel ID]])</f>
        <v>2466</v>
      </c>
      <c r="B2476" s="188">
        <f>ROUNDDOWN((LineærRegression_Valg[[#This Row],[Tabel ID]]-1)/$B$5,0)+1</f>
        <v>617</v>
      </c>
      <c r="C2476" s="188">
        <f t="shared" si="38"/>
        <v>2</v>
      </c>
      <c r="D2476" s="188" t="b">
        <f>LineærRegression_Valg[[#This Row],[Afhængig variabel ID]]&lt;&gt;LineærRegression_Valg[[#This Row],[Uafhængig variabel ID]]</f>
        <v>1</v>
      </c>
      <c r="E2476" s="188" t="b">
        <f>LineærRegression_Valg[[#This Row],[Afhængig variabel ID]]&lt;=$B$5</f>
        <v>0</v>
      </c>
      <c r="F2476" t="str" cm="1">
        <f t="array" ref="F2476">IF(LineærRegression_Valg[[#This Row],[Indenfor range]],INDEX(DataTitel_liste,LineærRegression_Valg[[#This Row],[Afhængig variabel ID]]),INDEX(DataTitel_liste,1))</f>
        <v>Eksempel 1 (interval)</v>
      </c>
      <c r="G2476" s="188" t="str" cm="1">
        <f t="array" ref="G2476">IF(LineærRegression_Valg[[#This Row],[Indenfor range]],IF(LineærRegression_Valg[[#This Row],[Intet overlap]],INDEX(DataTitel_liste,LineærRegression_Valg[[#This Row],[Uafhængig variabel ID]]),INDEX(DataTitel_liste,IF(LineærRegression_Valg[[#This Row],[Afhængig variabel ID]]=1,2,1))),$B$7)</f>
        <v>Eksempel 2 (interval)</v>
      </c>
      <c r="H2476" s="188">
        <f>_xlfn.AGGREGATE(2,5,LineærRegression_Valg[[#This Row],[Tabel ID]])</f>
        <v>1</v>
      </c>
    </row>
    <row r="2477" spans="1:8" x14ac:dyDescent="0.2">
      <c r="A2477">
        <f>ROW(LineærRegression_Valg[[#This Row],[Tabel ID]])-ROW(LineærRegression_Valg[[#Headers],[Tabel ID]])</f>
        <v>2467</v>
      </c>
      <c r="B2477" s="188">
        <f>ROUNDDOWN((LineærRegression_Valg[[#This Row],[Tabel ID]]-1)/$B$5,0)+1</f>
        <v>617</v>
      </c>
      <c r="C2477" s="188">
        <f t="shared" si="38"/>
        <v>3</v>
      </c>
      <c r="D2477" s="188" t="b">
        <f>LineærRegression_Valg[[#This Row],[Afhængig variabel ID]]&lt;&gt;LineærRegression_Valg[[#This Row],[Uafhængig variabel ID]]</f>
        <v>1</v>
      </c>
      <c r="E2477" s="188" t="b">
        <f>LineærRegression_Valg[[#This Row],[Afhængig variabel ID]]&lt;=$B$5</f>
        <v>0</v>
      </c>
      <c r="F2477" t="str" cm="1">
        <f t="array" ref="F2477">IF(LineærRegression_Valg[[#This Row],[Indenfor range]],INDEX(DataTitel_liste,LineærRegression_Valg[[#This Row],[Afhængig variabel ID]]),INDEX(DataTitel_liste,1))</f>
        <v>Eksempel 1 (interval)</v>
      </c>
      <c r="G2477" s="188" t="str" cm="1">
        <f t="array" ref="G2477">IF(LineærRegression_Valg[[#This Row],[Indenfor range]],IF(LineærRegression_Valg[[#This Row],[Intet overlap]],INDEX(DataTitel_liste,LineærRegression_Valg[[#This Row],[Uafhængig variabel ID]]),INDEX(DataTitel_liste,IF(LineærRegression_Valg[[#This Row],[Afhængig variabel ID]]=1,2,1))),$B$7)</f>
        <v>Eksempel 2 (interval)</v>
      </c>
      <c r="H2477" s="188">
        <f>_xlfn.AGGREGATE(2,5,LineærRegression_Valg[[#This Row],[Tabel ID]])</f>
        <v>1</v>
      </c>
    </row>
    <row r="2478" spans="1:8" x14ac:dyDescent="0.2">
      <c r="A2478">
        <f>ROW(LineærRegression_Valg[[#This Row],[Tabel ID]])-ROW(LineærRegression_Valg[[#Headers],[Tabel ID]])</f>
        <v>2468</v>
      </c>
      <c r="B2478" s="188">
        <f>ROUNDDOWN((LineærRegression_Valg[[#This Row],[Tabel ID]]-1)/$B$5,0)+1</f>
        <v>617</v>
      </c>
      <c r="C2478" s="188">
        <f t="shared" si="38"/>
        <v>4</v>
      </c>
      <c r="D2478" s="188" t="b">
        <f>LineærRegression_Valg[[#This Row],[Afhængig variabel ID]]&lt;&gt;LineærRegression_Valg[[#This Row],[Uafhængig variabel ID]]</f>
        <v>1</v>
      </c>
      <c r="E2478" s="188" t="b">
        <f>LineærRegression_Valg[[#This Row],[Afhængig variabel ID]]&lt;=$B$5</f>
        <v>0</v>
      </c>
      <c r="F2478" t="str" cm="1">
        <f t="array" ref="F2478">IF(LineærRegression_Valg[[#This Row],[Indenfor range]],INDEX(DataTitel_liste,LineærRegression_Valg[[#This Row],[Afhængig variabel ID]]),INDEX(DataTitel_liste,1))</f>
        <v>Eksempel 1 (interval)</v>
      </c>
      <c r="G2478" s="188" t="str" cm="1">
        <f t="array" ref="G2478">IF(LineærRegression_Valg[[#This Row],[Indenfor range]],IF(LineærRegression_Valg[[#This Row],[Intet overlap]],INDEX(DataTitel_liste,LineærRegression_Valg[[#This Row],[Uafhængig variabel ID]]),INDEX(DataTitel_liste,IF(LineærRegression_Valg[[#This Row],[Afhængig variabel ID]]=1,2,1))),$B$7)</f>
        <v>Eksempel 2 (interval)</v>
      </c>
      <c r="H2478" s="188">
        <f>_xlfn.AGGREGATE(2,5,LineærRegression_Valg[[#This Row],[Tabel ID]])</f>
        <v>1</v>
      </c>
    </row>
    <row r="2479" spans="1:8" x14ac:dyDescent="0.2">
      <c r="A2479">
        <f>ROW(LineærRegression_Valg[[#This Row],[Tabel ID]])-ROW(LineærRegression_Valg[[#Headers],[Tabel ID]])</f>
        <v>2469</v>
      </c>
      <c r="B2479" s="188">
        <f>ROUNDDOWN((LineærRegression_Valg[[#This Row],[Tabel ID]]-1)/$B$5,0)+1</f>
        <v>618</v>
      </c>
      <c r="C2479" s="188">
        <f t="shared" si="38"/>
        <v>1</v>
      </c>
      <c r="D2479" s="188" t="b">
        <f>LineærRegression_Valg[[#This Row],[Afhængig variabel ID]]&lt;&gt;LineærRegression_Valg[[#This Row],[Uafhængig variabel ID]]</f>
        <v>1</v>
      </c>
      <c r="E2479" s="188" t="b">
        <f>LineærRegression_Valg[[#This Row],[Afhængig variabel ID]]&lt;=$B$5</f>
        <v>0</v>
      </c>
      <c r="F2479" t="str" cm="1">
        <f t="array" ref="F2479">IF(LineærRegression_Valg[[#This Row],[Indenfor range]],INDEX(DataTitel_liste,LineærRegression_Valg[[#This Row],[Afhængig variabel ID]]),INDEX(DataTitel_liste,1))</f>
        <v>Eksempel 1 (interval)</v>
      </c>
      <c r="G2479" s="188" t="str" cm="1">
        <f t="array" ref="G2479">IF(LineærRegression_Valg[[#This Row],[Indenfor range]],IF(LineærRegression_Valg[[#This Row],[Intet overlap]],INDEX(DataTitel_liste,LineærRegression_Valg[[#This Row],[Uafhængig variabel ID]]),INDEX(DataTitel_liste,IF(LineærRegression_Valg[[#This Row],[Afhængig variabel ID]]=1,2,1))),$B$7)</f>
        <v>Eksempel 2 (interval)</v>
      </c>
      <c r="H2479" s="188">
        <f>_xlfn.AGGREGATE(2,5,LineærRegression_Valg[[#This Row],[Tabel ID]])</f>
        <v>1</v>
      </c>
    </row>
    <row r="2480" spans="1:8" x14ac:dyDescent="0.2">
      <c r="A2480">
        <f>ROW(LineærRegression_Valg[[#This Row],[Tabel ID]])-ROW(LineærRegression_Valg[[#Headers],[Tabel ID]])</f>
        <v>2470</v>
      </c>
      <c r="B2480" s="188">
        <f>ROUNDDOWN((LineærRegression_Valg[[#This Row],[Tabel ID]]-1)/$B$5,0)+1</f>
        <v>618</v>
      </c>
      <c r="C2480" s="188">
        <f t="shared" si="38"/>
        <v>2</v>
      </c>
      <c r="D2480" s="188" t="b">
        <f>LineærRegression_Valg[[#This Row],[Afhængig variabel ID]]&lt;&gt;LineærRegression_Valg[[#This Row],[Uafhængig variabel ID]]</f>
        <v>1</v>
      </c>
      <c r="E2480" s="188" t="b">
        <f>LineærRegression_Valg[[#This Row],[Afhængig variabel ID]]&lt;=$B$5</f>
        <v>0</v>
      </c>
      <c r="F2480" t="str" cm="1">
        <f t="array" ref="F2480">IF(LineærRegression_Valg[[#This Row],[Indenfor range]],INDEX(DataTitel_liste,LineærRegression_Valg[[#This Row],[Afhængig variabel ID]]),INDEX(DataTitel_liste,1))</f>
        <v>Eksempel 1 (interval)</v>
      </c>
      <c r="G2480" s="188" t="str" cm="1">
        <f t="array" ref="G2480">IF(LineærRegression_Valg[[#This Row],[Indenfor range]],IF(LineærRegression_Valg[[#This Row],[Intet overlap]],INDEX(DataTitel_liste,LineærRegression_Valg[[#This Row],[Uafhængig variabel ID]]),INDEX(DataTitel_liste,IF(LineærRegression_Valg[[#This Row],[Afhængig variabel ID]]=1,2,1))),$B$7)</f>
        <v>Eksempel 2 (interval)</v>
      </c>
      <c r="H2480" s="188">
        <f>_xlfn.AGGREGATE(2,5,LineærRegression_Valg[[#This Row],[Tabel ID]])</f>
        <v>1</v>
      </c>
    </row>
    <row r="2481" spans="1:8" x14ac:dyDescent="0.2">
      <c r="A2481">
        <f>ROW(LineærRegression_Valg[[#This Row],[Tabel ID]])-ROW(LineærRegression_Valg[[#Headers],[Tabel ID]])</f>
        <v>2471</v>
      </c>
      <c r="B2481" s="188">
        <f>ROUNDDOWN((LineærRegression_Valg[[#This Row],[Tabel ID]]-1)/$B$5,0)+1</f>
        <v>618</v>
      </c>
      <c r="C2481" s="188">
        <f t="shared" si="38"/>
        <v>3</v>
      </c>
      <c r="D2481" s="188" t="b">
        <f>LineærRegression_Valg[[#This Row],[Afhængig variabel ID]]&lt;&gt;LineærRegression_Valg[[#This Row],[Uafhængig variabel ID]]</f>
        <v>1</v>
      </c>
      <c r="E2481" s="188" t="b">
        <f>LineærRegression_Valg[[#This Row],[Afhængig variabel ID]]&lt;=$B$5</f>
        <v>0</v>
      </c>
      <c r="F2481" t="str" cm="1">
        <f t="array" ref="F2481">IF(LineærRegression_Valg[[#This Row],[Indenfor range]],INDEX(DataTitel_liste,LineærRegression_Valg[[#This Row],[Afhængig variabel ID]]),INDEX(DataTitel_liste,1))</f>
        <v>Eksempel 1 (interval)</v>
      </c>
      <c r="G2481" s="188" t="str" cm="1">
        <f t="array" ref="G2481">IF(LineærRegression_Valg[[#This Row],[Indenfor range]],IF(LineærRegression_Valg[[#This Row],[Intet overlap]],INDEX(DataTitel_liste,LineærRegression_Valg[[#This Row],[Uafhængig variabel ID]]),INDEX(DataTitel_liste,IF(LineærRegression_Valg[[#This Row],[Afhængig variabel ID]]=1,2,1))),$B$7)</f>
        <v>Eksempel 2 (interval)</v>
      </c>
      <c r="H2481" s="188">
        <f>_xlfn.AGGREGATE(2,5,LineærRegression_Valg[[#This Row],[Tabel ID]])</f>
        <v>1</v>
      </c>
    </row>
    <row r="2482" spans="1:8" x14ac:dyDescent="0.2">
      <c r="A2482">
        <f>ROW(LineærRegression_Valg[[#This Row],[Tabel ID]])-ROW(LineærRegression_Valg[[#Headers],[Tabel ID]])</f>
        <v>2472</v>
      </c>
      <c r="B2482" s="188">
        <f>ROUNDDOWN((LineærRegression_Valg[[#This Row],[Tabel ID]]-1)/$B$5,0)+1</f>
        <v>618</v>
      </c>
      <c r="C2482" s="188">
        <f t="shared" si="38"/>
        <v>4</v>
      </c>
      <c r="D2482" s="188" t="b">
        <f>LineærRegression_Valg[[#This Row],[Afhængig variabel ID]]&lt;&gt;LineærRegression_Valg[[#This Row],[Uafhængig variabel ID]]</f>
        <v>1</v>
      </c>
      <c r="E2482" s="188" t="b">
        <f>LineærRegression_Valg[[#This Row],[Afhængig variabel ID]]&lt;=$B$5</f>
        <v>0</v>
      </c>
      <c r="F2482" t="str" cm="1">
        <f t="array" ref="F2482">IF(LineærRegression_Valg[[#This Row],[Indenfor range]],INDEX(DataTitel_liste,LineærRegression_Valg[[#This Row],[Afhængig variabel ID]]),INDEX(DataTitel_liste,1))</f>
        <v>Eksempel 1 (interval)</v>
      </c>
      <c r="G2482" s="188" t="str" cm="1">
        <f t="array" ref="G2482">IF(LineærRegression_Valg[[#This Row],[Indenfor range]],IF(LineærRegression_Valg[[#This Row],[Intet overlap]],INDEX(DataTitel_liste,LineærRegression_Valg[[#This Row],[Uafhængig variabel ID]]),INDEX(DataTitel_liste,IF(LineærRegression_Valg[[#This Row],[Afhængig variabel ID]]=1,2,1))),$B$7)</f>
        <v>Eksempel 2 (interval)</v>
      </c>
      <c r="H2482" s="188">
        <f>_xlfn.AGGREGATE(2,5,LineærRegression_Valg[[#This Row],[Tabel ID]])</f>
        <v>1</v>
      </c>
    </row>
    <row r="2483" spans="1:8" x14ac:dyDescent="0.2">
      <c r="A2483">
        <f>ROW(LineærRegression_Valg[[#This Row],[Tabel ID]])-ROW(LineærRegression_Valg[[#Headers],[Tabel ID]])</f>
        <v>2473</v>
      </c>
      <c r="B2483" s="188">
        <f>ROUNDDOWN((LineærRegression_Valg[[#This Row],[Tabel ID]]-1)/$B$5,0)+1</f>
        <v>619</v>
      </c>
      <c r="C2483" s="188">
        <f t="shared" si="38"/>
        <v>1</v>
      </c>
      <c r="D2483" s="188" t="b">
        <f>LineærRegression_Valg[[#This Row],[Afhængig variabel ID]]&lt;&gt;LineærRegression_Valg[[#This Row],[Uafhængig variabel ID]]</f>
        <v>1</v>
      </c>
      <c r="E2483" s="188" t="b">
        <f>LineærRegression_Valg[[#This Row],[Afhængig variabel ID]]&lt;=$B$5</f>
        <v>0</v>
      </c>
      <c r="F2483" t="str" cm="1">
        <f t="array" ref="F2483">IF(LineærRegression_Valg[[#This Row],[Indenfor range]],INDEX(DataTitel_liste,LineærRegression_Valg[[#This Row],[Afhængig variabel ID]]),INDEX(DataTitel_liste,1))</f>
        <v>Eksempel 1 (interval)</v>
      </c>
      <c r="G2483" s="188" t="str" cm="1">
        <f t="array" ref="G2483">IF(LineærRegression_Valg[[#This Row],[Indenfor range]],IF(LineærRegression_Valg[[#This Row],[Intet overlap]],INDEX(DataTitel_liste,LineærRegression_Valg[[#This Row],[Uafhængig variabel ID]]),INDEX(DataTitel_liste,IF(LineærRegression_Valg[[#This Row],[Afhængig variabel ID]]=1,2,1))),$B$7)</f>
        <v>Eksempel 2 (interval)</v>
      </c>
      <c r="H2483" s="188">
        <f>_xlfn.AGGREGATE(2,5,LineærRegression_Valg[[#This Row],[Tabel ID]])</f>
        <v>1</v>
      </c>
    </row>
    <row r="2484" spans="1:8" x14ac:dyDescent="0.2">
      <c r="A2484">
        <f>ROW(LineærRegression_Valg[[#This Row],[Tabel ID]])-ROW(LineærRegression_Valg[[#Headers],[Tabel ID]])</f>
        <v>2474</v>
      </c>
      <c r="B2484" s="188">
        <f>ROUNDDOWN((LineærRegression_Valg[[#This Row],[Tabel ID]]-1)/$B$5,0)+1</f>
        <v>619</v>
      </c>
      <c r="C2484" s="188">
        <f t="shared" si="38"/>
        <v>2</v>
      </c>
      <c r="D2484" s="188" t="b">
        <f>LineærRegression_Valg[[#This Row],[Afhængig variabel ID]]&lt;&gt;LineærRegression_Valg[[#This Row],[Uafhængig variabel ID]]</f>
        <v>1</v>
      </c>
      <c r="E2484" s="188" t="b">
        <f>LineærRegression_Valg[[#This Row],[Afhængig variabel ID]]&lt;=$B$5</f>
        <v>0</v>
      </c>
      <c r="F2484" t="str" cm="1">
        <f t="array" ref="F2484">IF(LineærRegression_Valg[[#This Row],[Indenfor range]],INDEX(DataTitel_liste,LineærRegression_Valg[[#This Row],[Afhængig variabel ID]]),INDEX(DataTitel_liste,1))</f>
        <v>Eksempel 1 (interval)</v>
      </c>
      <c r="G2484" s="188" t="str" cm="1">
        <f t="array" ref="G2484">IF(LineærRegression_Valg[[#This Row],[Indenfor range]],IF(LineærRegression_Valg[[#This Row],[Intet overlap]],INDEX(DataTitel_liste,LineærRegression_Valg[[#This Row],[Uafhængig variabel ID]]),INDEX(DataTitel_liste,IF(LineærRegression_Valg[[#This Row],[Afhængig variabel ID]]=1,2,1))),$B$7)</f>
        <v>Eksempel 2 (interval)</v>
      </c>
      <c r="H2484" s="188">
        <f>_xlfn.AGGREGATE(2,5,LineærRegression_Valg[[#This Row],[Tabel ID]])</f>
        <v>1</v>
      </c>
    </row>
    <row r="2485" spans="1:8" x14ac:dyDescent="0.2">
      <c r="A2485">
        <f>ROW(LineærRegression_Valg[[#This Row],[Tabel ID]])-ROW(LineærRegression_Valg[[#Headers],[Tabel ID]])</f>
        <v>2475</v>
      </c>
      <c r="B2485" s="188">
        <f>ROUNDDOWN((LineærRegression_Valg[[#This Row],[Tabel ID]]-1)/$B$5,0)+1</f>
        <v>619</v>
      </c>
      <c r="C2485" s="188">
        <f t="shared" si="38"/>
        <v>3</v>
      </c>
      <c r="D2485" s="188" t="b">
        <f>LineærRegression_Valg[[#This Row],[Afhængig variabel ID]]&lt;&gt;LineærRegression_Valg[[#This Row],[Uafhængig variabel ID]]</f>
        <v>1</v>
      </c>
      <c r="E2485" s="188" t="b">
        <f>LineærRegression_Valg[[#This Row],[Afhængig variabel ID]]&lt;=$B$5</f>
        <v>0</v>
      </c>
      <c r="F2485" t="str" cm="1">
        <f t="array" ref="F2485">IF(LineærRegression_Valg[[#This Row],[Indenfor range]],INDEX(DataTitel_liste,LineærRegression_Valg[[#This Row],[Afhængig variabel ID]]),INDEX(DataTitel_liste,1))</f>
        <v>Eksempel 1 (interval)</v>
      </c>
      <c r="G2485" s="188" t="str" cm="1">
        <f t="array" ref="G2485">IF(LineærRegression_Valg[[#This Row],[Indenfor range]],IF(LineærRegression_Valg[[#This Row],[Intet overlap]],INDEX(DataTitel_liste,LineærRegression_Valg[[#This Row],[Uafhængig variabel ID]]),INDEX(DataTitel_liste,IF(LineærRegression_Valg[[#This Row],[Afhængig variabel ID]]=1,2,1))),$B$7)</f>
        <v>Eksempel 2 (interval)</v>
      </c>
      <c r="H2485" s="188">
        <f>_xlfn.AGGREGATE(2,5,LineærRegression_Valg[[#This Row],[Tabel ID]])</f>
        <v>1</v>
      </c>
    </row>
    <row r="2486" spans="1:8" x14ac:dyDescent="0.2">
      <c r="A2486">
        <f>ROW(LineærRegression_Valg[[#This Row],[Tabel ID]])-ROW(LineærRegression_Valg[[#Headers],[Tabel ID]])</f>
        <v>2476</v>
      </c>
      <c r="B2486" s="188">
        <f>ROUNDDOWN((LineærRegression_Valg[[#This Row],[Tabel ID]]-1)/$B$5,0)+1</f>
        <v>619</v>
      </c>
      <c r="C2486" s="188">
        <f t="shared" si="38"/>
        <v>4</v>
      </c>
      <c r="D2486" s="188" t="b">
        <f>LineærRegression_Valg[[#This Row],[Afhængig variabel ID]]&lt;&gt;LineærRegression_Valg[[#This Row],[Uafhængig variabel ID]]</f>
        <v>1</v>
      </c>
      <c r="E2486" s="188" t="b">
        <f>LineærRegression_Valg[[#This Row],[Afhængig variabel ID]]&lt;=$B$5</f>
        <v>0</v>
      </c>
      <c r="F2486" t="str" cm="1">
        <f t="array" ref="F2486">IF(LineærRegression_Valg[[#This Row],[Indenfor range]],INDEX(DataTitel_liste,LineærRegression_Valg[[#This Row],[Afhængig variabel ID]]),INDEX(DataTitel_liste,1))</f>
        <v>Eksempel 1 (interval)</v>
      </c>
      <c r="G2486" s="188" t="str" cm="1">
        <f t="array" ref="G2486">IF(LineærRegression_Valg[[#This Row],[Indenfor range]],IF(LineærRegression_Valg[[#This Row],[Intet overlap]],INDEX(DataTitel_liste,LineærRegression_Valg[[#This Row],[Uafhængig variabel ID]]),INDEX(DataTitel_liste,IF(LineærRegression_Valg[[#This Row],[Afhængig variabel ID]]=1,2,1))),$B$7)</f>
        <v>Eksempel 2 (interval)</v>
      </c>
      <c r="H2486" s="188">
        <f>_xlfn.AGGREGATE(2,5,LineærRegression_Valg[[#This Row],[Tabel ID]])</f>
        <v>1</v>
      </c>
    </row>
    <row r="2487" spans="1:8" x14ac:dyDescent="0.2">
      <c r="A2487">
        <f>ROW(LineærRegression_Valg[[#This Row],[Tabel ID]])-ROW(LineærRegression_Valg[[#Headers],[Tabel ID]])</f>
        <v>2477</v>
      </c>
      <c r="B2487" s="188">
        <f>ROUNDDOWN((LineærRegression_Valg[[#This Row],[Tabel ID]]-1)/$B$5,0)+1</f>
        <v>620</v>
      </c>
      <c r="C2487" s="188">
        <f t="shared" si="38"/>
        <v>1</v>
      </c>
      <c r="D2487" s="188" t="b">
        <f>LineærRegression_Valg[[#This Row],[Afhængig variabel ID]]&lt;&gt;LineærRegression_Valg[[#This Row],[Uafhængig variabel ID]]</f>
        <v>1</v>
      </c>
      <c r="E2487" s="188" t="b">
        <f>LineærRegression_Valg[[#This Row],[Afhængig variabel ID]]&lt;=$B$5</f>
        <v>0</v>
      </c>
      <c r="F2487" t="str" cm="1">
        <f t="array" ref="F2487">IF(LineærRegression_Valg[[#This Row],[Indenfor range]],INDEX(DataTitel_liste,LineærRegression_Valg[[#This Row],[Afhængig variabel ID]]),INDEX(DataTitel_liste,1))</f>
        <v>Eksempel 1 (interval)</v>
      </c>
      <c r="G2487" s="188" t="str" cm="1">
        <f t="array" ref="G2487">IF(LineærRegression_Valg[[#This Row],[Indenfor range]],IF(LineærRegression_Valg[[#This Row],[Intet overlap]],INDEX(DataTitel_liste,LineærRegression_Valg[[#This Row],[Uafhængig variabel ID]]),INDEX(DataTitel_liste,IF(LineærRegression_Valg[[#This Row],[Afhængig variabel ID]]=1,2,1))),$B$7)</f>
        <v>Eksempel 2 (interval)</v>
      </c>
      <c r="H2487" s="188">
        <f>_xlfn.AGGREGATE(2,5,LineærRegression_Valg[[#This Row],[Tabel ID]])</f>
        <v>1</v>
      </c>
    </row>
    <row r="2488" spans="1:8" x14ac:dyDescent="0.2">
      <c r="A2488">
        <f>ROW(LineærRegression_Valg[[#This Row],[Tabel ID]])-ROW(LineærRegression_Valg[[#Headers],[Tabel ID]])</f>
        <v>2478</v>
      </c>
      <c r="B2488" s="188">
        <f>ROUNDDOWN((LineærRegression_Valg[[#This Row],[Tabel ID]]-1)/$B$5,0)+1</f>
        <v>620</v>
      </c>
      <c r="C2488" s="188">
        <f t="shared" si="38"/>
        <v>2</v>
      </c>
      <c r="D2488" s="188" t="b">
        <f>LineærRegression_Valg[[#This Row],[Afhængig variabel ID]]&lt;&gt;LineærRegression_Valg[[#This Row],[Uafhængig variabel ID]]</f>
        <v>1</v>
      </c>
      <c r="E2488" s="188" t="b">
        <f>LineærRegression_Valg[[#This Row],[Afhængig variabel ID]]&lt;=$B$5</f>
        <v>0</v>
      </c>
      <c r="F2488" t="str" cm="1">
        <f t="array" ref="F2488">IF(LineærRegression_Valg[[#This Row],[Indenfor range]],INDEX(DataTitel_liste,LineærRegression_Valg[[#This Row],[Afhængig variabel ID]]),INDEX(DataTitel_liste,1))</f>
        <v>Eksempel 1 (interval)</v>
      </c>
      <c r="G2488" s="188" t="str" cm="1">
        <f t="array" ref="G2488">IF(LineærRegression_Valg[[#This Row],[Indenfor range]],IF(LineærRegression_Valg[[#This Row],[Intet overlap]],INDEX(DataTitel_liste,LineærRegression_Valg[[#This Row],[Uafhængig variabel ID]]),INDEX(DataTitel_liste,IF(LineærRegression_Valg[[#This Row],[Afhængig variabel ID]]=1,2,1))),$B$7)</f>
        <v>Eksempel 2 (interval)</v>
      </c>
      <c r="H2488" s="188">
        <f>_xlfn.AGGREGATE(2,5,LineærRegression_Valg[[#This Row],[Tabel ID]])</f>
        <v>1</v>
      </c>
    </row>
    <row r="2489" spans="1:8" x14ac:dyDescent="0.2">
      <c r="A2489">
        <f>ROW(LineærRegression_Valg[[#This Row],[Tabel ID]])-ROW(LineærRegression_Valg[[#Headers],[Tabel ID]])</f>
        <v>2479</v>
      </c>
      <c r="B2489" s="188">
        <f>ROUNDDOWN((LineærRegression_Valg[[#This Row],[Tabel ID]]-1)/$B$5,0)+1</f>
        <v>620</v>
      </c>
      <c r="C2489" s="188">
        <f t="shared" si="38"/>
        <v>3</v>
      </c>
      <c r="D2489" s="188" t="b">
        <f>LineærRegression_Valg[[#This Row],[Afhængig variabel ID]]&lt;&gt;LineærRegression_Valg[[#This Row],[Uafhængig variabel ID]]</f>
        <v>1</v>
      </c>
      <c r="E2489" s="188" t="b">
        <f>LineærRegression_Valg[[#This Row],[Afhængig variabel ID]]&lt;=$B$5</f>
        <v>0</v>
      </c>
      <c r="F2489" t="str" cm="1">
        <f t="array" ref="F2489">IF(LineærRegression_Valg[[#This Row],[Indenfor range]],INDEX(DataTitel_liste,LineærRegression_Valg[[#This Row],[Afhængig variabel ID]]),INDEX(DataTitel_liste,1))</f>
        <v>Eksempel 1 (interval)</v>
      </c>
      <c r="G2489" s="188" t="str" cm="1">
        <f t="array" ref="G2489">IF(LineærRegression_Valg[[#This Row],[Indenfor range]],IF(LineærRegression_Valg[[#This Row],[Intet overlap]],INDEX(DataTitel_liste,LineærRegression_Valg[[#This Row],[Uafhængig variabel ID]]),INDEX(DataTitel_liste,IF(LineærRegression_Valg[[#This Row],[Afhængig variabel ID]]=1,2,1))),$B$7)</f>
        <v>Eksempel 2 (interval)</v>
      </c>
      <c r="H2489" s="188">
        <f>_xlfn.AGGREGATE(2,5,LineærRegression_Valg[[#This Row],[Tabel ID]])</f>
        <v>1</v>
      </c>
    </row>
    <row r="2490" spans="1:8" x14ac:dyDescent="0.2">
      <c r="A2490">
        <f>ROW(LineærRegression_Valg[[#This Row],[Tabel ID]])-ROW(LineærRegression_Valg[[#Headers],[Tabel ID]])</f>
        <v>2480</v>
      </c>
      <c r="B2490" s="188">
        <f>ROUNDDOWN((LineærRegression_Valg[[#This Row],[Tabel ID]]-1)/$B$5,0)+1</f>
        <v>620</v>
      </c>
      <c r="C2490" s="188">
        <f t="shared" si="38"/>
        <v>4</v>
      </c>
      <c r="D2490" s="188" t="b">
        <f>LineærRegression_Valg[[#This Row],[Afhængig variabel ID]]&lt;&gt;LineærRegression_Valg[[#This Row],[Uafhængig variabel ID]]</f>
        <v>1</v>
      </c>
      <c r="E2490" s="188" t="b">
        <f>LineærRegression_Valg[[#This Row],[Afhængig variabel ID]]&lt;=$B$5</f>
        <v>0</v>
      </c>
      <c r="F2490" t="str" cm="1">
        <f t="array" ref="F2490">IF(LineærRegression_Valg[[#This Row],[Indenfor range]],INDEX(DataTitel_liste,LineærRegression_Valg[[#This Row],[Afhængig variabel ID]]),INDEX(DataTitel_liste,1))</f>
        <v>Eksempel 1 (interval)</v>
      </c>
      <c r="G2490" s="188" t="str" cm="1">
        <f t="array" ref="G2490">IF(LineærRegression_Valg[[#This Row],[Indenfor range]],IF(LineærRegression_Valg[[#This Row],[Intet overlap]],INDEX(DataTitel_liste,LineærRegression_Valg[[#This Row],[Uafhængig variabel ID]]),INDEX(DataTitel_liste,IF(LineærRegression_Valg[[#This Row],[Afhængig variabel ID]]=1,2,1))),$B$7)</f>
        <v>Eksempel 2 (interval)</v>
      </c>
      <c r="H2490" s="188">
        <f>_xlfn.AGGREGATE(2,5,LineærRegression_Valg[[#This Row],[Tabel ID]])</f>
        <v>1</v>
      </c>
    </row>
    <row r="2491" spans="1:8" x14ac:dyDescent="0.2">
      <c r="A2491">
        <f>ROW(LineærRegression_Valg[[#This Row],[Tabel ID]])-ROW(LineærRegression_Valg[[#Headers],[Tabel ID]])</f>
        <v>2481</v>
      </c>
      <c r="B2491" s="188">
        <f>ROUNDDOWN((LineærRegression_Valg[[#This Row],[Tabel ID]]-1)/$B$5,0)+1</f>
        <v>621</v>
      </c>
      <c r="C2491" s="188">
        <f t="shared" si="38"/>
        <v>1</v>
      </c>
      <c r="D2491" s="188" t="b">
        <f>LineærRegression_Valg[[#This Row],[Afhængig variabel ID]]&lt;&gt;LineærRegression_Valg[[#This Row],[Uafhængig variabel ID]]</f>
        <v>1</v>
      </c>
      <c r="E2491" s="188" t="b">
        <f>LineærRegression_Valg[[#This Row],[Afhængig variabel ID]]&lt;=$B$5</f>
        <v>0</v>
      </c>
      <c r="F2491" t="str" cm="1">
        <f t="array" ref="F2491">IF(LineærRegression_Valg[[#This Row],[Indenfor range]],INDEX(DataTitel_liste,LineærRegression_Valg[[#This Row],[Afhængig variabel ID]]),INDEX(DataTitel_liste,1))</f>
        <v>Eksempel 1 (interval)</v>
      </c>
      <c r="G2491" s="188" t="str" cm="1">
        <f t="array" ref="G2491">IF(LineærRegression_Valg[[#This Row],[Indenfor range]],IF(LineærRegression_Valg[[#This Row],[Intet overlap]],INDEX(DataTitel_liste,LineærRegression_Valg[[#This Row],[Uafhængig variabel ID]]),INDEX(DataTitel_liste,IF(LineærRegression_Valg[[#This Row],[Afhængig variabel ID]]=1,2,1))),$B$7)</f>
        <v>Eksempel 2 (interval)</v>
      </c>
      <c r="H2491" s="188">
        <f>_xlfn.AGGREGATE(2,5,LineærRegression_Valg[[#This Row],[Tabel ID]])</f>
        <v>1</v>
      </c>
    </row>
    <row r="2492" spans="1:8" x14ac:dyDescent="0.2">
      <c r="A2492">
        <f>ROW(LineærRegression_Valg[[#This Row],[Tabel ID]])-ROW(LineærRegression_Valg[[#Headers],[Tabel ID]])</f>
        <v>2482</v>
      </c>
      <c r="B2492" s="188">
        <f>ROUNDDOWN((LineærRegression_Valg[[#This Row],[Tabel ID]]-1)/$B$5,0)+1</f>
        <v>621</v>
      </c>
      <c r="C2492" s="188">
        <f t="shared" si="38"/>
        <v>2</v>
      </c>
      <c r="D2492" s="188" t="b">
        <f>LineærRegression_Valg[[#This Row],[Afhængig variabel ID]]&lt;&gt;LineærRegression_Valg[[#This Row],[Uafhængig variabel ID]]</f>
        <v>1</v>
      </c>
      <c r="E2492" s="188" t="b">
        <f>LineærRegression_Valg[[#This Row],[Afhængig variabel ID]]&lt;=$B$5</f>
        <v>0</v>
      </c>
      <c r="F2492" t="str" cm="1">
        <f t="array" ref="F2492">IF(LineærRegression_Valg[[#This Row],[Indenfor range]],INDEX(DataTitel_liste,LineærRegression_Valg[[#This Row],[Afhængig variabel ID]]),INDEX(DataTitel_liste,1))</f>
        <v>Eksempel 1 (interval)</v>
      </c>
      <c r="G2492" s="188" t="str" cm="1">
        <f t="array" ref="G2492">IF(LineærRegression_Valg[[#This Row],[Indenfor range]],IF(LineærRegression_Valg[[#This Row],[Intet overlap]],INDEX(DataTitel_liste,LineærRegression_Valg[[#This Row],[Uafhængig variabel ID]]),INDEX(DataTitel_liste,IF(LineærRegression_Valg[[#This Row],[Afhængig variabel ID]]=1,2,1))),$B$7)</f>
        <v>Eksempel 2 (interval)</v>
      </c>
      <c r="H2492" s="188">
        <f>_xlfn.AGGREGATE(2,5,LineærRegression_Valg[[#This Row],[Tabel ID]])</f>
        <v>1</v>
      </c>
    </row>
    <row r="2493" spans="1:8" x14ac:dyDescent="0.2">
      <c r="A2493">
        <f>ROW(LineærRegression_Valg[[#This Row],[Tabel ID]])-ROW(LineærRegression_Valg[[#Headers],[Tabel ID]])</f>
        <v>2483</v>
      </c>
      <c r="B2493" s="188">
        <f>ROUNDDOWN((LineærRegression_Valg[[#This Row],[Tabel ID]]-1)/$B$5,0)+1</f>
        <v>621</v>
      </c>
      <c r="C2493" s="188">
        <f t="shared" si="38"/>
        <v>3</v>
      </c>
      <c r="D2493" s="188" t="b">
        <f>LineærRegression_Valg[[#This Row],[Afhængig variabel ID]]&lt;&gt;LineærRegression_Valg[[#This Row],[Uafhængig variabel ID]]</f>
        <v>1</v>
      </c>
      <c r="E2493" s="188" t="b">
        <f>LineærRegression_Valg[[#This Row],[Afhængig variabel ID]]&lt;=$B$5</f>
        <v>0</v>
      </c>
      <c r="F2493" t="str" cm="1">
        <f t="array" ref="F2493">IF(LineærRegression_Valg[[#This Row],[Indenfor range]],INDEX(DataTitel_liste,LineærRegression_Valg[[#This Row],[Afhængig variabel ID]]),INDEX(DataTitel_liste,1))</f>
        <v>Eksempel 1 (interval)</v>
      </c>
      <c r="G2493" s="188" t="str" cm="1">
        <f t="array" ref="G2493">IF(LineærRegression_Valg[[#This Row],[Indenfor range]],IF(LineærRegression_Valg[[#This Row],[Intet overlap]],INDEX(DataTitel_liste,LineærRegression_Valg[[#This Row],[Uafhængig variabel ID]]),INDEX(DataTitel_liste,IF(LineærRegression_Valg[[#This Row],[Afhængig variabel ID]]=1,2,1))),$B$7)</f>
        <v>Eksempel 2 (interval)</v>
      </c>
      <c r="H2493" s="188">
        <f>_xlfn.AGGREGATE(2,5,LineærRegression_Valg[[#This Row],[Tabel ID]])</f>
        <v>1</v>
      </c>
    </row>
    <row r="2494" spans="1:8" x14ac:dyDescent="0.2">
      <c r="A2494">
        <f>ROW(LineærRegression_Valg[[#This Row],[Tabel ID]])-ROW(LineærRegression_Valg[[#Headers],[Tabel ID]])</f>
        <v>2484</v>
      </c>
      <c r="B2494" s="188">
        <f>ROUNDDOWN((LineærRegression_Valg[[#This Row],[Tabel ID]]-1)/$B$5,0)+1</f>
        <v>621</v>
      </c>
      <c r="C2494" s="188">
        <f t="shared" si="38"/>
        <v>4</v>
      </c>
      <c r="D2494" s="188" t="b">
        <f>LineærRegression_Valg[[#This Row],[Afhængig variabel ID]]&lt;&gt;LineærRegression_Valg[[#This Row],[Uafhængig variabel ID]]</f>
        <v>1</v>
      </c>
      <c r="E2494" s="188" t="b">
        <f>LineærRegression_Valg[[#This Row],[Afhængig variabel ID]]&lt;=$B$5</f>
        <v>0</v>
      </c>
      <c r="F2494" t="str" cm="1">
        <f t="array" ref="F2494">IF(LineærRegression_Valg[[#This Row],[Indenfor range]],INDEX(DataTitel_liste,LineærRegression_Valg[[#This Row],[Afhængig variabel ID]]),INDEX(DataTitel_liste,1))</f>
        <v>Eksempel 1 (interval)</v>
      </c>
      <c r="G2494" s="188" t="str" cm="1">
        <f t="array" ref="G2494">IF(LineærRegression_Valg[[#This Row],[Indenfor range]],IF(LineærRegression_Valg[[#This Row],[Intet overlap]],INDEX(DataTitel_liste,LineærRegression_Valg[[#This Row],[Uafhængig variabel ID]]),INDEX(DataTitel_liste,IF(LineærRegression_Valg[[#This Row],[Afhængig variabel ID]]=1,2,1))),$B$7)</f>
        <v>Eksempel 2 (interval)</v>
      </c>
      <c r="H2494" s="188">
        <f>_xlfn.AGGREGATE(2,5,LineærRegression_Valg[[#This Row],[Tabel ID]])</f>
        <v>1</v>
      </c>
    </row>
    <row r="2495" spans="1:8" x14ac:dyDescent="0.2">
      <c r="A2495">
        <f>ROW(LineærRegression_Valg[[#This Row],[Tabel ID]])-ROW(LineærRegression_Valg[[#Headers],[Tabel ID]])</f>
        <v>2485</v>
      </c>
      <c r="B2495" s="188">
        <f>ROUNDDOWN((LineærRegression_Valg[[#This Row],[Tabel ID]]-1)/$B$5,0)+1</f>
        <v>622</v>
      </c>
      <c r="C2495" s="188">
        <f t="shared" si="38"/>
        <v>1</v>
      </c>
      <c r="D2495" s="188" t="b">
        <f>LineærRegression_Valg[[#This Row],[Afhængig variabel ID]]&lt;&gt;LineærRegression_Valg[[#This Row],[Uafhængig variabel ID]]</f>
        <v>1</v>
      </c>
      <c r="E2495" s="188" t="b">
        <f>LineærRegression_Valg[[#This Row],[Afhængig variabel ID]]&lt;=$B$5</f>
        <v>0</v>
      </c>
      <c r="F2495" t="str" cm="1">
        <f t="array" ref="F2495">IF(LineærRegression_Valg[[#This Row],[Indenfor range]],INDEX(DataTitel_liste,LineærRegression_Valg[[#This Row],[Afhængig variabel ID]]),INDEX(DataTitel_liste,1))</f>
        <v>Eksempel 1 (interval)</v>
      </c>
      <c r="G2495" s="188" t="str" cm="1">
        <f t="array" ref="G2495">IF(LineærRegression_Valg[[#This Row],[Indenfor range]],IF(LineærRegression_Valg[[#This Row],[Intet overlap]],INDEX(DataTitel_liste,LineærRegression_Valg[[#This Row],[Uafhængig variabel ID]]),INDEX(DataTitel_liste,IF(LineærRegression_Valg[[#This Row],[Afhængig variabel ID]]=1,2,1))),$B$7)</f>
        <v>Eksempel 2 (interval)</v>
      </c>
      <c r="H2495" s="188">
        <f>_xlfn.AGGREGATE(2,5,LineærRegression_Valg[[#This Row],[Tabel ID]])</f>
        <v>1</v>
      </c>
    </row>
    <row r="2496" spans="1:8" x14ac:dyDescent="0.2">
      <c r="A2496">
        <f>ROW(LineærRegression_Valg[[#This Row],[Tabel ID]])-ROW(LineærRegression_Valg[[#Headers],[Tabel ID]])</f>
        <v>2486</v>
      </c>
      <c r="B2496" s="188">
        <f>ROUNDDOWN((LineærRegression_Valg[[#This Row],[Tabel ID]]-1)/$B$5,0)+1</f>
        <v>622</v>
      </c>
      <c r="C2496" s="188">
        <f t="shared" si="38"/>
        <v>2</v>
      </c>
      <c r="D2496" s="188" t="b">
        <f>LineærRegression_Valg[[#This Row],[Afhængig variabel ID]]&lt;&gt;LineærRegression_Valg[[#This Row],[Uafhængig variabel ID]]</f>
        <v>1</v>
      </c>
      <c r="E2496" s="188" t="b">
        <f>LineærRegression_Valg[[#This Row],[Afhængig variabel ID]]&lt;=$B$5</f>
        <v>0</v>
      </c>
      <c r="F2496" t="str" cm="1">
        <f t="array" ref="F2496">IF(LineærRegression_Valg[[#This Row],[Indenfor range]],INDEX(DataTitel_liste,LineærRegression_Valg[[#This Row],[Afhængig variabel ID]]),INDEX(DataTitel_liste,1))</f>
        <v>Eksempel 1 (interval)</v>
      </c>
      <c r="G2496" s="188" t="str" cm="1">
        <f t="array" ref="G2496">IF(LineærRegression_Valg[[#This Row],[Indenfor range]],IF(LineærRegression_Valg[[#This Row],[Intet overlap]],INDEX(DataTitel_liste,LineærRegression_Valg[[#This Row],[Uafhængig variabel ID]]),INDEX(DataTitel_liste,IF(LineærRegression_Valg[[#This Row],[Afhængig variabel ID]]=1,2,1))),$B$7)</f>
        <v>Eksempel 2 (interval)</v>
      </c>
      <c r="H2496" s="188">
        <f>_xlfn.AGGREGATE(2,5,LineærRegression_Valg[[#This Row],[Tabel ID]])</f>
        <v>1</v>
      </c>
    </row>
    <row r="2497" spans="1:8" x14ac:dyDescent="0.2">
      <c r="A2497">
        <f>ROW(LineærRegression_Valg[[#This Row],[Tabel ID]])-ROW(LineærRegression_Valg[[#Headers],[Tabel ID]])</f>
        <v>2487</v>
      </c>
      <c r="B2497" s="188">
        <f>ROUNDDOWN((LineærRegression_Valg[[#This Row],[Tabel ID]]-1)/$B$5,0)+1</f>
        <v>622</v>
      </c>
      <c r="C2497" s="188">
        <f t="shared" si="38"/>
        <v>3</v>
      </c>
      <c r="D2497" s="188" t="b">
        <f>LineærRegression_Valg[[#This Row],[Afhængig variabel ID]]&lt;&gt;LineærRegression_Valg[[#This Row],[Uafhængig variabel ID]]</f>
        <v>1</v>
      </c>
      <c r="E2497" s="188" t="b">
        <f>LineærRegression_Valg[[#This Row],[Afhængig variabel ID]]&lt;=$B$5</f>
        <v>0</v>
      </c>
      <c r="F2497" t="str" cm="1">
        <f t="array" ref="F2497">IF(LineærRegression_Valg[[#This Row],[Indenfor range]],INDEX(DataTitel_liste,LineærRegression_Valg[[#This Row],[Afhængig variabel ID]]),INDEX(DataTitel_liste,1))</f>
        <v>Eksempel 1 (interval)</v>
      </c>
      <c r="G2497" s="188" t="str" cm="1">
        <f t="array" ref="G2497">IF(LineærRegression_Valg[[#This Row],[Indenfor range]],IF(LineærRegression_Valg[[#This Row],[Intet overlap]],INDEX(DataTitel_liste,LineærRegression_Valg[[#This Row],[Uafhængig variabel ID]]),INDEX(DataTitel_liste,IF(LineærRegression_Valg[[#This Row],[Afhængig variabel ID]]=1,2,1))),$B$7)</f>
        <v>Eksempel 2 (interval)</v>
      </c>
      <c r="H2497" s="188">
        <f>_xlfn.AGGREGATE(2,5,LineærRegression_Valg[[#This Row],[Tabel ID]])</f>
        <v>1</v>
      </c>
    </row>
    <row r="2498" spans="1:8" x14ac:dyDescent="0.2">
      <c r="A2498">
        <f>ROW(LineærRegression_Valg[[#This Row],[Tabel ID]])-ROW(LineærRegression_Valg[[#Headers],[Tabel ID]])</f>
        <v>2488</v>
      </c>
      <c r="B2498" s="188">
        <f>ROUNDDOWN((LineærRegression_Valg[[#This Row],[Tabel ID]]-1)/$B$5,0)+1</f>
        <v>622</v>
      </c>
      <c r="C2498" s="188">
        <f t="shared" si="38"/>
        <v>4</v>
      </c>
      <c r="D2498" s="188" t="b">
        <f>LineærRegression_Valg[[#This Row],[Afhængig variabel ID]]&lt;&gt;LineærRegression_Valg[[#This Row],[Uafhængig variabel ID]]</f>
        <v>1</v>
      </c>
      <c r="E2498" s="188" t="b">
        <f>LineærRegression_Valg[[#This Row],[Afhængig variabel ID]]&lt;=$B$5</f>
        <v>0</v>
      </c>
      <c r="F2498" t="str" cm="1">
        <f t="array" ref="F2498">IF(LineærRegression_Valg[[#This Row],[Indenfor range]],INDEX(DataTitel_liste,LineærRegression_Valg[[#This Row],[Afhængig variabel ID]]),INDEX(DataTitel_liste,1))</f>
        <v>Eksempel 1 (interval)</v>
      </c>
      <c r="G2498" s="188" t="str" cm="1">
        <f t="array" ref="G2498">IF(LineærRegression_Valg[[#This Row],[Indenfor range]],IF(LineærRegression_Valg[[#This Row],[Intet overlap]],INDEX(DataTitel_liste,LineærRegression_Valg[[#This Row],[Uafhængig variabel ID]]),INDEX(DataTitel_liste,IF(LineærRegression_Valg[[#This Row],[Afhængig variabel ID]]=1,2,1))),$B$7)</f>
        <v>Eksempel 2 (interval)</v>
      </c>
      <c r="H2498" s="188">
        <f>_xlfn.AGGREGATE(2,5,LineærRegression_Valg[[#This Row],[Tabel ID]])</f>
        <v>1</v>
      </c>
    </row>
    <row r="2499" spans="1:8" x14ac:dyDescent="0.2">
      <c r="A2499">
        <f>ROW(LineærRegression_Valg[[#This Row],[Tabel ID]])-ROW(LineærRegression_Valg[[#Headers],[Tabel ID]])</f>
        <v>2489</v>
      </c>
      <c r="B2499" s="188">
        <f>ROUNDDOWN((LineærRegression_Valg[[#This Row],[Tabel ID]]-1)/$B$5,0)+1</f>
        <v>623</v>
      </c>
      <c r="C2499" s="188">
        <f t="shared" si="38"/>
        <v>1</v>
      </c>
      <c r="D2499" s="188" t="b">
        <f>LineærRegression_Valg[[#This Row],[Afhængig variabel ID]]&lt;&gt;LineærRegression_Valg[[#This Row],[Uafhængig variabel ID]]</f>
        <v>1</v>
      </c>
      <c r="E2499" s="188" t="b">
        <f>LineærRegression_Valg[[#This Row],[Afhængig variabel ID]]&lt;=$B$5</f>
        <v>0</v>
      </c>
      <c r="F2499" t="str" cm="1">
        <f t="array" ref="F2499">IF(LineærRegression_Valg[[#This Row],[Indenfor range]],INDEX(DataTitel_liste,LineærRegression_Valg[[#This Row],[Afhængig variabel ID]]),INDEX(DataTitel_liste,1))</f>
        <v>Eksempel 1 (interval)</v>
      </c>
      <c r="G2499" s="188" t="str" cm="1">
        <f t="array" ref="G2499">IF(LineærRegression_Valg[[#This Row],[Indenfor range]],IF(LineærRegression_Valg[[#This Row],[Intet overlap]],INDEX(DataTitel_liste,LineærRegression_Valg[[#This Row],[Uafhængig variabel ID]]),INDEX(DataTitel_liste,IF(LineærRegression_Valg[[#This Row],[Afhængig variabel ID]]=1,2,1))),$B$7)</f>
        <v>Eksempel 2 (interval)</v>
      </c>
      <c r="H2499" s="188">
        <f>_xlfn.AGGREGATE(2,5,LineærRegression_Valg[[#This Row],[Tabel ID]])</f>
        <v>1</v>
      </c>
    </row>
    <row r="2500" spans="1:8" x14ac:dyDescent="0.2">
      <c r="A2500">
        <f>ROW(LineærRegression_Valg[[#This Row],[Tabel ID]])-ROW(LineærRegression_Valg[[#Headers],[Tabel ID]])</f>
        <v>2490</v>
      </c>
      <c r="B2500" s="188">
        <f>ROUNDDOWN((LineærRegression_Valg[[#This Row],[Tabel ID]]-1)/$B$5,0)+1</f>
        <v>623</v>
      </c>
      <c r="C2500" s="188">
        <f t="shared" si="38"/>
        <v>2</v>
      </c>
      <c r="D2500" s="188" t="b">
        <f>LineærRegression_Valg[[#This Row],[Afhængig variabel ID]]&lt;&gt;LineærRegression_Valg[[#This Row],[Uafhængig variabel ID]]</f>
        <v>1</v>
      </c>
      <c r="E2500" s="188" t="b">
        <f>LineærRegression_Valg[[#This Row],[Afhængig variabel ID]]&lt;=$B$5</f>
        <v>0</v>
      </c>
      <c r="F2500" t="str" cm="1">
        <f t="array" ref="F2500">IF(LineærRegression_Valg[[#This Row],[Indenfor range]],INDEX(DataTitel_liste,LineærRegression_Valg[[#This Row],[Afhængig variabel ID]]),INDEX(DataTitel_liste,1))</f>
        <v>Eksempel 1 (interval)</v>
      </c>
      <c r="G2500" s="188" t="str" cm="1">
        <f t="array" ref="G2500">IF(LineærRegression_Valg[[#This Row],[Indenfor range]],IF(LineærRegression_Valg[[#This Row],[Intet overlap]],INDEX(DataTitel_liste,LineærRegression_Valg[[#This Row],[Uafhængig variabel ID]]),INDEX(DataTitel_liste,IF(LineærRegression_Valg[[#This Row],[Afhængig variabel ID]]=1,2,1))),$B$7)</f>
        <v>Eksempel 2 (interval)</v>
      </c>
      <c r="H2500" s="188">
        <f>_xlfn.AGGREGATE(2,5,LineærRegression_Valg[[#This Row],[Tabel ID]])</f>
        <v>1</v>
      </c>
    </row>
    <row r="2501" spans="1:8" x14ac:dyDescent="0.2">
      <c r="A2501">
        <f>ROW(LineærRegression_Valg[[#This Row],[Tabel ID]])-ROW(LineærRegression_Valg[[#Headers],[Tabel ID]])</f>
        <v>2491</v>
      </c>
      <c r="B2501" s="188">
        <f>ROUNDDOWN((LineærRegression_Valg[[#This Row],[Tabel ID]]-1)/$B$5,0)+1</f>
        <v>623</v>
      </c>
      <c r="C2501" s="188">
        <f t="shared" si="38"/>
        <v>3</v>
      </c>
      <c r="D2501" s="188" t="b">
        <f>LineærRegression_Valg[[#This Row],[Afhængig variabel ID]]&lt;&gt;LineærRegression_Valg[[#This Row],[Uafhængig variabel ID]]</f>
        <v>1</v>
      </c>
      <c r="E2501" s="188" t="b">
        <f>LineærRegression_Valg[[#This Row],[Afhængig variabel ID]]&lt;=$B$5</f>
        <v>0</v>
      </c>
      <c r="F2501" t="str" cm="1">
        <f t="array" ref="F2501">IF(LineærRegression_Valg[[#This Row],[Indenfor range]],INDEX(DataTitel_liste,LineærRegression_Valg[[#This Row],[Afhængig variabel ID]]),INDEX(DataTitel_liste,1))</f>
        <v>Eksempel 1 (interval)</v>
      </c>
      <c r="G2501" s="188" t="str" cm="1">
        <f t="array" ref="G2501">IF(LineærRegression_Valg[[#This Row],[Indenfor range]],IF(LineærRegression_Valg[[#This Row],[Intet overlap]],INDEX(DataTitel_liste,LineærRegression_Valg[[#This Row],[Uafhængig variabel ID]]),INDEX(DataTitel_liste,IF(LineærRegression_Valg[[#This Row],[Afhængig variabel ID]]=1,2,1))),$B$7)</f>
        <v>Eksempel 2 (interval)</v>
      </c>
      <c r="H2501" s="188">
        <f>_xlfn.AGGREGATE(2,5,LineærRegression_Valg[[#This Row],[Tabel ID]])</f>
        <v>1</v>
      </c>
    </row>
    <row r="2502" spans="1:8" x14ac:dyDescent="0.2">
      <c r="A2502">
        <f>ROW(LineærRegression_Valg[[#This Row],[Tabel ID]])-ROW(LineærRegression_Valg[[#Headers],[Tabel ID]])</f>
        <v>2492</v>
      </c>
      <c r="B2502" s="188">
        <f>ROUNDDOWN((LineærRegression_Valg[[#This Row],[Tabel ID]]-1)/$B$5,0)+1</f>
        <v>623</v>
      </c>
      <c r="C2502" s="188">
        <f t="shared" si="38"/>
        <v>4</v>
      </c>
      <c r="D2502" s="188" t="b">
        <f>LineærRegression_Valg[[#This Row],[Afhængig variabel ID]]&lt;&gt;LineærRegression_Valg[[#This Row],[Uafhængig variabel ID]]</f>
        <v>1</v>
      </c>
      <c r="E2502" s="188" t="b">
        <f>LineærRegression_Valg[[#This Row],[Afhængig variabel ID]]&lt;=$B$5</f>
        <v>0</v>
      </c>
      <c r="F2502" t="str" cm="1">
        <f t="array" ref="F2502">IF(LineærRegression_Valg[[#This Row],[Indenfor range]],INDEX(DataTitel_liste,LineærRegression_Valg[[#This Row],[Afhængig variabel ID]]),INDEX(DataTitel_liste,1))</f>
        <v>Eksempel 1 (interval)</v>
      </c>
      <c r="G2502" s="188" t="str" cm="1">
        <f t="array" ref="G2502">IF(LineærRegression_Valg[[#This Row],[Indenfor range]],IF(LineærRegression_Valg[[#This Row],[Intet overlap]],INDEX(DataTitel_liste,LineærRegression_Valg[[#This Row],[Uafhængig variabel ID]]),INDEX(DataTitel_liste,IF(LineærRegression_Valg[[#This Row],[Afhængig variabel ID]]=1,2,1))),$B$7)</f>
        <v>Eksempel 2 (interval)</v>
      </c>
      <c r="H2502" s="188">
        <f>_xlfn.AGGREGATE(2,5,LineærRegression_Valg[[#This Row],[Tabel ID]])</f>
        <v>1</v>
      </c>
    </row>
    <row r="2503" spans="1:8" x14ac:dyDescent="0.2">
      <c r="A2503">
        <f>ROW(LineærRegression_Valg[[#This Row],[Tabel ID]])-ROW(LineærRegression_Valg[[#Headers],[Tabel ID]])</f>
        <v>2493</v>
      </c>
      <c r="B2503" s="188">
        <f>ROUNDDOWN((LineærRegression_Valg[[#This Row],[Tabel ID]]-1)/$B$5,0)+1</f>
        <v>624</v>
      </c>
      <c r="C2503" s="188">
        <f t="shared" si="38"/>
        <v>1</v>
      </c>
      <c r="D2503" s="188" t="b">
        <f>LineærRegression_Valg[[#This Row],[Afhængig variabel ID]]&lt;&gt;LineærRegression_Valg[[#This Row],[Uafhængig variabel ID]]</f>
        <v>1</v>
      </c>
      <c r="E2503" s="188" t="b">
        <f>LineærRegression_Valg[[#This Row],[Afhængig variabel ID]]&lt;=$B$5</f>
        <v>0</v>
      </c>
      <c r="F2503" t="str" cm="1">
        <f t="array" ref="F2503">IF(LineærRegression_Valg[[#This Row],[Indenfor range]],INDEX(DataTitel_liste,LineærRegression_Valg[[#This Row],[Afhængig variabel ID]]),INDEX(DataTitel_liste,1))</f>
        <v>Eksempel 1 (interval)</v>
      </c>
      <c r="G2503" s="188" t="str" cm="1">
        <f t="array" ref="G2503">IF(LineærRegression_Valg[[#This Row],[Indenfor range]],IF(LineærRegression_Valg[[#This Row],[Intet overlap]],INDEX(DataTitel_liste,LineærRegression_Valg[[#This Row],[Uafhængig variabel ID]]),INDEX(DataTitel_liste,IF(LineærRegression_Valg[[#This Row],[Afhængig variabel ID]]=1,2,1))),$B$7)</f>
        <v>Eksempel 2 (interval)</v>
      </c>
      <c r="H2503" s="188">
        <f>_xlfn.AGGREGATE(2,5,LineærRegression_Valg[[#This Row],[Tabel ID]])</f>
        <v>1</v>
      </c>
    </row>
    <row r="2504" spans="1:8" x14ac:dyDescent="0.2">
      <c r="A2504">
        <f>ROW(LineærRegression_Valg[[#This Row],[Tabel ID]])-ROW(LineærRegression_Valg[[#Headers],[Tabel ID]])</f>
        <v>2494</v>
      </c>
      <c r="B2504" s="188">
        <f>ROUNDDOWN((LineærRegression_Valg[[#This Row],[Tabel ID]]-1)/$B$5,0)+1</f>
        <v>624</v>
      </c>
      <c r="C2504" s="188">
        <f t="shared" si="38"/>
        <v>2</v>
      </c>
      <c r="D2504" s="188" t="b">
        <f>LineærRegression_Valg[[#This Row],[Afhængig variabel ID]]&lt;&gt;LineærRegression_Valg[[#This Row],[Uafhængig variabel ID]]</f>
        <v>1</v>
      </c>
      <c r="E2504" s="188" t="b">
        <f>LineærRegression_Valg[[#This Row],[Afhængig variabel ID]]&lt;=$B$5</f>
        <v>0</v>
      </c>
      <c r="F2504" t="str" cm="1">
        <f t="array" ref="F2504">IF(LineærRegression_Valg[[#This Row],[Indenfor range]],INDEX(DataTitel_liste,LineærRegression_Valg[[#This Row],[Afhængig variabel ID]]),INDEX(DataTitel_liste,1))</f>
        <v>Eksempel 1 (interval)</v>
      </c>
      <c r="G2504" s="188" t="str" cm="1">
        <f t="array" ref="G2504">IF(LineærRegression_Valg[[#This Row],[Indenfor range]],IF(LineærRegression_Valg[[#This Row],[Intet overlap]],INDEX(DataTitel_liste,LineærRegression_Valg[[#This Row],[Uafhængig variabel ID]]),INDEX(DataTitel_liste,IF(LineærRegression_Valg[[#This Row],[Afhængig variabel ID]]=1,2,1))),$B$7)</f>
        <v>Eksempel 2 (interval)</v>
      </c>
      <c r="H2504" s="188">
        <f>_xlfn.AGGREGATE(2,5,LineærRegression_Valg[[#This Row],[Tabel ID]])</f>
        <v>1</v>
      </c>
    </row>
    <row r="2505" spans="1:8" x14ac:dyDescent="0.2">
      <c r="A2505">
        <f>ROW(LineærRegression_Valg[[#This Row],[Tabel ID]])-ROW(LineærRegression_Valg[[#Headers],[Tabel ID]])</f>
        <v>2495</v>
      </c>
      <c r="B2505" s="188">
        <f>ROUNDDOWN((LineærRegression_Valg[[#This Row],[Tabel ID]]-1)/$B$5,0)+1</f>
        <v>624</v>
      </c>
      <c r="C2505" s="188">
        <f t="shared" si="38"/>
        <v>3</v>
      </c>
      <c r="D2505" s="188" t="b">
        <f>LineærRegression_Valg[[#This Row],[Afhængig variabel ID]]&lt;&gt;LineærRegression_Valg[[#This Row],[Uafhængig variabel ID]]</f>
        <v>1</v>
      </c>
      <c r="E2505" s="188" t="b">
        <f>LineærRegression_Valg[[#This Row],[Afhængig variabel ID]]&lt;=$B$5</f>
        <v>0</v>
      </c>
      <c r="F2505" t="str" cm="1">
        <f t="array" ref="F2505">IF(LineærRegression_Valg[[#This Row],[Indenfor range]],INDEX(DataTitel_liste,LineærRegression_Valg[[#This Row],[Afhængig variabel ID]]),INDEX(DataTitel_liste,1))</f>
        <v>Eksempel 1 (interval)</v>
      </c>
      <c r="G2505" s="188" t="str" cm="1">
        <f t="array" ref="G2505">IF(LineærRegression_Valg[[#This Row],[Indenfor range]],IF(LineærRegression_Valg[[#This Row],[Intet overlap]],INDEX(DataTitel_liste,LineærRegression_Valg[[#This Row],[Uafhængig variabel ID]]),INDEX(DataTitel_liste,IF(LineærRegression_Valg[[#This Row],[Afhængig variabel ID]]=1,2,1))),$B$7)</f>
        <v>Eksempel 2 (interval)</v>
      </c>
      <c r="H2505" s="188">
        <f>_xlfn.AGGREGATE(2,5,LineærRegression_Valg[[#This Row],[Tabel ID]])</f>
        <v>1</v>
      </c>
    </row>
    <row r="2506" spans="1:8" x14ac:dyDescent="0.2">
      <c r="A2506">
        <f>ROW(LineærRegression_Valg[[#This Row],[Tabel ID]])-ROW(LineærRegression_Valg[[#Headers],[Tabel ID]])</f>
        <v>2496</v>
      </c>
      <c r="B2506" s="188">
        <f>ROUNDDOWN((LineærRegression_Valg[[#This Row],[Tabel ID]]-1)/$B$5,0)+1</f>
        <v>624</v>
      </c>
      <c r="C2506" s="188">
        <f t="shared" si="38"/>
        <v>4</v>
      </c>
      <c r="D2506" s="188" t="b">
        <f>LineærRegression_Valg[[#This Row],[Afhængig variabel ID]]&lt;&gt;LineærRegression_Valg[[#This Row],[Uafhængig variabel ID]]</f>
        <v>1</v>
      </c>
      <c r="E2506" s="188" t="b">
        <f>LineærRegression_Valg[[#This Row],[Afhængig variabel ID]]&lt;=$B$5</f>
        <v>0</v>
      </c>
      <c r="F2506" t="str" cm="1">
        <f t="array" ref="F2506">IF(LineærRegression_Valg[[#This Row],[Indenfor range]],INDEX(DataTitel_liste,LineærRegression_Valg[[#This Row],[Afhængig variabel ID]]),INDEX(DataTitel_liste,1))</f>
        <v>Eksempel 1 (interval)</v>
      </c>
      <c r="G2506" s="188" t="str" cm="1">
        <f t="array" ref="G2506">IF(LineærRegression_Valg[[#This Row],[Indenfor range]],IF(LineærRegression_Valg[[#This Row],[Intet overlap]],INDEX(DataTitel_liste,LineærRegression_Valg[[#This Row],[Uafhængig variabel ID]]),INDEX(DataTitel_liste,IF(LineærRegression_Valg[[#This Row],[Afhængig variabel ID]]=1,2,1))),$B$7)</f>
        <v>Eksempel 2 (interval)</v>
      </c>
      <c r="H2506" s="188">
        <f>_xlfn.AGGREGATE(2,5,LineærRegression_Valg[[#This Row],[Tabel ID]])</f>
        <v>1</v>
      </c>
    </row>
    <row r="2507" spans="1:8" x14ac:dyDescent="0.2">
      <c r="A2507">
        <f>ROW(LineærRegression_Valg[[#This Row],[Tabel ID]])-ROW(LineærRegression_Valg[[#Headers],[Tabel ID]])</f>
        <v>2497</v>
      </c>
      <c r="B2507" s="188">
        <f>ROUNDDOWN((LineærRegression_Valg[[#This Row],[Tabel ID]]-1)/$B$5,0)+1</f>
        <v>625</v>
      </c>
      <c r="C2507" s="188">
        <f t="shared" si="38"/>
        <v>1</v>
      </c>
      <c r="D2507" s="188" t="b">
        <f>LineærRegression_Valg[[#This Row],[Afhængig variabel ID]]&lt;&gt;LineærRegression_Valg[[#This Row],[Uafhængig variabel ID]]</f>
        <v>1</v>
      </c>
      <c r="E2507" s="188" t="b">
        <f>LineærRegression_Valg[[#This Row],[Afhængig variabel ID]]&lt;=$B$5</f>
        <v>0</v>
      </c>
      <c r="F2507" t="str" cm="1">
        <f t="array" ref="F2507">IF(LineærRegression_Valg[[#This Row],[Indenfor range]],INDEX(DataTitel_liste,LineærRegression_Valg[[#This Row],[Afhængig variabel ID]]),INDEX(DataTitel_liste,1))</f>
        <v>Eksempel 1 (interval)</v>
      </c>
      <c r="G2507" s="188" t="str" cm="1">
        <f t="array" ref="G2507">IF(LineærRegression_Valg[[#This Row],[Indenfor range]],IF(LineærRegression_Valg[[#This Row],[Intet overlap]],INDEX(DataTitel_liste,LineærRegression_Valg[[#This Row],[Uafhængig variabel ID]]),INDEX(DataTitel_liste,IF(LineærRegression_Valg[[#This Row],[Afhængig variabel ID]]=1,2,1))),$B$7)</f>
        <v>Eksempel 2 (interval)</v>
      </c>
      <c r="H2507" s="188">
        <f>_xlfn.AGGREGATE(2,5,LineærRegression_Valg[[#This Row],[Tabel ID]])</f>
        <v>1</v>
      </c>
    </row>
    <row r="2508" spans="1:8" x14ac:dyDescent="0.2">
      <c r="A2508">
        <f>ROW(LineærRegression_Valg[[#This Row],[Tabel ID]])-ROW(LineærRegression_Valg[[#Headers],[Tabel ID]])</f>
        <v>2498</v>
      </c>
      <c r="B2508" s="188">
        <f>ROUNDDOWN((LineærRegression_Valg[[#This Row],[Tabel ID]]-1)/$B$5,0)+1</f>
        <v>625</v>
      </c>
      <c r="C2508" s="188">
        <f t="shared" si="38"/>
        <v>2</v>
      </c>
      <c r="D2508" s="188" t="b">
        <f>LineærRegression_Valg[[#This Row],[Afhængig variabel ID]]&lt;&gt;LineærRegression_Valg[[#This Row],[Uafhængig variabel ID]]</f>
        <v>1</v>
      </c>
      <c r="E2508" s="188" t="b">
        <f>LineærRegression_Valg[[#This Row],[Afhængig variabel ID]]&lt;=$B$5</f>
        <v>0</v>
      </c>
      <c r="F2508" t="str" cm="1">
        <f t="array" ref="F2508">IF(LineærRegression_Valg[[#This Row],[Indenfor range]],INDEX(DataTitel_liste,LineærRegression_Valg[[#This Row],[Afhængig variabel ID]]),INDEX(DataTitel_liste,1))</f>
        <v>Eksempel 1 (interval)</v>
      </c>
      <c r="G2508" s="188" t="str" cm="1">
        <f t="array" ref="G2508">IF(LineærRegression_Valg[[#This Row],[Indenfor range]],IF(LineærRegression_Valg[[#This Row],[Intet overlap]],INDEX(DataTitel_liste,LineærRegression_Valg[[#This Row],[Uafhængig variabel ID]]),INDEX(DataTitel_liste,IF(LineærRegression_Valg[[#This Row],[Afhængig variabel ID]]=1,2,1))),$B$7)</f>
        <v>Eksempel 2 (interval)</v>
      </c>
      <c r="H2508" s="188">
        <f>_xlfn.AGGREGATE(2,5,LineærRegression_Valg[[#This Row],[Tabel ID]])</f>
        <v>1</v>
      </c>
    </row>
    <row r="2509" spans="1:8" x14ac:dyDescent="0.2">
      <c r="A2509">
        <f>ROW(LineærRegression_Valg[[#This Row],[Tabel ID]])-ROW(LineærRegression_Valg[[#Headers],[Tabel ID]])</f>
        <v>2499</v>
      </c>
      <c r="B2509" s="188">
        <f>ROUNDDOWN((LineærRegression_Valg[[#This Row],[Tabel ID]]-1)/$B$5,0)+1</f>
        <v>625</v>
      </c>
      <c r="C2509" s="188">
        <f t="shared" si="38"/>
        <v>3</v>
      </c>
      <c r="D2509" s="188" t="b">
        <f>LineærRegression_Valg[[#This Row],[Afhængig variabel ID]]&lt;&gt;LineærRegression_Valg[[#This Row],[Uafhængig variabel ID]]</f>
        <v>1</v>
      </c>
      <c r="E2509" s="188" t="b">
        <f>LineærRegression_Valg[[#This Row],[Afhængig variabel ID]]&lt;=$B$5</f>
        <v>0</v>
      </c>
      <c r="F2509" t="str" cm="1">
        <f t="array" ref="F2509">IF(LineærRegression_Valg[[#This Row],[Indenfor range]],INDEX(DataTitel_liste,LineærRegression_Valg[[#This Row],[Afhængig variabel ID]]),INDEX(DataTitel_liste,1))</f>
        <v>Eksempel 1 (interval)</v>
      </c>
      <c r="G2509" s="188" t="str" cm="1">
        <f t="array" ref="G2509">IF(LineærRegression_Valg[[#This Row],[Indenfor range]],IF(LineærRegression_Valg[[#This Row],[Intet overlap]],INDEX(DataTitel_liste,LineærRegression_Valg[[#This Row],[Uafhængig variabel ID]]),INDEX(DataTitel_liste,IF(LineærRegression_Valg[[#This Row],[Afhængig variabel ID]]=1,2,1))),$B$7)</f>
        <v>Eksempel 2 (interval)</v>
      </c>
      <c r="H2509" s="188">
        <f>_xlfn.AGGREGATE(2,5,LineærRegression_Valg[[#This Row],[Tabel ID]])</f>
        <v>1</v>
      </c>
    </row>
    <row r="2510" spans="1:8" x14ac:dyDescent="0.2">
      <c r="A2510">
        <f>ROW(LineærRegression_Valg[[#This Row],[Tabel ID]])-ROW(LineærRegression_Valg[[#Headers],[Tabel ID]])</f>
        <v>2500</v>
      </c>
      <c r="B2510" s="188">
        <f>ROUNDDOWN((LineærRegression_Valg[[#This Row],[Tabel ID]]-1)/$B$5,0)+1</f>
        <v>625</v>
      </c>
      <c r="C2510" s="188">
        <f t="shared" si="38"/>
        <v>4</v>
      </c>
      <c r="D2510" s="188" t="b">
        <f>LineærRegression_Valg[[#This Row],[Afhængig variabel ID]]&lt;&gt;LineærRegression_Valg[[#This Row],[Uafhængig variabel ID]]</f>
        <v>1</v>
      </c>
      <c r="E2510" s="188" t="b">
        <f>LineærRegression_Valg[[#This Row],[Afhængig variabel ID]]&lt;=$B$5</f>
        <v>0</v>
      </c>
      <c r="F2510" t="str" cm="1">
        <f t="array" ref="F2510">IF(LineærRegression_Valg[[#This Row],[Indenfor range]],INDEX(DataTitel_liste,LineærRegression_Valg[[#This Row],[Afhængig variabel ID]]),INDEX(DataTitel_liste,1))</f>
        <v>Eksempel 1 (interval)</v>
      </c>
      <c r="G2510" s="188" t="str" cm="1">
        <f t="array" ref="G2510">IF(LineærRegression_Valg[[#This Row],[Indenfor range]],IF(LineærRegression_Valg[[#This Row],[Intet overlap]],INDEX(DataTitel_liste,LineærRegression_Valg[[#This Row],[Uafhængig variabel ID]]),INDEX(DataTitel_liste,IF(LineærRegression_Valg[[#This Row],[Afhængig variabel ID]]=1,2,1))),$B$7)</f>
        <v>Eksempel 2 (interval)</v>
      </c>
      <c r="H2510" s="188">
        <f>_xlfn.AGGREGATE(2,5,LineærRegression_Valg[[#This Row],[Tabel ID]])</f>
        <v>1</v>
      </c>
    </row>
    <row r="2515" spans="2:8" x14ac:dyDescent="0.2">
      <c r="B2515" s="188"/>
      <c r="C2515" s="188"/>
      <c r="D2515" s="188"/>
      <c r="E2515" s="188"/>
      <c r="F2515" s="188"/>
      <c r="G2515" s="188"/>
      <c r="H2515" s="188"/>
    </row>
  </sheetData>
  <phoneticPr fontId="15"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0EA9AD-CDED-4F12-BB5D-3D09780406BE}">
  <sheetPr codeName="Sheet12"/>
  <dimension ref="A1:D17"/>
  <sheetViews>
    <sheetView workbookViewId="0"/>
  </sheetViews>
  <sheetFormatPr defaultRowHeight="14.25" x14ac:dyDescent="0.2"/>
  <sheetData>
    <row r="1" spans="1:4" x14ac:dyDescent="0.2">
      <c r="A1" t="s">
        <v>807</v>
      </c>
    </row>
    <row r="2" spans="1:4" x14ac:dyDescent="0.2">
      <c r="A2" s="131" t="s">
        <v>808</v>
      </c>
      <c r="B2" t="s">
        <v>838</v>
      </c>
      <c r="C2" t="s">
        <v>840</v>
      </c>
      <c r="D2" t="s">
        <v>841</v>
      </c>
    </row>
    <row r="3" spans="1:4" x14ac:dyDescent="0.2">
      <c r="A3" s="42" t="str" cm="1">
        <f t="array" ref="A3:A8">INDEX(_xlfn.ANCHORARRAY(LineærRegression!ET11),1,_xlfn.ANCHORARRAY(LineærRegression!CG10))</f>
        <v>Eksempel 2 (interval)</v>
      </c>
      <c r="B3" cm="1">
        <f t="array" ref="B3">ROUND(_xlfn.ANCHORARRAY(LineærRegression!DK10),2)</f>
        <v>0.2</v>
      </c>
      <c r="C3" t="str" cm="1">
        <f t="array" ref="C3">_xlfn.ANCHORARRAY(LineærRegression!DO10)</f>
        <v>Eksempel 3 (nominal)</v>
      </c>
      <c r="D3" t="str" cm="1">
        <f t="array" ref="D3">_xlfn.ANCHORARRAY(LineærRegression!DR10)</f>
        <v>Eksempel 2 (interval)</v>
      </c>
    </row>
    <row r="4" spans="1:4" x14ac:dyDescent="0.2">
      <c r="A4" s="42" t="str">
        <v>Eksempel 2 (interval)</v>
      </c>
    </row>
    <row r="5" spans="1:4" x14ac:dyDescent="0.2">
      <c r="A5" s="42" t="str">
        <v>Eksempel 2 (interval)</v>
      </c>
    </row>
    <row r="6" spans="1:4" x14ac:dyDescent="0.2">
      <c r="A6" s="42" t="str">
        <v>Eksempel 3 (nominal)</v>
      </c>
    </row>
    <row r="7" spans="1:4" x14ac:dyDescent="0.2">
      <c r="A7" s="42" t="str">
        <v>Eksempel 3 (nominal)</v>
      </c>
    </row>
    <row r="8" spans="1:4" x14ac:dyDescent="0.2">
      <c r="A8" s="42" t="str">
        <v>Eksempel 3 (nominal)</v>
      </c>
    </row>
    <row r="9" spans="1:4" x14ac:dyDescent="0.2">
      <c r="A9" s="42"/>
    </row>
    <row r="10" spans="1:4" x14ac:dyDescent="0.2">
      <c r="A10" s="42"/>
    </row>
    <row r="11" spans="1:4" x14ac:dyDescent="0.2">
      <c r="A11" s="42"/>
    </row>
    <row r="12" spans="1:4" x14ac:dyDescent="0.2">
      <c r="A12" s="42"/>
    </row>
    <row r="13" spans="1:4" x14ac:dyDescent="0.2">
      <c r="A13" s="42"/>
    </row>
    <row r="14" spans="1:4" x14ac:dyDescent="0.2">
      <c r="A14" s="42"/>
    </row>
    <row r="15" spans="1:4" x14ac:dyDescent="0.2">
      <c r="A15" s="42"/>
    </row>
    <row r="16" spans="1:4" x14ac:dyDescent="0.2">
      <c r="A16" s="42"/>
    </row>
    <row r="17" spans="1:1" x14ac:dyDescent="0.2">
      <c r="A17" s="4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CA1DF-FBA4-4C89-A7E1-F2AE14752666}">
  <sheetPr codeName="Sheet13">
    <tabColor theme="9"/>
  </sheetPr>
  <dimension ref="A1:CU2735"/>
  <sheetViews>
    <sheetView showGridLines="0" zoomScaleNormal="100" workbookViewId="0"/>
  </sheetViews>
  <sheetFormatPr defaultRowHeight="14.25" x14ac:dyDescent="0.2"/>
  <cols>
    <col min="1" max="1" width="46.625" customWidth="1"/>
    <col min="2" max="5" width="33.5" customWidth="1"/>
    <col min="6" max="6" width="4.125" customWidth="1"/>
    <col min="7" max="7" width="46.625" customWidth="1"/>
    <col min="8" max="8" width="33.5" customWidth="1"/>
    <col min="9" max="9" width="20.25" customWidth="1"/>
    <col min="10" max="10" width="46.625" customWidth="1"/>
    <col min="11" max="11" width="33.5" customWidth="1"/>
    <col min="12" max="42" width="13.25" customWidth="1"/>
    <col min="43" max="43" width="43.125" bestFit="1" customWidth="1"/>
    <col min="44" max="44" width="10.625" bestFit="1" customWidth="1"/>
    <col min="45" max="45" width="15.375" bestFit="1" customWidth="1"/>
    <col min="46" max="46" width="13.75" bestFit="1" customWidth="1"/>
    <col min="47" max="48" width="14.625" bestFit="1" customWidth="1"/>
    <col min="49" max="49" width="10.625" bestFit="1" customWidth="1"/>
    <col min="50" max="51" width="15.625" bestFit="1" customWidth="1"/>
    <col min="52" max="52" width="31.125" bestFit="1" customWidth="1"/>
    <col min="53" max="53" width="94.875" bestFit="1" customWidth="1"/>
    <col min="54" max="54" width="14.875" bestFit="1" customWidth="1"/>
    <col min="55" max="55" width="17.875" bestFit="1" customWidth="1"/>
    <col min="56" max="56" width="6.5" bestFit="1" customWidth="1"/>
    <col min="57" max="57" width="23.25" bestFit="1" customWidth="1"/>
    <col min="58" max="58" width="24.5" bestFit="1" customWidth="1"/>
    <col min="59" max="59" width="18.5" bestFit="1" customWidth="1"/>
    <col min="60" max="60" width="19.625" bestFit="1" customWidth="1"/>
    <col min="61" max="61" width="18.25" bestFit="1" customWidth="1"/>
    <col min="62" max="62" width="27.375" bestFit="1" customWidth="1"/>
    <col min="63" max="63" width="14" bestFit="1" customWidth="1"/>
    <col min="64" max="64" width="31.5" bestFit="1" customWidth="1"/>
    <col min="65" max="65" width="11.25" bestFit="1" customWidth="1"/>
    <col min="66" max="66" width="27.875" bestFit="1" customWidth="1"/>
    <col min="67" max="68" width="17.625" bestFit="1" customWidth="1"/>
    <col min="69" max="69" width="20.75" bestFit="1" customWidth="1"/>
    <col min="70" max="71" width="18.75" bestFit="1" customWidth="1"/>
    <col min="72" max="72" width="22" bestFit="1" customWidth="1"/>
    <col min="73" max="73" width="12.375" bestFit="1" customWidth="1"/>
    <col min="74" max="74" width="15.625" bestFit="1" customWidth="1"/>
    <col min="75" max="75" width="17" bestFit="1" customWidth="1"/>
    <col min="76" max="77" width="18.5" bestFit="1" customWidth="1"/>
    <col min="78" max="78" width="21.75" bestFit="1" customWidth="1"/>
    <col min="79" max="79" width="27.125" bestFit="1" customWidth="1"/>
    <col min="80" max="80" width="17.375" bestFit="1" customWidth="1"/>
    <col min="81" max="81" width="113.75" bestFit="1" customWidth="1"/>
    <col min="82" max="82" width="19" bestFit="1" customWidth="1"/>
    <col min="83" max="84" width="14" bestFit="1" customWidth="1"/>
    <col min="85" max="85" width="17.375" bestFit="1" customWidth="1"/>
    <col min="86" max="86" width="22.875" bestFit="1" customWidth="1"/>
    <col min="87" max="87" width="15.625" bestFit="1" customWidth="1"/>
    <col min="88" max="88" width="58" customWidth="1"/>
    <col min="89" max="89" width="18.75" bestFit="1" customWidth="1"/>
    <col min="90" max="90" width="14" bestFit="1" customWidth="1"/>
    <col min="91" max="91" width="15.375" bestFit="1" customWidth="1"/>
    <col min="92" max="92" width="17.125" bestFit="1" customWidth="1"/>
    <col min="93" max="93" width="22.625" bestFit="1" customWidth="1"/>
    <col min="94" max="94" width="15.375" bestFit="1" customWidth="1"/>
    <col min="95" max="95" width="39.125" bestFit="1" customWidth="1"/>
    <col min="96" max="96" width="45.125" customWidth="1"/>
  </cols>
  <sheetData>
    <row r="1" spans="1:99" s="1" customFormat="1" ht="18.75" x14ac:dyDescent="0.2">
      <c r="A1" s="119" t="s">
        <v>377</v>
      </c>
      <c r="B1" s="120" t="s">
        <v>376</v>
      </c>
    </row>
    <row r="2" spans="1:99" x14ac:dyDescent="0.2">
      <c r="A2" s="68" t="s">
        <v>1096</v>
      </c>
      <c r="B2" s="42"/>
    </row>
    <row r="4" spans="1:99" x14ac:dyDescent="0.2">
      <c r="A4" s="47" t="s">
        <v>927</v>
      </c>
      <c r="C4" s="3" t="s">
        <v>1135</v>
      </c>
    </row>
    <row r="5" spans="1:99" x14ac:dyDescent="0.2">
      <c r="A5" s="58" t="s">
        <v>4</v>
      </c>
      <c r="B5" s="43">
        <v>0.95</v>
      </c>
    </row>
    <row r="7" spans="1:99" x14ac:dyDescent="0.2">
      <c r="A7" s="45" t="s">
        <v>1122</v>
      </c>
      <c r="BE7" s="101"/>
    </row>
    <row r="8" spans="1:99" x14ac:dyDescent="0.2">
      <c r="AQ8" s="100" t="s">
        <v>1018</v>
      </c>
      <c r="AR8" s="100" t="s">
        <v>1015</v>
      </c>
      <c r="AS8" s="100" t="s">
        <v>1016</v>
      </c>
      <c r="AT8" s="100" t="s">
        <v>1017</v>
      </c>
      <c r="AU8" s="100" t="s">
        <v>1019</v>
      </c>
      <c r="AV8" s="100" t="s">
        <v>1020</v>
      </c>
      <c r="AW8" s="203" t="s">
        <v>921</v>
      </c>
      <c r="AX8" s="203" t="s">
        <v>1026</v>
      </c>
      <c r="AY8" s="203" t="s">
        <v>1027</v>
      </c>
      <c r="AZ8" s="203" t="s">
        <v>1021</v>
      </c>
      <c r="BA8" s="100" t="s">
        <v>1050</v>
      </c>
      <c r="BB8" s="203" t="s">
        <v>1034</v>
      </c>
      <c r="BC8" s="203" t="s">
        <v>1033</v>
      </c>
      <c r="BD8" s="203" t="s">
        <v>826</v>
      </c>
      <c r="BE8" s="203" t="s">
        <v>1056</v>
      </c>
      <c r="BF8" s="203" t="s">
        <v>1057</v>
      </c>
      <c r="BG8" s="203" t="s">
        <v>1035</v>
      </c>
      <c r="BH8" s="203" t="s">
        <v>1036</v>
      </c>
      <c r="BI8" s="203" t="s">
        <v>390</v>
      </c>
      <c r="BJ8" s="203" t="s">
        <v>1037</v>
      </c>
      <c r="BK8" s="203" t="s">
        <v>336</v>
      </c>
      <c r="BL8" s="203" t="s">
        <v>1038</v>
      </c>
      <c r="BM8" s="203" t="s">
        <v>1055</v>
      </c>
      <c r="BN8" s="203" t="s">
        <v>1054</v>
      </c>
      <c r="BO8" s="203" t="s">
        <v>1042</v>
      </c>
      <c r="BP8" s="203" t="s">
        <v>1043</v>
      </c>
      <c r="BQ8" s="203" t="s">
        <v>1041</v>
      </c>
      <c r="BR8" s="203" t="s">
        <v>1044</v>
      </c>
      <c r="BS8" s="203" t="s">
        <v>1045</v>
      </c>
      <c r="BT8" s="203" t="s">
        <v>1046</v>
      </c>
      <c r="BU8" s="203" t="s">
        <v>1047</v>
      </c>
      <c r="BV8" s="203" t="s">
        <v>1048</v>
      </c>
      <c r="BW8" s="203" t="s">
        <v>1049</v>
      </c>
      <c r="BX8" s="203" t="s">
        <v>1058</v>
      </c>
      <c r="BY8" s="203" t="s">
        <v>1059</v>
      </c>
      <c r="BZ8" s="203" t="s">
        <v>1060</v>
      </c>
      <c r="CA8" s="203" t="s">
        <v>1061</v>
      </c>
      <c r="CB8" s="203" t="s">
        <v>1101</v>
      </c>
      <c r="CC8" s="100" t="s">
        <v>1064</v>
      </c>
      <c r="CD8" s="203" t="s">
        <v>1073</v>
      </c>
      <c r="CE8" s="203" t="s">
        <v>17</v>
      </c>
      <c r="CF8" s="203" t="s">
        <v>1071</v>
      </c>
      <c r="CG8" s="203" t="s">
        <v>1069</v>
      </c>
      <c r="CH8" s="203" t="s">
        <v>1070</v>
      </c>
      <c r="CI8" s="203" t="s">
        <v>1074</v>
      </c>
      <c r="CJ8" s="100" t="s">
        <v>1092</v>
      </c>
      <c r="CK8" s="203" t="s">
        <v>1083</v>
      </c>
      <c r="CL8" s="203" t="s">
        <v>17</v>
      </c>
      <c r="CM8" s="203" t="s">
        <v>1088</v>
      </c>
      <c r="CN8" s="203" t="s">
        <v>1084</v>
      </c>
      <c r="CO8" s="203" t="s">
        <v>1085</v>
      </c>
      <c r="CP8" s="203" t="s">
        <v>1086</v>
      </c>
      <c r="CQ8" s="100" t="s">
        <v>283</v>
      </c>
      <c r="CS8" s="45" t="s">
        <v>1099</v>
      </c>
    </row>
    <row r="9" spans="1:99" x14ac:dyDescent="0.2">
      <c r="AQ9" s="108" t="s">
        <v>1030</v>
      </c>
      <c r="AR9" cm="1">
        <f t="array" ref="AR9:AR2735">_xlfn.SEQUENCE(AQ29)</f>
        <v>1</v>
      </c>
      <c r="AS9" cm="1">
        <f t="array" ref="AS9:AS2735">_xlfn.LET(_xlpm.a,MOD(_xlfn.ANCHORARRAY(AR9),AQ27+1),IF(_xlpm.a=0,NA(),_xlpm.a))</f>
        <v>1</v>
      </c>
      <c r="AT9" cm="1">
        <f t="array" ref="AT9:AT2735">IF(ISNA(_xlfn.ANCHORARRAY(AS9)),NA(),ROUNDUP(_xlfn.ANCHORARRAY(AR9)/(AQ27+1),0))</f>
        <v>1</v>
      </c>
      <c r="AU9" cm="1">
        <f t="array" ref="AU9:AU2735">AQ15+AQ19/(AQ27-1)*(_xlfn.ANCHORARRAY(AS9)-1)</f>
        <v>-11.066593778562057</v>
      </c>
      <c r="AV9" cm="1">
        <f t="array" ref="AV9:AV2735">_xlfn.NORM.DIST(_xlfn.ANCHORARRAY(AU9),INDEX(_xlfn.ANCHORARRAY(CS12),,_xlfn.ANCHORARRAY(AT9)),INDEX(_xlfn.ANCHORARRAY(CS17),,_xlfn.ANCHORARRAY(AT9)),FALSE)</f>
        <v>1.0290193250511765E-3</v>
      </c>
      <c r="AW9" cm="1">
        <f t="array" ref="AW9:AW11">_xlfn.SEQUENCE(CQ9)</f>
        <v>1</v>
      </c>
      <c r="AX9" cm="1">
        <f t="array" ref="AX9:AX11">TRANSPOSE(_xlfn.ANCHORARRAY(CS12))</f>
        <v>1.8540044183209705</v>
      </c>
      <c r="AY9" cm="1">
        <f t="array" ref="AY9:AY11">_xlfn.MAXIFS(_xlfn.ANCHORARRAY(AV9),_xlfn.ANCHORARRAY(AT9),_xlfn.ANCHORARRAY(AW9))</f>
        <v>9.2628974814029333E-2</v>
      </c>
      <c r="AZ9" t="str" cm="1">
        <f t="array" ref="AZ9:AZ11">TRANSPOSE(_xlfn.ANCHORARRAY(CS9)&amp;"
N(μ="&amp;_xlfn.ANCHORARRAY(CS20)&amp;";σ="&amp;_xlfn.ANCHORARRAY(CS21)&amp;")")</f>
        <v>Eksempel 1 (interval)
N(μ=1.854;σ=4.307)</v>
      </c>
      <c r="BA9" s="108" t="str">
        <f>"Multiple sammenligninger med bonferroni justering
Der er "&amp;BA27&amp;" par variable med signifikant forskellige gennemsnit"</f>
        <v>Multiple sammenligninger med bonferroni justering
Der er 0 par variable med signifikant forskellige gennemsnit</v>
      </c>
      <c r="BB9" cm="1">
        <f t="array" ref="BB9:BB11">_xlfn.SEQUENCE(CQ9)</f>
        <v>1</v>
      </c>
      <c r="BC9" cm="1">
        <f t="array" ref="BC9:BC11">_xlfn.ANCHORARRAY(BB9)*(_xlfn.ANCHORARRAY(BB9)-1)/2</f>
        <v>0</v>
      </c>
      <c r="BD9" cm="1">
        <f t="array" ref="BD9:BD11">_xlfn.SEQUENCE(BA15,,0)</f>
        <v>0</v>
      </c>
      <c r="BE9" cm="1">
        <f t="array" ref="BE9:BE11">MATCH(_xlfn.ANCHORARRAY(BD9),_xlfn.ANCHORARRAY(BC9),1)</f>
        <v>1</v>
      </c>
      <c r="BF9" cm="1">
        <f t="array" ref="BF9:BF11">_xlfn.ANCHORARRAY(BD9)-INDEX(_xlfn.ANCHORARRAY(BC9),_xlfn.ANCHORARRAY(BE9))+1</f>
        <v>1</v>
      </c>
      <c r="BG9" t="str" cm="1">
        <f t="array" ref="BG9:BG11">INDEX(_xlfn.ANCHORARRAY(CS9),_xlfn.ANCHORARRAY(BE9)+1)</f>
        <v>Eksempel 2 (interval)</v>
      </c>
      <c r="BH9" t="str" cm="1">
        <f t="array" ref="BH9:BH11">INDEX(_xlfn.ANCHORARRAY(CS9),_xlfn.ANCHORARRAY(BF9))</f>
        <v>Eksempel 1 (interval)</v>
      </c>
      <c r="BI9" cm="1">
        <f t="array" ref="BI9:BI11">INDEX(_xlfn.ANCHORARRAY(CS12),_xlfn.ANCHORARRAY(BE9)+1)-INDEX(_xlfn.ANCHORARRAY(CS12),_xlfn.ANCHORARRAY(BF9))</f>
        <v>2.2883351200097994</v>
      </c>
      <c r="BJ9" cm="1">
        <f t="array" ref="BJ9:BJ11">_xlfn.ANCHORARRAY(BI9)/SQRT(D60*(1/INDEX(_xlfn.ANCHORARRAY(CS11),_xlfn.ANCHORARRAY(BE9)+1)+1/INDEX(_xlfn.ANCHORARRAY(CS11),_xlfn.ANCHORARRAY(BF9))))</f>
        <v>1.5923633543369773</v>
      </c>
      <c r="BK9" cm="1">
        <f t="array" ref="BK9:BK11">_xlfn.T.DIST.2T(ABS(_xlfn.ANCHORARRAY(BJ9)),B60)</f>
        <v>0.12083811074122473</v>
      </c>
      <c r="BL9" t="b" cm="1">
        <f t="array" ref="BL9:BL11">_xlfn.ANCHORARRAY(BK9)&lt;BA17</f>
        <v>0</v>
      </c>
      <c r="BM9" t="str" cm="1">
        <f t="array" ref="BM9:BM11">ROUND(_xlfn.ANCHORARRAY(BI9),BA23)&amp;IF(_xlfn.ANCHORARRAY(BL9),"*","")</f>
        <v>2.288</v>
      </c>
      <c r="BN9" cm="1">
        <f t="array" ref="BN9:BN11">IF(_xlfn.ANCHORARRAY(BL9),BA25,-BA25)</f>
        <v>-0.4054651081081645</v>
      </c>
      <c r="BO9" cm="1">
        <f t="array" ref="BO9:BO10">_xlfn.SEQUENCE(CQ9-1,,0,0)</f>
        <v>0</v>
      </c>
      <c r="BP9" cm="1">
        <f t="array" ref="BP9:BP10">_xlfn.SEQUENCE(CQ9-1)</f>
        <v>1</v>
      </c>
      <c r="BQ9" t="str" cm="1">
        <f t="array" ref="BQ9:BQ10">INDEX(_xlfn.ANCHORARRAY(CS9),_xlfn.ANCHORARRAY(BP9))</f>
        <v>Eksempel 1 (interval)</v>
      </c>
      <c r="BR9" cm="1">
        <f t="array" ref="BR9:BR10">_xlfn.SEQUENCE(CQ9-1)</f>
        <v>1</v>
      </c>
      <c r="BS9" cm="1">
        <f t="array" ref="BS9:BS10">_xlfn.SEQUENCE(CQ9-1,,0,0)</f>
        <v>0</v>
      </c>
      <c r="BT9" t="str" cm="1">
        <f t="array" ref="BT9:BT10">INDEX(_xlfn.ANCHORARRAY(CS9),_xlfn.ANCHORARRAY(BR9)+1)</f>
        <v>Eksempel 2 (interval)</v>
      </c>
      <c r="BU9" cm="1">
        <f t="array" ref="BU9:BU12">_xlfn.SEQUENCE((CQ9-1)*2)</f>
        <v>1</v>
      </c>
      <c r="BV9" cm="1">
        <f t="array" ref="BV9:BV12">ROUNDUP(_xlfn.ANCHORARRAY(BU9)/(CQ9-1),0)</f>
        <v>1</v>
      </c>
      <c r="BW9" cm="1">
        <f t="array" ref="BW9:BW12">MOD(_xlfn.ANCHORARRAY(BU9)-1,CQ9-1)+1</f>
        <v>1</v>
      </c>
      <c r="BX9" cm="1">
        <f t="array" ref="BX9:BX12">CHOOSE(_xlfn.ANCHORARRAY(BV9),INDEX(_xlfn.ANCHORARRAY(BO9),_xlfn.ANCHORARRAY(BW9)),INDEX(_xlfn.ANCHORARRAY(BR9),_xlfn.ANCHORARRAY(BW9)))</f>
        <v>0</v>
      </c>
      <c r="BY9" cm="1">
        <f t="array" ref="BY9:BY12">CHOOSE(_xlfn.ANCHORARRAY(BV9),INDEX(_xlfn.ANCHORARRAY(BP9),_xlfn.ANCHORARRAY(BW9)),INDEX(_xlfn.ANCHORARRAY(BS9),_xlfn.ANCHORARRAY(BW9)))</f>
        <v>1</v>
      </c>
      <c r="BZ9" t="str" cm="1">
        <f t="array" ref="BZ9:BZ12">CHOOSE(_xlfn.ANCHORARRAY(BV9),INDEX(_xlfn.ANCHORARRAY(BQ9),_xlfn.ANCHORARRAY(BW9)),INDEX(_xlfn.ANCHORARRAY(BT9),_xlfn.ANCHORARRAY(BW9)))</f>
        <v>Eksempel 1 (interval)</v>
      </c>
      <c r="CA9" cm="1">
        <f t="array" ref="CA9:CA12">_xlfn.SEQUENCE((CQ9-1)*2,,1,0)</f>
        <v>1</v>
      </c>
      <c r="CB9" cm="1">
        <f t="array" ref="CB9:CB11">ABS(_xlfn.ANCHORARRAY(BI9))</f>
        <v>2.2883351200097994</v>
      </c>
      <c r="CC9" s="108" t="str">
        <f>"Hypotesetest om forskel mellem flere gennemsnit
Nulhypotese om at alle populationers gennemsnit er ens
"&amp;IF(CC37,"","kan ikke")&amp;" afvises med "&amp;B5*100&amp;"% konfidens"</f>
        <v>Hypotesetest om forskel mellem flere gennemsnit
Nulhypotese om at alle populationers gennemsnit er ens
 afvises med 95% konfidens</v>
      </c>
      <c r="CD9" cm="1">
        <f t="array" ref="CD9:CD258">_xlfn.SEQUENCE(CC17)</f>
        <v>1</v>
      </c>
      <c r="CE9" cm="1">
        <f t="array" ref="CE9:CE258">(_xlfn.ANCHORARRAY(CD9)-1)*CC19/(CC17-1)</f>
        <v>0</v>
      </c>
      <c r="CF9" cm="1">
        <f t="array" ref="CF9:CF258">_xlfn.F.DIST(_xlfn.ANCHORARRAY(CE9),B59,B60,FALSE)</f>
        <v>1</v>
      </c>
      <c r="CG9" cm="1">
        <f t="array" ref="CG9:CG258">IF(_xlfn.ANCHORARRAY(CE9)&lt;E59,_xlfn.ANCHORARRAY(CF9),NA())</f>
        <v>1</v>
      </c>
      <c r="CH9" t="e" cm="1">
        <f t="array" ref="CH9:CH258">IF(_xlfn.ANCHORARRAY(CE9)&gt;E59,_xlfn.ANCHORARRAY(CF9),NA())</f>
        <v>#N/A</v>
      </c>
      <c r="CI9" cm="1">
        <f t="array" ref="CI9:CI258">_xlfn.LET(_xlpm.a,ROUND(_xlfn.ANCHORARRAY(CE9),CC23),IF(_xlfn.ANCHORARRAY(CD9)=CC17,_xlpm.a,IF(MOD(_xlfn.ANCHORARRAY(CD9)-1,CC39)=0,_xlpm.a,"")))</f>
        <v>0</v>
      </c>
      <c r="CJ9" s="108" t="str">
        <f>"Hypotesetest om forskel mellem flere standardafvigelser (Bartlett's)
Nulhypotese om at alle populationers standardafvigelser er ens
"&amp;IF(CJ27,"","kan ikke")&amp;" afvises med "&amp;B5*100&amp;"% konfidens"</f>
        <v>Hypotesetest om forskel mellem flere standardafvigelser (Bartlett's)
Nulhypotese om at alle populationers standardafvigelser er ens
 afvises med 95% konfidens</v>
      </c>
      <c r="CK9" cm="1">
        <f t="array" ref="CK9:CK258">_xlfn.SEQUENCE(CJ17)</f>
        <v>1</v>
      </c>
      <c r="CL9" cm="1">
        <f t="array" ref="CL9:CL258">(_xlfn.ANCHORARRAY(CK9)-1)*CJ21/(CJ17-1)</f>
        <v>0</v>
      </c>
      <c r="CM9" cm="1">
        <f t="array" ref="CM9:CM258">_xlfn.CHISQ.DIST(_xlfn.ANCHORARRAY(CL9),CJ19,FALSE)</f>
        <v>0.5</v>
      </c>
      <c r="CN9" cm="1">
        <f t="array" ref="CN9:CN258">IF(_xlfn.ANCHORARRAY(CL9)&lt;CJ25,_xlfn.ANCHORARRAY(CM9),NA())</f>
        <v>0.5</v>
      </c>
      <c r="CO9" t="e" cm="1">
        <f t="array" ref="CO9:CO258">IF(_xlfn.ANCHORARRAY(CL9)&gt;CJ25,_xlfn.ANCHORARRAY(CM9),NA())</f>
        <v>#N/A</v>
      </c>
      <c r="CP9" cm="1">
        <f t="array" ref="CP9:CP258">_xlfn.LET(_xlpm.a,ROUND(_xlfn.ANCHORARRAY(CL9),CJ29),IF(_xlfn.ANCHORARRAY(CK9)=CJ17,_xlpm.a,IF(MOD(_xlfn.ANCHORARRAY(CK9)-1,ROUNDUP(CJ17/10,0))=0,_xlpm.a,"")))</f>
        <v>0</v>
      </c>
      <c r="CQ9" s="108">
        <f>COUNTA(_xlfn.ANCHORARRAY(CS9))</f>
        <v>3</v>
      </c>
      <c r="CR9" s="100" t="s">
        <v>997</v>
      </c>
      <c r="CS9" t="str" cm="1">
        <f t="array" ref="CS9:CU9">TRANSPOSE(_xlfn.LET(_xlpm.a,_xlfn.UNIQUE(ANOVA_valg[[Variable i ANOVA]:[Synlig]]),INDEX(_xlfn._xlws.FILTER(_xlpm.a,INDEX(_xlpm.a,,2)=1),,1)))</f>
        <v>Eksempel 1 (interval)</v>
      </c>
      <c r="CT9" t="str">
        <v>Eksempel 2 (interval)</v>
      </c>
      <c r="CU9" t="str">
        <v>Eksempel 4 (nominal)</v>
      </c>
    </row>
    <row r="10" spans="1:99" x14ac:dyDescent="0.2">
      <c r="AQ10" s="100" t="s">
        <v>1028</v>
      </c>
      <c r="AR10">
        <v>2</v>
      </c>
      <c r="AS10">
        <v>2</v>
      </c>
      <c r="AT10">
        <v>1</v>
      </c>
      <c r="AU10">
        <v>-11.03565324724471</v>
      </c>
      <c r="AV10">
        <v>1.0514103317239135E-3</v>
      </c>
      <c r="AW10">
        <v>2</v>
      </c>
      <c r="AX10">
        <v>4.14233953833077</v>
      </c>
      <c r="AY10">
        <v>9.3107877228020858E-2</v>
      </c>
      <c r="AZ10" t="str">
        <v>Eksempel 2 (interval)
N(μ=4.142;σ=4.285)</v>
      </c>
      <c r="BA10" s="100" t="s">
        <v>1051</v>
      </c>
      <c r="BB10">
        <v>2</v>
      </c>
      <c r="BC10">
        <v>1</v>
      </c>
      <c r="BD10">
        <v>1</v>
      </c>
      <c r="BE10">
        <v>2</v>
      </c>
      <c r="BF10">
        <v>1</v>
      </c>
      <c r="BG10" t="str">
        <v>Eksempel 4 (nominal)</v>
      </c>
      <c r="BH10" t="str">
        <v>Eksempel 1 (interval)</v>
      </c>
      <c r="BI10">
        <v>-1.4373377516543038</v>
      </c>
      <c r="BJ10">
        <v>-1.0001874041637813</v>
      </c>
      <c r="BK10">
        <v>0.32449780015273955</v>
      </c>
      <c r="BL10" t="b">
        <v>0</v>
      </c>
      <c r="BM10" t="str">
        <v>-1.437</v>
      </c>
      <c r="BN10">
        <v>-0.4054651081081645</v>
      </c>
      <c r="BO10">
        <v>0</v>
      </c>
      <c r="BP10">
        <v>2</v>
      </c>
      <c r="BQ10" t="str">
        <v>Eksempel 2 (interval)</v>
      </c>
      <c r="BR10">
        <v>2</v>
      </c>
      <c r="BS10">
        <v>0</v>
      </c>
      <c r="BT10" t="str">
        <v>Eksempel 4 (nominal)</v>
      </c>
      <c r="BU10">
        <v>2</v>
      </c>
      <c r="BV10">
        <v>1</v>
      </c>
      <c r="BW10">
        <v>2</v>
      </c>
      <c r="BX10">
        <v>0</v>
      </c>
      <c r="BY10">
        <v>2</v>
      </c>
      <c r="BZ10" t="str">
        <v>Eksempel 2 (interval)</v>
      </c>
      <c r="CA10">
        <v>1</v>
      </c>
      <c r="CB10">
        <v>1.4373377516543038</v>
      </c>
      <c r="CC10" s="100" t="s">
        <v>1065</v>
      </c>
      <c r="CD10">
        <v>2</v>
      </c>
      <c r="CE10">
        <v>3.445193923182089E-2</v>
      </c>
      <c r="CF10">
        <v>0.96415631893896581</v>
      </c>
      <c r="CG10">
        <v>0.96415631893896581</v>
      </c>
      <c r="CH10" t="e">
        <v>#N/A</v>
      </c>
      <c r="CI10" t="str">
        <v/>
      </c>
      <c r="CJ10" s="100" t="s">
        <v>1093</v>
      </c>
      <c r="CK10">
        <v>2</v>
      </c>
      <c r="CL10">
        <v>5.5483978144434828E-2</v>
      </c>
      <c r="CM10">
        <v>0.48631964299724262</v>
      </c>
      <c r="CN10">
        <v>0.48631964299724262</v>
      </c>
      <c r="CO10" t="e">
        <v>#N/A</v>
      </c>
      <c r="CP10" t="str">
        <v/>
      </c>
      <c r="CQ10" s="100" t="s">
        <v>998</v>
      </c>
      <c r="CR10" s="100" t="s">
        <v>999</v>
      </c>
      <c r="CS10" cm="1">
        <f t="array" ref="CS10:CU10">_xlfn.XMATCH(_xlfn.ANCHORARRAY(CS9),DataHeaders,0)</f>
        <v>1</v>
      </c>
      <c r="CT10">
        <v>2</v>
      </c>
      <c r="CU10">
        <v>4</v>
      </c>
    </row>
    <row r="11" spans="1:99" x14ac:dyDescent="0.2">
      <c r="AQ11" s="108" t="s">
        <v>1031</v>
      </c>
      <c r="AR11">
        <v>3</v>
      </c>
      <c r="AS11">
        <v>3</v>
      </c>
      <c r="AT11">
        <v>1</v>
      </c>
      <c r="AU11">
        <v>-11.004712715927365</v>
      </c>
      <c r="AV11">
        <v>1.0742331143597441E-3</v>
      </c>
      <c r="AW11">
        <v>3</v>
      </c>
      <c r="AX11">
        <v>0.41666666666666669</v>
      </c>
      <c r="AY11">
        <v>0.77472523433896479</v>
      </c>
      <c r="AZ11" t="str">
        <v>Eksempel 4 (nominal)
N(μ=0.417;σ=0.515)</v>
      </c>
      <c r="BA11" s="108" t="s">
        <v>1053</v>
      </c>
      <c r="BB11">
        <v>3</v>
      </c>
      <c r="BC11">
        <v>3</v>
      </c>
      <c r="BD11">
        <v>2</v>
      </c>
      <c r="BE11">
        <v>2</v>
      </c>
      <c r="BF11">
        <v>2</v>
      </c>
      <c r="BG11" t="str">
        <v>Eksempel 4 (nominal)</v>
      </c>
      <c r="BH11" t="str">
        <v>Eksempel 2 (interval)</v>
      </c>
      <c r="BI11">
        <v>-3.7256728716641034</v>
      </c>
      <c r="BJ11">
        <v>-2.5925507585007588</v>
      </c>
      <c r="BK11">
        <v>1.408858521335256E-2</v>
      </c>
      <c r="BL11" t="b">
        <v>0</v>
      </c>
      <c r="BM11" t="str">
        <v>-3.726</v>
      </c>
      <c r="BN11">
        <v>-0.4054651081081645</v>
      </c>
      <c r="BU11">
        <v>3</v>
      </c>
      <c r="BV11">
        <v>2</v>
      </c>
      <c r="BW11">
        <v>1</v>
      </c>
      <c r="BX11">
        <v>1</v>
      </c>
      <c r="BY11">
        <v>0</v>
      </c>
      <c r="BZ11" t="str">
        <v>Eksempel 2 (interval)</v>
      </c>
      <c r="CA11">
        <v>1</v>
      </c>
      <c r="CB11">
        <v>3.7256728716641034</v>
      </c>
      <c r="CC11" s="108" t="s">
        <v>148</v>
      </c>
      <c r="CD11">
        <v>3</v>
      </c>
      <c r="CE11">
        <v>6.8903878463641779E-2</v>
      </c>
      <c r="CF11">
        <v>0.92966803880132187</v>
      </c>
      <c r="CG11">
        <v>0.92966803880132187</v>
      </c>
      <c r="CH11" t="e">
        <v>#N/A</v>
      </c>
      <c r="CI11" t="str">
        <v/>
      </c>
      <c r="CJ11" s="108" t="s">
        <v>148</v>
      </c>
      <c r="CK11">
        <v>3</v>
      </c>
      <c r="CL11">
        <v>0.11096795628886966</v>
      </c>
      <c r="CM11">
        <v>0.47301359032993112</v>
      </c>
      <c r="CN11">
        <v>0.47301359032993112</v>
      </c>
      <c r="CO11" t="e">
        <v>#N/A</v>
      </c>
      <c r="CP11" t="str">
        <v/>
      </c>
      <c r="CQ11" s="108">
        <f>ROWS(Data)</f>
        <v>12</v>
      </c>
      <c r="CR11" s="100" t="s">
        <v>29</v>
      </c>
      <c r="CS11" cm="1">
        <f t="array" ref="CS11:CU11">MMULT(_xlfn.SEQUENCE(,CQ11,1,0),--NOT(ISBLANK(INDEX(Data,_xlfn.SEQUENCE(CQ11),_xlfn.ANCHORARRAY(CS10)))))</f>
        <v>12</v>
      </c>
      <c r="CT11">
        <v>12</v>
      </c>
      <c r="CU11">
        <v>12</v>
      </c>
    </row>
    <row r="12" spans="1:99" x14ac:dyDescent="0.2">
      <c r="AQ12" s="100" t="s">
        <v>1029</v>
      </c>
      <c r="AR12">
        <v>4</v>
      </c>
      <c r="AS12">
        <v>4</v>
      </c>
      <c r="AT12">
        <v>1</v>
      </c>
      <c r="AU12">
        <v>-10.973772184610018</v>
      </c>
      <c r="AV12">
        <v>1.0974946641764966E-3</v>
      </c>
      <c r="BA12" s="100" t="s">
        <v>1052</v>
      </c>
      <c r="BU12">
        <v>4</v>
      </c>
      <c r="BV12">
        <v>2</v>
      </c>
      <c r="BW12">
        <v>2</v>
      </c>
      <c r="BX12">
        <v>2</v>
      </c>
      <c r="BY12">
        <v>0</v>
      </c>
      <c r="BZ12" t="str">
        <v>Eksempel 4 (nominal)</v>
      </c>
      <c r="CA12">
        <v>1</v>
      </c>
      <c r="CC12" s="100" t="s">
        <v>1066</v>
      </c>
      <c r="CD12">
        <v>4</v>
      </c>
      <c r="CE12">
        <v>0.10335581769546268</v>
      </c>
      <c r="CF12">
        <v>0.89648124620809611</v>
      </c>
      <c r="CG12">
        <v>0.89648124620809611</v>
      </c>
      <c r="CH12" t="e">
        <v>#N/A</v>
      </c>
      <c r="CI12" t="str">
        <v/>
      </c>
      <c r="CJ12" s="100" t="s">
        <v>1094</v>
      </c>
      <c r="CK12">
        <v>4</v>
      </c>
      <c r="CL12">
        <v>0.16645193443330447</v>
      </c>
      <c r="CM12">
        <v>0.46007160076419201</v>
      </c>
      <c r="CN12">
        <v>0.46007160076419201</v>
      </c>
      <c r="CO12" t="e">
        <v>#N/A</v>
      </c>
      <c r="CP12" t="str">
        <v/>
      </c>
      <c r="CQ12" s="100" t="s">
        <v>1000</v>
      </c>
      <c r="CR12" s="100" t="s">
        <v>0</v>
      </c>
      <c r="CS12" cm="1">
        <f t="array" ref="CS12:CU12">MMULT(_xlfn.SEQUENCE(,CQ11,1,0),--INDEX(Data,_xlfn.SEQUENCE(CQ11),_xlfn.ANCHORARRAY(CS10)))/_xlfn.ANCHORARRAY(CS11)</f>
        <v>1.8540044183209705</v>
      </c>
      <c r="CT12">
        <v>4.14233953833077</v>
      </c>
      <c r="CU12">
        <v>0.41666666666666669</v>
      </c>
    </row>
    <row r="13" spans="1:99" x14ac:dyDescent="0.2">
      <c r="AQ13" s="108" t="s">
        <v>1031</v>
      </c>
      <c r="AR13">
        <v>5</v>
      </c>
      <c r="AS13">
        <v>5</v>
      </c>
      <c r="AT13">
        <v>1</v>
      </c>
      <c r="AU13">
        <v>-10.942831653292671</v>
      </c>
      <c r="AV13">
        <v>1.1212020552969838E-3</v>
      </c>
      <c r="BA13" s="108" t="s">
        <v>40</v>
      </c>
      <c r="CC13" s="108" t="s">
        <v>147</v>
      </c>
      <c r="CD13">
        <v>5</v>
      </c>
      <c r="CE13">
        <v>0.13780775692728356</v>
      </c>
      <c r="CF13">
        <v>0.86454427764871955</v>
      </c>
      <c r="CG13">
        <v>0.86454427764871955</v>
      </c>
      <c r="CH13" t="e">
        <v>#N/A</v>
      </c>
      <c r="CI13" t="str">
        <v/>
      </c>
      <c r="CJ13" s="108" t="s">
        <v>147</v>
      </c>
      <c r="CK13">
        <v>5</v>
      </c>
      <c r="CL13">
        <v>0.22193591257773931</v>
      </c>
      <c r="CM13">
        <v>0.44748371327362363</v>
      </c>
      <c r="CN13">
        <v>0.44748371327362363</v>
      </c>
      <c r="CO13" t="e">
        <v>#N/A</v>
      </c>
      <c r="CP13" t="str">
        <v/>
      </c>
      <c r="CQ13" s="108">
        <f>SUM(_xlfn.ANCHORARRAY(CS11))</f>
        <v>36</v>
      </c>
      <c r="CR13" s="100" t="s">
        <v>384</v>
      </c>
      <c r="CS13" cm="1">
        <f t="array" ref="CS13:CU13">_xlfn.ANCHORARRAY(CS11)*(_xlfn.ANCHORARRAY(CS12)-CQ15)^2</f>
        <v>0.96559536126396983</v>
      </c>
      <c r="CT13">
        <v>48.224389498556775</v>
      </c>
      <c r="CU13">
        <v>35.542238261998286</v>
      </c>
    </row>
    <row r="14" spans="1:99" x14ac:dyDescent="0.2">
      <c r="AQ14" s="100" t="s">
        <v>1010</v>
      </c>
      <c r="AR14">
        <v>6</v>
      </c>
      <c r="AS14">
        <v>6</v>
      </c>
      <c r="AT14">
        <v>1</v>
      </c>
      <c r="AU14">
        <v>-10.911891121975325</v>
      </c>
      <c r="AV14">
        <v>1.1453624450681371E-3</v>
      </c>
      <c r="BA14" s="100" t="s">
        <v>1032</v>
      </c>
      <c r="CC14" s="100" t="s">
        <v>1072</v>
      </c>
      <c r="CD14">
        <v>6</v>
      </c>
      <c r="CE14">
        <v>0.17225969615910444</v>
      </c>
      <c r="CF14">
        <v>0.83380762121200558</v>
      </c>
      <c r="CG14">
        <v>0.83380762121200558</v>
      </c>
      <c r="CH14" t="e">
        <v>#N/A</v>
      </c>
      <c r="CI14" t="str">
        <v/>
      </c>
      <c r="CJ14" s="100" t="s">
        <v>1095</v>
      </c>
      <c r="CK14">
        <v>6</v>
      </c>
      <c r="CL14">
        <v>0.2774198907221741</v>
      </c>
      <c r="CM14">
        <v>0.43524023937261824</v>
      </c>
      <c r="CN14">
        <v>0.43524023937261824</v>
      </c>
      <c r="CO14" t="e">
        <v>#N/A</v>
      </c>
      <c r="CP14" t="str">
        <v/>
      </c>
      <c r="CQ14" s="100" t="s">
        <v>1001</v>
      </c>
      <c r="CR14" s="100" t="s">
        <v>385</v>
      </c>
      <c r="CS14" cm="1">
        <f t="array" ref="CS14:CU14">MMULT(_xlfn.SEQUENCE(,CQ11,1,0),IF(NOT(ISBLANK(INDEX(Data,_xlfn.SEQUENCE(CQ11),_xlfn.ANCHORARRAY(CS10)))),--INDEX(Data,_xlfn.SEQUENCE(CQ11),_xlfn.ANCHORARRAY(CS10))-_xlfn.ANCHORARRAY(CS12),0)^2)</f>
        <v>204.04004837980742</v>
      </c>
      <c r="CT14">
        <v>201.94609325648105</v>
      </c>
      <c r="CU14">
        <v>2.9166666666666665</v>
      </c>
    </row>
    <row r="15" spans="1:99" x14ac:dyDescent="0.2">
      <c r="AQ15" s="108">
        <f>MIN(_xlfn.ANCHORARRAY(CS18))</f>
        <v>-11.066593778562057</v>
      </c>
      <c r="AR15">
        <v>7</v>
      </c>
      <c r="AS15">
        <v>7</v>
      </c>
      <c r="AT15">
        <v>1</v>
      </c>
      <c r="AU15">
        <v>-10.88095059065798</v>
      </c>
      <c r="AV15">
        <v>1.1699830743653228E-3</v>
      </c>
      <c r="BA15" s="108">
        <f>CQ9*(CQ9-1)/2</f>
        <v>3</v>
      </c>
      <c r="CC15" s="108" t="str">
        <f>"F fordeling med "&amp;B59&amp;" og "&amp;B60&amp;" frihedsgrader"</f>
        <v>F fordeling med 2 og 33 frihedsgrader</v>
      </c>
      <c r="CD15">
        <v>7</v>
      </c>
      <c r="CE15">
        <v>0.20671163539092535</v>
      </c>
      <c r="CF15">
        <v>0.80422382279979376</v>
      </c>
      <c r="CG15">
        <v>0.80422382279979376</v>
      </c>
      <c r="CH15" t="e">
        <v>#N/A</v>
      </c>
      <c r="CI15" t="str">
        <v/>
      </c>
      <c r="CJ15" s="108" t="str">
        <f>"Chi i anden fordeling med "&amp;CJ19&amp;" frihedsgrader"</f>
        <v>Chi i anden fordeling med 2 frihedsgrader</v>
      </c>
      <c r="CK15">
        <v>7</v>
      </c>
      <c r="CL15">
        <v>0.33290386886660894</v>
      </c>
      <c r="CM15">
        <v>0.42333175565945225</v>
      </c>
      <c r="CN15">
        <v>0.42333175565945225</v>
      </c>
      <c r="CO15" t="e">
        <v>#N/A</v>
      </c>
      <c r="CP15" t="str">
        <v/>
      </c>
      <c r="CQ15" s="108">
        <f>SUMPRODUCT(_xlfn.ANCHORARRAY(CS11),_xlfn.ANCHORARRAY(CS12))/CQ13</f>
        <v>2.137670207772802</v>
      </c>
      <c r="CR15" s="203" t="s">
        <v>1002</v>
      </c>
      <c r="CS15" cm="1">
        <f t="array" ref="CS15:CU15">_xlfn.ANCHORARRAY(CS11)-1</f>
        <v>11</v>
      </c>
      <c r="CT15">
        <v>11</v>
      </c>
      <c r="CU15">
        <v>11</v>
      </c>
    </row>
    <row r="16" spans="1:99" x14ac:dyDescent="0.2">
      <c r="AQ16" s="100" t="s">
        <v>1011</v>
      </c>
      <c r="AR16">
        <v>8</v>
      </c>
      <c r="AS16">
        <v>8</v>
      </c>
      <c r="AT16">
        <v>1</v>
      </c>
      <c r="AU16">
        <v>-10.850010059340633</v>
      </c>
      <c r="AV16">
        <v>1.1950712678814519E-3</v>
      </c>
      <c r="BA16" s="100" t="s">
        <v>1039</v>
      </c>
      <c r="CC16" s="100" t="s">
        <v>1067</v>
      </c>
      <c r="CD16">
        <v>8</v>
      </c>
      <c r="CE16">
        <v>0.24116357462274624</v>
      </c>
      <c r="CF16">
        <v>0.77574739661012126</v>
      </c>
      <c r="CG16">
        <v>0.77574739661012126</v>
      </c>
      <c r="CH16" t="e">
        <v>#N/A</v>
      </c>
      <c r="CI16" t="str">
        <v/>
      </c>
      <c r="CJ16" s="100" t="s">
        <v>1067</v>
      </c>
      <c r="CK16">
        <v>8</v>
      </c>
      <c r="CL16">
        <v>0.38838784701104379</v>
      </c>
      <c r="CM16">
        <v>0.41174909656340142</v>
      </c>
      <c r="CN16">
        <v>0.41174909656340142</v>
      </c>
      <c r="CO16" t="e">
        <v>#N/A</v>
      </c>
      <c r="CP16" t="str">
        <v/>
      </c>
      <c r="CQ16" s="100" t="s">
        <v>1004</v>
      </c>
      <c r="CR16" s="203" t="s">
        <v>1003</v>
      </c>
      <c r="CS16" cm="1">
        <f t="array" ref="CS16:CU16">_xlfn.ANCHORARRAY(CS14)/_xlfn.ANCHORARRAY(CS15)</f>
        <v>18.549095307255218</v>
      </c>
      <c r="CT16">
        <v>18.358735750589187</v>
      </c>
      <c r="CU16">
        <v>0.26515151515151514</v>
      </c>
    </row>
    <row r="17" spans="43:99" x14ac:dyDescent="0.2">
      <c r="AQ17" s="108">
        <f>MAX(_xlfn.ANCHORARRAY(CS19))</f>
        <v>16.996468126271015</v>
      </c>
      <c r="AR17">
        <v>9</v>
      </c>
      <c r="AS17">
        <v>9</v>
      </c>
      <c r="AT17">
        <v>1</v>
      </c>
      <c r="AU17">
        <v>-10.819069528023286</v>
      </c>
      <c r="AV17">
        <v>1.2206344344004312E-3</v>
      </c>
      <c r="BA17" s="108">
        <f>(1-B5)/2/BA15</f>
        <v>8.3333333333333402E-3</v>
      </c>
      <c r="CC17" s="108">
        <v>250</v>
      </c>
      <c r="CD17">
        <v>9</v>
      </c>
      <c r="CE17">
        <v>0.27561551385456712</v>
      </c>
      <c r="CF17">
        <v>0.74833473968732989</v>
      </c>
      <c r="CG17">
        <v>0.74833473968732989</v>
      </c>
      <c r="CH17" t="e">
        <v>#N/A</v>
      </c>
      <c r="CI17" t="str">
        <v/>
      </c>
      <c r="CJ17" s="108">
        <v>250</v>
      </c>
      <c r="CK17">
        <v>9</v>
      </c>
      <c r="CL17">
        <v>0.44387182515547863</v>
      </c>
      <c r="CM17">
        <v>0.40048334729030116</v>
      </c>
      <c r="CN17">
        <v>0.40048334729030116</v>
      </c>
      <c r="CO17" t="e">
        <v>#N/A</v>
      </c>
      <c r="CP17" t="str">
        <v/>
      </c>
      <c r="CQ17" s="108">
        <f>SUM(_xlfn.ANCHORARRAY(CS13))</f>
        <v>84.732223121819032</v>
      </c>
      <c r="CR17" s="203" t="s">
        <v>1</v>
      </c>
      <c r="CS17" cm="1">
        <f t="array" ref="CS17:CU17">SQRT(_xlfn.ANCHORARRAY(CS16))</f>
        <v>4.306866065627676</v>
      </c>
      <c r="CT17">
        <v>4.2847095293134148</v>
      </c>
      <c r="CU17">
        <v>0.51492865054443726</v>
      </c>
    </row>
    <row r="18" spans="43:99" x14ac:dyDescent="0.2">
      <c r="AQ18" s="100" t="s">
        <v>586</v>
      </c>
      <c r="AR18">
        <v>10</v>
      </c>
      <c r="AS18">
        <v>10</v>
      </c>
      <c r="AT18">
        <v>1</v>
      </c>
      <c r="AU18">
        <v>-10.788128996705939</v>
      </c>
      <c r="AV18">
        <v>1.246680067054577E-3</v>
      </c>
      <c r="BA18" s="179" t="s">
        <v>743</v>
      </c>
      <c r="CC18" s="100" t="s">
        <v>1068</v>
      </c>
      <c r="CD18">
        <v>10</v>
      </c>
      <c r="CE18">
        <v>0.310067453086388</v>
      </c>
      <c r="CF18">
        <v>0.72194405034651732</v>
      </c>
      <c r="CG18">
        <v>0.72194405034651732</v>
      </c>
      <c r="CH18" t="e">
        <v>#N/A</v>
      </c>
      <c r="CI18" t="str">
        <v/>
      </c>
      <c r="CJ18" s="100" t="s">
        <v>1087</v>
      </c>
      <c r="CK18">
        <v>10</v>
      </c>
      <c r="CL18">
        <v>0.49935580329991347</v>
      </c>
      <c r="CM18">
        <v>0.38952583696111998</v>
      </c>
      <c r="CN18">
        <v>0.38952583696111998</v>
      </c>
      <c r="CO18" t="e">
        <v>#N/A</v>
      </c>
      <c r="CP18" t="str">
        <v/>
      </c>
      <c r="CQ18" s="100" t="s">
        <v>1005</v>
      </c>
      <c r="CR18" s="203" t="s">
        <v>1008</v>
      </c>
      <c r="CS18" cm="1">
        <f t="array" ref="CS18:CU18">_xlfn.ANCHORARRAY(CS12)-_xlfn.ANCHORARRAY(CS17)*3</f>
        <v>-11.066593778562057</v>
      </c>
      <c r="CT18">
        <v>-8.7117890496094752</v>
      </c>
      <c r="CU18">
        <v>-1.128119284966645</v>
      </c>
    </row>
    <row r="19" spans="43:99" x14ac:dyDescent="0.2">
      <c r="AQ19" s="108">
        <f>AQ17-AQ15</f>
        <v>28.06306190483307</v>
      </c>
      <c r="AR19">
        <v>11</v>
      </c>
      <c r="AS19">
        <v>11</v>
      </c>
      <c r="AT19">
        <v>1</v>
      </c>
      <c r="AU19">
        <v>-10.757188465388595</v>
      </c>
      <c r="AV19">
        <v>1.2732157435655297E-3</v>
      </c>
      <c r="BA19" s="106" cm="1">
        <f t="array" ref="BA19">MAX(LEN(ROUND(ABS(_xlfn.ANCHORARRAY(BI9)),0)))</f>
        <v>1</v>
      </c>
      <c r="CC19" s="108">
        <f>IF(B5&lt;0.998,_xlfn.F.INV(0.999,B59,B60),_xlfn.F.INV(0.99999,B59,B60))</f>
        <v>8.5785328687234017</v>
      </c>
      <c r="CD19">
        <v>11</v>
      </c>
      <c r="CE19">
        <v>0.34451939231820888</v>
      </c>
      <c r="CF19">
        <v>0.69653525028923047</v>
      </c>
      <c r="CG19">
        <v>0.69653525028923047</v>
      </c>
      <c r="CH19" t="e">
        <v>#N/A</v>
      </c>
      <c r="CI19" t="str">
        <v/>
      </c>
      <c r="CJ19" s="205">
        <f>B59</f>
        <v>2</v>
      </c>
      <c r="CK19">
        <v>11</v>
      </c>
      <c r="CL19">
        <v>0.5548397814443482</v>
      </c>
      <c r="CM19">
        <v>0.37886813193826813</v>
      </c>
      <c r="CN19">
        <v>0.37886813193826813</v>
      </c>
      <c r="CO19" t="e">
        <v>#N/A</v>
      </c>
      <c r="CP19" t="str">
        <v/>
      </c>
      <c r="CQ19" s="108">
        <f>SUM(_xlfn.ANCHORARRAY(CS14))</f>
        <v>408.90280830295518</v>
      </c>
      <c r="CR19" s="203" t="s">
        <v>1009</v>
      </c>
      <c r="CS19" cm="1">
        <f t="array" ref="CS19:CU19">_xlfn.ANCHORARRAY(CS12)+_xlfn.ANCHORARRAY(CS17)*3</f>
        <v>14.774602615203998</v>
      </c>
      <c r="CT19">
        <v>16.996468126271015</v>
      </c>
      <c r="CU19">
        <v>1.9614526182999785</v>
      </c>
    </row>
    <row r="20" spans="43:99" x14ac:dyDescent="0.2">
      <c r="AQ20" s="100" t="s">
        <v>1012</v>
      </c>
      <c r="AR20">
        <v>12</v>
      </c>
      <c r="AS20">
        <v>12</v>
      </c>
      <c r="AT20">
        <v>1</v>
      </c>
      <c r="AU20">
        <v>-10.726247934071248</v>
      </c>
      <c r="AV20">
        <v>1.3002491264682643E-3</v>
      </c>
      <c r="BA20" s="179" t="s">
        <v>717</v>
      </c>
      <c r="CC20" s="100" t="s">
        <v>125</v>
      </c>
      <c r="CD20">
        <v>12</v>
      </c>
      <c r="CE20">
        <v>0.37897133155002977</v>
      </c>
      <c r="CF20">
        <v>0.67206991023630136</v>
      </c>
      <c r="CG20">
        <v>0.67206991023630136</v>
      </c>
      <c r="CH20" t="e">
        <v>#N/A</v>
      </c>
      <c r="CI20" t="str">
        <v/>
      </c>
      <c r="CJ20" s="100" t="s">
        <v>1068</v>
      </c>
      <c r="CK20">
        <v>12</v>
      </c>
      <c r="CL20">
        <v>0.61032375958878304</v>
      </c>
      <c r="CM20">
        <v>0.36850202933450144</v>
      </c>
      <c r="CN20">
        <v>0.36850202933450144</v>
      </c>
      <c r="CO20" t="e">
        <v>#N/A</v>
      </c>
      <c r="CP20" t="str">
        <v/>
      </c>
      <c r="CQ20" s="100" t="s">
        <v>1006</v>
      </c>
      <c r="CR20" s="203" t="s">
        <v>1024</v>
      </c>
      <c r="CS20" cm="1">
        <f t="array" ref="CS20:CU20">ROUND(_xlfn.ANCHORARRAY(CS12),3)</f>
        <v>1.8540000000000001</v>
      </c>
      <c r="CT20">
        <v>4.1420000000000003</v>
      </c>
      <c r="CU20">
        <v>0.41699999999999998</v>
      </c>
    </row>
    <row r="21" spans="43:99" x14ac:dyDescent="0.2">
      <c r="AQ21" s="108">
        <f>MIN(_xlfn.ANCHORARRAY(CS17))*6</f>
        <v>3.0895719032666236</v>
      </c>
      <c r="AR21">
        <v>13</v>
      </c>
      <c r="AS21">
        <v>13</v>
      </c>
      <c r="AT21">
        <v>1</v>
      </c>
      <c r="AU21">
        <v>-10.695307402753901</v>
      </c>
      <c r="AV21">
        <v>1.3277879633177489E-3</v>
      </c>
      <c r="BA21" s="106">
        <f>5-ROUNDDOWN(BA15/5,0)</f>
        <v>5</v>
      </c>
      <c r="CC21" s="204">
        <f>E59</f>
        <v>3.4191051103620165</v>
      </c>
      <c r="CD21">
        <v>13</v>
      </c>
      <c r="CE21">
        <v>0.4134232707818507</v>
      </c>
      <c r="CF21">
        <v>0.64851117891227206</v>
      </c>
      <c r="CG21">
        <v>0.64851117891227206</v>
      </c>
      <c r="CH21" t="e">
        <v>#N/A</v>
      </c>
      <c r="CI21" t="str">
        <v/>
      </c>
      <c r="CJ21" s="108">
        <f>IF(B5&lt;0.998,_xlfn.CHISQ.INV(0.999,CJ19),_xlfn.CHISQ.INV(0.99999,CJ19))</f>
        <v>13.815510557964272</v>
      </c>
      <c r="CK21">
        <v>13</v>
      </c>
      <c r="CL21">
        <v>0.66580773773321789</v>
      </c>
      <c r="CM21">
        <v>0.35841955069942838</v>
      </c>
      <c r="CN21">
        <v>0.35841955069942838</v>
      </c>
      <c r="CO21" t="e">
        <v>#N/A</v>
      </c>
      <c r="CP21" t="str">
        <v/>
      </c>
      <c r="CQ21" s="108">
        <f>CQ17/(CQ9-1)</f>
        <v>42.366111560909516</v>
      </c>
      <c r="CR21" s="203" t="s">
        <v>1025</v>
      </c>
      <c r="CS21" cm="1">
        <f t="array" ref="CS21:CU21">ROUND(_xlfn.ANCHORARRAY(CS17),3)</f>
        <v>4.3070000000000004</v>
      </c>
      <c r="CT21">
        <v>4.2850000000000001</v>
      </c>
      <c r="CU21">
        <v>0.51500000000000001</v>
      </c>
    </row>
    <row r="22" spans="43:99" x14ac:dyDescent="0.2">
      <c r="AQ22" s="100" t="s">
        <v>1014</v>
      </c>
      <c r="AR22">
        <v>14</v>
      </c>
      <c r="AS22">
        <v>14</v>
      </c>
      <c r="AT22">
        <v>1</v>
      </c>
      <c r="AU22">
        <v>-10.664366871436556</v>
      </c>
      <c r="AV22">
        <v>1.3558400868778312E-3</v>
      </c>
      <c r="BA22" s="179" t="s">
        <v>1040</v>
      </c>
      <c r="CC22" s="100" t="s">
        <v>1040</v>
      </c>
      <c r="CD22">
        <v>14</v>
      </c>
      <c r="CE22">
        <v>0.44787521001367159</v>
      </c>
      <c r="CF22">
        <v>0.62582371522395908</v>
      </c>
      <c r="CG22">
        <v>0.62582371522395908</v>
      </c>
      <c r="CH22" t="e">
        <v>#N/A</v>
      </c>
      <c r="CI22" t="str">
        <v/>
      </c>
      <c r="CJ22" s="100" t="s">
        <v>1091</v>
      </c>
      <c r="CK22">
        <v>14</v>
      </c>
      <c r="CL22">
        <v>0.72129171587765273</v>
      </c>
      <c r="CM22">
        <v>0.34861293587875619</v>
      </c>
      <c r="CN22">
        <v>0.34861293587875619</v>
      </c>
      <c r="CO22" t="e">
        <v>#N/A</v>
      </c>
      <c r="CP22" t="str">
        <v/>
      </c>
      <c r="CQ22" s="100" t="s">
        <v>1007</v>
      </c>
    </row>
    <row r="23" spans="43:99" x14ac:dyDescent="0.2">
      <c r="AQ23" s="108">
        <f>AQ19/AQ21</f>
        <v>9.083155460846152</v>
      </c>
      <c r="AR23">
        <v>15</v>
      </c>
      <c r="AS23">
        <v>15</v>
      </c>
      <c r="AT23">
        <v>1</v>
      </c>
      <c r="AU23">
        <v>-10.633426340119209</v>
      </c>
      <c r="AV23">
        <v>1.3844134152919173E-3</v>
      </c>
      <c r="BA23" s="106">
        <f>MIN(3,MAX(0,BA21-BA19))</f>
        <v>3</v>
      </c>
      <c r="CC23" s="205">
        <v>3</v>
      </c>
      <c r="CD23">
        <v>15</v>
      </c>
      <c r="CE23">
        <v>0.48232714924549247</v>
      </c>
      <c r="CF23">
        <v>0.60397362348341044</v>
      </c>
      <c r="CG23">
        <v>0.60397362348341044</v>
      </c>
      <c r="CH23" t="e">
        <v>#N/A</v>
      </c>
      <c r="CI23" t="str">
        <v/>
      </c>
      <c r="CJ23" s="108">
        <f>CQ13-CQ9</f>
        <v>33</v>
      </c>
      <c r="CK23">
        <v>15</v>
      </c>
      <c r="CL23">
        <v>0.77677569402208757</v>
      </c>
      <c r="CM23">
        <v>0.33907463704155466</v>
      </c>
      <c r="CN23">
        <v>0.33907463704155466</v>
      </c>
      <c r="CO23" t="e">
        <v>#N/A</v>
      </c>
      <c r="CP23" t="str">
        <v/>
      </c>
      <c r="CQ23" s="108">
        <f>CQ19/(CQ13-CQ9)</f>
        <v>12.390994190998642</v>
      </c>
    </row>
    <row r="24" spans="43:99" x14ac:dyDescent="0.2">
      <c r="AQ24" s="100" t="s">
        <v>1013</v>
      </c>
      <c r="AR24">
        <v>16</v>
      </c>
      <c r="AS24">
        <v>16</v>
      </c>
      <c r="AT24">
        <v>1</v>
      </c>
      <c r="AU24">
        <v>-10.602485808801863</v>
      </c>
      <c r="AV24">
        <v>1.4135159522349768E-3</v>
      </c>
      <c r="BA24" s="179" t="s">
        <v>1062</v>
      </c>
      <c r="CC24" s="100" t="s">
        <v>1075</v>
      </c>
      <c r="CD24">
        <v>16</v>
      </c>
      <c r="CE24">
        <v>0.51677908847731335</v>
      </c>
      <c r="CF24">
        <v>0.58292839153280418</v>
      </c>
      <c r="CG24">
        <v>0.58292839153280418</v>
      </c>
      <c r="CH24" t="e">
        <v>#N/A</v>
      </c>
      <c r="CI24" t="str">
        <v/>
      </c>
      <c r="CJ24" s="100" t="s">
        <v>1089</v>
      </c>
      <c r="CK24">
        <v>16</v>
      </c>
      <c r="CL24">
        <v>0.83225967216652241</v>
      </c>
      <c r="CM24">
        <v>0.32979731287093694</v>
      </c>
      <c r="CN24">
        <v>0.32979731287093694</v>
      </c>
      <c r="CO24" t="e">
        <v>#N/A</v>
      </c>
      <c r="CP24" t="str">
        <v/>
      </c>
    </row>
    <row r="25" spans="43:99" x14ac:dyDescent="0.2">
      <c r="AQ25" s="108">
        <f>IF(AQ23&gt;100,20,100)</f>
        <v>100</v>
      </c>
      <c r="AR25">
        <v>17</v>
      </c>
      <c r="AS25">
        <v>17</v>
      </c>
      <c r="AT25">
        <v>1</v>
      </c>
      <c r="AU25">
        <v>-10.571545277484516</v>
      </c>
      <c r="AV25">
        <v>1.4431557870464799E-3</v>
      </c>
      <c r="BA25" s="106">
        <f>LN(CQ9)-LN(CQ9-1)</f>
        <v>0.4054651081081645</v>
      </c>
      <c r="CC25" s="204" cm="1">
        <f t="array" ref="CC25">ROUNDUP(SUM(--ISNA(_xlfn.ANCHORARRAY(CH9)))/2,0)</f>
        <v>50</v>
      </c>
      <c r="CD25">
        <v>17</v>
      </c>
      <c r="CE25">
        <v>0.55123102770913424</v>
      </c>
      <c r="CF25">
        <v>0.56265683163578095</v>
      </c>
      <c r="CG25">
        <v>0.56265683163578095</v>
      </c>
      <c r="CH25" t="e">
        <v>#N/A</v>
      </c>
      <c r="CI25" t="str">
        <v/>
      </c>
      <c r="CJ25" s="108" cm="1">
        <f t="array" ref="CJ25">(CJ23*LN(1/CJ23*CQ19)-SUMPRODUCT(_xlfn.ANCHORARRAY(CS15),LN(_xlfn.ANCHORARRAY(CS16))))/(1+1/(3*(CQ9-1))*(SUM(1/_xlfn.ANCHORARRAY(CS15))-1/CJ23))</f>
        <v>32.224219661001769</v>
      </c>
      <c r="CK25">
        <v>17</v>
      </c>
      <c r="CL25">
        <v>0.88774365031095726</v>
      </c>
      <c r="CM25">
        <v>0.32077382291368794</v>
      </c>
      <c r="CN25">
        <v>0.32077382291368794</v>
      </c>
      <c r="CO25" t="e">
        <v>#N/A</v>
      </c>
      <c r="CP25" t="str">
        <v/>
      </c>
    </row>
    <row r="26" spans="43:99" x14ac:dyDescent="0.2">
      <c r="AQ26" s="100" t="s">
        <v>1023</v>
      </c>
      <c r="AR26">
        <v>18</v>
      </c>
      <c r="AS26">
        <v>18</v>
      </c>
      <c r="AT26">
        <v>1</v>
      </c>
      <c r="AU26">
        <v>-10.540604746167171</v>
      </c>
      <c r="AV26">
        <v>1.4733410948437723E-3</v>
      </c>
      <c r="BA26" s="179" t="s">
        <v>1063</v>
      </c>
      <c r="CC26" s="100" t="s">
        <v>1076</v>
      </c>
      <c r="CD26">
        <v>18</v>
      </c>
      <c r="CE26">
        <v>0.58568296694095523</v>
      </c>
      <c r="CF26">
        <v>0.54312902400628027</v>
      </c>
      <c r="CG26">
        <v>0.54312902400628027</v>
      </c>
      <c r="CH26" t="e">
        <v>#N/A</v>
      </c>
      <c r="CI26" t="str">
        <v/>
      </c>
      <c r="CJ26" s="100" t="s">
        <v>1090</v>
      </c>
      <c r="CK26">
        <v>18</v>
      </c>
      <c r="CL26">
        <v>0.9432276284553921</v>
      </c>
      <c r="CM26">
        <v>0.31199722208449093</v>
      </c>
      <c r="CN26">
        <v>0.31199722208449093</v>
      </c>
      <c r="CO26" t="e">
        <v>#N/A</v>
      </c>
      <c r="CP26" t="str">
        <v/>
      </c>
    </row>
    <row r="27" spans="43:99" x14ac:dyDescent="0.2">
      <c r="AQ27" s="108">
        <f>MIN(2000,ROUND(AQ23*AQ25,0))</f>
        <v>908</v>
      </c>
      <c r="AR27">
        <v>19</v>
      </c>
      <c r="AS27">
        <v>19</v>
      </c>
      <c r="AT27">
        <v>1</v>
      </c>
      <c r="AU27">
        <v>-10.509664214849824</v>
      </c>
      <c r="AV27">
        <v>1.5040801366154927E-3</v>
      </c>
      <c r="BA27" s="106">
        <f>COUNTIF(_xlfn.ANCHORARRAY(BL9),TRUE)</f>
        <v>0</v>
      </c>
      <c r="CC27" s="204" cm="1">
        <f t="array" ref="CC27">INDEX(_xlfn.ANCHORARRAY(CF9),CC25)</f>
        <v>0.18183265379999633</v>
      </c>
      <c r="CD27">
        <v>19</v>
      </c>
      <c r="CE27">
        <v>0.620134906172776</v>
      </c>
      <c r="CF27">
        <v>0.524316262852208</v>
      </c>
      <c r="CG27">
        <v>0.524316262852208</v>
      </c>
      <c r="CH27" t="e">
        <v>#N/A</v>
      </c>
      <c r="CI27" t="str">
        <v/>
      </c>
      <c r="CJ27" s="108" t="b">
        <f>K54&lt;1-B5</f>
        <v>1</v>
      </c>
      <c r="CK27">
        <v>19</v>
      </c>
      <c r="CL27">
        <v>0.99871160659982694</v>
      </c>
      <c r="CM27">
        <v>0.30346075532052202</v>
      </c>
      <c r="CN27">
        <v>0.30346075532052202</v>
      </c>
      <c r="CO27" t="e">
        <v>#N/A</v>
      </c>
      <c r="CP27" t="str">
        <v/>
      </c>
    </row>
    <row r="28" spans="43:99" x14ac:dyDescent="0.2">
      <c r="AQ28" s="100" t="s">
        <v>1022</v>
      </c>
      <c r="AR28">
        <v>20</v>
      </c>
      <c r="AS28">
        <v>20</v>
      </c>
      <c r="AT28">
        <v>1</v>
      </c>
      <c r="AU28">
        <v>-10.478723683532477</v>
      </c>
      <c r="AV28">
        <v>1.5353812592945131E-3</v>
      </c>
      <c r="CC28" s="100" t="s">
        <v>1077</v>
      </c>
      <c r="CD28">
        <v>20</v>
      </c>
      <c r="CE28">
        <v>0.654586845404597</v>
      </c>
      <c r="CF28">
        <v>0.50619100481719215</v>
      </c>
      <c r="CG28">
        <v>0.50619100481719215</v>
      </c>
      <c r="CH28" t="e">
        <v>#N/A</v>
      </c>
      <c r="CI28" t="str">
        <v/>
      </c>
      <c r="CJ28" s="100" t="s">
        <v>1040</v>
      </c>
      <c r="CK28">
        <v>20</v>
      </c>
      <c r="CL28">
        <v>1.0541955847442617</v>
      </c>
      <c r="CM28">
        <v>0.2951578523822998</v>
      </c>
      <c r="CN28">
        <v>0.2951578523822998</v>
      </c>
      <c r="CO28" t="e">
        <v>#N/A</v>
      </c>
      <c r="CP28" t="str">
        <v/>
      </c>
    </row>
    <row r="29" spans="43:99" x14ac:dyDescent="0.2">
      <c r="AQ29" s="108">
        <f>(AQ27+1)*CQ9</f>
        <v>2727</v>
      </c>
      <c r="AR29">
        <v>21</v>
      </c>
      <c r="AS29">
        <v>21</v>
      </c>
      <c r="AT29">
        <v>1</v>
      </c>
      <c r="AU29">
        <v>-10.447783152215131</v>
      </c>
      <c r="AV29">
        <v>1.5672528958100443E-3</v>
      </c>
      <c r="CC29" s="204" t="str">
        <f>ROUND(_xlfn.F.DIST(E59,B59,B60,TRUE)*100,CC23)&amp;"% mindre end "&amp;ROUND(E59,CC23)</f>
        <v>95.528% mindre end 3.419</v>
      </c>
      <c r="CD29">
        <v>21</v>
      </c>
      <c r="CE29">
        <v>0.68903878463641777</v>
      </c>
      <c r="CF29">
        <v>0.48872681970933252</v>
      </c>
      <c r="CG29">
        <v>0.48872681970933252</v>
      </c>
      <c r="CH29" t="e">
        <v>#N/A</v>
      </c>
      <c r="CI29" t="str">
        <v/>
      </c>
      <c r="CJ29" s="205">
        <v>3</v>
      </c>
      <c r="CK29">
        <v>21</v>
      </c>
      <c r="CL29">
        <v>1.1096795628886964</v>
      </c>
      <c r="CM29">
        <v>0.28708212279678574</v>
      </c>
      <c r="CN29">
        <v>0.28708212279678574</v>
      </c>
      <c r="CO29" t="e">
        <v>#N/A</v>
      </c>
      <c r="CP29" t="str">
        <v/>
      </c>
    </row>
    <row r="30" spans="43:99" x14ac:dyDescent="0.2">
      <c r="AR30">
        <v>22</v>
      </c>
      <c r="AS30">
        <v>22</v>
      </c>
      <c r="AT30">
        <v>1</v>
      </c>
      <c r="AU30">
        <v>-10.416842620897786</v>
      </c>
      <c r="AV30">
        <v>1.5997035651183721E-3</v>
      </c>
      <c r="CC30" s="100" t="s">
        <v>1078</v>
      </c>
      <c r="CD30">
        <v>22</v>
      </c>
      <c r="CE30">
        <v>0.72349072386823876</v>
      </c>
      <c r="CF30">
        <v>0.4718983434111928</v>
      </c>
      <c r="CG30">
        <v>0.4718983434111928</v>
      </c>
      <c r="CH30" t="e">
        <v>#N/A</v>
      </c>
      <c r="CI30" t="str">
        <v/>
      </c>
      <c r="CJ30" s="100" t="s">
        <v>1075</v>
      </c>
      <c r="CK30">
        <v>22</v>
      </c>
      <c r="CL30">
        <v>1.1651635410331314</v>
      </c>
      <c r="CM30">
        <v>0.27922735093884682</v>
      </c>
      <c r="CN30">
        <v>0.27922735093884682</v>
      </c>
      <c r="CO30" t="e">
        <v>#N/A</v>
      </c>
      <c r="CP30" t="str">
        <v/>
      </c>
    </row>
    <row r="31" spans="43:99" x14ac:dyDescent="0.2">
      <c r="AR31">
        <v>23</v>
      </c>
      <c r="AS31">
        <v>23</v>
      </c>
      <c r="AT31">
        <v>1</v>
      </c>
      <c r="AU31">
        <v>-10.385902089580439</v>
      </c>
      <c r="AV31">
        <v>1.632741872211831E-3</v>
      </c>
      <c r="CC31" s="204" cm="1">
        <f t="array" ref="CC31">ROUNDUP(SUM(--ISNA(_xlfn.ANCHORARRAY(CG9)))/2,0)+SUM(--ISNA(_xlfn.ANCHORARRAY(CH9)))</f>
        <v>175</v>
      </c>
      <c r="CD31">
        <v>23</v>
      </c>
      <c r="CE31">
        <v>0.75794266310005953</v>
      </c>
      <c r="CF31">
        <v>0.45568123287038503</v>
      </c>
      <c r="CG31">
        <v>0.45568123287038503</v>
      </c>
      <c r="CH31" t="e">
        <v>#N/A</v>
      </c>
      <c r="CI31" t="str">
        <v/>
      </c>
      <c r="CJ31" s="204" cm="1">
        <f t="array" ref="CJ31">ROUNDUP(SUM(--ISNA(_xlfn.ANCHORARRAY(CO9)))/2,0)</f>
        <v>125</v>
      </c>
      <c r="CK31">
        <v>23</v>
      </c>
      <c r="CL31">
        <v>1.2206475191775661</v>
      </c>
      <c r="CM31">
        <v>0.27158749124729153</v>
      </c>
      <c r="CN31">
        <v>0.27158749124729153</v>
      </c>
      <c r="CO31" t="e">
        <v>#N/A</v>
      </c>
      <c r="CP31" t="str">
        <v/>
      </c>
    </row>
    <row r="32" spans="43:99" x14ac:dyDescent="0.2">
      <c r="AR32">
        <v>24</v>
      </c>
      <c r="AS32">
        <v>24</v>
      </c>
      <c r="AT32">
        <v>1</v>
      </c>
      <c r="AU32">
        <v>-10.354961558263092</v>
      </c>
      <c r="AV32">
        <v>1.6663765081055008E-3</v>
      </c>
      <c r="CC32" s="100" t="s">
        <v>1079</v>
      </c>
      <c r="CD32">
        <v>24</v>
      </c>
      <c r="CE32">
        <v>0.79239460233188053</v>
      </c>
      <c r="CF32">
        <v>0.44005212307491548</v>
      </c>
      <c r="CG32">
        <v>0.44005212307491548</v>
      </c>
      <c r="CH32" t="e">
        <v>#N/A</v>
      </c>
      <c r="CI32" t="str">
        <v/>
      </c>
      <c r="CJ32" s="100" t="s">
        <v>1076</v>
      </c>
      <c r="CK32">
        <v>24</v>
      </c>
      <c r="CL32">
        <v>1.276131497322001</v>
      </c>
      <c r="CM32">
        <v>0.26415666357179912</v>
      </c>
      <c r="CN32">
        <v>0.26415666357179912</v>
      </c>
      <c r="CO32" t="e">
        <v>#N/A</v>
      </c>
      <c r="CP32" t="str">
        <v/>
      </c>
    </row>
    <row r="33" spans="6:94" x14ac:dyDescent="0.2">
      <c r="AR33">
        <v>25</v>
      </c>
      <c r="AS33">
        <v>25</v>
      </c>
      <c r="AT33">
        <v>1</v>
      </c>
      <c r="AU33">
        <v>-10.324021026945747</v>
      </c>
      <c r="AV33">
        <v>1.7006162498012303E-3</v>
      </c>
      <c r="CC33" s="204" cm="1">
        <f t="array" ref="CC33">INDEX(_xlfn.ANCHORARRAY(CF9),CC31)</f>
        <v>4.411502883925454E-3</v>
      </c>
      <c r="CD33">
        <v>25</v>
      </c>
      <c r="CE33">
        <v>0.82684654156370141</v>
      </c>
      <c r="CF33">
        <v>0.42498858592206529</v>
      </c>
      <c r="CG33">
        <v>0.42498858592206529</v>
      </c>
      <c r="CH33" t="e">
        <v>#N/A</v>
      </c>
      <c r="CI33" t="str">
        <v/>
      </c>
      <c r="CJ33" s="204" cm="1">
        <f t="array" ref="CJ33">INDEX(_xlfn.ANCHORARRAY(CM9),CJ31)</f>
        <v>1.6032236130089451E-2</v>
      </c>
      <c r="CK33">
        <v>25</v>
      </c>
      <c r="CL33">
        <v>1.3316154754664358</v>
      </c>
      <c r="CM33">
        <v>0.25692914864716015</v>
      </c>
      <c r="CN33">
        <v>0.25692914864716015</v>
      </c>
      <c r="CO33" t="e">
        <v>#N/A</v>
      </c>
      <c r="CP33" t="str">
        <v/>
      </c>
    </row>
    <row r="34" spans="6:94" x14ac:dyDescent="0.2">
      <c r="AR34">
        <v>26</v>
      </c>
      <c r="AS34">
        <v>26</v>
      </c>
      <c r="AT34">
        <v>1</v>
      </c>
      <c r="AU34">
        <v>-10.2930804956284</v>
      </c>
      <c r="AV34">
        <v>1.735469960228501E-3</v>
      </c>
      <c r="CC34" s="100" t="s">
        <v>1080</v>
      </c>
      <c r="CD34">
        <v>26</v>
      </c>
      <c r="CE34">
        <v>0.86129848079552229</v>
      </c>
      <c r="CF34">
        <v>0.41046909089393424</v>
      </c>
      <c r="CG34">
        <v>0.41046909089393424</v>
      </c>
      <c r="CH34" t="e">
        <v>#N/A</v>
      </c>
      <c r="CI34">
        <v>0.86099999999999999</v>
      </c>
      <c r="CJ34" s="100" t="s">
        <v>1077</v>
      </c>
      <c r="CK34">
        <v>26</v>
      </c>
      <c r="CL34">
        <v>1.3870994536108707</v>
      </c>
      <c r="CM34">
        <v>0.24989938369134482</v>
      </c>
      <c r="CN34">
        <v>0.24989938369134482</v>
      </c>
      <c r="CO34" t="e">
        <v>#N/A</v>
      </c>
      <c r="CP34">
        <v>1.387</v>
      </c>
    </row>
    <row r="35" spans="6:94" x14ac:dyDescent="0.2">
      <c r="AR35">
        <v>27</v>
      </c>
      <c r="AS35">
        <v>27</v>
      </c>
      <c r="AT35">
        <v>1</v>
      </c>
      <c r="AU35">
        <v>-10.262139964311054</v>
      </c>
      <c r="AV35">
        <v>1.7709465881616513E-3</v>
      </c>
      <c r="CC35" s="204" t="str">
        <f>ROUND((1-_xlfn.F.DIST(E59,B59,B60,TRUE))*100,CC23)&amp;"% større end "&amp;ROUND(E59,CC23)</f>
        <v>4.472% større end 3.419</v>
      </c>
      <c r="CD35">
        <v>27</v>
      </c>
      <c r="CE35">
        <v>0.89575042002734317</v>
      </c>
      <c r="CF35">
        <v>0.39647296745692678</v>
      </c>
      <c r="CG35">
        <v>0.39647296745692678</v>
      </c>
      <c r="CH35" t="e">
        <v>#N/A</v>
      </c>
      <c r="CI35" t="str">
        <v/>
      </c>
      <c r="CJ35" s="204" t="str">
        <f>ROUND(_xlfn.CHISQ.DIST(CJ25,CJ19,TRUE)*100,CJ29)&amp;"% mindre end "&amp;ROUND(CJ25,CJ29)</f>
        <v>100% mindre end 32.224</v>
      </c>
      <c r="CK35">
        <v>27</v>
      </c>
      <c r="CL35">
        <v>1.4425834317553055</v>
      </c>
      <c r="CM35">
        <v>0.24306195812401155</v>
      </c>
      <c r="CN35">
        <v>0.24306195812401155</v>
      </c>
      <c r="CO35" t="e">
        <v>#N/A</v>
      </c>
      <c r="CP35" t="str">
        <v/>
      </c>
    </row>
    <row r="36" spans="6:94" x14ac:dyDescent="0.2">
      <c r="AR36">
        <v>28</v>
      </c>
      <c r="AS36">
        <v>28</v>
      </c>
      <c r="AT36">
        <v>1</v>
      </c>
      <c r="AU36">
        <v>-10.231199432993707</v>
      </c>
      <c r="AV36">
        <v>1.807055168113057E-3</v>
      </c>
      <c r="CC36" s="100" t="s">
        <v>1081</v>
      </c>
      <c r="CD36">
        <v>28</v>
      </c>
      <c r="CE36">
        <v>0.93020235925916406</v>
      </c>
      <c r="CF36">
        <v>0.38298036910639988</v>
      </c>
      <c r="CG36">
        <v>0.38298036910639988</v>
      </c>
      <c r="CH36" t="e">
        <v>#N/A</v>
      </c>
      <c r="CI36" t="str">
        <v/>
      </c>
      <c r="CJ36" s="100" t="s">
        <v>1078</v>
      </c>
      <c r="CK36">
        <v>28</v>
      </c>
      <c r="CL36">
        <v>1.4980674098997402</v>
      </c>
      <c r="CM36">
        <v>0.23641160940216002</v>
      </c>
      <c r="CN36">
        <v>0.23641160940216002</v>
      </c>
      <c r="CO36" t="e">
        <v>#N/A</v>
      </c>
      <c r="CP36" t="str">
        <v/>
      </c>
    </row>
    <row r="37" spans="6:94" x14ac:dyDescent="0.2">
      <c r="AR37">
        <v>29</v>
      </c>
      <c r="AS37">
        <v>29</v>
      </c>
      <c r="AT37">
        <v>1</v>
      </c>
      <c r="AU37">
        <v>-10.200258901676362</v>
      </c>
      <c r="AV37">
        <v>1.8438048202017449E-3</v>
      </c>
      <c r="CC37" s="204" t="b">
        <f>1-_xlfn.F.DIST(E59,B59,B60,TRUE)&lt;1-B5</f>
        <v>1</v>
      </c>
      <c r="CD37">
        <v>29</v>
      </c>
      <c r="CE37">
        <v>0.96465429849098494</v>
      </c>
      <c r="CF37">
        <v>0.36997223898143639</v>
      </c>
      <c r="CG37">
        <v>0.36997223898143639</v>
      </c>
      <c r="CH37" t="e">
        <v>#N/A</v>
      </c>
      <c r="CI37" t="str">
        <v/>
      </c>
      <c r="CJ37" s="204" cm="1">
        <f t="array" ref="CJ37">ROUNDUP(SUM(--ISNA(_xlfn.ANCHORARRAY(CN9)))/2,0)+SUM(--ISNA(_xlfn.ANCHORARRAY(CO9)))</f>
        <v>250</v>
      </c>
      <c r="CK37">
        <v>29</v>
      </c>
      <c r="CL37">
        <v>1.5535513880441751</v>
      </c>
      <c r="CM37">
        <v>0.22994321896972408</v>
      </c>
      <c r="CN37">
        <v>0.22994321896972408</v>
      </c>
      <c r="CO37" t="e">
        <v>#N/A</v>
      </c>
      <c r="CP37" t="str">
        <v/>
      </c>
    </row>
    <row r="38" spans="6:94" x14ac:dyDescent="0.2">
      <c r="F38" s="155"/>
      <c r="AR38">
        <v>30</v>
      </c>
      <c r="AS38">
        <v>30</v>
      </c>
      <c r="AT38">
        <v>1</v>
      </c>
      <c r="AU38">
        <v>-10.169318370359015</v>
      </c>
      <c r="AV38">
        <v>1.881204749997037E-3</v>
      </c>
      <c r="CC38" s="100" t="s">
        <v>1107</v>
      </c>
      <c r="CD38">
        <v>30</v>
      </c>
      <c r="CE38">
        <v>0.99910623772280582</v>
      </c>
      <c r="CF38">
        <v>0.35743027697827279</v>
      </c>
      <c r="CG38">
        <v>0.35743027697827279</v>
      </c>
      <c r="CH38" t="e">
        <v>#N/A</v>
      </c>
      <c r="CI38" t="str">
        <v/>
      </c>
      <c r="CJ38" s="100" t="s">
        <v>1079</v>
      </c>
      <c r="CK38">
        <v>30</v>
      </c>
      <c r="CL38">
        <v>1.6090353661886099</v>
      </c>
      <c r="CM38">
        <v>0.22365180831798601</v>
      </c>
      <c r="CN38">
        <v>0.22365180831798601</v>
      </c>
      <c r="CO38" t="e">
        <v>#N/A</v>
      </c>
      <c r="CP38" t="str">
        <v/>
      </c>
    </row>
    <row r="39" spans="6:94" x14ac:dyDescent="0.2">
      <c r="F39" s="155"/>
      <c r="AR39">
        <v>31</v>
      </c>
      <c r="AS39">
        <v>31</v>
      </c>
      <c r="AT39">
        <v>1</v>
      </c>
      <c r="AU39">
        <v>-10.138377839041668</v>
      </c>
      <c r="AV39">
        <v>1.9192642483367151E-3</v>
      </c>
      <c r="CC39" s="204">
        <v>25</v>
      </c>
      <c r="CD39">
        <v>31</v>
      </c>
      <c r="CE39">
        <v>1.0335581769546267</v>
      </c>
      <c r="CF39">
        <v>0.34533690829428981</v>
      </c>
      <c r="CG39">
        <v>0.34533690829428981</v>
      </c>
      <c r="CH39" t="e">
        <v>#N/A</v>
      </c>
      <c r="CI39" t="str">
        <v/>
      </c>
      <c r="CJ39" s="204" cm="1">
        <f t="array" ref="CJ39">INDEX(_xlfn.ANCHORARRAY(CM9),CJ37)</f>
        <v>5.0000000000000055E-4</v>
      </c>
      <c r="CK39">
        <v>31</v>
      </c>
      <c r="CL39">
        <v>1.6645193443330448</v>
      </c>
      <c r="CM39">
        <v>0.21753253515378135</v>
      </c>
      <c r="CN39">
        <v>0.21753253515378135</v>
      </c>
      <c r="CO39" t="e">
        <v>#N/A</v>
      </c>
      <c r="CP39" t="str">
        <v/>
      </c>
    </row>
    <row r="40" spans="6:94" x14ac:dyDescent="0.2">
      <c r="F40" s="155"/>
      <c r="AR40">
        <v>32</v>
      </c>
      <c r="AS40">
        <v>32</v>
      </c>
      <c r="AT40">
        <v>1</v>
      </c>
      <c r="AU40">
        <v>-10.107437307724322</v>
      </c>
      <c r="AV40">
        <v>1.9579926911192824E-3</v>
      </c>
      <c r="CD40">
        <v>32</v>
      </c>
      <c r="CE40">
        <v>1.0680101161864475</v>
      </c>
      <c r="CF40">
        <v>0.33367525333769943</v>
      </c>
      <c r="CG40">
        <v>0.33367525333769943</v>
      </c>
      <c r="CH40" t="e">
        <v>#N/A</v>
      </c>
      <c r="CI40" t="str">
        <v/>
      </c>
      <c r="CJ40" s="100" t="s">
        <v>1080</v>
      </c>
      <c r="CK40">
        <v>32</v>
      </c>
      <c r="CL40">
        <v>1.7200033224774796</v>
      </c>
      <c r="CM40">
        <v>0.2115806896725442</v>
      </c>
      <c r="CN40">
        <v>0.2115806896725442</v>
      </c>
      <c r="CO40" t="e">
        <v>#N/A</v>
      </c>
      <c r="CP40" t="str">
        <v/>
      </c>
    </row>
    <row r="41" spans="6:94" x14ac:dyDescent="0.2">
      <c r="F41" s="155"/>
      <c r="AR41">
        <v>33</v>
      </c>
      <c r="AS41">
        <v>33</v>
      </c>
      <c r="AT41">
        <v>1</v>
      </c>
      <c r="AU41">
        <v>-10.076496776406977</v>
      </c>
      <c r="AV41">
        <v>1.9973995390698378E-3</v>
      </c>
      <c r="CD41">
        <v>33</v>
      </c>
      <c r="CE41">
        <v>1.1024620554182685</v>
      </c>
      <c r="CF41">
        <v>0.32242909894111627</v>
      </c>
      <c r="CG41">
        <v>0.32242909894111627</v>
      </c>
      <c r="CH41" t="e">
        <v>#N/A</v>
      </c>
      <c r="CI41" t="str">
        <v/>
      </c>
      <c r="CJ41" s="204" t="str">
        <f>ROUND((1-_xlfn.CHISQ.DIST(CJ25,CJ19,TRUE))*100,CJ29)&amp;"% større end "&amp;ROUND(CJ25,CJ29)</f>
        <v>0% større end 32.224</v>
      </c>
      <c r="CK41">
        <v>33</v>
      </c>
      <c r="CL41">
        <v>1.7754873006219145</v>
      </c>
      <c r="CM41">
        <v>0.20579169093332408</v>
      </c>
      <c r="CN41">
        <v>0.20579169093332408</v>
      </c>
      <c r="CO41" t="e">
        <v>#N/A</v>
      </c>
      <c r="CP41" t="str">
        <v/>
      </c>
    </row>
    <row r="42" spans="6:94" x14ac:dyDescent="0.2">
      <c r="AR42">
        <v>34</v>
      </c>
      <c r="AS42">
        <v>34</v>
      </c>
      <c r="AT42">
        <v>1</v>
      </c>
      <c r="AU42">
        <v>-10.04555624508963</v>
      </c>
      <c r="AV42">
        <v>2.0374943374791244E-3</v>
      </c>
      <c r="CD42">
        <v>34</v>
      </c>
      <c r="CE42">
        <v>1.1369139946500895</v>
      </c>
      <c r="CF42">
        <v>0.31158287082011971</v>
      </c>
      <c r="CG42">
        <v>0.31158287082011971</v>
      </c>
      <c r="CH42" t="e">
        <v>#N/A</v>
      </c>
      <c r="CI42" t="str">
        <v/>
      </c>
      <c r="CJ42" s="100" t="s">
        <v>1107</v>
      </c>
      <c r="CK42">
        <v>34</v>
      </c>
      <c r="CL42">
        <v>1.8309712787663492</v>
      </c>
      <c r="CM42">
        <v>0.20016108333298616</v>
      </c>
      <c r="CN42">
        <v>0.20016108333298616</v>
      </c>
      <c r="CO42" t="e">
        <v>#N/A</v>
      </c>
      <c r="CP42" t="str">
        <v/>
      </c>
    </row>
    <row r="43" spans="6:94" x14ac:dyDescent="0.2">
      <c r="AR43">
        <v>35</v>
      </c>
      <c r="AS43">
        <v>35</v>
      </c>
      <c r="AT43">
        <v>1</v>
      </c>
      <c r="AU43">
        <v>-10.014615713772283</v>
      </c>
      <c r="AV43">
        <v>2.0782867159152528E-3</v>
      </c>
      <c r="CD43">
        <v>35</v>
      </c>
      <c r="CE43">
        <v>1.1713659338819105</v>
      </c>
      <c r="CF43">
        <v>0.30112160722067222</v>
      </c>
      <c r="CG43">
        <v>0.30112160722067222</v>
      </c>
      <c r="CH43" t="e">
        <v>#N/A</v>
      </c>
      <c r="CI43" t="str">
        <v/>
      </c>
      <c r="CJ43" s="204">
        <v>25</v>
      </c>
      <c r="CK43">
        <v>35</v>
      </c>
      <c r="CL43">
        <v>1.8864552569107842</v>
      </c>
      <c r="CM43">
        <v>0.19468453317687828</v>
      </c>
      <c r="CN43">
        <v>0.19468453317687828</v>
      </c>
      <c r="CO43" t="e">
        <v>#N/A</v>
      </c>
      <c r="CP43" t="str">
        <v/>
      </c>
    </row>
    <row r="44" spans="6:94" x14ac:dyDescent="0.2">
      <c r="AR44">
        <v>36</v>
      </c>
      <c r="AS44">
        <v>36</v>
      </c>
      <c r="AT44">
        <v>1</v>
      </c>
      <c r="AU44">
        <v>-9.9836751824549363</v>
      </c>
      <c r="AV44">
        <v>2.1197863879076984E-3</v>
      </c>
      <c r="CD44">
        <v>36</v>
      </c>
      <c r="CE44">
        <v>1.205817873113731</v>
      </c>
      <c r="CF44">
        <v>0.29103093370190219</v>
      </c>
      <c r="CG44">
        <v>0.29103093370190219</v>
      </c>
      <c r="CH44" t="e">
        <v>#N/A</v>
      </c>
      <c r="CI44" t="str">
        <v/>
      </c>
      <c r="CK44">
        <v>36</v>
      </c>
      <c r="CL44">
        <v>1.9419392350552189</v>
      </c>
      <c r="CM44">
        <v>0.1893578253433286</v>
      </c>
      <c r="CN44">
        <v>0.1893578253433286</v>
      </c>
      <c r="CO44" t="e">
        <v>#N/A</v>
      </c>
      <c r="CP44" t="str">
        <v/>
      </c>
    </row>
    <row r="45" spans="6:94" x14ac:dyDescent="0.2">
      <c r="AR45">
        <v>37</v>
      </c>
      <c r="AS45">
        <v>37</v>
      </c>
      <c r="AT45">
        <v>1</v>
      </c>
      <c r="AU45">
        <v>-9.9527346511375914</v>
      </c>
      <c r="AV45">
        <v>2.1620031506030522E-3</v>
      </c>
      <c r="CD45">
        <v>37</v>
      </c>
      <c r="CE45">
        <v>1.240269812345552</v>
      </c>
      <c r="CF45">
        <v>0.28129703900325542</v>
      </c>
      <c r="CG45">
        <v>0.28129703900325542</v>
      </c>
      <c r="CH45" t="e">
        <v>#N/A</v>
      </c>
      <c r="CI45" t="str">
        <v/>
      </c>
      <c r="CK45">
        <v>37</v>
      </c>
      <c r="CL45">
        <v>1.9974232131996539</v>
      </c>
      <c r="CM45">
        <v>0.18417686003940356</v>
      </c>
      <c r="CN45">
        <v>0.18417686003940356</v>
      </c>
      <c r="CO45" t="e">
        <v>#N/A</v>
      </c>
      <c r="CP45" t="str">
        <v/>
      </c>
    </row>
    <row r="46" spans="6:94" x14ac:dyDescent="0.2">
      <c r="AR46">
        <v>38</v>
      </c>
      <c r="AS46">
        <v>38</v>
      </c>
      <c r="AT46">
        <v>1</v>
      </c>
      <c r="AU46">
        <v>-9.9217941198202446</v>
      </c>
      <c r="AV46">
        <v>2.2049468843921231E-3</v>
      </c>
      <c r="CD46">
        <v>38</v>
      </c>
      <c r="CE46">
        <v>1.274721751577373</v>
      </c>
      <c r="CF46">
        <v>0.27190665194741026</v>
      </c>
      <c r="CG46">
        <v>0.27190665194741026</v>
      </c>
      <c r="CH46" t="e">
        <v>#N/A</v>
      </c>
      <c r="CI46" t="str">
        <v/>
      </c>
      <c r="CK46">
        <v>38</v>
      </c>
      <c r="CL46">
        <v>2.0529071913440888</v>
      </c>
      <c r="CM46">
        <v>0.17913764964543169</v>
      </c>
      <c r="CN46">
        <v>0.17913764964543169</v>
      </c>
      <c r="CO46" t="e">
        <v>#N/A</v>
      </c>
      <c r="CP46" t="str">
        <v/>
      </c>
    </row>
    <row r="47" spans="6:94" x14ac:dyDescent="0.2">
      <c r="AR47">
        <v>39</v>
      </c>
      <c r="AS47">
        <v>39</v>
      </c>
      <c r="AT47">
        <v>1</v>
      </c>
      <c r="AU47">
        <v>-9.8908535885028979</v>
      </c>
      <c r="AV47">
        <v>2.2486275525078893E-3</v>
      </c>
      <c r="CD47">
        <v>39</v>
      </c>
      <c r="CE47">
        <v>1.309173690809194</v>
      </c>
      <c r="CF47">
        <v>0.26284701933261334</v>
      </c>
      <c r="CG47">
        <v>0.26284701933261334</v>
      </c>
      <c r="CH47" t="e">
        <v>#N/A</v>
      </c>
      <c r="CI47" t="str">
        <v/>
      </c>
      <c r="CK47">
        <v>39</v>
      </c>
      <c r="CL47">
        <v>2.1083911694885233</v>
      </c>
      <c r="CM47">
        <v>0.17423631564586292</v>
      </c>
      <c r="CN47">
        <v>0.17423631564586292</v>
      </c>
      <c r="CO47" t="e">
        <v>#N/A</v>
      </c>
      <c r="CP47" t="str">
        <v/>
      </c>
    </row>
    <row r="48" spans="6:94" x14ac:dyDescent="0.2">
      <c r="AR48">
        <v>40</v>
      </c>
      <c r="AS48">
        <v>40</v>
      </c>
      <c r="AT48">
        <v>1</v>
      </c>
      <c r="AU48">
        <v>-9.8599130571855511</v>
      </c>
      <c r="AV48">
        <v>2.293055200593877E-3</v>
      </c>
      <c r="CD48">
        <v>40</v>
      </c>
      <c r="CE48">
        <v>1.3436256300410145</v>
      </c>
      <c r="CF48">
        <v>0.25410588477025337</v>
      </c>
      <c r="CG48">
        <v>0.25410588477025337</v>
      </c>
      <c r="CH48" t="e">
        <v>#N/A</v>
      </c>
      <c r="CI48" t="str">
        <v/>
      </c>
      <c r="CK48">
        <v>40</v>
      </c>
      <c r="CL48">
        <v>2.1638751476329583</v>
      </c>
      <c r="CM48">
        <v>0.1694690856441019</v>
      </c>
      <c r="CN48">
        <v>0.1694690856441019</v>
      </c>
      <c r="CO48" t="e">
        <v>#N/A</v>
      </c>
      <c r="CP48" t="str">
        <v/>
      </c>
    </row>
    <row r="49" spans="1:94" x14ac:dyDescent="0.2">
      <c r="AR49">
        <v>41</v>
      </c>
      <c r="AS49">
        <v>41</v>
      </c>
      <c r="AT49">
        <v>1</v>
      </c>
      <c r="AU49">
        <v>-9.8289725258682061</v>
      </c>
      <c r="AV49">
        <v>2.3382399562425007E-3</v>
      </c>
      <c r="CD49">
        <v>41</v>
      </c>
      <c r="CE49">
        <v>1.3780775692728355</v>
      </c>
      <c r="CF49">
        <v>0.24567146842553902</v>
      </c>
      <c r="CG49">
        <v>0.24567146842553902</v>
      </c>
      <c r="CH49" t="e">
        <v>#N/A</v>
      </c>
      <c r="CI49" t="str">
        <v/>
      </c>
      <c r="CK49">
        <v>41</v>
      </c>
      <c r="CL49">
        <v>2.2193591257773928</v>
      </c>
      <c r="CM49">
        <v>0.16483229045901757</v>
      </c>
      <c r="CN49">
        <v>0.16483229045901757</v>
      </c>
      <c r="CO49" t="e">
        <v>#N/A</v>
      </c>
      <c r="CP49" t="str">
        <v/>
      </c>
    </row>
    <row r="50" spans="1:94" x14ac:dyDescent="0.2">
      <c r="AR50">
        <v>42</v>
      </c>
      <c r="AS50">
        <v>42</v>
      </c>
      <c r="AT50">
        <v>1</v>
      </c>
      <c r="AU50">
        <v>-9.7980319945508594</v>
      </c>
      <c r="AV50">
        <v>2.3841920285029186E-3</v>
      </c>
      <c r="CD50">
        <v>42</v>
      </c>
      <c r="CE50">
        <v>1.4125295085046565</v>
      </c>
      <c r="CF50">
        <v>0.23753244762111084</v>
      </c>
      <c r="CG50">
        <v>0.23753244762111084</v>
      </c>
      <c r="CH50" t="e">
        <v>#N/A</v>
      </c>
      <c r="CI50" t="str">
        <v/>
      </c>
      <c r="CK50">
        <v>42</v>
      </c>
      <c r="CL50">
        <v>2.2748431039218278</v>
      </c>
      <c r="CM50">
        <v>0.16032236130089444</v>
      </c>
      <c r="CN50">
        <v>0.16032236130089444</v>
      </c>
      <c r="CO50" t="e">
        <v>#N/A</v>
      </c>
      <c r="CP50" t="str">
        <v/>
      </c>
    </row>
    <row r="51" spans="1:94" x14ac:dyDescent="0.2">
      <c r="AR51">
        <v>43</v>
      </c>
      <c r="AS51">
        <v>43</v>
      </c>
      <c r="AT51">
        <v>1</v>
      </c>
      <c r="AU51">
        <v>-9.7670914632335126</v>
      </c>
      <c r="AV51">
        <v>2.4309217073579361E-3</v>
      </c>
      <c r="CD51">
        <v>43</v>
      </c>
      <c r="CE51">
        <v>1.4469814477364775</v>
      </c>
      <c r="CF51">
        <v>0.22967793826526423</v>
      </c>
      <c r="CG51">
        <v>0.22967793826526423</v>
      </c>
      <c r="CH51" t="e">
        <v>#N/A</v>
      </c>
      <c r="CI51" t="str">
        <v/>
      </c>
      <c r="CK51">
        <v>43</v>
      </c>
      <c r="CL51">
        <v>2.3303270820662627</v>
      </c>
      <c r="CM51">
        <v>0.15593582702465184</v>
      </c>
      <c r="CN51">
        <v>0.15593582702465184</v>
      </c>
      <c r="CO51" t="e">
        <v>#N/A</v>
      </c>
      <c r="CP51" t="str">
        <v/>
      </c>
    </row>
    <row r="52" spans="1:94" x14ac:dyDescent="0.2">
      <c r="AR52">
        <v>44</v>
      </c>
      <c r="AS52">
        <v>44</v>
      </c>
      <c r="AT52">
        <v>1</v>
      </c>
      <c r="AU52">
        <v>-9.7361509319161677</v>
      </c>
      <c r="AV52">
        <v>2.4784393631695537E-3</v>
      </c>
      <c r="CD52">
        <v>44</v>
      </c>
      <c r="CE52">
        <v>1.4814333869682983</v>
      </c>
      <c r="CF52">
        <v>0.22209747706823882</v>
      </c>
      <c r="CG52">
        <v>0.22209747706823882</v>
      </c>
      <c r="CH52" t="e">
        <v>#N/A</v>
      </c>
      <c r="CI52" t="str">
        <v/>
      </c>
      <c r="CK52">
        <v>44</v>
      </c>
      <c r="CL52">
        <v>2.3858110602106977</v>
      </c>
      <c r="CM52">
        <v>0.15166931145821691</v>
      </c>
      <c r="CN52">
        <v>0.15166931145821691</v>
      </c>
      <c r="CO52" t="e">
        <v>#N/A</v>
      </c>
      <c r="CP52" t="str">
        <v/>
      </c>
    </row>
    <row r="53" spans="1:94" x14ac:dyDescent="0.2">
      <c r="A53" s="3" t="s">
        <v>1102</v>
      </c>
      <c r="D53" s="3" t="s">
        <v>386</v>
      </c>
      <c r="G53" s="3" t="s">
        <v>1103</v>
      </c>
      <c r="J53" s="3" t="s">
        <v>386</v>
      </c>
      <c r="AR53">
        <v>45</v>
      </c>
      <c r="AS53">
        <v>45</v>
      </c>
      <c r="AT53">
        <v>1</v>
      </c>
      <c r="AU53">
        <v>-9.7052104005988209</v>
      </c>
      <c r="AV53">
        <v>2.5267554460926696E-3</v>
      </c>
      <c r="CD53">
        <v>45</v>
      </c>
      <c r="CE53">
        <v>1.5158853262001191</v>
      </c>
      <c r="CF53">
        <v>0.21478100451171675</v>
      </c>
      <c r="CG53">
        <v>0.21478100451171675</v>
      </c>
      <c r="CH53" t="e">
        <v>#N/A</v>
      </c>
      <c r="CI53" t="str">
        <v/>
      </c>
      <c r="CK53">
        <v>45</v>
      </c>
      <c r="CL53">
        <v>2.4412950383551322</v>
      </c>
      <c r="CM53">
        <v>0.1475195308039953</v>
      </c>
      <c r="CN53">
        <v>0.1475195308039953</v>
      </c>
      <c r="CO53" t="e">
        <v>#N/A</v>
      </c>
      <c r="CP53" t="str">
        <v/>
      </c>
    </row>
    <row r="54" spans="1:94" x14ac:dyDescent="0.2">
      <c r="A54" s="66" t="s">
        <v>491</v>
      </c>
      <c r="B54" s="61" t="s">
        <v>188</v>
      </c>
      <c r="D54" s="126" t="s">
        <v>387</v>
      </c>
      <c r="E54" s="105">
        <f>1-_xlfn.F.DIST(E59,B59,B60,TRUE)</f>
        <v>4.472321280508984E-2</v>
      </c>
      <c r="G54" s="66" t="s">
        <v>494</v>
      </c>
      <c r="H54" s="61" t="str" cm="1">
        <f t="array" ref="H54">IF(AND(_xlfn.ANCHORARRAY(CS11)&gt;=3),"Opfyldt","Ikke opfyldt")</f>
        <v>Opfyldt</v>
      </c>
      <c r="J54" s="126" t="s">
        <v>387</v>
      </c>
      <c r="K54" s="105">
        <f>1-_xlfn.CHISQ.DIST(CJ25,CQ9-1,TRUE)</f>
        <v>1.006003771397701E-7</v>
      </c>
      <c r="AR54">
        <v>46</v>
      </c>
      <c r="AS54">
        <v>46</v>
      </c>
      <c r="AT54">
        <v>1</v>
      </c>
      <c r="AU54">
        <v>-9.6742698692814741</v>
      </c>
      <c r="AV54">
        <v>2.5758804854565109E-3</v>
      </c>
      <c r="CD54">
        <v>46</v>
      </c>
      <c r="CE54">
        <v>1.5503372654319401</v>
      </c>
      <c r="CF54">
        <v>0.20771884853826894</v>
      </c>
      <c r="CG54">
        <v>0.20771884853826894</v>
      </c>
      <c r="CH54" t="e">
        <v>#N/A</v>
      </c>
      <c r="CI54" t="str">
        <v/>
      </c>
      <c r="CK54">
        <v>46</v>
      </c>
      <c r="CL54">
        <v>2.4967790164995671</v>
      </c>
      <c r="CM54">
        <v>0.14348329111143945</v>
      </c>
      <c r="CN54">
        <v>0.14348329111143945</v>
      </c>
      <c r="CO54" t="e">
        <v>#N/A</v>
      </c>
      <c r="CP54" t="str">
        <v/>
      </c>
    </row>
    <row r="55" spans="1:94" x14ac:dyDescent="0.2">
      <c r="A55" s="66" t="s">
        <v>492</v>
      </c>
      <c r="B55" s="61" t="s">
        <v>493</v>
      </c>
      <c r="D55" s="126" t="s">
        <v>388</v>
      </c>
      <c r="E55" s="207" t="str">
        <f>IF(E54&lt;1-B5,"Nulhypotesen afvises","Nulhypotesen kan ikke afvises")</f>
        <v>Nulhypotesen afvises</v>
      </c>
      <c r="G55" s="66" t="s">
        <v>491</v>
      </c>
      <c r="H55" s="61" t="s">
        <v>188</v>
      </c>
      <c r="J55" s="126" t="s">
        <v>496</v>
      </c>
      <c r="K55" s="207" t="str">
        <f>IF(K54&lt;1-B5,"Nulhypotesen afvises","Nulhypotesen kan ikke afvises")</f>
        <v>Nulhypotesen afvises</v>
      </c>
      <c r="AR55">
        <v>47</v>
      </c>
      <c r="AS55">
        <v>47</v>
      </c>
      <c r="AT55">
        <v>1</v>
      </c>
      <c r="AU55">
        <v>-9.6433293379641274</v>
      </c>
      <c r="AV55">
        <v>2.6258250891133881E-3</v>
      </c>
      <c r="CD55">
        <v>47</v>
      </c>
      <c r="CE55">
        <v>1.5847892046637611</v>
      </c>
      <c r="CF55">
        <v>0.20090170892902393</v>
      </c>
      <c r="CG55">
        <v>0.20090170892902393</v>
      </c>
      <c r="CH55" t="e">
        <v>#N/A</v>
      </c>
      <c r="CI55" t="str">
        <v/>
      </c>
      <c r="CK55">
        <v>47</v>
      </c>
      <c r="CL55">
        <v>2.5522629946440021</v>
      </c>
      <c r="CM55">
        <v>0.13955748581876934</v>
      </c>
      <c r="CN55">
        <v>0.13955748581876934</v>
      </c>
      <c r="CO55" t="e">
        <v>#N/A</v>
      </c>
      <c r="CP55" t="str">
        <v/>
      </c>
    </row>
    <row r="56" spans="1:94" x14ac:dyDescent="0.2">
      <c r="G56" s="66" t="s">
        <v>495</v>
      </c>
      <c r="H56" s="61" t="s">
        <v>188</v>
      </c>
      <c r="AR56">
        <v>48</v>
      </c>
      <c r="AS56">
        <v>48</v>
      </c>
      <c r="AT56">
        <v>1</v>
      </c>
      <c r="AU56">
        <v>-9.6123888066467824</v>
      </c>
      <c r="AV56">
        <v>2.6765999427542852E-3</v>
      </c>
      <c r="CD56">
        <v>48</v>
      </c>
      <c r="CE56">
        <v>1.6192411438955818</v>
      </c>
      <c r="CF56">
        <v>0.19432064233928636</v>
      </c>
      <c r="CG56">
        <v>0.19432064233928636</v>
      </c>
      <c r="CH56" t="e">
        <v>#N/A</v>
      </c>
      <c r="CI56" t="str">
        <v/>
      </c>
      <c r="CK56">
        <v>48</v>
      </c>
      <c r="CL56">
        <v>2.607746972788437</v>
      </c>
      <c r="CM56">
        <v>0.13573909336195331</v>
      </c>
      <c r="CN56">
        <v>0.13573909336195331</v>
      </c>
      <c r="CO56" t="e">
        <v>#N/A</v>
      </c>
      <c r="CP56" t="str">
        <v/>
      </c>
    </row>
    <row r="57" spans="1:94" x14ac:dyDescent="0.2">
      <c r="AR57">
        <v>49</v>
      </c>
      <c r="AS57">
        <v>49</v>
      </c>
      <c r="AT57">
        <v>1</v>
      </c>
      <c r="AU57">
        <v>-9.5814482753294357</v>
      </c>
      <c r="AV57">
        <v>2.7282158091909061E-3</v>
      </c>
      <c r="CD57">
        <v>49</v>
      </c>
      <c r="CE57">
        <v>1.6536930831274028</v>
      </c>
      <c r="CF57">
        <v>0.18796704796321512</v>
      </c>
      <c r="CG57">
        <v>0.18796704796321512</v>
      </c>
      <c r="CH57" t="e">
        <v>#N/A</v>
      </c>
      <c r="CI57" t="str">
        <v/>
      </c>
      <c r="CK57">
        <v>49</v>
      </c>
      <c r="CL57">
        <v>2.6632309509328715</v>
      </c>
      <c r="CM57">
        <v>0.13202517484910906</v>
      </c>
      <c r="CN57">
        <v>0.13202517484910906</v>
      </c>
      <c r="CO57" t="e">
        <v>#N/A</v>
      </c>
      <c r="CP57" t="str">
        <v/>
      </c>
    </row>
    <row r="58" spans="1:94" x14ac:dyDescent="0.2">
      <c r="A58" s="206" t="s">
        <v>1106</v>
      </c>
      <c r="B58" s="100" t="s">
        <v>129</v>
      </c>
      <c r="C58" s="100" t="s">
        <v>381</v>
      </c>
      <c r="D58" s="100" t="s">
        <v>382</v>
      </c>
      <c r="E58" s="100" t="s">
        <v>383</v>
      </c>
      <c r="AR58">
        <v>50</v>
      </c>
      <c r="AS58">
        <v>50</v>
      </c>
      <c r="AT58">
        <v>1</v>
      </c>
      <c r="AU58">
        <v>-9.5505077440120889</v>
      </c>
      <c r="AV58">
        <v>2.7806835276037024E-3</v>
      </c>
      <c r="CD58">
        <v>50</v>
      </c>
      <c r="CE58">
        <v>1.6881450223592236</v>
      </c>
      <c r="CF58">
        <v>0.18183265379999633</v>
      </c>
      <c r="CG58">
        <v>0.18183265379999633</v>
      </c>
      <c r="CH58" t="e">
        <v>#N/A</v>
      </c>
      <c r="CI58" t="str">
        <v/>
      </c>
      <c r="CK58">
        <v>50</v>
      </c>
      <c r="CL58">
        <v>2.7187149290773065</v>
      </c>
      <c r="CM58">
        <v>0.1284128717985345</v>
      </c>
      <c r="CN58">
        <v>0.1284128717985345</v>
      </c>
      <c r="CO58" t="e">
        <v>#N/A</v>
      </c>
      <c r="CP58" t="str">
        <v/>
      </c>
    </row>
    <row r="59" spans="1:94" x14ac:dyDescent="0.2">
      <c r="A59" s="100" t="s">
        <v>378</v>
      </c>
      <c r="B59" s="104">
        <f>CQ9-1</f>
        <v>2</v>
      </c>
      <c r="C59" s="103">
        <f>CQ17</f>
        <v>84.732223121819032</v>
      </c>
      <c r="D59" s="103">
        <f>CQ21</f>
        <v>42.366111560909516</v>
      </c>
      <c r="E59" s="103">
        <f>D59/D60</f>
        <v>3.4191051103620165</v>
      </c>
      <c r="AR59">
        <v>51</v>
      </c>
      <c r="AS59">
        <v>51</v>
      </c>
      <c r="AT59">
        <v>1</v>
      </c>
      <c r="AU59">
        <v>-9.5195672126947422</v>
      </c>
      <c r="AV59">
        <v>2.8340140127555021E-3</v>
      </c>
      <c r="CD59">
        <v>51</v>
      </c>
      <c r="CE59">
        <v>1.7225969615910446</v>
      </c>
      <c r="CF59">
        <v>0.17590950349519938</v>
      </c>
      <c r="CG59">
        <v>0.17590950349519938</v>
      </c>
      <c r="CH59" t="e">
        <v>#N/A</v>
      </c>
      <c r="CI59">
        <v>1.7230000000000001</v>
      </c>
      <c r="CK59">
        <v>51</v>
      </c>
      <c r="CL59">
        <v>2.7741989072217415</v>
      </c>
      <c r="CM59">
        <v>0.12489940393862797</v>
      </c>
      <c r="CN59">
        <v>0.12489940393862797</v>
      </c>
      <c r="CO59" t="e">
        <v>#N/A</v>
      </c>
      <c r="CP59">
        <v>2.774</v>
      </c>
    </row>
    <row r="60" spans="1:94" x14ac:dyDescent="0.2">
      <c r="A60" s="100" t="s">
        <v>379</v>
      </c>
      <c r="B60" s="104">
        <f>CQ13-CQ9</f>
        <v>33</v>
      </c>
      <c r="C60" s="103">
        <f>CQ19</f>
        <v>408.90280830295518</v>
      </c>
      <c r="D60" s="103">
        <f>CQ23</f>
        <v>12.390994190998642</v>
      </c>
      <c r="E60" s="103"/>
      <c r="AR60">
        <v>52</v>
      </c>
      <c r="AS60">
        <v>52</v>
      </c>
      <c r="AT60">
        <v>1</v>
      </c>
      <c r="AU60">
        <v>-9.4886266813773972</v>
      </c>
      <c r="AV60">
        <v>2.888218254170296E-3</v>
      </c>
      <c r="CD60">
        <v>52</v>
      </c>
      <c r="CE60">
        <v>1.7570489008228654</v>
      </c>
      <c r="CF60">
        <v>0.170189943732203</v>
      </c>
      <c r="CG60">
        <v>0.170189943732203</v>
      </c>
      <c r="CH60" t="e">
        <v>#N/A</v>
      </c>
      <c r="CI60" t="str">
        <v/>
      </c>
      <c r="CK60">
        <v>52</v>
      </c>
      <c r="CL60">
        <v>2.8296828853661764</v>
      </c>
      <c r="CM60">
        <v>0.12148206706800389</v>
      </c>
      <c r="CN60">
        <v>0.12148206706800389</v>
      </c>
      <c r="CO60" t="e">
        <v>#N/A</v>
      </c>
      <c r="CP60" t="str">
        <v/>
      </c>
    </row>
    <row r="61" spans="1:94" x14ac:dyDescent="0.2">
      <c r="A61" s="100" t="s">
        <v>380</v>
      </c>
      <c r="B61" s="104">
        <f>SUM(B59:B60)</f>
        <v>35</v>
      </c>
      <c r="C61" s="103">
        <f>SUM(C59:C60)</f>
        <v>493.63503142477418</v>
      </c>
      <c r="D61" s="103"/>
      <c r="E61" s="103"/>
      <c r="AR61">
        <v>53</v>
      </c>
      <c r="AS61">
        <v>53</v>
      </c>
      <c r="AT61">
        <v>1</v>
      </c>
      <c r="AU61">
        <v>-9.4576861500600504</v>
      </c>
      <c r="AV61">
        <v>2.9433073152768095E-3</v>
      </c>
      <c r="CD61">
        <v>53</v>
      </c>
      <c r="CE61">
        <v>1.7915008400546863</v>
      </c>
      <c r="CF61">
        <v>0.16466661214971975</v>
      </c>
      <c r="CG61">
        <v>0.16466661214971975</v>
      </c>
      <c r="CH61" t="e">
        <v>#N/A</v>
      </c>
      <c r="CI61" t="str">
        <v/>
      </c>
      <c r="CK61">
        <v>53</v>
      </c>
      <c r="CL61">
        <v>2.8851668635106109</v>
      </c>
      <c r="CM61">
        <v>0.11815823097415748</v>
      </c>
      <c r="CN61">
        <v>0.11815823097415748</v>
      </c>
      <c r="CO61" t="e">
        <v>#N/A</v>
      </c>
      <c r="CP61" t="str">
        <v/>
      </c>
    </row>
    <row r="62" spans="1:94" x14ac:dyDescent="0.2">
      <c r="AR62">
        <v>54</v>
      </c>
      <c r="AS62">
        <v>54</v>
      </c>
      <c r="AT62">
        <v>1</v>
      </c>
      <c r="AU62">
        <v>-9.4267456187427037</v>
      </c>
      <c r="AV62">
        <v>2.9992923325163458E-3</v>
      </c>
      <c r="CD62">
        <v>54</v>
      </c>
      <c r="CE62">
        <v>1.8259527792865071</v>
      </c>
      <c r="CF62">
        <v>0.15933242576253434</v>
      </c>
      <c r="CG62">
        <v>0.15933242576253434</v>
      </c>
      <c r="CH62" t="e">
        <v>#N/A</v>
      </c>
      <c r="CI62" t="str">
        <v/>
      </c>
      <c r="CK62">
        <v>54</v>
      </c>
      <c r="CL62">
        <v>2.9406508416550459</v>
      </c>
      <c r="CM62">
        <v>0.11492533740907598</v>
      </c>
      <c r="CN62">
        <v>0.11492533740907598</v>
      </c>
      <c r="CO62" t="e">
        <v>#N/A</v>
      </c>
      <c r="CP62" t="str">
        <v/>
      </c>
    </row>
    <row r="63" spans="1:94" x14ac:dyDescent="0.2">
      <c r="AR63">
        <v>55</v>
      </c>
      <c r="AS63">
        <v>55</v>
      </c>
      <c r="AT63">
        <v>1</v>
      </c>
      <c r="AU63">
        <v>-9.3958050874253587</v>
      </c>
      <c r="AV63">
        <v>3.0561845144146406E-3</v>
      </c>
      <c r="CD63">
        <v>55</v>
      </c>
      <c r="CE63">
        <v>1.8604047185183281</v>
      </c>
      <c r="CF63">
        <v>0.15418056986360645</v>
      </c>
      <c r="CG63">
        <v>0.15418056986360645</v>
      </c>
      <c r="CH63" t="e">
        <v>#N/A</v>
      </c>
      <c r="CI63" t="str">
        <v/>
      </c>
      <c r="CK63">
        <v>55</v>
      </c>
      <c r="CL63">
        <v>2.9961348197994804</v>
      </c>
      <c r="CM63">
        <v>0.11178089812023899</v>
      </c>
      <c r="CN63">
        <v>0.11178089812023899</v>
      </c>
      <c r="CO63" t="e">
        <v>#N/A</v>
      </c>
      <c r="CP63" t="str">
        <v/>
      </c>
    </row>
    <row r="64" spans="1:94" x14ac:dyDescent="0.2">
      <c r="AR64">
        <v>56</v>
      </c>
      <c r="AS64">
        <v>56</v>
      </c>
      <c r="AT64">
        <v>1</v>
      </c>
      <c r="AU64">
        <v>-9.3648645561080119</v>
      </c>
      <c r="AV64">
        <v>3.1139951406172479E-3</v>
      </c>
      <c r="CD64">
        <v>56</v>
      </c>
      <c r="CE64">
        <v>1.8948566577501489</v>
      </c>
      <c r="CF64">
        <v>0.14920448738667683</v>
      </c>
      <c r="CG64">
        <v>0.14920448738667683</v>
      </c>
      <c r="CH64" t="e">
        <v>#N/A</v>
      </c>
      <c r="CI64" t="str">
        <v/>
      </c>
      <c r="CK64">
        <v>56</v>
      </c>
      <c r="CL64">
        <v>3.0516187979439158</v>
      </c>
      <c r="CM64">
        <v>0.10872249293549151</v>
      </c>
      <c r="CN64">
        <v>0.10872249293549151</v>
      </c>
      <c r="CO64" t="e">
        <v>#N/A</v>
      </c>
      <c r="CP64" t="str">
        <v/>
      </c>
    </row>
    <row r="65" spans="44:94" x14ac:dyDescent="0.2">
      <c r="AR65">
        <v>57</v>
      </c>
      <c r="AS65">
        <v>57</v>
      </c>
      <c r="AT65">
        <v>1</v>
      </c>
      <c r="AU65">
        <v>-9.3339240247906652</v>
      </c>
      <c r="AV65">
        <v>3.1727355608880442E-3</v>
      </c>
      <c r="CD65">
        <v>57</v>
      </c>
      <c r="CE65">
        <v>1.9293085969819699</v>
      </c>
      <c r="CF65">
        <v>0.14439786870945562</v>
      </c>
      <c r="CG65">
        <v>0.14439786870945562</v>
      </c>
      <c r="CH65" t="e">
        <v>#N/A</v>
      </c>
      <c r="CI65" t="str">
        <v/>
      </c>
      <c r="CK65">
        <v>57</v>
      </c>
      <c r="CL65">
        <v>3.1071027760883503</v>
      </c>
      <c r="CM65">
        <v>0.10574776790031694</v>
      </c>
      <c r="CN65">
        <v>0.10574776790031694</v>
      </c>
      <c r="CO65" t="e">
        <v>#N/A</v>
      </c>
      <c r="CP65" t="str">
        <v/>
      </c>
    </row>
    <row r="66" spans="44:94" x14ac:dyDescent="0.2">
      <c r="AR66">
        <v>58</v>
      </c>
      <c r="AS66">
        <v>58</v>
      </c>
      <c r="AT66">
        <v>1</v>
      </c>
      <c r="AU66">
        <v>-9.3029834934733184</v>
      </c>
      <c r="AV66">
        <v>3.2324171940705283E-3</v>
      </c>
      <c r="CD66">
        <v>58</v>
      </c>
      <c r="CE66">
        <v>1.9637605362137909</v>
      </c>
      <c r="CF66">
        <v>0.13975464187836859</v>
      </c>
      <c r="CG66">
        <v>0.13975464187836859</v>
      </c>
      <c r="CH66" t="e">
        <v>#N/A</v>
      </c>
      <c r="CI66" t="str">
        <v/>
      </c>
      <c r="CK66">
        <v>58</v>
      </c>
      <c r="CL66">
        <v>3.1625867542327852</v>
      </c>
      <c r="CM66">
        <v>0.10285443346607481</v>
      </c>
      <c r="CN66">
        <v>0.10285443346607481</v>
      </c>
      <c r="CO66" t="e">
        <v>#N/A</v>
      </c>
      <c r="CP66" t="str">
        <v/>
      </c>
    </row>
    <row r="67" spans="44:94" x14ac:dyDescent="0.2">
      <c r="AR67">
        <v>59</v>
      </c>
      <c r="AS67">
        <v>59</v>
      </c>
      <c r="AT67">
        <v>1</v>
      </c>
      <c r="AU67">
        <v>-9.2720429621559735</v>
      </c>
      <c r="AV67">
        <v>3.2930515270115047E-3</v>
      </c>
      <c r="CD67">
        <v>59</v>
      </c>
      <c r="CE67">
        <v>1.9982124754456116</v>
      </c>
      <c r="CF67">
        <v>0.13526896323669277</v>
      </c>
      <c r="CG67">
        <v>0.13526896323669277</v>
      </c>
      <c r="CH67" t="e">
        <v>#N/A</v>
      </c>
      <c r="CI67" t="str">
        <v/>
      </c>
      <c r="CK67">
        <v>59</v>
      </c>
      <c r="CL67">
        <v>3.2180707323772197</v>
      </c>
      <c r="CM67">
        <v>0.1000402627278103</v>
      </c>
      <c r="CN67">
        <v>0.1000402627278103</v>
      </c>
      <c r="CO67" t="e">
        <v>#N/A</v>
      </c>
      <c r="CP67" t="str">
        <v/>
      </c>
    </row>
    <row r="68" spans="44:94" x14ac:dyDescent="0.2">
      <c r="AR68">
        <v>60</v>
      </c>
      <c r="AS68">
        <v>60</v>
      </c>
      <c r="AT68">
        <v>1</v>
      </c>
      <c r="AU68">
        <v>-9.2411024308386267</v>
      </c>
      <c r="AV68">
        <v>3.3546501134467774E-3</v>
      </c>
      <c r="CD68">
        <v>60</v>
      </c>
      <c r="CE68">
        <v>2.0326644146774324</v>
      </c>
      <c r="CF68">
        <v>0.13093520843872647</v>
      </c>
      <c r="CG68">
        <v>0.13093520843872647</v>
      </c>
      <c r="CH68" t="e">
        <v>#N/A</v>
      </c>
      <c r="CI68" t="str">
        <v/>
      </c>
      <c r="CK68">
        <v>60</v>
      </c>
      <c r="CL68">
        <v>3.2735547105216551</v>
      </c>
      <c r="CM68">
        <v>9.7303089710278109E-2</v>
      </c>
      <c r="CN68">
        <v>9.7303089710278109E-2</v>
      </c>
      <c r="CO68" t="e">
        <v>#N/A</v>
      </c>
      <c r="CP68" t="str">
        <v/>
      </c>
    </row>
    <row r="69" spans="44:94" x14ac:dyDescent="0.2">
      <c r="AR69">
        <v>61</v>
      </c>
      <c r="AS69">
        <v>61</v>
      </c>
      <c r="AT69">
        <v>1</v>
      </c>
      <c r="AU69">
        <v>-9.2101618995212799</v>
      </c>
      <c r="AV69">
        <v>3.417224572848493E-3</v>
      </c>
      <c r="CD69">
        <v>61</v>
      </c>
      <c r="CE69">
        <v>2.0671163539092534</v>
      </c>
      <c r="CF69">
        <v>0.12674796383341594</v>
      </c>
      <c r="CG69">
        <v>0.12674796383341594</v>
      </c>
      <c r="CH69" t="e">
        <v>#N/A</v>
      </c>
      <c r="CI69" t="str">
        <v/>
      </c>
      <c r="CK69">
        <v>61</v>
      </c>
      <c r="CL69">
        <v>3.3290386886660897</v>
      </c>
      <c r="CM69">
        <v>9.4640807700862237E-2</v>
      </c>
      <c r="CN69">
        <v>9.4640807700862237E-2</v>
      </c>
      <c r="CO69" t="e">
        <v>#N/A</v>
      </c>
      <c r="CP69" t="str">
        <v/>
      </c>
    </row>
    <row r="70" spans="44:94" x14ac:dyDescent="0.2">
      <c r="AR70">
        <v>62</v>
      </c>
      <c r="AS70">
        <v>62</v>
      </c>
      <c r="AT70">
        <v>1</v>
      </c>
      <c r="AU70">
        <v>-9.1792213682039332</v>
      </c>
      <c r="AV70">
        <v>3.4807865892337538E-3</v>
      </c>
      <c r="CD70">
        <v>62</v>
      </c>
      <c r="CE70">
        <v>2.101568293141074</v>
      </c>
      <c r="CF70">
        <v>0.12270201820160426</v>
      </c>
      <c r="CG70">
        <v>0.12270201820160426</v>
      </c>
      <c r="CH70" t="e">
        <v>#N/A</v>
      </c>
      <c r="CI70" t="str">
        <v/>
      </c>
      <c r="CK70">
        <v>62</v>
      </c>
      <c r="CL70">
        <v>3.3845226668105246</v>
      </c>
      <c r="CM70">
        <v>9.2051367628108047E-2</v>
      </c>
      <c r="CN70">
        <v>9.2051367628108047E-2</v>
      </c>
      <c r="CO70" t="e">
        <v>#N/A</v>
      </c>
      <c r="CP70" t="str">
        <v/>
      </c>
    </row>
    <row r="71" spans="44:94" x14ac:dyDescent="0.2">
      <c r="AR71">
        <v>63</v>
      </c>
      <c r="AS71">
        <v>63</v>
      </c>
      <c r="AT71">
        <v>1</v>
      </c>
      <c r="AU71">
        <v>-9.1482808368865882</v>
      </c>
      <c r="AV71">
        <v>3.5453479099341913E-3</v>
      </c>
      <c r="CD71">
        <v>63</v>
      </c>
      <c r="CE71">
        <v>2.136020232372895</v>
      </c>
      <c r="CF71">
        <v>0.11879235483176906</v>
      </c>
      <c r="CG71">
        <v>0.11879235483176906</v>
      </c>
      <c r="CH71" t="e">
        <v>#N/A</v>
      </c>
      <c r="CI71" t="str">
        <v/>
      </c>
      <c r="CK71">
        <v>63</v>
      </c>
      <c r="CL71">
        <v>3.4400066449549591</v>
      </c>
      <c r="CM71">
        <v>8.9532776484618881E-2</v>
      </c>
      <c r="CN71">
        <v>8.9532776484618881E-2</v>
      </c>
      <c r="CO71" t="e">
        <v>#N/A</v>
      </c>
      <c r="CP71" t="str">
        <v/>
      </c>
    </row>
    <row r="72" spans="44:94" x14ac:dyDescent="0.2">
      <c r="AR72">
        <v>64</v>
      </c>
      <c r="AS72">
        <v>64</v>
      </c>
      <c r="AT72">
        <v>1</v>
      </c>
      <c r="AU72">
        <v>-9.1173403055692415</v>
      </c>
      <c r="AV72">
        <v>3.6109203443261411E-3</v>
      </c>
      <c r="CD72">
        <v>64</v>
      </c>
      <c r="CE72">
        <v>2.1704721716047159</v>
      </c>
      <c r="CF72">
        <v>0.11501414391979549</v>
      </c>
      <c r="CG72">
        <v>0.11501414391979549</v>
      </c>
      <c r="CH72" t="e">
        <v>#N/A</v>
      </c>
      <c r="CI72" t="str">
        <v/>
      </c>
      <c r="CK72">
        <v>64</v>
      </c>
      <c r="CL72">
        <v>3.4954906230993945</v>
      </c>
      <c r="CM72">
        <v>8.708309579310354E-2</v>
      </c>
      <c r="CN72">
        <v>8.708309579310354E-2</v>
      </c>
      <c r="CO72" t="e">
        <v>#N/A</v>
      </c>
      <c r="CP72" t="str">
        <v/>
      </c>
    </row>
    <row r="73" spans="44:94" x14ac:dyDescent="0.2">
      <c r="AR73">
        <v>65</v>
      </c>
      <c r="AS73">
        <v>65</v>
      </c>
      <c r="AT73">
        <v>1</v>
      </c>
      <c r="AU73">
        <v>-9.0863997742518947</v>
      </c>
      <c r="AV73">
        <v>3.677515762521023E-3</v>
      </c>
      <c r="CD73">
        <v>65</v>
      </c>
      <c r="CE73">
        <v>2.2049241108365369</v>
      </c>
      <c r="CF73">
        <v>0.11136273527896913</v>
      </c>
      <c r="CG73">
        <v>0.11136273527896913</v>
      </c>
      <c r="CH73" t="e">
        <v>#N/A</v>
      </c>
      <c r="CI73" t="str">
        <v/>
      </c>
      <c r="CK73">
        <v>65</v>
      </c>
      <c r="CL73">
        <v>3.550974601243829</v>
      </c>
      <c r="CM73">
        <v>8.4700440114393594E-2</v>
      </c>
      <c r="CN73">
        <v>8.4700440114393594E-2</v>
      </c>
      <c r="CO73" t="e">
        <v>#N/A</v>
      </c>
      <c r="CP73" t="str">
        <v/>
      </c>
    </row>
    <row r="74" spans="44:94" x14ac:dyDescent="0.2">
      <c r="AR74">
        <v>66</v>
      </c>
      <c r="AS74">
        <v>66</v>
      </c>
      <c r="AT74">
        <v>1</v>
      </c>
      <c r="AU74">
        <v>-9.0554592429345497</v>
      </c>
      <c r="AV74">
        <v>3.7451460940157049E-3</v>
      </c>
      <c r="CD74">
        <v>66</v>
      </c>
      <c r="CE74">
        <v>2.2393760500683579</v>
      </c>
      <c r="CF74">
        <v>0.10783365134698773</v>
      </c>
      <c r="CG74">
        <v>0.10783365134698773</v>
      </c>
      <c r="CH74" t="e">
        <v>#N/A</v>
      </c>
      <c r="CI74" t="str">
        <v/>
      </c>
      <c r="CK74">
        <v>66</v>
      </c>
      <c r="CL74">
        <v>3.6064585793882635</v>
      </c>
      <c r="CM74">
        <v>8.2382975596282451E-2</v>
      </c>
      <c r="CN74">
        <v>8.2382975596282451E-2</v>
      </c>
      <c r="CO74" t="e">
        <v>#N/A</v>
      </c>
      <c r="CP74" t="str">
        <v/>
      </c>
    </row>
    <row r="75" spans="44:94" x14ac:dyDescent="0.2">
      <c r="AR75">
        <v>67</v>
      </c>
      <c r="AS75">
        <v>67</v>
      </c>
      <c r="AT75">
        <v>1</v>
      </c>
      <c r="AU75">
        <v>-9.024518711617203</v>
      </c>
      <c r="AV75">
        <v>3.8138233263024577E-3</v>
      </c>
      <c r="CD75">
        <v>67</v>
      </c>
      <c r="CE75">
        <v>2.2738279893001789</v>
      </c>
      <c r="CF75">
        <v>0.10442258047737547</v>
      </c>
      <c r="CG75">
        <v>0.10442258047737547</v>
      </c>
      <c r="CH75" t="e">
        <v>#N/A</v>
      </c>
      <c r="CI75" t="str">
        <v/>
      </c>
      <c r="CK75">
        <v>67</v>
      </c>
      <c r="CL75">
        <v>3.6619425575326985</v>
      </c>
      <c r="CM75">
        <v>8.0128918562069232E-2</v>
      </c>
      <c r="CN75">
        <v>8.0128918562069232E-2</v>
      </c>
      <c r="CO75" t="e">
        <v>#N/A</v>
      </c>
      <c r="CP75" t="str">
        <v/>
      </c>
    </row>
    <row r="76" spans="44:94" x14ac:dyDescent="0.2">
      <c r="AR76">
        <v>68</v>
      </c>
      <c r="AS76">
        <v>68</v>
      </c>
      <c r="AT76">
        <v>1</v>
      </c>
      <c r="AU76">
        <v>-8.9935781802998562</v>
      </c>
      <c r="AV76">
        <v>3.8835595034381852E-3</v>
      </c>
      <c r="CD76">
        <v>68</v>
      </c>
      <c r="CE76">
        <v>2.3082799285319999</v>
      </c>
      <c r="CF76">
        <v>0.10112537050324176</v>
      </c>
      <c r="CG76">
        <v>0.10112537050324176</v>
      </c>
      <c r="CH76" t="e">
        <v>#N/A</v>
      </c>
      <c r="CI76" t="str">
        <v/>
      </c>
      <c r="CK76">
        <v>68</v>
      </c>
      <c r="CL76">
        <v>3.717426535677133</v>
      </c>
      <c r="CM76">
        <v>7.7936534137721294E-2</v>
      </c>
      <c r="CN76">
        <v>7.7936534137721294E-2</v>
      </c>
      <c r="CO76" t="e">
        <v>#N/A</v>
      </c>
      <c r="CP76" t="str">
        <v/>
      </c>
    </row>
    <row r="77" spans="44:94" x14ac:dyDescent="0.2">
      <c r="AR77">
        <v>69</v>
      </c>
      <c r="AS77">
        <v>69</v>
      </c>
      <c r="AT77">
        <v>1</v>
      </c>
      <c r="AU77">
        <v>-8.9626376489825095</v>
      </c>
      <c r="AV77">
        <v>3.9543667245726727E-3</v>
      </c>
      <c r="CD77">
        <v>69</v>
      </c>
      <c r="CE77">
        <v>2.3427318677638209</v>
      </c>
      <c r="CF77">
        <v>9.7938022561856339E-2</v>
      </c>
      <c r="CG77">
        <v>9.7938022561856339E-2</v>
      </c>
      <c r="CH77" t="e">
        <v>#N/A</v>
      </c>
      <c r="CI77" t="str">
        <v/>
      </c>
      <c r="CK77">
        <v>69</v>
      </c>
      <c r="CL77">
        <v>3.7729105138215684</v>
      </c>
      <c r="CM77">
        <v>7.5804134916598057E-2</v>
      </c>
      <c r="CN77">
        <v>7.5804134916598057E-2</v>
      </c>
      <c r="CO77" t="e">
        <v>#N/A</v>
      </c>
      <c r="CP77" t="str">
        <v/>
      </c>
    </row>
    <row r="78" spans="44:94" x14ac:dyDescent="0.2">
      <c r="AR78">
        <v>70</v>
      </c>
      <c r="AS78">
        <v>70</v>
      </c>
      <c r="AT78">
        <v>1</v>
      </c>
      <c r="AU78">
        <v>-8.9316971176651627</v>
      </c>
      <c r="AV78">
        <v>4.026257142435566E-3</v>
      </c>
      <c r="CD78">
        <v>70</v>
      </c>
      <c r="CE78">
        <v>2.377183806995641</v>
      </c>
      <c r="CF78">
        <v>9.4856685169023056E-2</v>
      </c>
      <c r="CG78">
        <v>9.4856685169023056E-2</v>
      </c>
      <c r="CH78" t="e">
        <v>#N/A</v>
      </c>
      <c r="CI78" t="str">
        <v/>
      </c>
      <c r="CK78">
        <v>70</v>
      </c>
      <c r="CL78">
        <v>3.8283944919660029</v>
      </c>
      <c r="CM78">
        <v>7.3730079660709574E-2</v>
      </c>
      <c r="CN78">
        <v>7.3730079660709574E-2</v>
      </c>
      <c r="CO78" t="e">
        <v>#N/A</v>
      </c>
      <c r="CP78" t="str">
        <v/>
      </c>
    </row>
    <row r="79" spans="44:94" x14ac:dyDescent="0.2">
      <c r="AR79">
        <v>71</v>
      </c>
      <c r="AS79">
        <v>71</v>
      </c>
      <c r="AT79">
        <v>1</v>
      </c>
      <c r="AU79">
        <v>-8.9007565863478177</v>
      </c>
      <c r="AV79">
        <v>4.0992429617817032E-3</v>
      </c>
      <c r="CD79">
        <v>71</v>
      </c>
      <c r="CE79">
        <v>2.411635746227462</v>
      </c>
      <c r="CF79">
        <v>9.1877648532716516E-2</v>
      </c>
      <c r="CG79">
        <v>9.1877648532716516E-2</v>
      </c>
      <c r="CH79" t="e">
        <v>#N/A</v>
      </c>
      <c r="CI79" t="str">
        <v/>
      </c>
      <c r="CK79">
        <v>71</v>
      </c>
      <c r="CL79">
        <v>3.8838784701104379</v>
      </c>
      <c r="CM79">
        <v>7.1712772037509059E-2</v>
      </c>
      <c r="CN79">
        <v>7.1712772037509059E-2</v>
      </c>
      <c r="CO79" t="e">
        <v>#N/A</v>
      </c>
      <c r="CP79" t="str">
        <v/>
      </c>
    </row>
    <row r="80" spans="44:94" x14ac:dyDescent="0.2">
      <c r="AR80">
        <v>72</v>
      </c>
      <c r="AS80">
        <v>72</v>
      </c>
      <c r="AT80">
        <v>1</v>
      </c>
      <c r="AU80">
        <v>-8.869816055030471</v>
      </c>
      <c r="AV80">
        <v>4.1733364377946735E-3</v>
      </c>
      <c r="CD80">
        <v>72</v>
      </c>
      <c r="CE80">
        <v>2.446087685459283</v>
      </c>
      <c r="CF80">
        <v>8.8997339095911634E-2</v>
      </c>
      <c r="CG80">
        <v>8.8997339095911634E-2</v>
      </c>
      <c r="CH80" t="e">
        <v>#N/A</v>
      </c>
      <c r="CI80" t="str">
        <v/>
      </c>
      <c r="CK80">
        <v>72</v>
      </c>
      <c r="CL80">
        <v>3.9393624482548724</v>
      </c>
      <c r="CM80">
        <v>6.975065939124811E-2</v>
      </c>
      <c r="CN80">
        <v>6.975065939124811E-2</v>
      </c>
      <c r="CO80" t="e">
        <v>#N/A</v>
      </c>
      <c r="CP80" t="str">
        <v/>
      </c>
    </row>
    <row r="81" spans="1:94" x14ac:dyDescent="0.2">
      <c r="AR81">
        <v>73</v>
      </c>
      <c r="AS81">
        <v>73</v>
      </c>
      <c r="AT81">
        <v>1</v>
      </c>
      <c r="AU81">
        <v>-8.8388755237131242</v>
      </c>
      <c r="AV81">
        <v>4.2485498744482039E-3</v>
      </c>
      <c r="CD81">
        <v>73</v>
      </c>
      <c r="CE81">
        <v>2.480539624691104</v>
      </c>
      <c r="CF81">
        <v>8.6212314298971887E-2</v>
      </c>
      <c r="CG81">
        <v>8.6212314298971887E-2</v>
      </c>
      <c r="CH81" t="e">
        <v>#N/A</v>
      </c>
      <c r="CI81" t="str">
        <v/>
      </c>
      <c r="CK81">
        <v>73</v>
      </c>
      <c r="CL81">
        <v>3.9948464263993078</v>
      </c>
      <c r="CM81">
        <v>6.7842231547948065E-2</v>
      </c>
      <c r="CN81">
        <v>6.7842231547948065E-2</v>
      </c>
      <c r="CO81" t="e">
        <v>#N/A</v>
      </c>
      <c r="CP81" t="str">
        <v/>
      </c>
    </row>
    <row r="82" spans="1:94" x14ac:dyDescent="0.2">
      <c r="AR82">
        <v>74</v>
      </c>
      <c r="AS82">
        <v>74</v>
      </c>
      <c r="AT82">
        <v>1</v>
      </c>
      <c r="AU82">
        <v>-8.8079349923957793</v>
      </c>
      <c r="AV82">
        <v>4.3248956228252172E-3</v>
      </c>
      <c r="CD82">
        <v>74</v>
      </c>
      <c r="CE82">
        <v>2.514991563922925</v>
      </c>
      <c r="CF82">
        <v>8.3519257552389661E-2</v>
      </c>
      <c r="CG82">
        <v>8.3519257552389661E-2</v>
      </c>
      <c r="CH82" t="e">
        <v>#N/A</v>
      </c>
      <c r="CI82" t="str">
        <v/>
      </c>
      <c r="CK82">
        <v>74</v>
      </c>
      <c r="CL82">
        <v>4.0503304045437423</v>
      </c>
      <c r="CM82">
        <v>6.5986019653068786E-2</v>
      </c>
      <c r="CN82">
        <v>6.5986019653068786E-2</v>
      </c>
      <c r="CO82" t="e">
        <v>#N/A</v>
      </c>
      <c r="CP82" t="str">
        <v/>
      </c>
    </row>
    <row r="83" spans="1:94" x14ac:dyDescent="0.2">
      <c r="AR83">
        <v>75</v>
      </c>
      <c r="AS83">
        <v>75</v>
      </c>
      <c r="AT83">
        <v>1</v>
      </c>
      <c r="AU83">
        <v>-8.7769944610784325</v>
      </c>
      <c r="AV83">
        <v>4.4023860793942953E-3</v>
      </c>
      <c r="CD83">
        <v>75</v>
      </c>
      <c r="CE83">
        <v>2.549443503154746</v>
      </c>
      <c r="CF83">
        <v>8.0914973411068819E-2</v>
      </c>
      <c r="CG83">
        <v>8.0914973411068819E-2</v>
      </c>
      <c r="CH83" t="e">
        <v>#N/A</v>
      </c>
      <c r="CI83" t="str">
        <v/>
      </c>
      <c r="CK83">
        <v>75</v>
      </c>
      <c r="CL83">
        <v>4.1058143826881777</v>
      </c>
      <c r="CM83">
        <v>6.4180595040978866E-2</v>
      </c>
      <c r="CN83">
        <v>6.4180595040978866E-2</v>
      </c>
      <c r="CO83" t="e">
        <v>#N/A</v>
      </c>
      <c r="CP83" t="str">
        <v/>
      </c>
    </row>
    <row r="84" spans="1:94" x14ac:dyDescent="0.2">
      <c r="AR84">
        <v>76</v>
      </c>
      <c r="AS84">
        <v>76</v>
      </c>
      <c r="AT84">
        <v>1</v>
      </c>
      <c r="AU84">
        <v>-8.7460539297610858</v>
      </c>
      <c r="AV84">
        <v>4.4810336842432633E-3</v>
      </c>
      <c r="CD84">
        <v>76</v>
      </c>
      <c r="CE84">
        <v>2.583895442386567</v>
      </c>
      <c r="CF84">
        <v>7.8396382941726683E-2</v>
      </c>
      <c r="CG84">
        <v>7.8396382941726683E-2</v>
      </c>
      <c r="CH84" t="e">
        <v>#N/A</v>
      </c>
      <c r="CI84">
        <v>2.5840000000000001</v>
      </c>
      <c r="CK84">
        <v>76</v>
      </c>
      <c r="CL84">
        <v>4.1612983608326122</v>
      </c>
      <c r="CM84">
        <v>6.2424568135358904E-2</v>
      </c>
      <c r="CN84">
        <v>6.2424568135358904E-2</v>
      </c>
      <c r="CO84" t="e">
        <v>#N/A</v>
      </c>
      <c r="CP84">
        <v>4.1609999999999996</v>
      </c>
    </row>
    <row r="85" spans="1:94" x14ac:dyDescent="0.2">
      <c r="AR85">
        <v>77</v>
      </c>
      <c r="AS85">
        <v>77</v>
      </c>
      <c r="AT85">
        <v>1</v>
      </c>
      <c r="AU85">
        <v>-8.7151133984437408</v>
      </c>
      <c r="AV85">
        <v>4.560850919269761E-3</v>
      </c>
      <c r="CD85">
        <v>77</v>
      </c>
      <c r="CE85">
        <v>2.618347381618388</v>
      </c>
      <c r="CF85">
        <v>7.5960519275357727E-2</v>
      </c>
      <c r="CG85">
        <v>7.5960519275357727E-2</v>
      </c>
      <c r="CH85" t="e">
        <v>#N/A</v>
      </c>
      <c r="CI85" t="str">
        <v/>
      </c>
      <c r="CK85">
        <v>77</v>
      </c>
      <c r="CL85">
        <v>4.2167823389770467</v>
      </c>
      <c r="CM85">
        <v>6.0716587379689588E-2</v>
      </c>
      <c r="CN85">
        <v>6.0716587379689588E-2</v>
      </c>
      <c r="CO85" t="e">
        <v>#N/A</v>
      </c>
      <c r="CP85" t="str">
        <v/>
      </c>
    </row>
    <row r="86" spans="1:94" x14ac:dyDescent="0.2">
      <c r="AR86">
        <v>78</v>
      </c>
      <c r="AS86">
        <v>78</v>
      </c>
      <c r="AT86">
        <v>1</v>
      </c>
      <c r="AU86">
        <v>-8.684172867126394</v>
      </c>
      <c r="AV86">
        <v>4.6418503063285635E-3</v>
      </c>
      <c r="CD86">
        <v>78</v>
      </c>
      <c r="CE86">
        <v>2.6527993208502085</v>
      </c>
      <c r="CF86">
        <v>7.3604523337050753E-2</v>
      </c>
      <c r="CG86">
        <v>7.3604523337050753E-2</v>
      </c>
      <c r="CH86" t="e">
        <v>#N/A</v>
      </c>
      <c r="CI86" t="str">
        <v/>
      </c>
      <c r="CK86">
        <v>78</v>
      </c>
      <c r="CL86">
        <v>4.2722663171214821</v>
      </c>
      <c r="CM86">
        <v>5.9055338197003024E-2</v>
      </c>
      <c r="CN86">
        <v>5.9055338197003024E-2</v>
      </c>
      <c r="CO86" t="e">
        <v>#N/A</v>
      </c>
      <c r="CP86" t="str">
        <v/>
      </c>
    </row>
    <row r="87" spans="1:94" x14ac:dyDescent="0.2">
      <c r="AR87">
        <v>79</v>
      </c>
      <c r="AS87">
        <v>79</v>
      </c>
      <c r="AT87">
        <v>1</v>
      </c>
      <c r="AU87">
        <v>-8.6532323358090473</v>
      </c>
      <c r="AV87">
        <v>4.7240444053354242E-3</v>
      </c>
      <c r="CD87">
        <v>79</v>
      </c>
      <c r="CE87">
        <v>2.6872512600820291</v>
      </c>
      <c r="CF87">
        <v>7.1325639745787178E-2</v>
      </c>
      <c r="CG87">
        <v>7.1325639745787178E-2</v>
      </c>
      <c r="CH87" t="e">
        <v>#N/A</v>
      </c>
      <c r="CI87" t="str">
        <v/>
      </c>
      <c r="CK87">
        <v>79</v>
      </c>
      <c r="CL87">
        <v>4.3277502952659166</v>
      </c>
      <c r="CM87">
        <v>5.7439541978095886E-2</v>
      </c>
      <c r="CN87">
        <v>5.7439541978095886E-2</v>
      </c>
      <c r="CO87" t="e">
        <v>#N/A</v>
      </c>
      <c r="CP87" t="str">
        <v/>
      </c>
    </row>
    <row r="88" spans="1:94" x14ac:dyDescent="0.2">
      <c r="AR88">
        <v>80</v>
      </c>
      <c r="AS88">
        <v>80</v>
      </c>
      <c r="AT88">
        <v>1</v>
      </c>
      <c r="AU88">
        <v>-8.6222918044917005</v>
      </c>
      <c r="AV88">
        <v>4.8074458123272884E-3</v>
      </c>
      <c r="CD88">
        <v>80</v>
      </c>
      <c r="CE88">
        <v>2.7217031993138501</v>
      </c>
      <c r="CF88">
        <v>6.912121287716419E-2</v>
      </c>
      <c r="CG88">
        <v>6.912121287716419E-2</v>
      </c>
      <c r="CH88" t="e">
        <v>#N/A</v>
      </c>
      <c r="CI88" t="str">
        <v/>
      </c>
      <c r="CK88">
        <v>80</v>
      </c>
      <c r="CL88">
        <v>4.3832342734103511</v>
      </c>
      <c r="CM88">
        <v>5.586795509742546E-2</v>
      </c>
      <c r="CN88">
        <v>5.586795509742546E-2</v>
      </c>
      <c r="CO88" t="e">
        <v>#N/A</v>
      </c>
      <c r="CP88" t="str">
        <v/>
      </c>
    </row>
    <row r="89" spans="1:94" x14ac:dyDescent="0.2">
      <c r="A89" s="3" t="s">
        <v>1100</v>
      </c>
      <c r="AR89">
        <v>81</v>
      </c>
      <c r="AS89">
        <v>81</v>
      </c>
      <c r="AT89">
        <v>1</v>
      </c>
      <c r="AU89">
        <v>-8.5913512731743538</v>
      </c>
      <c r="AV89">
        <v>4.8920671574787271E-3</v>
      </c>
      <c r="CD89">
        <v>81</v>
      </c>
      <c r="CE89">
        <v>2.7561551385456711</v>
      </c>
      <c r="CF89">
        <v>6.6988683082295067E-2</v>
      </c>
      <c r="CG89">
        <v>6.6988683082295067E-2</v>
      </c>
      <c r="CH89" t="e">
        <v>#N/A</v>
      </c>
      <c r="CI89" t="str">
        <v/>
      </c>
      <c r="CK89">
        <v>81</v>
      </c>
      <c r="CL89">
        <v>4.4387182515547856</v>
      </c>
      <c r="CM89">
        <v>5.4339367955931868E-2</v>
      </c>
      <c r="CN89">
        <v>5.4339367955931868E-2</v>
      </c>
      <c r="CO89" t="e">
        <v>#N/A</v>
      </c>
      <c r="CP89" t="str">
        <v/>
      </c>
    </row>
    <row r="90" spans="1:94" x14ac:dyDescent="0.2">
      <c r="A90" s="100" t="s">
        <v>1105</v>
      </c>
      <c r="B90" s="100" t="s">
        <v>1053</v>
      </c>
      <c r="C90" s="100" t="s">
        <v>1104</v>
      </c>
      <c r="D90" s="100" t="s">
        <v>1133</v>
      </c>
      <c r="E90" s="100" t="s">
        <v>1134</v>
      </c>
      <c r="AR90">
        <v>82</v>
      </c>
      <c r="AS90">
        <v>82</v>
      </c>
      <c r="AT90">
        <v>1</v>
      </c>
      <c r="AU90">
        <v>-8.5604107418570088</v>
      </c>
      <c r="AV90">
        <v>4.9779211030743942E-3</v>
      </c>
      <c r="CD90">
        <v>82</v>
      </c>
      <c r="CE90">
        <v>2.7906070777774921</v>
      </c>
      <c r="CF90">
        <v>6.4925583056426123E-2</v>
      </c>
      <c r="CG90">
        <v>6.4925583056426123E-2</v>
      </c>
      <c r="CH90" t="e">
        <v>#N/A</v>
      </c>
      <c r="CI90" t="str">
        <v/>
      </c>
      <c r="CK90">
        <v>82</v>
      </c>
      <c r="CL90">
        <v>4.494202229699221</v>
      </c>
      <c r="CM90">
        <v>5.2852604050049157E-2</v>
      </c>
      <c r="CN90">
        <v>5.2852604050049157E-2</v>
      </c>
      <c r="CO90" t="e">
        <v>#N/A</v>
      </c>
      <c r="CP90" t="str">
        <v/>
      </c>
    </row>
    <row r="91" spans="1:94" x14ac:dyDescent="0.2">
      <c r="A91" s="102" t="str" cm="1">
        <f t="array" ref="A91:A93">_xlfn.SORTBY(_xlfn.ANCHORARRAY(BG9),_xlfn.ANCHORARRAY(CB9),-1)&amp;" ; "&amp;_xlfn.SORTBY(_xlfn.ANCHORARRAY(BH9),_xlfn.ANCHORARRAY(CB9),-1)</f>
        <v>Eksempel 4 (nominal) ; Eksempel 2 (interval)</v>
      </c>
      <c r="B91" s="102" cm="1">
        <f t="array" ref="B91:B93">_xlfn.SORTBY(_xlfn.ANCHORARRAY(BI9),_xlfn.ANCHORARRAY(CB9),-1)</f>
        <v>-3.7256728716641034</v>
      </c>
      <c r="C91" s="102" t="b" cm="1">
        <f t="array" ref="C91:C93">_xlfn.SORTBY(_xlfn.ANCHORARRAY(BL9),_xlfn.ANCHORARRAY(CB9),-1)</f>
        <v>0</v>
      </c>
      <c r="D91" s="102" cm="1">
        <f t="array" ref="D91:D93">_xlfn.SORTBY(INDEX(_xlfn.ANCHORARRAY(CS12),_xlfn.ANCHORARRAY(BE9)+1),_xlfn.ANCHORARRAY(CB9),-1)</f>
        <v>0.41666666666666669</v>
      </c>
      <c r="E91" s="102" cm="1">
        <f t="array" ref="E91:E93">_xlfn.SORTBY(INDEX(_xlfn.ANCHORARRAY(CS12),_xlfn.ANCHORARRAY(BF9)),_xlfn.ANCHORARRAY(CB9),-1)</f>
        <v>4.14233953833077</v>
      </c>
      <c r="AR91">
        <v>83</v>
      </c>
      <c r="AS91">
        <v>83</v>
      </c>
      <c r="AT91">
        <v>1</v>
      </c>
      <c r="AU91">
        <v>-8.529470210539662</v>
      </c>
      <c r="AV91">
        <v>5.0650203414374043E-3</v>
      </c>
      <c r="CD91">
        <v>83</v>
      </c>
      <c r="CE91">
        <v>2.8250590170093131</v>
      </c>
      <c r="CF91">
        <v>6.2929534351090374E-2</v>
      </c>
      <c r="CG91">
        <v>6.2929534351090374E-2</v>
      </c>
      <c r="CH91" t="e">
        <v>#N/A</v>
      </c>
      <c r="CI91" t="str">
        <v/>
      </c>
      <c r="CK91">
        <v>83</v>
      </c>
      <c r="CL91">
        <v>4.5496862078436555</v>
      </c>
      <c r="CM91">
        <v>5.1406519066189066E-2</v>
      </c>
      <c r="CN91">
        <v>5.1406519066189066E-2</v>
      </c>
      <c r="CO91" t="e">
        <v>#N/A</v>
      </c>
      <c r="CP91" t="str">
        <v/>
      </c>
    </row>
    <row r="92" spans="1:94" x14ac:dyDescent="0.2">
      <c r="A92" s="102" t="str">
        <v>Eksempel 2 (interval) ; Eksempel 1 (interval)</v>
      </c>
      <c r="B92" s="102">
        <v>2.2883351200097994</v>
      </c>
      <c r="C92" s="102" t="b">
        <v>0</v>
      </c>
      <c r="D92" s="102">
        <v>4.14233953833077</v>
      </c>
      <c r="E92" s="102">
        <v>1.8540044183209705</v>
      </c>
      <c r="AR92">
        <v>84</v>
      </c>
      <c r="AS92">
        <v>84</v>
      </c>
      <c r="AT92">
        <v>1</v>
      </c>
      <c r="AU92">
        <v>-8.4985296792223153</v>
      </c>
      <c r="AV92">
        <v>5.1533775928134535E-3</v>
      </c>
      <c r="CD92">
        <v>84</v>
      </c>
      <c r="CE92">
        <v>2.859510956241134</v>
      </c>
      <c r="CF92">
        <v>6.0998244023881945E-2</v>
      </c>
      <c r="CG92">
        <v>6.0998244023881945E-2</v>
      </c>
      <c r="CH92" t="e">
        <v>#N/A</v>
      </c>
      <c r="CI92" t="str">
        <v/>
      </c>
      <c r="CK92">
        <v>84</v>
      </c>
      <c r="CL92">
        <v>4.6051701859880909</v>
      </c>
      <c r="CM92">
        <v>5.0000000000000017E-2</v>
      </c>
      <c r="CN92">
        <v>5.0000000000000017E-2</v>
      </c>
      <c r="CO92" t="e">
        <v>#N/A</v>
      </c>
      <c r="CP92" t="str">
        <v/>
      </c>
    </row>
    <row r="93" spans="1:94" x14ac:dyDescent="0.2">
      <c r="A93" s="102" t="str">
        <v>Eksempel 4 (nominal) ; Eksempel 1 (interval)</v>
      </c>
      <c r="B93" s="102">
        <v>-1.4373377516543038</v>
      </c>
      <c r="C93" s="102" t="b">
        <v>0</v>
      </c>
      <c r="D93" s="102">
        <v>0.41666666666666669</v>
      </c>
      <c r="E93" s="102">
        <v>1.8540044183209705</v>
      </c>
      <c r="AR93">
        <v>85</v>
      </c>
      <c r="AS93">
        <v>85</v>
      </c>
      <c r="AT93">
        <v>1</v>
      </c>
      <c r="AU93">
        <v>-8.4675891479049703</v>
      </c>
      <c r="AV93">
        <v>5.2430056032106006E-3</v>
      </c>
      <c r="CD93">
        <v>85</v>
      </c>
      <c r="CE93">
        <v>2.893962895472955</v>
      </c>
      <c r="CF93">
        <v>5.9129501420190821E-2</v>
      </c>
      <c r="CG93">
        <v>5.9129501420190821E-2</v>
      </c>
      <c r="CH93" t="e">
        <v>#N/A</v>
      </c>
      <c r="CI93" t="str">
        <v/>
      </c>
      <c r="CK93">
        <v>85</v>
      </c>
      <c r="CL93">
        <v>4.6606541641325254</v>
      </c>
      <c r="CM93">
        <v>4.863196429972428E-2</v>
      </c>
      <c r="CN93">
        <v>4.863196429972428E-2</v>
      </c>
      <c r="CO93" t="e">
        <v>#N/A</v>
      </c>
      <c r="CP93" t="str">
        <v/>
      </c>
    </row>
    <row r="94" spans="1:94" x14ac:dyDescent="0.2">
      <c r="A94" s="102"/>
      <c r="B94" s="102"/>
      <c r="C94" s="102"/>
      <c r="D94" s="102"/>
      <c r="E94" s="102"/>
      <c r="AR94">
        <v>86</v>
      </c>
      <c r="AS94">
        <v>86</v>
      </c>
      <c r="AT94">
        <v>1</v>
      </c>
      <c r="AU94">
        <v>-8.4366486165876236</v>
      </c>
      <c r="AV94">
        <v>5.3339171421946472E-3</v>
      </c>
      <c r="CD94">
        <v>86</v>
      </c>
      <c r="CE94">
        <v>2.928414834704776</v>
      </c>
      <c r="CF94">
        <v>5.7321175081477681E-2</v>
      </c>
      <c r="CG94">
        <v>5.7321175081477681E-2</v>
      </c>
      <c r="CH94" t="e">
        <v>#N/A</v>
      </c>
      <c r="CI94" t="str">
        <v/>
      </c>
      <c r="CK94">
        <v>86</v>
      </c>
      <c r="CL94">
        <v>4.7161381422769608</v>
      </c>
      <c r="CM94">
        <v>4.7301359032993102E-2</v>
      </c>
      <c r="CN94">
        <v>4.7301359032993102E-2</v>
      </c>
      <c r="CO94" t="e">
        <v>#N/A</v>
      </c>
      <c r="CP94" t="str">
        <v/>
      </c>
    </row>
    <row r="95" spans="1:94" x14ac:dyDescent="0.2">
      <c r="A95" s="102"/>
      <c r="B95" s="102"/>
      <c r="C95" s="102"/>
      <c r="D95" s="102"/>
      <c r="E95" s="102"/>
      <c r="AR95">
        <v>87</v>
      </c>
      <c r="AS95">
        <v>87</v>
      </c>
      <c r="AT95">
        <v>1</v>
      </c>
      <c r="AU95">
        <v>-8.4057080852702768</v>
      </c>
      <c r="AV95">
        <v>5.4261250006399243E-3</v>
      </c>
      <c r="CD95">
        <v>87</v>
      </c>
      <c r="CE95">
        <v>2.9628667739365966</v>
      </c>
      <c r="CF95">
        <v>5.5571209774901563E-2</v>
      </c>
      <c r="CG95">
        <v>5.5571209774901563E-2</v>
      </c>
      <c r="CH95" t="e">
        <v>#N/A</v>
      </c>
      <c r="CI95" t="str">
        <v/>
      </c>
      <c r="CK95">
        <v>87</v>
      </c>
      <c r="CL95">
        <v>4.7716221204213953</v>
      </c>
      <c r="CM95">
        <v>4.6007160076419217E-2</v>
      </c>
      <c r="CN95">
        <v>4.6007160076419217E-2</v>
      </c>
      <c r="CO95" t="e">
        <v>#N/A</v>
      </c>
      <c r="CP95" t="str">
        <v/>
      </c>
    </row>
    <row r="96" spans="1:94" x14ac:dyDescent="0.2">
      <c r="A96" s="102"/>
      <c r="B96" s="102"/>
      <c r="C96" s="102"/>
      <c r="D96" s="102"/>
      <c r="E96" s="102"/>
      <c r="AR96">
        <v>88</v>
      </c>
      <c r="AS96">
        <v>88</v>
      </c>
      <c r="AT96">
        <v>1</v>
      </c>
      <c r="AU96">
        <v>-8.3747675539529318</v>
      </c>
      <c r="AV96">
        <v>5.5196419884354963E-3</v>
      </c>
      <c r="CD96">
        <v>88</v>
      </c>
      <c r="CE96">
        <v>2.9973187131684171</v>
      </c>
      <c r="CF96">
        <v>5.3877623639334557E-2</v>
      </c>
      <c r="CG96">
        <v>5.3877623639334557E-2</v>
      </c>
      <c r="CH96" t="e">
        <v>#N/A</v>
      </c>
      <c r="CI96" t="str">
        <v/>
      </c>
      <c r="CK96">
        <v>88</v>
      </c>
      <c r="CL96">
        <v>4.8271060985658298</v>
      </c>
      <c r="CM96">
        <v>4.4748371327362375E-2</v>
      </c>
      <c r="CN96">
        <v>4.4748371327362375E-2</v>
      </c>
      <c r="CO96" t="e">
        <v>#N/A</v>
      </c>
      <c r="CP96" t="str">
        <v/>
      </c>
    </row>
    <row r="97" spans="1:94" x14ac:dyDescent="0.2">
      <c r="A97" s="102"/>
      <c r="B97" s="102"/>
      <c r="C97" s="102"/>
      <c r="D97" s="102"/>
      <c r="E97" s="102"/>
      <c r="AR97">
        <v>89</v>
      </c>
      <c r="AS97">
        <v>89</v>
      </c>
      <c r="AT97">
        <v>1</v>
      </c>
      <c r="AU97">
        <v>-8.3438270226355851</v>
      </c>
      <c r="AV97">
        <v>5.6144809321467372E-3</v>
      </c>
      <c r="CD97">
        <v>89</v>
      </c>
      <c r="CE97">
        <v>3.0317706524002381</v>
      </c>
      <c r="CF97">
        <v>5.2238505443008232E-2</v>
      </c>
      <c r="CG97">
        <v>5.2238505443008232E-2</v>
      </c>
      <c r="CH97" t="e">
        <v>#N/A</v>
      </c>
      <c r="CI97" t="str">
        <v/>
      </c>
      <c r="CK97">
        <v>89</v>
      </c>
      <c r="CL97">
        <v>4.8825900767102643</v>
      </c>
      <c r="CM97">
        <v>4.3524023937261846E-2</v>
      </c>
      <c r="CN97">
        <v>4.3524023937261846E-2</v>
      </c>
      <c r="CO97" t="e">
        <v>#N/A</v>
      </c>
      <c r="CP97" t="str">
        <v/>
      </c>
    </row>
    <row r="98" spans="1:94" x14ac:dyDescent="0.2">
      <c r="A98" s="102"/>
      <c r="B98" s="102"/>
      <c r="C98" s="102"/>
      <c r="D98" s="102"/>
      <c r="E98" s="102"/>
      <c r="AR98">
        <v>90</v>
      </c>
      <c r="AS98">
        <v>90</v>
      </c>
      <c r="AT98">
        <v>1</v>
      </c>
      <c r="AU98">
        <v>-8.3128864913182383</v>
      </c>
      <c r="AV98">
        <v>5.7106546726321469E-3</v>
      </c>
      <c r="CD98">
        <v>90</v>
      </c>
      <c r="CE98">
        <v>3.0662225916320591</v>
      </c>
      <c r="CF98">
        <v>5.0652011948239699E-2</v>
      </c>
      <c r="CG98">
        <v>5.0652011948239699E-2</v>
      </c>
      <c r="CH98" t="e">
        <v>#N/A</v>
      </c>
      <c r="CI98" t="str">
        <v/>
      </c>
      <c r="CK98">
        <v>90</v>
      </c>
      <c r="CL98">
        <v>4.9380740548546997</v>
      </c>
      <c r="CM98">
        <v>4.2333175565945236E-2</v>
      </c>
      <c r="CN98">
        <v>4.2333175565945236E-2</v>
      </c>
      <c r="CO98" t="e">
        <v>#N/A</v>
      </c>
      <c r="CP98" t="str">
        <v/>
      </c>
    </row>
    <row r="99" spans="1:94" x14ac:dyDescent="0.2">
      <c r="A99" s="102"/>
      <c r="B99" s="102"/>
      <c r="C99" s="102"/>
      <c r="D99" s="102"/>
      <c r="E99" s="102"/>
      <c r="AR99">
        <v>91</v>
      </c>
      <c r="AS99">
        <v>91</v>
      </c>
      <c r="AT99">
        <v>1</v>
      </c>
      <c r="AU99">
        <v>-8.2819459600008916</v>
      </c>
      <c r="AV99">
        <v>5.8081760626154848E-3</v>
      </c>
      <c r="CD99">
        <v>91</v>
      </c>
      <c r="CE99">
        <v>3.1006745308638801</v>
      </c>
      <c r="CF99">
        <v>4.9116365378877584E-2</v>
      </c>
      <c r="CG99">
        <v>4.9116365378877584E-2</v>
      </c>
      <c r="CH99" t="e">
        <v>#N/A</v>
      </c>
      <c r="CI99" t="str">
        <v/>
      </c>
      <c r="CK99">
        <v>91</v>
      </c>
      <c r="CL99">
        <v>4.9935580329991343</v>
      </c>
      <c r="CM99">
        <v>4.1174909656340165E-2</v>
      </c>
      <c r="CN99">
        <v>4.1174909656340165E-2</v>
      </c>
      <c r="CO99" t="e">
        <v>#N/A</v>
      </c>
      <c r="CP99" t="str">
        <v/>
      </c>
    </row>
    <row r="100" spans="1:94" x14ac:dyDescent="0.2">
      <c r="A100" s="102"/>
      <c r="B100" s="102"/>
      <c r="C100" s="102"/>
      <c r="D100" s="102"/>
      <c r="E100" s="102"/>
      <c r="AR100">
        <v>92</v>
      </c>
      <c r="AS100">
        <v>92</v>
      </c>
      <c r="AT100">
        <v>1</v>
      </c>
      <c r="AU100">
        <v>-8.2510054286835448</v>
      </c>
      <c r="AV100">
        <v>5.9070579642131367E-3</v>
      </c>
      <c r="CD100">
        <v>92</v>
      </c>
      <c r="CE100">
        <v>3.1351264700957011</v>
      </c>
      <c r="CF100">
        <v>4.7629850986293881E-2</v>
      </c>
      <c r="CG100">
        <v>4.7629850986293881E-2</v>
      </c>
      <c r="CH100" t="e">
        <v>#N/A</v>
      </c>
      <c r="CI100" t="str">
        <v/>
      </c>
      <c r="CK100">
        <v>92</v>
      </c>
      <c r="CL100">
        <v>5.0490420111435688</v>
      </c>
      <c r="CM100">
        <v>4.004833472903014E-2</v>
      </c>
      <c r="CN100">
        <v>4.004833472903014E-2</v>
      </c>
      <c r="CO100" t="e">
        <v>#N/A</v>
      </c>
      <c r="CP100" t="str">
        <v/>
      </c>
    </row>
    <row r="101" spans="1:94" x14ac:dyDescent="0.2">
      <c r="A101" s="102"/>
      <c r="B101" s="102"/>
      <c r="C101" s="102"/>
      <c r="D101" s="102"/>
      <c r="E101" s="102"/>
      <c r="AR101">
        <v>93</v>
      </c>
      <c r="AS101">
        <v>93</v>
      </c>
      <c r="AT101">
        <v>1</v>
      </c>
      <c r="AU101">
        <v>-8.2200648973661998</v>
      </c>
      <c r="AV101">
        <v>6.0073132464167605E-3</v>
      </c>
      <c r="CD101">
        <v>93</v>
      </c>
      <c r="CE101">
        <v>3.1695784093275221</v>
      </c>
      <c r="CF101">
        <v>4.6190814709922638E-2</v>
      </c>
      <c r="CG101">
        <v>4.6190814709922638E-2</v>
      </c>
      <c r="CH101" t="e">
        <v>#N/A</v>
      </c>
      <c r="CI101" t="str">
        <v/>
      </c>
      <c r="CK101">
        <v>93</v>
      </c>
      <c r="CL101">
        <v>5.1045259892880042</v>
      </c>
      <c r="CM101">
        <v>3.8952583696112014E-2</v>
      </c>
      <c r="CN101">
        <v>3.8952583696112014E-2</v>
      </c>
      <c r="CO101" t="e">
        <v>#N/A</v>
      </c>
      <c r="CP101" t="str">
        <v/>
      </c>
    </row>
    <row r="102" spans="1:94" x14ac:dyDescent="0.2">
      <c r="A102" s="102"/>
      <c r="B102" s="102"/>
      <c r="C102" s="102"/>
      <c r="D102" s="102"/>
      <c r="E102" s="102"/>
      <c r="AR102">
        <v>94</v>
      </c>
      <c r="AS102">
        <v>94</v>
      </c>
      <c r="AT102">
        <v>1</v>
      </c>
      <c r="AU102">
        <v>-8.1891243660488531</v>
      </c>
      <c r="AV102">
        <v>6.108954782531228E-3</v>
      </c>
      <c r="CD102">
        <v>94</v>
      </c>
      <c r="CE102">
        <v>3.2040303485593431</v>
      </c>
      <c r="CF102">
        <v>4.4797660928517648E-2</v>
      </c>
      <c r="CG102">
        <v>4.4797660928517648E-2</v>
      </c>
      <c r="CH102" t="e">
        <v>#N/A</v>
      </c>
      <c r="CI102" t="str">
        <v/>
      </c>
      <c r="CK102">
        <v>94</v>
      </c>
      <c r="CL102">
        <v>5.1600099674324396</v>
      </c>
      <c r="CM102">
        <v>3.7886813193826807E-2</v>
      </c>
      <c r="CN102">
        <v>3.7886813193826807E-2</v>
      </c>
      <c r="CO102" t="e">
        <v>#N/A</v>
      </c>
      <c r="CP102" t="str">
        <v/>
      </c>
    </row>
    <row r="103" spans="1:94" x14ac:dyDescent="0.2">
      <c r="A103" s="102"/>
      <c r="B103" s="102"/>
      <c r="C103" s="102"/>
      <c r="D103" s="102"/>
      <c r="E103" s="102"/>
      <c r="AR103">
        <v>95</v>
      </c>
      <c r="AS103">
        <v>95</v>
      </c>
      <c r="AT103">
        <v>1</v>
      </c>
      <c r="AU103">
        <v>-8.1581838347315063</v>
      </c>
      <c r="AV103">
        <v>6.2119954475678835E-3</v>
      </c>
      <c r="CD103">
        <v>95</v>
      </c>
      <c r="CE103">
        <v>3.2384822877911636</v>
      </c>
      <c r="CF103">
        <v>4.3448850298459844E-2</v>
      </c>
      <c r="CG103">
        <v>4.3448850298459844E-2</v>
      </c>
      <c r="CH103" t="e">
        <v>#N/A</v>
      </c>
      <c r="CI103" t="str">
        <v/>
      </c>
      <c r="CK103">
        <v>95</v>
      </c>
      <c r="CL103">
        <v>5.2154939455768741</v>
      </c>
      <c r="CM103">
        <v>3.6850202933450156E-2</v>
      </c>
      <c r="CN103">
        <v>3.6850202933450156E-2</v>
      </c>
      <c r="CO103" t="e">
        <v>#N/A</v>
      </c>
      <c r="CP103" t="str">
        <v/>
      </c>
    </row>
    <row r="104" spans="1:94" x14ac:dyDescent="0.2">
      <c r="A104" s="102"/>
      <c r="B104" s="102"/>
      <c r="C104" s="102"/>
      <c r="D104" s="102"/>
      <c r="E104" s="102"/>
      <c r="AR104">
        <v>96</v>
      </c>
      <c r="AS104">
        <v>96</v>
      </c>
      <c r="AT104">
        <v>1</v>
      </c>
      <c r="AU104">
        <v>-8.1272433034141613</v>
      </c>
      <c r="AV104">
        <v>6.3164481155931519E-3</v>
      </c>
      <c r="CD104">
        <v>96</v>
      </c>
      <c r="CE104">
        <v>3.2729342270229846</v>
      </c>
      <c r="CF104">
        <v>4.2142897675601899E-2</v>
      </c>
      <c r="CG104">
        <v>4.2142897675601899E-2</v>
      </c>
      <c r="CH104" t="e">
        <v>#N/A</v>
      </c>
      <c r="CI104" t="str">
        <v/>
      </c>
      <c r="CK104">
        <v>96</v>
      </c>
      <c r="CL104">
        <v>5.2709779237213086</v>
      </c>
      <c r="CM104">
        <v>3.5841955069942845E-2</v>
      </c>
      <c r="CN104">
        <v>3.5841955069942845E-2</v>
      </c>
      <c r="CO104" t="e">
        <v>#N/A</v>
      </c>
      <c r="CP104" t="str">
        <v/>
      </c>
    </row>
    <row r="105" spans="1:94" x14ac:dyDescent="0.2">
      <c r="A105" s="102"/>
      <c r="B105" s="102"/>
      <c r="C105" s="102"/>
      <c r="D105" s="102"/>
      <c r="E105" s="102"/>
      <c r="AR105">
        <v>97</v>
      </c>
      <c r="AS105">
        <v>97</v>
      </c>
      <c r="AT105">
        <v>1</v>
      </c>
      <c r="AU105">
        <v>-8.0963027720968146</v>
      </c>
      <c r="AV105">
        <v>6.4223256570327012E-3</v>
      </c>
      <c r="CD105">
        <v>97</v>
      </c>
      <c r="CE105">
        <v>3.3073861662548056</v>
      </c>
      <c r="CF105">
        <v>4.0878370117283888E-2</v>
      </c>
      <c r="CG105">
        <v>4.0878370117283888E-2</v>
      </c>
      <c r="CH105" t="e">
        <v>#N/A</v>
      </c>
      <c r="CI105" t="str">
        <v/>
      </c>
      <c r="CK105">
        <v>97</v>
      </c>
      <c r="CL105">
        <v>5.3264619018657431</v>
      </c>
      <c r="CM105">
        <v>3.4861293587875632E-2</v>
      </c>
      <c r="CN105">
        <v>3.4861293587875632E-2</v>
      </c>
      <c r="CO105" t="e">
        <v>#N/A</v>
      </c>
      <c r="CP105" t="str">
        <v/>
      </c>
    </row>
    <row r="106" spans="1:94" x14ac:dyDescent="0.2">
      <c r="A106" s="102"/>
      <c r="B106" s="102"/>
      <c r="C106" s="102"/>
      <c r="D106" s="102"/>
      <c r="E106" s="102"/>
      <c r="AR106">
        <v>98</v>
      </c>
      <c r="AS106">
        <v>98</v>
      </c>
      <c r="AT106">
        <v>1</v>
      </c>
      <c r="AU106">
        <v>-8.0653622407794678</v>
      </c>
      <c r="AV106">
        <v>6.5296409359310329E-3</v>
      </c>
      <c r="CD106">
        <v>98</v>
      </c>
      <c r="CE106">
        <v>3.3418381054866262</v>
      </c>
      <c r="CF106">
        <v>3.9653884961294988E-2</v>
      </c>
      <c r="CG106">
        <v>3.9653884961294988E-2</v>
      </c>
      <c r="CH106" t="e">
        <v>#N/A</v>
      </c>
      <c r="CI106" t="str">
        <v/>
      </c>
      <c r="CK106">
        <v>98</v>
      </c>
      <c r="CL106">
        <v>5.3819458800101776</v>
      </c>
      <c r="CM106">
        <v>3.3907463704155483E-2</v>
      </c>
      <c r="CN106">
        <v>3.3907463704155483E-2</v>
      </c>
      <c r="CO106" t="e">
        <v>#N/A</v>
      </c>
      <c r="CP106" t="str">
        <v/>
      </c>
    </row>
    <row r="107" spans="1:94" x14ac:dyDescent="0.2">
      <c r="A107" s="102"/>
      <c r="B107" s="102"/>
      <c r="C107" s="102"/>
      <c r="D107" s="102"/>
      <c r="E107" s="102"/>
      <c r="AR107">
        <v>99</v>
      </c>
      <c r="AS107">
        <v>99</v>
      </c>
      <c r="AT107">
        <v>1</v>
      </c>
      <c r="AU107">
        <v>-8.0344217094621229</v>
      </c>
      <c r="AV107">
        <v>6.6384068071667912E-3</v>
      </c>
      <c r="CD107">
        <v>99</v>
      </c>
      <c r="CE107">
        <v>3.3762900447184472</v>
      </c>
      <c r="CF107">
        <v>3.8468107978691976E-2</v>
      </c>
      <c r="CG107">
        <v>3.8468107978691976E-2</v>
      </c>
      <c r="CH107" t="e">
        <v>#N/A</v>
      </c>
      <c r="CI107" t="str">
        <v/>
      </c>
      <c r="CK107">
        <v>99</v>
      </c>
      <c r="CL107">
        <v>5.437429858154613</v>
      </c>
      <c r="CM107">
        <v>3.2979731287093708E-2</v>
      </c>
      <c r="CN107">
        <v>3.2979731287093708E-2</v>
      </c>
      <c r="CO107" t="e">
        <v>#N/A</v>
      </c>
      <c r="CP107" t="str">
        <v/>
      </c>
    </row>
    <row r="108" spans="1:94" x14ac:dyDescent="0.2">
      <c r="A108" s="102"/>
      <c r="B108" s="102"/>
      <c r="C108" s="102"/>
      <c r="D108" s="102"/>
      <c r="E108" s="102"/>
      <c r="AR108">
        <v>100</v>
      </c>
      <c r="AS108">
        <v>100</v>
      </c>
      <c r="AT108">
        <v>1</v>
      </c>
      <c r="AU108">
        <v>-8.0034811781447761</v>
      </c>
      <c r="AV108">
        <v>6.7486361136238999E-3</v>
      </c>
      <c r="CD108">
        <v>100</v>
      </c>
      <c r="CE108">
        <v>3.4107419839502682</v>
      </c>
      <c r="CF108">
        <v>3.7319751597513211E-2</v>
      </c>
      <c r="CG108">
        <v>3.7319751597513211E-2</v>
      </c>
      <c r="CH108" t="e">
        <v>#N/A</v>
      </c>
      <c r="CI108" t="str">
        <v/>
      </c>
      <c r="CK108">
        <v>100</v>
      </c>
      <c r="CL108">
        <v>5.4929138362990475</v>
      </c>
      <c r="CM108">
        <v>3.2077382291368813E-2</v>
      </c>
      <c r="CN108">
        <v>3.2077382291368813E-2</v>
      </c>
      <c r="CO108" t="e">
        <v>#N/A</v>
      </c>
      <c r="CP108" t="str">
        <v/>
      </c>
    </row>
    <row r="109" spans="1:94" x14ac:dyDescent="0.2">
      <c r="A109" s="102"/>
      <c r="B109" s="102"/>
      <c r="C109" s="102"/>
      <c r="D109" s="102"/>
      <c r="E109" s="102"/>
      <c r="AR109">
        <v>101</v>
      </c>
      <c r="AS109">
        <v>101</v>
      </c>
      <c r="AT109">
        <v>1</v>
      </c>
      <c r="AU109">
        <v>-7.9725406468274294</v>
      </c>
      <c r="AV109">
        <v>6.8603416833184902E-3</v>
      </c>
      <c r="CD109">
        <v>101</v>
      </c>
      <c r="CE109">
        <v>3.4451939231820892</v>
      </c>
      <c r="CF109">
        <v>3.6207573194551715E-2</v>
      </c>
      <c r="CG109" t="e">
        <v>#N/A</v>
      </c>
      <c r="CH109">
        <v>3.6207573194551715E-2</v>
      </c>
      <c r="CI109">
        <v>3.4449999999999998</v>
      </c>
      <c r="CK109">
        <v>101</v>
      </c>
      <c r="CL109">
        <v>5.5483978144434829</v>
      </c>
      <c r="CM109">
        <v>3.1199722208449101E-2</v>
      </c>
      <c r="CN109">
        <v>3.1199722208449101E-2</v>
      </c>
      <c r="CO109" t="e">
        <v>#N/A</v>
      </c>
      <c r="CP109">
        <v>5.548</v>
      </c>
    </row>
    <row r="110" spans="1:94" x14ac:dyDescent="0.2">
      <c r="A110" s="102"/>
      <c r="B110" s="102"/>
      <c r="C110" s="102"/>
      <c r="D110" s="102"/>
      <c r="E110" s="102"/>
      <c r="AR110">
        <v>102</v>
      </c>
      <c r="AS110">
        <v>102</v>
      </c>
      <c r="AT110">
        <v>1</v>
      </c>
      <c r="AU110">
        <v>-7.9416001155100826</v>
      </c>
      <c r="AV110">
        <v>6.973536326482053E-3</v>
      </c>
      <c r="CD110">
        <v>102</v>
      </c>
      <c r="CE110">
        <v>3.4796458624139102</v>
      </c>
      <c r="CF110">
        <v>3.5130373452467903E-2</v>
      </c>
      <c r="CG110" t="e">
        <v>#N/A</v>
      </c>
      <c r="CH110">
        <v>3.5130373452467903E-2</v>
      </c>
      <c r="CI110" t="str">
        <v/>
      </c>
      <c r="CK110">
        <v>102</v>
      </c>
      <c r="CL110">
        <v>5.6038817925879174</v>
      </c>
      <c r="CM110">
        <v>3.0346075532052222E-2</v>
      </c>
      <c r="CN110">
        <v>3.0346075532052222E-2</v>
      </c>
      <c r="CO110" t="e">
        <v>#N/A</v>
      </c>
      <c r="CP110" t="str">
        <v/>
      </c>
    </row>
    <row r="111" spans="1:94" x14ac:dyDescent="0.2">
      <c r="A111" s="102"/>
      <c r="B111" s="102"/>
      <c r="C111" s="102"/>
      <c r="D111" s="102"/>
      <c r="E111" s="102"/>
      <c r="AR111">
        <v>103</v>
      </c>
      <c r="AS111">
        <v>103</v>
      </c>
      <c r="AT111">
        <v>1</v>
      </c>
      <c r="AU111">
        <v>-7.9106595841927367</v>
      </c>
      <c r="AV111">
        <v>7.0882328326007799E-3</v>
      </c>
      <c r="CD111">
        <v>103</v>
      </c>
      <c r="CE111">
        <v>3.5140978016457307</v>
      </c>
      <c r="CF111">
        <v>3.4086994779636316E-2</v>
      </c>
      <c r="CG111" t="e">
        <v>#N/A</v>
      </c>
      <c r="CH111">
        <v>3.4086994779636316E-2</v>
      </c>
      <c r="CI111" t="str">
        <v/>
      </c>
      <c r="CK111">
        <v>103</v>
      </c>
      <c r="CL111">
        <v>5.6593657707323528</v>
      </c>
      <c r="CM111">
        <v>2.951578523822998E-2</v>
      </c>
      <c r="CN111">
        <v>2.951578523822998E-2</v>
      </c>
      <c r="CO111" t="e">
        <v>#N/A</v>
      </c>
      <c r="CP111" t="str">
        <v/>
      </c>
    </row>
    <row r="112" spans="1:94" x14ac:dyDescent="0.2">
      <c r="A112" s="102"/>
      <c r="B112" s="102"/>
      <c r="C112" s="102"/>
      <c r="D112" s="102"/>
      <c r="E112" s="102"/>
      <c r="AR112">
        <v>104</v>
      </c>
      <c r="AS112">
        <v>104</v>
      </c>
      <c r="AT112">
        <v>1</v>
      </c>
      <c r="AU112">
        <v>-7.8797190528753909</v>
      </c>
      <c r="AV112">
        <v>7.2044439674114414E-3</v>
      </c>
      <c r="CD112">
        <v>104</v>
      </c>
      <c r="CE112">
        <v>3.5485497408775517</v>
      </c>
      <c r="CF112">
        <v>3.3076319790228424E-2</v>
      </c>
      <c r="CG112" t="e">
        <v>#N/A</v>
      </c>
      <c r="CH112">
        <v>3.3076319790228424E-2</v>
      </c>
      <c r="CI112" t="str">
        <v/>
      </c>
      <c r="CK112">
        <v>104</v>
      </c>
      <c r="CL112">
        <v>5.7148497488767873</v>
      </c>
      <c r="CM112">
        <v>2.8708212279678583E-2</v>
      </c>
      <c r="CN112">
        <v>2.8708212279678583E-2</v>
      </c>
      <c r="CO112" t="e">
        <v>#N/A</v>
      </c>
      <c r="CP112" t="str">
        <v/>
      </c>
    </row>
    <row r="113" spans="1:94" x14ac:dyDescent="0.2">
      <c r="A113" s="102"/>
      <c r="B113" s="102"/>
      <c r="C113" s="102"/>
      <c r="D113" s="102"/>
      <c r="E113" s="102"/>
      <c r="AR113">
        <v>105</v>
      </c>
      <c r="AS113">
        <v>105</v>
      </c>
      <c r="AT113">
        <v>1</v>
      </c>
      <c r="AU113">
        <v>-7.8487785215580441</v>
      </c>
      <c r="AV113">
        <v>7.3221824698538503E-3</v>
      </c>
      <c r="CD113">
        <v>105</v>
      </c>
      <c r="CE113">
        <v>3.5830016801093727</v>
      </c>
      <c r="CF113">
        <v>3.2097269842137698E-2</v>
      </c>
      <c r="CG113" t="e">
        <v>#N/A</v>
      </c>
      <c r="CH113">
        <v>3.2097269842137698E-2</v>
      </c>
      <c r="CI113" t="str">
        <v/>
      </c>
      <c r="CK113">
        <v>105</v>
      </c>
      <c r="CL113">
        <v>5.7703337270212218</v>
      </c>
      <c r="CM113">
        <v>2.7922735093884699E-2</v>
      </c>
      <c r="CN113">
        <v>2.7922735093884699E-2</v>
      </c>
      <c r="CO113" t="e">
        <v>#N/A</v>
      </c>
      <c r="CP113" t="str">
        <v/>
      </c>
    </row>
    <row r="114" spans="1:94" x14ac:dyDescent="0.2">
      <c r="A114" s="102"/>
      <c r="B114" s="102"/>
      <c r="C114" s="102"/>
      <c r="D114" s="102"/>
      <c r="E114" s="102"/>
      <c r="AR114">
        <v>106</v>
      </c>
      <c r="AS114">
        <v>106</v>
      </c>
      <c r="AT114">
        <v>1</v>
      </c>
      <c r="AU114">
        <v>-7.8178379902406974</v>
      </c>
      <c r="AV114">
        <v>7.4414610489803648E-3</v>
      </c>
      <c r="CD114">
        <v>106</v>
      </c>
      <c r="CE114">
        <v>3.6174536193411937</v>
      </c>
      <c r="CF114">
        <v>3.1148803630451225E-2</v>
      </c>
      <c r="CG114" t="e">
        <v>#N/A</v>
      </c>
      <c r="CH114">
        <v>3.1148803630451225E-2</v>
      </c>
      <c r="CI114" t="str">
        <v/>
      </c>
      <c r="CK114">
        <v>106</v>
      </c>
      <c r="CL114">
        <v>5.8258177051656563</v>
      </c>
      <c r="CM114">
        <v>2.7158749124729167E-2</v>
      </c>
      <c r="CN114">
        <v>2.7158749124729167E-2</v>
      </c>
      <c r="CO114" t="e">
        <v>#N/A</v>
      </c>
      <c r="CP114" t="str">
        <v/>
      </c>
    </row>
    <row r="115" spans="1:94" x14ac:dyDescent="0.2">
      <c r="A115" s="102"/>
      <c r="B115" s="102"/>
      <c r="C115" s="102"/>
      <c r="D115" s="102"/>
      <c r="E115" s="102"/>
      <c r="AR115">
        <v>107</v>
      </c>
      <c r="AS115">
        <v>107</v>
      </c>
      <c r="AT115">
        <v>1</v>
      </c>
      <c r="AU115">
        <v>-7.7868974589233515</v>
      </c>
      <c r="AV115">
        <v>7.5622923808225124E-3</v>
      </c>
      <c r="CD115">
        <v>107</v>
      </c>
      <c r="CE115">
        <v>3.6519055585730142</v>
      </c>
      <c r="CF115">
        <v>3.0229915834267793E-2</v>
      </c>
      <c r="CG115" t="e">
        <v>#N/A</v>
      </c>
      <c r="CH115">
        <v>3.0229915834267793E-2</v>
      </c>
      <c r="CI115" t="str">
        <v/>
      </c>
      <c r="CK115">
        <v>107</v>
      </c>
      <c r="CL115">
        <v>5.8813016833100917</v>
      </c>
      <c r="CM115">
        <v>2.6415666357179918E-2</v>
      </c>
      <c r="CN115">
        <v>2.6415666357179918E-2</v>
      </c>
      <c r="CO115" t="e">
        <v>#N/A</v>
      </c>
      <c r="CP115" t="str">
        <v/>
      </c>
    </row>
    <row r="116" spans="1:94" x14ac:dyDescent="0.2">
      <c r="A116" s="102"/>
      <c r="B116" s="102"/>
      <c r="C116" s="102"/>
      <c r="D116" s="102"/>
      <c r="E116" s="102"/>
      <c r="AR116">
        <v>108</v>
      </c>
      <c r="AS116">
        <v>108</v>
      </c>
      <c r="AT116">
        <v>1</v>
      </c>
      <c r="AU116">
        <v>-7.7559569276060056</v>
      </c>
      <c r="AV116">
        <v>7.6846891052151159E-3</v>
      </c>
      <c r="CD116">
        <v>108</v>
      </c>
      <c r="CE116">
        <v>3.6863574978048352</v>
      </c>
      <c r="CF116">
        <v>2.9339635814752792E-2</v>
      </c>
      <c r="CG116" t="e">
        <v>#N/A</v>
      </c>
      <c r="CH116">
        <v>2.9339635814752792E-2</v>
      </c>
      <c r="CI116" t="str">
        <v/>
      </c>
      <c r="CK116">
        <v>108</v>
      </c>
      <c r="CL116">
        <v>5.9367856614545262</v>
      </c>
      <c r="CM116">
        <v>2.5692914864716032E-2</v>
      </c>
      <c r="CN116">
        <v>2.5692914864716032E-2</v>
      </c>
      <c r="CO116" t="e">
        <v>#N/A</v>
      </c>
      <c r="CP116" t="str">
        <v/>
      </c>
    </row>
    <row r="117" spans="1:94" x14ac:dyDescent="0.2">
      <c r="A117" s="102"/>
      <c r="B117" s="102"/>
      <c r="C117" s="102"/>
      <c r="D117" s="102"/>
      <c r="E117" s="102"/>
      <c r="AR117">
        <v>109</v>
      </c>
      <c r="AS117">
        <v>109</v>
      </c>
      <c r="AT117">
        <v>1</v>
      </c>
      <c r="AU117">
        <v>-7.7250163962886589</v>
      </c>
      <c r="AV117">
        <v>7.8086638225781753E-3</v>
      </c>
      <c r="CD117">
        <v>109</v>
      </c>
      <c r="CE117">
        <v>3.7208094370366562</v>
      </c>
      <c r="CF117">
        <v>2.8477026362407024E-2</v>
      </c>
      <c r="CG117" t="e">
        <v>#N/A</v>
      </c>
      <c r="CH117">
        <v>2.8477026362407024E-2</v>
      </c>
      <c r="CI117" t="str">
        <v/>
      </c>
      <c r="CK117">
        <v>109</v>
      </c>
      <c r="CL117">
        <v>5.9922696395989608</v>
      </c>
      <c r="CM117">
        <v>2.4989938369134497E-2</v>
      </c>
      <c r="CN117">
        <v>2.4989938369134497E-2</v>
      </c>
      <c r="CO117" t="e">
        <v>#N/A</v>
      </c>
      <c r="CP117" t="str">
        <v/>
      </c>
    </row>
    <row r="118" spans="1:94" x14ac:dyDescent="0.2">
      <c r="A118" s="102"/>
      <c r="B118" s="102"/>
      <c r="C118" s="102"/>
      <c r="D118" s="102"/>
      <c r="E118" s="102"/>
      <c r="AR118">
        <v>110</v>
      </c>
      <c r="AS118">
        <v>110</v>
      </c>
      <c r="AT118">
        <v>1</v>
      </c>
      <c r="AU118">
        <v>-7.694075864971313</v>
      </c>
      <c r="AV118">
        <v>7.9342290906567938E-3</v>
      </c>
      <c r="CD118">
        <v>110</v>
      </c>
      <c r="CE118">
        <v>3.7552613762684772</v>
      </c>
      <c r="CF118">
        <v>2.7641182491609701E-2</v>
      </c>
      <c r="CG118" t="e">
        <v>#N/A</v>
      </c>
      <c r="CH118">
        <v>2.7641182491609701E-2</v>
      </c>
      <c r="CI118" t="str">
        <v/>
      </c>
      <c r="CK118">
        <v>110</v>
      </c>
      <c r="CL118">
        <v>6.0477536177433961</v>
      </c>
      <c r="CM118">
        <v>2.4306195812401163E-2</v>
      </c>
      <c r="CN118">
        <v>2.4306195812401163E-2</v>
      </c>
      <c r="CO118" t="e">
        <v>#N/A</v>
      </c>
      <c r="CP118" t="str">
        <v/>
      </c>
    </row>
    <row r="119" spans="1:94" x14ac:dyDescent="0.2">
      <c r="A119" s="102"/>
      <c r="B119" s="102"/>
      <c r="C119" s="102"/>
      <c r="D119" s="102"/>
      <c r="E119" s="102"/>
      <c r="AR119">
        <v>111</v>
      </c>
      <c r="AS119">
        <v>111</v>
      </c>
      <c r="AT119">
        <v>1</v>
      </c>
      <c r="AU119">
        <v>-7.6631353336539672</v>
      </c>
      <c r="AV119">
        <v>8.0613974212195797E-3</v>
      </c>
      <c r="CD119">
        <v>111</v>
      </c>
      <c r="CE119">
        <v>3.7897133155002978</v>
      </c>
      <c r="CF119">
        <v>2.6831230280575491E-2</v>
      </c>
      <c r="CG119" t="e">
        <v>#N/A</v>
      </c>
      <c r="CH119">
        <v>2.6831230280575491E-2</v>
      </c>
      <c r="CI119" t="str">
        <v/>
      </c>
      <c r="CK119">
        <v>111</v>
      </c>
      <c r="CL119">
        <v>6.1032375958878315</v>
      </c>
      <c r="CM119">
        <v>2.3641160940216007E-2</v>
      </c>
      <c r="CN119">
        <v>2.3641160940216007E-2</v>
      </c>
      <c r="CO119" t="e">
        <v>#N/A</v>
      </c>
      <c r="CP119" t="str">
        <v/>
      </c>
    </row>
    <row r="120" spans="1:94" x14ac:dyDescent="0.2">
      <c r="A120" s="102"/>
      <c r="B120" s="102"/>
      <c r="C120" s="102"/>
      <c r="D120" s="102"/>
      <c r="E120" s="102"/>
      <c r="AR120">
        <v>112</v>
      </c>
      <c r="AS120">
        <v>112</v>
      </c>
      <c r="AT120">
        <v>1</v>
      </c>
      <c r="AU120">
        <v>-7.6321948023366204</v>
      </c>
      <c r="AV120">
        <v>8.1901812767158563E-3</v>
      </c>
      <c r="CD120">
        <v>112</v>
      </c>
      <c r="CE120">
        <v>3.8241652547321188</v>
      </c>
      <c r="CF120">
        <v>2.6046325754941556E-2</v>
      </c>
      <c r="CG120" t="e">
        <v>#N/A</v>
      </c>
      <c r="CH120">
        <v>2.6046325754941556E-2</v>
      </c>
      <c r="CI120" t="str">
        <v/>
      </c>
      <c r="CK120">
        <v>112</v>
      </c>
      <c r="CL120">
        <v>6.1587215740322661</v>
      </c>
      <c r="CM120">
        <v>2.2994321896972415E-2</v>
      </c>
      <c r="CN120">
        <v>2.2994321896972415E-2</v>
      </c>
      <c r="CO120" t="e">
        <v>#N/A</v>
      </c>
      <c r="CP120" t="str">
        <v/>
      </c>
    </row>
    <row r="121" spans="1:94" x14ac:dyDescent="0.2">
      <c r="A121" s="102"/>
      <c r="B121" s="102"/>
      <c r="C121" s="102"/>
      <c r="D121" s="102"/>
      <c r="E121" s="102"/>
      <c r="AR121">
        <v>113</v>
      </c>
      <c r="AS121">
        <v>113</v>
      </c>
      <c r="AT121">
        <v>1</v>
      </c>
      <c r="AU121">
        <v>-7.6012542710192736</v>
      </c>
      <c r="AV121">
        <v>8.3205930668919011E-3</v>
      </c>
      <c r="CD121">
        <v>113</v>
      </c>
      <c r="CE121">
        <v>3.8586171939639398</v>
      </c>
      <c r="CF121">
        <v>2.5285653813273922E-2</v>
      </c>
      <c r="CG121" t="e">
        <v>#N/A</v>
      </c>
      <c r="CH121">
        <v>2.5285653813273922E-2</v>
      </c>
      <c r="CI121" t="str">
        <v/>
      </c>
      <c r="CK121">
        <v>113</v>
      </c>
      <c r="CL121">
        <v>6.2142055521767006</v>
      </c>
      <c r="CM121">
        <v>2.2365180831798611E-2</v>
      </c>
      <c r="CN121">
        <v>2.2365180831798611E-2</v>
      </c>
      <c r="CO121" t="e">
        <v>#N/A</v>
      </c>
      <c r="CP121" t="str">
        <v/>
      </c>
    </row>
    <row r="122" spans="1:94" x14ac:dyDescent="0.2">
      <c r="A122" s="102"/>
      <c r="B122" s="102"/>
      <c r="C122" s="102"/>
      <c r="D122" s="102"/>
      <c r="E122" s="102"/>
      <c r="AR122">
        <v>114</v>
      </c>
      <c r="AS122">
        <v>114</v>
      </c>
      <c r="AT122">
        <v>1</v>
      </c>
      <c r="AU122">
        <v>-7.5703137397019278</v>
      </c>
      <c r="AV122">
        <v>8.4526451453668956E-3</v>
      </c>
      <c r="CD122">
        <v>114</v>
      </c>
      <c r="CE122">
        <v>3.8930691331957608</v>
      </c>
      <c r="CF122">
        <v>2.4548427192851448E-2</v>
      </c>
      <c r="CG122" t="e">
        <v>#N/A</v>
      </c>
      <c r="CH122">
        <v>2.4548427192851448E-2</v>
      </c>
      <c r="CI122" t="str">
        <v/>
      </c>
      <c r="CK122">
        <v>114</v>
      </c>
      <c r="CL122">
        <v>6.2696895303211351</v>
      </c>
      <c r="CM122">
        <v>2.1753253515378147E-2</v>
      </c>
      <c r="CN122">
        <v>2.1753253515378147E-2</v>
      </c>
      <c r="CO122" t="e">
        <v>#N/A</v>
      </c>
      <c r="CP122" t="str">
        <v/>
      </c>
    </row>
    <row r="123" spans="1:94" x14ac:dyDescent="0.2">
      <c r="A123" s="102"/>
      <c r="B123" s="102"/>
      <c r="C123" s="102"/>
      <c r="D123" s="102"/>
      <c r="E123" s="102"/>
      <c r="AR123">
        <v>115</v>
      </c>
      <c r="AS123">
        <v>115</v>
      </c>
      <c r="AT123">
        <v>1</v>
      </c>
      <c r="AU123">
        <v>-7.5393732083845819</v>
      </c>
      <c r="AV123">
        <v>8.5863498061688279E-3</v>
      </c>
      <c r="CD123">
        <v>115</v>
      </c>
      <c r="CE123">
        <v>3.9275210724275817</v>
      </c>
      <c r="CF123">
        <v>2.3833885474153556E-2</v>
      </c>
      <c r="CG123" t="e">
        <v>#N/A</v>
      </c>
      <c r="CH123">
        <v>2.3833885474153556E-2</v>
      </c>
      <c r="CI123" t="str">
        <v/>
      </c>
      <c r="CK123">
        <v>115</v>
      </c>
      <c r="CL123">
        <v>6.3251735084655705</v>
      </c>
      <c r="CM123">
        <v>2.1158068967254421E-2</v>
      </c>
      <c r="CN123">
        <v>2.1158068967254421E-2</v>
      </c>
      <c r="CO123" t="e">
        <v>#N/A</v>
      </c>
      <c r="CP123" t="str">
        <v/>
      </c>
    </row>
    <row r="124" spans="1:94" x14ac:dyDescent="0.2">
      <c r="A124" s="102"/>
      <c r="B124" s="102"/>
      <c r="C124" s="102"/>
      <c r="D124" s="102"/>
      <c r="E124" s="102"/>
      <c r="AR124">
        <v>116</v>
      </c>
      <c r="AS124">
        <v>116</v>
      </c>
      <c r="AT124">
        <v>1</v>
      </c>
      <c r="AU124">
        <v>-7.5084326770672352</v>
      </c>
      <c r="AV124">
        <v>8.7217192802307407E-3</v>
      </c>
      <c r="CD124">
        <v>116</v>
      </c>
      <c r="CE124">
        <v>3.9619730116594023</v>
      </c>
      <c r="CF124">
        <v>2.3141294122541144E-2</v>
      </c>
      <c r="CG124" t="e">
        <v>#N/A</v>
      </c>
      <c r="CH124">
        <v>2.3141294122541144E-2</v>
      </c>
      <c r="CI124" t="str">
        <v/>
      </c>
      <c r="CK124">
        <v>116</v>
      </c>
      <c r="CL124">
        <v>6.380657486610005</v>
      </c>
      <c r="CM124">
        <v>2.0579169093332423E-2</v>
      </c>
      <c r="CN124">
        <v>2.0579169093332423E-2</v>
      </c>
      <c r="CO124" t="e">
        <v>#N/A</v>
      </c>
      <c r="CP124" t="str">
        <v/>
      </c>
    </row>
    <row r="125" spans="1:94" x14ac:dyDescent="0.2">
      <c r="A125" s="102"/>
      <c r="B125" s="102"/>
      <c r="C125" s="102"/>
      <c r="D125" s="102"/>
      <c r="E125" s="102"/>
      <c r="AR125">
        <v>117</v>
      </c>
      <c r="AS125">
        <v>117</v>
      </c>
      <c r="AT125">
        <v>1</v>
      </c>
      <c r="AU125">
        <v>-7.4774921457498884</v>
      </c>
      <c r="AV125">
        <v>8.858765731847993E-3</v>
      </c>
      <c r="CD125">
        <v>117</v>
      </c>
      <c r="CE125">
        <v>3.9964249508912233</v>
      </c>
      <c r="CF125">
        <v>2.2469943565682025E-2</v>
      </c>
      <c r="CG125" t="e">
        <v>#N/A</v>
      </c>
      <c r="CH125">
        <v>2.2469943565682025E-2</v>
      </c>
      <c r="CI125" t="str">
        <v/>
      </c>
      <c r="CK125">
        <v>117</v>
      </c>
      <c r="CL125">
        <v>6.4361414647544395</v>
      </c>
      <c r="CM125">
        <v>2.0016108333298626E-2</v>
      </c>
      <c r="CN125">
        <v>2.0016108333298626E-2</v>
      </c>
      <c r="CO125" t="e">
        <v>#N/A</v>
      </c>
      <c r="CP125" t="str">
        <v/>
      </c>
    </row>
    <row r="126" spans="1:94" x14ac:dyDescent="0.2">
      <c r="A126" s="102"/>
      <c r="B126" s="102"/>
      <c r="C126" s="102"/>
      <c r="D126" s="102"/>
      <c r="E126" s="102"/>
      <c r="AR126">
        <v>118</v>
      </c>
      <c r="AS126">
        <v>118</v>
      </c>
      <c r="AT126">
        <v>1</v>
      </c>
      <c r="AU126">
        <v>-7.4465516144325425</v>
      </c>
      <c r="AV126">
        <v>8.9975012550968306E-3</v>
      </c>
      <c r="CD126">
        <v>118</v>
      </c>
      <c r="CE126">
        <v>4.0308768901230438</v>
      </c>
      <c r="CF126">
        <v>2.1819148305330376E-2</v>
      </c>
      <c r="CG126" t="e">
        <v>#N/A</v>
      </c>
      <c r="CH126">
        <v>2.1819148305330376E-2</v>
      </c>
      <c r="CI126" t="str">
        <v/>
      </c>
      <c r="CK126">
        <v>118</v>
      </c>
      <c r="CL126">
        <v>6.491625442898874</v>
      </c>
      <c r="CM126">
        <v>1.9468453317687845E-2</v>
      </c>
      <c r="CN126">
        <v>1.9468453317687845E-2</v>
      </c>
      <c r="CO126" t="e">
        <v>#N/A</v>
      </c>
      <c r="CP126" t="str">
        <v/>
      </c>
    </row>
    <row r="127" spans="1:94" x14ac:dyDescent="0.2">
      <c r="A127" s="102"/>
      <c r="B127" s="102"/>
      <c r="C127" s="102"/>
      <c r="D127" s="102"/>
      <c r="E127" s="102"/>
      <c r="AR127">
        <v>119</v>
      </c>
      <c r="AS127">
        <v>119</v>
      </c>
      <c r="AT127">
        <v>1</v>
      </c>
      <c r="AU127">
        <v>-7.4156110831151967</v>
      </c>
      <c r="AV127">
        <v>9.1379378702148798E-3</v>
      </c>
      <c r="CD127">
        <v>119</v>
      </c>
      <c r="CE127">
        <v>4.0653288293548648</v>
      </c>
      <c r="CF127">
        <v>2.1188246062126707E-2</v>
      </c>
      <c r="CG127" t="e">
        <v>#N/A</v>
      </c>
      <c r="CH127">
        <v>2.1188246062126707E-2</v>
      </c>
      <c r="CI127" t="str">
        <v/>
      </c>
      <c r="CK127">
        <v>119</v>
      </c>
      <c r="CL127">
        <v>6.5471094210433103</v>
      </c>
      <c r="CM127">
        <v>1.8935782534332861E-2</v>
      </c>
      <c r="CN127">
        <v>1.8935782534332861E-2</v>
      </c>
      <c r="CO127" t="e">
        <v>#N/A</v>
      </c>
      <c r="CP127" t="str">
        <v/>
      </c>
    </row>
    <row r="128" spans="1:94" x14ac:dyDescent="0.2">
      <c r="A128" s="102"/>
      <c r="B128" s="102"/>
      <c r="C128" s="102"/>
      <c r="D128" s="102"/>
      <c r="E128" s="102"/>
      <c r="AR128">
        <v>120</v>
      </c>
      <c r="AS128">
        <v>120</v>
      </c>
      <c r="AT128">
        <v>1</v>
      </c>
      <c r="AU128">
        <v>-7.3846705517978499</v>
      </c>
      <c r="AV128">
        <v>9.2800875199440733E-3</v>
      </c>
      <c r="CD128">
        <v>120</v>
      </c>
      <c r="CE128">
        <v>4.0997807685866858</v>
      </c>
      <c r="CF128">
        <v>2.0576596952137979E-2</v>
      </c>
      <c r="CG128" t="e">
        <v>#N/A</v>
      </c>
      <c r="CH128">
        <v>2.0576596952137979E-2</v>
      </c>
      <c r="CI128" t="str">
        <v/>
      </c>
      <c r="CK128">
        <v>120</v>
      </c>
      <c r="CL128">
        <v>6.6025933991877448</v>
      </c>
      <c r="CM128">
        <v>1.8417686003940358E-2</v>
      </c>
      <c r="CN128">
        <v>1.8417686003940358E-2</v>
      </c>
      <c r="CO128" t="e">
        <v>#N/A</v>
      </c>
      <c r="CP128" t="str">
        <v/>
      </c>
    </row>
    <row r="129" spans="1:94" x14ac:dyDescent="0.2">
      <c r="A129" s="102"/>
      <c r="B129" s="102"/>
      <c r="C129" s="102"/>
      <c r="D129" s="102"/>
      <c r="E129" s="102"/>
      <c r="AR129">
        <v>121</v>
      </c>
      <c r="AS129">
        <v>121</v>
      </c>
      <c r="AT129">
        <v>1</v>
      </c>
      <c r="AU129">
        <v>-7.3537300204805032</v>
      </c>
      <c r="AV129">
        <v>9.4239620658365247E-3</v>
      </c>
      <c r="CD129">
        <v>121</v>
      </c>
      <c r="CE129">
        <v>4.1342327078185068</v>
      </c>
      <c r="CF129">
        <v>1.99835826939097E-2</v>
      </c>
      <c r="CG129" t="e">
        <v>#N/A</v>
      </c>
      <c r="CH129">
        <v>1.99835826939097E-2</v>
      </c>
      <c r="CI129" t="str">
        <v/>
      </c>
      <c r="CK129">
        <v>121</v>
      </c>
      <c r="CL129">
        <v>6.6580773773321793</v>
      </c>
      <c r="CM129">
        <v>1.7913764964543177E-2</v>
      </c>
      <c r="CN129">
        <v>1.7913764964543177E-2</v>
      </c>
      <c r="CO129" t="e">
        <v>#N/A</v>
      </c>
      <c r="CP129" t="str">
        <v/>
      </c>
    </row>
    <row r="130" spans="1:94" x14ac:dyDescent="0.2">
      <c r="A130" s="102"/>
      <c r="B130" s="102"/>
      <c r="C130" s="102"/>
      <c r="D130" s="102"/>
      <c r="E130" s="102"/>
      <c r="AR130">
        <v>122</v>
      </c>
      <c r="AS130">
        <v>122</v>
      </c>
      <c r="AT130">
        <v>1</v>
      </c>
      <c r="AU130">
        <v>-7.3227894891631573</v>
      </c>
      <c r="AV130">
        <v>9.5695732845239474E-3</v>
      </c>
      <c r="CD130">
        <v>122</v>
      </c>
      <c r="CE130">
        <v>4.1686846470503278</v>
      </c>
      <c r="CF130">
        <v>1.9408605844851289E-2</v>
      </c>
      <c r="CG130" t="e">
        <v>#N/A</v>
      </c>
      <c r="CH130">
        <v>1.9408605844851289E-2</v>
      </c>
      <c r="CI130" t="str">
        <v/>
      </c>
      <c r="CK130">
        <v>122</v>
      </c>
      <c r="CL130">
        <v>6.7135613554766138</v>
      </c>
      <c r="CM130">
        <v>1.7423631564586307E-2</v>
      </c>
      <c r="CN130">
        <v>1.7423631564586307E-2</v>
      </c>
      <c r="CO130" t="e">
        <v>#N/A</v>
      </c>
      <c r="CP130" t="str">
        <v/>
      </c>
    </row>
    <row r="131" spans="1:94" x14ac:dyDescent="0.2">
      <c r="A131" s="102"/>
      <c r="B131" s="102"/>
      <c r="C131" s="102"/>
      <c r="D131" s="102"/>
      <c r="E131" s="102"/>
      <c r="AR131">
        <v>123</v>
      </c>
      <c r="AS131">
        <v>123</v>
      </c>
      <c r="AT131">
        <v>1</v>
      </c>
      <c r="AU131">
        <v>-7.2918489578458114</v>
      </c>
      <c r="AV131">
        <v>9.7169328639512952E-3</v>
      </c>
      <c r="CD131">
        <v>123</v>
      </c>
      <c r="CE131">
        <v>4.2031365862821479</v>
      </c>
      <c r="CF131">
        <v>1.8851089065822769E-2</v>
      </c>
      <c r="CG131" t="e">
        <v>#N/A</v>
      </c>
      <c r="CH131">
        <v>1.8851089065822769E-2</v>
      </c>
      <c r="CI131" t="str">
        <v/>
      </c>
      <c r="CK131">
        <v>123</v>
      </c>
      <c r="CL131">
        <v>6.7690453336210492</v>
      </c>
      <c r="CM131">
        <v>1.6946908564410196E-2</v>
      </c>
      <c r="CN131">
        <v>1.6946908564410196E-2</v>
      </c>
      <c r="CO131" t="e">
        <v>#N/A</v>
      </c>
      <c r="CP131" t="str">
        <v/>
      </c>
    </row>
    <row r="132" spans="1:94" x14ac:dyDescent="0.2">
      <c r="A132" s="102"/>
      <c r="B132" s="102"/>
      <c r="C132" s="102"/>
      <c r="D132" s="102"/>
      <c r="E132" s="102"/>
      <c r="AR132">
        <v>124</v>
      </c>
      <c r="AS132">
        <v>124</v>
      </c>
      <c r="AT132">
        <v>1</v>
      </c>
      <c r="AU132">
        <v>-7.2609084265284647</v>
      </c>
      <c r="AV132">
        <v>9.8660523995750676E-3</v>
      </c>
      <c r="CD132">
        <v>124</v>
      </c>
      <c r="CE132">
        <v>4.2375885255139689</v>
      </c>
      <c r="CF132">
        <v>1.8310474412837192E-2</v>
      </c>
      <c r="CG132" t="e">
        <v>#N/A</v>
      </c>
      <c r="CH132">
        <v>1.8310474412837192E-2</v>
      </c>
      <c r="CI132" t="str">
        <v/>
      </c>
      <c r="CK132">
        <v>124</v>
      </c>
      <c r="CL132">
        <v>6.8245293117654837</v>
      </c>
      <c r="CM132">
        <v>1.648322904590176E-2</v>
      </c>
      <c r="CN132">
        <v>1.648322904590176E-2</v>
      </c>
      <c r="CO132" t="e">
        <v>#N/A</v>
      </c>
      <c r="CP132" t="str">
        <v/>
      </c>
    </row>
    <row r="133" spans="1:94" x14ac:dyDescent="0.2">
      <c r="A133" s="102"/>
      <c r="B133" s="102"/>
      <c r="C133" s="102"/>
      <c r="D133" s="102"/>
      <c r="E133" s="102"/>
      <c r="AR133">
        <v>125</v>
      </c>
      <c r="AS133">
        <v>125</v>
      </c>
      <c r="AT133">
        <v>1</v>
      </c>
      <c r="AU133">
        <v>-7.2299678952111188</v>
      </c>
      <c r="AV133">
        <v>1.0016943390527106E-2</v>
      </c>
      <c r="CD133">
        <v>125</v>
      </c>
      <c r="CE133">
        <v>4.2720404647457899</v>
      </c>
      <c r="CF133">
        <v>1.7786222654836249E-2</v>
      </c>
      <c r="CG133" t="e">
        <v>#N/A</v>
      </c>
      <c r="CH133">
        <v>1.7786222654836249E-2</v>
      </c>
      <c r="CI133" t="str">
        <v/>
      </c>
      <c r="CK133">
        <v>125</v>
      </c>
      <c r="CL133">
        <v>6.8800132899099182</v>
      </c>
      <c r="CM133">
        <v>1.6032236130089451E-2</v>
      </c>
      <c r="CN133">
        <v>1.6032236130089451E-2</v>
      </c>
      <c r="CO133" t="e">
        <v>#N/A</v>
      </c>
      <c r="CP133" t="str">
        <v/>
      </c>
    </row>
    <row r="134" spans="1:94" x14ac:dyDescent="0.2">
      <c r="A134" s="102"/>
      <c r="B134" s="102"/>
      <c r="C134" s="102"/>
      <c r="D134" s="102"/>
      <c r="E134" s="102"/>
      <c r="AR134">
        <v>126</v>
      </c>
      <c r="AS134">
        <v>126</v>
      </c>
      <c r="AT134">
        <v>1</v>
      </c>
      <c r="AU134">
        <v>-7.199027363893773</v>
      </c>
      <c r="AV134">
        <v>1.0169617235744438E-2</v>
      </c>
      <c r="CD134">
        <v>126</v>
      </c>
      <c r="CE134">
        <v>4.3064924039776109</v>
      </c>
      <c r="CF134">
        <v>1.7277812616538015E-2</v>
      </c>
      <c r="CG134" t="e">
        <v>#N/A</v>
      </c>
      <c r="CH134">
        <v>1.7277812616538015E-2</v>
      </c>
      <c r="CI134">
        <v>4.306</v>
      </c>
      <c r="CK134">
        <v>126</v>
      </c>
      <c r="CL134">
        <v>6.9354972680543527</v>
      </c>
      <c r="CM134">
        <v>1.5593582702465197E-2</v>
      </c>
      <c r="CN134">
        <v>1.5593582702465197E-2</v>
      </c>
      <c r="CO134" t="e">
        <v>#N/A</v>
      </c>
      <c r="CP134">
        <v>6.9349999999999996</v>
      </c>
    </row>
    <row r="135" spans="1:94" x14ac:dyDescent="0.2">
      <c r="A135" s="102"/>
      <c r="B135" s="102"/>
      <c r="C135" s="102"/>
      <c r="D135" s="102"/>
      <c r="E135" s="102"/>
      <c r="AR135">
        <v>127</v>
      </c>
      <c r="AS135">
        <v>127</v>
      </c>
      <c r="AT135">
        <v>1</v>
      </c>
      <c r="AU135">
        <v>-7.1680868325764262</v>
      </c>
      <c r="AV135">
        <v>1.0324085230065866E-2</v>
      </c>
      <c r="CD135">
        <v>127</v>
      </c>
      <c r="CE135">
        <v>4.3409443432094319</v>
      </c>
      <c r="CF135">
        <v>1.678474054539612E-2</v>
      </c>
      <c r="CG135" t="e">
        <v>#N/A</v>
      </c>
      <c r="CH135">
        <v>1.678474054539612E-2</v>
      </c>
      <c r="CI135" t="str">
        <v/>
      </c>
      <c r="CK135">
        <v>127</v>
      </c>
      <c r="CL135">
        <v>6.990981246198789</v>
      </c>
      <c r="CM135">
        <v>1.5166931145821693E-2</v>
      </c>
      <c r="CN135">
        <v>1.5166931145821693E-2</v>
      </c>
      <c r="CO135" t="e">
        <v>#N/A</v>
      </c>
      <c r="CP135" t="str">
        <v/>
      </c>
    </row>
    <row r="136" spans="1:94" x14ac:dyDescent="0.2">
      <c r="A136" s="102"/>
      <c r="B136" s="102"/>
      <c r="C136" s="102"/>
      <c r="D136" s="102"/>
      <c r="E136" s="102"/>
      <c r="AR136">
        <v>128</v>
      </c>
      <c r="AS136">
        <v>128</v>
      </c>
      <c r="AT136">
        <v>1</v>
      </c>
      <c r="AU136">
        <v>-7.1371463012590795</v>
      </c>
      <c r="AV136">
        <v>1.0480358560296027E-2</v>
      </c>
      <c r="CD136">
        <v>128</v>
      </c>
      <c r="CE136">
        <v>4.3753962824412529</v>
      </c>
      <c r="CF136">
        <v>1.6306519501748138E-2</v>
      </c>
      <c r="CG136" t="e">
        <v>#N/A</v>
      </c>
      <c r="CH136">
        <v>1.6306519501748138E-2</v>
      </c>
      <c r="CI136" t="str">
        <v/>
      </c>
      <c r="CK136">
        <v>128</v>
      </c>
      <c r="CL136">
        <v>7.0464652243432235</v>
      </c>
      <c r="CM136">
        <v>1.4751953080399534E-2</v>
      </c>
      <c r="CN136">
        <v>1.4751953080399534E-2</v>
      </c>
      <c r="CO136" t="e">
        <v>#N/A</v>
      </c>
      <c r="CP136" t="str">
        <v/>
      </c>
    </row>
    <row r="137" spans="1:94" x14ac:dyDescent="0.2">
      <c r="A137" s="102"/>
      <c r="B137" s="102"/>
      <c r="C137" s="102"/>
      <c r="D137" s="102"/>
      <c r="E137" s="102"/>
      <c r="AR137">
        <v>129</v>
      </c>
      <c r="AS137">
        <v>129</v>
      </c>
      <c r="AT137">
        <v>1</v>
      </c>
      <c r="AU137">
        <v>-7.1062057699417336</v>
      </c>
      <c r="AV137">
        <v>1.0638448301237729E-2</v>
      </c>
      <c r="CD137">
        <v>129</v>
      </c>
      <c r="CE137">
        <v>4.4098482216730739</v>
      </c>
      <c r="CF137">
        <v>1.5842678771267042E-2</v>
      </c>
      <c r="CG137" t="e">
        <v>#N/A</v>
      </c>
      <c r="CH137">
        <v>1.5842678771267042E-2</v>
      </c>
      <c r="CI137" t="str">
        <v/>
      </c>
      <c r="CK137">
        <v>129</v>
      </c>
      <c r="CL137">
        <v>7.101949202487658</v>
      </c>
      <c r="CM137">
        <v>1.4348329111143953E-2</v>
      </c>
      <c r="CN137">
        <v>1.4348329111143953E-2</v>
      </c>
      <c r="CO137" t="e">
        <v>#N/A</v>
      </c>
      <c r="CP137" t="str">
        <v/>
      </c>
    </row>
    <row r="138" spans="1:94" x14ac:dyDescent="0.2">
      <c r="A138" s="102"/>
      <c r="B138" s="102"/>
      <c r="C138" s="102"/>
      <c r="D138" s="102"/>
      <c r="E138" s="102"/>
      <c r="AR138">
        <v>130</v>
      </c>
      <c r="AS138">
        <v>130</v>
      </c>
      <c r="AT138">
        <v>1</v>
      </c>
      <c r="AU138">
        <v>-7.0752652386243877</v>
      </c>
      <c r="AV138">
        <v>1.0798365411693111E-2</v>
      </c>
      <c r="CD138">
        <v>130</v>
      </c>
      <c r="CE138">
        <v>4.4443001609048949</v>
      </c>
      <c r="CF138">
        <v>1.5392763298865407E-2</v>
      </c>
      <c r="CG138" t="e">
        <v>#N/A</v>
      </c>
      <c r="CH138">
        <v>1.5392763298865407E-2</v>
      </c>
      <c r="CI138" t="str">
        <v/>
      </c>
      <c r="CK138">
        <v>130</v>
      </c>
      <c r="CL138">
        <v>7.1574331806320926</v>
      </c>
      <c r="CM138">
        <v>1.3955748581876941E-2</v>
      </c>
      <c r="CN138">
        <v>1.3955748581876941E-2</v>
      </c>
      <c r="CO138" t="e">
        <v>#N/A</v>
      </c>
      <c r="CP138" t="str">
        <v/>
      </c>
    </row>
    <row r="139" spans="1:94" x14ac:dyDescent="0.2">
      <c r="A139" s="102"/>
      <c r="B139" s="102"/>
      <c r="C139" s="102"/>
      <c r="D139" s="102"/>
      <c r="E139" s="102"/>
      <c r="AR139">
        <v>131</v>
      </c>
      <c r="AS139">
        <v>131</v>
      </c>
      <c r="AT139">
        <v>1</v>
      </c>
      <c r="AU139">
        <v>-7.044324707307041</v>
      </c>
      <c r="AV139">
        <v>1.0960120730434678E-2</v>
      </c>
      <c r="CD139">
        <v>131</v>
      </c>
      <c r="CE139">
        <v>4.4787521001367159</v>
      </c>
      <c r="CF139">
        <v>1.4956333143235686E-2</v>
      </c>
      <c r="CG139" t="e">
        <v>#N/A</v>
      </c>
      <c r="CH139">
        <v>1.4956333143235686E-2</v>
      </c>
      <c r="CI139" t="str">
        <v/>
      </c>
      <c r="CK139">
        <v>131</v>
      </c>
      <c r="CL139">
        <v>7.2129171587765271</v>
      </c>
      <c r="CM139">
        <v>1.3573909336195341E-2</v>
      </c>
      <c r="CN139">
        <v>1.3573909336195341E-2</v>
      </c>
      <c r="CO139" t="e">
        <v>#N/A</v>
      </c>
      <c r="CP139" t="str">
        <v/>
      </c>
    </row>
    <row r="140" spans="1:94" x14ac:dyDescent="0.2">
      <c r="A140" s="102"/>
      <c r="B140" s="102"/>
      <c r="C140" s="102"/>
      <c r="D140" s="102"/>
      <c r="E140" s="102"/>
      <c r="AR140">
        <v>132</v>
      </c>
      <c r="AS140">
        <v>132</v>
      </c>
      <c r="AT140">
        <v>1</v>
      </c>
      <c r="AU140">
        <v>-7.0133841759896951</v>
      </c>
      <c r="AV140">
        <v>1.1123724972146759E-2</v>
      </c>
      <c r="CD140">
        <v>132</v>
      </c>
      <c r="CE140">
        <v>4.5132040393685369</v>
      </c>
      <c r="CF140">
        <v>1.4532962951241834E-2</v>
      </c>
      <c r="CG140" t="e">
        <v>#N/A</v>
      </c>
      <c r="CH140">
        <v>1.4532962951241834E-2</v>
      </c>
      <c r="CI140" t="str">
        <v/>
      </c>
      <c r="CK140">
        <v>132</v>
      </c>
      <c r="CL140">
        <v>7.2684011369209625</v>
      </c>
      <c r="CM140">
        <v>1.3202517484910909E-2</v>
      </c>
      <c r="CN140">
        <v>1.3202517484910909E-2</v>
      </c>
      <c r="CO140" t="e">
        <v>#N/A</v>
      </c>
      <c r="CP140" t="str">
        <v/>
      </c>
    </row>
    <row r="141" spans="1:94" x14ac:dyDescent="0.2">
      <c r="AR141">
        <v>133</v>
      </c>
      <c r="AS141">
        <v>133</v>
      </c>
      <c r="AT141">
        <v>1</v>
      </c>
      <c r="AU141">
        <v>-6.9824436446723483</v>
      </c>
      <c r="AV141">
        <v>1.128918872333839E-2</v>
      </c>
      <c r="CD141">
        <v>133</v>
      </c>
      <c r="CE141">
        <v>4.5476559786003579</v>
      </c>
      <c r="CF141">
        <v>1.4122241451409293E-2</v>
      </c>
      <c r="CG141" t="e">
        <v>#N/A</v>
      </c>
      <c r="CH141">
        <v>1.4122241451409293E-2</v>
      </c>
      <c r="CI141" t="str">
        <v/>
      </c>
      <c r="CK141">
        <v>133</v>
      </c>
      <c r="CL141">
        <v>7.323885115065397</v>
      </c>
      <c r="CM141">
        <v>1.2841287179853453E-2</v>
      </c>
      <c r="CN141">
        <v>1.2841287179853453E-2</v>
      </c>
      <c r="CO141" t="e">
        <v>#N/A</v>
      </c>
      <c r="CP141" t="str">
        <v/>
      </c>
    </row>
    <row r="142" spans="1:94" x14ac:dyDescent="0.2">
      <c r="AR142">
        <v>134</v>
      </c>
      <c r="AS142">
        <v>134</v>
      </c>
      <c r="AT142">
        <v>1</v>
      </c>
      <c r="AU142">
        <v>-6.9515031133550025</v>
      </c>
      <c r="AV142">
        <v>1.1456522438228417E-2</v>
      </c>
      <c r="CD142">
        <v>134</v>
      </c>
      <c r="CE142">
        <v>4.5821079178321789</v>
      </c>
      <c r="CF142">
        <v>1.3723770965789384E-2</v>
      </c>
      <c r="CG142" t="e">
        <v>#N/A</v>
      </c>
      <c r="CH142">
        <v>1.3723770965789384E-2</v>
      </c>
      <c r="CI142" t="str">
        <v/>
      </c>
      <c r="CK142">
        <v>134</v>
      </c>
      <c r="CL142">
        <v>7.3793690932098315</v>
      </c>
      <c r="CM142">
        <v>1.2489940393862803E-2</v>
      </c>
      <c r="CN142">
        <v>1.2489940393862803E-2</v>
      </c>
      <c r="CO142" t="e">
        <v>#N/A</v>
      </c>
      <c r="CP142" t="str">
        <v/>
      </c>
    </row>
    <row r="143" spans="1:94" x14ac:dyDescent="0.2">
      <c r="AR143">
        <v>135</v>
      </c>
      <c r="AS143">
        <v>135</v>
      </c>
      <c r="AT143">
        <v>1</v>
      </c>
      <c r="AU143">
        <v>-6.9205625820376557</v>
      </c>
      <c r="AV143">
        <v>1.1625736434603601E-2</v>
      </c>
      <c r="CD143">
        <v>135</v>
      </c>
      <c r="CE143">
        <v>4.6165598570639998</v>
      </c>
      <c r="CF143">
        <v>1.3337166939503374E-2</v>
      </c>
      <c r="CG143" t="e">
        <v>#N/A</v>
      </c>
      <c r="CH143">
        <v>1.3337166939503374E-2</v>
      </c>
      <c r="CI143" t="str">
        <v/>
      </c>
      <c r="CK143">
        <v>135</v>
      </c>
      <c r="CL143">
        <v>7.434853071354266</v>
      </c>
      <c r="CM143">
        <v>1.2148206706800398E-2</v>
      </c>
      <c r="CN143">
        <v>1.2148206706800398E-2</v>
      </c>
      <c r="CO143" t="e">
        <v>#N/A</v>
      </c>
      <c r="CP143" t="str">
        <v/>
      </c>
    </row>
    <row r="144" spans="1:94" x14ac:dyDescent="0.2">
      <c r="AR144">
        <v>136</v>
      </c>
      <c r="AS144">
        <v>136</v>
      </c>
      <c r="AT144">
        <v>1</v>
      </c>
      <c r="AU144">
        <v>-6.8896220507203099</v>
      </c>
      <c r="AV144">
        <v>1.1796840889650719E-2</v>
      </c>
      <c r="CD144">
        <v>136</v>
      </c>
      <c r="CE144">
        <v>4.6510117962958208</v>
      </c>
      <c r="CF144">
        <v>1.29620574872981E-2</v>
      </c>
      <c r="CG144" t="e">
        <v>#N/A</v>
      </c>
      <c r="CH144">
        <v>1.29620574872981E-2</v>
      </c>
      <c r="CI144" t="str">
        <v/>
      </c>
      <c r="CK144">
        <v>136</v>
      </c>
      <c r="CL144">
        <v>7.4903370494987023</v>
      </c>
      <c r="CM144">
        <v>1.1815823097415749E-2</v>
      </c>
      <c r="CN144">
        <v>1.1815823097415749E-2</v>
      </c>
      <c r="CO144" t="e">
        <v>#N/A</v>
      </c>
      <c r="CP144" t="str">
        <v/>
      </c>
    </row>
    <row r="145" spans="44:94" x14ac:dyDescent="0.2">
      <c r="AR145">
        <v>137</v>
      </c>
      <c r="AS145">
        <v>137</v>
      </c>
      <c r="AT145">
        <v>1</v>
      </c>
      <c r="AU145">
        <v>-6.8586815194029631</v>
      </c>
      <c r="AV145">
        <v>1.1969845835763633E-2</v>
      </c>
      <c r="CD145">
        <v>137</v>
      </c>
      <c r="CE145">
        <v>4.6854637355276418</v>
      </c>
      <c r="CF145">
        <v>1.259808295647215E-2</v>
      </c>
      <c r="CG145" t="e">
        <v>#N/A</v>
      </c>
      <c r="CH145">
        <v>1.259808295647215E-2</v>
      </c>
      <c r="CI145" t="str">
        <v/>
      </c>
      <c r="CK145">
        <v>137</v>
      </c>
      <c r="CL145">
        <v>7.5458210276431368</v>
      </c>
      <c r="CM145">
        <v>1.1492533740907604E-2</v>
      </c>
      <c r="CN145">
        <v>1.1492533740907604E-2</v>
      </c>
      <c r="CO145" t="e">
        <v>#N/A</v>
      </c>
      <c r="CP145" t="str">
        <v/>
      </c>
    </row>
    <row r="146" spans="44:94" x14ac:dyDescent="0.2">
      <c r="AR146">
        <v>138</v>
      </c>
      <c r="AS146">
        <v>138</v>
      </c>
      <c r="AT146">
        <v>1</v>
      </c>
      <c r="AU146">
        <v>-6.8277409880856172</v>
      </c>
      <c r="AV146">
        <v>1.2144761156325982E-2</v>
      </c>
      <c r="CD146">
        <v>138</v>
      </c>
      <c r="CE146">
        <v>4.7199156747594628</v>
      </c>
      <c r="CF146">
        <v>1.2244895505555936E-2</v>
      </c>
      <c r="CG146" t="e">
        <v>#N/A</v>
      </c>
      <c r="CH146">
        <v>1.2244895505555936E-2</v>
      </c>
      <c r="CI146" t="str">
        <v/>
      </c>
      <c r="CK146">
        <v>138</v>
      </c>
      <c r="CL146">
        <v>7.6013050057875713</v>
      </c>
      <c r="CM146">
        <v>1.1178089812023898E-2</v>
      </c>
      <c r="CN146">
        <v>1.1178089812023898E-2</v>
      </c>
      <c r="CO146" t="e">
        <v>#N/A</v>
      </c>
      <c r="CP146" t="str">
        <v/>
      </c>
    </row>
    <row r="147" spans="44:94" x14ac:dyDescent="0.2">
      <c r="AR147">
        <v>139</v>
      </c>
      <c r="AS147">
        <v>139</v>
      </c>
      <c r="AT147">
        <v>1</v>
      </c>
      <c r="AU147">
        <v>-6.7968004567682705</v>
      </c>
      <c r="AV147">
        <v>1.2321596581470891E-2</v>
      </c>
      <c r="CD147">
        <v>139</v>
      </c>
      <c r="CE147">
        <v>4.754367613991282</v>
      </c>
      <c r="CF147">
        <v>1.1902158698153767E-2</v>
      </c>
      <c r="CG147" t="e">
        <v>#N/A</v>
      </c>
      <c r="CH147">
        <v>1.1902158698153767E-2</v>
      </c>
      <c r="CI147" t="str">
        <v/>
      </c>
      <c r="CK147">
        <v>139</v>
      </c>
      <c r="CL147">
        <v>7.6567889839320058</v>
      </c>
      <c r="CM147">
        <v>1.0872249293549159E-2</v>
      </c>
      <c r="CN147">
        <v>1.0872249293549159E-2</v>
      </c>
      <c r="CO147" t="e">
        <v>#N/A</v>
      </c>
      <c r="CP147" t="str">
        <v/>
      </c>
    </row>
    <row r="148" spans="44:94" x14ac:dyDescent="0.2">
      <c r="AR148">
        <v>140</v>
      </c>
      <c r="AS148">
        <v>140</v>
      </c>
      <c r="AT148">
        <v>1</v>
      </c>
      <c r="AU148">
        <v>-6.7658599254509246</v>
      </c>
      <c r="AV148">
        <v>1.2500361683818208E-2</v>
      </c>
      <c r="CD148">
        <v>140</v>
      </c>
      <c r="CE148">
        <v>4.788819553223103</v>
      </c>
      <c r="CF148">
        <v>1.1569547111378834E-2</v>
      </c>
      <c r="CG148" t="e">
        <v>#N/A</v>
      </c>
      <c r="CH148">
        <v>1.1569547111378834E-2</v>
      </c>
      <c r="CI148" t="str">
        <v/>
      </c>
      <c r="CK148">
        <v>140</v>
      </c>
      <c r="CL148">
        <v>7.7122729620764412</v>
      </c>
      <c r="CM148">
        <v>1.0574776790031697E-2</v>
      </c>
      <c r="CN148">
        <v>1.0574776790031697E-2</v>
      </c>
      <c r="CO148" t="e">
        <v>#N/A</v>
      </c>
      <c r="CP148" t="str">
        <v/>
      </c>
    </row>
    <row r="149" spans="44:94" x14ac:dyDescent="0.2">
      <c r="AR149">
        <v>141</v>
      </c>
      <c r="AS149">
        <v>141</v>
      </c>
      <c r="AT149">
        <v>1</v>
      </c>
      <c r="AU149">
        <v>-6.7349193941335779</v>
      </c>
      <c r="AV149">
        <v>1.2681065874190657E-2</v>
      </c>
      <c r="CD149">
        <v>141</v>
      </c>
      <c r="CE149">
        <v>4.823271492454924</v>
      </c>
      <c r="CF149">
        <v>1.1246745958334522E-2</v>
      </c>
      <c r="CG149" t="e">
        <v>#N/A</v>
      </c>
      <c r="CH149">
        <v>1.1246745958334522E-2</v>
      </c>
      <c r="CI149" t="str">
        <v/>
      </c>
      <c r="CK149">
        <v>141</v>
      </c>
      <c r="CL149">
        <v>7.7677569402208757</v>
      </c>
      <c r="CM149">
        <v>1.0285443346607484E-2</v>
      </c>
      <c r="CN149">
        <v>1.0285443346607484E-2</v>
      </c>
      <c r="CO149" t="e">
        <v>#N/A</v>
      </c>
      <c r="CP149" t="str">
        <v/>
      </c>
    </row>
    <row r="150" spans="44:94" x14ac:dyDescent="0.2">
      <c r="AR150">
        <v>142</v>
      </c>
      <c r="AS150">
        <v>142</v>
      </c>
      <c r="AT150">
        <v>1</v>
      </c>
      <c r="AU150">
        <v>-6.703978862816232</v>
      </c>
      <c r="AV150">
        <v>1.2863718397309756E-2</v>
      </c>
      <c r="CD150">
        <v>142</v>
      </c>
      <c r="CE150">
        <v>4.857723431686745</v>
      </c>
      <c r="CF150">
        <v>1.0933450724116209E-2</v>
      </c>
      <c r="CG150" t="e">
        <v>#N/A</v>
      </c>
      <c r="CH150">
        <v>1.0933450724116209E-2</v>
      </c>
      <c r="CI150" t="str">
        <v/>
      </c>
      <c r="CK150">
        <v>142</v>
      </c>
      <c r="CL150">
        <v>7.8232409183653102</v>
      </c>
      <c r="CM150">
        <v>1.0004026272781037E-2</v>
      </c>
      <c r="CN150">
        <v>1.0004026272781037E-2</v>
      </c>
      <c r="CO150" t="e">
        <v>#N/A</v>
      </c>
      <c r="CP150" t="str">
        <v/>
      </c>
    </row>
    <row r="151" spans="44:94" x14ac:dyDescent="0.2">
      <c r="AR151">
        <v>143</v>
      </c>
      <c r="AS151">
        <v>143</v>
      </c>
      <c r="AT151">
        <v>1</v>
      </c>
      <c r="AU151">
        <v>-6.6730383314988861</v>
      </c>
      <c r="AV151">
        <v>1.304832832747249E-2</v>
      </c>
      <c r="CD151">
        <v>143</v>
      </c>
      <c r="CE151">
        <v>4.892175370918566</v>
      </c>
      <c r="CF151">
        <v>1.0629366814829325E-2</v>
      </c>
      <c r="CG151" t="e">
        <v>#N/A</v>
      </c>
      <c r="CH151">
        <v>1.0629366814829325E-2</v>
      </c>
      <c r="CI151" t="str">
        <v/>
      </c>
      <c r="CK151">
        <v>143</v>
      </c>
      <c r="CL151">
        <v>7.8787248965097447</v>
      </c>
      <c r="CM151">
        <v>9.7303089710278172E-3</v>
      </c>
      <c r="CN151">
        <v>9.7303089710278172E-3</v>
      </c>
      <c r="CO151" t="e">
        <v>#N/A</v>
      </c>
      <c r="CP151" t="str">
        <v/>
      </c>
    </row>
    <row r="152" spans="44:94" x14ac:dyDescent="0.2">
      <c r="AR152">
        <v>144</v>
      </c>
      <c r="AS152">
        <v>144</v>
      </c>
      <c r="AT152">
        <v>1</v>
      </c>
      <c r="AU152">
        <v>-6.6420978001815394</v>
      </c>
      <c r="AV152">
        <v>1.3234904564210002E-2</v>
      </c>
      <c r="CD152">
        <v>144</v>
      </c>
      <c r="CE152">
        <v>4.926627310150387</v>
      </c>
      <c r="CF152">
        <v>1.0334209219137564E-2</v>
      </c>
      <c r="CG152" t="e">
        <v>#N/A</v>
      </c>
      <c r="CH152">
        <v>1.0334209219137564E-2</v>
      </c>
      <c r="CI152" t="str">
        <v/>
      </c>
      <c r="CK152">
        <v>144</v>
      </c>
      <c r="CL152">
        <v>7.9342088746541801</v>
      </c>
      <c r="CM152">
        <v>9.4640807700862306E-3</v>
      </c>
      <c r="CN152">
        <v>9.4640807700862306E-3</v>
      </c>
      <c r="CO152" t="e">
        <v>#N/A</v>
      </c>
      <c r="CP152" t="str">
        <v/>
      </c>
    </row>
    <row r="153" spans="44:94" x14ac:dyDescent="0.2">
      <c r="AR153">
        <v>145</v>
      </c>
      <c r="AS153">
        <v>145</v>
      </c>
      <c r="AT153">
        <v>1</v>
      </c>
      <c r="AU153">
        <v>-6.6111572688641935</v>
      </c>
      <c r="AV153">
        <v>1.3423455827929243E-2</v>
      </c>
      <c r="CD153">
        <v>145</v>
      </c>
      <c r="CE153">
        <v>4.961079249382208</v>
      </c>
      <c r="CF153">
        <v>1.0047702181875248E-2</v>
      </c>
      <c r="CG153" t="e">
        <v>#N/A</v>
      </c>
      <c r="CH153">
        <v>1.0047702181875248E-2</v>
      </c>
      <c r="CI153" t="str">
        <v/>
      </c>
      <c r="CK153">
        <v>145</v>
      </c>
      <c r="CL153">
        <v>7.9896928527986155</v>
      </c>
      <c r="CM153">
        <v>9.205136762810805E-3</v>
      </c>
      <c r="CN153">
        <v>9.205136762810805E-3</v>
      </c>
      <c r="CO153" t="e">
        <v>#N/A</v>
      </c>
      <c r="CP153" t="str">
        <v/>
      </c>
    </row>
    <row r="154" spans="44:94" x14ac:dyDescent="0.2">
      <c r="AR154">
        <v>146</v>
      </c>
      <c r="AS154">
        <v>146</v>
      </c>
      <c r="AT154">
        <v>1</v>
      </c>
      <c r="AU154">
        <v>-6.5802167375468468</v>
      </c>
      <c r="AV154">
        <v>1.3613990655538692E-2</v>
      </c>
      <c r="CD154">
        <v>146</v>
      </c>
      <c r="CE154">
        <v>4.995531188614029</v>
      </c>
      <c r="CF154">
        <v>9.7695788892752725E-3</v>
      </c>
      <c r="CG154" t="e">
        <v>#N/A</v>
      </c>
      <c r="CH154">
        <v>9.7695788892752725E-3</v>
      </c>
      <c r="CI154" t="str">
        <v/>
      </c>
      <c r="CK154">
        <v>146</v>
      </c>
      <c r="CL154">
        <v>8.0451768309430491</v>
      </c>
      <c r="CM154">
        <v>8.9532776484618961E-3</v>
      </c>
      <c r="CN154">
        <v>8.9532776484618961E-3</v>
      </c>
      <c r="CO154" t="e">
        <v>#N/A</v>
      </c>
      <c r="CP154" t="str">
        <v/>
      </c>
    </row>
    <row r="155" spans="44:94" x14ac:dyDescent="0.2">
      <c r="AR155">
        <v>147</v>
      </c>
      <c r="AS155">
        <v>147</v>
      </c>
      <c r="AT155">
        <v>1</v>
      </c>
      <c r="AU155">
        <v>-6.5492762062295009</v>
      </c>
      <c r="AV155">
        <v>1.3806517396059407E-2</v>
      </c>
      <c r="CD155">
        <v>147</v>
      </c>
      <c r="CE155">
        <v>5.02998312784585</v>
      </c>
      <c r="CF155">
        <v>9.4995811653814516E-3</v>
      </c>
      <c r="CG155" t="e">
        <v>#N/A</v>
      </c>
      <c r="CH155">
        <v>9.4995811653814516E-3</v>
      </c>
      <c r="CI155" t="str">
        <v/>
      </c>
      <c r="CK155">
        <v>147</v>
      </c>
      <c r="CL155">
        <v>8.1006608090874845</v>
      </c>
      <c r="CM155">
        <v>8.7083095793103592E-3</v>
      </c>
      <c r="CN155">
        <v>8.7083095793103592E-3</v>
      </c>
      <c r="CO155" t="e">
        <v>#N/A</v>
      </c>
      <c r="CP155" t="str">
        <v/>
      </c>
    </row>
    <row r="156" spans="44:94" x14ac:dyDescent="0.2">
      <c r="AR156">
        <v>148</v>
      </c>
      <c r="AS156">
        <v>148</v>
      </c>
      <c r="AT156">
        <v>1</v>
      </c>
      <c r="AU156">
        <v>-6.5183356749121542</v>
      </c>
      <c r="AV156">
        <v>1.4001044206222495E-2</v>
      </c>
      <c r="CD156">
        <v>148</v>
      </c>
      <c r="CE156">
        <v>5.064435067077671</v>
      </c>
      <c r="CF156">
        <v>9.2374591792312166E-3</v>
      </c>
      <c r="CG156" t="e">
        <v>#N/A</v>
      </c>
      <c r="CH156">
        <v>9.2374591792312166E-3</v>
      </c>
      <c r="CI156" t="str">
        <v/>
      </c>
      <c r="CK156">
        <v>148</v>
      </c>
      <c r="CL156">
        <v>8.1561447872319199</v>
      </c>
      <c r="CM156">
        <v>8.4700440114393628E-3</v>
      </c>
      <c r="CN156">
        <v>8.4700440114393628E-3</v>
      </c>
      <c r="CO156" t="e">
        <v>#N/A</v>
      </c>
      <c r="CP156" t="str">
        <v/>
      </c>
    </row>
    <row r="157" spans="44:94" x14ac:dyDescent="0.2">
      <c r="AR157">
        <v>149</v>
      </c>
      <c r="AS157">
        <v>149</v>
      </c>
      <c r="AT157">
        <v>1</v>
      </c>
      <c r="AU157">
        <v>-6.4873951435948083</v>
      </c>
      <c r="AV157">
        <v>1.419757904605406E-2</v>
      </c>
      <c r="CD157">
        <v>149</v>
      </c>
      <c r="CE157">
        <v>5.098887006309492</v>
      </c>
      <c r="CF157">
        <v>8.9829711624096909E-3</v>
      </c>
      <c r="CG157" t="e">
        <v>#N/A</v>
      </c>
      <c r="CH157">
        <v>8.9829711624096909E-3</v>
      </c>
      <c r="CI157" t="str">
        <v/>
      </c>
      <c r="CK157">
        <v>149</v>
      </c>
      <c r="CL157">
        <v>8.2116287653763553</v>
      </c>
      <c r="CM157">
        <v>8.2382975596282434E-3</v>
      </c>
      <c r="CN157">
        <v>8.2382975596282434E-3</v>
      </c>
      <c r="CO157" t="e">
        <v>#N/A</v>
      </c>
      <c r="CP157" t="str">
        <v/>
      </c>
    </row>
    <row r="158" spans="44:94" x14ac:dyDescent="0.2">
      <c r="AR158">
        <v>150</v>
      </c>
      <c r="AS158">
        <v>150</v>
      </c>
      <c r="AT158">
        <v>1</v>
      </c>
      <c r="AU158">
        <v>-6.4564546122774615</v>
      </c>
      <c r="AV158">
        <v>1.4396129674449122E-2</v>
      </c>
      <c r="CD158">
        <v>150</v>
      </c>
      <c r="CE158">
        <v>5.133338945541313</v>
      </c>
      <c r="CF158">
        <v>8.7358831365925271E-3</v>
      </c>
      <c r="CG158" t="e">
        <v>#N/A</v>
      </c>
      <c r="CH158">
        <v>8.7358831365925271E-3</v>
      </c>
      <c r="CI158" t="str">
        <v/>
      </c>
      <c r="CK158">
        <v>150</v>
      </c>
      <c r="CL158">
        <v>8.2671127435207907</v>
      </c>
      <c r="CM158">
        <v>8.0128918562069225E-3</v>
      </c>
      <c r="CN158">
        <v>8.0128918562069225E-3</v>
      </c>
      <c r="CO158" t="e">
        <v>#N/A</v>
      </c>
      <c r="CP158" t="str">
        <v/>
      </c>
    </row>
    <row r="159" spans="44:94" x14ac:dyDescent="0.2">
      <c r="AR159">
        <v>151</v>
      </c>
      <c r="AS159">
        <v>151</v>
      </c>
      <c r="AT159">
        <v>1</v>
      </c>
      <c r="AU159">
        <v>-6.4255140809601157</v>
      </c>
      <c r="AV159">
        <v>1.4596703644735379E-2</v>
      </c>
      <c r="CD159">
        <v>151</v>
      </c>
      <c r="CE159">
        <v>5.167790884773134</v>
      </c>
      <c r="CF159">
        <v>8.4959686507088978E-3</v>
      </c>
      <c r="CG159" t="e">
        <v>#N/A</v>
      </c>
      <c r="CH159">
        <v>8.4959686507088978E-3</v>
      </c>
      <c r="CI159">
        <v>5.1680000000000001</v>
      </c>
      <c r="CK159">
        <v>151</v>
      </c>
      <c r="CL159">
        <v>8.3225967216652244</v>
      </c>
      <c r="CM159">
        <v>7.7936534137721305E-3</v>
      </c>
      <c r="CN159">
        <v>7.7936534137721305E-3</v>
      </c>
      <c r="CO159" t="e">
        <v>#N/A</v>
      </c>
      <c r="CP159">
        <v>8.3230000000000004</v>
      </c>
    </row>
    <row r="160" spans="44:94" x14ac:dyDescent="0.2">
      <c r="AR160">
        <v>152</v>
      </c>
      <c r="AS160">
        <v>152</v>
      </c>
      <c r="AT160">
        <v>1</v>
      </c>
      <c r="AU160">
        <v>-6.3945735496427689</v>
      </c>
      <c r="AV160">
        <v>1.4799308300228372E-2</v>
      </c>
      <c r="CD160">
        <v>152</v>
      </c>
      <c r="CE160">
        <v>5.202242824004955</v>
      </c>
      <c r="CF160">
        <v>8.2630085273705228E-3</v>
      </c>
      <c r="CG160" t="e">
        <v>#N/A</v>
      </c>
      <c r="CH160">
        <v>8.2630085273705228E-3</v>
      </c>
      <c r="CI160" t="str">
        <v/>
      </c>
      <c r="CK160">
        <v>152</v>
      </c>
      <c r="CL160">
        <v>8.3780806998096597</v>
      </c>
      <c r="CM160">
        <v>7.580413491659806E-3</v>
      </c>
      <c r="CN160">
        <v>7.580413491659806E-3</v>
      </c>
      <c r="CO160" t="e">
        <v>#N/A</v>
      </c>
      <c r="CP160" t="str">
        <v/>
      </c>
    </row>
    <row r="161" spans="44:94" x14ac:dyDescent="0.2">
      <c r="AR161">
        <v>153</v>
      </c>
      <c r="AS161">
        <v>153</v>
      </c>
      <c r="AT161">
        <v>1</v>
      </c>
      <c r="AU161">
        <v>-6.3636330183254231</v>
      </c>
      <c r="AV161">
        <v>1.5003950769779107E-2</v>
      </c>
      <c r="CD161">
        <v>153</v>
      </c>
      <c r="CE161">
        <v>5.236694763236776</v>
      </c>
      <c r="CF161">
        <v>8.0367906182259429E-3</v>
      </c>
      <c r="CG161" t="e">
        <v>#N/A</v>
      </c>
      <c r="CH161">
        <v>8.0367906182259429E-3</v>
      </c>
      <c r="CI161" t="str">
        <v/>
      </c>
      <c r="CK161">
        <v>153</v>
      </c>
      <c r="CL161">
        <v>8.4335646779540934</v>
      </c>
      <c r="CM161">
        <v>7.3730079660709611E-3</v>
      </c>
      <c r="CN161">
        <v>7.3730079660709611E-3</v>
      </c>
      <c r="CO161" t="e">
        <v>#N/A</v>
      </c>
      <c r="CP161" t="str">
        <v/>
      </c>
    </row>
    <row r="162" spans="44:94" x14ac:dyDescent="0.2">
      <c r="AR162">
        <v>154</v>
      </c>
      <c r="AS162">
        <v>154</v>
      </c>
      <c r="AT162">
        <v>1</v>
      </c>
      <c r="AU162">
        <v>-6.3326924870080763</v>
      </c>
      <c r="AV162">
        <v>1.5210637963315453E-2</v>
      </c>
      <c r="CD162">
        <v>154</v>
      </c>
      <c r="CE162">
        <v>5.271146702468597</v>
      </c>
      <c r="CF162">
        <v>7.817109567912716E-3</v>
      </c>
      <c r="CG162" t="e">
        <v>#N/A</v>
      </c>
      <c r="CH162">
        <v>7.817109567912716E-3</v>
      </c>
      <c r="CI162" t="str">
        <v/>
      </c>
      <c r="CK162">
        <v>154</v>
      </c>
      <c r="CL162">
        <v>8.4890486560985288</v>
      </c>
      <c r="CM162">
        <v>7.1712772037509087E-3</v>
      </c>
      <c r="CN162">
        <v>7.1712772037509087E-3</v>
      </c>
      <c r="CO162" t="e">
        <v>#N/A</v>
      </c>
      <c r="CP162" t="str">
        <v/>
      </c>
    </row>
    <row r="163" spans="44:94" x14ac:dyDescent="0.2">
      <c r="AR163">
        <v>155</v>
      </c>
      <c r="AS163">
        <v>155</v>
      </c>
      <c r="AT163">
        <v>1</v>
      </c>
      <c r="AU163">
        <v>-6.3017519556907304</v>
      </c>
      <c r="AV163">
        <v>1.541937656737871E-2</v>
      </c>
      <c r="CD163">
        <v>155</v>
      </c>
      <c r="CE163">
        <v>5.3055986417004171</v>
      </c>
      <c r="CF163">
        <v>7.6037665862920371E-3</v>
      </c>
      <c r="CG163" t="e">
        <v>#N/A</v>
      </c>
      <c r="CH163">
        <v>7.6037665862920371E-3</v>
      </c>
      <c r="CI163" t="str">
        <v/>
      </c>
      <c r="CK163">
        <v>155</v>
      </c>
      <c r="CL163">
        <v>8.5445326342429642</v>
      </c>
      <c r="CM163">
        <v>6.9750659391248117E-3</v>
      </c>
      <c r="CN163">
        <v>6.9750659391248117E-3</v>
      </c>
      <c r="CO163" t="e">
        <v>#N/A</v>
      </c>
      <c r="CP163" t="str">
        <v/>
      </c>
    </row>
    <row r="164" spans="44:94" x14ac:dyDescent="0.2">
      <c r="AR164">
        <v>156</v>
      </c>
      <c r="AS164">
        <v>156</v>
      </c>
      <c r="AT164">
        <v>1</v>
      </c>
      <c r="AU164">
        <v>-6.2708114243733846</v>
      </c>
      <c r="AV164">
        <v>1.5630173040656659E-2</v>
      </c>
      <c r="CD164">
        <v>156</v>
      </c>
      <c r="CE164">
        <v>5.3400505809322381</v>
      </c>
      <c r="CF164">
        <v>7.3965692286631669E-3</v>
      </c>
      <c r="CG164" t="e">
        <v>#N/A</v>
      </c>
      <c r="CH164">
        <v>7.3965692286631669E-3</v>
      </c>
      <c r="CI164" t="str">
        <v/>
      </c>
      <c r="CK164">
        <v>156</v>
      </c>
      <c r="CL164">
        <v>8.6000166123873978</v>
      </c>
      <c r="CM164">
        <v>6.7842231547948131E-3</v>
      </c>
      <c r="CN164">
        <v>6.7842231547948131E-3</v>
      </c>
      <c r="CO164" t="e">
        <v>#N/A</v>
      </c>
      <c r="CP164" t="str">
        <v/>
      </c>
    </row>
    <row r="165" spans="44:94" x14ac:dyDescent="0.2">
      <c r="AR165">
        <v>157</v>
      </c>
      <c r="AS165">
        <v>157</v>
      </c>
      <c r="AT165">
        <v>1</v>
      </c>
      <c r="AU165">
        <v>-6.2398708930560378</v>
      </c>
      <c r="AV165">
        <v>1.5843033609514254E-2</v>
      </c>
      <c r="CD165">
        <v>157</v>
      </c>
      <c r="CE165">
        <v>5.3745025201640582</v>
      </c>
      <c r="CF165">
        <v>7.1953311836657303E-3</v>
      </c>
      <c r="CG165" t="e">
        <v>#N/A</v>
      </c>
      <c r="CH165">
        <v>7.1953311836657303E-3</v>
      </c>
      <c r="CI165" t="str">
        <v/>
      </c>
      <c r="CK165">
        <v>157</v>
      </c>
      <c r="CL165">
        <v>8.6555005905318332</v>
      </c>
      <c r="CM165">
        <v>6.5986019653068795E-3</v>
      </c>
      <c r="CN165">
        <v>6.5986019653068795E-3</v>
      </c>
      <c r="CO165" t="e">
        <v>#N/A</v>
      </c>
      <c r="CP165" t="str">
        <v/>
      </c>
    </row>
    <row r="166" spans="44:94" x14ac:dyDescent="0.2">
      <c r="AR166">
        <v>158</v>
      </c>
      <c r="AS166">
        <v>158</v>
      </c>
      <c r="AT166">
        <v>1</v>
      </c>
      <c r="AU166">
        <v>-6.2089303617386919</v>
      </c>
      <c r="AV166">
        <v>1.6057964263523558E-2</v>
      </c>
      <c r="CD166">
        <v>158</v>
      </c>
      <c r="CE166">
        <v>5.4089544593958792</v>
      </c>
      <c r="CF166">
        <v>6.9998720685896902E-3</v>
      </c>
      <c r="CG166" t="e">
        <v>#N/A</v>
      </c>
      <c r="CH166">
        <v>6.9998720685896902E-3</v>
      </c>
      <c r="CI166" t="str">
        <v/>
      </c>
      <c r="CK166">
        <v>158</v>
      </c>
      <c r="CL166">
        <v>8.7109845686762686</v>
      </c>
      <c r="CM166">
        <v>6.4180595040978878E-3</v>
      </c>
      <c r="CN166">
        <v>6.4180595040978878E-3</v>
      </c>
      <c r="CO166" t="e">
        <v>#N/A</v>
      </c>
      <c r="CP166" t="str">
        <v/>
      </c>
    </row>
    <row r="167" spans="44:94" x14ac:dyDescent="0.2">
      <c r="AR167">
        <v>159</v>
      </c>
      <c r="AS167">
        <v>159</v>
      </c>
      <c r="AT167">
        <v>1</v>
      </c>
      <c r="AU167">
        <v>-6.1779898304213452</v>
      </c>
      <c r="AV167">
        <v>1.6274970750994225E-2</v>
      </c>
      <c r="CD167">
        <v>159</v>
      </c>
      <c r="CE167">
        <v>5.4434063986277001</v>
      </c>
      <c r="CF167">
        <v>6.8100172318231803E-3</v>
      </c>
      <c r="CG167" t="e">
        <v>#N/A</v>
      </c>
      <c r="CH167">
        <v>6.8100172318231803E-3</v>
      </c>
      <c r="CI167" t="str">
        <v/>
      </c>
      <c r="CK167">
        <v>159</v>
      </c>
      <c r="CL167">
        <v>8.7664685468207022</v>
      </c>
      <c r="CM167">
        <v>6.2424568135358953E-3</v>
      </c>
      <c r="CN167">
        <v>6.2424568135358953E-3</v>
      </c>
      <c r="CO167" t="e">
        <v>#N/A</v>
      </c>
      <c r="CP167" t="str">
        <v/>
      </c>
    </row>
    <row r="168" spans="44:94" x14ac:dyDescent="0.2">
      <c r="AR168">
        <v>160</v>
      </c>
      <c r="AS168">
        <v>160</v>
      </c>
      <c r="AT168">
        <v>1</v>
      </c>
      <c r="AU168">
        <v>-6.1470492991039993</v>
      </c>
      <c r="AV168">
        <v>1.6494058574505775E-2</v>
      </c>
      <c r="CD168">
        <v>160</v>
      </c>
      <c r="CE168">
        <v>5.4778583378595211</v>
      </c>
      <c r="CF168">
        <v>6.625597562178529E-3</v>
      </c>
      <c r="CG168" t="e">
        <v>#N/A</v>
      </c>
      <c r="CH168">
        <v>6.625597562178529E-3</v>
      </c>
      <c r="CI168" t="str">
        <v/>
      </c>
      <c r="CK168">
        <v>160</v>
      </c>
      <c r="CL168">
        <v>8.8219525249651376</v>
      </c>
      <c r="CM168">
        <v>6.0716587379689591E-3</v>
      </c>
      <c r="CN168">
        <v>6.0716587379689591E-3</v>
      </c>
      <c r="CO168" t="e">
        <v>#N/A</v>
      </c>
      <c r="CP168" t="str">
        <v/>
      </c>
    </row>
    <row r="169" spans="44:94" x14ac:dyDescent="0.2">
      <c r="AR169">
        <v>161</v>
      </c>
      <c r="AS169">
        <v>161</v>
      </c>
      <c r="AT169">
        <v>1</v>
      </c>
      <c r="AU169">
        <v>-6.1161087677866526</v>
      </c>
      <c r="AV169">
        <v>1.671523298644342E-2</v>
      </c>
      <c r="CD169">
        <v>161</v>
      </c>
      <c r="CE169">
        <v>5.5123102770913421</v>
      </c>
      <c r="CF169">
        <v>6.4464493048467762E-3</v>
      </c>
      <c r="CG169" t="e">
        <v>#N/A</v>
      </c>
      <c r="CH169">
        <v>6.4464493048467762E-3</v>
      </c>
      <c r="CI169" t="str">
        <v/>
      </c>
      <c r="CK169">
        <v>161</v>
      </c>
      <c r="CL169">
        <v>8.8774365031095712</v>
      </c>
      <c r="CM169">
        <v>5.9055338197003095E-3</v>
      </c>
      <c r="CN169">
        <v>5.9055338197003095E-3</v>
      </c>
      <c r="CO169" t="e">
        <v>#N/A</v>
      </c>
      <c r="CP169" t="str">
        <v/>
      </c>
    </row>
    <row r="170" spans="44:94" x14ac:dyDescent="0.2">
      <c r="AR170">
        <v>162</v>
      </c>
      <c r="AS170">
        <v>162</v>
      </c>
      <c r="AT170">
        <v>1</v>
      </c>
      <c r="AU170">
        <v>-6.0851682364693067</v>
      </c>
      <c r="AV170">
        <v>1.6938498984538457E-2</v>
      </c>
      <c r="CD170">
        <v>162</v>
      </c>
      <c r="CE170">
        <v>5.5467622163231631</v>
      </c>
      <c r="CF170">
        <v>6.2724138837404698E-3</v>
      </c>
      <c r="CG170" t="e">
        <v>#N/A</v>
      </c>
      <c r="CH170">
        <v>6.2724138837404698E-3</v>
      </c>
      <c r="CI170" t="str">
        <v/>
      </c>
      <c r="CK170">
        <v>162</v>
      </c>
      <c r="CL170">
        <v>8.9329204812540066</v>
      </c>
      <c r="CM170">
        <v>5.7439541978095933E-3</v>
      </c>
      <c r="CN170">
        <v>5.7439541978095933E-3</v>
      </c>
      <c r="CO170" t="e">
        <v>#N/A</v>
      </c>
      <c r="CP170" t="str">
        <v/>
      </c>
    </row>
    <row r="171" spans="44:94" x14ac:dyDescent="0.2">
      <c r="AR171">
        <v>163</v>
      </c>
      <c r="AS171">
        <v>163</v>
      </c>
      <c r="AT171">
        <v>1</v>
      </c>
      <c r="AU171">
        <v>-6.05422770515196</v>
      </c>
      <c r="AV171">
        <v>1.7163861307415051E-2</v>
      </c>
      <c r="CD171">
        <v>163</v>
      </c>
      <c r="CE171">
        <v>5.5812141555549841</v>
      </c>
      <c r="CF171">
        <v>6.1033377299934454E-3</v>
      </c>
      <c r="CG171" t="e">
        <v>#N/A</v>
      </c>
      <c r="CH171">
        <v>6.1033377299934454E-3</v>
      </c>
      <c r="CI171" t="str">
        <v/>
      </c>
      <c r="CK171">
        <v>163</v>
      </c>
      <c r="CL171">
        <v>8.988404459398442</v>
      </c>
      <c r="CM171">
        <v>5.5867955097425462E-3</v>
      </c>
      <c r="CN171">
        <v>5.5867955097425462E-3</v>
      </c>
      <c r="CO171" t="e">
        <v>#N/A</v>
      </c>
      <c r="CP171" t="str">
        <v/>
      </c>
    </row>
    <row r="172" spans="44:94" x14ac:dyDescent="0.2">
      <c r="AR172">
        <v>164</v>
      </c>
      <c r="AS172">
        <v>164</v>
      </c>
      <c r="AT172">
        <v>1</v>
      </c>
      <c r="AU172">
        <v>-6.0232871738346141</v>
      </c>
      <c r="AV172">
        <v>1.7391324430144638E-2</v>
      </c>
      <c r="CD172">
        <v>164</v>
      </c>
      <c r="CE172">
        <v>5.6156660947868051</v>
      </c>
      <c r="CF172">
        <v>5.9390721163949337E-3</v>
      </c>
      <c r="CG172" t="e">
        <v>#N/A</v>
      </c>
      <c r="CH172">
        <v>5.9390721163949337E-3</v>
      </c>
      <c r="CI172" t="str">
        <v/>
      </c>
      <c r="CK172">
        <v>164</v>
      </c>
      <c r="CL172">
        <v>9.0438884375428756</v>
      </c>
      <c r="CM172">
        <v>5.4339367955931906E-3</v>
      </c>
      <c r="CN172">
        <v>5.4339367955931906E-3</v>
      </c>
      <c r="CO172" t="e">
        <v>#N/A</v>
      </c>
      <c r="CP172" t="str">
        <v/>
      </c>
    </row>
    <row r="173" spans="44:94" x14ac:dyDescent="0.2">
      <c r="AR173">
        <v>165</v>
      </c>
      <c r="AS173">
        <v>165</v>
      </c>
      <c r="AT173">
        <v>1</v>
      </c>
      <c r="AU173">
        <v>-5.9923466425172673</v>
      </c>
      <c r="AV173">
        <v>1.7620892559809621E-2</v>
      </c>
      <c r="CD173">
        <v>165</v>
      </c>
      <c r="CE173">
        <v>5.6501180340186261</v>
      </c>
      <c r="CF173">
        <v>5.7794729975441678E-3</v>
      </c>
      <c r="CG173" t="e">
        <v>#N/A</v>
      </c>
      <c r="CH173">
        <v>5.7794729975441678E-3</v>
      </c>
      <c r="CI173" t="str">
        <v/>
      </c>
      <c r="CK173">
        <v>165</v>
      </c>
      <c r="CL173">
        <v>9.099372415687311</v>
      </c>
      <c r="CM173">
        <v>5.2852604050049193E-3</v>
      </c>
      <c r="CN173">
        <v>5.2852604050049193E-3</v>
      </c>
      <c r="CO173" t="e">
        <v>#N/A</v>
      </c>
      <c r="CP173" t="str">
        <v/>
      </c>
    </row>
    <row r="174" spans="44:94" x14ac:dyDescent="0.2">
      <c r="AR174">
        <v>166</v>
      </c>
      <c r="AS174">
        <v>166</v>
      </c>
      <c r="AT174">
        <v>1</v>
      </c>
      <c r="AU174">
        <v>-5.9614061111999215</v>
      </c>
      <c r="AV174">
        <v>1.7852569631077599E-2</v>
      </c>
      <c r="CD174">
        <v>166</v>
      </c>
      <c r="CE174">
        <v>5.6845699732504471</v>
      </c>
      <c r="CF174">
        <v>5.6244008555190687E-3</v>
      </c>
      <c r="CG174" t="e">
        <v>#N/A</v>
      </c>
      <c r="CH174">
        <v>5.6244008555190687E-3</v>
      </c>
      <c r="CI174" t="str">
        <v/>
      </c>
      <c r="CK174">
        <v>166</v>
      </c>
      <c r="CL174">
        <v>9.1548563938317447</v>
      </c>
      <c r="CM174">
        <v>5.1406519066189123E-3</v>
      </c>
      <c r="CN174">
        <v>5.1406519066189123E-3</v>
      </c>
      <c r="CO174" t="e">
        <v>#N/A</v>
      </c>
      <c r="CP174" t="str">
        <v/>
      </c>
    </row>
    <row r="175" spans="44:94" x14ac:dyDescent="0.2">
      <c r="AR175">
        <v>167</v>
      </c>
      <c r="AS175">
        <v>167</v>
      </c>
      <c r="AT175">
        <v>1</v>
      </c>
      <c r="AU175">
        <v>-5.9304655798825747</v>
      </c>
      <c r="AV175">
        <v>1.8086359301788039E-2</v>
      </c>
      <c r="CD175">
        <v>167</v>
      </c>
      <c r="CE175">
        <v>5.7190219124822681</v>
      </c>
      <c r="CF175">
        <v>5.4737205508607906E-3</v>
      </c>
      <c r="CG175" t="e">
        <v>#N/A</v>
      </c>
      <c r="CH175">
        <v>5.4737205508607906E-3</v>
      </c>
      <c r="CI175" t="str">
        <v/>
      </c>
      <c r="CK175">
        <v>167</v>
      </c>
      <c r="CL175">
        <v>9.2103403719761818</v>
      </c>
      <c r="CM175">
        <v>5.0000000000000027E-3</v>
      </c>
      <c r="CN175">
        <v>5.0000000000000027E-3</v>
      </c>
      <c r="CO175" t="e">
        <v>#N/A</v>
      </c>
      <c r="CP175" t="str">
        <v/>
      </c>
    </row>
    <row r="176" spans="44:94" x14ac:dyDescent="0.2">
      <c r="AR176">
        <v>168</v>
      </c>
      <c r="AS176">
        <v>168</v>
      </c>
      <c r="AT176">
        <v>1</v>
      </c>
      <c r="AU176">
        <v>-5.8995250485652289</v>
      </c>
      <c r="AV176">
        <v>1.8322264948552495E-2</v>
      </c>
      <c r="CD176">
        <v>168</v>
      </c>
      <c r="CE176">
        <v>5.7534738517140891</v>
      </c>
      <c r="CF176">
        <v>5.327301178683198E-3</v>
      </c>
      <c r="CG176" t="e">
        <v>#N/A</v>
      </c>
      <c r="CH176">
        <v>5.327301178683198E-3</v>
      </c>
      <c r="CI176" t="str">
        <v/>
      </c>
      <c r="CK176">
        <v>168</v>
      </c>
      <c r="CL176">
        <v>9.2658243501206172</v>
      </c>
      <c r="CM176">
        <v>4.8631964299724268E-3</v>
      </c>
      <c r="CN176">
        <v>4.8631964299724268E-3</v>
      </c>
      <c r="CO176" t="e">
        <v>#N/A</v>
      </c>
      <c r="CP176" t="str">
        <v/>
      </c>
    </row>
    <row r="177" spans="44:94" x14ac:dyDescent="0.2">
      <c r="AR177">
        <v>169</v>
      </c>
      <c r="AS177">
        <v>169</v>
      </c>
      <c r="AT177">
        <v>1</v>
      </c>
      <c r="AU177">
        <v>-5.868584517247883</v>
      </c>
      <c r="AV177">
        <v>1.8560289662370315E-2</v>
      </c>
      <c r="CD177">
        <v>169</v>
      </c>
      <c r="CE177">
        <v>5.7879257909459101</v>
      </c>
      <c r="CF177">
        <v>5.1850159297233767E-3</v>
      </c>
      <c r="CG177" t="e">
        <v>#N/A</v>
      </c>
      <c r="CH177">
        <v>5.1850159297233767E-3</v>
      </c>
      <c r="CI177" t="str">
        <v/>
      </c>
      <c r="CK177">
        <v>169</v>
      </c>
      <c r="CL177">
        <v>9.3213083282650508</v>
      </c>
      <c r="CM177">
        <v>4.7301359032993137E-3</v>
      </c>
      <c r="CN177">
        <v>4.7301359032993137E-3</v>
      </c>
      <c r="CO177" t="e">
        <v>#N/A</v>
      </c>
      <c r="CP177" t="str">
        <v/>
      </c>
    </row>
    <row r="178" spans="44:94" x14ac:dyDescent="0.2">
      <c r="AR178">
        <v>170</v>
      </c>
      <c r="AS178">
        <v>170</v>
      </c>
      <c r="AT178">
        <v>1</v>
      </c>
      <c r="AU178">
        <v>-5.8376439859305362</v>
      </c>
      <c r="AV178">
        <v>1.8800436244261115E-2</v>
      </c>
      <c r="CD178">
        <v>170</v>
      </c>
      <c r="CE178">
        <v>5.8223777301777311</v>
      </c>
      <c r="CF178">
        <v>5.0467419561563013E-3</v>
      </c>
      <c r="CG178" t="e">
        <v>#N/A</v>
      </c>
      <c r="CH178">
        <v>5.0467419561563013E-3</v>
      </c>
      <c r="CI178" t="str">
        <v/>
      </c>
      <c r="CK178">
        <v>170</v>
      </c>
      <c r="CL178">
        <v>9.3767923064094862</v>
      </c>
      <c r="CM178">
        <v>4.6007160076419222E-3</v>
      </c>
      <c r="CN178">
        <v>4.6007160076419222E-3</v>
      </c>
      <c r="CO178" t="e">
        <v>#N/A</v>
      </c>
      <c r="CP178" t="str">
        <v/>
      </c>
    </row>
    <row r="179" spans="44:94" x14ac:dyDescent="0.2">
      <c r="AR179">
        <v>171</v>
      </c>
      <c r="AS179">
        <v>171</v>
      </c>
      <c r="AT179">
        <v>1</v>
      </c>
      <c r="AU179">
        <v>-5.8067034546131904</v>
      </c>
      <c r="AV179">
        <v>1.9042707200915724E-2</v>
      </c>
      <c r="CD179">
        <v>171</v>
      </c>
      <c r="CE179">
        <v>5.8568296694095521</v>
      </c>
      <c r="CF179">
        <v>4.9123602420033151E-3</v>
      </c>
      <c r="CG179" t="e">
        <v>#N/A</v>
      </c>
      <c r="CH179">
        <v>4.9123602420033151E-3</v>
      </c>
      <c r="CI179" t="str">
        <v/>
      </c>
      <c r="CK179">
        <v>171</v>
      </c>
      <c r="CL179">
        <v>9.4322762845539216</v>
      </c>
      <c r="CM179">
        <v>4.4748371327362358E-3</v>
      </c>
      <c r="CN179">
        <v>4.4748371327362358E-3</v>
      </c>
      <c r="CO179" t="e">
        <v>#N/A</v>
      </c>
      <c r="CP179" t="str">
        <v/>
      </c>
    </row>
    <row r="180" spans="44:94" x14ac:dyDescent="0.2">
      <c r="AR180">
        <v>172</v>
      </c>
      <c r="AS180">
        <v>172</v>
      </c>
      <c r="AT180">
        <v>1</v>
      </c>
      <c r="AU180">
        <v>-5.7757629232958436</v>
      </c>
      <c r="AV180">
        <v>1.928710474036727E-2</v>
      </c>
      <c r="CD180">
        <v>172</v>
      </c>
      <c r="CE180">
        <v>5.8912816086413722</v>
      </c>
      <c r="CF180">
        <v>4.781755477970372E-3</v>
      </c>
      <c r="CG180" t="e">
        <v>#N/A</v>
      </c>
      <c r="CH180">
        <v>4.781755477970372E-3</v>
      </c>
      <c r="CI180" t="str">
        <v/>
      </c>
      <c r="CK180">
        <v>172</v>
      </c>
      <c r="CL180">
        <v>9.4877602626983553</v>
      </c>
      <c r="CM180">
        <v>4.3524023937261853E-3</v>
      </c>
      <c r="CN180">
        <v>4.3524023937261853E-3</v>
      </c>
      <c r="CO180" t="e">
        <v>#N/A</v>
      </c>
      <c r="CP180" t="str">
        <v/>
      </c>
    </row>
    <row r="181" spans="44:94" x14ac:dyDescent="0.2">
      <c r="AR181">
        <v>173</v>
      </c>
      <c r="AS181">
        <v>173</v>
      </c>
      <c r="AT181">
        <v>1</v>
      </c>
      <c r="AU181">
        <v>-5.7448223919784978</v>
      </c>
      <c r="AV181">
        <v>1.9533630767683819E-2</v>
      </c>
      <c r="CD181">
        <v>173</v>
      </c>
      <c r="CE181">
        <v>5.9257335478731932</v>
      </c>
      <c r="CF181">
        <v>4.6548159405581579E-3</v>
      </c>
      <c r="CG181" t="e">
        <v>#N/A</v>
      </c>
      <c r="CH181">
        <v>4.6548159405581579E-3</v>
      </c>
      <c r="CI181" t="str">
        <v/>
      </c>
      <c r="CK181">
        <v>173</v>
      </c>
      <c r="CL181">
        <v>9.5432442408427907</v>
      </c>
      <c r="CM181">
        <v>4.2333175565945243E-3</v>
      </c>
      <c r="CN181">
        <v>4.2333175565945243E-3</v>
      </c>
      <c r="CO181" t="e">
        <v>#N/A</v>
      </c>
      <c r="CP181" t="str">
        <v/>
      </c>
    </row>
    <row r="182" spans="44:94" x14ac:dyDescent="0.2">
      <c r="AR182">
        <v>174</v>
      </c>
      <c r="AS182">
        <v>174</v>
      </c>
      <c r="AT182">
        <v>1</v>
      </c>
      <c r="AU182">
        <v>-5.713881860661151</v>
      </c>
      <c r="AV182">
        <v>1.9782286880684379E-2</v>
      </c>
      <c r="CD182">
        <v>174</v>
      </c>
      <c r="CE182">
        <v>5.9601854871050142</v>
      </c>
      <c r="CF182">
        <v>4.5314333752920453E-3</v>
      </c>
      <c r="CG182" t="e">
        <v>#N/A</v>
      </c>
      <c r="CH182">
        <v>4.5314333752920453E-3</v>
      </c>
      <c r="CI182" t="str">
        <v/>
      </c>
      <c r="CK182">
        <v>174</v>
      </c>
      <c r="CL182">
        <v>9.5987282189872243</v>
      </c>
      <c r="CM182">
        <v>4.1174909656340195E-3</v>
      </c>
      <c r="CN182">
        <v>4.1174909656340195E-3</v>
      </c>
      <c r="CO182" t="e">
        <v>#N/A</v>
      </c>
      <c r="CP182" t="str">
        <v/>
      </c>
    </row>
    <row r="183" spans="44:94" x14ac:dyDescent="0.2">
      <c r="AR183">
        <v>175</v>
      </c>
      <c r="AS183">
        <v>175</v>
      </c>
      <c r="AT183">
        <v>1</v>
      </c>
      <c r="AU183">
        <v>-5.6829413293438051</v>
      </c>
      <c r="AV183">
        <v>2.0033074365679762E-2</v>
      </c>
      <c r="CD183">
        <v>175</v>
      </c>
      <c r="CE183">
        <v>5.9946374263368343</v>
      </c>
      <c r="CF183">
        <v>4.411502883925454E-3</v>
      </c>
      <c r="CG183" t="e">
        <v>#N/A</v>
      </c>
      <c r="CH183">
        <v>4.411502883925454E-3</v>
      </c>
      <c r="CI183" t="str">
        <v/>
      </c>
      <c r="CK183">
        <v>175</v>
      </c>
      <c r="CL183">
        <v>9.6542121971316597</v>
      </c>
      <c r="CM183">
        <v>4.0048334729030147E-3</v>
      </c>
      <c r="CN183">
        <v>4.0048334729030147E-3</v>
      </c>
      <c r="CO183" t="e">
        <v>#N/A</v>
      </c>
      <c r="CP183" t="str">
        <v/>
      </c>
    </row>
    <row r="184" spans="44:94" x14ac:dyDescent="0.2">
      <c r="AR184">
        <v>176</v>
      </c>
      <c r="AS184">
        <v>176</v>
      </c>
      <c r="AT184">
        <v>1</v>
      </c>
      <c r="AU184">
        <v>-5.6520007980264584</v>
      </c>
      <c r="AV184">
        <v>2.0285994193240085E-2</v>
      </c>
      <c r="CD184">
        <v>176</v>
      </c>
      <c r="CE184">
        <v>6.0290893655686553</v>
      </c>
      <c r="CF184">
        <v>4.2949228154755955E-3</v>
      </c>
      <c r="CG184" t="e">
        <v>#N/A</v>
      </c>
      <c r="CH184">
        <v>4.2949228154755955E-3</v>
      </c>
      <c r="CI184">
        <v>6.0289999999999999</v>
      </c>
      <c r="CK184">
        <v>176</v>
      </c>
      <c r="CL184">
        <v>9.7096961752760951</v>
      </c>
      <c r="CM184">
        <v>3.8952583696112019E-3</v>
      </c>
      <c r="CN184">
        <v>3.8952583696112019E-3</v>
      </c>
      <c r="CO184" t="e">
        <v>#N/A</v>
      </c>
      <c r="CP184">
        <v>9.7100000000000009</v>
      </c>
    </row>
    <row r="185" spans="44:94" x14ac:dyDescent="0.2">
      <c r="AR185">
        <v>177</v>
      </c>
      <c r="AS185">
        <v>177</v>
      </c>
      <c r="AT185">
        <v>1</v>
      </c>
      <c r="AU185">
        <v>-5.6210602667091125</v>
      </c>
      <c r="AV185">
        <v>2.0541047013990395E-2</v>
      </c>
      <c r="CD185">
        <v>177</v>
      </c>
      <c r="CE185">
        <v>6.0635413048004763</v>
      </c>
      <c r="CF185">
        <v>4.1815946609558589E-3</v>
      </c>
      <c r="CG185" t="e">
        <v>#N/A</v>
      </c>
      <c r="CH185">
        <v>4.1815946609558589E-3</v>
      </c>
      <c r="CI185" t="str">
        <v/>
      </c>
      <c r="CK185">
        <v>177</v>
      </c>
      <c r="CL185">
        <v>9.7651801534205287</v>
      </c>
      <c r="CM185">
        <v>3.7886813193826851E-3</v>
      </c>
      <c r="CN185">
        <v>3.7886813193826851E-3</v>
      </c>
      <c r="CO185" t="e">
        <v>#N/A</v>
      </c>
      <c r="CP185" t="str">
        <v/>
      </c>
    </row>
    <row r="186" spans="44:94" x14ac:dyDescent="0.2">
      <c r="AR186">
        <v>178</v>
      </c>
      <c r="AS186">
        <v>178</v>
      </c>
      <c r="AT186">
        <v>1</v>
      </c>
      <c r="AU186">
        <v>-5.5901197353917658</v>
      </c>
      <c r="AV186">
        <v>2.0798233154436345E-2</v>
      </c>
      <c r="CD186">
        <v>178</v>
      </c>
      <c r="CE186">
        <v>6.0979932440322973</v>
      </c>
      <c r="CF186">
        <v>4.0714229516739999E-3</v>
      </c>
      <c r="CG186" t="e">
        <v>#N/A</v>
      </c>
      <c r="CH186">
        <v>4.0714229516739999E-3</v>
      </c>
      <c r="CI186" t="str">
        <v/>
      </c>
      <c r="CK186">
        <v>178</v>
      </c>
      <c r="CL186">
        <v>9.8206641315649641</v>
      </c>
      <c r="CM186">
        <v>3.6850202933450173E-3</v>
      </c>
      <c r="CN186">
        <v>3.6850202933450173E-3</v>
      </c>
      <c r="CO186" t="e">
        <v>#N/A</v>
      </c>
      <c r="CP186" t="str">
        <v/>
      </c>
    </row>
    <row r="187" spans="44:94" x14ac:dyDescent="0.2">
      <c r="AR187">
        <v>179</v>
      </c>
      <c r="AS187">
        <v>179</v>
      </c>
      <c r="AT187">
        <v>1</v>
      </c>
      <c r="AU187">
        <v>-5.5591792040744199</v>
      </c>
      <c r="AV187">
        <v>2.1057552612821207E-2</v>
      </c>
      <c r="CD187">
        <v>179</v>
      </c>
      <c r="CE187">
        <v>6.1324451832641182</v>
      </c>
      <c r="CF187">
        <v>3.9643151609702306E-3</v>
      </c>
      <c r="CG187" t="e">
        <v>#N/A</v>
      </c>
      <c r="CH187">
        <v>3.9643151609702306E-3</v>
      </c>
      <c r="CI187" t="str">
        <v/>
      </c>
      <c r="CK187">
        <v>179</v>
      </c>
      <c r="CL187">
        <v>9.8761481097093995</v>
      </c>
      <c r="CM187">
        <v>3.5841955069942856E-3</v>
      </c>
      <c r="CN187">
        <v>3.5841955069942856E-3</v>
      </c>
      <c r="CO187" t="e">
        <v>#N/A</v>
      </c>
      <c r="CP187" t="str">
        <v/>
      </c>
    </row>
    <row r="188" spans="44:94" x14ac:dyDescent="0.2">
      <c r="AR188">
        <v>180</v>
      </c>
      <c r="AS188">
        <v>180</v>
      </c>
      <c r="AT188">
        <v>1</v>
      </c>
      <c r="AU188">
        <v>-5.5282386727570731</v>
      </c>
      <c r="AV188">
        <v>2.1319005055016351E-2</v>
      </c>
      <c r="CD188">
        <v>180</v>
      </c>
      <c r="CE188">
        <v>6.1668971224959392</v>
      </c>
      <c r="CF188">
        <v>3.8601816092737528E-3</v>
      </c>
      <c r="CG188" t="e">
        <v>#N/A</v>
      </c>
      <c r="CH188">
        <v>3.8601816092737528E-3</v>
      </c>
      <c r="CI188" t="str">
        <v/>
      </c>
      <c r="CK188">
        <v>180</v>
      </c>
      <c r="CL188">
        <v>9.9316320878538331</v>
      </c>
      <c r="CM188">
        <v>3.4861293587875658E-3</v>
      </c>
      <c r="CN188">
        <v>3.4861293587875658E-3</v>
      </c>
      <c r="CO188" t="e">
        <v>#N/A</v>
      </c>
      <c r="CP188" t="str">
        <v/>
      </c>
    </row>
    <row r="189" spans="44:94" x14ac:dyDescent="0.2">
      <c r="AR189">
        <v>181</v>
      </c>
      <c r="AS189">
        <v>181</v>
      </c>
      <c r="AT189">
        <v>1</v>
      </c>
      <c r="AU189">
        <v>-5.4972981414397273</v>
      </c>
      <c r="AV189">
        <v>2.1582589810446553E-2</v>
      </c>
      <c r="CD189">
        <v>181</v>
      </c>
      <c r="CE189">
        <v>6.2013490617277602</v>
      </c>
      <c r="CF189">
        <v>3.7589353723610675E-3</v>
      </c>
      <c r="CG189" t="e">
        <v>#N/A</v>
      </c>
      <c r="CH189">
        <v>3.7589353723610675E-3</v>
      </c>
      <c r="CI189" t="str">
        <v/>
      </c>
      <c r="CK189">
        <v>181</v>
      </c>
      <c r="CL189">
        <v>9.9871160659982685</v>
      </c>
      <c r="CM189">
        <v>3.3907463704155498E-3</v>
      </c>
      <c r="CN189">
        <v>3.3907463704155498E-3</v>
      </c>
      <c r="CO189" t="e">
        <v>#N/A</v>
      </c>
      <c r="CP189" t="str">
        <v/>
      </c>
    </row>
    <row r="190" spans="44:94" x14ac:dyDescent="0.2">
      <c r="AR190">
        <v>182</v>
      </c>
      <c r="AS190">
        <v>182</v>
      </c>
      <c r="AT190">
        <v>1</v>
      </c>
      <c r="AU190">
        <v>-5.4663576101223814</v>
      </c>
      <c r="AV190">
        <v>2.1848305868052052E-2</v>
      </c>
      <c r="CD190">
        <v>182</v>
      </c>
      <c r="CE190">
        <v>6.2358010009595812</v>
      </c>
      <c r="CF190">
        <v>3.6604921927032184E-3</v>
      </c>
      <c r="CG190" t="e">
        <v>#N/A</v>
      </c>
      <c r="CH190">
        <v>3.6604921927032184E-3</v>
      </c>
      <c r="CI190" t="str">
        <v/>
      </c>
      <c r="CK190">
        <v>182</v>
      </c>
      <c r="CL190">
        <v>10.042600044142702</v>
      </c>
      <c r="CM190">
        <v>3.2979731287093752E-3</v>
      </c>
      <c r="CN190">
        <v>3.2979731287093752E-3</v>
      </c>
      <c r="CO190" t="e">
        <v>#N/A</v>
      </c>
      <c r="CP190" t="str">
        <v/>
      </c>
    </row>
    <row r="191" spans="44:94" x14ac:dyDescent="0.2">
      <c r="AR191">
        <v>183</v>
      </c>
      <c r="AS191">
        <v>183</v>
      </c>
      <c r="AT191">
        <v>1</v>
      </c>
      <c r="AU191">
        <v>-5.4354170788050347</v>
      </c>
      <c r="AV191">
        <v>2.2116151872288888E-2</v>
      </c>
      <c r="CD191">
        <v>183</v>
      </c>
      <c r="CE191">
        <v>6.2702529401914022</v>
      </c>
      <c r="CF191">
        <v>3.564770393793641E-3</v>
      </c>
      <c r="CG191" t="e">
        <v>#N/A</v>
      </c>
      <c r="CH191">
        <v>3.564770393793641E-3</v>
      </c>
      <c r="CI191" t="str">
        <v/>
      </c>
      <c r="CK191">
        <v>183</v>
      </c>
      <c r="CL191">
        <v>10.098084022287138</v>
      </c>
      <c r="CM191">
        <v>3.2077382291368843E-3</v>
      </c>
      <c r="CN191">
        <v>3.2077382291368843E-3</v>
      </c>
      <c r="CO191" t="e">
        <v>#N/A</v>
      </c>
      <c r="CP191" t="str">
        <v/>
      </c>
    </row>
    <row r="192" spans="44:94" x14ac:dyDescent="0.2">
      <c r="AR192">
        <v>184</v>
      </c>
      <c r="AS192">
        <v>184</v>
      </c>
      <c r="AT192">
        <v>1</v>
      </c>
      <c r="AU192">
        <v>-5.4044765474876888</v>
      </c>
      <c r="AV192">
        <v>2.2386126119169347E-2</v>
      </c>
      <c r="CD192">
        <v>184</v>
      </c>
      <c r="CE192">
        <v>6.3047048794232232</v>
      </c>
      <c r="CF192">
        <v>3.4716907973521898E-3</v>
      </c>
      <c r="CG192" t="e">
        <v>#N/A</v>
      </c>
      <c r="CH192">
        <v>3.4716907973521898E-3</v>
      </c>
      <c r="CI192" t="str">
        <v/>
      </c>
      <c r="CK192">
        <v>184</v>
      </c>
      <c r="CL192">
        <v>10.153568000431575</v>
      </c>
      <c r="CM192">
        <v>3.1199722208449096E-3</v>
      </c>
      <c r="CN192">
        <v>3.1199722208449096E-3</v>
      </c>
      <c r="CO192" t="e">
        <v>#N/A</v>
      </c>
      <c r="CP192" t="str">
        <v/>
      </c>
    </row>
    <row r="193" spans="44:94" x14ac:dyDescent="0.2">
      <c r="AR193">
        <v>185</v>
      </c>
      <c r="AS193">
        <v>185</v>
      </c>
      <c r="AT193">
        <v>1</v>
      </c>
      <c r="AU193">
        <v>-5.373536016170342</v>
      </c>
      <c r="AV193">
        <v>2.2658226552344337E-2</v>
      </c>
      <c r="CD193">
        <v>185</v>
      </c>
      <c r="CE193">
        <v>6.3391568186550442</v>
      </c>
      <c r="CF193">
        <v>3.3811766433043899E-3</v>
      </c>
      <c r="CG193" t="e">
        <v>#N/A</v>
      </c>
      <c r="CH193">
        <v>3.3811766433043899E-3</v>
      </c>
      <c r="CI193" t="str">
        <v/>
      </c>
      <c r="CK193">
        <v>185</v>
      </c>
      <c r="CL193">
        <v>10.209051978576008</v>
      </c>
      <c r="CM193">
        <v>3.0346075532052229E-3</v>
      </c>
      <c r="CN193">
        <v>3.0346075532052229E-3</v>
      </c>
      <c r="CO193" t="e">
        <v>#N/A</v>
      </c>
      <c r="CP193" t="str">
        <v/>
      </c>
    </row>
    <row r="194" spans="44:94" x14ac:dyDescent="0.2">
      <c r="AR194">
        <v>186</v>
      </c>
      <c r="AS194">
        <v>186</v>
      </c>
      <c r="AT194">
        <v>1</v>
      </c>
      <c r="AU194">
        <v>-5.3425954848529962</v>
      </c>
      <c r="AV194">
        <v>2.2932450759229131E-2</v>
      </c>
      <c r="CD194">
        <v>186</v>
      </c>
      <c r="CE194">
        <v>6.3736087578868652</v>
      </c>
      <c r="CF194">
        <v>3.2931535124391597E-3</v>
      </c>
      <c r="CG194" t="e">
        <v>#N/A</v>
      </c>
      <c r="CH194">
        <v>3.2931535124391597E-3</v>
      </c>
      <c r="CI194" t="str">
        <v/>
      </c>
      <c r="CK194">
        <v>186</v>
      </c>
      <c r="CL194">
        <v>10.264535956720444</v>
      </c>
      <c r="CM194">
        <v>2.9515785238229987E-3</v>
      </c>
      <c r="CN194">
        <v>2.9515785238229987E-3</v>
      </c>
      <c r="CO194" t="e">
        <v>#N/A</v>
      </c>
      <c r="CP194" t="str">
        <v/>
      </c>
    </row>
    <row r="195" spans="44:94" x14ac:dyDescent="0.2">
      <c r="AR195">
        <v>187</v>
      </c>
      <c r="AS195">
        <v>187</v>
      </c>
      <c r="AT195">
        <v>1</v>
      </c>
      <c r="AU195">
        <v>-5.3116549535356494</v>
      </c>
      <c r="AV195">
        <v>2.3208795967174584E-2</v>
      </c>
      <c r="CD195">
        <v>187</v>
      </c>
      <c r="CE195">
        <v>6.4080606971186862</v>
      </c>
      <c r="CF195">
        <v>3.2075492516513782E-3</v>
      </c>
      <c r="CG195" t="e">
        <v>#N/A</v>
      </c>
      <c r="CH195">
        <v>3.2075492516513782E-3</v>
      </c>
      <c r="CI195" t="str">
        <v/>
      </c>
      <c r="CK195">
        <v>187</v>
      </c>
      <c r="CL195">
        <v>10.320019934864879</v>
      </c>
      <c r="CM195">
        <v>2.8708212279678581E-3</v>
      </c>
      <c r="CN195">
        <v>2.8708212279678581E-3</v>
      </c>
      <c r="CO195" t="e">
        <v>#N/A</v>
      </c>
      <c r="CP195" t="str">
        <v/>
      </c>
    </row>
    <row r="196" spans="44:94" x14ac:dyDescent="0.2">
      <c r="AR196">
        <v>188</v>
      </c>
      <c r="AS196">
        <v>188</v>
      </c>
      <c r="AT196">
        <v>1</v>
      </c>
      <c r="AU196">
        <v>-5.2807144222183036</v>
      </c>
      <c r="AV196">
        <v>2.3487259039685206E-2</v>
      </c>
      <c r="CD196">
        <v>188</v>
      </c>
      <c r="CE196">
        <v>6.4425126363505063</v>
      </c>
      <c r="CF196">
        <v>3.1242939016791422E-3</v>
      </c>
      <c r="CG196" t="e">
        <v>#N/A</v>
      </c>
      <c r="CH196">
        <v>3.1242939016791422E-3</v>
      </c>
      <c r="CI196" t="str">
        <v/>
      </c>
      <c r="CK196">
        <v>188</v>
      </c>
      <c r="CL196">
        <v>10.375503913009313</v>
      </c>
      <c r="CM196">
        <v>2.7922735093884698E-3</v>
      </c>
      <c r="CN196">
        <v>2.7922735093884698E-3</v>
      </c>
      <c r="CO196" t="e">
        <v>#N/A</v>
      </c>
      <c r="CP196" t="str">
        <v/>
      </c>
    </row>
    <row r="197" spans="44:94" x14ac:dyDescent="0.2">
      <c r="AR197">
        <v>189</v>
      </c>
      <c r="AS197">
        <v>189</v>
      </c>
      <c r="AT197">
        <v>1</v>
      </c>
      <c r="AU197">
        <v>-5.2497738909009568</v>
      </c>
      <c r="AV197">
        <v>2.3767836472686238E-2</v>
      </c>
      <c r="CD197">
        <v>189</v>
      </c>
      <c r="CE197">
        <v>6.4769645755823273</v>
      </c>
      <c r="CF197">
        <v>3.0433196272491325E-3</v>
      </c>
      <c r="CG197" t="e">
        <v>#N/A</v>
      </c>
      <c r="CH197">
        <v>3.0433196272491325E-3</v>
      </c>
      <c r="CI197" t="str">
        <v/>
      </c>
      <c r="CK197">
        <v>189</v>
      </c>
      <c r="CL197">
        <v>10.430987891153748</v>
      </c>
      <c r="CM197">
        <v>2.7158749124729163E-3</v>
      </c>
      <c r="CN197">
        <v>2.7158749124729163E-3</v>
      </c>
      <c r="CO197" t="e">
        <v>#N/A</v>
      </c>
      <c r="CP197" t="str">
        <v/>
      </c>
    </row>
    <row r="198" spans="44:94" x14ac:dyDescent="0.2">
      <c r="AR198">
        <v>190</v>
      </c>
      <c r="AS198">
        <v>190</v>
      </c>
      <c r="AT198">
        <v>1</v>
      </c>
      <c r="AU198">
        <v>-5.2188333595836109</v>
      </c>
      <c r="AV198">
        <v>2.4050524390840999E-2</v>
      </c>
      <c r="CD198">
        <v>190</v>
      </c>
      <c r="CE198">
        <v>6.5114165148141483</v>
      </c>
      <c r="CF198">
        <v>2.9645606495461115E-3</v>
      </c>
      <c r="CG198" t="e">
        <v>#N/A</v>
      </c>
      <c r="CH198">
        <v>2.9645606495461115E-3</v>
      </c>
      <c r="CI198" t="str">
        <v/>
      </c>
      <c r="CK198">
        <v>190</v>
      </c>
      <c r="CL198">
        <v>10.486471869298182</v>
      </c>
      <c r="CM198">
        <v>2.641566635717994E-3</v>
      </c>
      <c r="CN198">
        <v>2.641566635717994E-3</v>
      </c>
      <c r="CO198" t="e">
        <v>#N/A</v>
      </c>
      <c r="CP198" t="str">
        <v/>
      </c>
    </row>
    <row r="199" spans="44:94" x14ac:dyDescent="0.2">
      <c r="AR199">
        <v>191</v>
      </c>
      <c r="AS199">
        <v>191</v>
      </c>
      <c r="AT199">
        <v>1</v>
      </c>
      <c r="AU199">
        <v>-5.1878928282662642</v>
      </c>
      <c r="AV199">
        <v>2.4335318543920736E-2</v>
      </c>
      <c r="CD199">
        <v>191</v>
      </c>
      <c r="CE199">
        <v>6.5458684540459693</v>
      </c>
      <c r="CF199">
        <v>2.8879531809260467E-3</v>
      </c>
      <c r="CG199" t="e">
        <v>#N/A</v>
      </c>
      <c r="CH199">
        <v>2.8879531809260467E-3</v>
      </c>
      <c r="CI199" t="str">
        <v/>
      </c>
      <c r="CK199">
        <v>191</v>
      </c>
      <c r="CL199">
        <v>10.541955847442617</v>
      </c>
      <c r="CM199">
        <v>2.5692914864716035E-3</v>
      </c>
      <c r="CN199">
        <v>2.5692914864716035E-3</v>
      </c>
      <c r="CO199" t="e">
        <v>#N/A</v>
      </c>
      <c r="CP199" t="str">
        <v/>
      </c>
    </row>
    <row r="200" spans="44:94" x14ac:dyDescent="0.2">
      <c r="AR200">
        <v>192</v>
      </c>
      <c r="AS200">
        <v>192</v>
      </c>
      <c r="AT200">
        <v>1</v>
      </c>
      <c r="AU200">
        <v>-5.1569522969489183</v>
      </c>
      <c r="AV200">
        <v>2.4622214303228362E-2</v>
      </c>
      <c r="CD200">
        <v>192</v>
      </c>
      <c r="CE200">
        <v>6.5803203932777903</v>
      </c>
      <c r="CF200">
        <v>2.8134353617951997E-3</v>
      </c>
      <c r="CG200" t="e">
        <v>#N/A</v>
      </c>
      <c r="CH200">
        <v>2.8134353617951997E-3</v>
      </c>
      <c r="CI200" t="str">
        <v/>
      </c>
      <c r="CK200">
        <v>192</v>
      </c>
      <c r="CL200">
        <v>10.597439825587053</v>
      </c>
      <c r="CM200">
        <v>2.4989938369134488E-3</v>
      </c>
      <c r="CN200">
        <v>2.4989938369134488E-3</v>
      </c>
      <c r="CO200" t="e">
        <v>#N/A</v>
      </c>
      <c r="CP200" t="str">
        <v/>
      </c>
    </row>
    <row r="201" spans="44:94" x14ac:dyDescent="0.2">
      <c r="AR201">
        <v>193</v>
      </c>
      <c r="AS201">
        <v>193</v>
      </c>
      <c r="AT201">
        <v>1</v>
      </c>
      <c r="AU201">
        <v>-5.1260117656315725</v>
      </c>
      <c r="AV201">
        <v>2.4911206658078153E-2</v>
      </c>
      <c r="CD201">
        <v>193</v>
      </c>
      <c r="CE201">
        <v>6.6147723325096113</v>
      </c>
      <c r="CF201">
        <v>2.7409471995800765E-3</v>
      </c>
      <c r="CG201" t="e">
        <v>#N/A</v>
      </c>
      <c r="CH201">
        <v>2.7409471995800765E-3</v>
      </c>
      <c r="CI201" t="str">
        <v/>
      </c>
      <c r="CK201">
        <v>193</v>
      </c>
      <c r="CL201">
        <v>10.652923803731486</v>
      </c>
      <c r="CM201">
        <v>2.4306195812401174E-3</v>
      </c>
      <c r="CN201">
        <v>2.4306195812401174E-3</v>
      </c>
      <c r="CO201" t="e">
        <v>#N/A</v>
      </c>
      <c r="CP201" t="str">
        <v/>
      </c>
    </row>
    <row r="202" spans="44:94" x14ac:dyDescent="0.2">
      <c r="AR202">
        <v>194</v>
      </c>
      <c r="AS202">
        <v>194</v>
      </c>
      <c r="AT202">
        <v>1</v>
      </c>
      <c r="AU202">
        <v>-5.0950712343142257</v>
      </c>
      <c r="AV202">
        <v>2.5202290212332813E-2</v>
      </c>
      <c r="CD202">
        <v>194</v>
      </c>
      <c r="CE202">
        <v>6.6492242717414314</v>
      </c>
      <c r="CF202">
        <v>2.6704305097160676E-3</v>
      </c>
      <c r="CG202" t="e">
        <v>#N/A</v>
      </c>
      <c r="CH202">
        <v>2.6704305097160676E-3</v>
      </c>
      <c r="CI202" t="str">
        <v/>
      </c>
      <c r="CK202">
        <v>194</v>
      </c>
      <c r="CL202">
        <v>10.708407781875922</v>
      </c>
      <c r="CM202">
        <v>2.364116094021602E-3</v>
      </c>
      <c r="CN202">
        <v>2.364116094021602E-3</v>
      </c>
      <c r="CO202" t="e">
        <v>#N/A</v>
      </c>
      <c r="CP202" t="str">
        <v/>
      </c>
    </row>
    <row r="203" spans="44:94" x14ac:dyDescent="0.2">
      <c r="AR203">
        <v>195</v>
      </c>
      <c r="AS203">
        <v>195</v>
      </c>
      <c r="AT203">
        <v>1</v>
      </c>
      <c r="AU203">
        <v>-5.0641307029968798</v>
      </c>
      <c r="AV203">
        <v>2.5495459180999991E-2</v>
      </c>
      <c r="CD203">
        <v>195</v>
      </c>
      <c r="CE203">
        <v>6.6836762109732524</v>
      </c>
      <c r="CF203">
        <v>2.601828858585245E-3</v>
      </c>
      <c r="CG203" t="e">
        <v>#N/A</v>
      </c>
      <c r="CH203">
        <v>2.601828858585245E-3</v>
      </c>
      <c r="CI203" t="str">
        <v/>
      </c>
      <c r="CK203">
        <v>195</v>
      </c>
      <c r="CL203">
        <v>10.763891760020355</v>
      </c>
      <c r="CM203">
        <v>2.2994321896972437E-3</v>
      </c>
      <c r="CN203">
        <v>2.2994321896972437E-3</v>
      </c>
      <c r="CO203" t="e">
        <v>#N/A</v>
      </c>
      <c r="CP203" t="str">
        <v/>
      </c>
    </row>
    <row r="204" spans="44:94" x14ac:dyDescent="0.2">
      <c r="AR204">
        <v>196</v>
      </c>
      <c r="AS204">
        <v>196</v>
      </c>
      <c r="AT204">
        <v>1</v>
      </c>
      <c r="AU204">
        <v>-5.0331901716795331</v>
      </c>
      <c r="AV204">
        <v>2.5790707386889808E-2</v>
      </c>
      <c r="CD204">
        <v>196</v>
      </c>
      <c r="CE204">
        <v>6.7181281502050734</v>
      </c>
      <c r="CF204">
        <v>2.5350875083360027E-3</v>
      </c>
      <c r="CG204" t="e">
        <v>#N/A</v>
      </c>
      <c r="CH204">
        <v>2.5350875083360027E-3</v>
      </c>
      <c r="CI204" t="str">
        <v/>
      </c>
      <c r="CK204">
        <v>196</v>
      </c>
      <c r="CL204">
        <v>10.819375738164791</v>
      </c>
      <c r="CM204">
        <v>2.2365180831798626E-3</v>
      </c>
      <c r="CN204">
        <v>2.2365180831798626E-3</v>
      </c>
      <c r="CO204" t="e">
        <v>#N/A</v>
      </c>
      <c r="CP204" t="str">
        <v/>
      </c>
    </row>
    <row r="205" spans="44:94" x14ac:dyDescent="0.2">
      <c r="AR205">
        <v>197</v>
      </c>
      <c r="AS205">
        <v>197</v>
      </c>
      <c r="AT205">
        <v>1</v>
      </c>
      <c r="AU205">
        <v>-5.0022496403621872</v>
      </c>
      <c r="AV205">
        <v>2.6088028257335184E-2</v>
      </c>
      <c r="CD205">
        <v>197</v>
      </c>
      <c r="CE205">
        <v>6.7525800894368944</v>
      </c>
      <c r="CF205">
        <v>2.4701533635199044E-3</v>
      </c>
      <c r="CG205" t="e">
        <v>#N/A</v>
      </c>
      <c r="CH205">
        <v>2.4701533635199044E-3</v>
      </c>
      <c r="CI205" t="str">
        <v/>
      </c>
      <c r="CK205">
        <v>197</v>
      </c>
      <c r="CL205">
        <v>10.874859716309226</v>
      </c>
      <c r="CM205">
        <v>2.1753253515378154E-3</v>
      </c>
      <c r="CN205">
        <v>2.1753253515378154E-3</v>
      </c>
      <c r="CO205" t="e">
        <v>#N/A</v>
      </c>
      <c r="CP205" t="str">
        <v/>
      </c>
    </row>
    <row r="206" spans="44:94" x14ac:dyDescent="0.2">
      <c r="AR206">
        <v>198</v>
      </c>
      <c r="AS206">
        <v>198</v>
      </c>
      <c r="AT206">
        <v>1</v>
      </c>
      <c r="AU206">
        <v>-4.9713091090448405</v>
      </c>
      <c r="AV206">
        <v>2.6387414820976837E-2</v>
      </c>
      <c r="CD206">
        <v>198</v>
      </c>
      <c r="CE206">
        <v>6.7870320286687154</v>
      </c>
      <c r="CF206">
        <v>2.4069749194833745E-3</v>
      </c>
      <c r="CG206" t="e">
        <v>#N/A</v>
      </c>
      <c r="CH206">
        <v>2.4069749194833745E-3</v>
      </c>
      <c r="CI206" t="str">
        <v/>
      </c>
      <c r="CK206">
        <v>198</v>
      </c>
      <c r="CL206">
        <v>10.93034369445366</v>
      </c>
      <c r="CM206">
        <v>2.1158068967254448E-3</v>
      </c>
      <c r="CN206">
        <v>2.1158068967254448E-3</v>
      </c>
      <c r="CO206" t="e">
        <v>#N/A</v>
      </c>
      <c r="CP206" t="str">
        <v/>
      </c>
    </row>
    <row r="207" spans="44:94" x14ac:dyDescent="0.2">
      <c r="AR207">
        <v>199</v>
      </c>
      <c r="AS207">
        <v>199</v>
      </c>
      <c r="AT207">
        <v>1</v>
      </c>
      <c r="AU207">
        <v>-4.9403685777274946</v>
      </c>
      <c r="AV207">
        <v>2.6688859704614477E-2</v>
      </c>
      <c r="CD207">
        <v>199</v>
      </c>
      <c r="CE207">
        <v>6.8214839679005363</v>
      </c>
      <c r="CF207">
        <v>2.3455022124539535E-3</v>
      </c>
      <c r="CG207" t="e">
        <v>#N/A</v>
      </c>
      <c r="CH207">
        <v>2.3455022124539535E-3</v>
      </c>
      <c r="CI207" t="str">
        <v/>
      </c>
      <c r="CK207">
        <v>199</v>
      </c>
      <c r="CL207">
        <v>10.985827672598095</v>
      </c>
      <c r="CM207">
        <v>2.0579169093332436E-3</v>
      </c>
      <c r="CN207">
        <v>2.0579169093332436E-3</v>
      </c>
      <c r="CO207" t="e">
        <v>#N/A</v>
      </c>
      <c r="CP207" t="str">
        <v/>
      </c>
    </row>
    <row r="208" spans="44:94" x14ac:dyDescent="0.2">
      <c r="AR208">
        <v>200</v>
      </c>
      <c r="AS208">
        <v>200</v>
      </c>
      <c r="AT208">
        <v>1</v>
      </c>
      <c r="AU208">
        <v>-4.9094280464101479</v>
      </c>
      <c r="AV208">
        <v>2.6992355130126169E-2</v>
      </c>
      <c r="CD208">
        <v>200</v>
      </c>
      <c r="CE208">
        <v>6.8559359071323573</v>
      </c>
      <c r="CF208">
        <v>2.285686771263078E-3</v>
      </c>
      <c r="CG208" t="e">
        <v>#N/A</v>
      </c>
      <c r="CH208">
        <v>2.285686771263078E-3</v>
      </c>
      <c r="CI208" t="str">
        <v/>
      </c>
      <c r="CK208">
        <v>200</v>
      </c>
      <c r="CL208">
        <v>11.04131165074253</v>
      </c>
      <c r="CM208">
        <v>2.0016108333298635E-3</v>
      </c>
      <c r="CN208">
        <v>2.0016108333298635E-3</v>
      </c>
      <c r="CO208" t="e">
        <v>#N/A</v>
      </c>
      <c r="CP208" t="str">
        <v/>
      </c>
    </row>
    <row r="209" spans="44:94" x14ac:dyDescent="0.2">
      <c r="AR209">
        <v>201</v>
      </c>
      <c r="AS209">
        <v>201</v>
      </c>
      <c r="AT209">
        <v>1</v>
      </c>
      <c r="AU209">
        <v>-4.878487515092802</v>
      </c>
      <c r="AV209">
        <v>2.7297892911457431E-2</v>
      </c>
      <c r="CD209">
        <v>201</v>
      </c>
      <c r="CE209">
        <v>6.8903878463641783</v>
      </c>
      <c r="CF209">
        <v>2.2274815706496065E-3</v>
      </c>
      <c r="CG209" t="e">
        <v>#N/A</v>
      </c>
      <c r="CH209">
        <v>2.2274815706496065E-3</v>
      </c>
      <c r="CI209">
        <v>6.89</v>
      </c>
      <c r="CK209">
        <v>201</v>
      </c>
      <c r="CL209">
        <v>11.096795628886966</v>
      </c>
      <c r="CM209">
        <v>1.9468453317687843E-3</v>
      </c>
      <c r="CN209">
        <v>1.9468453317687843E-3</v>
      </c>
      <c r="CO209" t="e">
        <v>#N/A</v>
      </c>
      <c r="CP209">
        <v>11.097</v>
      </c>
    </row>
    <row r="210" spans="44:94" x14ac:dyDescent="0.2">
      <c r="AR210">
        <v>202</v>
      </c>
      <c r="AS210">
        <v>202</v>
      </c>
      <c r="AT210">
        <v>1</v>
      </c>
      <c r="AU210">
        <v>-4.8475469837754552</v>
      </c>
      <c r="AV210">
        <v>2.7605464451681966E-2</v>
      </c>
      <c r="CD210">
        <v>202</v>
      </c>
      <c r="CE210">
        <v>6.9248397855959993</v>
      </c>
      <c r="CF210">
        <v>2.1708409860898403E-3</v>
      </c>
      <c r="CG210" t="e">
        <v>#N/A</v>
      </c>
      <c r="CH210">
        <v>2.1708409860898403E-3</v>
      </c>
      <c r="CI210" t="str">
        <v/>
      </c>
      <c r="CK210">
        <v>202</v>
      </c>
      <c r="CL210">
        <v>11.152279607031401</v>
      </c>
      <c r="CM210">
        <v>1.8935782534332867E-3</v>
      </c>
      <c r="CN210">
        <v>1.8935782534332867E-3</v>
      </c>
      <c r="CO210" t="e">
        <v>#N/A</v>
      </c>
      <c r="CP210" t="str">
        <v/>
      </c>
    </row>
    <row r="211" spans="44:94" x14ac:dyDescent="0.2">
      <c r="AR211">
        <v>203</v>
      </c>
      <c r="AS211">
        <v>203</v>
      </c>
      <c r="AT211">
        <v>1</v>
      </c>
      <c r="AU211">
        <v>-4.8166064524581094</v>
      </c>
      <c r="AV211">
        <v>2.7915060740135552E-2</v>
      </c>
      <c r="CD211">
        <v>203</v>
      </c>
      <c r="CE211">
        <v>6.9592917248278203</v>
      </c>
      <c r="CF211">
        <v>2.1157207501022041E-3</v>
      </c>
      <c r="CG211" t="e">
        <v>#N/A</v>
      </c>
      <c r="CH211">
        <v>2.1157207501022041E-3</v>
      </c>
      <c r="CI211" t="str">
        <v/>
      </c>
      <c r="CK211">
        <v>203</v>
      </c>
      <c r="CL211">
        <v>11.207763585175835</v>
      </c>
      <c r="CM211">
        <v>1.8417686003940374E-3</v>
      </c>
      <c r="CN211">
        <v>1.8417686003940374E-3</v>
      </c>
      <c r="CO211" t="e">
        <v>#N/A</v>
      </c>
      <c r="CP211" t="str">
        <v/>
      </c>
    </row>
    <row r="212" spans="44:94" x14ac:dyDescent="0.2">
      <c r="AR212">
        <v>204</v>
      </c>
      <c r="AS212">
        <v>204</v>
      </c>
      <c r="AT212">
        <v>1</v>
      </c>
      <c r="AU212">
        <v>-4.7856659211407626</v>
      </c>
      <c r="AV212">
        <v>2.8226672349625049E-2</v>
      </c>
      <c r="CD212">
        <v>204</v>
      </c>
      <c r="CE212">
        <v>6.9937436640596404</v>
      </c>
      <c r="CF212">
        <v>2.0620779099763181E-3</v>
      </c>
      <c r="CG212" t="e">
        <v>#N/A</v>
      </c>
      <c r="CH212">
        <v>2.0620779099763181E-3</v>
      </c>
      <c r="CI212" t="str">
        <v/>
      </c>
      <c r="CK212">
        <v>204</v>
      </c>
      <c r="CL212">
        <v>11.26324756332027</v>
      </c>
      <c r="CM212">
        <v>1.7913764964543185E-3</v>
      </c>
      <c r="CN212">
        <v>1.7913764964543185E-3</v>
      </c>
      <c r="CO212" t="e">
        <v>#N/A</v>
      </c>
      <c r="CP212" t="str">
        <v/>
      </c>
    </row>
    <row r="213" spans="44:94" x14ac:dyDescent="0.2">
      <c r="AR213">
        <v>205</v>
      </c>
      <c r="AS213">
        <v>205</v>
      </c>
      <c r="AT213">
        <v>1</v>
      </c>
      <c r="AU213">
        <v>-4.7547253898234167</v>
      </c>
      <c r="AV213">
        <v>2.8540289433713971E-2</v>
      </c>
      <c r="CD213">
        <v>205</v>
      </c>
      <c r="CE213">
        <v>7.0281956032914614</v>
      </c>
      <c r="CF213">
        <v>2.0098707868779903E-3</v>
      </c>
      <c r="CG213" t="e">
        <v>#N/A</v>
      </c>
      <c r="CH213">
        <v>2.0098707868779903E-3</v>
      </c>
      <c r="CI213" t="str">
        <v/>
      </c>
      <c r="CK213">
        <v>205</v>
      </c>
      <c r="CL213">
        <v>11.318731541464706</v>
      </c>
      <c r="CM213">
        <v>1.7423631564586302E-3</v>
      </c>
      <c r="CN213">
        <v>1.7423631564586302E-3</v>
      </c>
      <c r="CO213" t="e">
        <v>#N/A</v>
      </c>
      <c r="CP213" t="str">
        <v/>
      </c>
    </row>
    <row r="214" spans="44:94" x14ac:dyDescent="0.2">
      <c r="AR214">
        <v>206</v>
      </c>
      <c r="AS214">
        <v>206</v>
      </c>
      <c r="AT214">
        <v>1</v>
      </c>
      <c r="AU214">
        <v>-4.7237848585060709</v>
      </c>
      <c r="AV214">
        <v>2.8855901724086669E-2</v>
      </c>
      <c r="CD214">
        <v>206</v>
      </c>
      <c r="CE214">
        <v>7.0626475425232824</v>
      </c>
      <c r="CF214">
        <v>1.9590589362834562E-3</v>
      </c>
      <c r="CG214" t="e">
        <v>#N/A</v>
      </c>
      <c r="CH214">
        <v>1.9590589362834562E-3</v>
      </c>
      <c r="CI214" t="str">
        <v/>
      </c>
      <c r="CK214">
        <v>206</v>
      </c>
      <c r="CL214">
        <v>11.374215519609139</v>
      </c>
      <c r="CM214">
        <v>1.6946908564410205E-3</v>
      </c>
      <c r="CN214">
        <v>1.6946908564410205E-3</v>
      </c>
      <c r="CO214" t="e">
        <v>#N/A</v>
      </c>
      <c r="CP214" t="str">
        <v/>
      </c>
    </row>
    <row r="215" spans="44:94" x14ac:dyDescent="0.2">
      <c r="AR215">
        <v>207</v>
      </c>
      <c r="AS215">
        <v>207</v>
      </c>
      <c r="AT215">
        <v>1</v>
      </c>
      <c r="AU215">
        <v>-4.6928443271887241</v>
      </c>
      <c r="AV215">
        <v>2.917349852799243E-2</v>
      </c>
      <c r="CD215">
        <v>207</v>
      </c>
      <c r="CE215">
        <v>7.0970994817551034</v>
      </c>
      <c r="CF215">
        <v>1.9096031096978456E-3</v>
      </c>
      <c r="CG215" t="e">
        <v>#N/A</v>
      </c>
      <c r="CH215">
        <v>1.9096031096978456E-3</v>
      </c>
      <c r="CI215" t="str">
        <v/>
      </c>
      <c r="CK215">
        <v>207</v>
      </c>
      <c r="CL215">
        <v>11.429699497753575</v>
      </c>
      <c r="CM215">
        <v>1.6483229045901762E-3</v>
      </c>
      <c r="CN215">
        <v>1.6483229045901762E-3</v>
      </c>
      <c r="CO215" t="e">
        <v>#N/A</v>
      </c>
      <c r="CP215" t="str">
        <v/>
      </c>
    </row>
    <row r="216" spans="44:94" x14ac:dyDescent="0.2">
      <c r="AR216">
        <v>208</v>
      </c>
      <c r="AS216">
        <v>208</v>
      </c>
      <c r="AT216">
        <v>1</v>
      </c>
      <c r="AU216">
        <v>-4.6619037958713783</v>
      </c>
      <c r="AV216">
        <v>2.9493068725771447E-2</v>
      </c>
      <c r="CD216">
        <v>208</v>
      </c>
      <c r="CE216">
        <v>7.1315514209869244</v>
      </c>
      <c r="CF216">
        <v>1.8614652176143168E-3</v>
      </c>
      <c r="CG216" t="e">
        <v>#N/A</v>
      </c>
      <c r="CH216">
        <v>1.8614652176143168E-3</v>
      </c>
      <c r="CI216" t="str">
        <v/>
      </c>
      <c r="CK216">
        <v>208</v>
      </c>
      <c r="CL216">
        <v>11.48518347589801</v>
      </c>
      <c r="CM216">
        <v>1.603223613008945E-3</v>
      </c>
      <c r="CN216">
        <v>1.603223613008945E-3</v>
      </c>
      <c r="CO216" t="e">
        <v>#N/A</v>
      </c>
      <c r="CP216" t="str">
        <v/>
      </c>
    </row>
    <row r="217" spans="44:94" x14ac:dyDescent="0.2">
      <c r="AR217">
        <v>209</v>
      </c>
      <c r="AS217">
        <v>209</v>
      </c>
      <c r="AT217">
        <v>1</v>
      </c>
      <c r="AU217">
        <v>-4.6309632645540315</v>
      </c>
      <c r="AV217">
        <v>2.9814600768464334E-2</v>
      </c>
      <c r="CD217">
        <v>209</v>
      </c>
      <c r="CE217">
        <v>7.1660033602187454</v>
      </c>
      <c r="CF217">
        <v>1.8146082936719783E-3</v>
      </c>
      <c r="CG217" t="e">
        <v>#N/A</v>
      </c>
      <c r="CH217">
        <v>1.8146082936719783E-3</v>
      </c>
      <c r="CI217" t="str">
        <v/>
      </c>
      <c r="CK217">
        <v>209</v>
      </c>
      <c r="CL217">
        <v>11.540667454042444</v>
      </c>
      <c r="CM217">
        <v>1.5593582702465197E-3</v>
      </c>
      <c r="CN217">
        <v>1.5593582702465197E-3</v>
      </c>
      <c r="CO217" t="e">
        <v>#N/A</v>
      </c>
      <c r="CP217" t="str">
        <v/>
      </c>
    </row>
    <row r="218" spans="44:94" x14ac:dyDescent="0.2">
      <c r="AR218">
        <v>210</v>
      </c>
      <c r="AS218">
        <v>210</v>
      </c>
      <c r="AT218">
        <v>1</v>
      </c>
      <c r="AU218">
        <v>-4.6000227332366856</v>
      </c>
      <c r="AV218">
        <v>3.013808267550663E-2</v>
      </c>
      <c r="CD218">
        <v>210</v>
      </c>
      <c r="CE218">
        <v>7.2004552994505664</v>
      </c>
      <c r="CF218">
        <v>1.7689964599721456E-3</v>
      </c>
      <c r="CG218" t="e">
        <v>#N/A</v>
      </c>
      <c r="CH218">
        <v>1.7689964599721456E-3</v>
      </c>
      <c r="CI218" t="str">
        <v/>
      </c>
      <c r="CK218">
        <v>210</v>
      </c>
      <c r="CL218">
        <v>11.596151432186879</v>
      </c>
      <c r="CM218">
        <v>1.5166931145821703E-3</v>
      </c>
      <c r="CN218">
        <v>1.5166931145821703E-3</v>
      </c>
      <c r="CO218" t="e">
        <v>#N/A</v>
      </c>
      <c r="CP218" t="str">
        <v/>
      </c>
    </row>
    <row r="219" spans="44:94" x14ac:dyDescent="0.2">
      <c r="AR219">
        <v>211</v>
      </c>
      <c r="AS219">
        <v>211</v>
      </c>
      <c r="AT219">
        <v>1</v>
      </c>
      <c r="AU219">
        <v>-4.5690822019193389</v>
      </c>
      <c r="AV219">
        <v>3.0463502032510231E-2</v>
      </c>
      <c r="CD219">
        <v>211</v>
      </c>
      <c r="CE219">
        <v>7.2349072386823874</v>
      </c>
      <c r="CF219">
        <v>1.7245948935138281E-3</v>
      </c>
      <c r="CG219" t="e">
        <v>#N/A</v>
      </c>
      <c r="CH219">
        <v>1.7245948935138281E-3</v>
      </c>
      <c r="CI219" t="str">
        <v/>
      </c>
      <c r="CK219">
        <v>211</v>
      </c>
      <c r="CL219">
        <v>11.651635410331313</v>
      </c>
      <c r="CM219">
        <v>1.475195308039955E-3</v>
      </c>
      <c r="CN219">
        <v>1.475195308039955E-3</v>
      </c>
      <c r="CO219" t="e">
        <v>#N/A</v>
      </c>
      <c r="CP219" t="str">
        <v/>
      </c>
    </row>
    <row r="220" spans="44:94" x14ac:dyDescent="0.2">
      <c r="AR220">
        <v>212</v>
      </c>
      <c r="AS220">
        <v>212</v>
      </c>
      <c r="AT220">
        <v>1</v>
      </c>
      <c r="AU220">
        <v>-4.538141670601993</v>
      </c>
      <c r="AV220">
        <v>3.079084598913313E-2</v>
      </c>
      <c r="CD220">
        <v>212</v>
      </c>
      <c r="CE220">
        <v>7.2693591779142075</v>
      </c>
      <c r="CF220">
        <v>1.6813697937108673E-3</v>
      </c>
      <c r="CG220" t="e">
        <v>#N/A</v>
      </c>
      <c r="CH220">
        <v>1.6813697937108673E-3</v>
      </c>
      <c r="CI220" t="str">
        <v/>
      </c>
      <c r="CK220">
        <v>212</v>
      </c>
      <c r="CL220">
        <v>11.707119388475748</v>
      </c>
      <c r="CM220">
        <v>1.4348329111143958E-3</v>
      </c>
      <c r="CN220">
        <v>1.4348329111143958E-3</v>
      </c>
      <c r="CO220" t="e">
        <v>#N/A</v>
      </c>
      <c r="CP220" t="str">
        <v/>
      </c>
    </row>
    <row r="221" spans="44:94" x14ac:dyDescent="0.2">
      <c r="AR221">
        <v>213</v>
      </c>
      <c r="AS221">
        <v>213</v>
      </c>
      <c r="AT221">
        <v>1</v>
      </c>
      <c r="AU221">
        <v>-4.5072011392846463</v>
      </c>
      <c r="AV221">
        <v>3.112010125703929E-2</v>
      </c>
      <c r="CD221">
        <v>213</v>
      </c>
      <c r="CE221">
        <v>7.3038111171460285</v>
      </c>
      <c r="CF221">
        <v>1.63928835095429E-3</v>
      </c>
      <c r="CG221" t="e">
        <v>#N/A</v>
      </c>
      <c r="CH221">
        <v>1.63928835095429E-3</v>
      </c>
      <c r="CI221" t="str">
        <v/>
      </c>
      <c r="CK221">
        <v>213</v>
      </c>
      <c r="CL221">
        <v>11.762603366620183</v>
      </c>
      <c r="CM221">
        <v>1.3955748581876944E-3</v>
      </c>
      <c r="CN221">
        <v>1.3955748581876944E-3</v>
      </c>
      <c r="CO221" t="e">
        <v>#N/A</v>
      </c>
      <c r="CP221" t="str">
        <v/>
      </c>
    </row>
    <row r="222" spans="44:94" x14ac:dyDescent="0.2">
      <c r="AR222">
        <v>214</v>
      </c>
      <c r="AS222">
        <v>214</v>
      </c>
      <c r="AT222">
        <v>1</v>
      </c>
      <c r="AU222">
        <v>-4.4762606079673004</v>
      </c>
      <c r="AV222">
        <v>3.145125410795007E-2</v>
      </c>
      <c r="CD222">
        <v>214</v>
      </c>
      <c r="CE222">
        <v>7.3382630563778495</v>
      </c>
      <c r="CF222">
        <v>1.5983187161848253E-3</v>
      </c>
      <c r="CG222" t="e">
        <v>#N/A</v>
      </c>
      <c r="CH222">
        <v>1.5983187161848253E-3</v>
      </c>
      <c r="CI222" t="str">
        <v/>
      </c>
      <c r="CK222">
        <v>214</v>
      </c>
      <c r="CL222">
        <v>11.818087344764617</v>
      </c>
      <c r="CM222">
        <v>1.3573909336195347E-3</v>
      </c>
      <c r="CN222">
        <v>1.3573909336195347E-3</v>
      </c>
      <c r="CO222" t="e">
        <v>#N/A</v>
      </c>
      <c r="CP222" t="str">
        <v/>
      </c>
    </row>
    <row r="223" spans="44:94" x14ac:dyDescent="0.2">
      <c r="AR223">
        <v>215</v>
      </c>
      <c r="AS223">
        <v>215</v>
      </c>
      <c r="AT223">
        <v>1</v>
      </c>
      <c r="AU223">
        <v>-4.4453200766499537</v>
      </c>
      <c r="AV223">
        <v>3.1784290371789023E-2</v>
      </c>
      <c r="CD223">
        <v>215</v>
      </c>
      <c r="CE223">
        <v>7.3727149956096705</v>
      </c>
      <c r="CF223">
        <v>1.5584299714417875E-3</v>
      </c>
      <c r="CG223" t="e">
        <v>#N/A</v>
      </c>
      <c r="CH223">
        <v>1.5584299714417875E-3</v>
      </c>
      <c r="CI223" t="str">
        <v/>
      </c>
      <c r="CK223">
        <v>215</v>
      </c>
      <c r="CL223">
        <v>11.873571322909052</v>
      </c>
      <c r="CM223">
        <v>1.3202517484910917E-3</v>
      </c>
      <c r="CN223">
        <v>1.3202517484910917E-3</v>
      </c>
      <c r="CO223" t="e">
        <v>#N/A</v>
      </c>
      <c r="CP223" t="str">
        <v/>
      </c>
    </row>
    <row r="224" spans="44:94" x14ac:dyDescent="0.2">
      <c r="AR224">
        <v>216</v>
      </c>
      <c r="AS224">
        <v>216</v>
      </c>
      <c r="AT224">
        <v>1</v>
      </c>
      <c r="AU224">
        <v>-4.4143795453326078</v>
      </c>
      <c r="AV224">
        <v>3.2119195434921352E-2</v>
      </c>
      <c r="CD224">
        <v>216</v>
      </c>
      <c r="CE224">
        <v>7.4071669348414915</v>
      </c>
      <c r="CF224">
        <v>1.5195921013555502E-3</v>
      </c>
      <c r="CG224" t="e">
        <v>#N/A</v>
      </c>
      <c r="CH224">
        <v>1.5195921013555502E-3</v>
      </c>
      <c r="CI224" t="str">
        <v/>
      </c>
      <c r="CK224">
        <v>216</v>
      </c>
      <c r="CL224">
        <v>11.929055301053488</v>
      </c>
      <c r="CM224">
        <v>1.2841287179853457E-3</v>
      </c>
      <c r="CN224">
        <v>1.2841287179853457E-3</v>
      </c>
      <c r="CO224" t="e">
        <v>#N/A</v>
      </c>
      <c r="CP224" t="str">
        <v/>
      </c>
    </row>
    <row r="225" spans="44:94" x14ac:dyDescent="0.2">
      <c r="AR225">
        <v>217</v>
      </c>
      <c r="AS225">
        <v>217</v>
      </c>
      <c r="AT225">
        <v>1</v>
      </c>
      <c r="AU225">
        <v>-4.383439014015261</v>
      </c>
      <c r="AV225">
        <v>3.2455954238489931E-2</v>
      </c>
      <c r="CD225">
        <v>217</v>
      </c>
      <c r="CE225">
        <v>7.4416188740733125</v>
      </c>
      <c r="CF225">
        <v>1.4817759655521483E-3</v>
      </c>
      <c r="CG225" t="e">
        <v>#N/A</v>
      </c>
      <c r="CH225">
        <v>1.4817759655521483E-3</v>
      </c>
      <c r="CI225" t="str">
        <v/>
      </c>
      <c r="CK225">
        <v>217</v>
      </c>
      <c r="CL225">
        <v>11.984539279197922</v>
      </c>
      <c r="CM225">
        <v>1.2489940393862811E-3</v>
      </c>
      <c r="CN225">
        <v>1.2489940393862811E-3</v>
      </c>
      <c r="CO225" t="e">
        <v>#N/A</v>
      </c>
      <c r="CP225" t="str">
        <v/>
      </c>
    </row>
    <row r="226" spans="44:94" x14ac:dyDescent="0.2">
      <c r="AR226">
        <v>218</v>
      </c>
      <c r="AS226">
        <v>218</v>
      </c>
      <c r="AT226">
        <v>1</v>
      </c>
      <c r="AU226">
        <v>-4.3524984826979152</v>
      </c>
      <c r="AV226">
        <v>3.2794551276849007E-2</v>
      </c>
      <c r="CD226">
        <v>218</v>
      </c>
      <c r="CE226">
        <v>7.4760708133051335</v>
      </c>
      <c r="CF226">
        <v>1.4449532719395786E-3</v>
      </c>
      <c r="CG226" t="e">
        <v>#N/A</v>
      </c>
      <c r="CH226">
        <v>1.4449532719395786E-3</v>
      </c>
      <c r="CI226" t="str">
        <v/>
      </c>
      <c r="CK226">
        <v>218</v>
      </c>
      <c r="CL226">
        <v>12.040023257342359</v>
      </c>
      <c r="CM226">
        <v>1.2148206706800392E-3</v>
      </c>
      <c r="CN226">
        <v>1.2148206706800392E-3</v>
      </c>
      <c r="CO226" t="e">
        <v>#N/A</v>
      </c>
      <c r="CP226" t="str">
        <v/>
      </c>
    </row>
    <row r="227" spans="44:94" x14ac:dyDescent="0.2">
      <c r="AR227">
        <v>219</v>
      </c>
      <c r="AS227">
        <v>219</v>
      </c>
      <c r="AT227">
        <v>1</v>
      </c>
      <c r="AU227">
        <v>-4.3215579513805693</v>
      </c>
      <c r="AV227">
        <v>3.313497059609756E-2</v>
      </c>
      <c r="CD227">
        <v>219</v>
      </c>
      <c r="CE227">
        <v>7.5105227525369544</v>
      </c>
      <c r="CF227">
        <v>1.4090965508463606E-3</v>
      </c>
      <c r="CG227" t="e">
        <v>#N/A</v>
      </c>
      <c r="CH227">
        <v>1.4090965508463606E-3</v>
      </c>
      <c r="CI227" t="str">
        <v/>
      </c>
      <c r="CK227">
        <v>219</v>
      </c>
      <c r="CL227">
        <v>12.095507235486792</v>
      </c>
      <c r="CM227">
        <v>1.1815823097415757E-3</v>
      </c>
      <c r="CN227">
        <v>1.1815823097415757E-3</v>
      </c>
      <c r="CO227" t="e">
        <v>#N/A</v>
      </c>
      <c r="CP227" t="str">
        <v/>
      </c>
    </row>
    <row r="228" spans="44:94" x14ac:dyDescent="0.2">
      <c r="AR228">
        <v>220</v>
      </c>
      <c r="AS228">
        <v>220</v>
      </c>
      <c r="AT228">
        <v>1</v>
      </c>
      <c r="AU228">
        <v>-4.2906174200632226</v>
      </c>
      <c r="AV228">
        <v>3.3477195792713486E-2</v>
      </c>
      <c r="CD228">
        <v>220</v>
      </c>
      <c r="CE228">
        <v>7.5449746917687746</v>
      </c>
      <c r="CF228">
        <v>1.3741791299840386E-3</v>
      </c>
      <c r="CG228" t="e">
        <v>#N/A</v>
      </c>
      <c r="CH228">
        <v>1.3741791299840386E-3</v>
      </c>
      <c r="CI228" t="str">
        <v/>
      </c>
      <c r="CK228">
        <v>220</v>
      </c>
      <c r="CL228">
        <v>12.150991213631228</v>
      </c>
      <c r="CM228">
        <v>1.1492533740907606E-3</v>
      </c>
      <c r="CN228">
        <v>1.1492533740907606E-3</v>
      </c>
      <c r="CO228" t="e">
        <v>#N/A</v>
      </c>
      <c r="CP228" t="str">
        <v/>
      </c>
    </row>
    <row r="229" spans="44:94" x14ac:dyDescent="0.2">
      <c r="AR229">
        <v>221</v>
      </c>
      <c r="AS229">
        <v>221</v>
      </c>
      <c r="AT229">
        <v>1</v>
      </c>
      <c r="AU229">
        <v>-4.2596768887458767</v>
      </c>
      <c r="AV229">
        <v>3.3821210012290111E-2</v>
      </c>
      <c r="CD229">
        <v>221</v>
      </c>
      <c r="CE229">
        <v>7.5794266310005955</v>
      </c>
      <c r="CF229">
        <v>1.3401751102062611E-3</v>
      </c>
      <c r="CG229" t="e">
        <v>#N/A</v>
      </c>
      <c r="CH229">
        <v>1.3401751102062611E-3</v>
      </c>
      <c r="CI229" t="str">
        <v/>
      </c>
      <c r="CK229">
        <v>221</v>
      </c>
      <c r="CL229">
        <v>12.206475191775663</v>
      </c>
      <c r="CM229">
        <v>1.11780898120239E-3</v>
      </c>
      <c r="CN229">
        <v>1.11780898120239E-3</v>
      </c>
      <c r="CO229" t="e">
        <v>#N/A</v>
      </c>
      <c r="CP229" t="str">
        <v/>
      </c>
    </row>
    <row r="230" spans="44:94" x14ac:dyDescent="0.2">
      <c r="AR230">
        <v>222</v>
      </c>
      <c r="AS230">
        <v>222</v>
      </c>
      <c r="AT230">
        <v>1</v>
      </c>
      <c r="AU230">
        <v>-4.2287363574285299</v>
      </c>
      <c r="AV230">
        <v>3.4166995948376765E-2</v>
      </c>
      <c r="CD230">
        <v>222</v>
      </c>
      <c r="CE230">
        <v>7.6138785702324165</v>
      </c>
      <c r="CF230">
        <v>1.3070593420379587E-3</v>
      </c>
      <c r="CG230" t="e">
        <v>#N/A</v>
      </c>
      <c r="CH230">
        <v>1.3070593420379587E-3</v>
      </c>
      <c r="CI230" t="str">
        <v/>
      </c>
      <c r="CK230">
        <v>222</v>
      </c>
      <c r="CL230">
        <v>12.261959169920097</v>
      </c>
      <c r="CM230">
        <v>1.0872249293549163E-3</v>
      </c>
      <c r="CN230">
        <v>1.0872249293549163E-3</v>
      </c>
      <c r="CO230" t="e">
        <v>#N/A</v>
      </c>
      <c r="CP230" t="str">
        <v/>
      </c>
    </row>
    <row r="231" spans="44:94" x14ac:dyDescent="0.2">
      <c r="AR231">
        <v>223</v>
      </c>
      <c r="AS231">
        <v>223</v>
      </c>
      <c r="AT231">
        <v>1</v>
      </c>
      <c r="AU231">
        <v>-4.1977958261111841</v>
      </c>
      <c r="AV231">
        <v>3.4514535841424436E-2</v>
      </c>
      <c r="CD231">
        <v>223</v>
      </c>
      <c r="CE231">
        <v>7.6483305094642375</v>
      </c>
      <c r="CF231">
        <v>1.2748074029491352E-3</v>
      </c>
      <c r="CG231" t="e">
        <v>#N/A</v>
      </c>
      <c r="CH231">
        <v>1.2748074029491352E-3</v>
      </c>
      <c r="CI231" t="str">
        <v/>
      </c>
      <c r="CK231">
        <v>223</v>
      </c>
      <c r="CL231">
        <v>12.317443148064532</v>
      </c>
      <c r="CM231">
        <v>1.0574776790031699E-3</v>
      </c>
      <c r="CN231">
        <v>1.0574776790031699E-3</v>
      </c>
      <c r="CO231" t="e">
        <v>#N/A</v>
      </c>
      <c r="CP231" t="str">
        <v/>
      </c>
    </row>
    <row r="232" spans="44:94" x14ac:dyDescent="0.2">
      <c r="AR232">
        <v>224</v>
      </c>
      <c r="AS232">
        <v>224</v>
      </c>
      <c r="AT232">
        <v>1</v>
      </c>
      <c r="AU232">
        <v>-4.1668552947938373</v>
      </c>
      <c r="AV232">
        <v>3.4863811477838375E-2</v>
      </c>
      <c r="CD232">
        <v>224</v>
      </c>
      <c r="CE232">
        <v>7.6827824486960585</v>
      </c>
      <c r="CF232">
        <v>1.2433955753486422E-3</v>
      </c>
      <c r="CG232" t="e">
        <v>#N/A</v>
      </c>
      <c r="CH232">
        <v>1.2433955753486422E-3</v>
      </c>
      <c r="CI232" t="str">
        <v/>
      </c>
      <c r="CK232">
        <v>224</v>
      </c>
      <c r="CL232">
        <v>12.372927126208968</v>
      </c>
      <c r="CM232">
        <v>1.0285443346607485E-3</v>
      </c>
      <c r="CN232">
        <v>1.0285443346607485E-3</v>
      </c>
      <c r="CO232" t="e">
        <v>#N/A</v>
      </c>
      <c r="CP232" t="str">
        <v/>
      </c>
    </row>
    <row r="233" spans="44:94" x14ac:dyDescent="0.2">
      <c r="AR233">
        <v>225</v>
      </c>
      <c r="AS233">
        <v>225</v>
      </c>
      <c r="AT233">
        <v>1</v>
      </c>
      <c r="AU233">
        <v>-4.1359147634764915</v>
      </c>
      <c r="AV233">
        <v>3.521480418913852E-2</v>
      </c>
      <c r="CD233">
        <v>225</v>
      </c>
      <c r="CE233">
        <v>7.7172343879278795</v>
      </c>
      <c r="CF233">
        <v>1.2128008252741199E-3</v>
      </c>
      <c r="CG233" t="e">
        <v>#N/A</v>
      </c>
      <c r="CH233">
        <v>1.2128008252741199E-3</v>
      </c>
      <c r="CI233" t="str">
        <v/>
      </c>
      <c r="CK233">
        <v>225</v>
      </c>
      <c r="CL233">
        <v>12.428411104353401</v>
      </c>
      <c r="CM233">
        <v>1.0004026272781037E-3</v>
      </c>
      <c r="CN233">
        <v>1.0004026272781037E-3</v>
      </c>
      <c r="CO233" t="e">
        <v>#N/A</v>
      </c>
      <c r="CP233" t="str">
        <v/>
      </c>
    </row>
    <row r="234" spans="44:94" x14ac:dyDescent="0.2">
      <c r="AR234">
        <v>226</v>
      </c>
      <c r="AS234">
        <v>226</v>
      </c>
      <c r="AT234">
        <v>1</v>
      </c>
      <c r="AU234">
        <v>-4.1049742321591447</v>
      </c>
      <c r="AV234">
        <v>3.5567494851229613E-2</v>
      </c>
      <c r="CD234">
        <v>226</v>
      </c>
      <c r="CE234">
        <v>7.7516863271597005</v>
      </c>
      <c r="CF234">
        <v>1.1830007817551383E-3</v>
      </c>
      <c r="CG234" t="e">
        <v>#N/A</v>
      </c>
      <c r="CH234">
        <v>1.1830007817551383E-3</v>
      </c>
      <c r="CI234">
        <v>7.7519999999999998</v>
      </c>
      <c r="CK234">
        <v>226</v>
      </c>
      <c r="CL234">
        <v>12.483895082497837</v>
      </c>
      <c r="CM234">
        <v>9.7303089710278176E-4</v>
      </c>
      <c r="CN234">
        <v>9.7303089710278176E-4</v>
      </c>
      <c r="CO234" t="e">
        <v>#N/A</v>
      </c>
      <c r="CP234">
        <v>12.484</v>
      </c>
    </row>
    <row r="235" spans="44:94" x14ac:dyDescent="0.2">
      <c r="AR235">
        <v>227</v>
      </c>
      <c r="AS235">
        <v>227</v>
      </c>
      <c r="AT235">
        <v>1</v>
      </c>
      <c r="AU235">
        <v>-4.0740337008417988</v>
      </c>
      <c r="AV235">
        <v>3.5921863883781949E-2</v>
      </c>
      <c r="CD235">
        <v>227</v>
      </c>
      <c r="CE235">
        <v>7.7861382663915215</v>
      </c>
      <c r="CF235">
        <v>1.1539737168273978E-3</v>
      </c>
      <c r="CG235" t="e">
        <v>#N/A</v>
      </c>
      <c r="CH235">
        <v>1.1539737168273978E-3</v>
      </c>
      <c r="CI235" t="str">
        <v/>
      </c>
      <c r="CK235">
        <v>227</v>
      </c>
      <c r="CL235">
        <v>12.53937906064227</v>
      </c>
      <c r="CM235">
        <v>9.4640807700862358E-4</v>
      </c>
      <c r="CN235">
        <v>9.4640807700862358E-4</v>
      </c>
      <c r="CO235" t="e">
        <v>#N/A</v>
      </c>
      <c r="CP235" t="str">
        <v/>
      </c>
    </row>
    <row r="236" spans="44:94" x14ac:dyDescent="0.2">
      <c r="AR236">
        <v>228</v>
      </c>
      <c r="AS236">
        <v>228</v>
      </c>
      <c r="AT236">
        <v>1</v>
      </c>
      <c r="AU236">
        <v>-4.0430931695244521</v>
      </c>
      <c r="AV236">
        <v>3.6277891249724352E-2</v>
      </c>
      <c r="CD236">
        <v>228</v>
      </c>
      <c r="CE236">
        <v>7.8205902056233425</v>
      </c>
      <c r="CF236">
        <v>1.1256985261765126E-3</v>
      </c>
      <c r="CG236" t="e">
        <v>#N/A</v>
      </c>
      <c r="CH236">
        <v>1.1256985261765126E-3</v>
      </c>
      <c r="CI236" t="str">
        <v/>
      </c>
      <c r="CK236">
        <v>228</v>
      </c>
      <c r="CL236">
        <v>12.594863038786706</v>
      </c>
      <c r="CM236">
        <v>9.2051367628108124E-4</v>
      </c>
      <c r="CN236">
        <v>9.2051367628108124E-4</v>
      </c>
      <c r="CO236" t="e">
        <v>#N/A</v>
      </c>
      <c r="CP236" t="str">
        <v/>
      </c>
    </row>
    <row r="237" spans="44:94" x14ac:dyDescent="0.2">
      <c r="AR237">
        <v>229</v>
      </c>
      <c r="AS237">
        <v>229</v>
      </c>
      <c r="AT237">
        <v>1</v>
      </c>
      <c r="AU237">
        <v>-4.0121526382071062</v>
      </c>
      <c r="AV237">
        <v>3.6635556454850407E-2</v>
      </c>
      <c r="CD237">
        <v>229</v>
      </c>
      <c r="CE237">
        <v>7.8550421448551635</v>
      </c>
      <c r="CF237">
        <v>1.098154710390717E-3</v>
      </c>
      <c r="CG237" t="e">
        <v>#N/A</v>
      </c>
      <c r="CH237">
        <v>1.098154710390717E-3</v>
      </c>
      <c r="CI237" t="str">
        <v/>
      </c>
      <c r="CK237">
        <v>229</v>
      </c>
      <c r="CL237">
        <v>12.650347016931141</v>
      </c>
      <c r="CM237">
        <v>8.9532776484618911E-4</v>
      </c>
      <c r="CN237">
        <v>8.9532776484618911E-4</v>
      </c>
      <c r="CO237" t="e">
        <v>#N/A</v>
      </c>
      <c r="CP237" t="str">
        <v/>
      </c>
    </row>
    <row r="238" spans="44:94" x14ac:dyDescent="0.2">
      <c r="AR238">
        <v>230</v>
      </c>
      <c r="AS238">
        <v>230</v>
      </c>
      <c r="AT238">
        <v>1</v>
      </c>
      <c r="AU238">
        <v>-3.9812121068897595</v>
      </c>
      <c r="AV238">
        <v>3.6994838547539405E-2</v>
      </c>
      <c r="CD238">
        <v>230</v>
      </c>
      <c r="CE238">
        <v>7.8894940840869836</v>
      </c>
      <c r="CF238">
        <v>1.0713223568025257E-3</v>
      </c>
      <c r="CG238" t="e">
        <v>#N/A</v>
      </c>
      <c r="CH238">
        <v>1.0713223568025257E-3</v>
      </c>
      <c r="CI238" t="str">
        <v/>
      </c>
      <c r="CK238">
        <v>230</v>
      </c>
      <c r="CL238">
        <v>12.705830995075575</v>
      </c>
      <c r="CM238">
        <v>8.7083095793103642E-4</v>
      </c>
      <c r="CN238">
        <v>8.7083095793103642E-4</v>
      </c>
      <c r="CO238" t="e">
        <v>#N/A</v>
      </c>
      <c r="CP238" t="str">
        <v/>
      </c>
    </row>
    <row r="239" spans="44:94" x14ac:dyDescent="0.2">
      <c r="AR239">
        <v>231</v>
      </c>
      <c r="AS239">
        <v>231</v>
      </c>
      <c r="AT239">
        <v>1</v>
      </c>
      <c r="AU239">
        <v>-3.9502715755724136</v>
      </c>
      <c r="AV239">
        <v>3.7355716118593077E-2</v>
      </c>
      <c r="CD239">
        <v>231</v>
      </c>
      <c r="CE239">
        <v>7.9239460233188046</v>
      </c>
      <c r="CF239">
        <v>1.045182121900015E-3</v>
      </c>
      <c r="CG239" t="e">
        <v>#N/A</v>
      </c>
      <c r="CH239">
        <v>1.045182121900015E-3</v>
      </c>
      <c r="CI239" t="str">
        <v/>
      </c>
      <c r="CK239">
        <v>231</v>
      </c>
      <c r="CL239">
        <v>12.76131497322001</v>
      </c>
      <c r="CM239">
        <v>8.4700440114393648E-4</v>
      </c>
      <c r="CN239">
        <v>8.4700440114393648E-4</v>
      </c>
      <c r="CO239" t="e">
        <v>#N/A</v>
      </c>
      <c r="CP239" t="str">
        <v/>
      </c>
    </row>
    <row r="240" spans="44:94" x14ac:dyDescent="0.2">
      <c r="AR240">
        <v>232</v>
      </c>
      <c r="AS240">
        <v>232</v>
      </c>
      <c r="AT240">
        <v>1</v>
      </c>
      <c r="AU240">
        <v>-3.9193310442550677</v>
      </c>
      <c r="AV240">
        <v>3.7718167301189473E-2</v>
      </c>
      <c r="CD240">
        <v>232</v>
      </c>
      <c r="CE240">
        <v>7.9583979625506256</v>
      </c>
      <c r="CF240">
        <v>1.0197152142891474E-3</v>
      </c>
      <c r="CG240" t="e">
        <v>#N/A</v>
      </c>
      <c r="CH240">
        <v>1.0197152142891474E-3</v>
      </c>
      <c r="CI240" t="str">
        <v/>
      </c>
      <c r="CK240">
        <v>232</v>
      </c>
      <c r="CL240">
        <v>12.816798951364444</v>
      </c>
      <c r="CM240">
        <v>8.2382975596282564E-4</v>
      </c>
      <c r="CN240">
        <v>8.2382975596282564E-4</v>
      </c>
      <c r="CO240" t="e">
        <v>#N/A</v>
      </c>
      <c r="CP240" t="str">
        <v/>
      </c>
    </row>
    <row r="241" spans="44:94" x14ac:dyDescent="0.2">
      <c r="AR241">
        <v>233</v>
      </c>
      <c r="AS241">
        <v>233</v>
      </c>
      <c r="AT241">
        <v>1</v>
      </c>
      <c r="AU241">
        <v>-3.888390512937721</v>
      </c>
      <c r="AV241">
        <v>3.8082169770954973E-2</v>
      </c>
      <c r="CD241">
        <v>233</v>
      </c>
      <c r="CE241">
        <v>7.9928499017824466</v>
      </c>
      <c r="CF241">
        <v>9.9490337818906893E-4</v>
      </c>
      <c r="CG241" t="e">
        <v>#N/A</v>
      </c>
      <c r="CH241">
        <v>9.9490337818906893E-4</v>
      </c>
      <c r="CI241" t="str">
        <v/>
      </c>
      <c r="CK241">
        <v>233</v>
      </c>
      <c r="CL241">
        <v>12.872282929508879</v>
      </c>
      <c r="CM241">
        <v>8.0128918562069335E-4</v>
      </c>
      <c r="CN241">
        <v>8.0128918562069335E-4</v>
      </c>
      <c r="CO241" t="e">
        <v>#N/A</v>
      </c>
      <c r="CP241" t="str">
        <v/>
      </c>
    </row>
    <row r="242" spans="44:94" x14ac:dyDescent="0.2">
      <c r="AR242">
        <v>234</v>
      </c>
      <c r="AS242">
        <v>234</v>
      </c>
      <c r="AT242">
        <v>1</v>
      </c>
      <c r="AU242">
        <v>-3.8574499816203751</v>
      </c>
      <c r="AV242">
        <v>3.844770074615559E-2</v>
      </c>
      <c r="CD242">
        <v>234</v>
      </c>
      <c r="CE242">
        <v>8.0273018410142676</v>
      </c>
      <c r="CF242">
        <v>9.7072887744301475E-4</v>
      </c>
      <c r="CG242" t="e">
        <v>#N/A</v>
      </c>
      <c r="CH242">
        <v>9.7072887744301475E-4</v>
      </c>
      <c r="CI242" t="str">
        <v/>
      </c>
      <c r="CK242">
        <v>234</v>
      </c>
      <c r="CL242">
        <v>12.927766907653314</v>
      </c>
      <c r="CM242">
        <v>7.7936534137721368E-4</v>
      </c>
      <c r="CN242">
        <v>7.7936534137721368E-4</v>
      </c>
      <c r="CO242" t="e">
        <v>#N/A</v>
      </c>
      <c r="CP242" t="str">
        <v/>
      </c>
    </row>
    <row r="243" spans="44:94" x14ac:dyDescent="0.2">
      <c r="AR243">
        <v>235</v>
      </c>
      <c r="AS243">
        <v>235</v>
      </c>
      <c r="AT243">
        <v>1</v>
      </c>
      <c r="AU243">
        <v>-3.8265094503030284</v>
      </c>
      <c r="AV243">
        <v>3.8814736988008858E-2</v>
      </c>
      <c r="CD243">
        <v>235</v>
      </c>
      <c r="CE243">
        <v>8.0617537802460877</v>
      </c>
      <c r="CF243">
        <v>9.4717448002805578E-4</v>
      </c>
      <c r="CG243" t="e">
        <v>#N/A</v>
      </c>
      <c r="CH243">
        <v>9.4717448002805578E-4</v>
      </c>
      <c r="CI243" t="str">
        <v/>
      </c>
      <c r="CK243">
        <v>235</v>
      </c>
      <c r="CL243">
        <v>12.983250885797748</v>
      </c>
      <c r="CM243">
        <v>7.5804134916598171E-4</v>
      </c>
      <c r="CN243">
        <v>7.5804134916598171E-4</v>
      </c>
      <c r="CO243" t="e">
        <v>#N/A</v>
      </c>
      <c r="CP243" t="str">
        <v/>
      </c>
    </row>
    <row r="244" spans="44:94" x14ac:dyDescent="0.2">
      <c r="AR244">
        <v>236</v>
      </c>
      <c r="AS244">
        <v>236</v>
      </c>
      <c r="AT244">
        <v>1</v>
      </c>
      <c r="AU244">
        <v>-3.7955689189856825</v>
      </c>
      <c r="AV244">
        <v>3.9183254801117062E-2</v>
      </c>
      <c r="CD244">
        <v>236</v>
      </c>
      <c r="CE244">
        <v>8.0962057194779096</v>
      </c>
      <c r="CF244">
        <v>9.2422344304740329E-4</v>
      </c>
      <c r="CG244" t="e">
        <v>#N/A</v>
      </c>
      <c r="CH244">
        <v>9.2422344304740329E-4</v>
      </c>
      <c r="CI244" t="str">
        <v/>
      </c>
      <c r="CK244">
        <v>236</v>
      </c>
      <c r="CL244">
        <v>13.038734863942185</v>
      </c>
      <c r="CM244">
        <v>7.3730079660709602E-4</v>
      </c>
      <c r="CN244">
        <v>7.3730079660709602E-4</v>
      </c>
      <c r="CO244" t="e">
        <v>#N/A</v>
      </c>
      <c r="CP244" t="str">
        <v/>
      </c>
    </row>
    <row r="245" spans="44:94" x14ac:dyDescent="0.2">
      <c r="AR245">
        <v>237</v>
      </c>
      <c r="AS245">
        <v>237</v>
      </c>
      <c r="AT245">
        <v>1</v>
      </c>
      <c r="AU245">
        <v>-3.7646283876683357</v>
      </c>
      <c r="AV245">
        <v>3.9553230034023182E-2</v>
      </c>
      <c r="CD245">
        <v>237</v>
      </c>
      <c r="CE245">
        <v>8.1306576587097297</v>
      </c>
      <c r="CF245">
        <v>9.0185949818960684E-4</v>
      </c>
      <c r="CG245" t="e">
        <v>#N/A</v>
      </c>
      <c r="CH245">
        <v>9.0185949818960684E-4</v>
      </c>
      <c r="CI245" t="str">
        <v/>
      </c>
      <c r="CK245">
        <v>237</v>
      </c>
      <c r="CL245">
        <v>13.094218842086621</v>
      </c>
      <c r="CM245">
        <v>7.1712772037509087E-4</v>
      </c>
      <c r="CN245">
        <v>7.1712772037509087E-4</v>
      </c>
      <c r="CO245" t="e">
        <v>#N/A</v>
      </c>
      <c r="CP245" t="str">
        <v/>
      </c>
    </row>
    <row r="246" spans="44:94" x14ac:dyDescent="0.2">
      <c r="AR246">
        <v>238</v>
      </c>
      <c r="AS246">
        <v>238</v>
      </c>
      <c r="AT246">
        <v>1</v>
      </c>
      <c r="AU246">
        <v>-3.7336878563509899</v>
      </c>
      <c r="AV246">
        <v>3.9924638079890169E-2</v>
      </c>
      <c r="CD246">
        <v>238</v>
      </c>
      <c r="CE246">
        <v>8.1651095979415516</v>
      </c>
      <c r="CF246">
        <v>8.8006683763952966E-4</v>
      </c>
      <c r="CG246" t="e">
        <v>#N/A</v>
      </c>
      <c r="CH246">
        <v>8.8006683763952966E-4</v>
      </c>
      <c r="CI246" t="str">
        <v/>
      </c>
      <c r="CK246">
        <v>238</v>
      </c>
      <c r="CL246">
        <v>13.149702820231054</v>
      </c>
      <c r="CM246">
        <v>6.9750659391248167E-4</v>
      </c>
      <c r="CN246">
        <v>6.9750659391248167E-4</v>
      </c>
      <c r="CO246" t="e">
        <v>#N/A</v>
      </c>
      <c r="CP246" t="str">
        <v/>
      </c>
    </row>
    <row r="247" spans="44:94" x14ac:dyDescent="0.2">
      <c r="AR247">
        <v>239</v>
      </c>
      <c r="AS247">
        <v>239</v>
      </c>
      <c r="AT247">
        <v>1</v>
      </c>
      <c r="AU247">
        <v>-3.7027473250336431</v>
      </c>
      <c r="AV247">
        <v>4.0297453877304844E-2</v>
      </c>
      <c r="CD247">
        <v>239</v>
      </c>
      <c r="CE247">
        <v>8.1995615371733717</v>
      </c>
      <c r="CF247">
        <v>8.5883010042641435E-4</v>
      </c>
      <c r="CG247" t="e">
        <v>#N/A</v>
      </c>
      <c r="CH247">
        <v>8.5883010042641435E-4</v>
      </c>
      <c r="CI247" t="str">
        <v/>
      </c>
      <c r="CK247">
        <v>239</v>
      </c>
      <c r="CL247">
        <v>13.20518679837549</v>
      </c>
      <c r="CM247">
        <v>6.7842231547948111E-4</v>
      </c>
      <c r="CN247">
        <v>6.7842231547948111E-4</v>
      </c>
      <c r="CO247" t="e">
        <v>#N/A</v>
      </c>
      <c r="CP247" t="str">
        <v/>
      </c>
    </row>
    <row r="248" spans="44:94" x14ac:dyDescent="0.2">
      <c r="AR248">
        <v>240</v>
      </c>
      <c r="AS248">
        <v>240</v>
      </c>
      <c r="AT248">
        <v>1</v>
      </c>
      <c r="AU248">
        <v>-3.6718067937162973</v>
      </c>
      <c r="AV248">
        <v>4.0671651911207175E-2</v>
      </c>
      <c r="CD248">
        <v>240</v>
      </c>
      <c r="CE248">
        <v>8.2340134764051918</v>
      </c>
      <c r="CF248">
        <v>8.3813435919490855E-4</v>
      </c>
      <c r="CG248" t="e">
        <v>#N/A</v>
      </c>
      <c r="CH248">
        <v>8.3813435919490855E-4</v>
      </c>
      <c r="CI248" t="str">
        <v/>
      </c>
      <c r="CK248">
        <v>240</v>
      </c>
      <c r="CL248">
        <v>13.260670776519923</v>
      </c>
      <c r="CM248">
        <v>6.5986019653068828E-4</v>
      </c>
      <c r="CN248">
        <v>6.5986019653068828E-4</v>
      </c>
      <c r="CO248" t="e">
        <v>#N/A</v>
      </c>
      <c r="CP248" t="str">
        <v/>
      </c>
    </row>
    <row r="249" spans="44:94" x14ac:dyDescent="0.2">
      <c r="AR249">
        <v>241</v>
      </c>
      <c r="AS249">
        <v>241</v>
      </c>
      <c r="AT249">
        <v>1</v>
      </c>
      <c r="AU249">
        <v>-3.6408662623989505</v>
      </c>
      <c r="AV249">
        <v>4.1047206213945933E-2</v>
      </c>
      <c r="CD249">
        <v>241</v>
      </c>
      <c r="CE249">
        <v>8.2684654156370136</v>
      </c>
      <c r="CF249">
        <v>8.1796510738542112E-4</v>
      </c>
      <c r="CG249" t="e">
        <v>#N/A</v>
      </c>
      <c r="CH249">
        <v>8.1796510738542112E-4</v>
      </c>
      <c r="CI249" t="str">
        <v/>
      </c>
      <c r="CK249">
        <v>241</v>
      </c>
      <c r="CL249">
        <v>13.316154754664359</v>
      </c>
      <c r="CM249">
        <v>6.4180595040978924E-4</v>
      </c>
      <c r="CN249">
        <v>6.4180595040978924E-4</v>
      </c>
      <c r="CO249" t="e">
        <v>#N/A</v>
      </c>
      <c r="CP249" t="str">
        <v/>
      </c>
    </row>
    <row r="250" spans="44:94" x14ac:dyDescent="0.2">
      <c r="AR250">
        <v>242</v>
      </c>
      <c r="AS250">
        <v>242</v>
      </c>
      <c r="AT250">
        <v>1</v>
      </c>
      <c r="AU250">
        <v>-3.6099257310816046</v>
      </c>
      <c r="AV250">
        <v>4.1424090366461309E-2</v>
      </c>
      <c r="CD250">
        <v>242</v>
      </c>
      <c r="CE250">
        <v>8.3029173548688338</v>
      </c>
      <c r="CF250">
        <v>7.983082468105366E-4</v>
      </c>
      <c r="CG250" t="e">
        <v>#N/A</v>
      </c>
      <c r="CH250">
        <v>7.983082468105366E-4</v>
      </c>
      <c r="CI250" t="str">
        <v/>
      </c>
      <c r="CK250">
        <v>242</v>
      </c>
      <c r="CL250">
        <v>13.371638732808794</v>
      </c>
      <c r="CM250">
        <v>6.2424568135358927E-4</v>
      </c>
      <c r="CN250">
        <v>6.2424568135358927E-4</v>
      </c>
      <c r="CO250" t="e">
        <v>#N/A</v>
      </c>
      <c r="CP250" t="str">
        <v/>
      </c>
    </row>
    <row r="251" spans="44:94" x14ac:dyDescent="0.2">
      <c r="AR251">
        <v>243</v>
      </c>
      <c r="AS251">
        <v>243</v>
      </c>
      <c r="AT251">
        <v>1</v>
      </c>
      <c r="AU251">
        <v>-3.5789851997642579</v>
      </c>
      <c r="AV251">
        <v>4.1802277499595773E-2</v>
      </c>
      <c r="CD251">
        <v>243</v>
      </c>
      <c r="CE251">
        <v>8.3373692941006556</v>
      </c>
      <c r="CF251">
        <v>7.7915007561476872E-4</v>
      </c>
      <c r="CG251" t="e">
        <v>#N/A</v>
      </c>
      <c r="CH251">
        <v>7.7915007561476872E-4</v>
      </c>
      <c r="CI251" t="str">
        <v/>
      </c>
      <c r="CK251">
        <v>243</v>
      </c>
      <c r="CL251">
        <v>13.427122710953228</v>
      </c>
      <c r="CM251">
        <v>6.0716587379689639E-4</v>
      </c>
      <c r="CN251">
        <v>6.0716587379689639E-4</v>
      </c>
      <c r="CO251" t="e">
        <v>#N/A</v>
      </c>
      <c r="CP251" t="str">
        <v/>
      </c>
    </row>
    <row r="252" spans="44:94" x14ac:dyDescent="0.2">
      <c r="AR252">
        <v>244</v>
      </c>
      <c r="AS252">
        <v>244</v>
      </c>
      <c r="AT252">
        <v>1</v>
      </c>
      <c r="AU252">
        <v>-3.548044668446912</v>
      </c>
      <c r="AV252">
        <v>4.2181740295533392E-2</v>
      </c>
      <c r="CD252">
        <v>244</v>
      </c>
      <c r="CE252">
        <v>8.3718212333324757</v>
      </c>
      <c r="CF252">
        <v>7.6047727660531229E-4</v>
      </c>
      <c r="CG252" t="e">
        <v>#N/A</v>
      </c>
      <c r="CH252">
        <v>7.6047727660531229E-4</v>
      </c>
      <c r="CI252" t="str">
        <v/>
      </c>
      <c r="CK252">
        <v>244</v>
      </c>
      <c r="CL252">
        <v>13.482606689097663</v>
      </c>
      <c r="CM252">
        <v>5.9055338197003086E-4</v>
      </c>
      <c r="CN252">
        <v>5.9055338197003086E-4</v>
      </c>
      <c r="CO252" t="e">
        <v>#N/A</v>
      </c>
      <c r="CP252" t="str">
        <v/>
      </c>
    </row>
    <row r="253" spans="44:94" x14ac:dyDescent="0.2">
      <c r="AR253">
        <v>245</v>
      </c>
      <c r="AS253">
        <v>245</v>
      </c>
      <c r="AT253">
        <v>1</v>
      </c>
      <c r="AU253">
        <v>-3.5171041371295662</v>
      </c>
      <c r="AV253">
        <v>4.2562450989368929E-2</v>
      </c>
      <c r="CD253">
        <v>245</v>
      </c>
      <c r="CE253">
        <v>8.4062731725642958</v>
      </c>
      <c r="CF253">
        <v>7.4227690594184958E-4</v>
      </c>
      <c r="CG253" t="e">
        <v>#N/A</v>
      </c>
      <c r="CH253">
        <v>7.4227690594184958E-4</v>
      </c>
      <c r="CI253" t="str">
        <v/>
      </c>
      <c r="CK253">
        <v>245</v>
      </c>
      <c r="CL253">
        <v>13.538090667242098</v>
      </c>
      <c r="CM253">
        <v>5.7439541978095913E-4</v>
      </c>
      <c r="CN253">
        <v>5.7439541978095913E-4</v>
      </c>
      <c r="CO253" t="e">
        <v>#N/A</v>
      </c>
      <c r="CP253" t="str">
        <v/>
      </c>
    </row>
    <row r="254" spans="44:94" x14ac:dyDescent="0.2">
      <c r="AR254">
        <v>246</v>
      </c>
      <c r="AS254">
        <v>246</v>
      </c>
      <c r="AT254">
        <v>1</v>
      </c>
      <c r="AU254">
        <v>-3.4861636058122194</v>
      </c>
      <c r="AV254">
        <v>4.2944381370806854E-2</v>
      </c>
      <c r="CD254">
        <v>246</v>
      </c>
      <c r="CE254">
        <v>8.4407251117961177</v>
      </c>
      <c r="CF254">
        <v>7.2453638217389812E-4</v>
      </c>
      <c r="CG254" t="e">
        <v>#N/A</v>
      </c>
      <c r="CH254">
        <v>7.2453638217389812E-4</v>
      </c>
      <c r="CI254" t="str">
        <v/>
      </c>
      <c r="CK254">
        <v>246</v>
      </c>
      <c r="CL254">
        <v>13.593574645386532</v>
      </c>
      <c r="CM254">
        <v>5.5867955097425512E-4</v>
      </c>
      <c r="CN254">
        <v>5.5867955097425512E-4</v>
      </c>
      <c r="CO254" t="e">
        <v>#N/A</v>
      </c>
      <c r="CP254" t="str">
        <v/>
      </c>
    </row>
    <row r="255" spans="44:94" x14ac:dyDescent="0.2">
      <c r="AR255">
        <v>247</v>
      </c>
      <c r="AS255">
        <v>247</v>
      </c>
      <c r="AT255">
        <v>1</v>
      </c>
      <c r="AU255">
        <v>-3.4552230744948735</v>
      </c>
      <c r="AV255">
        <v>4.3327502785991283E-2</v>
      </c>
      <c r="CD255">
        <v>247</v>
      </c>
      <c r="CE255">
        <v>8.4751770510279378</v>
      </c>
      <c r="CF255">
        <v>7.0724347561458253E-4</v>
      </c>
      <c r="CG255" t="e">
        <v>#N/A</v>
      </c>
      <c r="CH255">
        <v>7.0724347561458253E-4</v>
      </c>
      <c r="CI255" t="str">
        <v/>
      </c>
      <c r="CK255">
        <v>247</v>
      </c>
      <c r="CL255">
        <v>13.649058623530967</v>
      </c>
      <c r="CM255">
        <v>5.4339367955931895E-4</v>
      </c>
      <c r="CN255">
        <v>5.4339367955931895E-4</v>
      </c>
      <c r="CO255" t="e">
        <v>#N/A</v>
      </c>
      <c r="CP255" t="str">
        <v/>
      </c>
    </row>
    <row r="256" spans="44:94" x14ac:dyDescent="0.2">
      <c r="AR256">
        <v>248</v>
      </c>
      <c r="AS256">
        <v>248</v>
      </c>
      <c r="AT256">
        <v>1</v>
      </c>
      <c r="AU256">
        <v>-3.4242825431775268</v>
      </c>
      <c r="AV256">
        <v>4.3711786139467405E-2</v>
      </c>
      <c r="CD256">
        <v>248</v>
      </c>
      <c r="CE256">
        <v>8.5096289902597597</v>
      </c>
      <c r="CF256">
        <v>6.9038629804002612E-4</v>
      </c>
      <c r="CG256" t="e">
        <v>#N/A</v>
      </c>
      <c r="CH256">
        <v>6.9038629804002612E-4</v>
      </c>
      <c r="CI256" t="str">
        <v/>
      </c>
      <c r="CK256">
        <v>248</v>
      </c>
      <c r="CL256">
        <v>13.704542601675401</v>
      </c>
      <c r="CM256">
        <v>5.2852604050049237E-4</v>
      </c>
      <c r="CN256">
        <v>5.2852604050049237E-4</v>
      </c>
      <c r="CO256" t="e">
        <v>#N/A</v>
      </c>
      <c r="CP256" t="str">
        <v/>
      </c>
    </row>
    <row r="257" spans="44:94" x14ac:dyDescent="0.2">
      <c r="AR257">
        <v>249</v>
      </c>
      <c r="AS257">
        <v>249</v>
      </c>
      <c r="AT257">
        <v>1</v>
      </c>
      <c r="AU257">
        <v>-3.3933420118601809</v>
      </c>
      <c r="AV257">
        <v>4.4097201896274814E-2</v>
      </c>
      <c r="CD257">
        <v>249</v>
      </c>
      <c r="CE257">
        <v>8.5440809294915798</v>
      </c>
      <c r="CF257">
        <v>6.7395329270396797E-4</v>
      </c>
      <c r="CG257" t="e">
        <v>#N/A</v>
      </c>
      <c r="CH257">
        <v>6.7395329270396797E-4</v>
      </c>
      <c r="CI257" t="str">
        <v/>
      </c>
      <c r="CK257">
        <v>249</v>
      </c>
      <c r="CL257">
        <v>13.760026579819836</v>
      </c>
      <c r="CM257">
        <v>5.1406519066189119E-4</v>
      </c>
      <c r="CN257">
        <v>5.1406519066189119E-4</v>
      </c>
      <c r="CO257" t="e">
        <v>#N/A</v>
      </c>
      <c r="CP257" t="str">
        <v/>
      </c>
    </row>
    <row r="258" spans="44:94" x14ac:dyDescent="0.2">
      <c r="AR258">
        <v>250</v>
      </c>
      <c r="AS258">
        <v>250</v>
      </c>
      <c r="AT258">
        <v>1</v>
      </c>
      <c r="AU258">
        <v>-3.3624014805428342</v>
      </c>
      <c r="AV258">
        <v>4.4483720084173513E-2</v>
      </c>
      <c r="CD258">
        <v>250</v>
      </c>
      <c r="CE258">
        <v>8.5785328687234017</v>
      </c>
      <c r="CF258">
        <v>6.5793322465757084E-4</v>
      </c>
      <c r="CG258" t="e">
        <v>#N/A</v>
      </c>
      <c r="CH258">
        <v>6.5793322465757084E-4</v>
      </c>
      <c r="CI258">
        <v>8.5790000000000006</v>
      </c>
      <c r="CK258">
        <v>250</v>
      </c>
      <c r="CL258">
        <v>13.815510557964272</v>
      </c>
      <c r="CM258">
        <v>5.0000000000000055E-4</v>
      </c>
      <c r="CN258">
        <v>5.0000000000000055E-4</v>
      </c>
      <c r="CO258" t="e">
        <v>#N/A</v>
      </c>
      <c r="CP258">
        <v>13.816000000000001</v>
      </c>
    </row>
    <row r="259" spans="44:94" x14ac:dyDescent="0.2">
      <c r="AR259">
        <v>251</v>
      </c>
      <c r="AS259">
        <v>251</v>
      </c>
      <c r="AT259">
        <v>1</v>
      </c>
      <c r="AU259">
        <v>-3.3314609492254883</v>
      </c>
      <c r="AV259">
        <v>4.4871310296002706E-2</v>
      </c>
    </row>
    <row r="260" spans="44:94" x14ac:dyDescent="0.2">
      <c r="AR260">
        <v>252</v>
      </c>
      <c r="AS260">
        <v>252</v>
      </c>
      <c r="AT260">
        <v>1</v>
      </c>
      <c r="AU260">
        <v>-3.3005204179081415</v>
      </c>
      <c r="AV260">
        <v>4.5259941692173344E-2</v>
      </c>
    </row>
    <row r="261" spans="44:94" x14ac:dyDescent="0.2">
      <c r="AR261">
        <v>253</v>
      </c>
      <c r="AS261">
        <v>253</v>
      </c>
      <c r="AT261">
        <v>1</v>
      </c>
      <c r="AU261">
        <v>-3.2695798865907957</v>
      </c>
      <c r="AV261">
        <v>4.564958300329422E-2</v>
      </c>
    </row>
    <row r="262" spans="44:94" x14ac:dyDescent="0.2">
      <c r="AR262">
        <v>254</v>
      </c>
      <c r="AS262">
        <v>254</v>
      </c>
      <c r="AT262">
        <v>1</v>
      </c>
      <c r="AU262">
        <v>-3.2386393552734489</v>
      </c>
      <c r="AV262">
        <v>4.6040202532932568E-2</v>
      </c>
    </row>
    <row r="263" spans="44:94" x14ac:dyDescent="0.2">
      <c r="AR263">
        <v>255</v>
      </c>
      <c r="AS263">
        <v>255</v>
      </c>
      <c r="AT263">
        <v>1</v>
      </c>
      <c r="AU263">
        <v>-3.2076988239561031</v>
      </c>
      <c r="AV263">
        <v>4.6431768160508827E-2</v>
      </c>
    </row>
    <row r="264" spans="44:94" x14ac:dyDescent="0.2">
      <c r="AR264">
        <v>256</v>
      </c>
      <c r="AS264">
        <v>256</v>
      </c>
      <c r="AT264">
        <v>1</v>
      </c>
      <c r="AU264">
        <v>-3.1767582926387563</v>
      </c>
      <c r="AV264">
        <v>4.6824247344326497E-2</v>
      </c>
    </row>
    <row r="265" spans="44:94" x14ac:dyDescent="0.2">
      <c r="AR265">
        <v>257</v>
      </c>
      <c r="AS265">
        <v>257</v>
      </c>
      <c r="AT265">
        <v>1</v>
      </c>
      <c r="AU265">
        <v>-3.1458177613214104</v>
      </c>
      <c r="AV265">
        <v>4.7217607124736695E-2</v>
      </c>
    </row>
    <row r="266" spans="44:94" x14ac:dyDescent="0.2">
      <c r="AR266">
        <v>258</v>
      </c>
      <c r="AS266">
        <v>258</v>
      </c>
      <c r="AT266">
        <v>1</v>
      </c>
      <c r="AU266">
        <v>-3.1148772300040646</v>
      </c>
      <c r="AV266">
        <v>4.761181412743809E-2</v>
      </c>
    </row>
    <row r="267" spans="44:94" x14ac:dyDescent="0.2">
      <c r="AR267">
        <v>259</v>
      </c>
      <c r="AS267">
        <v>259</v>
      </c>
      <c r="AT267">
        <v>1</v>
      </c>
      <c r="AU267">
        <v>-3.0839366986867178</v>
      </c>
      <c r="AV267">
        <v>4.8006834566911891E-2</v>
      </c>
    </row>
    <row r="268" spans="44:94" x14ac:dyDescent="0.2">
      <c r="AR268">
        <v>260</v>
      </c>
      <c r="AS268">
        <v>260</v>
      </c>
      <c r="AT268">
        <v>1</v>
      </c>
      <c r="AU268">
        <v>-3.052996167369372</v>
      </c>
      <c r="AV268">
        <v>4.840263424999218E-2</v>
      </c>
    </row>
    <row r="269" spans="44:94" x14ac:dyDescent="0.2">
      <c r="AR269">
        <v>261</v>
      </c>
      <c r="AS269">
        <v>261</v>
      </c>
      <c r="AT269">
        <v>1</v>
      </c>
      <c r="AU269">
        <v>-3.0220556360520252</v>
      </c>
      <c r="AV269">
        <v>4.8799178579571757E-2</v>
      </c>
    </row>
    <row r="270" spans="44:94" x14ac:dyDescent="0.2">
      <c r="AR270">
        <v>262</v>
      </c>
      <c r="AS270">
        <v>262</v>
      </c>
      <c r="AT270">
        <v>1</v>
      </c>
      <c r="AU270">
        <v>-2.9911151047346785</v>
      </c>
      <c r="AV270">
        <v>4.9196432558443137E-2</v>
      </c>
    </row>
    <row r="271" spans="44:94" x14ac:dyDescent="0.2">
      <c r="AR271">
        <v>263</v>
      </c>
      <c r="AS271">
        <v>263</v>
      </c>
      <c r="AT271">
        <v>1</v>
      </c>
      <c r="AU271">
        <v>-2.9601745734173335</v>
      </c>
      <c r="AV271">
        <v>4.9594360793274707E-2</v>
      </c>
    </row>
    <row r="272" spans="44:94" x14ac:dyDescent="0.2">
      <c r="AR272">
        <v>264</v>
      </c>
      <c r="AS272">
        <v>264</v>
      </c>
      <c r="AT272">
        <v>1</v>
      </c>
      <c r="AU272">
        <v>-2.9292340420999867</v>
      </c>
      <c r="AV272">
        <v>4.999292749872232E-2</v>
      </c>
    </row>
    <row r="273" spans="44:48" x14ac:dyDescent="0.2">
      <c r="AR273">
        <v>265</v>
      </c>
      <c r="AS273">
        <v>265</v>
      </c>
      <c r="AT273">
        <v>1</v>
      </c>
      <c r="AU273">
        <v>-2.89829351078264</v>
      </c>
      <c r="AV273">
        <v>5.0392096501675324E-2</v>
      </c>
    </row>
    <row r="274" spans="44:48" x14ac:dyDescent="0.2">
      <c r="AR274">
        <v>266</v>
      </c>
      <c r="AS274">
        <v>266</v>
      </c>
      <c r="AT274">
        <v>1</v>
      </c>
      <c r="AU274">
        <v>-2.8673529794652932</v>
      </c>
      <c r="AV274">
        <v>5.0791831245637777E-2</v>
      </c>
    </row>
    <row r="275" spans="44:48" x14ac:dyDescent="0.2">
      <c r="AR275">
        <v>267</v>
      </c>
      <c r="AS275">
        <v>267</v>
      </c>
      <c r="AT275">
        <v>1</v>
      </c>
      <c r="AU275">
        <v>-2.8364124481479482</v>
      </c>
      <c r="AV275">
        <v>5.1192094795243691E-2</v>
      </c>
    </row>
    <row r="276" spans="44:48" x14ac:dyDescent="0.2">
      <c r="AR276">
        <v>268</v>
      </c>
      <c r="AS276">
        <v>268</v>
      </c>
      <c r="AT276">
        <v>1</v>
      </c>
      <c r="AU276">
        <v>-2.8054719168306015</v>
      </c>
      <c r="AV276">
        <v>5.1592849840906695E-2</v>
      </c>
    </row>
    <row r="277" spans="44:48" x14ac:dyDescent="0.2">
      <c r="AR277">
        <v>269</v>
      </c>
      <c r="AS277">
        <v>269</v>
      </c>
      <c r="AT277">
        <v>1</v>
      </c>
      <c r="AU277">
        <v>-2.7745313855132547</v>
      </c>
      <c r="AV277">
        <v>5.1994058703603067E-2</v>
      </c>
    </row>
    <row r="278" spans="44:48" x14ac:dyDescent="0.2">
      <c r="AR278">
        <v>270</v>
      </c>
      <c r="AS278">
        <v>270</v>
      </c>
      <c r="AT278">
        <v>1</v>
      </c>
      <c r="AU278">
        <v>-2.7435908541959098</v>
      </c>
      <c r="AV278">
        <v>5.2395683339788258E-2</v>
      </c>
    </row>
    <row r="279" spans="44:48" x14ac:dyDescent="0.2">
      <c r="AR279">
        <v>271</v>
      </c>
      <c r="AS279">
        <v>271</v>
      </c>
      <c r="AT279">
        <v>1</v>
      </c>
      <c r="AU279">
        <v>-2.712650322878563</v>
      </c>
      <c r="AV279">
        <v>5.2797685346446251E-2</v>
      </c>
    </row>
    <row r="280" spans="44:48" x14ac:dyDescent="0.2">
      <c r="AR280">
        <v>272</v>
      </c>
      <c r="AS280">
        <v>272</v>
      </c>
      <c r="AT280">
        <v>1</v>
      </c>
      <c r="AU280">
        <v>-2.6817097915612162</v>
      </c>
      <c r="AV280">
        <v>5.3200025966270902E-2</v>
      </c>
    </row>
    <row r="281" spans="44:48" x14ac:dyDescent="0.2">
      <c r="AR281">
        <v>273</v>
      </c>
      <c r="AS281">
        <v>273</v>
      </c>
      <c r="AT281">
        <v>1</v>
      </c>
      <c r="AU281">
        <v>-2.6507692602438695</v>
      </c>
      <c r="AV281">
        <v>5.3602666092979187E-2</v>
      </c>
    </row>
    <row r="282" spans="44:48" x14ac:dyDescent="0.2">
      <c r="AR282">
        <v>274</v>
      </c>
      <c r="AS282">
        <v>274</v>
      </c>
      <c r="AT282">
        <v>1</v>
      </c>
      <c r="AU282">
        <v>-2.6198287289265245</v>
      </c>
      <c r="AV282">
        <v>5.4005566276755401E-2</v>
      </c>
    </row>
    <row r="283" spans="44:48" x14ac:dyDescent="0.2">
      <c r="AR283">
        <v>275</v>
      </c>
      <c r="AS283">
        <v>275</v>
      </c>
      <c r="AT283">
        <v>1</v>
      </c>
      <c r="AU283">
        <v>-2.5888881976091778</v>
      </c>
      <c r="AV283">
        <v>5.4408686729825663E-2</v>
      </c>
    </row>
    <row r="284" spans="44:48" x14ac:dyDescent="0.2">
      <c r="AR284">
        <v>276</v>
      </c>
      <c r="AS284">
        <v>276</v>
      </c>
      <c r="AT284">
        <v>1</v>
      </c>
      <c r="AU284">
        <v>-2.557947666291831</v>
      </c>
      <c r="AV284">
        <v>5.4811987332161978E-2</v>
      </c>
    </row>
    <row r="285" spans="44:48" x14ac:dyDescent="0.2">
      <c r="AR285">
        <v>277</v>
      </c>
      <c r="AS285">
        <v>277</v>
      </c>
      <c r="AT285">
        <v>1</v>
      </c>
      <c r="AU285">
        <v>-2.5270071349744843</v>
      </c>
      <c r="AV285">
        <v>5.5215427637315052E-2</v>
      </c>
    </row>
    <row r="286" spans="44:48" x14ac:dyDescent="0.2">
      <c r="AR286">
        <v>278</v>
      </c>
      <c r="AS286">
        <v>278</v>
      </c>
      <c r="AT286">
        <v>1</v>
      </c>
      <c r="AU286">
        <v>-2.4960666036571393</v>
      </c>
      <c r="AV286">
        <v>5.5618966878375177E-2</v>
      </c>
    </row>
    <row r="287" spans="44:48" x14ac:dyDescent="0.2">
      <c r="AR287">
        <v>279</v>
      </c>
      <c r="AS287">
        <v>279</v>
      </c>
      <c r="AT287">
        <v>1</v>
      </c>
      <c r="AU287">
        <v>-2.4651260723397925</v>
      </c>
      <c r="AV287">
        <v>5.602256397406008E-2</v>
      </c>
    </row>
    <row r="288" spans="44:48" x14ac:dyDescent="0.2">
      <c r="AR288">
        <v>280</v>
      </c>
      <c r="AS288">
        <v>280</v>
      </c>
      <c r="AT288">
        <v>1</v>
      </c>
      <c r="AU288">
        <v>-2.4341855410224458</v>
      </c>
      <c r="AV288">
        <v>5.64261775349287E-2</v>
      </c>
    </row>
    <row r="289" spans="44:48" x14ac:dyDescent="0.2">
      <c r="AR289">
        <v>281</v>
      </c>
      <c r="AS289">
        <v>281</v>
      </c>
      <c r="AT289">
        <v>1</v>
      </c>
      <c r="AU289">
        <v>-2.403245009705099</v>
      </c>
      <c r="AV289">
        <v>5.6829765869720113E-2</v>
      </c>
    </row>
    <row r="290" spans="44:48" x14ac:dyDescent="0.2">
      <c r="AR290">
        <v>282</v>
      </c>
      <c r="AS290">
        <v>282</v>
      </c>
      <c r="AT290">
        <v>1</v>
      </c>
      <c r="AU290">
        <v>-2.372304478387754</v>
      </c>
      <c r="AV290">
        <v>5.7233286991816623E-2</v>
      </c>
    </row>
    <row r="291" spans="44:48" x14ac:dyDescent="0.2">
      <c r="AR291">
        <v>283</v>
      </c>
      <c r="AS291">
        <v>283</v>
      </c>
      <c r="AT291">
        <v>1</v>
      </c>
      <c r="AU291">
        <v>-2.3413639470704073</v>
      </c>
      <c r="AV291">
        <v>5.7636698625829472E-2</v>
      </c>
    </row>
    <row r="292" spans="44:48" x14ac:dyDescent="0.2">
      <c r="AR292">
        <v>284</v>
      </c>
      <c r="AS292">
        <v>284</v>
      </c>
      <c r="AT292">
        <v>1</v>
      </c>
      <c r="AU292">
        <v>-2.3104234157530605</v>
      </c>
      <c r="AV292">
        <v>5.8039958214306318E-2</v>
      </c>
    </row>
    <row r="293" spans="44:48" x14ac:dyDescent="0.2">
      <c r="AR293">
        <v>285</v>
      </c>
      <c r="AS293">
        <v>285</v>
      </c>
      <c r="AT293">
        <v>1</v>
      </c>
      <c r="AU293">
        <v>-2.2794828844357156</v>
      </c>
      <c r="AV293">
        <v>5.8443022924559392E-2</v>
      </c>
    </row>
    <row r="294" spans="44:48" x14ac:dyDescent="0.2">
      <c r="AR294">
        <v>286</v>
      </c>
      <c r="AS294">
        <v>286</v>
      </c>
      <c r="AT294">
        <v>1</v>
      </c>
      <c r="AU294">
        <v>-2.2485423531183688</v>
      </c>
      <c r="AV294">
        <v>5.8845849655612646E-2</v>
      </c>
    </row>
    <row r="295" spans="44:48" x14ac:dyDescent="0.2">
      <c r="AR295">
        <v>287</v>
      </c>
      <c r="AS295">
        <v>287</v>
      </c>
      <c r="AT295">
        <v>1</v>
      </c>
      <c r="AU295">
        <v>-2.2176018218010221</v>
      </c>
      <c r="AV295">
        <v>5.924839504526689E-2</v>
      </c>
    </row>
    <row r="296" spans="44:48" x14ac:dyDescent="0.2">
      <c r="AR296">
        <v>288</v>
      </c>
      <c r="AS296">
        <v>288</v>
      </c>
      <c r="AT296">
        <v>1</v>
      </c>
      <c r="AU296">
        <v>-2.1866612904836753</v>
      </c>
      <c r="AV296">
        <v>5.9650615477281441E-2</v>
      </c>
    </row>
    <row r="297" spans="44:48" x14ac:dyDescent="0.2">
      <c r="AR297">
        <v>289</v>
      </c>
      <c r="AS297">
        <v>289</v>
      </c>
      <c r="AT297">
        <v>1</v>
      </c>
      <c r="AU297">
        <v>-2.1557207591663303</v>
      </c>
      <c r="AV297">
        <v>6.0052467088670874E-2</v>
      </c>
    </row>
    <row r="298" spans="44:48" x14ac:dyDescent="0.2">
      <c r="AR298">
        <v>290</v>
      </c>
      <c r="AS298">
        <v>290</v>
      </c>
      <c r="AT298">
        <v>1</v>
      </c>
      <c r="AU298">
        <v>-2.1247802278489836</v>
      </c>
      <c r="AV298">
        <v>6.0453905777115492E-2</v>
      </c>
    </row>
    <row r="299" spans="44:48" x14ac:dyDescent="0.2">
      <c r="AR299">
        <v>291</v>
      </c>
      <c r="AS299">
        <v>291</v>
      </c>
      <c r="AT299">
        <v>1</v>
      </c>
      <c r="AU299">
        <v>-2.0938396965316368</v>
      </c>
      <c r="AV299">
        <v>6.0854887208483491E-2</v>
      </c>
    </row>
    <row r="300" spans="44:48" x14ac:dyDescent="0.2">
      <c r="AR300">
        <v>292</v>
      </c>
      <c r="AS300">
        <v>292</v>
      </c>
      <c r="AT300">
        <v>1</v>
      </c>
      <c r="AU300">
        <v>-2.0628991652142901</v>
      </c>
      <c r="AV300">
        <v>6.1255366824464134E-2</v>
      </c>
    </row>
    <row r="301" spans="44:48" x14ac:dyDescent="0.2">
      <c r="AR301">
        <v>293</v>
      </c>
      <c r="AS301">
        <v>293</v>
      </c>
      <c r="AT301">
        <v>1</v>
      </c>
      <c r="AU301">
        <v>-2.0319586338969451</v>
      </c>
      <c r="AV301">
        <v>6.1655299850309382E-2</v>
      </c>
    </row>
    <row r="302" spans="44:48" x14ac:dyDescent="0.2">
      <c r="AR302">
        <v>294</v>
      </c>
      <c r="AS302">
        <v>294</v>
      </c>
      <c r="AT302">
        <v>1</v>
      </c>
      <c r="AU302">
        <v>-2.0010181025795983</v>
      </c>
      <c r="AV302">
        <v>6.2054641302683032E-2</v>
      </c>
    </row>
    <row r="303" spans="44:48" x14ac:dyDescent="0.2">
      <c r="AR303">
        <v>295</v>
      </c>
      <c r="AS303">
        <v>295</v>
      </c>
      <c r="AT303">
        <v>1</v>
      </c>
      <c r="AU303">
        <v>-1.9700775712622516</v>
      </c>
      <c r="AV303">
        <v>6.245334599761497E-2</v>
      </c>
    </row>
    <row r="304" spans="44:48" x14ac:dyDescent="0.2">
      <c r="AR304">
        <v>296</v>
      </c>
      <c r="AS304">
        <v>296</v>
      </c>
      <c r="AT304">
        <v>1</v>
      </c>
      <c r="AU304">
        <v>-1.9391370399449066</v>
      </c>
      <c r="AV304">
        <v>6.2851368558559259E-2</v>
      </c>
    </row>
    <row r="305" spans="44:48" x14ac:dyDescent="0.2">
      <c r="AR305">
        <v>297</v>
      </c>
      <c r="AS305">
        <v>297</v>
      </c>
      <c r="AT305">
        <v>1</v>
      </c>
      <c r="AU305">
        <v>-1.9081965086275599</v>
      </c>
      <c r="AV305">
        <v>6.3248663424554263E-2</v>
      </c>
    </row>
    <row r="306" spans="44:48" x14ac:dyDescent="0.2">
      <c r="AR306">
        <v>298</v>
      </c>
      <c r="AS306">
        <v>298</v>
      </c>
      <c r="AT306">
        <v>1</v>
      </c>
      <c r="AU306">
        <v>-1.8772559773102131</v>
      </c>
      <c r="AV306">
        <v>6.3645184858482307E-2</v>
      </c>
    </row>
    <row r="307" spans="44:48" x14ac:dyDescent="0.2">
      <c r="AR307">
        <v>299</v>
      </c>
      <c r="AS307">
        <v>299</v>
      </c>
      <c r="AT307">
        <v>1</v>
      </c>
      <c r="AU307">
        <v>-1.8463154459928663</v>
      </c>
      <c r="AV307">
        <v>6.4040886955427617E-2</v>
      </c>
    </row>
    <row r="308" spans="44:48" x14ac:dyDescent="0.2">
      <c r="AR308">
        <v>300</v>
      </c>
      <c r="AS308">
        <v>300</v>
      </c>
      <c r="AT308">
        <v>1</v>
      </c>
      <c r="AU308">
        <v>-1.8153749146755214</v>
      </c>
      <c r="AV308">
        <v>6.4435723651130344E-2</v>
      </c>
    </row>
    <row r="309" spans="44:48" x14ac:dyDescent="0.2">
      <c r="AR309">
        <v>301</v>
      </c>
      <c r="AS309">
        <v>301</v>
      </c>
      <c r="AT309">
        <v>1</v>
      </c>
      <c r="AU309">
        <v>-1.7844343833581746</v>
      </c>
      <c r="AV309">
        <v>6.482964873053447E-2</v>
      </c>
    </row>
    <row r="310" spans="44:48" x14ac:dyDescent="0.2">
      <c r="AR310">
        <v>302</v>
      </c>
      <c r="AS310">
        <v>302</v>
      </c>
      <c r="AT310">
        <v>1</v>
      </c>
      <c r="AU310">
        <v>-1.7534938520408279</v>
      </c>
      <c r="AV310">
        <v>6.5222615836427758E-2</v>
      </c>
    </row>
    <row r="311" spans="44:48" x14ac:dyDescent="0.2">
      <c r="AR311">
        <v>303</v>
      </c>
      <c r="AS311">
        <v>303</v>
      </c>
      <c r="AT311">
        <v>1</v>
      </c>
      <c r="AU311">
        <v>-1.7225533207234811</v>
      </c>
      <c r="AV311">
        <v>6.5614578478171454E-2</v>
      </c>
    </row>
    <row r="312" spans="44:48" x14ac:dyDescent="0.2">
      <c r="AR312">
        <v>304</v>
      </c>
      <c r="AS312">
        <v>304</v>
      </c>
      <c r="AT312">
        <v>1</v>
      </c>
      <c r="AU312">
        <v>-1.6916127894061361</v>
      </c>
      <c r="AV312">
        <v>6.600549004051777E-2</v>
      </c>
    </row>
    <row r="313" spans="44:48" x14ac:dyDescent="0.2">
      <c r="AR313">
        <v>305</v>
      </c>
      <c r="AS313">
        <v>305</v>
      </c>
      <c r="AT313">
        <v>1</v>
      </c>
      <c r="AU313">
        <v>-1.6606722580887894</v>
      </c>
      <c r="AV313">
        <v>6.6395303792512822E-2</v>
      </c>
    </row>
    <row r="314" spans="44:48" x14ac:dyDescent="0.2">
      <c r="AR314">
        <v>306</v>
      </c>
      <c r="AS314">
        <v>306</v>
      </c>
      <c r="AT314">
        <v>1</v>
      </c>
      <c r="AU314">
        <v>-1.6297317267714426</v>
      </c>
      <c r="AV314">
        <v>6.6783972896482705E-2</v>
      </c>
    </row>
    <row r="315" spans="44:48" x14ac:dyDescent="0.2">
      <c r="AR315">
        <v>307</v>
      </c>
      <c r="AS315">
        <v>307</v>
      </c>
      <c r="AT315">
        <v>1</v>
      </c>
      <c r="AU315">
        <v>-1.5987911954540959</v>
      </c>
      <c r="AV315">
        <v>6.7171450417100473E-2</v>
      </c>
    </row>
    <row r="316" spans="44:48" x14ac:dyDescent="0.2">
      <c r="AR316">
        <v>308</v>
      </c>
      <c r="AS316">
        <v>308</v>
      </c>
      <c r="AT316">
        <v>1</v>
      </c>
      <c r="AU316">
        <v>-1.5678506641367509</v>
      </c>
      <c r="AV316">
        <v>6.7557689330531856E-2</v>
      </c>
    </row>
    <row r="317" spans="44:48" x14ac:dyDescent="0.2">
      <c r="AR317">
        <v>309</v>
      </c>
      <c r="AS317">
        <v>309</v>
      </c>
      <c r="AT317">
        <v>1</v>
      </c>
      <c r="AU317">
        <v>-1.5369101328194041</v>
      </c>
      <c r="AV317">
        <v>6.7942642533657088E-2</v>
      </c>
    </row>
    <row r="318" spans="44:48" x14ac:dyDescent="0.2">
      <c r="AR318">
        <v>310</v>
      </c>
      <c r="AS318">
        <v>310</v>
      </c>
      <c r="AT318">
        <v>1</v>
      </c>
      <c r="AU318">
        <v>-1.5059696015020574</v>
      </c>
      <c r="AV318">
        <v>6.8326262853366473E-2</v>
      </c>
    </row>
    <row r="319" spans="44:48" x14ac:dyDescent="0.2">
      <c r="AR319">
        <v>311</v>
      </c>
      <c r="AS319">
        <v>311</v>
      </c>
      <c r="AT319">
        <v>1</v>
      </c>
      <c r="AU319">
        <v>-1.4750290701847124</v>
      </c>
      <c r="AV319">
        <v>6.8708503055927253E-2</v>
      </c>
    </row>
    <row r="320" spans="44:48" x14ac:dyDescent="0.2">
      <c r="AR320">
        <v>312</v>
      </c>
      <c r="AS320">
        <v>312</v>
      </c>
      <c r="AT320">
        <v>1</v>
      </c>
      <c r="AU320">
        <v>-1.4440885388673657</v>
      </c>
      <c r="AV320">
        <v>6.9089315856419545E-2</v>
      </c>
    </row>
    <row r="321" spans="44:48" x14ac:dyDescent="0.2">
      <c r="AR321">
        <v>313</v>
      </c>
      <c r="AS321">
        <v>313</v>
      </c>
      <c r="AT321">
        <v>1</v>
      </c>
      <c r="AU321">
        <v>-1.4131480075500189</v>
      </c>
      <c r="AV321">
        <v>6.946865392823813E-2</v>
      </c>
    </row>
    <row r="322" spans="44:48" x14ac:dyDescent="0.2">
      <c r="AR322">
        <v>314</v>
      </c>
      <c r="AS322">
        <v>314</v>
      </c>
      <c r="AT322">
        <v>1</v>
      </c>
      <c r="AU322">
        <v>-1.3822074762326721</v>
      </c>
      <c r="AV322">
        <v>6.9846469912658332E-2</v>
      </c>
    </row>
    <row r="323" spans="44:48" x14ac:dyDescent="0.2">
      <c r="AR323">
        <v>315</v>
      </c>
      <c r="AS323">
        <v>315</v>
      </c>
      <c r="AT323">
        <v>1</v>
      </c>
      <c r="AU323">
        <v>-1.3512669449153272</v>
      </c>
      <c r="AV323">
        <v>7.0222716428462728E-2</v>
      </c>
    </row>
    <row r="324" spans="44:48" x14ac:dyDescent="0.2">
      <c r="AR324">
        <v>316</v>
      </c>
      <c r="AS324">
        <v>316</v>
      </c>
      <c r="AT324">
        <v>1</v>
      </c>
      <c r="AU324">
        <v>-1.3203264135979804</v>
      </c>
      <c r="AV324">
        <v>7.0597346081626502E-2</v>
      </c>
    </row>
    <row r="325" spans="44:48" x14ac:dyDescent="0.2">
      <c r="AR325">
        <v>317</v>
      </c>
      <c r="AS325">
        <v>317</v>
      </c>
      <c r="AT325">
        <v>1</v>
      </c>
      <c r="AU325">
        <v>-1.2893858822806337</v>
      </c>
      <c r="AV325">
        <v>7.0970311475058181E-2</v>
      </c>
    </row>
    <row r="326" spans="44:48" x14ac:dyDescent="0.2">
      <c r="AR326">
        <v>318</v>
      </c>
      <c r="AS326">
        <v>318</v>
      </c>
      <c r="AT326">
        <v>1</v>
      </c>
      <c r="AU326">
        <v>-1.2584453509632869</v>
      </c>
      <c r="AV326">
        <v>7.1341565218393771E-2</v>
      </c>
    </row>
    <row r="327" spans="44:48" x14ac:dyDescent="0.2">
      <c r="AR327">
        <v>319</v>
      </c>
      <c r="AS327">
        <v>319</v>
      </c>
      <c r="AT327">
        <v>1</v>
      </c>
      <c r="AU327">
        <v>-1.2275048196459419</v>
      </c>
      <c r="AV327">
        <v>7.1711059937840951E-2</v>
      </c>
    </row>
    <row r="328" spans="44:48" x14ac:dyDescent="0.2">
      <c r="AR328">
        <v>320</v>
      </c>
      <c r="AS328">
        <v>320</v>
      </c>
      <c r="AT328">
        <v>1</v>
      </c>
      <c r="AU328">
        <v>-1.1965642883285952</v>
      </c>
      <c r="AV328">
        <v>7.2078748286070776E-2</v>
      </c>
    </row>
    <row r="329" spans="44:48" x14ac:dyDescent="0.2">
      <c r="AR329">
        <v>321</v>
      </c>
      <c r="AS329">
        <v>321</v>
      </c>
      <c r="AT329">
        <v>1</v>
      </c>
      <c r="AU329">
        <v>-1.1656237570112484</v>
      </c>
      <c r="AV329">
        <v>7.2444582952153891E-2</v>
      </c>
    </row>
    <row r="330" spans="44:48" x14ac:dyDescent="0.2">
      <c r="AR330">
        <v>322</v>
      </c>
      <c r="AS330">
        <v>322</v>
      </c>
      <c r="AT330">
        <v>1</v>
      </c>
      <c r="AU330">
        <v>-1.1346832256939035</v>
      </c>
      <c r="AV330">
        <v>7.2808516671538759E-2</v>
      </c>
    </row>
    <row r="331" spans="44:48" x14ac:dyDescent="0.2">
      <c r="AR331">
        <v>323</v>
      </c>
      <c r="AS331">
        <v>323</v>
      </c>
      <c r="AT331">
        <v>1</v>
      </c>
      <c r="AU331">
        <v>-1.1037426943765567</v>
      </c>
      <c r="AV331">
        <v>7.3170502236068719E-2</v>
      </c>
    </row>
    <row r="332" spans="44:48" x14ac:dyDescent="0.2">
      <c r="AR332">
        <v>324</v>
      </c>
      <c r="AS332">
        <v>324</v>
      </c>
      <c r="AT332">
        <v>1</v>
      </c>
      <c r="AU332">
        <v>-1.0728021630592099</v>
      </c>
      <c r="AV332">
        <v>7.3530492504034803E-2</v>
      </c>
    </row>
    <row r="333" spans="44:48" x14ac:dyDescent="0.2">
      <c r="AR333">
        <v>325</v>
      </c>
      <c r="AS333">
        <v>325</v>
      </c>
      <c r="AT333">
        <v>1</v>
      </c>
      <c r="AU333">
        <v>-1.0418616317418632</v>
      </c>
      <c r="AV333">
        <v>7.3888440410261963E-2</v>
      </c>
    </row>
    <row r="334" spans="44:48" x14ac:dyDescent="0.2">
      <c r="AR334">
        <v>326</v>
      </c>
      <c r="AS334">
        <v>326</v>
      </c>
      <c r="AT334">
        <v>1</v>
      </c>
      <c r="AU334">
        <v>-1.0109211004245182</v>
      </c>
      <c r="AV334">
        <v>7.424429897622517E-2</v>
      </c>
    </row>
    <row r="335" spans="44:48" x14ac:dyDescent="0.2">
      <c r="AR335">
        <v>327</v>
      </c>
      <c r="AS335">
        <v>327</v>
      </c>
      <c r="AT335">
        <v>1</v>
      </c>
      <c r="AU335">
        <v>-0.97998056910717146</v>
      </c>
      <c r="AV335">
        <v>7.4598021320192706E-2</v>
      </c>
    </row>
    <row r="336" spans="44:48" x14ac:dyDescent="0.2">
      <c r="AR336">
        <v>328</v>
      </c>
      <c r="AS336">
        <v>328</v>
      </c>
      <c r="AT336">
        <v>1</v>
      </c>
      <c r="AU336">
        <v>-0.94904003778982471</v>
      </c>
      <c r="AV336">
        <v>7.4949560667393333E-2</v>
      </c>
    </row>
    <row r="337" spans="44:48" x14ac:dyDescent="0.2">
      <c r="AR337">
        <v>329</v>
      </c>
      <c r="AS337">
        <v>329</v>
      </c>
      <c r="AT337">
        <v>1</v>
      </c>
      <c r="AU337">
        <v>-0.91809950647247796</v>
      </c>
      <c r="AV337">
        <v>7.5298870360204814E-2</v>
      </c>
    </row>
    <row r="338" spans="44:48" x14ac:dyDescent="0.2">
      <c r="AR338">
        <v>330</v>
      </c>
      <c r="AS338">
        <v>330</v>
      </c>
      <c r="AT338">
        <v>1</v>
      </c>
      <c r="AU338">
        <v>-0.88715897515513298</v>
      </c>
      <c r="AV338">
        <v>7.5645903868360106E-2</v>
      </c>
    </row>
    <row r="339" spans="44:48" x14ac:dyDescent="0.2">
      <c r="AR339">
        <v>331</v>
      </c>
      <c r="AS339">
        <v>331</v>
      </c>
      <c r="AT339">
        <v>1</v>
      </c>
      <c r="AU339">
        <v>-0.85621844383778623</v>
      </c>
      <c r="AV339">
        <v>7.5990614799168715E-2</v>
      </c>
    </row>
    <row r="340" spans="44:48" x14ac:dyDescent="0.2">
      <c r="AR340">
        <v>332</v>
      </c>
      <c r="AS340">
        <v>332</v>
      </c>
      <c r="AT340">
        <v>1</v>
      </c>
      <c r="AU340">
        <v>-0.82527791252043947</v>
      </c>
      <c r="AV340">
        <v>7.6332956907749591E-2</v>
      </c>
    </row>
    <row r="341" spans="44:48" x14ac:dyDescent="0.2">
      <c r="AR341">
        <v>333</v>
      </c>
      <c r="AS341">
        <v>333</v>
      </c>
      <c r="AT341">
        <v>1</v>
      </c>
      <c r="AU341">
        <v>-0.79433738120309272</v>
      </c>
      <c r="AV341">
        <v>7.6672884107272812E-2</v>
      </c>
    </row>
    <row r="342" spans="44:48" x14ac:dyDescent="0.2">
      <c r="AR342">
        <v>334</v>
      </c>
      <c r="AS342">
        <v>334</v>
      </c>
      <c r="AT342">
        <v>1</v>
      </c>
      <c r="AU342">
        <v>-0.76339684988574774</v>
      </c>
      <c r="AV342">
        <v>7.701035047920686E-2</v>
      </c>
    </row>
    <row r="343" spans="44:48" x14ac:dyDescent="0.2">
      <c r="AR343">
        <v>335</v>
      </c>
      <c r="AS343">
        <v>335</v>
      </c>
      <c r="AT343">
        <v>1</v>
      </c>
      <c r="AU343">
        <v>-0.73245631856840099</v>
      </c>
      <c r="AV343">
        <v>7.7345310283568197E-2</v>
      </c>
    </row>
    <row r="344" spans="44:48" x14ac:dyDescent="0.2">
      <c r="AR344">
        <v>336</v>
      </c>
      <c r="AS344">
        <v>336</v>
      </c>
      <c r="AT344">
        <v>1</v>
      </c>
      <c r="AU344">
        <v>-0.70151578725105423</v>
      </c>
      <c r="AV344">
        <v>7.7677717969169946E-2</v>
      </c>
    </row>
    <row r="345" spans="44:48" x14ac:dyDescent="0.2">
      <c r="AR345">
        <v>337</v>
      </c>
      <c r="AS345">
        <v>337</v>
      </c>
      <c r="AT345">
        <v>1</v>
      </c>
      <c r="AU345">
        <v>-0.67057525593370926</v>
      </c>
      <c r="AV345">
        <v>7.8007528183866748E-2</v>
      </c>
    </row>
    <row r="346" spans="44:48" x14ac:dyDescent="0.2">
      <c r="AR346">
        <v>338</v>
      </c>
      <c r="AS346">
        <v>338</v>
      </c>
      <c r="AT346">
        <v>1</v>
      </c>
      <c r="AU346">
        <v>-0.6396347246163625</v>
      </c>
      <c r="AV346">
        <v>7.8334695784792491E-2</v>
      </c>
    </row>
    <row r="347" spans="44:48" x14ac:dyDescent="0.2">
      <c r="AR347">
        <v>339</v>
      </c>
      <c r="AS347">
        <v>339</v>
      </c>
      <c r="AT347">
        <v>1</v>
      </c>
      <c r="AU347">
        <v>-0.60869419329901575</v>
      </c>
      <c r="AV347">
        <v>7.8659175848587309E-2</v>
      </c>
    </row>
    <row r="348" spans="44:48" x14ac:dyDescent="0.2">
      <c r="AR348">
        <v>340</v>
      </c>
      <c r="AS348">
        <v>340</v>
      </c>
      <c r="AT348">
        <v>1</v>
      </c>
      <c r="AU348">
        <v>-0.577753661981669</v>
      </c>
      <c r="AV348">
        <v>7.8980923681611456E-2</v>
      </c>
    </row>
    <row r="349" spans="44:48" x14ac:dyDescent="0.2">
      <c r="AR349">
        <v>341</v>
      </c>
      <c r="AS349">
        <v>341</v>
      </c>
      <c r="AT349">
        <v>1</v>
      </c>
      <c r="AU349">
        <v>-0.54681313066432402</v>
      </c>
      <c r="AV349">
        <v>7.9299894830141965E-2</v>
      </c>
    </row>
    <row r="350" spans="44:48" x14ac:dyDescent="0.2">
      <c r="AR350">
        <v>342</v>
      </c>
      <c r="AS350">
        <v>342</v>
      </c>
      <c r="AT350">
        <v>1</v>
      </c>
      <c r="AU350">
        <v>-0.51587259934697727</v>
      </c>
      <c r="AV350">
        <v>7.9616045090549495E-2</v>
      </c>
    </row>
    <row r="351" spans="44:48" x14ac:dyDescent="0.2">
      <c r="AR351">
        <v>343</v>
      </c>
      <c r="AS351">
        <v>343</v>
      </c>
      <c r="AT351">
        <v>1</v>
      </c>
      <c r="AU351">
        <v>-0.48493206802963051</v>
      </c>
      <c r="AV351">
        <v>7.9929330519451641E-2</v>
      </c>
    </row>
    <row r="352" spans="44:48" x14ac:dyDescent="0.2">
      <c r="AR352">
        <v>344</v>
      </c>
      <c r="AS352">
        <v>344</v>
      </c>
      <c r="AT352">
        <v>1</v>
      </c>
      <c r="AU352">
        <v>-0.45399153671228376</v>
      </c>
      <c r="AV352">
        <v>8.0239707443839958E-2</v>
      </c>
    </row>
    <row r="353" spans="44:48" x14ac:dyDescent="0.2">
      <c r="AR353">
        <v>345</v>
      </c>
      <c r="AS353">
        <v>345</v>
      </c>
      <c r="AT353">
        <v>1</v>
      </c>
      <c r="AU353">
        <v>-0.42305100539493878</v>
      </c>
      <c r="AV353">
        <v>8.054713247117698E-2</v>
      </c>
    </row>
    <row r="354" spans="44:48" x14ac:dyDescent="0.2">
      <c r="AR354">
        <v>346</v>
      </c>
      <c r="AS354">
        <v>346</v>
      </c>
      <c r="AT354">
        <v>1</v>
      </c>
      <c r="AU354">
        <v>-0.39211047407759203</v>
      </c>
      <c r="AV354">
        <v>8.0851562499460336E-2</v>
      </c>
    </row>
    <row r="355" spans="44:48" x14ac:dyDescent="0.2">
      <c r="AR355">
        <v>347</v>
      </c>
      <c r="AS355">
        <v>347</v>
      </c>
      <c r="AT355">
        <v>1</v>
      </c>
      <c r="AU355">
        <v>-0.36116994276024528</v>
      </c>
      <c r="AV355">
        <v>8.1152954727250481E-2</v>
      </c>
    </row>
    <row r="356" spans="44:48" x14ac:dyDescent="0.2">
      <c r="AR356">
        <v>348</v>
      </c>
      <c r="AS356">
        <v>348</v>
      </c>
      <c r="AT356">
        <v>1</v>
      </c>
      <c r="AU356">
        <v>-0.3302294114429003</v>
      </c>
      <c r="AV356">
        <v>8.1451266663658872E-2</v>
      </c>
    </row>
    <row r="357" spans="44:48" x14ac:dyDescent="0.2">
      <c r="AR357">
        <v>349</v>
      </c>
      <c r="AS357">
        <v>349</v>
      </c>
      <c r="AT357">
        <v>1</v>
      </c>
      <c r="AU357">
        <v>-0.29928888012555355</v>
      </c>
      <c r="AV357">
        <v>8.1746456138293497E-2</v>
      </c>
    </row>
    <row r="358" spans="44:48" x14ac:dyDescent="0.2">
      <c r="AR358">
        <v>350</v>
      </c>
      <c r="AS358">
        <v>350</v>
      </c>
      <c r="AT358">
        <v>1</v>
      </c>
      <c r="AU358">
        <v>-0.26834834880820679</v>
      </c>
      <c r="AV358">
        <v>8.2038481311158165E-2</v>
      </c>
    </row>
    <row r="359" spans="44:48" x14ac:dyDescent="0.2">
      <c r="AR359">
        <v>351</v>
      </c>
      <c r="AS359">
        <v>351</v>
      </c>
      <c r="AT359">
        <v>1</v>
      </c>
      <c r="AU359">
        <v>-0.23740781749086004</v>
      </c>
      <c r="AV359">
        <v>8.2327300682502672E-2</v>
      </c>
    </row>
    <row r="360" spans="44:48" x14ac:dyDescent="0.2">
      <c r="AR360">
        <v>352</v>
      </c>
      <c r="AS360">
        <v>352</v>
      </c>
      <c r="AT360">
        <v>1</v>
      </c>
      <c r="AU360">
        <v>-0.20646728617351506</v>
      </c>
      <c r="AV360">
        <v>8.2612873102620332E-2</v>
      </c>
    </row>
    <row r="361" spans="44:48" x14ac:dyDescent="0.2">
      <c r="AR361">
        <v>353</v>
      </c>
      <c r="AS361">
        <v>353</v>
      </c>
      <c r="AT361">
        <v>1</v>
      </c>
      <c r="AU361">
        <v>-0.17552675485616831</v>
      </c>
      <c r="AV361">
        <v>8.2895157781589957E-2</v>
      </c>
    </row>
    <row r="362" spans="44:48" x14ac:dyDescent="0.2">
      <c r="AR362">
        <v>354</v>
      </c>
      <c r="AS362">
        <v>354</v>
      </c>
      <c r="AT362">
        <v>1</v>
      </c>
      <c r="AU362">
        <v>-0.14458622353882156</v>
      </c>
      <c r="AV362">
        <v>8.3174114298958657E-2</v>
      </c>
    </row>
    <row r="363" spans="44:48" x14ac:dyDescent="0.2">
      <c r="AR363">
        <v>355</v>
      </c>
      <c r="AS363">
        <v>355</v>
      </c>
      <c r="AT363">
        <v>1</v>
      </c>
      <c r="AU363">
        <v>-0.1136456922214748</v>
      </c>
      <c r="AV363">
        <v>8.344970261336257E-2</v>
      </c>
    </row>
    <row r="364" spans="44:48" x14ac:dyDescent="0.2">
      <c r="AR364">
        <v>356</v>
      </c>
      <c r="AS364">
        <v>356</v>
      </c>
      <c r="AT364">
        <v>1</v>
      </c>
      <c r="AU364">
        <v>-8.2705160904129826E-2</v>
      </c>
      <c r="AV364">
        <v>8.3721883072082323E-2</v>
      </c>
    </row>
    <row r="365" spans="44:48" x14ac:dyDescent="0.2">
      <c r="AR365">
        <v>357</v>
      </c>
      <c r="AS365">
        <v>357</v>
      </c>
      <c r="AT365">
        <v>1</v>
      </c>
      <c r="AU365">
        <v>-5.1764629586783073E-2</v>
      </c>
      <c r="AV365">
        <v>8.3990616420529809E-2</v>
      </c>
    </row>
    <row r="366" spans="44:48" x14ac:dyDescent="0.2">
      <c r="AR366">
        <v>358</v>
      </c>
      <c r="AS366">
        <v>358</v>
      </c>
      <c r="AT366">
        <v>1</v>
      </c>
      <c r="AU366">
        <v>-2.082409826943632E-2</v>
      </c>
      <c r="AV366">
        <v>8.4255863811663306E-2</v>
      </c>
    </row>
    <row r="367" spans="44:48" x14ac:dyDescent="0.2">
      <c r="AR367">
        <v>359</v>
      </c>
      <c r="AS367">
        <v>359</v>
      </c>
      <c r="AT367">
        <v>1</v>
      </c>
      <c r="AU367">
        <v>1.0116433047910434E-2</v>
      </c>
      <c r="AV367">
        <v>8.45175868153277E-2</v>
      </c>
    </row>
    <row r="368" spans="44:48" x14ac:dyDescent="0.2">
      <c r="AR368">
        <v>360</v>
      </c>
      <c r="AS368">
        <v>360</v>
      </c>
      <c r="AT368">
        <v>1</v>
      </c>
      <c r="AU368">
        <v>4.1056964365255411E-2</v>
      </c>
      <c r="AV368">
        <v>8.4775747427516854E-2</v>
      </c>
    </row>
    <row r="369" spans="44:48" x14ac:dyDescent="0.2">
      <c r="AR369">
        <v>361</v>
      </c>
      <c r="AS369">
        <v>361</v>
      </c>
      <c r="AT369">
        <v>1</v>
      </c>
      <c r="AU369">
        <v>7.1997495682602164E-2</v>
      </c>
      <c r="AV369">
        <v>8.503030807955457E-2</v>
      </c>
    </row>
    <row r="370" spans="44:48" x14ac:dyDescent="0.2">
      <c r="AR370">
        <v>362</v>
      </c>
      <c r="AS370">
        <v>362</v>
      </c>
      <c r="AT370">
        <v>1</v>
      </c>
      <c r="AU370">
        <v>0.10293802699994892</v>
      </c>
      <c r="AV370">
        <v>8.5281231647191563E-2</v>
      </c>
    </row>
    <row r="371" spans="44:48" x14ac:dyDescent="0.2">
      <c r="AR371">
        <v>363</v>
      </c>
      <c r="AS371">
        <v>363</v>
      </c>
      <c r="AT371">
        <v>1</v>
      </c>
      <c r="AU371">
        <v>0.13387855831729389</v>
      </c>
      <c r="AV371">
        <v>8.5528481459615086E-2</v>
      </c>
    </row>
    <row r="372" spans="44:48" x14ac:dyDescent="0.2">
      <c r="AR372">
        <v>364</v>
      </c>
      <c r="AS372">
        <v>364</v>
      </c>
      <c r="AT372">
        <v>1</v>
      </c>
      <c r="AU372">
        <v>0.16481908963464065</v>
      </c>
      <c r="AV372">
        <v>8.5772021308368085E-2</v>
      </c>
    </row>
    <row r="373" spans="44:48" x14ac:dyDescent="0.2">
      <c r="AR373">
        <v>365</v>
      </c>
      <c r="AS373">
        <v>365</v>
      </c>
      <c r="AT373">
        <v>1</v>
      </c>
      <c r="AU373">
        <v>0.1957596209519874</v>
      </c>
      <c r="AV373">
        <v>8.6011815456175159E-2</v>
      </c>
    </row>
    <row r="374" spans="44:48" x14ac:dyDescent="0.2">
      <c r="AR374">
        <v>366</v>
      </c>
      <c r="AS374">
        <v>366</v>
      </c>
      <c r="AT374">
        <v>1</v>
      </c>
      <c r="AU374">
        <v>0.22670015226933415</v>
      </c>
      <c r="AV374">
        <v>8.624782864567189E-2</v>
      </c>
    </row>
    <row r="375" spans="44:48" x14ac:dyDescent="0.2">
      <c r="AR375">
        <v>367</v>
      </c>
      <c r="AS375">
        <v>367</v>
      </c>
      <c r="AT375">
        <v>1</v>
      </c>
      <c r="AU375">
        <v>0.25764068358667913</v>
      </c>
      <c r="AV375">
        <v>8.6480026108034999E-2</v>
      </c>
    </row>
    <row r="376" spans="44:48" x14ac:dyDescent="0.2">
      <c r="AR376">
        <v>368</v>
      </c>
      <c r="AS376">
        <v>368</v>
      </c>
      <c r="AT376">
        <v>1</v>
      </c>
      <c r="AU376">
        <v>0.28858121490402588</v>
      </c>
      <c r="AV376">
        <v>8.6708373571510053E-2</v>
      </c>
    </row>
    <row r="377" spans="44:48" x14ac:dyDescent="0.2">
      <c r="AR377">
        <v>369</v>
      </c>
      <c r="AS377">
        <v>369</v>
      </c>
      <c r="AT377">
        <v>1</v>
      </c>
      <c r="AU377">
        <v>0.31952174622137264</v>
      </c>
      <c r="AV377">
        <v>8.6932837269833932E-2</v>
      </c>
    </row>
    <row r="378" spans="44:48" x14ac:dyDescent="0.2">
      <c r="AR378">
        <v>370</v>
      </c>
      <c r="AS378">
        <v>370</v>
      </c>
      <c r="AT378">
        <v>1</v>
      </c>
      <c r="AU378">
        <v>0.35046227753871939</v>
      </c>
      <c r="AV378">
        <v>8.7153383950549224E-2</v>
      </c>
    </row>
    <row r="379" spans="44:48" x14ac:dyDescent="0.2">
      <c r="AR379">
        <v>371</v>
      </c>
      <c r="AS379">
        <v>371</v>
      </c>
      <c r="AT379">
        <v>1</v>
      </c>
      <c r="AU379">
        <v>0.38140280885606437</v>
      </c>
      <c r="AV379">
        <v>8.7369980883207451E-2</v>
      </c>
    </row>
    <row r="380" spans="44:48" x14ac:dyDescent="0.2">
      <c r="AR380">
        <v>372</v>
      </c>
      <c r="AS380">
        <v>372</v>
      </c>
      <c r="AT380">
        <v>1</v>
      </c>
      <c r="AU380">
        <v>0.41234334017341112</v>
      </c>
      <c r="AV380">
        <v>8.7582595867458549E-2</v>
      </c>
    </row>
    <row r="381" spans="44:48" x14ac:dyDescent="0.2">
      <c r="AR381">
        <v>373</v>
      </c>
      <c r="AS381">
        <v>373</v>
      </c>
      <c r="AT381">
        <v>1</v>
      </c>
      <c r="AU381">
        <v>0.44328387149075787</v>
      </c>
      <c r="AV381">
        <v>8.7791197241023772E-2</v>
      </c>
    </row>
    <row r="382" spans="44:48" x14ac:dyDescent="0.2">
      <c r="AR382">
        <v>374</v>
      </c>
      <c r="AS382">
        <v>374</v>
      </c>
      <c r="AT382">
        <v>1</v>
      </c>
      <c r="AU382">
        <v>0.47422440280810285</v>
      </c>
      <c r="AV382">
        <v>8.7995753887548989E-2</v>
      </c>
    </row>
    <row r="383" spans="44:48" x14ac:dyDescent="0.2">
      <c r="AR383">
        <v>375</v>
      </c>
      <c r="AS383">
        <v>375</v>
      </c>
      <c r="AT383">
        <v>1</v>
      </c>
      <c r="AU383">
        <v>0.50516493412544961</v>
      </c>
      <c r="AV383">
        <v>8.8196235244336077E-2</v>
      </c>
    </row>
    <row r="384" spans="44:48" x14ac:dyDescent="0.2">
      <c r="AR384">
        <v>376</v>
      </c>
      <c r="AS384">
        <v>376</v>
      </c>
      <c r="AT384">
        <v>1</v>
      </c>
      <c r="AU384">
        <v>0.53610546544279636</v>
      </c>
      <c r="AV384">
        <v>8.8392611309949312E-2</v>
      </c>
    </row>
    <row r="385" spans="44:48" x14ac:dyDescent="0.2">
      <c r="AR385">
        <v>377</v>
      </c>
      <c r="AS385">
        <v>377</v>
      </c>
      <c r="AT385">
        <v>1</v>
      </c>
      <c r="AU385">
        <v>0.56704599676014311</v>
      </c>
      <c r="AV385">
        <v>8.8584852651694371E-2</v>
      </c>
    </row>
    <row r="386" spans="44:48" x14ac:dyDescent="0.2">
      <c r="AR386">
        <v>378</v>
      </c>
      <c r="AS386">
        <v>378</v>
      </c>
      <c r="AT386">
        <v>1</v>
      </c>
      <c r="AU386">
        <v>0.59798652807748809</v>
      </c>
      <c r="AV386">
        <v>8.8772930412967355E-2</v>
      </c>
    </row>
    <row r="387" spans="44:48" x14ac:dyDescent="0.2">
      <c r="AR387">
        <v>379</v>
      </c>
      <c r="AS387">
        <v>379</v>
      </c>
      <c r="AT387">
        <v>1</v>
      </c>
      <c r="AU387">
        <v>0.62892705939483484</v>
      </c>
      <c r="AV387">
        <v>8.8956816320470908E-2</v>
      </c>
    </row>
    <row r="388" spans="44:48" x14ac:dyDescent="0.2">
      <c r="AR388">
        <v>380</v>
      </c>
      <c r="AS388">
        <v>380</v>
      </c>
      <c r="AT388">
        <v>1</v>
      </c>
      <c r="AU388">
        <v>0.6598675907121816</v>
      </c>
      <c r="AV388">
        <v>8.9136482691295496E-2</v>
      </c>
    </row>
    <row r="389" spans="44:48" x14ac:dyDescent="0.2">
      <c r="AR389">
        <v>381</v>
      </c>
      <c r="AS389">
        <v>381</v>
      </c>
      <c r="AT389">
        <v>1</v>
      </c>
      <c r="AU389">
        <v>0.69080812202952835</v>
      </c>
      <c r="AV389">
        <v>8.9311902439862728E-2</v>
      </c>
    </row>
    <row r="390" spans="44:48" x14ac:dyDescent="0.2">
      <c r="AR390">
        <v>382</v>
      </c>
      <c r="AS390">
        <v>382</v>
      </c>
      <c r="AT390">
        <v>1</v>
      </c>
      <c r="AU390">
        <v>0.72174865334687333</v>
      </c>
      <c r="AV390">
        <v>8.9483049084728816E-2</v>
      </c>
    </row>
    <row r="391" spans="44:48" x14ac:dyDescent="0.2">
      <c r="AR391">
        <v>383</v>
      </c>
      <c r="AS391">
        <v>383</v>
      </c>
      <c r="AT391">
        <v>1</v>
      </c>
      <c r="AU391">
        <v>0.75268918466422008</v>
      </c>
      <c r="AV391">
        <v>8.9649896755245428E-2</v>
      </c>
    </row>
    <row r="392" spans="44:48" x14ac:dyDescent="0.2">
      <c r="AR392">
        <v>384</v>
      </c>
      <c r="AS392">
        <v>384</v>
      </c>
      <c r="AT392">
        <v>1</v>
      </c>
      <c r="AU392">
        <v>0.78362971598156683</v>
      </c>
      <c r="AV392">
        <v>8.9812420198075796E-2</v>
      </c>
    </row>
    <row r="393" spans="44:48" x14ac:dyDescent="0.2">
      <c r="AR393">
        <v>385</v>
      </c>
      <c r="AS393">
        <v>385</v>
      </c>
      <c r="AT393">
        <v>1</v>
      </c>
      <c r="AU393">
        <v>0.81457024729891181</v>
      </c>
      <c r="AV393">
        <v>8.9970594783563548E-2</v>
      </c>
    </row>
    <row r="394" spans="44:48" x14ac:dyDescent="0.2">
      <c r="AR394">
        <v>386</v>
      </c>
      <c r="AS394">
        <v>386</v>
      </c>
      <c r="AT394">
        <v>1</v>
      </c>
      <c r="AU394">
        <v>0.84551077861625856</v>
      </c>
      <c r="AV394">
        <v>9.0124396511952476E-2</v>
      </c>
    </row>
    <row r="395" spans="44:48" x14ac:dyDescent="0.2">
      <c r="AR395">
        <v>387</v>
      </c>
      <c r="AS395">
        <v>387</v>
      </c>
      <c r="AT395">
        <v>1</v>
      </c>
      <c r="AU395">
        <v>0.87645130993360532</v>
      </c>
      <c r="AV395">
        <v>9.0273802019454383E-2</v>
      </c>
    </row>
    <row r="396" spans="44:48" x14ac:dyDescent="0.2">
      <c r="AR396">
        <v>388</v>
      </c>
      <c r="AS396">
        <v>388</v>
      </c>
      <c r="AT396">
        <v>1</v>
      </c>
      <c r="AU396">
        <v>0.90739184125095207</v>
      </c>
      <c r="AV396">
        <v>9.0418788584163398E-2</v>
      </c>
    </row>
    <row r="397" spans="44:48" x14ac:dyDescent="0.2">
      <c r="AR397">
        <v>389</v>
      </c>
      <c r="AS397">
        <v>389</v>
      </c>
      <c r="AT397">
        <v>1</v>
      </c>
      <c r="AU397">
        <v>0.93833237256829705</v>
      </c>
      <c r="AV397">
        <v>9.0559334131814509E-2</v>
      </c>
    </row>
    <row r="398" spans="44:48" x14ac:dyDescent="0.2">
      <c r="AR398">
        <v>390</v>
      </c>
      <c r="AS398">
        <v>390</v>
      </c>
      <c r="AT398">
        <v>1</v>
      </c>
      <c r="AU398">
        <v>0.9692729038856438</v>
      </c>
      <c r="AV398">
        <v>9.0695417241384191E-2</v>
      </c>
    </row>
    <row r="399" spans="44:48" x14ac:dyDescent="0.2">
      <c r="AR399">
        <v>391</v>
      </c>
      <c r="AS399">
        <v>391</v>
      </c>
      <c r="AT399">
        <v>1</v>
      </c>
      <c r="AU399">
        <v>1.0002134352029906</v>
      </c>
      <c r="AV399">
        <v>9.0827017150531084E-2</v>
      </c>
    </row>
    <row r="400" spans="44:48" x14ac:dyDescent="0.2">
      <c r="AR400">
        <v>392</v>
      </c>
      <c r="AS400">
        <v>392</v>
      </c>
      <c r="AT400">
        <v>1</v>
      </c>
      <c r="AU400">
        <v>1.0311539665203373</v>
      </c>
      <c r="AV400">
        <v>9.0954113760875102E-2</v>
      </c>
    </row>
    <row r="401" spans="44:48" x14ac:dyDescent="0.2">
      <c r="AR401">
        <v>393</v>
      </c>
      <c r="AS401">
        <v>393</v>
      </c>
      <c r="AT401">
        <v>1</v>
      </c>
      <c r="AU401">
        <v>1.0620944978376823</v>
      </c>
      <c r="AV401">
        <v>9.1076687643112761E-2</v>
      </c>
    </row>
    <row r="402" spans="44:48" x14ac:dyDescent="0.2">
      <c r="AR402">
        <v>394</v>
      </c>
      <c r="AS402">
        <v>394</v>
      </c>
      <c r="AT402">
        <v>1</v>
      </c>
      <c r="AU402">
        <v>1.093035029155029</v>
      </c>
      <c r="AV402">
        <v>9.1194720041967006E-2</v>
      </c>
    </row>
    <row r="403" spans="44:48" x14ac:dyDescent="0.2">
      <c r="AR403">
        <v>395</v>
      </c>
      <c r="AS403">
        <v>395</v>
      </c>
      <c r="AT403">
        <v>1</v>
      </c>
      <c r="AU403">
        <v>1.1239755604723758</v>
      </c>
      <c r="AV403">
        <v>9.1308192880969863E-2</v>
      </c>
    </row>
    <row r="404" spans="44:48" x14ac:dyDescent="0.2">
      <c r="AR404">
        <v>396</v>
      </c>
      <c r="AS404">
        <v>396</v>
      </c>
      <c r="AT404">
        <v>1</v>
      </c>
      <c r="AU404">
        <v>1.1549160917897225</v>
      </c>
      <c r="AV404">
        <v>9.1417088767076091E-2</v>
      </c>
    </row>
    <row r="405" spans="44:48" x14ac:dyDescent="0.2">
      <c r="AR405">
        <v>397</v>
      </c>
      <c r="AS405">
        <v>397</v>
      </c>
      <c r="AT405">
        <v>1</v>
      </c>
      <c r="AU405">
        <v>1.1858566231070675</v>
      </c>
      <c r="AV405">
        <v>9.1521390995106269E-2</v>
      </c>
    </row>
    <row r="406" spans="44:48" x14ac:dyDescent="0.2">
      <c r="AR406">
        <v>398</v>
      </c>
      <c r="AS406">
        <v>398</v>
      </c>
      <c r="AT406">
        <v>1</v>
      </c>
      <c r="AU406">
        <v>1.2167971544244143</v>
      </c>
      <c r="AV406">
        <v>9.1621083552017632E-2</v>
      </c>
    </row>
    <row r="407" spans="44:48" x14ac:dyDescent="0.2">
      <c r="AR407">
        <v>399</v>
      </c>
      <c r="AS407">
        <v>399</v>
      </c>
      <c r="AT407">
        <v>1</v>
      </c>
      <c r="AU407">
        <v>1.247737685741761</v>
      </c>
      <c r="AV407">
        <v>9.171615112100133E-2</v>
      </c>
    </row>
    <row r="408" spans="44:48" x14ac:dyDescent="0.2">
      <c r="AR408">
        <v>400</v>
      </c>
      <c r="AS408">
        <v>400</v>
      </c>
      <c r="AT408">
        <v>1</v>
      </c>
      <c r="AU408">
        <v>1.278678217059106</v>
      </c>
      <c r="AV408">
        <v>9.1806579085404266E-2</v>
      </c>
    </row>
    <row r="409" spans="44:48" x14ac:dyDescent="0.2">
      <c r="AR409">
        <v>401</v>
      </c>
      <c r="AS409">
        <v>401</v>
      </c>
      <c r="AT409">
        <v>1</v>
      </c>
      <c r="AU409">
        <v>1.3096187483764528</v>
      </c>
      <c r="AV409">
        <v>9.1892353532474602E-2</v>
      </c>
    </row>
    <row r="410" spans="44:48" x14ac:dyDescent="0.2">
      <c r="AR410">
        <v>402</v>
      </c>
      <c r="AS410">
        <v>402</v>
      </c>
      <c r="AT410">
        <v>1</v>
      </c>
      <c r="AU410">
        <v>1.3405592796937995</v>
      </c>
      <c r="AV410">
        <v>9.1973461256929123E-2</v>
      </c>
    </row>
    <row r="411" spans="44:48" x14ac:dyDescent="0.2">
      <c r="AR411">
        <v>403</v>
      </c>
      <c r="AS411">
        <v>403</v>
      </c>
      <c r="AT411">
        <v>1</v>
      </c>
      <c r="AU411">
        <v>1.3714998110111463</v>
      </c>
      <c r="AV411">
        <v>9.2049889764341516E-2</v>
      </c>
    </row>
    <row r="412" spans="44:48" x14ac:dyDescent="0.2">
      <c r="AR412">
        <v>404</v>
      </c>
      <c r="AS412">
        <v>404</v>
      </c>
      <c r="AT412">
        <v>1</v>
      </c>
      <c r="AU412">
        <v>1.4024403423284912</v>
      </c>
      <c r="AV412">
        <v>9.2121627274350165E-2</v>
      </c>
    </row>
    <row r="413" spans="44:48" x14ac:dyDescent="0.2">
      <c r="AR413">
        <v>405</v>
      </c>
      <c r="AS413">
        <v>405</v>
      </c>
      <c r="AT413">
        <v>1</v>
      </c>
      <c r="AU413">
        <v>1.433380873645838</v>
      </c>
      <c r="AV413">
        <v>9.2188662723684367E-2</v>
      </c>
    </row>
    <row r="414" spans="44:48" x14ac:dyDescent="0.2">
      <c r="AR414">
        <v>406</v>
      </c>
      <c r="AS414">
        <v>406</v>
      </c>
      <c r="AT414">
        <v>1</v>
      </c>
      <c r="AU414">
        <v>1.4643214049631847</v>
      </c>
      <c r="AV414">
        <v>9.2250985769007823E-2</v>
      </c>
    </row>
    <row r="415" spans="44:48" x14ac:dyDescent="0.2">
      <c r="AR415">
        <v>407</v>
      </c>
      <c r="AS415">
        <v>407</v>
      </c>
      <c r="AT415">
        <v>1</v>
      </c>
      <c r="AU415">
        <v>1.4952619362805315</v>
      </c>
      <c r="AV415">
        <v>9.2308586789578553E-2</v>
      </c>
    </row>
    <row r="416" spans="44:48" x14ac:dyDescent="0.2">
      <c r="AR416">
        <v>408</v>
      </c>
      <c r="AS416">
        <v>408</v>
      </c>
      <c r="AT416">
        <v>1</v>
      </c>
      <c r="AU416">
        <v>1.5262024675978765</v>
      </c>
      <c r="AV416">
        <v>9.2361456889724067E-2</v>
      </c>
    </row>
    <row r="417" spans="44:48" x14ac:dyDescent="0.2">
      <c r="AR417">
        <v>409</v>
      </c>
      <c r="AS417">
        <v>409</v>
      </c>
      <c r="AT417">
        <v>1</v>
      </c>
      <c r="AU417">
        <v>1.5571429989152232</v>
      </c>
      <c r="AV417">
        <v>9.2409587901130963E-2</v>
      </c>
    </row>
    <row r="418" spans="44:48" x14ac:dyDescent="0.2">
      <c r="AR418">
        <v>410</v>
      </c>
      <c r="AS418">
        <v>410</v>
      </c>
      <c r="AT418">
        <v>1</v>
      </c>
      <c r="AU418">
        <v>1.58808353023257</v>
      </c>
      <c r="AV418">
        <v>9.2452972384948248E-2</v>
      </c>
    </row>
    <row r="419" spans="44:48" x14ac:dyDescent="0.2">
      <c r="AR419">
        <v>411</v>
      </c>
      <c r="AS419">
        <v>411</v>
      </c>
      <c r="AT419">
        <v>1</v>
      </c>
      <c r="AU419">
        <v>1.619024061549915</v>
      </c>
      <c r="AV419">
        <v>9.2491603633703429E-2</v>
      </c>
    </row>
    <row r="420" spans="44:48" x14ac:dyDescent="0.2">
      <c r="AR420">
        <v>412</v>
      </c>
      <c r="AS420">
        <v>412</v>
      </c>
      <c r="AT420">
        <v>1</v>
      </c>
      <c r="AU420">
        <v>1.6499645928672617</v>
      </c>
      <c r="AV420">
        <v>9.2525475673030905E-2</v>
      </c>
    </row>
    <row r="421" spans="44:48" x14ac:dyDescent="0.2">
      <c r="AR421">
        <v>413</v>
      </c>
      <c r="AS421">
        <v>413</v>
      </c>
      <c r="AT421">
        <v>1</v>
      </c>
      <c r="AU421">
        <v>1.6809051241846085</v>
      </c>
      <c r="AV421">
        <v>9.2554583263211795E-2</v>
      </c>
    </row>
    <row r="422" spans="44:48" x14ac:dyDescent="0.2">
      <c r="AR422">
        <v>414</v>
      </c>
      <c r="AS422">
        <v>414</v>
      </c>
      <c r="AT422">
        <v>1</v>
      </c>
      <c r="AU422">
        <v>1.7118456555019552</v>
      </c>
      <c r="AV422">
        <v>9.257892190052476E-2</v>
      </c>
    </row>
    <row r="423" spans="44:48" x14ac:dyDescent="0.2">
      <c r="AR423">
        <v>415</v>
      </c>
      <c r="AS423">
        <v>415</v>
      </c>
      <c r="AT423">
        <v>1</v>
      </c>
      <c r="AU423">
        <v>1.7427861868193002</v>
      </c>
      <c r="AV423">
        <v>9.2598487818407557E-2</v>
      </c>
    </row>
    <row r="424" spans="44:48" x14ac:dyDescent="0.2">
      <c r="AR424">
        <v>416</v>
      </c>
      <c r="AS424">
        <v>416</v>
      </c>
      <c r="AT424">
        <v>1</v>
      </c>
      <c r="AU424">
        <v>1.773726718136647</v>
      </c>
      <c r="AV424">
        <v>9.2613277988428347E-2</v>
      </c>
    </row>
    <row r="425" spans="44:48" x14ac:dyDescent="0.2">
      <c r="AR425">
        <v>417</v>
      </c>
      <c r="AS425">
        <v>417</v>
      </c>
      <c r="AT425">
        <v>1</v>
      </c>
      <c r="AU425">
        <v>1.8046672494539937</v>
      </c>
      <c r="AV425">
        <v>9.2623290121066987E-2</v>
      </c>
    </row>
    <row r="426" spans="44:48" x14ac:dyDescent="0.2">
      <c r="AR426">
        <v>418</v>
      </c>
      <c r="AS426">
        <v>418</v>
      </c>
      <c r="AT426">
        <v>1</v>
      </c>
      <c r="AU426">
        <v>1.8356077807713405</v>
      </c>
      <c r="AV426">
        <v>9.2628522666305793E-2</v>
      </c>
    </row>
    <row r="427" spans="44:48" x14ac:dyDescent="0.2">
      <c r="AR427">
        <v>419</v>
      </c>
      <c r="AS427">
        <v>419</v>
      </c>
      <c r="AT427">
        <v>1</v>
      </c>
      <c r="AU427">
        <v>1.8665483120886854</v>
      </c>
      <c r="AV427">
        <v>9.2628974814029333E-2</v>
      </c>
    </row>
    <row r="428" spans="44:48" x14ac:dyDescent="0.2">
      <c r="AR428">
        <v>420</v>
      </c>
      <c r="AS428">
        <v>420</v>
      </c>
      <c r="AT428">
        <v>1</v>
      </c>
      <c r="AU428">
        <v>1.8974888434060322</v>
      </c>
      <c r="AV428">
        <v>9.2624646494233576E-2</v>
      </c>
    </row>
    <row r="429" spans="44:48" x14ac:dyDescent="0.2">
      <c r="AR429">
        <v>421</v>
      </c>
      <c r="AS429">
        <v>421</v>
      </c>
      <c r="AT429">
        <v>1</v>
      </c>
      <c r="AU429">
        <v>1.9284293747233789</v>
      </c>
      <c r="AV429">
        <v>9.2615538377043893E-2</v>
      </c>
    </row>
    <row r="430" spans="44:48" x14ac:dyDescent="0.2">
      <c r="AR430">
        <v>422</v>
      </c>
      <c r="AS430">
        <v>422</v>
      </c>
      <c r="AT430">
        <v>1</v>
      </c>
      <c r="AU430">
        <v>1.9593699060407257</v>
      </c>
      <c r="AV430">
        <v>9.2601651872542184E-2</v>
      </c>
    </row>
    <row r="431" spans="44:48" x14ac:dyDescent="0.2">
      <c r="AR431">
        <v>423</v>
      </c>
      <c r="AS431">
        <v>423</v>
      </c>
      <c r="AT431">
        <v>1</v>
      </c>
      <c r="AU431">
        <v>1.9903104373580707</v>
      </c>
      <c r="AV431">
        <v>9.2582989130402985E-2</v>
      </c>
    </row>
    <row r="432" spans="44:48" x14ac:dyDescent="0.2">
      <c r="AR432">
        <v>424</v>
      </c>
      <c r="AS432">
        <v>424</v>
      </c>
      <c r="AT432">
        <v>1</v>
      </c>
      <c r="AU432">
        <v>2.0212509686754174</v>
      </c>
      <c r="AV432">
        <v>9.2559553039338952E-2</v>
      </c>
    </row>
    <row r="433" spans="44:48" x14ac:dyDescent="0.2">
      <c r="AR433">
        <v>425</v>
      </c>
      <c r="AS433">
        <v>425</v>
      </c>
      <c r="AT433">
        <v>1</v>
      </c>
      <c r="AU433">
        <v>2.0521914999927642</v>
      </c>
      <c r="AV433">
        <v>9.2531347226355531E-2</v>
      </c>
    </row>
    <row r="434" spans="44:48" x14ac:dyDescent="0.2">
      <c r="AR434">
        <v>426</v>
      </c>
      <c r="AS434">
        <v>426</v>
      </c>
      <c r="AT434">
        <v>1</v>
      </c>
      <c r="AU434">
        <v>2.0831320313101092</v>
      </c>
      <c r="AV434">
        <v>9.249837605581554E-2</v>
      </c>
    </row>
    <row r="435" spans="44:48" x14ac:dyDescent="0.2">
      <c r="AR435">
        <v>427</v>
      </c>
      <c r="AS435">
        <v>427</v>
      </c>
      <c r="AT435">
        <v>1</v>
      </c>
      <c r="AU435">
        <v>2.1140725626274559</v>
      </c>
      <c r="AV435">
        <v>9.2460644628313618E-2</v>
      </c>
    </row>
    <row r="436" spans="44:48" x14ac:dyDescent="0.2">
      <c r="AR436">
        <v>428</v>
      </c>
      <c r="AS436">
        <v>428</v>
      </c>
      <c r="AT436">
        <v>1</v>
      </c>
      <c r="AU436">
        <v>2.1450130939448027</v>
      </c>
      <c r="AV436">
        <v>9.2418158779361201E-2</v>
      </c>
    </row>
    <row r="437" spans="44:48" x14ac:dyDescent="0.2">
      <c r="AR437">
        <v>429</v>
      </c>
      <c r="AS437">
        <v>429</v>
      </c>
      <c r="AT437">
        <v>1</v>
      </c>
      <c r="AU437">
        <v>2.1759536252621494</v>
      </c>
      <c r="AV437">
        <v>9.2370925077882318E-2</v>
      </c>
    </row>
    <row r="438" spans="44:48" x14ac:dyDescent="0.2">
      <c r="AR438">
        <v>430</v>
      </c>
      <c r="AS438">
        <v>430</v>
      </c>
      <c r="AT438">
        <v>1</v>
      </c>
      <c r="AU438">
        <v>2.2068941565794944</v>
      </c>
      <c r="AV438">
        <v>9.2318950824520879E-2</v>
      </c>
    </row>
    <row r="439" spans="44:48" x14ac:dyDescent="0.2">
      <c r="AR439">
        <v>431</v>
      </c>
      <c r="AS439">
        <v>431</v>
      </c>
      <c r="AT439">
        <v>1</v>
      </c>
      <c r="AU439">
        <v>2.2378346878968411</v>
      </c>
      <c r="AV439">
        <v>9.2262244049759967E-2</v>
      </c>
    </row>
    <row r="440" spans="44:48" x14ac:dyDescent="0.2">
      <c r="AR440">
        <v>432</v>
      </c>
      <c r="AS440">
        <v>432</v>
      </c>
      <c r="AT440">
        <v>1</v>
      </c>
      <c r="AU440">
        <v>2.2687752192141879</v>
      </c>
      <c r="AV440">
        <v>9.2200813511854066E-2</v>
      </c>
    </row>
    <row r="441" spans="44:48" x14ac:dyDescent="0.2">
      <c r="AR441">
        <v>433</v>
      </c>
      <c r="AS441">
        <v>433</v>
      </c>
      <c r="AT441">
        <v>1</v>
      </c>
      <c r="AU441">
        <v>2.2997157505315347</v>
      </c>
      <c r="AV441">
        <v>9.2134668694574401E-2</v>
      </c>
    </row>
    <row r="442" spans="44:48" x14ac:dyDescent="0.2">
      <c r="AR442">
        <v>434</v>
      </c>
      <c r="AS442">
        <v>434</v>
      </c>
      <c r="AT442">
        <v>1</v>
      </c>
      <c r="AU442">
        <v>2.3306562818488796</v>
      </c>
      <c r="AV442">
        <v>9.2063819804768951E-2</v>
      </c>
    </row>
    <row r="443" spans="44:48" x14ac:dyDescent="0.2">
      <c r="AR443">
        <v>435</v>
      </c>
      <c r="AS443">
        <v>435</v>
      </c>
      <c r="AT443">
        <v>1</v>
      </c>
      <c r="AU443">
        <v>2.3615968131662264</v>
      </c>
      <c r="AV443">
        <v>9.198827776973735E-2</v>
      </c>
    </row>
    <row r="444" spans="44:48" x14ac:dyDescent="0.2">
      <c r="AR444">
        <v>436</v>
      </c>
      <c r="AS444">
        <v>436</v>
      </c>
      <c r="AT444">
        <v>1</v>
      </c>
      <c r="AU444">
        <v>2.3925373444835731</v>
      </c>
      <c r="AV444">
        <v>9.1908054234422082E-2</v>
      </c>
    </row>
    <row r="445" spans="44:48" x14ac:dyDescent="0.2">
      <c r="AR445">
        <v>437</v>
      </c>
      <c r="AS445">
        <v>437</v>
      </c>
      <c r="AT445">
        <v>1</v>
      </c>
      <c r="AU445">
        <v>2.4234778758009181</v>
      </c>
      <c r="AV445">
        <v>9.1823161558416716E-2</v>
      </c>
    </row>
    <row r="446" spans="44:48" x14ac:dyDescent="0.2">
      <c r="AR446">
        <v>438</v>
      </c>
      <c r="AS446">
        <v>438</v>
      </c>
      <c r="AT446">
        <v>1</v>
      </c>
      <c r="AU446">
        <v>2.4544184071182649</v>
      </c>
      <c r="AV446">
        <v>9.1733612812792409E-2</v>
      </c>
    </row>
    <row r="447" spans="44:48" x14ac:dyDescent="0.2">
      <c r="AR447">
        <v>439</v>
      </c>
      <c r="AS447">
        <v>439</v>
      </c>
      <c r="AT447">
        <v>1</v>
      </c>
      <c r="AU447">
        <v>2.4853589384356116</v>
      </c>
      <c r="AV447">
        <v>9.1639421776743626E-2</v>
      </c>
    </row>
    <row r="448" spans="44:48" x14ac:dyDescent="0.2">
      <c r="AR448">
        <v>440</v>
      </c>
      <c r="AS448">
        <v>440</v>
      </c>
      <c r="AT448">
        <v>1</v>
      </c>
      <c r="AU448">
        <v>2.5162994697529584</v>
      </c>
      <c r="AV448">
        <v>9.1540602934054596E-2</v>
      </c>
    </row>
    <row r="449" spans="44:48" x14ac:dyDescent="0.2">
      <c r="AR449">
        <v>441</v>
      </c>
      <c r="AS449">
        <v>441</v>
      </c>
      <c r="AT449">
        <v>1</v>
      </c>
      <c r="AU449">
        <v>2.5472400010703034</v>
      </c>
      <c r="AV449">
        <v>9.1437171469387374E-2</v>
      </c>
    </row>
    <row r="450" spans="44:48" x14ac:dyDescent="0.2">
      <c r="AR450">
        <v>442</v>
      </c>
      <c r="AS450">
        <v>442</v>
      </c>
      <c r="AT450">
        <v>1</v>
      </c>
      <c r="AU450">
        <v>2.5781805323876501</v>
      </c>
      <c r="AV450">
        <v>9.1329143264393328E-2</v>
      </c>
    </row>
    <row r="451" spans="44:48" x14ac:dyDescent="0.2">
      <c r="AR451">
        <v>443</v>
      </c>
      <c r="AS451">
        <v>443</v>
      </c>
      <c r="AT451">
        <v>1</v>
      </c>
      <c r="AU451">
        <v>2.6091210637049969</v>
      </c>
      <c r="AV451">
        <v>9.1216534893648796E-2</v>
      </c>
    </row>
    <row r="452" spans="44:48" x14ac:dyDescent="0.2">
      <c r="AR452">
        <v>444</v>
      </c>
      <c r="AS452">
        <v>444</v>
      </c>
      <c r="AT452">
        <v>1</v>
      </c>
      <c r="AU452">
        <v>2.6400615950223436</v>
      </c>
      <c r="AV452">
        <v>9.1099363620417151E-2</v>
      </c>
    </row>
    <row r="453" spans="44:48" x14ac:dyDescent="0.2">
      <c r="AR453">
        <v>445</v>
      </c>
      <c r="AS453">
        <v>445</v>
      </c>
      <c r="AT453">
        <v>1</v>
      </c>
      <c r="AU453">
        <v>2.6710021263396886</v>
      </c>
      <c r="AV453">
        <v>9.0977647392238029E-2</v>
      </c>
    </row>
    <row r="454" spans="44:48" x14ac:dyDescent="0.2">
      <c r="AR454">
        <v>446</v>
      </c>
      <c r="AS454">
        <v>446</v>
      </c>
      <c r="AT454">
        <v>1</v>
      </c>
      <c r="AU454">
        <v>2.7019426576570353</v>
      </c>
      <c r="AV454">
        <v>9.0851404836345892E-2</v>
      </c>
    </row>
    <row r="455" spans="44:48" x14ac:dyDescent="0.2">
      <c r="AR455">
        <v>447</v>
      </c>
      <c r="AS455">
        <v>447</v>
      </c>
      <c r="AT455">
        <v>1</v>
      </c>
      <c r="AU455">
        <v>2.7328831889743821</v>
      </c>
      <c r="AV455">
        <v>9.072065525491925E-2</v>
      </c>
    </row>
    <row r="456" spans="44:48" x14ac:dyDescent="0.2">
      <c r="AR456">
        <v>448</v>
      </c>
      <c r="AS456">
        <v>448</v>
      </c>
      <c r="AT456">
        <v>1</v>
      </c>
      <c r="AU456">
        <v>2.7638237202917288</v>
      </c>
      <c r="AV456">
        <v>9.0585418620162228E-2</v>
      </c>
    </row>
    <row r="457" spans="44:48" x14ac:dyDescent="0.2">
      <c r="AR457">
        <v>449</v>
      </c>
      <c r="AS457">
        <v>449</v>
      </c>
      <c r="AT457">
        <v>1</v>
      </c>
      <c r="AU457">
        <v>2.7947642516090738</v>
      </c>
      <c r="AV457">
        <v>9.0445715569220417E-2</v>
      </c>
    </row>
    <row r="458" spans="44:48" x14ac:dyDescent="0.2">
      <c r="AR458">
        <v>450</v>
      </c>
      <c r="AS458">
        <v>450</v>
      </c>
      <c r="AT458">
        <v>1</v>
      </c>
      <c r="AU458">
        <v>2.8257047829264206</v>
      </c>
      <c r="AV458">
        <v>9.0301567398932733E-2</v>
      </c>
    </row>
    <row r="459" spans="44:48" x14ac:dyDescent="0.2">
      <c r="AR459">
        <v>451</v>
      </c>
      <c r="AS459">
        <v>451</v>
      </c>
      <c r="AT459">
        <v>1</v>
      </c>
      <c r="AU459">
        <v>2.8566453142437673</v>
      </c>
      <c r="AV459">
        <v>9.0152996060420987E-2</v>
      </c>
    </row>
    <row r="460" spans="44:48" x14ac:dyDescent="0.2">
      <c r="AR460">
        <v>452</v>
      </c>
      <c r="AS460">
        <v>452</v>
      </c>
      <c r="AT460">
        <v>1</v>
      </c>
      <c r="AU460">
        <v>2.8875858455611123</v>
      </c>
      <c r="AV460">
        <v>9.0000024153519459E-2</v>
      </c>
    </row>
    <row r="461" spans="44:48" x14ac:dyDescent="0.2">
      <c r="AR461">
        <v>453</v>
      </c>
      <c r="AS461">
        <v>453</v>
      </c>
      <c r="AT461">
        <v>1</v>
      </c>
      <c r="AU461">
        <v>2.9185263768784591</v>
      </c>
      <c r="AV461">
        <v>8.9842674921046056E-2</v>
      </c>
    </row>
    <row r="462" spans="44:48" x14ac:dyDescent="0.2">
      <c r="AR462">
        <v>454</v>
      </c>
      <c r="AS462">
        <v>454</v>
      </c>
      <c r="AT462">
        <v>1</v>
      </c>
      <c r="AU462">
        <v>2.9494669081958058</v>
      </c>
      <c r="AV462">
        <v>8.9680972242917351E-2</v>
      </c>
    </row>
    <row r="463" spans="44:48" x14ac:dyDescent="0.2">
      <c r="AR463">
        <v>455</v>
      </c>
      <c r="AS463">
        <v>455</v>
      </c>
      <c r="AT463">
        <v>1</v>
      </c>
      <c r="AU463">
        <v>2.9804074395131526</v>
      </c>
      <c r="AV463">
        <v>8.951494063010948E-2</v>
      </c>
    </row>
    <row r="464" spans="44:48" x14ac:dyDescent="0.2">
      <c r="AR464">
        <v>456</v>
      </c>
      <c r="AS464">
        <v>456</v>
      </c>
      <c r="AT464">
        <v>1</v>
      </c>
      <c r="AU464">
        <v>3.0113479708304975</v>
      </c>
      <c r="AV464">
        <v>8.9344605218467127E-2</v>
      </c>
    </row>
    <row r="465" spans="44:48" x14ac:dyDescent="0.2">
      <c r="AR465">
        <v>457</v>
      </c>
      <c r="AS465">
        <v>457</v>
      </c>
      <c r="AT465">
        <v>1</v>
      </c>
      <c r="AU465">
        <v>3.0422885021478443</v>
      </c>
      <c r="AV465">
        <v>8.9169991762362566E-2</v>
      </c>
    </row>
    <row r="466" spans="44:48" x14ac:dyDescent="0.2">
      <c r="AR466">
        <v>458</v>
      </c>
      <c r="AS466">
        <v>458</v>
      </c>
      <c r="AT466">
        <v>1</v>
      </c>
      <c r="AU466">
        <v>3.0732290334651911</v>
      </c>
      <c r="AV466">
        <v>8.8991126628207309E-2</v>
      </c>
    </row>
    <row r="467" spans="44:48" x14ac:dyDescent="0.2">
      <c r="AR467">
        <v>459</v>
      </c>
      <c r="AS467">
        <v>459</v>
      </c>
      <c r="AT467">
        <v>1</v>
      </c>
      <c r="AU467">
        <v>3.1041695647825378</v>
      </c>
      <c r="AV467">
        <v>8.8808036787818456E-2</v>
      </c>
    </row>
    <row r="468" spans="44:48" x14ac:dyDescent="0.2">
      <c r="AR468">
        <v>460</v>
      </c>
      <c r="AS468">
        <v>460</v>
      </c>
      <c r="AT468">
        <v>1</v>
      </c>
      <c r="AU468">
        <v>3.1351100960998828</v>
      </c>
      <c r="AV468">
        <v>8.8620749811642044E-2</v>
      </c>
    </row>
    <row r="469" spans="44:48" x14ac:dyDescent="0.2">
      <c r="AR469">
        <v>461</v>
      </c>
      <c r="AS469">
        <v>461</v>
      </c>
      <c r="AT469">
        <v>1</v>
      </c>
      <c r="AU469">
        <v>3.1660506274172295</v>
      </c>
      <c r="AV469">
        <v>8.8429293861835886E-2</v>
      </c>
    </row>
    <row r="470" spans="44:48" x14ac:dyDescent="0.2">
      <c r="AR470">
        <v>462</v>
      </c>
      <c r="AS470">
        <v>462</v>
      </c>
      <c r="AT470">
        <v>1</v>
      </c>
      <c r="AU470">
        <v>3.1969911587345763</v>
      </c>
      <c r="AV470">
        <v>8.8233697685214385E-2</v>
      </c>
    </row>
    <row r="471" spans="44:48" x14ac:dyDescent="0.2">
      <c r="AR471">
        <v>463</v>
      </c>
      <c r="AS471">
        <v>463</v>
      </c>
      <c r="AT471">
        <v>1</v>
      </c>
      <c r="AU471">
        <v>3.2279316900519213</v>
      </c>
      <c r="AV471">
        <v>8.8033990606057558E-2</v>
      </c>
    </row>
    <row r="472" spans="44:48" x14ac:dyDescent="0.2">
      <c r="AR472">
        <v>464</v>
      </c>
      <c r="AS472">
        <v>464</v>
      </c>
      <c r="AT472">
        <v>1</v>
      </c>
      <c r="AU472">
        <v>3.258872221369268</v>
      </c>
      <c r="AV472">
        <v>8.7830202518787023E-2</v>
      </c>
    </row>
    <row r="473" spans="44:48" x14ac:dyDescent="0.2">
      <c r="AR473">
        <v>465</v>
      </c>
      <c r="AS473">
        <v>465</v>
      </c>
      <c r="AT473">
        <v>1</v>
      </c>
      <c r="AU473">
        <v>3.2898127526866148</v>
      </c>
      <c r="AV473">
        <v>8.7622363880511422E-2</v>
      </c>
    </row>
    <row r="474" spans="44:48" x14ac:dyDescent="0.2">
      <c r="AR474">
        <v>466</v>
      </c>
      <c r="AS474">
        <v>466</v>
      </c>
      <c r="AT474">
        <v>1</v>
      </c>
      <c r="AU474">
        <v>3.3207532840039615</v>
      </c>
      <c r="AV474">
        <v>8.7410505703443886E-2</v>
      </c>
    </row>
    <row r="475" spans="44:48" x14ac:dyDescent="0.2">
      <c r="AR475">
        <v>467</v>
      </c>
      <c r="AS475">
        <v>467</v>
      </c>
      <c r="AT475">
        <v>1</v>
      </c>
      <c r="AU475">
        <v>3.3516938153213065</v>
      </c>
      <c r="AV475">
        <v>8.7194659547194103E-2</v>
      </c>
    </row>
    <row r="476" spans="44:48" x14ac:dyDescent="0.2">
      <c r="AR476">
        <v>468</v>
      </c>
      <c r="AS476">
        <v>468</v>
      </c>
      <c r="AT476">
        <v>1</v>
      </c>
      <c r="AU476">
        <v>3.3826343466386533</v>
      </c>
      <c r="AV476">
        <v>8.6974857510937795E-2</v>
      </c>
    </row>
    <row r="477" spans="44:48" x14ac:dyDescent="0.2">
      <c r="AR477">
        <v>469</v>
      </c>
      <c r="AS477">
        <v>469</v>
      </c>
      <c r="AT477">
        <v>1</v>
      </c>
      <c r="AU477">
        <v>3.413574877956</v>
      </c>
      <c r="AV477">
        <v>8.6751132225466321E-2</v>
      </c>
    </row>
    <row r="478" spans="44:48" x14ac:dyDescent="0.2">
      <c r="AR478">
        <v>470</v>
      </c>
      <c r="AS478">
        <v>470</v>
      </c>
      <c r="AT478">
        <v>1</v>
      </c>
      <c r="AU478">
        <v>3.4445154092733468</v>
      </c>
      <c r="AV478">
        <v>8.6523516845119053E-2</v>
      </c>
    </row>
    <row r="479" spans="44:48" x14ac:dyDescent="0.2">
      <c r="AR479">
        <v>471</v>
      </c>
      <c r="AS479">
        <v>471</v>
      </c>
      <c r="AT479">
        <v>1</v>
      </c>
      <c r="AU479">
        <v>3.4754559405906917</v>
      </c>
      <c r="AV479">
        <v>8.6292045039601362E-2</v>
      </c>
    </row>
    <row r="480" spans="44:48" x14ac:dyDescent="0.2">
      <c r="AR480">
        <v>472</v>
      </c>
      <c r="AS480">
        <v>472</v>
      </c>
      <c r="AT480">
        <v>1</v>
      </c>
      <c r="AU480">
        <v>3.5063964719080385</v>
      </c>
      <c r="AV480">
        <v>8.6056750985691058E-2</v>
      </c>
    </row>
    <row r="481" spans="44:48" x14ac:dyDescent="0.2">
      <c r="AR481">
        <v>473</v>
      </c>
      <c r="AS481">
        <v>473</v>
      </c>
      <c r="AT481">
        <v>1</v>
      </c>
      <c r="AU481">
        <v>3.5373370032253852</v>
      </c>
      <c r="AV481">
        <v>8.5817669358836182E-2</v>
      </c>
    </row>
    <row r="482" spans="44:48" x14ac:dyDescent="0.2">
      <c r="AR482">
        <v>474</v>
      </c>
      <c r="AS482">
        <v>474</v>
      </c>
      <c r="AT482">
        <v>1</v>
      </c>
      <c r="AU482">
        <v>3.568277534542732</v>
      </c>
      <c r="AV482">
        <v>8.5574835324646964E-2</v>
      </c>
    </row>
    <row r="483" spans="44:48" x14ac:dyDescent="0.2">
      <c r="AR483">
        <v>475</v>
      </c>
      <c r="AS483">
        <v>475</v>
      </c>
      <c r="AT483">
        <v>1</v>
      </c>
      <c r="AU483">
        <v>3.599218065860077</v>
      </c>
      <c r="AV483">
        <v>8.5328284530284806E-2</v>
      </c>
    </row>
    <row r="484" spans="44:48" x14ac:dyDescent="0.2">
      <c r="AR484">
        <v>476</v>
      </c>
      <c r="AS484">
        <v>476</v>
      </c>
      <c r="AT484">
        <v>1</v>
      </c>
      <c r="AU484">
        <v>3.6301585971774237</v>
      </c>
      <c r="AV484">
        <v>8.5078053095751491E-2</v>
      </c>
    </row>
    <row r="485" spans="44:48" x14ac:dyDescent="0.2">
      <c r="AR485">
        <v>477</v>
      </c>
      <c r="AS485">
        <v>477</v>
      </c>
      <c r="AT485">
        <v>1</v>
      </c>
      <c r="AU485">
        <v>3.6610991284947705</v>
      </c>
      <c r="AV485">
        <v>8.4824177605081305E-2</v>
      </c>
    </row>
    <row r="486" spans="44:48" x14ac:dyDescent="0.2">
      <c r="AR486">
        <v>478</v>
      </c>
      <c r="AS486">
        <v>478</v>
      </c>
      <c r="AT486">
        <v>1</v>
      </c>
      <c r="AU486">
        <v>3.6920396598121155</v>
      </c>
      <c r="AV486">
        <v>8.4566695097439221E-2</v>
      </c>
    </row>
    <row r="487" spans="44:48" x14ac:dyDescent="0.2">
      <c r="AR487">
        <v>479</v>
      </c>
      <c r="AS487">
        <v>479</v>
      </c>
      <c r="AT487">
        <v>1</v>
      </c>
      <c r="AU487">
        <v>3.7229801911294622</v>
      </c>
      <c r="AV487">
        <v>8.4305643058128182E-2</v>
      </c>
    </row>
    <row r="488" spans="44:48" x14ac:dyDescent="0.2">
      <c r="AR488">
        <v>480</v>
      </c>
      <c r="AS488">
        <v>480</v>
      </c>
      <c r="AT488">
        <v>1</v>
      </c>
      <c r="AU488">
        <v>3.753920722446809</v>
      </c>
      <c r="AV488">
        <v>8.4041059409508484E-2</v>
      </c>
    </row>
    <row r="489" spans="44:48" x14ac:dyDescent="0.2">
      <c r="AR489">
        <v>481</v>
      </c>
      <c r="AS489">
        <v>481</v>
      </c>
      <c r="AT489">
        <v>1</v>
      </c>
      <c r="AU489">
        <v>3.7848612537641557</v>
      </c>
      <c r="AV489">
        <v>8.3772982501832294E-2</v>
      </c>
    </row>
    <row r="490" spans="44:48" x14ac:dyDescent="0.2">
      <c r="AR490">
        <v>482</v>
      </c>
      <c r="AS490">
        <v>482</v>
      </c>
      <c r="AT490">
        <v>1</v>
      </c>
      <c r="AU490">
        <v>3.8158017850815007</v>
      </c>
      <c r="AV490">
        <v>8.3501451103996593E-2</v>
      </c>
    </row>
    <row r="491" spans="44:48" x14ac:dyDescent="0.2">
      <c r="AR491">
        <v>483</v>
      </c>
      <c r="AS491">
        <v>483</v>
      </c>
      <c r="AT491">
        <v>1</v>
      </c>
      <c r="AU491">
        <v>3.8467423163988474</v>
      </c>
      <c r="AV491">
        <v>8.3226504394217402E-2</v>
      </c>
    </row>
    <row r="492" spans="44:48" x14ac:dyDescent="0.2">
      <c r="AR492">
        <v>484</v>
      </c>
      <c r="AS492">
        <v>484</v>
      </c>
      <c r="AT492">
        <v>1</v>
      </c>
      <c r="AU492">
        <v>3.8776828477161942</v>
      </c>
      <c r="AV492">
        <v>8.2948181950628558E-2</v>
      </c>
    </row>
    <row r="493" spans="44:48" x14ac:dyDescent="0.2">
      <c r="AR493">
        <v>485</v>
      </c>
      <c r="AS493">
        <v>485</v>
      </c>
      <c r="AT493">
        <v>1</v>
      </c>
      <c r="AU493">
        <v>3.908623379033541</v>
      </c>
      <c r="AV493">
        <v>8.2666523741808301E-2</v>
      </c>
    </row>
    <row r="494" spans="44:48" x14ac:dyDescent="0.2">
      <c r="AR494">
        <v>486</v>
      </c>
      <c r="AS494">
        <v>486</v>
      </c>
      <c r="AT494">
        <v>1</v>
      </c>
      <c r="AU494">
        <v>3.9395639103508859</v>
      </c>
      <c r="AV494">
        <v>8.2381570117236472E-2</v>
      </c>
    </row>
    <row r="495" spans="44:48" x14ac:dyDescent="0.2">
      <c r="AR495">
        <v>487</v>
      </c>
      <c r="AS495">
        <v>487</v>
      </c>
      <c r="AT495">
        <v>1</v>
      </c>
      <c r="AU495">
        <v>3.9705044416682327</v>
      </c>
      <c r="AV495">
        <v>8.209336179768599E-2</v>
      </c>
    </row>
    <row r="496" spans="44:48" x14ac:dyDescent="0.2">
      <c r="AR496">
        <v>488</v>
      </c>
      <c r="AS496">
        <v>488</v>
      </c>
      <c r="AT496">
        <v>1</v>
      </c>
      <c r="AU496">
        <v>4.0014449729855794</v>
      </c>
      <c r="AV496">
        <v>8.1801939865551482E-2</v>
      </c>
    </row>
    <row r="497" spans="44:48" x14ac:dyDescent="0.2">
      <c r="AR497">
        <v>489</v>
      </c>
      <c r="AS497">
        <v>489</v>
      </c>
      <c r="AT497">
        <v>1</v>
      </c>
      <c r="AU497">
        <v>4.0323855043029244</v>
      </c>
      <c r="AV497">
        <v>8.1507345755118296E-2</v>
      </c>
    </row>
    <row r="498" spans="44:48" x14ac:dyDescent="0.2">
      <c r="AR498">
        <v>490</v>
      </c>
      <c r="AS498">
        <v>490</v>
      </c>
      <c r="AT498">
        <v>1</v>
      </c>
      <c r="AU498">
        <v>4.0633260356202712</v>
      </c>
      <c r="AV498">
        <v>8.1209621242775129E-2</v>
      </c>
    </row>
    <row r="499" spans="44:48" x14ac:dyDescent="0.2">
      <c r="AR499">
        <v>491</v>
      </c>
      <c r="AS499">
        <v>491</v>
      </c>
      <c r="AT499">
        <v>1</v>
      </c>
      <c r="AU499">
        <v>4.0942665669376179</v>
      </c>
      <c r="AV499">
        <v>8.090880843717374E-2</v>
      </c>
    </row>
    <row r="500" spans="44:48" x14ac:dyDescent="0.2">
      <c r="AR500">
        <v>492</v>
      </c>
      <c r="AS500">
        <v>492</v>
      </c>
      <c r="AT500">
        <v>1</v>
      </c>
      <c r="AU500">
        <v>4.1252070982549647</v>
      </c>
      <c r="AV500">
        <v>8.0604949769338533E-2</v>
      </c>
    </row>
    <row r="501" spans="44:48" x14ac:dyDescent="0.2">
      <c r="AR501">
        <v>493</v>
      </c>
      <c r="AS501">
        <v>493</v>
      </c>
      <c r="AT501">
        <v>1</v>
      </c>
      <c r="AU501">
        <v>4.1561476295723097</v>
      </c>
      <c r="AV501">
        <v>8.0298087982729652E-2</v>
      </c>
    </row>
    <row r="502" spans="44:48" x14ac:dyDescent="0.2">
      <c r="AR502">
        <v>494</v>
      </c>
      <c r="AS502">
        <v>494</v>
      </c>
      <c r="AT502">
        <v>1</v>
      </c>
      <c r="AU502">
        <v>4.1870881608896564</v>
      </c>
      <c r="AV502">
        <v>7.9988266123262541E-2</v>
      </c>
    </row>
    <row r="503" spans="44:48" x14ac:dyDescent="0.2">
      <c r="AR503">
        <v>495</v>
      </c>
      <c r="AS503">
        <v>495</v>
      </c>
      <c r="AT503">
        <v>1</v>
      </c>
      <c r="AU503">
        <v>4.2180286922070032</v>
      </c>
      <c r="AV503">
        <v>7.9675527529287485E-2</v>
      </c>
    </row>
    <row r="504" spans="44:48" x14ac:dyDescent="0.2">
      <c r="AR504">
        <v>496</v>
      </c>
      <c r="AS504">
        <v>496</v>
      </c>
      <c r="AT504">
        <v>1</v>
      </c>
      <c r="AU504">
        <v>4.2489692235243499</v>
      </c>
      <c r="AV504">
        <v>7.9359915821532151E-2</v>
      </c>
    </row>
    <row r="505" spans="44:48" x14ac:dyDescent="0.2">
      <c r="AR505">
        <v>497</v>
      </c>
      <c r="AS505">
        <v>497</v>
      </c>
      <c r="AT505">
        <v>1</v>
      </c>
      <c r="AU505">
        <v>4.2799097548416949</v>
      </c>
      <c r="AV505">
        <v>7.9041474893010458E-2</v>
      </c>
    </row>
    <row r="506" spans="44:48" x14ac:dyDescent="0.2">
      <c r="AR506">
        <v>498</v>
      </c>
      <c r="AS506">
        <v>498</v>
      </c>
      <c r="AT506">
        <v>1</v>
      </c>
      <c r="AU506">
        <v>4.3108502861590416</v>
      </c>
      <c r="AV506">
        <v>7.8720248898901043E-2</v>
      </c>
    </row>
    <row r="507" spans="44:48" x14ac:dyDescent="0.2">
      <c r="AR507">
        <v>499</v>
      </c>
      <c r="AS507">
        <v>499</v>
      </c>
      <c r="AT507">
        <v>1</v>
      </c>
      <c r="AU507">
        <v>4.3417908174763884</v>
      </c>
      <c r="AV507">
        <v>7.8396282246398719E-2</v>
      </c>
    </row>
    <row r="508" spans="44:48" x14ac:dyDescent="0.2">
      <c r="AR508">
        <v>500</v>
      </c>
      <c r="AS508">
        <v>500</v>
      </c>
      <c r="AT508">
        <v>1</v>
      </c>
      <c r="AU508">
        <v>4.3727313487937352</v>
      </c>
      <c r="AV508">
        <v>7.8069619584541755E-2</v>
      </c>
    </row>
    <row r="509" spans="44:48" x14ac:dyDescent="0.2">
      <c r="AR509">
        <v>501</v>
      </c>
      <c r="AS509">
        <v>501</v>
      </c>
      <c r="AT509">
        <v>1</v>
      </c>
      <c r="AU509">
        <v>4.4036718801110801</v>
      </c>
      <c r="AV509">
        <v>7.774030579401868E-2</v>
      </c>
    </row>
    <row r="510" spans="44:48" x14ac:dyDescent="0.2">
      <c r="AR510">
        <v>502</v>
      </c>
      <c r="AS510">
        <v>502</v>
      </c>
      <c r="AT510">
        <v>1</v>
      </c>
      <c r="AU510">
        <v>4.4346124114284269</v>
      </c>
      <c r="AV510">
        <v>7.7408385976957553E-2</v>
      </c>
    </row>
    <row r="511" spans="44:48" x14ac:dyDescent="0.2">
      <c r="AR511">
        <v>503</v>
      </c>
      <c r="AS511">
        <v>503</v>
      </c>
      <c r="AT511">
        <v>1</v>
      </c>
      <c r="AU511">
        <v>4.4655529427457736</v>
      </c>
      <c r="AV511">
        <v>7.7073905446701091E-2</v>
      </c>
    </row>
    <row r="512" spans="44:48" x14ac:dyDescent="0.2">
      <c r="AR512">
        <v>504</v>
      </c>
      <c r="AS512">
        <v>504</v>
      </c>
      <c r="AT512">
        <v>1</v>
      </c>
      <c r="AU512">
        <v>4.4964934740631186</v>
      </c>
      <c r="AV512">
        <v>7.6736909717570773E-2</v>
      </c>
    </row>
    <row r="513" spans="44:48" x14ac:dyDescent="0.2">
      <c r="AR513">
        <v>505</v>
      </c>
      <c r="AS513">
        <v>505</v>
      </c>
      <c r="AT513">
        <v>1</v>
      </c>
      <c r="AU513">
        <v>4.5274340053804654</v>
      </c>
      <c r="AV513">
        <v>7.6397444494623004E-2</v>
      </c>
    </row>
    <row r="514" spans="44:48" x14ac:dyDescent="0.2">
      <c r="AR514">
        <v>506</v>
      </c>
      <c r="AS514">
        <v>506</v>
      </c>
      <c r="AT514">
        <v>1</v>
      </c>
      <c r="AU514">
        <v>4.5583745366978121</v>
      </c>
      <c r="AV514">
        <v>7.6055555663401123E-2</v>
      </c>
    </row>
    <row r="515" spans="44:48" x14ac:dyDescent="0.2">
      <c r="AR515">
        <v>507</v>
      </c>
      <c r="AS515">
        <v>507</v>
      </c>
      <c r="AT515">
        <v>1</v>
      </c>
      <c r="AU515">
        <v>4.5893150680151589</v>
      </c>
      <c r="AV515">
        <v>7.5711289279685429E-2</v>
      </c>
    </row>
    <row r="516" spans="44:48" x14ac:dyDescent="0.2">
      <c r="AR516">
        <v>508</v>
      </c>
      <c r="AS516">
        <v>508</v>
      </c>
      <c r="AT516">
        <v>1</v>
      </c>
      <c r="AU516">
        <v>4.6202555993325038</v>
      </c>
      <c r="AV516">
        <v>7.5364691559245564E-2</v>
      </c>
    </row>
    <row r="517" spans="44:48" x14ac:dyDescent="0.2">
      <c r="AR517">
        <v>509</v>
      </c>
      <c r="AS517">
        <v>509</v>
      </c>
      <c r="AT517">
        <v>1</v>
      </c>
      <c r="AU517">
        <v>4.6511961306498506</v>
      </c>
      <c r="AV517">
        <v>7.5015808867597233E-2</v>
      </c>
    </row>
    <row r="518" spans="44:48" x14ac:dyDescent="0.2">
      <c r="AR518">
        <v>510</v>
      </c>
      <c r="AS518">
        <v>510</v>
      </c>
      <c r="AT518">
        <v>1</v>
      </c>
      <c r="AU518">
        <v>4.6821366619671974</v>
      </c>
      <c r="AV518">
        <v>7.4664687709767683E-2</v>
      </c>
    </row>
    <row r="519" spans="44:48" x14ac:dyDescent="0.2">
      <c r="AR519">
        <v>511</v>
      </c>
      <c r="AS519">
        <v>511</v>
      </c>
      <c r="AT519">
        <v>1</v>
      </c>
      <c r="AU519">
        <v>4.7130771932845441</v>
      </c>
      <c r="AV519">
        <v>7.4311374720071668E-2</v>
      </c>
    </row>
    <row r="520" spans="44:48" x14ac:dyDescent="0.2">
      <c r="AR520">
        <v>512</v>
      </c>
      <c r="AS520">
        <v>512</v>
      </c>
      <c r="AT520">
        <v>1</v>
      </c>
      <c r="AU520">
        <v>4.7440177246018891</v>
      </c>
      <c r="AV520">
        <v>7.3955916651902376E-2</v>
      </c>
    </row>
    <row r="521" spans="44:48" x14ac:dyDescent="0.2">
      <c r="AR521">
        <v>513</v>
      </c>
      <c r="AS521">
        <v>513</v>
      </c>
      <c r="AT521">
        <v>1</v>
      </c>
      <c r="AU521">
        <v>4.7749582559192358</v>
      </c>
      <c r="AV521">
        <v>7.3598360367539098E-2</v>
      </c>
    </row>
    <row r="522" spans="44:48" x14ac:dyDescent="0.2">
      <c r="AR522">
        <v>514</v>
      </c>
      <c r="AS522">
        <v>514</v>
      </c>
      <c r="AT522">
        <v>1</v>
      </c>
      <c r="AU522">
        <v>4.8058987872365826</v>
      </c>
      <c r="AV522">
        <v>7.3238752827976081E-2</v>
      </c>
    </row>
    <row r="523" spans="44:48" x14ac:dyDescent="0.2">
      <c r="AR523">
        <v>515</v>
      </c>
      <c r="AS523">
        <v>515</v>
      </c>
      <c r="AT523">
        <v>1</v>
      </c>
      <c r="AU523">
        <v>4.8368393185539276</v>
      </c>
      <c r="AV523">
        <v>7.2877141082774224E-2</v>
      </c>
    </row>
    <row r="524" spans="44:48" x14ac:dyDescent="0.2">
      <c r="AR524">
        <v>516</v>
      </c>
      <c r="AS524">
        <v>516</v>
      </c>
      <c r="AT524">
        <v>1</v>
      </c>
      <c r="AU524">
        <v>4.8677798498712743</v>
      </c>
      <c r="AV524">
        <v>7.251357225993961E-2</v>
      </c>
    </row>
    <row r="525" spans="44:48" x14ac:dyDescent="0.2">
      <c r="AR525">
        <v>517</v>
      </c>
      <c r="AS525">
        <v>517</v>
      </c>
      <c r="AT525">
        <v>1</v>
      </c>
      <c r="AU525">
        <v>4.8987203811886211</v>
      </c>
      <c r="AV525">
        <v>7.2148093555831669E-2</v>
      </c>
    </row>
    <row r="526" spans="44:48" x14ac:dyDescent="0.2">
      <c r="AR526">
        <v>518</v>
      </c>
      <c r="AS526">
        <v>518</v>
      </c>
      <c r="AT526">
        <v>1</v>
      </c>
      <c r="AU526">
        <v>4.9296609125059678</v>
      </c>
      <c r="AV526">
        <v>7.1780752225103564E-2</v>
      </c>
    </row>
    <row r="527" spans="44:48" x14ac:dyDescent="0.2">
      <c r="AR527">
        <v>519</v>
      </c>
      <c r="AS527">
        <v>519</v>
      </c>
      <c r="AT527">
        <v>1</v>
      </c>
      <c r="AU527">
        <v>4.9606014438233128</v>
      </c>
      <c r="AV527">
        <v>7.1411595570678194E-2</v>
      </c>
    </row>
    <row r="528" spans="44:48" x14ac:dyDescent="0.2">
      <c r="AR528">
        <v>520</v>
      </c>
      <c r="AS528">
        <v>520</v>
      </c>
      <c r="AT528">
        <v>1</v>
      </c>
      <c r="AU528">
        <v>4.9915419751406613</v>
      </c>
      <c r="AV528">
        <v>7.1040670933762401E-2</v>
      </c>
    </row>
    <row r="529" spans="44:48" x14ac:dyDescent="0.2">
      <c r="AR529">
        <v>521</v>
      </c>
      <c r="AS529">
        <v>521</v>
      </c>
      <c r="AT529">
        <v>1</v>
      </c>
      <c r="AU529">
        <v>5.0224825064580063</v>
      </c>
      <c r="AV529">
        <v>7.0668025683902735E-2</v>
      </c>
    </row>
    <row r="530" spans="44:48" x14ac:dyDescent="0.2">
      <c r="AR530">
        <v>522</v>
      </c>
      <c r="AS530">
        <v>522</v>
      </c>
      <c r="AT530">
        <v>1</v>
      </c>
      <c r="AU530">
        <v>5.0534230377753513</v>
      </c>
      <c r="AV530">
        <v>7.0293707209084885E-2</v>
      </c>
    </row>
    <row r="531" spans="44:48" x14ac:dyDescent="0.2">
      <c r="AR531">
        <v>523</v>
      </c>
      <c r="AS531">
        <v>523</v>
      </c>
      <c r="AT531">
        <v>1</v>
      </c>
      <c r="AU531">
        <v>5.0843635690926998</v>
      </c>
      <c r="AV531">
        <v>6.991776290588031E-2</v>
      </c>
    </row>
    <row r="532" spans="44:48" x14ac:dyDescent="0.2">
      <c r="AR532">
        <v>524</v>
      </c>
      <c r="AS532">
        <v>524</v>
      </c>
      <c r="AT532">
        <v>1</v>
      </c>
      <c r="AU532">
        <v>5.1153041004100448</v>
      </c>
      <c r="AV532">
        <v>6.954024016964272E-2</v>
      </c>
    </row>
    <row r="533" spans="44:48" x14ac:dyDescent="0.2">
      <c r="AR533">
        <v>525</v>
      </c>
      <c r="AS533">
        <v>525</v>
      </c>
      <c r="AT533">
        <v>1</v>
      </c>
      <c r="AU533">
        <v>5.1462446317273898</v>
      </c>
      <c r="AV533">
        <v>6.9161186384756643E-2</v>
      </c>
    </row>
    <row r="534" spans="44:48" x14ac:dyDescent="0.2">
      <c r="AR534">
        <v>526</v>
      </c>
      <c r="AS534">
        <v>526</v>
      </c>
      <c r="AT534">
        <v>1</v>
      </c>
      <c r="AU534">
        <v>5.1771851630447383</v>
      </c>
      <c r="AV534">
        <v>6.8780648914941567E-2</v>
      </c>
    </row>
    <row r="535" spans="44:48" x14ac:dyDescent="0.2">
      <c r="AR535">
        <v>527</v>
      </c>
      <c r="AS535">
        <v>527</v>
      </c>
      <c r="AT535">
        <v>1</v>
      </c>
      <c r="AU535">
        <v>5.2081256943620833</v>
      </c>
      <c r="AV535">
        <v>6.8398675093613984E-2</v>
      </c>
    </row>
    <row r="536" spans="44:48" x14ac:dyDescent="0.2">
      <c r="AR536">
        <v>528</v>
      </c>
      <c r="AS536">
        <v>528</v>
      </c>
      <c r="AT536">
        <v>1</v>
      </c>
      <c r="AU536">
        <v>5.2390662256794283</v>
      </c>
      <c r="AV536">
        <v>6.8015312214309689E-2</v>
      </c>
    </row>
    <row r="537" spans="44:48" x14ac:dyDescent="0.2">
      <c r="AR537">
        <v>529</v>
      </c>
      <c r="AS537">
        <v>529</v>
      </c>
      <c r="AT537">
        <v>1</v>
      </c>
      <c r="AU537">
        <v>5.2700067569967768</v>
      </c>
      <c r="AV537">
        <v>6.7630607521169672E-2</v>
      </c>
    </row>
    <row r="538" spans="44:48" x14ac:dyDescent="0.2">
      <c r="AR538">
        <v>530</v>
      </c>
      <c r="AS538">
        <v>530</v>
      </c>
      <c r="AT538">
        <v>1</v>
      </c>
      <c r="AU538">
        <v>5.3009472883141218</v>
      </c>
      <c r="AV538">
        <v>6.7244608199491698E-2</v>
      </c>
    </row>
    <row r="539" spans="44:48" x14ac:dyDescent="0.2">
      <c r="AR539">
        <v>531</v>
      </c>
      <c r="AS539">
        <v>531</v>
      </c>
      <c r="AT539">
        <v>1</v>
      </c>
      <c r="AU539">
        <v>5.3318878196314703</v>
      </c>
      <c r="AV539">
        <v>6.6857361366349927E-2</v>
      </c>
    </row>
    <row r="540" spans="44:48" x14ac:dyDescent="0.2">
      <c r="AR540">
        <v>532</v>
      </c>
      <c r="AS540">
        <v>532</v>
      </c>
      <c r="AT540">
        <v>1</v>
      </c>
      <c r="AU540">
        <v>5.3628283509488153</v>
      </c>
      <c r="AV540">
        <v>6.6468914061285925E-2</v>
      </c>
    </row>
    <row r="541" spans="44:48" x14ac:dyDescent="0.2">
      <c r="AR541">
        <v>533</v>
      </c>
      <c r="AS541">
        <v>533</v>
      </c>
      <c r="AT541">
        <v>1</v>
      </c>
      <c r="AU541">
        <v>5.3937688822661602</v>
      </c>
      <c r="AV541">
        <v>6.6079313237072446E-2</v>
      </c>
    </row>
    <row r="542" spans="44:48" x14ac:dyDescent="0.2">
      <c r="AR542">
        <v>534</v>
      </c>
      <c r="AS542">
        <v>534</v>
      </c>
      <c r="AT542">
        <v>1</v>
      </c>
      <c r="AU542">
        <v>5.4247094135835088</v>
      </c>
      <c r="AV542">
        <v>6.5688605750553256E-2</v>
      </c>
    </row>
    <row r="543" spans="44:48" x14ac:dyDescent="0.2">
      <c r="AR543">
        <v>535</v>
      </c>
      <c r="AS543">
        <v>535</v>
      </c>
      <c r="AT543">
        <v>1</v>
      </c>
      <c r="AU543">
        <v>5.4556499449008538</v>
      </c>
      <c r="AV543">
        <v>6.5296838353561273E-2</v>
      </c>
    </row>
    <row r="544" spans="44:48" x14ac:dyDescent="0.2">
      <c r="AR544">
        <v>536</v>
      </c>
      <c r="AS544">
        <v>536</v>
      </c>
      <c r="AT544">
        <v>1</v>
      </c>
      <c r="AU544">
        <v>5.4865904762181987</v>
      </c>
      <c r="AV544">
        <v>6.4904057683916647E-2</v>
      </c>
    </row>
    <row r="545" spans="44:48" x14ac:dyDescent="0.2">
      <c r="AR545">
        <v>537</v>
      </c>
      <c r="AS545">
        <v>537</v>
      </c>
      <c r="AT545">
        <v>1</v>
      </c>
      <c r="AU545">
        <v>5.5175310075355473</v>
      </c>
      <c r="AV545">
        <v>6.4510310256508066E-2</v>
      </c>
    </row>
    <row r="546" spans="44:48" x14ac:dyDescent="0.2">
      <c r="AR546">
        <v>538</v>
      </c>
      <c r="AS546">
        <v>538</v>
      </c>
      <c r="AT546">
        <v>1</v>
      </c>
      <c r="AU546">
        <v>5.5484715388528922</v>
      </c>
      <c r="AV546">
        <v>6.4115642454459137E-2</v>
      </c>
    </row>
    <row r="547" spans="44:48" x14ac:dyDescent="0.2">
      <c r="AR547">
        <v>539</v>
      </c>
      <c r="AS547">
        <v>539</v>
      </c>
      <c r="AT547">
        <v>1</v>
      </c>
      <c r="AU547">
        <v>5.5794120701702372</v>
      </c>
      <c r="AV547">
        <v>6.3720100520381656E-2</v>
      </c>
    </row>
    <row r="548" spans="44:48" x14ac:dyDescent="0.2">
      <c r="AR548">
        <v>540</v>
      </c>
      <c r="AS548">
        <v>540</v>
      </c>
      <c r="AT548">
        <v>1</v>
      </c>
      <c r="AU548">
        <v>5.6103526014875857</v>
      </c>
      <c r="AV548">
        <v>6.3323730547718504E-2</v>
      </c>
    </row>
    <row r="549" spans="44:48" x14ac:dyDescent="0.2">
      <c r="AR549">
        <v>541</v>
      </c>
      <c r="AS549">
        <v>541</v>
      </c>
      <c r="AT549">
        <v>1</v>
      </c>
      <c r="AU549">
        <v>5.6412931328049307</v>
      </c>
      <c r="AV549">
        <v>6.2926578472178488E-2</v>
      </c>
    </row>
    <row r="550" spans="44:48" x14ac:dyDescent="0.2">
      <c r="AR550">
        <v>542</v>
      </c>
      <c r="AS550">
        <v>542</v>
      </c>
      <c r="AT550">
        <v>1</v>
      </c>
      <c r="AU550">
        <v>5.6722336641222793</v>
      </c>
      <c r="AV550">
        <v>6.252869006326392E-2</v>
      </c>
    </row>
    <row r="551" spans="44:48" x14ac:dyDescent="0.2">
      <c r="AR551">
        <v>543</v>
      </c>
      <c r="AS551">
        <v>543</v>
      </c>
      <c r="AT551">
        <v>1</v>
      </c>
      <c r="AU551">
        <v>5.7031741954396242</v>
      </c>
      <c r="AV551">
        <v>6.2130110915894918E-2</v>
      </c>
    </row>
    <row r="552" spans="44:48" x14ac:dyDescent="0.2">
      <c r="AR552">
        <v>544</v>
      </c>
      <c r="AS552">
        <v>544</v>
      </c>
      <c r="AT552">
        <v>1</v>
      </c>
      <c r="AU552">
        <v>5.7341147267569692</v>
      </c>
      <c r="AV552">
        <v>6.1730886442130449E-2</v>
      </c>
    </row>
    <row r="553" spans="44:48" x14ac:dyDescent="0.2">
      <c r="AR553">
        <v>545</v>
      </c>
      <c r="AS553">
        <v>545</v>
      </c>
      <c r="AT553">
        <v>1</v>
      </c>
      <c r="AU553">
        <v>5.7650552580743177</v>
      </c>
      <c r="AV553">
        <v>6.1331061862989492E-2</v>
      </c>
    </row>
    <row r="554" spans="44:48" x14ac:dyDescent="0.2">
      <c r="AR554">
        <v>546</v>
      </c>
      <c r="AS554">
        <v>546</v>
      </c>
      <c r="AT554">
        <v>1</v>
      </c>
      <c r="AU554">
        <v>5.7959957893916627</v>
      </c>
      <c r="AV554">
        <v>6.0930682200373704E-2</v>
      </c>
    </row>
    <row r="555" spans="44:48" x14ac:dyDescent="0.2">
      <c r="AR555">
        <v>547</v>
      </c>
      <c r="AS555">
        <v>547</v>
      </c>
      <c r="AT555">
        <v>1</v>
      </c>
      <c r="AU555">
        <v>5.8269363207090077</v>
      </c>
      <c r="AV555">
        <v>6.0529792269092983E-2</v>
      </c>
    </row>
    <row r="556" spans="44:48" x14ac:dyDescent="0.2">
      <c r="AR556">
        <v>548</v>
      </c>
      <c r="AS556">
        <v>548</v>
      </c>
      <c r="AT556">
        <v>1</v>
      </c>
      <c r="AU556">
        <v>5.8578768520263562</v>
      </c>
      <c r="AV556">
        <v>6.0128436668996553E-2</v>
      </c>
    </row>
    <row r="557" spans="44:48" x14ac:dyDescent="0.2">
      <c r="AR557">
        <v>549</v>
      </c>
      <c r="AS557">
        <v>549</v>
      </c>
      <c r="AT557">
        <v>1</v>
      </c>
      <c r="AU557">
        <v>5.8888173833437012</v>
      </c>
      <c r="AV557">
        <v>5.9726659777210873E-2</v>
      </c>
    </row>
    <row r="558" spans="44:48" x14ac:dyDescent="0.2">
      <c r="AR558">
        <v>550</v>
      </c>
      <c r="AS558">
        <v>550</v>
      </c>
      <c r="AT558">
        <v>1</v>
      </c>
      <c r="AU558">
        <v>5.9197579146610497</v>
      </c>
      <c r="AV558">
        <v>5.9324505740485714E-2</v>
      </c>
    </row>
    <row r="559" spans="44:48" x14ac:dyDescent="0.2">
      <c r="AR559">
        <v>551</v>
      </c>
      <c r="AS559">
        <v>551</v>
      </c>
      <c r="AT559">
        <v>1</v>
      </c>
      <c r="AU559">
        <v>5.9506984459783947</v>
      </c>
      <c r="AV559">
        <v>5.8922018467651022E-2</v>
      </c>
    </row>
    <row r="560" spans="44:48" x14ac:dyDescent="0.2">
      <c r="AR560">
        <v>552</v>
      </c>
      <c r="AS560">
        <v>552</v>
      </c>
      <c r="AT560">
        <v>1</v>
      </c>
      <c r="AU560">
        <v>5.9816389772957397</v>
      </c>
      <c r="AV560">
        <v>5.8519241622184984E-2</v>
      </c>
    </row>
    <row r="561" spans="44:48" x14ac:dyDescent="0.2">
      <c r="AR561">
        <v>553</v>
      </c>
      <c r="AS561">
        <v>553</v>
      </c>
      <c r="AT561">
        <v>1</v>
      </c>
      <c r="AU561">
        <v>6.0125795086130882</v>
      </c>
      <c r="AV561">
        <v>5.811621861489575E-2</v>
      </c>
    </row>
    <row r="562" spans="44:48" x14ac:dyDescent="0.2">
      <c r="AR562">
        <v>554</v>
      </c>
      <c r="AS562">
        <v>554</v>
      </c>
      <c r="AT562">
        <v>1</v>
      </c>
      <c r="AU562">
        <v>6.0435200399304332</v>
      </c>
      <c r="AV562">
        <v>5.7712992596718138E-2</v>
      </c>
    </row>
    <row r="563" spans="44:48" x14ac:dyDescent="0.2">
      <c r="AR563">
        <v>555</v>
      </c>
      <c r="AS563">
        <v>555</v>
      </c>
      <c r="AT563">
        <v>1</v>
      </c>
      <c r="AU563">
        <v>6.0744605712477782</v>
      </c>
      <c r="AV563">
        <v>5.7309606451625923E-2</v>
      </c>
    </row>
    <row r="564" spans="44:48" x14ac:dyDescent="0.2">
      <c r="AR564">
        <v>556</v>
      </c>
      <c r="AS564">
        <v>556</v>
      </c>
      <c r="AT564">
        <v>1</v>
      </c>
      <c r="AU564">
        <v>6.1054011025651267</v>
      </c>
      <c r="AV564">
        <v>5.6906102789662509E-2</v>
      </c>
    </row>
    <row r="565" spans="44:48" x14ac:dyDescent="0.2">
      <c r="AR565">
        <v>557</v>
      </c>
      <c r="AS565">
        <v>557</v>
      </c>
      <c r="AT565">
        <v>1</v>
      </c>
      <c r="AU565">
        <v>6.1363416338824717</v>
      </c>
      <c r="AV565">
        <v>5.6502523940090275E-2</v>
      </c>
    </row>
    <row r="566" spans="44:48" x14ac:dyDescent="0.2">
      <c r="AR566">
        <v>558</v>
      </c>
      <c r="AS566">
        <v>558</v>
      </c>
      <c r="AT566">
        <v>1</v>
      </c>
      <c r="AU566">
        <v>6.1672821651998166</v>
      </c>
      <c r="AV566">
        <v>5.6098911944659907E-2</v>
      </c>
    </row>
    <row r="567" spans="44:48" x14ac:dyDescent="0.2">
      <c r="AR567">
        <v>559</v>
      </c>
      <c r="AS567">
        <v>559</v>
      </c>
      <c r="AT567">
        <v>1</v>
      </c>
      <c r="AU567">
        <v>6.1982226965171652</v>
      </c>
      <c r="AV567">
        <v>5.5695308551001646E-2</v>
      </c>
    </row>
    <row r="568" spans="44:48" x14ac:dyDescent="0.2">
      <c r="AR568">
        <v>560</v>
      </c>
      <c r="AS568">
        <v>560</v>
      </c>
      <c r="AT568">
        <v>1</v>
      </c>
      <c r="AU568">
        <v>6.2291632278345102</v>
      </c>
      <c r="AV568">
        <v>5.5291755206139125E-2</v>
      </c>
    </row>
    <row r="569" spans="44:48" x14ac:dyDescent="0.2">
      <c r="AR569">
        <v>561</v>
      </c>
      <c r="AS569">
        <v>561</v>
      </c>
      <c r="AT569">
        <v>1</v>
      </c>
      <c r="AU569">
        <v>6.2601037591518587</v>
      </c>
      <c r="AV569">
        <v>5.4888293050126567E-2</v>
      </c>
    </row>
    <row r="570" spans="44:48" x14ac:dyDescent="0.2">
      <c r="AR570">
        <v>562</v>
      </c>
      <c r="AS570">
        <v>562</v>
      </c>
      <c r="AT570">
        <v>1</v>
      </c>
      <c r="AU570">
        <v>6.2910442904692037</v>
      </c>
      <c r="AV570">
        <v>5.4484962909811502E-2</v>
      </c>
    </row>
    <row r="571" spans="44:48" x14ac:dyDescent="0.2">
      <c r="AR571">
        <v>563</v>
      </c>
      <c r="AS571">
        <v>563</v>
      </c>
      <c r="AT571">
        <v>1</v>
      </c>
      <c r="AU571">
        <v>6.3219848217865486</v>
      </c>
      <c r="AV571">
        <v>5.4081805292722829E-2</v>
      </c>
    </row>
    <row r="572" spans="44:48" x14ac:dyDescent="0.2">
      <c r="AR572">
        <v>564</v>
      </c>
      <c r="AS572">
        <v>564</v>
      </c>
      <c r="AT572">
        <v>1</v>
      </c>
      <c r="AU572">
        <v>6.3529253531038972</v>
      </c>
      <c r="AV572">
        <v>5.3678860381085887E-2</v>
      </c>
    </row>
    <row r="573" spans="44:48" x14ac:dyDescent="0.2">
      <c r="AR573">
        <v>565</v>
      </c>
      <c r="AS573">
        <v>565</v>
      </c>
      <c r="AT573">
        <v>1</v>
      </c>
      <c r="AU573">
        <v>6.3838658844212421</v>
      </c>
      <c r="AV573">
        <v>5.3276168025965596E-2</v>
      </c>
    </row>
    <row r="574" spans="44:48" x14ac:dyDescent="0.2">
      <c r="AR574">
        <v>566</v>
      </c>
      <c r="AS574">
        <v>566</v>
      </c>
      <c r="AT574">
        <v>1</v>
      </c>
      <c r="AU574">
        <v>6.4148064157385871</v>
      </c>
      <c r="AV574">
        <v>5.2873767741537618E-2</v>
      </c>
    </row>
    <row r="575" spans="44:48" x14ac:dyDescent="0.2">
      <c r="AR575">
        <v>567</v>
      </c>
      <c r="AS575">
        <v>567</v>
      </c>
      <c r="AT575">
        <v>1</v>
      </c>
      <c r="AU575">
        <v>6.4457469470559356</v>
      </c>
      <c r="AV575">
        <v>5.2471698699489373E-2</v>
      </c>
    </row>
    <row r="576" spans="44:48" x14ac:dyDescent="0.2">
      <c r="AR576">
        <v>568</v>
      </c>
      <c r="AS576">
        <v>568</v>
      </c>
      <c r="AT576">
        <v>1</v>
      </c>
      <c r="AU576">
        <v>6.4766874783732806</v>
      </c>
      <c r="AV576">
        <v>5.2069999723551391E-2</v>
      </c>
    </row>
    <row r="577" spans="44:48" x14ac:dyDescent="0.2">
      <c r="AR577">
        <v>569</v>
      </c>
      <c r="AS577">
        <v>569</v>
      </c>
      <c r="AT577">
        <v>1</v>
      </c>
      <c r="AU577">
        <v>6.5076280096906256</v>
      </c>
      <c r="AV577">
        <v>5.166870928415896E-2</v>
      </c>
    </row>
    <row r="578" spans="44:48" x14ac:dyDescent="0.2">
      <c r="AR578">
        <v>570</v>
      </c>
      <c r="AS578">
        <v>570</v>
      </c>
      <c r="AT578">
        <v>1</v>
      </c>
      <c r="AU578">
        <v>6.5385685410079741</v>
      </c>
      <c r="AV578">
        <v>5.1267865493245822E-2</v>
      </c>
    </row>
    <row r="579" spans="44:48" x14ac:dyDescent="0.2">
      <c r="AR579">
        <v>571</v>
      </c>
      <c r="AS579">
        <v>571</v>
      </c>
      <c r="AT579">
        <v>1</v>
      </c>
      <c r="AU579">
        <v>6.5695090723253191</v>
      </c>
      <c r="AV579">
        <v>5.0867506099169991E-2</v>
      </c>
    </row>
    <row r="580" spans="44:48" x14ac:dyDescent="0.2">
      <c r="AR580">
        <v>572</v>
      </c>
      <c r="AS580">
        <v>572</v>
      </c>
      <c r="AT580">
        <v>1</v>
      </c>
      <c r="AU580">
        <v>6.6004496036426676</v>
      </c>
      <c r="AV580">
        <v>5.0467668481771838E-2</v>
      </c>
    </row>
    <row r="581" spans="44:48" x14ac:dyDescent="0.2">
      <c r="AR581">
        <v>573</v>
      </c>
      <c r="AS581">
        <v>573</v>
      </c>
      <c r="AT581">
        <v>1</v>
      </c>
      <c r="AU581">
        <v>6.6313901349600126</v>
      </c>
      <c r="AV581">
        <v>5.0068389647565985E-2</v>
      </c>
    </row>
    <row r="582" spans="44:48" x14ac:dyDescent="0.2">
      <c r="AR582">
        <v>574</v>
      </c>
      <c r="AS582">
        <v>574</v>
      </c>
      <c r="AT582">
        <v>1</v>
      </c>
      <c r="AU582">
        <v>6.6623306662773576</v>
      </c>
      <c r="AV582">
        <v>4.9669706225066161E-2</v>
      </c>
    </row>
    <row r="583" spans="44:48" x14ac:dyDescent="0.2">
      <c r="AR583">
        <v>575</v>
      </c>
      <c r="AS583">
        <v>575</v>
      </c>
      <c r="AT583">
        <v>1</v>
      </c>
      <c r="AU583">
        <v>6.6932711975947061</v>
      </c>
      <c r="AV583">
        <v>4.9271654460244591E-2</v>
      </c>
    </row>
    <row r="584" spans="44:48" x14ac:dyDescent="0.2">
      <c r="AR584">
        <v>576</v>
      </c>
      <c r="AS584">
        <v>576</v>
      </c>
      <c r="AT584">
        <v>1</v>
      </c>
      <c r="AU584">
        <v>6.7242117289120511</v>
      </c>
      <c r="AV584">
        <v>4.8874270212125592E-2</v>
      </c>
    </row>
    <row r="585" spans="44:48" x14ac:dyDescent="0.2">
      <c r="AR585">
        <v>577</v>
      </c>
      <c r="AS585">
        <v>577</v>
      </c>
      <c r="AT585">
        <v>1</v>
      </c>
      <c r="AU585">
        <v>6.7551522602293961</v>
      </c>
      <c r="AV585">
        <v>4.8477588948513624E-2</v>
      </c>
    </row>
    <row r="586" spans="44:48" x14ac:dyDescent="0.2">
      <c r="AR586">
        <v>578</v>
      </c>
      <c r="AS586">
        <v>578</v>
      </c>
      <c r="AT586">
        <v>1</v>
      </c>
      <c r="AU586">
        <v>6.7860927915467446</v>
      </c>
      <c r="AV586">
        <v>4.8081645741856464E-2</v>
      </c>
    </row>
    <row r="587" spans="44:48" x14ac:dyDescent="0.2">
      <c r="AR587">
        <v>579</v>
      </c>
      <c r="AS587">
        <v>579</v>
      </c>
      <c r="AT587">
        <v>1</v>
      </c>
      <c r="AU587">
        <v>6.8170333228640896</v>
      </c>
      <c r="AV587">
        <v>4.7686475265243486E-2</v>
      </c>
    </row>
    <row r="588" spans="44:48" x14ac:dyDescent="0.2">
      <c r="AR588">
        <v>580</v>
      </c>
      <c r="AS588">
        <v>580</v>
      </c>
      <c r="AT588">
        <v>1</v>
      </c>
      <c r="AU588">
        <v>6.8479738541814346</v>
      </c>
      <c r="AV588">
        <v>4.7292111788538788E-2</v>
      </c>
    </row>
    <row r="589" spans="44:48" x14ac:dyDescent="0.2">
      <c r="AR589">
        <v>581</v>
      </c>
      <c r="AS589">
        <v>581</v>
      </c>
      <c r="AT589">
        <v>1</v>
      </c>
      <c r="AU589">
        <v>6.8789143854987831</v>
      </c>
      <c r="AV589">
        <v>4.6898589174650007E-2</v>
      </c>
    </row>
    <row r="590" spans="44:48" x14ac:dyDescent="0.2">
      <c r="AR590">
        <v>582</v>
      </c>
      <c r="AS590">
        <v>582</v>
      </c>
      <c r="AT590">
        <v>1</v>
      </c>
      <c r="AU590">
        <v>6.9098549168161281</v>
      </c>
      <c r="AV590">
        <v>4.6505940875932496E-2</v>
      </c>
    </row>
    <row r="591" spans="44:48" x14ac:dyDescent="0.2">
      <c r="AR591">
        <v>583</v>
      </c>
      <c r="AS591">
        <v>583</v>
      </c>
      <c r="AT591">
        <v>1</v>
      </c>
      <c r="AU591">
        <v>6.9407954481334766</v>
      </c>
      <c r="AV591">
        <v>4.6114199930728274E-2</v>
      </c>
    </row>
    <row r="592" spans="44:48" x14ac:dyDescent="0.2">
      <c r="AR592">
        <v>584</v>
      </c>
      <c r="AS592">
        <v>584</v>
      </c>
      <c r="AT592">
        <v>1</v>
      </c>
      <c r="AU592">
        <v>6.9717359794508216</v>
      </c>
      <c r="AV592">
        <v>4.5723398960041066E-2</v>
      </c>
    </row>
    <row r="593" spans="44:48" x14ac:dyDescent="0.2">
      <c r="AR593">
        <v>585</v>
      </c>
      <c r="AS593">
        <v>585</v>
      </c>
      <c r="AT593">
        <v>1</v>
      </c>
      <c r="AU593">
        <v>7.0026765107681666</v>
      </c>
      <c r="AV593">
        <v>4.5333570164345735E-2</v>
      </c>
    </row>
    <row r="594" spans="44:48" x14ac:dyDescent="0.2">
      <c r="AR594">
        <v>586</v>
      </c>
      <c r="AS594">
        <v>586</v>
      </c>
      <c r="AT594">
        <v>1</v>
      </c>
      <c r="AU594">
        <v>7.0336170420855151</v>
      </c>
      <c r="AV594">
        <v>4.4944745320533198E-2</v>
      </c>
    </row>
    <row r="595" spans="44:48" x14ac:dyDescent="0.2">
      <c r="AR595">
        <v>587</v>
      </c>
      <c r="AS595">
        <v>587</v>
      </c>
      <c r="AT595">
        <v>1</v>
      </c>
      <c r="AU595">
        <v>7.0645575734028601</v>
      </c>
      <c r="AV595">
        <v>4.4556955778990166E-2</v>
      </c>
    </row>
    <row r="596" spans="44:48" x14ac:dyDescent="0.2">
      <c r="AR596">
        <v>588</v>
      </c>
      <c r="AS596">
        <v>588</v>
      </c>
      <c r="AT596">
        <v>1</v>
      </c>
      <c r="AU596">
        <v>7.095498104720205</v>
      </c>
      <c r="AV596">
        <v>4.4170232460812954E-2</v>
      </c>
    </row>
    <row r="597" spans="44:48" x14ac:dyDescent="0.2">
      <c r="AR597">
        <v>589</v>
      </c>
      <c r="AS597">
        <v>589</v>
      </c>
      <c r="AT597">
        <v>1</v>
      </c>
      <c r="AU597">
        <v>7.1264386360375536</v>
      </c>
      <c r="AV597">
        <v>4.3784605855156068E-2</v>
      </c>
    </row>
    <row r="598" spans="44:48" x14ac:dyDescent="0.2">
      <c r="AR598">
        <v>590</v>
      </c>
      <c r="AS598">
        <v>590</v>
      </c>
      <c r="AT598">
        <v>1</v>
      </c>
      <c r="AU598">
        <v>7.1573791673548985</v>
      </c>
      <c r="AV598">
        <v>4.3400106016714686E-2</v>
      </c>
    </row>
    <row r="599" spans="44:48" x14ac:dyDescent="0.2">
      <c r="AR599">
        <v>591</v>
      </c>
      <c r="AS599">
        <v>591</v>
      </c>
      <c r="AT599">
        <v>1</v>
      </c>
      <c r="AU599">
        <v>7.1883196986722435</v>
      </c>
      <c r="AV599">
        <v>4.3016762563340152E-2</v>
      </c>
    </row>
    <row r="600" spans="44:48" x14ac:dyDescent="0.2">
      <c r="AR600">
        <v>592</v>
      </c>
      <c r="AS600">
        <v>592</v>
      </c>
      <c r="AT600">
        <v>1</v>
      </c>
      <c r="AU600">
        <v>7.219260229989592</v>
      </c>
      <c r="AV600">
        <v>4.263460467378917E-2</v>
      </c>
    </row>
    <row r="601" spans="44:48" x14ac:dyDescent="0.2">
      <c r="AR601">
        <v>593</v>
      </c>
      <c r="AS601">
        <v>593</v>
      </c>
      <c r="AT601">
        <v>1</v>
      </c>
      <c r="AU601">
        <v>7.250200761306937</v>
      </c>
      <c r="AV601">
        <v>4.225366108560541E-2</v>
      </c>
    </row>
    <row r="602" spans="44:48" x14ac:dyDescent="0.2">
      <c r="AR602">
        <v>594</v>
      </c>
      <c r="AS602">
        <v>594</v>
      </c>
      <c r="AT602">
        <v>1</v>
      </c>
      <c r="AU602">
        <v>7.2811412926242856</v>
      </c>
      <c r="AV602">
        <v>4.1873960093133017E-2</v>
      </c>
    </row>
    <row r="603" spans="44:48" x14ac:dyDescent="0.2">
      <c r="AR603">
        <v>595</v>
      </c>
      <c r="AS603">
        <v>595</v>
      </c>
      <c r="AT603">
        <v>1</v>
      </c>
      <c r="AU603">
        <v>7.3120818239416305</v>
      </c>
      <c r="AV603">
        <v>4.1495529545662109E-2</v>
      </c>
    </row>
    <row r="604" spans="44:48" x14ac:dyDescent="0.2">
      <c r="AR604">
        <v>596</v>
      </c>
      <c r="AS604">
        <v>596</v>
      </c>
      <c r="AT604">
        <v>1</v>
      </c>
      <c r="AU604">
        <v>7.3430223552589755</v>
      </c>
      <c r="AV604">
        <v>4.1118396845704695E-2</v>
      </c>
    </row>
    <row r="605" spans="44:48" x14ac:dyDescent="0.2">
      <c r="AR605">
        <v>597</v>
      </c>
      <c r="AS605">
        <v>597</v>
      </c>
      <c r="AT605">
        <v>1</v>
      </c>
      <c r="AU605">
        <v>7.373962886576324</v>
      </c>
      <c r="AV605">
        <v>4.0742588947401286E-2</v>
      </c>
    </row>
    <row r="606" spans="44:48" x14ac:dyDescent="0.2">
      <c r="AR606">
        <v>598</v>
      </c>
      <c r="AS606">
        <v>598</v>
      </c>
      <c r="AT606">
        <v>1</v>
      </c>
      <c r="AU606">
        <v>7.404903417893669</v>
      </c>
      <c r="AV606">
        <v>4.0368132355057158E-2</v>
      </c>
    </row>
    <row r="607" spans="44:48" x14ac:dyDescent="0.2">
      <c r="AR607">
        <v>599</v>
      </c>
      <c r="AS607">
        <v>599</v>
      </c>
      <c r="AT607">
        <v>1</v>
      </c>
      <c r="AU607">
        <v>7.435843949211014</v>
      </c>
      <c r="AV607">
        <v>3.9995053121807025E-2</v>
      </c>
    </row>
    <row r="608" spans="44:48" x14ac:dyDescent="0.2">
      <c r="AR608">
        <v>600</v>
      </c>
      <c r="AS608">
        <v>600</v>
      </c>
      <c r="AT608">
        <v>1</v>
      </c>
      <c r="AU608">
        <v>7.4667844805283625</v>
      </c>
      <c r="AV608">
        <v>3.9623376848408338E-2</v>
      </c>
    </row>
    <row r="609" spans="44:48" x14ac:dyDescent="0.2">
      <c r="AR609">
        <v>601</v>
      </c>
      <c r="AS609">
        <v>601</v>
      </c>
      <c r="AT609">
        <v>1</v>
      </c>
      <c r="AU609">
        <v>7.4977250118457075</v>
      </c>
      <c r="AV609">
        <v>3.9253128682161721E-2</v>
      </c>
    </row>
    <row r="610" spans="44:48" x14ac:dyDescent="0.2">
      <c r="AR610">
        <v>602</v>
      </c>
      <c r="AS610">
        <v>602</v>
      </c>
      <c r="AT610">
        <v>1</v>
      </c>
      <c r="AU610">
        <v>7.528665543163056</v>
      </c>
      <c r="AV610">
        <v>3.8884333315957705E-2</v>
      </c>
    </row>
    <row r="611" spans="44:48" x14ac:dyDescent="0.2">
      <c r="AR611">
        <v>603</v>
      </c>
      <c r="AS611">
        <v>603</v>
      </c>
      <c r="AT611">
        <v>1</v>
      </c>
      <c r="AU611">
        <v>7.559606074480401</v>
      </c>
      <c r="AV611">
        <v>3.8517014987449472E-2</v>
      </c>
    </row>
    <row r="612" spans="44:48" x14ac:dyDescent="0.2">
      <c r="AR612">
        <v>604</v>
      </c>
      <c r="AS612">
        <v>604</v>
      </c>
      <c r="AT612">
        <v>1</v>
      </c>
      <c r="AU612">
        <v>7.590546605797746</v>
      </c>
      <c r="AV612">
        <v>3.8151197478349698E-2</v>
      </c>
    </row>
    <row r="613" spans="44:48" x14ac:dyDescent="0.2">
      <c r="AR613">
        <v>605</v>
      </c>
      <c r="AS613">
        <v>605</v>
      </c>
      <c r="AT613">
        <v>1</v>
      </c>
      <c r="AU613">
        <v>7.6214871371150945</v>
      </c>
      <c r="AV613">
        <v>3.778690411385157E-2</v>
      </c>
    </row>
    <row r="614" spans="44:48" x14ac:dyDescent="0.2">
      <c r="AR614">
        <v>606</v>
      </c>
      <c r="AS614">
        <v>606</v>
      </c>
      <c r="AT614">
        <v>1</v>
      </c>
      <c r="AU614">
        <v>7.6524276684324395</v>
      </c>
      <c r="AV614">
        <v>3.7424157762172533E-2</v>
      </c>
    </row>
    <row r="615" spans="44:48" x14ac:dyDescent="0.2">
      <c r="AR615">
        <v>607</v>
      </c>
      <c r="AS615">
        <v>607</v>
      </c>
      <c r="AT615">
        <v>1</v>
      </c>
      <c r="AU615">
        <v>7.6833681997497845</v>
      </c>
      <c r="AV615">
        <v>3.7062980834219258E-2</v>
      </c>
    </row>
    <row r="616" spans="44:48" x14ac:dyDescent="0.2">
      <c r="AR616">
        <v>608</v>
      </c>
      <c r="AS616">
        <v>608</v>
      </c>
      <c r="AT616">
        <v>1</v>
      </c>
      <c r="AU616">
        <v>7.714308731067133</v>
      </c>
      <c r="AV616">
        <v>3.6703395283373762E-2</v>
      </c>
    </row>
    <row r="617" spans="44:48" x14ac:dyDescent="0.2">
      <c r="AR617">
        <v>609</v>
      </c>
      <c r="AS617">
        <v>609</v>
      </c>
      <c r="AT617">
        <v>1</v>
      </c>
      <c r="AU617">
        <v>7.745249262384478</v>
      </c>
      <c r="AV617">
        <v>3.6345422605398997E-2</v>
      </c>
    </row>
    <row r="618" spans="44:48" x14ac:dyDescent="0.2">
      <c r="AR618">
        <v>610</v>
      </c>
      <c r="AS618">
        <v>610</v>
      </c>
      <c r="AT618">
        <v>1</v>
      </c>
      <c r="AU618">
        <v>7.7761897937018229</v>
      </c>
      <c r="AV618">
        <v>3.5989083838462527E-2</v>
      </c>
    </row>
    <row r="619" spans="44:48" x14ac:dyDescent="0.2">
      <c r="AR619">
        <v>611</v>
      </c>
      <c r="AS619">
        <v>611</v>
      </c>
      <c r="AT619">
        <v>1</v>
      </c>
      <c r="AU619">
        <v>7.8071303250191715</v>
      </c>
      <c r="AV619">
        <v>3.5634399563277776E-2</v>
      </c>
    </row>
    <row r="620" spans="44:48" x14ac:dyDescent="0.2">
      <c r="AR620">
        <v>612</v>
      </c>
      <c r="AS620">
        <v>612</v>
      </c>
      <c r="AT620">
        <v>1</v>
      </c>
      <c r="AU620">
        <v>7.8380708563365165</v>
      </c>
      <c r="AV620">
        <v>3.5281389903361507E-2</v>
      </c>
    </row>
    <row r="621" spans="44:48" x14ac:dyDescent="0.2">
      <c r="AR621">
        <v>613</v>
      </c>
      <c r="AS621">
        <v>613</v>
      </c>
      <c r="AT621">
        <v>1</v>
      </c>
      <c r="AU621">
        <v>7.869011387653865</v>
      </c>
      <c r="AV621">
        <v>3.4930074525405572E-2</v>
      </c>
    </row>
    <row r="622" spans="44:48" x14ac:dyDescent="0.2">
      <c r="AR622">
        <v>614</v>
      </c>
      <c r="AS622">
        <v>614</v>
      </c>
      <c r="AT622">
        <v>1</v>
      </c>
      <c r="AU622">
        <v>7.89995191897121</v>
      </c>
      <c r="AV622">
        <v>3.458047263976298E-2</v>
      </c>
    </row>
    <row r="623" spans="44:48" x14ac:dyDescent="0.2">
      <c r="AR623">
        <v>615</v>
      </c>
      <c r="AS623">
        <v>615</v>
      </c>
      <c r="AT623">
        <v>1</v>
      </c>
      <c r="AU623">
        <v>7.9308924502885549</v>
      </c>
      <c r="AV623">
        <v>3.4232603001045782E-2</v>
      </c>
    </row>
    <row r="624" spans="44:48" x14ac:dyDescent="0.2">
      <c r="AR624">
        <v>616</v>
      </c>
      <c r="AS624">
        <v>616</v>
      </c>
      <c r="AT624">
        <v>1</v>
      </c>
      <c r="AU624">
        <v>7.9618329816059035</v>
      </c>
      <c r="AV624">
        <v>3.3886483908834246E-2</v>
      </c>
    </row>
    <row r="625" spans="44:48" x14ac:dyDescent="0.2">
      <c r="AR625">
        <v>617</v>
      </c>
      <c r="AS625">
        <v>617</v>
      </c>
      <c r="AT625">
        <v>1</v>
      </c>
      <c r="AU625">
        <v>7.9927735129232484</v>
      </c>
      <c r="AV625">
        <v>3.3542133208495799E-2</v>
      </c>
    </row>
    <row r="626" spans="44:48" x14ac:dyDescent="0.2">
      <c r="AR626">
        <v>618</v>
      </c>
      <c r="AS626">
        <v>618</v>
      </c>
      <c r="AT626">
        <v>1</v>
      </c>
      <c r="AU626">
        <v>8.0237140442405934</v>
      </c>
      <c r="AV626">
        <v>3.3199568292112021E-2</v>
      </c>
    </row>
    <row r="627" spans="44:48" x14ac:dyDescent="0.2">
      <c r="AR627">
        <v>619</v>
      </c>
      <c r="AS627">
        <v>619</v>
      </c>
      <c r="AT627">
        <v>1</v>
      </c>
      <c r="AU627">
        <v>8.054654575557942</v>
      </c>
      <c r="AV627">
        <v>3.2858806099512923E-2</v>
      </c>
    </row>
    <row r="628" spans="44:48" x14ac:dyDescent="0.2">
      <c r="AR628">
        <v>620</v>
      </c>
      <c r="AS628">
        <v>620</v>
      </c>
      <c r="AT628">
        <v>1</v>
      </c>
      <c r="AU628">
        <v>8.0855951068752869</v>
      </c>
      <c r="AV628">
        <v>3.251986311941675E-2</v>
      </c>
    </row>
    <row r="629" spans="44:48" x14ac:dyDescent="0.2">
      <c r="AR629">
        <v>621</v>
      </c>
      <c r="AS629">
        <v>621</v>
      </c>
      <c r="AT629">
        <v>1</v>
      </c>
      <c r="AU629">
        <v>8.1165356381926319</v>
      </c>
      <c r="AV629">
        <v>3.2182755390673654E-2</v>
      </c>
    </row>
    <row r="630" spans="44:48" x14ac:dyDescent="0.2">
      <c r="AR630">
        <v>622</v>
      </c>
      <c r="AS630">
        <v>622</v>
      </c>
      <c r="AT630">
        <v>1</v>
      </c>
      <c r="AU630">
        <v>8.1474761695099804</v>
      </c>
      <c r="AV630">
        <v>3.1847498503612293E-2</v>
      </c>
    </row>
    <row r="631" spans="44:48" x14ac:dyDescent="0.2">
      <c r="AR631">
        <v>623</v>
      </c>
      <c r="AS631">
        <v>623</v>
      </c>
      <c r="AT631">
        <v>1</v>
      </c>
      <c r="AU631">
        <v>8.1784167008273254</v>
      </c>
      <c r="AV631">
        <v>3.1514107601487838E-2</v>
      </c>
    </row>
    <row r="632" spans="44:48" x14ac:dyDescent="0.2">
      <c r="AR632">
        <v>624</v>
      </c>
      <c r="AS632">
        <v>624</v>
      </c>
      <c r="AT632">
        <v>1</v>
      </c>
      <c r="AU632">
        <v>8.2093572321446739</v>
      </c>
      <c r="AV632">
        <v>3.118259738202905E-2</v>
      </c>
    </row>
    <row r="633" spans="44:48" x14ac:dyDescent="0.2">
      <c r="AR633">
        <v>625</v>
      </c>
      <c r="AS633">
        <v>625</v>
      </c>
      <c r="AT633">
        <v>1</v>
      </c>
      <c r="AU633">
        <v>8.2402977634620189</v>
      </c>
      <c r="AV633">
        <v>3.0852982099084332E-2</v>
      </c>
    </row>
    <row r="634" spans="44:48" x14ac:dyDescent="0.2">
      <c r="AR634">
        <v>626</v>
      </c>
      <c r="AS634">
        <v>626</v>
      </c>
      <c r="AT634">
        <v>1</v>
      </c>
      <c r="AU634">
        <v>8.2712382947793639</v>
      </c>
      <c r="AV634">
        <v>3.0525275564363779E-2</v>
      </c>
    </row>
    <row r="635" spans="44:48" x14ac:dyDescent="0.2">
      <c r="AR635">
        <v>627</v>
      </c>
      <c r="AS635">
        <v>627</v>
      </c>
      <c r="AT635">
        <v>1</v>
      </c>
      <c r="AU635">
        <v>8.3021788260967124</v>
      </c>
      <c r="AV635">
        <v>3.0199491149276812E-2</v>
      </c>
    </row>
    <row r="636" spans="44:48" x14ac:dyDescent="0.2">
      <c r="AR636">
        <v>628</v>
      </c>
      <c r="AS636">
        <v>628</v>
      </c>
      <c r="AT636">
        <v>1</v>
      </c>
      <c r="AU636">
        <v>8.3331193574140574</v>
      </c>
      <c r="AV636">
        <v>2.9875641786863225E-2</v>
      </c>
    </row>
    <row r="637" spans="44:48" x14ac:dyDescent="0.2">
      <c r="AR637">
        <v>629</v>
      </c>
      <c r="AS637">
        <v>629</v>
      </c>
      <c r="AT637">
        <v>1</v>
      </c>
      <c r="AU637">
        <v>8.3640598887314024</v>
      </c>
      <c r="AV637">
        <v>2.955373997381594E-2</v>
      </c>
    </row>
    <row r="638" spans="44:48" x14ac:dyDescent="0.2">
      <c r="AR638">
        <v>630</v>
      </c>
      <c r="AS638">
        <v>630</v>
      </c>
      <c r="AT638">
        <v>1</v>
      </c>
      <c r="AU638">
        <v>8.3950004200487509</v>
      </c>
      <c r="AV638">
        <v>2.9233797772594439E-2</v>
      </c>
    </row>
    <row r="639" spans="44:48" x14ac:dyDescent="0.2">
      <c r="AR639">
        <v>631</v>
      </c>
      <c r="AS639">
        <v>631</v>
      </c>
      <c r="AT639">
        <v>1</v>
      </c>
      <c r="AU639">
        <v>8.4259409513660959</v>
      </c>
      <c r="AV639">
        <v>2.8915826813626876E-2</v>
      </c>
    </row>
    <row r="640" spans="44:48" x14ac:dyDescent="0.2">
      <c r="AR640">
        <v>632</v>
      </c>
      <c r="AS640">
        <v>632</v>
      </c>
      <c r="AT640">
        <v>1</v>
      </c>
      <c r="AU640">
        <v>8.4568814826834409</v>
      </c>
      <c r="AV640">
        <v>2.8599838297599007E-2</v>
      </c>
    </row>
    <row r="641" spans="44:48" x14ac:dyDescent="0.2">
      <c r="AR641">
        <v>633</v>
      </c>
      <c r="AS641">
        <v>633</v>
      </c>
      <c r="AT641">
        <v>1</v>
      </c>
      <c r="AU641">
        <v>8.4878220140007894</v>
      </c>
      <c r="AV641">
        <v>2.8285842997828877E-2</v>
      </c>
    </row>
    <row r="642" spans="44:48" x14ac:dyDescent="0.2">
      <c r="AR642">
        <v>634</v>
      </c>
      <c r="AS642">
        <v>634</v>
      </c>
      <c r="AT642">
        <v>1</v>
      </c>
      <c r="AU642">
        <v>8.5187625453181344</v>
      </c>
      <c r="AV642">
        <v>2.7973851262725263E-2</v>
      </c>
    </row>
    <row r="643" spans="44:48" x14ac:dyDescent="0.2">
      <c r="AR643">
        <v>635</v>
      </c>
      <c r="AS643">
        <v>635</v>
      </c>
      <c r="AT643">
        <v>1</v>
      </c>
      <c r="AU643">
        <v>8.5497030766354829</v>
      </c>
      <c r="AV643">
        <v>2.7663873018327935E-2</v>
      </c>
    </row>
    <row r="644" spans="44:48" x14ac:dyDescent="0.2">
      <c r="AR644">
        <v>636</v>
      </c>
      <c r="AS644">
        <v>636</v>
      </c>
      <c r="AT644">
        <v>1</v>
      </c>
      <c r="AU644">
        <v>8.5806436079528279</v>
      </c>
      <c r="AV644">
        <v>2.7355917770928832E-2</v>
      </c>
    </row>
    <row r="645" spans="44:48" x14ac:dyDescent="0.2">
      <c r="AR645">
        <v>637</v>
      </c>
      <c r="AS645">
        <v>637</v>
      </c>
      <c r="AT645">
        <v>1</v>
      </c>
      <c r="AU645">
        <v>8.6115841392701729</v>
      </c>
      <c r="AV645">
        <v>2.704999460977146E-2</v>
      </c>
    </row>
    <row r="646" spans="44:48" x14ac:dyDescent="0.2">
      <c r="AR646">
        <v>638</v>
      </c>
      <c r="AS646">
        <v>638</v>
      </c>
      <c r="AT646">
        <v>1</v>
      </c>
      <c r="AU646">
        <v>8.6425246705875214</v>
      </c>
      <c r="AV646">
        <v>2.674611220982764E-2</v>
      </c>
    </row>
    <row r="647" spans="44:48" x14ac:dyDescent="0.2">
      <c r="AR647">
        <v>639</v>
      </c>
      <c r="AS647">
        <v>639</v>
      </c>
      <c r="AT647">
        <v>1</v>
      </c>
      <c r="AU647">
        <v>8.6734652019048664</v>
      </c>
      <c r="AV647">
        <v>2.6444278834649664E-2</v>
      </c>
    </row>
    <row r="648" spans="44:48" x14ac:dyDescent="0.2">
      <c r="AR648">
        <v>640</v>
      </c>
      <c r="AS648">
        <v>640</v>
      </c>
      <c r="AT648">
        <v>1</v>
      </c>
      <c r="AU648">
        <v>8.7044057332222113</v>
      </c>
      <c r="AV648">
        <v>2.6144502339295623E-2</v>
      </c>
    </row>
    <row r="649" spans="44:48" x14ac:dyDescent="0.2">
      <c r="AR649">
        <v>641</v>
      </c>
      <c r="AS649">
        <v>641</v>
      </c>
      <c r="AT649">
        <v>1</v>
      </c>
      <c r="AU649">
        <v>8.7353462645395599</v>
      </c>
      <c r="AV649">
        <v>2.5846790173327038E-2</v>
      </c>
    </row>
    <row r="650" spans="44:48" x14ac:dyDescent="0.2">
      <c r="AR650">
        <v>642</v>
      </c>
      <c r="AS650">
        <v>642</v>
      </c>
      <c r="AT650">
        <v>1</v>
      </c>
      <c r="AU650">
        <v>8.7662867958569048</v>
      </c>
      <c r="AV650">
        <v>2.5551149383876513E-2</v>
      </c>
    </row>
    <row r="651" spans="44:48" x14ac:dyDescent="0.2">
      <c r="AR651">
        <v>643</v>
      </c>
      <c r="AS651">
        <v>643</v>
      </c>
      <c r="AT651">
        <v>1</v>
      </c>
      <c r="AU651">
        <v>8.7972273271742498</v>
      </c>
      <c r="AV651">
        <v>2.5257586618783533E-2</v>
      </c>
    </row>
    <row r="652" spans="44:48" x14ac:dyDescent="0.2">
      <c r="AR652">
        <v>644</v>
      </c>
      <c r="AS652">
        <v>644</v>
      </c>
      <c r="AT652">
        <v>1</v>
      </c>
      <c r="AU652">
        <v>8.8281678584915984</v>
      </c>
      <c r="AV652">
        <v>2.4966108129797267E-2</v>
      </c>
    </row>
    <row r="653" spans="44:48" x14ac:dyDescent="0.2">
      <c r="AR653">
        <v>645</v>
      </c>
      <c r="AS653">
        <v>645</v>
      </c>
      <c r="AT653">
        <v>1</v>
      </c>
      <c r="AU653">
        <v>8.8591083898089433</v>
      </c>
      <c r="AV653">
        <v>2.4676719775844194E-2</v>
      </c>
    </row>
    <row r="654" spans="44:48" x14ac:dyDescent="0.2">
      <c r="AR654">
        <v>646</v>
      </c>
      <c r="AS654">
        <v>646</v>
      </c>
      <c r="AT654">
        <v>1</v>
      </c>
      <c r="AU654">
        <v>8.8900489211262919</v>
      </c>
      <c r="AV654">
        <v>2.4389427026358594E-2</v>
      </c>
    </row>
    <row r="655" spans="44:48" x14ac:dyDescent="0.2">
      <c r="AR655">
        <v>647</v>
      </c>
      <c r="AS655">
        <v>647</v>
      </c>
      <c r="AT655">
        <v>1</v>
      </c>
      <c r="AU655">
        <v>8.9209894524436368</v>
      </c>
      <c r="AV655">
        <v>2.4104234964674912E-2</v>
      </c>
    </row>
    <row r="656" spans="44:48" x14ac:dyDescent="0.2">
      <c r="AR656">
        <v>648</v>
      </c>
      <c r="AS656">
        <v>648</v>
      </c>
      <c r="AT656">
        <v>1</v>
      </c>
      <c r="AU656">
        <v>8.9519299837609818</v>
      </c>
      <c r="AV656">
        <v>2.382114829147931E-2</v>
      </c>
    </row>
    <row r="657" spans="44:48" x14ac:dyDescent="0.2">
      <c r="AR657">
        <v>649</v>
      </c>
      <c r="AS657">
        <v>649</v>
      </c>
      <c r="AT657">
        <v>1</v>
      </c>
      <c r="AU657">
        <v>8.9828705150783303</v>
      </c>
      <c r="AV657">
        <v>2.3540171328319391E-2</v>
      </c>
    </row>
    <row r="658" spans="44:48" x14ac:dyDescent="0.2">
      <c r="AR658">
        <v>650</v>
      </c>
      <c r="AS658">
        <v>650</v>
      </c>
      <c r="AT658">
        <v>1</v>
      </c>
      <c r="AU658">
        <v>9.0138110463956753</v>
      </c>
      <c r="AV658">
        <v>2.3261308021170109E-2</v>
      </c>
    </row>
    <row r="659" spans="44:48" x14ac:dyDescent="0.2">
      <c r="AR659">
        <v>651</v>
      </c>
      <c r="AS659">
        <v>651</v>
      </c>
      <c r="AT659">
        <v>1</v>
      </c>
      <c r="AU659">
        <v>9.0447515777130203</v>
      </c>
      <c r="AV659">
        <v>2.2984561944053659E-2</v>
      </c>
    </row>
    <row r="660" spans="44:48" x14ac:dyDescent="0.2">
      <c r="AR660">
        <v>652</v>
      </c>
      <c r="AS660">
        <v>652</v>
      </c>
      <c r="AT660">
        <v>1</v>
      </c>
      <c r="AU660">
        <v>9.0756921090303688</v>
      </c>
      <c r="AV660">
        <v>2.2709936302712379E-2</v>
      </c>
    </row>
    <row r="661" spans="44:48" x14ac:dyDescent="0.2">
      <c r="AR661">
        <v>653</v>
      </c>
      <c r="AS661">
        <v>653</v>
      </c>
      <c r="AT661">
        <v>1</v>
      </c>
      <c r="AU661">
        <v>9.1066326403477138</v>
      </c>
      <c r="AV661">
        <v>2.2437433938332509E-2</v>
      </c>
    </row>
    <row r="662" spans="44:48" x14ac:dyDescent="0.2">
      <c r="AR662">
        <v>654</v>
      </c>
      <c r="AS662">
        <v>654</v>
      </c>
      <c r="AT662">
        <v>1</v>
      </c>
      <c r="AU662">
        <v>9.1375731716650588</v>
      </c>
      <c r="AV662">
        <v>2.2167057331316641E-2</v>
      </c>
    </row>
    <row r="663" spans="44:48" x14ac:dyDescent="0.2">
      <c r="AR663">
        <v>655</v>
      </c>
      <c r="AS663">
        <v>655</v>
      </c>
      <c r="AT663">
        <v>1</v>
      </c>
      <c r="AU663">
        <v>9.1685137029824073</v>
      </c>
      <c r="AV663">
        <v>2.1898808605104035E-2</v>
      </c>
    </row>
    <row r="664" spans="44:48" x14ac:dyDescent="0.2">
      <c r="AR664">
        <v>656</v>
      </c>
      <c r="AS664">
        <v>656</v>
      </c>
      <c r="AT664">
        <v>1</v>
      </c>
      <c r="AU664">
        <v>9.1994542342997523</v>
      </c>
      <c r="AV664">
        <v>2.1632689530036338E-2</v>
      </c>
    </row>
    <row r="665" spans="44:48" x14ac:dyDescent="0.2">
      <c r="AR665">
        <v>657</v>
      </c>
      <c r="AS665">
        <v>657</v>
      </c>
      <c r="AT665">
        <v>1</v>
      </c>
      <c r="AU665">
        <v>9.2303947656171008</v>
      </c>
      <c r="AV665">
        <v>2.1368701527267036E-2</v>
      </c>
    </row>
    <row r="666" spans="44:48" x14ac:dyDescent="0.2">
      <c r="AR666">
        <v>658</v>
      </c>
      <c r="AS666">
        <v>658</v>
      </c>
      <c r="AT666">
        <v>1</v>
      </c>
      <c r="AU666">
        <v>9.2613352969344458</v>
      </c>
      <c r="AV666">
        <v>2.110684567271344E-2</v>
      </c>
    </row>
    <row r="667" spans="44:48" x14ac:dyDescent="0.2">
      <c r="AR667">
        <v>659</v>
      </c>
      <c r="AS667">
        <v>659</v>
      </c>
      <c r="AT667">
        <v>1</v>
      </c>
      <c r="AU667">
        <v>9.2922758282517908</v>
      </c>
      <c r="AV667">
        <v>2.0847122701048618E-2</v>
      </c>
    </row>
    <row r="668" spans="44:48" x14ac:dyDescent="0.2">
      <c r="AR668">
        <v>660</v>
      </c>
      <c r="AS668">
        <v>660</v>
      </c>
      <c r="AT668">
        <v>1</v>
      </c>
      <c r="AU668">
        <v>9.3232163595691393</v>
      </c>
      <c r="AV668">
        <v>2.0589533009732361E-2</v>
      </c>
    </row>
    <row r="669" spans="44:48" x14ac:dyDescent="0.2">
      <c r="AR669">
        <v>661</v>
      </c>
      <c r="AS669">
        <v>661</v>
      </c>
      <c r="AT669">
        <v>1</v>
      </c>
      <c r="AU669">
        <v>9.3541568908864843</v>
      </c>
      <c r="AV669">
        <v>2.0334076663079154E-2</v>
      </c>
    </row>
    <row r="670" spans="44:48" x14ac:dyDescent="0.2">
      <c r="AR670">
        <v>662</v>
      </c>
      <c r="AS670">
        <v>662</v>
      </c>
      <c r="AT670">
        <v>1</v>
      </c>
      <c r="AU670">
        <v>9.3850974222038293</v>
      </c>
      <c r="AV670">
        <v>2.0080753396361065E-2</v>
      </c>
    </row>
    <row r="671" spans="44:48" x14ac:dyDescent="0.2">
      <c r="AR671">
        <v>663</v>
      </c>
      <c r="AS671">
        <v>663</v>
      </c>
      <c r="AT671">
        <v>1</v>
      </c>
      <c r="AU671">
        <v>9.4160379535211778</v>
      </c>
      <c r="AV671">
        <v>1.9829562619944591E-2</v>
      </c>
    </row>
    <row r="672" spans="44:48" x14ac:dyDescent="0.2">
      <c r="AR672">
        <v>664</v>
      </c>
      <c r="AS672">
        <v>664</v>
      </c>
      <c r="AT672">
        <v>1</v>
      </c>
      <c r="AU672">
        <v>9.4469784848385228</v>
      </c>
      <c r="AV672">
        <v>1.9580503423459263E-2</v>
      </c>
    </row>
    <row r="673" spans="44:48" x14ac:dyDescent="0.2">
      <c r="AR673">
        <v>665</v>
      </c>
      <c r="AS673">
        <v>665</v>
      </c>
      <c r="AT673">
        <v>1</v>
      </c>
      <c r="AU673">
        <v>9.4779190161558713</v>
      </c>
      <c r="AV673">
        <v>1.9333574579996304E-2</v>
      </c>
    </row>
    <row r="674" spans="44:48" x14ac:dyDescent="0.2">
      <c r="AR674">
        <v>666</v>
      </c>
      <c r="AS674">
        <v>666</v>
      </c>
      <c r="AT674">
        <v>1</v>
      </c>
      <c r="AU674">
        <v>9.5088595474732163</v>
      </c>
      <c r="AV674">
        <v>1.9088774550336141E-2</v>
      </c>
    </row>
    <row r="675" spans="44:48" x14ac:dyDescent="0.2">
      <c r="AR675">
        <v>667</v>
      </c>
      <c r="AS675">
        <v>667</v>
      </c>
      <c r="AT675">
        <v>1</v>
      </c>
      <c r="AU675">
        <v>9.5398000787905612</v>
      </c>
      <c r="AV675">
        <v>1.8846101487202435E-2</v>
      </c>
    </row>
    <row r="676" spans="44:48" x14ac:dyDescent="0.2">
      <c r="AR676">
        <v>668</v>
      </c>
      <c r="AS676">
        <v>668</v>
      </c>
      <c r="AT676">
        <v>1</v>
      </c>
      <c r="AU676">
        <v>9.5707406101079098</v>
      </c>
      <c r="AV676">
        <v>1.8605553239541592E-2</v>
      </c>
    </row>
    <row r="677" spans="44:48" x14ac:dyDescent="0.2">
      <c r="AR677">
        <v>669</v>
      </c>
      <c r="AS677">
        <v>669</v>
      </c>
      <c r="AT677">
        <v>1</v>
      </c>
      <c r="AU677">
        <v>9.6016811414252548</v>
      </c>
      <c r="AV677">
        <v>1.8367127356825885E-2</v>
      </c>
    </row>
    <row r="678" spans="44:48" x14ac:dyDescent="0.2">
      <c r="AR678">
        <v>670</v>
      </c>
      <c r="AS678">
        <v>670</v>
      </c>
      <c r="AT678">
        <v>1</v>
      </c>
      <c r="AU678">
        <v>9.6326216727425997</v>
      </c>
      <c r="AV678">
        <v>1.8130821093378272E-2</v>
      </c>
    </row>
    <row r="679" spans="44:48" x14ac:dyDescent="0.2">
      <c r="AR679">
        <v>671</v>
      </c>
      <c r="AS679">
        <v>671</v>
      </c>
      <c r="AT679">
        <v>1</v>
      </c>
      <c r="AU679">
        <v>9.6635622040599483</v>
      </c>
      <c r="AV679">
        <v>1.789663141271787E-2</v>
      </c>
    </row>
    <row r="680" spans="44:48" x14ac:dyDescent="0.2">
      <c r="AR680">
        <v>672</v>
      </c>
      <c r="AS680">
        <v>672</v>
      </c>
      <c r="AT680">
        <v>1</v>
      </c>
      <c r="AU680">
        <v>9.6945027353772932</v>
      </c>
      <c r="AV680">
        <v>1.7664554991924125E-2</v>
      </c>
    </row>
    <row r="681" spans="44:48" x14ac:dyDescent="0.2">
      <c r="AR681">
        <v>673</v>
      </c>
      <c r="AS681">
        <v>673</v>
      </c>
      <c r="AT681">
        <v>1</v>
      </c>
      <c r="AU681">
        <v>9.7254432666946382</v>
      </c>
      <c r="AV681">
        <v>1.7434588226017962E-2</v>
      </c>
    </row>
    <row r="682" spans="44:48" x14ac:dyDescent="0.2">
      <c r="AR682">
        <v>674</v>
      </c>
      <c r="AS682">
        <v>674</v>
      </c>
      <c r="AT682">
        <v>1</v>
      </c>
      <c r="AU682">
        <v>9.7563837980119867</v>
      </c>
      <c r="AV682">
        <v>1.7206727232358769E-2</v>
      </c>
    </row>
    <row r="683" spans="44:48" x14ac:dyDescent="0.2">
      <c r="AR683">
        <v>675</v>
      </c>
      <c r="AS683">
        <v>675</v>
      </c>
      <c r="AT683">
        <v>1</v>
      </c>
      <c r="AU683">
        <v>9.7873243293293317</v>
      </c>
      <c r="AV683">
        <v>1.6980967855055446E-2</v>
      </c>
    </row>
    <row r="684" spans="44:48" x14ac:dyDescent="0.2">
      <c r="AR684">
        <v>676</v>
      </c>
      <c r="AS684">
        <v>676</v>
      </c>
      <c r="AT684">
        <v>1</v>
      </c>
      <c r="AU684">
        <v>9.8182648606466802</v>
      </c>
      <c r="AV684">
        <v>1.6757305669389669E-2</v>
      </c>
    </row>
    <row r="685" spans="44:48" x14ac:dyDescent="0.2">
      <c r="AR685">
        <v>677</v>
      </c>
      <c r="AS685">
        <v>677</v>
      </c>
      <c r="AT685">
        <v>1</v>
      </c>
      <c r="AU685">
        <v>9.8492053919640252</v>
      </c>
      <c r="AV685">
        <v>1.653573598625056E-2</v>
      </c>
    </row>
    <row r="686" spans="44:48" x14ac:dyDescent="0.2">
      <c r="AR686">
        <v>678</v>
      </c>
      <c r="AS686">
        <v>678</v>
      </c>
      <c r="AT686">
        <v>1</v>
      </c>
      <c r="AU686">
        <v>9.8801459232813702</v>
      </c>
      <c r="AV686">
        <v>1.6316253856578467E-2</v>
      </c>
    </row>
    <row r="687" spans="44:48" x14ac:dyDescent="0.2">
      <c r="AR687">
        <v>679</v>
      </c>
      <c r="AS687">
        <v>679</v>
      </c>
      <c r="AT687">
        <v>1</v>
      </c>
      <c r="AU687">
        <v>9.9110864545987187</v>
      </c>
      <c r="AV687">
        <v>1.6098854075816949E-2</v>
      </c>
    </row>
    <row r="688" spans="44:48" x14ac:dyDescent="0.2">
      <c r="AR688">
        <v>680</v>
      </c>
      <c r="AS688">
        <v>680</v>
      </c>
      <c r="AT688">
        <v>1</v>
      </c>
      <c r="AU688">
        <v>9.9420269859160637</v>
      </c>
      <c r="AV688">
        <v>1.5883531188371307E-2</v>
      </c>
    </row>
    <row r="689" spans="44:48" x14ac:dyDescent="0.2">
      <c r="AR689">
        <v>681</v>
      </c>
      <c r="AS689">
        <v>681</v>
      </c>
      <c r="AT689">
        <v>1</v>
      </c>
      <c r="AU689">
        <v>9.9729675172334087</v>
      </c>
      <c r="AV689">
        <v>1.5670279492071896E-2</v>
      </c>
    </row>
    <row r="690" spans="44:48" x14ac:dyDescent="0.2">
      <c r="AR690">
        <v>682</v>
      </c>
      <c r="AS690">
        <v>682</v>
      </c>
      <c r="AT690">
        <v>1</v>
      </c>
      <c r="AU690">
        <v>10.003908048550757</v>
      </c>
      <c r="AV690">
        <v>1.5459093042641342E-2</v>
      </c>
    </row>
    <row r="691" spans="44:48" x14ac:dyDescent="0.2">
      <c r="AR691">
        <v>683</v>
      </c>
      <c r="AS691">
        <v>683</v>
      </c>
      <c r="AT691">
        <v>1</v>
      </c>
      <c r="AU691">
        <v>10.034848579868102</v>
      </c>
      <c r="AV691">
        <v>1.5249965658163932E-2</v>
      </c>
    </row>
    <row r="692" spans="44:48" x14ac:dyDescent="0.2">
      <c r="AR692">
        <v>684</v>
      </c>
      <c r="AS692">
        <v>684</v>
      </c>
      <c r="AT692">
        <v>1</v>
      </c>
      <c r="AU692">
        <v>10.065789111185447</v>
      </c>
      <c r="AV692">
        <v>1.5042890923555523E-2</v>
      </c>
    </row>
    <row r="693" spans="44:48" x14ac:dyDescent="0.2">
      <c r="AR693">
        <v>685</v>
      </c>
      <c r="AS693">
        <v>685</v>
      </c>
      <c r="AT693">
        <v>1</v>
      </c>
      <c r="AU693">
        <v>10.096729642502796</v>
      </c>
      <c r="AV693">
        <v>1.4837862195033132E-2</v>
      </c>
    </row>
    <row r="694" spans="44:48" x14ac:dyDescent="0.2">
      <c r="AR694">
        <v>686</v>
      </c>
      <c r="AS694">
        <v>686</v>
      </c>
      <c r="AT694">
        <v>1</v>
      </c>
      <c r="AU694">
        <v>10.127670173820141</v>
      </c>
      <c r="AV694">
        <v>1.4634872604582534E-2</v>
      </c>
    </row>
    <row r="695" spans="44:48" x14ac:dyDescent="0.2">
      <c r="AR695">
        <v>687</v>
      </c>
      <c r="AS695">
        <v>687</v>
      </c>
      <c r="AT695">
        <v>1</v>
      </c>
      <c r="AU695">
        <v>10.158610705137489</v>
      </c>
      <c r="AV695">
        <v>1.4433915064422336E-2</v>
      </c>
    </row>
    <row r="696" spans="44:48" x14ac:dyDescent="0.2">
      <c r="AR696">
        <v>688</v>
      </c>
      <c r="AS696">
        <v>688</v>
      </c>
      <c r="AT696">
        <v>1</v>
      </c>
      <c r="AU696">
        <v>10.189551236454834</v>
      </c>
      <c r="AV696">
        <v>1.4234982271463734E-2</v>
      </c>
    </row>
    <row r="697" spans="44:48" x14ac:dyDescent="0.2">
      <c r="AR697">
        <v>689</v>
      </c>
      <c r="AS697">
        <v>689</v>
      </c>
      <c r="AT697">
        <v>1</v>
      </c>
      <c r="AU697">
        <v>10.220491767772179</v>
      </c>
      <c r="AV697">
        <v>1.4038066711763992E-2</v>
      </c>
    </row>
    <row r="698" spans="44:48" x14ac:dyDescent="0.2">
      <c r="AR698">
        <v>690</v>
      </c>
      <c r="AS698">
        <v>690</v>
      </c>
      <c r="AT698">
        <v>1</v>
      </c>
      <c r="AU698">
        <v>10.251432299089528</v>
      </c>
      <c r="AV698">
        <v>1.3843160664972921E-2</v>
      </c>
    </row>
    <row r="699" spans="44:48" x14ac:dyDescent="0.2">
      <c r="AR699">
        <v>691</v>
      </c>
      <c r="AS699">
        <v>691</v>
      </c>
      <c r="AT699">
        <v>1</v>
      </c>
      <c r="AU699">
        <v>10.282372830406873</v>
      </c>
      <c r="AV699">
        <v>1.3650256208770851E-2</v>
      </c>
    </row>
    <row r="700" spans="44:48" x14ac:dyDescent="0.2">
      <c r="AR700">
        <v>692</v>
      </c>
      <c r="AS700">
        <v>692</v>
      </c>
      <c r="AT700">
        <v>1</v>
      </c>
      <c r="AU700">
        <v>10.313313361724218</v>
      </c>
      <c r="AV700">
        <v>1.3459345223296663E-2</v>
      </c>
    </row>
    <row r="701" spans="44:48" x14ac:dyDescent="0.2">
      <c r="AR701">
        <v>693</v>
      </c>
      <c r="AS701">
        <v>693</v>
      </c>
      <c r="AT701">
        <v>1</v>
      </c>
      <c r="AU701">
        <v>10.344253893041566</v>
      </c>
      <c r="AV701">
        <v>1.3270419395565027E-2</v>
      </c>
    </row>
    <row r="702" spans="44:48" x14ac:dyDescent="0.2">
      <c r="AR702">
        <v>694</v>
      </c>
      <c r="AS702">
        <v>694</v>
      </c>
      <c r="AT702">
        <v>1</v>
      </c>
      <c r="AU702">
        <v>10.375194424358911</v>
      </c>
      <c r="AV702">
        <v>1.3083470223871447E-2</v>
      </c>
    </row>
    <row r="703" spans="44:48" x14ac:dyDescent="0.2">
      <c r="AR703">
        <v>695</v>
      </c>
      <c r="AS703">
        <v>695</v>
      </c>
      <c r="AT703">
        <v>1</v>
      </c>
      <c r="AU703">
        <v>10.406134955676256</v>
      </c>
      <c r="AV703">
        <v>1.2898489022183808E-2</v>
      </c>
    </row>
    <row r="704" spans="44:48" x14ac:dyDescent="0.2">
      <c r="AR704">
        <v>696</v>
      </c>
      <c r="AS704">
        <v>696</v>
      </c>
      <c r="AT704">
        <v>1</v>
      </c>
      <c r="AU704">
        <v>10.437075486993605</v>
      </c>
      <c r="AV704">
        <v>1.2715466924519537E-2</v>
      </c>
    </row>
    <row r="705" spans="44:48" x14ac:dyDescent="0.2">
      <c r="AR705">
        <v>697</v>
      </c>
      <c r="AS705">
        <v>697</v>
      </c>
      <c r="AT705">
        <v>1</v>
      </c>
      <c r="AU705">
        <v>10.46801601831095</v>
      </c>
      <c r="AV705">
        <v>1.2534394889307115E-2</v>
      </c>
    </row>
    <row r="706" spans="44:48" x14ac:dyDescent="0.2">
      <c r="AR706">
        <v>698</v>
      </c>
      <c r="AS706">
        <v>698</v>
      </c>
      <c r="AT706">
        <v>1</v>
      </c>
      <c r="AU706">
        <v>10.498956549628298</v>
      </c>
      <c r="AV706">
        <v>1.2355263703730541E-2</v>
      </c>
    </row>
    <row r="707" spans="44:48" x14ac:dyDescent="0.2">
      <c r="AR707">
        <v>699</v>
      </c>
      <c r="AS707">
        <v>699</v>
      </c>
      <c r="AT707">
        <v>1</v>
      </c>
      <c r="AU707">
        <v>10.529897080945643</v>
      </c>
      <c r="AV707">
        <v>1.2178063988056348E-2</v>
      </c>
    </row>
    <row r="708" spans="44:48" x14ac:dyDescent="0.2">
      <c r="AR708">
        <v>700</v>
      </c>
      <c r="AS708">
        <v>700</v>
      </c>
      <c r="AT708">
        <v>1</v>
      </c>
      <c r="AU708">
        <v>10.560837612262988</v>
      </c>
      <c r="AV708">
        <v>1.2002786199941211E-2</v>
      </c>
    </row>
    <row r="709" spans="44:48" x14ac:dyDescent="0.2">
      <c r="AR709">
        <v>701</v>
      </c>
      <c r="AS709">
        <v>701</v>
      </c>
      <c r="AT709">
        <v>1</v>
      </c>
      <c r="AU709">
        <v>10.591778143580337</v>
      </c>
      <c r="AV709">
        <v>1.1829420638719817E-2</v>
      </c>
    </row>
    <row r="710" spans="44:48" x14ac:dyDescent="0.2">
      <c r="AR710">
        <v>702</v>
      </c>
      <c r="AS710">
        <v>702</v>
      </c>
      <c r="AT710">
        <v>1</v>
      </c>
      <c r="AU710">
        <v>10.622718674897682</v>
      </c>
      <c r="AV710">
        <v>1.1657957449671703E-2</v>
      </c>
    </row>
    <row r="711" spans="44:48" x14ac:dyDescent="0.2">
      <c r="AR711">
        <v>703</v>
      </c>
      <c r="AS711">
        <v>703</v>
      </c>
      <c r="AT711">
        <v>1</v>
      </c>
      <c r="AU711">
        <v>10.653659206215027</v>
      </c>
      <c r="AV711">
        <v>1.1488386628265797E-2</v>
      </c>
    </row>
    <row r="712" spans="44:48" x14ac:dyDescent="0.2">
      <c r="AR712">
        <v>704</v>
      </c>
      <c r="AS712">
        <v>704</v>
      </c>
      <c r="AT712">
        <v>1</v>
      </c>
      <c r="AU712">
        <v>10.684599737532375</v>
      </c>
      <c r="AV712">
        <v>1.1320698024382169E-2</v>
      </c>
    </row>
    <row r="713" spans="44:48" x14ac:dyDescent="0.2">
      <c r="AR713">
        <v>705</v>
      </c>
      <c r="AS713">
        <v>705</v>
      </c>
      <c r="AT713">
        <v>1</v>
      </c>
      <c r="AU713">
        <v>10.71554026884972</v>
      </c>
      <c r="AV713">
        <v>1.1154881346509719E-2</v>
      </c>
    </row>
    <row r="714" spans="44:48" x14ac:dyDescent="0.2">
      <c r="AR714">
        <v>706</v>
      </c>
      <c r="AS714">
        <v>706</v>
      </c>
      <c r="AT714">
        <v>1</v>
      </c>
      <c r="AU714">
        <v>10.746480800167065</v>
      </c>
      <c r="AV714">
        <v>1.0990926165918787E-2</v>
      </c>
    </row>
    <row r="715" spans="44:48" x14ac:dyDescent="0.2">
      <c r="AR715">
        <v>707</v>
      </c>
      <c r="AS715">
        <v>707</v>
      </c>
      <c r="AT715">
        <v>1</v>
      </c>
      <c r="AU715">
        <v>10.777421331484414</v>
      </c>
      <c r="AV715">
        <v>1.0828821920808073E-2</v>
      </c>
    </row>
    <row r="716" spans="44:48" x14ac:dyDescent="0.2">
      <c r="AR716">
        <v>708</v>
      </c>
      <c r="AS716">
        <v>708</v>
      </c>
      <c r="AT716">
        <v>1</v>
      </c>
      <c r="AU716">
        <v>10.808361862801759</v>
      </c>
      <c r="AV716">
        <v>1.0668557920424752E-2</v>
      </c>
    </row>
    <row r="717" spans="44:48" x14ac:dyDescent="0.2">
      <c r="AR717">
        <v>709</v>
      </c>
      <c r="AS717">
        <v>709</v>
      </c>
      <c r="AT717">
        <v>1</v>
      </c>
      <c r="AU717">
        <v>10.839302394119107</v>
      </c>
      <c r="AV717">
        <v>1.0510123349156819E-2</v>
      </c>
    </row>
    <row r="718" spans="44:48" x14ac:dyDescent="0.2">
      <c r="AR718">
        <v>710</v>
      </c>
      <c r="AS718">
        <v>710</v>
      </c>
      <c r="AT718">
        <v>1</v>
      </c>
      <c r="AU718">
        <v>10.870242925436452</v>
      </c>
      <c r="AV718">
        <v>1.0353507270597202E-2</v>
      </c>
    </row>
    <row r="719" spans="44:48" x14ac:dyDescent="0.2">
      <c r="AR719">
        <v>711</v>
      </c>
      <c r="AS719">
        <v>711</v>
      </c>
      <c r="AT719">
        <v>1</v>
      </c>
      <c r="AU719">
        <v>10.901183456753797</v>
      </c>
      <c r="AV719">
        <v>1.0198698631578306E-2</v>
      </c>
    </row>
    <row r="720" spans="44:48" x14ac:dyDescent="0.2">
      <c r="AR720">
        <v>712</v>
      </c>
      <c r="AS720">
        <v>712</v>
      </c>
      <c r="AT720">
        <v>1</v>
      </c>
      <c r="AU720">
        <v>10.932123988071146</v>
      </c>
      <c r="AV720">
        <v>1.0045686266176622E-2</v>
      </c>
    </row>
    <row r="721" spans="44:48" x14ac:dyDescent="0.2">
      <c r="AR721">
        <v>713</v>
      </c>
      <c r="AS721">
        <v>713</v>
      </c>
      <c r="AT721">
        <v>1</v>
      </c>
      <c r="AU721">
        <v>10.963064519388491</v>
      </c>
      <c r="AV721">
        <v>9.8944588996863984E-3</v>
      </c>
    </row>
    <row r="722" spans="44:48" x14ac:dyDescent="0.2">
      <c r="AR722">
        <v>714</v>
      </c>
      <c r="AS722">
        <v>714</v>
      </c>
      <c r="AT722">
        <v>1</v>
      </c>
      <c r="AU722">
        <v>10.994005050705836</v>
      </c>
      <c r="AV722">
        <v>9.7450051525615825E-3</v>
      </c>
    </row>
    <row r="723" spans="44:48" x14ac:dyDescent="0.2">
      <c r="AR723">
        <v>715</v>
      </c>
      <c r="AS723">
        <v>715</v>
      </c>
      <c r="AT723">
        <v>1</v>
      </c>
      <c r="AU723">
        <v>11.024945582023184</v>
      </c>
      <c r="AV723">
        <v>9.5973135443254594E-3</v>
      </c>
    </row>
    <row r="724" spans="44:48" x14ac:dyDescent="0.2">
      <c r="AR724">
        <v>716</v>
      </c>
      <c r="AS724">
        <v>716</v>
      </c>
      <c r="AT724">
        <v>1</v>
      </c>
      <c r="AU724">
        <v>11.055886113340529</v>
      </c>
      <c r="AV724">
        <v>9.4513724974471958E-3</v>
      </c>
    </row>
    <row r="725" spans="44:48" x14ac:dyDescent="0.2">
      <c r="AR725">
        <v>717</v>
      </c>
      <c r="AS725">
        <v>717</v>
      </c>
      <c r="AT725">
        <v>1</v>
      </c>
      <c r="AU725">
        <v>11.086826644657878</v>
      </c>
      <c r="AV725">
        <v>9.3071703411844106E-3</v>
      </c>
    </row>
    <row r="726" spans="44:48" x14ac:dyDescent="0.2">
      <c r="AR726">
        <v>718</v>
      </c>
      <c r="AS726">
        <v>718</v>
      </c>
      <c r="AT726">
        <v>1</v>
      </c>
      <c r="AU726">
        <v>11.117767175975223</v>
      </c>
      <c r="AV726">
        <v>9.1646953153915762E-3</v>
      </c>
    </row>
    <row r="727" spans="44:48" x14ac:dyDescent="0.2">
      <c r="AR727">
        <v>719</v>
      </c>
      <c r="AS727">
        <v>719</v>
      </c>
      <c r="AT727">
        <v>1</v>
      </c>
      <c r="AU727">
        <v>11.148707707292568</v>
      </c>
      <c r="AV727">
        <v>9.0239355742930058E-3</v>
      </c>
    </row>
    <row r="728" spans="44:48" x14ac:dyDescent="0.2">
      <c r="AR728">
        <v>720</v>
      </c>
      <c r="AS728">
        <v>720</v>
      </c>
      <c r="AT728">
        <v>1</v>
      </c>
      <c r="AU728">
        <v>11.179648238609916</v>
      </c>
      <c r="AV728">
        <v>8.8848791902203014E-3</v>
      </c>
    </row>
    <row r="729" spans="44:48" x14ac:dyDescent="0.2">
      <c r="AR729">
        <v>721</v>
      </c>
      <c r="AS729">
        <v>721</v>
      </c>
      <c r="AT729">
        <v>1</v>
      </c>
      <c r="AU729">
        <v>11.210588769927261</v>
      </c>
      <c r="AV729">
        <v>8.7475141573134293E-3</v>
      </c>
    </row>
    <row r="730" spans="44:48" x14ac:dyDescent="0.2">
      <c r="AR730">
        <v>722</v>
      </c>
      <c r="AS730">
        <v>722</v>
      </c>
      <c r="AT730">
        <v>1</v>
      </c>
      <c r="AU730">
        <v>11.241529301244606</v>
      </c>
      <c r="AV730">
        <v>8.6118283951847879E-3</v>
      </c>
    </row>
    <row r="731" spans="44:48" x14ac:dyDescent="0.2">
      <c r="AR731">
        <v>723</v>
      </c>
      <c r="AS731">
        <v>723</v>
      </c>
      <c r="AT731">
        <v>1</v>
      </c>
      <c r="AU731">
        <v>11.272469832561955</v>
      </c>
      <c r="AV731">
        <v>8.4778097525459051E-3</v>
      </c>
    </row>
    <row r="732" spans="44:48" x14ac:dyDescent="0.2">
      <c r="AR732">
        <v>724</v>
      </c>
      <c r="AS732">
        <v>724</v>
      </c>
      <c r="AT732">
        <v>1</v>
      </c>
      <c r="AU732">
        <v>11.3034103638793</v>
      </c>
      <c r="AV732">
        <v>8.3454460107961446E-3</v>
      </c>
    </row>
    <row r="733" spans="44:48" x14ac:dyDescent="0.2">
      <c r="AR733">
        <v>725</v>
      </c>
      <c r="AS733">
        <v>725</v>
      </c>
      <c r="AT733">
        <v>1</v>
      </c>
      <c r="AU733">
        <v>11.334350895196645</v>
      </c>
      <c r="AV733">
        <v>8.2147248875727285E-3</v>
      </c>
    </row>
    <row r="734" spans="44:48" x14ac:dyDescent="0.2">
      <c r="AR734">
        <v>726</v>
      </c>
      <c r="AS734">
        <v>726</v>
      </c>
      <c r="AT734">
        <v>1</v>
      </c>
      <c r="AU734">
        <v>11.365291426513993</v>
      </c>
      <c r="AV734">
        <v>8.0856340402619218E-3</v>
      </c>
    </row>
    <row r="735" spans="44:48" x14ac:dyDescent="0.2">
      <c r="AR735">
        <v>727</v>
      </c>
      <c r="AS735">
        <v>727</v>
      </c>
      <c r="AT735">
        <v>1</v>
      </c>
      <c r="AU735">
        <v>11.396231957831338</v>
      </c>
      <c r="AV735">
        <v>7.9581610694707018E-3</v>
      </c>
    </row>
    <row r="736" spans="44:48" x14ac:dyDescent="0.2">
      <c r="AR736">
        <v>728</v>
      </c>
      <c r="AS736">
        <v>728</v>
      </c>
      <c r="AT736">
        <v>1</v>
      </c>
      <c r="AU736">
        <v>11.427172489148687</v>
      </c>
      <c r="AV736">
        <v>7.8322935224583879E-3</v>
      </c>
    </row>
    <row r="737" spans="44:48" x14ac:dyDescent="0.2">
      <c r="AR737">
        <v>729</v>
      </c>
      <c r="AS737">
        <v>729</v>
      </c>
      <c r="AT737">
        <v>1</v>
      </c>
      <c r="AU737">
        <v>11.458113020466032</v>
      </c>
      <c r="AV737">
        <v>7.708018896528058E-3</v>
      </c>
    </row>
    <row r="738" spans="44:48" x14ac:dyDescent="0.2">
      <c r="AR738">
        <v>730</v>
      </c>
      <c r="AS738">
        <v>730</v>
      </c>
      <c r="AT738">
        <v>1</v>
      </c>
      <c r="AU738">
        <v>11.489053551783377</v>
      </c>
      <c r="AV738">
        <v>7.5853246423771047E-3</v>
      </c>
    </row>
    <row r="739" spans="44:48" x14ac:dyDescent="0.2">
      <c r="AR739">
        <v>731</v>
      </c>
      <c r="AS739">
        <v>731</v>
      </c>
      <c r="AT739">
        <v>1</v>
      </c>
      <c r="AU739">
        <v>11.519994083100725</v>
      </c>
      <c r="AV739">
        <v>7.4641981674066589E-3</v>
      </c>
    </row>
    <row r="740" spans="44:48" x14ac:dyDescent="0.2">
      <c r="AR740">
        <v>732</v>
      </c>
      <c r="AS740">
        <v>732</v>
      </c>
      <c r="AT740">
        <v>1</v>
      </c>
      <c r="AU740">
        <v>11.55093461441807</v>
      </c>
      <c r="AV740">
        <v>7.3446268389896138E-3</v>
      </c>
    </row>
    <row r="741" spans="44:48" x14ac:dyDescent="0.2">
      <c r="AR741">
        <v>733</v>
      </c>
      <c r="AS741">
        <v>733</v>
      </c>
      <c r="AT741">
        <v>1</v>
      </c>
      <c r="AU741">
        <v>11.581875145735415</v>
      </c>
      <c r="AV741">
        <v>7.2265979876965777E-3</v>
      </c>
    </row>
    <row r="742" spans="44:48" x14ac:dyDescent="0.2">
      <c r="AR742">
        <v>734</v>
      </c>
      <c r="AS742">
        <v>734</v>
      </c>
      <c r="AT742">
        <v>1</v>
      </c>
      <c r="AU742">
        <v>11.612815677052764</v>
      </c>
      <c r="AV742">
        <v>7.1100989104798404E-3</v>
      </c>
    </row>
    <row r="743" spans="44:48" x14ac:dyDescent="0.2">
      <c r="AR743">
        <v>735</v>
      </c>
      <c r="AS743">
        <v>735</v>
      </c>
      <c r="AT743">
        <v>1</v>
      </c>
      <c r="AU743">
        <v>11.643756208370108</v>
      </c>
      <c r="AV743">
        <v>6.9951168738148391E-3</v>
      </c>
    </row>
    <row r="744" spans="44:48" x14ac:dyDescent="0.2">
      <c r="AR744">
        <v>736</v>
      </c>
      <c r="AS744">
        <v>736</v>
      </c>
      <c r="AT744">
        <v>1</v>
      </c>
      <c r="AU744">
        <v>11.674696739687453</v>
      </c>
      <c r="AV744">
        <v>6.8816391167987167E-3</v>
      </c>
    </row>
    <row r="745" spans="44:48" x14ac:dyDescent="0.2">
      <c r="AR745">
        <v>737</v>
      </c>
      <c r="AS745">
        <v>737</v>
      </c>
      <c r="AT745">
        <v>1</v>
      </c>
      <c r="AU745">
        <v>11.705637271004802</v>
      </c>
      <c r="AV745">
        <v>6.7696528542060368E-3</v>
      </c>
    </row>
    <row r="746" spans="44:48" x14ac:dyDescent="0.2">
      <c r="AR746">
        <v>738</v>
      </c>
      <c r="AS746">
        <v>738</v>
      </c>
      <c r="AT746">
        <v>1</v>
      </c>
      <c r="AU746">
        <v>11.736577802322147</v>
      </c>
      <c r="AV746">
        <v>6.6591452795011488E-3</v>
      </c>
    </row>
    <row r="747" spans="44:48" x14ac:dyDescent="0.2">
      <c r="AR747">
        <v>739</v>
      </c>
      <c r="AS747">
        <v>739</v>
      </c>
      <c r="AT747">
        <v>1</v>
      </c>
      <c r="AU747">
        <v>11.767518333639496</v>
      </c>
      <c r="AV747">
        <v>6.550103567807013E-3</v>
      </c>
    </row>
    <row r="748" spans="44:48" x14ac:dyDescent="0.2">
      <c r="AR748">
        <v>740</v>
      </c>
      <c r="AS748">
        <v>740</v>
      </c>
      <c r="AT748">
        <v>1</v>
      </c>
      <c r="AU748">
        <v>11.79845886495684</v>
      </c>
      <c r="AV748">
        <v>6.4425148788305056E-3</v>
      </c>
    </row>
    <row r="749" spans="44:48" x14ac:dyDescent="0.2">
      <c r="AR749">
        <v>741</v>
      </c>
      <c r="AS749">
        <v>741</v>
      </c>
      <c r="AT749">
        <v>1</v>
      </c>
      <c r="AU749">
        <v>11.829399396274185</v>
      </c>
      <c r="AV749">
        <v>6.3363663597435929E-3</v>
      </c>
    </row>
    <row r="750" spans="44:48" x14ac:dyDescent="0.2">
      <c r="AR750">
        <v>742</v>
      </c>
      <c r="AS750">
        <v>742</v>
      </c>
      <c r="AT750">
        <v>1</v>
      </c>
      <c r="AU750">
        <v>11.860339927591534</v>
      </c>
      <c r="AV750">
        <v>6.2316451480206765E-3</v>
      </c>
    </row>
    <row r="751" spans="44:48" x14ac:dyDescent="0.2">
      <c r="AR751">
        <v>743</v>
      </c>
      <c r="AS751">
        <v>743</v>
      </c>
      <c r="AT751">
        <v>1</v>
      </c>
      <c r="AU751">
        <v>11.891280458908879</v>
      </c>
      <c r="AV751">
        <v>6.1283383742316913E-3</v>
      </c>
    </row>
    <row r="752" spans="44:48" x14ac:dyDescent="0.2">
      <c r="AR752">
        <v>744</v>
      </c>
      <c r="AS752">
        <v>744</v>
      </c>
      <c r="AT752">
        <v>1</v>
      </c>
      <c r="AU752">
        <v>11.922220990226224</v>
      </c>
      <c r="AV752">
        <v>6.0264331647907794E-3</v>
      </c>
    </row>
    <row r="753" spans="44:48" x14ac:dyDescent="0.2">
      <c r="AR753">
        <v>745</v>
      </c>
      <c r="AS753">
        <v>745</v>
      </c>
      <c r="AT753">
        <v>1</v>
      </c>
      <c r="AU753">
        <v>11.953161521543572</v>
      </c>
      <c r="AV753">
        <v>5.925916644660645E-3</v>
      </c>
    </row>
    <row r="754" spans="44:48" x14ac:dyDescent="0.2">
      <c r="AR754">
        <v>746</v>
      </c>
      <c r="AS754">
        <v>746</v>
      </c>
      <c r="AT754">
        <v>1</v>
      </c>
      <c r="AU754">
        <v>11.984102052860917</v>
      </c>
      <c r="AV754">
        <v>5.8267759400123745E-3</v>
      </c>
    </row>
    <row r="755" spans="44:48" x14ac:dyDescent="0.2">
      <c r="AR755">
        <v>747</v>
      </c>
      <c r="AS755">
        <v>747</v>
      </c>
      <c r="AT755">
        <v>1</v>
      </c>
      <c r="AU755">
        <v>12.015042584178262</v>
      </c>
      <c r="AV755">
        <v>5.7289981808405603E-3</v>
      </c>
    </row>
    <row r="756" spans="44:48" x14ac:dyDescent="0.2">
      <c r="AR756">
        <v>748</v>
      </c>
      <c r="AS756">
        <v>748</v>
      </c>
      <c r="AT756">
        <v>1</v>
      </c>
      <c r="AU756">
        <v>12.045983115495611</v>
      </c>
      <c r="AV756">
        <v>5.6325705035338578E-3</v>
      </c>
    </row>
    <row r="757" spans="44:48" x14ac:dyDescent="0.2">
      <c r="AR757">
        <v>749</v>
      </c>
      <c r="AS757">
        <v>749</v>
      </c>
      <c r="AT757">
        <v>1</v>
      </c>
      <c r="AU757">
        <v>12.076923646812956</v>
      </c>
      <c r="AV757">
        <v>5.5374800534008254E-3</v>
      </c>
    </row>
    <row r="758" spans="44:48" x14ac:dyDescent="0.2">
      <c r="AR758">
        <v>750</v>
      </c>
      <c r="AS758">
        <v>750</v>
      </c>
      <c r="AT758">
        <v>1</v>
      </c>
      <c r="AU758">
        <v>12.107864178130304</v>
      </c>
      <c r="AV758">
        <v>5.4437139871509428E-3</v>
      </c>
    </row>
    <row r="759" spans="44:48" x14ac:dyDescent="0.2">
      <c r="AR759">
        <v>751</v>
      </c>
      <c r="AS759">
        <v>751</v>
      </c>
      <c r="AT759">
        <v>1</v>
      </c>
      <c r="AU759">
        <v>12.138804709447649</v>
      </c>
      <c r="AV759">
        <v>5.3512594753310347E-3</v>
      </c>
    </row>
    <row r="760" spans="44:48" x14ac:dyDescent="0.2">
      <c r="AR760">
        <v>752</v>
      </c>
      <c r="AS760">
        <v>752</v>
      </c>
      <c r="AT760">
        <v>1</v>
      </c>
      <c r="AU760">
        <v>12.169745240764994</v>
      </c>
      <c r="AV760">
        <v>5.2601037047168208E-3</v>
      </c>
    </row>
    <row r="761" spans="44:48" x14ac:dyDescent="0.2">
      <c r="AR761">
        <v>753</v>
      </c>
      <c r="AS761">
        <v>753</v>
      </c>
      <c r="AT761">
        <v>1</v>
      </c>
      <c r="AU761">
        <v>12.200685772082343</v>
      </c>
      <c r="AV761">
        <v>5.170233880659846E-3</v>
      </c>
    </row>
    <row r="762" spans="44:48" x14ac:dyDescent="0.2">
      <c r="AR762">
        <v>754</v>
      </c>
      <c r="AS762">
        <v>754</v>
      </c>
      <c r="AT762">
        <v>1</v>
      </c>
      <c r="AU762">
        <v>12.231626303399688</v>
      </c>
      <c r="AV762">
        <v>5.0816372293897563E-3</v>
      </c>
    </row>
    <row r="763" spans="44:48" x14ac:dyDescent="0.2">
      <c r="AR763">
        <v>755</v>
      </c>
      <c r="AS763">
        <v>755</v>
      </c>
      <c r="AT763">
        <v>1</v>
      </c>
      <c r="AU763">
        <v>12.262566834717033</v>
      </c>
      <c r="AV763">
        <v>4.9943010002718238E-3</v>
      </c>
    </row>
    <row r="764" spans="44:48" x14ac:dyDescent="0.2">
      <c r="AR764">
        <v>756</v>
      </c>
      <c r="AS764">
        <v>756</v>
      </c>
      <c r="AT764">
        <v>1</v>
      </c>
      <c r="AU764">
        <v>12.293507366034381</v>
      </c>
      <c r="AV764">
        <v>4.9082124680201022E-3</v>
      </c>
    </row>
    <row r="765" spans="44:48" x14ac:dyDescent="0.2">
      <c r="AR765">
        <v>757</v>
      </c>
      <c r="AS765">
        <v>757</v>
      </c>
      <c r="AT765">
        <v>1</v>
      </c>
      <c r="AU765">
        <v>12.324447897351726</v>
      </c>
      <c r="AV765">
        <v>4.8233589348660238E-3</v>
      </c>
    </row>
    <row r="766" spans="44:48" x14ac:dyDescent="0.2">
      <c r="AR766">
        <v>758</v>
      </c>
      <c r="AS766">
        <v>758</v>
      </c>
      <c r="AT766">
        <v>1</v>
      </c>
      <c r="AU766">
        <v>12.355388428669071</v>
      </c>
      <c r="AV766">
        <v>4.7397277326825978E-3</v>
      </c>
    </row>
    <row r="767" spans="44:48" x14ac:dyDescent="0.2">
      <c r="AR767">
        <v>759</v>
      </c>
      <c r="AS767">
        <v>759</v>
      </c>
      <c r="AT767">
        <v>1</v>
      </c>
      <c r="AU767">
        <v>12.38632895998642</v>
      </c>
      <c r="AV767">
        <v>4.6573062250644393E-3</v>
      </c>
    </row>
    <row r="768" spans="44:48" x14ac:dyDescent="0.2">
      <c r="AR768">
        <v>760</v>
      </c>
      <c r="AS768">
        <v>760</v>
      </c>
      <c r="AT768">
        <v>1</v>
      </c>
      <c r="AU768">
        <v>12.417269491303765</v>
      </c>
      <c r="AV768">
        <v>4.5760818093636508E-3</v>
      </c>
    </row>
    <row r="769" spans="44:48" x14ac:dyDescent="0.2">
      <c r="AR769">
        <v>761</v>
      </c>
      <c r="AS769">
        <v>761</v>
      </c>
      <c r="AT769">
        <v>1</v>
      </c>
      <c r="AU769">
        <v>12.448210022621113</v>
      </c>
      <c r="AV769">
        <v>4.4960419186816543E-3</v>
      </c>
    </row>
    <row r="770" spans="44:48" x14ac:dyDescent="0.2">
      <c r="AR770">
        <v>762</v>
      </c>
      <c r="AS770">
        <v>762</v>
      </c>
      <c r="AT770">
        <v>1</v>
      </c>
      <c r="AU770">
        <v>12.479150553938458</v>
      </c>
      <c r="AV770">
        <v>4.417174023817306E-3</v>
      </c>
    </row>
    <row r="771" spans="44:48" x14ac:dyDescent="0.2">
      <c r="AR771">
        <v>763</v>
      </c>
      <c r="AS771">
        <v>763</v>
      </c>
      <c r="AT771">
        <v>1</v>
      </c>
      <c r="AU771">
        <v>12.510091085255803</v>
      </c>
      <c r="AV771">
        <v>4.3394656351712106E-3</v>
      </c>
    </row>
    <row r="772" spans="44:48" x14ac:dyDescent="0.2">
      <c r="AR772">
        <v>764</v>
      </c>
      <c r="AS772">
        <v>764</v>
      </c>
      <c r="AT772">
        <v>1</v>
      </c>
      <c r="AU772">
        <v>12.541031616573152</v>
      </c>
      <c r="AV772">
        <v>4.2629043046066668E-3</v>
      </c>
    </row>
    <row r="773" spans="44:48" x14ac:dyDescent="0.2">
      <c r="AR773">
        <v>765</v>
      </c>
      <c r="AS773">
        <v>765</v>
      </c>
      <c r="AT773">
        <v>1</v>
      </c>
      <c r="AU773">
        <v>12.571972147890497</v>
      </c>
      <c r="AV773">
        <v>4.1874776272672887E-3</v>
      </c>
    </row>
    <row r="774" spans="44:48" x14ac:dyDescent="0.2">
      <c r="AR774">
        <v>766</v>
      </c>
      <c r="AS774">
        <v>766</v>
      </c>
      <c r="AT774">
        <v>1</v>
      </c>
      <c r="AU774">
        <v>12.602912679207842</v>
      </c>
      <c r="AV774">
        <v>4.1131732433514635E-3</v>
      </c>
    </row>
    <row r="775" spans="44:48" x14ac:dyDescent="0.2">
      <c r="AR775">
        <v>767</v>
      </c>
      <c r="AS775">
        <v>767</v>
      </c>
      <c r="AT775">
        <v>1</v>
      </c>
      <c r="AU775">
        <v>12.63385321052519</v>
      </c>
      <c r="AV775">
        <v>4.0399788398440203E-3</v>
      </c>
    </row>
    <row r="776" spans="44:48" x14ac:dyDescent="0.2">
      <c r="AR776">
        <v>768</v>
      </c>
      <c r="AS776">
        <v>768</v>
      </c>
      <c r="AT776">
        <v>1</v>
      </c>
      <c r="AU776">
        <v>12.664793741842535</v>
      </c>
      <c r="AV776">
        <v>3.9678821522052552E-3</v>
      </c>
    </row>
    <row r="777" spans="44:48" x14ac:dyDescent="0.2">
      <c r="AR777">
        <v>769</v>
      </c>
      <c r="AS777">
        <v>769</v>
      </c>
      <c r="AT777">
        <v>1</v>
      </c>
      <c r="AU777">
        <v>12.69573427315988</v>
      </c>
      <c r="AV777">
        <v>3.8968709660174485E-3</v>
      </c>
    </row>
    <row r="778" spans="44:48" x14ac:dyDescent="0.2">
      <c r="AR778">
        <v>770</v>
      </c>
      <c r="AS778">
        <v>770</v>
      </c>
      <c r="AT778">
        <v>1</v>
      </c>
      <c r="AU778">
        <v>12.726674804477229</v>
      </c>
      <c r="AV778">
        <v>3.82693311858932E-3</v>
      </c>
    </row>
    <row r="779" spans="44:48" x14ac:dyDescent="0.2">
      <c r="AR779">
        <v>771</v>
      </c>
      <c r="AS779">
        <v>771</v>
      </c>
      <c r="AT779">
        <v>1</v>
      </c>
      <c r="AU779">
        <v>12.757615335794574</v>
      </c>
      <c r="AV779">
        <v>3.7580565005185832E-3</v>
      </c>
    </row>
    <row r="780" spans="44:48" x14ac:dyDescent="0.2">
      <c r="AR780">
        <v>772</v>
      </c>
      <c r="AS780">
        <v>772</v>
      </c>
      <c r="AT780">
        <v>1</v>
      </c>
      <c r="AU780">
        <v>12.788555867111922</v>
      </c>
      <c r="AV780">
        <v>3.6902290572127594E-3</v>
      </c>
    </row>
    <row r="781" spans="44:48" x14ac:dyDescent="0.2">
      <c r="AR781">
        <v>773</v>
      </c>
      <c r="AS781">
        <v>773</v>
      </c>
      <c r="AT781">
        <v>1</v>
      </c>
      <c r="AU781">
        <v>12.819496398429267</v>
      </c>
      <c r="AV781">
        <v>3.62343879036881E-3</v>
      </c>
    </row>
    <row r="782" spans="44:48" x14ac:dyDescent="0.2">
      <c r="AR782">
        <v>774</v>
      </c>
      <c r="AS782">
        <v>774</v>
      </c>
      <c r="AT782">
        <v>1</v>
      </c>
      <c r="AU782">
        <v>12.850436929746612</v>
      </c>
      <c r="AV782">
        <v>3.5576737594115527E-3</v>
      </c>
    </row>
    <row r="783" spans="44:48" x14ac:dyDescent="0.2">
      <c r="AR783">
        <v>775</v>
      </c>
      <c r="AS783">
        <v>775</v>
      </c>
      <c r="AT783">
        <v>1</v>
      </c>
      <c r="AU783">
        <v>12.881377461063961</v>
      </c>
      <c r="AV783">
        <v>3.4929220828914102E-3</v>
      </c>
    </row>
    <row r="784" spans="44:48" x14ac:dyDescent="0.2">
      <c r="AR784">
        <v>776</v>
      </c>
      <c r="AS784">
        <v>776</v>
      </c>
      <c r="AT784">
        <v>1</v>
      </c>
      <c r="AU784">
        <v>12.912317992381306</v>
      </c>
      <c r="AV784">
        <v>3.4291719398417118E-3</v>
      </c>
    </row>
    <row r="785" spans="44:48" x14ac:dyDescent="0.2">
      <c r="AR785">
        <v>777</v>
      </c>
      <c r="AS785">
        <v>777</v>
      </c>
      <c r="AT785">
        <v>1</v>
      </c>
      <c r="AU785">
        <v>12.943258523698651</v>
      </c>
      <c r="AV785">
        <v>3.3664115710957854E-3</v>
      </c>
    </row>
    <row r="786" spans="44:48" x14ac:dyDescent="0.2">
      <c r="AR786">
        <v>778</v>
      </c>
      <c r="AS786">
        <v>778</v>
      </c>
      <c r="AT786">
        <v>1</v>
      </c>
      <c r="AU786">
        <v>12.974199055015999</v>
      </c>
      <c r="AV786">
        <v>3.3046292805643195E-3</v>
      </c>
    </row>
    <row r="787" spans="44:48" x14ac:dyDescent="0.2">
      <c r="AR787">
        <v>779</v>
      </c>
      <c r="AS787">
        <v>779</v>
      </c>
      <c r="AT787">
        <v>1</v>
      </c>
      <c r="AU787">
        <v>13.005139586333344</v>
      </c>
      <c r="AV787">
        <v>3.243813436473245E-3</v>
      </c>
    </row>
    <row r="788" spans="44:48" x14ac:dyDescent="0.2">
      <c r="AR788">
        <v>780</v>
      </c>
      <c r="AS788">
        <v>780</v>
      </c>
      <c r="AT788">
        <v>1</v>
      </c>
      <c r="AU788">
        <v>13.036080117650693</v>
      </c>
      <c r="AV788">
        <v>3.1839524725624244E-3</v>
      </c>
    </row>
    <row r="789" spans="44:48" x14ac:dyDescent="0.2">
      <c r="AR789">
        <v>781</v>
      </c>
      <c r="AS789">
        <v>781</v>
      </c>
      <c r="AT789">
        <v>1</v>
      </c>
      <c r="AU789">
        <v>13.067020648968038</v>
      </c>
      <c r="AV789">
        <v>3.125034889245649E-3</v>
      </c>
    </row>
    <row r="790" spans="44:48" x14ac:dyDescent="0.2">
      <c r="AR790">
        <v>782</v>
      </c>
      <c r="AS790">
        <v>782</v>
      </c>
      <c r="AT790">
        <v>1</v>
      </c>
      <c r="AU790">
        <v>13.097961180285383</v>
      </c>
      <c r="AV790">
        <v>3.0670492547321421E-3</v>
      </c>
    </row>
    <row r="791" spans="44:48" x14ac:dyDescent="0.2">
      <c r="AR791">
        <v>783</v>
      </c>
      <c r="AS791">
        <v>783</v>
      </c>
      <c r="AT791">
        <v>1</v>
      </c>
      <c r="AU791">
        <v>13.128901711602731</v>
      </c>
      <c r="AV791">
        <v>3.0099842061100486E-3</v>
      </c>
    </row>
    <row r="792" spans="44:48" x14ac:dyDescent="0.2">
      <c r="AR792">
        <v>784</v>
      </c>
      <c r="AS792">
        <v>784</v>
      </c>
      <c r="AT792">
        <v>1</v>
      </c>
      <c r="AU792">
        <v>13.159842242920076</v>
      </c>
      <c r="AV792">
        <v>2.9538284503922495E-3</v>
      </c>
    </row>
    <row r="793" spans="44:48" x14ac:dyDescent="0.2">
      <c r="AR793">
        <v>785</v>
      </c>
      <c r="AS793">
        <v>785</v>
      </c>
      <c r="AT793">
        <v>1</v>
      </c>
      <c r="AU793">
        <v>13.190782774237421</v>
      </c>
      <c r="AV793">
        <v>2.8985707655248068E-3</v>
      </c>
    </row>
    <row r="794" spans="44:48" x14ac:dyDescent="0.2">
      <c r="AR794">
        <v>786</v>
      </c>
      <c r="AS794">
        <v>786</v>
      </c>
      <c r="AT794">
        <v>1</v>
      </c>
      <c r="AU794">
        <v>13.22172330555477</v>
      </c>
      <c r="AV794">
        <v>2.8442000013585529E-3</v>
      </c>
    </row>
    <row r="795" spans="44:48" x14ac:dyDescent="0.2">
      <c r="AR795">
        <v>787</v>
      </c>
      <c r="AS795">
        <v>787</v>
      </c>
      <c r="AT795">
        <v>1</v>
      </c>
      <c r="AU795">
        <v>13.252663836872115</v>
      </c>
      <c r="AV795">
        <v>2.7907050805841419E-3</v>
      </c>
    </row>
    <row r="796" spans="44:48" x14ac:dyDescent="0.2">
      <c r="AR796">
        <v>788</v>
      </c>
      <c r="AS796">
        <v>788</v>
      </c>
      <c r="AT796">
        <v>1</v>
      </c>
      <c r="AU796">
        <v>13.28360436818946</v>
      </c>
      <c r="AV796">
        <v>2.7380749996309219E-3</v>
      </c>
    </row>
    <row r="797" spans="44:48" x14ac:dyDescent="0.2">
      <c r="AR797">
        <v>789</v>
      </c>
      <c r="AS797">
        <v>789</v>
      </c>
      <c r="AT797">
        <v>1</v>
      </c>
      <c r="AU797">
        <v>13.314544899506808</v>
      </c>
      <c r="AV797">
        <v>2.6862988295301019E-3</v>
      </c>
    </row>
    <row r="798" spans="44:48" x14ac:dyDescent="0.2">
      <c r="AR798">
        <v>790</v>
      </c>
      <c r="AS798">
        <v>790</v>
      </c>
      <c r="AT798">
        <v>1</v>
      </c>
      <c r="AU798">
        <v>13.345485430824153</v>
      </c>
      <c r="AV798">
        <v>2.6353657167426442E-3</v>
      </c>
    </row>
    <row r="799" spans="44:48" x14ac:dyDescent="0.2">
      <c r="AR799">
        <v>791</v>
      </c>
      <c r="AS799">
        <v>791</v>
      </c>
      <c r="AT799">
        <v>1</v>
      </c>
      <c r="AU799">
        <v>13.376425962141502</v>
      </c>
      <c r="AV799">
        <v>2.5852648839521332E-3</v>
      </c>
    </row>
    <row r="800" spans="44:48" x14ac:dyDescent="0.2">
      <c r="AR800">
        <v>792</v>
      </c>
      <c r="AS800">
        <v>792</v>
      </c>
      <c r="AT800">
        <v>1</v>
      </c>
      <c r="AU800">
        <v>13.407366493458847</v>
      </c>
      <c r="AV800">
        <v>2.5359856308232705E-3</v>
      </c>
    </row>
    <row r="801" spans="44:48" x14ac:dyDescent="0.2">
      <c r="AR801">
        <v>793</v>
      </c>
      <c r="AS801">
        <v>793</v>
      </c>
      <c r="AT801">
        <v>1</v>
      </c>
      <c r="AU801">
        <v>13.438307024776192</v>
      </c>
      <c r="AV801">
        <v>2.4875173347261941E-3</v>
      </c>
    </row>
    <row r="802" spans="44:48" x14ac:dyDescent="0.2">
      <c r="AR802">
        <v>794</v>
      </c>
      <c r="AS802">
        <v>794</v>
      </c>
      <c r="AT802">
        <v>1</v>
      </c>
      <c r="AU802">
        <v>13.46924755609354</v>
      </c>
      <c r="AV802">
        <v>2.4398494514272116E-3</v>
      </c>
    </row>
    <row r="803" spans="44:48" x14ac:dyDescent="0.2">
      <c r="AR803">
        <v>795</v>
      </c>
      <c r="AS803">
        <v>795</v>
      </c>
      <c r="AT803">
        <v>1</v>
      </c>
      <c r="AU803">
        <v>13.500188087410885</v>
      </c>
      <c r="AV803">
        <v>2.3929715157463122E-3</v>
      </c>
    </row>
    <row r="804" spans="44:48" x14ac:dyDescent="0.2">
      <c r="AR804">
        <v>796</v>
      </c>
      <c r="AS804">
        <v>796</v>
      </c>
      <c r="AT804">
        <v>1</v>
      </c>
      <c r="AU804">
        <v>13.53112861872823</v>
      </c>
      <c r="AV804">
        <v>2.3468731421818468E-3</v>
      </c>
    </row>
    <row r="805" spans="44:48" x14ac:dyDescent="0.2">
      <c r="AR805">
        <v>797</v>
      </c>
      <c r="AS805">
        <v>797</v>
      </c>
      <c r="AT805">
        <v>1</v>
      </c>
      <c r="AU805">
        <v>13.562069150045579</v>
      </c>
      <c r="AV805">
        <v>2.3015440255029058E-3</v>
      </c>
    </row>
    <row r="806" spans="44:48" x14ac:dyDescent="0.2">
      <c r="AR806">
        <v>798</v>
      </c>
      <c r="AS806">
        <v>798</v>
      </c>
      <c r="AT806">
        <v>1</v>
      </c>
      <c r="AU806">
        <v>13.593009681362924</v>
      </c>
      <c r="AV806">
        <v>2.2569739413097816E-3</v>
      </c>
    </row>
    <row r="807" spans="44:48" x14ac:dyDescent="0.2">
      <c r="AR807">
        <v>799</v>
      </c>
      <c r="AS807">
        <v>799</v>
      </c>
      <c r="AT807">
        <v>1</v>
      </c>
      <c r="AU807">
        <v>13.623950212680269</v>
      </c>
      <c r="AV807">
        <v>2.2131527465629355E-3</v>
      </c>
    </row>
    <row r="808" spans="44:48" x14ac:dyDescent="0.2">
      <c r="AR808">
        <v>800</v>
      </c>
      <c r="AS808">
        <v>800</v>
      </c>
      <c r="AT808">
        <v>1</v>
      </c>
      <c r="AU808">
        <v>13.654890743997617</v>
      </c>
      <c r="AV808">
        <v>2.1700703800809707E-3</v>
      </c>
    </row>
    <row r="809" spans="44:48" x14ac:dyDescent="0.2">
      <c r="AR809">
        <v>801</v>
      </c>
      <c r="AS809">
        <v>801</v>
      </c>
      <c r="AT809">
        <v>1</v>
      </c>
      <c r="AU809">
        <v>13.685831275314962</v>
      </c>
      <c r="AV809">
        <v>2.1277168630080426E-3</v>
      </c>
    </row>
    <row r="810" spans="44:48" x14ac:dyDescent="0.2">
      <c r="AR810">
        <v>802</v>
      </c>
      <c r="AS810">
        <v>802</v>
      </c>
      <c r="AT810">
        <v>1</v>
      </c>
      <c r="AU810">
        <v>13.716771806632311</v>
      </c>
      <c r="AV810">
        <v>2.0860822992510987E-3</v>
      </c>
    </row>
    <row r="811" spans="44:48" x14ac:dyDescent="0.2">
      <c r="AR811">
        <v>803</v>
      </c>
      <c r="AS811">
        <v>803</v>
      </c>
      <c r="AT811">
        <v>1</v>
      </c>
      <c r="AU811">
        <v>13.747712337949656</v>
      </c>
      <c r="AV811">
        <v>2.0451568758875125E-3</v>
      </c>
    </row>
    <row r="812" spans="44:48" x14ac:dyDescent="0.2">
      <c r="AR812">
        <v>804</v>
      </c>
      <c r="AS812">
        <v>804</v>
      </c>
      <c r="AT812">
        <v>1</v>
      </c>
      <c r="AU812">
        <v>13.778652869267001</v>
      </c>
      <c r="AV812">
        <v>2.0049308635434388E-3</v>
      </c>
    </row>
    <row r="813" spans="44:48" x14ac:dyDescent="0.2">
      <c r="AR813">
        <v>805</v>
      </c>
      <c r="AS813">
        <v>805</v>
      </c>
      <c r="AT813">
        <v>1</v>
      </c>
      <c r="AU813">
        <v>13.809593400584349</v>
      </c>
      <c r="AV813">
        <v>1.9653946167434541E-3</v>
      </c>
    </row>
    <row r="814" spans="44:48" x14ac:dyDescent="0.2">
      <c r="AR814">
        <v>806</v>
      </c>
      <c r="AS814">
        <v>806</v>
      </c>
      <c r="AT814">
        <v>1</v>
      </c>
      <c r="AU814">
        <v>13.840533931901694</v>
      </c>
      <c r="AV814">
        <v>1.9265385742318825E-3</v>
      </c>
    </row>
    <row r="815" spans="44:48" x14ac:dyDescent="0.2">
      <c r="AR815">
        <v>807</v>
      </c>
      <c r="AS815">
        <v>807</v>
      </c>
      <c r="AT815">
        <v>1</v>
      </c>
      <c r="AU815">
        <v>13.871474463219039</v>
      </c>
      <c r="AV815">
        <v>1.8883532592662586E-3</v>
      </c>
    </row>
    <row r="816" spans="44:48" x14ac:dyDescent="0.2">
      <c r="AR816">
        <v>808</v>
      </c>
      <c r="AS816">
        <v>808</v>
      </c>
      <c r="AT816">
        <v>1</v>
      </c>
      <c r="AU816">
        <v>13.902414994536388</v>
      </c>
      <c r="AV816">
        <v>1.8508292798834198E-3</v>
      </c>
    </row>
    <row r="817" spans="44:48" x14ac:dyDescent="0.2">
      <c r="AR817">
        <v>809</v>
      </c>
      <c r="AS817">
        <v>809</v>
      </c>
      <c r="AT817">
        <v>1</v>
      </c>
      <c r="AU817">
        <v>13.933355525853733</v>
      </c>
      <c r="AV817">
        <v>1.81395732913869E-3</v>
      </c>
    </row>
    <row r="818" spans="44:48" x14ac:dyDescent="0.2">
      <c r="AR818">
        <v>810</v>
      </c>
      <c r="AS818">
        <v>810</v>
      </c>
      <c r="AT818">
        <v>1</v>
      </c>
      <c r="AU818">
        <v>13.964296057171078</v>
      </c>
      <c r="AV818">
        <v>1.7777281853185451E-3</v>
      </c>
    </row>
    <row r="819" spans="44:48" x14ac:dyDescent="0.2">
      <c r="AR819">
        <v>811</v>
      </c>
      <c r="AS819">
        <v>811</v>
      </c>
      <c r="AT819">
        <v>1</v>
      </c>
      <c r="AU819">
        <v>13.995236588488426</v>
      </c>
      <c r="AV819">
        <v>1.7421327121273245E-3</v>
      </c>
    </row>
    <row r="820" spans="44:48" x14ac:dyDescent="0.2">
      <c r="AR820">
        <v>812</v>
      </c>
      <c r="AS820">
        <v>812</v>
      </c>
      <c r="AT820">
        <v>1</v>
      </c>
      <c r="AU820">
        <v>14.026177119805771</v>
      </c>
      <c r="AV820">
        <v>1.7071618588483902E-3</v>
      </c>
    </row>
    <row r="821" spans="44:48" x14ac:dyDescent="0.2">
      <c r="AR821">
        <v>813</v>
      </c>
      <c r="AS821">
        <v>813</v>
      </c>
      <c r="AT821">
        <v>1</v>
      </c>
      <c r="AU821">
        <v>14.05711765112312</v>
      </c>
      <c r="AV821">
        <v>1.6728066604801632E-3</v>
      </c>
    </row>
    <row r="822" spans="44:48" x14ac:dyDescent="0.2">
      <c r="AR822">
        <v>814</v>
      </c>
      <c r="AS822">
        <v>814</v>
      </c>
      <c r="AT822">
        <v>1</v>
      </c>
      <c r="AU822">
        <v>14.088058182440465</v>
      </c>
      <c r="AV822">
        <v>1.6390582378475941E-3</v>
      </c>
    </row>
    <row r="823" spans="44:48" x14ac:dyDescent="0.2">
      <c r="AR823">
        <v>815</v>
      </c>
      <c r="AS823">
        <v>815</v>
      </c>
      <c r="AT823">
        <v>1</v>
      </c>
      <c r="AU823">
        <v>14.11899871375781</v>
      </c>
      <c r="AV823">
        <v>1.6059077976894199E-3</v>
      </c>
    </row>
    <row r="824" spans="44:48" x14ac:dyDescent="0.2">
      <c r="AR824">
        <v>816</v>
      </c>
      <c r="AS824">
        <v>816</v>
      </c>
      <c r="AT824">
        <v>1</v>
      </c>
      <c r="AU824">
        <v>14.149939245075158</v>
      </c>
      <c r="AV824">
        <v>1.5733466327217463E-3</v>
      </c>
    </row>
    <row r="825" spans="44:48" x14ac:dyDescent="0.2">
      <c r="AR825">
        <v>817</v>
      </c>
      <c r="AS825">
        <v>817</v>
      </c>
      <c r="AT825">
        <v>1</v>
      </c>
      <c r="AU825">
        <v>14.180879776392503</v>
      </c>
      <c r="AV825">
        <v>1.5413661216783984E-3</v>
      </c>
    </row>
    <row r="826" spans="44:48" x14ac:dyDescent="0.2">
      <c r="AR826">
        <v>818</v>
      </c>
      <c r="AS826">
        <v>818</v>
      </c>
      <c r="AT826">
        <v>1</v>
      </c>
      <c r="AU826">
        <v>14.211820307709848</v>
      </c>
      <c r="AV826">
        <v>1.5099577293284283E-3</v>
      </c>
    </row>
    <row r="827" spans="44:48" x14ac:dyDescent="0.2">
      <c r="AR827">
        <v>819</v>
      </c>
      <c r="AS827">
        <v>819</v>
      </c>
      <c r="AT827">
        <v>1</v>
      </c>
      <c r="AU827">
        <v>14.242760839027197</v>
      </c>
      <c r="AV827">
        <v>1.4791130064713536E-3</v>
      </c>
    </row>
    <row r="828" spans="44:48" x14ac:dyDescent="0.2">
      <c r="AR828">
        <v>820</v>
      </c>
      <c r="AS828">
        <v>820</v>
      </c>
      <c r="AT828">
        <v>1</v>
      </c>
      <c r="AU828">
        <v>14.273701370344542</v>
      </c>
      <c r="AV828">
        <v>1.448823589910496E-3</v>
      </c>
    </row>
    <row r="829" spans="44:48" x14ac:dyDescent="0.2">
      <c r="AR829">
        <v>821</v>
      </c>
      <c r="AS829">
        <v>821</v>
      </c>
      <c r="AT829">
        <v>1</v>
      </c>
      <c r="AU829">
        <v>14.304641901661887</v>
      </c>
      <c r="AV829">
        <v>1.4190812024048845E-3</v>
      </c>
    </row>
    <row r="830" spans="44:48" x14ac:dyDescent="0.2">
      <c r="AR830">
        <v>822</v>
      </c>
      <c r="AS830">
        <v>822</v>
      </c>
      <c r="AT830">
        <v>1</v>
      </c>
      <c r="AU830">
        <v>14.335582432979235</v>
      </c>
      <c r="AV830">
        <v>1.389877652600214E-3</v>
      </c>
    </row>
    <row r="831" spans="44:48" x14ac:dyDescent="0.2">
      <c r="AR831">
        <v>823</v>
      </c>
      <c r="AS831">
        <v>823</v>
      </c>
      <c r="AT831">
        <v>1</v>
      </c>
      <c r="AU831">
        <v>14.36652296429658</v>
      </c>
      <c r="AV831">
        <v>1.361204834939277E-3</v>
      </c>
    </row>
    <row r="832" spans="44:48" x14ac:dyDescent="0.2">
      <c r="AR832">
        <v>824</v>
      </c>
      <c r="AS832">
        <v>824</v>
      </c>
      <c r="AT832">
        <v>1</v>
      </c>
      <c r="AU832">
        <v>14.397463495613929</v>
      </c>
      <c r="AV832">
        <v>1.3330547295523152E-3</v>
      </c>
    </row>
    <row r="833" spans="44:48" x14ac:dyDescent="0.2">
      <c r="AR833">
        <v>825</v>
      </c>
      <c r="AS833">
        <v>825</v>
      </c>
      <c r="AT833">
        <v>1</v>
      </c>
      <c r="AU833">
        <v>14.428404026931274</v>
      </c>
      <c r="AV833">
        <v>1.3054194021277724E-3</v>
      </c>
    </row>
    <row r="834" spans="44:48" x14ac:dyDescent="0.2">
      <c r="AR834">
        <v>826</v>
      </c>
      <c r="AS834">
        <v>826</v>
      </c>
      <c r="AT834">
        <v>1</v>
      </c>
      <c r="AU834">
        <v>14.459344558248619</v>
      </c>
      <c r="AV834">
        <v>1.2782910037638377E-3</v>
      </c>
    </row>
    <row r="835" spans="44:48" x14ac:dyDescent="0.2">
      <c r="AR835">
        <v>827</v>
      </c>
      <c r="AS835">
        <v>827</v>
      </c>
      <c r="AT835">
        <v>1</v>
      </c>
      <c r="AU835">
        <v>14.490285089565967</v>
      </c>
      <c r="AV835">
        <v>1.2516617708012746E-3</v>
      </c>
    </row>
    <row r="836" spans="44:48" x14ac:dyDescent="0.2">
      <c r="AR836">
        <v>828</v>
      </c>
      <c r="AS836">
        <v>828</v>
      </c>
      <c r="AT836">
        <v>1</v>
      </c>
      <c r="AU836">
        <v>14.521225620883312</v>
      </c>
      <c r="AV836">
        <v>1.2255240246379583E-3</v>
      </c>
    </row>
    <row r="837" spans="44:48" x14ac:dyDescent="0.2">
      <c r="AR837">
        <v>829</v>
      </c>
      <c r="AS837">
        <v>829</v>
      </c>
      <c r="AT837">
        <v>1</v>
      </c>
      <c r="AU837">
        <v>14.552166152200657</v>
      </c>
      <c r="AV837">
        <v>1.1998701715255223E-3</v>
      </c>
    </row>
    <row r="838" spans="44:48" x14ac:dyDescent="0.2">
      <c r="AR838">
        <v>830</v>
      </c>
      <c r="AS838">
        <v>830</v>
      </c>
      <c r="AT838">
        <v>1</v>
      </c>
      <c r="AU838">
        <v>14.583106683518006</v>
      </c>
      <c r="AV838">
        <v>1.1746927023486094E-3</v>
      </c>
    </row>
    <row r="839" spans="44:48" x14ac:dyDescent="0.2">
      <c r="AR839">
        <v>831</v>
      </c>
      <c r="AS839">
        <v>831</v>
      </c>
      <c r="AT839">
        <v>1</v>
      </c>
      <c r="AU839">
        <v>14.614047214835351</v>
      </c>
      <c r="AV839">
        <v>1.1499841923871253E-3</v>
      </c>
    </row>
    <row r="840" spans="44:48" x14ac:dyDescent="0.2">
      <c r="AR840">
        <v>832</v>
      </c>
      <c r="AS840">
        <v>832</v>
      </c>
      <c r="AT840">
        <v>1</v>
      </c>
      <c r="AU840">
        <v>14.644987746152699</v>
      </c>
      <c r="AV840">
        <v>1.1257373010619038E-3</v>
      </c>
    </row>
    <row r="841" spans="44:48" x14ac:dyDescent="0.2">
      <c r="AR841">
        <v>833</v>
      </c>
      <c r="AS841">
        <v>833</v>
      </c>
      <c r="AT841">
        <v>1</v>
      </c>
      <c r="AU841">
        <v>14.675928277470044</v>
      </c>
      <c r="AV841">
        <v>1.1019447716642697E-3</v>
      </c>
    </row>
    <row r="842" spans="44:48" x14ac:dyDescent="0.2">
      <c r="AR842">
        <v>834</v>
      </c>
      <c r="AS842">
        <v>834</v>
      </c>
      <c r="AT842">
        <v>1</v>
      </c>
      <c r="AU842">
        <v>14.706868808787389</v>
      </c>
      <c r="AV842">
        <v>1.0785994310698417E-3</v>
      </c>
    </row>
    <row r="843" spans="44:48" x14ac:dyDescent="0.2">
      <c r="AR843">
        <v>835</v>
      </c>
      <c r="AS843">
        <v>835</v>
      </c>
      <c r="AT843">
        <v>1</v>
      </c>
      <c r="AU843">
        <v>14.737809340104738</v>
      </c>
      <c r="AV843">
        <v>1.0556941894370683E-3</v>
      </c>
    </row>
    <row r="844" spans="44:48" x14ac:dyDescent="0.2">
      <c r="AR844">
        <v>836</v>
      </c>
      <c r="AS844">
        <v>836</v>
      </c>
      <c r="AT844">
        <v>1</v>
      </c>
      <c r="AU844">
        <v>14.768749871422083</v>
      </c>
      <c r="AV844">
        <v>1.0332220398908824E-3</v>
      </c>
    </row>
    <row r="845" spans="44:48" x14ac:dyDescent="0.2">
      <c r="AR845">
        <v>837</v>
      </c>
      <c r="AS845">
        <v>837</v>
      </c>
      <c r="AT845">
        <v>1</v>
      </c>
      <c r="AU845">
        <v>14.799690402739428</v>
      </c>
      <c r="AV845">
        <v>1.0111760581918493E-3</v>
      </c>
    </row>
    <row r="846" spans="44:48" x14ac:dyDescent="0.2">
      <c r="AR846">
        <v>838</v>
      </c>
      <c r="AS846">
        <v>838</v>
      </c>
      <c r="AT846">
        <v>1</v>
      </c>
      <c r="AU846">
        <v>14.830630934056776</v>
      </c>
      <c r="AV846">
        <v>9.8954940239129774E-4</v>
      </c>
    </row>
    <row r="847" spans="44:48" x14ac:dyDescent="0.2">
      <c r="AR847">
        <v>839</v>
      </c>
      <c r="AS847">
        <v>839</v>
      </c>
      <c r="AT847">
        <v>1</v>
      </c>
      <c r="AU847">
        <v>14.861571465374121</v>
      </c>
      <c r="AV847">
        <v>9.6833531247276573E-4</v>
      </c>
    </row>
    <row r="848" spans="44:48" x14ac:dyDescent="0.2">
      <c r="AR848">
        <v>840</v>
      </c>
      <c r="AS848">
        <v>840</v>
      </c>
      <c r="AT848">
        <v>1</v>
      </c>
      <c r="AU848">
        <v>14.892511996691466</v>
      </c>
      <c r="AV848">
        <v>9.4752710998019887E-4</v>
      </c>
    </row>
    <row r="849" spans="44:48" x14ac:dyDescent="0.2">
      <c r="AR849">
        <v>841</v>
      </c>
      <c r="AS849">
        <v>841</v>
      </c>
      <c r="AT849">
        <v>1</v>
      </c>
      <c r="AU849">
        <v>14.923452528008815</v>
      </c>
      <c r="AV849">
        <v>9.271181976332907E-4</v>
      </c>
    </row>
    <row r="850" spans="44:48" x14ac:dyDescent="0.2">
      <c r="AR850">
        <v>842</v>
      </c>
      <c r="AS850">
        <v>842</v>
      </c>
      <c r="AT850">
        <v>1</v>
      </c>
      <c r="AU850">
        <v>14.95439305932616</v>
      </c>
      <c r="AV850">
        <v>9.0710205893036223E-4</v>
      </c>
    </row>
    <row r="851" spans="44:48" x14ac:dyDescent="0.2">
      <c r="AR851">
        <v>843</v>
      </c>
      <c r="AS851">
        <v>843</v>
      </c>
      <c r="AT851">
        <v>1</v>
      </c>
      <c r="AU851">
        <v>14.985333590643508</v>
      </c>
      <c r="AV851">
        <v>8.8747225773915092E-4</v>
      </c>
    </row>
    <row r="852" spans="44:48" x14ac:dyDescent="0.2">
      <c r="AR852">
        <v>844</v>
      </c>
      <c r="AS852">
        <v>844</v>
      </c>
      <c r="AT852">
        <v>1</v>
      </c>
      <c r="AU852">
        <v>15.016274121960853</v>
      </c>
      <c r="AV852">
        <v>8.6822243787593677E-4</v>
      </c>
    </row>
    <row r="853" spans="44:48" x14ac:dyDescent="0.2">
      <c r="AR853">
        <v>845</v>
      </c>
      <c r="AS853">
        <v>845</v>
      </c>
      <c r="AT853">
        <v>1</v>
      </c>
      <c r="AU853">
        <v>15.047214653278198</v>
      </c>
      <c r="AV853">
        <v>8.4934632267332378E-4</v>
      </c>
    </row>
    <row r="854" spans="44:48" x14ac:dyDescent="0.2">
      <c r="AR854">
        <v>846</v>
      </c>
      <c r="AS854">
        <v>846</v>
      </c>
      <c r="AT854">
        <v>1</v>
      </c>
      <c r="AU854">
        <v>15.078155184595547</v>
      </c>
      <c r="AV854">
        <v>8.3083771453712246E-4</v>
      </c>
    </row>
    <row r="855" spans="44:48" x14ac:dyDescent="0.2">
      <c r="AR855">
        <v>847</v>
      </c>
      <c r="AS855">
        <v>847</v>
      </c>
      <c r="AT855">
        <v>1</v>
      </c>
      <c r="AU855">
        <v>15.109095715912892</v>
      </c>
      <c r="AV855">
        <v>8.1269049449266516E-4</v>
      </c>
    </row>
    <row r="856" spans="44:48" x14ac:dyDescent="0.2">
      <c r="AR856">
        <v>848</v>
      </c>
      <c r="AS856">
        <v>848</v>
      </c>
      <c r="AT856">
        <v>1</v>
      </c>
      <c r="AU856">
        <v>15.140036247230237</v>
      </c>
      <c r="AV856">
        <v>7.9489862172090863E-4</v>
      </c>
    </row>
    <row r="857" spans="44:48" x14ac:dyDescent="0.2">
      <c r="AR857">
        <v>849</v>
      </c>
      <c r="AS857">
        <v>849</v>
      </c>
      <c r="AT857">
        <v>1</v>
      </c>
      <c r="AU857">
        <v>15.170976778547585</v>
      </c>
      <c r="AV857">
        <v>7.7745613308474347E-4</v>
      </c>
    </row>
    <row r="858" spans="44:48" x14ac:dyDescent="0.2">
      <c r="AR858">
        <v>850</v>
      </c>
      <c r="AS858">
        <v>850</v>
      </c>
      <c r="AT858">
        <v>1</v>
      </c>
      <c r="AU858">
        <v>15.20191730986493</v>
      </c>
      <c r="AV858">
        <v>7.6035714264582237E-4</v>
      </c>
    </row>
    <row r="859" spans="44:48" x14ac:dyDescent="0.2">
      <c r="AR859">
        <v>851</v>
      </c>
      <c r="AS859">
        <v>851</v>
      </c>
      <c r="AT859">
        <v>1</v>
      </c>
      <c r="AU859">
        <v>15.232857841182275</v>
      </c>
      <c r="AV859">
        <v>7.4359584117226877E-4</v>
      </c>
    </row>
    <row r="860" spans="44:48" x14ac:dyDescent="0.2">
      <c r="AR860">
        <v>852</v>
      </c>
      <c r="AS860">
        <v>852</v>
      </c>
      <c r="AT860">
        <v>1</v>
      </c>
      <c r="AU860">
        <v>15.263798372499624</v>
      </c>
      <c r="AV860">
        <v>7.2716649563763511E-4</v>
      </c>
    </row>
    <row r="861" spans="44:48" x14ac:dyDescent="0.2">
      <c r="AR861">
        <v>853</v>
      </c>
      <c r="AS861">
        <v>853</v>
      </c>
      <c r="AT861">
        <v>1</v>
      </c>
      <c r="AU861">
        <v>15.294738903816969</v>
      </c>
      <c r="AV861">
        <v>7.1106344871145358E-4</v>
      </c>
    </row>
    <row r="862" spans="44:48" x14ac:dyDescent="0.2">
      <c r="AR862">
        <v>854</v>
      </c>
      <c r="AS862">
        <v>854</v>
      </c>
      <c r="AT862">
        <v>1</v>
      </c>
      <c r="AU862">
        <v>15.325679435134317</v>
      </c>
      <c r="AV862">
        <v>6.9528111824169103E-4</v>
      </c>
    </row>
    <row r="863" spans="44:48" x14ac:dyDescent="0.2">
      <c r="AR863">
        <v>855</v>
      </c>
      <c r="AS863">
        <v>855</v>
      </c>
      <c r="AT863">
        <v>1</v>
      </c>
      <c r="AU863">
        <v>15.356619966451662</v>
      </c>
      <c r="AV863">
        <v>6.7981399672949736E-4</v>
      </c>
    </row>
    <row r="864" spans="44:48" x14ac:dyDescent="0.2">
      <c r="AR864">
        <v>856</v>
      </c>
      <c r="AS864">
        <v>856</v>
      </c>
      <c r="AT864">
        <v>1</v>
      </c>
      <c r="AU864">
        <v>15.387560497769007</v>
      </c>
      <c r="AV864">
        <v>6.6465665079651901E-4</v>
      </c>
    </row>
    <row r="865" spans="44:48" x14ac:dyDescent="0.2">
      <c r="AR865">
        <v>857</v>
      </c>
      <c r="AS865">
        <v>857</v>
      </c>
      <c r="AT865">
        <v>1</v>
      </c>
      <c r="AU865">
        <v>15.418501029086356</v>
      </c>
      <c r="AV865">
        <v>6.4980372064516053E-4</v>
      </c>
    </row>
    <row r="866" spans="44:48" x14ac:dyDescent="0.2">
      <c r="AR866">
        <v>858</v>
      </c>
      <c r="AS866">
        <v>858</v>
      </c>
      <c r="AT866">
        <v>1</v>
      </c>
      <c r="AU866">
        <v>15.449441560403701</v>
      </c>
      <c r="AV866">
        <v>6.3524991951208795E-4</v>
      </c>
    </row>
    <row r="867" spans="44:48" x14ac:dyDescent="0.2">
      <c r="AR867">
        <v>859</v>
      </c>
      <c r="AS867">
        <v>859</v>
      </c>
      <c r="AT867">
        <v>1</v>
      </c>
      <c r="AU867">
        <v>15.480382091721046</v>
      </c>
      <c r="AV867">
        <v>6.2099003311527699E-4</v>
      </c>
    </row>
    <row r="868" spans="44:48" x14ac:dyDescent="0.2">
      <c r="AR868">
        <v>860</v>
      </c>
      <c r="AS868">
        <v>860</v>
      </c>
      <c r="AT868">
        <v>1</v>
      </c>
      <c r="AU868">
        <v>15.511322623038394</v>
      </c>
      <c r="AV868">
        <v>6.0701891909496373E-4</v>
      </c>
    </row>
    <row r="869" spans="44:48" x14ac:dyDescent="0.2">
      <c r="AR869">
        <v>861</v>
      </c>
      <c r="AS869">
        <v>861</v>
      </c>
      <c r="AT869">
        <v>1</v>
      </c>
      <c r="AU869">
        <v>15.542263154355739</v>
      </c>
      <c r="AV869">
        <v>5.9333150644876953E-4</v>
      </c>
    </row>
    <row r="870" spans="44:48" x14ac:dyDescent="0.2">
      <c r="AR870">
        <v>862</v>
      </c>
      <c r="AS870">
        <v>862</v>
      </c>
      <c r="AT870">
        <v>1</v>
      </c>
      <c r="AU870">
        <v>15.573203685673084</v>
      </c>
      <c r="AV870">
        <v>5.7992279496130964E-4</v>
      </c>
    </row>
    <row r="871" spans="44:48" x14ac:dyDescent="0.2">
      <c r="AR871">
        <v>863</v>
      </c>
      <c r="AS871">
        <v>863</v>
      </c>
      <c r="AT871">
        <v>1</v>
      </c>
      <c r="AU871">
        <v>15.604144216990433</v>
      </c>
      <c r="AV871">
        <v>5.6678785462859795E-4</v>
      </c>
    </row>
    <row r="872" spans="44:48" x14ac:dyDescent="0.2">
      <c r="AR872">
        <v>864</v>
      </c>
      <c r="AS872">
        <v>864</v>
      </c>
      <c r="AT872">
        <v>1</v>
      </c>
      <c r="AU872">
        <v>15.635084748307778</v>
      </c>
      <c r="AV872">
        <v>5.5392182507753437E-4</v>
      </c>
    </row>
    <row r="873" spans="44:48" x14ac:dyDescent="0.2">
      <c r="AR873">
        <v>865</v>
      </c>
      <c r="AS873">
        <v>865</v>
      </c>
      <c r="AT873">
        <v>1</v>
      </c>
      <c r="AU873">
        <v>15.666025279625126</v>
      </c>
      <c r="AV873">
        <v>5.4131991498074586E-4</v>
      </c>
    </row>
    <row r="874" spans="44:48" x14ac:dyDescent="0.2">
      <c r="AR874">
        <v>866</v>
      </c>
      <c r="AS874">
        <v>866</v>
      </c>
      <c r="AT874">
        <v>1</v>
      </c>
      <c r="AU874">
        <v>15.696965810942471</v>
      </c>
      <c r="AV874">
        <v>5.2897740146711034E-4</v>
      </c>
    </row>
    <row r="875" spans="44:48" x14ac:dyDescent="0.2">
      <c r="AR875">
        <v>867</v>
      </c>
      <c r="AS875">
        <v>867</v>
      </c>
      <c r="AT875">
        <v>1</v>
      </c>
      <c r="AU875">
        <v>15.727906342259816</v>
      </c>
      <c r="AV875">
        <v>5.1688962952818281E-4</v>
      </c>
    </row>
    <row r="876" spans="44:48" x14ac:dyDescent="0.2">
      <c r="AR876">
        <v>868</v>
      </c>
      <c r="AS876">
        <v>868</v>
      </c>
      <c r="AT876">
        <v>1</v>
      </c>
      <c r="AU876">
        <v>15.758846873577165</v>
      </c>
      <c r="AV876">
        <v>5.0505201142084916E-4</v>
      </c>
    </row>
    <row r="877" spans="44:48" x14ac:dyDescent="0.2">
      <c r="AR877">
        <v>869</v>
      </c>
      <c r="AS877">
        <v>869</v>
      </c>
      <c r="AT877">
        <v>1</v>
      </c>
      <c r="AU877">
        <v>15.789787404894509</v>
      </c>
      <c r="AV877">
        <v>4.9346002606645469E-4</v>
      </c>
    </row>
    <row r="878" spans="44:48" x14ac:dyDescent="0.2">
      <c r="AR878">
        <v>870</v>
      </c>
      <c r="AS878">
        <v>870</v>
      </c>
      <c r="AT878">
        <v>1</v>
      </c>
      <c r="AU878">
        <v>15.820727936211854</v>
      </c>
      <c r="AV878">
        <v>4.8210921844666168E-4</v>
      </c>
    </row>
    <row r="879" spans="44:48" x14ac:dyDescent="0.2">
      <c r="AR879">
        <v>871</v>
      </c>
      <c r="AS879">
        <v>871</v>
      </c>
      <c r="AT879">
        <v>1</v>
      </c>
      <c r="AU879">
        <v>15.851668467529203</v>
      </c>
      <c r="AV879">
        <v>4.7099519899632071E-4</v>
      </c>
    </row>
    <row r="880" spans="44:48" x14ac:dyDescent="0.2">
      <c r="AR880">
        <v>872</v>
      </c>
      <c r="AS880">
        <v>872</v>
      </c>
      <c r="AT880">
        <v>1</v>
      </c>
      <c r="AU880">
        <v>15.882608998846548</v>
      </c>
      <c r="AV880">
        <v>4.6011364299359598E-4</v>
      </c>
    </row>
    <row r="881" spans="44:48" x14ac:dyDescent="0.2">
      <c r="AR881">
        <v>873</v>
      </c>
      <c r="AS881">
        <v>873</v>
      </c>
      <c r="AT881">
        <v>1</v>
      </c>
      <c r="AU881">
        <v>15.913549530163893</v>
      </c>
      <c r="AV881">
        <v>4.4946028994758552E-4</v>
      </c>
    </row>
    <row r="882" spans="44:48" x14ac:dyDescent="0.2">
      <c r="AR882">
        <v>874</v>
      </c>
      <c r="AS882">
        <v>874</v>
      </c>
      <c r="AT882">
        <v>1</v>
      </c>
      <c r="AU882">
        <v>15.944490061481241</v>
      </c>
      <c r="AV882">
        <v>4.390309429837007E-4</v>
      </c>
    </row>
    <row r="883" spans="44:48" x14ac:dyDescent="0.2">
      <c r="AR883">
        <v>875</v>
      </c>
      <c r="AS883">
        <v>875</v>
      </c>
      <c r="AT883">
        <v>1</v>
      </c>
      <c r="AU883">
        <v>15.975430592798586</v>
      </c>
      <c r="AV883">
        <v>4.2882146822703995E-4</v>
      </c>
    </row>
    <row r="884" spans="44:48" x14ac:dyDescent="0.2">
      <c r="AR884">
        <v>876</v>
      </c>
      <c r="AS884">
        <v>876</v>
      </c>
      <c r="AT884">
        <v>1</v>
      </c>
      <c r="AU884">
        <v>16.006371124115937</v>
      </c>
      <c r="AV884">
        <v>4.1882779418397068E-4</v>
      </c>
    </row>
    <row r="885" spans="44:48" x14ac:dyDescent="0.2">
      <c r="AR885">
        <v>877</v>
      </c>
      <c r="AS885">
        <v>877</v>
      </c>
      <c r="AT885">
        <v>1</v>
      </c>
      <c r="AU885">
        <v>16.037311655433278</v>
      </c>
      <c r="AV885">
        <v>4.0904591112219313E-4</v>
      </c>
    </row>
    <row r="886" spans="44:48" x14ac:dyDescent="0.2">
      <c r="AR886">
        <v>878</v>
      </c>
      <c r="AS886">
        <v>878</v>
      </c>
      <c r="AT886">
        <v>1</v>
      </c>
      <c r="AU886">
        <v>16.068252186750627</v>
      </c>
      <c r="AV886">
        <v>3.9947187044945127E-4</v>
      </c>
    </row>
    <row r="887" spans="44:48" x14ac:dyDescent="0.2">
      <c r="AR887">
        <v>879</v>
      </c>
      <c r="AS887">
        <v>879</v>
      </c>
      <c r="AT887">
        <v>1</v>
      </c>
      <c r="AU887">
        <v>16.099192718067975</v>
      </c>
      <c r="AV887">
        <v>3.9010178409118397E-4</v>
      </c>
    </row>
    <row r="888" spans="44:48" x14ac:dyDescent="0.2">
      <c r="AR888">
        <v>880</v>
      </c>
      <c r="AS888">
        <v>880</v>
      </c>
      <c r="AT888">
        <v>1</v>
      </c>
      <c r="AU888">
        <v>16.130133249385317</v>
      </c>
      <c r="AV888">
        <v>3.8093182386726943E-4</v>
      </c>
    </row>
    <row r="889" spans="44:48" x14ac:dyDescent="0.2">
      <c r="AR889">
        <v>881</v>
      </c>
      <c r="AS889">
        <v>881</v>
      </c>
      <c r="AT889">
        <v>1</v>
      </c>
      <c r="AU889">
        <v>16.161073780702665</v>
      </c>
      <c r="AV889">
        <v>3.7195822086809902E-4</v>
      </c>
    </row>
    <row r="890" spans="44:48" x14ac:dyDescent="0.2">
      <c r="AR890">
        <v>882</v>
      </c>
      <c r="AS890">
        <v>882</v>
      </c>
      <c r="AT890">
        <v>1</v>
      </c>
      <c r="AU890">
        <v>16.192014312020014</v>
      </c>
      <c r="AV890">
        <v>3.6317726483020622E-4</v>
      </c>
    </row>
    <row r="891" spans="44:48" x14ac:dyDescent="0.2">
      <c r="AR891">
        <v>883</v>
      </c>
      <c r="AS891">
        <v>883</v>
      </c>
      <c r="AT891">
        <v>1</v>
      </c>
      <c r="AU891">
        <v>16.222954843337355</v>
      </c>
      <c r="AV891">
        <v>3.5458530351162006E-4</v>
      </c>
    </row>
    <row r="892" spans="44:48" x14ac:dyDescent="0.2">
      <c r="AR892">
        <v>884</v>
      </c>
      <c r="AS892">
        <v>884</v>
      </c>
      <c r="AT892">
        <v>1</v>
      </c>
      <c r="AU892">
        <v>16.253895374654704</v>
      </c>
      <c r="AV892">
        <v>3.4617874206714665E-4</v>
      </c>
    </row>
    <row r="893" spans="44:48" x14ac:dyDescent="0.2">
      <c r="AR893">
        <v>885</v>
      </c>
      <c r="AS893">
        <v>885</v>
      </c>
      <c r="AT893">
        <v>1</v>
      </c>
      <c r="AU893">
        <v>16.284835905972052</v>
      </c>
      <c r="AV893">
        <v>3.3795404242380385E-4</v>
      </c>
    </row>
    <row r="894" spans="44:48" x14ac:dyDescent="0.2">
      <c r="AR894">
        <v>886</v>
      </c>
      <c r="AS894">
        <v>886</v>
      </c>
      <c r="AT894">
        <v>1</v>
      </c>
      <c r="AU894">
        <v>16.315776437289394</v>
      </c>
      <c r="AV894">
        <v>3.2990772265655E-4</v>
      </c>
    </row>
    <row r="895" spans="44:48" x14ac:dyDescent="0.2">
      <c r="AR895">
        <v>887</v>
      </c>
      <c r="AS895">
        <v>887</v>
      </c>
      <c r="AT895">
        <v>1</v>
      </c>
      <c r="AU895">
        <v>16.346716968606742</v>
      </c>
      <c r="AV895">
        <v>3.2203635636451563E-4</v>
      </c>
    </row>
    <row r="896" spans="44:48" x14ac:dyDescent="0.2">
      <c r="AR896">
        <v>888</v>
      </c>
      <c r="AS896">
        <v>888</v>
      </c>
      <c r="AT896">
        <v>1</v>
      </c>
      <c r="AU896">
        <v>16.377657499924091</v>
      </c>
      <c r="AV896">
        <v>3.1433657204792923E-4</v>
      </c>
    </row>
    <row r="897" spans="44:48" x14ac:dyDescent="0.2">
      <c r="AR897">
        <v>889</v>
      </c>
      <c r="AS897">
        <v>889</v>
      </c>
      <c r="AT897">
        <v>1</v>
      </c>
      <c r="AU897">
        <v>16.408598031241432</v>
      </c>
      <c r="AV897">
        <v>3.0680505248588012E-4</v>
      </c>
    </row>
    <row r="898" spans="44:48" x14ac:dyDescent="0.2">
      <c r="AR898">
        <v>890</v>
      </c>
      <c r="AS898">
        <v>890</v>
      </c>
      <c r="AT898">
        <v>1</v>
      </c>
      <c r="AU898">
        <v>16.439538562558781</v>
      </c>
      <c r="AV898">
        <v>2.9943853411510519E-4</v>
      </c>
    </row>
    <row r="899" spans="44:48" x14ac:dyDescent="0.2">
      <c r="AR899">
        <v>891</v>
      </c>
      <c r="AS899">
        <v>891</v>
      </c>
      <c r="AT899">
        <v>1</v>
      </c>
      <c r="AU899">
        <v>16.470479093876129</v>
      </c>
      <c r="AV899">
        <v>2.9223380640997968E-4</v>
      </c>
    </row>
    <row r="900" spans="44:48" x14ac:dyDescent="0.2">
      <c r="AR900">
        <v>892</v>
      </c>
      <c r="AS900">
        <v>892</v>
      </c>
      <c r="AT900">
        <v>1</v>
      </c>
      <c r="AU900">
        <v>16.501419625193471</v>
      </c>
      <c r="AV900">
        <v>2.8518771126384373E-4</v>
      </c>
    </row>
    <row r="901" spans="44:48" x14ac:dyDescent="0.2">
      <c r="AR901">
        <v>893</v>
      </c>
      <c r="AS901">
        <v>893</v>
      </c>
      <c r="AT901">
        <v>1</v>
      </c>
      <c r="AU901">
        <v>16.532360156510819</v>
      </c>
      <c r="AV901">
        <v>2.7829714237183426E-4</v>
      </c>
    </row>
    <row r="902" spans="44:48" x14ac:dyDescent="0.2">
      <c r="AR902">
        <v>894</v>
      </c>
      <c r="AS902">
        <v>894</v>
      </c>
      <c r="AT902">
        <v>1</v>
      </c>
      <c r="AU902">
        <v>16.563300687828168</v>
      </c>
      <c r="AV902">
        <v>2.7155904461539227E-4</v>
      </c>
    </row>
    <row r="903" spans="44:48" x14ac:dyDescent="0.2">
      <c r="AR903">
        <v>895</v>
      </c>
      <c r="AS903">
        <v>895</v>
      </c>
      <c r="AT903">
        <v>1</v>
      </c>
      <c r="AU903">
        <v>16.594241219145516</v>
      </c>
      <c r="AV903">
        <v>2.6497041344856191E-4</v>
      </c>
    </row>
    <row r="904" spans="44:48" x14ac:dyDescent="0.2">
      <c r="AR904">
        <v>896</v>
      </c>
      <c r="AS904">
        <v>896</v>
      </c>
      <c r="AT904">
        <v>1</v>
      </c>
      <c r="AU904">
        <v>16.625181750462858</v>
      </c>
      <c r="AV904">
        <v>2.5852829428624891E-4</v>
      </c>
    </row>
    <row r="905" spans="44:48" x14ac:dyDescent="0.2">
      <c r="AR905">
        <v>897</v>
      </c>
      <c r="AS905">
        <v>897</v>
      </c>
      <c r="AT905">
        <v>1</v>
      </c>
      <c r="AU905">
        <v>16.656122281780206</v>
      </c>
      <c r="AV905">
        <v>2.5222978189456464E-4</v>
      </c>
    </row>
    <row r="906" spans="44:48" x14ac:dyDescent="0.2">
      <c r="AR906">
        <v>898</v>
      </c>
      <c r="AS906">
        <v>898</v>
      </c>
      <c r="AT906">
        <v>1</v>
      </c>
      <c r="AU906">
        <v>16.687062813097555</v>
      </c>
      <c r="AV906">
        <v>2.4607201978341016E-4</v>
      </c>
    </row>
    <row r="907" spans="44:48" x14ac:dyDescent="0.2">
      <c r="AR907">
        <v>899</v>
      </c>
      <c r="AS907">
        <v>899</v>
      </c>
      <c r="AT907">
        <v>1</v>
      </c>
      <c r="AU907">
        <v>16.718003344414896</v>
      </c>
      <c r="AV907">
        <v>2.4005219960140548E-4</v>
      </c>
    </row>
    <row r="908" spans="44:48" x14ac:dyDescent="0.2">
      <c r="AR908">
        <v>900</v>
      </c>
      <c r="AS908">
        <v>900</v>
      </c>
      <c r="AT908">
        <v>1</v>
      </c>
      <c r="AU908">
        <v>16.748943875732245</v>
      </c>
      <c r="AV908">
        <v>2.3416756053330881E-4</v>
      </c>
    </row>
    <row r="909" spans="44:48" x14ac:dyDescent="0.2">
      <c r="AR909">
        <v>901</v>
      </c>
      <c r="AS909">
        <v>901</v>
      </c>
      <c r="AT909">
        <v>1</v>
      </c>
      <c r="AU909">
        <v>16.779884407049593</v>
      </c>
      <c r="AV909">
        <v>2.2841538870005472E-4</v>
      </c>
    </row>
    <row r="910" spans="44:48" x14ac:dyDescent="0.2">
      <c r="AR910">
        <v>902</v>
      </c>
      <c r="AS910">
        <v>902</v>
      </c>
      <c r="AT910">
        <v>1</v>
      </c>
      <c r="AU910">
        <v>16.810824938366935</v>
      </c>
      <c r="AV910">
        <v>2.2279301656151273E-4</v>
      </c>
    </row>
    <row r="911" spans="44:48" x14ac:dyDescent="0.2">
      <c r="AR911">
        <v>903</v>
      </c>
      <c r="AS911">
        <v>903</v>
      </c>
      <c r="AT911">
        <v>1</v>
      </c>
      <c r="AU911">
        <v>16.841765469684283</v>
      </c>
      <c r="AV911">
        <v>2.1729782232208944E-4</v>
      </c>
    </row>
    <row r="912" spans="44:48" x14ac:dyDescent="0.2">
      <c r="AR912">
        <v>904</v>
      </c>
      <c r="AS912">
        <v>904</v>
      </c>
      <c r="AT912">
        <v>1</v>
      </c>
      <c r="AU912">
        <v>16.872706001001632</v>
      </c>
      <c r="AV912">
        <v>2.1192722933930129E-4</v>
      </c>
    </row>
    <row r="913" spans="44:48" x14ac:dyDescent="0.2">
      <c r="AR913">
        <v>905</v>
      </c>
      <c r="AS913">
        <v>905</v>
      </c>
      <c r="AT913">
        <v>1</v>
      </c>
      <c r="AU913">
        <v>16.903646532318973</v>
      </c>
      <c r="AV913">
        <v>2.0667870553540049E-4</v>
      </c>
    </row>
    <row r="914" spans="44:48" x14ac:dyDescent="0.2">
      <c r="AR914">
        <v>906</v>
      </c>
      <c r="AS914">
        <v>906</v>
      </c>
      <c r="AT914">
        <v>1</v>
      </c>
      <c r="AU914">
        <v>16.934587063636322</v>
      </c>
      <c r="AV914">
        <v>2.0154976281217142E-4</v>
      </c>
    </row>
    <row r="915" spans="44:48" x14ac:dyDescent="0.2">
      <c r="AR915">
        <v>907</v>
      </c>
      <c r="AS915">
        <v>907</v>
      </c>
      <c r="AT915">
        <v>1</v>
      </c>
      <c r="AU915">
        <v>16.96552759495367</v>
      </c>
      <c r="AV915">
        <v>1.9653795646900764E-4</v>
      </c>
    </row>
    <row r="916" spans="44:48" x14ac:dyDescent="0.2">
      <c r="AR916">
        <v>908</v>
      </c>
      <c r="AS916">
        <v>908</v>
      </c>
      <c r="AT916">
        <v>1</v>
      </c>
      <c r="AU916">
        <v>16.996468126271012</v>
      </c>
      <c r="AV916">
        <v>1.9164088462434687E-4</v>
      </c>
    </row>
    <row r="917" spans="44:48" x14ac:dyDescent="0.2">
      <c r="AR917">
        <v>909</v>
      </c>
      <c r="AS917" t="e">
        <v>#N/A</v>
      </c>
      <c r="AT917" t="e">
        <v>#N/A</v>
      </c>
      <c r="AU917" t="e">
        <v>#N/A</v>
      </c>
      <c r="AV917" t="e">
        <v>#N/A</v>
      </c>
    </row>
    <row r="918" spans="44:48" x14ac:dyDescent="0.2">
      <c r="AR918">
        <v>910</v>
      </c>
      <c r="AS918">
        <v>1</v>
      </c>
      <c r="AT918">
        <v>2</v>
      </c>
      <c r="AU918">
        <v>-11.066593778562057</v>
      </c>
      <c r="AV918">
        <v>1.7101452972453682E-4</v>
      </c>
    </row>
    <row r="919" spans="44:48" x14ac:dyDescent="0.2">
      <c r="AR919">
        <v>911</v>
      </c>
      <c r="AS919">
        <v>2</v>
      </c>
      <c r="AT919">
        <v>2</v>
      </c>
      <c r="AU919">
        <v>-11.03565324724471</v>
      </c>
      <c r="AV919">
        <v>1.7545007399451246E-4</v>
      </c>
    </row>
    <row r="920" spans="44:48" x14ac:dyDescent="0.2">
      <c r="AR920">
        <v>912</v>
      </c>
      <c r="AS920">
        <v>3</v>
      </c>
      <c r="AT920">
        <v>2</v>
      </c>
      <c r="AU920">
        <v>-11.004712715927365</v>
      </c>
      <c r="AV920">
        <v>1.7999127553895863E-4</v>
      </c>
    </row>
    <row r="921" spans="44:48" x14ac:dyDescent="0.2">
      <c r="AR921">
        <v>913</v>
      </c>
      <c r="AS921">
        <v>4</v>
      </c>
      <c r="AT921">
        <v>2</v>
      </c>
      <c r="AU921">
        <v>-10.973772184610018</v>
      </c>
      <c r="AV921">
        <v>1.8464038938287948E-4</v>
      </c>
    </row>
    <row r="922" spans="44:48" x14ac:dyDescent="0.2">
      <c r="AR922">
        <v>914</v>
      </c>
      <c r="AS922">
        <v>5</v>
      </c>
      <c r="AT922">
        <v>2</v>
      </c>
      <c r="AU922">
        <v>-10.942831653292671</v>
      </c>
      <c r="AV922">
        <v>1.8939971175929956E-4</v>
      </c>
    </row>
    <row r="923" spans="44:48" x14ac:dyDescent="0.2">
      <c r="AR923">
        <v>915</v>
      </c>
      <c r="AS923">
        <v>6</v>
      </c>
      <c r="AT923">
        <v>2</v>
      </c>
      <c r="AU923">
        <v>-10.911891121975325</v>
      </c>
      <c r="AV923">
        <v>1.9427158068854657E-4</v>
      </c>
    </row>
    <row r="924" spans="44:48" x14ac:dyDescent="0.2">
      <c r="AR924">
        <v>916</v>
      </c>
      <c r="AS924">
        <v>7</v>
      </c>
      <c r="AT924">
        <v>2</v>
      </c>
      <c r="AU924">
        <v>-10.88095059065798</v>
      </c>
      <c r="AV924">
        <v>1.9925837656144458E-4</v>
      </c>
    </row>
    <row r="925" spans="44:48" x14ac:dyDescent="0.2">
      <c r="AR925">
        <v>917</v>
      </c>
      <c r="AS925">
        <v>8</v>
      </c>
      <c r="AT925">
        <v>2</v>
      </c>
      <c r="AU925">
        <v>-10.850010059340633</v>
      </c>
      <c r="AV925">
        <v>2.0436252272633848E-4</v>
      </c>
    </row>
    <row r="926" spans="44:48" x14ac:dyDescent="0.2">
      <c r="AR926">
        <v>918</v>
      </c>
      <c r="AS926">
        <v>9</v>
      </c>
      <c r="AT926">
        <v>2</v>
      </c>
      <c r="AU926">
        <v>-10.819069528023286</v>
      </c>
      <c r="AV926">
        <v>2.0958648607985586E-4</v>
      </c>
    </row>
    <row r="927" spans="44:48" x14ac:dyDescent="0.2">
      <c r="AR927">
        <v>919</v>
      </c>
      <c r="AS927">
        <v>10</v>
      </c>
      <c r="AT927">
        <v>2</v>
      </c>
      <c r="AU927">
        <v>-10.788128996705939</v>
      </c>
      <c r="AV927">
        <v>2.1493277766132171E-4</v>
      </c>
    </row>
    <row r="928" spans="44:48" x14ac:dyDescent="0.2">
      <c r="AR928">
        <v>920</v>
      </c>
      <c r="AS928">
        <v>11</v>
      </c>
      <c r="AT928">
        <v>2</v>
      </c>
      <c r="AU928">
        <v>-10.757188465388595</v>
      </c>
      <c r="AV928">
        <v>2.2040395325072685E-4</v>
      </c>
    </row>
    <row r="929" spans="44:48" x14ac:dyDescent="0.2">
      <c r="AR929">
        <v>921</v>
      </c>
      <c r="AS929">
        <v>12</v>
      </c>
      <c r="AT929">
        <v>2</v>
      </c>
      <c r="AU929">
        <v>-10.726247934071248</v>
      </c>
      <c r="AV929">
        <v>2.2600261397015252E-4</v>
      </c>
    </row>
    <row r="930" spans="44:48" x14ac:dyDescent="0.2">
      <c r="AR930">
        <v>922</v>
      </c>
      <c r="AS930">
        <v>13</v>
      </c>
      <c r="AT930">
        <v>2</v>
      </c>
      <c r="AU930">
        <v>-10.695307402753901</v>
      </c>
      <c r="AV930">
        <v>2.3173140688854865E-4</v>
      </c>
    </row>
    <row r="931" spans="44:48" x14ac:dyDescent="0.2">
      <c r="AR931">
        <v>923</v>
      </c>
      <c r="AS931">
        <v>14</v>
      </c>
      <c r="AT931">
        <v>2</v>
      </c>
      <c r="AU931">
        <v>-10.664366871436556</v>
      </c>
      <c r="AV931">
        <v>2.3759302562976063E-4</v>
      </c>
    </row>
    <row r="932" spans="44:48" x14ac:dyDescent="0.2">
      <c r="AR932">
        <v>924</v>
      </c>
      <c r="AS932">
        <v>15</v>
      </c>
      <c r="AT932">
        <v>2</v>
      </c>
      <c r="AU932">
        <v>-10.633426340119209</v>
      </c>
      <c r="AV932">
        <v>2.4359021098369364E-4</v>
      </c>
    </row>
    <row r="933" spans="44:48" x14ac:dyDescent="0.2">
      <c r="AR933">
        <v>925</v>
      </c>
      <c r="AS933">
        <v>16</v>
      </c>
      <c r="AT933">
        <v>2</v>
      </c>
      <c r="AU933">
        <v>-10.602485808801863</v>
      </c>
      <c r="AV933">
        <v>2.4972575152049954E-4</v>
      </c>
    </row>
    <row r="934" spans="44:48" x14ac:dyDescent="0.2">
      <c r="AR934">
        <v>926</v>
      </c>
      <c r="AS934">
        <v>17</v>
      </c>
      <c r="AT934">
        <v>2</v>
      </c>
      <c r="AU934">
        <v>-10.571545277484516</v>
      </c>
      <c r="AV934">
        <v>2.5600248420767072E-4</v>
      </c>
    </row>
    <row r="935" spans="44:48" x14ac:dyDescent="0.2">
      <c r="AR935">
        <v>927</v>
      </c>
      <c r="AS935">
        <v>18</v>
      </c>
      <c r="AT935">
        <v>2</v>
      </c>
      <c r="AU935">
        <v>-10.540604746167171</v>
      </c>
      <c r="AV935">
        <v>2.6242329502991474E-4</v>
      </c>
    </row>
    <row r="936" spans="44:48" x14ac:dyDescent="0.2">
      <c r="AR936">
        <v>928</v>
      </c>
      <c r="AS936">
        <v>19</v>
      </c>
      <c r="AT936">
        <v>2</v>
      </c>
      <c r="AU936">
        <v>-10.509664214849824</v>
      </c>
      <c r="AV936">
        <v>2.6899111961168931E-4</v>
      </c>
    </row>
    <row r="937" spans="44:48" x14ac:dyDescent="0.2">
      <c r="AR937">
        <v>929</v>
      </c>
      <c r="AS937">
        <v>20</v>
      </c>
      <c r="AT937">
        <v>2</v>
      </c>
      <c r="AU937">
        <v>-10.478723683532477</v>
      </c>
      <c r="AV937">
        <v>2.7570894384226091E-4</v>
      </c>
    </row>
    <row r="938" spans="44:48" x14ac:dyDescent="0.2">
      <c r="AR938">
        <v>930</v>
      </c>
      <c r="AS938">
        <v>21</v>
      </c>
      <c r="AT938">
        <v>2</v>
      </c>
      <c r="AU938">
        <v>-10.447783152215131</v>
      </c>
      <c r="AV938">
        <v>2.825798045031557E-4</v>
      </c>
    </row>
    <row r="939" spans="44:48" x14ac:dyDescent="0.2">
      <c r="AR939">
        <v>931</v>
      </c>
      <c r="AS939">
        <v>22</v>
      </c>
      <c r="AT939">
        <v>2</v>
      </c>
      <c r="AU939">
        <v>-10.416842620897786</v>
      </c>
      <c r="AV939">
        <v>2.8960678989786709E-4</v>
      </c>
    </row>
    <row r="940" spans="44:48" x14ac:dyDescent="0.2">
      <c r="AR940">
        <v>932</v>
      </c>
      <c r="AS940">
        <v>23</v>
      </c>
      <c r="AT940">
        <v>2</v>
      </c>
      <c r="AU940">
        <v>-10.385902089580439</v>
      </c>
      <c r="AV940">
        <v>2.9679304048366818E-4</v>
      </c>
    </row>
    <row r="941" spans="44:48" x14ac:dyDescent="0.2">
      <c r="AR941">
        <v>933</v>
      </c>
      <c r="AS941">
        <v>24</v>
      </c>
      <c r="AT941">
        <v>2</v>
      </c>
      <c r="AU941">
        <v>-10.354961558263092</v>
      </c>
      <c r="AV941">
        <v>3.0414174950538811E-4</v>
      </c>
    </row>
    <row r="942" spans="44:48" x14ac:dyDescent="0.2">
      <c r="AR942">
        <v>934</v>
      </c>
      <c r="AS942">
        <v>25</v>
      </c>
      <c r="AT942">
        <v>2</v>
      </c>
      <c r="AU942">
        <v>-10.324021026945747</v>
      </c>
      <c r="AV942">
        <v>3.1165616363100105E-4</v>
      </c>
    </row>
    <row r="943" spans="44:48" x14ac:dyDescent="0.2">
      <c r="AR943">
        <v>935</v>
      </c>
      <c r="AS943">
        <v>26</v>
      </c>
      <c r="AT943">
        <v>2</v>
      </c>
      <c r="AU943">
        <v>-10.2930804956284</v>
      </c>
      <c r="AV943">
        <v>3.1933958358886855E-4</v>
      </c>
    </row>
    <row r="944" spans="44:48" x14ac:dyDescent="0.2">
      <c r="AR944">
        <v>936</v>
      </c>
      <c r="AS944">
        <v>27</v>
      </c>
      <c r="AT944">
        <v>2</v>
      </c>
      <c r="AU944">
        <v>-10.262139964311054</v>
      </c>
      <c r="AV944">
        <v>3.2719536480647031E-4</v>
      </c>
    </row>
    <row r="945" spans="44:48" x14ac:dyDescent="0.2">
      <c r="AR945">
        <v>937</v>
      </c>
      <c r="AS945">
        <v>28</v>
      </c>
      <c r="AT945">
        <v>2</v>
      </c>
      <c r="AU945">
        <v>-10.231199432993707</v>
      </c>
      <c r="AV945">
        <v>3.3522691805047108E-4</v>
      </c>
    </row>
    <row r="946" spans="44:48" x14ac:dyDescent="0.2">
      <c r="AR946">
        <v>938</v>
      </c>
      <c r="AS946">
        <v>29</v>
      </c>
      <c r="AT946">
        <v>2</v>
      </c>
      <c r="AU946">
        <v>-10.200258901676362</v>
      </c>
      <c r="AV946">
        <v>3.4343771006793678E-4</v>
      </c>
    </row>
    <row r="947" spans="44:48" x14ac:dyDescent="0.2">
      <c r="AR947">
        <v>939</v>
      </c>
      <c r="AS947">
        <v>30</v>
      </c>
      <c r="AT947">
        <v>2</v>
      </c>
      <c r="AU947">
        <v>-10.169318370359015</v>
      </c>
      <c r="AV947">
        <v>3.5183126422854186E-4</v>
      </c>
    </row>
    <row r="948" spans="44:48" x14ac:dyDescent="0.2">
      <c r="AR948">
        <v>940</v>
      </c>
      <c r="AS948">
        <v>31</v>
      </c>
      <c r="AT948">
        <v>2</v>
      </c>
      <c r="AU948">
        <v>-10.138377839041668</v>
      </c>
      <c r="AV948">
        <v>3.6041116116757228E-4</v>
      </c>
    </row>
    <row r="949" spans="44:48" x14ac:dyDescent="0.2">
      <c r="AR949">
        <v>941</v>
      </c>
      <c r="AS949">
        <v>32</v>
      </c>
      <c r="AT949">
        <v>2</v>
      </c>
      <c r="AU949">
        <v>-10.107437307724322</v>
      </c>
      <c r="AV949">
        <v>3.6918103942955592E-4</v>
      </c>
    </row>
    <row r="950" spans="44:48" x14ac:dyDescent="0.2">
      <c r="AR950">
        <v>942</v>
      </c>
      <c r="AS950">
        <v>33</v>
      </c>
      <c r="AT950">
        <v>2</v>
      </c>
      <c r="AU950">
        <v>-10.076496776406977</v>
      </c>
      <c r="AV950">
        <v>3.7814459611232044E-4</v>
      </c>
    </row>
    <row r="951" spans="44:48" x14ac:dyDescent="0.2">
      <c r="AR951">
        <v>943</v>
      </c>
      <c r="AS951">
        <v>34</v>
      </c>
      <c r="AT951">
        <v>2</v>
      </c>
      <c r="AU951">
        <v>-10.04555624508963</v>
      </c>
      <c r="AV951">
        <v>3.8730558751129071E-4</v>
      </c>
    </row>
    <row r="952" spans="44:48" x14ac:dyDescent="0.2">
      <c r="AR952">
        <v>944</v>
      </c>
      <c r="AS952">
        <v>35</v>
      </c>
      <c r="AT952">
        <v>2</v>
      </c>
      <c r="AU952">
        <v>-10.014615713772283</v>
      </c>
      <c r="AV952">
        <v>3.9666782976382358E-4</v>
      </c>
    </row>
    <row r="953" spans="44:48" x14ac:dyDescent="0.2">
      <c r="AR953">
        <v>945</v>
      </c>
      <c r="AS953">
        <v>36</v>
      </c>
      <c r="AT953">
        <v>2</v>
      </c>
      <c r="AU953">
        <v>-9.9836751824549363</v>
      </c>
      <c r="AV953">
        <v>4.0623519949338152E-4</v>
      </c>
    </row>
    <row r="954" spans="44:48" x14ac:dyDescent="0.2">
      <c r="AR954">
        <v>946</v>
      </c>
      <c r="AS954">
        <v>37</v>
      </c>
      <c r="AT954">
        <v>2</v>
      </c>
      <c r="AU954">
        <v>-9.9527346511375914</v>
      </c>
      <c r="AV954">
        <v>4.1601163445333501E-4</v>
      </c>
    </row>
    <row r="955" spans="44:48" x14ac:dyDescent="0.2">
      <c r="AR955">
        <v>947</v>
      </c>
      <c r="AS955">
        <v>38</v>
      </c>
      <c r="AT955">
        <v>2</v>
      </c>
      <c r="AU955">
        <v>-9.9217941198202446</v>
      </c>
      <c r="AV955">
        <v>4.2600113417018122E-4</v>
      </c>
    </row>
    <row r="956" spans="44:48" x14ac:dyDescent="0.2">
      <c r="AR956">
        <v>948</v>
      </c>
      <c r="AS956">
        <v>39</v>
      </c>
      <c r="AT956">
        <v>2</v>
      </c>
      <c r="AU956">
        <v>-9.8908535885028979</v>
      </c>
      <c r="AV956">
        <v>4.3620776058595899E-4</v>
      </c>
    </row>
    <row r="957" spans="44:48" x14ac:dyDescent="0.2">
      <c r="AR957">
        <v>949</v>
      </c>
      <c r="AS957">
        <v>40</v>
      </c>
      <c r="AT957">
        <v>2</v>
      </c>
      <c r="AU957">
        <v>-9.8599130571855511</v>
      </c>
      <c r="AV957">
        <v>4.4663563869963964E-4</v>
      </c>
    </row>
    <row r="958" spans="44:48" x14ac:dyDescent="0.2">
      <c r="AR958">
        <v>950</v>
      </c>
      <c r="AS958">
        <v>41</v>
      </c>
      <c r="AT958">
        <v>2</v>
      </c>
      <c r="AU958">
        <v>-9.8289725258682061</v>
      </c>
      <c r="AV958">
        <v>4.5728895720726671E-4</v>
      </c>
    </row>
    <row r="959" spans="44:48" x14ac:dyDescent="0.2">
      <c r="AR959">
        <v>951</v>
      </c>
      <c r="AS959">
        <v>42</v>
      </c>
      <c r="AT959">
        <v>2</v>
      </c>
      <c r="AU959">
        <v>-9.7980319945508594</v>
      </c>
      <c r="AV959">
        <v>4.6817196914061327E-4</v>
      </c>
    </row>
    <row r="960" spans="44:48" x14ac:dyDescent="0.2">
      <c r="AR960">
        <v>952</v>
      </c>
      <c r="AS960">
        <v>43</v>
      </c>
      <c r="AT960">
        <v>2</v>
      </c>
      <c r="AU960">
        <v>-9.7670914632335126</v>
      </c>
      <c r="AV960">
        <v>4.7928899250411017E-4</v>
      </c>
    </row>
    <row r="961" spans="44:48" x14ac:dyDescent="0.2">
      <c r="AR961">
        <v>953</v>
      </c>
      <c r="AS961">
        <v>44</v>
      </c>
      <c r="AT961">
        <v>2</v>
      </c>
      <c r="AU961">
        <v>-9.7361509319161677</v>
      </c>
      <c r="AV961">
        <v>4.9064441090981555E-4</v>
      </c>
    </row>
    <row r="962" spans="44:48" x14ac:dyDescent="0.2">
      <c r="AR962">
        <v>954</v>
      </c>
      <c r="AS962">
        <v>45</v>
      </c>
      <c r="AT962">
        <v>2</v>
      </c>
      <c r="AU962">
        <v>-9.7052104005988209</v>
      </c>
      <c r="AV962">
        <v>5.02242674210169E-4</v>
      </c>
    </row>
    <row r="963" spans="44:48" x14ac:dyDescent="0.2">
      <c r="AR963">
        <v>955</v>
      </c>
      <c r="AS963">
        <v>46</v>
      </c>
      <c r="AT963">
        <v>2</v>
      </c>
      <c r="AU963">
        <v>-9.6742698692814741</v>
      </c>
      <c r="AV963">
        <v>5.1408829912827857E-4</v>
      </c>
    </row>
    <row r="964" spans="44:48" x14ac:dyDescent="0.2">
      <c r="AR964">
        <v>956</v>
      </c>
      <c r="AS964">
        <v>47</v>
      </c>
      <c r="AT964">
        <v>2</v>
      </c>
      <c r="AU964">
        <v>-9.6433293379641274</v>
      </c>
      <c r="AV964">
        <v>5.2618586988548459E-4</v>
      </c>
    </row>
    <row r="965" spans="44:48" x14ac:dyDescent="0.2">
      <c r="AR965">
        <v>957</v>
      </c>
      <c r="AS965">
        <v>48</v>
      </c>
      <c r="AT965">
        <v>2</v>
      </c>
      <c r="AU965">
        <v>-9.6123888066467824</v>
      </c>
      <c r="AV965">
        <v>5.3854003882593835E-4</v>
      </c>
    </row>
    <row r="966" spans="44:48" x14ac:dyDescent="0.2">
      <c r="AR966">
        <v>958</v>
      </c>
      <c r="AS966">
        <v>49</v>
      </c>
      <c r="AT966">
        <v>2</v>
      </c>
      <c r="AU966">
        <v>-9.5814482753294357</v>
      </c>
      <c r="AV966">
        <v>5.5115552703793012E-4</v>
      </c>
    </row>
    <row r="967" spans="44:48" x14ac:dyDescent="0.2">
      <c r="AR967">
        <v>959</v>
      </c>
      <c r="AS967">
        <v>50</v>
      </c>
      <c r="AT967">
        <v>2</v>
      </c>
      <c r="AU967">
        <v>-9.5505077440120889</v>
      </c>
      <c r="AV967">
        <v>5.6403712497167307E-4</v>
      </c>
    </row>
    <row r="968" spans="44:48" x14ac:dyDescent="0.2">
      <c r="AR968">
        <v>960</v>
      </c>
      <c r="AS968">
        <v>51</v>
      </c>
      <c r="AT968">
        <v>2</v>
      </c>
      <c r="AU968">
        <v>-9.5195672126947422</v>
      </c>
      <c r="AV968">
        <v>5.7718969305330038E-4</v>
      </c>
    </row>
    <row r="969" spans="44:48" x14ac:dyDescent="0.2">
      <c r="AR969">
        <v>961</v>
      </c>
      <c r="AS969">
        <v>52</v>
      </c>
      <c r="AT969">
        <v>2</v>
      </c>
      <c r="AU969">
        <v>-9.4886266813773972</v>
      </c>
      <c r="AV969">
        <v>5.9061816229475815E-4</v>
      </c>
    </row>
    <row r="970" spans="44:48" x14ac:dyDescent="0.2">
      <c r="AR970">
        <v>962</v>
      </c>
      <c r="AS970">
        <v>53</v>
      </c>
      <c r="AT970">
        <v>2</v>
      </c>
      <c r="AU970">
        <v>-9.4576861500600504</v>
      </c>
      <c r="AV970">
        <v>6.0432753489933055E-4</v>
      </c>
    </row>
    <row r="971" spans="44:48" x14ac:dyDescent="0.2">
      <c r="AR971">
        <v>963</v>
      </c>
      <c r="AS971">
        <v>54</v>
      </c>
      <c r="AT971">
        <v>2</v>
      </c>
      <c r="AU971">
        <v>-9.4267456187427037</v>
      </c>
      <c r="AV971">
        <v>6.1832288486248009E-4</v>
      </c>
    </row>
    <row r="972" spans="44:48" x14ac:dyDescent="0.2">
      <c r="AR972">
        <v>964</v>
      </c>
      <c r="AS972">
        <v>55</v>
      </c>
      <c r="AT972">
        <v>2</v>
      </c>
      <c r="AU972">
        <v>-9.3958050874253587</v>
      </c>
      <c r="AV972">
        <v>6.3260935856772837E-4</v>
      </c>
    </row>
    <row r="973" spans="44:48" x14ac:dyDescent="0.2">
      <c r="AR973">
        <v>965</v>
      </c>
      <c r="AS973">
        <v>56</v>
      </c>
      <c r="AT973">
        <v>2</v>
      </c>
      <c r="AU973">
        <v>-9.3648645561080119</v>
      </c>
      <c r="AV973">
        <v>6.4719217537725698E-4</v>
      </c>
    </row>
    <row r="974" spans="44:48" x14ac:dyDescent="0.2">
      <c r="AR974">
        <v>966</v>
      </c>
      <c r="AS974">
        <v>57</v>
      </c>
      <c r="AT974">
        <v>2</v>
      </c>
      <c r="AU974">
        <v>-9.3339240247906652</v>
      </c>
      <c r="AV974">
        <v>6.6207662821691864E-4</v>
      </c>
    </row>
    <row r="975" spans="44:48" x14ac:dyDescent="0.2">
      <c r="AR975">
        <v>967</v>
      </c>
      <c r="AS975">
        <v>58</v>
      </c>
      <c r="AT975">
        <v>2</v>
      </c>
      <c r="AU975">
        <v>-9.3029834934733184</v>
      </c>
      <c r="AV975">
        <v>6.7726808415536114E-4</v>
      </c>
    </row>
    <row r="976" spans="44:48" x14ac:dyDescent="0.2">
      <c r="AR976">
        <v>968</v>
      </c>
      <c r="AS976">
        <v>59</v>
      </c>
      <c r="AT976">
        <v>2</v>
      </c>
      <c r="AU976">
        <v>-9.2720429621559735</v>
      </c>
      <c r="AV976">
        <v>6.9277198497692187E-4</v>
      </c>
    </row>
    <row r="977" spans="44:48" x14ac:dyDescent="0.2">
      <c r="AR977">
        <v>969</v>
      </c>
      <c r="AS977">
        <v>60</v>
      </c>
      <c r="AT977">
        <v>2</v>
      </c>
      <c r="AU977">
        <v>-9.2411024308386267</v>
      </c>
      <c r="AV977">
        <v>7.0859384774799754E-4</v>
      </c>
    </row>
    <row r="978" spans="44:48" x14ac:dyDescent="0.2">
      <c r="AR978">
        <v>970</v>
      </c>
      <c r="AS978">
        <v>61</v>
      </c>
      <c r="AT978">
        <v>2</v>
      </c>
      <c r="AU978">
        <v>-9.2101618995212799</v>
      </c>
      <c r="AV978">
        <v>7.2473926537651521E-4</v>
      </c>
    </row>
    <row r="979" spans="44:48" x14ac:dyDescent="0.2">
      <c r="AR979">
        <v>971</v>
      </c>
      <c r="AS979">
        <v>62</v>
      </c>
      <c r="AT979">
        <v>2</v>
      </c>
      <c r="AU979">
        <v>-9.1792213682039332</v>
      </c>
      <c r="AV979">
        <v>7.412139071642258E-4</v>
      </c>
    </row>
    <row r="980" spans="44:48" x14ac:dyDescent="0.2">
      <c r="AR980">
        <v>972</v>
      </c>
      <c r="AS980">
        <v>63</v>
      </c>
      <c r="AT980">
        <v>2</v>
      </c>
      <c r="AU980">
        <v>-9.1482808368865882</v>
      </c>
      <c r="AV980">
        <v>7.5802351935143493E-4</v>
      </c>
    </row>
    <row r="981" spans="44:48" x14ac:dyDescent="0.2">
      <c r="AR981">
        <v>973</v>
      </c>
      <c r="AS981">
        <v>64</v>
      </c>
      <c r="AT981">
        <v>2</v>
      </c>
      <c r="AU981">
        <v>-9.1173403055692415</v>
      </c>
      <c r="AV981">
        <v>7.7517392565385607E-4</v>
      </c>
    </row>
    <row r="982" spans="44:48" x14ac:dyDescent="0.2">
      <c r="AR982">
        <v>974</v>
      </c>
      <c r="AS982">
        <v>65</v>
      </c>
      <c r="AT982">
        <v>2</v>
      </c>
      <c r="AU982">
        <v>-9.0863997742518947</v>
      </c>
      <c r="AV982">
        <v>7.9267102779121497E-4</v>
      </c>
    </row>
    <row r="983" spans="44:48" x14ac:dyDescent="0.2">
      <c r="AR983">
        <v>975</v>
      </c>
      <c r="AS983">
        <v>66</v>
      </c>
      <c r="AT983">
        <v>2</v>
      </c>
      <c r="AU983">
        <v>-9.0554592429345497</v>
      </c>
      <c r="AV983">
        <v>8.1052080600726583E-4</v>
      </c>
    </row>
    <row r="984" spans="44:48" x14ac:dyDescent="0.2">
      <c r="AR984">
        <v>976</v>
      </c>
      <c r="AS984">
        <v>67</v>
      </c>
      <c r="AT984">
        <v>2</v>
      </c>
      <c r="AU984">
        <v>-9.024518711617203</v>
      </c>
      <c r="AV984">
        <v>8.2872931958086432E-4</v>
      </c>
    </row>
    <row r="985" spans="44:48" x14ac:dyDescent="0.2">
      <c r="AR985">
        <v>977</v>
      </c>
      <c r="AS985">
        <v>68</v>
      </c>
      <c r="AT985">
        <v>2</v>
      </c>
      <c r="AU985">
        <v>-8.9935781802998562</v>
      </c>
      <c r="AV985">
        <v>8.4730270732770701E-4</v>
      </c>
    </row>
    <row r="986" spans="44:48" x14ac:dyDescent="0.2">
      <c r="AR986">
        <v>978</v>
      </c>
      <c r="AS986">
        <v>69</v>
      </c>
      <c r="AT986">
        <v>2</v>
      </c>
      <c r="AU986">
        <v>-8.9626376489825095</v>
      </c>
      <c r="AV986">
        <v>8.6624718809240786E-4</v>
      </c>
    </row>
    <row r="987" spans="44:48" x14ac:dyDescent="0.2">
      <c r="AR987">
        <v>979</v>
      </c>
      <c r="AS987">
        <v>70</v>
      </c>
      <c r="AT987">
        <v>2</v>
      </c>
      <c r="AU987">
        <v>-8.9316971176651627</v>
      </c>
      <c r="AV987">
        <v>8.8556906123050309E-4</v>
      </c>
    </row>
    <row r="988" spans="44:48" x14ac:dyDescent="0.2">
      <c r="AR988">
        <v>980</v>
      </c>
      <c r="AS988">
        <v>71</v>
      </c>
      <c r="AT988">
        <v>2</v>
      </c>
      <c r="AU988">
        <v>-8.9007565863478177</v>
      </c>
      <c r="AV988">
        <v>9.0527470708002969E-4</v>
      </c>
    </row>
    <row r="989" spans="44:48" x14ac:dyDescent="0.2">
      <c r="AR989">
        <v>981</v>
      </c>
      <c r="AS989">
        <v>72</v>
      </c>
      <c r="AT989">
        <v>2</v>
      </c>
      <c r="AU989">
        <v>-8.869816055030471</v>
      </c>
      <c r="AV989">
        <v>9.2537058742228422E-4</v>
      </c>
    </row>
    <row r="990" spans="44:48" x14ac:dyDescent="0.2">
      <c r="AR990">
        <v>982</v>
      </c>
      <c r="AS990">
        <v>73</v>
      </c>
      <c r="AT990">
        <v>2</v>
      </c>
      <c r="AU990">
        <v>-8.8388755237131242</v>
      </c>
      <c r="AV990">
        <v>9.4586324593137381E-4</v>
      </c>
    </row>
    <row r="991" spans="44:48" x14ac:dyDescent="0.2">
      <c r="AR991">
        <v>983</v>
      </c>
      <c r="AS991">
        <v>74</v>
      </c>
      <c r="AT991">
        <v>2</v>
      </c>
      <c r="AU991">
        <v>-8.8079349923957793</v>
      </c>
      <c r="AV991">
        <v>9.6675930861217626E-4</v>
      </c>
    </row>
    <row r="992" spans="44:48" x14ac:dyDescent="0.2">
      <c r="AR992">
        <v>984</v>
      </c>
      <c r="AS992">
        <v>75</v>
      </c>
      <c r="AT992">
        <v>2</v>
      </c>
      <c r="AU992">
        <v>-8.7769944610784325</v>
      </c>
      <c r="AV992">
        <v>9.8806548422631204E-4</v>
      </c>
    </row>
    <row r="993" spans="44:48" x14ac:dyDescent="0.2">
      <c r="AR993">
        <v>985</v>
      </c>
      <c r="AS993">
        <v>76</v>
      </c>
      <c r="AT993">
        <v>2</v>
      </c>
      <c r="AU993">
        <v>-8.7460539297610858</v>
      </c>
      <c r="AV993">
        <v>1.0097885647057151E-3</v>
      </c>
    </row>
    <row r="994" spans="44:48" x14ac:dyDescent="0.2">
      <c r="AR994">
        <v>986</v>
      </c>
      <c r="AS994">
        <v>77</v>
      </c>
      <c r="AT994">
        <v>2</v>
      </c>
      <c r="AU994">
        <v>-8.7151133984437408</v>
      </c>
      <c r="AV994">
        <v>1.0319354255534101E-3</v>
      </c>
    </row>
    <row r="995" spans="44:48" x14ac:dyDescent="0.2">
      <c r="AR995">
        <v>987</v>
      </c>
      <c r="AS995">
        <v>78</v>
      </c>
      <c r="AT995">
        <v>2</v>
      </c>
      <c r="AU995">
        <v>-8.684172867126394</v>
      </c>
      <c r="AV995">
        <v>1.0545130262310945E-3</v>
      </c>
    </row>
    <row r="996" spans="44:48" x14ac:dyDescent="0.2">
      <c r="AR996">
        <v>988</v>
      </c>
      <c r="AS996">
        <v>79</v>
      </c>
      <c r="AT996">
        <v>2</v>
      </c>
      <c r="AU996">
        <v>-8.6532323358090473</v>
      </c>
      <c r="AV996">
        <v>1.0775284105330844E-3</v>
      </c>
    </row>
    <row r="997" spans="44:48" x14ac:dyDescent="0.2">
      <c r="AR997">
        <v>989</v>
      </c>
      <c r="AS997">
        <v>80</v>
      </c>
      <c r="AT997">
        <v>2</v>
      </c>
      <c r="AU997">
        <v>-8.6222918044917005</v>
      </c>
      <c r="AV997">
        <v>1.1009887069462431E-3</v>
      </c>
    </row>
    <row r="998" spans="44:48" x14ac:dyDescent="0.2">
      <c r="AR998">
        <v>990</v>
      </c>
      <c r="AS998">
        <v>81</v>
      </c>
      <c r="AT998">
        <v>2</v>
      </c>
      <c r="AU998">
        <v>-8.5913512731743538</v>
      </c>
      <c r="AV998">
        <v>1.124901128995441E-3</v>
      </c>
    </row>
    <row r="999" spans="44:48" x14ac:dyDescent="0.2">
      <c r="AR999">
        <v>991</v>
      </c>
      <c r="AS999">
        <v>82</v>
      </c>
      <c r="AT999">
        <v>2</v>
      </c>
      <c r="AU999">
        <v>-8.5604107418570088</v>
      </c>
      <c r="AV999">
        <v>1.1492729755741464E-3</v>
      </c>
    </row>
    <row r="1000" spans="44:48" x14ac:dyDescent="0.2">
      <c r="AR1000">
        <v>992</v>
      </c>
      <c r="AS1000">
        <v>83</v>
      </c>
      <c r="AT1000">
        <v>2</v>
      </c>
      <c r="AU1000">
        <v>-8.529470210539662</v>
      </c>
      <c r="AV1000">
        <v>1.1741116312596965E-3</v>
      </c>
    </row>
    <row r="1001" spans="44:48" x14ac:dyDescent="0.2">
      <c r="AR1001">
        <v>993</v>
      </c>
      <c r="AS1001">
        <v>84</v>
      </c>
      <c r="AT1001">
        <v>2</v>
      </c>
      <c r="AU1001">
        <v>-8.4985296792223153</v>
      </c>
      <c r="AV1001">
        <v>1.1994245666128269E-3</v>
      </c>
    </row>
    <row r="1002" spans="44:48" x14ac:dyDescent="0.2">
      <c r="AR1002">
        <v>994</v>
      </c>
      <c r="AS1002">
        <v>85</v>
      </c>
      <c r="AT1002">
        <v>2</v>
      </c>
      <c r="AU1002">
        <v>-8.4675891479049703</v>
      </c>
      <c r="AV1002">
        <v>1.2252193384610349E-3</v>
      </c>
    </row>
    <row r="1003" spans="44:48" x14ac:dyDescent="0.2">
      <c r="AR1003">
        <v>995</v>
      </c>
      <c r="AS1003">
        <v>86</v>
      </c>
      <c r="AT1003">
        <v>2</v>
      </c>
      <c r="AU1003">
        <v>-8.4366486165876236</v>
      </c>
      <c r="AV1003">
        <v>1.2515035901653213E-3</v>
      </c>
    </row>
    <row r="1004" spans="44:48" x14ac:dyDescent="0.2">
      <c r="AR1004">
        <v>996</v>
      </c>
      <c r="AS1004">
        <v>87</v>
      </c>
      <c r="AT1004">
        <v>2</v>
      </c>
      <c r="AU1004">
        <v>-8.4057080852702768</v>
      </c>
      <c r="AV1004">
        <v>1.2782850518698679E-3</v>
      </c>
    </row>
    <row r="1005" spans="44:48" x14ac:dyDescent="0.2">
      <c r="AR1005">
        <v>997</v>
      </c>
      <c r="AS1005">
        <v>88</v>
      </c>
      <c r="AT1005">
        <v>2</v>
      </c>
      <c r="AU1005">
        <v>-8.3747675539529318</v>
      </c>
      <c r="AV1005">
        <v>1.3055715407342102E-3</v>
      </c>
    </row>
    <row r="1006" spans="44:48" x14ac:dyDescent="0.2">
      <c r="AR1006">
        <v>998</v>
      </c>
      <c r="AS1006">
        <v>89</v>
      </c>
      <c r="AT1006">
        <v>2</v>
      </c>
      <c r="AU1006">
        <v>-8.3438270226355851</v>
      </c>
      <c r="AV1006">
        <v>1.3333709611474738E-3</v>
      </c>
    </row>
    <row r="1007" spans="44:48" x14ac:dyDescent="0.2">
      <c r="AR1007">
        <v>999</v>
      </c>
      <c r="AS1007">
        <v>90</v>
      </c>
      <c r="AT1007">
        <v>2</v>
      </c>
      <c r="AU1007">
        <v>-8.3128864913182383</v>
      </c>
      <c r="AV1007">
        <v>1.3616913049241757E-3</v>
      </c>
    </row>
    <row r="1008" spans="44:48" x14ac:dyDescent="0.2">
      <c r="AR1008">
        <v>1000</v>
      </c>
      <c r="AS1008">
        <v>91</v>
      </c>
      <c r="AT1008">
        <v>2</v>
      </c>
      <c r="AU1008">
        <v>-8.2819459600008916</v>
      </c>
      <c r="AV1008">
        <v>1.3905406514811928E-3</v>
      </c>
    </row>
    <row r="1009" spans="44:48" x14ac:dyDescent="0.2">
      <c r="AR1009">
        <v>1001</v>
      </c>
      <c r="AS1009">
        <v>92</v>
      </c>
      <c r="AT1009">
        <v>2</v>
      </c>
      <c r="AU1009">
        <v>-8.2510054286835448</v>
      </c>
      <c r="AV1009">
        <v>1.4199271679953985E-3</v>
      </c>
    </row>
    <row r="1010" spans="44:48" x14ac:dyDescent="0.2">
      <c r="AR1010">
        <v>1002</v>
      </c>
      <c r="AS1010">
        <v>93</v>
      </c>
      <c r="AT1010">
        <v>2</v>
      </c>
      <c r="AU1010">
        <v>-8.2200648973661998</v>
      </c>
      <c r="AV1010">
        <v>1.4498591095415221E-3</v>
      </c>
    </row>
    <row r="1011" spans="44:48" x14ac:dyDescent="0.2">
      <c r="AR1011">
        <v>1003</v>
      </c>
      <c r="AS1011">
        <v>94</v>
      </c>
      <c r="AT1011">
        <v>2</v>
      </c>
      <c r="AU1011">
        <v>-8.1891243660488531</v>
      </c>
      <c r="AV1011">
        <v>1.4803448192097755E-3</v>
      </c>
    </row>
    <row r="1012" spans="44:48" x14ac:dyDescent="0.2">
      <c r="AR1012">
        <v>1004</v>
      </c>
      <c r="AS1012">
        <v>95</v>
      </c>
      <c r="AT1012">
        <v>2</v>
      </c>
      <c r="AU1012">
        <v>-8.1581838347315063</v>
      </c>
      <c r="AV1012">
        <v>1.5113927282027551E-3</v>
      </c>
    </row>
    <row r="1013" spans="44:48" x14ac:dyDescent="0.2">
      <c r="AR1013">
        <v>1005</v>
      </c>
      <c r="AS1013">
        <v>96</v>
      </c>
      <c r="AT1013">
        <v>2</v>
      </c>
      <c r="AU1013">
        <v>-8.1272433034141613</v>
      </c>
      <c r="AV1013">
        <v>1.5430113559111969E-3</v>
      </c>
    </row>
    <row r="1014" spans="44:48" x14ac:dyDescent="0.2">
      <c r="AR1014">
        <v>1006</v>
      </c>
      <c r="AS1014">
        <v>97</v>
      </c>
      <c r="AT1014">
        <v>2</v>
      </c>
      <c r="AU1014">
        <v>-8.0963027720968146</v>
      </c>
      <c r="AV1014">
        <v>1.5752093099680763E-3</v>
      </c>
    </row>
    <row r="1015" spans="44:48" x14ac:dyDescent="0.2">
      <c r="AR1015">
        <v>1007</v>
      </c>
      <c r="AS1015">
        <v>98</v>
      </c>
      <c r="AT1015">
        <v>2</v>
      </c>
      <c r="AU1015">
        <v>-8.0653622407794678</v>
      </c>
      <c r="AV1015">
        <v>1.6079952862805909E-3</v>
      </c>
    </row>
    <row r="1016" spans="44:48" x14ac:dyDescent="0.2">
      <c r="AR1016">
        <v>1008</v>
      </c>
      <c r="AS1016">
        <v>99</v>
      </c>
      <c r="AT1016">
        <v>2</v>
      </c>
      <c r="AU1016">
        <v>-8.0344217094621229</v>
      </c>
      <c r="AV1016">
        <v>1.6413780690395605E-3</v>
      </c>
    </row>
    <row r="1017" spans="44:48" x14ac:dyDescent="0.2">
      <c r="AR1017">
        <v>1009</v>
      </c>
      <c r="AS1017">
        <v>100</v>
      </c>
      <c r="AT1017">
        <v>2</v>
      </c>
      <c r="AU1017">
        <v>-8.0034811781447761</v>
      </c>
      <c r="AV1017">
        <v>1.675366530705784E-3</v>
      </c>
    </row>
    <row r="1018" spans="44:48" x14ac:dyDescent="0.2">
      <c r="AR1018">
        <v>1010</v>
      </c>
      <c r="AS1018">
        <v>101</v>
      </c>
      <c r="AT1018">
        <v>2</v>
      </c>
      <c r="AU1018">
        <v>-7.9725406468274294</v>
      </c>
      <c r="AV1018">
        <v>1.7099696319728287E-3</v>
      </c>
    </row>
    <row r="1019" spans="44:48" x14ac:dyDescent="0.2">
      <c r="AR1019">
        <v>1011</v>
      </c>
      <c r="AS1019">
        <v>102</v>
      </c>
      <c r="AT1019">
        <v>2</v>
      </c>
      <c r="AU1019">
        <v>-7.9416001155100826</v>
      </c>
      <c r="AV1019">
        <v>1.7451964217058333E-3</v>
      </c>
    </row>
    <row r="1020" spans="44:48" x14ac:dyDescent="0.2">
      <c r="AR1020">
        <v>1012</v>
      </c>
      <c r="AS1020">
        <v>103</v>
      </c>
      <c r="AT1020">
        <v>2</v>
      </c>
      <c r="AU1020">
        <v>-7.9106595841927367</v>
      </c>
      <c r="AV1020">
        <v>1.7810560368558227E-3</v>
      </c>
    </row>
    <row r="1021" spans="44:48" x14ac:dyDescent="0.2">
      <c r="AR1021">
        <v>1013</v>
      </c>
      <c r="AS1021">
        <v>104</v>
      </c>
      <c r="AT1021">
        <v>2</v>
      </c>
      <c r="AU1021">
        <v>-7.8797190528753909</v>
      </c>
      <c r="AV1021">
        <v>1.8175577023490273E-3</v>
      </c>
    </row>
    <row r="1022" spans="44:48" x14ac:dyDescent="0.2">
      <c r="AR1022">
        <v>1014</v>
      </c>
      <c r="AS1022">
        <v>105</v>
      </c>
      <c r="AT1022">
        <v>2</v>
      </c>
      <c r="AU1022">
        <v>-7.8487785215580441</v>
      </c>
      <c r="AV1022">
        <v>1.854710730950785E-3</v>
      </c>
    </row>
    <row r="1023" spans="44:48" x14ac:dyDescent="0.2">
      <c r="AR1023">
        <v>1015</v>
      </c>
      <c r="AS1023">
        <v>106</v>
      </c>
      <c r="AT1023">
        <v>2</v>
      </c>
      <c r="AU1023">
        <v>-7.8178379902406974</v>
      </c>
      <c r="AV1023">
        <v>1.8925245231034933E-3</v>
      </c>
    </row>
    <row r="1024" spans="44:48" x14ac:dyDescent="0.2">
      <c r="AR1024">
        <v>1016</v>
      </c>
      <c r="AS1024">
        <v>107</v>
      </c>
      <c r="AT1024">
        <v>2</v>
      </c>
      <c r="AU1024">
        <v>-7.7868974589233515</v>
      </c>
      <c r="AV1024">
        <v>1.9310085667381617E-3</v>
      </c>
    </row>
    <row r="1025" spans="44:48" x14ac:dyDescent="0.2">
      <c r="AR1025">
        <v>1017</v>
      </c>
      <c r="AS1025">
        <v>108</v>
      </c>
      <c r="AT1025">
        <v>2</v>
      </c>
      <c r="AU1025">
        <v>-7.7559569276060056</v>
      </c>
      <c r="AV1025">
        <v>1.9701724370590826E-3</v>
      </c>
    </row>
    <row r="1026" spans="44:48" x14ac:dyDescent="0.2">
      <c r="AR1026">
        <v>1018</v>
      </c>
      <c r="AS1026">
        <v>109</v>
      </c>
      <c r="AT1026">
        <v>2</v>
      </c>
      <c r="AU1026">
        <v>-7.7250163962886589</v>
      </c>
      <c r="AV1026">
        <v>2.0100257963011231E-3</v>
      </c>
    </row>
    <row r="1027" spans="44:48" x14ac:dyDescent="0.2">
      <c r="AR1027">
        <v>1019</v>
      </c>
      <c r="AS1027">
        <v>110</v>
      </c>
      <c r="AT1027">
        <v>2</v>
      </c>
      <c r="AU1027">
        <v>-7.694075864971313</v>
      </c>
      <c r="AV1027">
        <v>2.0505783934591619E-3</v>
      </c>
    </row>
    <row r="1028" spans="44:48" x14ac:dyDescent="0.2">
      <c r="AR1028">
        <v>1020</v>
      </c>
      <c r="AS1028">
        <v>111</v>
      </c>
      <c r="AT1028">
        <v>2</v>
      </c>
      <c r="AU1028">
        <v>-7.6631353336539672</v>
      </c>
      <c r="AV1028">
        <v>2.0918400639892277E-3</v>
      </c>
    </row>
    <row r="1029" spans="44:48" x14ac:dyDescent="0.2">
      <c r="AR1029">
        <v>1021</v>
      </c>
      <c r="AS1029">
        <v>112</v>
      </c>
      <c r="AT1029">
        <v>2</v>
      </c>
      <c r="AU1029">
        <v>-7.6321948023366204</v>
      </c>
      <c r="AV1029">
        <v>2.1338207294807933E-3</v>
      </c>
    </row>
    <row r="1030" spans="44:48" x14ac:dyDescent="0.2">
      <c r="AR1030">
        <v>1022</v>
      </c>
      <c r="AS1030">
        <v>113</v>
      </c>
      <c r="AT1030">
        <v>2</v>
      </c>
      <c r="AU1030">
        <v>-7.6012542710192736</v>
      </c>
      <c r="AV1030">
        <v>2.1765303972998114E-3</v>
      </c>
    </row>
    <row r="1031" spans="44:48" x14ac:dyDescent="0.2">
      <c r="AR1031">
        <v>1023</v>
      </c>
      <c r="AS1031">
        <v>114</v>
      </c>
      <c r="AT1031">
        <v>2</v>
      </c>
      <c r="AU1031">
        <v>-7.5703137397019278</v>
      </c>
      <c r="AV1031">
        <v>2.2199791602019953E-3</v>
      </c>
    </row>
    <row r="1032" spans="44:48" x14ac:dyDescent="0.2">
      <c r="AR1032">
        <v>1024</v>
      </c>
      <c r="AS1032">
        <v>115</v>
      </c>
      <c r="AT1032">
        <v>2</v>
      </c>
      <c r="AU1032">
        <v>-7.5393732083845819</v>
      </c>
      <c r="AV1032">
        <v>2.264177195915827E-3</v>
      </c>
    </row>
    <row r="1033" spans="44:48" x14ac:dyDescent="0.2">
      <c r="AR1033">
        <v>1025</v>
      </c>
      <c r="AS1033">
        <v>116</v>
      </c>
      <c r="AT1033">
        <v>2</v>
      </c>
      <c r="AU1033">
        <v>-7.5084326770672352</v>
      </c>
      <c r="AV1033">
        <v>2.3091347666949098E-3</v>
      </c>
    </row>
    <row r="1034" spans="44:48" x14ac:dyDescent="0.2">
      <c r="AR1034">
        <v>1026</v>
      </c>
      <c r="AS1034">
        <v>117</v>
      </c>
      <c r="AT1034">
        <v>2</v>
      </c>
      <c r="AU1034">
        <v>-7.4774921457498884</v>
      </c>
      <c r="AV1034">
        <v>2.3548622188390936E-3</v>
      </c>
    </row>
    <row r="1035" spans="44:48" x14ac:dyDescent="0.2">
      <c r="AR1035">
        <v>1027</v>
      </c>
      <c r="AS1035">
        <v>118</v>
      </c>
      <c r="AT1035">
        <v>2</v>
      </c>
      <c r="AU1035">
        <v>-7.4465516144325425</v>
      </c>
      <c r="AV1035">
        <v>2.4013699821839722E-3</v>
      </c>
    </row>
    <row r="1036" spans="44:48" x14ac:dyDescent="0.2">
      <c r="AR1036">
        <v>1028</v>
      </c>
      <c r="AS1036">
        <v>119</v>
      </c>
      <c r="AT1036">
        <v>2</v>
      </c>
      <c r="AU1036">
        <v>-7.4156110831151967</v>
      </c>
      <c r="AV1036">
        <v>2.448668569558271E-3</v>
      </c>
    </row>
    <row r="1037" spans="44:48" x14ac:dyDescent="0.2">
      <c r="AR1037">
        <v>1029</v>
      </c>
      <c r="AS1037">
        <v>120</v>
      </c>
      <c r="AT1037">
        <v>2</v>
      </c>
      <c r="AU1037">
        <v>-7.3846705517978499</v>
      </c>
      <c r="AV1037">
        <v>2.4967685762086393E-3</v>
      </c>
    </row>
    <row r="1038" spans="44:48" x14ac:dyDescent="0.2">
      <c r="AR1038">
        <v>1030</v>
      </c>
      <c r="AS1038">
        <v>121</v>
      </c>
      <c r="AT1038">
        <v>2</v>
      </c>
      <c r="AU1038">
        <v>-7.3537300204805032</v>
      </c>
      <c r="AV1038">
        <v>2.5456806791913944E-3</v>
      </c>
    </row>
    <row r="1039" spans="44:48" x14ac:dyDescent="0.2">
      <c r="AR1039">
        <v>1031</v>
      </c>
      <c r="AS1039">
        <v>122</v>
      </c>
      <c r="AT1039">
        <v>2</v>
      </c>
      <c r="AU1039">
        <v>-7.3227894891631573</v>
      </c>
      <c r="AV1039">
        <v>2.5954156367307842E-3</v>
      </c>
    </row>
    <row r="1040" spans="44:48" x14ac:dyDescent="0.2">
      <c r="AR1040">
        <v>1032</v>
      </c>
      <c r="AS1040">
        <v>123</v>
      </c>
      <c r="AT1040">
        <v>2</v>
      </c>
      <c r="AU1040">
        <v>-7.2918489578458114</v>
      </c>
      <c r="AV1040">
        <v>2.6459842875432749E-3</v>
      </c>
    </row>
    <row r="1041" spans="44:48" x14ac:dyDescent="0.2">
      <c r="AR1041">
        <v>1033</v>
      </c>
      <c r="AS1041">
        <v>124</v>
      </c>
      <c r="AT1041">
        <v>2</v>
      </c>
      <c r="AU1041">
        <v>-7.2609084265284647</v>
      </c>
      <c r="AV1041">
        <v>2.697397550127446E-3</v>
      </c>
    </row>
    <row r="1042" spans="44:48" x14ac:dyDescent="0.2">
      <c r="AR1042">
        <v>1034</v>
      </c>
      <c r="AS1042">
        <v>125</v>
      </c>
      <c r="AT1042">
        <v>2</v>
      </c>
      <c r="AU1042">
        <v>-7.2299678952111188</v>
      </c>
      <c r="AV1042">
        <v>2.7496664220190118E-3</v>
      </c>
    </row>
    <row r="1043" spans="44:48" x14ac:dyDescent="0.2">
      <c r="AR1043">
        <v>1035</v>
      </c>
      <c r="AS1043">
        <v>126</v>
      </c>
      <c r="AT1043">
        <v>2</v>
      </c>
      <c r="AU1043">
        <v>-7.199027363893773</v>
      </c>
      <c r="AV1043">
        <v>2.8028019790105442E-3</v>
      </c>
    </row>
    <row r="1044" spans="44:48" x14ac:dyDescent="0.2">
      <c r="AR1044">
        <v>1036</v>
      </c>
      <c r="AS1044">
        <v>127</v>
      </c>
      <c r="AT1044">
        <v>2</v>
      </c>
      <c r="AU1044">
        <v>-7.1680868325764262</v>
      </c>
      <c r="AV1044">
        <v>2.8568153743354771E-3</v>
      </c>
    </row>
    <row r="1045" spans="44:48" x14ac:dyDescent="0.2">
      <c r="AR1045">
        <v>1037</v>
      </c>
      <c r="AS1045">
        <v>128</v>
      </c>
      <c r="AT1045">
        <v>2</v>
      </c>
      <c r="AU1045">
        <v>-7.1371463012590795</v>
      </c>
      <c r="AV1045">
        <v>2.9117178378159038E-3</v>
      </c>
    </row>
    <row r="1046" spans="44:48" x14ac:dyDescent="0.2">
      <c r="AR1046">
        <v>1038</v>
      </c>
      <c r="AS1046">
        <v>129</v>
      </c>
      <c r="AT1046">
        <v>2</v>
      </c>
      <c r="AU1046">
        <v>-7.1062057699417336</v>
      </c>
      <c r="AV1046">
        <v>2.9675206749737904E-3</v>
      </c>
    </row>
    <row r="1047" spans="44:48" x14ac:dyDescent="0.2">
      <c r="AR1047">
        <v>1039</v>
      </c>
      <c r="AS1047">
        <v>130</v>
      </c>
      <c r="AT1047">
        <v>2</v>
      </c>
      <c r="AU1047">
        <v>-7.0752652386243877</v>
      </c>
      <c r="AV1047">
        <v>3.0242352661051649E-3</v>
      </c>
    </row>
    <row r="1048" spans="44:48" x14ac:dyDescent="0.2">
      <c r="AR1048">
        <v>1040</v>
      </c>
      <c r="AS1048">
        <v>131</v>
      </c>
      <c r="AT1048">
        <v>2</v>
      </c>
      <c r="AU1048">
        <v>-7.044324707307041</v>
      </c>
      <c r="AV1048">
        <v>3.0818730653168398E-3</v>
      </c>
    </row>
    <row r="1049" spans="44:48" x14ac:dyDescent="0.2">
      <c r="AR1049">
        <v>1041</v>
      </c>
      <c r="AS1049">
        <v>132</v>
      </c>
      <c r="AT1049">
        <v>2</v>
      </c>
      <c r="AU1049">
        <v>-7.0133841759896951</v>
      </c>
      <c r="AV1049">
        <v>3.1404455995252757E-3</v>
      </c>
    </row>
    <row r="1050" spans="44:48" x14ac:dyDescent="0.2">
      <c r="AR1050">
        <v>1042</v>
      </c>
      <c r="AS1050">
        <v>133</v>
      </c>
      <c r="AT1050">
        <v>2</v>
      </c>
      <c r="AU1050">
        <v>-6.9824436446723483</v>
      </c>
      <c r="AV1050">
        <v>3.1999644674171996E-3</v>
      </c>
    </row>
    <row r="1051" spans="44:48" x14ac:dyDescent="0.2">
      <c r="AR1051">
        <v>1043</v>
      </c>
      <c r="AS1051">
        <v>134</v>
      </c>
      <c r="AT1051">
        <v>2</v>
      </c>
      <c r="AU1051">
        <v>-6.9515031133550025</v>
      </c>
      <c r="AV1051">
        <v>3.2604413383715025E-3</v>
      </c>
    </row>
    <row r="1052" spans="44:48" x14ac:dyDescent="0.2">
      <c r="AR1052">
        <v>1044</v>
      </c>
      <c r="AS1052">
        <v>135</v>
      </c>
      <c r="AT1052">
        <v>2</v>
      </c>
      <c r="AU1052">
        <v>-6.9205625820376557</v>
      </c>
      <c r="AV1052">
        <v>3.3218879513421447E-3</v>
      </c>
    </row>
    <row r="1053" spans="44:48" x14ac:dyDescent="0.2">
      <c r="AR1053">
        <v>1045</v>
      </c>
      <c r="AS1053">
        <v>136</v>
      </c>
      <c r="AT1053">
        <v>2</v>
      </c>
      <c r="AU1053">
        <v>-6.8896220507203099</v>
      </c>
      <c r="AV1053">
        <v>3.3843161137015409E-3</v>
      </c>
    </row>
    <row r="1054" spans="44:48" x14ac:dyDescent="0.2">
      <c r="AR1054">
        <v>1046</v>
      </c>
      <c r="AS1054">
        <v>137</v>
      </c>
      <c r="AT1054">
        <v>2</v>
      </c>
      <c r="AU1054">
        <v>-6.8586815194029631</v>
      </c>
      <c r="AV1054">
        <v>3.4477377000441357E-3</v>
      </c>
    </row>
    <row r="1055" spans="44:48" x14ac:dyDescent="0.2">
      <c r="AR1055">
        <v>1047</v>
      </c>
      <c r="AS1055">
        <v>138</v>
      </c>
      <c r="AT1055">
        <v>2</v>
      </c>
      <c r="AU1055">
        <v>-6.8277409880856172</v>
      </c>
      <c r="AV1055">
        <v>3.5121646509498053E-3</v>
      </c>
    </row>
    <row r="1056" spans="44:48" x14ac:dyDescent="0.2">
      <c r="AR1056">
        <v>1048</v>
      </c>
      <c r="AS1056">
        <v>139</v>
      </c>
      <c r="AT1056">
        <v>2</v>
      </c>
      <c r="AU1056">
        <v>-6.7968004567682705</v>
      </c>
      <c r="AV1056">
        <v>3.57760897170663E-3</v>
      </c>
    </row>
    <row r="1057" spans="44:48" x14ac:dyDescent="0.2">
      <c r="AR1057">
        <v>1049</v>
      </c>
      <c r="AS1057">
        <v>140</v>
      </c>
      <c r="AT1057">
        <v>2</v>
      </c>
      <c r="AU1057">
        <v>-6.7658599254509246</v>
      </c>
      <c r="AV1057">
        <v>3.6440827309927775E-3</v>
      </c>
    </row>
    <row r="1058" spans="44:48" x14ac:dyDescent="0.2">
      <c r="AR1058">
        <v>1050</v>
      </c>
      <c r="AS1058">
        <v>141</v>
      </c>
      <c r="AT1058">
        <v>2</v>
      </c>
      <c r="AU1058">
        <v>-6.7349193941335779</v>
      </c>
      <c r="AV1058">
        <v>3.7115980595171351E-3</v>
      </c>
    </row>
    <row r="1059" spans="44:48" x14ac:dyDescent="0.2">
      <c r="AR1059">
        <v>1051</v>
      </c>
      <c r="AS1059">
        <v>142</v>
      </c>
      <c r="AT1059">
        <v>2</v>
      </c>
      <c r="AU1059">
        <v>-6.703978862816232</v>
      </c>
      <c r="AV1059">
        <v>3.7801671486182259E-3</v>
      </c>
    </row>
    <row r="1060" spans="44:48" x14ac:dyDescent="0.2">
      <c r="AR1060">
        <v>1052</v>
      </c>
      <c r="AS1060">
        <v>143</v>
      </c>
      <c r="AT1060">
        <v>2</v>
      </c>
      <c r="AU1060">
        <v>-6.6730383314988861</v>
      </c>
      <c r="AV1060">
        <v>3.8498022488213106E-3</v>
      </c>
    </row>
    <row r="1061" spans="44:48" x14ac:dyDescent="0.2">
      <c r="AR1061">
        <v>1053</v>
      </c>
      <c r="AS1061">
        <v>144</v>
      </c>
      <c r="AT1061">
        <v>2</v>
      </c>
      <c r="AU1061">
        <v>-6.6420978001815394</v>
      </c>
      <c r="AV1061">
        <v>3.9205156683531327E-3</v>
      </c>
    </row>
    <row r="1062" spans="44:48" x14ac:dyDescent="0.2">
      <c r="AR1062">
        <v>1054</v>
      </c>
      <c r="AS1062">
        <v>145</v>
      </c>
      <c r="AT1062">
        <v>2</v>
      </c>
      <c r="AU1062">
        <v>-6.6111572688641935</v>
      </c>
      <c r="AV1062">
        <v>3.9923197716140706E-3</v>
      </c>
    </row>
    <row r="1063" spans="44:48" x14ac:dyDescent="0.2">
      <c r="AR1063">
        <v>1055</v>
      </c>
      <c r="AS1063">
        <v>146</v>
      </c>
      <c r="AT1063">
        <v>2</v>
      </c>
      <c r="AU1063">
        <v>-6.5802167375468468</v>
      </c>
      <c r="AV1063">
        <v>4.0652269776075079E-3</v>
      </c>
    </row>
    <row r="1064" spans="44:48" x14ac:dyDescent="0.2">
      <c r="AR1064">
        <v>1056</v>
      </c>
      <c r="AS1064">
        <v>147</v>
      </c>
      <c r="AT1064">
        <v>2</v>
      </c>
      <c r="AU1064">
        <v>-6.5492762062295009</v>
      </c>
      <c r="AV1064">
        <v>4.1392497583259162E-3</v>
      </c>
    </row>
    <row r="1065" spans="44:48" x14ac:dyDescent="0.2">
      <c r="AR1065">
        <v>1057</v>
      </c>
      <c r="AS1065">
        <v>148</v>
      </c>
      <c r="AT1065">
        <v>2</v>
      </c>
      <c r="AU1065">
        <v>-6.5183356749121542</v>
      </c>
      <c r="AV1065">
        <v>4.2144006370935403E-3</v>
      </c>
    </row>
    <row r="1066" spans="44:48" x14ac:dyDescent="0.2">
      <c r="AR1066">
        <v>1058</v>
      </c>
      <c r="AS1066">
        <v>149</v>
      </c>
      <c r="AT1066">
        <v>2</v>
      </c>
      <c r="AU1066">
        <v>-6.4873951435948083</v>
      </c>
      <c r="AV1066">
        <v>4.2906921868653648E-3</v>
      </c>
    </row>
    <row r="1067" spans="44:48" x14ac:dyDescent="0.2">
      <c r="AR1067">
        <v>1059</v>
      </c>
      <c r="AS1067">
        <v>150</v>
      </c>
      <c r="AT1067">
        <v>2</v>
      </c>
      <c r="AU1067">
        <v>-6.4564546122774615</v>
      </c>
      <c r="AV1067">
        <v>4.3681370284820572E-3</v>
      </c>
    </row>
    <row r="1068" spans="44:48" x14ac:dyDescent="0.2">
      <c r="AR1068">
        <v>1060</v>
      </c>
      <c r="AS1068">
        <v>151</v>
      </c>
      <c r="AT1068">
        <v>2</v>
      </c>
      <c r="AU1068">
        <v>-6.4255140809601157</v>
      </c>
      <c r="AV1068">
        <v>4.4467478288807046E-3</v>
      </c>
    </row>
    <row r="1069" spans="44:48" x14ac:dyDescent="0.2">
      <c r="AR1069">
        <v>1061</v>
      </c>
      <c r="AS1069">
        <v>152</v>
      </c>
      <c r="AT1069">
        <v>2</v>
      </c>
      <c r="AU1069">
        <v>-6.3945735496427689</v>
      </c>
      <c r="AV1069">
        <v>4.5265372992611139E-3</v>
      </c>
    </row>
    <row r="1070" spans="44:48" x14ac:dyDescent="0.2">
      <c r="AR1070">
        <v>1062</v>
      </c>
      <c r="AS1070">
        <v>153</v>
      </c>
      <c r="AT1070">
        <v>2</v>
      </c>
      <c r="AU1070">
        <v>-6.3636330183254231</v>
      </c>
      <c r="AV1070">
        <v>4.6075181932073092E-3</v>
      </c>
    </row>
    <row r="1071" spans="44:48" x14ac:dyDescent="0.2">
      <c r="AR1071">
        <v>1063</v>
      </c>
      <c r="AS1071">
        <v>154</v>
      </c>
      <c r="AT1071">
        <v>2</v>
      </c>
      <c r="AU1071">
        <v>-6.3326924870080763</v>
      </c>
      <c r="AV1071">
        <v>4.6897033047642823E-3</v>
      </c>
    </row>
    <row r="1072" spans="44:48" x14ac:dyDescent="0.2">
      <c r="AR1072">
        <v>1064</v>
      </c>
      <c r="AS1072">
        <v>155</v>
      </c>
      <c r="AT1072">
        <v>2</v>
      </c>
      <c r="AU1072">
        <v>-6.3017519556907304</v>
      </c>
      <c r="AV1072">
        <v>4.7731054664695016E-3</v>
      </c>
    </row>
    <row r="1073" spans="44:48" x14ac:dyDescent="0.2">
      <c r="AR1073">
        <v>1065</v>
      </c>
      <c r="AS1073">
        <v>156</v>
      </c>
      <c r="AT1073">
        <v>2</v>
      </c>
      <c r="AU1073">
        <v>-6.2708114243733846</v>
      </c>
      <c r="AV1073">
        <v>4.8577375473392113E-3</v>
      </c>
    </row>
    <row r="1074" spans="44:48" x14ac:dyDescent="0.2">
      <c r="AR1074">
        <v>1066</v>
      </c>
      <c r="AS1074">
        <v>157</v>
      </c>
      <c r="AT1074">
        <v>2</v>
      </c>
      <c r="AU1074">
        <v>-6.2398708930560378</v>
      </c>
      <c r="AV1074">
        <v>4.9436124508092615E-3</v>
      </c>
    </row>
    <row r="1075" spans="44:48" x14ac:dyDescent="0.2">
      <c r="AR1075">
        <v>1067</v>
      </c>
      <c r="AS1075">
        <v>158</v>
      </c>
      <c r="AT1075">
        <v>2</v>
      </c>
      <c r="AU1075">
        <v>-6.2089303617386919</v>
      </c>
      <c r="AV1075">
        <v>5.0307431126302956E-3</v>
      </c>
    </row>
    <row r="1076" spans="44:48" x14ac:dyDescent="0.2">
      <c r="AR1076">
        <v>1068</v>
      </c>
      <c r="AS1076">
        <v>159</v>
      </c>
      <c r="AT1076">
        <v>2</v>
      </c>
      <c r="AU1076">
        <v>-6.1779898304213452</v>
      </c>
      <c r="AV1076">
        <v>5.1191424987171788E-3</v>
      </c>
    </row>
    <row r="1077" spans="44:48" x14ac:dyDescent="0.2">
      <c r="AR1077">
        <v>1069</v>
      </c>
      <c r="AS1077">
        <v>160</v>
      </c>
      <c r="AT1077">
        <v>2</v>
      </c>
      <c r="AU1077">
        <v>-6.1470492991039993</v>
      </c>
      <c r="AV1077">
        <v>5.2088236029525729E-3</v>
      </c>
    </row>
    <row r="1078" spans="44:48" x14ac:dyDescent="0.2">
      <c r="AR1078">
        <v>1070</v>
      </c>
      <c r="AS1078">
        <v>161</v>
      </c>
      <c r="AT1078">
        <v>2</v>
      </c>
      <c r="AU1078">
        <v>-6.1161087677866526</v>
      </c>
      <c r="AV1078">
        <v>5.2997994449444389E-3</v>
      </c>
    </row>
    <row r="1079" spans="44:48" x14ac:dyDescent="0.2">
      <c r="AR1079">
        <v>1071</v>
      </c>
      <c r="AS1079">
        <v>162</v>
      </c>
      <c r="AT1079">
        <v>2</v>
      </c>
      <c r="AU1079">
        <v>-6.0851682364693067</v>
      </c>
      <c r="AV1079">
        <v>5.3920830677374717E-3</v>
      </c>
    </row>
    <row r="1080" spans="44:48" x14ac:dyDescent="0.2">
      <c r="AR1080">
        <v>1072</v>
      </c>
      <c r="AS1080">
        <v>163</v>
      </c>
      <c r="AT1080">
        <v>2</v>
      </c>
      <c r="AU1080">
        <v>-6.05422770515196</v>
      </c>
      <c r="AV1080">
        <v>5.4856875354783842E-3</v>
      </c>
    </row>
    <row r="1081" spans="44:48" x14ac:dyDescent="0.2">
      <c r="AR1081">
        <v>1073</v>
      </c>
      <c r="AS1081">
        <v>164</v>
      </c>
      <c r="AT1081">
        <v>2</v>
      </c>
      <c r="AU1081">
        <v>-6.0232871738346141</v>
      </c>
      <c r="AV1081">
        <v>5.5806259310347698E-3</v>
      </c>
    </row>
    <row r="1082" spans="44:48" x14ac:dyDescent="0.2">
      <c r="AR1082">
        <v>1074</v>
      </c>
      <c r="AS1082">
        <v>165</v>
      </c>
      <c r="AT1082">
        <v>2</v>
      </c>
      <c r="AU1082">
        <v>-5.9923466425172673</v>
      </c>
      <c r="AV1082">
        <v>5.676911353567857E-3</v>
      </c>
    </row>
    <row r="1083" spans="44:48" x14ac:dyDescent="0.2">
      <c r="AR1083">
        <v>1075</v>
      </c>
      <c r="AS1083">
        <v>166</v>
      </c>
      <c r="AT1083">
        <v>2</v>
      </c>
      <c r="AU1083">
        <v>-5.9614061111999215</v>
      </c>
      <c r="AV1083">
        <v>5.7745569160587273E-3</v>
      </c>
    </row>
    <row r="1084" spans="44:48" x14ac:dyDescent="0.2">
      <c r="AR1084">
        <v>1076</v>
      </c>
      <c r="AS1084">
        <v>167</v>
      </c>
      <c r="AT1084">
        <v>2</v>
      </c>
      <c r="AU1084">
        <v>-5.9304655798825747</v>
      </c>
      <c r="AV1084">
        <v>5.8735757427882491E-3</v>
      </c>
    </row>
    <row r="1085" spans="44:48" x14ac:dyDescent="0.2">
      <c r="AR1085">
        <v>1077</v>
      </c>
      <c r="AS1085">
        <v>168</v>
      </c>
      <c r="AT1085">
        <v>2</v>
      </c>
      <c r="AU1085">
        <v>-5.8995250485652289</v>
      </c>
      <c r="AV1085">
        <v>5.973980966770649E-3</v>
      </c>
    </row>
    <row r="1086" spans="44:48" x14ac:dyDescent="0.2">
      <c r="AR1086">
        <v>1078</v>
      </c>
      <c r="AS1086">
        <v>169</v>
      </c>
      <c r="AT1086">
        <v>2</v>
      </c>
      <c r="AU1086">
        <v>-5.868584517247883</v>
      </c>
      <c r="AV1086">
        <v>6.0757857271405763E-3</v>
      </c>
    </row>
    <row r="1087" spans="44:48" x14ac:dyDescent="0.2">
      <c r="AR1087">
        <v>1079</v>
      </c>
      <c r="AS1087">
        <v>170</v>
      </c>
      <c r="AT1087">
        <v>2</v>
      </c>
      <c r="AU1087">
        <v>-5.8376439859305362</v>
      </c>
      <c r="AV1087">
        <v>6.1790031664939911E-3</v>
      </c>
    </row>
    <row r="1088" spans="44:48" x14ac:dyDescent="0.2">
      <c r="AR1088">
        <v>1080</v>
      </c>
      <c r="AS1088">
        <v>171</v>
      </c>
      <c r="AT1088">
        <v>2</v>
      </c>
      <c r="AU1088">
        <v>-5.8067034546131904</v>
      </c>
      <c r="AV1088">
        <v>6.2836464281826676E-3</v>
      </c>
    </row>
    <row r="1089" spans="44:48" x14ac:dyDescent="0.2">
      <c r="AR1089">
        <v>1081</v>
      </c>
      <c r="AS1089">
        <v>172</v>
      </c>
      <c r="AT1089">
        <v>2</v>
      </c>
      <c r="AU1089">
        <v>-5.7757629232958436</v>
      </c>
      <c r="AV1089">
        <v>6.3897286535624541E-3</v>
      </c>
    </row>
    <row r="1090" spans="44:48" x14ac:dyDescent="0.2">
      <c r="AR1090">
        <v>1082</v>
      </c>
      <c r="AS1090">
        <v>173</v>
      </c>
      <c r="AT1090">
        <v>2</v>
      </c>
      <c r="AU1090">
        <v>-5.7448223919784978</v>
      </c>
      <c r="AV1090">
        <v>6.4972629791954194E-3</v>
      </c>
    </row>
    <row r="1091" spans="44:48" x14ac:dyDescent="0.2">
      <c r="AR1091">
        <v>1083</v>
      </c>
      <c r="AS1091">
        <v>174</v>
      </c>
      <c r="AT1091">
        <v>2</v>
      </c>
      <c r="AU1091">
        <v>-5.713881860661151</v>
      </c>
      <c r="AV1091">
        <v>6.6062625340060034E-3</v>
      </c>
    </row>
    <row r="1092" spans="44:48" x14ac:dyDescent="0.2">
      <c r="AR1092">
        <v>1084</v>
      </c>
      <c r="AS1092">
        <v>175</v>
      </c>
      <c r="AT1092">
        <v>2</v>
      </c>
      <c r="AU1092">
        <v>-5.6829413293438051</v>
      </c>
      <c r="AV1092">
        <v>6.7167404363910601E-3</v>
      </c>
    </row>
    <row r="1093" spans="44:48" x14ac:dyDescent="0.2">
      <c r="AR1093">
        <v>1085</v>
      </c>
      <c r="AS1093">
        <v>176</v>
      </c>
      <c r="AT1093">
        <v>2</v>
      </c>
      <c r="AU1093">
        <v>-5.6520007980264584</v>
      </c>
      <c r="AV1093">
        <v>6.8287097912843511E-3</v>
      </c>
    </row>
    <row r="1094" spans="44:48" x14ac:dyDescent="0.2">
      <c r="AR1094">
        <v>1086</v>
      </c>
      <c r="AS1094">
        <v>177</v>
      </c>
      <c r="AT1094">
        <v>2</v>
      </c>
      <c r="AU1094">
        <v>-5.6210602667091125</v>
      </c>
      <c r="AV1094">
        <v>6.9421836871752319E-3</v>
      </c>
    </row>
    <row r="1095" spans="44:48" x14ac:dyDescent="0.2">
      <c r="AR1095">
        <v>1087</v>
      </c>
      <c r="AS1095">
        <v>178</v>
      </c>
      <c r="AT1095">
        <v>2</v>
      </c>
      <c r="AU1095">
        <v>-5.5901197353917658</v>
      </c>
      <c r="AV1095">
        <v>7.0571751930819243E-3</v>
      </c>
    </row>
    <row r="1096" spans="44:48" x14ac:dyDescent="0.2">
      <c r="AR1096">
        <v>1088</v>
      </c>
      <c r="AS1096">
        <v>179</v>
      </c>
      <c r="AT1096">
        <v>2</v>
      </c>
      <c r="AU1096">
        <v>-5.5591792040744199</v>
      </c>
      <c r="AV1096">
        <v>7.1736973554796428E-3</v>
      </c>
    </row>
    <row r="1097" spans="44:48" x14ac:dyDescent="0.2">
      <c r="AR1097">
        <v>1089</v>
      </c>
      <c r="AS1097">
        <v>180</v>
      </c>
      <c r="AT1097">
        <v>2</v>
      </c>
      <c r="AU1097">
        <v>-5.5282386727570731</v>
      </c>
      <c r="AV1097">
        <v>7.2917631951834828E-3</v>
      </c>
    </row>
    <row r="1098" spans="44:48" x14ac:dyDescent="0.2">
      <c r="AR1098">
        <v>1090</v>
      </c>
      <c r="AS1098">
        <v>181</v>
      </c>
      <c r="AT1098">
        <v>2</v>
      </c>
      <c r="AU1098">
        <v>-5.4972981414397273</v>
      </c>
      <c r="AV1098">
        <v>7.4113857041866625E-3</v>
      </c>
    </row>
    <row r="1099" spans="44:48" x14ac:dyDescent="0.2">
      <c r="AR1099">
        <v>1091</v>
      </c>
      <c r="AS1099">
        <v>182</v>
      </c>
      <c r="AT1099">
        <v>2</v>
      </c>
      <c r="AU1099">
        <v>-5.4663576101223814</v>
      </c>
      <c r="AV1099">
        <v>7.5325778424542144E-3</v>
      </c>
    </row>
    <row r="1100" spans="44:48" x14ac:dyDescent="0.2">
      <c r="AR1100">
        <v>1092</v>
      </c>
      <c r="AS1100">
        <v>183</v>
      </c>
      <c r="AT1100">
        <v>2</v>
      </c>
      <c r="AU1100">
        <v>-5.4354170788050347</v>
      </c>
      <c r="AV1100">
        <v>7.6553525346722846E-3</v>
      </c>
    </row>
    <row r="1101" spans="44:48" x14ac:dyDescent="0.2">
      <c r="AR1101">
        <v>1093</v>
      </c>
      <c r="AS1101">
        <v>184</v>
      </c>
      <c r="AT1101">
        <v>2</v>
      </c>
      <c r="AU1101">
        <v>-5.4044765474876888</v>
      </c>
      <c r="AV1101">
        <v>7.7797226669536262E-3</v>
      </c>
    </row>
    <row r="1102" spans="44:48" x14ac:dyDescent="0.2">
      <c r="AR1102">
        <v>1094</v>
      </c>
      <c r="AS1102">
        <v>185</v>
      </c>
      <c r="AT1102">
        <v>2</v>
      </c>
      <c r="AU1102">
        <v>-5.373536016170342</v>
      </c>
      <c r="AV1102">
        <v>7.9057010834993544E-3</v>
      </c>
    </row>
    <row r="1103" spans="44:48" x14ac:dyDescent="0.2">
      <c r="AR1103">
        <v>1095</v>
      </c>
      <c r="AS1103">
        <v>186</v>
      </c>
      <c r="AT1103">
        <v>2</v>
      </c>
      <c r="AU1103">
        <v>-5.3425954848529962</v>
      </c>
      <c r="AV1103">
        <v>8.0333005832173478E-3</v>
      </c>
    </row>
    <row r="1104" spans="44:48" x14ac:dyDescent="0.2">
      <c r="AR1104">
        <v>1096</v>
      </c>
      <c r="AS1104">
        <v>187</v>
      </c>
      <c r="AT1104">
        <v>2</v>
      </c>
      <c r="AU1104">
        <v>-5.3116549535356494</v>
      </c>
      <c r="AV1104">
        <v>8.1625339162978879E-3</v>
      </c>
    </row>
    <row r="1105" spans="44:48" x14ac:dyDescent="0.2">
      <c r="AR1105">
        <v>1097</v>
      </c>
      <c r="AS1105">
        <v>188</v>
      </c>
      <c r="AT1105">
        <v>2</v>
      </c>
      <c r="AU1105">
        <v>-5.2807144222183036</v>
      </c>
      <c r="AV1105">
        <v>8.2934137807465259E-3</v>
      </c>
    </row>
    <row r="1106" spans="44:48" x14ac:dyDescent="0.2">
      <c r="AR1106">
        <v>1098</v>
      </c>
      <c r="AS1106">
        <v>189</v>
      </c>
      <c r="AT1106">
        <v>2</v>
      </c>
      <c r="AU1106">
        <v>-5.2497738909009568</v>
      </c>
      <c r="AV1106">
        <v>8.4259528188749318E-3</v>
      </c>
    </row>
    <row r="1107" spans="44:48" x14ac:dyDescent="0.2">
      <c r="AR1107">
        <v>1099</v>
      </c>
      <c r="AS1107">
        <v>190</v>
      </c>
      <c r="AT1107">
        <v>2</v>
      </c>
      <c r="AU1107">
        <v>-5.2188333595836109</v>
      </c>
      <c r="AV1107">
        <v>8.5601636137500516E-3</v>
      </c>
    </row>
    <row r="1108" spans="44:48" x14ac:dyDescent="0.2">
      <c r="AR1108">
        <v>1100</v>
      </c>
      <c r="AS1108">
        <v>191</v>
      </c>
      <c r="AT1108">
        <v>2</v>
      </c>
      <c r="AU1108">
        <v>-5.1878928282662642</v>
      </c>
      <c r="AV1108">
        <v>8.6960586856017989E-3</v>
      </c>
    </row>
    <row r="1109" spans="44:48" x14ac:dyDescent="0.2">
      <c r="AR1109">
        <v>1101</v>
      </c>
      <c r="AS1109">
        <v>192</v>
      </c>
      <c r="AT1109">
        <v>2</v>
      </c>
      <c r="AU1109">
        <v>-5.1569522969489183</v>
      </c>
      <c r="AV1109">
        <v>8.8336504881901829E-3</v>
      </c>
    </row>
    <row r="1110" spans="44:48" x14ac:dyDescent="0.2">
      <c r="AR1110">
        <v>1102</v>
      </c>
      <c r="AS1110">
        <v>193</v>
      </c>
      <c r="AT1110">
        <v>2</v>
      </c>
      <c r="AU1110">
        <v>-5.1260117656315725</v>
      </c>
      <c r="AV1110">
        <v>8.9729514051320129E-3</v>
      </c>
    </row>
    <row r="1111" spans="44:48" x14ac:dyDescent="0.2">
      <c r="AR1111">
        <v>1103</v>
      </c>
      <c r="AS1111">
        <v>194</v>
      </c>
      <c r="AT1111">
        <v>2</v>
      </c>
      <c r="AU1111">
        <v>-5.0950712343142257</v>
      </c>
      <c r="AV1111">
        <v>9.1139737461877826E-3</v>
      </c>
    </row>
    <row r="1112" spans="44:48" x14ac:dyDescent="0.2">
      <c r="AR1112">
        <v>1104</v>
      </c>
      <c r="AS1112">
        <v>195</v>
      </c>
      <c r="AT1112">
        <v>2</v>
      </c>
      <c r="AU1112">
        <v>-5.0641307029968798</v>
      </c>
      <c r="AV1112">
        <v>9.2567297435094346E-3</v>
      </c>
    </row>
    <row r="1113" spans="44:48" x14ac:dyDescent="0.2">
      <c r="AR1113">
        <v>1105</v>
      </c>
      <c r="AS1113">
        <v>196</v>
      </c>
      <c r="AT1113">
        <v>2</v>
      </c>
      <c r="AU1113">
        <v>-5.0331901716795331</v>
      </c>
      <c r="AV1113">
        <v>9.4012315478493487E-3</v>
      </c>
    </row>
    <row r="1114" spans="44:48" x14ac:dyDescent="0.2">
      <c r="AR1114">
        <v>1106</v>
      </c>
      <c r="AS1114">
        <v>197</v>
      </c>
      <c r="AT1114">
        <v>2</v>
      </c>
      <c r="AU1114">
        <v>-5.0022496403621872</v>
      </c>
      <c r="AV1114">
        <v>9.5474912247312145E-3</v>
      </c>
    </row>
    <row r="1115" spans="44:48" x14ac:dyDescent="0.2">
      <c r="AR1115">
        <v>1107</v>
      </c>
      <c r="AS1115">
        <v>198</v>
      </c>
      <c r="AT1115">
        <v>2</v>
      </c>
      <c r="AU1115">
        <v>-4.9713091090448405</v>
      </c>
      <c r="AV1115">
        <v>9.695520750583584E-3</v>
      </c>
    </row>
    <row r="1116" spans="44:48" x14ac:dyDescent="0.2">
      <c r="AR1116">
        <v>1108</v>
      </c>
      <c r="AS1116">
        <v>199</v>
      </c>
      <c r="AT1116">
        <v>2</v>
      </c>
      <c r="AU1116">
        <v>-4.9403685777274946</v>
      </c>
      <c r="AV1116">
        <v>9.8453320088363709E-3</v>
      </c>
    </row>
    <row r="1117" spans="44:48" x14ac:dyDescent="0.2">
      <c r="AR1117">
        <v>1109</v>
      </c>
      <c r="AS1117">
        <v>200</v>
      </c>
      <c r="AT1117">
        <v>2</v>
      </c>
      <c r="AU1117">
        <v>-4.9094280464101479</v>
      </c>
      <c r="AV1117">
        <v>9.9969367859813023E-3</v>
      </c>
    </row>
    <row r="1118" spans="44:48" x14ac:dyDescent="0.2">
      <c r="AR1118">
        <v>1110</v>
      </c>
      <c r="AS1118">
        <v>201</v>
      </c>
      <c r="AT1118">
        <v>2</v>
      </c>
      <c r="AU1118">
        <v>-4.878487515092802</v>
      </c>
      <c r="AV1118">
        <v>1.0150346767596855E-2</v>
      </c>
    </row>
    <row r="1119" spans="44:48" x14ac:dyDescent="0.2">
      <c r="AR1119">
        <v>1111</v>
      </c>
      <c r="AS1119">
        <v>202</v>
      </c>
      <c r="AT1119">
        <v>2</v>
      </c>
      <c r="AU1119">
        <v>-4.8475469837754552</v>
      </c>
      <c r="AV1119">
        <v>1.0305573534338286E-2</v>
      </c>
    </row>
    <row r="1120" spans="44:48" x14ac:dyDescent="0.2">
      <c r="AR1120">
        <v>1112</v>
      </c>
      <c r="AS1120">
        <v>203</v>
      </c>
      <c r="AT1120">
        <v>2</v>
      </c>
      <c r="AU1120">
        <v>-4.8166064524581094</v>
      </c>
      <c r="AV1120">
        <v>1.0462628557893679E-2</v>
      </c>
    </row>
    <row r="1121" spans="44:48" x14ac:dyDescent="0.2">
      <c r="AR1121">
        <v>1113</v>
      </c>
      <c r="AS1121">
        <v>204</v>
      </c>
      <c r="AT1121">
        <v>2</v>
      </c>
      <c r="AU1121">
        <v>-4.7856659211407626</v>
      </c>
      <c r="AV1121">
        <v>1.0621523196906697E-2</v>
      </c>
    </row>
    <row r="1122" spans="44:48" x14ac:dyDescent="0.2">
      <c r="AR1122">
        <v>1114</v>
      </c>
      <c r="AS1122">
        <v>205</v>
      </c>
      <c r="AT1122">
        <v>2</v>
      </c>
      <c r="AU1122">
        <v>-4.7547253898234167</v>
      </c>
      <c r="AV1122">
        <v>1.0782268692866628E-2</v>
      </c>
    </row>
    <row r="1123" spans="44:48" x14ac:dyDescent="0.2">
      <c r="AR1123">
        <v>1115</v>
      </c>
      <c r="AS1123">
        <v>206</v>
      </c>
      <c r="AT1123">
        <v>2</v>
      </c>
      <c r="AU1123">
        <v>-4.7237848585060709</v>
      </c>
      <c r="AV1123">
        <v>1.0944876165966934E-2</v>
      </c>
    </row>
    <row r="1124" spans="44:48" x14ac:dyDescent="0.2">
      <c r="AR1124">
        <v>1116</v>
      </c>
      <c r="AS1124">
        <v>207</v>
      </c>
      <c r="AT1124">
        <v>2</v>
      </c>
      <c r="AU1124">
        <v>-4.6928443271887241</v>
      </c>
      <c r="AV1124">
        <v>1.1109356610932618E-2</v>
      </c>
    </row>
    <row r="1125" spans="44:48" x14ac:dyDescent="0.2">
      <c r="AR1125">
        <v>1117</v>
      </c>
      <c r="AS1125">
        <v>208</v>
      </c>
      <c r="AT1125">
        <v>2</v>
      </c>
      <c r="AU1125">
        <v>-4.6619037958713783</v>
      </c>
      <c r="AV1125">
        <v>1.1275720892817623E-2</v>
      </c>
    </row>
    <row r="1126" spans="44:48" x14ac:dyDescent="0.2">
      <c r="AR1126">
        <v>1118</v>
      </c>
      <c r="AS1126">
        <v>209</v>
      </c>
      <c r="AT1126">
        <v>2</v>
      </c>
      <c r="AU1126">
        <v>-4.6309632645540315</v>
      </c>
      <c r="AV1126">
        <v>1.1443979742773147E-2</v>
      </c>
    </row>
    <row r="1127" spans="44:48" x14ac:dyDescent="0.2">
      <c r="AR1127">
        <v>1119</v>
      </c>
      <c r="AS1127">
        <v>210</v>
      </c>
      <c r="AT1127">
        <v>2</v>
      </c>
      <c r="AU1127">
        <v>-4.6000227332366856</v>
      </c>
      <c r="AV1127">
        <v>1.1614143753787387E-2</v>
      </c>
    </row>
    <row r="1128" spans="44:48" x14ac:dyDescent="0.2">
      <c r="AR1128">
        <v>1120</v>
      </c>
      <c r="AS1128">
        <v>211</v>
      </c>
      <c r="AT1128">
        <v>2</v>
      </c>
      <c r="AU1128">
        <v>-4.5690822019193389</v>
      </c>
      <c r="AV1128">
        <v>1.1786223376398151E-2</v>
      </c>
    </row>
    <row r="1129" spans="44:48" x14ac:dyDescent="0.2">
      <c r="AR1129">
        <v>1121</v>
      </c>
      <c r="AS1129">
        <v>212</v>
      </c>
      <c r="AT1129">
        <v>2</v>
      </c>
      <c r="AU1129">
        <v>-4.538141670601993</v>
      </c>
      <c r="AV1129">
        <v>1.1960228914378831E-2</v>
      </c>
    </row>
    <row r="1130" spans="44:48" x14ac:dyDescent="0.2">
      <c r="AR1130">
        <v>1122</v>
      </c>
      <c r="AS1130">
        <v>213</v>
      </c>
      <c r="AT1130">
        <v>2</v>
      </c>
      <c r="AU1130">
        <v>-4.5072011392846463</v>
      </c>
      <c r="AV1130">
        <v>1.2136170520398979E-2</v>
      </c>
    </row>
    <row r="1131" spans="44:48" x14ac:dyDescent="0.2">
      <c r="AR1131">
        <v>1123</v>
      </c>
      <c r="AS1131">
        <v>214</v>
      </c>
      <c r="AT1131">
        <v>2</v>
      </c>
      <c r="AU1131">
        <v>-4.4762606079673004</v>
      </c>
      <c r="AV1131">
        <v>1.2314058191660386E-2</v>
      </c>
    </row>
    <row r="1132" spans="44:48" x14ac:dyDescent="0.2">
      <c r="AR1132">
        <v>1124</v>
      </c>
      <c r="AS1132">
        <v>215</v>
      </c>
      <c r="AT1132">
        <v>2</v>
      </c>
      <c r="AU1132">
        <v>-4.4453200766499537</v>
      </c>
      <c r="AV1132">
        <v>1.2493901765509689E-2</v>
      </c>
    </row>
    <row r="1133" spans="44:48" x14ac:dyDescent="0.2">
      <c r="AR1133">
        <v>1125</v>
      </c>
      <c r="AS1133">
        <v>216</v>
      </c>
      <c r="AT1133">
        <v>2</v>
      </c>
      <c r="AU1133">
        <v>-4.4143795453326078</v>
      </c>
      <c r="AV1133">
        <v>1.2675710915028436E-2</v>
      </c>
    </row>
    <row r="1134" spans="44:48" x14ac:dyDescent="0.2">
      <c r="AR1134">
        <v>1126</v>
      </c>
      <c r="AS1134">
        <v>217</v>
      </c>
      <c r="AT1134">
        <v>2</v>
      </c>
      <c r="AU1134">
        <v>-4.383439014015261</v>
      </c>
      <c r="AV1134">
        <v>1.2859495144601978E-2</v>
      </c>
    </row>
    <row r="1135" spans="44:48" x14ac:dyDescent="0.2">
      <c r="AR1135">
        <v>1127</v>
      </c>
      <c r="AS1135">
        <v>218</v>
      </c>
      <c r="AT1135">
        <v>2</v>
      </c>
      <c r="AU1135">
        <v>-4.3524984826979152</v>
      </c>
      <c r="AV1135">
        <v>1.3045263785467835E-2</v>
      </c>
    </row>
    <row r="1136" spans="44:48" x14ac:dyDescent="0.2">
      <c r="AR1136">
        <v>1128</v>
      </c>
      <c r="AS1136">
        <v>219</v>
      </c>
      <c r="AT1136">
        <v>2</v>
      </c>
      <c r="AU1136">
        <v>-4.3215579513805693</v>
      </c>
      <c r="AV1136">
        <v>1.3233025991244991E-2</v>
      </c>
    </row>
    <row r="1137" spans="44:48" x14ac:dyDescent="0.2">
      <c r="AR1137">
        <v>1129</v>
      </c>
      <c r="AS1137">
        <v>220</v>
      </c>
      <c r="AT1137">
        <v>2</v>
      </c>
      <c r="AU1137">
        <v>-4.2906174200632226</v>
      </c>
      <c r="AV1137">
        <v>1.3422790733445164E-2</v>
      </c>
    </row>
    <row r="1138" spans="44:48" x14ac:dyDescent="0.2">
      <c r="AR1138">
        <v>1130</v>
      </c>
      <c r="AS1138">
        <v>221</v>
      </c>
      <c r="AT1138">
        <v>2</v>
      </c>
      <c r="AU1138">
        <v>-4.2596768887458767</v>
      </c>
      <c r="AV1138">
        <v>1.3614566796967055E-2</v>
      </c>
    </row>
    <row r="1139" spans="44:48" x14ac:dyDescent="0.2">
      <c r="AR1139">
        <v>1131</v>
      </c>
      <c r="AS1139">
        <v>222</v>
      </c>
      <c r="AT1139">
        <v>2</v>
      </c>
      <c r="AU1139">
        <v>-4.2287363574285299</v>
      </c>
      <c r="AV1139">
        <v>1.3808362775574951E-2</v>
      </c>
    </row>
    <row r="1140" spans="44:48" x14ac:dyDescent="0.2">
      <c r="AR1140">
        <v>1132</v>
      </c>
      <c r="AS1140">
        <v>223</v>
      </c>
      <c r="AT1140">
        <v>2</v>
      </c>
      <c r="AU1140">
        <v>-4.1977958261111841</v>
      </c>
      <c r="AV1140">
        <v>1.4004187067362818E-2</v>
      </c>
    </row>
    <row r="1141" spans="44:48" x14ac:dyDescent="0.2">
      <c r="AR1141">
        <v>1133</v>
      </c>
      <c r="AS1141">
        <v>224</v>
      </c>
      <c r="AT1141">
        <v>2</v>
      </c>
      <c r="AU1141">
        <v>-4.1668552947938373</v>
      </c>
      <c r="AV1141">
        <v>1.4202047870204989E-2</v>
      </c>
    </row>
    <row r="1142" spans="44:48" x14ac:dyDescent="0.2">
      <c r="AR1142">
        <v>1134</v>
      </c>
      <c r="AS1142">
        <v>225</v>
      </c>
      <c r="AT1142">
        <v>2</v>
      </c>
      <c r="AU1142">
        <v>-4.1359147634764915</v>
      </c>
      <c r="AV1142">
        <v>1.4401953177194844E-2</v>
      </c>
    </row>
    <row r="1143" spans="44:48" x14ac:dyDescent="0.2">
      <c r="AR1143">
        <v>1135</v>
      </c>
      <c r="AS1143">
        <v>226</v>
      </c>
      <c r="AT1143">
        <v>2</v>
      </c>
      <c r="AU1143">
        <v>-4.1049742321591447</v>
      </c>
      <c r="AV1143">
        <v>1.4603910772072773E-2</v>
      </c>
    </row>
    <row r="1144" spans="44:48" x14ac:dyDescent="0.2">
      <c r="AR1144">
        <v>1136</v>
      </c>
      <c r="AS1144">
        <v>227</v>
      </c>
      <c r="AT1144">
        <v>2</v>
      </c>
      <c r="AU1144">
        <v>-4.0740337008417988</v>
      </c>
      <c r="AV1144">
        <v>1.4807928224644409E-2</v>
      </c>
    </row>
    <row r="1145" spans="44:48" x14ac:dyDescent="0.2">
      <c r="AR1145">
        <v>1137</v>
      </c>
      <c r="AS1145">
        <v>228</v>
      </c>
      <c r="AT1145">
        <v>2</v>
      </c>
      <c r="AU1145">
        <v>-4.0430931695244521</v>
      </c>
      <c r="AV1145">
        <v>1.5014012886190937E-2</v>
      </c>
    </row>
    <row r="1146" spans="44:48" x14ac:dyDescent="0.2">
      <c r="AR1146">
        <v>1138</v>
      </c>
      <c r="AS1146">
        <v>229</v>
      </c>
      <c r="AT1146">
        <v>2</v>
      </c>
      <c r="AU1146">
        <v>-4.0121526382071062</v>
      </c>
      <c r="AV1146">
        <v>1.5222171884872291E-2</v>
      </c>
    </row>
    <row r="1147" spans="44:48" x14ac:dyDescent="0.2">
      <c r="AR1147">
        <v>1139</v>
      </c>
      <c r="AS1147">
        <v>230</v>
      </c>
      <c r="AT1147">
        <v>2</v>
      </c>
      <c r="AU1147">
        <v>-3.9812121068897595</v>
      </c>
      <c r="AV1147">
        <v>1.5432412121124972E-2</v>
      </c>
    </row>
    <row r="1148" spans="44:48" x14ac:dyDescent="0.2">
      <c r="AR1148">
        <v>1140</v>
      </c>
      <c r="AS1148">
        <v>231</v>
      </c>
      <c r="AT1148">
        <v>2</v>
      </c>
      <c r="AU1148">
        <v>-3.9502715755724136</v>
      </c>
      <c r="AV1148">
        <v>1.5644740263055699E-2</v>
      </c>
    </row>
    <row r="1149" spans="44:48" x14ac:dyDescent="0.2">
      <c r="AR1149">
        <v>1141</v>
      </c>
      <c r="AS1149">
        <v>232</v>
      </c>
      <c r="AT1149">
        <v>2</v>
      </c>
      <c r="AU1149">
        <v>-3.9193310442550677</v>
      </c>
      <c r="AV1149">
        <v>1.5859162741832269E-2</v>
      </c>
    </row>
    <row r="1150" spans="44:48" x14ac:dyDescent="0.2">
      <c r="AR1150">
        <v>1142</v>
      </c>
      <c r="AS1150">
        <v>233</v>
      </c>
      <c r="AT1150">
        <v>2</v>
      </c>
      <c r="AU1150">
        <v>-3.888390512937721</v>
      </c>
      <c r="AV1150">
        <v>1.6075685747073083E-2</v>
      </c>
    </row>
    <row r="1151" spans="44:48" x14ac:dyDescent="0.2">
      <c r="AR1151">
        <v>1143</v>
      </c>
      <c r="AS1151">
        <v>234</v>
      </c>
      <c r="AT1151">
        <v>2</v>
      </c>
      <c r="AU1151">
        <v>-3.8574499816203751</v>
      </c>
      <c r="AV1151">
        <v>1.6294315222236858E-2</v>
      </c>
    </row>
    <row r="1152" spans="44:48" x14ac:dyDescent="0.2">
      <c r="AR1152">
        <v>1144</v>
      </c>
      <c r="AS1152">
        <v>235</v>
      </c>
      <c r="AT1152">
        <v>2</v>
      </c>
      <c r="AU1152">
        <v>-3.8265094503030284</v>
      </c>
      <c r="AV1152">
        <v>1.6515056860013744E-2</v>
      </c>
    </row>
    <row r="1153" spans="44:48" x14ac:dyDescent="0.2">
      <c r="AR1153">
        <v>1145</v>
      </c>
      <c r="AS1153">
        <v>236</v>
      </c>
      <c r="AT1153">
        <v>2</v>
      </c>
      <c r="AU1153">
        <v>-3.7955689189856825</v>
      </c>
      <c r="AV1153">
        <v>1.673791609771956E-2</v>
      </c>
    </row>
    <row r="1154" spans="44:48" x14ac:dyDescent="0.2">
      <c r="AR1154">
        <v>1146</v>
      </c>
      <c r="AS1154">
        <v>237</v>
      </c>
      <c r="AT1154">
        <v>2</v>
      </c>
      <c r="AU1154">
        <v>-3.7646283876683357</v>
      </c>
      <c r="AV1154">
        <v>1.6962898112694573E-2</v>
      </c>
    </row>
    <row r="1155" spans="44:48" x14ac:dyDescent="0.2">
      <c r="AR1155">
        <v>1147</v>
      </c>
      <c r="AS1155">
        <v>238</v>
      </c>
      <c r="AT1155">
        <v>2</v>
      </c>
      <c r="AU1155">
        <v>-3.7336878563509899</v>
      </c>
      <c r="AV1155">
        <v>1.7190007817708165E-2</v>
      </c>
    </row>
    <row r="1156" spans="44:48" x14ac:dyDescent="0.2">
      <c r="AR1156">
        <v>1148</v>
      </c>
      <c r="AS1156">
        <v>239</v>
      </c>
      <c r="AT1156">
        <v>2</v>
      </c>
      <c r="AU1156">
        <v>-3.7027473250336431</v>
      </c>
      <c r="AV1156">
        <v>1.7419249856371215E-2</v>
      </c>
    </row>
    <row r="1157" spans="44:48" x14ac:dyDescent="0.2">
      <c r="AR1157">
        <v>1149</v>
      </c>
      <c r="AS1157">
        <v>240</v>
      </c>
      <c r="AT1157">
        <v>2</v>
      </c>
      <c r="AU1157">
        <v>-3.6718067937162973</v>
      </c>
      <c r="AV1157">
        <v>1.7650628598557462E-2</v>
      </c>
    </row>
    <row r="1158" spans="44:48" x14ac:dyDescent="0.2">
      <c r="AR1158">
        <v>1150</v>
      </c>
      <c r="AS1158">
        <v>241</v>
      </c>
      <c r="AT1158">
        <v>2</v>
      </c>
      <c r="AU1158">
        <v>-3.6408662623989505</v>
      </c>
      <c r="AV1158">
        <v>1.7884148135835609E-2</v>
      </c>
    </row>
    <row r="1159" spans="44:48" x14ac:dyDescent="0.2">
      <c r="AR1159">
        <v>1151</v>
      </c>
      <c r="AS1159">
        <v>242</v>
      </c>
      <c r="AT1159">
        <v>2</v>
      </c>
      <c r="AU1159">
        <v>-3.6099257310816046</v>
      </c>
      <c r="AV1159">
        <v>1.8119812276913602E-2</v>
      </c>
    </row>
    <row r="1160" spans="44:48" x14ac:dyDescent="0.2">
      <c r="AR1160">
        <v>1152</v>
      </c>
      <c r="AS1160">
        <v>243</v>
      </c>
      <c r="AT1160">
        <v>2</v>
      </c>
      <c r="AU1160">
        <v>-3.5789851997642579</v>
      </c>
      <c r="AV1160">
        <v>1.8357624543096824E-2</v>
      </c>
    </row>
    <row r="1161" spans="44:48" x14ac:dyDescent="0.2">
      <c r="AR1161">
        <v>1153</v>
      </c>
      <c r="AS1161">
        <v>244</v>
      </c>
      <c r="AT1161">
        <v>2</v>
      </c>
      <c r="AU1161">
        <v>-3.548044668446912</v>
      </c>
      <c r="AV1161">
        <v>1.8597588163761676E-2</v>
      </c>
    </row>
    <row r="1162" spans="44:48" x14ac:dyDescent="0.2">
      <c r="AR1162">
        <v>1154</v>
      </c>
      <c r="AS1162">
        <v>245</v>
      </c>
      <c r="AT1162">
        <v>2</v>
      </c>
      <c r="AU1162">
        <v>-3.5171041371295662</v>
      </c>
      <c r="AV1162">
        <v>1.8839706071846308E-2</v>
      </c>
    </row>
    <row r="1163" spans="44:48" x14ac:dyDescent="0.2">
      <c r="AR1163">
        <v>1155</v>
      </c>
      <c r="AS1163">
        <v>246</v>
      </c>
      <c r="AT1163">
        <v>2</v>
      </c>
      <c r="AU1163">
        <v>-3.4861636058122194</v>
      </c>
      <c r="AV1163">
        <v>1.9083980899360017E-2</v>
      </c>
    </row>
    <row r="1164" spans="44:48" x14ac:dyDescent="0.2">
      <c r="AR1164">
        <v>1156</v>
      </c>
      <c r="AS1164">
        <v>247</v>
      </c>
      <c r="AT1164">
        <v>2</v>
      </c>
      <c r="AU1164">
        <v>-3.4552230744948735</v>
      </c>
      <c r="AV1164">
        <v>1.9330414972913049E-2</v>
      </c>
    </row>
    <row r="1165" spans="44:48" x14ac:dyDescent="0.2">
      <c r="AR1165">
        <v>1157</v>
      </c>
      <c r="AS1165">
        <v>248</v>
      </c>
      <c r="AT1165">
        <v>2</v>
      </c>
      <c r="AU1165">
        <v>-3.4242825431775268</v>
      </c>
      <c r="AV1165">
        <v>1.9579010309268542E-2</v>
      </c>
    </row>
    <row r="1166" spans="44:48" x14ac:dyDescent="0.2">
      <c r="AR1166">
        <v>1158</v>
      </c>
      <c r="AS1166">
        <v>249</v>
      </c>
      <c r="AT1166">
        <v>2</v>
      </c>
      <c r="AU1166">
        <v>-3.3933420118601809</v>
      </c>
      <c r="AV1166">
        <v>1.9829768610918043E-2</v>
      </c>
    </row>
    <row r="1167" spans="44:48" x14ac:dyDescent="0.2">
      <c r="AR1167">
        <v>1159</v>
      </c>
      <c r="AS1167">
        <v>250</v>
      </c>
      <c r="AT1167">
        <v>2</v>
      </c>
      <c r="AU1167">
        <v>-3.3624014805428342</v>
      </c>
      <c r="AV1167">
        <v>2.0082691261682672E-2</v>
      </c>
    </row>
    <row r="1168" spans="44:48" x14ac:dyDescent="0.2">
      <c r="AR1168">
        <v>1160</v>
      </c>
      <c r="AS1168">
        <v>251</v>
      </c>
      <c r="AT1168">
        <v>2</v>
      </c>
      <c r="AU1168">
        <v>-3.3314609492254883</v>
      </c>
      <c r="AV1168">
        <v>2.0337779322341289E-2</v>
      </c>
    </row>
    <row r="1169" spans="44:48" x14ac:dyDescent="0.2">
      <c r="AR1169">
        <v>1161</v>
      </c>
      <c r="AS1169">
        <v>252</v>
      </c>
      <c r="AT1169">
        <v>2</v>
      </c>
      <c r="AU1169">
        <v>-3.3005204179081415</v>
      </c>
      <c r="AV1169">
        <v>2.0595033526287627E-2</v>
      </c>
    </row>
    <row r="1170" spans="44:48" x14ac:dyDescent="0.2">
      <c r="AR1170">
        <v>1162</v>
      </c>
      <c r="AS1170">
        <v>253</v>
      </c>
      <c r="AT1170">
        <v>2</v>
      </c>
      <c r="AU1170">
        <v>-3.2695798865907957</v>
      </c>
      <c r="AV1170">
        <v>2.085445427521802E-2</v>
      </c>
    </row>
    <row r="1171" spans="44:48" x14ac:dyDescent="0.2">
      <c r="AR1171">
        <v>1163</v>
      </c>
      <c r="AS1171">
        <v>254</v>
      </c>
      <c r="AT1171">
        <v>2</v>
      </c>
      <c r="AU1171">
        <v>-3.2386393552734489</v>
      </c>
      <c r="AV1171">
        <v>2.1116041634851503E-2</v>
      </c>
    </row>
    <row r="1172" spans="44:48" x14ac:dyDescent="0.2">
      <c r="AR1172">
        <v>1164</v>
      </c>
      <c r="AS1172">
        <v>255</v>
      </c>
      <c r="AT1172">
        <v>2</v>
      </c>
      <c r="AU1172">
        <v>-3.2076988239561031</v>
      </c>
      <c r="AV1172">
        <v>2.1379795330683977E-2</v>
      </c>
    </row>
    <row r="1173" spans="44:48" x14ac:dyDescent="0.2">
      <c r="AR1173">
        <v>1165</v>
      </c>
      <c r="AS1173">
        <v>256</v>
      </c>
      <c r="AT1173">
        <v>2</v>
      </c>
      <c r="AU1173">
        <v>-3.1767582926387563</v>
      </c>
      <c r="AV1173">
        <v>2.1645714743778438E-2</v>
      </c>
    </row>
    <row r="1174" spans="44:48" x14ac:dyDescent="0.2">
      <c r="AR1174">
        <v>1166</v>
      </c>
      <c r="AS1174">
        <v>257</v>
      </c>
      <c r="AT1174">
        <v>2</v>
      </c>
      <c r="AU1174">
        <v>-3.1458177613214104</v>
      </c>
      <c r="AV1174">
        <v>2.1913798906592601E-2</v>
      </c>
    </row>
    <row r="1175" spans="44:48" x14ac:dyDescent="0.2">
      <c r="AR1175">
        <v>1167</v>
      </c>
      <c r="AS1175">
        <v>258</v>
      </c>
      <c r="AT1175">
        <v>2</v>
      </c>
      <c r="AU1175">
        <v>-3.1148772300040646</v>
      </c>
      <c r="AV1175">
        <v>2.2184046498846217E-2</v>
      </c>
    </row>
    <row r="1176" spans="44:48" x14ac:dyDescent="0.2">
      <c r="AR1176">
        <v>1168</v>
      </c>
      <c r="AS1176">
        <v>259</v>
      </c>
      <c r="AT1176">
        <v>2</v>
      </c>
      <c r="AU1176">
        <v>-3.0839366986867178</v>
      </c>
      <c r="AV1176">
        <v>2.2456455843429514E-2</v>
      </c>
    </row>
    <row r="1177" spans="44:48" x14ac:dyDescent="0.2">
      <c r="AR1177">
        <v>1169</v>
      </c>
      <c r="AS1177">
        <v>260</v>
      </c>
      <c r="AT1177">
        <v>2</v>
      </c>
      <c r="AU1177">
        <v>-3.052996167369372</v>
      </c>
      <c r="AV1177">
        <v>2.2731024902354662E-2</v>
      </c>
    </row>
    <row r="1178" spans="44:48" x14ac:dyDescent="0.2">
      <c r="AR1178">
        <v>1170</v>
      </c>
      <c r="AS1178">
        <v>261</v>
      </c>
      <c r="AT1178">
        <v>2</v>
      </c>
      <c r="AU1178">
        <v>-3.0220556360520252</v>
      </c>
      <c r="AV1178">
        <v>2.3007751272752137E-2</v>
      </c>
    </row>
    <row r="1179" spans="44:48" x14ac:dyDescent="0.2">
      <c r="AR1179">
        <v>1171</v>
      </c>
      <c r="AS1179">
        <v>262</v>
      </c>
      <c r="AT1179">
        <v>2</v>
      </c>
      <c r="AU1179">
        <v>-2.9911151047346785</v>
      </c>
      <c r="AV1179">
        <v>2.3286632182913752E-2</v>
      </c>
    </row>
    <row r="1180" spans="44:48" x14ac:dyDescent="0.2">
      <c r="AR1180">
        <v>1172</v>
      </c>
      <c r="AS1180">
        <v>263</v>
      </c>
      <c r="AT1180">
        <v>2</v>
      </c>
      <c r="AU1180">
        <v>-2.9601745734173335</v>
      </c>
      <c r="AV1180">
        <v>2.3567664488384005E-2</v>
      </c>
    </row>
    <row r="1181" spans="44:48" x14ac:dyDescent="0.2">
      <c r="AR1181">
        <v>1173</v>
      </c>
      <c r="AS1181">
        <v>264</v>
      </c>
      <c r="AT1181">
        <v>2</v>
      </c>
      <c r="AU1181">
        <v>-2.9292340420999867</v>
      </c>
      <c r="AV1181">
        <v>2.3850844668102049E-2</v>
      </c>
    </row>
    <row r="1182" spans="44:48" x14ac:dyDescent="0.2">
      <c r="AR1182">
        <v>1174</v>
      </c>
      <c r="AS1182">
        <v>265</v>
      </c>
      <c r="AT1182">
        <v>2</v>
      </c>
      <c r="AU1182">
        <v>-2.89829351078264</v>
      </c>
      <c r="AV1182">
        <v>2.4136168820595317E-2</v>
      </c>
    </row>
    <row r="1183" spans="44:48" x14ac:dyDescent="0.2">
      <c r="AR1183">
        <v>1175</v>
      </c>
      <c r="AS1183">
        <v>266</v>
      </c>
      <c r="AT1183">
        <v>2</v>
      </c>
      <c r="AU1183">
        <v>-2.8673529794652932</v>
      </c>
      <c r="AV1183">
        <v>2.4423632660227502E-2</v>
      </c>
    </row>
    <row r="1184" spans="44:48" x14ac:dyDescent="0.2">
      <c r="AR1184">
        <v>1176</v>
      </c>
      <c r="AS1184">
        <v>267</v>
      </c>
      <c r="AT1184">
        <v>2</v>
      </c>
      <c r="AU1184">
        <v>-2.8364124481479482</v>
      </c>
      <c r="AV1184">
        <v>2.471323151350209E-2</v>
      </c>
    </row>
    <row r="1185" spans="44:48" x14ac:dyDescent="0.2">
      <c r="AR1185">
        <v>1177</v>
      </c>
      <c r="AS1185">
        <v>268</v>
      </c>
      <c r="AT1185">
        <v>2</v>
      </c>
      <c r="AU1185">
        <v>-2.8054719168306015</v>
      </c>
      <c r="AV1185">
        <v>2.5004960315423565E-2</v>
      </c>
    </row>
    <row r="1186" spans="44:48" x14ac:dyDescent="0.2">
      <c r="AR1186">
        <v>1178</v>
      </c>
      <c r="AS1186">
        <v>269</v>
      </c>
      <c r="AT1186">
        <v>2</v>
      </c>
      <c r="AU1186">
        <v>-2.7745313855132547</v>
      </c>
      <c r="AV1186">
        <v>2.5298813605917979E-2</v>
      </c>
    </row>
    <row r="1187" spans="44:48" x14ac:dyDescent="0.2">
      <c r="AR1187">
        <v>1179</v>
      </c>
      <c r="AS1187">
        <v>270</v>
      </c>
      <c r="AT1187">
        <v>2</v>
      </c>
      <c r="AU1187">
        <v>-2.7435908541959098</v>
      </c>
      <c r="AV1187">
        <v>2.5594785526314869E-2</v>
      </c>
    </row>
    <row r="1188" spans="44:48" x14ac:dyDescent="0.2">
      <c r="AR1188">
        <v>1180</v>
      </c>
      <c r="AS1188">
        <v>271</v>
      </c>
      <c r="AT1188">
        <v>2</v>
      </c>
      <c r="AU1188">
        <v>-2.712650322878563</v>
      </c>
      <c r="AV1188">
        <v>2.5892869815892262E-2</v>
      </c>
    </row>
    <row r="1189" spans="44:48" x14ac:dyDescent="0.2">
      <c r="AR1189">
        <v>1181</v>
      </c>
      <c r="AS1189">
        <v>272</v>
      </c>
      <c r="AT1189">
        <v>2</v>
      </c>
      <c r="AU1189">
        <v>-2.6817097915612162</v>
      </c>
      <c r="AV1189">
        <v>2.6193059808486525E-2</v>
      </c>
    </row>
    <row r="1190" spans="44:48" x14ac:dyDescent="0.2">
      <c r="AR1190">
        <v>1182</v>
      </c>
      <c r="AS1190">
        <v>273</v>
      </c>
      <c r="AT1190">
        <v>2</v>
      </c>
      <c r="AU1190">
        <v>-2.6507692602438695</v>
      </c>
      <c r="AV1190">
        <v>2.6495348429169015E-2</v>
      </c>
    </row>
    <row r="1191" spans="44:48" x14ac:dyDescent="0.2">
      <c r="AR1191">
        <v>1183</v>
      </c>
      <c r="AS1191">
        <v>274</v>
      </c>
      <c r="AT1191">
        <v>2</v>
      </c>
      <c r="AU1191">
        <v>-2.6198287289265245</v>
      </c>
      <c r="AV1191">
        <v>2.6799728190991273E-2</v>
      </c>
    </row>
    <row r="1192" spans="44:48" x14ac:dyDescent="0.2">
      <c r="AR1192">
        <v>1184</v>
      </c>
      <c r="AS1192">
        <v>275</v>
      </c>
      <c r="AT1192">
        <v>2</v>
      </c>
      <c r="AU1192">
        <v>-2.5888881976091778</v>
      </c>
      <c r="AV1192">
        <v>2.7106191191800768E-2</v>
      </c>
    </row>
    <row r="1193" spans="44:48" x14ac:dyDescent="0.2">
      <c r="AR1193">
        <v>1185</v>
      </c>
      <c r="AS1193">
        <v>276</v>
      </c>
      <c r="AT1193">
        <v>2</v>
      </c>
      <c r="AU1193">
        <v>-2.557947666291831</v>
      </c>
      <c r="AV1193">
        <v>2.7414729111128518E-2</v>
      </c>
    </row>
    <row r="1194" spans="44:48" x14ac:dyDescent="0.2">
      <c r="AR1194">
        <v>1186</v>
      </c>
      <c r="AS1194">
        <v>277</v>
      </c>
      <c r="AT1194">
        <v>2</v>
      </c>
      <c r="AU1194">
        <v>-2.5270071349744843</v>
      </c>
      <c r="AV1194">
        <v>2.7725333207151058E-2</v>
      </c>
    </row>
    <row r="1195" spans="44:48" x14ac:dyDescent="0.2">
      <c r="AR1195">
        <v>1187</v>
      </c>
      <c r="AS1195">
        <v>278</v>
      </c>
      <c r="AT1195">
        <v>2</v>
      </c>
      <c r="AU1195">
        <v>-2.4960666036571393</v>
      </c>
      <c r="AV1195">
        <v>2.8037994313728012E-2</v>
      </c>
    </row>
    <row r="1196" spans="44:48" x14ac:dyDescent="0.2">
      <c r="AR1196">
        <v>1188</v>
      </c>
      <c r="AS1196">
        <v>279</v>
      </c>
      <c r="AT1196">
        <v>2</v>
      </c>
      <c r="AU1196">
        <v>-2.4651260723397925</v>
      </c>
      <c r="AV1196">
        <v>2.8352702837517441E-2</v>
      </c>
    </row>
    <row r="1197" spans="44:48" x14ac:dyDescent="0.2">
      <c r="AR1197">
        <v>1189</v>
      </c>
      <c r="AS1197">
        <v>280</v>
      </c>
      <c r="AT1197">
        <v>2</v>
      </c>
      <c r="AU1197">
        <v>-2.4341855410224458</v>
      </c>
      <c r="AV1197">
        <v>2.8669448755170364E-2</v>
      </c>
    </row>
    <row r="1198" spans="44:48" x14ac:dyDescent="0.2">
      <c r="AR1198">
        <v>1190</v>
      </c>
      <c r="AS1198">
        <v>281</v>
      </c>
      <c r="AT1198">
        <v>2</v>
      </c>
      <c r="AU1198">
        <v>-2.403245009705099</v>
      </c>
      <c r="AV1198">
        <v>2.8988221610606709E-2</v>
      </c>
    </row>
    <row r="1199" spans="44:48" x14ac:dyDescent="0.2">
      <c r="AR1199">
        <v>1191</v>
      </c>
      <c r="AS1199">
        <v>282</v>
      </c>
      <c r="AT1199">
        <v>2</v>
      </c>
      <c r="AU1199">
        <v>-2.372304478387754</v>
      </c>
      <c r="AV1199">
        <v>2.930901051237398E-2</v>
      </c>
    </row>
    <row r="1200" spans="44:48" x14ac:dyDescent="0.2">
      <c r="AR1200">
        <v>1192</v>
      </c>
      <c r="AS1200">
        <v>283</v>
      </c>
      <c r="AT1200">
        <v>2</v>
      </c>
      <c r="AU1200">
        <v>-2.3413639470704073</v>
      </c>
      <c r="AV1200">
        <v>2.9631804131090907E-2</v>
      </c>
    </row>
    <row r="1201" spans="44:48" x14ac:dyDescent="0.2">
      <c r="AR1201">
        <v>1193</v>
      </c>
      <c r="AS1201">
        <v>284</v>
      </c>
      <c r="AT1201">
        <v>2</v>
      </c>
      <c r="AU1201">
        <v>-2.3104234157530605</v>
      </c>
      <c r="AV1201">
        <v>2.9956590696977141E-2</v>
      </c>
    </row>
    <row r="1202" spans="44:48" x14ac:dyDescent="0.2">
      <c r="AR1202">
        <v>1194</v>
      </c>
      <c r="AS1202">
        <v>285</v>
      </c>
      <c r="AT1202">
        <v>2</v>
      </c>
      <c r="AU1202">
        <v>-2.2794828844357156</v>
      </c>
      <c r="AV1202">
        <v>3.0283357997471512E-2</v>
      </c>
    </row>
    <row r="1203" spans="44:48" x14ac:dyDescent="0.2">
      <c r="AR1203">
        <v>1195</v>
      </c>
      <c r="AS1203">
        <v>286</v>
      </c>
      <c r="AT1203">
        <v>2</v>
      </c>
      <c r="AU1203">
        <v>-2.2485423531183688</v>
      </c>
      <c r="AV1203">
        <v>3.0612093374940079E-2</v>
      </c>
    </row>
    <row r="1204" spans="44:48" x14ac:dyDescent="0.2">
      <c r="AR1204">
        <v>1196</v>
      </c>
      <c r="AS1204">
        <v>287</v>
      </c>
      <c r="AT1204">
        <v>2</v>
      </c>
      <c r="AU1204">
        <v>-2.2176018218010221</v>
      </c>
      <c r="AV1204">
        <v>3.0942783724475582E-2</v>
      </c>
    </row>
    <row r="1205" spans="44:48" x14ac:dyDescent="0.2">
      <c r="AR1205">
        <v>1197</v>
      </c>
      <c r="AS1205">
        <v>288</v>
      </c>
      <c r="AT1205">
        <v>2</v>
      </c>
      <c r="AU1205">
        <v>-2.1866612904836753</v>
      </c>
      <c r="AV1205">
        <v>3.1275415491790477E-2</v>
      </c>
    </row>
    <row r="1206" spans="44:48" x14ac:dyDescent="0.2">
      <c r="AR1206">
        <v>1198</v>
      </c>
      <c r="AS1206">
        <v>289</v>
      </c>
      <c r="AT1206">
        <v>2</v>
      </c>
      <c r="AU1206">
        <v>-2.1557207591663303</v>
      </c>
      <c r="AV1206">
        <v>3.1609974671204792E-2</v>
      </c>
    </row>
    <row r="1207" spans="44:48" x14ac:dyDescent="0.2">
      <c r="AR1207">
        <v>1199</v>
      </c>
      <c r="AS1207">
        <v>290</v>
      </c>
      <c r="AT1207">
        <v>2</v>
      </c>
      <c r="AU1207">
        <v>-2.1247802278489836</v>
      </c>
      <c r="AV1207">
        <v>3.1946446803730717E-2</v>
      </c>
    </row>
    <row r="1208" spans="44:48" x14ac:dyDescent="0.2">
      <c r="AR1208">
        <v>1200</v>
      </c>
      <c r="AS1208">
        <v>291</v>
      </c>
      <c r="AT1208">
        <v>2</v>
      </c>
      <c r="AU1208">
        <v>-2.0938396965316368</v>
      </c>
      <c r="AV1208">
        <v>3.2284816975255315E-2</v>
      </c>
    </row>
    <row r="1209" spans="44:48" x14ac:dyDescent="0.2">
      <c r="AR1209">
        <v>1201</v>
      </c>
      <c r="AS1209">
        <v>292</v>
      </c>
      <c r="AT1209">
        <v>2</v>
      </c>
      <c r="AU1209">
        <v>-2.0628991652142901</v>
      </c>
      <c r="AV1209">
        <v>3.2625069814823236E-2</v>
      </c>
    </row>
    <row r="1210" spans="44:48" x14ac:dyDescent="0.2">
      <c r="AR1210">
        <v>1202</v>
      </c>
      <c r="AS1210">
        <v>293</v>
      </c>
      <c r="AT1210">
        <v>2</v>
      </c>
      <c r="AU1210">
        <v>-2.0319586338969451</v>
      </c>
      <c r="AV1210">
        <v>3.2967189493020937E-2</v>
      </c>
    </row>
    <row r="1211" spans="44:48" x14ac:dyDescent="0.2">
      <c r="AR1211">
        <v>1203</v>
      </c>
      <c r="AS1211">
        <v>294</v>
      </c>
      <c r="AT1211">
        <v>2</v>
      </c>
      <c r="AU1211">
        <v>-2.0010181025795983</v>
      </c>
      <c r="AV1211">
        <v>3.331115972046407E-2</v>
      </c>
    </row>
    <row r="1212" spans="44:48" x14ac:dyDescent="0.2">
      <c r="AR1212">
        <v>1204</v>
      </c>
      <c r="AS1212">
        <v>295</v>
      </c>
      <c r="AT1212">
        <v>2</v>
      </c>
      <c r="AU1212">
        <v>-1.9700775712622516</v>
      </c>
      <c r="AV1212">
        <v>3.3656963746389192E-2</v>
      </c>
    </row>
    <row r="1213" spans="44:48" x14ac:dyDescent="0.2">
      <c r="AR1213">
        <v>1205</v>
      </c>
      <c r="AS1213">
        <v>296</v>
      </c>
      <c r="AT1213">
        <v>2</v>
      </c>
      <c r="AU1213">
        <v>-1.9391370399449066</v>
      </c>
      <c r="AV1213">
        <v>3.4004584357352069E-2</v>
      </c>
    </row>
    <row r="1214" spans="44:48" x14ac:dyDescent="0.2">
      <c r="AR1214">
        <v>1206</v>
      </c>
      <c r="AS1214">
        <v>297</v>
      </c>
      <c r="AT1214">
        <v>2</v>
      </c>
      <c r="AU1214">
        <v>-1.9081965086275599</v>
      </c>
      <c r="AV1214">
        <v>3.4354003876033483E-2</v>
      </c>
    </row>
    <row r="1215" spans="44:48" x14ac:dyDescent="0.2">
      <c r="AR1215">
        <v>1207</v>
      </c>
      <c r="AS1215">
        <v>298</v>
      </c>
      <c r="AT1215">
        <v>2</v>
      </c>
      <c r="AU1215">
        <v>-1.8772559773102131</v>
      </c>
      <c r="AV1215">
        <v>3.470520416015415E-2</v>
      </c>
    </row>
    <row r="1216" spans="44:48" x14ac:dyDescent="0.2">
      <c r="AR1216">
        <v>1208</v>
      </c>
      <c r="AS1216">
        <v>299</v>
      </c>
      <c r="AT1216">
        <v>2</v>
      </c>
      <c r="AU1216">
        <v>-1.8463154459928663</v>
      </c>
      <c r="AV1216">
        <v>3.5058166601500525E-2</v>
      </c>
    </row>
    <row r="1217" spans="44:48" x14ac:dyDescent="0.2">
      <c r="AR1217">
        <v>1209</v>
      </c>
      <c r="AS1217">
        <v>300</v>
      </c>
      <c r="AT1217">
        <v>2</v>
      </c>
      <c r="AU1217">
        <v>-1.8153749146755214</v>
      </c>
      <c r="AV1217">
        <v>3.5412872125062493E-2</v>
      </c>
    </row>
    <row r="1218" spans="44:48" x14ac:dyDescent="0.2">
      <c r="AR1218">
        <v>1210</v>
      </c>
      <c r="AS1218">
        <v>301</v>
      </c>
      <c r="AT1218">
        <v>2</v>
      </c>
      <c r="AU1218">
        <v>-1.7844343833581746</v>
      </c>
      <c r="AV1218">
        <v>3.5769301188284849E-2</v>
      </c>
    </row>
    <row r="1219" spans="44:48" x14ac:dyDescent="0.2">
      <c r="AR1219">
        <v>1211</v>
      </c>
      <c r="AS1219">
        <v>302</v>
      </c>
      <c r="AT1219">
        <v>2</v>
      </c>
      <c r="AU1219">
        <v>-1.7534938520408279</v>
      </c>
      <c r="AV1219">
        <v>3.6127433780433399E-2</v>
      </c>
    </row>
    <row r="1220" spans="44:48" x14ac:dyDescent="0.2">
      <c r="AR1220">
        <v>1212</v>
      </c>
      <c r="AS1220">
        <v>303</v>
      </c>
      <c r="AT1220">
        <v>2</v>
      </c>
      <c r="AU1220">
        <v>-1.7225533207234811</v>
      </c>
      <c r="AV1220">
        <v>3.6487249422077546E-2</v>
      </c>
    </row>
    <row r="1221" spans="44:48" x14ac:dyDescent="0.2">
      <c r="AR1221">
        <v>1213</v>
      </c>
      <c r="AS1221">
        <v>304</v>
      </c>
      <c r="AT1221">
        <v>2</v>
      </c>
      <c r="AU1221">
        <v>-1.6916127894061361</v>
      </c>
      <c r="AV1221">
        <v>3.6848727164690398E-2</v>
      </c>
    </row>
    <row r="1222" spans="44:48" x14ac:dyDescent="0.2">
      <c r="AR1222">
        <v>1214</v>
      </c>
      <c r="AS1222">
        <v>305</v>
      </c>
      <c r="AT1222">
        <v>2</v>
      </c>
      <c r="AU1222">
        <v>-1.6606722580887894</v>
      </c>
      <c r="AV1222">
        <v>3.7211845590367949E-2</v>
      </c>
    </row>
    <row r="1223" spans="44:48" x14ac:dyDescent="0.2">
      <c r="AR1223">
        <v>1215</v>
      </c>
      <c r="AS1223">
        <v>306</v>
      </c>
      <c r="AT1223">
        <v>2</v>
      </c>
      <c r="AU1223">
        <v>-1.6297317267714426</v>
      </c>
      <c r="AV1223">
        <v>3.7576582811668133E-2</v>
      </c>
    </row>
    <row r="1224" spans="44:48" x14ac:dyDescent="0.2">
      <c r="AR1224">
        <v>1216</v>
      </c>
      <c r="AS1224">
        <v>307</v>
      </c>
      <c r="AT1224">
        <v>2</v>
      </c>
      <c r="AU1224">
        <v>-1.5987911954540959</v>
      </c>
      <c r="AV1224">
        <v>3.7942916471571601E-2</v>
      </c>
    </row>
    <row r="1225" spans="44:48" x14ac:dyDescent="0.2">
      <c r="AR1225">
        <v>1217</v>
      </c>
      <c r="AS1225">
        <v>308</v>
      </c>
      <c r="AT1225">
        <v>2</v>
      </c>
      <c r="AU1225">
        <v>-1.5678506641367509</v>
      </c>
      <c r="AV1225">
        <v>3.8310823743565037E-2</v>
      </c>
    </row>
    <row r="1226" spans="44:48" x14ac:dyDescent="0.2">
      <c r="AR1226">
        <v>1218</v>
      </c>
      <c r="AS1226">
        <v>309</v>
      </c>
      <c r="AT1226">
        <v>2</v>
      </c>
      <c r="AU1226">
        <v>-1.5369101328194041</v>
      </c>
      <c r="AV1226">
        <v>3.8680281331848275E-2</v>
      </c>
    </row>
    <row r="1227" spans="44:48" x14ac:dyDescent="0.2">
      <c r="AR1227">
        <v>1219</v>
      </c>
      <c r="AS1227">
        <v>310</v>
      </c>
      <c r="AT1227">
        <v>2</v>
      </c>
      <c r="AU1227">
        <v>-1.5059696015020574</v>
      </c>
      <c r="AV1227">
        <v>3.9051265471666395E-2</v>
      </c>
    </row>
    <row r="1228" spans="44:48" x14ac:dyDescent="0.2">
      <c r="AR1228">
        <v>1220</v>
      </c>
      <c r="AS1228">
        <v>311</v>
      </c>
      <c r="AT1228">
        <v>2</v>
      </c>
      <c r="AU1228">
        <v>-1.4750290701847124</v>
      </c>
      <c r="AV1228">
        <v>3.9423751929767777E-2</v>
      </c>
    </row>
    <row r="1229" spans="44:48" x14ac:dyDescent="0.2">
      <c r="AR1229">
        <v>1221</v>
      </c>
      <c r="AS1229">
        <v>312</v>
      </c>
      <c r="AT1229">
        <v>2</v>
      </c>
      <c r="AU1229">
        <v>-1.4440885388673657</v>
      </c>
      <c r="AV1229">
        <v>3.9797716004989554E-2</v>
      </c>
    </row>
    <row r="1230" spans="44:48" x14ac:dyDescent="0.2">
      <c r="AR1230">
        <v>1222</v>
      </c>
      <c r="AS1230">
        <v>313</v>
      </c>
      <c r="AT1230">
        <v>2</v>
      </c>
      <c r="AU1230">
        <v>-1.4131480075500189</v>
      </c>
      <c r="AV1230">
        <v>4.0173132528970916E-2</v>
      </c>
    </row>
    <row r="1231" spans="44:48" x14ac:dyDescent="0.2">
      <c r="AR1231">
        <v>1223</v>
      </c>
      <c r="AS1231">
        <v>314</v>
      </c>
      <c r="AT1231">
        <v>2</v>
      </c>
      <c r="AU1231">
        <v>-1.3822074762326721</v>
      </c>
      <c r="AV1231">
        <v>4.0549975866995783E-2</v>
      </c>
    </row>
    <row r="1232" spans="44:48" x14ac:dyDescent="0.2">
      <c r="AR1232">
        <v>1224</v>
      </c>
      <c r="AS1232">
        <v>315</v>
      </c>
      <c r="AT1232">
        <v>2</v>
      </c>
      <c r="AU1232">
        <v>-1.3512669449153272</v>
      </c>
      <c r="AV1232">
        <v>4.0928219918965537E-2</v>
      </c>
    </row>
    <row r="1233" spans="44:48" x14ac:dyDescent="0.2">
      <c r="AR1233">
        <v>1225</v>
      </c>
      <c r="AS1233">
        <v>316</v>
      </c>
      <c r="AT1233">
        <v>2</v>
      </c>
      <c r="AU1233">
        <v>-1.3203264135979804</v>
      </c>
      <c r="AV1233">
        <v>4.1307838120502982E-2</v>
      </c>
    </row>
    <row r="1234" spans="44:48" x14ac:dyDescent="0.2">
      <c r="AR1234">
        <v>1226</v>
      </c>
      <c r="AS1234">
        <v>317</v>
      </c>
      <c r="AT1234">
        <v>2</v>
      </c>
      <c r="AU1234">
        <v>-1.2893858822806337</v>
      </c>
      <c r="AV1234">
        <v>4.1688803444187773E-2</v>
      </c>
    </row>
    <row r="1235" spans="44:48" x14ac:dyDescent="0.2">
      <c r="AR1235">
        <v>1227</v>
      </c>
      <c r="AS1235">
        <v>318</v>
      </c>
      <c r="AT1235">
        <v>2</v>
      </c>
      <c r="AU1235">
        <v>-1.2584453509632869</v>
      </c>
      <c r="AV1235">
        <v>4.2071088400925244E-2</v>
      </c>
    </row>
    <row r="1236" spans="44:48" x14ac:dyDescent="0.2">
      <c r="AR1236">
        <v>1228</v>
      </c>
      <c r="AS1236">
        <v>319</v>
      </c>
      <c r="AT1236">
        <v>2</v>
      </c>
      <c r="AU1236">
        <v>-1.2275048196459419</v>
      </c>
      <c r="AV1236">
        <v>4.2454665041448222E-2</v>
      </c>
    </row>
    <row r="1237" spans="44:48" x14ac:dyDescent="0.2">
      <c r="AR1237">
        <v>1229</v>
      </c>
      <c r="AS1237">
        <v>320</v>
      </c>
      <c r="AT1237">
        <v>2</v>
      </c>
      <c r="AU1237">
        <v>-1.1965642883285952</v>
      </c>
      <c r="AV1237">
        <v>4.2839504957953717E-2</v>
      </c>
    </row>
    <row r="1238" spans="44:48" x14ac:dyDescent="0.2">
      <c r="AR1238">
        <v>1230</v>
      </c>
      <c r="AS1238">
        <v>321</v>
      </c>
      <c r="AT1238">
        <v>2</v>
      </c>
      <c r="AU1238">
        <v>-1.1656237570112484</v>
      </c>
      <c r="AV1238">
        <v>4.3225579285874227E-2</v>
      </c>
    </row>
    <row r="1239" spans="44:48" x14ac:dyDescent="0.2">
      <c r="AR1239">
        <v>1231</v>
      </c>
      <c r="AS1239">
        <v>322</v>
      </c>
      <c r="AT1239">
        <v>2</v>
      </c>
      <c r="AU1239">
        <v>-1.1346832256939035</v>
      </c>
      <c r="AV1239">
        <v>4.3612858705784928E-2</v>
      </c>
    </row>
    <row r="1240" spans="44:48" x14ac:dyDescent="0.2">
      <c r="AR1240">
        <v>1232</v>
      </c>
      <c r="AS1240">
        <v>323</v>
      </c>
      <c r="AT1240">
        <v>2</v>
      </c>
      <c r="AU1240">
        <v>-1.1037426943765567</v>
      </c>
      <c r="AV1240">
        <v>4.4001313445447429E-2</v>
      </c>
    </row>
    <row r="1241" spans="44:48" x14ac:dyDescent="0.2">
      <c r="AR1241">
        <v>1233</v>
      </c>
      <c r="AS1241">
        <v>324</v>
      </c>
      <c r="AT1241">
        <v>2</v>
      </c>
      <c r="AU1241">
        <v>-1.0728021630592099</v>
      </c>
      <c r="AV1241">
        <v>4.4390913281990088E-2</v>
      </c>
    </row>
    <row r="1242" spans="44:48" x14ac:dyDescent="0.2">
      <c r="AR1242">
        <v>1234</v>
      </c>
      <c r="AS1242">
        <v>325</v>
      </c>
      <c r="AT1242">
        <v>2</v>
      </c>
      <c r="AU1242">
        <v>-1.0418616317418632</v>
      </c>
      <c r="AV1242">
        <v>4.4781627544226099E-2</v>
      </c>
    </row>
    <row r="1243" spans="44:48" x14ac:dyDescent="0.2">
      <c r="AR1243">
        <v>1235</v>
      </c>
      <c r="AS1243">
        <v>326</v>
      </c>
      <c r="AT1243">
        <v>2</v>
      </c>
      <c r="AU1243">
        <v>-1.0109211004245182</v>
      </c>
      <c r="AV1243">
        <v>4.5173425115109495E-2</v>
      </c>
    </row>
    <row r="1244" spans="44:48" x14ac:dyDescent="0.2">
      <c r="AR1244">
        <v>1236</v>
      </c>
      <c r="AS1244">
        <v>327</v>
      </c>
      <c r="AT1244">
        <v>2</v>
      </c>
      <c r="AU1244">
        <v>-0.97998056910717146</v>
      </c>
      <c r="AV1244">
        <v>4.5566274434329597E-2</v>
      </c>
    </row>
    <row r="1245" spans="44:48" x14ac:dyDescent="0.2">
      <c r="AR1245">
        <v>1237</v>
      </c>
      <c r="AS1245">
        <v>328</v>
      </c>
      <c r="AT1245">
        <v>2</v>
      </c>
      <c r="AU1245">
        <v>-0.94904003778982471</v>
      </c>
      <c r="AV1245">
        <v>4.5960143501044153E-2</v>
      </c>
    </row>
    <row r="1246" spans="44:48" x14ac:dyDescent="0.2">
      <c r="AR1246">
        <v>1238</v>
      </c>
      <c r="AS1246">
        <v>329</v>
      </c>
      <c r="AT1246">
        <v>2</v>
      </c>
      <c r="AU1246">
        <v>-0.91809950647247796</v>
      </c>
      <c r="AV1246">
        <v>4.6354999876751943E-2</v>
      </c>
    </row>
    <row r="1247" spans="44:48" x14ac:dyDescent="0.2">
      <c r="AR1247">
        <v>1239</v>
      </c>
      <c r="AS1247">
        <v>330</v>
      </c>
      <c r="AT1247">
        <v>2</v>
      </c>
      <c r="AU1247">
        <v>-0.88715897515513298</v>
      </c>
      <c r="AV1247">
        <v>4.6750810688304577E-2</v>
      </c>
    </row>
    <row r="1248" spans="44:48" x14ac:dyDescent="0.2">
      <c r="AR1248">
        <v>1240</v>
      </c>
      <c r="AS1248">
        <v>331</v>
      </c>
      <c r="AT1248">
        <v>2</v>
      </c>
      <c r="AU1248">
        <v>-0.85621844383778623</v>
      </c>
      <c r="AV1248">
        <v>4.7147542631058401E-2</v>
      </c>
    </row>
    <row r="1249" spans="44:48" x14ac:dyDescent="0.2">
      <c r="AR1249">
        <v>1241</v>
      </c>
      <c r="AS1249">
        <v>332</v>
      </c>
      <c r="AT1249">
        <v>2</v>
      </c>
      <c r="AU1249">
        <v>-0.82527791252043947</v>
      </c>
      <c r="AV1249">
        <v>4.754516197216601E-2</v>
      </c>
    </row>
    <row r="1250" spans="44:48" x14ac:dyDescent="0.2">
      <c r="AR1250">
        <v>1242</v>
      </c>
      <c r="AS1250">
        <v>333</v>
      </c>
      <c r="AT1250">
        <v>2</v>
      </c>
      <c r="AU1250">
        <v>-0.79433738120309272</v>
      </c>
      <c r="AV1250">
        <v>4.7943634554008165E-2</v>
      </c>
    </row>
    <row r="1251" spans="44:48" x14ac:dyDescent="0.2">
      <c r="AR1251">
        <v>1243</v>
      </c>
      <c r="AS1251">
        <v>334</v>
      </c>
      <c r="AT1251">
        <v>2</v>
      </c>
      <c r="AU1251">
        <v>-0.76339684988574774</v>
      </c>
      <c r="AV1251">
        <v>4.8342925797765786E-2</v>
      </c>
    </row>
    <row r="1252" spans="44:48" x14ac:dyDescent="0.2">
      <c r="AR1252">
        <v>1244</v>
      </c>
      <c r="AS1252">
        <v>335</v>
      </c>
      <c r="AT1252">
        <v>2</v>
      </c>
      <c r="AU1252">
        <v>-0.73245631856840099</v>
      </c>
      <c r="AV1252">
        <v>4.8743000707132444E-2</v>
      </c>
    </row>
    <row r="1253" spans="44:48" x14ac:dyDescent="0.2">
      <c r="AR1253">
        <v>1245</v>
      </c>
      <c r="AS1253">
        <v>336</v>
      </c>
      <c r="AT1253">
        <v>2</v>
      </c>
      <c r="AU1253">
        <v>-0.70151578725105423</v>
      </c>
      <c r="AV1253">
        <v>4.9143823872166863E-2</v>
      </c>
    </row>
    <row r="1254" spans="44:48" x14ac:dyDescent="0.2">
      <c r="AR1254">
        <v>1246</v>
      </c>
      <c r="AS1254">
        <v>337</v>
      </c>
      <c r="AT1254">
        <v>2</v>
      </c>
      <c r="AU1254">
        <v>-0.67057525593370926</v>
      </c>
      <c r="AV1254">
        <v>4.9545359473285991E-2</v>
      </c>
    </row>
    <row r="1255" spans="44:48" x14ac:dyDescent="0.2">
      <c r="AR1255">
        <v>1247</v>
      </c>
      <c r="AS1255">
        <v>338</v>
      </c>
      <c r="AT1255">
        <v>2</v>
      </c>
      <c r="AU1255">
        <v>-0.6396347246163625</v>
      </c>
      <c r="AV1255">
        <v>4.9947571285398153E-2</v>
      </c>
    </row>
    <row r="1256" spans="44:48" x14ac:dyDescent="0.2">
      <c r="AR1256">
        <v>1248</v>
      </c>
      <c r="AS1256">
        <v>339</v>
      </c>
      <c r="AT1256">
        <v>2</v>
      </c>
      <c r="AU1256">
        <v>-0.60869419329901575</v>
      </c>
      <c r="AV1256">
        <v>5.0350422682176064E-2</v>
      </c>
    </row>
    <row r="1257" spans="44:48" x14ac:dyDescent="0.2">
      <c r="AR1257">
        <v>1249</v>
      </c>
      <c r="AS1257">
        <v>340</v>
      </c>
      <c r="AT1257">
        <v>2</v>
      </c>
      <c r="AU1257">
        <v>-0.577753661981669</v>
      </c>
      <c r="AV1257">
        <v>5.0753876640470007E-2</v>
      </c>
    </row>
    <row r="1258" spans="44:48" x14ac:dyDescent="0.2">
      <c r="AR1258">
        <v>1250</v>
      </c>
      <c r="AS1258">
        <v>341</v>
      </c>
      <c r="AT1258">
        <v>2</v>
      </c>
      <c r="AU1258">
        <v>-0.54681313066432402</v>
      </c>
      <c r="AV1258">
        <v>5.115789574486021E-2</v>
      </c>
    </row>
    <row r="1259" spans="44:48" x14ac:dyDescent="0.2">
      <c r="AR1259">
        <v>1251</v>
      </c>
      <c r="AS1259">
        <v>342</v>
      </c>
      <c r="AT1259">
        <v>2</v>
      </c>
      <c r="AU1259">
        <v>-0.51587259934697727</v>
      </c>
      <c r="AV1259">
        <v>5.1562442192348935E-2</v>
      </c>
    </row>
    <row r="1260" spans="44:48" x14ac:dyDescent="0.2">
      <c r="AR1260">
        <v>1252</v>
      </c>
      <c r="AS1260">
        <v>343</v>
      </c>
      <c r="AT1260">
        <v>2</v>
      </c>
      <c r="AU1260">
        <v>-0.48493206802963051</v>
      </c>
      <c r="AV1260">
        <v>5.196747779719104E-2</v>
      </c>
    </row>
    <row r="1261" spans="44:48" x14ac:dyDescent="0.2">
      <c r="AR1261">
        <v>1253</v>
      </c>
      <c r="AS1261">
        <v>344</v>
      </c>
      <c r="AT1261">
        <v>2</v>
      </c>
      <c r="AU1261">
        <v>-0.45399153671228376</v>
      </c>
      <c r="AV1261">
        <v>5.2372963995863372E-2</v>
      </c>
    </row>
    <row r="1262" spans="44:48" x14ac:dyDescent="0.2">
      <c r="AR1262">
        <v>1254</v>
      </c>
      <c r="AS1262">
        <v>345</v>
      </c>
      <c r="AT1262">
        <v>2</v>
      </c>
      <c r="AU1262">
        <v>-0.42305100539493878</v>
      </c>
      <c r="AV1262">
        <v>5.2778861852172052E-2</v>
      </c>
    </row>
    <row r="1263" spans="44:48" x14ac:dyDescent="0.2">
      <c r="AR1263">
        <v>1255</v>
      </c>
      <c r="AS1263">
        <v>346</v>
      </c>
      <c r="AT1263">
        <v>2</v>
      </c>
      <c r="AU1263">
        <v>-0.39211047407759203</v>
      </c>
      <c r="AV1263">
        <v>5.3185132062497413E-2</v>
      </c>
    </row>
    <row r="1264" spans="44:48" x14ac:dyDescent="0.2">
      <c r="AR1264">
        <v>1256</v>
      </c>
      <c r="AS1264">
        <v>347</v>
      </c>
      <c r="AT1264">
        <v>2</v>
      </c>
      <c r="AU1264">
        <v>-0.36116994276024528</v>
      </c>
      <c r="AV1264">
        <v>5.3591734961175683E-2</v>
      </c>
    </row>
    <row r="1265" spans="44:48" x14ac:dyDescent="0.2">
      <c r="AR1265">
        <v>1257</v>
      </c>
      <c r="AS1265">
        <v>348</v>
      </c>
      <c r="AT1265">
        <v>2</v>
      </c>
      <c r="AU1265">
        <v>-0.3302294114429003</v>
      </c>
      <c r="AV1265">
        <v>5.399863052601718E-2</v>
      </c>
    </row>
    <row r="1266" spans="44:48" x14ac:dyDescent="0.2">
      <c r="AR1266">
        <v>1258</v>
      </c>
      <c r="AS1266">
        <v>349</v>
      </c>
      <c r="AT1266">
        <v>2</v>
      </c>
      <c r="AU1266">
        <v>-0.29928888012555355</v>
      </c>
      <c r="AV1266">
        <v>5.4405778383960109E-2</v>
      </c>
    </row>
    <row r="1267" spans="44:48" x14ac:dyDescent="0.2">
      <c r="AR1267">
        <v>1259</v>
      </c>
      <c r="AS1267">
        <v>350</v>
      </c>
      <c r="AT1267">
        <v>2</v>
      </c>
      <c r="AU1267">
        <v>-0.26834834880820679</v>
      </c>
      <c r="AV1267">
        <v>5.4813137816859071E-2</v>
      </c>
    </row>
    <row r="1268" spans="44:48" x14ac:dyDescent="0.2">
      <c r="AR1268">
        <v>1260</v>
      </c>
      <c r="AS1268">
        <v>351</v>
      </c>
      <c r="AT1268">
        <v>2</v>
      </c>
      <c r="AU1268">
        <v>-0.23740781749086004</v>
      </c>
      <c r="AV1268">
        <v>5.522066776740802E-2</v>
      </c>
    </row>
    <row r="1269" spans="44:48" x14ac:dyDescent="0.2">
      <c r="AR1269">
        <v>1261</v>
      </c>
      <c r="AS1269">
        <v>352</v>
      </c>
      <c r="AT1269">
        <v>2</v>
      </c>
      <c r="AU1269">
        <v>-0.20646728617351506</v>
      </c>
      <c r="AV1269">
        <v>5.562832684519612E-2</v>
      </c>
    </row>
    <row r="1270" spans="44:48" x14ac:dyDescent="0.2">
      <c r="AR1270">
        <v>1262</v>
      </c>
      <c r="AS1270">
        <v>353</v>
      </c>
      <c r="AT1270">
        <v>2</v>
      </c>
      <c r="AU1270">
        <v>-0.17552675485616831</v>
      </c>
      <c r="AV1270">
        <v>5.6036073332896272E-2</v>
      </c>
    </row>
    <row r="1271" spans="44:48" x14ac:dyDescent="0.2">
      <c r="AR1271">
        <v>1263</v>
      </c>
      <c r="AS1271">
        <v>354</v>
      </c>
      <c r="AT1271">
        <v>2</v>
      </c>
      <c r="AU1271">
        <v>-0.14458622353882156</v>
      </c>
      <c r="AV1271">
        <v>5.6443865192584708E-2</v>
      </c>
    </row>
    <row r="1272" spans="44:48" x14ac:dyDescent="0.2">
      <c r="AR1272">
        <v>1264</v>
      </c>
      <c r="AS1272">
        <v>355</v>
      </c>
      <c r="AT1272">
        <v>2</v>
      </c>
      <c r="AU1272">
        <v>-0.1136456922214748</v>
      </c>
      <c r="AV1272">
        <v>5.6851660072191286E-2</v>
      </c>
    </row>
    <row r="1273" spans="44:48" x14ac:dyDescent="0.2">
      <c r="AR1273">
        <v>1265</v>
      </c>
      <c r="AS1273">
        <v>356</v>
      </c>
      <c r="AT1273">
        <v>2</v>
      </c>
      <c r="AU1273">
        <v>-8.2705160904129826E-2</v>
      </c>
      <c r="AV1273">
        <v>5.7259415312078808E-2</v>
      </c>
    </row>
    <row r="1274" spans="44:48" x14ac:dyDescent="0.2">
      <c r="AR1274">
        <v>1266</v>
      </c>
      <c r="AS1274">
        <v>357</v>
      </c>
      <c r="AT1274">
        <v>2</v>
      </c>
      <c r="AU1274">
        <v>-5.1764629586783073E-2</v>
      </c>
      <c r="AV1274">
        <v>5.7667087951750851E-2</v>
      </c>
    </row>
    <row r="1275" spans="44:48" x14ac:dyDescent="0.2">
      <c r="AR1275">
        <v>1267</v>
      </c>
      <c r="AS1275">
        <v>358</v>
      </c>
      <c r="AT1275">
        <v>2</v>
      </c>
      <c r="AU1275">
        <v>-2.082409826943632E-2</v>
      </c>
      <c r="AV1275">
        <v>5.8074634736686163E-2</v>
      </c>
    </row>
    <row r="1276" spans="44:48" x14ac:dyDescent="0.2">
      <c r="AR1276">
        <v>1268</v>
      </c>
      <c r="AS1276">
        <v>359</v>
      </c>
      <c r="AT1276">
        <v>2</v>
      </c>
      <c r="AU1276">
        <v>1.0116433047910434E-2</v>
      </c>
      <c r="AV1276">
        <v>5.8482012125299243E-2</v>
      </c>
    </row>
    <row r="1277" spans="44:48" x14ac:dyDescent="0.2">
      <c r="AR1277">
        <v>1269</v>
      </c>
      <c r="AS1277">
        <v>360</v>
      </c>
      <c r="AT1277">
        <v>2</v>
      </c>
      <c r="AU1277">
        <v>4.1056964365255411E-2</v>
      </c>
      <c r="AV1277">
        <v>5.8889176296025157E-2</v>
      </c>
    </row>
    <row r="1278" spans="44:48" x14ac:dyDescent="0.2">
      <c r="AR1278">
        <v>1270</v>
      </c>
      <c r="AS1278">
        <v>361</v>
      </c>
      <c r="AT1278">
        <v>2</v>
      </c>
      <c r="AU1278">
        <v>7.1997495682602164E-2</v>
      </c>
      <c r="AV1278">
        <v>5.9296083154527661E-2</v>
      </c>
    </row>
    <row r="1279" spans="44:48" x14ac:dyDescent="0.2">
      <c r="AR1279">
        <v>1271</v>
      </c>
      <c r="AS1279">
        <v>362</v>
      </c>
      <c r="AT1279">
        <v>2</v>
      </c>
      <c r="AU1279">
        <v>0.10293802699994892</v>
      </c>
      <c r="AV1279">
        <v>5.9702688341028799E-2</v>
      </c>
    </row>
    <row r="1280" spans="44:48" x14ac:dyDescent="0.2">
      <c r="AR1280">
        <v>1272</v>
      </c>
      <c r="AS1280">
        <v>363</v>
      </c>
      <c r="AT1280">
        <v>2</v>
      </c>
      <c r="AU1280">
        <v>0.13387855831729389</v>
      </c>
      <c r="AV1280">
        <v>6.0108947237758989E-2</v>
      </c>
    </row>
    <row r="1281" spans="44:48" x14ac:dyDescent="0.2">
      <c r="AR1281">
        <v>1273</v>
      </c>
      <c r="AS1281">
        <v>364</v>
      </c>
      <c r="AT1281">
        <v>2</v>
      </c>
      <c r="AU1281">
        <v>0.16481908963464065</v>
      </c>
      <c r="AV1281">
        <v>6.0514814976526006E-2</v>
      </c>
    </row>
    <row r="1282" spans="44:48" x14ac:dyDescent="0.2">
      <c r="AR1282">
        <v>1274</v>
      </c>
      <c r="AS1282">
        <v>365</v>
      </c>
      <c r="AT1282">
        <v>2</v>
      </c>
      <c r="AU1282">
        <v>0.1957596209519874</v>
      </c>
      <c r="AV1282">
        <v>6.0920246446400782E-2</v>
      </c>
    </row>
    <row r="1283" spans="44:48" x14ac:dyDescent="0.2">
      <c r="AR1283">
        <v>1275</v>
      </c>
      <c r="AS1283">
        <v>366</v>
      </c>
      <c r="AT1283">
        <v>2</v>
      </c>
      <c r="AU1283">
        <v>0.22670015226933415</v>
      </c>
      <c r="AV1283">
        <v>6.1325196301519093E-2</v>
      </c>
    </row>
    <row r="1284" spans="44:48" x14ac:dyDescent="0.2">
      <c r="AR1284">
        <v>1276</v>
      </c>
      <c r="AS1284">
        <v>367</v>
      </c>
      <c r="AT1284">
        <v>2</v>
      </c>
      <c r="AU1284">
        <v>0.25764068358667913</v>
      </c>
      <c r="AV1284">
        <v>6.1729618968997139E-2</v>
      </c>
    </row>
    <row r="1285" spans="44:48" x14ac:dyDescent="0.2">
      <c r="AR1285">
        <v>1277</v>
      </c>
      <c r="AS1285">
        <v>368</v>
      </c>
      <c r="AT1285">
        <v>2</v>
      </c>
      <c r="AU1285">
        <v>0.28858121490402588</v>
      </c>
      <c r="AV1285">
        <v>6.2133468656959408E-2</v>
      </c>
    </row>
    <row r="1286" spans="44:48" x14ac:dyDescent="0.2">
      <c r="AR1286">
        <v>1278</v>
      </c>
      <c r="AS1286">
        <v>369</v>
      </c>
      <c r="AT1286">
        <v>2</v>
      </c>
      <c r="AU1286">
        <v>0.31952174622137264</v>
      </c>
      <c r="AV1286">
        <v>6.2536699362676612E-2</v>
      </c>
    </row>
    <row r="1287" spans="44:48" x14ac:dyDescent="0.2">
      <c r="AR1287">
        <v>1279</v>
      </c>
      <c r="AS1287">
        <v>370</v>
      </c>
      <c r="AT1287">
        <v>2</v>
      </c>
      <c r="AU1287">
        <v>0.35046227753871939</v>
      </c>
      <c r="AV1287">
        <v>6.2939264880812709E-2</v>
      </c>
    </row>
    <row r="1288" spans="44:48" x14ac:dyDescent="0.2">
      <c r="AR1288">
        <v>1280</v>
      </c>
      <c r="AS1288">
        <v>371</v>
      </c>
      <c r="AT1288">
        <v>2</v>
      </c>
      <c r="AU1288">
        <v>0.38140280885606437</v>
      </c>
      <c r="AV1288">
        <v>6.3341118811778271E-2</v>
      </c>
    </row>
    <row r="1289" spans="44:48" x14ac:dyDescent="0.2">
      <c r="AR1289">
        <v>1281</v>
      </c>
      <c r="AS1289">
        <v>372</v>
      </c>
      <c r="AT1289">
        <v>2</v>
      </c>
      <c r="AU1289">
        <v>0.41234334017341112</v>
      </c>
      <c r="AV1289">
        <v>6.3742214570188971E-2</v>
      </c>
    </row>
    <row r="1290" spans="44:48" x14ac:dyDescent="0.2">
      <c r="AR1290">
        <v>1282</v>
      </c>
      <c r="AS1290">
        <v>373</v>
      </c>
      <c r="AT1290">
        <v>2</v>
      </c>
      <c r="AU1290">
        <v>0.44328387149075787</v>
      </c>
      <c r="AV1290">
        <v>6.4142505393426627E-2</v>
      </c>
    </row>
    <row r="1291" spans="44:48" x14ac:dyDescent="0.2">
      <c r="AR1291">
        <v>1283</v>
      </c>
      <c r="AS1291">
        <v>374</v>
      </c>
      <c r="AT1291">
        <v>2</v>
      </c>
      <c r="AU1291">
        <v>0.47422440280810285</v>
      </c>
      <c r="AV1291">
        <v>6.4541944350301056E-2</v>
      </c>
    </row>
    <row r="1292" spans="44:48" x14ac:dyDescent="0.2">
      <c r="AR1292">
        <v>1284</v>
      </c>
      <c r="AS1292">
        <v>375</v>
      </c>
      <c r="AT1292">
        <v>2</v>
      </c>
      <c r="AU1292">
        <v>0.50516493412544961</v>
      </c>
      <c r="AV1292">
        <v>6.4940484349810992E-2</v>
      </c>
    </row>
    <row r="1293" spans="44:48" x14ac:dyDescent="0.2">
      <c r="AR1293">
        <v>1285</v>
      </c>
      <c r="AS1293">
        <v>376</v>
      </c>
      <c r="AT1293">
        <v>2</v>
      </c>
      <c r="AU1293">
        <v>0.53610546544279636</v>
      </c>
      <c r="AV1293">
        <v>6.5338078150000936E-2</v>
      </c>
    </row>
    <row r="1294" spans="44:48" x14ac:dyDescent="0.2">
      <c r="AR1294">
        <v>1286</v>
      </c>
      <c r="AS1294">
        <v>377</v>
      </c>
      <c r="AT1294">
        <v>2</v>
      </c>
      <c r="AU1294">
        <v>0.56704599676014311</v>
      </c>
      <c r="AV1294">
        <v>6.5734678366913116E-2</v>
      </c>
    </row>
    <row r="1295" spans="44:48" x14ac:dyDescent="0.2">
      <c r="AR1295">
        <v>1287</v>
      </c>
      <c r="AS1295">
        <v>378</v>
      </c>
      <c r="AT1295">
        <v>2</v>
      </c>
      <c r="AU1295">
        <v>0.59798652807748809</v>
      </c>
      <c r="AV1295">
        <v>6.613023748363106E-2</v>
      </c>
    </row>
    <row r="1296" spans="44:48" x14ac:dyDescent="0.2">
      <c r="AR1296">
        <v>1288</v>
      </c>
      <c r="AS1296">
        <v>379</v>
      </c>
      <c r="AT1296">
        <v>2</v>
      </c>
      <c r="AU1296">
        <v>0.62892705939483484</v>
      </c>
      <c r="AV1296">
        <v>6.6524707859413459E-2</v>
      </c>
    </row>
    <row r="1297" spans="44:48" x14ac:dyDescent="0.2">
      <c r="AR1297">
        <v>1289</v>
      </c>
      <c r="AS1297">
        <v>380</v>
      </c>
      <c r="AT1297">
        <v>2</v>
      </c>
      <c r="AU1297">
        <v>0.6598675907121816</v>
      </c>
      <c r="AV1297">
        <v>6.6918041738915288E-2</v>
      </c>
    </row>
    <row r="1298" spans="44:48" x14ac:dyDescent="0.2">
      <c r="AR1298">
        <v>1290</v>
      </c>
      <c r="AS1298">
        <v>381</v>
      </c>
      <c r="AT1298">
        <v>2</v>
      </c>
      <c r="AU1298">
        <v>0.69080812202952835</v>
      </c>
      <c r="AV1298">
        <v>6.7310191261494456E-2</v>
      </c>
    </row>
    <row r="1299" spans="44:48" x14ac:dyDescent="0.2">
      <c r="AR1299">
        <v>1291</v>
      </c>
      <c r="AS1299">
        <v>382</v>
      </c>
      <c r="AT1299">
        <v>2</v>
      </c>
      <c r="AU1299">
        <v>0.72174865334687333</v>
      </c>
      <c r="AV1299">
        <v>6.7701108470600929E-2</v>
      </c>
    </row>
    <row r="1300" spans="44:48" x14ac:dyDescent="0.2">
      <c r="AR1300">
        <v>1292</v>
      </c>
      <c r="AS1300">
        <v>383</v>
      </c>
      <c r="AT1300">
        <v>2</v>
      </c>
      <c r="AU1300">
        <v>0.75268918466422008</v>
      </c>
      <c r="AV1300">
        <v>6.8090745323246618E-2</v>
      </c>
    </row>
    <row r="1301" spans="44:48" x14ac:dyDescent="0.2">
      <c r="AR1301">
        <v>1293</v>
      </c>
      <c r="AS1301">
        <v>384</v>
      </c>
      <c r="AT1301">
        <v>2</v>
      </c>
      <c r="AU1301">
        <v>0.78362971598156683</v>
      </c>
      <c r="AV1301">
        <v>6.8479053699552608E-2</v>
      </c>
    </row>
    <row r="1302" spans="44:48" x14ac:dyDescent="0.2">
      <c r="AR1302">
        <v>1294</v>
      </c>
      <c r="AS1302">
        <v>385</v>
      </c>
      <c r="AT1302">
        <v>2</v>
      </c>
      <c r="AU1302">
        <v>0.81457024729891181</v>
      </c>
      <c r="AV1302">
        <v>6.8865985412372058E-2</v>
      </c>
    </row>
    <row r="1303" spans="44:48" x14ac:dyDescent="0.2">
      <c r="AR1303">
        <v>1295</v>
      </c>
      <c r="AS1303">
        <v>386</v>
      </c>
      <c r="AT1303">
        <v>2</v>
      </c>
      <c r="AU1303">
        <v>0.84551077861625856</v>
      </c>
      <c r="AV1303">
        <v>6.9251492216985816E-2</v>
      </c>
    </row>
    <row r="1304" spans="44:48" x14ac:dyDescent="0.2">
      <c r="AR1304">
        <v>1296</v>
      </c>
      <c r="AS1304">
        <v>387</v>
      </c>
      <c r="AT1304">
        <v>2</v>
      </c>
      <c r="AU1304">
        <v>0.87645130993360532</v>
      </c>
      <c r="AV1304">
        <v>6.9635525820867794E-2</v>
      </c>
    </row>
    <row r="1305" spans="44:48" x14ac:dyDescent="0.2">
      <c r="AR1305">
        <v>1297</v>
      </c>
      <c r="AS1305">
        <v>388</v>
      </c>
      <c r="AT1305">
        <v>2</v>
      </c>
      <c r="AU1305">
        <v>0.90739184125095207</v>
      </c>
      <c r="AV1305">
        <v>7.0018037893518154E-2</v>
      </c>
    </row>
    <row r="1306" spans="44:48" x14ac:dyDescent="0.2">
      <c r="AR1306">
        <v>1298</v>
      </c>
      <c r="AS1306">
        <v>389</v>
      </c>
      <c r="AT1306">
        <v>2</v>
      </c>
      <c r="AU1306">
        <v>0.93833237256829705</v>
      </c>
      <c r="AV1306">
        <v>7.0398980076360917E-2</v>
      </c>
    </row>
    <row r="1307" spans="44:48" x14ac:dyDescent="0.2">
      <c r="AR1307">
        <v>1299</v>
      </c>
      <c r="AS1307">
        <v>390</v>
      </c>
      <c r="AT1307">
        <v>2</v>
      </c>
      <c r="AU1307">
        <v>0.9692729038856438</v>
      </c>
      <c r="AV1307">
        <v>7.0778303992703809E-2</v>
      </c>
    </row>
    <row r="1308" spans="44:48" x14ac:dyDescent="0.2">
      <c r="AR1308">
        <v>1300</v>
      </c>
      <c r="AS1308">
        <v>391</v>
      </c>
      <c r="AT1308">
        <v>2</v>
      </c>
      <c r="AU1308">
        <v>1.0002134352029906</v>
      </c>
      <c r="AV1308">
        <v>7.1155961257757E-2</v>
      </c>
    </row>
    <row r="1309" spans="44:48" x14ac:dyDescent="0.2">
      <c r="AR1309">
        <v>1301</v>
      </c>
      <c r="AS1309">
        <v>392</v>
      </c>
      <c r="AT1309">
        <v>2</v>
      </c>
      <c r="AU1309">
        <v>1.0311539665203373</v>
      </c>
      <c r="AV1309">
        <v>7.1531903488708373E-2</v>
      </c>
    </row>
    <row r="1310" spans="44:48" x14ac:dyDescent="0.2">
      <c r="AR1310">
        <v>1302</v>
      </c>
      <c r="AS1310">
        <v>393</v>
      </c>
      <c r="AT1310">
        <v>2</v>
      </c>
      <c r="AU1310">
        <v>1.0620944978376823</v>
      </c>
      <c r="AV1310">
        <v>7.1906082314852279E-2</v>
      </c>
    </row>
    <row r="1311" spans="44:48" x14ac:dyDescent="0.2">
      <c r="AR1311">
        <v>1303</v>
      </c>
      <c r="AS1311">
        <v>394</v>
      </c>
      <c r="AT1311">
        <v>2</v>
      </c>
      <c r="AU1311">
        <v>1.093035029155029</v>
      </c>
      <c r="AV1311">
        <v>7.227844938776895E-2</v>
      </c>
    </row>
    <row r="1312" spans="44:48" x14ac:dyDescent="0.2">
      <c r="AR1312">
        <v>1304</v>
      </c>
      <c r="AS1312">
        <v>395</v>
      </c>
      <c r="AT1312">
        <v>2</v>
      </c>
      <c r="AU1312">
        <v>1.1239755604723758</v>
      </c>
      <c r="AV1312">
        <v>7.26489563915515E-2</v>
      </c>
    </row>
    <row r="1313" spans="44:48" x14ac:dyDescent="0.2">
      <c r="AR1313">
        <v>1305</v>
      </c>
      <c r="AS1313">
        <v>396</v>
      </c>
      <c r="AT1313">
        <v>2</v>
      </c>
      <c r="AU1313">
        <v>1.1549160917897225</v>
      </c>
      <c r="AV1313">
        <v>7.3017555053077651E-2</v>
      </c>
    </row>
    <row r="1314" spans="44:48" x14ac:dyDescent="0.2">
      <c r="AR1314">
        <v>1306</v>
      </c>
      <c r="AS1314">
        <v>397</v>
      </c>
      <c r="AT1314">
        <v>2</v>
      </c>
      <c r="AU1314">
        <v>1.1858566231070675</v>
      </c>
      <c r="AV1314">
        <v>7.3384197152323305E-2</v>
      </c>
    </row>
    <row r="1315" spans="44:48" x14ac:dyDescent="0.2">
      <c r="AR1315">
        <v>1307</v>
      </c>
      <c r="AS1315">
        <v>398</v>
      </c>
      <c r="AT1315">
        <v>2</v>
      </c>
      <c r="AU1315">
        <v>1.2167971544244143</v>
      </c>
      <c r="AV1315">
        <v>7.374883453271483E-2</v>
      </c>
    </row>
    <row r="1316" spans="44:48" x14ac:dyDescent="0.2">
      <c r="AR1316">
        <v>1308</v>
      </c>
      <c r="AS1316">
        <v>399</v>
      </c>
      <c r="AT1316">
        <v>2</v>
      </c>
      <c r="AU1316">
        <v>1.247737685741761</v>
      </c>
      <c r="AV1316">
        <v>7.4111419111516835E-2</v>
      </c>
    </row>
    <row r="1317" spans="44:48" x14ac:dyDescent="0.2">
      <c r="AR1317">
        <v>1309</v>
      </c>
      <c r="AS1317">
        <v>400</v>
      </c>
      <c r="AT1317">
        <v>2</v>
      </c>
      <c r="AU1317">
        <v>1.278678217059106</v>
      </c>
      <c r="AV1317">
        <v>7.4471902890252684E-2</v>
      </c>
    </row>
    <row r="1318" spans="44:48" x14ac:dyDescent="0.2">
      <c r="AR1318">
        <v>1310</v>
      </c>
      <c r="AS1318">
        <v>401</v>
      </c>
      <c r="AT1318">
        <v>2</v>
      </c>
      <c r="AU1318">
        <v>1.3096187483764528</v>
      </c>
      <c r="AV1318">
        <v>7.4830237965154658E-2</v>
      </c>
    </row>
    <row r="1319" spans="44:48" x14ac:dyDescent="0.2">
      <c r="AR1319">
        <v>1311</v>
      </c>
      <c r="AS1319">
        <v>402</v>
      </c>
      <c r="AT1319">
        <v>2</v>
      </c>
      <c r="AU1319">
        <v>1.3405592796937995</v>
      </c>
      <c r="AV1319">
        <v>7.518637653763996E-2</v>
      </c>
    </row>
    <row r="1320" spans="44:48" x14ac:dyDescent="0.2">
      <c r="AR1320">
        <v>1312</v>
      </c>
      <c r="AS1320">
        <v>403</v>
      </c>
      <c r="AT1320">
        <v>2</v>
      </c>
      <c r="AU1320">
        <v>1.3714998110111463</v>
      </c>
      <c r="AV1320">
        <v>7.5540270924810485E-2</v>
      </c>
    </row>
    <row r="1321" spans="44:48" x14ac:dyDescent="0.2">
      <c r="AR1321">
        <v>1313</v>
      </c>
      <c r="AS1321">
        <v>404</v>
      </c>
      <c r="AT1321">
        <v>2</v>
      </c>
      <c r="AU1321">
        <v>1.4024403423284912</v>
      </c>
      <c r="AV1321">
        <v>7.5891873569972193E-2</v>
      </c>
    </row>
    <row r="1322" spans="44:48" x14ac:dyDescent="0.2">
      <c r="AR1322">
        <v>1314</v>
      </c>
      <c r="AS1322">
        <v>405</v>
      </c>
      <c r="AT1322">
        <v>2</v>
      </c>
      <c r="AU1322">
        <v>1.433380873645838</v>
      </c>
      <c r="AV1322">
        <v>7.6241137053171593E-2</v>
      </c>
    </row>
    <row r="1323" spans="44:48" x14ac:dyDescent="0.2">
      <c r="AR1323">
        <v>1315</v>
      </c>
      <c r="AS1323">
        <v>406</v>
      </c>
      <c r="AT1323">
        <v>2</v>
      </c>
      <c r="AU1323">
        <v>1.4643214049631847</v>
      </c>
      <c r="AV1323">
        <v>7.6588014101745455E-2</v>
      </c>
    </row>
    <row r="1324" spans="44:48" x14ac:dyDescent="0.2">
      <c r="AR1324">
        <v>1316</v>
      </c>
      <c r="AS1324">
        <v>407</v>
      </c>
      <c r="AT1324">
        <v>2</v>
      </c>
      <c r="AU1324">
        <v>1.4952619362805315</v>
      </c>
      <c r="AV1324">
        <v>7.6932457600881299E-2</v>
      </c>
    </row>
    <row r="1325" spans="44:48" x14ac:dyDescent="0.2">
      <c r="AR1325">
        <v>1317</v>
      </c>
      <c r="AS1325">
        <v>408</v>
      </c>
      <c r="AT1325">
        <v>2</v>
      </c>
      <c r="AU1325">
        <v>1.5262024675978765</v>
      </c>
      <c r="AV1325">
        <v>7.7274420604184491E-2</v>
      </c>
    </row>
    <row r="1326" spans="44:48" x14ac:dyDescent="0.2">
      <c r="AR1326">
        <v>1318</v>
      </c>
      <c r="AS1326">
        <v>409</v>
      </c>
      <c r="AT1326">
        <v>2</v>
      </c>
      <c r="AU1326">
        <v>1.5571429989152232</v>
      </c>
      <c r="AV1326">
        <v>7.7613856344249568E-2</v>
      </c>
    </row>
    <row r="1327" spans="44:48" x14ac:dyDescent="0.2">
      <c r="AR1327">
        <v>1319</v>
      </c>
      <c r="AS1327">
        <v>410</v>
      </c>
      <c r="AT1327">
        <v>2</v>
      </c>
      <c r="AU1327">
        <v>1.58808353023257</v>
      </c>
      <c r="AV1327">
        <v>7.7950718243231729E-2</v>
      </c>
    </row>
    <row r="1328" spans="44:48" x14ac:dyDescent="0.2">
      <c r="AR1328">
        <v>1320</v>
      </c>
      <c r="AS1328">
        <v>411</v>
      </c>
      <c r="AT1328">
        <v>2</v>
      </c>
      <c r="AU1328">
        <v>1.619024061549915</v>
      </c>
      <c r="AV1328">
        <v>7.8284959923415651E-2</v>
      </c>
    </row>
    <row r="1329" spans="44:48" x14ac:dyDescent="0.2">
      <c r="AR1329">
        <v>1321</v>
      </c>
      <c r="AS1329">
        <v>412</v>
      </c>
      <c r="AT1329">
        <v>2</v>
      </c>
      <c r="AU1329">
        <v>1.6499645928672617</v>
      </c>
      <c r="AV1329">
        <v>7.8616535217778227E-2</v>
      </c>
    </row>
    <row r="1330" spans="44:48" x14ac:dyDescent="0.2">
      <c r="AR1330">
        <v>1322</v>
      </c>
      <c r="AS1330">
        <v>413</v>
      </c>
      <c r="AT1330">
        <v>2</v>
      </c>
      <c r="AU1330">
        <v>1.6809051241846085</v>
      </c>
      <c r="AV1330">
        <v>7.8945398180541637E-2</v>
      </c>
    </row>
    <row r="1331" spans="44:48" x14ac:dyDescent="0.2">
      <c r="AR1331">
        <v>1323</v>
      </c>
      <c r="AS1331">
        <v>414</v>
      </c>
      <c r="AT1331">
        <v>2</v>
      </c>
      <c r="AU1331">
        <v>1.7118456555019552</v>
      </c>
      <c r="AV1331">
        <v>7.9271503097713719E-2</v>
      </c>
    </row>
    <row r="1332" spans="44:48" x14ac:dyDescent="0.2">
      <c r="AR1332">
        <v>1324</v>
      </c>
      <c r="AS1332">
        <v>415</v>
      </c>
      <c r="AT1332">
        <v>2</v>
      </c>
      <c r="AU1332">
        <v>1.7427861868193002</v>
      </c>
      <c r="AV1332">
        <v>7.9594804497612151E-2</v>
      </c>
    </row>
    <row r="1333" spans="44:48" x14ac:dyDescent="0.2">
      <c r="AR1333">
        <v>1325</v>
      </c>
      <c r="AS1333">
        <v>416</v>
      </c>
      <c r="AT1333">
        <v>2</v>
      </c>
      <c r="AU1333">
        <v>1.773726718136647</v>
      </c>
      <c r="AV1333">
        <v>7.9915257161369088E-2</v>
      </c>
    </row>
    <row r="1334" spans="44:48" x14ac:dyDescent="0.2">
      <c r="AR1334">
        <v>1326</v>
      </c>
      <c r="AS1334">
        <v>417</v>
      </c>
      <c r="AT1334">
        <v>2</v>
      </c>
      <c r="AU1334">
        <v>1.8046672494539937</v>
      </c>
      <c r="AV1334">
        <v>8.0232816133412696E-2</v>
      </c>
    </row>
    <row r="1335" spans="44:48" x14ac:dyDescent="0.2">
      <c r="AR1335">
        <v>1327</v>
      </c>
      <c r="AS1335">
        <v>418</v>
      </c>
      <c r="AT1335">
        <v>2</v>
      </c>
      <c r="AU1335">
        <v>1.8356077807713405</v>
      </c>
      <c r="AV1335">
        <v>8.0547436731922648E-2</v>
      </c>
    </row>
    <row r="1336" spans="44:48" x14ac:dyDescent="0.2">
      <c r="AR1336">
        <v>1328</v>
      </c>
      <c r="AS1336">
        <v>419</v>
      </c>
      <c r="AT1336">
        <v>2</v>
      </c>
      <c r="AU1336">
        <v>1.8665483120886854</v>
      </c>
      <c r="AV1336">
        <v>8.0859074559255645E-2</v>
      </c>
    </row>
    <row r="1337" spans="44:48" x14ac:dyDescent="0.2">
      <c r="AR1337">
        <v>1329</v>
      </c>
      <c r="AS1337">
        <v>420</v>
      </c>
      <c r="AT1337">
        <v>2</v>
      </c>
      <c r="AU1337">
        <v>1.8974888434060322</v>
      </c>
      <c r="AV1337">
        <v>8.1167685512338203E-2</v>
      </c>
    </row>
    <row r="1338" spans="44:48" x14ac:dyDescent="0.2">
      <c r="AR1338">
        <v>1330</v>
      </c>
      <c r="AS1338">
        <v>421</v>
      </c>
      <c r="AT1338">
        <v>2</v>
      </c>
      <c r="AU1338">
        <v>1.9284293747233789</v>
      </c>
      <c r="AV1338">
        <v>8.1473225793022533E-2</v>
      </c>
    </row>
    <row r="1339" spans="44:48" x14ac:dyDescent="0.2">
      <c r="AR1339">
        <v>1331</v>
      </c>
      <c r="AS1339">
        <v>422</v>
      </c>
      <c r="AT1339">
        <v>2</v>
      </c>
      <c r="AU1339">
        <v>1.9593699060407257</v>
      </c>
      <c r="AV1339">
        <v>8.1775651918402914E-2</v>
      </c>
    </row>
    <row r="1340" spans="44:48" x14ac:dyDescent="0.2">
      <c r="AR1340">
        <v>1332</v>
      </c>
      <c r="AS1340">
        <v>423</v>
      </c>
      <c r="AT1340">
        <v>2</v>
      </c>
      <c r="AU1340">
        <v>1.9903104373580707</v>
      </c>
      <c r="AV1340">
        <v>8.2074920731088741E-2</v>
      </c>
    </row>
    <row r="1341" spans="44:48" x14ac:dyDescent="0.2">
      <c r="AR1341">
        <v>1333</v>
      </c>
      <c r="AS1341">
        <v>424</v>
      </c>
      <c r="AT1341">
        <v>2</v>
      </c>
      <c r="AU1341">
        <v>2.0212509686754174</v>
      </c>
      <c r="AV1341">
        <v>8.2370989409430898E-2</v>
      </c>
    </row>
    <row r="1342" spans="44:48" x14ac:dyDescent="0.2">
      <c r="AR1342">
        <v>1334</v>
      </c>
      <c r="AS1342">
        <v>425</v>
      </c>
      <c r="AT1342">
        <v>2</v>
      </c>
      <c r="AU1342">
        <v>2.0521914999927642</v>
      </c>
      <c r="AV1342">
        <v>8.2663815477698091E-2</v>
      </c>
    </row>
    <row r="1343" spans="44:48" x14ac:dyDescent="0.2">
      <c r="AR1343">
        <v>1335</v>
      </c>
      <c r="AS1343">
        <v>426</v>
      </c>
      <c r="AT1343">
        <v>2</v>
      </c>
      <c r="AU1343">
        <v>2.0831320313101092</v>
      </c>
      <c r="AV1343">
        <v>8.2953356816199919E-2</v>
      </c>
    </row>
    <row r="1344" spans="44:48" x14ac:dyDescent="0.2">
      <c r="AR1344">
        <v>1336</v>
      </c>
      <c r="AS1344">
        <v>427</v>
      </c>
      <c r="AT1344">
        <v>2</v>
      </c>
      <c r="AU1344">
        <v>2.1140725626274559</v>
      </c>
      <c r="AV1344">
        <v>8.3239571671353207E-2</v>
      </c>
    </row>
    <row r="1345" spans="44:48" x14ac:dyDescent="0.2">
      <c r="AR1345">
        <v>1337</v>
      </c>
      <c r="AS1345">
        <v>428</v>
      </c>
      <c r="AT1345">
        <v>2</v>
      </c>
      <c r="AU1345">
        <v>2.1450130939448027</v>
      </c>
      <c r="AV1345">
        <v>8.3522418665688061E-2</v>
      </c>
    </row>
    <row r="1346" spans="44:48" x14ac:dyDescent="0.2">
      <c r="AR1346">
        <v>1338</v>
      </c>
      <c r="AS1346">
        <v>429</v>
      </c>
      <c r="AT1346">
        <v>2</v>
      </c>
      <c r="AU1346">
        <v>2.1759536252621494</v>
      </c>
      <c r="AV1346">
        <v>8.3801856807790703E-2</v>
      </c>
    </row>
    <row r="1347" spans="44:48" x14ac:dyDescent="0.2">
      <c r="AR1347">
        <v>1339</v>
      </c>
      <c r="AS1347">
        <v>430</v>
      </c>
      <c r="AT1347">
        <v>2</v>
      </c>
      <c r="AU1347">
        <v>2.2068941565794944</v>
      </c>
      <c r="AV1347">
        <v>8.4077845502179435E-2</v>
      </c>
    </row>
    <row r="1348" spans="44:48" x14ac:dyDescent="0.2">
      <c r="AR1348">
        <v>1340</v>
      </c>
      <c r="AS1348">
        <v>431</v>
      </c>
      <c r="AT1348">
        <v>2</v>
      </c>
      <c r="AU1348">
        <v>2.2378346878968411</v>
      </c>
      <c r="AV1348">
        <v>8.4350344559110474E-2</v>
      </c>
    </row>
    <row r="1349" spans="44:48" x14ac:dyDescent="0.2">
      <c r="AR1349">
        <v>1341</v>
      </c>
      <c r="AS1349">
        <v>432</v>
      </c>
      <c r="AT1349">
        <v>2</v>
      </c>
      <c r="AU1349">
        <v>2.2687752192141879</v>
      </c>
      <c r="AV1349">
        <v>8.4619314204310417E-2</v>
      </c>
    </row>
    <row r="1350" spans="44:48" x14ac:dyDescent="0.2">
      <c r="AR1350">
        <v>1342</v>
      </c>
      <c r="AS1350">
        <v>433</v>
      </c>
      <c r="AT1350">
        <v>2</v>
      </c>
      <c r="AU1350">
        <v>2.2997157505315347</v>
      </c>
      <c r="AV1350">
        <v>8.488471508863199E-2</v>
      </c>
    </row>
    <row r="1351" spans="44:48" x14ac:dyDescent="0.2">
      <c r="AR1351">
        <v>1343</v>
      </c>
      <c r="AS1351">
        <v>434</v>
      </c>
      <c r="AT1351">
        <v>2</v>
      </c>
      <c r="AU1351">
        <v>2.3306562818488796</v>
      </c>
      <c r="AV1351">
        <v>8.5146508297629847E-2</v>
      </c>
    </row>
    <row r="1352" spans="44:48" x14ac:dyDescent="0.2">
      <c r="AR1352">
        <v>1344</v>
      </c>
      <c r="AS1352">
        <v>435</v>
      </c>
      <c r="AT1352">
        <v>2</v>
      </c>
      <c r="AU1352">
        <v>2.3615968131662264</v>
      </c>
      <c r="AV1352">
        <v>8.5404655361053211E-2</v>
      </c>
    </row>
    <row r="1353" spans="44:48" x14ac:dyDescent="0.2">
      <c r="AR1353">
        <v>1345</v>
      </c>
      <c r="AS1353">
        <v>436</v>
      </c>
      <c r="AT1353">
        <v>2</v>
      </c>
      <c r="AU1353">
        <v>2.3925373444835731</v>
      </c>
      <c r="AV1353">
        <v>8.565911826225181E-2</v>
      </c>
    </row>
    <row r="1354" spans="44:48" x14ac:dyDescent="0.2">
      <c r="AR1354">
        <v>1346</v>
      </c>
      <c r="AS1354">
        <v>437</v>
      </c>
      <c r="AT1354">
        <v>2</v>
      </c>
      <c r="AU1354">
        <v>2.4234778758009181</v>
      </c>
      <c r="AV1354">
        <v>8.5909859447492382E-2</v>
      </c>
    </row>
    <row r="1355" spans="44:48" x14ac:dyDescent="0.2">
      <c r="AR1355">
        <v>1347</v>
      </c>
      <c r="AS1355">
        <v>438</v>
      </c>
      <c r="AT1355">
        <v>2</v>
      </c>
      <c r="AU1355">
        <v>2.4544184071182649</v>
      </c>
      <c r="AV1355">
        <v>8.6156841835182324E-2</v>
      </c>
    </row>
    <row r="1356" spans="44:48" x14ac:dyDescent="0.2">
      <c r="AR1356">
        <v>1348</v>
      </c>
      <c r="AS1356">
        <v>439</v>
      </c>
      <c r="AT1356">
        <v>2</v>
      </c>
      <c r="AU1356">
        <v>2.4853589384356116</v>
      </c>
      <c r="AV1356">
        <v>8.6400028824996977E-2</v>
      </c>
    </row>
    <row r="1357" spans="44:48" x14ac:dyDescent="0.2">
      <c r="AR1357">
        <v>1349</v>
      </c>
      <c r="AS1357">
        <v>440</v>
      </c>
      <c r="AT1357">
        <v>2</v>
      </c>
      <c r="AU1357">
        <v>2.5162994697529584</v>
      </c>
      <c r="AV1357">
        <v>8.6639384306908221E-2</v>
      </c>
    </row>
    <row r="1358" spans="44:48" x14ac:dyDescent="0.2">
      <c r="AR1358">
        <v>1350</v>
      </c>
      <c r="AS1358">
        <v>441</v>
      </c>
      <c r="AT1358">
        <v>2</v>
      </c>
      <c r="AU1358">
        <v>2.5472400010703034</v>
      </c>
      <c r="AV1358">
        <v>8.687487267011032E-2</v>
      </c>
    </row>
    <row r="1359" spans="44:48" x14ac:dyDescent="0.2">
      <c r="AR1359">
        <v>1351</v>
      </c>
      <c r="AS1359">
        <v>442</v>
      </c>
      <c r="AT1359">
        <v>2</v>
      </c>
      <c r="AU1359">
        <v>2.5781805323876501</v>
      </c>
      <c r="AV1359">
        <v>8.7106458811840745E-2</v>
      </c>
    </row>
    <row r="1360" spans="44:48" x14ac:dyDescent="0.2">
      <c r="AR1360">
        <v>1352</v>
      </c>
      <c r="AS1360">
        <v>443</v>
      </c>
      <c r="AT1360">
        <v>2</v>
      </c>
      <c r="AU1360">
        <v>2.6091210637049969</v>
      </c>
      <c r="AV1360">
        <v>8.7334108146092326E-2</v>
      </c>
    </row>
    <row r="1361" spans="44:48" x14ac:dyDescent="0.2">
      <c r="AR1361">
        <v>1353</v>
      </c>
      <c r="AS1361">
        <v>444</v>
      </c>
      <c r="AT1361">
        <v>2</v>
      </c>
      <c r="AU1361">
        <v>2.6400615950223436</v>
      </c>
      <c r="AV1361">
        <v>8.7557786612214097E-2</v>
      </c>
    </row>
    <row r="1362" spans="44:48" x14ac:dyDescent="0.2">
      <c r="AR1362">
        <v>1354</v>
      </c>
      <c r="AS1362">
        <v>445</v>
      </c>
      <c r="AT1362">
        <v>2</v>
      </c>
      <c r="AU1362">
        <v>2.6710021263396886</v>
      </c>
      <c r="AV1362">
        <v>8.777746068339759E-2</v>
      </c>
    </row>
    <row r="1363" spans="44:48" x14ac:dyDescent="0.2">
      <c r="AR1363">
        <v>1355</v>
      </c>
      <c r="AS1363">
        <v>446</v>
      </c>
      <c r="AT1363">
        <v>2</v>
      </c>
      <c r="AU1363">
        <v>2.7019426576570353</v>
      </c>
      <c r="AV1363">
        <v>8.7993097375045876E-2</v>
      </c>
    </row>
    <row r="1364" spans="44:48" x14ac:dyDescent="0.2">
      <c r="AR1364">
        <v>1356</v>
      </c>
      <c r="AS1364">
        <v>447</v>
      </c>
      <c r="AT1364">
        <v>2</v>
      </c>
      <c r="AU1364">
        <v>2.7328831889743821</v>
      </c>
      <c r="AV1364">
        <v>8.8204664253022091E-2</v>
      </c>
    </row>
    <row r="1365" spans="44:48" x14ac:dyDescent="0.2">
      <c r="AR1365">
        <v>1357</v>
      </c>
      <c r="AS1365">
        <v>448</v>
      </c>
      <c r="AT1365">
        <v>2</v>
      </c>
      <c r="AU1365">
        <v>2.7638237202917288</v>
      </c>
      <c r="AV1365">
        <v>8.8412129441774845E-2</v>
      </c>
    </row>
    <row r="1366" spans="44:48" x14ac:dyDescent="0.2">
      <c r="AR1366">
        <v>1358</v>
      </c>
      <c r="AS1366">
        <v>449</v>
      </c>
      <c r="AT1366">
        <v>2</v>
      </c>
      <c r="AU1366">
        <v>2.7947642516090738</v>
      </c>
      <c r="AV1366">
        <v>8.8615461632337661E-2</v>
      </c>
    </row>
    <row r="1367" spans="44:48" x14ac:dyDescent="0.2">
      <c r="AR1367">
        <v>1359</v>
      </c>
      <c r="AS1367">
        <v>450</v>
      </c>
      <c r="AT1367">
        <v>2</v>
      </c>
      <c r="AU1367">
        <v>2.8257047829264206</v>
      </c>
      <c r="AV1367">
        <v>8.8814630090199381E-2</v>
      </c>
    </row>
    <row r="1368" spans="44:48" x14ac:dyDescent="0.2">
      <c r="AR1368">
        <v>1360</v>
      </c>
      <c r="AS1368">
        <v>451</v>
      </c>
      <c r="AT1368">
        <v>2</v>
      </c>
      <c r="AU1368">
        <v>2.8566453142437673</v>
      </c>
      <c r="AV1368">
        <v>8.9009604663042974E-2</v>
      </c>
    </row>
    <row r="1369" spans="44:48" x14ac:dyDescent="0.2">
      <c r="AR1369">
        <v>1361</v>
      </c>
      <c r="AS1369">
        <v>452</v>
      </c>
      <c r="AT1369">
        <v>2</v>
      </c>
      <c r="AU1369">
        <v>2.8875858455611123</v>
      </c>
      <c r="AV1369">
        <v>8.920035578835013E-2</v>
      </c>
    </row>
    <row r="1370" spans="44:48" x14ac:dyDescent="0.2">
      <c r="AR1370">
        <v>1362</v>
      </c>
      <c r="AS1370">
        <v>453</v>
      </c>
      <c r="AT1370">
        <v>2</v>
      </c>
      <c r="AU1370">
        <v>2.9185263768784591</v>
      </c>
      <c r="AV1370">
        <v>8.9386854500868654E-2</v>
      </c>
    </row>
    <row r="1371" spans="44:48" x14ac:dyDescent="0.2">
      <c r="AR1371">
        <v>1363</v>
      </c>
      <c r="AS1371">
        <v>454</v>
      </c>
      <c r="AT1371">
        <v>2</v>
      </c>
      <c r="AU1371">
        <v>2.9494669081958058</v>
      </c>
      <c r="AV1371">
        <v>8.9569072439940139E-2</v>
      </c>
    </row>
    <row r="1372" spans="44:48" x14ac:dyDescent="0.2">
      <c r="AR1372">
        <v>1364</v>
      </c>
      <c r="AS1372">
        <v>455</v>
      </c>
      <c r="AT1372">
        <v>2</v>
      </c>
      <c r="AU1372">
        <v>2.9804074395131526</v>
      </c>
      <c r="AV1372">
        <v>8.9746981856685559E-2</v>
      </c>
    </row>
    <row r="1373" spans="44:48" x14ac:dyDescent="0.2">
      <c r="AR1373">
        <v>1365</v>
      </c>
      <c r="AS1373">
        <v>456</v>
      </c>
      <c r="AT1373">
        <v>2</v>
      </c>
      <c r="AU1373">
        <v>3.0113479708304975</v>
      </c>
      <c r="AV1373">
        <v>8.9920555621045825E-2</v>
      </c>
    </row>
    <row r="1374" spans="44:48" x14ac:dyDescent="0.2">
      <c r="AR1374">
        <v>1366</v>
      </c>
      <c r="AS1374">
        <v>457</v>
      </c>
      <c r="AT1374">
        <v>2</v>
      </c>
      <c r="AU1374">
        <v>3.0422885021478443</v>
      </c>
      <c r="AV1374">
        <v>9.0089767228675122E-2</v>
      </c>
    </row>
    <row r="1375" spans="44:48" x14ac:dyDescent="0.2">
      <c r="AR1375">
        <v>1367</v>
      </c>
      <c r="AS1375">
        <v>458</v>
      </c>
      <c r="AT1375">
        <v>2</v>
      </c>
      <c r="AU1375">
        <v>3.0732290334651911</v>
      </c>
      <c r="AV1375">
        <v>9.0254590807684484E-2</v>
      </c>
    </row>
    <row r="1376" spans="44:48" x14ac:dyDescent="0.2">
      <c r="AR1376">
        <v>1368</v>
      </c>
      <c r="AS1376">
        <v>459</v>
      </c>
      <c r="AT1376">
        <v>2</v>
      </c>
      <c r="AU1376">
        <v>3.1041695647825378</v>
      </c>
      <c r="AV1376">
        <v>9.0415001125233083E-2</v>
      </c>
    </row>
    <row r="1377" spans="44:48" x14ac:dyDescent="0.2">
      <c r="AR1377">
        <v>1369</v>
      </c>
      <c r="AS1377">
        <v>460</v>
      </c>
      <c r="AT1377">
        <v>2</v>
      </c>
      <c r="AU1377">
        <v>3.1351100960998828</v>
      </c>
      <c r="AV1377">
        <v>9.0570973593965071E-2</v>
      </c>
    </row>
    <row r="1378" spans="44:48" x14ac:dyDescent="0.2">
      <c r="AR1378">
        <v>1370</v>
      </c>
      <c r="AS1378">
        <v>461</v>
      </c>
      <c r="AT1378">
        <v>2</v>
      </c>
      <c r="AU1378">
        <v>3.1660506274172295</v>
      </c>
      <c r="AV1378">
        <v>9.0722484278289689E-2</v>
      </c>
    </row>
    <row r="1379" spans="44:48" x14ac:dyDescent="0.2">
      <c r="AR1379">
        <v>1371</v>
      </c>
      <c r="AS1379">
        <v>462</v>
      </c>
      <c r="AT1379">
        <v>2</v>
      </c>
      <c r="AU1379">
        <v>3.1969911587345763</v>
      </c>
      <c r="AV1379">
        <v>9.0869509900501938E-2</v>
      </c>
    </row>
    <row r="1380" spans="44:48" x14ac:dyDescent="0.2">
      <c r="AR1380">
        <v>1372</v>
      </c>
      <c r="AS1380">
        <v>463</v>
      </c>
      <c r="AT1380">
        <v>2</v>
      </c>
      <c r="AU1380">
        <v>3.2279316900519213</v>
      </c>
      <c r="AV1380">
        <v>9.1012027846742477E-2</v>
      </c>
    </row>
    <row r="1381" spans="44:48" x14ac:dyDescent="0.2">
      <c r="AR1381">
        <v>1373</v>
      </c>
      <c r="AS1381">
        <v>464</v>
      </c>
      <c r="AT1381">
        <v>2</v>
      </c>
      <c r="AU1381">
        <v>3.258872221369268</v>
      </c>
      <c r="AV1381">
        <v>9.1150016172793738E-2</v>
      </c>
    </row>
    <row r="1382" spans="44:48" x14ac:dyDescent="0.2">
      <c r="AR1382">
        <v>1374</v>
      </c>
      <c r="AS1382">
        <v>465</v>
      </c>
      <c r="AT1382">
        <v>2</v>
      </c>
      <c r="AU1382">
        <v>3.2898127526866148</v>
      </c>
      <c r="AV1382">
        <v>9.1283453609710755E-2</v>
      </c>
    </row>
    <row r="1383" spans="44:48" x14ac:dyDescent="0.2">
      <c r="AR1383">
        <v>1375</v>
      </c>
      <c r="AS1383">
        <v>466</v>
      </c>
      <c r="AT1383">
        <v>2</v>
      </c>
      <c r="AU1383">
        <v>3.3207532840039615</v>
      </c>
      <c r="AV1383">
        <v>9.1412319569284375E-2</v>
      </c>
    </row>
    <row r="1384" spans="44:48" x14ac:dyDescent="0.2">
      <c r="AR1384">
        <v>1376</v>
      </c>
      <c r="AS1384">
        <v>467</v>
      </c>
      <c r="AT1384">
        <v>2</v>
      </c>
      <c r="AU1384">
        <v>3.3516938153213065</v>
      </c>
      <c r="AV1384">
        <v>9.1536594149335099E-2</v>
      </c>
    </row>
    <row r="1385" spans="44:48" x14ac:dyDescent="0.2">
      <c r="AR1385">
        <v>1377</v>
      </c>
      <c r="AS1385">
        <v>468</v>
      </c>
      <c r="AT1385">
        <v>2</v>
      </c>
      <c r="AU1385">
        <v>3.3826343466386533</v>
      </c>
      <c r="AV1385">
        <v>9.1656258138835531E-2</v>
      </c>
    </row>
    <row r="1386" spans="44:48" x14ac:dyDescent="0.2">
      <c r="AR1386">
        <v>1378</v>
      </c>
      <c r="AS1386">
        <v>469</v>
      </c>
      <c r="AT1386">
        <v>2</v>
      </c>
      <c r="AU1386">
        <v>3.413574877956</v>
      </c>
      <c r="AV1386">
        <v>9.177129302285951E-2</v>
      </c>
    </row>
    <row r="1387" spans="44:48" x14ac:dyDescent="0.2">
      <c r="AR1387">
        <v>1379</v>
      </c>
      <c r="AS1387">
        <v>470</v>
      </c>
      <c r="AT1387">
        <v>2</v>
      </c>
      <c r="AU1387">
        <v>3.4445154092733468</v>
      </c>
      <c r="AV1387">
        <v>9.1881680987356371E-2</v>
      </c>
    </row>
    <row r="1388" spans="44:48" x14ac:dyDescent="0.2">
      <c r="AR1388">
        <v>1380</v>
      </c>
      <c r="AS1388">
        <v>471</v>
      </c>
      <c r="AT1388">
        <v>2</v>
      </c>
      <c r="AU1388">
        <v>3.4754559405906917</v>
      </c>
      <c r="AV1388">
        <v>9.1987404923748323E-2</v>
      </c>
    </row>
    <row r="1389" spans="44:48" x14ac:dyDescent="0.2">
      <c r="AR1389">
        <v>1381</v>
      </c>
      <c r="AS1389">
        <v>472</v>
      </c>
      <c r="AT1389">
        <v>2</v>
      </c>
      <c r="AU1389">
        <v>3.5063964719080385</v>
      </c>
      <c r="AV1389">
        <v>9.2088448433349707E-2</v>
      </c>
    </row>
    <row r="1390" spans="44:48" x14ac:dyDescent="0.2">
      <c r="AR1390">
        <v>1382</v>
      </c>
      <c r="AS1390">
        <v>473</v>
      </c>
      <c r="AT1390">
        <v>2</v>
      </c>
      <c r="AU1390">
        <v>3.5373370032253852</v>
      </c>
      <c r="AV1390">
        <v>9.2184795831605937E-2</v>
      </c>
    </row>
    <row r="1391" spans="44:48" x14ac:dyDescent="0.2">
      <c r="AR1391">
        <v>1383</v>
      </c>
      <c r="AS1391">
        <v>474</v>
      </c>
      <c r="AT1391">
        <v>2</v>
      </c>
      <c r="AU1391">
        <v>3.568277534542732</v>
      </c>
      <c r="AV1391">
        <v>9.227643215215113E-2</v>
      </c>
    </row>
    <row r="1392" spans="44:48" x14ac:dyDescent="0.2">
      <c r="AR1392">
        <v>1384</v>
      </c>
      <c r="AS1392">
        <v>475</v>
      </c>
      <c r="AT1392">
        <v>2</v>
      </c>
      <c r="AU1392">
        <v>3.599218065860077</v>
      </c>
      <c r="AV1392">
        <v>9.2363343150682703E-2</v>
      </c>
    </row>
    <row r="1393" spans="44:48" x14ac:dyDescent="0.2">
      <c r="AR1393">
        <v>1385</v>
      </c>
      <c r="AS1393">
        <v>476</v>
      </c>
      <c r="AT1393">
        <v>2</v>
      </c>
      <c r="AU1393">
        <v>3.6301585971774237</v>
      </c>
      <c r="AV1393">
        <v>9.2445515308651527E-2</v>
      </c>
    </row>
    <row r="1394" spans="44:48" x14ac:dyDescent="0.2">
      <c r="AR1394">
        <v>1386</v>
      </c>
      <c r="AS1394">
        <v>477</v>
      </c>
      <c r="AT1394">
        <v>2</v>
      </c>
      <c r="AU1394">
        <v>3.6610991284947705</v>
      </c>
      <c r="AV1394">
        <v>9.2522935836766462E-2</v>
      </c>
    </row>
    <row r="1395" spans="44:48" x14ac:dyDescent="0.2">
      <c r="AR1395">
        <v>1387</v>
      </c>
      <c r="AS1395">
        <v>478</v>
      </c>
      <c r="AT1395">
        <v>2</v>
      </c>
      <c r="AU1395">
        <v>3.6920396598121155</v>
      </c>
      <c r="AV1395">
        <v>9.2595592678311731E-2</v>
      </c>
    </row>
    <row r="1396" spans="44:48" x14ac:dyDescent="0.2">
      <c r="AR1396">
        <v>1388</v>
      </c>
      <c r="AS1396">
        <v>479</v>
      </c>
      <c r="AT1396">
        <v>2</v>
      </c>
      <c r="AU1396">
        <v>3.7229801911294622</v>
      </c>
      <c r="AV1396">
        <v>9.2663474512276203E-2</v>
      </c>
    </row>
    <row r="1397" spans="44:48" x14ac:dyDescent="0.2">
      <c r="AR1397">
        <v>1389</v>
      </c>
      <c r="AS1397">
        <v>480</v>
      </c>
      <c r="AT1397">
        <v>2</v>
      </c>
      <c r="AU1397">
        <v>3.753920722446809</v>
      </c>
      <c r="AV1397">
        <v>9.2726570756293314E-2</v>
      </c>
    </row>
    <row r="1398" spans="44:48" x14ac:dyDescent="0.2">
      <c r="AR1398">
        <v>1390</v>
      </c>
      <c r="AS1398">
        <v>481</v>
      </c>
      <c r="AT1398">
        <v>2</v>
      </c>
      <c r="AU1398">
        <v>3.7848612537641557</v>
      </c>
      <c r="AV1398">
        <v>9.2784871569390484E-2</v>
      </c>
    </row>
    <row r="1399" spans="44:48" x14ac:dyDescent="0.2">
      <c r="AR1399">
        <v>1391</v>
      </c>
      <c r="AS1399">
        <v>482</v>
      </c>
      <c r="AT1399">
        <v>2</v>
      </c>
      <c r="AU1399">
        <v>3.8158017850815007</v>
      </c>
      <c r="AV1399">
        <v>9.283836785454723E-2</v>
      </c>
    </row>
    <row r="1400" spans="44:48" x14ac:dyDescent="0.2">
      <c r="AR1400">
        <v>1392</v>
      </c>
      <c r="AS1400">
        <v>483</v>
      </c>
      <c r="AT1400">
        <v>2</v>
      </c>
      <c r="AU1400">
        <v>3.8467423163988474</v>
      </c>
      <c r="AV1400">
        <v>9.2887051261060907E-2</v>
      </c>
    </row>
    <row r="1401" spans="44:48" x14ac:dyDescent="0.2">
      <c r="AR1401">
        <v>1393</v>
      </c>
      <c r="AS1401">
        <v>484</v>
      </c>
      <c r="AT1401">
        <v>2</v>
      </c>
      <c r="AU1401">
        <v>3.8776828477161942</v>
      </c>
      <c r="AV1401">
        <v>9.2930914186719199E-2</v>
      </c>
    </row>
    <row r="1402" spans="44:48" x14ac:dyDescent="0.2">
      <c r="AR1402">
        <v>1394</v>
      </c>
      <c r="AS1402">
        <v>485</v>
      </c>
      <c r="AT1402">
        <v>2</v>
      </c>
      <c r="AU1402">
        <v>3.908623379033541</v>
      </c>
      <c r="AV1402">
        <v>9.2969949779778654E-2</v>
      </c>
    </row>
    <row r="1403" spans="44:48" x14ac:dyDescent="0.2">
      <c r="AR1403">
        <v>1395</v>
      </c>
      <c r="AS1403">
        <v>486</v>
      </c>
      <c r="AT1403">
        <v>2</v>
      </c>
      <c r="AU1403">
        <v>3.9395639103508859</v>
      </c>
      <c r="AV1403">
        <v>9.3004151940748417E-2</v>
      </c>
    </row>
    <row r="1404" spans="44:48" x14ac:dyDescent="0.2">
      <c r="AR1404">
        <v>1396</v>
      </c>
      <c r="AS1404">
        <v>487</v>
      </c>
      <c r="AT1404">
        <v>2</v>
      </c>
      <c r="AU1404">
        <v>3.9705044416682327</v>
      </c>
      <c r="AV1404">
        <v>9.303351532397873E-2</v>
      </c>
    </row>
    <row r="1405" spans="44:48" x14ac:dyDescent="0.2">
      <c r="AR1405">
        <v>1397</v>
      </c>
      <c r="AS1405">
        <v>488</v>
      </c>
      <c r="AT1405">
        <v>2</v>
      </c>
      <c r="AU1405">
        <v>4.0014449729855794</v>
      </c>
      <c r="AV1405">
        <v>9.3058035339053394E-2</v>
      </c>
    </row>
    <row r="1406" spans="44:48" x14ac:dyDescent="0.2">
      <c r="AR1406">
        <v>1398</v>
      </c>
      <c r="AS1406">
        <v>489</v>
      </c>
      <c r="AT1406">
        <v>2</v>
      </c>
      <c r="AU1406">
        <v>4.0323855043029244</v>
      </c>
      <c r="AV1406">
        <v>9.3077708151985808E-2</v>
      </c>
    </row>
    <row r="1407" spans="44:48" x14ac:dyDescent="0.2">
      <c r="AR1407">
        <v>1399</v>
      </c>
      <c r="AS1407">
        <v>490</v>
      </c>
      <c r="AT1407">
        <v>2</v>
      </c>
      <c r="AU1407">
        <v>4.0633260356202712</v>
      </c>
      <c r="AV1407">
        <v>9.3092530686218006E-2</v>
      </c>
    </row>
    <row r="1408" spans="44:48" x14ac:dyDescent="0.2">
      <c r="AR1408">
        <v>1400</v>
      </c>
      <c r="AS1408">
        <v>491</v>
      </c>
      <c r="AT1408">
        <v>2</v>
      </c>
      <c r="AU1408">
        <v>4.0942665669376179</v>
      </c>
      <c r="AV1408">
        <v>9.3102500623422638E-2</v>
      </c>
    </row>
    <row r="1409" spans="44:48" x14ac:dyDescent="0.2">
      <c r="AR1409">
        <v>1401</v>
      </c>
      <c r="AS1409">
        <v>492</v>
      </c>
      <c r="AT1409">
        <v>2</v>
      </c>
      <c r="AU1409">
        <v>4.1252070982549647</v>
      </c>
      <c r="AV1409">
        <v>9.3107616404107266E-2</v>
      </c>
    </row>
    <row r="1410" spans="44:48" x14ac:dyDescent="0.2">
      <c r="AR1410">
        <v>1402</v>
      </c>
      <c r="AS1410">
        <v>493</v>
      </c>
      <c r="AT1410">
        <v>2</v>
      </c>
      <c r="AU1410">
        <v>4.1561476295723097</v>
      </c>
      <c r="AV1410">
        <v>9.3107877228020858E-2</v>
      </c>
    </row>
    <row r="1411" spans="44:48" x14ac:dyDescent="0.2">
      <c r="AR1411">
        <v>1403</v>
      </c>
      <c r="AS1411">
        <v>494</v>
      </c>
      <c r="AT1411">
        <v>2</v>
      </c>
      <c r="AU1411">
        <v>4.1870881608896564</v>
      </c>
      <c r="AV1411">
        <v>9.3103283054362496E-2</v>
      </c>
    </row>
    <row r="1412" spans="44:48" x14ac:dyDescent="0.2">
      <c r="AR1412">
        <v>1404</v>
      </c>
      <c r="AS1412">
        <v>495</v>
      </c>
      <c r="AT1412">
        <v>2</v>
      </c>
      <c r="AU1412">
        <v>4.2180286922070032</v>
      </c>
      <c r="AV1412">
        <v>9.3093834601791964E-2</v>
      </c>
    </row>
    <row r="1413" spans="44:48" x14ac:dyDescent="0.2">
      <c r="AR1413">
        <v>1405</v>
      </c>
      <c r="AS1413">
        <v>496</v>
      </c>
      <c r="AT1413">
        <v>2</v>
      </c>
      <c r="AU1413">
        <v>4.2489692235243499</v>
      </c>
      <c r="AV1413">
        <v>9.3079533348242371E-2</v>
      </c>
    </row>
    <row r="1414" spans="44:48" x14ac:dyDescent="0.2">
      <c r="AR1414">
        <v>1406</v>
      </c>
      <c r="AS1414">
        <v>497</v>
      </c>
      <c r="AT1414">
        <v>2</v>
      </c>
      <c r="AU1414">
        <v>4.2799097548416949</v>
      </c>
      <c r="AV1414">
        <v>9.3060381530534975E-2</v>
      </c>
    </row>
    <row r="1415" spans="44:48" x14ac:dyDescent="0.2">
      <c r="AR1415">
        <v>1407</v>
      </c>
      <c r="AS1415">
        <v>498</v>
      </c>
      <c r="AT1415">
        <v>2</v>
      </c>
      <c r="AU1415">
        <v>4.3108502861590416</v>
      </c>
      <c r="AV1415">
        <v>9.3036382143795934E-2</v>
      </c>
    </row>
    <row r="1416" spans="44:48" x14ac:dyDescent="0.2">
      <c r="AR1416">
        <v>1408</v>
      </c>
      <c r="AS1416">
        <v>499</v>
      </c>
      <c r="AT1416">
        <v>2</v>
      </c>
      <c r="AU1416">
        <v>4.3417908174763884</v>
      </c>
      <c r="AV1416">
        <v>9.3007538940675746E-2</v>
      </c>
    </row>
    <row r="1417" spans="44:48" x14ac:dyDescent="0.2">
      <c r="AR1417">
        <v>1409</v>
      </c>
      <c r="AS1417">
        <v>500</v>
      </c>
      <c r="AT1417">
        <v>2</v>
      </c>
      <c r="AU1417">
        <v>4.3727313487937352</v>
      </c>
      <c r="AV1417">
        <v>9.2973856430371288E-2</v>
      </c>
    </row>
    <row r="1418" spans="44:48" x14ac:dyDescent="0.2">
      <c r="AR1418">
        <v>1410</v>
      </c>
      <c r="AS1418">
        <v>501</v>
      </c>
      <c r="AT1418">
        <v>2</v>
      </c>
      <c r="AU1418">
        <v>4.4036718801110801</v>
      </c>
      <c r="AV1418">
        <v>9.2935339877450951E-2</v>
      </c>
    </row>
    <row r="1419" spans="44:48" x14ac:dyDescent="0.2">
      <c r="AR1419">
        <v>1411</v>
      </c>
      <c r="AS1419">
        <v>502</v>
      </c>
      <c r="AT1419">
        <v>2</v>
      </c>
      <c r="AU1419">
        <v>4.4346124114284269</v>
      </c>
      <c r="AV1419">
        <v>9.2891995300483185E-2</v>
      </c>
    </row>
    <row r="1420" spans="44:48" x14ac:dyDescent="0.2">
      <c r="AR1420">
        <v>1412</v>
      </c>
      <c r="AS1420">
        <v>503</v>
      </c>
      <c r="AT1420">
        <v>2</v>
      </c>
      <c r="AU1420">
        <v>4.4655529427457736</v>
      </c>
      <c r="AV1420">
        <v>9.2843829470469097E-2</v>
      </c>
    </row>
    <row r="1421" spans="44:48" x14ac:dyDescent="0.2">
      <c r="AR1421">
        <v>1413</v>
      </c>
      <c r="AS1421">
        <v>504</v>
      </c>
      <c r="AT1421">
        <v>2</v>
      </c>
      <c r="AU1421">
        <v>4.4964934740631186</v>
      </c>
      <c r="AV1421">
        <v>9.2790849909079695E-2</v>
      </c>
    </row>
    <row r="1422" spans="44:48" x14ac:dyDescent="0.2">
      <c r="AR1422">
        <v>1414</v>
      </c>
      <c r="AS1422">
        <v>505</v>
      </c>
      <c r="AT1422">
        <v>2</v>
      </c>
      <c r="AU1422">
        <v>4.5274340053804654</v>
      </c>
      <c r="AV1422">
        <v>9.2733064886698219E-2</v>
      </c>
    </row>
    <row r="1423" spans="44:48" x14ac:dyDescent="0.2">
      <c r="AR1423">
        <v>1415</v>
      </c>
      <c r="AS1423">
        <v>506</v>
      </c>
      <c r="AT1423">
        <v>2</v>
      </c>
      <c r="AU1423">
        <v>4.5583745366978121</v>
      </c>
      <c r="AV1423">
        <v>9.2670483420268387E-2</v>
      </c>
    </row>
    <row r="1424" spans="44:48" x14ac:dyDescent="0.2">
      <c r="AR1424">
        <v>1416</v>
      </c>
      <c r="AS1424">
        <v>507</v>
      </c>
      <c r="AT1424">
        <v>2</v>
      </c>
      <c r="AU1424">
        <v>4.5893150680151589</v>
      </c>
      <c r="AV1424">
        <v>9.2603115270949471E-2</v>
      </c>
    </row>
    <row r="1425" spans="44:48" x14ac:dyDescent="0.2">
      <c r="AR1425">
        <v>1417</v>
      </c>
      <c r="AS1425">
        <v>508</v>
      </c>
      <c r="AT1425">
        <v>2</v>
      </c>
      <c r="AU1425">
        <v>4.6202555993325038</v>
      </c>
      <c r="AV1425">
        <v>9.2530970941578763E-2</v>
      </c>
    </row>
    <row r="1426" spans="44:48" x14ac:dyDescent="0.2">
      <c r="AR1426">
        <v>1418</v>
      </c>
      <c r="AS1426">
        <v>509</v>
      </c>
      <c r="AT1426">
        <v>2</v>
      </c>
      <c r="AU1426">
        <v>4.6511961306498506</v>
      </c>
      <c r="AV1426">
        <v>9.2454061673942697E-2</v>
      </c>
    </row>
    <row r="1427" spans="44:48" x14ac:dyDescent="0.2">
      <c r="AR1427">
        <v>1419</v>
      </c>
      <c r="AS1427">
        <v>510</v>
      </c>
      <c r="AT1427">
        <v>2</v>
      </c>
      <c r="AU1427">
        <v>4.6821366619671974</v>
      </c>
      <c r="AV1427">
        <v>9.2372399445857303E-2</v>
      </c>
    </row>
    <row r="1428" spans="44:48" x14ac:dyDescent="0.2">
      <c r="AR1428">
        <v>1420</v>
      </c>
      <c r="AS1428">
        <v>511</v>
      </c>
      <c r="AT1428">
        <v>2</v>
      </c>
      <c r="AU1428">
        <v>4.7130771932845441</v>
      </c>
      <c r="AV1428">
        <v>9.2285996968059253E-2</v>
      </c>
    </row>
    <row r="1429" spans="44:48" x14ac:dyDescent="0.2">
      <c r="AR1429">
        <v>1421</v>
      </c>
      <c r="AS1429">
        <v>512</v>
      </c>
      <c r="AT1429">
        <v>2</v>
      </c>
      <c r="AU1429">
        <v>4.7440177246018891</v>
      </c>
      <c r="AV1429">
        <v>9.2194867680908649E-2</v>
      </c>
    </row>
    <row r="1430" spans="44:48" x14ac:dyDescent="0.2">
      <c r="AR1430">
        <v>1422</v>
      </c>
      <c r="AS1430">
        <v>513</v>
      </c>
      <c r="AT1430">
        <v>2</v>
      </c>
      <c r="AU1430">
        <v>4.7749582559192358</v>
      </c>
      <c r="AV1430">
        <v>9.2099025750904451E-2</v>
      </c>
    </row>
    <row r="1431" spans="44:48" x14ac:dyDescent="0.2">
      <c r="AR1431">
        <v>1423</v>
      </c>
      <c r="AS1431">
        <v>514</v>
      </c>
      <c r="AT1431">
        <v>2</v>
      </c>
      <c r="AU1431">
        <v>4.8058987872365826</v>
      </c>
      <c r="AV1431">
        <v>9.1998486067014301E-2</v>
      </c>
    </row>
    <row r="1432" spans="44:48" x14ac:dyDescent="0.2">
      <c r="AR1432">
        <v>1424</v>
      </c>
      <c r="AS1432">
        <v>515</v>
      </c>
      <c r="AT1432">
        <v>2</v>
      </c>
      <c r="AU1432">
        <v>4.8368393185539276</v>
      </c>
      <c r="AV1432">
        <v>9.1893264236819663E-2</v>
      </c>
    </row>
    <row r="1433" spans="44:48" x14ac:dyDescent="0.2">
      <c r="AR1433">
        <v>1425</v>
      </c>
      <c r="AS1433">
        <v>516</v>
      </c>
      <c r="AT1433">
        <v>2</v>
      </c>
      <c r="AU1433">
        <v>4.8677798498712743</v>
      </c>
      <c r="AV1433">
        <v>9.1783376582477774E-2</v>
      </c>
    </row>
    <row r="1434" spans="44:48" x14ac:dyDescent="0.2">
      <c r="AR1434">
        <v>1426</v>
      </c>
      <c r="AS1434">
        <v>517</v>
      </c>
      <c r="AT1434">
        <v>2</v>
      </c>
      <c r="AU1434">
        <v>4.8987203811886211</v>
      </c>
      <c r="AV1434">
        <v>9.1668840136502019E-2</v>
      </c>
    </row>
    <row r="1435" spans="44:48" x14ac:dyDescent="0.2">
      <c r="AR1435">
        <v>1427</v>
      </c>
      <c r="AS1435">
        <v>518</v>
      </c>
      <c r="AT1435">
        <v>2</v>
      </c>
      <c r="AU1435">
        <v>4.9296609125059678</v>
      </c>
      <c r="AV1435">
        <v>9.1549672637362162E-2</v>
      </c>
    </row>
    <row r="1436" spans="44:48" x14ac:dyDescent="0.2">
      <c r="AR1436">
        <v>1428</v>
      </c>
      <c r="AS1436">
        <v>519</v>
      </c>
      <c r="AT1436">
        <v>2</v>
      </c>
      <c r="AU1436">
        <v>4.9606014438233128</v>
      </c>
      <c r="AV1436">
        <v>9.1425892524905877E-2</v>
      </c>
    </row>
    <row r="1437" spans="44:48" x14ac:dyDescent="0.2">
      <c r="AR1437">
        <v>1429</v>
      </c>
      <c r="AS1437">
        <v>520</v>
      </c>
      <c r="AT1437">
        <v>2</v>
      </c>
      <c r="AU1437">
        <v>4.9915419751406613</v>
      </c>
      <c r="AV1437">
        <v>9.1297518935603464E-2</v>
      </c>
    </row>
    <row r="1438" spans="44:48" x14ac:dyDescent="0.2">
      <c r="AR1438">
        <v>1430</v>
      </c>
      <c r="AS1438">
        <v>521</v>
      </c>
      <c r="AT1438">
        <v>2</v>
      </c>
      <c r="AU1438">
        <v>5.0224825064580063</v>
      </c>
      <c r="AV1438">
        <v>9.116457169761745E-2</v>
      </c>
    </row>
    <row r="1439" spans="44:48" x14ac:dyDescent="0.2">
      <c r="AR1439">
        <v>1431</v>
      </c>
      <c r="AS1439">
        <v>522</v>
      </c>
      <c r="AT1439">
        <v>2</v>
      </c>
      <c r="AU1439">
        <v>5.0534230377753513</v>
      </c>
      <c r="AV1439">
        <v>9.1027071325698553E-2</v>
      </c>
    </row>
    <row r="1440" spans="44:48" x14ac:dyDescent="0.2">
      <c r="AR1440">
        <v>1432</v>
      </c>
      <c r="AS1440">
        <v>523</v>
      </c>
      <c r="AT1440">
        <v>2</v>
      </c>
      <c r="AU1440">
        <v>5.0843635690926998</v>
      </c>
      <c r="AV1440">
        <v>9.0885039015910316E-2</v>
      </c>
    </row>
    <row r="1441" spans="44:48" x14ac:dyDescent="0.2">
      <c r="AR1441">
        <v>1433</v>
      </c>
      <c r="AS1441">
        <v>524</v>
      </c>
      <c r="AT1441">
        <v>2</v>
      </c>
      <c r="AU1441">
        <v>5.1153041004100448</v>
      </c>
      <c r="AV1441">
        <v>9.0738496640183935E-2</v>
      </c>
    </row>
    <row r="1442" spans="44:48" x14ac:dyDescent="0.2">
      <c r="AR1442">
        <v>1434</v>
      </c>
      <c r="AS1442">
        <v>525</v>
      </c>
      <c r="AT1442">
        <v>2</v>
      </c>
      <c r="AU1442">
        <v>5.1462446317273898</v>
      </c>
      <c r="AV1442">
        <v>9.058746674070535E-2</v>
      </c>
    </row>
    <row r="1443" spans="44:48" x14ac:dyDescent="0.2">
      <c r="AR1443">
        <v>1435</v>
      </c>
      <c r="AS1443">
        <v>526</v>
      </c>
      <c r="AT1443">
        <v>2</v>
      </c>
      <c r="AU1443">
        <v>5.1771851630447383</v>
      </c>
      <c r="AV1443">
        <v>9.0431972524136664E-2</v>
      </c>
    </row>
    <row r="1444" spans="44:48" x14ac:dyDescent="0.2">
      <c r="AR1444">
        <v>1436</v>
      </c>
      <c r="AS1444">
        <v>527</v>
      </c>
      <c r="AT1444">
        <v>2</v>
      </c>
      <c r="AU1444">
        <v>5.2081256943620833</v>
      </c>
      <c r="AV1444">
        <v>9.0272037855674087E-2</v>
      </c>
    </row>
    <row r="1445" spans="44:48" x14ac:dyDescent="0.2">
      <c r="AR1445">
        <v>1437</v>
      </c>
      <c r="AS1445">
        <v>528</v>
      </c>
      <c r="AT1445">
        <v>2</v>
      </c>
      <c r="AU1445">
        <v>5.2390662256794283</v>
      </c>
      <c r="AV1445">
        <v>9.0107687252944033E-2</v>
      </c>
    </row>
    <row r="1446" spans="44:48" x14ac:dyDescent="0.2">
      <c r="AR1446">
        <v>1438</v>
      </c>
      <c r="AS1446">
        <v>529</v>
      </c>
      <c r="AT1446">
        <v>2</v>
      </c>
      <c r="AU1446">
        <v>5.2700067569967768</v>
      </c>
      <c r="AV1446">
        <v>8.9938945879740231E-2</v>
      </c>
    </row>
    <row r="1447" spans="44:48" x14ac:dyDescent="0.2">
      <c r="AR1447">
        <v>1439</v>
      </c>
      <c r="AS1447">
        <v>530</v>
      </c>
      <c r="AT1447">
        <v>2</v>
      </c>
      <c r="AU1447">
        <v>5.3009472883141218</v>
      </c>
      <c r="AV1447">
        <v>8.9765839539603681E-2</v>
      </c>
    </row>
    <row r="1448" spans="44:48" x14ac:dyDescent="0.2">
      <c r="AR1448">
        <v>1440</v>
      </c>
      <c r="AS1448">
        <v>531</v>
      </c>
      <c r="AT1448">
        <v>2</v>
      </c>
      <c r="AU1448">
        <v>5.3318878196314703</v>
      </c>
      <c r="AV1448">
        <v>8.9588394669247659E-2</v>
      </c>
    </row>
    <row r="1449" spans="44:48" x14ac:dyDescent="0.2">
      <c r="AR1449">
        <v>1441</v>
      </c>
      <c r="AS1449">
        <v>532</v>
      </c>
      <c r="AT1449">
        <v>2</v>
      </c>
      <c r="AU1449">
        <v>5.3628283509488153</v>
      </c>
      <c r="AV1449">
        <v>8.940663833183056E-2</v>
      </c>
    </row>
    <row r="1450" spans="44:48" x14ac:dyDescent="0.2">
      <c r="AR1450">
        <v>1442</v>
      </c>
      <c r="AS1450">
        <v>533</v>
      </c>
      <c r="AT1450">
        <v>2</v>
      </c>
      <c r="AU1450">
        <v>5.3937688822661602</v>
      </c>
      <c r="AV1450">
        <v>8.9220598210078439E-2</v>
      </c>
    </row>
    <row r="1451" spans="44:48" x14ac:dyDescent="0.2">
      <c r="AR1451">
        <v>1443</v>
      </c>
      <c r="AS1451">
        <v>534</v>
      </c>
      <c r="AT1451">
        <v>2</v>
      </c>
      <c r="AU1451">
        <v>5.4247094135835088</v>
      </c>
      <c r="AV1451">
        <v>8.9030302599260161E-2</v>
      </c>
    </row>
    <row r="1452" spans="44:48" x14ac:dyDescent="0.2">
      <c r="AR1452">
        <v>1444</v>
      </c>
      <c r="AS1452">
        <v>535</v>
      </c>
      <c r="AT1452">
        <v>2</v>
      </c>
      <c r="AU1452">
        <v>5.4556499449008538</v>
      </c>
      <c r="AV1452">
        <v>8.8835780400017342E-2</v>
      </c>
    </row>
    <row r="1453" spans="44:48" x14ac:dyDescent="0.2">
      <c r="AR1453">
        <v>1445</v>
      </c>
      <c r="AS1453">
        <v>536</v>
      </c>
      <c r="AT1453">
        <v>2</v>
      </c>
      <c r="AU1453">
        <v>5.4865904762181987</v>
      </c>
      <c r="AV1453">
        <v>8.8637061111051768E-2</v>
      </c>
    </row>
    <row r="1454" spans="44:48" x14ac:dyDescent="0.2">
      <c r="AR1454">
        <v>1446</v>
      </c>
      <c r="AS1454">
        <v>537</v>
      </c>
      <c r="AT1454">
        <v>2</v>
      </c>
      <c r="AU1454">
        <v>5.5175310075355473</v>
      </c>
      <c r="AV1454">
        <v>8.8434174821672748E-2</v>
      </c>
    </row>
    <row r="1455" spans="44:48" x14ac:dyDescent="0.2">
      <c r="AR1455">
        <v>1447</v>
      </c>
      <c r="AS1455">
        <v>538</v>
      </c>
      <c r="AT1455">
        <v>2</v>
      </c>
      <c r="AU1455">
        <v>5.5484715388528922</v>
      </c>
      <c r="AV1455">
        <v>8.822715220420746E-2</v>
      </c>
    </row>
    <row r="1456" spans="44:48" x14ac:dyDescent="0.2">
      <c r="AR1456">
        <v>1448</v>
      </c>
      <c r="AS1456">
        <v>539</v>
      </c>
      <c r="AT1456">
        <v>2</v>
      </c>
      <c r="AU1456">
        <v>5.5794120701702372</v>
      </c>
      <c r="AV1456">
        <v>8.8016024506276144E-2</v>
      </c>
    </row>
    <row r="1457" spans="44:48" x14ac:dyDescent="0.2">
      <c r="AR1457">
        <v>1449</v>
      </c>
      <c r="AS1457">
        <v>540</v>
      </c>
      <c r="AT1457">
        <v>2</v>
      </c>
      <c r="AU1457">
        <v>5.6103526014875857</v>
      </c>
      <c r="AV1457">
        <v>8.7800823542935794E-2</v>
      </c>
    </row>
    <row r="1458" spans="44:48" x14ac:dyDescent="0.2">
      <c r="AR1458">
        <v>1450</v>
      </c>
      <c r="AS1458">
        <v>541</v>
      </c>
      <c r="AT1458">
        <v>2</v>
      </c>
      <c r="AU1458">
        <v>5.6412931328049307</v>
      </c>
      <c r="AV1458">
        <v>8.7581581688694496E-2</v>
      </c>
    </row>
    <row r="1459" spans="44:48" x14ac:dyDescent="0.2">
      <c r="AR1459">
        <v>1451</v>
      </c>
      <c r="AS1459">
        <v>542</v>
      </c>
      <c r="AT1459">
        <v>2</v>
      </c>
      <c r="AU1459">
        <v>5.6722336641222793</v>
      </c>
      <c r="AV1459">
        <v>8.7358331869399355E-2</v>
      </c>
    </row>
    <row r="1460" spans="44:48" x14ac:dyDescent="0.2">
      <c r="AR1460">
        <v>1452</v>
      </c>
      <c r="AS1460">
        <v>543</v>
      </c>
      <c r="AT1460">
        <v>2</v>
      </c>
      <c r="AU1460">
        <v>5.7031741954396242</v>
      </c>
      <c r="AV1460">
        <v>8.7131107554001122E-2</v>
      </c>
    </row>
    <row r="1461" spans="44:48" x14ac:dyDescent="0.2">
      <c r="AR1461">
        <v>1453</v>
      </c>
      <c r="AS1461">
        <v>544</v>
      </c>
      <c r="AT1461">
        <v>2</v>
      </c>
      <c r="AU1461">
        <v>5.7341147267569692</v>
      </c>
      <c r="AV1461">
        <v>8.6899942746197889E-2</v>
      </c>
    </row>
    <row r="1462" spans="44:48" x14ac:dyDescent="0.2">
      <c r="AR1462">
        <v>1454</v>
      </c>
      <c r="AS1462">
        <v>545</v>
      </c>
      <c r="AT1462">
        <v>2</v>
      </c>
      <c r="AU1462">
        <v>5.7650552580743177</v>
      </c>
      <c r="AV1462">
        <v>8.6664871975961233E-2</v>
      </c>
    </row>
    <row r="1463" spans="44:48" x14ac:dyDescent="0.2">
      <c r="AR1463">
        <v>1455</v>
      </c>
      <c r="AS1463">
        <v>546</v>
      </c>
      <c r="AT1463">
        <v>2</v>
      </c>
      <c r="AU1463">
        <v>5.7959957893916627</v>
      </c>
      <c r="AV1463">
        <v>8.6425930290947722E-2</v>
      </c>
    </row>
    <row r="1464" spans="44:48" x14ac:dyDescent="0.2">
      <c r="AR1464">
        <v>1456</v>
      </c>
      <c r="AS1464">
        <v>547</v>
      </c>
      <c r="AT1464">
        <v>2</v>
      </c>
      <c r="AU1464">
        <v>5.8269363207090077</v>
      </c>
      <c r="AV1464">
        <v>8.6183153247798322E-2</v>
      </c>
    </row>
    <row r="1465" spans="44:48" x14ac:dyDescent="0.2">
      <c r="AR1465">
        <v>1457</v>
      </c>
      <c r="AS1465">
        <v>548</v>
      </c>
      <c r="AT1465">
        <v>2</v>
      </c>
      <c r="AU1465">
        <v>5.8578768520263562</v>
      </c>
      <c r="AV1465">
        <v>8.5936576903329329E-2</v>
      </c>
    </row>
    <row r="1466" spans="44:48" x14ac:dyDescent="0.2">
      <c r="AR1466">
        <v>1458</v>
      </c>
      <c r="AS1466">
        <v>549</v>
      </c>
      <c r="AT1466">
        <v>2</v>
      </c>
      <c r="AU1466">
        <v>5.8888173833437012</v>
      </c>
      <c r="AV1466">
        <v>8.5686237805617446E-2</v>
      </c>
    </row>
    <row r="1467" spans="44:48" x14ac:dyDescent="0.2">
      <c r="AR1467">
        <v>1459</v>
      </c>
      <c r="AS1467">
        <v>550</v>
      </c>
      <c r="AT1467">
        <v>2</v>
      </c>
      <c r="AU1467">
        <v>5.9197579146610497</v>
      </c>
      <c r="AV1467">
        <v>8.5432172984982291E-2</v>
      </c>
    </row>
    <row r="1468" spans="44:48" x14ac:dyDescent="0.2">
      <c r="AR1468">
        <v>1460</v>
      </c>
      <c r="AS1468">
        <v>551</v>
      </c>
      <c r="AT1468">
        <v>2</v>
      </c>
      <c r="AU1468">
        <v>5.9506984459783947</v>
      </c>
      <c r="AV1468">
        <v>8.5174419944869448E-2</v>
      </c>
    </row>
    <row r="1469" spans="44:48" x14ac:dyDescent="0.2">
      <c r="AR1469">
        <v>1461</v>
      </c>
      <c r="AS1469">
        <v>552</v>
      </c>
      <c r="AT1469">
        <v>2</v>
      </c>
      <c r="AU1469">
        <v>5.9816389772957397</v>
      </c>
      <c r="AV1469">
        <v>8.4913016652636952E-2</v>
      </c>
    </row>
    <row r="1470" spans="44:48" x14ac:dyDescent="0.2">
      <c r="AR1470">
        <v>1462</v>
      </c>
      <c r="AS1470">
        <v>553</v>
      </c>
      <c r="AT1470">
        <v>2</v>
      </c>
      <c r="AU1470">
        <v>6.0125795086130882</v>
      </c>
      <c r="AV1470">
        <v>8.4648001530248818E-2</v>
      </c>
    </row>
    <row r="1471" spans="44:48" x14ac:dyDescent="0.2">
      <c r="AR1471">
        <v>1463</v>
      </c>
      <c r="AS1471">
        <v>554</v>
      </c>
      <c r="AT1471">
        <v>2</v>
      </c>
      <c r="AU1471">
        <v>6.0435200399304332</v>
      </c>
      <c r="AV1471">
        <v>8.4379413444878371E-2</v>
      </c>
    </row>
    <row r="1472" spans="44:48" x14ac:dyDescent="0.2">
      <c r="AR1472">
        <v>1464</v>
      </c>
      <c r="AS1472">
        <v>555</v>
      </c>
      <c r="AT1472">
        <v>2</v>
      </c>
      <c r="AU1472">
        <v>6.0744605712477782</v>
      </c>
      <c r="AV1472">
        <v>8.4107291699424838E-2</v>
      </c>
    </row>
    <row r="1473" spans="44:48" x14ac:dyDescent="0.2">
      <c r="AR1473">
        <v>1465</v>
      </c>
      <c r="AS1473">
        <v>556</v>
      </c>
      <c r="AT1473">
        <v>2</v>
      </c>
      <c r="AU1473">
        <v>6.1054011025651267</v>
      </c>
      <c r="AV1473">
        <v>8.3831676022946264E-2</v>
      </c>
    </row>
    <row r="1474" spans="44:48" x14ac:dyDescent="0.2">
      <c r="AR1474">
        <v>1466</v>
      </c>
      <c r="AS1474">
        <v>557</v>
      </c>
      <c r="AT1474">
        <v>2</v>
      </c>
      <c r="AU1474">
        <v>6.1363416338824717</v>
      </c>
      <c r="AV1474">
        <v>8.3552606561012419E-2</v>
      </c>
    </row>
    <row r="1475" spans="44:48" x14ac:dyDescent="0.2">
      <c r="AR1475">
        <v>1467</v>
      </c>
      <c r="AS1475">
        <v>558</v>
      </c>
      <c r="AT1475">
        <v>2</v>
      </c>
      <c r="AU1475">
        <v>6.1672821651998166</v>
      </c>
      <c r="AV1475">
        <v>8.3270123865980067E-2</v>
      </c>
    </row>
    <row r="1476" spans="44:48" x14ac:dyDescent="0.2">
      <c r="AR1476">
        <v>1468</v>
      </c>
      <c r="AS1476">
        <v>559</v>
      </c>
      <c r="AT1476">
        <v>2</v>
      </c>
      <c r="AU1476">
        <v>6.1982226965171652</v>
      </c>
      <c r="AV1476">
        <v>8.2984268887195137E-2</v>
      </c>
    </row>
    <row r="1477" spans="44:48" x14ac:dyDescent="0.2">
      <c r="AR1477">
        <v>1469</v>
      </c>
      <c r="AS1477">
        <v>560</v>
      </c>
      <c r="AT1477">
        <v>2</v>
      </c>
      <c r="AU1477">
        <v>6.2291632278345102</v>
      </c>
      <c r="AV1477">
        <v>8.2695082961124058E-2</v>
      </c>
    </row>
    <row r="1478" spans="44:48" x14ac:dyDescent="0.2">
      <c r="AR1478">
        <v>1470</v>
      </c>
      <c r="AS1478">
        <v>561</v>
      </c>
      <c r="AT1478">
        <v>2</v>
      </c>
      <c r="AU1478">
        <v>6.2601037591518587</v>
      </c>
      <c r="AV1478">
        <v>8.2402607801417851E-2</v>
      </c>
    </row>
    <row r="1479" spans="44:48" x14ac:dyDescent="0.2">
      <c r="AR1479">
        <v>1471</v>
      </c>
      <c r="AS1479">
        <v>562</v>
      </c>
      <c r="AT1479">
        <v>2</v>
      </c>
      <c r="AU1479">
        <v>6.2910442904692037</v>
      </c>
      <c r="AV1479">
        <v>8.2106885488912887E-2</v>
      </c>
    </row>
    <row r="1480" spans="44:48" x14ac:dyDescent="0.2">
      <c r="AR1480">
        <v>1472</v>
      </c>
      <c r="AS1480">
        <v>563</v>
      </c>
      <c r="AT1480">
        <v>2</v>
      </c>
      <c r="AU1480">
        <v>6.3219848217865486</v>
      </c>
      <c r="AV1480">
        <v>8.1807958461570685E-2</v>
      </c>
    </row>
    <row r="1481" spans="44:48" x14ac:dyDescent="0.2">
      <c r="AR1481">
        <v>1473</v>
      </c>
      <c r="AS1481">
        <v>564</v>
      </c>
      <c r="AT1481">
        <v>2</v>
      </c>
      <c r="AU1481">
        <v>6.3529253531038972</v>
      </c>
      <c r="AV1481">
        <v>8.1505869504360853E-2</v>
      </c>
    </row>
    <row r="1482" spans="44:48" x14ac:dyDescent="0.2">
      <c r="AR1482">
        <v>1474</v>
      </c>
      <c r="AS1482">
        <v>565</v>
      </c>
      <c r="AT1482">
        <v>2</v>
      </c>
      <c r="AU1482">
        <v>6.3838658844212421</v>
      </c>
      <c r="AV1482">
        <v>8.1200661739090463E-2</v>
      </c>
    </row>
    <row r="1483" spans="44:48" x14ac:dyDescent="0.2">
      <c r="AR1483">
        <v>1475</v>
      </c>
      <c r="AS1483">
        <v>566</v>
      </c>
      <c r="AT1483">
        <v>2</v>
      </c>
      <c r="AU1483">
        <v>6.4148064157385871</v>
      </c>
      <c r="AV1483">
        <v>8.0892378614182581E-2</v>
      </c>
    </row>
    <row r="1484" spans="44:48" x14ac:dyDescent="0.2">
      <c r="AR1484">
        <v>1476</v>
      </c>
      <c r="AS1484">
        <v>567</v>
      </c>
      <c r="AT1484">
        <v>2</v>
      </c>
      <c r="AU1484">
        <v>6.4457469470559356</v>
      </c>
      <c r="AV1484">
        <v>8.058106389440825E-2</v>
      </c>
    </row>
    <row r="1485" spans="44:48" x14ac:dyDescent="0.2">
      <c r="AR1485">
        <v>1477</v>
      </c>
      <c r="AS1485">
        <v>568</v>
      </c>
      <c r="AT1485">
        <v>2</v>
      </c>
      <c r="AU1485">
        <v>6.4766874783732806</v>
      </c>
      <c r="AV1485">
        <v>8.0266761650574781E-2</v>
      </c>
    </row>
    <row r="1486" spans="44:48" x14ac:dyDescent="0.2">
      <c r="AR1486">
        <v>1478</v>
      </c>
      <c r="AS1486">
        <v>569</v>
      </c>
      <c r="AT1486">
        <v>2</v>
      </c>
      <c r="AU1486">
        <v>6.5076280096906256</v>
      </c>
      <c r="AV1486">
        <v>7.9949516249173611E-2</v>
      </c>
    </row>
    <row r="1487" spans="44:48" x14ac:dyDescent="0.2">
      <c r="AR1487">
        <v>1479</v>
      </c>
      <c r="AS1487">
        <v>570</v>
      </c>
      <c r="AT1487">
        <v>2</v>
      </c>
      <c r="AU1487">
        <v>6.5385685410079741</v>
      </c>
      <c r="AV1487">
        <v>7.9629372341991508E-2</v>
      </c>
    </row>
    <row r="1488" spans="44:48" x14ac:dyDescent="0.2">
      <c r="AR1488">
        <v>1480</v>
      </c>
      <c r="AS1488">
        <v>571</v>
      </c>
      <c r="AT1488">
        <v>2</v>
      </c>
      <c r="AU1488">
        <v>6.5695090723253191</v>
      </c>
      <c r="AV1488">
        <v>7.930637485568845E-2</v>
      </c>
    </row>
    <row r="1489" spans="44:48" x14ac:dyDescent="0.2">
      <c r="AR1489">
        <v>1481</v>
      </c>
      <c r="AS1489">
        <v>572</v>
      </c>
      <c r="AT1489">
        <v>2</v>
      </c>
      <c r="AU1489">
        <v>6.6004496036426676</v>
      </c>
      <c r="AV1489">
        <v>7.8980568981345034E-2</v>
      </c>
    </row>
    <row r="1490" spans="44:48" x14ac:dyDescent="0.2">
      <c r="AR1490">
        <v>1482</v>
      </c>
      <c r="AS1490">
        <v>573</v>
      </c>
      <c r="AT1490">
        <v>2</v>
      </c>
      <c r="AU1490">
        <v>6.6313901349600126</v>
      </c>
      <c r="AV1490">
        <v>7.8652000163983771E-2</v>
      </c>
    </row>
    <row r="1491" spans="44:48" x14ac:dyDescent="0.2">
      <c r="AR1491">
        <v>1483</v>
      </c>
      <c r="AS1491">
        <v>574</v>
      </c>
      <c r="AT1491">
        <v>2</v>
      </c>
      <c r="AU1491">
        <v>6.6623306662773576</v>
      </c>
      <c r="AV1491">
        <v>7.8320714092066562E-2</v>
      </c>
    </row>
    <row r="1492" spans="44:48" x14ac:dyDescent="0.2">
      <c r="AR1492">
        <v>1484</v>
      </c>
      <c r="AS1492">
        <v>575</v>
      </c>
      <c r="AT1492">
        <v>2</v>
      </c>
      <c r="AU1492">
        <v>6.6932711975947061</v>
      </c>
      <c r="AV1492">
        <v>7.7986756686972525E-2</v>
      </c>
    </row>
    <row r="1493" spans="44:48" x14ac:dyDescent="0.2">
      <c r="AR1493">
        <v>1485</v>
      </c>
      <c r="AS1493">
        <v>576</v>
      </c>
      <c r="AT1493">
        <v>2</v>
      </c>
      <c r="AU1493">
        <v>6.7242117289120511</v>
      </c>
      <c r="AV1493">
        <v>7.7650174092459404E-2</v>
      </c>
    </row>
    <row r="1494" spans="44:48" x14ac:dyDescent="0.2">
      <c r="AR1494">
        <v>1486</v>
      </c>
      <c r="AS1494">
        <v>577</v>
      </c>
      <c r="AT1494">
        <v>2</v>
      </c>
      <c r="AU1494">
        <v>6.7551522602293961</v>
      </c>
      <c r="AV1494">
        <v>7.7311012664111348E-2</v>
      </c>
    </row>
    <row r="1495" spans="44:48" x14ac:dyDescent="0.2">
      <c r="AR1495">
        <v>1487</v>
      </c>
      <c r="AS1495">
        <v>578</v>
      </c>
      <c r="AT1495">
        <v>2</v>
      </c>
      <c r="AU1495">
        <v>6.7860927915467446</v>
      </c>
      <c r="AV1495">
        <v>7.6969318958777289E-2</v>
      </c>
    </row>
    <row r="1496" spans="44:48" x14ac:dyDescent="0.2">
      <c r="AR1496">
        <v>1488</v>
      </c>
      <c r="AS1496">
        <v>579</v>
      </c>
      <c r="AT1496">
        <v>2</v>
      </c>
      <c r="AU1496">
        <v>6.8170333228640896</v>
      </c>
      <c r="AV1496">
        <v>7.6625139724002658E-2</v>
      </c>
    </row>
    <row r="1497" spans="44:48" x14ac:dyDescent="0.2">
      <c r="AR1497">
        <v>1489</v>
      </c>
      <c r="AS1497">
        <v>580</v>
      </c>
      <c r="AT1497">
        <v>2</v>
      </c>
      <c r="AU1497">
        <v>6.8479738541814346</v>
      </c>
      <c r="AV1497">
        <v>7.6278521887457748E-2</v>
      </c>
    </row>
    <row r="1498" spans="44:48" x14ac:dyDescent="0.2">
      <c r="AR1498">
        <v>1490</v>
      </c>
      <c r="AS1498">
        <v>581</v>
      </c>
      <c r="AT1498">
        <v>2</v>
      </c>
      <c r="AU1498">
        <v>6.8789143854987831</v>
      </c>
      <c r="AV1498">
        <v>7.5929512546366512E-2</v>
      </c>
    </row>
    <row r="1499" spans="44:48" x14ac:dyDescent="0.2">
      <c r="AR1499">
        <v>1491</v>
      </c>
      <c r="AS1499">
        <v>582</v>
      </c>
      <c r="AT1499">
        <v>2</v>
      </c>
      <c r="AU1499">
        <v>6.9098549168161281</v>
      </c>
      <c r="AV1499">
        <v>7.5578158956938729E-2</v>
      </c>
    </row>
    <row r="1500" spans="44:48" x14ac:dyDescent="0.2">
      <c r="AR1500">
        <v>1492</v>
      </c>
      <c r="AS1500">
        <v>583</v>
      </c>
      <c r="AT1500">
        <v>2</v>
      </c>
      <c r="AU1500">
        <v>6.9407954481334766</v>
      </c>
      <c r="AV1500">
        <v>7.5224508523808603E-2</v>
      </c>
    </row>
    <row r="1501" spans="44:48" x14ac:dyDescent="0.2">
      <c r="AR1501">
        <v>1493</v>
      </c>
      <c r="AS1501">
        <v>584</v>
      </c>
      <c r="AT1501">
        <v>2</v>
      </c>
      <c r="AU1501">
        <v>6.9717359794508216</v>
      </c>
      <c r="AV1501">
        <v>7.4868608789483856E-2</v>
      </c>
    </row>
    <row r="1502" spans="44:48" x14ac:dyDescent="0.2">
      <c r="AR1502">
        <v>1494</v>
      </c>
      <c r="AS1502">
        <v>585</v>
      </c>
      <c r="AT1502">
        <v>2</v>
      </c>
      <c r="AU1502">
        <v>7.0026765107681666</v>
      </c>
      <c r="AV1502">
        <v>7.4510507423807548E-2</v>
      </c>
    </row>
    <row r="1503" spans="44:48" x14ac:dyDescent="0.2">
      <c r="AR1503">
        <v>1495</v>
      </c>
      <c r="AS1503">
        <v>586</v>
      </c>
      <c r="AT1503">
        <v>2</v>
      </c>
      <c r="AU1503">
        <v>7.0336170420855151</v>
      </c>
      <c r="AV1503">
        <v>7.4150252213436685E-2</v>
      </c>
    </row>
    <row r="1504" spans="44:48" x14ac:dyDescent="0.2">
      <c r="AR1504">
        <v>1496</v>
      </c>
      <c r="AS1504">
        <v>587</v>
      </c>
      <c r="AT1504">
        <v>2</v>
      </c>
      <c r="AU1504">
        <v>7.0645575734028601</v>
      </c>
      <c r="AV1504">
        <v>7.378789105134051E-2</v>
      </c>
    </row>
    <row r="1505" spans="44:48" x14ac:dyDescent="0.2">
      <c r="AR1505">
        <v>1497</v>
      </c>
      <c r="AS1505">
        <v>588</v>
      </c>
      <c r="AT1505">
        <v>2</v>
      </c>
      <c r="AU1505">
        <v>7.095498104720205</v>
      </c>
      <c r="AV1505">
        <v>7.3423471926321301E-2</v>
      </c>
    </row>
    <row r="1506" spans="44:48" x14ac:dyDescent="0.2">
      <c r="AR1506">
        <v>1498</v>
      </c>
      <c r="AS1506">
        <v>589</v>
      </c>
      <c r="AT1506">
        <v>2</v>
      </c>
      <c r="AU1506">
        <v>7.1264386360375536</v>
      </c>
      <c r="AV1506">
        <v>7.3057042912561584E-2</v>
      </c>
    </row>
    <row r="1507" spans="44:48" x14ac:dyDescent="0.2">
      <c r="AR1507">
        <v>1499</v>
      </c>
      <c r="AS1507">
        <v>590</v>
      </c>
      <c r="AT1507">
        <v>2</v>
      </c>
      <c r="AU1507">
        <v>7.1573791673548985</v>
      </c>
      <c r="AV1507">
        <v>7.2688652159200409E-2</v>
      </c>
    </row>
    <row r="1508" spans="44:48" x14ac:dyDescent="0.2">
      <c r="AR1508">
        <v>1500</v>
      </c>
      <c r="AS1508">
        <v>591</v>
      </c>
      <c r="AT1508">
        <v>2</v>
      </c>
      <c r="AU1508">
        <v>7.1883196986722435</v>
      </c>
      <c r="AV1508">
        <v>7.2318347879941527E-2</v>
      </c>
    </row>
    <row r="1509" spans="44:48" x14ac:dyDescent="0.2">
      <c r="AR1509">
        <v>1501</v>
      </c>
      <c r="AS1509">
        <v>592</v>
      </c>
      <c r="AT1509">
        <v>2</v>
      </c>
      <c r="AU1509">
        <v>7.219260229989592</v>
      </c>
      <c r="AV1509">
        <v>7.1946178342697328E-2</v>
      </c>
    </row>
    <row r="1510" spans="44:48" x14ac:dyDescent="0.2">
      <c r="AR1510">
        <v>1502</v>
      </c>
      <c r="AS1510">
        <v>593</v>
      </c>
      <c r="AT1510">
        <v>2</v>
      </c>
      <c r="AU1510">
        <v>7.250200761306937</v>
      </c>
      <c r="AV1510">
        <v>7.1572191859271231E-2</v>
      </c>
    </row>
    <row r="1511" spans="44:48" x14ac:dyDescent="0.2">
      <c r="AR1511">
        <v>1503</v>
      </c>
      <c r="AS1511">
        <v>594</v>
      </c>
      <c r="AT1511">
        <v>2</v>
      </c>
      <c r="AU1511">
        <v>7.2811412926242856</v>
      </c>
      <c r="AV1511">
        <v>7.1196436775080807E-2</v>
      </c>
    </row>
    <row r="1512" spans="44:48" x14ac:dyDescent="0.2">
      <c r="AR1512">
        <v>1504</v>
      </c>
      <c r="AS1512">
        <v>595</v>
      </c>
      <c r="AT1512">
        <v>2</v>
      </c>
      <c r="AU1512">
        <v>7.3120818239416305</v>
      </c>
      <c r="AV1512">
        <v>7.0818961458926299E-2</v>
      </c>
    </row>
    <row r="1513" spans="44:48" x14ac:dyDescent="0.2">
      <c r="AR1513">
        <v>1505</v>
      </c>
      <c r="AS1513">
        <v>596</v>
      </c>
      <c r="AT1513">
        <v>2</v>
      </c>
      <c r="AU1513">
        <v>7.3430223552589755</v>
      </c>
      <c r="AV1513">
        <v>7.0439814292805575E-2</v>
      </c>
    </row>
    <row r="1514" spans="44:48" x14ac:dyDescent="0.2">
      <c r="AR1514">
        <v>1506</v>
      </c>
      <c r="AS1514">
        <v>597</v>
      </c>
      <c r="AT1514">
        <v>2</v>
      </c>
      <c r="AU1514">
        <v>7.373962886576324</v>
      </c>
      <c r="AV1514">
        <v>7.0059043661780007E-2</v>
      </c>
    </row>
    <row r="1515" spans="44:48" x14ac:dyDescent="0.2">
      <c r="AR1515">
        <v>1507</v>
      </c>
      <c r="AS1515">
        <v>598</v>
      </c>
      <c r="AT1515">
        <v>2</v>
      </c>
      <c r="AU1515">
        <v>7.404903417893669</v>
      </c>
      <c r="AV1515">
        <v>6.9676697943893473E-2</v>
      </c>
    </row>
    <row r="1516" spans="44:48" x14ac:dyDescent="0.2">
      <c r="AR1516">
        <v>1508</v>
      </c>
      <c r="AS1516">
        <v>599</v>
      </c>
      <c r="AT1516">
        <v>2</v>
      </c>
      <c r="AU1516">
        <v>7.435843949211014</v>
      </c>
      <c r="AV1516">
        <v>6.929282550014694E-2</v>
      </c>
    </row>
    <row r="1517" spans="44:48" x14ac:dyDescent="0.2">
      <c r="AR1517">
        <v>1509</v>
      </c>
      <c r="AS1517">
        <v>600</v>
      </c>
      <c r="AT1517">
        <v>2</v>
      </c>
      <c r="AU1517">
        <v>7.4667844805283625</v>
      </c>
      <c r="AV1517">
        <v>6.890747466453255E-2</v>
      </c>
    </row>
    <row r="1518" spans="44:48" x14ac:dyDescent="0.2">
      <c r="AR1518">
        <v>1510</v>
      </c>
      <c r="AS1518">
        <v>601</v>
      </c>
      <c r="AT1518">
        <v>2</v>
      </c>
      <c r="AU1518">
        <v>7.4977250118457075</v>
      </c>
      <c r="AV1518">
        <v>6.8520693734129126E-2</v>
      </c>
    </row>
    <row r="1519" spans="44:48" x14ac:dyDescent="0.2">
      <c r="AR1519">
        <v>1511</v>
      </c>
      <c r="AS1519">
        <v>602</v>
      </c>
      <c r="AT1519">
        <v>2</v>
      </c>
      <c r="AU1519">
        <v>7.528665543163056</v>
      </c>
      <c r="AV1519">
        <v>6.813253095926175E-2</v>
      </c>
    </row>
    <row r="1520" spans="44:48" x14ac:dyDescent="0.2">
      <c r="AR1520">
        <v>1512</v>
      </c>
      <c r="AS1520">
        <v>603</v>
      </c>
      <c r="AT1520">
        <v>2</v>
      </c>
      <c r="AU1520">
        <v>7.559606074480401</v>
      </c>
      <c r="AV1520">
        <v>6.7743034533729263E-2</v>
      </c>
    </row>
    <row r="1521" spans="44:48" x14ac:dyDescent="0.2">
      <c r="AR1521">
        <v>1513</v>
      </c>
      <c r="AS1521">
        <v>604</v>
      </c>
      <c r="AT1521">
        <v>2</v>
      </c>
      <c r="AU1521">
        <v>7.590546605797746</v>
      </c>
      <c r="AV1521">
        <v>6.7352252585100691E-2</v>
      </c>
    </row>
    <row r="1522" spans="44:48" x14ac:dyDescent="0.2">
      <c r="AR1522">
        <v>1514</v>
      </c>
      <c r="AS1522">
        <v>605</v>
      </c>
      <c r="AT1522">
        <v>2</v>
      </c>
      <c r="AU1522">
        <v>7.6214871371150945</v>
      </c>
      <c r="AV1522">
        <v>6.696023316508469E-2</v>
      </c>
    </row>
    <row r="1523" spans="44:48" x14ac:dyDescent="0.2">
      <c r="AR1523">
        <v>1515</v>
      </c>
      <c r="AS1523">
        <v>606</v>
      </c>
      <c r="AT1523">
        <v>2</v>
      </c>
      <c r="AU1523">
        <v>7.6524276684324395</v>
      </c>
      <c r="AV1523">
        <v>6.6567024239974001E-2</v>
      </c>
    </row>
    <row r="1524" spans="44:48" x14ac:dyDescent="0.2">
      <c r="AR1524">
        <v>1516</v>
      </c>
      <c r="AS1524">
        <v>607</v>
      </c>
      <c r="AT1524">
        <v>2</v>
      </c>
      <c r="AU1524">
        <v>7.6833681997497845</v>
      </c>
      <c r="AV1524">
        <v>6.6172673681166971E-2</v>
      </c>
    </row>
    <row r="1525" spans="44:48" x14ac:dyDescent="0.2">
      <c r="AR1525">
        <v>1517</v>
      </c>
      <c r="AS1525">
        <v>608</v>
      </c>
      <c r="AT1525">
        <v>2</v>
      </c>
      <c r="AU1525">
        <v>7.714308731067133</v>
      </c>
      <c r="AV1525">
        <v>6.5777229255769745E-2</v>
      </c>
    </row>
    <row r="1526" spans="44:48" x14ac:dyDescent="0.2">
      <c r="AR1526">
        <v>1518</v>
      </c>
      <c r="AS1526">
        <v>609</v>
      </c>
      <c r="AT1526">
        <v>2</v>
      </c>
      <c r="AU1526">
        <v>7.745249262384478</v>
      </c>
      <c r="AV1526">
        <v>6.5380738617280831E-2</v>
      </c>
    </row>
    <row r="1527" spans="44:48" x14ac:dyDescent="0.2">
      <c r="AR1527">
        <v>1519</v>
      </c>
      <c r="AS1527">
        <v>610</v>
      </c>
      <c r="AT1527">
        <v>2</v>
      </c>
      <c r="AU1527">
        <v>7.7761897937018229</v>
      </c>
      <c r="AV1527">
        <v>6.498324929636029E-2</v>
      </c>
    </row>
    <row r="1528" spans="44:48" x14ac:dyDescent="0.2">
      <c r="AR1528">
        <v>1520</v>
      </c>
      <c r="AS1528">
        <v>611</v>
      </c>
      <c r="AT1528">
        <v>2</v>
      </c>
      <c r="AU1528">
        <v>7.8071303250191715</v>
      </c>
      <c r="AV1528">
        <v>6.4584808691686646E-2</v>
      </c>
    </row>
    <row r="1529" spans="44:48" x14ac:dyDescent="0.2">
      <c r="AR1529">
        <v>1521</v>
      </c>
      <c r="AS1529">
        <v>612</v>
      </c>
      <c r="AT1529">
        <v>2</v>
      </c>
      <c r="AU1529">
        <v>7.8380708563365165</v>
      </c>
      <c r="AV1529">
        <v>6.4185464060903447E-2</v>
      </c>
    </row>
    <row r="1530" spans="44:48" x14ac:dyDescent="0.2">
      <c r="AR1530">
        <v>1522</v>
      </c>
      <c r="AS1530">
        <v>613</v>
      </c>
      <c r="AT1530">
        <v>2</v>
      </c>
      <c r="AU1530">
        <v>7.869011387653865</v>
      </c>
      <c r="AV1530">
        <v>6.3785262511657365E-2</v>
      </c>
    </row>
    <row r="1531" spans="44:48" x14ac:dyDescent="0.2">
      <c r="AR1531">
        <v>1523</v>
      </c>
      <c r="AS1531">
        <v>614</v>
      </c>
      <c r="AT1531">
        <v>2</v>
      </c>
      <c r="AU1531">
        <v>7.89995191897121</v>
      </c>
      <c r="AV1531">
        <v>6.3384250992731025E-2</v>
      </c>
    </row>
    <row r="1532" spans="44:48" x14ac:dyDescent="0.2">
      <c r="AR1532">
        <v>1524</v>
      </c>
      <c r="AS1532">
        <v>615</v>
      </c>
      <c r="AT1532">
        <v>2</v>
      </c>
      <c r="AU1532">
        <v>7.9308924502885549</v>
      </c>
      <c r="AV1532">
        <v>6.2982476285271566E-2</v>
      </c>
    </row>
    <row r="1533" spans="44:48" x14ac:dyDescent="0.2">
      <c r="AR1533">
        <v>1525</v>
      </c>
      <c r="AS1533">
        <v>616</v>
      </c>
      <c r="AT1533">
        <v>2</v>
      </c>
      <c r="AU1533">
        <v>7.9618329816059035</v>
      </c>
      <c r="AV1533">
        <v>6.257998499411821E-2</v>
      </c>
    </row>
    <row r="1534" spans="44:48" x14ac:dyDescent="0.2">
      <c r="AR1534">
        <v>1526</v>
      </c>
      <c r="AS1534">
        <v>617</v>
      </c>
      <c r="AT1534">
        <v>2</v>
      </c>
      <c r="AU1534">
        <v>7.9927735129232484</v>
      </c>
      <c r="AV1534">
        <v>6.2176823539230215E-2</v>
      </c>
    </row>
    <row r="1535" spans="44:48" x14ac:dyDescent="0.2">
      <c r="AR1535">
        <v>1527</v>
      </c>
      <c r="AS1535">
        <v>618</v>
      </c>
      <c r="AT1535">
        <v>2</v>
      </c>
      <c r="AU1535">
        <v>8.0237140442405934</v>
      </c>
      <c r="AV1535">
        <v>6.1773038147217213E-2</v>
      </c>
    </row>
    <row r="1536" spans="44:48" x14ac:dyDescent="0.2">
      <c r="AR1536">
        <v>1528</v>
      </c>
      <c r="AS1536">
        <v>619</v>
      </c>
      <c r="AT1536">
        <v>2</v>
      </c>
      <c r="AU1536">
        <v>8.054654575557942</v>
      </c>
      <c r="AV1536">
        <v>6.1368674842974473E-2</v>
      </c>
    </row>
    <row r="1537" spans="44:48" x14ac:dyDescent="0.2">
      <c r="AR1537">
        <v>1529</v>
      </c>
      <c r="AS1537">
        <v>620</v>
      </c>
      <c r="AT1537">
        <v>2</v>
      </c>
      <c r="AU1537">
        <v>8.0855951068752869</v>
      </c>
      <c r="AV1537">
        <v>6.0963779441424601E-2</v>
      </c>
    </row>
    <row r="1538" spans="44:48" x14ac:dyDescent="0.2">
      <c r="AR1538">
        <v>1530</v>
      </c>
      <c r="AS1538">
        <v>621</v>
      </c>
      <c r="AT1538">
        <v>2</v>
      </c>
      <c r="AU1538">
        <v>8.1165356381926319</v>
      </c>
      <c r="AV1538">
        <v>6.0558397539367426E-2</v>
      </c>
    </row>
    <row r="1539" spans="44:48" x14ac:dyDescent="0.2">
      <c r="AR1539">
        <v>1531</v>
      </c>
      <c r="AS1539">
        <v>622</v>
      </c>
      <c r="AT1539">
        <v>2</v>
      </c>
      <c r="AU1539">
        <v>8.1474761695099804</v>
      </c>
      <c r="AV1539">
        <v>6.0152574507440298E-2</v>
      </c>
    </row>
    <row r="1540" spans="44:48" x14ac:dyDescent="0.2">
      <c r="AR1540">
        <v>1532</v>
      </c>
      <c r="AS1540">
        <v>623</v>
      </c>
      <c r="AT1540">
        <v>2</v>
      </c>
      <c r="AU1540">
        <v>8.1784167008273254</v>
      </c>
      <c r="AV1540">
        <v>5.9746355482190698E-2</v>
      </c>
    </row>
    <row r="1541" spans="44:48" x14ac:dyDescent="0.2">
      <c r="AR1541">
        <v>1533</v>
      </c>
      <c r="AS1541">
        <v>624</v>
      </c>
      <c r="AT1541">
        <v>2</v>
      </c>
      <c r="AU1541">
        <v>8.2093572321446739</v>
      </c>
      <c r="AV1541">
        <v>5.9339785358261843E-2</v>
      </c>
    </row>
    <row r="1542" spans="44:48" x14ac:dyDescent="0.2">
      <c r="AR1542">
        <v>1534</v>
      </c>
      <c r="AS1542">
        <v>625</v>
      </c>
      <c r="AT1542">
        <v>2</v>
      </c>
      <c r="AU1542">
        <v>8.2402977634620189</v>
      </c>
      <c r="AV1542">
        <v>5.8932908780694557E-2</v>
      </c>
    </row>
    <row r="1543" spans="44:48" x14ac:dyDescent="0.2">
      <c r="AR1543">
        <v>1535</v>
      </c>
      <c r="AS1543">
        <v>626</v>
      </c>
      <c r="AT1543">
        <v>2</v>
      </c>
      <c r="AU1543">
        <v>8.2712382947793639</v>
      </c>
      <c r="AV1543">
        <v>5.8525770137345508E-2</v>
      </c>
    </row>
    <row r="1544" spans="44:48" x14ac:dyDescent="0.2">
      <c r="AR1544">
        <v>1536</v>
      </c>
      <c r="AS1544">
        <v>627</v>
      </c>
      <c r="AT1544">
        <v>2</v>
      </c>
      <c r="AU1544">
        <v>8.3021788260967124</v>
      </c>
      <c r="AV1544">
        <v>5.8118413551424455E-2</v>
      </c>
    </row>
    <row r="1545" spans="44:48" x14ac:dyDescent="0.2">
      <c r="AR1545">
        <v>1537</v>
      </c>
      <c r="AS1545">
        <v>628</v>
      </c>
      <c r="AT1545">
        <v>2</v>
      </c>
      <c r="AU1545">
        <v>8.3331193574140574</v>
      </c>
      <c r="AV1545">
        <v>5.771088287415161E-2</v>
      </c>
    </row>
    <row r="1546" spans="44:48" x14ac:dyDescent="0.2">
      <c r="AR1546">
        <v>1538</v>
      </c>
      <c r="AS1546">
        <v>629</v>
      </c>
      <c r="AT1546">
        <v>2</v>
      </c>
      <c r="AU1546">
        <v>8.3640598887314024</v>
      </c>
      <c r="AV1546">
        <v>5.7303221677536216E-2</v>
      </c>
    </row>
    <row r="1547" spans="44:48" x14ac:dyDescent="0.2">
      <c r="AR1547">
        <v>1539</v>
      </c>
      <c r="AS1547">
        <v>630</v>
      </c>
      <c r="AT1547">
        <v>2</v>
      </c>
      <c r="AU1547">
        <v>8.3950004200487509</v>
      </c>
      <c r="AV1547">
        <v>5.6895473247278491E-2</v>
      </c>
    </row>
    <row r="1548" spans="44:48" x14ac:dyDescent="0.2">
      <c r="AR1548">
        <v>1540</v>
      </c>
      <c r="AS1548">
        <v>631</v>
      </c>
      <c r="AT1548">
        <v>2</v>
      </c>
      <c r="AU1548">
        <v>8.4259409513660959</v>
      </c>
      <c r="AV1548">
        <v>5.648768057579593E-2</v>
      </c>
    </row>
    <row r="1549" spans="44:48" x14ac:dyDescent="0.2">
      <c r="AR1549">
        <v>1541</v>
      </c>
      <c r="AS1549">
        <v>632</v>
      </c>
      <c r="AT1549">
        <v>2</v>
      </c>
      <c r="AU1549">
        <v>8.4568814826834409</v>
      </c>
      <c r="AV1549">
        <v>5.6079886355374801E-2</v>
      </c>
    </row>
    <row r="1550" spans="44:48" x14ac:dyDescent="0.2">
      <c r="AR1550">
        <v>1542</v>
      </c>
      <c r="AS1550">
        <v>633</v>
      </c>
      <c r="AT1550">
        <v>2</v>
      </c>
      <c r="AU1550">
        <v>8.4878220140007894</v>
      </c>
      <c r="AV1550">
        <v>5.5672132971448962E-2</v>
      </c>
    </row>
    <row r="1551" spans="44:48" x14ac:dyDescent="0.2">
      <c r="AR1551">
        <v>1543</v>
      </c>
      <c r="AS1551">
        <v>634</v>
      </c>
      <c r="AT1551">
        <v>2</v>
      </c>
      <c r="AU1551">
        <v>8.5187625453181344</v>
      </c>
      <c r="AV1551">
        <v>5.5264462496006708E-2</v>
      </c>
    </row>
    <row r="1552" spans="44:48" x14ac:dyDescent="0.2">
      <c r="AR1552">
        <v>1544</v>
      </c>
      <c r="AS1552">
        <v>635</v>
      </c>
      <c r="AT1552">
        <v>2</v>
      </c>
      <c r="AU1552">
        <v>8.5497030766354829</v>
      </c>
      <c r="AV1552">
        <v>5.4856916681126321E-2</v>
      </c>
    </row>
    <row r="1553" spans="44:48" x14ac:dyDescent="0.2">
      <c r="AR1553">
        <v>1545</v>
      </c>
      <c r="AS1553">
        <v>636</v>
      </c>
      <c r="AT1553">
        <v>2</v>
      </c>
      <c r="AU1553">
        <v>8.5806436079528279</v>
      </c>
      <c r="AV1553">
        <v>5.4449536952642742E-2</v>
      </c>
    </row>
    <row r="1554" spans="44:48" x14ac:dyDescent="0.2">
      <c r="AR1554">
        <v>1546</v>
      </c>
      <c r="AS1554">
        <v>637</v>
      </c>
      <c r="AT1554">
        <v>2</v>
      </c>
      <c r="AU1554">
        <v>8.6115841392701729</v>
      </c>
      <c r="AV1554">
        <v>5.4042364403944547E-2</v>
      </c>
    </row>
    <row r="1555" spans="44:48" x14ac:dyDescent="0.2">
      <c r="AR1555">
        <v>1547</v>
      </c>
      <c r="AS1555">
        <v>638</v>
      </c>
      <c r="AT1555">
        <v>2</v>
      </c>
      <c r="AU1555">
        <v>8.6425246705875214</v>
      </c>
      <c r="AV1555">
        <v>5.3635439789903858E-2</v>
      </c>
    </row>
    <row r="1556" spans="44:48" x14ac:dyDescent="0.2">
      <c r="AR1556">
        <v>1548</v>
      </c>
      <c r="AS1556">
        <v>639</v>
      </c>
      <c r="AT1556">
        <v>2</v>
      </c>
      <c r="AU1556">
        <v>8.6734652019048664</v>
      </c>
      <c r="AV1556">
        <v>5.3228803520939484E-2</v>
      </c>
    </row>
    <row r="1557" spans="44:48" x14ac:dyDescent="0.2">
      <c r="AR1557">
        <v>1549</v>
      </c>
      <c r="AS1557">
        <v>640</v>
      </c>
      <c r="AT1557">
        <v>2</v>
      </c>
      <c r="AU1557">
        <v>8.7044057332222113</v>
      </c>
      <c r="AV1557">
        <v>5.2822495657213316E-2</v>
      </c>
    </row>
    <row r="1558" spans="44:48" x14ac:dyDescent="0.2">
      <c r="AR1558">
        <v>1550</v>
      </c>
      <c r="AS1558">
        <v>641</v>
      </c>
      <c r="AT1558">
        <v>2</v>
      </c>
      <c r="AU1558">
        <v>8.7353462645395599</v>
      </c>
      <c r="AV1558">
        <v>5.2416555902962354E-2</v>
      </c>
    </row>
    <row r="1559" spans="44:48" x14ac:dyDescent="0.2">
      <c r="AR1559">
        <v>1551</v>
      </c>
      <c r="AS1559">
        <v>642</v>
      </c>
      <c r="AT1559">
        <v>2</v>
      </c>
      <c r="AU1559">
        <v>8.7662867958569048</v>
      </c>
      <c r="AV1559">
        <v>5.2011023600966023E-2</v>
      </c>
    </row>
    <row r="1560" spans="44:48" x14ac:dyDescent="0.2">
      <c r="AR1560">
        <v>1552</v>
      </c>
      <c r="AS1560">
        <v>643</v>
      </c>
      <c r="AT1560">
        <v>2</v>
      </c>
      <c r="AU1560">
        <v>8.7972273271742498</v>
      </c>
      <c r="AV1560">
        <v>5.1605937727149449E-2</v>
      </c>
    </row>
    <row r="1561" spans="44:48" x14ac:dyDescent="0.2">
      <c r="AR1561">
        <v>1553</v>
      </c>
      <c r="AS1561">
        <v>644</v>
      </c>
      <c r="AT1561">
        <v>2</v>
      </c>
      <c r="AU1561">
        <v>8.8281678584915984</v>
      </c>
      <c r="AV1561">
        <v>5.1201336885323995E-2</v>
      </c>
    </row>
    <row r="1562" spans="44:48" x14ac:dyDescent="0.2">
      <c r="AR1562">
        <v>1554</v>
      </c>
      <c r="AS1562">
        <v>645</v>
      </c>
      <c r="AT1562">
        <v>2</v>
      </c>
      <c r="AU1562">
        <v>8.8591083898089433</v>
      </c>
      <c r="AV1562">
        <v>5.0797259302065266E-2</v>
      </c>
    </row>
    <row r="1563" spans="44:48" x14ac:dyDescent="0.2">
      <c r="AR1563">
        <v>1555</v>
      </c>
      <c r="AS1563">
        <v>646</v>
      </c>
      <c r="AT1563">
        <v>2</v>
      </c>
      <c r="AU1563">
        <v>8.8900489211262919</v>
      </c>
      <c r="AV1563">
        <v>5.0393742821728621E-2</v>
      </c>
    </row>
    <row r="1564" spans="44:48" x14ac:dyDescent="0.2">
      <c r="AR1564">
        <v>1556</v>
      </c>
      <c r="AS1564">
        <v>647</v>
      </c>
      <c r="AT1564">
        <v>2</v>
      </c>
      <c r="AU1564">
        <v>8.9209894524436368</v>
      </c>
      <c r="AV1564">
        <v>4.9990824901603975E-2</v>
      </c>
    </row>
    <row r="1565" spans="44:48" x14ac:dyDescent="0.2">
      <c r="AR1565">
        <v>1557</v>
      </c>
      <c r="AS1565">
        <v>648</v>
      </c>
      <c r="AT1565">
        <v>2</v>
      </c>
      <c r="AU1565">
        <v>8.9519299837609818</v>
      </c>
      <c r="AV1565">
        <v>4.958854260720847E-2</v>
      </c>
    </row>
    <row r="1566" spans="44:48" x14ac:dyDescent="0.2">
      <c r="AR1566">
        <v>1558</v>
      </c>
      <c r="AS1566">
        <v>649</v>
      </c>
      <c r="AT1566">
        <v>2</v>
      </c>
      <c r="AU1566">
        <v>8.9828705150783303</v>
      </c>
      <c r="AV1566">
        <v>4.9186932607719266E-2</v>
      </c>
    </row>
    <row r="1567" spans="44:48" x14ac:dyDescent="0.2">
      <c r="AR1567">
        <v>1559</v>
      </c>
      <c r="AS1567">
        <v>650</v>
      </c>
      <c r="AT1567">
        <v>2</v>
      </c>
      <c r="AU1567">
        <v>9.0138110463956753</v>
      </c>
      <c r="AV1567">
        <v>4.8786031171545584E-2</v>
      </c>
    </row>
    <row r="1568" spans="44:48" x14ac:dyDescent="0.2">
      <c r="AR1568">
        <v>1560</v>
      </c>
      <c r="AS1568">
        <v>651</v>
      </c>
      <c r="AT1568">
        <v>2</v>
      </c>
      <c r="AU1568">
        <v>9.0447515777130203</v>
      </c>
      <c r="AV1568">
        <v>4.8385874162040203E-2</v>
      </c>
    </row>
    <row r="1569" spans="44:48" x14ac:dyDescent="0.2">
      <c r="AR1569">
        <v>1561</v>
      </c>
      <c r="AS1569">
        <v>652</v>
      </c>
      <c r="AT1569">
        <v>2</v>
      </c>
      <c r="AU1569">
        <v>9.0756921090303688</v>
      </c>
      <c r="AV1569">
        <v>4.7986497033351477E-2</v>
      </c>
    </row>
    <row r="1570" spans="44:48" x14ac:dyDescent="0.2">
      <c r="AR1570">
        <v>1562</v>
      </c>
      <c r="AS1570">
        <v>653</v>
      </c>
      <c r="AT1570">
        <v>2</v>
      </c>
      <c r="AU1570">
        <v>9.1066326403477138</v>
      </c>
      <c r="AV1570">
        <v>4.7587934826415428E-2</v>
      </c>
    </row>
    <row r="1571" spans="44:48" x14ac:dyDescent="0.2">
      <c r="AR1571">
        <v>1563</v>
      </c>
      <c r="AS1571">
        <v>654</v>
      </c>
      <c r="AT1571">
        <v>2</v>
      </c>
      <c r="AU1571">
        <v>9.1375731716650588</v>
      </c>
      <c r="AV1571">
        <v>4.7190222165087725E-2</v>
      </c>
    </row>
    <row r="1572" spans="44:48" x14ac:dyDescent="0.2">
      <c r="AR1572">
        <v>1564</v>
      </c>
      <c r="AS1572">
        <v>655</v>
      </c>
      <c r="AT1572">
        <v>2</v>
      </c>
      <c r="AU1572">
        <v>9.1685137029824073</v>
      </c>
      <c r="AV1572">
        <v>4.6793393252416361E-2</v>
      </c>
    </row>
    <row r="1573" spans="44:48" x14ac:dyDescent="0.2">
      <c r="AR1573">
        <v>1565</v>
      </c>
      <c r="AS1573">
        <v>656</v>
      </c>
      <c r="AT1573">
        <v>2</v>
      </c>
      <c r="AU1573">
        <v>9.1994542342997523</v>
      </c>
      <c r="AV1573">
        <v>4.6397481867054696E-2</v>
      </c>
    </row>
    <row r="1574" spans="44:48" x14ac:dyDescent="0.2">
      <c r="AR1574">
        <v>1566</v>
      </c>
      <c r="AS1574">
        <v>657</v>
      </c>
      <c r="AT1574">
        <v>2</v>
      </c>
      <c r="AU1574">
        <v>9.2303947656171008</v>
      </c>
      <c r="AV1574">
        <v>4.6002521359814218E-2</v>
      </c>
    </row>
    <row r="1575" spans="44:48" x14ac:dyDescent="0.2">
      <c r="AR1575">
        <v>1567</v>
      </c>
      <c r="AS1575">
        <v>658</v>
      </c>
      <c r="AT1575">
        <v>2</v>
      </c>
      <c r="AU1575">
        <v>9.2613352969344458</v>
      </c>
      <c r="AV1575">
        <v>4.5608544650358199E-2</v>
      </c>
    </row>
    <row r="1576" spans="44:48" x14ac:dyDescent="0.2">
      <c r="AR1576">
        <v>1568</v>
      </c>
      <c r="AS1576">
        <v>659</v>
      </c>
      <c r="AT1576">
        <v>2</v>
      </c>
      <c r="AU1576">
        <v>9.2922758282517908</v>
      </c>
      <c r="AV1576">
        <v>4.5215584224034572E-2</v>
      </c>
    </row>
    <row r="1577" spans="44:48" x14ac:dyDescent="0.2">
      <c r="AR1577">
        <v>1569</v>
      </c>
      <c r="AS1577">
        <v>660</v>
      </c>
      <c r="AT1577">
        <v>2</v>
      </c>
      <c r="AU1577">
        <v>9.3232163595691393</v>
      </c>
      <c r="AV1577">
        <v>4.4823672128849204E-2</v>
      </c>
    </row>
    <row r="1578" spans="44:48" x14ac:dyDescent="0.2">
      <c r="AR1578">
        <v>1570</v>
      </c>
      <c r="AS1578">
        <v>661</v>
      </c>
      <c r="AT1578">
        <v>2</v>
      </c>
      <c r="AU1578">
        <v>9.3541568908864843</v>
      </c>
      <c r="AV1578">
        <v>4.4432839972578533E-2</v>
      </c>
    </row>
    <row r="1579" spans="44:48" x14ac:dyDescent="0.2">
      <c r="AR1579">
        <v>1571</v>
      </c>
      <c r="AS1579">
        <v>662</v>
      </c>
      <c r="AT1579">
        <v>2</v>
      </c>
      <c r="AU1579">
        <v>9.3850974222038293</v>
      </c>
      <c r="AV1579">
        <v>4.4043118920021072E-2</v>
      </c>
    </row>
    <row r="1580" spans="44:48" x14ac:dyDescent="0.2">
      <c r="AR1580">
        <v>1572</v>
      </c>
      <c r="AS1580">
        <v>663</v>
      </c>
      <c r="AT1580">
        <v>2</v>
      </c>
      <c r="AU1580">
        <v>9.4160379535211778</v>
      </c>
      <c r="AV1580">
        <v>4.3654539690388315E-2</v>
      </c>
    </row>
    <row r="1581" spans="44:48" x14ac:dyDescent="0.2">
      <c r="AR1581">
        <v>1573</v>
      </c>
      <c r="AS1581">
        <v>664</v>
      </c>
      <c r="AT1581">
        <v>2</v>
      </c>
      <c r="AU1581">
        <v>9.4469784848385228</v>
      </c>
      <c r="AV1581">
        <v>4.3267132554833991E-2</v>
      </c>
    </row>
    <row r="1582" spans="44:48" x14ac:dyDescent="0.2">
      <c r="AR1582">
        <v>1574</v>
      </c>
      <c r="AS1582">
        <v>665</v>
      </c>
      <c r="AT1582">
        <v>2</v>
      </c>
      <c r="AU1582">
        <v>9.4779190161558713</v>
      </c>
      <c r="AV1582">
        <v>4.2880927334120862E-2</v>
      </c>
    </row>
    <row r="1583" spans="44:48" x14ac:dyDescent="0.2">
      <c r="AR1583">
        <v>1575</v>
      </c>
      <c r="AS1583">
        <v>666</v>
      </c>
      <c r="AT1583">
        <v>2</v>
      </c>
      <c r="AU1583">
        <v>9.5088595474732163</v>
      </c>
      <c r="AV1583">
        <v>4.2495953396425964E-2</v>
      </c>
    </row>
    <row r="1584" spans="44:48" x14ac:dyDescent="0.2">
      <c r="AR1584">
        <v>1576</v>
      </c>
      <c r="AS1584">
        <v>667</v>
      </c>
      <c r="AT1584">
        <v>2</v>
      </c>
      <c r="AU1584">
        <v>9.5398000787905612</v>
      </c>
      <c r="AV1584">
        <v>4.2112239655281901E-2</v>
      </c>
    </row>
    <row r="1585" spans="44:48" x14ac:dyDescent="0.2">
      <c r="AR1585">
        <v>1577</v>
      </c>
      <c r="AS1585">
        <v>668</v>
      </c>
      <c r="AT1585">
        <v>2</v>
      </c>
      <c r="AU1585">
        <v>9.5707406101079098</v>
      </c>
      <c r="AV1585">
        <v>4.1729814567655246E-2</v>
      </c>
    </row>
    <row r="1586" spans="44:48" x14ac:dyDescent="0.2">
      <c r="AR1586">
        <v>1578</v>
      </c>
      <c r="AS1586">
        <v>669</v>
      </c>
      <c r="AT1586">
        <v>2</v>
      </c>
      <c r="AU1586">
        <v>9.6016811414252548</v>
      </c>
      <c r="AV1586">
        <v>4.1348706132160594E-2</v>
      </c>
    </row>
    <row r="1587" spans="44:48" x14ac:dyDescent="0.2">
      <c r="AR1587">
        <v>1579</v>
      </c>
      <c r="AS1587">
        <v>670</v>
      </c>
      <c r="AT1587">
        <v>2</v>
      </c>
      <c r="AU1587">
        <v>9.6326216727425997</v>
      </c>
      <c r="AV1587">
        <v>4.0968941887409405E-2</v>
      </c>
    </row>
    <row r="1588" spans="44:48" x14ac:dyDescent="0.2">
      <c r="AR1588">
        <v>1580</v>
      </c>
      <c r="AS1588">
        <v>671</v>
      </c>
      <c r="AT1588">
        <v>2</v>
      </c>
      <c r="AU1588">
        <v>9.6635622040599483</v>
      </c>
      <c r="AV1588">
        <v>4.0590548910493636E-2</v>
      </c>
    </row>
    <row r="1589" spans="44:48" x14ac:dyDescent="0.2">
      <c r="AR1589">
        <v>1581</v>
      </c>
      <c r="AS1589">
        <v>672</v>
      </c>
      <c r="AT1589">
        <v>2</v>
      </c>
      <c r="AU1589">
        <v>9.6945027353772932</v>
      </c>
      <c r="AV1589">
        <v>4.0213553815603084E-2</v>
      </c>
    </row>
    <row r="1590" spans="44:48" x14ac:dyDescent="0.2">
      <c r="AR1590">
        <v>1582</v>
      </c>
      <c r="AS1590">
        <v>673</v>
      </c>
      <c r="AT1590">
        <v>2</v>
      </c>
      <c r="AU1590">
        <v>9.7254432666946382</v>
      </c>
      <c r="AV1590">
        <v>3.9837982752775107E-2</v>
      </c>
    </row>
    <row r="1591" spans="44:48" x14ac:dyDescent="0.2">
      <c r="AR1591">
        <v>1583</v>
      </c>
      <c r="AS1591">
        <v>674</v>
      </c>
      <c r="AT1591">
        <v>2</v>
      </c>
      <c r="AU1591">
        <v>9.7563837980119867</v>
      </c>
      <c r="AV1591">
        <v>3.9463861406776858E-2</v>
      </c>
    </row>
    <row r="1592" spans="44:48" x14ac:dyDescent="0.2">
      <c r="AR1592">
        <v>1584</v>
      </c>
      <c r="AS1592">
        <v>675</v>
      </c>
      <c r="AT1592">
        <v>2</v>
      </c>
      <c r="AU1592">
        <v>9.7873243293293317</v>
      </c>
      <c r="AV1592">
        <v>3.909121499611861E-2</v>
      </c>
    </row>
    <row r="1593" spans="44:48" x14ac:dyDescent="0.2">
      <c r="AR1593">
        <v>1585</v>
      </c>
      <c r="AS1593">
        <v>676</v>
      </c>
      <c r="AT1593">
        <v>2</v>
      </c>
      <c r="AU1593">
        <v>9.8182648606466802</v>
      </c>
      <c r="AV1593">
        <v>3.87200682721969E-2</v>
      </c>
    </row>
    <row r="1594" spans="44:48" x14ac:dyDescent="0.2">
      <c r="AR1594">
        <v>1586</v>
      </c>
      <c r="AS1594">
        <v>677</v>
      </c>
      <c r="AT1594">
        <v>2</v>
      </c>
      <c r="AU1594">
        <v>9.8492053919640252</v>
      </c>
      <c r="AV1594">
        <v>3.8350445518567609E-2</v>
      </c>
    </row>
    <row r="1595" spans="44:48" x14ac:dyDescent="0.2">
      <c r="AR1595">
        <v>1587</v>
      </c>
      <c r="AS1595">
        <v>678</v>
      </c>
      <c r="AT1595">
        <v>2</v>
      </c>
      <c r="AU1595">
        <v>9.8801459232813702</v>
      </c>
      <c r="AV1595">
        <v>3.7982370550346575E-2</v>
      </c>
    </row>
    <row r="1596" spans="44:48" x14ac:dyDescent="0.2">
      <c r="AR1596">
        <v>1588</v>
      </c>
      <c r="AS1596">
        <v>679</v>
      </c>
      <c r="AT1596">
        <v>2</v>
      </c>
      <c r="AU1596">
        <v>9.9110864545987187</v>
      </c>
      <c r="AV1596">
        <v>3.761586671373808E-2</v>
      </c>
    </row>
    <row r="1597" spans="44:48" x14ac:dyDescent="0.2">
      <c r="AR1597">
        <v>1589</v>
      </c>
      <c r="AS1597">
        <v>680</v>
      </c>
      <c r="AT1597">
        <v>2</v>
      </c>
      <c r="AU1597">
        <v>9.9420269859160637</v>
      </c>
      <c r="AV1597">
        <v>3.7250956885689343E-2</v>
      </c>
    </row>
    <row r="1598" spans="44:48" x14ac:dyDescent="0.2">
      <c r="AR1598">
        <v>1590</v>
      </c>
      <c r="AS1598">
        <v>681</v>
      </c>
      <c r="AT1598">
        <v>2</v>
      </c>
      <c r="AU1598">
        <v>9.9729675172334087</v>
      </c>
      <c r="AV1598">
        <v>3.688766347366973E-2</v>
      </c>
    </row>
    <row r="1599" spans="44:48" x14ac:dyDescent="0.2">
      <c r="AR1599">
        <v>1591</v>
      </c>
      <c r="AS1599">
        <v>682</v>
      </c>
      <c r="AT1599">
        <v>2</v>
      </c>
      <c r="AU1599">
        <v>10.003908048550757</v>
      </c>
      <c r="AV1599">
        <v>3.6526008415574407E-2</v>
      </c>
    </row>
    <row r="1600" spans="44:48" x14ac:dyDescent="0.2">
      <c r="AR1600">
        <v>1592</v>
      </c>
      <c r="AS1600">
        <v>683</v>
      </c>
      <c r="AT1600">
        <v>2</v>
      </c>
      <c r="AU1600">
        <v>10.034848579868102</v>
      </c>
      <c r="AV1600">
        <v>3.61660131797506E-2</v>
      </c>
    </row>
    <row r="1601" spans="44:48" x14ac:dyDescent="0.2">
      <c r="AR1601">
        <v>1593</v>
      </c>
      <c r="AS1601">
        <v>684</v>
      </c>
      <c r="AT1601">
        <v>2</v>
      </c>
      <c r="AU1601">
        <v>10.065789111185447</v>
      </c>
      <c r="AV1601">
        <v>3.5807698765145141E-2</v>
      </c>
    </row>
    <row r="1602" spans="44:48" x14ac:dyDescent="0.2">
      <c r="AR1602">
        <v>1594</v>
      </c>
      <c r="AS1602">
        <v>685</v>
      </c>
      <c r="AT1602">
        <v>2</v>
      </c>
      <c r="AU1602">
        <v>10.096729642502796</v>
      </c>
      <c r="AV1602">
        <v>3.5451085701572703E-2</v>
      </c>
    </row>
    <row r="1603" spans="44:48" x14ac:dyDescent="0.2">
      <c r="AR1603">
        <v>1595</v>
      </c>
      <c r="AS1603">
        <v>686</v>
      </c>
      <c r="AT1603">
        <v>2</v>
      </c>
      <c r="AU1603">
        <v>10.127670173820141</v>
      </c>
      <c r="AV1603">
        <v>3.5096194050103023E-2</v>
      </c>
    </row>
    <row r="1604" spans="44:48" x14ac:dyDescent="0.2">
      <c r="AR1604">
        <v>1596</v>
      </c>
      <c r="AS1604">
        <v>687</v>
      </c>
      <c r="AT1604">
        <v>2</v>
      </c>
      <c r="AU1604">
        <v>10.158610705137489</v>
      </c>
      <c r="AV1604">
        <v>3.4743043403565578E-2</v>
      </c>
    </row>
    <row r="1605" spans="44:48" x14ac:dyDescent="0.2">
      <c r="AR1605">
        <v>1597</v>
      </c>
      <c r="AS1605">
        <v>688</v>
      </c>
      <c r="AT1605">
        <v>2</v>
      </c>
      <c r="AU1605">
        <v>10.189551236454834</v>
      </c>
      <c r="AV1605">
        <v>3.4391652887171185E-2</v>
      </c>
    </row>
    <row r="1606" spans="44:48" x14ac:dyDescent="0.2">
      <c r="AR1606">
        <v>1598</v>
      </c>
      <c r="AS1606">
        <v>689</v>
      </c>
      <c r="AT1606">
        <v>2</v>
      </c>
      <c r="AU1606">
        <v>10.220491767772179</v>
      </c>
      <c r="AV1606">
        <v>3.4042041159248096E-2</v>
      </c>
    </row>
    <row r="1607" spans="44:48" x14ac:dyDescent="0.2">
      <c r="AR1607">
        <v>1599</v>
      </c>
      <c r="AS1607">
        <v>690</v>
      </c>
      <c r="AT1607">
        <v>2</v>
      </c>
      <c r="AU1607">
        <v>10.251432299089528</v>
      </c>
      <c r="AV1607">
        <v>3.3694226412092278E-2</v>
      </c>
    </row>
    <row r="1608" spans="44:48" x14ac:dyDescent="0.2">
      <c r="AR1608">
        <v>1600</v>
      </c>
      <c r="AS1608">
        <v>691</v>
      </c>
      <c r="AT1608">
        <v>2</v>
      </c>
      <c r="AU1608">
        <v>10.282372830406873</v>
      </c>
      <c r="AV1608">
        <v>3.3348226372929717E-2</v>
      </c>
    </row>
    <row r="1609" spans="44:48" x14ac:dyDescent="0.2">
      <c r="AR1609">
        <v>1601</v>
      </c>
      <c r="AS1609">
        <v>692</v>
      </c>
      <c r="AT1609">
        <v>2</v>
      </c>
      <c r="AU1609">
        <v>10.313313361724218</v>
      </c>
      <c r="AV1609">
        <v>3.3004058304989516E-2</v>
      </c>
    </row>
    <row r="1610" spans="44:48" x14ac:dyDescent="0.2">
      <c r="AR1610">
        <v>1602</v>
      </c>
      <c r="AS1610">
        <v>693</v>
      </c>
      <c r="AT1610">
        <v>2</v>
      </c>
      <c r="AU1610">
        <v>10.344253893041566</v>
      </c>
      <c r="AV1610">
        <v>3.2661739008686373E-2</v>
      </c>
    </row>
    <row r="1611" spans="44:48" x14ac:dyDescent="0.2">
      <c r="AR1611">
        <v>1603</v>
      </c>
      <c r="AS1611">
        <v>694</v>
      </c>
      <c r="AT1611">
        <v>2</v>
      </c>
      <c r="AU1611">
        <v>10.375194424358911</v>
      </c>
      <c r="AV1611">
        <v>3.2321284822911155E-2</v>
      </c>
    </row>
    <row r="1612" spans="44:48" x14ac:dyDescent="0.2">
      <c r="AR1612">
        <v>1604</v>
      </c>
      <c r="AS1612">
        <v>695</v>
      </c>
      <c r="AT1612">
        <v>2</v>
      </c>
      <c r="AU1612">
        <v>10.406134955676256</v>
      </c>
      <c r="AV1612">
        <v>3.1982711626427379E-2</v>
      </c>
    </row>
    <row r="1613" spans="44:48" x14ac:dyDescent="0.2">
      <c r="AR1613">
        <v>1605</v>
      </c>
      <c r="AS1613">
        <v>696</v>
      </c>
      <c r="AT1613">
        <v>2</v>
      </c>
      <c r="AU1613">
        <v>10.437075486993605</v>
      </c>
      <c r="AV1613">
        <v>3.164603483937288E-2</v>
      </c>
    </row>
    <row r="1614" spans="44:48" x14ac:dyDescent="0.2">
      <c r="AR1614">
        <v>1606</v>
      </c>
      <c r="AS1614">
        <v>697</v>
      </c>
      <c r="AT1614">
        <v>2</v>
      </c>
      <c r="AU1614">
        <v>10.46801601831095</v>
      </c>
      <c r="AV1614">
        <v>3.1311269424864688E-2</v>
      </c>
    </row>
    <row r="1615" spans="44:48" x14ac:dyDescent="0.2">
      <c r="AR1615">
        <v>1607</v>
      </c>
      <c r="AS1615">
        <v>698</v>
      </c>
      <c r="AT1615">
        <v>2</v>
      </c>
      <c r="AU1615">
        <v>10.498956549628298</v>
      </c>
      <c r="AV1615">
        <v>3.0978429890705282E-2</v>
      </c>
    </row>
    <row r="1616" spans="44:48" x14ac:dyDescent="0.2">
      <c r="AR1616">
        <v>1608</v>
      </c>
      <c r="AS1616">
        <v>699</v>
      </c>
      <c r="AT1616">
        <v>2</v>
      </c>
      <c r="AU1616">
        <v>10.529897080945643</v>
      </c>
      <c r="AV1616">
        <v>3.0647530291189443E-2</v>
      </c>
    </row>
    <row r="1617" spans="44:48" x14ac:dyDescent="0.2">
      <c r="AR1617">
        <v>1609</v>
      </c>
      <c r="AS1617">
        <v>700</v>
      </c>
      <c r="AT1617">
        <v>2</v>
      </c>
      <c r="AU1617">
        <v>10.560837612262988</v>
      </c>
      <c r="AV1617">
        <v>3.0318584229008891E-2</v>
      </c>
    </row>
    <row r="1618" spans="44:48" x14ac:dyDescent="0.2">
      <c r="AR1618">
        <v>1610</v>
      </c>
      <c r="AS1618">
        <v>701</v>
      </c>
      <c r="AT1618">
        <v>2</v>
      </c>
      <c r="AU1618">
        <v>10.591778143580337</v>
      </c>
      <c r="AV1618">
        <v>2.9991604857254304E-2</v>
      </c>
    </row>
    <row r="1619" spans="44:48" x14ac:dyDescent="0.2">
      <c r="AR1619">
        <v>1611</v>
      </c>
      <c r="AS1619">
        <v>702</v>
      </c>
      <c r="AT1619">
        <v>2</v>
      </c>
      <c r="AU1619">
        <v>10.622718674897682</v>
      </c>
      <c r="AV1619">
        <v>2.9666604881512338E-2</v>
      </c>
    </row>
    <row r="1620" spans="44:48" x14ac:dyDescent="0.2">
      <c r="AR1620">
        <v>1612</v>
      </c>
      <c r="AS1620">
        <v>703</v>
      </c>
      <c r="AT1620">
        <v>2</v>
      </c>
      <c r="AU1620">
        <v>10.653659206215027</v>
      </c>
      <c r="AV1620">
        <v>2.9343596562055853E-2</v>
      </c>
    </row>
    <row r="1621" spans="44:48" x14ac:dyDescent="0.2">
      <c r="AR1621">
        <v>1613</v>
      </c>
      <c r="AS1621">
        <v>704</v>
      </c>
      <c r="AT1621">
        <v>2</v>
      </c>
      <c r="AU1621">
        <v>10.684599737532375</v>
      </c>
      <c r="AV1621">
        <v>2.9022591716126277E-2</v>
      </c>
    </row>
    <row r="1622" spans="44:48" x14ac:dyDescent="0.2">
      <c r="AR1622">
        <v>1614</v>
      </c>
      <c r="AS1622">
        <v>705</v>
      </c>
      <c r="AT1622">
        <v>2</v>
      </c>
      <c r="AU1622">
        <v>10.71554026884972</v>
      </c>
      <c r="AV1622">
        <v>2.8703601720305973E-2</v>
      </c>
    </row>
    <row r="1623" spans="44:48" x14ac:dyDescent="0.2">
      <c r="AR1623">
        <v>1615</v>
      </c>
      <c r="AS1623">
        <v>706</v>
      </c>
      <c r="AT1623">
        <v>2</v>
      </c>
      <c r="AU1623">
        <v>10.746480800167065</v>
      </c>
      <c r="AV1623">
        <v>2.8386637512978753E-2</v>
      </c>
    </row>
    <row r="1624" spans="44:48" x14ac:dyDescent="0.2">
      <c r="AR1624">
        <v>1616</v>
      </c>
      <c r="AS1624">
        <v>707</v>
      </c>
      <c r="AT1624">
        <v>2</v>
      </c>
      <c r="AU1624">
        <v>10.777421331484414</v>
      </c>
      <c r="AV1624">
        <v>2.8071709596877322E-2</v>
      </c>
    </row>
    <row r="1625" spans="44:48" x14ac:dyDescent="0.2">
      <c r="AR1625">
        <v>1617</v>
      </c>
      <c r="AS1625">
        <v>708</v>
      </c>
      <c r="AT1625">
        <v>2</v>
      </c>
      <c r="AU1625">
        <v>10.808361862801759</v>
      </c>
      <c r="AV1625">
        <v>2.7758828041715519E-2</v>
      </c>
    </row>
    <row r="1626" spans="44:48" x14ac:dyDescent="0.2">
      <c r="AR1626">
        <v>1618</v>
      </c>
      <c r="AS1626">
        <v>709</v>
      </c>
      <c r="AT1626">
        <v>2</v>
      </c>
      <c r="AU1626">
        <v>10.839302394119107</v>
      </c>
      <c r="AV1626">
        <v>2.7448002486903489E-2</v>
      </c>
    </row>
    <row r="1627" spans="44:48" x14ac:dyDescent="0.2">
      <c r="AR1627">
        <v>1619</v>
      </c>
      <c r="AS1627">
        <v>710</v>
      </c>
      <c r="AT1627">
        <v>2</v>
      </c>
      <c r="AU1627">
        <v>10.870242925436452</v>
      </c>
      <c r="AV1627">
        <v>2.7139242144344607E-2</v>
      </c>
    </row>
    <row r="1628" spans="44:48" x14ac:dyDescent="0.2">
      <c r="AR1628">
        <v>1620</v>
      </c>
      <c r="AS1628">
        <v>711</v>
      </c>
      <c r="AT1628">
        <v>2</v>
      </c>
      <c r="AU1628">
        <v>10.901183456753797</v>
      </c>
      <c r="AV1628">
        <v>2.6832555801311581E-2</v>
      </c>
    </row>
    <row r="1629" spans="44:48" x14ac:dyDescent="0.2">
      <c r="AR1629">
        <v>1621</v>
      </c>
      <c r="AS1629">
        <v>712</v>
      </c>
      <c r="AT1629">
        <v>2</v>
      </c>
      <c r="AU1629">
        <v>10.932123988071146</v>
      </c>
      <c r="AV1629">
        <v>2.6527951823400654E-2</v>
      </c>
    </row>
    <row r="1630" spans="44:48" x14ac:dyDescent="0.2">
      <c r="AR1630">
        <v>1622</v>
      </c>
      <c r="AS1630">
        <v>713</v>
      </c>
      <c r="AT1630">
        <v>2</v>
      </c>
      <c r="AU1630">
        <v>10.963064519388491</v>
      </c>
      <c r="AV1630">
        <v>2.6225438157561766E-2</v>
      </c>
    </row>
    <row r="1631" spans="44:48" x14ac:dyDescent="0.2">
      <c r="AR1631">
        <v>1623</v>
      </c>
      <c r="AS1631">
        <v>714</v>
      </c>
      <c r="AT1631">
        <v>2</v>
      </c>
      <c r="AU1631">
        <v>10.994005050705836</v>
      </c>
      <c r="AV1631">
        <v>2.5925022335202753E-2</v>
      </c>
    </row>
    <row r="1632" spans="44:48" x14ac:dyDescent="0.2">
      <c r="AR1632">
        <v>1624</v>
      </c>
      <c r="AS1632">
        <v>715</v>
      </c>
      <c r="AT1632">
        <v>2</v>
      </c>
      <c r="AU1632">
        <v>11.024945582023184</v>
      </c>
      <c r="AV1632">
        <v>2.5626711475366076E-2</v>
      </c>
    </row>
    <row r="1633" spans="44:48" x14ac:dyDescent="0.2">
      <c r="AR1633">
        <v>1625</v>
      </c>
      <c r="AS1633">
        <v>716</v>
      </c>
      <c r="AT1633">
        <v>2</v>
      </c>
      <c r="AU1633">
        <v>11.055886113340529</v>
      </c>
      <c r="AV1633">
        <v>2.5330512287976316E-2</v>
      </c>
    </row>
    <row r="1634" spans="44:48" x14ac:dyDescent="0.2">
      <c r="AR1634">
        <v>1626</v>
      </c>
      <c r="AS1634">
        <v>717</v>
      </c>
      <c r="AT1634">
        <v>2</v>
      </c>
      <c r="AU1634">
        <v>11.086826644657878</v>
      </c>
      <c r="AV1634">
        <v>2.5036431077155929E-2</v>
      </c>
    </row>
    <row r="1635" spans="44:48" x14ac:dyDescent="0.2">
      <c r="AR1635">
        <v>1627</v>
      </c>
      <c r="AS1635">
        <v>718</v>
      </c>
      <c r="AT1635">
        <v>2</v>
      </c>
      <c r="AU1635">
        <v>11.117767175975223</v>
      </c>
      <c r="AV1635">
        <v>2.47444737446086E-2</v>
      </c>
    </row>
    <row r="1636" spans="44:48" x14ac:dyDescent="0.2">
      <c r="AR1636">
        <v>1628</v>
      </c>
      <c r="AS1636">
        <v>719</v>
      </c>
      <c r="AT1636">
        <v>2</v>
      </c>
      <c r="AU1636">
        <v>11.148707707292568</v>
      </c>
      <c r="AV1636">
        <v>2.4454645793067113E-2</v>
      </c>
    </row>
    <row r="1637" spans="44:48" x14ac:dyDescent="0.2">
      <c r="AR1637">
        <v>1629</v>
      </c>
      <c r="AS1637">
        <v>720</v>
      </c>
      <c r="AT1637">
        <v>2</v>
      </c>
      <c r="AU1637">
        <v>11.179648238609916</v>
      </c>
      <c r="AV1637">
        <v>2.4166952329804887E-2</v>
      </c>
    </row>
    <row r="1638" spans="44:48" x14ac:dyDescent="0.2">
      <c r="AR1638">
        <v>1630</v>
      </c>
      <c r="AS1638">
        <v>721</v>
      </c>
      <c r="AT1638">
        <v>2</v>
      </c>
      <c r="AU1638">
        <v>11.210588769927261</v>
      </c>
      <c r="AV1638">
        <v>2.3881398070208948E-2</v>
      </c>
    </row>
    <row r="1639" spans="44:48" x14ac:dyDescent="0.2">
      <c r="AR1639">
        <v>1631</v>
      </c>
      <c r="AS1639">
        <v>722</v>
      </c>
      <c r="AT1639">
        <v>2</v>
      </c>
      <c r="AU1639">
        <v>11.241529301244606</v>
      </c>
      <c r="AV1639">
        <v>2.3597987341412278E-2</v>
      </c>
    </row>
    <row r="1640" spans="44:48" x14ac:dyDescent="0.2">
      <c r="AR1640">
        <v>1632</v>
      </c>
      <c r="AS1640">
        <v>723</v>
      </c>
      <c r="AT1640">
        <v>2</v>
      </c>
      <c r="AU1640">
        <v>11.272469832561955</v>
      </c>
      <c r="AV1640">
        <v>2.3316724085984189E-2</v>
      </c>
    </row>
    <row r="1641" spans="44:48" x14ac:dyDescent="0.2">
      <c r="AR1641">
        <v>1633</v>
      </c>
      <c r="AS1641">
        <v>724</v>
      </c>
      <c r="AT1641">
        <v>2</v>
      </c>
      <c r="AU1641">
        <v>11.3034103638793</v>
      </c>
      <c r="AV1641">
        <v>2.3037611865676728E-2</v>
      </c>
    </row>
    <row r="1642" spans="44:48" x14ac:dyDescent="0.2">
      <c r="AR1642">
        <v>1634</v>
      </c>
      <c r="AS1642">
        <v>725</v>
      </c>
      <c r="AT1642">
        <v>2</v>
      </c>
      <c r="AU1642">
        <v>11.334350895196645</v>
      </c>
      <c r="AV1642">
        <v>2.2760653865224918E-2</v>
      </c>
    </row>
    <row r="1643" spans="44:48" x14ac:dyDescent="0.2">
      <c r="AR1643">
        <v>1635</v>
      </c>
      <c r="AS1643">
        <v>726</v>
      </c>
      <c r="AT1643">
        <v>2</v>
      </c>
      <c r="AU1643">
        <v>11.365291426513993</v>
      </c>
      <c r="AV1643">
        <v>2.2485852896199542E-2</v>
      </c>
    </row>
    <row r="1644" spans="44:48" x14ac:dyDescent="0.2">
      <c r="AR1644">
        <v>1636</v>
      </c>
      <c r="AS1644">
        <v>727</v>
      </c>
      <c r="AT1644">
        <v>2</v>
      </c>
      <c r="AU1644">
        <v>11.396231957831338</v>
      </c>
      <c r="AV1644">
        <v>2.2213211400910478E-2</v>
      </c>
    </row>
    <row r="1645" spans="44:48" x14ac:dyDescent="0.2">
      <c r="AR1645">
        <v>1637</v>
      </c>
      <c r="AS1645">
        <v>728</v>
      </c>
      <c r="AT1645">
        <v>2</v>
      </c>
      <c r="AU1645">
        <v>11.427172489148687</v>
      </c>
      <c r="AV1645">
        <v>2.1942731456358375E-2</v>
      </c>
    </row>
    <row r="1646" spans="44:48" x14ac:dyDescent="0.2">
      <c r="AR1646">
        <v>1638</v>
      </c>
      <c r="AS1646">
        <v>729</v>
      </c>
      <c r="AT1646">
        <v>2</v>
      </c>
      <c r="AU1646">
        <v>11.458113020466032</v>
      </c>
      <c r="AV1646">
        <v>2.1674414778233616E-2</v>
      </c>
    </row>
    <row r="1647" spans="44:48" x14ac:dyDescent="0.2">
      <c r="AR1647">
        <v>1639</v>
      </c>
      <c r="AS1647">
        <v>730</v>
      </c>
      <c r="AT1647">
        <v>2</v>
      </c>
      <c r="AU1647">
        <v>11.489053551783377</v>
      </c>
      <c r="AV1647">
        <v>2.1408262724959871E-2</v>
      </c>
    </row>
    <row r="1648" spans="44:48" x14ac:dyDescent="0.2">
      <c r="AR1648">
        <v>1640</v>
      </c>
      <c r="AS1648">
        <v>731</v>
      </c>
      <c r="AT1648">
        <v>2</v>
      </c>
      <c r="AU1648">
        <v>11.519994083100725</v>
      </c>
      <c r="AV1648">
        <v>2.1144276301781222E-2</v>
      </c>
    </row>
    <row r="1649" spans="44:48" x14ac:dyDescent="0.2">
      <c r="AR1649">
        <v>1641</v>
      </c>
      <c r="AS1649">
        <v>732</v>
      </c>
      <c r="AT1649">
        <v>2</v>
      </c>
      <c r="AU1649">
        <v>11.55093461441807</v>
      </c>
      <c r="AV1649">
        <v>2.088245616489063E-2</v>
      </c>
    </row>
    <row r="1650" spans="44:48" x14ac:dyDescent="0.2">
      <c r="AR1650">
        <v>1642</v>
      </c>
      <c r="AS1650">
        <v>733</v>
      </c>
      <c r="AT1650">
        <v>2</v>
      </c>
      <c r="AU1650">
        <v>11.581875145735415</v>
      </c>
      <c r="AV1650">
        <v>2.0622802625597916E-2</v>
      </c>
    </row>
    <row r="1651" spans="44:48" x14ac:dyDescent="0.2">
      <c r="AR1651">
        <v>1643</v>
      </c>
      <c r="AS1651">
        <v>734</v>
      </c>
      <c r="AT1651">
        <v>2</v>
      </c>
      <c r="AU1651">
        <v>11.612815677052764</v>
      </c>
      <c r="AV1651">
        <v>2.0365315654535695E-2</v>
      </c>
    </row>
    <row r="1652" spans="44:48" x14ac:dyDescent="0.2">
      <c r="AR1652">
        <v>1644</v>
      </c>
      <c r="AS1652">
        <v>735</v>
      </c>
      <c r="AT1652">
        <v>2</v>
      </c>
      <c r="AU1652">
        <v>11.643756208370108</v>
      </c>
      <c r="AV1652">
        <v>2.0109994885901532E-2</v>
      </c>
    </row>
    <row r="1653" spans="44:48" x14ac:dyDescent="0.2">
      <c r="AR1653">
        <v>1645</v>
      </c>
      <c r="AS1653">
        <v>736</v>
      </c>
      <c r="AT1653">
        <v>2</v>
      </c>
      <c r="AU1653">
        <v>11.674696739687453</v>
      </c>
      <c r="AV1653">
        <v>1.9856839621734068E-2</v>
      </c>
    </row>
    <row r="1654" spans="44:48" x14ac:dyDescent="0.2">
      <c r="AR1654">
        <v>1646</v>
      </c>
      <c r="AS1654">
        <v>737</v>
      </c>
      <c r="AT1654">
        <v>2</v>
      </c>
      <c r="AU1654">
        <v>11.705637271004802</v>
      </c>
      <c r="AV1654">
        <v>1.9605848836222014E-2</v>
      </c>
    </row>
    <row r="1655" spans="44:48" x14ac:dyDescent="0.2">
      <c r="AR1655">
        <v>1647</v>
      </c>
      <c r="AS1655">
        <v>738</v>
      </c>
      <c r="AT1655">
        <v>2</v>
      </c>
      <c r="AU1655">
        <v>11.736577802322147</v>
      </c>
      <c r="AV1655">
        <v>1.9357021180043857E-2</v>
      </c>
    </row>
    <row r="1656" spans="44:48" x14ac:dyDescent="0.2">
      <c r="AR1656">
        <v>1648</v>
      </c>
      <c r="AS1656">
        <v>739</v>
      </c>
      <c r="AT1656">
        <v>2</v>
      </c>
      <c r="AU1656">
        <v>11.767518333639496</v>
      </c>
      <c r="AV1656">
        <v>1.9110354984736483E-2</v>
      </c>
    </row>
    <row r="1657" spans="44:48" x14ac:dyDescent="0.2">
      <c r="AR1657">
        <v>1649</v>
      </c>
      <c r="AS1657">
        <v>740</v>
      </c>
      <c r="AT1657">
        <v>2</v>
      </c>
      <c r="AU1657">
        <v>11.79845886495684</v>
      </c>
      <c r="AV1657">
        <v>1.8865848267091451E-2</v>
      </c>
    </row>
    <row r="1658" spans="44:48" x14ac:dyDescent="0.2">
      <c r="AR1658">
        <v>1650</v>
      </c>
      <c r="AS1658">
        <v>741</v>
      </c>
      <c r="AT1658">
        <v>2</v>
      </c>
      <c r="AU1658">
        <v>11.829399396274185</v>
      </c>
      <c r="AV1658">
        <v>1.8623498733576556E-2</v>
      </c>
    </row>
    <row r="1659" spans="44:48" x14ac:dyDescent="0.2">
      <c r="AR1659">
        <v>1651</v>
      </c>
      <c r="AS1659">
        <v>742</v>
      </c>
      <c r="AT1659">
        <v>2</v>
      </c>
      <c r="AU1659">
        <v>11.860339927591534</v>
      </c>
      <c r="AV1659">
        <v>1.8383303784781545E-2</v>
      </c>
    </row>
    <row r="1660" spans="44:48" x14ac:dyDescent="0.2">
      <c r="AR1660">
        <v>1652</v>
      </c>
      <c r="AS1660">
        <v>743</v>
      </c>
      <c r="AT1660">
        <v>2</v>
      </c>
      <c r="AU1660">
        <v>11.891280458908879</v>
      </c>
      <c r="AV1660">
        <v>1.8145260519886106E-2</v>
      </c>
    </row>
    <row r="1661" spans="44:48" x14ac:dyDescent="0.2">
      <c r="AR1661">
        <v>1653</v>
      </c>
      <c r="AS1661">
        <v>744</v>
      </c>
      <c r="AT1661">
        <v>2</v>
      </c>
      <c r="AU1661">
        <v>11.922220990226224</v>
      </c>
      <c r="AV1661">
        <v>1.7909365741148178E-2</v>
      </c>
    </row>
    <row r="1662" spans="44:48" x14ac:dyDescent="0.2">
      <c r="AR1662">
        <v>1654</v>
      </c>
      <c r="AS1662">
        <v>745</v>
      </c>
      <c r="AT1662">
        <v>2</v>
      </c>
      <c r="AU1662">
        <v>11.953161521543572</v>
      </c>
      <c r="AV1662">
        <v>1.7675615958411377E-2</v>
      </c>
    </row>
    <row r="1663" spans="44:48" x14ac:dyDescent="0.2">
      <c r="AR1663">
        <v>1655</v>
      </c>
      <c r="AS1663">
        <v>746</v>
      </c>
      <c r="AT1663">
        <v>2</v>
      </c>
      <c r="AU1663">
        <v>11.984102052860917</v>
      </c>
      <c r="AV1663">
        <v>1.7444007393629727E-2</v>
      </c>
    </row>
    <row r="1664" spans="44:48" x14ac:dyDescent="0.2">
      <c r="AR1664">
        <v>1656</v>
      </c>
      <c r="AS1664">
        <v>747</v>
      </c>
      <c r="AT1664">
        <v>2</v>
      </c>
      <c r="AU1664">
        <v>12.015042584178262</v>
      </c>
      <c r="AV1664">
        <v>1.7214535985407745E-2</v>
      </c>
    </row>
    <row r="1665" spans="44:48" x14ac:dyDescent="0.2">
      <c r="AR1665">
        <v>1657</v>
      </c>
      <c r="AS1665">
        <v>748</v>
      </c>
      <c r="AT1665">
        <v>2</v>
      </c>
      <c r="AU1665">
        <v>12.045983115495611</v>
      </c>
      <c r="AV1665">
        <v>1.698719739355483E-2</v>
      </c>
    </row>
    <row r="1666" spans="44:48" x14ac:dyDescent="0.2">
      <c r="AR1666">
        <v>1658</v>
      </c>
      <c r="AS1666">
        <v>749</v>
      </c>
      <c r="AT1666">
        <v>2</v>
      </c>
      <c r="AU1666">
        <v>12.076923646812956</v>
      </c>
      <c r="AV1666">
        <v>1.676198700365196E-2</v>
      </c>
    </row>
    <row r="1667" spans="44:48" x14ac:dyDescent="0.2">
      <c r="AR1667">
        <v>1659</v>
      </c>
      <c r="AS1667">
        <v>750</v>
      </c>
      <c r="AT1667">
        <v>2</v>
      </c>
      <c r="AU1667">
        <v>12.107864178130304</v>
      </c>
      <c r="AV1667">
        <v>1.653889993162911E-2</v>
      </c>
    </row>
    <row r="1668" spans="44:48" x14ac:dyDescent="0.2">
      <c r="AR1668">
        <v>1660</v>
      </c>
      <c r="AS1668">
        <v>751</v>
      </c>
      <c r="AT1668">
        <v>2</v>
      </c>
      <c r="AU1668">
        <v>12.138804709447649</v>
      </c>
      <c r="AV1668">
        <v>1.6317931028352193E-2</v>
      </c>
    </row>
    <row r="1669" spans="44:48" x14ac:dyDescent="0.2">
      <c r="AR1669">
        <v>1661</v>
      </c>
      <c r="AS1669">
        <v>752</v>
      </c>
      <c r="AT1669">
        <v>2</v>
      </c>
      <c r="AU1669">
        <v>12.169745240764994</v>
      </c>
      <c r="AV1669">
        <v>1.6099074884217426E-2</v>
      </c>
    </row>
    <row r="1670" spans="44:48" x14ac:dyDescent="0.2">
      <c r="AR1670">
        <v>1662</v>
      </c>
      <c r="AS1670">
        <v>753</v>
      </c>
      <c r="AT1670">
        <v>2</v>
      </c>
      <c r="AU1670">
        <v>12.200685772082343</v>
      </c>
      <c r="AV1670">
        <v>1.588232583375207E-2</v>
      </c>
    </row>
    <row r="1671" spans="44:48" x14ac:dyDescent="0.2">
      <c r="AR1671">
        <v>1663</v>
      </c>
      <c r="AS1671">
        <v>754</v>
      </c>
      <c r="AT1671">
        <v>2</v>
      </c>
      <c r="AU1671">
        <v>12.231626303399688</v>
      </c>
      <c r="AV1671">
        <v>1.5667677960219902E-2</v>
      </c>
    </row>
    <row r="1672" spans="44:48" x14ac:dyDescent="0.2">
      <c r="AR1672">
        <v>1664</v>
      </c>
      <c r="AS1672">
        <v>755</v>
      </c>
      <c r="AT1672">
        <v>2</v>
      </c>
      <c r="AU1672">
        <v>12.262566834717033</v>
      </c>
      <c r="AV1672">
        <v>1.5455125100229606E-2</v>
      </c>
    </row>
    <row r="1673" spans="44:48" x14ac:dyDescent="0.2">
      <c r="AR1673">
        <v>1665</v>
      </c>
      <c r="AS1673">
        <v>756</v>
      </c>
      <c r="AT1673">
        <v>2</v>
      </c>
      <c r="AU1673">
        <v>12.293507366034381</v>
      </c>
      <c r="AV1673">
        <v>1.524466084834512E-2</v>
      </c>
    </row>
    <row r="1674" spans="44:48" x14ac:dyDescent="0.2">
      <c r="AR1674">
        <v>1666</v>
      </c>
      <c r="AS1674">
        <v>757</v>
      </c>
      <c r="AT1674">
        <v>2</v>
      </c>
      <c r="AU1674">
        <v>12.324447897351726</v>
      </c>
      <c r="AV1674">
        <v>1.5036278561696209E-2</v>
      </c>
    </row>
    <row r="1675" spans="44:48" x14ac:dyDescent="0.2">
      <c r="AR1675">
        <v>1667</v>
      </c>
      <c r="AS1675">
        <v>758</v>
      </c>
      <c r="AT1675">
        <v>2</v>
      </c>
      <c r="AU1675">
        <v>12.355388428669071</v>
      </c>
      <c r="AV1675">
        <v>1.4829971364587654E-2</v>
      </c>
    </row>
    <row r="1676" spans="44:48" x14ac:dyDescent="0.2">
      <c r="AR1676">
        <v>1668</v>
      </c>
      <c r="AS1676">
        <v>759</v>
      </c>
      <c r="AT1676">
        <v>2</v>
      </c>
      <c r="AU1676">
        <v>12.38632895998642</v>
      </c>
      <c r="AV1676">
        <v>1.4625732153106061E-2</v>
      </c>
    </row>
    <row r="1677" spans="44:48" x14ac:dyDescent="0.2">
      <c r="AR1677">
        <v>1669</v>
      </c>
      <c r="AS1677">
        <v>760</v>
      </c>
      <c r="AT1677">
        <v>2</v>
      </c>
      <c r="AU1677">
        <v>12.417269491303765</v>
      </c>
      <c r="AV1677">
        <v>1.4423553599722654E-2</v>
      </c>
    </row>
    <row r="1678" spans="44:48" x14ac:dyDescent="0.2">
      <c r="AR1678">
        <v>1670</v>
      </c>
      <c r="AS1678">
        <v>761</v>
      </c>
      <c r="AT1678">
        <v>2</v>
      </c>
      <c r="AU1678">
        <v>12.448210022621113</v>
      </c>
      <c r="AV1678">
        <v>1.4223428157890466E-2</v>
      </c>
    </row>
    <row r="1679" spans="44:48" x14ac:dyDescent="0.2">
      <c r="AR1679">
        <v>1671</v>
      </c>
      <c r="AS1679">
        <v>762</v>
      </c>
      <c r="AT1679">
        <v>2</v>
      </c>
      <c r="AU1679">
        <v>12.479150553938458</v>
      </c>
      <c r="AV1679">
        <v>1.4025348066635163E-2</v>
      </c>
    </row>
    <row r="1680" spans="44:48" x14ac:dyDescent="0.2">
      <c r="AR1680">
        <v>1672</v>
      </c>
      <c r="AS1680">
        <v>763</v>
      </c>
      <c r="AT1680">
        <v>2</v>
      </c>
      <c r="AU1680">
        <v>12.510091085255803</v>
      </c>
      <c r="AV1680">
        <v>1.3829305355137465E-2</v>
      </c>
    </row>
    <row r="1681" spans="44:48" x14ac:dyDescent="0.2">
      <c r="AR1681">
        <v>1673</v>
      </c>
      <c r="AS1681">
        <v>764</v>
      </c>
      <c r="AT1681">
        <v>2</v>
      </c>
      <c r="AU1681">
        <v>12.541031616573152</v>
      </c>
      <c r="AV1681">
        <v>1.3635291847306425E-2</v>
      </c>
    </row>
    <row r="1682" spans="44:48" x14ac:dyDescent="0.2">
      <c r="AR1682">
        <v>1674</v>
      </c>
      <c r="AS1682">
        <v>765</v>
      </c>
      <c r="AT1682">
        <v>2</v>
      </c>
      <c r="AU1682">
        <v>12.571972147890497</v>
      </c>
      <c r="AV1682">
        <v>1.3443299166341998E-2</v>
      </c>
    </row>
    <row r="1683" spans="44:48" x14ac:dyDescent="0.2">
      <c r="AR1683">
        <v>1675</v>
      </c>
      <c r="AS1683">
        <v>766</v>
      </c>
      <c r="AT1683">
        <v>2</v>
      </c>
      <c r="AU1683">
        <v>12.602912679207842</v>
      </c>
      <c r="AV1683">
        <v>1.325331873928557E-2</v>
      </c>
    </row>
    <row r="1684" spans="44:48" x14ac:dyDescent="0.2">
      <c r="AR1684">
        <v>1676</v>
      </c>
      <c r="AS1684">
        <v>767</v>
      </c>
      <c r="AT1684">
        <v>2</v>
      </c>
      <c r="AU1684">
        <v>12.63385321052519</v>
      </c>
      <c r="AV1684">
        <v>1.3065341801557431E-2</v>
      </c>
    </row>
    <row r="1685" spans="44:48" x14ac:dyDescent="0.2">
      <c r="AR1685">
        <v>1677</v>
      </c>
      <c r="AS1685">
        <v>768</v>
      </c>
      <c r="AT1685">
        <v>2</v>
      </c>
      <c r="AU1685">
        <v>12.664793741842535</v>
      </c>
      <c r="AV1685">
        <v>1.2879359401479881E-2</v>
      </c>
    </row>
    <row r="1686" spans="44:48" x14ac:dyDescent="0.2">
      <c r="AR1686">
        <v>1678</v>
      </c>
      <c r="AS1686">
        <v>769</v>
      </c>
      <c r="AT1686">
        <v>2</v>
      </c>
      <c r="AU1686">
        <v>12.69573427315988</v>
      </c>
      <c r="AV1686">
        <v>1.2695362404784537E-2</v>
      </c>
    </row>
    <row r="1687" spans="44:48" x14ac:dyDescent="0.2">
      <c r="AR1687">
        <v>1679</v>
      </c>
      <c r="AS1687">
        <v>770</v>
      </c>
      <c r="AT1687">
        <v>2</v>
      </c>
      <c r="AU1687">
        <v>12.726674804477229</v>
      </c>
      <c r="AV1687">
        <v>1.2513341499103062E-2</v>
      </c>
    </row>
    <row r="1688" spans="44:48" x14ac:dyDescent="0.2">
      <c r="AR1688">
        <v>1680</v>
      </c>
      <c r="AS1688">
        <v>771</v>
      </c>
      <c r="AT1688">
        <v>2</v>
      </c>
      <c r="AU1688">
        <v>12.757615335794574</v>
      </c>
      <c r="AV1688">
        <v>1.2333287198439921E-2</v>
      </c>
    </row>
    <row r="1689" spans="44:48" x14ac:dyDescent="0.2">
      <c r="AR1689">
        <v>1681</v>
      </c>
      <c r="AS1689">
        <v>772</v>
      </c>
      <c r="AT1689">
        <v>2</v>
      </c>
      <c r="AU1689">
        <v>12.788555867111922</v>
      </c>
      <c r="AV1689">
        <v>1.2155189847625911E-2</v>
      </c>
    </row>
    <row r="1690" spans="44:48" x14ac:dyDescent="0.2">
      <c r="AR1690">
        <v>1682</v>
      </c>
      <c r="AS1690">
        <v>773</v>
      </c>
      <c r="AT1690">
        <v>2</v>
      </c>
      <c r="AU1690">
        <v>12.819496398429267</v>
      </c>
      <c r="AV1690">
        <v>1.1979039626751771E-2</v>
      </c>
    </row>
    <row r="1691" spans="44:48" x14ac:dyDescent="0.2">
      <c r="AR1691">
        <v>1683</v>
      </c>
      <c r="AS1691">
        <v>774</v>
      </c>
      <c r="AT1691">
        <v>2</v>
      </c>
      <c r="AU1691">
        <v>12.850436929746612</v>
      </c>
      <c r="AV1691">
        <v>1.1804826555580253E-2</v>
      </c>
    </row>
    <row r="1692" spans="44:48" x14ac:dyDescent="0.2">
      <c r="AR1692">
        <v>1684</v>
      </c>
      <c r="AS1692">
        <v>775</v>
      </c>
      <c r="AT1692">
        <v>2</v>
      </c>
      <c r="AU1692">
        <v>12.881377461063961</v>
      </c>
      <c r="AV1692">
        <v>1.1632540497936045E-2</v>
      </c>
    </row>
    <row r="1693" spans="44:48" x14ac:dyDescent="0.2">
      <c r="AR1693">
        <v>1685</v>
      </c>
      <c r="AS1693">
        <v>776</v>
      </c>
      <c r="AT1693">
        <v>2</v>
      </c>
      <c r="AU1693">
        <v>12.912317992381306</v>
      </c>
      <c r="AV1693">
        <v>1.1462171166072368E-2</v>
      </c>
    </row>
    <row r="1694" spans="44:48" x14ac:dyDescent="0.2">
      <c r="AR1694">
        <v>1686</v>
      </c>
      <c r="AS1694">
        <v>777</v>
      </c>
      <c r="AT1694">
        <v>2</v>
      </c>
      <c r="AU1694">
        <v>12.943258523698651</v>
      </c>
      <c r="AV1694">
        <v>1.1293708125012934E-2</v>
      </c>
    </row>
    <row r="1695" spans="44:48" x14ac:dyDescent="0.2">
      <c r="AR1695">
        <v>1687</v>
      </c>
      <c r="AS1695">
        <v>778</v>
      </c>
      <c r="AT1695">
        <v>2</v>
      </c>
      <c r="AU1695">
        <v>12.974199055015999</v>
      </c>
      <c r="AV1695">
        <v>1.1127140796868766E-2</v>
      </c>
    </row>
    <row r="1696" spans="44:48" x14ac:dyDescent="0.2">
      <c r="AR1696">
        <v>1688</v>
      </c>
      <c r="AS1696">
        <v>779</v>
      </c>
      <c r="AT1696">
        <v>2</v>
      </c>
      <c r="AU1696">
        <v>13.005139586333344</v>
      </c>
      <c r="AV1696">
        <v>1.0962458465128633E-2</v>
      </c>
    </row>
    <row r="1697" spans="44:48" x14ac:dyDescent="0.2">
      <c r="AR1697">
        <v>1689</v>
      </c>
      <c r="AS1697">
        <v>780</v>
      </c>
      <c r="AT1697">
        <v>2</v>
      </c>
      <c r="AU1697">
        <v>13.036080117650693</v>
      </c>
      <c r="AV1697">
        <v>1.0799650278922039E-2</v>
      </c>
    </row>
    <row r="1698" spans="44:48" x14ac:dyDescent="0.2">
      <c r="AR1698">
        <v>1690</v>
      </c>
      <c r="AS1698">
        <v>781</v>
      </c>
      <c r="AT1698">
        <v>2</v>
      </c>
      <c r="AU1698">
        <v>13.067020648968038</v>
      </c>
      <c r="AV1698">
        <v>1.0638705257254249E-2</v>
      </c>
    </row>
    <row r="1699" spans="44:48" x14ac:dyDescent="0.2">
      <c r="AR1699">
        <v>1691</v>
      </c>
      <c r="AS1699">
        <v>782</v>
      </c>
      <c r="AT1699">
        <v>2</v>
      </c>
      <c r="AU1699">
        <v>13.097961180285383</v>
      </c>
      <c r="AV1699">
        <v>1.0479612293211944E-2</v>
      </c>
    </row>
    <row r="1700" spans="44:48" x14ac:dyDescent="0.2">
      <c r="AR1700">
        <v>1692</v>
      </c>
      <c r="AS1700">
        <v>783</v>
      </c>
      <c r="AT1700">
        <v>2</v>
      </c>
      <c r="AU1700">
        <v>13.128901711602731</v>
      </c>
      <c r="AV1700">
        <v>1.0322360158139046E-2</v>
      </c>
    </row>
    <row r="1701" spans="44:48" x14ac:dyDescent="0.2">
      <c r="AR1701">
        <v>1693</v>
      </c>
      <c r="AS1701">
        <v>784</v>
      </c>
      <c r="AT1701">
        <v>2</v>
      </c>
      <c r="AU1701">
        <v>13.159842242920076</v>
      </c>
      <c r="AV1701">
        <v>1.0166937505781763E-2</v>
      </c>
    </row>
    <row r="1702" spans="44:48" x14ac:dyDescent="0.2">
      <c r="AR1702">
        <v>1694</v>
      </c>
      <c r="AS1702">
        <v>785</v>
      </c>
      <c r="AT1702">
        <v>2</v>
      </c>
      <c r="AU1702">
        <v>13.190782774237421</v>
      </c>
      <c r="AV1702">
        <v>1.001333287640173E-2</v>
      </c>
    </row>
    <row r="1703" spans="44:48" x14ac:dyDescent="0.2">
      <c r="AR1703">
        <v>1695</v>
      </c>
      <c r="AS1703">
        <v>786</v>
      </c>
      <c r="AT1703">
        <v>2</v>
      </c>
      <c r="AU1703">
        <v>13.22172330555477</v>
      </c>
      <c r="AV1703">
        <v>9.8615347008569401E-3</v>
      </c>
    </row>
    <row r="1704" spans="44:48" x14ac:dyDescent="0.2">
      <c r="AR1704">
        <v>1696</v>
      </c>
      <c r="AS1704">
        <v>787</v>
      </c>
      <c r="AT1704">
        <v>2</v>
      </c>
      <c r="AU1704">
        <v>13.252663836872115</v>
      </c>
      <c r="AV1704">
        <v>9.7115313046493811E-3</v>
      </c>
    </row>
    <row r="1705" spans="44:48" x14ac:dyDescent="0.2">
      <c r="AR1705">
        <v>1697</v>
      </c>
      <c r="AS1705">
        <v>788</v>
      </c>
      <c r="AT1705">
        <v>2</v>
      </c>
      <c r="AU1705">
        <v>13.28360436818946</v>
      </c>
      <c r="AV1705">
        <v>9.563310911938518E-3</v>
      </c>
    </row>
    <row r="1706" spans="44:48" x14ac:dyDescent="0.2">
      <c r="AR1706">
        <v>1698</v>
      </c>
      <c r="AS1706">
        <v>789</v>
      </c>
      <c r="AT1706">
        <v>2</v>
      </c>
      <c r="AU1706">
        <v>13.314544899506808</v>
      </c>
      <c r="AV1706">
        <v>9.4168616495202175E-3</v>
      </c>
    </row>
    <row r="1707" spans="44:48" x14ac:dyDescent="0.2">
      <c r="AR1707">
        <v>1699</v>
      </c>
      <c r="AS1707">
        <v>790</v>
      </c>
      <c r="AT1707">
        <v>2</v>
      </c>
      <c r="AU1707">
        <v>13.345485430824153</v>
      </c>
      <c r="AV1707">
        <v>9.2721715507702307E-3</v>
      </c>
    </row>
    <row r="1708" spans="44:48" x14ac:dyDescent="0.2">
      <c r="AR1708">
        <v>1700</v>
      </c>
      <c r="AS1708">
        <v>791</v>
      </c>
      <c r="AT1708">
        <v>2</v>
      </c>
      <c r="AU1708">
        <v>13.376425962141502</v>
      </c>
      <c r="AV1708">
        <v>9.1292285595514205E-3</v>
      </c>
    </row>
    <row r="1709" spans="44:48" x14ac:dyDescent="0.2">
      <c r="AR1709">
        <v>1701</v>
      </c>
      <c r="AS1709">
        <v>792</v>
      </c>
      <c r="AT1709">
        <v>2</v>
      </c>
      <c r="AU1709">
        <v>13.407366493458847</v>
      </c>
      <c r="AV1709">
        <v>8.9880205340844167E-3</v>
      </c>
    </row>
    <row r="1710" spans="44:48" x14ac:dyDescent="0.2">
      <c r="AR1710">
        <v>1702</v>
      </c>
      <c r="AS1710">
        <v>793</v>
      </c>
      <c r="AT1710">
        <v>2</v>
      </c>
      <c r="AU1710">
        <v>13.438307024776192</v>
      </c>
      <c r="AV1710">
        <v>8.8485352507806543E-3</v>
      </c>
    </row>
    <row r="1711" spans="44:48" x14ac:dyDescent="0.2">
      <c r="AR1711">
        <v>1703</v>
      </c>
      <c r="AS1711">
        <v>794</v>
      </c>
      <c r="AT1711">
        <v>2</v>
      </c>
      <c r="AU1711">
        <v>13.46924755609354</v>
      </c>
      <c r="AV1711">
        <v>8.7107604080374976E-3</v>
      </c>
    </row>
    <row r="1712" spans="44:48" x14ac:dyDescent="0.2">
      <c r="AR1712">
        <v>1704</v>
      </c>
      <c r="AS1712">
        <v>795</v>
      </c>
      <c r="AT1712">
        <v>2</v>
      </c>
      <c r="AU1712">
        <v>13.500188087410885</v>
      </c>
      <c r="AV1712">
        <v>8.5746836299948059E-3</v>
      </c>
    </row>
    <row r="1713" spans="44:48" x14ac:dyDescent="0.2">
      <c r="AR1713">
        <v>1705</v>
      </c>
      <c r="AS1713">
        <v>796</v>
      </c>
      <c r="AT1713">
        <v>2</v>
      </c>
      <c r="AU1713">
        <v>13.53112861872823</v>
      </c>
      <c r="AV1713">
        <v>8.4402924702521084E-3</v>
      </c>
    </row>
    <row r="1714" spans="44:48" x14ac:dyDescent="0.2">
      <c r="AR1714">
        <v>1706</v>
      </c>
      <c r="AS1714">
        <v>797</v>
      </c>
      <c r="AT1714">
        <v>2</v>
      </c>
      <c r="AU1714">
        <v>13.562069150045579</v>
      </c>
      <c r="AV1714">
        <v>8.3075744155462795E-3</v>
      </c>
    </row>
    <row r="1715" spans="44:48" x14ac:dyDescent="0.2">
      <c r="AR1715">
        <v>1707</v>
      </c>
      <c r="AS1715">
        <v>798</v>
      </c>
      <c r="AT1715">
        <v>2</v>
      </c>
      <c r="AU1715">
        <v>13.593009681362924</v>
      </c>
      <c r="AV1715">
        <v>8.176516889388875E-3</v>
      </c>
    </row>
    <row r="1716" spans="44:48" x14ac:dyDescent="0.2">
      <c r="AR1716">
        <v>1708</v>
      </c>
      <c r="AS1716">
        <v>799</v>
      </c>
      <c r="AT1716">
        <v>2</v>
      </c>
      <c r="AU1716">
        <v>13.623950212680269</v>
      </c>
      <c r="AV1716">
        <v>8.0471072556626451E-3</v>
      </c>
    </row>
    <row r="1717" spans="44:48" x14ac:dyDescent="0.2">
      <c r="AR1717">
        <v>1709</v>
      </c>
      <c r="AS1717">
        <v>800</v>
      </c>
      <c r="AT1717">
        <v>2</v>
      </c>
      <c r="AU1717">
        <v>13.654890743997617</v>
      </c>
      <c r="AV1717">
        <v>7.9193328221769388E-3</v>
      </c>
    </row>
    <row r="1718" spans="44:48" x14ac:dyDescent="0.2">
      <c r="AR1718">
        <v>1710</v>
      </c>
      <c r="AS1718">
        <v>801</v>
      </c>
      <c r="AT1718">
        <v>2</v>
      </c>
      <c r="AU1718">
        <v>13.685831275314962</v>
      </c>
      <c r="AV1718">
        <v>7.793180844181416E-3</v>
      </c>
    </row>
    <row r="1719" spans="44:48" x14ac:dyDescent="0.2">
      <c r="AR1719">
        <v>1711</v>
      </c>
      <c r="AS1719">
        <v>802</v>
      </c>
      <c r="AT1719">
        <v>2</v>
      </c>
      <c r="AU1719">
        <v>13.716771806632311</v>
      </c>
      <c r="AV1719">
        <v>7.6686385278375542E-3</v>
      </c>
    </row>
    <row r="1720" spans="44:48" x14ac:dyDescent="0.2">
      <c r="AR1720">
        <v>1712</v>
      </c>
      <c r="AS1720">
        <v>803</v>
      </c>
      <c r="AT1720">
        <v>2</v>
      </c>
      <c r="AU1720">
        <v>13.747712337949656</v>
      </c>
      <c r="AV1720">
        <v>7.5456930336478337E-3</v>
      </c>
    </row>
    <row r="1721" spans="44:48" x14ac:dyDescent="0.2">
      <c r="AR1721">
        <v>1713</v>
      </c>
      <c r="AS1721">
        <v>804</v>
      </c>
      <c r="AT1721">
        <v>2</v>
      </c>
      <c r="AU1721">
        <v>13.778652869267001</v>
      </c>
      <c r="AV1721">
        <v>7.4243314798417724E-3</v>
      </c>
    </row>
    <row r="1722" spans="44:48" x14ac:dyDescent="0.2">
      <c r="AR1722">
        <v>1714</v>
      </c>
      <c r="AS1722">
        <v>805</v>
      </c>
      <c r="AT1722">
        <v>2</v>
      </c>
      <c r="AU1722">
        <v>13.809593400584349</v>
      </c>
      <c r="AV1722">
        <v>7.3045409457189008E-3</v>
      </c>
    </row>
    <row r="1723" spans="44:48" x14ac:dyDescent="0.2">
      <c r="AR1723">
        <v>1715</v>
      </c>
      <c r="AS1723">
        <v>806</v>
      </c>
      <c r="AT1723">
        <v>2</v>
      </c>
      <c r="AU1723">
        <v>13.840533931901694</v>
      </c>
      <c r="AV1723">
        <v>7.1863084749480451E-3</v>
      </c>
    </row>
    <row r="1724" spans="44:48" x14ac:dyDescent="0.2">
      <c r="AR1724">
        <v>1716</v>
      </c>
      <c r="AS1724">
        <v>807</v>
      </c>
      <c r="AT1724">
        <v>2</v>
      </c>
      <c r="AU1724">
        <v>13.871474463219039</v>
      </c>
      <c r="AV1724">
        <v>7.0696210788226523E-3</v>
      </c>
    </row>
    <row r="1725" spans="44:48" x14ac:dyDescent="0.2">
      <c r="AR1725">
        <v>1717</v>
      </c>
      <c r="AS1725">
        <v>808</v>
      </c>
      <c r="AT1725">
        <v>2</v>
      </c>
      <c r="AU1725">
        <v>13.902414994536388</v>
      </c>
      <c r="AV1725">
        <v>6.9544657394719194E-3</v>
      </c>
    </row>
    <row r="1726" spans="44:48" x14ac:dyDescent="0.2">
      <c r="AR1726">
        <v>1718</v>
      </c>
      <c r="AS1726">
        <v>809</v>
      </c>
      <c r="AT1726">
        <v>2</v>
      </c>
      <c r="AU1726">
        <v>13.933355525853733</v>
      </c>
      <c r="AV1726">
        <v>6.840829413027434E-3</v>
      </c>
    </row>
    <row r="1727" spans="44:48" x14ac:dyDescent="0.2">
      <c r="AR1727">
        <v>1719</v>
      </c>
      <c r="AS1727">
        <v>810</v>
      </c>
      <c r="AT1727">
        <v>2</v>
      </c>
      <c r="AU1727">
        <v>13.964296057171078</v>
      </c>
      <c r="AV1727">
        <v>6.7286990327449399E-3</v>
      </c>
    </row>
    <row r="1728" spans="44:48" x14ac:dyDescent="0.2">
      <c r="AR1728">
        <v>1720</v>
      </c>
      <c r="AS1728">
        <v>811</v>
      </c>
      <c r="AT1728">
        <v>2</v>
      </c>
      <c r="AU1728">
        <v>13.995236588488426</v>
      </c>
      <c r="AV1728">
        <v>6.6180615120811827E-3</v>
      </c>
    </row>
    <row r="1729" spans="44:48" x14ac:dyDescent="0.2">
      <c r="AR1729">
        <v>1721</v>
      </c>
      <c r="AS1729">
        <v>812</v>
      </c>
      <c r="AT1729">
        <v>2</v>
      </c>
      <c r="AU1729">
        <v>14.026177119805771</v>
      </c>
      <c r="AV1729">
        <v>6.5089037477255099E-3</v>
      </c>
    </row>
    <row r="1730" spans="44:48" x14ac:dyDescent="0.2">
      <c r="AR1730">
        <v>1722</v>
      </c>
      <c r="AS1730">
        <v>813</v>
      </c>
      <c r="AT1730">
        <v>2</v>
      </c>
      <c r="AU1730">
        <v>14.05711765112312</v>
      </c>
      <c r="AV1730">
        <v>6.4012126225859662E-3</v>
      </c>
    </row>
    <row r="1731" spans="44:48" x14ac:dyDescent="0.2">
      <c r="AR1731">
        <v>1723</v>
      </c>
      <c r="AS1731">
        <v>814</v>
      </c>
      <c r="AT1731">
        <v>2</v>
      </c>
      <c r="AU1731">
        <v>14.088058182440465</v>
      </c>
      <c r="AV1731">
        <v>6.2949750087299017E-3</v>
      </c>
    </row>
    <row r="1732" spans="44:48" x14ac:dyDescent="0.2">
      <c r="AR1732">
        <v>1724</v>
      </c>
      <c r="AS1732">
        <v>815</v>
      </c>
      <c r="AT1732">
        <v>2</v>
      </c>
      <c r="AU1732">
        <v>14.11899871375781</v>
      </c>
      <c r="AV1732">
        <v>6.1901777702786662E-3</v>
      </c>
    </row>
    <row r="1733" spans="44:48" x14ac:dyDescent="0.2">
      <c r="AR1733">
        <v>1725</v>
      </c>
      <c r="AS1733">
        <v>816</v>
      </c>
      <c r="AT1733">
        <v>2</v>
      </c>
      <c r="AU1733">
        <v>14.149939245075158</v>
      </c>
      <c r="AV1733">
        <v>6.0868077662564754E-3</v>
      </c>
    </row>
    <row r="1734" spans="44:48" x14ac:dyDescent="0.2">
      <c r="AR1734">
        <v>1726</v>
      </c>
      <c r="AS1734">
        <v>817</v>
      </c>
      <c r="AT1734">
        <v>2</v>
      </c>
      <c r="AU1734">
        <v>14.180879776392503</v>
      </c>
      <c r="AV1734">
        <v>5.9848518533932712E-3</v>
      </c>
    </row>
    <row r="1735" spans="44:48" x14ac:dyDescent="0.2">
      <c r="AR1735">
        <v>1727</v>
      </c>
      <c r="AS1735">
        <v>818</v>
      </c>
      <c r="AT1735">
        <v>2</v>
      </c>
      <c r="AU1735">
        <v>14.211820307709848</v>
      </c>
      <c r="AV1735">
        <v>5.8842968888813347E-3</v>
      </c>
    </row>
    <row r="1736" spans="44:48" x14ac:dyDescent="0.2">
      <c r="AR1736">
        <v>1728</v>
      </c>
      <c r="AS1736">
        <v>819</v>
      </c>
      <c r="AT1736">
        <v>2</v>
      </c>
      <c r="AU1736">
        <v>14.242760839027197</v>
      </c>
      <c r="AV1736">
        <v>5.7851297330857613E-3</v>
      </c>
    </row>
    <row r="1737" spans="44:48" x14ac:dyDescent="0.2">
      <c r="AR1737">
        <v>1729</v>
      </c>
      <c r="AS1737">
        <v>820</v>
      </c>
      <c r="AT1737">
        <v>2</v>
      </c>
      <c r="AU1737">
        <v>14.273701370344542</v>
      </c>
      <c r="AV1737">
        <v>5.6873372522086747E-3</v>
      </c>
    </row>
    <row r="1738" spans="44:48" x14ac:dyDescent="0.2">
      <c r="AR1738">
        <v>1730</v>
      </c>
      <c r="AS1738">
        <v>821</v>
      </c>
      <c r="AT1738">
        <v>2</v>
      </c>
      <c r="AU1738">
        <v>14.304641901661887</v>
      </c>
      <c r="AV1738">
        <v>5.5909063209069586E-3</v>
      </c>
    </row>
    <row r="1739" spans="44:48" x14ac:dyDescent="0.2">
      <c r="AR1739">
        <v>1731</v>
      </c>
      <c r="AS1739">
        <v>822</v>
      </c>
      <c r="AT1739">
        <v>2</v>
      </c>
      <c r="AU1739">
        <v>14.335582432979235</v>
      </c>
      <c r="AV1739">
        <v>5.4958238248637801E-3</v>
      </c>
    </row>
    <row r="1740" spans="44:48" x14ac:dyDescent="0.2">
      <c r="AR1740">
        <v>1732</v>
      </c>
      <c r="AS1740">
        <v>823</v>
      </c>
      <c r="AT1740">
        <v>2</v>
      </c>
      <c r="AU1740">
        <v>14.36652296429658</v>
      </c>
      <c r="AV1740">
        <v>5.402076663313651E-3</v>
      </c>
    </row>
    <row r="1741" spans="44:48" x14ac:dyDescent="0.2">
      <c r="AR1741">
        <v>1733</v>
      </c>
      <c r="AS1741">
        <v>824</v>
      </c>
      <c r="AT1741">
        <v>2</v>
      </c>
      <c r="AU1741">
        <v>14.397463495613929</v>
      </c>
      <c r="AV1741">
        <v>5.3096517515210861E-3</v>
      </c>
    </row>
    <row r="1742" spans="44:48" x14ac:dyDescent="0.2">
      <c r="AR1742">
        <v>1734</v>
      </c>
      <c r="AS1742">
        <v>825</v>
      </c>
      <c r="AT1742">
        <v>2</v>
      </c>
      <c r="AU1742">
        <v>14.428404026931274</v>
      </c>
      <c r="AV1742">
        <v>5.2185360232130037E-3</v>
      </c>
    </row>
    <row r="1743" spans="44:48" x14ac:dyDescent="0.2">
      <c r="AR1743">
        <v>1735</v>
      </c>
      <c r="AS1743">
        <v>826</v>
      </c>
      <c r="AT1743">
        <v>2</v>
      </c>
      <c r="AU1743">
        <v>14.459344558248619</v>
      </c>
      <c r="AV1743">
        <v>5.1287164329646478E-3</v>
      </c>
    </row>
    <row r="1744" spans="44:48" x14ac:dyDescent="0.2">
      <c r="AR1744">
        <v>1736</v>
      </c>
      <c r="AS1744">
        <v>827</v>
      </c>
      <c r="AT1744">
        <v>2</v>
      </c>
      <c r="AU1744">
        <v>14.490285089565967</v>
      </c>
      <c r="AV1744">
        <v>5.0401799585393803E-3</v>
      </c>
    </row>
    <row r="1745" spans="44:48" x14ac:dyDescent="0.2">
      <c r="AR1745">
        <v>1737</v>
      </c>
      <c r="AS1745">
        <v>828</v>
      </c>
      <c r="AT1745">
        <v>2</v>
      </c>
      <c r="AU1745">
        <v>14.521225620883312</v>
      </c>
      <c r="AV1745">
        <v>4.9529136031822036E-3</v>
      </c>
    </row>
    <row r="1746" spans="44:48" x14ac:dyDescent="0.2">
      <c r="AR1746">
        <v>1738</v>
      </c>
      <c r="AS1746">
        <v>829</v>
      </c>
      <c r="AT1746">
        <v>2</v>
      </c>
      <c r="AU1746">
        <v>14.552166152200657</v>
      </c>
      <c r="AV1746">
        <v>4.8669043978671628E-3</v>
      </c>
    </row>
    <row r="1747" spans="44:48" x14ac:dyDescent="0.2">
      <c r="AR1747">
        <v>1739</v>
      </c>
      <c r="AS1747">
        <v>830</v>
      </c>
      <c r="AT1747">
        <v>2</v>
      </c>
      <c r="AU1747">
        <v>14.583106683518006</v>
      </c>
      <c r="AV1747">
        <v>4.7821394034987365E-3</v>
      </c>
    </row>
    <row r="1748" spans="44:48" x14ac:dyDescent="0.2">
      <c r="AR1748">
        <v>1740</v>
      </c>
      <c r="AS1748">
        <v>831</v>
      </c>
      <c r="AT1748">
        <v>2</v>
      </c>
      <c r="AU1748">
        <v>14.614047214835351</v>
      </c>
      <c r="AV1748">
        <v>4.6986057130673662E-3</v>
      </c>
    </row>
    <row r="1749" spans="44:48" x14ac:dyDescent="0.2">
      <c r="AR1749">
        <v>1741</v>
      </c>
      <c r="AS1749">
        <v>832</v>
      </c>
      <c r="AT1749">
        <v>2</v>
      </c>
      <c r="AU1749">
        <v>14.644987746152699</v>
      </c>
      <c r="AV1749">
        <v>4.6162904537590897E-3</v>
      </c>
    </row>
    <row r="1750" spans="44:48" x14ac:dyDescent="0.2">
      <c r="AR1750">
        <v>1742</v>
      </c>
      <c r="AS1750">
        <v>833</v>
      </c>
      <c r="AT1750">
        <v>2</v>
      </c>
      <c r="AU1750">
        <v>14.675928277470044</v>
      </c>
      <c r="AV1750">
        <v>4.5351807890196905E-3</v>
      </c>
    </row>
    <row r="1751" spans="44:48" x14ac:dyDescent="0.2">
      <c r="AR1751">
        <v>1743</v>
      </c>
      <c r="AS1751">
        <v>834</v>
      </c>
      <c r="AT1751">
        <v>2</v>
      </c>
      <c r="AU1751">
        <v>14.706868808787389</v>
      </c>
      <c r="AV1751">
        <v>4.4552639205732453E-3</v>
      </c>
    </row>
    <row r="1752" spans="44:48" x14ac:dyDescent="0.2">
      <c r="AR1752">
        <v>1744</v>
      </c>
      <c r="AS1752">
        <v>835</v>
      </c>
      <c r="AT1752">
        <v>2</v>
      </c>
      <c r="AU1752">
        <v>14.737809340104738</v>
      </c>
      <c r="AV1752">
        <v>4.3765270903954254E-3</v>
      </c>
    </row>
    <row r="1753" spans="44:48" x14ac:dyDescent="0.2">
      <c r="AR1753">
        <v>1745</v>
      </c>
      <c r="AS1753">
        <v>836</v>
      </c>
      <c r="AT1753">
        <v>2</v>
      </c>
      <c r="AU1753">
        <v>14.768749871422083</v>
      </c>
      <c r="AV1753">
        <v>4.2989575826417005E-3</v>
      </c>
    </row>
    <row r="1754" spans="44:48" x14ac:dyDescent="0.2">
      <c r="AR1754">
        <v>1746</v>
      </c>
      <c r="AS1754">
        <v>837</v>
      </c>
      <c r="AT1754">
        <v>2</v>
      </c>
      <c r="AU1754">
        <v>14.799690402739428</v>
      </c>
      <c r="AV1754">
        <v>4.2225427255305308E-3</v>
      </c>
    </row>
    <row r="1755" spans="44:48" x14ac:dyDescent="0.2">
      <c r="AR1755">
        <v>1747</v>
      </c>
      <c r="AS1755">
        <v>838</v>
      </c>
      <c r="AT1755">
        <v>2</v>
      </c>
      <c r="AU1755">
        <v>14.830630934056776</v>
      </c>
      <c r="AV1755">
        <v>4.1472698931819107E-3</v>
      </c>
    </row>
    <row r="1756" spans="44:48" x14ac:dyDescent="0.2">
      <c r="AR1756">
        <v>1748</v>
      </c>
      <c r="AS1756">
        <v>839</v>
      </c>
      <c r="AT1756">
        <v>2</v>
      </c>
      <c r="AU1756">
        <v>14.861571465374121</v>
      </c>
      <c r="AV1756">
        <v>4.0731265074114295E-3</v>
      </c>
    </row>
    <row r="1757" spans="44:48" x14ac:dyDescent="0.2">
      <c r="AR1757">
        <v>1749</v>
      </c>
      <c r="AS1757">
        <v>840</v>
      </c>
      <c r="AT1757">
        <v>2</v>
      </c>
      <c r="AU1757">
        <v>14.892511996691466</v>
      </c>
      <c r="AV1757">
        <v>4.0001000394800038E-3</v>
      </c>
    </row>
    <row r="1758" spans="44:48" x14ac:dyDescent="0.2">
      <c r="AR1758">
        <v>1750</v>
      </c>
      <c r="AS1758">
        <v>841</v>
      </c>
      <c r="AT1758">
        <v>2</v>
      </c>
      <c r="AU1758">
        <v>14.923452528008815</v>
      </c>
      <c r="AV1758">
        <v>3.9281780117996689E-3</v>
      </c>
    </row>
    <row r="1759" spans="44:48" x14ac:dyDescent="0.2">
      <c r="AR1759">
        <v>1751</v>
      </c>
      <c r="AS1759">
        <v>842</v>
      </c>
      <c r="AT1759">
        <v>2</v>
      </c>
      <c r="AU1759">
        <v>14.95439305932616</v>
      </c>
      <c r="AV1759">
        <v>3.8573479995956E-3</v>
      </c>
    </row>
    <row r="1760" spans="44:48" x14ac:dyDescent="0.2">
      <c r="AR1760">
        <v>1752</v>
      </c>
      <c r="AS1760">
        <v>843</v>
      </c>
      <c r="AT1760">
        <v>2</v>
      </c>
      <c r="AU1760">
        <v>14.985333590643508</v>
      </c>
      <c r="AV1760">
        <v>3.7875976325245958E-3</v>
      </c>
    </row>
    <row r="1761" spans="44:48" x14ac:dyDescent="0.2">
      <c r="AR1761">
        <v>1753</v>
      </c>
      <c r="AS1761">
        <v>844</v>
      </c>
      <c r="AT1761">
        <v>2</v>
      </c>
      <c r="AU1761">
        <v>15.016274121960853</v>
      </c>
      <c r="AV1761">
        <v>3.7189145962504399E-3</v>
      </c>
    </row>
    <row r="1762" spans="44:48" x14ac:dyDescent="0.2">
      <c r="AR1762">
        <v>1754</v>
      </c>
      <c r="AS1762">
        <v>845</v>
      </c>
      <c r="AT1762">
        <v>2</v>
      </c>
      <c r="AU1762">
        <v>15.047214653278198</v>
      </c>
      <c r="AV1762">
        <v>3.6512866339762744E-3</v>
      </c>
    </row>
    <row r="1763" spans="44:48" x14ac:dyDescent="0.2">
      <c r="AR1763">
        <v>1755</v>
      </c>
      <c r="AS1763">
        <v>846</v>
      </c>
      <c r="AT1763">
        <v>2</v>
      </c>
      <c r="AU1763">
        <v>15.078155184595547</v>
      </c>
      <c r="AV1763">
        <v>3.5847015479344079E-3</v>
      </c>
    </row>
    <row r="1764" spans="44:48" x14ac:dyDescent="0.2">
      <c r="AR1764">
        <v>1756</v>
      </c>
      <c r="AS1764">
        <v>847</v>
      </c>
      <c r="AT1764">
        <v>2</v>
      </c>
      <c r="AU1764">
        <v>15.109095715912892</v>
      </c>
      <c r="AV1764">
        <v>3.5191472008338264E-3</v>
      </c>
    </row>
    <row r="1765" spans="44:48" x14ac:dyDescent="0.2">
      <c r="AR1765">
        <v>1757</v>
      </c>
      <c r="AS1765">
        <v>848</v>
      </c>
      <c r="AT1765">
        <v>2</v>
      </c>
      <c r="AU1765">
        <v>15.140036247230237</v>
      </c>
      <c r="AV1765">
        <v>3.4546115172656546E-3</v>
      </c>
    </row>
    <row r="1766" spans="44:48" x14ac:dyDescent="0.2">
      <c r="AR1766">
        <v>1758</v>
      </c>
      <c r="AS1766">
        <v>849</v>
      </c>
      <c r="AT1766">
        <v>2</v>
      </c>
      <c r="AU1766">
        <v>15.170976778547585</v>
      </c>
      <c r="AV1766">
        <v>3.3910824850670392E-3</v>
      </c>
    </row>
    <row r="1767" spans="44:48" x14ac:dyDescent="0.2">
      <c r="AR1767">
        <v>1759</v>
      </c>
      <c r="AS1767">
        <v>850</v>
      </c>
      <c r="AT1767">
        <v>2</v>
      </c>
      <c r="AU1767">
        <v>15.20191730986493</v>
      </c>
      <c r="AV1767">
        <v>3.3285481566437064E-3</v>
      </c>
    </row>
    <row r="1768" spans="44:48" x14ac:dyDescent="0.2">
      <c r="AR1768">
        <v>1760</v>
      </c>
      <c r="AS1768">
        <v>851</v>
      </c>
      <c r="AT1768">
        <v>2</v>
      </c>
      <c r="AU1768">
        <v>15.232857841182275</v>
      </c>
      <c r="AV1768">
        <v>3.2669966502515031E-3</v>
      </c>
    </row>
    <row r="1769" spans="44:48" x14ac:dyDescent="0.2">
      <c r="AR1769">
        <v>1761</v>
      </c>
      <c r="AS1769">
        <v>852</v>
      </c>
      <c r="AT1769">
        <v>2</v>
      </c>
      <c r="AU1769">
        <v>15.263798372499624</v>
      </c>
      <c r="AV1769">
        <v>3.206416151237383E-3</v>
      </c>
    </row>
    <row r="1770" spans="44:48" x14ac:dyDescent="0.2">
      <c r="AR1770">
        <v>1762</v>
      </c>
      <c r="AS1770">
        <v>853</v>
      </c>
      <c r="AT1770">
        <v>2</v>
      </c>
      <c r="AU1770">
        <v>15.294738903816969</v>
      </c>
      <c r="AV1770">
        <v>3.1467949132401554E-3</v>
      </c>
    </row>
    <row r="1771" spans="44:48" x14ac:dyDescent="0.2">
      <c r="AR1771">
        <v>1763</v>
      </c>
      <c r="AS1771">
        <v>854</v>
      </c>
      <c r="AT1771">
        <v>2</v>
      </c>
      <c r="AU1771">
        <v>15.325679435134317</v>
      </c>
      <c r="AV1771">
        <v>3.0881212593512775E-3</v>
      </c>
    </row>
    <row r="1772" spans="44:48" x14ac:dyDescent="0.2">
      <c r="AR1772">
        <v>1764</v>
      </c>
      <c r="AS1772">
        <v>855</v>
      </c>
      <c r="AT1772">
        <v>2</v>
      </c>
      <c r="AU1772">
        <v>15.356619966451662</v>
      </c>
      <c r="AV1772">
        <v>3.0303835832362659E-3</v>
      </c>
    </row>
    <row r="1773" spans="44:48" x14ac:dyDescent="0.2">
      <c r="AR1773">
        <v>1765</v>
      </c>
      <c r="AS1773">
        <v>856</v>
      </c>
      <c r="AT1773">
        <v>2</v>
      </c>
      <c r="AU1773">
        <v>15.387560497769007</v>
      </c>
      <c r="AV1773">
        <v>2.9735703502169072E-3</v>
      </c>
    </row>
    <row r="1774" spans="44:48" x14ac:dyDescent="0.2">
      <c r="AR1774">
        <v>1766</v>
      </c>
      <c r="AS1774">
        <v>857</v>
      </c>
      <c r="AT1774">
        <v>2</v>
      </c>
      <c r="AU1774">
        <v>15.418501029086356</v>
      </c>
      <c r="AV1774">
        <v>2.9176700983148079E-3</v>
      </c>
    </row>
    <row r="1775" spans="44:48" x14ac:dyDescent="0.2">
      <c r="AR1775">
        <v>1767</v>
      </c>
      <c r="AS1775">
        <v>858</v>
      </c>
      <c r="AT1775">
        <v>2</v>
      </c>
      <c r="AU1775">
        <v>15.449441560403701</v>
      </c>
      <c r="AV1775">
        <v>2.8626714392566339E-3</v>
      </c>
    </row>
    <row r="1776" spans="44:48" x14ac:dyDescent="0.2">
      <c r="AR1776">
        <v>1768</v>
      </c>
      <c r="AS1776">
        <v>859</v>
      </c>
      <c r="AT1776">
        <v>2</v>
      </c>
      <c r="AU1776">
        <v>15.480382091721046</v>
      </c>
      <c r="AV1776">
        <v>2.8085630594413963E-3</v>
      </c>
    </row>
    <row r="1777" spans="44:48" x14ac:dyDescent="0.2">
      <c r="AR1777">
        <v>1769</v>
      </c>
      <c r="AS1777">
        <v>860</v>
      </c>
      <c r="AT1777">
        <v>2</v>
      </c>
      <c r="AU1777">
        <v>15.511322623038394</v>
      </c>
      <c r="AV1777">
        <v>2.7553337208702944E-3</v>
      </c>
    </row>
    <row r="1778" spans="44:48" x14ac:dyDescent="0.2">
      <c r="AR1778">
        <v>1770</v>
      </c>
      <c r="AS1778">
        <v>861</v>
      </c>
      <c r="AT1778">
        <v>2</v>
      </c>
      <c r="AU1778">
        <v>15.542263154355739</v>
      </c>
      <c r="AV1778">
        <v>2.7029722620394679E-3</v>
      </c>
    </row>
    <row r="1779" spans="44:48" x14ac:dyDescent="0.2">
      <c r="AR1779">
        <v>1771</v>
      </c>
      <c r="AS1779">
        <v>862</v>
      </c>
      <c r="AT1779">
        <v>2</v>
      </c>
      <c r="AU1779">
        <v>15.573203685673084</v>
      </c>
      <c r="AV1779">
        <v>2.6514675987960828E-3</v>
      </c>
    </row>
    <row r="1780" spans="44:48" x14ac:dyDescent="0.2">
      <c r="AR1780">
        <v>1772</v>
      </c>
      <c r="AS1780">
        <v>863</v>
      </c>
      <c r="AT1780">
        <v>2</v>
      </c>
      <c r="AU1780">
        <v>15.604144216990433</v>
      </c>
      <c r="AV1780">
        <v>2.6008087251582126E-3</v>
      </c>
    </row>
    <row r="1781" spans="44:48" x14ac:dyDescent="0.2">
      <c r="AR1781">
        <v>1773</v>
      </c>
      <c r="AS1781">
        <v>864</v>
      </c>
      <c r="AT1781">
        <v>2</v>
      </c>
      <c r="AU1781">
        <v>15.635084748307778</v>
      </c>
      <c r="AV1781">
        <v>2.5509847140989502E-3</v>
      </c>
    </row>
    <row r="1782" spans="44:48" x14ac:dyDescent="0.2">
      <c r="AR1782">
        <v>1774</v>
      </c>
      <c r="AS1782">
        <v>865</v>
      </c>
      <c r="AT1782">
        <v>2</v>
      </c>
      <c r="AU1782">
        <v>15.666025279625126</v>
      </c>
      <c r="AV1782">
        <v>2.5019847182951123E-3</v>
      </c>
    </row>
    <row r="1783" spans="44:48" x14ac:dyDescent="0.2">
      <c r="AR1783">
        <v>1775</v>
      </c>
      <c r="AS1783">
        <v>866</v>
      </c>
      <c r="AT1783">
        <v>2</v>
      </c>
      <c r="AU1783">
        <v>15.696965810942471</v>
      </c>
      <c r="AV1783">
        <v>2.4537979708411117E-3</v>
      </c>
    </row>
    <row r="1784" spans="44:48" x14ac:dyDescent="0.2">
      <c r="AR1784">
        <v>1776</v>
      </c>
      <c r="AS1784">
        <v>867</v>
      </c>
      <c r="AT1784">
        <v>2</v>
      </c>
      <c r="AU1784">
        <v>15.727906342259816</v>
      </c>
      <c r="AV1784">
        <v>2.406413785928316E-3</v>
      </c>
    </row>
    <row r="1785" spans="44:48" x14ac:dyDescent="0.2">
      <c r="AR1785">
        <v>1777</v>
      </c>
      <c r="AS1785">
        <v>868</v>
      </c>
      <c r="AT1785">
        <v>2</v>
      </c>
      <c r="AU1785">
        <v>15.758846873577165</v>
      </c>
      <c r="AV1785">
        <v>2.3598215594904299E-3</v>
      </c>
    </row>
    <row r="1786" spans="44:48" x14ac:dyDescent="0.2">
      <c r="AR1786">
        <v>1778</v>
      </c>
      <c r="AS1786">
        <v>869</v>
      </c>
      <c r="AT1786">
        <v>2</v>
      </c>
      <c r="AU1786">
        <v>15.789787404894509</v>
      </c>
      <c r="AV1786">
        <v>2.3140107698153365E-3</v>
      </c>
    </row>
    <row r="1787" spans="44:48" x14ac:dyDescent="0.2">
      <c r="AR1787">
        <v>1779</v>
      </c>
      <c r="AS1787">
        <v>870</v>
      </c>
      <c r="AT1787">
        <v>2</v>
      </c>
      <c r="AU1787">
        <v>15.820727936211854</v>
      </c>
      <c r="AV1787">
        <v>2.2689709781237946E-3</v>
      </c>
    </row>
    <row r="1788" spans="44:48" x14ac:dyDescent="0.2">
      <c r="AR1788">
        <v>1780</v>
      </c>
      <c r="AS1788">
        <v>871</v>
      </c>
      <c r="AT1788">
        <v>2</v>
      </c>
      <c r="AU1788">
        <v>15.851668467529203</v>
      </c>
      <c r="AV1788">
        <v>2.2246918291155653E-3</v>
      </c>
    </row>
    <row r="1789" spans="44:48" x14ac:dyDescent="0.2">
      <c r="AR1789">
        <v>1781</v>
      </c>
      <c r="AS1789">
        <v>872</v>
      </c>
      <c r="AT1789">
        <v>2</v>
      </c>
      <c r="AU1789">
        <v>15.882608998846548</v>
      </c>
      <c r="AV1789">
        <v>2.18116305148334E-3</v>
      </c>
    </row>
    <row r="1790" spans="44:48" x14ac:dyDescent="0.2">
      <c r="AR1790">
        <v>1782</v>
      </c>
      <c r="AS1790">
        <v>873</v>
      </c>
      <c r="AT1790">
        <v>2</v>
      </c>
      <c r="AU1790">
        <v>15.913549530163893</v>
      </c>
      <c r="AV1790">
        <v>2.1383744583949684E-3</v>
      </c>
    </row>
    <row r="1791" spans="44:48" x14ac:dyDescent="0.2">
      <c r="AR1791">
        <v>1783</v>
      </c>
      <c r="AS1791">
        <v>874</v>
      </c>
      <c r="AT1791">
        <v>2</v>
      </c>
      <c r="AU1791">
        <v>15.944490061481241</v>
      </c>
      <c r="AV1791">
        <v>2.0963159479444608E-3</v>
      </c>
    </row>
    <row r="1792" spans="44:48" x14ac:dyDescent="0.2">
      <c r="AR1792">
        <v>1784</v>
      </c>
      <c r="AS1792">
        <v>875</v>
      </c>
      <c r="AT1792">
        <v>2</v>
      </c>
      <c r="AU1792">
        <v>15.975430592798586</v>
      </c>
      <c r="AV1792">
        <v>2.0549775035722507E-3</v>
      </c>
    </row>
    <row r="1793" spans="44:48" x14ac:dyDescent="0.2">
      <c r="AR1793">
        <v>1785</v>
      </c>
      <c r="AS1793">
        <v>876</v>
      </c>
      <c r="AT1793">
        <v>2</v>
      </c>
      <c r="AU1793">
        <v>16.006371124115937</v>
      </c>
      <c r="AV1793">
        <v>2.0143491944551164E-3</v>
      </c>
    </row>
    <row r="1794" spans="44:48" x14ac:dyDescent="0.2">
      <c r="AR1794">
        <v>1786</v>
      </c>
      <c r="AS1794">
        <v>877</v>
      </c>
      <c r="AT1794">
        <v>2</v>
      </c>
      <c r="AU1794">
        <v>16.037311655433278</v>
      </c>
      <c r="AV1794">
        <v>1.9744211758663715E-3</v>
      </c>
    </row>
    <row r="1795" spans="44:48" x14ac:dyDescent="0.2">
      <c r="AR1795">
        <v>1787</v>
      </c>
      <c r="AS1795">
        <v>878</v>
      </c>
      <c r="AT1795">
        <v>2</v>
      </c>
      <c r="AU1795">
        <v>16.068252186750627</v>
      </c>
      <c r="AV1795">
        <v>1.9351836895066155E-3</v>
      </c>
    </row>
    <row r="1796" spans="44:48" x14ac:dyDescent="0.2">
      <c r="AR1796">
        <v>1788</v>
      </c>
      <c r="AS1796">
        <v>879</v>
      </c>
      <c r="AT1796">
        <v>2</v>
      </c>
      <c r="AU1796">
        <v>16.099192718067975</v>
      </c>
      <c r="AV1796">
        <v>1.8966270638057518E-3</v>
      </c>
    </row>
    <row r="1797" spans="44:48" x14ac:dyDescent="0.2">
      <c r="AR1797">
        <v>1789</v>
      </c>
      <c r="AS1797">
        <v>880</v>
      </c>
      <c r="AT1797">
        <v>2</v>
      </c>
      <c r="AU1797">
        <v>16.130133249385317</v>
      </c>
      <c r="AV1797">
        <v>1.858741714196533E-3</v>
      </c>
    </row>
    <row r="1798" spans="44:48" x14ac:dyDescent="0.2">
      <c r="AR1798">
        <v>1790</v>
      </c>
      <c r="AS1798">
        <v>881</v>
      </c>
      <c r="AT1798">
        <v>2</v>
      </c>
      <c r="AU1798">
        <v>16.161073780702665</v>
      </c>
      <c r="AV1798">
        <v>1.8215181433602059E-3</v>
      </c>
    </row>
    <row r="1799" spans="44:48" x14ac:dyDescent="0.2">
      <c r="AR1799">
        <v>1791</v>
      </c>
      <c r="AS1799">
        <v>882</v>
      </c>
      <c r="AT1799">
        <v>2</v>
      </c>
      <c r="AU1799">
        <v>16.192014312020014</v>
      </c>
      <c r="AV1799">
        <v>1.784946941444815E-3</v>
      </c>
    </row>
    <row r="1800" spans="44:48" x14ac:dyDescent="0.2">
      <c r="AR1800">
        <v>1792</v>
      </c>
      <c r="AS1800">
        <v>883</v>
      </c>
      <c r="AT1800">
        <v>2</v>
      </c>
      <c r="AU1800">
        <v>16.222954843337355</v>
      </c>
      <c r="AV1800">
        <v>1.7490187862565015E-3</v>
      </c>
    </row>
    <row r="1801" spans="44:48" x14ac:dyDescent="0.2">
      <c r="AR1801">
        <v>1793</v>
      </c>
      <c r="AS1801">
        <v>884</v>
      </c>
      <c r="AT1801">
        <v>2</v>
      </c>
      <c r="AU1801">
        <v>16.253895374654704</v>
      </c>
      <c r="AV1801">
        <v>1.7137244434243203E-3</v>
      </c>
    </row>
    <row r="1802" spans="44:48" x14ac:dyDescent="0.2">
      <c r="AR1802">
        <v>1794</v>
      </c>
      <c r="AS1802">
        <v>885</v>
      </c>
      <c r="AT1802">
        <v>2</v>
      </c>
      <c r="AU1802">
        <v>16.284835905972052</v>
      </c>
      <c r="AV1802">
        <v>1.6790547665391728E-3</v>
      </c>
    </row>
    <row r="1803" spans="44:48" x14ac:dyDescent="0.2">
      <c r="AR1803">
        <v>1795</v>
      </c>
      <c r="AS1803">
        <v>886</v>
      </c>
      <c r="AT1803">
        <v>2</v>
      </c>
      <c r="AU1803">
        <v>16.315776437289394</v>
      </c>
      <c r="AV1803">
        <v>1.6450006972671513E-3</v>
      </c>
    </row>
    <row r="1804" spans="44:48" x14ac:dyDescent="0.2">
      <c r="AR1804">
        <v>1796</v>
      </c>
      <c r="AS1804">
        <v>887</v>
      </c>
      <c r="AT1804">
        <v>2</v>
      </c>
      <c r="AU1804">
        <v>16.346716968606742</v>
      </c>
      <c r="AV1804">
        <v>1.611553265437873E-3</v>
      </c>
    </row>
    <row r="1805" spans="44:48" x14ac:dyDescent="0.2">
      <c r="AR1805">
        <v>1797</v>
      </c>
      <c r="AS1805">
        <v>888</v>
      </c>
      <c r="AT1805">
        <v>2</v>
      </c>
      <c r="AU1805">
        <v>16.377657499924091</v>
      </c>
      <c r="AV1805">
        <v>1.5787035891083364E-3</v>
      </c>
    </row>
    <row r="1806" spans="44:48" x14ac:dyDescent="0.2">
      <c r="AR1806">
        <v>1798</v>
      </c>
      <c r="AS1806">
        <v>889</v>
      </c>
      <c r="AT1806">
        <v>2</v>
      </c>
      <c r="AU1806">
        <v>16.408598031241432</v>
      </c>
      <c r="AV1806">
        <v>1.5464428746026538E-3</v>
      </c>
    </row>
    <row r="1807" spans="44:48" x14ac:dyDescent="0.2">
      <c r="AR1807">
        <v>1799</v>
      </c>
      <c r="AS1807">
        <v>890</v>
      </c>
      <c r="AT1807">
        <v>2</v>
      </c>
      <c r="AU1807">
        <v>16.439538562558781</v>
      </c>
      <c r="AV1807">
        <v>1.5147624165281861E-3</v>
      </c>
    </row>
    <row r="1808" spans="44:48" x14ac:dyDescent="0.2">
      <c r="AR1808">
        <v>1800</v>
      </c>
      <c r="AS1808">
        <v>891</v>
      </c>
      <c r="AT1808">
        <v>2</v>
      </c>
      <c r="AU1808">
        <v>16.470479093876129</v>
      </c>
      <c r="AV1808">
        <v>1.4836535977686448E-3</v>
      </c>
    </row>
    <row r="1809" spans="44:48" x14ac:dyDescent="0.2">
      <c r="AR1809">
        <v>1801</v>
      </c>
      <c r="AS1809">
        <v>892</v>
      </c>
      <c r="AT1809">
        <v>2</v>
      </c>
      <c r="AU1809">
        <v>16.501419625193471</v>
      </c>
      <c r="AV1809">
        <v>1.4531078894544803E-3</v>
      </c>
    </row>
    <row r="1810" spans="44:48" x14ac:dyDescent="0.2">
      <c r="AR1810">
        <v>1802</v>
      </c>
      <c r="AS1810">
        <v>893</v>
      </c>
      <c r="AT1810">
        <v>2</v>
      </c>
      <c r="AU1810">
        <v>16.532360156510819</v>
      </c>
      <c r="AV1810">
        <v>1.4231168509111197E-3</v>
      </c>
    </row>
    <row r="1811" spans="44:48" x14ac:dyDescent="0.2">
      <c r="AR1811">
        <v>1803</v>
      </c>
      <c r="AS1811">
        <v>894</v>
      </c>
      <c r="AT1811">
        <v>2</v>
      </c>
      <c r="AU1811">
        <v>16.563300687828168</v>
      </c>
      <c r="AV1811">
        <v>1.3936721295855585E-3</v>
      </c>
    </row>
    <row r="1812" spans="44:48" x14ac:dyDescent="0.2">
      <c r="AR1812">
        <v>1804</v>
      </c>
      <c r="AS1812">
        <v>895</v>
      </c>
      <c r="AT1812">
        <v>2</v>
      </c>
      <c r="AU1812">
        <v>16.594241219145516</v>
      </c>
      <c r="AV1812">
        <v>1.364765460951685E-3</v>
      </c>
    </row>
    <row r="1813" spans="44:48" x14ac:dyDescent="0.2">
      <c r="AR1813">
        <v>1805</v>
      </c>
      <c r="AS1813">
        <v>896</v>
      </c>
      <c r="AT1813">
        <v>2</v>
      </c>
      <c r="AU1813">
        <v>16.625181750462858</v>
      </c>
      <c r="AV1813">
        <v>1.3363886683948635E-3</v>
      </c>
    </row>
    <row r="1814" spans="44:48" x14ac:dyDescent="0.2">
      <c r="AR1814">
        <v>1806</v>
      </c>
      <c r="AS1814">
        <v>897</v>
      </c>
      <c r="AT1814">
        <v>2</v>
      </c>
      <c r="AU1814">
        <v>16.656122281780206</v>
      </c>
      <c r="AV1814">
        <v>1.3085336630762063E-3</v>
      </c>
    </row>
    <row r="1815" spans="44:48" x14ac:dyDescent="0.2">
      <c r="AR1815">
        <v>1807</v>
      </c>
      <c r="AS1815">
        <v>898</v>
      </c>
      <c r="AT1815">
        <v>2</v>
      </c>
      <c r="AU1815">
        <v>16.687062813097555</v>
      </c>
      <c r="AV1815">
        <v>1.2811924437770678E-3</v>
      </c>
    </row>
    <row r="1816" spans="44:48" x14ac:dyDescent="0.2">
      <c r="AR1816">
        <v>1808</v>
      </c>
      <c r="AS1816">
        <v>899</v>
      </c>
      <c r="AT1816">
        <v>2</v>
      </c>
      <c r="AU1816">
        <v>16.718003344414896</v>
      </c>
      <c r="AV1816">
        <v>1.2543570967241317E-3</v>
      </c>
    </row>
    <row r="1817" spans="44:48" x14ac:dyDescent="0.2">
      <c r="AR1817">
        <v>1809</v>
      </c>
      <c r="AS1817">
        <v>900</v>
      </c>
      <c r="AT1817">
        <v>2</v>
      </c>
      <c r="AU1817">
        <v>16.748943875732245</v>
      </c>
      <c r="AV1817">
        <v>1.2280197953955737E-3</v>
      </c>
    </row>
    <row r="1818" spans="44:48" x14ac:dyDescent="0.2">
      <c r="AR1818">
        <v>1810</v>
      </c>
      <c r="AS1818">
        <v>901</v>
      </c>
      <c r="AT1818">
        <v>2</v>
      </c>
      <c r="AU1818">
        <v>16.779884407049593</v>
      </c>
      <c r="AV1818">
        <v>1.2021728003088327E-3</v>
      </c>
    </row>
    <row r="1819" spans="44:48" x14ac:dyDescent="0.2">
      <c r="AR1819">
        <v>1811</v>
      </c>
      <c r="AS1819">
        <v>902</v>
      </c>
      <c r="AT1819">
        <v>2</v>
      </c>
      <c r="AU1819">
        <v>16.810824938366935</v>
      </c>
      <c r="AV1819">
        <v>1.1768084587903218E-3</v>
      </c>
    </row>
    <row r="1820" spans="44:48" x14ac:dyDescent="0.2">
      <c r="AR1820">
        <v>1812</v>
      </c>
      <c r="AS1820">
        <v>903</v>
      </c>
      <c r="AT1820">
        <v>2</v>
      </c>
      <c r="AU1820">
        <v>16.841765469684283</v>
      </c>
      <c r="AV1820">
        <v>1.151919204727589E-3</v>
      </c>
    </row>
    <row r="1821" spans="44:48" x14ac:dyDescent="0.2">
      <c r="AR1821">
        <v>1813</v>
      </c>
      <c r="AS1821">
        <v>904</v>
      </c>
      <c r="AT1821">
        <v>2</v>
      </c>
      <c r="AU1821">
        <v>16.872706001001632</v>
      </c>
      <c r="AV1821">
        <v>1.1274975583044214E-3</v>
      </c>
    </row>
    <row r="1822" spans="44:48" x14ac:dyDescent="0.2">
      <c r="AR1822">
        <v>1814</v>
      </c>
      <c r="AS1822">
        <v>905</v>
      </c>
      <c r="AT1822">
        <v>2</v>
      </c>
      <c r="AU1822">
        <v>16.903646532318973</v>
      </c>
      <c r="AV1822">
        <v>1.1035361257192415E-3</v>
      </c>
    </row>
    <row r="1823" spans="44:48" x14ac:dyDescent="0.2">
      <c r="AR1823">
        <v>1815</v>
      </c>
      <c r="AS1823">
        <v>906</v>
      </c>
      <c r="AT1823">
        <v>2</v>
      </c>
      <c r="AU1823">
        <v>16.934587063636322</v>
      </c>
      <c r="AV1823">
        <v>1.0800275988872667E-3</v>
      </c>
    </row>
    <row r="1824" spans="44:48" x14ac:dyDescent="0.2">
      <c r="AR1824">
        <v>1816</v>
      </c>
      <c r="AS1824">
        <v>907</v>
      </c>
      <c r="AT1824">
        <v>2</v>
      </c>
      <c r="AU1824">
        <v>16.96552759495367</v>
      </c>
      <c r="AV1824">
        <v>1.0569647551269415E-3</v>
      </c>
    </row>
    <row r="1825" spans="44:48" x14ac:dyDescent="0.2">
      <c r="AR1825">
        <v>1817</v>
      </c>
      <c r="AS1825">
        <v>908</v>
      </c>
      <c r="AT1825">
        <v>2</v>
      </c>
      <c r="AU1825">
        <v>16.996468126271012</v>
      </c>
      <c r="AV1825">
        <v>1.0343404568309625E-3</v>
      </c>
    </row>
    <row r="1826" spans="44:48" x14ac:dyDescent="0.2">
      <c r="AR1826">
        <v>1818</v>
      </c>
      <c r="AS1826" t="e">
        <v>#N/A</v>
      </c>
      <c r="AT1826" t="e">
        <v>#N/A</v>
      </c>
      <c r="AU1826" t="e">
        <v>#N/A</v>
      </c>
      <c r="AV1826" t="e">
        <v>#N/A</v>
      </c>
    </row>
    <row r="1827" spans="44:48" x14ac:dyDescent="0.2">
      <c r="AR1827">
        <v>1819</v>
      </c>
      <c r="AS1827">
        <v>1</v>
      </c>
      <c r="AT1827">
        <v>3</v>
      </c>
      <c r="AU1827">
        <v>-11.066593778562057</v>
      </c>
      <c r="AV1827">
        <v>7.8958653652619854E-109</v>
      </c>
    </row>
    <row r="1828" spans="44:48" x14ac:dyDescent="0.2">
      <c r="AR1828">
        <v>1820</v>
      </c>
      <c r="AS1828">
        <v>2</v>
      </c>
      <c r="AT1828">
        <v>3</v>
      </c>
      <c r="AU1828">
        <v>-11.03565324724471</v>
      </c>
      <c r="AV1828">
        <v>3.0099715831720964E-108</v>
      </c>
    </row>
    <row r="1829" spans="44:48" x14ac:dyDescent="0.2">
      <c r="AR1829">
        <v>1821</v>
      </c>
      <c r="AS1829">
        <v>3</v>
      </c>
      <c r="AT1829">
        <v>3</v>
      </c>
      <c r="AU1829">
        <v>-11.004712715927365</v>
      </c>
      <c r="AV1829">
        <v>1.1432917185994642E-107</v>
      </c>
    </row>
    <row r="1830" spans="44:48" x14ac:dyDescent="0.2">
      <c r="AR1830">
        <v>1822</v>
      </c>
      <c r="AS1830">
        <v>4</v>
      </c>
      <c r="AT1830">
        <v>3</v>
      </c>
      <c r="AU1830">
        <v>-10.973772184610018</v>
      </c>
      <c r="AV1830">
        <v>4.3269683756551719E-107</v>
      </c>
    </row>
    <row r="1831" spans="44:48" x14ac:dyDescent="0.2">
      <c r="AR1831">
        <v>1823</v>
      </c>
      <c r="AS1831">
        <v>5</v>
      </c>
      <c r="AT1831">
        <v>3</v>
      </c>
      <c r="AU1831">
        <v>-10.942831653292671</v>
      </c>
      <c r="AV1831">
        <v>1.6317077852988018E-106</v>
      </c>
    </row>
    <row r="1832" spans="44:48" x14ac:dyDescent="0.2">
      <c r="AR1832">
        <v>1824</v>
      </c>
      <c r="AS1832">
        <v>6</v>
      </c>
      <c r="AT1832">
        <v>3</v>
      </c>
      <c r="AU1832">
        <v>-10.911891121975325</v>
      </c>
      <c r="AV1832">
        <v>6.1310244974141717E-106</v>
      </c>
    </row>
    <row r="1833" spans="44:48" x14ac:dyDescent="0.2">
      <c r="AR1833">
        <v>1825</v>
      </c>
      <c r="AS1833">
        <v>7</v>
      </c>
      <c r="AT1833">
        <v>3</v>
      </c>
      <c r="AU1833">
        <v>-10.88095059065798</v>
      </c>
      <c r="AV1833">
        <v>2.2953859464841246E-105</v>
      </c>
    </row>
    <row r="1834" spans="44:48" x14ac:dyDescent="0.2">
      <c r="AR1834">
        <v>1826</v>
      </c>
      <c r="AS1834">
        <v>8</v>
      </c>
      <c r="AT1834">
        <v>3</v>
      </c>
      <c r="AU1834">
        <v>-10.850010059340633</v>
      </c>
      <c r="AV1834">
        <v>8.5626932561326168E-105</v>
      </c>
    </row>
    <row r="1835" spans="44:48" x14ac:dyDescent="0.2">
      <c r="AR1835">
        <v>1827</v>
      </c>
      <c r="AS1835">
        <v>9</v>
      </c>
      <c r="AT1835">
        <v>3</v>
      </c>
      <c r="AU1835">
        <v>-10.819069528023286</v>
      </c>
      <c r="AV1835">
        <v>3.1827099050436568E-104</v>
      </c>
    </row>
    <row r="1836" spans="44:48" x14ac:dyDescent="0.2">
      <c r="AR1836">
        <v>1828</v>
      </c>
      <c r="AS1836">
        <v>10</v>
      </c>
      <c r="AT1836">
        <v>3</v>
      </c>
      <c r="AU1836">
        <v>-10.788128996705939</v>
      </c>
      <c r="AV1836">
        <v>1.178733770514617E-103</v>
      </c>
    </row>
    <row r="1837" spans="44:48" x14ac:dyDescent="0.2">
      <c r="AR1837">
        <v>1829</v>
      </c>
      <c r="AS1837">
        <v>11</v>
      </c>
      <c r="AT1837">
        <v>3</v>
      </c>
      <c r="AU1837">
        <v>-10.757188465388595</v>
      </c>
      <c r="AV1837">
        <v>4.3497710431098152E-103</v>
      </c>
    </row>
    <row r="1838" spans="44:48" x14ac:dyDescent="0.2">
      <c r="AR1838">
        <v>1830</v>
      </c>
      <c r="AS1838">
        <v>12</v>
      </c>
      <c r="AT1838">
        <v>3</v>
      </c>
      <c r="AU1838">
        <v>-10.726247934071248</v>
      </c>
      <c r="AV1838">
        <v>1.5993704606073632E-102</v>
      </c>
    </row>
    <row r="1839" spans="44:48" x14ac:dyDescent="0.2">
      <c r="AR1839">
        <v>1831</v>
      </c>
      <c r="AS1839">
        <v>13</v>
      </c>
      <c r="AT1839">
        <v>3</v>
      </c>
      <c r="AU1839">
        <v>-10.695307402753901</v>
      </c>
      <c r="AV1839">
        <v>5.8595429855072373E-102</v>
      </c>
    </row>
    <row r="1840" spans="44:48" x14ac:dyDescent="0.2">
      <c r="AR1840">
        <v>1832</v>
      </c>
      <c r="AS1840">
        <v>14</v>
      </c>
      <c r="AT1840">
        <v>3</v>
      </c>
      <c r="AU1840">
        <v>-10.664366871436556</v>
      </c>
      <c r="AV1840">
        <v>2.1389982031161021E-101</v>
      </c>
    </row>
    <row r="1841" spans="44:48" x14ac:dyDescent="0.2">
      <c r="AR1841">
        <v>1833</v>
      </c>
      <c r="AS1841">
        <v>15</v>
      </c>
      <c r="AT1841">
        <v>3</v>
      </c>
      <c r="AU1841">
        <v>-10.633426340119209</v>
      </c>
      <c r="AV1841">
        <v>7.7801701694733114E-101</v>
      </c>
    </row>
    <row r="1842" spans="44:48" x14ac:dyDescent="0.2">
      <c r="AR1842">
        <v>1834</v>
      </c>
      <c r="AS1842">
        <v>16</v>
      </c>
      <c r="AT1842">
        <v>3</v>
      </c>
      <c r="AU1842">
        <v>-10.602485808801863</v>
      </c>
      <c r="AV1842">
        <v>2.8196796734254682E-100</v>
      </c>
    </row>
    <row r="1843" spans="44:48" x14ac:dyDescent="0.2">
      <c r="AR1843">
        <v>1835</v>
      </c>
      <c r="AS1843">
        <v>17</v>
      </c>
      <c r="AT1843">
        <v>3</v>
      </c>
      <c r="AU1843">
        <v>-10.571545277484516</v>
      </c>
      <c r="AV1843">
        <v>1.0182219436585973E-99</v>
      </c>
    </row>
    <row r="1844" spans="44:48" x14ac:dyDescent="0.2">
      <c r="AR1844">
        <v>1836</v>
      </c>
      <c r="AS1844">
        <v>18</v>
      </c>
      <c r="AT1844">
        <v>3</v>
      </c>
      <c r="AU1844">
        <v>-10.540604746167171</v>
      </c>
      <c r="AV1844">
        <v>3.6636766124232273E-99</v>
      </c>
    </row>
    <row r="1845" spans="44:48" x14ac:dyDescent="0.2">
      <c r="AR1845">
        <v>1837</v>
      </c>
      <c r="AS1845">
        <v>19</v>
      </c>
      <c r="AT1845">
        <v>3</v>
      </c>
      <c r="AU1845">
        <v>-10.509664214849824</v>
      </c>
      <c r="AV1845">
        <v>1.3134810551302044E-98</v>
      </c>
    </row>
    <row r="1846" spans="44:48" x14ac:dyDescent="0.2">
      <c r="AR1846">
        <v>1838</v>
      </c>
      <c r="AS1846">
        <v>20</v>
      </c>
      <c r="AT1846">
        <v>3</v>
      </c>
      <c r="AU1846">
        <v>-10.478723683532477</v>
      </c>
      <c r="AV1846">
        <v>4.6920485298598326E-98</v>
      </c>
    </row>
    <row r="1847" spans="44:48" x14ac:dyDescent="0.2">
      <c r="AR1847">
        <v>1839</v>
      </c>
      <c r="AS1847">
        <v>21</v>
      </c>
      <c r="AT1847">
        <v>3</v>
      </c>
      <c r="AU1847">
        <v>-10.447783152215131</v>
      </c>
      <c r="AV1847">
        <v>1.6700642473176901E-97</v>
      </c>
    </row>
    <row r="1848" spans="44:48" x14ac:dyDescent="0.2">
      <c r="AR1848">
        <v>1840</v>
      </c>
      <c r="AS1848">
        <v>22</v>
      </c>
      <c r="AT1848">
        <v>3</v>
      </c>
      <c r="AU1848">
        <v>-10.416842620897786</v>
      </c>
      <c r="AV1848">
        <v>5.9229199536182569E-97</v>
      </c>
    </row>
    <row r="1849" spans="44:48" x14ac:dyDescent="0.2">
      <c r="AR1849">
        <v>1841</v>
      </c>
      <c r="AS1849">
        <v>23</v>
      </c>
      <c r="AT1849">
        <v>3</v>
      </c>
      <c r="AU1849">
        <v>-10.385902089580439</v>
      </c>
      <c r="AV1849">
        <v>2.093006365022992E-96</v>
      </c>
    </row>
    <row r="1850" spans="44:48" x14ac:dyDescent="0.2">
      <c r="AR1850">
        <v>1842</v>
      </c>
      <c r="AS1850">
        <v>24</v>
      </c>
      <c r="AT1850">
        <v>3</v>
      </c>
      <c r="AU1850">
        <v>-10.354961558263092</v>
      </c>
      <c r="AV1850">
        <v>7.3694866420330707E-96</v>
      </c>
    </row>
    <row r="1851" spans="44:48" x14ac:dyDescent="0.2">
      <c r="AR1851">
        <v>1843</v>
      </c>
      <c r="AS1851">
        <v>25</v>
      </c>
      <c r="AT1851">
        <v>3</v>
      </c>
      <c r="AU1851">
        <v>-10.324021026945747</v>
      </c>
      <c r="AV1851">
        <v>2.5854486945126084E-95</v>
      </c>
    </row>
    <row r="1852" spans="44:48" x14ac:dyDescent="0.2">
      <c r="AR1852">
        <v>1844</v>
      </c>
      <c r="AS1852">
        <v>26</v>
      </c>
      <c r="AT1852">
        <v>3</v>
      </c>
      <c r="AU1852">
        <v>-10.2930804956284</v>
      </c>
      <c r="AV1852">
        <v>9.0378808873458173E-95</v>
      </c>
    </row>
    <row r="1853" spans="44:48" x14ac:dyDescent="0.2">
      <c r="AR1853">
        <v>1845</v>
      </c>
      <c r="AS1853">
        <v>27</v>
      </c>
      <c r="AT1853">
        <v>3</v>
      </c>
      <c r="AU1853">
        <v>-10.262139964311054</v>
      </c>
      <c r="AV1853">
        <v>3.1479607139525274E-94</v>
      </c>
    </row>
    <row r="1854" spans="44:48" x14ac:dyDescent="0.2">
      <c r="AR1854">
        <v>1846</v>
      </c>
      <c r="AS1854">
        <v>28</v>
      </c>
      <c r="AT1854">
        <v>3</v>
      </c>
      <c r="AU1854">
        <v>-10.231199432993707</v>
      </c>
      <c r="AV1854">
        <v>1.0925064141647055E-93</v>
      </c>
    </row>
    <row r="1855" spans="44:48" x14ac:dyDescent="0.2">
      <c r="AR1855">
        <v>1847</v>
      </c>
      <c r="AS1855">
        <v>29</v>
      </c>
      <c r="AT1855">
        <v>3</v>
      </c>
      <c r="AU1855">
        <v>-10.200258901676362</v>
      </c>
      <c r="AV1855">
        <v>3.7779020019269401E-93</v>
      </c>
    </row>
    <row r="1856" spans="44:48" x14ac:dyDescent="0.2">
      <c r="AR1856">
        <v>1848</v>
      </c>
      <c r="AS1856">
        <v>30</v>
      </c>
      <c r="AT1856">
        <v>3</v>
      </c>
      <c r="AU1856">
        <v>-10.169318370359015</v>
      </c>
      <c r="AV1856">
        <v>1.3016954361739666E-92</v>
      </c>
    </row>
    <row r="1857" spans="44:48" x14ac:dyDescent="0.2">
      <c r="AR1857">
        <v>1849</v>
      </c>
      <c r="AS1857">
        <v>31</v>
      </c>
      <c r="AT1857">
        <v>3</v>
      </c>
      <c r="AU1857">
        <v>-10.138377839041668</v>
      </c>
      <c r="AV1857">
        <v>4.4688942450020825E-92</v>
      </c>
    </row>
    <row r="1858" spans="44:48" x14ac:dyDescent="0.2">
      <c r="AR1858">
        <v>1850</v>
      </c>
      <c r="AS1858">
        <v>32</v>
      </c>
      <c r="AT1858">
        <v>3</v>
      </c>
      <c r="AU1858">
        <v>-10.107437307724322</v>
      </c>
      <c r="AV1858">
        <v>1.5287017884453798E-91</v>
      </c>
    </row>
    <row r="1859" spans="44:48" x14ac:dyDescent="0.2">
      <c r="AR1859">
        <v>1851</v>
      </c>
      <c r="AS1859">
        <v>33</v>
      </c>
      <c r="AT1859">
        <v>3</v>
      </c>
      <c r="AU1859">
        <v>-10.076496776406977</v>
      </c>
      <c r="AV1859">
        <v>5.2104768558349349E-91</v>
      </c>
    </row>
    <row r="1860" spans="44:48" x14ac:dyDescent="0.2">
      <c r="AR1860">
        <v>1852</v>
      </c>
      <c r="AS1860">
        <v>34</v>
      </c>
      <c r="AT1860">
        <v>3</v>
      </c>
      <c r="AU1860">
        <v>-10.04555624508963</v>
      </c>
      <c r="AV1860">
        <v>1.7695554247316797E-90</v>
      </c>
    </row>
    <row r="1861" spans="44:48" x14ac:dyDescent="0.2">
      <c r="AR1861">
        <v>1853</v>
      </c>
      <c r="AS1861">
        <v>35</v>
      </c>
      <c r="AT1861">
        <v>3</v>
      </c>
      <c r="AU1861">
        <v>-10.014615713772283</v>
      </c>
      <c r="AV1861">
        <v>5.9880148637177865E-90</v>
      </c>
    </row>
    <row r="1862" spans="44:48" x14ac:dyDescent="0.2">
      <c r="AR1862">
        <v>1854</v>
      </c>
      <c r="AS1862">
        <v>36</v>
      </c>
      <c r="AT1862">
        <v>3</v>
      </c>
      <c r="AU1862">
        <v>-9.9836751824549363</v>
      </c>
      <c r="AV1862">
        <v>2.0189872238062232E-89</v>
      </c>
    </row>
    <row r="1863" spans="44:48" x14ac:dyDescent="0.2">
      <c r="AR1863">
        <v>1855</v>
      </c>
      <c r="AS1863">
        <v>37</v>
      </c>
      <c r="AT1863">
        <v>3</v>
      </c>
      <c r="AU1863">
        <v>-9.9527346511375914</v>
      </c>
      <c r="AV1863">
        <v>6.7829134099034451E-89</v>
      </c>
    </row>
    <row r="1864" spans="44:48" x14ac:dyDescent="0.2">
      <c r="AR1864">
        <v>1856</v>
      </c>
      <c r="AS1864">
        <v>38</v>
      </c>
      <c r="AT1864">
        <v>3</v>
      </c>
      <c r="AU1864">
        <v>-9.9217941198202446</v>
      </c>
      <c r="AV1864">
        <v>2.2705495102986558E-88</v>
      </c>
    </row>
    <row r="1865" spans="44:48" x14ac:dyDescent="0.2">
      <c r="AR1865">
        <v>1857</v>
      </c>
      <c r="AS1865">
        <v>39</v>
      </c>
      <c r="AT1865">
        <v>3</v>
      </c>
      <c r="AU1865">
        <v>-9.8908535885028979</v>
      </c>
      <c r="AV1865">
        <v>7.5731695647981975E-88</v>
      </c>
    </row>
    <row r="1866" spans="44:48" x14ac:dyDescent="0.2">
      <c r="AR1866">
        <v>1858</v>
      </c>
      <c r="AS1866">
        <v>40</v>
      </c>
      <c r="AT1866">
        <v>3</v>
      </c>
      <c r="AU1866">
        <v>-9.8599130571855511</v>
      </c>
      <c r="AV1866">
        <v>2.516844514824131E-87</v>
      </c>
    </row>
    <row r="1867" spans="44:48" x14ac:dyDescent="0.2">
      <c r="AR1867">
        <v>1859</v>
      </c>
      <c r="AS1867">
        <v>41</v>
      </c>
      <c r="AT1867">
        <v>3</v>
      </c>
      <c r="AU1867">
        <v>-9.8289725258682061</v>
      </c>
      <c r="AV1867">
        <v>8.3342609346852336E-87</v>
      </c>
    </row>
    <row r="1868" spans="44:48" x14ac:dyDescent="0.2">
      <c r="AR1868">
        <v>1860</v>
      </c>
      <c r="AS1868">
        <v>42</v>
      </c>
      <c r="AT1868">
        <v>3</v>
      </c>
      <c r="AU1868">
        <v>-9.7980319945508594</v>
      </c>
      <c r="AV1868">
        <v>2.7498550477644454E-86</v>
      </c>
    </row>
    <row r="1869" spans="44:48" x14ac:dyDescent="0.2">
      <c r="AR1869">
        <v>1861</v>
      </c>
      <c r="AS1869">
        <v>43</v>
      </c>
      <c r="AT1869">
        <v>3</v>
      </c>
      <c r="AU1869">
        <v>-9.7670914632335126</v>
      </c>
      <c r="AV1869">
        <v>9.0403347255353612E-86</v>
      </c>
    </row>
    <row r="1870" spans="44:48" x14ac:dyDescent="0.2">
      <c r="AR1870">
        <v>1862</v>
      </c>
      <c r="AS1870">
        <v>44</v>
      </c>
      <c r="AT1870">
        <v>3</v>
      </c>
      <c r="AU1870">
        <v>-9.7361509319161677</v>
      </c>
      <c r="AV1870">
        <v>2.9613601047892777E-85</v>
      </c>
    </row>
    <row r="1871" spans="44:48" x14ac:dyDescent="0.2">
      <c r="AR1871">
        <v>1863</v>
      </c>
      <c r="AS1871">
        <v>45</v>
      </c>
      <c r="AT1871">
        <v>3</v>
      </c>
      <c r="AU1871">
        <v>-9.7052104005988209</v>
      </c>
      <c r="AV1871">
        <v>9.6656248050350436E-85</v>
      </c>
    </row>
    <row r="1872" spans="44:48" x14ac:dyDescent="0.2">
      <c r="AR1872">
        <v>1864</v>
      </c>
      <c r="AS1872">
        <v>46</v>
      </c>
      <c r="AT1872">
        <v>3</v>
      </c>
      <c r="AU1872">
        <v>-9.6742698692814741</v>
      </c>
      <c r="AV1872">
        <v>3.1434072153904632E-84</v>
      </c>
    </row>
    <row r="1873" spans="44:48" x14ac:dyDescent="0.2">
      <c r="AR1873">
        <v>1865</v>
      </c>
      <c r="AS1873">
        <v>47</v>
      </c>
      <c r="AT1873">
        <v>3</v>
      </c>
      <c r="AU1873">
        <v>-9.6433293379641274</v>
      </c>
      <c r="AV1873">
        <v>1.018599267858762E-83</v>
      </c>
    </row>
    <row r="1874" spans="44:48" x14ac:dyDescent="0.2">
      <c r="AR1874">
        <v>1866</v>
      </c>
      <c r="AS1874">
        <v>48</v>
      </c>
      <c r="AT1874">
        <v>3</v>
      </c>
      <c r="AU1874">
        <v>-9.6123888066467824</v>
      </c>
      <c r="AV1874">
        <v>3.2888046273435866E-83</v>
      </c>
    </row>
    <row r="1875" spans="44:48" x14ac:dyDescent="0.2">
      <c r="AR1875">
        <v>1867</v>
      </c>
      <c r="AS1875">
        <v>49</v>
      </c>
      <c r="AT1875">
        <v>3</v>
      </c>
      <c r="AU1875">
        <v>-9.5814482753294357</v>
      </c>
      <c r="AV1875">
        <v>1.0580465883189055E-82</v>
      </c>
    </row>
    <row r="1876" spans="44:48" x14ac:dyDescent="0.2">
      <c r="AR1876">
        <v>1868</v>
      </c>
      <c r="AS1876">
        <v>50</v>
      </c>
      <c r="AT1876">
        <v>3</v>
      </c>
      <c r="AU1876">
        <v>-9.5505077440120889</v>
      </c>
      <c r="AV1876">
        <v>3.3915912694102346E-82</v>
      </c>
    </row>
    <row r="1877" spans="44:48" x14ac:dyDescent="0.2">
      <c r="AR1877">
        <v>1869</v>
      </c>
      <c r="AS1877">
        <v>51</v>
      </c>
      <c r="AT1877">
        <v>3</v>
      </c>
      <c r="AU1877">
        <v>-9.5195672126947422</v>
      </c>
      <c r="AV1877">
        <v>1.0832637924429206E-81</v>
      </c>
    </row>
    <row r="1878" spans="44:48" x14ac:dyDescent="0.2">
      <c r="AR1878">
        <v>1870</v>
      </c>
      <c r="AS1878">
        <v>52</v>
      </c>
      <c r="AT1878">
        <v>3</v>
      </c>
      <c r="AU1878">
        <v>-9.4886266813773972</v>
      </c>
      <c r="AV1878">
        <v>3.4474418321010928E-81</v>
      </c>
    </row>
    <row r="1879" spans="44:48" x14ac:dyDescent="0.2">
      <c r="AR1879">
        <v>1871</v>
      </c>
      <c r="AS1879">
        <v>53</v>
      </c>
      <c r="AT1879">
        <v>3</v>
      </c>
      <c r="AU1879">
        <v>-9.4576861500600504</v>
      </c>
      <c r="AV1879">
        <v>1.0931799763740036E-80</v>
      </c>
    </row>
    <row r="1880" spans="44:48" x14ac:dyDescent="0.2">
      <c r="AR1880">
        <v>1872</v>
      </c>
      <c r="AS1880">
        <v>54</v>
      </c>
      <c r="AT1880">
        <v>3</v>
      </c>
      <c r="AU1880">
        <v>-9.4267456187427037</v>
      </c>
      <c r="AV1880">
        <v>3.4539686421476313E-80</v>
      </c>
    </row>
    <row r="1881" spans="44:48" x14ac:dyDescent="0.2">
      <c r="AR1881">
        <v>1873</v>
      </c>
      <c r="AS1881">
        <v>55</v>
      </c>
      <c r="AT1881">
        <v>3</v>
      </c>
      <c r="AU1881">
        <v>-9.3958050874253587</v>
      </c>
      <c r="AV1881">
        <v>1.0873694163631187E-79</v>
      </c>
    </row>
    <row r="1882" spans="44:48" x14ac:dyDescent="0.2">
      <c r="AR1882">
        <v>1874</v>
      </c>
      <c r="AS1882">
        <v>56</v>
      </c>
      <c r="AT1882">
        <v>3</v>
      </c>
      <c r="AU1882">
        <v>-9.3648645561080119</v>
      </c>
      <c r="AV1882">
        <v>3.4108909779612618E-79</v>
      </c>
    </row>
    <row r="1883" spans="44:48" x14ac:dyDescent="0.2">
      <c r="AR1883">
        <v>1875</v>
      </c>
      <c r="AS1883">
        <v>57</v>
      </c>
      <c r="AT1883">
        <v>3</v>
      </c>
      <c r="AU1883">
        <v>-9.3339240247906652</v>
      </c>
      <c r="AV1883">
        <v>1.0660818855191144E-78</v>
      </c>
    </row>
    <row r="1884" spans="44:48" x14ac:dyDescent="0.2">
      <c r="AR1884">
        <v>1876</v>
      </c>
      <c r="AS1884">
        <v>58</v>
      </c>
      <c r="AT1884">
        <v>3</v>
      </c>
      <c r="AU1884">
        <v>-9.3029834934733184</v>
      </c>
      <c r="AV1884">
        <v>3.3200550967748686E-78</v>
      </c>
    </row>
    <row r="1885" spans="44:48" x14ac:dyDescent="0.2">
      <c r="AR1885">
        <v>1877</v>
      </c>
      <c r="AS1885">
        <v>59</v>
      </c>
      <c r="AT1885">
        <v>3</v>
      </c>
      <c r="AU1885">
        <v>-9.2720429621559735</v>
      </c>
      <c r="AV1885">
        <v>1.0302248446759421E-77</v>
      </c>
    </row>
    <row r="1886" spans="44:48" x14ac:dyDescent="0.2">
      <c r="AR1886">
        <v>1878</v>
      </c>
      <c r="AS1886">
        <v>60</v>
      </c>
      <c r="AT1886">
        <v>3</v>
      </c>
      <c r="AU1886">
        <v>-9.2411024308386267</v>
      </c>
      <c r="AV1886">
        <v>3.1853029827196188E-77</v>
      </c>
    </row>
    <row r="1887" spans="44:48" x14ac:dyDescent="0.2">
      <c r="AR1887">
        <v>1879</v>
      </c>
      <c r="AS1887">
        <v>61</v>
      </c>
      <c r="AT1887">
        <v>3</v>
      </c>
      <c r="AU1887">
        <v>-9.2101618995212799</v>
      </c>
      <c r="AV1887">
        <v>9.8129927664660541E-77</v>
      </c>
    </row>
    <row r="1888" spans="44:48" x14ac:dyDescent="0.2">
      <c r="AR1888">
        <v>1880</v>
      </c>
      <c r="AS1888">
        <v>62</v>
      </c>
      <c r="AT1888">
        <v>3</v>
      </c>
      <c r="AU1888">
        <v>-9.1792213682039332</v>
      </c>
      <c r="AV1888">
        <v>3.0122028168685722E-76</v>
      </c>
    </row>
    <row r="1889" spans="44:48" x14ac:dyDescent="0.2">
      <c r="AR1889">
        <v>1881</v>
      </c>
      <c r="AS1889">
        <v>63</v>
      </c>
      <c r="AT1889">
        <v>3</v>
      </c>
      <c r="AU1889">
        <v>-9.1482808368865882</v>
      </c>
      <c r="AV1889">
        <v>9.2129548560427093E-76</v>
      </c>
    </row>
    <row r="1890" spans="44:48" x14ac:dyDescent="0.2">
      <c r="AR1890">
        <v>1882</v>
      </c>
      <c r="AS1890">
        <v>64</v>
      </c>
      <c r="AT1890">
        <v>3</v>
      </c>
      <c r="AU1890">
        <v>-9.1173403055692415</v>
      </c>
      <c r="AV1890">
        <v>2.8076675141564772E-75</v>
      </c>
    </row>
    <row r="1891" spans="44:48" x14ac:dyDescent="0.2">
      <c r="AR1891">
        <v>1883</v>
      </c>
      <c r="AS1891">
        <v>65</v>
      </c>
      <c r="AT1891">
        <v>3</v>
      </c>
      <c r="AU1891">
        <v>-9.0863997742518947</v>
      </c>
      <c r="AV1891">
        <v>8.5255893881224977E-75</v>
      </c>
    </row>
    <row r="1892" spans="44:48" x14ac:dyDescent="0.2">
      <c r="AR1892">
        <v>1884</v>
      </c>
      <c r="AS1892">
        <v>66</v>
      </c>
      <c r="AT1892">
        <v>3</v>
      </c>
      <c r="AU1892">
        <v>-9.0554592429345497</v>
      </c>
      <c r="AV1892">
        <v>2.5794977210252634E-74</v>
      </c>
    </row>
    <row r="1893" spans="44:48" x14ac:dyDescent="0.2">
      <c r="AR1893">
        <v>1885</v>
      </c>
      <c r="AS1893">
        <v>67</v>
      </c>
      <c r="AT1893">
        <v>3</v>
      </c>
      <c r="AU1893">
        <v>-9.024518711617203</v>
      </c>
      <c r="AV1893">
        <v>7.7763873657747568E-74</v>
      </c>
    </row>
    <row r="1894" spans="44:48" x14ac:dyDescent="0.2">
      <c r="AR1894">
        <v>1886</v>
      </c>
      <c r="AS1894">
        <v>68</v>
      </c>
      <c r="AT1894">
        <v>3</v>
      </c>
      <c r="AU1894">
        <v>-8.9935781802998562</v>
      </c>
      <c r="AV1894">
        <v>2.3358912758965909E-73</v>
      </c>
    </row>
    <row r="1895" spans="44:48" x14ac:dyDescent="0.2">
      <c r="AR1895">
        <v>1887</v>
      </c>
      <c r="AS1895">
        <v>69</v>
      </c>
      <c r="AT1895">
        <v>3</v>
      </c>
      <c r="AU1895">
        <v>-8.9626376489825095</v>
      </c>
      <c r="AV1895">
        <v>6.9913229590273467E-73</v>
      </c>
    </row>
    <row r="1896" spans="44:48" x14ac:dyDescent="0.2">
      <c r="AR1896">
        <v>1888</v>
      </c>
      <c r="AS1896">
        <v>70</v>
      </c>
      <c r="AT1896">
        <v>3</v>
      </c>
      <c r="AU1896">
        <v>-8.9316971176651627</v>
      </c>
      <c r="AV1896">
        <v>2.0849618150994228E-72</v>
      </c>
    </row>
    <row r="1897" spans="44:48" x14ac:dyDescent="0.2">
      <c r="AR1897">
        <v>1889</v>
      </c>
      <c r="AS1897">
        <v>71</v>
      </c>
      <c r="AT1897">
        <v>3</v>
      </c>
      <c r="AU1897">
        <v>-8.9007565863478177</v>
      </c>
      <c r="AV1897">
        <v>6.1953928144643241E-72</v>
      </c>
    </row>
    <row r="1898" spans="44:48" x14ac:dyDescent="0.2">
      <c r="AR1898">
        <v>1890</v>
      </c>
      <c r="AS1898">
        <v>72</v>
      </c>
      <c r="AT1898">
        <v>3</v>
      </c>
      <c r="AU1898">
        <v>-8.869816055030471</v>
      </c>
      <c r="AV1898">
        <v>1.8343051740622444E-71</v>
      </c>
    </row>
    <row r="1899" spans="44:48" x14ac:dyDescent="0.2">
      <c r="AR1899">
        <v>1891</v>
      </c>
      <c r="AS1899">
        <v>73</v>
      </c>
      <c r="AT1899">
        <v>3</v>
      </c>
      <c r="AU1899">
        <v>-8.8388755237131242</v>
      </c>
      <c r="AV1899">
        <v>5.411358860560027E-71</v>
      </c>
    </row>
    <row r="1900" spans="44:48" x14ac:dyDescent="0.2">
      <c r="AR1900">
        <v>1892</v>
      </c>
      <c r="AS1900">
        <v>74</v>
      </c>
      <c r="AT1900">
        <v>3</v>
      </c>
      <c r="AU1900">
        <v>-8.8079349923957793</v>
      </c>
      <c r="AV1900">
        <v>1.5906443286214837E-70</v>
      </c>
    </row>
    <row r="1901" spans="44:48" x14ac:dyDescent="0.2">
      <c r="AR1901">
        <v>1893</v>
      </c>
      <c r="AS1901">
        <v>75</v>
      </c>
      <c r="AT1901">
        <v>3</v>
      </c>
      <c r="AU1901">
        <v>-8.7769944610784325</v>
      </c>
      <c r="AV1901">
        <v>4.6587759865141098E-70</v>
      </c>
    </row>
    <row r="1902" spans="44:48" x14ac:dyDescent="0.2">
      <c r="AR1902">
        <v>1894</v>
      </c>
      <c r="AS1902">
        <v>76</v>
      </c>
      <c r="AT1902">
        <v>3</v>
      </c>
      <c r="AU1902">
        <v>-8.7460539297610858</v>
      </c>
      <c r="AV1902">
        <v>1.3595731410554596E-69</v>
      </c>
    </row>
    <row r="1903" spans="44:48" x14ac:dyDescent="0.2">
      <c r="AR1903">
        <v>1895</v>
      </c>
      <c r="AS1903">
        <v>77</v>
      </c>
      <c r="AT1903">
        <v>3</v>
      </c>
      <c r="AU1903">
        <v>-8.7151133984437408</v>
      </c>
      <c r="AV1903">
        <v>3.9533505493407267E-69</v>
      </c>
    </row>
    <row r="1904" spans="44:48" x14ac:dyDescent="0.2">
      <c r="AR1904">
        <v>1896</v>
      </c>
      <c r="AS1904">
        <v>78</v>
      </c>
      <c r="AT1904">
        <v>3</v>
      </c>
      <c r="AU1904">
        <v>-8.684172867126394</v>
      </c>
      <c r="AV1904">
        <v>1.1454076411034291E-68</v>
      </c>
    </row>
    <row r="1905" spans="44:48" x14ac:dyDescent="0.2">
      <c r="AR1905">
        <v>1897</v>
      </c>
      <c r="AS1905">
        <v>79</v>
      </c>
      <c r="AT1905">
        <v>3</v>
      </c>
      <c r="AU1905">
        <v>-8.6532323358090473</v>
      </c>
      <c r="AV1905">
        <v>3.3066393342134144E-68</v>
      </c>
    </row>
    <row r="1906" spans="44:48" x14ac:dyDescent="0.2">
      <c r="AR1906">
        <v>1898</v>
      </c>
      <c r="AS1906">
        <v>80</v>
      </c>
      <c r="AT1906">
        <v>3</v>
      </c>
      <c r="AU1906">
        <v>-8.6222918044917005</v>
      </c>
      <c r="AV1906">
        <v>9.5114248389189186E-68</v>
      </c>
    </row>
    <row r="1907" spans="44:48" x14ac:dyDescent="0.2">
      <c r="AR1907">
        <v>1899</v>
      </c>
      <c r="AS1907">
        <v>81</v>
      </c>
      <c r="AT1907">
        <v>3</v>
      </c>
      <c r="AU1907">
        <v>-8.5913512731743538</v>
      </c>
      <c r="AV1907">
        <v>2.7260657999402907E-67</v>
      </c>
    </row>
    <row r="1908" spans="44:48" x14ac:dyDescent="0.2">
      <c r="AR1908">
        <v>1900</v>
      </c>
      <c r="AS1908">
        <v>82</v>
      </c>
      <c r="AT1908">
        <v>3</v>
      </c>
      <c r="AU1908">
        <v>-8.5604107418570088</v>
      </c>
      <c r="AV1908">
        <v>7.7850084709157253E-67</v>
      </c>
    </row>
    <row r="1909" spans="44:48" x14ac:dyDescent="0.2">
      <c r="AR1909">
        <v>1901</v>
      </c>
      <c r="AS1909">
        <v>83</v>
      </c>
      <c r="AT1909">
        <v>3</v>
      </c>
      <c r="AU1909">
        <v>-8.529470210539662</v>
      </c>
      <c r="AV1909">
        <v>2.2152046060855445E-66</v>
      </c>
    </row>
    <row r="1910" spans="44:48" x14ac:dyDescent="0.2">
      <c r="AR1910">
        <v>1902</v>
      </c>
      <c r="AS1910">
        <v>84</v>
      </c>
      <c r="AT1910">
        <v>3</v>
      </c>
      <c r="AU1910">
        <v>-8.4985296792223153</v>
      </c>
      <c r="AV1910">
        <v>6.2805923121045047E-66</v>
      </c>
    </row>
    <row r="1911" spans="44:48" x14ac:dyDescent="0.2">
      <c r="AR1911">
        <v>1903</v>
      </c>
      <c r="AS1911">
        <v>85</v>
      </c>
      <c r="AT1911">
        <v>3</v>
      </c>
      <c r="AU1911">
        <v>-8.4675891479049703</v>
      </c>
      <c r="AV1911">
        <v>1.7742685803570002E-65</v>
      </c>
    </row>
    <row r="1912" spans="44:48" x14ac:dyDescent="0.2">
      <c r="AR1912">
        <v>1904</v>
      </c>
      <c r="AS1912">
        <v>86</v>
      </c>
      <c r="AT1912">
        <v>3</v>
      </c>
      <c r="AU1912">
        <v>-8.4366486165876236</v>
      </c>
      <c r="AV1912">
        <v>4.9942481998360121E-65</v>
      </c>
    </row>
    <row r="1913" spans="44:48" x14ac:dyDescent="0.2">
      <c r="AR1913">
        <v>1905</v>
      </c>
      <c r="AS1913">
        <v>87</v>
      </c>
      <c r="AT1913">
        <v>3</v>
      </c>
      <c r="AU1913">
        <v>-8.4057080852702768</v>
      </c>
      <c r="AV1913">
        <v>1.4007250089991455E-64</v>
      </c>
    </row>
    <row r="1914" spans="44:48" x14ac:dyDescent="0.2">
      <c r="AR1914">
        <v>1906</v>
      </c>
      <c r="AS1914">
        <v>88</v>
      </c>
      <c r="AT1914">
        <v>3</v>
      </c>
      <c r="AU1914">
        <v>-8.3747675539529318</v>
      </c>
      <c r="AV1914">
        <v>3.9144220120955479E-64</v>
      </c>
    </row>
    <row r="1915" spans="44:48" x14ac:dyDescent="0.2">
      <c r="AR1915">
        <v>1907</v>
      </c>
      <c r="AS1915">
        <v>89</v>
      </c>
      <c r="AT1915">
        <v>3</v>
      </c>
      <c r="AU1915">
        <v>-8.3438270226355851</v>
      </c>
      <c r="AV1915">
        <v>1.0899696576365807E-63</v>
      </c>
    </row>
    <row r="1916" spans="44:48" x14ac:dyDescent="0.2">
      <c r="AR1916">
        <v>1908</v>
      </c>
      <c r="AS1916">
        <v>90</v>
      </c>
      <c r="AT1916">
        <v>3</v>
      </c>
      <c r="AU1916">
        <v>-8.3128864913182383</v>
      </c>
      <c r="AV1916">
        <v>3.024079282045792E-63</v>
      </c>
    </row>
    <row r="1917" spans="44:48" x14ac:dyDescent="0.2">
      <c r="AR1917">
        <v>1909</v>
      </c>
      <c r="AS1917">
        <v>91</v>
      </c>
      <c r="AT1917">
        <v>3</v>
      </c>
      <c r="AU1917">
        <v>-8.2819459600008916</v>
      </c>
      <c r="AV1917">
        <v>8.3599549775530124E-63</v>
      </c>
    </row>
    <row r="1918" spans="44:48" x14ac:dyDescent="0.2">
      <c r="AR1918">
        <v>1910</v>
      </c>
      <c r="AS1918">
        <v>92</v>
      </c>
      <c r="AT1918">
        <v>3</v>
      </c>
      <c r="AU1918">
        <v>-8.2510054286835448</v>
      </c>
      <c r="AV1918">
        <v>2.3027495465067531E-62</v>
      </c>
    </row>
    <row r="1919" spans="44:48" x14ac:dyDescent="0.2">
      <c r="AR1919">
        <v>1911</v>
      </c>
      <c r="AS1919">
        <v>93</v>
      </c>
      <c r="AT1919">
        <v>3</v>
      </c>
      <c r="AU1919">
        <v>-8.2200648973661998</v>
      </c>
      <c r="AV1919">
        <v>6.3200639612319229E-62</v>
      </c>
    </row>
    <row r="1920" spans="44:48" x14ac:dyDescent="0.2">
      <c r="AR1920">
        <v>1912</v>
      </c>
      <c r="AS1920">
        <v>94</v>
      </c>
      <c r="AT1920">
        <v>3</v>
      </c>
      <c r="AU1920">
        <v>-8.1891243660488531</v>
      </c>
      <c r="AV1920">
        <v>1.7283362653418599E-61</v>
      </c>
    </row>
    <row r="1921" spans="44:48" x14ac:dyDescent="0.2">
      <c r="AR1921">
        <v>1913</v>
      </c>
      <c r="AS1921">
        <v>95</v>
      </c>
      <c r="AT1921">
        <v>3</v>
      </c>
      <c r="AU1921">
        <v>-8.1581838347315063</v>
      </c>
      <c r="AV1921">
        <v>4.7094155468836893E-61</v>
      </c>
    </row>
    <row r="1922" spans="44:48" x14ac:dyDescent="0.2">
      <c r="AR1922">
        <v>1914</v>
      </c>
      <c r="AS1922">
        <v>96</v>
      </c>
      <c r="AT1922">
        <v>3</v>
      </c>
      <c r="AU1922">
        <v>-8.1272433034141613</v>
      </c>
      <c r="AV1922">
        <v>1.2786090815769618E-60</v>
      </c>
    </row>
    <row r="1923" spans="44:48" x14ac:dyDescent="0.2">
      <c r="AR1923">
        <v>1915</v>
      </c>
      <c r="AS1923">
        <v>97</v>
      </c>
      <c r="AT1923">
        <v>3</v>
      </c>
      <c r="AU1923">
        <v>-8.0963027720968146</v>
      </c>
      <c r="AV1923">
        <v>3.4589203188913352E-60</v>
      </c>
    </row>
    <row r="1924" spans="44:48" x14ac:dyDescent="0.2">
      <c r="AR1924">
        <v>1916</v>
      </c>
      <c r="AS1924">
        <v>98</v>
      </c>
      <c r="AT1924">
        <v>3</v>
      </c>
      <c r="AU1924">
        <v>-8.0653622407794678</v>
      </c>
      <c r="AV1924">
        <v>9.3234217775051494E-60</v>
      </c>
    </row>
    <row r="1925" spans="44:48" x14ac:dyDescent="0.2">
      <c r="AR1925">
        <v>1917</v>
      </c>
      <c r="AS1925">
        <v>99</v>
      </c>
      <c r="AT1925">
        <v>3</v>
      </c>
      <c r="AU1925">
        <v>-8.0344217094621229</v>
      </c>
      <c r="AV1925">
        <v>2.5040448693083858E-59</v>
      </c>
    </row>
    <row r="1926" spans="44:48" x14ac:dyDescent="0.2">
      <c r="AR1926">
        <v>1918</v>
      </c>
      <c r="AS1926">
        <v>100</v>
      </c>
      <c r="AT1926">
        <v>3</v>
      </c>
      <c r="AU1926">
        <v>-8.0034811781447761</v>
      </c>
      <c r="AV1926">
        <v>6.7010195181630528E-59</v>
      </c>
    </row>
    <row r="1927" spans="44:48" x14ac:dyDescent="0.2">
      <c r="AR1927">
        <v>1919</v>
      </c>
      <c r="AS1927">
        <v>101</v>
      </c>
      <c r="AT1927">
        <v>3</v>
      </c>
      <c r="AU1927">
        <v>-7.9725406468274294</v>
      </c>
      <c r="AV1927">
        <v>1.7867823770278942E-58</v>
      </c>
    </row>
    <row r="1928" spans="44:48" x14ac:dyDescent="0.2">
      <c r="AR1928">
        <v>1920</v>
      </c>
      <c r="AS1928">
        <v>102</v>
      </c>
      <c r="AT1928">
        <v>3</v>
      </c>
      <c r="AU1928">
        <v>-7.9416001155100826</v>
      </c>
      <c r="AV1928">
        <v>4.7471662245993643E-58</v>
      </c>
    </row>
    <row r="1929" spans="44:48" x14ac:dyDescent="0.2">
      <c r="AR1929">
        <v>1921</v>
      </c>
      <c r="AS1929">
        <v>103</v>
      </c>
      <c r="AT1929">
        <v>3</v>
      </c>
      <c r="AU1929">
        <v>-7.9106595841927367</v>
      </c>
      <c r="AV1929">
        <v>1.2566930662002624E-57</v>
      </c>
    </row>
    <row r="1930" spans="44:48" x14ac:dyDescent="0.2">
      <c r="AR1930">
        <v>1922</v>
      </c>
      <c r="AS1930">
        <v>104</v>
      </c>
      <c r="AT1930">
        <v>3</v>
      </c>
      <c r="AU1930">
        <v>-7.8797190528753909</v>
      </c>
      <c r="AV1930">
        <v>3.3147898463662011E-57</v>
      </c>
    </row>
    <row r="1931" spans="44:48" x14ac:dyDescent="0.2">
      <c r="AR1931">
        <v>1923</v>
      </c>
      <c r="AS1931">
        <v>105</v>
      </c>
      <c r="AT1931">
        <v>3</v>
      </c>
      <c r="AU1931">
        <v>-7.8487785215580441</v>
      </c>
      <c r="AV1931">
        <v>8.7119381208696113E-57</v>
      </c>
    </row>
    <row r="1932" spans="44:48" x14ac:dyDescent="0.2">
      <c r="AR1932">
        <v>1924</v>
      </c>
      <c r="AS1932">
        <v>106</v>
      </c>
      <c r="AT1932">
        <v>3</v>
      </c>
      <c r="AU1932">
        <v>-7.8178379902406974</v>
      </c>
      <c r="AV1932">
        <v>2.2814216860118924E-56</v>
      </c>
    </row>
    <row r="1933" spans="44:48" x14ac:dyDescent="0.2">
      <c r="AR1933">
        <v>1925</v>
      </c>
      <c r="AS1933">
        <v>107</v>
      </c>
      <c r="AT1933">
        <v>3</v>
      </c>
      <c r="AU1933">
        <v>-7.7868974589233515</v>
      </c>
      <c r="AV1933">
        <v>5.952896749225243E-56</v>
      </c>
    </row>
    <row r="1934" spans="44:48" x14ac:dyDescent="0.2">
      <c r="AR1934">
        <v>1926</v>
      </c>
      <c r="AS1934">
        <v>108</v>
      </c>
      <c r="AT1934">
        <v>3</v>
      </c>
      <c r="AU1934">
        <v>-7.7559569276060056</v>
      </c>
      <c r="AV1934">
        <v>1.5476870034019303E-55</v>
      </c>
    </row>
    <row r="1935" spans="44:48" x14ac:dyDescent="0.2">
      <c r="AR1935">
        <v>1927</v>
      </c>
      <c r="AS1935">
        <v>109</v>
      </c>
      <c r="AT1935">
        <v>3</v>
      </c>
      <c r="AU1935">
        <v>-7.7250163962886589</v>
      </c>
      <c r="AV1935">
        <v>4.0093126340050309E-55</v>
      </c>
    </row>
    <row r="1936" spans="44:48" x14ac:dyDescent="0.2">
      <c r="AR1936">
        <v>1928</v>
      </c>
      <c r="AS1936">
        <v>110</v>
      </c>
      <c r="AT1936">
        <v>3</v>
      </c>
      <c r="AU1936">
        <v>-7.694075864971313</v>
      </c>
      <c r="AV1936">
        <v>1.0348769420389884E-54</v>
      </c>
    </row>
    <row r="1937" spans="44:48" x14ac:dyDescent="0.2">
      <c r="AR1937">
        <v>1929</v>
      </c>
      <c r="AS1937">
        <v>111</v>
      </c>
      <c r="AT1937">
        <v>3</v>
      </c>
      <c r="AU1937">
        <v>-7.6631353336539672</v>
      </c>
      <c r="AV1937">
        <v>2.6615798491844735E-54</v>
      </c>
    </row>
    <row r="1938" spans="44:48" x14ac:dyDescent="0.2">
      <c r="AR1938">
        <v>1930</v>
      </c>
      <c r="AS1938">
        <v>112</v>
      </c>
      <c r="AT1938">
        <v>3</v>
      </c>
      <c r="AU1938">
        <v>-7.6321948023366204</v>
      </c>
      <c r="AV1938">
        <v>6.8205954383486623E-54</v>
      </c>
    </row>
    <row r="1939" spans="44:48" x14ac:dyDescent="0.2">
      <c r="AR1939">
        <v>1931</v>
      </c>
      <c r="AS1939">
        <v>113</v>
      </c>
      <c r="AT1939">
        <v>3</v>
      </c>
      <c r="AU1939">
        <v>-7.6012542710192736</v>
      </c>
      <c r="AV1939">
        <v>1.7415545483810685E-53</v>
      </c>
    </row>
    <row r="1940" spans="44:48" x14ac:dyDescent="0.2">
      <c r="AR1940">
        <v>1932</v>
      </c>
      <c r="AS1940">
        <v>114</v>
      </c>
      <c r="AT1940">
        <v>3</v>
      </c>
      <c r="AU1940">
        <v>-7.5703137397019278</v>
      </c>
      <c r="AV1940">
        <v>4.4308176250764073E-53</v>
      </c>
    </row>
    <row r="1941" spans="44:48" x14ac:dyDescent="0.2">
      <c r="AR1941">
        <v>1933</v>
      </c>
      <c r="AS1941">
        <v>115</v>
      </c>
      <c r="AT1941">
        <v>3</v>
      </c>
      <c r="AU1941">
        <v>-7.5393732083845819</v>
      </c>
      <c r="AV1941">
        <v>1.1232144152831884E-52</v>
      </c>
    </row>
    <row r="1942" spans="44:48" x14ac:dyDescent="0.2">
      <c r="AR1942">
        <v>1934</v>
      </c>
      <c r="AS1942">
        <v>116</v>
      </c>
      <c r="AT1942">
        <v>3</v>
      </c>
      <c r="AU1942">
        <v>-7.5084326770672352</v>
      </c>
      <c r="AV1942">
        <v>2.8370922908020588E-52</v>
      </c>
    </row>
    <row r="1943" spans="44:48" x14ac:dyDescent="0.2">
      <c r="AR1943">
        <v>1935</v>
      </c>
      <c r="AS1943">
        <v>117</v>
      </c>
      <c r="AT1943">
        <v>3</v>
      </c>
      <c r="AU1943">
        <v>-7.4774921457498884</v>
      </c>
      <c r="AV1943">
        <v>7.1402967263552053E-52</v>
      </c>
    </row>
    <row r="1944" spans="44:48" x14ac:dyDescent="0.2">
      <c r="AR1944">
        <v>1936</v>
      </c>
      <c r="AS1944">
        <v>118</v>
      </c>
      <c r="AT1944">
        <v>3</v>
      </c>
      <c r="AU1944">
        <v>-7.4465516144325425</v>
      </c>
      <c r="AV1944">
        <v>1.7905689839421796E-51</v>
      </c>
    </row>
    <row r="1945" spans="44:48" x14ac:dyDescent="0.2">
      <c r="AR1945">
        <v>1937</v>
      </c>
      <c r="AS1945">
        <v>119</v>
      </c>
      <c r="AT1945">
        <v>3</v>
      </c>
      <c r="AU1945">
        <v>-7.4156110831151967</v>
      </c>
      <c r="AV1945">
        <v>4.4740193292526419E-51</v>
      </c>
    </row>
    <row r="1946" spans="44:48" x14ac:dyDescent="0.2">
      <c r="AR1946">
        <v>1938</v>
      </c>
      <c r="AS1946">
        <v>120</v>
      </c>
      <c r="AT1946">
        <v>3</v>
      </c>
      <c r="AU1946">
        <v>-7.3846705517978499</v>
      </c>
      <c r="AV1946">
        <v>1.1138755109236945E-50</v>
      </c>
    </row>
    <row r="1947" spans="44:48" x14ac:dyDescent="0.2">
      <c r="AR1947">
        <v>1939</v>
      </c>
      <c r="AS1947">
        <v>121</v>
      </c>
      <c r="AT1947">
        <v>3</v>
      </c>
      <c r="AU1947">
        <v>-7.3537300204805032</v>
      </c>
      <c r="AV1947">
        <v>2.7631690571353121E-50</v>
      </c>
    </row>
    <row r="1948" spans="44:48" x14ac:dyDescent="0.2">
      <c r="AR1948">
        <v>1940</v>
      </c>
      <c r="AS1948">
        <v>122</v>
      </c>
      <c r="AT1948">
        <v>3</v>
      </c>
      <c r="AU1948">
        <v>-7.3227894891631573</v>
      </c>
      <c r="AV1948">
        <v>6.8298357428981811E-50</v>
      </c>
    </row>
    <row r="1949" spans="44:48" x14ac:dyDescent="0.2">
      <c r="AR1949">
        <v>1941</v>
      </c>
      <c r="AS1949">
        <v>123</v>
      </c>
      <c r="AT1949">
        <v>3</v>
      </c>
      <c r="AU1949">
        <v>-7.2918489578458114</v>
      </c>
      <c r="AV1949">
        <v>1.6820738623865436E-49</v>
      </c>
    </row>
    <row r="1950" spans="44:48" x14ac:dyDescent="0.2">
      <c r="AR1950">
        <v>1942</v>
      </c>
      <c r="AS1950">
        <v>124</v>
      </c>
      <c r="AT1950">
        <v>3</v>
      </c>
      <c r="AU1950">
        <v>-7.2609084265284647</v>
      </c>
      <c r="AV1950">
        <v>4.1277355613165093E-49</v>
      </c>
    </row>
    <row r="1951" spans="44:48" x14ac:dyDescent="0.2">
      <c r="AR1951">
        <v>1943</v>
      </c>
      <c r="AS1951">
        <v>125</v>
      </c>
      <c r="AT1951">
        <v>3</v>
      </c>
      <c r="AU1951">
        <v>-7.2299678952111188</v>
      </c>
      <c r="AV1951">
        <v>1.0092776884065007E-48</v>
      </c>
    </row>
    <row r="1952" spans="44:48" x14ac:dyDescent="0.2">
      <c r="AR1952">
        <v>1944</v>
      </c>
      <c r="AS1952">
        <v>126</v>
      </c>
      <c r="AT1952">
        <v>3</v>
      </c>
      <c r="AU1952">
        <v>-7.199027363893773</v>
      </c>
      <c r="AV1952">
        <v>2.4589034681814454E-48</v>
      </c>
    </row>
    <row r="1953" spans="44:48" x14ac:dyDescent="0.2">
      <c r="AR1953">
        <v>1945</v>
      </c>
      <c r="AS1953">
        <v>127</v>
      </c>
      <c r="AT1953">
        <v>3</v>
      </c>
      <c r="AU1953">
        <v>-7.1680868325764262</v>
      </c>
      <c r="AV1953">
        <v>5.9690372284279862E-48</v>
      </c>
    </row>
    <row r="1954" spans="44:48" x14ac:dyDescent="0.2">
      <c r="AR1954">
        <v>1946</v>
      </c>
      <c r="AS1954">
        <v>128</v>
      </c>
      <c r="AT1954">
        <v>3</v>
      </c>
      <c r="AU1954">
        <v>-7.1371463012590795</v>
      </c>
      <c r="AV1954">
        <v>1.443773601650614E-47</v>
      </c>
    </row>
    <row r="1955" spans="44:48" x14ac:dyDescent="0.2">
      <c r="AR1955">
        <v>1947</v>
      </c>
      <c r="AS1955">
        <v>129</v>
      </c>
      <c r="AT1955">
        <v>3</v>
      </c>
      <c r="AU1955">
        <v>-7.1062057699417336</v>
      </c>
      <c r="AV1955">
        <v>3.4795726390788419E-47</v>
      </c>
    </row>
    <row r="1956" spans="44:48" x14ac:dyDescent="0.2">
      <c r="AR1956">
        <v>1948</v>
      </c>
      <c r="AS1956">
        <v>130</v>
      </c>
      <c r="AT1956">
        <v>3</v>
      </c>
      <c r="AU1956">
        <v>-7.0752652386243877</v>
      </c>
      <c r="AV1956">
        <v>8.3557361696117891E-47</v>
      </c>
    </row>
    <row r="1957" spans="44:48" x14ac:dyDescent="0.2">
      <c r="AR1957">
        <v>1949</v>
      </c>
      <c r="AS1957">
        <v>131</v>
      </c>
      <c r="AT1957">
        <v>3</v>
      </c>
      <c r="AU1957">
        <v>-7.044324707307041</v>
      </c>
      <c r="AV1957">
        <v>1.9992887928943999E-46</v>
      </c>
    </row>
    <row r="1958" spans="44:48" x14ac:dyDescent="0.2">
      <c r="AR1958">
        <v>1950</v>
      </c>
      <c r="AS1958">
        <v>132</v>
      </c>
      <c r="AT1958">
        <v>3</v>
      </c>
      <c r="AU1958">
        <v>-7.0133841759896951</v>
      </c>
      <c r="AV1958">
        <v>4.7664862602271251E-46</v>
      </c>
    </row>
    <row r="1959" spans="44:48" x14ac:dyDescent="0.2">
      <c r="AR1959">
        <v>1951</v>
      </c>
      <c r="AS1959">
        <v>133</v>
      </c>
      <c r="AT1959">
        <v>3</v>
      </c>
      <c r="AU1959">
        <v>-6.9824436446723483</v>
      </c>
      <c r="AV1959">
        <v>1.1322782384658742E-45</v>
      </c>
    </row>
    <row r="1960" spans="44:48" x14ac:dyDescent="0.2">
      <c r="AR1960">
        <v>1952</v>
      </c>
      <c r="AS1960">
        <v>134</v>
      </c>
      <c r="AT1960">
        <v>3</v>
      </c>
      <c r="AU1960">
        <v>-6.9515031133550025</v>
      </c>
      <c r="AV1960">
        <v>2.6800319831221933E-45</v>
      </c>
    </row>
    <row r="1961" spans="44:48" x14ac:dyDescent="0.2">
      <c r="AR1961">
        <v>1953</v>
      </c>
      <c r="AS1961">
        <v>135</v>
      </c>
      <c r="AT1961">
        <v>3</v>
      </c>
      <c r="AU1961">
        <v>-6.9205625820376557</v>
      </c>
      <c r="AV1961">
        <v>6.3206070951882761E-45</v>
      </c>
    </row>
    <row r="1962" spans="44:48" x14ac:dyDescent="0.2">
      <c r="AR1962">
        <v>1954</v>
      </c>
      <c r="AS1962">
        <v>136</v>
      </c>
      <c r="AT1962">
        <v>3</v>
      </c>
      <c r="AU1962">
        <v>-6.8896220507203099</v>
      </c>
      <c r="AV1962">
        <v>1.4852843771079541E-44</v>
      </c>
    </row>
    <row r="1963" spans="44:48" x14ac:dyDescent="0.2">
      <c r="AR1963">
        <v>1955</v>
      </c>
      <c r="AS1963">
        <v>137</v>
      </c>
      <c r="AT1963">
        <v>3</v>
      </c>
      <c r="AU1963">
        <v>-6.8586815194029631</v>
      </c>
      <c r="AV1963">
        <v>3.4777025419806003E-44</v>
      </c>
    </row>
    <row r="1964" spans="44:48" x14ac:dyDescent="0.2">
      <c r="AR1964">
        <v>1956</v>
      </c>
      <c r="AS1964">
        <v>138</v>
      </c>
      <c r="AT1964">
        <v>3</v>
      </c>
      <c r="AU1964">
        <v>-6.8277409880856172</v>
      </c>
      <c r="AV1964">
        <v>8.1134815660428212E-44</v>
      </c>
    </row>
    <row r="1965" spans="44:48" x14ac:dyDescent="0.2">
      <c r="AR1965">
        <v>1957</v>
      </c>
      <c r="AS1965">
        <v>139</v>
      </c>
      <c r="AT1965">
        <v>3</v>
      </c>
      <c r="AU1965">
        <v>-6.7968004567682705</v>
      </c>
      <c r="AV1965">
        <v>1.8860537958357762E-43</v>
      </c>
    </row>
    <row r="1966" spans="44:48" x14ac:dyDescent="0.2">
      <c r="AR1966">
        <v>1958</v>
      </c>
      <c r="AS1966">
        <v>140</v>
      </c>
      <c r="AT1966">
        <v>3</v>
      </c>
      <c r="AU1966">
        <v>-6.7658599254509246</v>
      </c>
      <c r="AV1966">
        <v>4.3685056252802812E-43</v>
      </c>
    </row>
    <row r="1967" spans="44:48" x14ac:dyDescent="0.2">
      <c r="AR1967">
        <v>1959</v>
      </c>
      <c r="AS1967">
        <v>141</v>
      </c>
      <c r="AT1967">
        <v>3</v>
      </c>
      <c r="AU1967">
        <v>-6.7349193941335779</v>
      </c>
      <c r="AV1967">
        <v>1.0081931068974035E-42</v>
      </c>
    </row>
    <row r="1968" spans="44:48" x14ac:dyDescent="0.2">
      <c r="AR1968">
        <v>1960</v>
      </c>
      <c r="AS1968">
        <v>142</v>
      </c>
      <c r="AT1968">
        <v>3</v>
      </c>
      <c r="AU1968">
        <v>-6.703978862816232</v>
      </c>
      <c r="AV1968">
        <v>2.3183902916126293E-42</v>
      </c>
    </row>
    <row r="1969" spans="44:48" x14ac:dyDescent="0.2">
      <c r="AR1969">
        <v>1961</v>
      </c>
      <c r="AS1969">
        <v>143</v>
      </c>
      <c r="AT1969">
        <v>3</v>
      </c>
      <c r="AU1969">
        <v>-6.6730383314988861</v>
      </c>
      <c r="AV1969">
        <v>5.3120404859853061E-42</v>
      </c>
    </row>
    <row r="1970" spans="44:48" x14ac:dyDescent="0.2">
      <c r="AR1970">
        <v>1962</v>
      </c>
      <c r="AS1970">
        <v>144</v>
      </c>
      <c r="AT1970">
        <v>3</v>
      </c>
      <c r="AU1970">
        <v>-6.6420978001815394</v>
      </c>
      <c r="AV1970">
        <v>1.2127414023784201E-41</v>
      </c>
    </row>
    <row r="1971" spans="44:48" x14ac:dyDescent="0.2">
      <c r="AR1971">
        <v>1963</v>
      </c>
      <c r="AS1971">
        <v>145</v>
      </c>
      <c r="AT1971">
        <v>3</v>
      </c>
      <c r="AU1971">
        <v>-6.6111572688641935</v>
      </c>
      <c r="AV1971">
        <v>2.758716253657488E-41</v>
      </c>
    </row>
    <row r="1972" spans="44:48" x14ac:dyDescent="0.2">
      <c r="AR1972">
        <v>1964</v>
      </c>
      <c r="AS1972">
        <v>146</v>
      </c>
      <c r="AT1972">
        <v>3</v>
      </c>
      <c r="AU1972">
        <v>-6.5802167375468468</v>
      </c>
      <c r="AV1972">
        <v>6.2528478914700354E-41</v>
      </c>
    </row>
    <row r="1973" spans="44:48" x14ac:dyDescent="0.2">
      <c r="AR1973">
        <v>1965</v>
      </c>
      <c r="AS1973">
        <v>147</v>
      </c>
      <c r="AT1973">
        <v>3</v>
      </c>
      <c r="AU1973">
        <v>-6.5492762062295009</v>
      </c>
      <c r="AV1973">
        <v>1.4121495618496795E-40</v>
      </c>
    </row>
    <row r="1974" spans="44:48" x14ac:dyDescent="0.2">
      <c r="AR1974">
        <v>1966</v>
      </c>
      <c r="AS1974">
        <v>148</v>
      </c>
      <c r="AT1974">
        <v>3</v>
      </c>
      <c r="AU1974">
        <v>-6.5183356749121542</v>
      </c>
      <c r="AV1974">
        <v>3.177719275710278E-40</v>
      </c>
    </row>
    <row r="1975" spans="44:48" x14ac:dyDescent="0.2">
      <c r="AR1975">
        <v>1967</v>
      </c>
      <c r="AS1975">
        <v>149</v>
      </c>
      <c r="AT1975">
        <v>3</v>
      </c>
      <c r="AU1975">
        <v>-6.4873951435948083</v>
      </c>
      <c r="AV1975">
        <v>7.1249588805546711E-40</v>
      </c>
    </row>
    <row r="1976" spans="44:48" x14ac:dyDescent="0.2">
      <c r="AR1976">
        <v>1968</v>
      </c>
      <c r="AS1976">
        <v>150</v>
      </c>
      <c r="AT1976">
        <v>3</v>
      </c>
      <c r="AU1976">
        <v>-6.4564546122774615</v>
      </c>
      <c r="AV1976">
        <v>1.5917732329868587E-39</v>
      </c>
    </row>
    <row r="1977" spans="44:48" x14ac:dyDescent="0.2">
      <c r="AR1977">
        <v>1969</v>
      </c>
      <c r="AS1977">
        <v>151</v>
      </c>
      <c r="AT1977">
        <v>3</v>
      </c>
      <c r="AU1977">
        <v>-6.4255140809601157</v>
      </c>
      <c r="AV1977">
        <v>3.5433335281216505E-39</v>
      </c>
    </row>
    <row r="1978" spans="44:48" x14ac:dyDescent="0.2">
      <c r="AR1978">
        <v>1970</v>
      </c>
      <c r="AS1978">
        <v>152</v>
      </c>
      <c r="AT1978">
        <v>3</v>
      </c>
      <c r="AU1978">
        <v>-6.3945735496427689</v>
      </c>
      <c r="AV1978">
        <v>7.8591372117207993E-39</v>
      </c>
    </row>
    <row r="1979" spans="44:48" x14ac:dyDescent="0.2">
      <c r="AR1979">
        <v>1971</v>
      </c>
      <c r="AS1979">
        <v>153</v>
      </c>
      <c r="AT1979">
        <v>3</v>
      </c>
      <c r="AU1979">
        <v>-6.3636330183254231</v>
      </c>
      <c r="AV1979">
        <v>1.7368795817854983E-38</v>
      </c>
    </row>
    <row r="1980" spans="44:48" x14ac:dyDescent="0.2">
      <c r="AR1980">
        <v>1972</v>
      </c>
      <c r="AS1980">
        <v>154</v>
      </c>
      <c r="AT1980">
        <v>3</v>
      </c>
      <c r="AU1980">
        <v>-6.3326924870080763</v>
      </c>
      <c r="AV1980">
        <v>3.8246927233208055E-38</v>
      </c>
    </row>
    <row r="1981" spans="44:48" x14ac:dyDescent="0.2">
      <c r="AR1981">
        <v>1973</v>
      </c>
      <c r="AS1981">
        <v>155</v>
      </c>
      <c r="AT1981">
        <v>3</v>
      </c>
      <c r="AU1981">
        <v>-6.3017519556907304</v>
      </c>
      <c r="AV1981">
        <v>8.3918051340454907E-38</v>
      </c>
    </row>
    <row r="1982" spans="44:48" x14ac:dyDescent="0.2">
      <c r="AR1982">
        <v>1974</v>
      </c>
      <c r="AS1982">
        <v>156</v>
      </c>
      <c r="AT1982">
        <v>3</v>
      </c>
      <c r="AU1982">
        <v>-6.2708114243733846</v>
      </c>
      <c r="AV1982">
        <v>1.8346204608191061E-37</v>
      </c>
    </row>
    <row r="1983" spans="44:48" x14ac:dyDescent="0.2">
      <c r="AR1983">
        <v>1975</v>
      </c>
      <c r="AS1983">
        <v>157</v>
      </c>
      <c r="AT1983">
        <v>3</v>
      </c>
      <c r="AU1983">
        <v>-6.2398708930560378</v>
      </c>
      <c r="AV1983">
        <v>3.9964011572088057E-37</v>
      </c>
    </row>
    <row r="1984" spans="44:48" x14ac:dyDescent="0.2">
      <c r="AR1984">
        <v>1976</v>
      </c>
      <c r="AS1984">
        <v>158</v>
      </c>
      <c r="AT1984">
        <v>3</v>
      </c>
      <c r="AU1984">
        <v>-6.2089303617386919</v>
      </c>
      <c r="AV1984">
        <v>8.6740899322856906E-37</v>
      </c>
    </row>
    <row r="1985" spans="44:48" x14ac:dyDescent="0.2">
      <c r="AR1985">
        <v>1977</v>
      </c>
      <c r="AS1985">
        <v>159</v>
      </c>
      <c r="AT1985">
        <v>3</v>
      </c>
      <c r="AU1985">
        <v>-6.1779898304213452</v>
      </c>
      <c r="AV1985">
        <v>1.8759046773126885E-36</v>
      </c>
    </row>
    <row r="1986" spans="44:48" x14ac:dyDescent="0.2">
      <c r="AR1986">
        <v>1978</v>
      </c>
      <c r="AS1986">
        <v>160</v>
      </c>
      <c r="AT1986">
        <v>3</v>
      </c>
      <c r="AU1986">
        <v>-6.1470492991039993</v>
      </c>
      <c r="AV1986">
        <v>4.0423099732947065E-36</v>
      </c>
    </row>
    <row r="1987" spans="44:48" x14ac:dyDescent="0.2">
      <c r="AR1987">
        <v>1979</v>
      </c>
      <c r="AS1987">
        <v>161</v>
      </c>
      <c r="AT1987">
        <v>3</v>
      </c>
      <c r="AU1987">
        <v>-6.1161087677866526</v>
      </c>
      <c r="AV1987">
        <v>8.6792152876385942E-36</v>
      </c>
    </row>
    <row r="1988" spans="44:48" x14ac:dyDescent="0.2">
      <c r="AR1988">
        <v>1980</v>
      </c>
      <c r="AS1988">
        <v>162</v>
      </c>
      <c r="AT1988">
        <v>3</v>
      </c>
      <c r="AU1988">
        <v>-6.0851682364693067</v>
      </c>
      <c r="AV1988">
        <v>1.8567922312420973E-35</v>
      </c>
    </row>
    <row r="1989" spans="44:48" x14ac:dyDescent="0.2">
      <c r="AR1989">
        <v>1981</v>
      </c>
      <c r="AS1989">
        <v>163</v>
      </c>
      <c r="AT1989">
        <v>3</v>
      </c>
      <c r="AU1989">
        <v>-6.05422770515196</v>
      </c>
      <c r="AV1989">
        <v>3.9580216075707137E-35</v>
      </c>
    </row>
    <row r="1990" spans="44:48" x14ac:dyDescent="0.2">
      <c r="AR1990">
        <v>1982</v>
      </c>
      <c r="AS1990">
        <v>164</v>
      </c>
      <c r="AT1990">
        <v>3</v>
      </c>
      <c r="AU1990">
        <v>-6.0232871738346141</v>
      </c>
      <c r="AV1990">
        <v>8.406689601377079E-35</v>
      </c>
    </row>
    <row r="1991" spans="44:48" x14ac:dyDescent="0.2">
      <c r="AR1991">
        <v>1983</v>
      </c>
      <c r="AS1991">
        <v>165</v>
      </c>
      <c r="AT1991">
        <v>3</v>
      </c>
      <c r="AU1991">
        <v>-5.9923466425172673</v>
      </c>
      <c r="AV1991">
        <v>1.7791143600538415E-34</v>
      </c>
    </row>
    <row r="1992" spans="44:48" x14ac:dyDescent="0.2">
      <c r="AR1992">
        <v>1984</v>
      </c>
      <c r="AS1992">
        <v>166</v>
      </c>
      <c r="AT1992">
        <v>3</v>
      </c>
      <c r="AU1992">
        <v>-5.9614061111999215</v>
      </c>
      <c r="AV1992">
        <v>3.7515843802736396E-34</v>
      </c>
    </row>
    <row r="1993" spans="44:48" x14ac:dyDescent="0.2">
      <c r="AR1993">
        <v>1985</v>
      </c>
      <c r="AS1993">
        <v>167</v>
      </c>
      <c r="AT1993">
        <v>3</v>
      </c>
      <c r="AU1993">
        <v>-5.9304655798825747</v>
      </c>
      <c r="AV1993">
        <v>7.882383743537154E-34</v>
      </c>
    </row>
    <row r="1994" spans="44:48" x14ac:dyDescent="0.2">
      <c r="AR1994">
        <v>1986</v>
      </c>
      <c r="AS1994">
        <v>168</v>
      </c>
      <c r="AT1994">
        <v>3</v>
      </c>
      <c r="AU1994">
        <v>-5.8995250485652289</v>
      </c>
      <c r="AV1994">
        <v>1.6501842220816512E-33</v>
      </c>
    </row>
    <row r="1995" spans="44:48" x14ac:dyDescent="0.2">
      <c r="AR1995">
        <v>1987</v>
      </c>
      <c r="AS1995">
        <v>169</v>
      </c>
      <c r="AT1995">
        <v>3</v>
      </c>
      <c r="AU1995">
        <v>-5.868584517247883</v>
      </c>
      <c r="AV1995">
        <v>3.442225264554766E-33</v>
      </c>
    </row>
    <row r="1996" spans="44:48" x14ac:dyDescent="0.2">
      <c r="AR1996">
        <v>1988</v>
      </c>
      <c r="AS1996">
        <v>170</v>
      </c>
      <c r="AT1996">
        <v>3</v>
      </c>
      <c r="AU1996">
        <v>-5.8376439859305362</v>
      </c>
      <c r="AV1996">
        <v>7.1544811940734797E-33</v>
      </c>
    </row>
    <row r="1997" spans="44:48" x14ac:dyDescent="0.2">
      <c r="AR1997">
        <v>1989</v>
      </c>
      <c r="AS1997">
        <v>171</v>
      </c>
      <c r="AT1997">
        <v>3</v>
      </c>
      <c r="AU1997">
        <v>-5.8067034546131904</v>
      </c>
      <c r="AV1997">
        <v>1.4816615343929662E-32</v>
      </c>
    </row>
    <row r="1998" spans="44:48" x14ac:dyDescent="0.2">
      <c r="AR1998">
        <v>1990</v>
      </c>
      <c r="AS1998">
        <v>172</v>
      </c>
      <c r="AT1998">
        <v>3</v>
      </c>
      <c r="AU1998">
        <v>-5.7757629232958436</v>
      </c>
      <c r="AV1998">
        <v>3.0573972261918527E-32</v>
      </c>
    </row>
    <row r="1999" spans="44:48" x14ac:dyDescent="0.2">
      <c r="AR1999">
        <v>1991</v>
      </c>
      <c r="AS1999">
        <v>173</v>
      </c>
      <c r="AT1999">
        <v>3</v>
      </c>
      <c r="AU1999">
        <v>-5.7448223919784978</v>
      </c>
      <c r="AV1999">
        <v>6.2861787961669839E-32</v>
      </c>
    </row>
    <row r="2000" spans="44:48" x14ac:dyDescent="0.2">
      <c r="AR2000">
        <v>1992</v>
      </c>
      <c r="AS2000">
        <v>174</v>
      </c>
      <c r="AT2000">
        <v>3</v>
      </c>
      <c r="AU2000">
        <v>-5.713881860661151</v>
      </c>
      <c r="AV2000">
        <v>1.2878153363359778E-31</v>
      </c>
    </row>
    <row r="2001" spans="44:48" x14ac:dyDescent="0.2">
      <c r="AR2001">
        <v>1993</v>
      </c>
      <c r="AS2001">
        <v>175</v>
      </c>
      <c r="AT2001">
        <v>3</v>
      </c>
      <c r="AU2001">
        <v>-5.6829413293438051</v>
      </c>
      <c r="AV2001">
        <v>2.628769197057267E-31</v>
      </c>
    </row>
    <row r="2002" spans="44:48" x14ac:dyDescent="0.2">
      <c r="AR2002">
        <v>1994</v>
      </c>
      <c r="AS2002">
        <v>176</v>
      </c>
      <c r="AT2002">
        <v>3</v>
      </c>
      <c r="AU2002">
        <v>-5.6520007980264584</v>
      </c>
      <c r="AV2002">
        <v>5.3466692972230112E-31</v>
      </c>
    </row>
    <row r="2003" spans="44:48" x14ac:dyDescent="0.2">
      <c r="AR2003">
        <v>1995</v>
      </c>
      <c r="AS2003">
        <v>177</v>
      </c>
      <c r="AT2003">
        <v>3</v>
      </c>
      <c r="AU2003">
        <v>-5.6210602667091125</v>
      </c>
      <c r="AV2003">
        <v>1.0835430971697764E-30</v>
      </c>
    </row>
    <row r="2004" spans="44:48" x14ac:dyDescent="0.2">
      <c r="AR2004">
        <v>1996</v>
      </c>
      <c r="AS2004">
        <v>178</v>
      </c>
      <c r="AT2004">
        <v>3</v>
      </c>
      <c r="AU2004">
        <v>-5.5901197353917658</v>
      </c>
      <c r="AV2004">
        <v>2.1879684626591805E-30</v>
      </c>
    </row>
    <row r="2005" spans="44:48" x14ac:dyDescent="0.2">
      <c r="AR2005">
        <v>1997</v>
      </c>
      <c r="AS2005">
        <v>179</v>
      </c>
      <c r="AT2005">
        <v>3</v>
      </c>
      <c r="AU2005">
        <v>-5.5591792040744199</v>
      </c>
      <c r="AV2005">
        <v>4.402181324103353E-30</v>
      </c>
    </row>
    <row r="2006" spans="44:48" x14ac:dyDescent="0.2">
      <c r="AR2006">
        <v>1998</v>
      </c>
      <c r="AS2006">
        <v>180</v>
      </c>
      <c r="AT2006">
        <v>3</v>
      </c>
      <c r="AU2006">
        <v>-5.5282386727570731</v>
      </c>
      <c r="AV2006">
        <v>8.8252455404621644E-30</v>
      </c>
    </row>
    <row r="2007" spans="44:48" x14ac:dyDescent="0.2">
      <c r="AR2007">
        <v>1999</v>
      </c>
      <c r="AS2007">
        <v>181</v>
      </c>
      <c r="AT2007">
        <v>3</v>
      </c>
      <c r="AU2007">
        <v>-5.4972981414397273</v>
      </c>
      <c r="AV2007">
        <v>1.7628593724116251E-29</v>
      </c>
    </row>
    <row r="2008" spans="44:48" x14ac:dyDescent="0.2">
      <c r="AR2008">
        <v>2000</v>
      </c>
      <c r="AS2008">
        <v>182</v>
      </c>
      <c r="AT2008">
        <v>3</v>
      </c>
      <c r="AU2008">
        <v>-5.4663576101223814</v>
      </c>
      <c r="AV2008">
        <v>3.5086539885410302E-29</v>
      </c>
    </row>
    <row r="2009" spans="44:48" x14ac:dyDescent="0.2">
      <c r="AR2009">
        <v>2001</v>
      </c>
      <c r="AS2009">
        <v>183</v>
      </c>
      <c r="AT2009">
        <v>3</v>
      </c>
      <c r="AU2009">
        <v>-5.4354170788050347</v>
      </c>
      <c r="AV2009">
        <v>6.9581760963893275E-29</v>
      </c>
    </row>
    <row r="2010" spans="44:48" x14ac:dyDescent="0.2">
      <c r="AR2010">
        <v>2002</v>
      </c>
      <c r="AS2010">
        <v>184</v>
      </c>
      <c r="AT2010">
        <v>3</v>
      </c>
      <c r="AU2010">
        <v>-5.4044765474876888</v>
      </c>
      <c r="AV2010">
        <v>1.3749353903528582E-28</v>
      </c>
    </row>
    <row r="2011" spans="44:48" x14ac:dyDescent="0.2">
      <c r="AR2011">
        <v>2003</v>
      </c>
      <c r="AS2011">
        <v>185</v>
      </c>
      <c r="AT2011">
        <v>3</v>
      </c>
      <c r="AU2011">
        <v>-5.373536016170342</v>
      </c>
      <c r="AV2011">
        <v>2.7070804779164636E-28</v>
      </c>
    </row>
    <row r="2012" spans="44:48" x14ac:dyDescent="0.2">
      <c r="AR2012">
        <v>2004</v>
      </c>
      <c r="AS2012">
        <v>186</v>
      </c>
      <c r="AT2012">
        <v>3</v>
      </c>
      <c r="AU2012">
        <v>-5.3425954848529962</v>
      </c>
      <c r="AV2012">
        <v>5.3107033685419797E-28</v>
      </c>
    </row>
    <row r="2013" spans="44:48" x14ac:dyDescent="0.2">
      <c r="AR2013">
        <v>2005</v>
      </c>
      <c r="AS2013">
        <v>187</v>
      </c>
      <c r="AT2013">
        <v>3</v>
      </c>
      <c r="AU2013">
        <v>-5.3116549535356494</v>
      </c>
      <c r="AV2013">
        <v>1.0380897981463519E-27</v>
      </c>
    </row>
    <row r="2014" spans="44:48" x14ac:dyDescent="0.2">
      <c r="AR2014">
        <v>2006</v>
      </c>
      <c r="AS2014">
        <v>188</v>
      </c>
      <c r="AT2014">
        <v>3</v>
      </c>
      <c r="AU2014">
        <v>-5.2807144222183036</v>
      </c>
      <c r="AV2014">
        <v>2.0218540523690235E-27</v>
      </c>
    </row>
    <row r="2015" spans="44:48" x14ac:dyDescent="0.2">
      <c r="AR2015">
        <v>2007</v>
      </c>
      <c r="AS2015">
        <v>189</v>
      </c>
      <c r="AT2015">
        <v>3</v>
      </c>
      <c r="AU2015">
        <v>-5.2497738909009568</v>
      </c>
      <c r="AV2015">
        <v>3.9237080344619988E-27</v>
      </c>
    </row>
    <row r="2016" spans="44:48" x14ac:dyDescent="0.2">
      <c r="AR2016">
        <v>2008</v>
      </c>
      <c r="AS2016">
        <v>190</v>
      </c>
      <c r="AT2016">
        <v>3</v>
      </c>
      <c r="AU2016">
        <v>-5.2188333595836109</v>
      </c>
      <c r="AV2016">
        <v>7.5870957673460612E-27</v>
      </c>
    </row>
    <row r="2017" spans="44:48" x14ac:dyDescent="0.2">
      <c r="AR2017">
        <v>2009</v>
      </c>
      <c r="AS2017">
        <v>191</v>
      </c>
      <c r="AT2017">
        <v>3</v>
      </c>
      <c r="AU2017">
        <v>-5.1878928282662642</v>
      </c>
      <c r="AV2017">
        <v>1.4617949232333858E-26</v>
      </c>
    </row>
    <row r="2018" spans="44:48" x14ac:dyDescent="0.2">
      <c r="AR2018">
        <v>2010</v>
      </c>
      <c r="AS2018">
        <v>192</v>
      </c>
      <c r="AT2018">
        <v>3</v>
      </c>
      <c r="AU2018">
        <v>-5.1569522969489183</v>
      </c>
      <c r="AV2018">
        <v>2.8062692260736657E-26</v>
      </c>
    </row>
    <row r="2019" spans="44:48" x14ac:dyDescent="0.2">
      <c r="AR2019">
        <v>2011</v>
      </c>
      <c r="AS2019">
        <v>193</v>
      </c>
      <c r="AT2019">
        <v>3</v>
      </c>
      <c r="AU2019">
        <v>-5.1260117656315725</v>
      </c>
      <c r="AV2019">
        <v>5.3678975623840615E-26</v>
      </c>
    </row>
    <row r="2020" spans="44:48" x14ac:dyDescent="0.2">
      <c r="AR2020">
        <v>2012</v>
      </c>
      <c r="AS2020">
        <v>194</v>
      </c>
      <c r="AT2020">
        <v>3</v>
      </c>
      <c r="AU2020">
        <v>-5.0950712343142257</v>
      </c>
      <c r="AV2020">
        <v>1.0230835606402061E-25</v>
      </c>
    </row>
    <row r="2021" spans="44:48" x14ac:dyDescent="0.2">
      <c r="AR2021">
        <v>2013</v>
      </c>
      <c r="AS2021">
        <v>195</v>
      </c>
      <c r="AT2021">
        <v>3</v>
      </c>
      <c r="AU2021">
        <v>-5.0641307029968798</v>
      </c>
      <c r="AV2021">
        <v>1.942897969113472E-25</v>
      </c>
    </row>
    <row r="2022" spans="44:48" x14ac:dyDescent="0.2">
      <c r="AR2022">
        <v>2014</v>
      </c>
      <c r="AS2022">
        <v>196</v>
      </c>
      <c r="AT2022">
        <v>3</v>
      </c>
      <c r="AU2022">
        <v>-5.0331901716795331</v>
      </c>
      <c r="AV2022">
        <v>3.6763841369266722E-25</v>
      </c>
    </row>
    <row r="2023" spans="44:48" x14ac:dyDescent="0.2">
      <c r="AR2023">
        <v>2015</v>
      </c>
      <c r="AS2023">
        <v>197</v>
      </c>
      <c r="AT2023">
        <v>3</v>
      </c>
      <c r="AU2023">
        <v>-5.0022496403621872</v>
      </c>
      <c r="AV2023">
        <v>6.9314448782495761E-25</v>
      </c>
    </row>
    <row r="2024" spans="44:48" x14ac:dyDescent="0.2">
      <c r="AR2024">
        <v>2016</v>
      </c>
      <c r="AS2024">
        <v>198</v>
      </c>
      <c r="AT2024">
        <v>3</v>
      </c>
      <c r="AU2024">
        <v>-4.9713091090448405</v>
      </c>
      <c r="AV2024">
        <v>1.3021429545145297E-24</v>
      </c>
    </row>
    <row r="2025" spans="44:48" x14ac:dyDescent="0.2">
      <c r="AR2025">
        <v>2017</v>
      </c>
      <c r="AS2025">
        <v>199</v>
      </c>
      <c r="AT2025">
        <v>3</v>
      </c>
      <c r="AU2025">
        <v>-4.9403685777274946</v>
      </c>
      <c r="AV2025">
        <v>2.4373929924027111E-24</v>
      </c>
    </row>
    <row r="2026" spans="44:48" x14ac:dyDescent="0.2">
      <c r="AR2026">
        <v>2018</v>
      </c>
      <c r="AS2026">
        <v>200</v>
      </c>
      <c r="AT2026">
        <v>3</v>
      </c>
      <c r="AU2026">
        <v>-4.9094280464101479</v>
      </c>
      <c r="AV2026">
        <v>4.5459478792519041E-24</v>
      </c>
    </row>
    <row r="2027" spans="44:48" x14ac:dyDescent="0.2">
      <c r="AR2027">
        <v>2019</v>
      </c>
      <c r="AS2027">
        <v>201</v>
      </c>
      <c r="AT2027">
        <v>3</v>
      </c>
      <c r="AU2027">
        <v>-4.878487515092802</v>
      </c>
      <c r="AV2027">
        <v>8.4480280499117357E-24</v>
      </c>
    </row>
    <row r="2028" spans="44:48" x14ac:dyDescent="0.2">
      <c r="AR2028">
        <v>2020</v>
      </c>
      <c r="AS2028">
        <v>202</v>
      </c>
      <c r="AT2028">
        <v>3</v>
      </c>
      <c r="AU2028">
        <v>-4.8475469837754552</v>
      </c>
      <c r="AV2028">
        <v>1.5642935098072859E-23</v>
      </c>
    </row>
    <row r="2029" spans="44:48" x14ac:dyDescent="0.2">
      <c r="AR2029">
        <v>2021</v>
      </c>
      <c r="AS2029">
        <v>203</v>
      </c>
      <c r="AT2029">
        <v>3</v>
      </c>
      <c r="AU2029">
        <v>-4.8166064524581094</v>
      </c>
      <c r="AV2029">
        <v>2.8861117363385686E-23</v>
      </c>
    </row>
    <row r="2030" spans="44:48" x14ac:dyDescent="0.2">
      <c r="AR2030">
        <v>2022</v>
      </c>
      <c r="AS2030">
        <v>204</v>
      </c>
      <c r="AT2030">
        <v>3</v>
      </c>
      <c r="AU2030">
        <v>-4.7856659211407626</v>
      </c>
      <c r="AV2030">
        <v>5.3056676186832068E-23</v>
      </c>
    </row>
    <row r="2031" spans="44:48" x14ac:dyDescent="0.2">
      <c r="AR2031">
        <v>2023</v>
      </c>
      <c r="AS2031">
        <v>205</v>
      </c>
      <c r="AT2031">
        <v>3</v>
      </c>
      <c r="AU2031">
        <v>-4.7547253898234167</v>
      </c>
      <c r="AV2031">
        <v>9.7184932927889367E-23</v>
      </c>
    </row>
    <row r="2032" spans="44:48" x14ac:dyDescent="0.2">
      <c r="AR2032">
        <v>2024</v>
      </c>
      <c r="AS2032">
        <v>206</v>
      </c>
      <c r="AT2032">
        <v>3</v>
      </c>
      <c r="AU2032">
        <v>-4.7237848585060709</v>
      </c>
      <c r="AV2032">
        <v>1.7737395108477165E-22</v>
      </c>
    </row>
    <row r="2033" spans="44:48" x14ac:dyDescent="0.2">
      <c r="AR2033">
        <v>2025</v>
      </c>
      <c r="AS2033">
        <v>207</v>
      </c>
      <c r="AT2033">
        <v>3</v>
      </c>
      <c r="AU2033">
        <v>-4.6928443271887241</v>
      </c>
      <c r="AV2033">
        <v>3.2256165772126957E-22</v>
      </c>
    </row>
    <row r="2034" spans="44:48" x14ac:dyDescent="0.2">
      <c r="AR2034">
        <v>2026</v>
      </c>
      <c r="AS2034">
        <v>208</v>
      </c>
      <c r="AT2034">
        <v>3</v>
      </c>
      <c r="AU2034">
        <v>-4.6619037958713783</v>
      </c>
      <c r="AV2034">
        <v>5.8447729603095451E-22</v>
      </c>
    </row>
    <row r="2035" spans="44:48" x14ac:dyDescent="0.2">
      <c r="AR2035">
        <v>2027</v>
      </c>
      <c r="AS2035">
        <v>209</v>
      </c>
      <c r="AT2035">
        <v>3</v>
      </c>
      <c r="AU2035">
        <v>-4.6309632645540315</v>
      </c>
      <c r="AV2035">
        <v>1.0552480303085364E-21</v>
      </c>
    </row>
    <row r="2036" spans="44:48" x14ac:dyDescent="0.2">
      <c r="AR2036">
        <v>2028</v>
      </c>
      <c r="AS2036">
        <v>210</v>
      </c>
      <c r="AT2036">
        <v>3</v>
      </c>
      <c r="AU2036">
        <v>-4.6000227332366856</v>
      </c>
      <c r="AV2036">
        <v>1.8983376264350328E-21</v>
      </c>
    </row>
    <row r="2037" spans="44:48" x14ac:dyDescent="0.2">
      <c r="AR2037">
        <v>2029</v>
      </c>
      <c r="AS2037">
        <v>211</v>
      </c>
      <c r="AT2037">
        <v>3</v>
      </c>
      <c r="AU2037">
        <v>-4.5690822019193389</v>
      </c>
      <c r="AV2037">
        <v>3.4027054971400135E-21</v>
      </c>
    </row>
    <row r="2038" spans="44:48" x14ac:dyDescent="0.2">
      <c r="AR2038">
        <v>2030</v>
      </c>
      <c r="AS2038">
        <v>212</v>
      </c>
      <c r="AT2038">
        <v>3</v>
      </c>
      <c r="AU2038">
        <v>-4.538141670601993</v>
      </c>
      <c r="AV2038">
        <v>6.0772523568092968E-21</v>
      </c>
    </row>
    <row r="2039" spans="44:48" x14ac:dyDescent="0.2">
      <c r="AR2039">
        <v>2031</v>
      </c>
      <c r="AS2039">
        <v>213</v>
      </c>
      <c r="AT2039">
        <v>3</v>
      </c>
      <c r="AU2039">
        <v>-4.5072011392846463</v>
      </c>
      <c r="AV2039">
        <v>1.0814891827845049E-20</v>
      </c>
    </row>
    <row r="2040" spans="44:48" x14ac:dyDescent="0.2">
      <c r="AR2040">
        <v>2032</v>
      </c>
      <c r="AS2040">
        <v>214</v>
      </c>
      <c r="AT2040">
        <v>3</v>
      </c>
      <c r="AU2040">
        <v>-4.4762606079673004</v>
      </c>
      <c r="AV2040">
        <v>1.9176488762732384E-20</v>
      </c>
    </row>
    <row r="2041" spans="44:48" x14ac:dyDescent="0.2">
      <c r="AR2041">
        <v>2033</v>
      </c>
      <c r="AS2041">
        <v>215</v>
      </c>
      <c r="AT2041">
        <v>3</v>
      </c>
      <c r="AU2041">
        <v>-4.4453200766499537</v>
      </c>
      <c r="AV2041">
        <v>3.3880358869420538E-20</v>
      </c>
    </row>
    <row r="2042" spans="44:48" x14ac:dyDescent="0.2">
      <c r="AR2042">
        <v>2034</v>
      </c>
      <c r="AS2042">
        <v>216</v>
      </c>
      <c r="AT2042">
        <v>3</v>
      </c>
      <c r="AU2042">
        <v>-4.4143795453326078</v>
      </c>
      <c r="AV2042">
        <v>5.9642922343140842E-20</v>
      </c>
    </row>
    <row r="2043" spans="44:48" x14ac:dyDescent="0.2">
      <c r="AR2043">
        <v>2035</v>
      </c>
      <c r="AS2043">
        <v>217</v>
      </c>
      <c r="AT2043">
        <v>3</v>
      </c>
      <c r="AU2043">
        <v>-4.383439014015261</v>
      </c>
      <c r="AV2043">
        <v>1.0461689555961217E-19</v>
      </c>
    </row>
    <row r="2044" spans="44:48" x14ac:dyDescent="0.2">
      <c r="AR2044">
        <v>2036</v>
      </c>
      <c r="AS2044">
        <v>218</v>
      </c>
      <c r="AT2044">
        <v>3</v>
      </c>
      <c r="AU2044">
        <v>-4.3524984826979152</v>
      </c>
      <c r="AV2044">
        <v>1.828423285612615E-19</v>
      </c>
    </row>
    <row r="2045" spans="44:48" x14ac:dyDescent="0.2">
      <c r="AR2045">
        <v>2037</v>
      </c>
      <c r="AS2045">
        <v>219</v>
      </c>
      <c r="AT2045">
        <v>3</v>
      </c>
      <c r="AU2045">
        <v>-4.3215579513805693</v>
      </c>
      <c r="AV2045">
        <v>3.1840777194913472E-19</v>
      </c>
    </row>
    <row r="2046" spans="44:48" x14ac:dyDescent="0.2">
      <c r="AR2046">
        <v>2038</v>
      </c>
      <c r="AS2046">
        <v>220</v>
      </c>
      <c r="AT2046">
        <v>3</v>
      </c>
      <c r="AU2046">
        <v>-4.2906174200632226</v>
      </c>
      <c r="AV2046">
        <v>5.5248765348407913E-19</v>
      </c>
    </row>
    <row r="2047" spans="44:48" x14ac:dyDescent="0.2">
      <c r="AR2047">
        <v>2039</v>
      </c>
      <c r="AS2047">
        <v>221</v>
      </c>
      <c r="AT2047">
        <v>3</v>
      </c>
      <c r="AU2047">
        <v>-4.2596768887458767</v>
      </c>
      <c r="AV2047">
        <v>9.5519820097579032E-19</v>
      </c>
    </row>
    <row r="2048" spans="44:48" x14ac:dyDescent="0.2">
      <c r="AR2048">
        <v>2040</v>
      </c>
      <c r="AS2048">
        <v>222</v>
      </c>
      <c r="AT2048">
        <v>3</v>
      </c>
      <c r="AU2048">
        <v>-4.2287363574285299</v>
      </c>
      <c r="AV2048">
        <v>1.6454944264768442E-18</v>
      </c>
    </row>
    <row r="2049" spans="44:48" x14ac:dyDescent="0.2">
      <c r="AR2049">
        <v>2041</v>
      </c>
      <c r="AS2049">
        <v>223</v>
      </c>
      <c r="AT2049">
        <v>3</v>
      </c>
      <c r="AU2049">
        <v>-4.1977958261111841</v>
      </c>
      <c r="AV2049">
        <v>2.8244333871427717E-18</v>
      </c>
    </row>
    <row r="2050" spans="44:48" x14ac:dyDescent="0.2">
      <c r="AR2050">
        <v>2042</v>
      </c>
      <c r="AS2050">
        <v>224</v>
      </c>
      <c r="AT2050">
        <v>3</v>
      </c>
      <c r="AU2050">
        <v>-4.1668552947938373</v>
      </c>
      <c r="AV2050">
        <v>4.8305686523202149E-18</v>
      </c>
    </row>
    <row r="2051" spans="44:48" x14ac:dyDescent="0.2">
      <c r="AR2051">
        <v>2043</v>
      </c>
      <c r="AS2051">
        <v>225</v>
      </c>
      <c r="AT2051">
        <v>3</v>
      </c>
      <c r="AU2051">
        <v>-4.1359147634764915</v>
      </c>
      <c r="AV2051">
        <v>8.2318449555280905E-18</v>
      </c>
    </row>
    <row r="2052" spans="44:48" x14ac:dyDescent="0.2">
      <c r="AR2052">
        <v>2044</v>
      </c>
      <c r="AS2052">
        <v>226</v>
      </c>
      <c r="AT2052">
        <v>3</v>
      </c>
      <c r="AU2052">
        <v>-4.1049742321591447</v>
      </c>
      <c r="AV2052">
        <v>1.3977455121301018E-17</v>
      </c>
    </row>
    <row r="2053" spans="44:48" x14ac:dyDescent="0.2">
      <c r="AR2053">
        <v>2045</v>
      </c>
      <c r="AS2053">
        <v>227</v>
      </c>
      <c r="AT2053">
        <v>3</v>
      </c>
      <c r="AU2053">
        <v>-4.0740337008417988</v>
      </c>
      <c r="AV2053">
        <v>2.3647815706850847E-17</v>
      </c>
    </row>
    <row r="2054" spans="44:48" x14ac:dyDescent="0.2">
      <c r="AR2054">
        <v>2046</v>
      </c>
      <c r="AS2054">
        <v>228</v>
      </c>
      <c r="AT2054">
        <v>3</v>
      </c>
      <c r="AU2054">
        <v>-4.0430931695244521</v>
      </c>
      <c r="AV2054">
        <v>3.9864466741591183E-17</v>
      </c>
    </row>
    <row r="2055" spans="44:48" x14ac:dyDescent="0.2">
      <c r="AR2055">
        <v>2047</v>
      </c>
      <c r="AS2055">
        <v>229</v>
      </c>
      <c r="AT2055">
        <v>3</v>
      </c>
      <c r="AU2055">
        <v>-4.0121526382071062</v>
      </c>
      <c r="AV2055">
        <v>6.6959605611060019E-17</v>
      </c>
    </row>
    <row r="2056" spans="44:48" x14ac:dyDescent="0.2">
      <c r="AR2056">
        <v>2048</v>
      </c>
      <c r="AS2056">
        <v>230</v>
      </c>
      <c r="AT2056">
        <v>3</v>
      </c>
      <c r="AU2056">
        <v>-3.9812121068897595</v>
      </c>
      <c r="AV2056">
        <v>1.1206546982436194E-16</v>
      </c>
    </row>
    <row r="2057" spans="44:48" x14ac:dyDescent="0.2">
      <c r="AR2057">
        <v>2049</v>
      </c>
      <c r="AS2057">
        <v>231</v>
      </c>
      <c r="AT2057">
        <v>3</v>
      </c>
      <c r="AU2057">
        <v>-3.9502715755724136</v>
      </c>
      <c r="AV2057">
        <v>1.8687996606738388E-16</v>
      </c>
    </row>
    <row r="2058" spans="44:48" x14ac:dyDescent="0.2">
      <c r="AR2058">
        <v>2050</v>
      </c>
      <c r="AS2058">
        <v>232</v>
      </c>
      <c r="AT2058">
        <v>3</v>
      </c>
      <c r="AU2058">
        <v>-3.9193310442550677</v>
      </c>
      <c r="AV2058">
        <v>3.1051721196564798E-16</v>
      </c>
    </row>
    <row r="2059" spans="44:48" x14ac:dyDescent="0.2">
      <c r="AR2059">
        <v>2051</v>
      </c>
      <c r="AS2059">
        <v>233</v>
      </c>
      <c r="AT2059">
        <v>3</v>
      </c>
      <c r="AU2059">
        <v>-3.888390512937721</v>
      </c>
      <c r="AV2059">
        <v>5.1409172200426662E-16</v>
      </c>
    </row>
    <row r="2060" spans="44:48" x14ac:dyDescent="0.2">
      <c r="AR2060">
        <v>2052</v>
      </c>
      <c r="AS2060">
        <v>234</v>
      </c>
      <c r="AT2060">
        <v>3</v>
      </c>
      <c r="AU2060">
        <v>-3.8574499816203751</v>
      </c>
      <c r="AV2060">
        <v>8.4806188473601359E-16</v>
      </c>
    </row>
    <row r="2061" spans="44:48" x14ac:dyDescent="0.2">
      <c r="AR2061">
        <v>2053</v>
      </c>
      <c r="AS2061">
        <v>235</v>
      </c>
      <c r="AT2061">
        <v>3</v>
      </c>
      <c r="AU2061">
        <v>-3.8265094503030284</v>
      </c>
      <c r="AV2061">
        <v>1.3939477005709536E-15</v>
      </c>
    </row>
    <row r="2062" spans="44:48" x14ac:dyDescent="0.2">
      <c r="AR2062">
        <v>2054</v>
      </c>
      <c r="AS2062">
        <v>236</v>
      </c>
      <c r="AT2062">
        <v>3</v>
      </c>
      <c r="AU2062">
        <v>-3.7955689189856825</v>
      </c>
      <c r="AV2062">
        <v>2.2829553415886459E-15</v>
      </c>
    </row>
    <row r="2063" spans="44:48" x14ac:dyDescent="0.2">
      <c r="AR2063">
        <v>2055</v>
      </c>
      <c r="AS2063">
        <v>237</v>
      </c>
      <c r="AT2063">
        <v>3</v>
      </c>
      <c r="AU2063">
        <v>-3.7646283876683357</v>
      </c>
      <c r="AV2063">
        <v>3.7254638490602368E-15</v>
      </c>
    </row>
    <row r="2064" spans="44:48" x14ac:dyDescent="0.2">
      <c r="AR2064">
        <v>2056</v>
      </c>
      <c r="AS2064">
        <v>238</v>
      </c>
      <c r="AT2064">
        <v>3</v>
      </c>
      <c r="AU2064">
        <v>-3.7336878563509899</v>
      </c>
      <c r="AV2064">
        <v>6.0575260723534241E-15</v>
      </c>
    </row>
    <row r="2065" spans="44:48" x14ac:dyDescent="0.2">
      <c r="AR2065">
        <v>2057</v>
      </c>
      <c r="AS2065">
        <v>239</v>
      </c>
      <c r="AT2065">
        <v>3</v>
      </c>
      <c r="AU2065">
        <v>-3.7027473250336431</v>
      </c>
      <c r="AV2065">
        <v>9.8139136370293789E-15</v>
      </c>
    </row>
    <row r="2066" spans="44:48" x14ac:dyDescent="0.2">
      <c r="AR2066">
        <v>2058</v>
      </c>
      <c r="AS2066">
        <v>240</v>
      </c>
      <c r="AT2066">
        <v>3</v>
      </c>
      <c r="AU2066">
        <v>-3.6718067937162973</v>
      </c>
      <c r="AV2066">
        <v>1.584240723495532E-14</v>
      </c>
    </row>
    <row r="2067" spans="44:48" x14ac:dyDescent="0.2">
      <c r="AR2067">
        <v>2059</v>
      </c>
      <c r="AS2067">
        <v>241</v>
      </c>
      <c r="AT2067">
        <v>3</v>
      </c>
      <c r="AU2067">
        <v>-3.6408662623989505</v>
      </c>
      <c r="AV2067">
        <v>2.5481918064228765E-14</v>
      </c>
    </row>
    <row r="2068" spans="44:48" x14ac:dyDescent="0.2">
      <c r="AR2068">
        <v>2060</v>
      </c>
      <c r="AS2068">
        <v>242</v>
      </c>
      <c r="AT2068">
        <v>3</v>
      </c>
      <c r="AU2068">
        <v>-3.6099257310816046</v>
      </c>
      <c r="AV2068">
        <v>4.0838996143732347E-14</v>
      </c>
    </row>
    <row r="2069" spans="44:48" x14ac:dyDescent="0.2">
      <c r="AR2069">
        <v>2061</v>
      </c>
      <c r="AS2069">
        <v>243</v>
      </c>
      <c r="AT2069">
        <v>3</v>
      </c>
      <c r="AU2069">
        <v>-3.5789851997642579</v>
      </c>
      <c r="AV2069">
        <v>6.5215376023461302E-14</v>
      </c>
    </row>
    <row r="2070" spans="44:48" x14ac:dyDescent="0.2">
      <c r="AR2070">
        <v>2062</v>
      </c>
      <c r="AS2070">
        <v>244</v>
      </c>
      <c r="AT2070">
        <v>3</v>
      </c>
      <c r="AU2070">
        <v>-3.548044668446912</v>
      </c>
      <c r="AV2070">
        <v>1.0376644742356254E-13</v>
      </c>
    </row>
    <row r="2071" spans="44:48" x14ac:dyDescent="0.2">
      <c r="AR2071">
        <v>2063</v>
      </c>
      <c r="AS2071">
        <v>245</v>
      </c>
      <c r="AT2071">
        <v>3</v>
      </c>
      <c r="AU2071">
        <v>-3.5171041371295662</v>
      </c>
      <c r="AV2071">
        <v>1.6451136096411448E-13</v>
      </c>
    </row>
    <row r="2072" spans="44:48" x14ac:dyDescent="0.2">
      <c r="AR2072">
        <v>2064</v>
      </c>
      <c r="AS2072">
        <v>246</v>
      </c>
      <c r="AT2072">
        <v>3</v>
      </c>
      <c r="AU2072">
        <v>-3.4861636058122194</v>
      </c>
      <c r="AV2072">
        <v>2.5987640074003775E-13</v>
      </c>
    </row>
    <row r="2073" spans="44:48" x14ac:dyDescent="0.2">
      <c r="AR2073">
        <v>2065</v>
      </c>
      <c r="AS2073">
        <v>247</v>
      </c>
      <c r="AT2073">
        <v>3</v>
      </c>
      <c r="AU2073">
        <v>-3.4552230744948735</v>
      </c>
      <c r="AV2073">
        <v>4.0904377934728224E-13</v>
      </c>
    </row>
    <row r="2074" spans="44:48" x14ac:dyDescent="0.2">
      <c r="AR2074">
        <v>2066</v>
      </c>
      <c r="AS2074">
        <v>248</v>
      </c>
      <c r="AT2074">
        <v>3</v>
      </c>
      <c r="AU2074">
        <v>-3.4242825431775268</v>
      </c>
      <c r="AV2074">
        <v>6.415119381544108E-13</v>
      </c>
    </row>
    <row r="2075" spans="44:48" x14ac:dyDescent="0.2">
      <c r="AR2075">
        <v>2067</v>
      </c>
      <c r="AS2075">
        <v>249</v>
      </c>
      <c r="AT2075">
        <v>3</v>
      </c>
      <c r="AU2075">
        <v>-3.3933420118601809</v>
      </c>
      <c r="AV2075">
        <v>1.0024707144780094E-12</v>
      </c>
    </row>
    <row r="2076" spans="44:48" x14ac:dyDescent="0.2">
      <c r="AR2076">
        <v>2068</v>
      </c>
      <c r="AS2076">
        <v>250</v>
      </c>
      <c r="AT2076">
        <v>3</v>
      </c>
      <c r="AU2076">
        <v>-3.3624014805428342</v>
      </c>
      <c r="AV2076">
        <v>1.5608840651844556E-12</v>
      </c>
    </row>
    <row r="2077" spans="44:48" x14ac:dyDescent="0.2">
      <c r="AR2077">
        <v>2069</v>
      </c>
      <c r="AS2077">
        <v>251</v>
      </c>
      <c r="AT2077">
        <v>3</v>
      </c>
      <c r="AU2077">
        <v>-3.3314609492254883</v>
      </c>
      <c r="AV2077">
        <v>2.4215954998590763E-12</v>
      </c>
    </row>
    <row r="2078" spans="44:48" x14ac:dyDescent="0.2">
      <c r="AR2078">
        <v>2070</v>
      </c>
      <c r="AS2078">
        <v>252</v>
      </c>
      <c r="AT2078">
        <v>3</v>
      </c>
      <c r="AU2078">
        <v>-3.3005204179081415</v>
      </c>
      <c r="AV2078">
        <v>3.7433855187038486E-12</v>
      </c>
    </row>
    <row r="2079" spans="44:48" x14ac:dyDescent="0.2">
      <c r="AR2079">
        <v>2071</v>
      </c>
      <c r="AS2079">
        <v>253</v>
      </c>
      <c r="AT2079">
        <v>3</v>
      </c>
      <c r="AU2079">
        <v>-3.2695798865907957</v>
      </c>
      <c r="AV2079">
        <v>5.7657991818552244E-12</v>
      </c>
    </row>
    <row r="2080" spans="44:48" x14ac:dyDescent="0.2">
      <c r="AR2080">
        <v>2072</v>
      </c>
      <c r="AS2080">
        <v>254</v>
      </c>
      <c r="AT2080">
        <v>3</v>
      </c>
      <c r="AU2080">
        <v>-3.2386393552734489</v>
      </c>
      <c r="AV2080">
        <v>8.8488425899420504E-12</v>
      </c>
    </row>
    <row r="2081" spans="44:48" x14ac:dyDescent="0.2">
      <c r="AR2081">
        <v>2073</v>
      </c>
      <c r="AS2081">
        <v>255</v>
      </c>
      <c r="AT2081">
        <v>3</v>
      </c>
      <c r="AU2081">
        <v>-3.2076988239561031</v>
      </c>
      <c r="AV2081">
        <v>1.3531483995106699E-11</v>
      </c>
    </row>
    <row r="2082" spans="44:48" x14ac:dyDescent="0.2">
      <c r="AR2082">
        <v>2074</v>
      </c>
      <c r="AS2082">
        <v>256</v>
      </c>
      <c r="AT2082">
        <v>3</v>
      </c>
      <c r="AU2082">
        <v>-3.1767582926387563</v>
      </c>
      <c r="AV2082">
        <v>2.0617518264543899E-11</v>
      </c>
    </row>
    <row r="2083" spans="44:48" x14ac:dyDescent="0.2">
      <c r="AR2083">
        <v>2075</v>
      </c>
      <c r="AS2083">
        <v>257</v>
      </c>
      <c r="AT2083">
        <v>3</v>
      </c>
      <c r="AU2083">
        <v>-3.1458177613214104</v>
      </c>
      <c r="AV2083">
        <v>3.1301081901428378E-11</v>
      </c>
    </row>
    <row r="2084" spans="44:48" x14ac:dyDescent="0.2">
      <c r="AR2084">
        <v>2076</v>
      </c>
      <c r="AS2084">
        <v>258</v>
      </c>
      <c r="AT2084">
        <v>3</v>
      </c>
      <c r="AU2084">
        <v>-3.1148772300040646</v>
      </c>
      <c r="AV2084">
        <v>4.7349381567039077E-11</v>
      </c>
    </row>
    <row r="2085" spans="44:48" x14ac:dyDescent="0.2">
      <c r="AR2085">
        <v>2077</v>
      </c>
      <c r="AS2085">
        <v>259</v>
      </c>
      <c r="AT2085">
        <v>3</v>
      </c>
      <c r="AU2085">
        <v>-3.0839366986867178</v>
      </c>
      <c r="AV2085">
        <v>7.1367629922365865E-11</v>
      </c>
    </row>
    <row r="2086" spans="44:48" x14ac:dyDescent="0.2">
      <c r="AR2086">
        <v>2078</v>
      </c>
      <c r="AS2086">
        <v>260</v>
      </c>
      <c r="AT2086">
        <v>3</v>
      </c>
      <c r="AU2086">
        <v>-3.052996167369372</v>
      </c>
      <c r="AV2086">
        <v>1.071816007219558E-10</v>
      </c>
    </row>
    <row r="2087" spans="44:48" x14ac:dyDescent="0.2">
      <c r="AR2087">
        <v>2079</v>
      </c>
      <c r="AS2087">
        <v>261</v>
      </c>
      <c r="AT2087">
        <v>3</v>
      </c>
      <c r="AU2087">
        <v>-3.0220556360520252</v>
      </c>
      <c r="AV2087">
        <v>1.6038775351604465E-10</v>
      </c>
    </row>
    <row r="2088" spans="44:48" x14ac:dyDescent="0.2">
      <c r="AR2088">
        <v>2080</v>
      </c>
      <c r="AS2088">
        <v>262</v>
      </c>
      <c r="AT2088">
        <v>3</v>
      </c>
      <c r="AU2088">
        <v>-2.9911151047346785</v>
      </c>
      <c r="AV2088">
        <v>2.3914107175028608E-10</v>
      </c>
    </row>
    <row r="2089" spans="44:48" x14ac:dyDescent="0.2">
      <c r="AR2089">
        <v>2081</v>
      </c>
      <c r="AS2089">
        <v>263</v>
      </c>
      <c r="AT2089">
        <v>3</v>
      </c>
      <c r="AU2089">
        <v>-2.9601745734173335</v>
      </c>
      <c r="AV2089">
        <v>3.5527867401410222E-10</v>
      </c>
    </row>
    <row r="2090" spans="44:48" x14ac:dyDescent="0.2">
      <c r="AR2090">
        <v>2082</v>
      </c>
      <c r="AS2090">
        <v>264</v>
      </c>
      <c r="AT2090">
        <v>3</v>
      </c>
      <c r="AU2090">
        <v>-2.9292340420999867</v>
      </c>
      <c r="AV2090">
        <v>5.2591566680388684E-10</v>
      </c>
    </row>
    <row r="2091" spans="44:48" x14ac:dyDescent="0.2">
      <c r="AR2091">
        <v>2083</v>
      </c>
      <c r="AS2091">
        <v>265</v>
      </c>
      <c r="AT2091">
        <v>3</v>
      </c>
      <c r="AU2091">
        <v>-2.89829351078264</v>
      </c>
      <c r="AV2091">
        <v>7.757022993823483E-10</v>
      </c>
    </row>
    <row r="2092" spans="44:48" x14ac:dyDescent="0.2">
      <c r="AR2092">
        <v>2084</v>
      </c>
      <c r="AS2092">
        <v>266</v>
      </c>
      <c r="AT2092">
        <v>3</v>
      </c>
      <c r="AU2092">
        <v>-2.8673529794652932</v>
      </c>
      <c r="AV2092">
        <v>1.1400031473166232E-9</v>
      </c>
    </row>
    <row r="2093" spans="44:48" x14ac:dyDescent="0.2">
      <c r="AR2093">
        <v>2085</v>
      </c>
      <c r="AS2093">
        <v>267</v>
      </c>
      <c r="AT2093">
        <v>3</v>
      </c>
      <c r="AU2093">
        <v>-2.8364124481479482</v>
      </c>
      <c r="AV2093">
        <v>1.6693562330510783E-9</v>
      </c>
    </row>
    <row r="2094" spans="44:48" x14ac:dyDescent="0.2">
      <c r="AR2094">
        <v>2086</v>
      </c>
      <c r="AS2094">
        <v>268</v>
      </c>
      <c r="AT2094">
        <v>3</v>
      </c>
      <c r="AU2094">
        <v>-2.8054719168306015</v>
      </c>
      <c r="AV2094">
        <v>2.4357011261619589E-9</v>
      </c>
    </row>
    <row r="2095" spans="44:48" x14ac:dyDescent="0.2">
      <c r="AR2095">
        <v>2087</v>
      </c>
      <c r="AS2095">
        <v>269</v>
      </c>
      <c r="AT2095">
        <v>3</v>
      </c>
      <c r="AU2095">
        <v>-2.7745313855132547</v>
      </c>
      <c r="AV2095">
        <v>3.5410411362361472E-9</v>
      </c>
    </row>
    <row r="2096" spans="44:48" x14ac:dyDescent="0.2">
      <c r="AR2096">
        <v>2088</v>
      </c>
      <c r="AS2096">
        <v>270</v>
      </c>
      <c r="AT2096">
        <v>3</v>
      </c>
      <c r="AU2096">
        <v>-2.7435908541959098</v>
      </c>
      <c r="AV2096">
        <v>5.1294399297945134E-9</v>
      </c>
    </row>
    <row r="2097" spans="44:48" x14ac:dyDescent="0.2">
      <c r="AR2097">
        <v>2089</v>
      </c>
      <c r="AS2097">
        <v>271</v>
      </c>
      <c r="AT2097">
        <v>3</v>
      </c>
      <c r="AU2097">
        <v>-2.712650322878563</v>
      </c>
      <c r="AV2097">
        <v>7.4035655450836414E-9</v>
      </c>
    </row>
    <row r="2098" spans="44:48" x14ac:dyDescent="0.2">
      <c r="AR2098">
        <v>2090</v>
      </c>
      <c r="AS2098">
        <v>272</v>
      </c>
      <c r="AT2098">
        <v>3</v>
      </c>
      <c r="AU2098">
        <v>-2.6817097915612162</v>
      </c>
      <c r="AV2098">
        <v>1.0647408196486974E-8</v>
      </c>
    </row>
    <row r="2099" spans="44:48" x14ac:dyDescent="0.2">
      <c r="AR2099">
        <v>2091</v>
      </c>
      <c r="AS2099">
        <v>273</v>
      </c>
      <c r="AT2099">
        <v>3</v>
      </c>
      <c r="AU2099">
        <v>-2.6507692602438695</v>
      </c>
      <c r="AV2099">
        <v>1.5257342095971611E-8</v>
      </c>
    </row>
    <row r="2100" spans="44:48" x14ac:dyDescent="0.2">
      <c r="AR2100">
        <v>2092</v>
      </c>
      <c r="AS2100">
        <v>274</v>
      </c>
      <c r="AT2100">
        <v>3</v>
      </c>
      <c r="AU2100">
        <v>-2.6198287289265245</v>
      </c>
      <c r="AV2100">
        <v>2.1784413146742626E-8</v>
      </c>
    </row>
    <row r="2101" spans="44:48" x14ac:dyDescent="0.2">
      <c r="AR2101">
        <v>2093</v>
      </c>
      <c r="AS2101">
        <v>275</v>
      </c>
      <c r="AT2101">
        <v>3</v>
      </c>
      <c r="AU2101">
        <v>-2.5888881976091778</v>
      </c>
      <c r="AV2101">
        <v>3.0991660580601038E-8</v>
      </c>
    </row>
    <row r="2102" spans="44:48" x14ac:dyDescent="0.2">
      <c r="AR2102">
        <v>2094</v>
      </c>
      <c r="AS2102">
        <v>276</v>
      </c>
      <c r="AT2102">
        <v>3</v>
      </c>
      <c r="AU2102">
        <v>-2.557947666291831</v>
      </c>
      <c r="AV2102">
        <v>4.3931479588581578E-8</v>
      </c>
    </row>
    <row r="2103" spans="44:48" x14ac:dyDescent="0.2">
      <c r="AR2103">
        <v>2095</v>
      </c>
      <c r="AS2103">
        <v>277</v>
      </c>
      <c r="AT2103">
        <v>3</v>
      </c>
      <c r="AU2103">
        <v>-2.5270071349744843</v>
      </c>
      <c r="AV2103">
        <v>6.2049575511139077E-8</v>
      </c>
    </row>
    <row r="2104" spans="44:48" x14ac:dyDescent="0.2">
      <c r="AR2104">
        <v>2096</v>
      </c>
      <c r="AS2104">
        <v>278</v>
      </c>
      <c r="AT2104">
        <v>3</v>
      </c>
      <c r="AU2104">
        <v>-2.4960666036571393</v>
      </c>
      <c r="AV2104">
        <v>8.7324036083342913E-8</v>
      </c>
    </row>
    <row r="2105" spans="44:48" x14ac:dyDescent="0.2">
      <c r="AR2105">
        <v>2097</v>
      </c>
      <c r="AS2105">
        <v>279</v>
      </c>
      <c r="AT2105">
        <v>3</v>
      </c>
      <c r="AU2105">
        <v>-2.4651260723397925</v>
      </c>
      <c r="AV2105">
        <v>1.2245056327919658E-7</v>
      </c>
    </row>
    <row r="2106" spans="44:48" x14ac:dyDescent="0.2">
      <c r="AR2106">
        <v>2098</v>
      </c>
      <c r="AS2106">
        <v>280</v>
      </c>
      <c r="AT2106">
        <v>3</v>
      </c>
      <c r="AU2106">
        <v>-2.4341855410224458</v>
      </c>
      <c r="AV2106">
        <v>1.7108808893639832E-7</v>
      </c>
    </row>
    <row r="2107" spans="44:48" x14ac:dyDescent="0.2">
      <c r="AR2107">
        <v>2099</v>
      </c>
      <c r="AS2107">
        <v>281</v>
      </c>
      <c r="AT2107">
        <v>3</v>
      </c>
      <c r="AU2107">
        <v>-2.403245009705099</v>
      </c>
      <c r="AV2107">
        <v>2.381830018406993E-7</v>
      </c>
    </row>
    <row r="2108" spans="44:48" x14ac:dyDescent="0.2">
      <c r="AR2108">
        <v>2100</v>
      </c>
      <c r="AS2108">
        <v>282</v>
      </c>
      <c r="AT2108">
        <v>3</v>
      </c>
      <c r="AU2108">
        <v>-2.372304478387754</v>
      </c>
      <c r="AV2108">
        <v>3.3039521941158407E-7</v>
      </c>
    </row>
    <row r="2109" spans="44:48" x14ac:dyDescent="0.2">
      <c r="AR2109">
        <v>2101</v>
      </c>
      <c r="AS2109">
        <v>283</v>
      </c>
      <c r="AT2109">
        <v>3</v>
      </c>
      <c r="AU2109">
        <v>-2.3413639470704073</v>
      </c>
      <c r="AV2109">
        <v>4.5665555633988906E-7</v>
      </c>
    </row>
    <row r="2110" spans="44:48" x14ac:dyDescent="0.2">
      <c r="AR2110">
        <v>2102</v>
      </c>
      <c r="AS2110">
        <v>284</v>
      </c>
      <c r="AT2110">
        <v>3</v>
      </c>
      <c r="AU2110">
        <v>-2.3104234157530605</v>
      </c>
      <c r="AV2110">
        <v>6.2889152036869118E-7</v>
      </c>
    </row>
    <row r="2111" spans="44:48" x14ac:dyDescent="0.2">
      <c r="AR2111">
        <v>2103</v>
      </c>
      <c r="AS2111">
        <v>285</v>
      </c>
      <c r="AT2111">
        <v>3</v>
      </c>
      <c r="AU2111">
        <v>-2.2794828844357156</v>
      </c>
      <c r="AV2111">
        <v>8.6296808157871343E-7</v>
      </c>
    </row>
    <row r="2112" spans="44:48" x14ac:dyDescent="0.2">
      <c r="AR2112">
        <v>2104</v>
      </c>
      <c r="AS2112">
        <v>286</v>
      </c>
      <c r="AT2112">
        <v>3</v>
      </c>
      <c r="AU2112">
        <v>-2.2485423531183688</v>
      </c>
      <c r="AV2112">
        <v>1.1799014311514867E-6</v>
      </c>
    </row>
    <row r="2113" spans="44:48" x14ac:dyDescent="0.2">
      <c r="AR2113">
        <v>2105</v>
      </c>
      <c r="AS2113">
        <v>287</v>
      </c>
      <c r="AT2113">
        <v>3</v>
      </c>
      <c r="AU2113">
        <v>-2.2176018218010221</v>
      </c>
      <c r="AV2113">
        <v>1.607417618205062E-6</v>
      </c>
    </row>
    <row r="2114" spans="44:48" x14ac:dyDescent="0.2">
      <c r="AR2114">
        <v>2106</v>
      </c>
      <c r="AS2114">
        <v>288</v>
      </c>
      <c r="AT2114">
        <v>3</v>
      </c>
      <c r="AU2114">
        <v>-2.1866612904836753</v>
      </c>
      <c r="AV2114">
        <v>2.181944609865257E-6</v>
      </c>
    </row>
    <row r="2115" spans="44:48" x14ac:dyDescent="0.2">
      <c r="AR2115">
        <v>2107</v>
      </c>
      <c r="AS2115">
        <v>289</v>
      </c>
      <c r="AT2115">
        <v>3</v>
      </c>
      <c r="AU2115">
        <v>-2.1557207591663303</v>
      </c>
      <c r="AV2115">
        <v>2.9511461667028861E-6</v>
      </c>
    </row>
    <row r="2116" spans="44:48" x14ac:dyDescent="0.2">
      <c r="AR2116">
        <v>2108</v>
      </c>
      <c r="AS2116">
        <v>290</v>
      </c>
      <c r="AT2116">
        <v>3</v>
      </c>
      <c r="AU2116">
        <v>-2.1247802278489836</v>
      </c>
      <c r="AV2116">
        <v>3.977129385667748E-6</v>
      </c>
    </row>
    <row r="2117" spans="44:48" x14ac:dyDescent="0.2">
      <c r="AR2117">
        <v>2109</v>
      </c>
      <c r="AS2117">
        <v>291</v>
      </c>
      <c r="AT2117">
        <v>3</v>
      </c>
      <c r="AU2117">
        <v>-2.0938396965316368</v>
      </c>
      <c r="AV2117">
        <v>5.3404852608676254E-6</v>
      </c>
    </row>
    <row r="2118" spans="44:48" x14ac:dyDescent="0.2">
      <c r="AR2118">
        <v>2110</v>
      </c>
      <c r="AS2118">
        <v>292</v>
      </c>
      <c r="AT2118">
        <v>3</v>
      </c>
      <c r="AU2118">
        <v>-2.0628991652142901</v>
      </c>
      <c r="AV2118">
        <v>7.145353557992456E-6</v>
      </c>
    </row>
    <row r="2119" spans="44:48" x14ac:dyDescent="0.2">
      <c r="AR2119">
        <v>2111</v>
      </c>
      <c r="AS2119">
        <v>293</v>
      </c>
      <c r="AT2119">
        <v>3</v>
      </c>
      <c r="AU2119">
        <v>-2.0319586338969451</v>
      </c>
      <c r="AV2119">
        <v>9.5257400590258488E-6</v>
      </c>
    </row>
    <row r="2120" spans="44:48" x14ac:dyDescent="0.2">
      <c r="AR2120">
        <v>2112</v>
      </c>
      <c r="AS2120">
        <v>294</v>
      </c>
      <c r="AT2120">
        <v>3</v>
      </c>
      <c r="AU2120">
        <v>-2.0010181025795983</v>
      </c>
      <c r="AV2120">
        <v>1.2653356106032177E-5</v>
      </c>
    </row>
    <row r="2121" spans="44:48" x14ac:dyDescent="0.2">
      <c r="AR2121">
        <v>2113</v>
      </c>
      <c r="AS2121">
        <v>295</v>
      </c>
      <c r="AT2121">
        <v>3</v>
      </c>
      <c r="AU2121">
        <v>-1.9700775712622516</v>
      </c>
      <c r="AV2121">
        <v>1.67472975410972E-5</v>
      </c>
    </row>
    <row r="2122" spans="44:48" x14ac:dyDescent="0.2">
      <c r="AR2122">
        <v>2114</v>
      </c>
      <c r="AS2122">
        <v>296</v>
      </c>
      <c r="AT2122">
        <v>3</v>
      </c>
      <c r="AU2122">
        <v>-1.9391370399449066</v>
      </c>
      <c r="AV2122">
        <v>2.2085932631057966E-5</v>
      </c>
    </row>
    <row r="2123" spans="44:48" x14ac:dyDescent="0.2">
      <c r="AR2123">
        <v>2115</v>
      </c>
      <c r="AS2123">
        <v>297</v>
      </c>
      <c r="AT2123">
        <v>3</v>
      </c>
      <c r="AU2123">
        <v>-1.9081965086275599</v>
      </c>
      <c r="AV2123">
        <v>2.9021426195115978E-5</v>
      </c>
    </row>
    <row r="2124" spans="44:48" x14ac:dyDescent="0.2">
      <c r="AR2124">
        <v>2116</v>
      </c>
      <c r="AS2124">
        <v>298</v>
      </c>
      <c r="AT2124">
        <v>3</v>
      </c>
      <c r="AU2124">
        <v>-1.8772559773102131</v>
      </c>
      <c r="AV2124">
        <v>3.7997389460433022E-5</v>
      </c>
    </row>
    <row r="2125" spans="44:48" x14ac:dyDescent="0.2">
      <c r="AR2125">
        <v>2117</v>
      </c>
      <c r="AS2125">
        <v>299</v>
      </c>
      <c r="AT2125">
        <v>3</v>
      </c>
      <c r="AU2125">
        <v>-1.8463154459928663</v>
      </c>
      <c r="AV2125">
        <v>4.9570211350393561E-5</v>
      </c>
    </row>
    <row r="2126" spans="44:48" x14ac:dyDescent="0.2">
      <c r="AR2126">
        <v>2118</v>
      </c>
      <c r="AS2126">
        <v>300</v>
      </c>
      <c r="AT2126">
        <v>3</v>
      </c>
      <c r="AU2126">
        <v>-1.8153749146755214</v>
      </c>
      <c r="AV2126">
        <v>6.4434695737534885E-5</v>
      </c>
    </row>
    <row r="2127" spans="44:48" x14ac:dyDescent="0.2">
      <c r="AR2127">
        <v>2119</v>
      </c>
      <c r="AS2127">
        <v>301</v>
      </c>
      <c r="AT2127">
        <v>3</v>
      </c>
      <c r="AU2127">
        <v>-1.7844343833581746</v>
      </c>
      <c r="AV2127">
        <v>8.3454698944902963E-5</v>
      </c>
    </row>
    <row r="2128" spans="44:48" x14ac:dyDescent="0.2">
      <c r="AR2128">
        <v>2120</v>
      </c>
      <c r="AS2128">
        <v>302</v>
      </c>
      <c r="AT2128">
        <v>3</v>
      </c>
      <c r="AU2128">
        <v>-1.7534938520408279</v>
      </c>
      <c r="AV2128">
        <v>1.0769953015501566E-4</v>
      </c>
    </row>
    <row r="2129" spans="44:48" x14ac:dyDescent="0.2">
      <c r="AR2129">
        <v>2121</v>
      </c>
      <c r="AS2129">
        <v>303</v>
      </c>
      <c r="AT2129">
        <v>3</v>
      </c>
      <c r="AU2129">
        <v>-1.7225533207234811</v>
      </c>
      <c r="AV2129">
        <v>1.3848694143149215E-4</v>
      </c>
    </row>
    <row r="2130" spans="44:48" x14ac:dyDescent="0.2">
      <c r="AR2130">
        <v>2122</v>
      </c>
      <c r="AS2130">
        <v>304</v>
      </c>
      <c r="AT2130">
        <v>3</v>
      </c>
      <c r="AU2130">
        <v>-1.6916127894061361</v>
      </c>
      <c r="AV2130">
        <v>1.7743359010288272E-4</v>
      </c>
    </row>
    <row r="2131" spans="44:48" x14ac:dyDescent="0.2">
      <c r="AR2131">
        <v>2123</v>
      </c>
      <c r="AS2131">
        <v>305</v>
      </c>
      <c r="AT2131">
        <v>3</v>
      </c>
      <c r="AU2131">
        <v>-1.6606722580887894</v>
      </c>
      <c r="AV2131">
        <v>2.265138998604361E-4</v>
      </c>
    </row>
    <row r="2132" spans="44:48" x14ac:dyDescent="0.2">
      <c r="AR2132">
        <v>2124</v>
      </c>
      <c r="AS2132">
        <v>306</v>
      </c>
      <c r="AT2132">
        <v>3</v>
      </c>
      <c r="AU2132">
        <v>-1.6297317267714426</v>
      </c>
      <c r="AV2132">
        <v>2.8812827284314046E-4</v>
      </c>
    </row>
    <row r="2133" spans="44:48" x14ac:dyDescent="0.2">
      <c r="AR2133">
        <v>2125</v>
      </c>
      <c r="AS2133">
        <v>307</v>
      </c>
      <c r="AT2133">
        <v>3</v>
      </c>
      <c r="AU2133">
        <v>-1.5987911954540959</v>
      </c>
      <c r="AV2133">
        <v>3.651816071921458E-4</v>
      </c>
    </row>
    <row r="2134" spans="44:48" x14ac:dyDescent="0.2">
      <c r="AR2134">
        <v>2126</v>
      </c>
      <c r="AS2134">
        <v>308</v>
      </c>
      <c r="AT2134">
        <v>3</v>
      </c>
      <c r="AU2134">
        <v>-1.5678506641367509</v>
      </c>
      <c r="AV2134">
        <v>4.6117304626804945E-4</v>
      </c>
    </row>
    <row r="2135" spans="44:48" x14ac:dyDescent="0.2">
      <c r="AR2135">
        <v>2127</v>
      </c>
      <c r="AS2135">
        <v>309</v>
      </c>
      <c r="AT2135">
        <v>3</v>
      </c>
      <c r="AU2135">
        <v>-1.5369101328194041</v>
      </c>
      <c r="AV2135">
        <v>5.8029781949447067E-4</v>
      </c>
    </row>
    <row r="2136" spans="44:48" x14ac:dyDescent="0.2">
      <c r="AR2136">
        <v>2128</v>
      </c>
      <c r="AS2136">
        <v>310</v>
      </c>
      <c r="AT2136">
        <v>3</v>
      </c>
      <c r="AU2136">
        <v>-1.5059696015020574</v>
      </c>
      <c r="AV2136">
        <v>7.275619226638925E-4</v>
      </c>
    </row>
    <row r="2137" spans="44:48" x14ac:dyDescent="0.2">
      <c r="AR2137">
        <v>2129</v>
      </c>
      <c r="AS2137">
        <v>311</v>
      </c>
      <c r="AT2137">
        <v>3</v>
      </c>
      <c r="AU2137">
        <v>-1.4750290701847124</v>
      </c>
      <c r="AV2137">
        <v>9.0891021926645642E-4</v>
      </c>
    </row>
    <row r="2138" spans="44:48" x14ac:dyDescent="0.2">
      <c r="AR2138">
        <v>2130</v>
      </c>
      <c r="AS2138">
        <v>312</v>
      </c>
      <c r="AT2138">
        <v>3</v>
      </c>
      <c r="AU2138">
        <v>-1.4440885388673657</v>
      </c>
      <c r="AV2138">
        <v>1.1313683157196451E-3</v>
      </c>
    </row>
    <row r="2139" spans="44:48" x14ac:dyDescent="0.2">
      <c r="AR2139">
        <v>2131</v>
      </c>
      <c r="AS2139">
        <v>313</v>
      </c>
      <c r="AT2139">
        <v>3</v>
      </c>
      <c r="AU2139">
        <v>-1.4131480075500189</v>
      </c>
      <c r="AV2139">
        <v>1.403198264385417E-3</v>
      </c>
    </row>
    <row r="2140" spans="44:48" x14ac:dyDescent="0.2">
      <c r="AR2140">
        <v>2132</v>
      </c>
      <c r="AS2140">
        <v>314</v>
      </c>
      <c r="AT2140">
        <v>3</v>
      </c>
      <c r="AU2140">
        <v>-1.3822074762326721</v>
      </c>
      <c r="AV2140">
        <v>1.7340677718609423E-3</v>
      </c>
    </row>
    <row r="2141" spans="44:48" x14ac:dyDescent="0.2">
      <c r="AR2141">
        <v>2133</v>
      </c>
      <c r="AS2141">
        <v>315</v>
      </c>
      <c r="AT2141">
        <v>3</v>
      </c>
      <c r="AU2141">
        <v>-1.3512669449153272</v>
      </c>
      <c r="AV2141">
        <v>2.135232130436847E-3</v>
      </c>
    </row>
    <row r="2142" spans="44:48" x14ac:dyDescent="0.2">
      <c r="AR2142">
        <v>2134</v>
      </c>
      <c r="AS2142">
        <v>316</v>
      </c>
      <c r="AT2142">
        <v>3</v>
      </c>
      <c r="AU2142">
        <v>-1.3203264135979804</v>
      </c>
      <c r="AV2142">
        <v>2.6197275439582587E-3</v>
      </c>
    </row>
    <row r="2143" spans="44:48" x14ac:dyDescent="0.2">
      <c r="AR2143">
        <v>2135</v>
      </c>
      <c r="AS2143">
        <v>317</v>
      </c>
      <c r="AT2143">
        <v>3</v>
      </c>
      <c r="AU2143">
        <v>-1.2893858822806337</v>
      </c>
      <c r="AV2143">
        <v>3.2025738842666267E-3</v>
      </c>
    </row>
    <row r="2144" spans="44:48" x14ac:dyDescent="0.2">
      <c r="AR2144">
        <v>2136</v>
      </c>
      <c r="AS2144">
        <v>318</v>
      </c>
      <c r="AT2144">
        <v>3</v>
      </c>
      <c r="AU2144">
        <v>-1.2584453509632869</v>
      </c>
      <c r="AV2144">
        <v>3.9009841928347756E-3</v>
      </c>
    </row>
    <row r="2145" spans="44:48" x14ac:dyDescent="0.2">
      <c r="AR2145">
        <v>2137</v>
      </c>
      <c r="AS2145">
        <v>319</v>
      </c>
      <c r="AT2145">
        <v>3</v>
      </c>
      <c r="AU2145">
        <v>-1.2275048196459419</v>
      </c>
      <c r="AV2145">
        <v>4.7345774399189166E-3</v>
      </c>
    </row>
    <row r="2146" spans="44:48" x14ac:dyDescent="0.2">
      <c r="AR2146">
        <v>2138</v>
      </c>
      <c r="AS2146">
        <v>320</v>
      </c>
      <c r="AT2146">
        <v>3</v>
      </c>
      <c r="AU2146">
        <v>-1.1965642883285952</v>
      </c>
      <c r="AV2146">
        <v>5.7255901808832129E-3</v>
      </c>
    </row>
    <row r="2147" spans="44:48" x14ac:dyDescent="0.2">
      <c r="AR2147">
        <v>2139</v>
      </c>
      <c r="AS2147">
        <v>321</v>
      </c>
      <c r="AT2147">
        <v>3</v>
      </c>
      <c r="AU2147">
        <v>-1.1656237570112484</v>
      </c>
      <c r="AV2147">
        <v>6.899081821781913E-3</v>
      </c>
    </row>
    <row r="2148" spans="44:48" x14ac:dyDescent="0.2">
      <c r="AR2148">
        <v>2140</v>
      </c>
      <c r="AS2148">
        <v>322</v>
      </c>
      <c r="AT2148">
        <v>3</v>
      </c>
      <c r="AU2148">
        <v>-1.1346832256939035</v>
      </c>
      <c r="AV2148">
        <v>8.2831272449088722E-3</v>
      </c>
    </row>
    <row r="2149" spans="44:48" x14ac:dyDescent="0.2">
      <c r="AR2149">
        <v>2141</v>
      </c>
      <c r="AS2149">
        <v>323</v>
      </c>
      <c r="AT2149">
        <v>3</v>
      </c>
      <c r="AU2149">
        <v>-1.1037426943765567</v>
      </c>
      <c r="AV2149">
        <v>9.9089895768592982E-3</v>
      </c>
    </row>
    <row r="2150" spans="44:48" x14ac:dyDescent="0.2">
      <c r="AR2150">
        <v>2142</v>
      </c>
      <c r="AS2150">
        <v>324</v>
      </c>
      <c r="AT2150">
        <v>3</v>
      </c>
      <c r="AU2150">
        <v>-1.0728021630592099</v>
      </c>
      <c r="AV2150">
        <v>1.1811264939737422E-2</v>
      </c>
    </row>
    <row r="2151" spans="44:48" x14ac:dyDescent="0.2">
      <c r="AR2151">
        <v>2143</v>
      </c>
      <c r="AS2151">
        <v>325</v>
      </c>
      <c r="AT2151">
        <v>3</v>
      </c>
      <c r="AU2151">
        <v>-1.0418616317418632</v>
      </c>
      <c r="AV2151">
        <v>1.402799014938981E-2</v>
      </c>
    </row>
    <row r="2152" spans="44:48" x14ac:dyDescent="0.2">
      <c r="AR2152">
        <v>2144</v>
      </c>
      <c r="AS2152">
        <v>326</v>
      </c>
      <c r="AT2152">
        <v>3</v>
      </c>
      <c r="AU2152">
        <v>-1.0109211004245182</v>
      </c>
      <c r="AV2152">
        <v>1.6600703557212434E-2</v>
      </c>
    </row>
    <row r="2153" spans="44:48" x14ac:dyDescent="0.2">
      <c r="AR2153">
        <v>2145</v>
      </c>
      <c r="AS2153">
        <v>327</v>
      </c>
      <c r="AT2153">
        <v>3</v>
      </c>
      <c r="AU2153">
        <v>-0.97998056910717146</v>
      </c>
      <c r="AV2153">
        <v>1.9574448623006349E-2</v>
      </c>
    </row>
    <row r="2154" spans="44:48" x14ac:dyDescent="0.2">
      <c r="AR2154">
        <v>2146</v>
      </c>
      <c r="AS2154">
        <v>328</v>
      </c>
      <c r="AT2154">
        <v>3</v>
      </c>
      <c r="AU2154">
        <v>-0.94904003778982471</v>
      </c>
      <c r="AV2154">
        <v>2.2997709407684447E-2</v>
      </c>
    </row>
    <row r="2155" spans="44:48" x14ac:dyDescent="0.2">
      <c r="AR2155">
        <v>2147</v>
      </c>
      <c r="AS2155">
        <v>329</v>
      </c>
      <c r="AT2155">
        <v>3</v>
      </c>
      <c r="AU2155">
        <v>-0.91809950647247796</v>
      </c>
      <c r="AV2155">
        <v>2.6922267040266512E-2</v>
      </c>
    </row>
    <row r="2156" spans="44:48" x14ac:dyDescent="0.2">
      <c r="AR2156">
        <v>2148</v>
      </c>
      <c r="AS2156">
        <v>330</v>
      </c>
      <c r="AT2156">
        <v>3</v>
      </c>
      <c r="AU2156">
        <v>-0.88715897515513298</v>
      </c>
      <c r="AV2156">
        <v>3.1402966397143552E-2</v>
      </c>
    </row>
    <row r="2157" spans="44:48" x14ac:dyDescent="0.2">
      <c r="AR2157">
        <v>2149</v>
      </c>
      <c r="AS2157">
        <v>331</v>
      </c>
      <c r="AT2157">
        <v>3</v>
      </c>
      <c r="AU2157">
        <v>-0.85621844383778623</v>
      </c>
      <c r="AV2157">
        <v>3.6497382784075279E-2</v>
      </c>
    </row>
    <row r="2158" spans="44:48" x14ac:dyDescent="0.2">
      <c r="AR2158">
        <v>2150</v>
      </c>
      <c r="AS2158">
        <v>332</v>
      </c>
      <c r="AT2158">
        <v>3</v>
      </c>
      <c r="AU2158">
        <v>-0.82527791252043947</v>
      </c>
      <c r="AV2158">
        <v>4.2265379378512283E-2</v>
      </c>
    </row>
    <row r="2159" spans="44:48" x14ac:dyDescent="0.2">
      <c r="AR2159">
        <v>2151</v>
      </c>
      <c r="AS2159">
        <v>333</v>
      </c>
      <c r="AT2159">
        <v>3</v>
      </c>
      <c r="AU2159">
        <v>-0.79433738120309272</v>
      </c>
      <c r="AV2159">
        <v>4.8768547609197729E-2</v>
      </c>
    </row>
    <row r="2160" spans="44:48" x14ac:dyDescent="0.2">
      <c r="AR2160">
        <v>2152</v>
      </c>
      <c r="AS2160">
        <v>334</v>
      </c>
      <c r="AT2160">
        <v>3</v>
      </c>
      <c r="AU2160">
        <v>-0.76339684988574774</v>
      </c>
      <c r="AV2160">
        <v>5.6069524547946357E-2</v>
      </c>
    </row>
    <row r="2161" spans="44:48" x14ac:dyDescent="0.2">
      <c r="AR2161">
        <v>2153</v>
      </c>
      <c r="AS2161">
        <v>335</v>
      </c>
      <c r="AT2161">
        <v>3</v>
      </c>
      <c r="AU2161">
        <v>-0.73245631856840099</v>
      </c>
      <c r="AV2161">
        <v>6.4231183777262779E-2</v>
      </c>
    </row>
    <row r="2162" spans="44:48" x14ac:dyDescent="0.2">
      <c r="AR2162">
        <v>2154</v>
      </c>
      <c r="AS2162">
        <v>336</v>
      </c>
      <c r="AT2162">
        <v>3</v>
      </c>
      <c r="AU2162">
        <v>-0.70151578725105423</v>
      </c>
      <c r="AV2162">
        <v>7.3315699072179399E-2</v>
      </c>
    </row>
    <row r="2163" spans="44:48" x14ac:dyDescent="0.2">
      <c r="AR2163">
        <v>2155</v>
      </c>
      <c r="AS2163">
        <v>337</v>
      </c>
      <c r="AT2163">
        <v>3</v>
      </c>
      <c r="AU2163">
        <v>-0.67057525593370926</v>
      </c>
      <c r="AV2163">
        <v>8.3383483571057349E-2</v>
      </c>
    </row>
    <row r="2164" spans="44:48" x14ac:dyDescent="0.2">
      <c r="AR2164">
        <v>2156</v>
      </c>
      <c r="AS2164">
        <v>338</v>
      </c>
      <c r="AT2164">
        <v>3</v>
      </c>
      <c r="AU2164">
        <v>-0.6396347246163625</v>
      </c>
      <c r="AV2164">
        <v>9.4492010862148951E-2</v>
      </c>
    </row>
    <row r="2165" spans="44:48" x14ac:dyDescent="0.2">
      <c r="AR2165">
        <v>2157</v>
      </c>
      <c r="AS2165">
        <v>339</v>
      </c>
      <c r="AT2165">
        <v>3</v>
      </c>
      <c r="AU2165">
        <v>-0.60869419329901575</v>
      </c>
      <c r="AV2165">
        <v>0.10669452851175554</v>
      </c>
    </row>
    <row r="2166" spans="44:48" x14ac:dyDescent="0.2">
      <c r="AR2166">
        <v>2158</v>
      </c>
      <c r="AS2166">
        <v>340</v>
      </c>
      <c r="AT2166">
        <v>3</v>
      </c>
      <c r="AU2166">
        <v>-0.577753661981669</v>
      </c>
      <c r="AV2166">
        <v>0.12003867891378539</v>
      </c>
    </row>
    <row r="2167" spans="44:48" x14ac:dyDescent="0.2">
      <c r="AR2167">
        <v>2159</v>
      </c>
      <c r="AS2167">
        <v>341</v>
      </c>
      <c r="AT2167">
        <v>3</v>
      </c>
      <c r="AU2167">
        <v>-0.54681313066432402</v>
      </c>
      <c r="AV2167">
        <v>0.13456504683455942</v>
      </c>
    </row>
    <row r="2168" spans="44:48" x14ac:dyDescent="0.2">
      <c r="AR2168">
        <v>2160</v>
      </c>
      <c r="AS2168">
        <v>342</v>
      </c>
      <c r="AT2168">
        <v>3</v>
      </c>
      <c r="AU2168">
        <v>-0.51587259934697727</v>
      </c>
      <c r="AV2168">
        <v>0.15030565752501152</v>
      </c>
    </row>
    <row r="2169" spans="44:48" x14ac:dyDescent="0.2">
      <c r="AR2169">
        <v>2161</v>
      </c>
      <c r="AS2169">
        <v>343</v>
      </c>
      <c r="AT2169">
        <v>3</v>
      </c>
      <c r="AU2169">
        <v>-0.48493206802963051</v>
      </c>
      <c r="AV2169">
        <v>0.16728245362081898</v>
      </c>
    </row>
    <row r="2170" spans="44:48" x14ac:dyDescent="0.2">
      <c r="AR2170">
        <v>2162</v>
      </c>
      <c r="AS2170">
        <v>344</v>
      </c>
      <c r="AT2170">
        <v>3</v>
      </c>
      <c r="AU2170">
        <v>-0.45399153671228376</v>
      </c>
      <c r="AV2170">
        <v>0.18550578308134735</v>
      </c>
    </row>
    <row r="2171" spans="44:48" x14ac:dyDescent="0.2">
      <c r="AR2171">
        <v>2163</v>
      </c>
      <c r="AS2171">
        <v>345</v>
      </c>
      <c r="AT2171">
        <v>3</v>
      </c>
      <c r="AU2171">
        <v>-0.42305100539493878</v>
      </c>
      <c r="AV2171">
        <v>0.204972933953424</v>
      </c>
    </row>
    <row r="2172" spans="44:48" x14ac:dyDescent="0.2">
      <c r="AR2172">
        <v>2164</v>
      </c>
      <c r="AS2172">
        <v>346</v>
      </c>
      <c r="AT2172">
        <v>3</v>
      </c>
      <c r="AU2172">
        <v>-0.39211047407759203</v>
      </c>
      <c r="AV2172">
        <v>0.22566675460635288</v>
      </c>
    </row>
    <row r="2173" spans="44:48" x14ac:dyDescent="0.2">
      <c r="AR2173">
        <v>2165</v>
      </c>
      <c r="AS2173">
        <v>347</v>
      </c>
      <c r="AT2173">
        <v>3</v>
      </c>
      <c r="AU2173">
        <v>-0.36116994276024528</v>
      </c>
      <c r="AV2173">
        <v>0.2475544000951776</v>
      </c>
    </row>
    <row r="2174" spans="44:48" x14ac:dyDescent="0.2">
      <c r="AR2174">
        <v>2166</v>
      </c>
      <c r="AS2174">
        <v>348</v>
      </c>
      <c r="AT2174">
        <v>3</v>
      </c>
      <c r="AU2174">
        <v>-0.3302294114429003</v>
      </c>
      <c r="AV2174">
        <v>0.2705862463076148</v>
      </c>
    </row>
    <row r="2175" spans="44:48" x14ac:dyDescent="0.2">
      <c r="AR2175">
        <v>2167</v>
      </c>
      <c r="AS2175">
        <v>349</v>
      </c>
      <c r="AT2175">
        <v>3</v>
      </c>
      <c r="AU2175">
        <v>-0.29928888012555355</v>
      </c>
      <c r="AV2175">
        <v>0.29469501339429049</v>
      </c>
    </row>
    <row r="2176" spans="44:48" x14ac:dyDescent="0.2">
      <c r="AR2176">
        <v>2168</v>
      </c>
      <c r="AS2176">
        <v>350</v>
      </c>
      <c r="AT2176">
        <v>3</v>
      </c>
      <c r="AU2176">
        <v>-0.26834834880820679</v>
      </c>
      <c r="AV2176">
        <v>0.31979513855882385</v>
      </c>
    </row>
    <row r="2177" spans="44:48" x14ac:dyDescent="0.2">
      <c r="AR2177">
        <v>2169</v>
      </c>
      <c r="AS2177">
        <v>351</v>
      </c>
      <c r="AT2177">
        <v>3</v>
      </c>
      <c r="AU2177">
        <v>-0.23740781749086004</v>
      </c>
      <c r="AV2177">
        <v>0.34578243551706378</v>
      </c>
    </row>
    <row r="2178" spans="44:48" x14ac:dyDescent="0.2">
      <c r="AR2178">
        <v>2170</v>
      </c>
      <c r="AS2178">
        <v>352</v>
      </c>
      <c r="AT2178">
        <v>3</v>
      </c>
      <c r="AU2178">
        <v>-0.20646728617351506</v>
      </c>
      <c r="AV2178">
        <v>0.37253407378950065</v>
      </c>
    </row>
    <row r="2179" spans="44:48" x14ac:dyDescent="0.2">
      <c r="AR2179">
        <v>2171</v>
      </c>
      <c r="AS2179">
        <v>353</v>
      </c>
      <c r="AT2179">
        <v>3</v>
      </c>
      <c r="AU2179">
        <v>-0.17552675485616831</v>
      </c>
      <c r="AV2179">
        <v>0.39990890548249641</v>
      </c>
    </row>
    <row r="2180" spans="44:48" x14ac:dyDescent="0.2">
      <c r="AR2180">
        <v>2172</v>
      </c>
      <c r="AS2180">
        <v>354</v>
      </c>
      <c r="AT2180">
        <v>3</v>
      </c>
      <c r="AU2180">
        <v>-0.14458622353882156</v>
      </c>
      <c r="AV2180">
        <v>0.42774816040950359</v>
      </c>
    </row>
    <row r="2181" spans="44:48" x14ac:dyDescent="0.2">
      <c r="AR2181">
        <v>2173</v>
      </c>
      <c r="AS2181">
        <v>355</v>
      </c>
      <c r="AT2181">
        <v>3</v>
      </c>
      <c r="AU2181">
        <v>-0.1136456922214748</v>
      </c>
      <c r="AV2181">
        <v>0.45587652242434146</v>
      </c>
    </row>
    <row r="2182" spans="44:48" x14ac:dyDescent="0.2">
      <c r="AR2182">
        <v>2174</v>
      </c>
      <c r="AS2182">
        <v>356</v>
      </c>
      <c r="AT2182">
        <v>3</v>
      </c>
      <c r="AU2182">
        <v>-8.2705160904129826E-2</v>
      </c>
      <c r="AV2182">
        <v>0.48410359085961963</v>
      </c>
    </row>
    <row r="2183" spans="44:48" x14ac:dyDescent="0.2">
      <c r="AR2183">
        <v>2175</v>
      </c>
      <c r="AS2183">
        <v>357</v>
      </c>
      <c r="AT2183">
        <v>3</v>
      </c>
      <c r="AU2183">
        <v>-5.1764629586783073E-2</v>
      </c>
      <c r="AV2183">
        <v>0.51222572121044585</v>
      </c>
    </row>
    <row r="2184" spans="44:48" x14ac:dyDescent="0.2">
      <c r="AR2184">
        <v>2176</v>
      </c>
      <c r="AS2184">
        <v>358</v>
      </c>
      <c r="AT2184">
        <v>3</v>
      </c>
      <c r="AU2184">
        <v>-2.082409826943632E-2</v>
      </c>
      <c r="AV2184">
        <v>0.54002822894742275</v>
      </c>
    </row>
    <row r="2185" spans="44:48" x14ac:dyDescent="0.2">
      <c r="AR2185">
        <v>2177</v>
      </c>
      <c r="AS2185">
        <v>359</v>
      </c>
      <c r="AT2185">
        <v>3</v>
      </c>
      <c r="AU2185">
        <v>1.0116433047910434E-2</v>
      </c>
      <c r="AV2185">
        <v>0.56728792989230148</v>
      </c>
    </row>
    <row r="2186" spans="44:48" x14ac:dyDescent="0.2">
      <c r="AR2186">
        <v>2178</v>
      </c>
      <c r="AS2186">
        <v>360</v>
      </c>
      <c r="AT2186">
        <v>3</v>
      </c>
      <c r="AU2186">
        <v>4.1056964365255411E-2</v>
      </c>
      <c r="AV2186">
        <v>0.59377598028018774</v>
      </c>
    </row>
    <row r="2187" spans="44:48" x14ac:dyDescent="0.2">
      <c r="AR2187">
        <v>2179</v>
      </c>
      <c r="AS2187">
        <v>361</v>
      </c>
      <c r="AT2187">
        <v>3</v>
      </c>
      <c r="AU2187">
        <v>7.1997495682602164E-2</v>
      </c>
      <c r="AV2187">
        <v>0.61926096981553003</v>
      </c>
    </row>
    <row r="2188" spans="44:48" x14ac:dyDescent="0.2">
      <c r="AR2188">
        <v>2180</v>
      </c>
      <c r="AS2188">
        <v>362</v>
      </c>
      <c r="AT2188">
        <v>3</v>
      </c>
      <c r="AU2188">
        <v>0.10293802699994892</v>
      </c>
      <c r="AV2188">
        <v>0.64351221205863973</v>
      </c>
    </row>
    <row r="2189" spans="44:48" x14ac:dyDescent="0.2">
      <c r="AR2189">
        <v>2181</v>
      </c>
      <c r="AS2189">
        <v>363</v>
      </c>
      <c r="AT2189">
        <v>3</v>
      </c>
      <c r="AU2189">
        <v>0.13387855831729389</v>
      </c>
      <c r="AV2189">
        <v>0.66630316869691841</v>
      </c>
    </row>
    <row r="2190" spans="44:48" x14ac:dyDescent="0.2">
      <c r="AR2190">
        <v>2182</v>
      </c>
      <c r="AS2190">
        <v>364</v>
      </c>
      <c r="AT2190">
        <v>3</v>
      </c>
      <c r="AU2190">
        <v>0.16481908963464065</v>
      </c>
      <c r="AV2190">
        <v>0.68741493797514608</v>
      </c>
    </row>
    <row r="2191" spans="44:48" x14ac:dyDescent="0.2">
      <c r="AR2191">
        <v>2183</v>
      </c>
      <c r="AS2191">
        <v>365</v>
      </c>
      <c r="AT2191">
        <v>3</v>
      </c>
      <c r="AU2191">
        <v>0.1957596209519874</v>
      </c>
      <c r="AV2191">
        <v>0.7066397330568116</v>
      </c>
    </row>
    <row r="2192" spans="44:48" x14ac:dyDescent="0.2">
      <c r="AR2192">
        <v>2184</v>
      </c>
      <c r="AS2192">
        <v>366</v>
      </c>
      <c r="AT2192">
        <v>3</v>
      </c>
      <c r="AU2192">
        <v>0.22670015226933415</v>
      </c>
      <c r="AV2192">
        <v>0.72378427358467334</v>
      </c>
    </row>
    <row r="2193" spans="44:48" x14ac:dyDescent="0.2">
      <c r="AR2193">
        <v>2185</v>
      </c>
      <c r="AS2193">
        <v>367</v>
      </c>
      <c r="AT2193">
        <v>3</v>
      </c>
      <c r="AU2193">
        <v>0.25764068358667913</v>
      </c>
      <c r="AV2193">
        <v>0.73867301336014191</v>
      </c>
    </row>
    <row r="2194" spans="44:48" x14ac:dyDescent="0.2">
      <c r="AR2194">
        <v>2186</v>
      </c>
      <c r="AS2194">
        <v>368</v>
      </c>
      <c r="AT2194">
        <v>3</v>
      </c>
      <c r="AU2194">
        <v>0.28858121490402588</v>
      </c>
      <c r="AV2194">
        <v>0.7511511289513777</v>
      </c>
    </row>
    <row r="2195" spans="44:48" x14ac:dyDescent="0.2">
      <c r="AR2195">
        <v>2187</v>
      </c>
      <c r="AS2195">
        <v>369</v>
      </c>
      <c r="AT2195">
        <v>3</v>
      </c>
      <c r="AU2195">
        <v>0.31952174622137264</v>
      </c>
      <c r="AV2195">
        <v>0.76108719817367387</v>
      </c>
    </row>
    <row r="2196" spans="44:48" x14ac:dyDescent="0.2">
      <c r="AR2196">
        <v>2188</v>
      </c>
      <c r="AS2196">
        <v>370</v>
      </c>
      <c r="AT2196">
        <v>3</v>
      </c>
      <c r="AU2196">
        <v>0.35046227753871939</v>
      </c>
      <c r="AV2196">
        <v>0.76837550368599972</v>
      </c>
    </row>
    <row r="2197" spans="44:48" x14ac:dyDescent="0.2">
      <c r="AR2197">
        <v>2189</v>
      </c>
      <c r="AS2197">
        <v>371</v>
      </c>
      <c r="AT2197">
        <v>3</v>
      </c>
      <c r="AU2197">
        <v>0.38140280885606437</v>
      </c>
      <c r="AV2197">
        <v>0.77293790525700246</v>
      </c>
    </row>
    <row r="2198" spans="44:48" x14ac:dyDescent="0.2">
      <c r="AR2198">
        <v>2190</v>
      </c>
      <c r="AS2198">
        <v>372</v>
      </c>
      <c r="AT2198">
        <v>3</v>
      </c>
      <c r="AU2198">
        <v>0.41234334017341112</v>
      </c>
      <c r="AV2198">
        <v>0.77472523433896479</v>
      </c>
    </row>
    <row r="2199" spans="44:48" x14ac:dyDescent="0.2">
      <c r="AR2199">
        <v>2191</v>
      </c>
      <c r="AS2199">
        <v>373</v>
      </c>
      <c r="AT2199">
        <v>3</v>
      </c>
      <c r="AU2199">
        <v>0.44328387149075787</v>
      </c>
      <c r="AV2199">
        <v>0.77371817614751548</v>
      </c>
    </row>
    <row r="2200" spans="44:48" x14ac:dyDescent="0.2">
      <c r="AR2200">
        <v>2192</v>
      </c>
      <c r="AS2200">
        <v>374</v>
      </c>
      <c r="AT2200">
        <v>3</v>
      </c>
      <c r="AU2200">
        <v>0.47422440280810285</v>
      </c>
      <c r="AV2200">
        <v>0.76992761711948443</v>
      </c>
    </row>
    <row r="2201" spans="44:48" x14ac:dyDescent="0.2">
      <c r="AR2201">
        <v>2193</v>
      </c>
      <c r="AS2201">
        <v>375</v>
      </c>
      <c r="AT2201">
        <v>3</v>
      </c>
      <c r="AU2201">
        <v>0.50516493412544961</v>
      </c>
      <c r="AV2201">
        <v>0.76339444900870657</v>
      </c>
    </row>
    <row r="2202" spans="44:48" x14ac:dyDescent="0.2">
      <c r="AR2202">
        <v>2194</v>
      </c>
      <c r="AS2202">
        <v>376</v>
      </c>
      <c r="AT2202">
        <v>3</v>
      </c>
      <c r="AU2202">
        <v>0.53610546544279636</v>
      </c>
      <c r="AV2202">
        <v>0.75418883454933738</v>
      </c>
    </row>
    <row r="2203" spans="44:48" x14ac:dyDescent="0.2">
      <c r="AR2203">
        <v>2195</v>
      </c>
      <c r="AS2203">
        <v>377</v>
      </c>
      <c r="AT2203">
        <v>3</v>
      </c>
      <c r="AU2203">
        <v>0.56704599676014311</v>
      </c>
      <c r="AV2203">
        <v>0.74240895312669952</v>
      </c>
    </row>
    <row r="2204" spans="44:48" x14ac:dyDescent="0.2">
      <c r="AR2204">
        <v>2196</v>
      </c>
      <c r="AS2204">
        <v>378</v>
      </c>
      <c r="AT2204">
        <v>3</v>
      </c>
      <c r="AU2204">
        <v>0.59798652807748809</v>
      </c>
      <c r="AV2204">
        <v>0.7281792578115025</v>
      </c>
    </row>
    <row r="2205" spans="44:48" x14ac:dyDescent="0.2">
      <c r="AR2205">
        <v>2197</v>
      </c>
      <c r="AS2205">
        <v>379</v>
      </c>
      <c r="AT2205">
        <v>3</v>
      </c>
      <c r="AU2205">
        <v>0.62892705939483484</v>
      </c>
      <c r="AV2205">
        <v>0.71164828702253247</v>
      </c>
    </row>
    <row r="2206" spans="44:48" x14ac:dyDescent="0.2">
      <c r="AR2206">
        <v>2198</v>
      </c>
      <c r="AS2206">
        <v>380</v>
      </c>
      <c r="AT2206">
        <v>3</v>
      </c>
      <c r="AU2206">
        <v>0.6598675907121816</v>
      </c>
      <c r="AV2206">
        <v>0.6929860846131124</v>
      </c>
    </row>
    <row r="2207" spans="44:48" x14ac:dyDescent="0.2">
      <c r="AR2207">
        <v>2199</v>
      </c>
      <c r="AS2207">
        <v>381</v>
      </c>
      <c r="AT2207">
        <v>3</v>
      </c>
      <c r="AU2207">
        <v>0.69080812202952835</v>
      </c>
      <c r="AV2207">
        <v>0.67238129100890964</v>
      </c>
    </row>
    <row r="2208" spans="44:48" x14ac:dyDescent="0.2">
      <c r="AR2208">
        <v>2200</v>
      </c>
      <c r="AS2208">
        <v>382</v>
      </c>
      <c r="AT2208">
        <v>3</v>
      </c>
      <c r="AU2208">
        <v>0.72174865334687333</v>
      </c>
      <c r="AV2208">
        <v>0.65003797490567938</v>
      </c>
    </row>
    <row r="2209" spans="44:48" x14ac:dyDescent="0.2">
      <c r="AR2209">
        <v>2201</v>
      </c>
      <c r="AS2209">
        <v>383</v>
      </c>
      <c r="AT2209">
        <v>3</v>
      </c>
      <c r="AU2209">
        <v>0.75268918466422008</v>
      </c>
      <c r="AV2209">
        <v>0.62617227978592804</v>
      </c>
    </row>
    <row r="2210" spans="44:48" x14ac:dyDescent="0.2">
      <c r="AR2210">
        <v>2202</v>
      </c>
      <c r="AS2210">
        <v>384</v>
      </c>
      <c r="AT2210">
        <v>3</v>
      </c>
      <c r="AU2210">
        <v>0.78362971598156683</v>
      </c>
      <c r="AV2210">
        <v>0.60100896203374532</v>
      </c>
    </row>
    <row r="2211" spans="44:48" x14ac:dyDescent="0.2">
      <c r="AR2211">
        <v>2203</v>
      </c>
      <c r="AS2211">
        <v>385</v>
      </c>
      <c r="AT2211">
        <v>3</v>
      </c>
      <c r="AU2211">
        <v>0.81457024729891181</v>
      </c>
      <c r="AV2211">
        <v>0.57477789769901844</v>
      </c>
    </row>
    <row r="2212" spans="44:48" x14ac:dyDescent="0.2">
      <c r="AR2212">
        <v>2204</v>
      </c>
      <c r="AS2212">
        <v>386</v>
      </c>
      <c r="AT2212">
        <v>3</v>
      </c>
      <c r="AU2212">
        <v>0.84551077861625856</v>
      </c>
      <c r="AV2212">
        <v>0.54771063304798817</v>
      </c>
    </row>
    <row r="2213" spans="44:48" x14ac:dyDescent="0.2">
      <c r="AR2213">
        <v>2205</v>
      </c>
      <c r="AS2213">
        <v>387</v>
      </c>
      <c r="AT2213">
        <v>3</v>
      </c>
      <c r="AU2213">
        <v>0.87645130993360532</v>
      </c>
      <c r="AV2213">
        <v>0.52003705007356404</v>
      </c>
    </row>
    <row r="2214" spans="44:48" x14ac:dyDescent="0.2">
      <c r="AR2214">
        <v>2206</v>
      </c>
      <c r="AS2214">
        <v>388</v>
      </c>
      <c r="AT2214">
        <v>3</v>
      </c>
      <c r="AU2214">
        <v>0.90739184125095207</v>
      </c>
      <c r="AV2214">
        <v>0.49198221233012829</v>
      </c>
    </row>
    <row r="2215" spans="44:48" x14ac:dyDescent="0.2">
      <c r="AR2215">
        <v>2207</v>
      </c>
      <c r="AS2215">
        <v>389</v>
      </c>
      <c r="AT2215">
        <v>3</v>
      </c>
      <c r="AU2215">
        <v>0.93833237256829705</v>
      </c>
      <c r="AV2215">
        <v>0.46376344906474687</v>
      </c>
    </row>
    <row r="2216" spans="44:48" x14ac:dyDescent="0.2">
      <c r="AR2216">
        <v>2208</v>
      </c>
      <c r="AS2216">
        <v>390</v>
      </c>
      <c r="AT2216">
        <v>3</v>
      </c>
      <c r="AU2216">
        <v>0.9692729038856438</v>
      </c>
      <c r="AV2216">
        <v>0.43558772694465164</v>
      </c>
    </row>
    <row r="2217" spans="44:48" x14ac:dyDescent="0.2">
      <c r="AR2217">
        <v>2209</v>
      </c>
      <c r="AS2217">
        <v>391</v>
      </c>
      <c r="AT2217">
        <v>3</v>
      </c>
      <c r="AU2217">
        <v>1.0002134352029906</v>
      </c>
      <c r="AV2217">
        <v>0.40764934906534384</v>
      </c>
    </row>
    <row r="2218" spans="44:48" x14ac:dyDescent="0.2">
      <c r="AR2218">
        <v>2210</v>
      </c>
      <c r="AS2218">
        <v>392</v>
      </c>
      <c r="AT2218">
        <v>3</v>
      </c>
      <c r="AU2218">
        <v>1.0311539665203373</v>
      </c>
      <c r="AV2218">
        <v>0.38012801071616109</v>
      </c>
    </row>
    <row r="2219" spans="44:48" x14ac:dyDescent="0.2">
      <c r="AR2219">
        <v>2211</v>
      </c>
      <c r="AS2219">
        <v>393</v>
      </c>
      <c r="AT2219">
        <v>3</v>
      </c>
      <c r="AU2219">
        <v>1.0620944978376823</v>
      </c>
      <c r="AV2219">
        <v>0.35318723093427495</v>
      </c>
    </row>
    <row r="2220" spans="44:48" x14ac:dyDescent="0.2">
      <c r="AR2220">
        <v>2212</v>
      </c>
      <c r="AS2220">
        <v>394</v>
      </c>
      <c r="AT2220">
        <v>3</v>
      </c>
      <c r="AU2220">
        <v>1.093035029155029</v>
      </c>
      <c r="AV2220">
        <v>0.32697316853513053</v>
      </c>
    </row>
    <row r="2221" spans="44:48" x14ac:dyDescent="0.2">
      <c r="AR2221">
        <v>2213</v>
      </c>
      <c r="AS2221">
        <v>395</v>
      </c>
      <c r="AT2221">
        <v>3</v>
      </c>
      <c r="AU2221">
        <v>1.1239755604723758</v>
      </c>
      <c r="AV2221">
        <v>0.30161382138473608</v>
      </c>
    </row>
    <row r="2222" spans="44:48" x14ac:dyDescent="0.2">
      <c r="AR2222">
        <v>2214</v>
      </c>
      <c r="AS2222">
        <v>396</v>
      </c>
      <c r="AT2222">
        <v>3</v>
      </c>
      <c r="AU2222">
        <v>1.1549160917897225</v>
      </c>
      <c r="AV2222">
        <v>0.27721859845911995</v>
      </c>
    </row>
    <row r="2223" spans="44:48" x14ac:dyDescent="0.2">
      <c r="AR2223">
        <v>2215</v>
      </c>
      <c r="AS2223">
        <v>397</v>
      </c>
      <c r="AT2223">
        <v>3</v>
      </c>
      <c r="AU2223">
        <v>1.1858566231070675</v>
      </c>
      <c r="AV2223">
        <v>0.25387824595790709</v>
      </c>
    </row>
    <row r="2224" spans="44:48" x14ac:dyDescent="0.2">
      <c r="AR2224">
        <v>2216</v>
      </c>
      <c r="AS2224">
        <v>398</v>
      </c>
      <c r="AT2224">
        <v>3</v>
      </c>
      <c r="AU2224">
        <v>1.2167971544244143</v>
      </c>
      <c r="AV2224">
        <v>0.23166510159165946</v>
      </c>
    </row>
    <row r="2225" spans="44:48" x14ac:dyDescent="0.2">
      <c r="AR2225">
        <v>2217</v>
      </c>
      <c r="AS2225">
        <v>399</v>
      </c>
      <c r="AT2225">
        <v>3</v>
      </c>
      <c r="AU2225">
        <v>1.247737685741761</v>
      </c>
      <c r="AV2225">
        <v>0.21063364528299022</v>
      </c>
    </row>
    <row r="2226" spans="44:48" x14ac:dyDescent="0.2">
      <c r="AR2226">
        <v>2218</v>
      </c>
      <c r="AS2226">
        <v>400</v>
      </c>
      <c r="AT2226">
        <v>3</v>
      </c>
      <c r="AU2226">
        <v>1.278678217059106</v>
      </c>
      <c r="AV2226">
        <v>0.19082130999153865</v>
      </c>
    </row>
    <row r="2227" spans="44:48" x14ac:dyDescent="0.2">
      <c r="AR2227">
        <v>2219</v>
      </c>
      <c r="AS2227">
        <v>401</v>
      </c>
      <c r="AT2227">
        <v>3</v>
      </c>
      <c r="AU2227">
        <v>1.3096187483764528</v>
      </c>
      <c r="AV2227">
        <v>0.17224951322197454</v>
      </c>
    </row>
    <row r="2228" spans="44:48" x14ac:dyDescent="0.2">
      <c r="AR2228">
        <v>2220</v>
      </c>
      <c r="AS2228">
        <v>402</v>
      </c>
      <c r="AT2228">
        <v>3</v>
      </c>
      <c r="AU2228">
        <v>1.3405592796937995</v>
      </c>
      <c r="AV2228">
        <v>0.15492486798146643</v>
      </c>
    </row>
    <row r="2229" spans="44:48" x14ac:dyDescent="0.2">
      <c r="AR2229">
        <v>2221</v>
      </c>
      <c r="AS2229">
        <v>403</v>
      </c>
      <c r="AT2229">
        <v>3</v>
      </c>
      <c r="AU2229">
        <v>1.3714998110111463</v>
      </c>
      <c r="AV2229">
        <v>0.13884053145306263</v>
      </c>
    </row>
    <row r="2230" spans="44:48" x14ac:dyDescent="0.2">
      <c r="AR2230">
        <v>2222</v>
      </c>
      <c r="AS2230">
        <v>404</v>
      </c>
      <c r="AT2230">
        <v>3</v>
      </c>
      <c r="AU2230">
        <v>1.4024403423284912</v>
      </c>
      <c r="AV2230">
        <v>0.12397765034051637</v>
      </c>
    </row>
    <row r="2231" spans="44:48" x14ac:dyDescent="0.2">
      <c r="AR2231">
        <v>2223</v>
      </c>
      <c r="AS2231">
        <v>405</v>
      </c>
      <c r="AT2231">
        <v>3</v>
      </c>
      <c r="AU2231">
        <v>1.433380873645838</v>
      </c>
      <c r="AV2231">
        <v>0.11030686358342211</v>
      </c>
    </row>
    <row r="2232" spans="44:48" x14ac:dyDescent="0.2">
      <c r="AR2232">
        <v>2224</v>
      </c>
      <c r="AS2232">
        <v>406</v>
      </c>
      <c r="AT2232">
        <v>3</v>
      </c>
      <c r="AU2232">
        <v>1.4643214049631847</v>
      </c>
      <c r="AV2232">
        <v>9.7789825781687656E-2</v>
      </c>
    </row>
    <row r="2233" spans="44:48" x14ac:dyDescent="0.2">
      <c r="AR2233">
        <v>2225</v>
      </c>
      <c r="AS2233">
        <v>407</v>
      </c>
      <c r="AT2233">
        <v>3</v>
      </c>
      <c r="AU2233">
        <v>1.4952619362805315</v>
      </c>
      <c r="AV2233">
        <v>8.6380718032942949E-2</v>
      </c>
    </row>
    <row r="2234" spans="44:48" x14ac:dyDescent="0.2">
      <c r="AR2234">
        <v>2226</v>
      </c>
      <c r="AS2234">
        <v>408</v>
      </c>
      <c r="AT2234">
        <v>3</v>
      </c>
      <c r="AU2234">
        <v>1.5262024675978765</v>
      </c>
      <c r="AV2234">
        <v>7.6027716796521316E-2</v>
      </c>
    </row>
    <row r="2235" spans="44:48" x14ac:dyDescent="0.2">
      <c r="AR2235">
        <v>2227</v>
      </c>
      <c r="AS2235">
        <v>409</v>
      </c>
      <c r="AT2235">
        <v>3</v>
      </c>
      <c r="AU2235">
        <v>1.5571429989152232</v>
      </c>
      <c r="AV2235">
        <v>6.6674395674565956E-2</v>
      </c>
    </row>
    <row r="2236" spans="44:48" x14ac:dyDescent="0.2">
      <c r="AR2236">
        <v>2228</v>
      </c>
      <c r="AS2236">
        <v>410</v>
      </c>
      <c r="AT2236">
        <v>3</v>
      </c>
      <c r="AU2236">
        <v>1.58808353023257</v>
      </c>
      <c r="AV2236">
        <v>5.826103947343781E-2</v>
      </c>
    </row>
    <row r="2237" spans="44:48" x14ac:dyDescent="0.2">
      <c r="AR2237">
        <v>2229</v>
      </c>
      <c r="AS2237">
        <v>411</v>
      </c>
      <c r="AT2237">
        <v>3</v>
      </c>
      <c r="AU2237">
        <v>1.619024061549915</v>
      </c>
      <c r="AV2237">
        <v>5.0725854418347767E-2</v>
      </c>
    </row>
    <row r="2238" spans="44:48" x14ac:dyDescent="0.2">
      <c r="AR2238">
        <v>2230</v>
      </c>
      <c r="AS2238">
        <v>412</v>
      </c>
      <c r="AT2238">
        <v>3</v>
      </c>
      <c r="AU2238">
        <v>1.6499645928672617</v>
      </c>
      <c r="AV2238">
        <v>4.4006062799768146E-2</v>
      </c>
    </row>
    <row r="2239" spans="44:48" x14ac:dyDescent="0.2">
      <c r="AR2239">
        <v>2231</v>
      </c>
      <c r="AS2239">
        <v>413</v>
      </c>
      <c r="AT2239">
        <v>3</v>
      </c>
      <c r="AU2239">
        <v>1.6809051241846085</v>
      </c>
      <c r="AV2239">
        <v>3.8038874510717011E-2</v>
      </c>
    </row>
    <row r="2240" spans="44:48" x14ac:dyDescent="0.2">
      <c r="AR2240">
        <v>2232</v>
      </c>
      <c r="AS2240">
        <v>414</v>
      </c>
      <c r="AT2240">
        <v>3</v>
      </c>
      <c r="AU2240">
        <v>1.7118456555019552</v>
      </c>
      <c r="AV2240">
        <v>3.2762331790949908E-2</v>
      </c>
    </row>
    <row r="2241" spans="44:48" x14ac:dyDescent="0.2">
      <c r="AR2241">
        <v>2233</v>
      </c>
      <c r="AS2241">
        <v>415</v>
      </c>
      <c r="AT2241">
        <v>3</v>
      </c>
      <c r="AU2241">
        <v>1.7427861868193002</v>
      </c>
      <c r="AV2241">
        <v>2.8116026952219215E-2</v>
      </c>
    </row>
    <row r="2242" spans="44:48" x14ac:dyDescent="0.2">
      <c r="AR2242">
        <v>2234</v>
      </c>
      <c r="AS2242">
        <v>416</v>
      </c>
      <c r="AT2242">
        <v>3</v>
      </c>
      <c r="AU2242">
        <v>1.773726718136647</v>
      </c>
      <c r="AV2242">
        <v>2.4041695865828518E-2</v>
      </c>
    </row>
    <row r="2243" spans="44:48" x14ac:dyDescent="0.2">
      <c r="AR2243">
        <v>2235</v>
      </c>
      <c r="AS2243">
        <v>417</v>
      </c>
      <c r="AT2243">
        <v>3</v>
      </c>
      <c r="AU2243">
        <v>1.8046672494539937</v>
      </c>
      <c r="AV2243">
        <v>2.0483692519565971E-2</v>
      </c>
    </row>
    <row r="2244" spans="44:48" x14ac:dyDescent="0.2">
      <c r="AR2244">
        <v>2236</v>
      </c>
      <c r="AS2244">
        <v>418</v>
      </c>
      <c r="AT2244">
        <v>3</v>
      </c>
      <c r="AU2244">
        <v>1.8356077807713405</v>
      </c>
      <c r="AV2244">
        <v>1.7389351985655936E-2</v>
      </c>
    </row>
    <row r="2245" spans="44:48" x14ac:dyDescent="0.2">
      <c r="AR2245">
        <v>2237</v>
      </c>
      <c r="AS2245">
        <v>419</v>
      </c>
      <c r="AT2245">
        <v>3</v>
      </c>
      <c r="AU2245">
        <v>1.8665483120886854</v>
      </c>
      <c r="AV2245">
        <v>1.4709250692379034E-2</v>
      </c>
    </row>
    <row r="2246" spans="44:48" x14ac:dyDescent="0.2">
      <c r="AR2246">
        <v>2238</v>
      </c>
      <c r="AS2246">
        <v>420</v>
      </c>
      <c r="AT2246">
        <v>3</v>
      </c>
      <c r="AU2246">
        <v>1.8974888434060322</v>
      </c>
      <c r="AV2246">
        <v>1.239737398215782E-2</v>
      </c>
    </row>
    <row r="2247" spans="44:48" x14ac:dyDescent="0.2">
      <c r="AR2247">
        <v>2239</v>
      </c>
      <c r="AS2247">
        <v>421</v>
      </c>
      <c r="AT2247">
        <v>3</v>
      </c>
      <c r="AU2247">
        <v>1.9284293747233789</v>
      </c>
      <c r="AV2247">
        <v>1.041120160296023E-2</v>
      </c>
    </row>
    <row r="2248" spans="44:48" x14ac:dyDescent="0.2">
      <c r="AR2248">
        <v>2240</v>
      </c>
      <c r="AS2248">
        <v>422</v>
      </c>
      <c r="AT2248">
        <v>3</v>
      </c>
      <c r="AU2248">
        <v>1.9593699060407257</v>
      </c>
      <c r="AV2248">
        <v>8.7117220615574968E-3</v>
      </c>
    </row>
    <row r="2249" spans="44:48" x14ac:dyDescent="0.2">
      <c r="AR2249">
        <v>2241</v>
      </c>
      <c r="AS2249">
        <v>423</v>
      </c>
      <c r="AT2249">
        <v>3</v>
      </c>
      <c r="AU2249">
        <v>1.9903104373580707</v>
      </c>
      <c r="AV2249">
        <v>7.2633867163206193E-3</v>
      </c>
    </row>
    <row r="2250" spans="44:48" x14ac:dyDescent="0.2">
      <c r="AR2250">
        <v>2242</v>
      </c>
      <c r="AS2250">
        <v>424</v>
      </c>
      <c r="AT2250">
        <v>3</v>
      </c>
      <c r="AU2250">
        <v>2.0212509686754174</v>
      </c>
      <c r="AV2250">
        <v>6.034014156974573E-3</v>
      </c>
    </row>
    <row r="2251" spans="44:48" x14ac:dyDescent="0.2">
      <c r="AR2251">
        <v>2243</v>
      </c>
      <c r="AS2251">
        <v>425</v>
      </c>
      <c r="AT2251">
        <v>3</v>
      </c>
      <c r="AU2251">
        <v>2.0521914999927642</v>
      </c>
      <c r="AV2251">
        <v>4.9946548630973517E-3</v>
      </c>
    </row>
    <row r="2252" spans="44:48" x14ac:dyDescent="0.2">
      <c r="AR2252">
        <v>2244</v>
      </c>
      <c r="AS2252">
        <v>426</v>
      </c>
      <c r="AT2252">
        <v>3</v>
      </c>
      <c r="AU2252">
        <v>2.0831320313101092</v>
      </c>
      <c r="AV2252">
        <v>4.1194254049607588E-3</v>
      </c>
    </row>
    <row r="2253" spans="44:48" x14ac:dyDescent="0.2">
      <c r="AR2253">
        <v>2245</v>
      </c>
      <c r="AS2253">
        <v>427</v>
      </c>
      <c r="AT2253">
        <v>3</v>
      </c>
      <c r="AU2253">
        <v>2.1140725626274559</v>
      </c>
      <c r="AV2253">
        <v>3.3853205994651306E-3</v>
      </c>
    </row>
    <row r="2254" spans="44:48" x14ac:dyDescent="0.2">
      <c r="AR2254">
        <v>2246</v>
      </c>
      <c r="AS2254">
        <v>428</v>
      </c>
      <c r="AT2254">
        <v>3</v>
      </c>
      <c r="AU2254">
        <v>2.1450130939448027</v>
      </c>
      <c r="AV2254">
        <v>2.7720111060579632E-3</v>
      </c>
    </row>
    <row r="2255" spans="44:48" x14ac:dyDescent="0.2">
      <c r="AR2255">
        <v>2247</v>
      </c>
      <c r="AS2255">
        <v>429</v>
      </c>
      <c r="AT2255">
        <v>3</v>
      </c>
      <c r="AU2255">
        <v>2.1759536252621494</v>
      </c>
      <c r="AV2255">
        <v>2.261632983114506E-3</v>
      </c>
    </row>
    <row r="2256" spans="44:48" x14ac:dyDescent="0.2">
      <c r="AR2256">
        <v>2248</v>
      </c>
      <c r="AS2256">
        <v>430</v>
      </c>
      <c r="AT2256">
        <v>3</v>
      </c>
      <c r="AU2256">
        <v>2.2068941565794944</v>
      </c>
      <c r="AV2256">
        <v>1.8385747590073959E-3</v>
      </c>
    </row>
    <row r="2257" spans="44:48" x14ac:dyDescent="0.2">
      <c r="AR2257">
        <v>2249</v>
      </c>
      <c r="AS2257">
        <v>431</v>
      </c>
      <c r="AT2257">
        <v>3</v>
      </c>
      <c r="AU2257">
        <v>2.2378346878968411</v>
      </c>
      <c r="AV2257">
        <v>1.4892666326998363E-3</v>
      </c>
    </row>
    <row r="2258" spans="44:48" x14ac:dyDescent="0.2">
      <c r="AR2258">
        <v>2250</v>
      </c>
      <c r="AS2258">
        <v>432</v>
      </c>
      <c r="AT2258">
        <v>3</v>
      </c>
      <c r="AU2258">
        <v>2.2687752192141879</v>
      </c>
      <c r="AV2258">
        <v>1.2019755288943687E-3</v>
      </c>
    </row>
    <row r="2259" spans="44:48" x14ac:dyDescent="0.2">
      <c r="AR2259">
        <v>2251</v>
      </c>
      <c r="AS2259">
        <v>433</v>
      </c>
      <c r="AT2259">
        <v>3</v>
      </c>
      <c r="AU2259">
        <v>2.2997157505315347</v>
      </c>
      <c r="AV2259">
        <v>9.6660890955983466E-4</v>
      </c>
    </row>
    <row r="2260" spans="44:48" x14ac:dyDescent="0.2">
      <c r="AR2260">
        <v>2252</v>
      </c>
      <c r="AS2260">
        <v>434</v>
      </c>
      <c r="AT2260">
        <v>3</v>
      </c>
      <c r="AU2260">
        <v>2.3306562818488796</v>
      </c>
      <c r="AV2260">
        <v>7.7452949876881502E-4</v>
      </c>
    </row>
    <row r="2261" spans="44:48" x14ac:dyDescent="0.2">
      <c r="AR2261">
        <v>2253</v>
      </c>
      <c r="AS2261">
        <v>435</v>
      </c>
      <c r="AT2261">
        <v>3</v>
      </c>
      <c r="AU2261">
        <v>2.3615968131662264</v>
      </c>
      <c r="AV2261">
        <v>6.183824181993096E-4</v>
      </c>
    </row>
    <row r="2262" spans="44:48" x14ac:dyDescent="0.2">
      <c r="AR2262">
        <v>2254</v>
      </c>
      <c r="AS2262">
        <v>436</v>
      </c>
      <c r="AT2262">
        <v>3</v>
      </c>
      <c r="AU2262">
        <v>2.3925373444835731</v>
      </c>
      <c r="AV2262">
        <v>4.9193565930053559E-4</v>
      </c>
    </row>
    <row r="2263" spans="44:48" x14ac:dyDescent="0.2">
      <c r="AR2263">
        <v>2255</v>
      </c>
      <c r="AS2263">
        <v>437</v>
      </c>
      <c r="AT2263">
        <v>3</v>
      </c>
      <c r="AU2263">
        <v>2.4234778758009181</v>
      </c>
      <c r="AV2263">
        <v>3.8993433449179915E-4</v>
      </c>
    </row>
    <row r="2264" spans="44:48" x14ac:dyDescent="0.2">
      <c r="AR2264">
        <v>2256</v>
      </c>
      <c r="AS2264">
        <v>438</v>
      </c>
      <c r="AT2264">
        <v>3</v>
      </c>
      <c r="AU2264">
        <v>2.4544184071182649</v>
      </c>
      <c r="AV2264">
        <v>3.0796875062598936E-4</v>
      </c>
    </row>
    <row r="2265" spans="44:48" x14ac:dyDescent="0.2">
      <c r="AR2265">
        <v>2257</v>
      </c>
      <c r="AS2265">
        <v>439</v>
      </c>
      <c r="AT2265">
        <v>3</v>
      </c>
      <c r="AU2265">
        <v>2.4853589384356116</v>
      </c>
      <c r="AV2265">
        <v>2.4235602799341731E-4</v>
      </c>
    </row>
    <row r="2266" spans="44:48" x14ac:dyDescent="0.2">
      <c r="AR2266">
        <v>2258</v>
      </c>
      <c r="AS2266">
        <v>440</v>
      </c>
      <c r="AT2266">
        <v>3</v>
      </c>
      <c r="AU2266">
        <v>2.5162994697529584</v>
      </c>
      <c r="AV2266">
        <v>1.9003474058053448E-4</v>
      </c>
    </row>
    <row r="2267" spans="44:48" x14ac:dyDescent="0.2">
      <c r="AR2267">
        <v>2259</v>
      </c>
      <c r="AS2267">
        <v>441</v>
      </c>
      <c r="AT2267">
        <v>3</v>
      </c>
      <c r="AU2267">
        <v>2.5472400010703034</v>
      </c>
      <c r="AV2267">
        <v>1.4847187040598241E-4</v>
      </c>
    </row>
    <row r="2268" spans="44:48" x14ac:dyDescent="0.2">
      <c r="AR2268">
        <v>2260</v>
      </c>
      <c r="AS2268">
        <v>442</v>
      </c>
      <c r="AT2268">
        <v>3</v>
      </c>
      <c r="AU2268">
        <v>2.5781805323876501</v>
      </c>
      <c r="AV2268">
        <v>1.1558124233375188E-4</v>
      </c>
    </row>
    <row r="2269" spans="44:48" x14ac:dyDescent="0.2">
      <c r="AR2269">
        <v>2261</v>
      </c>
      <c r="AS2269">
        <v>443</v>
      </c>
      <c r="AT2269">
        <v>3</v>
      </c>
      <c r="AU2269">
        <v>2.6091210637049969</v>
      </c>
      <c r="AV2269">
        <v>8.9652527524949424E-5</v>
      </c>
    </row>
    <row r="2270" spans="44:48" x14ac:dyDescent="0.2">
      <c r="AR2270">
        <v>2262</v>
      </c>
      <c r="AS2270">
        <v>444</v>
      </c>
      <c r="AT2270">
        <v>3</v>
      </c>
      <c r="AU2270">
        <v>2.6400615950223436</v>
      </c>
      <c r="AV2270">
        <v>6.9289865572613672E-5</v>
      </c>
    </row>
    <row r="2271" spans="44:48" x14ac:dyDescent="0.2">
      <c r="AR2271">
        <v>2263</v>
      </c>
      <c r="AS2271">
        <v>445</v>
      </c>
      <c r="AT2271">
        <v>3</v>
      </c>
      <c r="AU2271">
        <v>2.6710021263396886</v>
      </c>
      <c r="AV2271">
        <v>5.3359149763562854E-5</v>
      </c>
    </row>
    <row r="2272" spans="44:48" x14ac:dyDescent="0.2">
      <c r="AR2272">
        <v>2264</v>
      </c>
      <c r="AS2272">
        <v>446</v>
      </c>
      <c r="AT2272">
        <v>3</v>
      </c>
      <c r="AU2272">
        <v>2.7019426576570353</v>
      </c>
      <c r="AV2272">
        <v>4.0943039846814993E-5</v>
      </c>
    </row>
    <row r="2273" spans="44:48" x14ac:dyDescent="0.2">
      <c r="AR2273">
        <v>2265</v>
      </c>
      <c r="AS2273">
        <v>447</v>
      </c>
      <c r="AT2273">
        <v>3</v>
      </c>
      <c r="AU2273">
        <v>2.7328831889743821</v>
      </c>
      <c r="AV2273">
        <v>3.13028059111742E-5</v>
      </c>
    </row>
    <row r="2274" spans="44:48" x14ac:dyDescent="0.2">
      <c r="AR2274">
        <v>2266</v>
      </c>
      <c r="AS2274">
        <v>448</v>
      </c>
      <c r="AT2274">
        <v>3</v>
      </c>
      <c r="AU2274">
        <v>2.7638237202917288</v>
      </c>
      <c r="AV2274">
        <v>2.3846160022962974E-5</v>
      </c>
    </row>
    <row r="2275" spans="44:48" x14ac:dyDescent="0.2">
      <c r="AR2275">
        <v>2267</v>
      </c>
      <c r="AS2275">
        <v>449</v>
      </c>
      <c r="AT2275">
        <v>3</v>
      </c>
      <c r="AU2275">
        <v>2.7947642516090738</v>
      </c>
      <c r="AV2275">
        <v>1.8100294486645728E-5</v>
      </c>
    </row>
    <row r="2276" spans="44:48" x14ac:dyDescent="0.2">
      <c r="AR2276">
        <v>2268</v>
      </c>
      <c r="AS2276">
        <v>450</v>
      </c>
      <c r="AT2276">
        <v>3</v>
      </c>
      <c r="AU2276">
        <v>2.8257047829264206</v>
      </c>
      <c r="AV2276">
        <v>1.3689413083627024E-5</v>
      </c>
    </row>
    <row r="2277" spans="44:48" x14ac:dyDescent="0.2">
      <c r="AR2277">
        <v>2269</v>
      </c>
      <c r="AS2277">
        <v>451</v>
      </c>
      <c r="AT2277">
        <v>3</v>
      </c>
      <c r="AU2277">
        <v>2.8566453142437673</v>
      </c>
      <c r="AV2277">
        <v>1.0316111269975473E-5</v>
      </c>
    </row>
    <row r="2278" spans="44:48" x14ac:dyDescent="0.2">
      <c r="AR2278">
        <v>2270</v>
      </c>
      <c r="AS2278">
        <v>452</v>
      </c>
      <c r="AT2278">
        <v>3</v>
      </c>
      <c r="AU2278">
        <v>2.8875858455611123</v>
      </c>
      <c r="AV2278">
        <v>7.7460305963330081E-6</v>
      </c>
    </row>
    <row r="2279" spans="44:48" x14ac:dyDescent="0.2">
      <c r="AR2279">
        <v>2271</v>
      </c>
      <c r="AS2279">
        <v>453</v>
      </c>
      <c r="AT2279">
        <v>3</v>
      </c>
      <c r="AU2279">
        <v>2.9185263768784591</v>
      </c>
      <c r="AV2279">
        <v>5.7952796760521414E-6</v>
      </c>
    </row>
    <row r="2280" spans="44:48" x14ac:dyDescent="0.2">
      <c r="AR2280">
        <v>2272</v>
      </c>
      <c r="AS2280">
        <v>454</v>
      </c>
      <c r="AT2280">
        <v>3</v>
      </c>
      <c r="AU2280">
        <v>2.9494669081958058</v>
      </c>
      <c r="AV2280">
        <v>4.3201775144808878E-6</v>
      </c>
    </row>
    <row r="2281" spans="44:48" x14ac:dyDescent="0.2">
      <c r="AR2281">
        <v>2273</v>
      </c>
      <c r="AS2281">
        <v>455</v>
      </c>
      <c r="AT2281">
        <v>3</v>
      </c>
      <c r="AU2281">
        <v>2.9804074395131526</v>
      </c>
      <c r="AV2281">
        <v>3.2089340087716945E-6</v>
      </c>
    </row>
    <row r="2282" spans="44:48" x14ac:dyDescent="0.2">
      <c r="AR2282">
        <v>2274</v>
      </c>
      <c r="AS2282">
        <v>456</v>
      </c>
      <c r="AT2282">
        <v>3</v>
      </c>
      <c r="AU2282">
        <v>3.0113479708304975</v>
      </c>
      <c r="AV2282">
        <v>2.3749363842410293E-6</v>
      </c>
    </row>
    <row r="2283" spans="44:48" x14ac:dyDescent="0.2">
      <c r="AR2283">
        <v>2275</v>
      </c>
      <c r="AS2283">
        <v>457</v>
      </c>
      <c r="AT2283">
        <v>3</v>
      </c>
      <c r="AU2283">
        <v>3.0422885021478443</v>
      </c>
      <c r="AV2283">
        <v>1.7513589945518743E-6</v>
      </c>
    </row>
    <row r="2284" spans="44:48" x14ac:dyDescent="0.2">
      <c r="AR2284">
        <v>2276</v>
      </c>
      <c r="AS2284">
        <v>458</v>
      </c>
      <c r="AT2284">
        <v>3</v>
      </c>
      <c r="AU2284">
        <v>3.0732290334651911</v>
      </c>
      <c r="AV2284">
        <v>1.2868572524334154E-6</v>
      </c>
    </row>
    <row r="2285" spans="44:48" x14ac:dyDescent="0.2">
      <c r="AR2285">
        <v>2277</v>
      </c>
      <c r="AS2285">
        <v>459</v>
      </c>
      <c r="AT2285">
        <v>3</v>
      </c>
      <c r="AU2285">
        <v>3.1041695647825378</v>
      </c>
      <c r="AV2285">
        <v>9.4214462109528128E-7</v>
      </c>
    </row>
    <row r="2286" spans="44:48" x14ac:dyDescent="0.2">
      <c r="AR2286">
        <v>2278</v>
      </c>
      <c r="AS2286">
        <v>460</v>
      </c>
      <c r="AT2286">
        <v>3</v>
      </c>
      <c r="AU2286">
        <v>3.1351100960998828</v>
      </c>
      <c r="AV2286">
        <v>6.8728485305291391E-7</v>
      </c>
    </row>
    <row r="2287" spans="44:48" x14ac:dyDescent="0.2">
      <c r="AR2287">
        <v>2279</v>
      </c>
      <c r="AS2287">
        <v>461</v>
      </c>
      <c r="AT2287">
        <v>3</v>
      </c>
      <c r="AU2287">
        <v>3.1660506274172295</v>
      </c>
      <c r="AV2287">
        <v>4.9956036418786297E-7</v>
      </c>
    </row>
    <row r="2288" spans="44:48" x14ac:dyDescent="0.2">
      <c r="AR2288">
        <v>2280</v>
      </c>
      <c r="AS2288">
        <v>462</v>
      </c>
      <c r="AT2288">
        <v>3</v>
      </c>
      <c r="AU2288">
        <v>3.1969911587345763</v>
      </c>
      <c r="AV2288">
        <v>3.6180217688271143E-7</v>
      </c>
    </row>
    <row r="2289" spans="44:48" x14ac:dyDescent="0.2">
      <c r="AR2289">
        <v>2281</v>
      </c>
      <c r="AS2289">
        <v>463</v>
      </c>
      <c r="AT2289">
        <v>3</v>
      </c>
      <c r="AU2289">
        <v>3.2279316900519213</v>
      </c>
      <c r="AV2289">
        <v>2.6108767978486768E-7</v>
      </c>
    </row>
    <row r="2290" spans="44:48" x14ac:dyDescent="0.2">
      <c r="AR2290">
        <v>2282</v>
      </c>
      <c r="AS2290">
        <v>464</v>
      </c>
      <c r="AT2290">
        <v>3</v>
      </c>
      <c r="AU2290">
        <v>3.258872221369268</v>
      </c>
      <c r="AV2290">
        <v>1.8772995808984524E-7</v>
      </c>
    </row>
    <row r="2291" spans="44:48" x14ac:dyDescent="0.2">
      <c r="AR2291">
        <v>2283</v>
      </c>
      <c r="AS2291">
        <v>465</v>
      </c>
      <c r="AT2291">
        <v>3</v>
      </c>
      <c r="AU2291">
        <v>3.2898127526866148</v>
      </c>
      <c r="AV2291">
        <v>1.3449705927540624E-7</v>
      </c>
    </row>
    <row r="2292" spans="44:48" x14ac:dyDescent="0.2">
      <c r="AR2292">
        <v>2284</v>
      </c>
      <c r="AS2292">
        <v>466</v>
      </c>
      <c r="AT2292">
        <v>3</v>
      </c>
      <c r="AU2292">
        <v>3.3207532840039615</v>
      </c>
      <c r="AV2292">
        <v>9.6011663756575183E-8</v>
      </c>
    </row>
    <row r="2293" spans="44:48" x14ac:dyDescent="0.2">
      <c r="AR2293">
        <v>2285</v>
      </c>
      <c r="AS2293">
        <v>467</v>
      </c>
      <c r="AT2293">
        <v>3</v>
      </c>
      <c r="AU2293">
        <v>3.3516938153213065</v>
      </c>
      <c r="AV2293">
        <v>6.8291586718392592E-8</v>
      </c>
    </row>
    <row r="2294" spans="44:48" x14ac:dyDescent="0.2">
      <c r="AR2294">
        <v>2286</v>
      </c>
      <c r="AS2294">
        <v>468</v>
      </c>
      <c r="AT2294">
        <v>3</v>
      </c>
      <c r="AU2294">
        <v>3.3826343466386533</v>
      </c>
      <c r="AV2294">
        <v>4.8399671337088263E-8</v>
      </c>
    </row>
    <row r="2295" spans="44:48" x14ac:dyDescent="0.2">
      <c r="AR2295">
        <v>2287</v>
      </c>
      <c r="AS2295">
        <v>469</v>
      </c>
      <c r="AT2295">
        <v>3</v>
      </c>
      <c r="AU2295">
        <v>3.413574877956</v>
      </c>
      <c r="AV2295">
        <v>3.4178234312794734E-8</v>
      </c>
    </row>
    <row r="2296" spans="44:48" x14ac:dyDescent="0.2">
      <c r="AR2296">
        <v>2288</v>
      </c>
      <c r="AS2296">
        <v>470</v>
      </c>
      <c r="AT2296">
        <v>3</v>
      </c>
      <c r="AU2296">
        <v>3.4445154092733468</v>
      </c>
      <c r="AV2296">
        <v>2.4048546589675952E-8</v>
      </c>
    </row>
    <row r="2297" spans="44:48" x14ac:dyDescent="0.2">
      <c r="AR2297">
        <v>2289</v>
      </c>
      <c r="AS2297">
        <v>471</v>
      </c>
      <c r="AT2297">
        <v>3</v>
      </c>
      <c r="AU2297">
        <v>3.4754559405906917</v>
      </c>
      <c r="AV2297">
        <v>1.6860096145667857E-8</v>
      </c>
    </row>
    <row r="2298" spans="44:48" x14ac:dyDescent="0.2">
      <c r="AR2298">
        <v>2290</v>
      </c>
      <c r="AS2298">
        <v>472</v>
      </c>
      <c r="AT2298">
        <v>3</v>
      </c>
      <c r="AU2298">
        <v>3.5063964719080385</v>
      </c>
      <c r="AV2298">
        <v>1.177777519770725E-8</v>
      </c>
    </row>
    <row r="2299" spans="44:48" x14ac:dyDescent="0.2">
      <c r="AR2299">
        <v>2291</v>
      </c>
      <c r="AS2299">
        <v>473</v>
      </c>
      <c r="AT2299">
        <v>3</v>
      </c>
      <c r="AU2299">
        <v>3.5373370032253852</v>
      </c>
      <c r="AV2299">
        <v>8.1978218387292691E-9</v>
      </c>
    </row>
    <row r="2300" spans="44:48" x14ac:dyDescent="0.2">
      <c r="AR2300">
        <v>2292</v>
      </c>
      <c r="AS2300">
        <v>474</v>
      </c>
      <c r="AT2300">
        <v>3</v>
      </c>
      <c r="AU2300">
        <v>3.568277534542732</v>
      </c>
      <c r="AV2300">
        <v>5.6854610920322074E-9</v>
      </c>
    </row>
    <row r="2301" spans="44:48" x14ac:dyDescent="0.2">
      <c r="AR2301">
        <v>2293</v>
      </c>
      <c r="AS2301">
        <v>475</v>
      </c>
      <c r="AT2301">
        <v>3</v>
      </c>
      <c r="AU2301">
        <v>3.599218065860077</v>
      </c>
      <c r="AV2301">
        <v>3.9288451239451452E-9</v>
      </c>
    </row>
    <row r="2302" spans="44:48" x14ac:dyDescent="0.2">
      <c r="AR2302">
        <v>2294</v>
      </c>
      <c r="AS2302">
        <v>476</v>
      </c>
      <c r="AT2302">
        <v>3</v>
      </c>
      <c r="AU2302">
        <v>3.6301585971774237</v>
      </c>
      <c r="AV2302">
        <v>2.705179749164492E-9</v>
      </c>
    </row>
    <row r="2303" spans="44:48" x14ac:dyDescent="0.2">
      <c r="AR2303">
        <v>2295</v>
      </c>
      <c r="AS2303">
        <v>477</v>
      </c>
      <c r="AT2303">
        <v>3</v>
      </c>
      <c r="AU2303">
        <v>3.6610991284947705</v>
      </c>
      <c r="AV2303">
        <v>1.8559204079100069E-9</v>
      </c>
    </row>
    <row r="2304" spans="44:48" x14ac:dyDescent="0.2">
      <c r="AR2304">
        <v>2296</v>
      </c>
      <c r="AS2304">
        <v>478</v>
      </c>
      <c r="AT2304">
        <v>3</v>
      </c>
      <c r="AU2304">
        <v>3.6920396598121155</v>
      </c>
      <c r="AV2304">
        <v>1.2686872291651108E-9</v>
      </c>
    </row>
    <row r="2305" spans="44:48" x14ac:dyDescent="0.2">
      <c r="AR2305">
        <v>2297</v>
      </c>
      <c r="AS2305">
        <v>479</v>
      </c>
      <c r="AT2305">
        <v>3</v>
      </c>
      <c r="AU2305">
        <v>3.7229801911294622</v>
      </c>
      <c r="AV2305">
        <v>8.641353870975771E-10</v>
      </c>
    </row>
    <row r="2306" spans="44:48" x14ac:dyDescent="0.2">
      <c r="AR2306">
        <v>2298</v>
      </c>
      <c r="AS2306">
        <v>480</v>
      </c>
      <c r="AT2306">
        <v>3</v>
      </c>
      <c r="AU2306">
        <v>3.753920722446809</v>
      </c>
      <c r="AV2306">
        <v>5.8646353449194628E-10</v>
      </c>
    </row>
    <row r="2307" spans="44:48" x14ac:dyDescent="0.2">
      <c r="AR2307">
        <v>2299</v>
      </c>
      <c r="AS2307">
        <v>481</v>
      </c>
      <c r="AT2307">
        <v>3</v>
      </c>
      <c r="AU2307">
        <v>3.7848612537641557</v>
      </c>
      <c r="AV2307">
        <v>3.9658130527239229E-10</v>
      </c>
    </row>
    <row r="2308" spans="44:48" x14ac:dyDescent="0.2">
      <c r="AR2308">
        <v>2300</v>
      </c>
      <c r="AS2308">
        <v>482</v>
      </c>
      <c r="AT2308">
        <v>3</v>
      </c>
      <c r="AU2308">
        <v>3.8158017850815007</v>
      </c>
      <c r="AV2308">
        <v>2.6721169592394953E-10</v>
      </c>
    </row>
    <row r="2309" spans="44:48" x14ac:dyDescent="0.2">
      <c r="AR2309">
        <v>2301</v>
      </c>
      <c r="AS2309">
        <v>483</v>
      </c>
      <c r="AT2309">
        <v>3</v>
      </c>
      <c r="AU2309">
        <v>3.8467423163988474</v>
      </c>
      <c r="AV2309">
        <v>1.7939514692257165E-10</v>
      </c>
    </row>
    <row r="2310" spans="44:48" x14ac:dyDescent="0.2">
      <c r="AR2310">
        <v>2302</v>
      </c>
      <c r="AS2310">
        <v>484</v>
      </c>
      <c r="AT2310">
        <v>3</v>
      </c>
      <c r="AU2310">
        <v>3.8776828477161942</v>
      </c>
      <c r="AV2310">
        <v>1.2000460673427901E-10</v>
      </c>
    </row>
    <row r="2311" spans="44:48" x14ac:dyDescent="0.2">
      <c r="AR2311">
        <v>2303</v>
      </c>
      <c r="AS2311">
        <v>485</v>
      </c>
      <c r="AT2311">
        <v>3</v>
      </c>
      <c r="AU2311">
        <v>3.908623379033541</v>
      </c>
      <c r="AV2311">
        <v>7.9986583529794459E-11</v>
      </c>
    </row>
    <row r="2312" spans="44:48" x14ac:dyDescent="0.2">
      <c r="AR2312">
        <v>2304</v>
      </c>
      <c r="AS2312">
        <v>486</v>
      </c>
      <c r="AT2312">
        <v>3</v>
      </c>
      <c r="AU2312">
        <v>3.9395639103508859</v>
      </c>
      <c r="AV2312">
        <v>5.3121261194301777E-11</v>
      </c>
    </row>
    <row r="2313" spans="44:48" x14ac:dyDescent="0.2">
      <c r="AR2313">
        <v>2305</v>
      </c>
      <c r="AS2313">
        <v>487</v>
      </c>
      <c r="AT2313">
        <v>3</v>
      </c>
      <c r="AU2313">
        <v>3.9705044416682327</v>
      </c>
      <c r="AV2313">
        <v>3.5152127018667194E-11</v>
      </c>
    </row>
    <row r="2314" spans="44:48" x14ac:dyDescent="0.2">
      <c r="AR2314">
        <v>2306</v>
      </c>
      <c r="AS2314">
        <v>488</v>
      </c>
      <c r="AT2314">
        <v>3</v>
      </c>
      <c r="AU2314">
        <v>4.0014449729855794</v>
      </c>
      <c r="AV2314">
        <v>2.3177513434383268E-11</v>
      </c>
    </row>
    <row r="2315" spans="44:48" x14ac:dyDescent="0.2">
      <c r="AR2315">
        <v>2307</v>
      </c>
      <c r="AS2315">
        <v>489</v>
      </c>
      <c r="AT2315">
        <v>3</v>
      </c>
      <c r="AU2315">
        <v>4.0323855043029244</v>
      </c>
      <c r="AV2315">
        <v>1.5226990447102637E-11</v>
      </c>
    </row>
    <row r="2316" spans="44:48" x14ac:dyDescent="0.2">
      <c r="AR2316">
        <v>2308</v>
      </c>
      <c r="AS2316">
        <v>490</v>
      </c>
      <c r="AT2316">
        <v>3</v>
      </c>
      <c r="AU2316">
        <v>4.0633260356202712</v>
      </c>
      <c r="AV2316">
        <v>9.9676621711988442E-12</v>
      </c>
    </row>
    <row r="2317" spans="44:48" x14ac:dyDescent="0.2">
      <c r="AR2317">
        <v>2309</v>
      </c>
      <c r="AS2317">
        <v>491</v>
      </c>
      <c r="AT2317">
        <v>3</v>
      </c>
      <c r="AU2317">
        <v>4.0942665669376179</v>
      </c>
      <c r="AV2317">
        <v>6.5013649623675947E-12</v>
      </c>
    </row>
    <row r="2318" spans="44:48" x14ac:dyDescent="0.2">
      <c r="AR2318">
        <v>2310</v>
      </c>
      <c r="AS2318">
        <v>492</v>
      </c>
      <c r="AT2318">
        <v>3</v>
      </c>
      <c r="AU2318">
        <v>4.1252070982549647</v>
      </c>
      <c r="AV2318">
        <v>4.2252049870468337E-12</v>
      </c>
    </row>
    <row r="2319" spans="44:48" x14ac:dyDescent="0.2">
      <c r="AR2319">
        <v>2311</v>
      </c>
      <c r="AS2319">
        <v>493</v>
      </c>
      <c r="AT2319">
        <v>3</v>
      </c>
      <c r="AU2319">
        <v>4.1561476295723097</v>
      </c>
      <c r="AV2319">
        <v>2.7360436532514323E-12</v>
      </c>
    </row>
    <row r="2320" spans="44:48" x14ac:dyDescent="0.2">
      <c r="AR2320">
        <v>2312</v>
      </c>
      <c r="AS2320">
        <v>494</v>
      </c>
      <c r="AT2320">
        <v>3</v>
      </c>
      <c r="AU2320">
        <v>4.1870881608896564</v>
      </c>
      <c r="AV2320">
        <v>1.7653477236421209E-12</v>
      </c>
    </row>
    <row r="2321" spans="44:48" x14ac:dyDescent="0.2">
      <c r="AR2321">
        <v>2313</v>
      </c>
      <c r="AS2321">
        <v>495</v>
      </c>
      <c r="AT2321">
        <v>3</v>
      </c>
      <c r="AU2321">
        <v>4.2180286922070032</v>
      </c>
      <c r="AV2321">
        <v>1.1349311151571997E-12</v>
      </c>
    </row>
    <row r="2322" spans="44:48" x14ac:dyDescent="0.2">
      <c r="AR2322">
        <v>2314</v>
      </c>
      <c r="AS2322">
        <v>496</v>
      </c>
      <c r="AT2322">
        <v>3</v>
      </c>
      <c r="AU2322">
        <v>4.2489692235243499</v>
      </c>
      <c r="AV2322">
        <v>7.2701060292719094E-13</v>
      </c>
    </row>
    <row r="2323" spans="44:48" x14ac:dyDescent="0.2">
      <c r="AR2323">
        <v>2315</v>
      </c>
      <c r="AS2323">
        <v>497</v>
      </c>
      <c r="AT2323">
        <v>3</v>
      </c>
      <c r="AU2323">
        <v>4.2799097548416949</v>
      </c>
      <c r="AV2323">
        <v>4.6402778715472634E-13</v>
      </c>
    </row>
    <row r="2324" spans="44:48" x14ac:dyDescent="0.2">
      <c r="AR2324">
        <v>2316</v>
      </c>
      <c r="AS2324">
        <v>498</v>
      </c>
      <c r="AT2324">
        <v>3</v>
      </c>
      <c r="AU2324">
        <v>4.3108502861590416</v>
      </c>
      <c r="AV2324">
        <v>2.9510681054305735E-13</v>
      </c>
    </row>
    <row r="2325" spans="44:48" x14ac:dyDescent="0.2">
      <c r="AR2325">
        <v>2317</v>
      </c>
      <c r="AS2325">
        <v>499</v>
      </c>
      <c r="AT2325">
        <v>3</v>
      </c>
      <c r="AU2325">
        <v>4.3417908174763884</v>
      </c>
      <c r="AV2325">
        <v>1.8700209754905712E-13</v>
      </c>
    </row>
    <row r="2326" spans="44:48" x14ac:dyDescent="0.2">
      <c r="AR2326">
        <v>2318</v>
      </c>
      <c r="AS2326">
        <v>500</v>
      </c>
      <c r="AT2326">
        <v>3</v>
      </c>
      <c r="AU2326">
        <v>4.3727313487937352</v>
      </c>
      <c r="AV2326">
        <v>1.1807167509227242E-13</v>
      </c>
    </row>
    <row r="2327" spans="44:48" x14ac:dyDescent="0.2">
      <c r="AR2327">
        <v>2319</v>
      </c>
      <c r="AS2327">
        <v>501</v>
      </c>
      <c r="AT2327">
        <v>3</v>
      </c>
      <c r="AU2327">
        <v>4.4036718801110801</v>
      </c>
      <c r="AV2327">
        <v>7.4280868439670876E-14</v>
      </c>
    </row>
    <row r="2328" spans="44:48" x14ac:dyDescent="0.2">
      <c r="AR2328">
        <v>2320</v>
      </c>
      <c r="AS2328">
        <v>502</v>
      </c>
      <c r="AT2328">
        <v>3</v>
      </c>
      <c r="AU2328">
        <v>4.4346124114284269</v>
      </c>
      <c r="AV2328">
        <v>4.656292152021027E-14</v>
      </c>
    </row>
    <row r="2329" spans="44:48" x14ac:dyDescent="0.2">
      <c r="AR2329">
        <v>2321</v>
      </c>
      <c r="AS2329">
        <v>503</v>
      </c>
      <c r="AT2329">
        <v>3</v>
      </c>
      <c r="AU2329">
        <v>4.4655529427457736</v>
      </c>
      <c r="AV2329">
        <v>2.9082750124755592E-14</v>
      </c>
    </row>
    <row r="2330" spans="44:48" x14ac:dyDescent="0.2">
      <c r="AR2330">
        <v>2322</v>
      </c>
      <c r="AS2330">
        <v>504</v>
      </c>
      <c r="AT2330">
        <v>3</v>
      </c>
      <c r="AU2330">
        <v>4.4964934740631186</v>
      </c>
      <c r="AV2330">
        <v>1.80993393714928E-14</v>
      </c>
    </row>
    <row r="2331" spans="44:48" x14ac:dyDescent="0.2">
      <c r="AR2331">
        <v>2323</v>
      </c>
      <c r="AS2331">
        <v>505</v>
      </c>
      <c r="AT2331">
        <v>3</v>
      </c>
      <c r="AU2331">
        <v>4.5274340053804654</v>
      </c>
      <c r="AV2331">
        <v>1.1223336286947096E-14</v>
      </c>
    </row>
    <row r="2332" spans="44:48" x14ac:dyDescent="0.2">
      <c r="AR2332">
        <v>2324</v>
      </c>
      <c r="AS2332">
        <v>506</v>
      </c>
      <c r="AT2332">
        <v>3</v>
      </c>
      <c r="AU2332">
        <v>4.5583745366978121</v>
      </c>
      <c r="AV2332">
        <v>6.934469299088017E-15</v>
      </c>
    </row>
    <row r="2333" spans="44:48" x14ac:dyDescent="0.2">
      <c r="AR2333">
        <v>2325</v>
      </c>
      <c r="AS2333">
        <v>507</v>
      </c>
      <c r="AT2333">
        <v>3</v>
      </c>
      <c r="AU2333">
        <v>4.5893150680151589</v>
      </c>
      <c r="AV2333">
        <v>4.2691015415106667E-15</v>
      </c>
    </row>
    <row r="2334" spans="44:48" x14ac:dyDescent="0.2">
      <c r="AR2334">
        <v>2326</v>
      </c>
      <c r="AS2334">
        <v>508</v>
      </c>
      <c r="AT2334">
        <v>3</v>
      </c>
      <c r="AU2334">
        <v>4.6202555993325038</v>
      </c>
      <c r="AV2334">
        <v>2.6187361345776994E-15</v>
      </c>
    </row>
    <row r="2335" spans="44:48" x14ac:dyDescent="0.2">
      <c r="AR2335">
        <v>2327</v>
      </c>
      <c r="AS2335">
        <v>509</v>
      </c>
      <c r="AT2335">
        <v>3</v>
      </c>
      <c r="AU2335">
        <v>4.6511961306498506</v>
      </c>
      <c r="AV2335">
        <v>1.6005859420868905E-15</v>
      </c>
    </row>
    <row r="2336" spans="44:48" x14ac:dyDescent="0.2">
      <c r="AR2336">
        <v>2328</v>
      </c>
      <c r="AS2336">
        <v>510</v>
      </c>
      <c r="AT2336">
        <v>3</v>
      </c>
      <c r="AU2336">
        <v>4.6821366619671974</v>
      </c>
      <c r="AV2336">
        <v>9.7476125103844018E-16</v>
      </c>
    </row>
    <row r="2337" spans="44:48" x14ac:dyDescent="0.2">
      <c r="AR2337">
        <v>2329</v>
      </c>
      <c r="AS2337">
        <v>511</v>
      </c>
      <c r="AT2337">
        <v>3</v>
      </c>
      <c r="AU2337">
        <v>4.7130771932845441</v>
      </c>
      <c r="AV2337">
        <v>5.9149287331741131E-16</v>
      </c>
    </row>
    <row r="2338" spans="44:48" x14ac:dyDescent="0.2">
      <c r="AR2338">
        <v>2330</v>
      </c>
      <c r="AS2338">
        <v>512</v>
      </c>
      <c r="AT2338">
        <v>3</v>
      </c>
      <c r="AU2338">
        <v>4.7440177246018891</v>
      </c>
      <c r="AV2338">
        <v>3.5762904023361655E-16</v>
      </c>
    </row>
    <row r="2339" spans="44:48" x14ac:dyDescent="0.2">
      <c r="AR2339">
        <v>2331</v>
      </c>
      <c r="AS2339">
        <v>513</v>
      </c>
      <c r="AT2339">
        <v>3</v>
      </c>
      <c r="AU2339">
        <v>4.7749582559192358</v>
      </c>
      <c r="AV2339">
        <v>2.1545076437140993E-16</v>
      </c>
    </row>
    <row r="2340" spans="44:48" x14ac:dyDescent="0.2">
      <c r="AR2340">
        <v>2332</v>
      </c>
      <c r="AS2340">
        <v>514</v>
      </c>
      <c r="AT2340">
        <v>3</v>
      </c>
      <c r="AU2340">
        <v>4.8058987872365826</v>
      </c>
      <c r="AV2340">
        <v>1.2932881622692014E-16</v>
      </c>
    </row>
    <row r="2341" spans="44:48" x14ac:dyDescent="0.2">
      <c r="AR2341">
        <v>2333</v>
      </c>
      <c r="AS2341">
        <v>515</v>
      </c>
      <c r="AT2341">
        <v>3</v>
      </c>
      <c r="AU2341">
        <v>4.8368393185539276</v>
      </c>
      <c r="AV2341">
        <v>7.7352537813667861E-17</v>
      </c>
    </row>
    <row r="2342" spans="44:48" x14ac:dyDescent="0.2">
      <c r="AR2342">
        <v>2334</v>
      </c>
      <c r="AS2342">
        <v>516</v>
      </c>
      <c r="AT2342">
        <v>3</v>
      </c>
      <c r="AU2342">
        <v>4.8677798498712743</v>
      </c>
      <c r="AV2342">
        <v>4.6098397912079322E-17</v>
      </c>
    </row>
    <row r="2343" spans="44:48" x14ac:dyDescent="0.2">
      <c r="AR2343">
        <v>2335</v>
      </c>
      <c r="AS2343">
        <v>517</v>
      </c>
      <c r="AT2343">
        <v>3</v>
      </c>
      <c r="AU2343">
        <v>4.8987203811886211</v>
      </c>
      <c r="AV2343">
        <v>2.7373422398974551E-17</v>
      </c>
    </row>
    <row r="2344" spans="44:48" x14ac:dyDescent="0.2">
      <c r="AR2344">
        <v>2336</v>
      </c>
      <c r="AS2344">
        <v>518</v>
      </c>
      <c r="AT2344">
        <v>3</v>
      </c>
      <c r="AU2344">
        <v>4.9296609125059678</v>
      </c>
      <c r="AV2344">
        <v>1.6195873163024101E-17</v>
      </c>
    </row>
    <row r="2345" spans="44:48" x14ac:dyDescent="0.2">
      <c r="AR2345">
        <v>2337</v>
      </c>
      <c r="AS2345">
        <v>519</v>
      </c>
      <c r="AT2345">
        <v>3</v>
      </c>
      <c r="AU2345">
        <v>4.9606014438233128</v>
      </c>
      <c r="AV2345">
        <v>9.5479829770395664E-18</v>
      </c>
    </row>
    <row r="2346" spans="44:48" x14ac:dyDescent="0.2">
      <c r="AR2346">
        <v>2338</v>
      </c>
      <c r="AS2346">
        <v>520</v>
      </c>
      <c r="AT2346">
        <v>3</v>
      </c>
      <c r="AU2346">
        <v>4.9915419751406613</v>
      </c>
      <c r="AV2346">
        <v>5.6085540078812933E-18</v>
      </c>
    </row>
    <row r="2347" spans="44:48" x14ac:dyDescent="0.2">
      <c r="AR2347">
        <v>2339</v>
      </c>
      <c r="AS2347">
        <v>521</v>
      </c>
      <c r="AT2347">
        <v>3</v>
      </c>
      <c r="AU2347">
        <v>5.0224825064580063</v>
      </c>
      <c r="AV2347">
        <v>3.2826318406642527E-18</v>
      </c>
    </row>
    <row r="2348" spans="44:48" x14ac:dyDescent="0.2">
      <c r="AR2348">
        <v>2340</v>
      </c>
      <c r="AS2348">
        <v>522</v>
      </c>
      <c r="AT2348">
        <v>3</v>
      </c>
      <c r="AU2348">
        <v>5.0534230377753513</v>
      </c>
      <c r="AV2348">
        <v>1.9143681066756655E-18</v>
      </c>
    </row>
    <row r="2349" spans="44:48" x14ac:dyDescent="0.2">
      <c r="AR2349">
        <v>2341</v>
      </c>
      <c r="AS2349">
        <v>523</v>
      </c>
      <c r="AT2349">
        <v>3</v>
      </c>
      <c r="AU2349">
        <v>5.0843635690926998</v>
      </c>
      <c r="AV2349">
        <v>1.1123993440815791E-18</v>
      </c>
    </row>
    <row r="2350" spans="44:48" x14ac:dyDescent="0.2">
      <c r="AR2350">
        <v>2342</v>
      </c>
      <c r="AS2350">
        <v>524</v>
      </c>
      <c r="AT2350">
        <v>3</v>
      </c>
      <c r="AU2350">
        <v>5.1153041004100448</v>
      </c>
      <c r="AV2350">
        <v>6.4406247866439652E-19</v>
      </c>
    </row>
    <row r="2351" spans="44:48" x14ac:dyDescent="0.2">
      <c r="AR2351">
        <v>2343</v>
      </c>
      <c r="AS2351">
        <v>525</v>
      </c>
      <c r="AT2351">
        <v>3</v>
      </c>
      <c r="AU2351">
        <v>5.1462446317273898</v>
      </c>
      <c r="AV2351">
        <v>3.715585635377788E-19</v>
      </c>
    </row>
    <row r="2352" spans="44:48" x14ac:dyDescent="0.2">
      <c r="AR2352">
        <v>2344</v>
      </c>
      <c r="AS2352">
        <v>526</v>
      </c>
      <c r="AT2352">
        <v>3</v>
      </c>
      <c r="AU2352">
        <v>5.1771851630447383</v>
      </c>
      <c r="AV2352">
        <v>2.135790018455232E-19</v>
      </c>
    </row>
    <row r="2353" spans="44:48" x14ac:dyDescent="0.2">
      <c r="AR2353">
        <v>2345</v>
      </c>
      <c r="AS2353">
        <v>527</v>
      </c>
      <c r="AT2353">
        <v>3</v>
      </c>
      <c r="AU2353">
        <v>5.2081256943620833</v>
      </c>
      <c r="AV2353">
        <v>1.2232686084647615E-19</v>
      </c>
    </row>
    <row r="2354" spans="44:48" x14ac:dyDescent="0.2">
      <c r="AR2354">
        <v>2346</v>
      </c>
      <c r="AS2354">
        <v>528</v>
      </c>
      <c r="AT2354">
        <v>3</v>
      </c>
      <c r="AU2354">
        <v>5.2390662256794283</v>
      </c>
      <c r="AV2354">
        <v>6.9809915234133974E-20</v>
      </c>
    </row>
    <row r="2355" spans="44:48" x14ac:dyDescent="0.2">
      <c r="AR2355">
        <v>2347</v>
      </c>
      <c r="AS2355">
        <v>529</v>
      </c>
      <c r="AT2355">
        <v>3</v>
      </c>
      <c r="AU2355">
        <v>5.2700067569967768</v>
      </c>
      <c r="AV2355">
        <v>3.969578470724648E-20</v>
      </c>
    </row>
    <row r="2356" spans="44:48" x14ac:dyDescent="0.2">
      <c r="AR2356">
        <v>2348</v>
      </c>
      <c r="AS2356">
        <v>530</v>
      </c>
      <c r="AT2356">
        <v>3</v>
      </c>
      <c r="AU2356">
        <v>5.3009472883141218</v>
      </c>
      <c r="AV2356">
        <v>2.2490736297774047E-20</v>
      </c>
    </row>
    <row r="2357" spans="44:48" x14ac:dyDescent="0.2">
      <c r="AR2357">
        <v>2349</v>
      </c>
      <c r="AS2357">
        <v>531</v>
      </c>
      <c r="AT2357">
        <v>3</v>
      </c>
      <c r="AU2357">
        <v>5.3318878196314703</v>
      </c>
      <c r="AV2357">
        <v>1.2696819823997189E-20</v>
      </c>
    </row>
    <row r="2358" spans="44:48" x14ac:dyDescent="0.2">
      <c r="AR2358">
        <v>2350</v>
      </c>
      <c r="AS2358">
        <v>532</v>
      </c>
      <c r="AT2358">
        <v>3</v>
      </c>
      <c r="AU2358">
        <v>5.3628283509488153</v>
      </c>
      <c r="AV2358">
        <v>7.1419736094637019E-21</v>
      </c>
    </row>
    <row r="2359" spans="44:48" x14ac:dyDescent="0.2">
      <c r="AR2359">
        <v>2351</v>
      </c>
      <c r="AS2359">
        <v>533</v>
      </c>
      <c r="AT2359">
        <v>3</v>
      </c>
      <c r="AU2359">
        <v>5.3937688822661602</v>
      </c>
      <c r="AV2359">
        <v>4.0028888094831858E-21</v>
      </c>
    </row>
    <row r="2360" spans="44:48" x14ac:dyDescent="0.2">
      <c r="AR2360">
        <v>2352</v>
      </c>
      <c r="AS2360">
        <v>534</v>
      </c>
      <c r="AT2360">
        <v>3</v>
      </c>
      <c r="AU2360">
        <v>5.4247094135835088</v>
      </c>
      <c r="AV2360">
        <v>2.2354286533662892E-21</v>
      </c>
    </row>
    <row r="2361" spans="44:48" x14ac:dyDescent="0.2">
      <c r="AR2361">
        <v>2353</v>
      </c>
      <c r="AS2361">
        <v>535</v>
      </c>
      <c r="AT2361">
        <v>3</v>
      </c>
      <c r="AU2361">
        <v>5.4556499449008538</v>
      </c>
      <c r="AV2361">
        <v>1.2438846292264787E-21</v>
      </c>
    </row>
    <row r="2362" spans="44:48" x14ac:dyDescent="0.2">
      <c r="AR2362">
        <v>2354</v>
      </c>
      <c r="AS2362">
        <v>536</v>
      </c>
      <c r="AT2362">
        <v>3</v>
      </c>
      <c r="AU2362">
        <v>5.4865904762181987</v>
      </c>
      <c r="AV2362">
        <v>6.8965420779176062E-22</v>
      </c>
    </row>
    <row r="2363" spans="44:48" x14ac:dyDescent="0.2">
      <c r="AR2363">
        <v>2355</v>
      </c>
      <c r="AS2363">
        <v>537</v>
      </c>
      <c r="AT2363">
        <v>3</v>
      </c>
      <c r="AU2363">
        <v>5.5175310075355473</v>
      </c>
      <c r="AV2363">
        <v>3.8099096836105872E-22</v>
      </c>
    </row>
    <row r="2364" spans="44:48" x14ac:dyDescent="0.2">
      <c r="AR2364">
        <v>2356</v>
      </c>
      <c r="AS2364">
        <v>538</v>
      </c>
      <c r="AT2364">
        <v>3</v>
      </c>
      <c r="AU2364">
        <v>5.5484715388528922</v>
      </c>
      <c r="AV2364">
        <v>2.0971523044355351E-22</v>
      </c>
    </row>
    <row r="2365" spans="44:48" x14ac:dyDescent="0.2">
      <c r="AR2365">
        <v>2357</v>
      </c>
      <c r="AS2365">
        <v>539</v>
      </c>
      <c r="AT2365">
        <v>3</v>
      </c>
      <c r="AU2365">
        <v>5.5794120701702372</v>
      </c>
      <c r="AV2365">
        <v>1.1502103324513309E-22</v>
      </c>
    </row>
    <row r="2366" spans="44:48" x14ac:dyDescent="0.2">
      <c r="AR2366">
        <v>2358</v>
      </c>
      <c r="AS2366">
        <v>540</v>
      </c>
      <c r="AT2366">
        <v>3</v>
      </c>
      <c r="AU2366">
        <v>5.6103526014875857</v>
      </c>
      <c r="AV2366">
        <v>6.2857421020906523E-23</v>
      </c>
    </row>
    <row r="2367" spans="44:48" x14ac:dyDescent="0.2">
      <c r="AR2367">
        <v>2359</v>
      </c>
      <c r="AS2367">
        <v>541</v>
      </c>
      <c r="AT2367">
        <v>3</v>
      </c>
      <c r="AU2367">
        <v>5.6412931328049307</v>
      </c>
      <c r="AV2367">
        <v>3.4226922644888053E-23</v>
      </c>
    </row>
    <row r="2368" spans="44:48" x14ac:dyDescent="0.2">
      <c r="AR2368">
        <v>2360</v>
      </c>
      <c r="AS2368">
        <v>542</v>
      </c>
      <c r="AT2368">
        <v>3</v>
      </c>
      <c r="AU2368">
        <v>5.6722336641222793</v>
      </c>
      <c r="AV2368">
        <v>1.8569967747188585E-23</v>
      </c>
    </row>
    <row r="2369" spans="44:48" x14ac:dyDescent="0.2">
      <c r="AR2369">
        <v>2361</v>
      </c>
      <c r="AS2369">
        <v>543</v>
      </c>
      <c r="AT2369">
        <v>3</v>
      </c>
      <c r="AU2369">
        <v>5.7031741954396242</v>
      </c>
      <c r="AV2369">
        <v>1.0038907364887964E-23</v>
      </c>
    </row>
    <row r="2370" spans="44:48" x14ac:dyDescent="0.2">
      <c r="AR2370">
        <v>2362</v>
      </c>
      <c r="AS2370">
        <v>544</v>
      </c>
      <c r="AT2370">
        <v>3</v>
      </c>
      <c r="AU2370">
        <v>5.7341147267569692</v>
      </c>
      <c r="AV2370">
        <v>5.4074653498426089E-24</v>
      </c>
    </row>
    <row r="2371" spans="44:48" x14ac:dyDescent="0.2">
      <c r="AR2371">
        <v>2363</v>
      </c>
      <c r="AS2371">
        <v>545</v>
      </c>
      <c r="AT2371">
        <v>3</v>
      </c>
      <c r="AU2371">
        <v>5.7650552580743177</v>
      </c>
      <c r="AV2371">
        <v>2.9022381384127135E-24</v>
      </c>
    </row>
    <row r="2372" spans="44:48" x14ac:dyDescent="0.2">
      <c r="AR2372">
        <v>2364</v>
      </c>
      <c r="AS2372">
        <v>546</v>
      </c>
      <c r="AT2372">
        <v>3</v>
      </c>
      <c r="AU2372">
        <v>5.7959957893916627</v>
      </c>
      <c r="AV2372">
        <v>1.5520451310857259E-24</v>
      </c>
    </row>
    <row r="2373" spans="44:48" x14ac:dyDescent="0.2">
      <c r="AR2373">
        <v>2365</v>
      </c>
      <c r="AS2373">
        <v>547</v>
      </c>
      <c r="AT2373">
        <v>3</v>
      </c>
      <c r="AU2373">
        <v>5.8269363207090077</v>
      </c>
      <c r="AV2373">
        <v>8.270040716094479E-25</v>
      </c>
    </row>
    <row r="2374" spans="44:48" x14ac:dyDescent="0.2">
      <c r="AR2374">
        <v>2366</v>
      </c>
      <c r="AS2374">
        <v>548</v>
      </c>
      <c r="AT2374">
        <v>3</v>
      </c>
      <c r="AU2374">
        <v>5.8578768520263562</v>
      </c>
      <c r="AV2374">
        <v>4.3907928761766245E-25</v>
      </c>
    </row>
    <row r="2375" spans="44:48" x14ac:dyDescent="0.2">
      <c r="AR2375">
        <v>2367</v>
      </c>
      <c r="AS2375">
        <v>549</v>
      </c>
      <c r="AT2375">
        <v>3</v>
      </c>
      <c r="AU2375">
        <v>5.8888173833437012</v>
      </c>
      <c r="AV2375">
        <v>2.3227916452922929E-25</v>
      </c>
    </row>
    <row r="2376" spans="44:48" x14ac:dyDescent="0.2">
      <c r="AR2376">
        <v>2368</v>
      </c>
      <c r="AS2376">
        <v>550</v>
      </c>
      <c r="AT2376">
        <v>3</v>
      </c>
      <c r="AU2376">
        <v>5.9197579146610497</v>
      </c>
      <c r="AV2376">
        <v>1.2243612069365149E-25</v>
      </c>
    </row>
    <row r="2377" spans="44:48" x14ac:dyDescent="0.2">
      <c r="AR2377">
        <v>2369</v>
      </c>
      <c r="AS2377">
        <v>551</v>
      </c>
      <c r="AT2377">
        <v>3</v>
      </c>
      <c r="AU2377">
        <v>5.9506984459783947</v>
      </c>
      <c r="AV2377">
        <v>6.4304426234315917E-26</v>
      </c>
    </row>
    <row r="2378" spans="44:48" x14ac:dyDescent="0.2">
      <c r="AR2378">
        <v>2370</v>
      </c>
      <c r="AS2378">
        <v>552</v>
      </c>
      <c r="AT2378">
        <v>3</v>
      </c>
      <c r="AU2378">
        <v>5.9816389772957397</v>
      </c>
      <c r="AV2378">
        <v>3.3651480469819851E-26</v>
      </c>
    </row>
    <row r="2379" spans="44:48" x14ac:dyDescent="0.2">
      <c r="AR2379">
        <v>2371</v>
      </c>
      <c r="AS2379">
        <v>553</v>
      </c>
      <c r="AT2379">
        <v>3</v>
      </c>
      <c r="AU2379">
        <v>6.0125795086130882</v>
      </c>
      <c r="AV2379">
        <v>1.7546862968128068E-26</v>
      </c>
    </row>
    <row r="2380" spans="44:48" x14ac:dyDescent="0.2">
      <c r="AR2380">
        <v>2372</v>
      </c>
      <c r="AS2380">
        <v>554</v>
      </c>
      <c r="AT2380">
        <v>3</v>
      </c>
      <c r="AU2380">
        <v>6.0435200399304332</v>
      </c>
      <c r="AV2380">
        <v>9.116471838174486E-27</v>
      </c>
    </row>
    <row r="2381" spans="44:48" x14ac:dyDescent="0.2">
      <c r="AR2381">
        <v>2373</v>
      </c>
      <c r="AS2381">
        <v>555</v>
      </c>
      <c r="AT2381">
        <v>3</v>
      </c>
      <c r="AU2381">
        <v>6.0744605712477782</v>
      </c>
      <c r="AV2381">
        <v>4.7193925882077414E-27</v>
      </c>
    </row>
    <row r="2382" spans="44:48" x14ac:dyDescent="0.2">
      <c r="AR2382">
        <v>2374</v>
      </c>
      <c r="AS2382">
        <v>556</v>
      </c>
      <c r="AT2382">
        <v>3</v>
      </c>
      <c r="AU2382">
        <v>6.1054011025651267</v>
      </c>
      <c r="AV2382">
        <v>2.4343186073152664E-27</v>
      </c>
    </row>
    <row r="2383" spans="44:48" x14ac:dyDescent="0.2">
      <c r="AR2383">
        <v>2375</v>
      </c>
      <c r="AS2383">
        <v>557</v>
      </c>
      <c r="AT2383">
        <v>3</v>
      </c>
      <c r="AU2383">
        <v>6.1363416338824717</v>
      </c>
      <c r="AV2383">
        <v>1.2511250871366653E-27</v>
      </c>
    </row>
    <row r="2384" spans="44:48" x14ac:dyDescent="0.2">
      <c r="AR2384">
        <v>2376</v>
      </c>
      <c r="AS2384">
        <v>558</v>
      </c>
      <c r="AT2384">
        <v>3</v>
      </c>
      <c r="AU2384">
        <v>6.1672821651998166</v>
      </c>
      <c r="AV2384">
        <v>6.4070195245767933E-28</v>
      </c>
    </row>
    <row r="2385" spans="44:48" x14ac:dyDescent="0.2">
      <c r="AR2385">
        <v>2377</v>
      </c>
      <c r="AS2385">
        <v>559</v>
      </c>
      <c r="AT2385">
        <v>3</v>
      </c>
      <c r="AU2385">
        <v>6.1982226965171652</v>
      </c>
      <c r="AV2385">
        <v>3.2692141017022802E-28</v>
      </c>
    </row>
    <row r="2386" spans="44:48" x14ac:dyDescent="0.2">
      <c r="AR2386">
        <v>2378</v>
      </c>
      <c r="AS2386">
        <v>560</v>
      </c>
      <c r="AT2386">
        <v>3</v>
      </c>
      <c r="AU2386">
        <v>6.2291632278345102</v>
      </c>
      <c r="AV2386">
        <v>1.6621211694034338E-28</v>
      </c>
    </row>
    <row r="2387" spans="44:48" x14ac:dyDescent="0.2">
      <c r="AR2387">
        <v>2379</v>
      </c>
      <c r="AS2387">
        <v>561</v>
      </c>
      <c r="AT2387">
        <v>3</v>
      </c>
      <c r="AU2387">
        <v>6.2601037591518587</v>
      </c>
      <c r="AV2387">
        <v>8.4200369889472912E-29</v>
      </c>
    </row>
    <row r="2388" spans="44:48" x14ac:dyDescent="0.2">
      <c r="AR2388">
        <v>2380</v>
      </c>
      <c r="AS2388">
        <v>562</v>
      </c>
      <c r="AT2388">
        <v>3</v>
      </c>
      <c r="AU2388">
        <v>6.2910442904692037</v>
      </c>
      <c r="AV2388">
        <v>4.2500820948991285E-29</v>
      </c>
    </row>
    <row r="2389" spans="44:48" x14ac:dyDescent="0.2">
      <c r="AR2389">
        <v>2381</v>
      </c>
      <c r="AS2389">
        <v>563</v>
      </c>
      <c r="AT2389">
        <v>3</v>
      </c>
      <c r="AU2389">
        <v>6.3219848217865486</v>
      </c>
      <c r="AV2389">
        <v>2.1375320726062824E-29</v>
      </c>
    </row>
    <row r="2390" spans="44:48" x14ac:dyDescent="0.2">
      <c r="AR2390">
        <v>2382</v>
      </c>
      <c r="AS2390">
        <v>564</v>
      </c>
      <c r="AT2390">
        <v>3</v>
      </c>
      <c r="AU2390">
        <v>6.3529253531038972</v>
      </c>
      <c r="AV2390">
        <v>1.0711738497340964E-29</v>
      </c>
    </row>
    <row r="2391" spans="44:48" x14ac:dyDescent="0.2">
      <c r="AR2391">
        <v>2383</v>
      </c>
      <c r="AS2391">
        <v>565</v>
      </c>
      <c r="AT2391">
        <v>3</v>
      </c>
      <c r="AU2391">
        <v>6.3838658844212421</v>
      </c>
      <c r="AV2391">
        <v>5.3485897165779927E-30</v>
      </c>
    </row>
    <row r="2392" spans="44:48" x14ac:dyDescent="0.2">
      <c r="AR2392">
        <v>2384</v>
      </c>
      <c r="AS2392">
        <v>566</v>
      </c>
      <c r="AT2392">
        <v>3</v>
      </c>
      <c r="AU2392">
        <v>6.4148064157385871</v>
      </c>
      <c r="AV2392">
        <v>2.661035138414957E-30</v>
      </c>
    </row>
    <row r="2393" spans="44:48" x14ac:dyDescent="0.2">
      <c r="AR2393">
        <v>2385</v>
      </c>
      <c r="AS2393">
        <v>567</v>
      </c>
      <c r="AT2393">
        <v>3</v>
      </c>
      <c r="AU2393">
        <v>6.4457469470559356</v>
      </c>
      <c r="AV2393">
        <v>1.3191492500168263E-30</v>
      </c>
    </row>
    <row r="2394" spans="44:48" x14ac:dyDescent="0.2">
      <c r="AR2394">
        <v>2386</v>
      </c>
      <c r="AS2394">
        <v>568</v>
      </c>
      <c r="AT2394">
        <v>3</v>
      </c>
      <c r="AU2394">
        <v>6.4766874783732806</v>
      </c>
      <c r="AV2394">
        <v>6.5158227487313327E-31</v>
      </c>
    </row>
    <row r="2395" spans="44:48" x14ac:dyDescent="0.2">
      <c r="AR2395">
        <v>2387</v>
      </c>
      <c r="AS2395">
        <v>569</v>
      </c>
      <c r="AT2395">
        <v>3</v>
      </c>
      <c r="AU2395">
        <v>6.5076280096906256</v>
      </c>
      <c r="AV2395">
        <v>3.2068348121133344E-31</v>
      </c>
    </row>
    <row r="2396" spans="44:48" x14ac:dyDescent="0.2">
      <c r="AR2396">
        <v>2388</v>
      </c>
      <c r="AS2396">
        <v>570</v>
      </c>
      <c r="AT2396">
        <v>3</v>
      </c>
      <c r="AU2396">
        <v>6.5385685410079741</v>
      </c>
      <c r="AV2396">
        <v>1.5725914804508973E-31</v>
      </c>
    </row>
    <row r="2397" spans="44:48" x14ac:dyDescent="0.2">
      <c r="AR2397">
        <v>2389</v>
      </c>
      <c r="AS2397">
        <v>571</v>
      </c>
      <c r="AT2397">
        <v>3</v>
      </c>
      <c r="AU2397">
        <v>6.5695090723253191</v>
      </c>
      <c r="AV2397">
        <v>7.6839980994473269E-32</v>
      </c>
    </row>
    <row r="2398" spans="44:48" x14ac:dyDescent="0.2">
      <c r="AR2398">
        <v>2390</v>
      </c>
      <c r="AS2398">
        <v>572</v>
      </c>
      <c r="AT2398">
        <v>3</v>
      </c>
      <c r="AU2398">
        <v>6.6004496036426676</v>
      </c>
      <c r="AV2398">
        <v>3.7410247392730281E-32</v>
      </c>
    </row>
    <row r="2399" spans="44:48" x14ac:dyDescent="0.2">
      <c r="AR2399">
        <v>2391</v>
      </c>
      <c r="AS2399">
        <v>573</v>
      </c>
      <c r="AT2399">
        <v>3</v>
      </c>
      <c r="AU2399">
        <v>6.6313901349600126</v>
      </c>
      <c r="AV2399">
        <v>1.8147880579602614E-32</v>
      </c>
    </row>
    <row r="2400" spans="44:48" x14ac:dyDescent="0.2">
      <c r="AR2400">
        <v>2392</v>
      </c>
      <c r="AS2400">
        <v>574</v>
      </c>
      <c r="AT2400">
        <v>3</v>
      </c>
      <c r="AU2400">
        <v>6.6623306662773576</v>
      </c>
      <c r="AV2400">
        <v>8.7718914051994466E-33</v>
      </c>
    </row>
    <row r="2401" spans="44:48" x14ac:dyDescent="0.2">
      <c r="AR2401">
        <v>2393</v>
      </c>
      <c r="AS2401">
        <v>575</v>
      </c>
      <c r="AT2401">
        <v>3</v>
      </c>
      <c r="AU2401">
        <v>6.6932711975947061</v>
      </c>
      <c r="AV2401">
        <v>4.2246679643652326E-33</v>
      </c>
    </row>
    <row r="2402" spans="44:48" x14ac:dyDescent="0.2">
      <c r="AR2402">
        <v>2394</v>
      </c>
      <c r="AS2402">
        <v>576</v>
      </c>
      <c r="AT2402">
        <v>3</v>
      </c>
      <c r="AU2402">
        <v>6.7242117289120511</v>
      </c>
      <c r="AV2402">
        <v>2.0273275285478882E-33</v>
      </c>
    </row>
    <row r="2403" spans="44:48" x14ac:dyDescent="0.2">
      <c r="AR2403">
        <v>2395</v>
      </c>
      <c r="AS2403">
        <v>577</v>
      </c>
      <c r="AT2403">
        <v>3</v>
      </c>
      <c r="AU2403">
        <v>6.7551522602293961</v>
      </c>
      <c r="AV2403">
        <v>9.69364821200609E-34</v>
      </c>
    </row>
    <row r="2404" spans="44:48" x14ac:dyDescent="0.2">
      <c r="AR2404">
        <v>2396</v>
      </c>
      <c r="AS2404">
        <v>578</v>
      </c>
      <c r="AT2404">
        <v>3</v>
      </c>
      <c r="AU2404">
        <v>6.7860927915467446</v>
      </c>
      <c r="AV2404">
        <v>4.6183048122031026E-34</v>
      </c>
    </row>
    <row r="2405" spans="44:48" x14ac:dyDescent="0.2">
      <c r="AR2405">
        <v>2397</v>
      </c>
      <c r="AS2405">
        <v>579</v>
      </c>
      <c r="AT2405">
        <v>3</v>
      </c>
      <c r="AU2405">
        <v>6.8170333228640896</v>
      </c>
      <c r="AV2405">
        <v>2.1923502233693178E-34</v>
      </c>
    </row>
    <row r="2406" spans="44:48" x14ac:dyDescent="0.2">
      <c r="AR2406">
        <v>2398</v>
      </c>
      <c r="AS2406">
        <v>580</v>
      </c>
      <c r="AT2406">
        <v>3</v>
      </c>
      <c r="AU2406">
        <v>6.8479738541814346</v>
      </c>
      <c r="AV2406">
        <v>1.0369773579289972E-34</v>
      </c>
    </row>
    <row r="2407" spans="44:48" x14ac:dyDescent="0.2">
      <c r="AR2407">
        <v>2399</v>
      </c>
      <c r="AS2407">
        <v>581</v>
      </c>
      <c r="AT2407">
        <v>3</v>
      </c>
      <c r="AU2407">
        <v>6.8789143854987831</v>
      </c>
      <c r="AV2407">
        <v>4.8872056680398143E-35</v>
      </c>
    </row>
    <row r="2408" spans="44:48" x14ac:dyDescent="0.2">
      <c r="AR2408">
        <v>2400</v>
      </c>
      <c r="AS2408">
        <v>582</v>
      </c>
      <c r="AT2408">
        <v>3</v>
      </c>
      <c r="AU2408">
        <v>6.9098549168161281</v>
      </c>
      <c r="AV2408">
        <v>2.295006706510356E-35</v>
      </c>
    </row>
    <row r="2409" spans="44:48" x14ac:dyDescent="0.2">
      <c r="AR2409">
        <v>2401</v>
      </c>
      <c r="AS2409">
        <v>583</v>
      </c>
      <c r="AT2409">
        <v>3</v>
      </c>
      <c r="AU2409">
        <v>6.9407954481334766</v>
      </c>
      <c r="AV2409">
        <v>1.0738393228685852E-35</v>
      </c>
    </row>
    <row r="2410" spans="44:48" x14ac:dyDescent="0.2">
      <c r="AR2410">
        <v>2402</v>
      </c>
      <c r="AS2410">
        <v>584</v>
      </c>
      <c r="AT2410">
        <v>3</v>
      </c>
      <c r="AU2410">
        <v>6.9717359794508216</v>
      </c>
      <c r="AV2410">
        <v>5.0064127155849212E-36</v>
      </c>
    </row>
    <row r="2411" spans="44:48" x14ac:dyDescent="0.2">
      <c r="AR2411">
        <v>2403</v>
      </c>
      <c r="AS2411">
        <v>585</v>
      </c>
      <c r="AT2411">
        <v>3</v>
      </c>
      <c r="AU2411">
        <v>7.0026765107681666</v>
      </c>
      <c r="AV2411">
        <v>2.3256587802575928E-36</v>
      </c>
    </row>
    <row r="2412" spans="44:48" x14ac:dyDescent="0.2">
      <c r="AR2412">
        <v>2404</v>
      </c>
      <c r="AS2412">
        <v>586</v>
      </c>
      <c r="AT2412">
        <v>3</v>
      </c>
      <c r="AU2412">
        <v>7.0336170420855151</v>
      </c>
      <c r="AV2412">
        <v>1.0764586289278132E-36</v>
      </c>
    </row>
    <row r="2413" spans="44:48" x14ac:dyDescent="0.2">
      <c r="AR2413">
        <v>2405</v>
      </c>
      <c r="AS2413">
        <v>587</v>
      </c>
      <c r="AT2413">
        <v>3</v>
      </c>
      <c r="AU2413">
        <v>7.0645575734028601</v>
      </c>
      <c r="AV2413">
        <v>4.9645591847075971E-37</v>
      </c>
    </row>
    <row r="2414" spans="44:48" x14ac:dyDescent="0.2">
      <c r="AR2414">
        <v>2406</v>
      </c>
      <c r="AS2414">
        <v>588</v>
      </c>
      <c r="AT2414">
        <v>3</v>
      </c>
      <c r="AU2414">
        <v>7.095498104720205</v>
      </c>
      <c r="AV2414">
        <v>2.2813716622145709E-37</v>
      </c>
    </row>
    <row r="2415" spans="44:48" x14ac:dyDescent="0.2">
      <c r="AR2415">
        <v>2407</v>
      </c>
      <c r="AS2415">
        <v>589</v>
      </c>
      <c r="AT2415">
        <v>3</v>
      </c>
      <c r="AU2415">
        <v>7.1264386360375536</v>
      </c>
      <c r="AV2415">
        <v>1.0445840593935145E-37</v>
      </c>
    </row>
    <row r="2416" spans="44:48" x14ac:dyDescent="0.2">
      <c r="AR2416">
        <v>2408</v>
      </c>
      <c r="AS2416">
        <v>590</v>
      </c>
      <c r="AT2416">
        <v>3</v>
      </c>
      <c r="AU2416">
        <v>7.1573791673548985</v>
      </c>
      <c r="AV2416">
        <v>4.7656566176794019E-38</v>
      </c>
    </row>
    <row r="2417" spans="44:48" x14ac:dyDescent="0.2">
      <c r="AR2417">
        <v>2409</v>
      </c>
      <c r="AS2417">
        <v>591</v>
      </c>
      <c r="AT2417">
        <v>3</v>
      </c>
      <c r="AU2417">
        <v>7.1883196986722435</v>
      </c>
      <c r="AV2417">
        <v>2.1663773204434962E-38</v>
      </c>
    </row>
    <row r="2418" spans="44:48" x14ac:dyDescent="0.2">
      <c r="AR2418">
        <v>2410</v>
      </c>
      <c r="AS2418">
        <v>592</v>
      </c>
      <c r="AT2418">
        <v>3</v>
      </c>
      <c r="AU2418">
        <v>7.219260229989592</v>
      </c>
      <c r="AV2418">
        <v>9.812449968372086E-39</v>
      </c>
    </row>
    <row r="2419" spans="44:48" x14ac:dyDescent="0.2">
      <c r="AR2419">
        <v>2411</v>
      </c>
      <c r="AS2419">
        <v>593</v>
      </c>
      <c r="AT2419">
        <v>3</v>
      </c>
      <c r="AU2419">
        <v>7.250200761306937</v>
      </c>
      <c r="AV2419">
        <v>4.4284608689619828E-39</v>
      </c>
    </row>
    <row r="2420" spans="44:48" x14ac:dyDescent="0.2">
      <c r="AR2420">
        <v>2412</v>
      </c>
      <c r="AS2420">
        <v>594</v>
      </c>
      <c r="AT2420">
        <v>3</v>
      </c>
      <c r="AU2420">
        <v>7.2811412926242856</v>
      </c>
      <c r="AV2420">
        <v>1.9914076391636714E-39</v>
      </c>
    </row>
    <row r="2421" spans="44:48" x14ac:dyDescent="0.2">
      <c r="AR2421">
        <v>2413</v>
      </c>
      <c r="AS2421">
        <v>595</v>
      </c>
      <c r="AT2421">
        <v>3</v>
      </c>
      <c r="AU2421">
        <v>7.3120818239416305</v>
      </c>
      <c r="AV2421">
        <v>8.9227664827571755E-40</v>
      </c>
    </row>
    <row r="2422" spans="44:48" x14ac:dyDescent="0.2">
      <c r="AR2422">
        <v>2414</v>
      </c>
      <c r="AS2422">
        <v>596</v>
      </c>
      <c r="AT2422">
        <v>3</v>
      </c>
      <c r="AU2422">
        <v>7.3430223552589755</v>
      </c>
      <c r="AV2422">
        <v>3.9835556340957914E-40</v>
      </c>
    </row>
    <row r="2423" spans="44:48" x14ac:dyDescent="0.2">
      <c r="AR2423">
        <v>2415</v>
      </c>
      <c r="AS2423">
        <v>597</v>
      </c>
      <c r="AT2423">
        <v>3</v>
      </c>
      <c r="AU2423">
        <v>7.373962886576324</v>
      </c>
      <c r="AV2423">
        <v>1.7720429653811304E-40</v>
      </c>
    </row>
    <row r="2424" spans="44:48" x14ac:dyDescent="0.2">
      <c r="AR2424">
        <v>2416</v>
      </c>
      <c r="AS2424">
        <v>598</v>
      </c>
      <c r="AT2424">
        <v>3</v>
      </c>
      <c r="AU2424">
        <v>7.404903417893669</v>
      </c>
      <c r="AV2424">
        <v>7.8543384179416021E-41</v>
      </c>
    </row>
    <row r="2425" spans="44:48" x14ac:dyDescent="0.2">
      <c r="AR2425">
        <v>2417</v>
      </c>
      <c r="AS2425">
        <v>599</v>
      </c>
      <c r="AT2425">
        <v>3</v>
      </c>
      <c r="AU2425">
        <v>7.435843949211014</v>
      </c>
      <c r="AV2425">
        <v>3.4687817278726302E-41</v>
      </c>
    </row>
    <row r="2426" spans="44:48" x14ac:dyDescent="0.2">
      <c r="AR2426">
        <v>2418</v>
      </c>
      <c r="AS2426">
        <v>600</v>
      </c>
      <c r="AT2426">
        <v>3</v>
      </c>
      <c r="AU2426">
        <v>7.4667844805283625</v>
      </c>
      <c r="AV2426">
        <v>1.526428046671093E-41</v>
      </c>
    </row>
    <row r="2427" spans="44:48" x14ac:dyDescent="0.2">
      <c r="AR2427">
        <v>2419</v>
      </c>
      <c r="AS2427">
        <v>601</v>
      </c>
      <c r="AT2427">
        <v>3</v>
      </c>
      <c r="AU2427">
        <v>7.4977250118457075</v>
      </c>
      <c r="AV2427">
        <v>6.6927977726011554E-42</v>
      </c>
    </row>
    <row r="2428" spans="44:48" x14ac:dyDescent="0.2">
      <c r="AR2428">
        <v>2420</v>
      </c>
      <c r="AS2428">
        <v>602</v>
      </c>
      <c r="AT2428">
        <v>3</v>
      </c>
      <c r="AU2428">
        <v>7.528665543163056</v>
      </c>
      <c r="AV2428">
        <v>2.923957591392496E-42</v>
      </c>
    </row>
    <row r="2429" spans="44:48" x14ac:dyDescent="0.2">
      <c r="AR2429">
        <v>2421</v>
      </c>
      <c r="AS2429">
        <v>603</v>
      </c>
      <c r="AT2429">
        <v>3</v>
      </c>
      <c r="AU2429">
        <v>7.559606074480401</v>
      </c>
      <c r="AV2429">
        <v>1.2728183776458223E-42</v>
      </c>
    </row>
    <row r="2430" spans="44:48" x14ac:dyDescent="0.2">
      <c r="AR2430">
        <v>2422</v>
      </c>
      <c r="AS2430">
        <v>604</v>
      </c>
      <c r="AT2430">
        <v>3</v>
      </c>
      <c r="AU2430">
        <v>7.590546605797746</v>
      </c>
      <c r="AV2430">
        <v>5.5206956588565158E-43</v>
      </c>
    </row>
    <row r="2431" spans="44:48" x14ac:dyDescent="0.2">
      <c r="AR2431">
        <v>2423</v>
      </c>
      <c r="AS2431">
        <v>605</v>
      </c>
      <c r="AT2431">
        <v>3</v>
      </c>
      <c r="AU2431">
        <v>7.6214871371150945</v>
      </c>
      <c r="AV2431">
        <v>2.3859051606007149E-43</v>
      </c>
    </row>
    <row r="2432" spans="44:48" x14ac:dyDescent="0.2">
      <c r="AR2432">
        <v>2424</v>
      </c>
      <c r="AS2432">
        <v>606</v>
      </c>
      <c r="AT2432">
        <v>3</v>
      </c>
      <c r="AU2432">
        <v>7.6524276684324395</v>
      </c>
      <c r="AV2432">
        <v>1.0274117966092057E-43</v>
      </c>
    </row>
    <row r="2433" spans="44:48" x14ac:dyDescent="0.2">
      <c r="AR2433">
        <v>2425</v>
      </c>
      <c r="AS2433">
        <v>607</v>
      </c>
      <c r="AT2433">
        <v>3</v>
      </c>
      <c r="AU2433">
        <v>7.6833681997497845</v>
      </c>
      <c r="AV2433">
        <v>4.408267299509543E-44</v>
      </c>
    </row>
    <row r="2434" spans="44:48" x14ac:dyDescent="0.2">
      <c r="AR2434">
        <v>2426</v>
      </c>
      <c r="AS2434">
        <v>608</v>
      </c>
      <c r="AT2434">
        <v>3</v>
      </c>
      <c r="AU2434">
        <v>7.714308731067133</v>
      </c>
      <c r="AV2434">
        <v>1.8846178242610478E-44</v>
      </c>
    </row>
    <row r="2435" spans="44:48" x14ac:dyDescent="0.2">
      <c r="AR2435">
        <v>2427</v>
      </c>
      <c r="AS2435">
        <v>609</v>
      </c>
      <c r="AT2435">
        <v>3</v>
      </c>
      <c r="AU2435">
        <v>7.745249262384478</v>
      </c>
      <c r="AV2435">
        <v>8.0280611004078177E-45</v>
      </c>
    </row>
    <row r="2436" spans="44:48" x14ac:dyDescent="0.2">
      <c r="AR2436">
        <v>2428</v>
      </c>
      <c r="AS2436">
        <v>610</v>
      </c>
      <c r="AT2436">
        <v>3</v>
      </c>
      <c r="AU2436">
        <v>7.7761897937018229</v>
      </c>
      <c r="AV2436">
        <v>3.4074543423318668E-45</v>
      </c>
    </row>
    <row r="2437" spans="44:48" x14ac:dyDescent="0.2">
      <c r="AR2437">
        <v>2429</v>
      </c>
      <c r="AS2437">
        <v>611</v>
      </c>
      <c r="AT2437">
        <v>3</v>
      </c>
      <c r="AU2437">
        <v>7.8071303250191715</v>
      </c>
      <c r="AV2437">
        <v>1.4410578733165705E-45</v>
      </c>
    </row>
    <row r="2438" spans="44:48" x14ac:dyDescent="0.2">
      <c r="AR2438">
        <v>2430</v>
      </c>
      <c r="AS2438">
        <v>612</v>
      </c>
      <c r="AT2438">
        <v>3</v>
      </c>
      <c r="AU2438">
        <v>7.8380708563365165</v>
      </c>
      <c r="AV2438">
        <v>6.0724619334392203E-46</v>
      </c>
    </row>
    <row r="2439" spans="44:48" x14ac:dyDescent="0.2">
      <c r="AR2439">
        <v>2431</v>
      </c>
      <c r="AS2439">
        <v>613</v>
      </c>
      <c r="AT2439">
        <v>3</v>
      </c>
      <c r="AU2439">
        <v>7.869011387653865</v>
      </c>
      <c r="AV2439">
        <v>2.549647730059612E-46</v>
      </c>
    </row>
    <row r="2440" spans="44:48" x14ac:dyDescent="0.2">
      <c r="AR2440">
        <v>2432</v>
      </c>
      <c r="AS2440">
        <v>614</v>
      </c>
      <c r="AT2440">
        <v>3</v>
      </c>
      <c r="AU2440">
        <v>7.89995191897121</v>
      </c>
      <c r="AV2440">
        <v>1.0666638123302316E-46</v>
      </c>
    </row>
    <row r="2441" spans="44:48" x14ac:dyDescent="0.2">
      <c r="AR2441">
        <v>2433</v>
      </c>
      <c r="AS2441">
        <v>615</v>
      </c>
      <c r="AT2441">
        <v>3</v>
      </c>
      <c r="AU2441">
        <v>7.9308924502885549</v>
      </c>
      <c r="AV2441">
        <v>4.4463837622416363E-47</v>
      </c>
    </row>
    <row r="2442" spans="44:48" x14ac:dyDescent="0.2">
      <c r="AR2442">
        <v>2434</v>
      </c>
      <c r="AS2442">
        <v>616</v>
      </c>
      <c r="AT2442">
        <v>3</v>
      </c>
      <c r="AU2442">
        <v>7.9618329816059035</v>
      </c>
      <c r="AV2442">
        <v>1.8467934543338763E-47</v>
      </c>
    </row>
    <row r="2443" spans="44:48" x14ac:dyDescent="0.2">
      <c r="AR2443">
        <v>2435</v>
      </c>
      <c r="AS2443">
        <v>617</v>
      </c>
      <c r="AT2443">
        <v>3</v>
      </c>
      <c r="AU2443">
        <v>7.9927735129232484</v>
      </c>
      <c r="AV2443">
        <v>7.6429621866301938E-48</v>
      </c>
    </row>
    <row r="2444" spans="44:48" x14ac:dyDescent="0.2">
      <c r="AR2444">
        <v>2436</v>
      </c>
      <c r="AS2444">
        <v>618</v>
      </c>
      <c r="AT2444">
        <v>3</v>
      </c>
      <c r="AU2444">
        <v>8.0237140442405934</v>
      </c>
      <c r="AV2444">
        <v>3.1516435748824414E-48</v>
      </c>
    </row>
    <row r="2445" spans="44:48" x14ac:dyDescent="0.2">
      <c r="AR2445">
        <v>2437</v>
      </c>
      <c r="AS2445">
        <v>619</v>
      </c>
      <c r="AT2445">
        <v>3</v>
      </c>
      <c r="AU2445">
        <v>8.054654575557942</v>
      </c>
      <c r="AV2445">
        <v>1.2949246053098806E-48</v>
      </c>
    </row>
    <row r="2446" spans="44:48" x14ac:dyDescent="0.2">
      <c r="AR2446">
        <v>2438</v>
      </c>
      <c r="AS2446">
        <v>620</v>
      </c>
      <c r="AT2446">
        <v>3</v>
      </c>
      <c r="AU2446">
        <v>8.0855951068752869</v>
      </c>
      <c r="AV2446">
        <v>5.3013181805581386E-49</v>
      </c>
    </row>
    <row r="2447" spans="44:48" x14ac:dyDescent="0.2">
      <c r="AR2447">
        <v>2439</v>
      </c>
      <c r="AS2447">
        <v>621</v>
      </c>
      <c r="AT2447">
        <v>3</v>
      </c>
      <c r="AU2447">
        <v>8.1165356381926319</v>
      </c>
      <c r="AV2447">
        <v>2.1624957371529792E-49</v>
      </c>
    </row>
    <row r="2448" spans="44:48" x14ac:dyDescent="0.2">
      <c r="AR2448">
        <v>2440</v>
      </c>
      <c r="AS2448">
        <v>622</v>
      </c>
      <c r="AT2448">
        <v>3</v>
      </c>
      <c r="AU2448">
        <v>8.1474761695099804</v>
      </c>
      <c r="AV2448">
        <v>8.7893882791150474E-50</v>
      </c>
    </row>
    <row r="2449" spans="44:48" x14ac:dyDescent="0.2">
      <c r="AR2449">
        <v>2441</v>
      </c>
      <c r="AS2449">
        <v>623</v>
      </c>
      <c r="AT2449">
        <v>3</v>
      </c>
      <c r="AU2449">
        <v>8.1784167008273254</v>
      </c>
      <c r="AV2449">
        <v>3.5595413440984282E-50</v>
      </c>
    </row>
    <row r="2450" spans="44:48" x14ac:dyDescent="0.2">
      <c r="AR2450">
        <v>2442</v>
      </c>
      <c r="AS2450">
        <v>624</v>
      </c>
      <c r="AT2450">
        <v>3</v>
      </c>
      <c r="AU2450">
        <v>8.2093572321446739</v>
      </c>
      <c r="AV2450">
        <v>1.4363538215302673E-50</v>
      </c>
    </row>
    <row r="2451" spans="44:48" x14ac:dyDescent="0.2">
      <c r="AR2451">
        <v>2443</v>
      </c>
      <c r="AS2451">
        <v>625</v>
      </c>
      <c r="AT2451">
        <v>3</v>
      </c>
      <c r="AU2451">
        <v>8.2402977634620189</v>
      </c>
      <c r="AV2451">
        <v>5.7751175422587584E-51</v>
      </c>
    </row>
    <row r="2452" spans="44:48" x14ac:dyDescent="0.2">
      <c r="AR2452">
        <v>2444</v>
      </c>
      <c r="AS2452">
        <v>626</v>
      </c>
      <c r="AT2452">
        <v>3</v>
      </c>
      <c r="AU2452">
        <v>8.2712382947793639</v>
      </c>
      <c r="AV2452">
        <v>2.3136210281369639E-51</v>
      </c>
    </row>
    <row r="2453" spans="44:48" x14ac:dyDescent="0.2">
      <c r="AR2453">
        <v>2445</v>
      </c>
      <c r="AS2453">
        <v>627</v>
      </c>
      <c r="AT2453">
        <v>3</v>
      </c>
      <c r="AU2453">
        <v>8.3021788260967124</v>
      </c>
      <c r="AV2453">
        <v>9.2353980603361014E-52</v>
      </c>
    </row>
    <row r="2454" spans="44:48" x14ac:dyDescent="0.2">
      <c r="AR2454">
        <v>2446</v>
      </c>
      <c r="AS2454">
        <v>628</v>
      </c>
      <c r="AT2454">
        <v>3</v>
      </c>
      <c r="AU2454">
        <v>8.3331193574140574</v>
      </c>
      <c r="AV2454">
        <v>3.6732544739754949E-52</v>
      </c>
    </row>
    <row r="2455" spans="44:48" x14ac:dyDescent="0.2">
      <c r="AR2455">
        <v>2447</v>
      </c>
      <c r="AS2455">
        <v>629</v>
      </c>
      <c r="AT2455">
        <v>3</v>
      </c>
      <c r="AU2455">
        <v>8.3640598887314024</v>
      </c>
      <c r="AV2455">
        <v>1.4557218968726013E-52</v>
      </c>
    </row>
    <row r="2456" spans="44:48" x14ac:dyDescent="0.2">
      <c r="AR2456">
        <v>2448</v>
      </c>
      <c r="AS2456">
        <v>630</v>
      </c>
      <c r="AT2456">
        <v>3</v>
      </c>
      <c r="AU2456">
        <v>8.3950004200487509</v>
      </c>
      <c r="AV2456">
        <v>5.748278673065677E-53</v>
      </c>
    </row>
    <row r="2457" spans="44:48" x14ac:dyDescent="0.2">
      <c r="AR2457">
        <v>2449</v>
      </c>
      <c r="AS2457">
        <v>631</v>
      </c>
      <c r="AT2457">
        <v>3</v>
      </c>
      <c r="AU2457">
        <v>8.4259409513660959</v>
      </c>
      <c r="AV2457">
        <v>2.2616698841284619E-53</v>
      </c>
    </row>
    <row r="2458" spans="44:48" x14ac:dyDescent="0.2">
      <c r="AR2458">
        <v>2450</v>
      </c>
      <c r="AS2458">
        <v>632</v>
      </c>
      <c r="AT2458">
        <v>3</v>
      </c>
      <c r="AU2458">
        <v>8.4568814826834409</v>
      </c>
      <c r="AV2458">
        <v>8.8665081393501823E-54</v>
      </c>
    </row>
    <row r="2459" spans="44:48" x14ac:dyDescent="0.2">
      <c r="AR2459">
        <v>2451</v>
      </c>
      <c r="AS2459">
        <v>633</v>
      </c>
      <c r="AT2459">
        <v>3</v>
      </c>
      <c r="AU2459">
        <v>8.4878220140007894</v>
      </c>
      <c r="AV2459">
        <v>3.463442805831168E-54</v>
      </c>
    </row>
    <row r="2460" spans="44:48" x14ac:dyDescent="0.2">
      <c r="AR2460">
        <v>2452</v>
      </c>
      <c r="AS2460">
        <v>634</v>
      </c>
      <c r="AT2460">
        <v>3</v>
      </c>
      <c r="AU2460">
        <v>8.5187625453181344</v>
      </c>
      <c r="AV2460">
        <v>1.3480171719267876E-54</v>
      </c>
    </row>
    <row r="2461" spans="44:48" x14ac:dyDescent="0.2">
      <c r="AR2461">
        <v>2453</v>
      </c>
      <c r="AS2461">
        <v>635</v>
      </c>
      <c r="AT2461">
        <v>3</v>
      </c>
      <c r="AU2461">
        <v>8.5497030766354829</v>
      </c>
      <c r="AV2461">
        <v>5.2277502331764642E-55</v>
      </c>
    </row>
    <row r="2462" spans="44:48" x14ac:dyDescent="0.2">
      <c r="AR2462">
        <v>2454</v>
      </c>
      <c r="AS2462">
        <v>636</v>
      </c>
      <c r="AT2462">
        <v>3</v>
      </c>
      <c r="AU2462">
        <v>8.5806436079528279</v>
      </c>
      <c r="AV2462">
        <v>2.0200691522979062E-55</v>
      </c>
    </row>
    <row r="2463" spans="44:48" x14ac:dyDescent="0.2">
      <c r="AR2463">
        <v>2455</v>
      </c>
      <c r="AS2463">
        <v>637</v>
      </c>
      <c r="AT2463">
        <v>3</v>
      </c>
      <c r="AU2463">
        <v>8.6115841392701729</v>
      </c>
      <c r="AV2463">
        <v>7.7776723666642863E-56</v>
      </c>
    </row>
    <row r="2464" spans="44:48" x14ac:dyDescent="0.2">
      <c r="AR2464">
        <v>2456</v>
      </c>
      <c r="AS2464">
        <v>638</v>
      </c>
      <c r="AT2464">
        <v>3</v>
      </c>
      <c r="AU2464">
        <v>8.6425246705875214</v>
      </c>
      <c r="AV2464">
        <v>2.9837680114818228E-56</v>
      </c>
    </row>
    <row r="2465" spans="44:48" x14ac:dyDescent="0.2">
      <c r="AR2465">
        <v>2457</v>
      </c>
      <c r="AS2465">
        <v>639</v>
      </c>
      <c r="AT2465">
        <v>3</v>
      </c>
      <c r="AU2465">
        <v>8.6734652019048664</v>
      </c>
      <c r="AV2465">
        <v>1.1405451021145678E-56</v>
      </c>
    </row>
    <row r="2466" spans="44:48" x14ac:dyDescent="0.2">
      <c r="AR2466">
        <v>2458</v>
      </c>
      <c r="AS2466">
        <v>640</v>
      </c>
      <c r="AT2466">
        <v>3</v>
      </c>
      <c r="AU2466">
        <v>8.7044057332222113</v>
      </c>
      <c r="AV2466">
        <v>4.3440205915423857E-57</v>
      </c>
    </row>
    <row r="2467" spans="44:48" x14ac:dyDescent="0.2">
      <c r="AR2467">
        <v>2459</v>
      </c>
      <c r="AS2467">
        <v>641</v>
      </c>
      <c r="AT2467">
        <v>3</v>
      </c>
      <c r="AU2467">
        <v>8.7353462645395599</v>
      </c>
      <c r="AV2467">
        <v>1.6485544188352089E-57</v>
      </c>
    </row>
    <row r="2468" spans="44:48" x14ac:dyDescent="0.2">
      <c r="AR2468">
        <v>2460</v>
      </c>
      <c r="AS2468">
        <v>642</v>
      </c>
      <c r="AT2468">
        <v>3</v>
      </c>
      <c r="AU2468">
        <v>8.7662867958569048</v>
      </c>
      <c r="AV2468">
        <v>6.2337115364220668E-58</v>
      </c>
    </row>
    <row r="2469" spans="44:48" x14ac:dyDescent="0.2">
      <c r="AR2469">
        <v>2461</v>
      </c>
      <c r="AS2469">
        <v>643</v>
      </c>
      <c r="AT2469">
        <v>3</v>
      </c>
      <c r="AU2469">
        <v>8.7972273271742498</v>
      </c>
      <c r="AV2469">
        <v>2.3486706270348152E-58</v>
      </c>
    </row>
    <row r="2470" spans="44:48" x14ac:dyDescent="0.2">
      <c r="AR2470">
        <v>2462</v>
      </c>
      <c r="AS2470">
        <v>644</v>
      </c>
      <c r="AT2470">
        <v>3</v>
      </c>
      <c r="AU2470">
        <v>8.8281678584915984</v>
      </c>
      <c r="AV2470">
        <v>8.8171764604924203E-59</v>
      </c>
    </row>
    <row r="2471" spans="44:48" x14ac:dyDescent="0.2">
      <c r="AR2471">
        <v>2463</v>
      </c>
      <c r="AS2471">
        <v>645</v>
      </c>
      <c r="AT2471">
        <v>3</v>
      </c>
      <c r="AU2471">
        <v>8.8591083898089433</v>
      </c>
      <c r="AV2471">
        <v>3.2981389602747238E-59</v>
      </c>
    </row>
    <row r="2472" spans="44:48" x14ac:dyDescent="0.2">
      <c r="AR2472">
        <v>2464</v>
      </c>
      <c r="AS2472">
        <v>646</v>
      </c>
      <c r="AT2472">
        <v>3</v>
      </c>
      <c r="AU2472">
        <v>8.8900489211262919</v>
      </c>
      <c r="AV2472">
        <v>1.2292504281747708E-59</v>
      </c>
    </row>
    <row r="2473" spans="44:48" x14ac:dyDescent="0.2">
      <c r="AR2473">
        <v>2465</v>
      </c>
      <c r="AS2473">
        <v>647</v>
      </c>
      <c r="AT2473">
        <v>3</v>
      </c>
      <c r="AU2473">
        <v>8.9209894524436368</v>
      </c>
      <c r="AV2473">
        <v>4.5650315969072821E-60</v>
      </c>
    </row>
    <row r="2474" spans="44:48" x14ac:dyDescent="0.2">
      <c r="AR2474">
        <v>2466</v>
      </c>
      <c r="AS2474">
        <v>648</v>
      </c>
      <c r="AT2474">
        <v>3</v>
      </c>
      <c r="AU2474">
        <v>8.9519299837609818</v>
      </c>
      <c r="AV2474">
        <v>1.6891927495272951E-60</v>
      </c>
    </row>
    <row r="2475" spans="44:48" x14ac:dyDescent="0.2">
      <c r="AR2475">
        <v>2467</v>
      </c>
      <c r="AS2475">
        <v>649</v>
      </c>
      <c r="AT2475">
        <v>3</v>
      </c>
      <c r="AU2475">
        <v>8.9828705150783303</v>
      </c>
      <c r="AV2475">
        <v>6.2279717022538326E-61</v>
      </c>
    </row>
    <row r="2476" spans="44:48" x14ac:dyDescent="0.2">
      <c r="AR2476">
        <v>2468</v>
      </c>
      <c r="AS2476">
        <v>650</v>
      </c>
      <c r="AT2476">
        <v>3</v>
      </c>
      <c r="AU2476">
        <v>9.0138110463956753</v>
      </c>
      <c r="AV2476">
        <v>2.2879474946897311E-61</v>
      </c>
    </row>
    <row r="2477" spans="44:48" x14ac:dyDescent="0.2">
      <c r="AR2477">
        <v>2469</v>
      </c>
      <c r="AS2477">
        <v>651</v>
      </c>
      <c r="AT2477">
        <v>3</v>
      </c>
      <c r="AU2477">
        <v>9.0447515777130203</v>
      </c>
      <c r="AV2477">
        <v>8.3748585013405211E-62</v>
      </c>
    </row>
    <row r="2478" spans="44:48" x14ac:dyDescent="0.2">
      <c r="AR2478">
        <v>2470</v>
      </c>
      <c r="AS2478">
        <v>652</v>
      </c>
      <c r="AT2478">
        <v>3</v>
      </c>
      <c r="AU2478">
        <v>9.0756921090303688</v>
      </c>
      <c r="AV2478">
        <v>3.0545054445391325E-62</v>
      </c>
    </row>
    <row r="2479" spans="44:48" x14ac:dyDescent="0.2">
      <c r="AR2479">
        <v>2471</v>
      </c>
      <c r="AS2479">
        <v>653</v>
      </c>
      <c r="AT2479">
        <v>3</v>
      </c>
      <c r="AU2479">
        <v>9.1066326403477138</v>
      </c>
      <c r="AV2479">
        <v>1.1100341251370227E-62</v>
      </c>
    </row>
    <row r="2480" spans="44:48" x14ac:dyDescent="0.2">
      <c r="AR2480">
        <v>2472</v>
      </c>
      <c r="AS2480">
        <v>654</v>
      </c>
      <c r="AT2480">
        <v>3</v>
      </c>
      <c r="AU2480">
        <v>9.1375731716650588</v>
      </c>
      <c r="AV2480">
        <v>4.019423414607873E-63</v>
      </c>
    </row>
    <row r="2481" spans="44:48" x14ac:dyDescent="0.2">
      <c r="AR2481">
        <v>2473</v>
      </c>
      <c r="AS2481">
        <v>655</v>
      </c>
      <c r="AT2481">
        <v>3</v>
      </c>
      <c r="AU2481">
        <v>9.1685137029824073</v>
      </c>
      <c r="AV2481">
        <v>1.4501842601921577E-63</v>
      </c>
    </row>
    <row r="2482" spans="44:48" x14ac:dyDescent="0.2">
      <c r="AR2482">
        <v>2474</v>
      </c>
      <c r="AS2482">
        <v>656</v>
      </c>
      <c r="AT2482">
        <v>3</v>
      </c>
      <c r="AU2482">
        <v>9.1994542342997523</v>
      </c>
      <c r="AV2482">
        <v>5.2133228096704019E-64</v>
      </c>
    </row>
    <row r="2483" spans="44:48" x14ac:dyDescent="0.2">
      <c r="AR2483">
        <v>2475</v>
      </c>
      <c r="AS2483">
        <v>657</v>
      </c>
      <c r="AT2483">
        <v>3</v>
      </c>
      <c r="AU2483">
        <v>9.2303947656171008</v>
      </c>
      <c r="AV2483">
        <v>1.8674029851346229E-64</v>
      </c>
    </row>
    <row r="2484" spans="44:48" x14ac:dyDescent="0.2">
      <c r="AR2484">
        <v>2476</v>
      </c>
      <c r="AS2484">
        <v>658</v>
      </c>
      <c r="AT2484">
        <v>3</v>
      </c>
      <c r="AU2484">
        <v>9.2613352969344458</v>
      </c>
      <c r="AV2484">
        <v>6.6648975999897333E-65</v>
      </c>
    </row>
    <row r="2485" spans="44:48" x14ac:dyDescent="0.2">
      <c r="AR2485">
        <v>2477</v>
      </c>
      <c r="AS2485">
        <v>659</v>
      </c>
      <c r="AT2485">
        <v>3</v>
      </c>
      <c r="AU2485">
        <v>9.2922758282517908</v>
      </c>
      <c r="AV2485">
        <v>2.3701777397516089E-65</v>
      </c>
    </row>
    <row r="2486" spans="44:48" x14ac:dyDescent="0.2">
      <c r="AR2486">
        <v>2478</v>
      </c>
      <c r="AS2486">
        <v>660</v>
      </c>
      <c r="AT2486">
        <v>3</v>
      </c>
      <c r="AU2486">
        <v>9.3232163595691393</v>
      </c>
      <c r="AV2486">
        <v>8.3984733780788036E-66</v>
      </c>
    </row>
    <row r="2487" spans="44:48" x14ac:dyDescent="0.2">
      <c r="AR2487">
        <v>2479</v>
      </c>
      <c r="AS2487">
        <v>661</v>
      </c>
      <c r="AT2487">
        <v>3</v>
      </c>
      <c r="AU2487">
        <v>9.3541568908864843</v>
      </c>
      <c r="AV2487">
        <v>2.9651849419585266E-66</v>
      </c>
    </row>
    <row r="2488" spans="44:48" x14ac:dyDescent="0.2">
      <c r="AR2488">
        <v>2480</v>
      </c>
      <c r="AS2488">
        <v>662</v>
      </c>
      <c r="AT2488">
        <v>3</v>
      </c>
      <c r="AU2488">
        <v>9.3850974222038293</v>
      </c>
      <c r="AV2488">
        <v>1.0431222840043352E-66</v>
      </c>
    </row>
    <row r="2489" spans="44:48" x14ac:dyDescent="0.2">
      <c r="AR2489">
        <v>2481</v>
      </c>
      <c r="AS2489">
        <v>663</v>
      </c>
      <c r="AT2489">
        <v>3</v>
      </c>
      <c r="AU2489">
        <v>9.4160379535211778</v>
      </c>
      <c r="AV2489">
        <v>3.6563744176694468E-67</v>
      </c>
    </row>
    <row r="2490" spans="44:48" x14ac:dyDescent="0.2">
      <c r="AR2490">
        <v>2482</v>
      </c>
      <c r="AS2490">
        <v>664</v>
      </c>
      <c r="AT2490">
        <v>3</v>
      </c>
      <c r="AU2490">
        <v>9.4469784848385228</v>
      </c>
      <c r="AV2490">
        <v>1.2770211829043691E-67</v>
      </c>
    </row>
    <row r="2491" spans="44:48" x14ac:dyDescent="0.2">
      <c r="AR2491">
        <v>2483</v>
      </c>
      <c r="AS2491">
        <v>665</v>
      </c>
      <c r="AT2491">
        <v>3</v>
      </c>
      <c r="AU2491">
        <v>9.4779190161558713</v>
      </c>
      <c r="AV2491">
        <v>4.4440357307281685E-68</v>
      </c>
    </row>
    <row r="2492" spans="44:48" x14ac:dyDescent="0.2">
      <c r="AR2492">
        <v>2484</v>
      </c>
      <c r="AS2492">
        <v>666</v>
      </c>
      <c r="AT2492">
        <v>3</v>
      </c>
      <c r="AU2492">
        <v>9.5088595474732163</v>
      </c>
      <c r="AV2492">
        <v>1.5409515500899072E-68</v>
      </c>
    </row>
    <row r="2493" spans="44:48" x14ac:dyDescent="0.2">
      <c r="AR2493">
        <v>2485</v>
      </c>
      <c r="AS2493">
        <v>667</v>
      </c>
      <c r="AT2493">
        <v>3</v>
      </c>
      <c r="AU2493">
        <v>9.5398000787905612</v>
      </c>
      <c r="AV2493">
        <v>5.3239311096887951E-69</v>
      </c>
    </row>
    <row r="2494" spans="44:48" x14ac:dyDescent="0.2">
      <c r="AR2494">
        <v>2486</v>
      </c>
      <c r="AS2494">
        <v>668</v>
      </c>
      <c r="AT2494">
        <v>3</v>
      </c>
      <c r="AU2494">
        <v>9.5707406101079098</v>
      </c>
      <c r="AV2494">
        <v>1.8327695951903631E-69</v>
      </c>
    </row>
    <row r="2495" spans="44:48" x14ac:dyDescent="0.2">
      <c r="AR2495">
        <v>2487</v>
      </c>
      <c r="AS2495">
        <v>669</v>
      </c>
      <c r="AT2495">
        <v>3</v>
      </c>
      <c r="AU2495">
        <v>9.6016811414252548</v>
      </c>
      <c r="AV2495">
        <v>6.2865925999326437E-70</v>
      </c>
    </row>
    <row r="2496" spans="44:48" x14ac:dyDescent="0.2">
      <c r="AR2496">
        <v>2488</v>
      </c>
      <c r="AS2496">
        <v>670</v>
      </c>
      <c r="AT2496">
        <v>3</v>
      </c>
      <c r="AU2496">
        <v>9.6326216727425997</v>
      </c>
      <c r="AV2496">
        <v>2.1485960038303178E-70</v>
      </c>
    </row>
    <row r="2497" spans="44:48" x14ac:dyDescent="0.2">
      <c r="AR2497">
        <v>2489</v>
      </c>
      <c r="AS2497">
        <v>671</v>
      </c>
      <c r="AT2497">
        <v>3</v>
      </c>
      <c r="AU2497">
        <v>9.6635622040599483</v>
      </c>
      <c r="AV2497">
        <v>7.3168847008895727E-71</v>
      </c>
    </row>
    <row r="2498" spans="44:48" x14ac:dyDescent="0.2">
      <c r="AR2498">
        <v>2490</v>
      </c>
      <c r="AS2498">
        <v>672</v>
      </c>
      <c r="AT2498">
        <v>3</v>
      </c>
      <c r="AU2498">
        <v>9.6945027353772932</v>
      </c>
      <c r="AV2498">
        <v>2.4827309630490573E-71</v>
      </c>
    </row>
    <row r="2499" spans="44:48" x14ac:dyDescent="0.2">
      <c r="AR2499">
        <v>2491</v>
      </c>
      <c r="AS2499">
        <v>673</v>
      </c>
      <c r="AT2499">
        <v>3</v>
      </c>
      <c r="AU2499">
        <v>9.7254432666946382</v>
      </c>
      <c r="AV2499">
        <v>8.3939255074323321E-72</v>
      </c>
    </row>
    <row r="2500" spans="44:48" x14ac:dyDescent="0.2">
      <c r="AR2500">
        <v>2492</v>
      </c>
      <c r="AS2500">
        <v>674</v>
      </c>
      <c r="AT2500">
        <v>3</v>
      </c>
      <c r="AU2500">
        <v>9.7563837980119867</v>
      </c>
      <c r="AV2500">
        <v>2.8276949881143204E-72</v>
      </c>
    </row>
    <row r="2501" spans="44:48" x14ac:dyDescent="0.2">
      <c r="AR2501">
        <v>2493</v>
      </c>
      <c r="AS2501">
        <v>675</v>
      </c>
      <c r="AT2501">
        <v>3</v>
      </c>
      <c r="AU2501">
        <v>9.7873243293293317</v>
      </c>
      <c r="AV2501">
        <v>9.4914379879218832E-73</v>
      </c>
    </row>
    <row r="2502" spans="44:48" x14ac:dyDescent="0.2">
      <c r="AR2502">
        <v>2494</v>
      </c>
      <c r="AS2502">
        <v>676</v>
      </c>
      <c r="AT2502">
        <v>3</v>
      </c>
      <c r="AU2502">
        <v>9.8182648606466802</v>
      </c>
      <c r="AV2502">
        <v>3.1744132875075456E-73</v>
      </c>
    </row>
    <row r="2503" spans="44:48" x14ac:dyDescent="0.2">
      <c r="AR2503">
        <v>2495</v>
      </c>
      <c r="AS2503">
        <v>677</v>
      </c>
      <c r="AT2503">
        <v>3</v>
      </c>
      <c r="AU2503">
        <v>9.8492053919640252</v>
      </c>
      <c r="AV2503">
        <v>1.0578569002784088E-73</v>
      </c>
    </row>
    <row r="2504" spans="44:48" x14ac:dyDescent="0.2">
      <c r="AR2504">
        <v>2496</v>
      </c>
      <c r="AS2504">
        <v>678</v>
      </c>
      <c r="AT2504">
        <v>3</v>
      </c>
      <c r="AU2504">
        <v>9.8801459232813702</v>
      </c>
      <c r="AV2504">
        <v>3.5125489027352336E-74</v>
      </c>
    </row>
    <row r="2505" spans="44:48" x14ac:dyDescent="0.2">
      <c r="AR2505">
        <v>2497</v>
      </c>
      <c r="AS2505">
        <v>679</v>
      </c>
      <c r="AT2505">
        <v>3</v>
      </c>
      <c r="AU2505">
        <v>9.9110864545987187</v>
      </c>
      <c r="AV2505">
        <v>1.1621169525921255E-74</v>
      </c>
    </row>
    <row r="2506" spans="44:48" x14ac:dyDescent="0.2">
      <c r="AR2506">
        <v>2498</v>
      </c>
      <c r="AS2506">
        <v>680</v>
      </c>
      <c r="AT2506">
        <v>3</v>
      </c>
      <c r="AU2506">
        <v>9.9420269859160637</v>
      </c>
      <c r="AV2506">
        <v>3.8309747981460575E-75</v>
      </c>
    </row>
    <row r="2507" spans="44:48" x14ac:dyDescent="0.2">
      <c r="AR2507">
        <v>2499</v>
      </c>
      <c r="AS2507">
        <v>681</v>
      </c>
      <c r="AT2507">
        <v>3</v>
      </c>
      <c r="AU2507">
        <v>9.9729675172334087</v>
      </c>
      <c r="AV2507">
        <v>1.2583479751492706E-75</v>
      </c>
    </row>
    <row r="2508" spans="44:48" x14ac:dyDescent="0.2">
      <c r="AR2508">
        <v>2500</v>
      </c>
      <c r="AS2508">
        <v>682</v>
      </c>
      <c r="AT2508">
        <v>3</v>
      </c>
      <c r="AU2508">
        <v>10.003908048550757</v>
      </c>
      <c r="AV2508">
        <v>4.1183591302362269E-76</v>
      </c>
    </row>
    <row r="2509" spans="44:48" x14ac:dyDescent="0.2">
      <c r="AR2509">
        <v>2501</v>
      </c>
      <c r="AS2509">
        <v>683</v>
      </c>
      <c r="AT2509">
        <v>3</v>
      </c>
      <c r="AU2509">
        <v>10.034848579868102</v>
      </c>
      <c r="AV2509">
        <v>1.3430113326091124E-76</v>
      </c>
    </row>
    <row r="2510" spans="44:48" x14ac:dyDescent="0.2">
      <c r="AR2510">
        <v>2502</v>
      </c>
      <c r="AS2510">
        <v>684</v>
      </c>
      <c r="AT2510">
        <v>3</v>
      </c>
      <c r="AU2510">
        <v>10.065789111185447</v>
      </c>
      <c r="AV2510">
        <v>4.3638231359189574E-77</v>
      </c>
    </row>
    <row r="2511" spans="44:48" x14ac:dyDescent="0.2">
      <c r="AR2511">
        <v>2503</v>
      </c>
      <c r="AS2511">
        <v>685</v>
      </c>
      <c r="AT2511">
        <v>3</v>
      </c>
      <c r="AU2511">
        <v>10.096729642502796</v>
      </c>
      <c r="AV2511">
        <v>1.412819253749288E-77</v>
      </c>
    </row>
    <row r="2512" spans="44:48" x14ac:dyDescent="0.2">
      <c r="AR2512">
        <v>2504</v>
      </c>
      <c r="AS2512">
        <v>686</v>
      </c>
      <c r="AT2512">
        <v>3</v>
      </c>
      <c r="AU2512">
        <v>10.127670173820141</v>
      </c>
      <c r="AV2512">
        <v>4.5576195595462584E-78</v>
      </c>
    </row>
    <row r="2513" spans="44:48" x14ac:dyDescent="0.2">
      <c r="AR2513">
        <v>2505</v>
      </c>
      <c r="AS2513">
        <v>687</v>
      </c>
      <c r="AT2513">
        <v>3</v>
      </c>
      <c r="AU2513">
        <v>10.158610705137489</v>
      </c>
      <c r="AV2513">
        <v>1.464945732396822E-78</v>
      </c>
    </row>
    <row r="2514" spans="44:48" x14ac:dyDescent="0.2">
      <c r="AR2514">
        <v>2506</v>
      </c>
      <c r="AS2514">
        <v>688</v>
      </c>
      <c r="AT2514">
        <v>3</v>
      </c>
      <c r="AU2514">
        <v>10.189551236454834</v>
      </c>
      <c r="AV2514">
        <v>4.6917731415515387E-79</v>
      </c>
    </row>
    <row r="2515" spans="44:48" x14ac:dyDescent="0.2">
      <c r="AR2515">
        <v>2507</v>
      </c>
      <c r="AS2515">
        <v>689</v>
      </c>
      <c r="AT2515">
        <v>3</v>
      </c>
      <c r="AU2515">
        <v>10.220491767772179</v>
      </c>
      <c r="AV2515">
        <v>1.4972160490645258E-79</v>
      </c>
    </row>
    <row r="2516" spans="44:48" x14ac:dyDescent="0.2">
      <c r="AR2516">
        <v>2508</v>
      </c>
      <c r="AS2516">
        <v>690</v>
      </c>
      <c r="AT2516">
        <v>3</v>
      </c>
      <c r="AU2516">
        <v>10.251432299089528</v>
      </c>
      <c r="AV2516">
        <v>4.7606246825377121E-80</v>
      </c>
    </row>
    <row r="2517" spans="44:48" x14ac:dyDescent="0.2">
      <c r="AR2517">
        <v>2509</v>
      </c>
      <c r="AS2517">
        <v>691</v>
      </c>
      <c r="AT2517">
        <v>3</v>
      </c>
      <c r="AU2517">
        <v>10.282372830406873</v>
      </c>
      <c r="AV2517">
        <v>1.5082572282944796E-80</v>
      </c>
    </row>
    <row r="2518" spans="44:48" x14ac:dyDescent="0.2">
      <c r="AR2518">
        <v>2510</v>
      </c>
      <c r="AS2518">
        <v>692</v>
      </c>
      <c r="AT2518">
        <v>3</v>
      </c>
      <c r="AU2518">
        <v>10.313313361724218</v>
      </c>
      <c r="AV2518">
        <v>4.7612270016406949E-81</v>
      </c>
    </row>
    <row r="2519" spans="44:48" x14ac:dyDescent="0.2">
      <c r="AR2519">
        <v>2511</v>
      </c>
      <c r="AS2519">
        <v>693</v>
      </c>
      <c r="AT2519">
        <v>3</v>
      </c>
      <c r="AU2519">
        <v>10.344253893041566</v>
      </c>
      <c r="AV2519">
        <v>1.4975949316421365E-81</v>
      </c>
    </row>
    <row r="2520" spans="44:48" x14ac:dyDescent="0.2">
      <c r="AR2520">
        <v>2512</v>
      </c>
      <c r="AS2520">
        <v>694</v>
      </c>
      <c r="AT2520">
        <v>3</v>
      </c>
      <c r="AU2520">
        <v>10.375194424358911</v>
      </c>
      <c r="AV2520">
        <v>4.6935541906788522E-82</v>
      </c>
    </row>
    <row r="2521" spans="44:48" x14ac:dyDescent="0.2">
      <c r="AR2521">
        <v>2513</v>
      </c>
      <c r="AS2521">
        <v>695</v>
      </c>
      <c r="AT2521">
        <v>3</v>
      </c>
      <c r="AU2521">
        <v>10.406134955676256</v>
      </c>
      <c r="AV2521">
        <v>1.4656872588381436E-82</v>
      </c>
    </row>
    <row r="2522" spans="44:48" x14ac:dyDescent="0.2">
      <c r="AR2522">
        <v>2514</v>
      </c>
      <c r="AS2522">
        <v>696</v>
      </c>
      <c r="AT2522">
        <v>3</v>
      </c>
      <c r="AU2522">
        <v>10.437075486993605</v>
      </c>
      <c r="AV2522">
        <v>4.5605034626370134E-83</v>
      </c>
    </row>
    <row r="2523" spans="44:48" x14ac:dyDescent="0.2">
      <c r="AR2523">
        <v>2515</v>
      </c>
      <c r="AS2523">
        <v>697</v>
      </c>
      <c r="AT2523">
        <v>3</v>
      </c>
      <c r="AU2523">
        <v>10.46801601831095</v>
      </c>
      <c r="AV2523">
        <v>1.4138921010633473E-83</v>
      </c>
    </row>
    <row r="2524" spans="44:48" x14ac:dyDescent="0.2">
      <c r="AR2524">
        <v>2516</v>
      </c>
      <c r="AS2524">
        <v>698</v>
      </c>
      <c r="AT2524">
        <v>3</v>
      </c>
      <c r="AU2524">
        <v>10.498956549628298</v>
      </c>
      <c r="AV2524">
        <v>4.3676894107230887E-84</v>
      </c>
    </row>
    <row r="2525" spans="44:48" x14ac:dyDescent="0.2">
      <c r="AR2525">
        <v>2517</v>
      </c>
      <c r="AS2525">
        <v>699</v>
      </c>
      <c r="AT2525">
        <v>3</v>
      </c>
      <c r="AU2525">
        <v>10.529897080945643</v>
      </c>
      <c r="AV2525">
        <v>1.3443712880516474E-84</v>
      </c>
    </row>
    <row r="2526" spans="44:48" x14ac:dyDescent="0.2">
      <c r="AR2526">
        <v>2518</v>
      </c>
      <c r="AS2526">
        <v>700</v>
      </c>
      <c r="AT2526">
        <v>3</v>
      </c>
      <c r="AU2526">
        <v>10.560837612262988</v>
      </c>
      <c r="AV2526">
        <v>4.1230510353087535E-85</v>
      </c>
    </row>
    <row r="2527" spans="44:48" x14ac:dyDescent="0.2">
      <c r="AR2527">
        <v>2519</v>
      </c>
      <c r="AS2527">
        <v>701</v>
      </c>
      <c r="AT2527">
        <v>3</v>
      </c>
      <c r="AU2527">
        <v>10.591778143580337</v>
      </c>
      <c r="AV2527">
        <v>1.259940956619264E-85</v>
      </c>
    </row>
    <row r="2528" spans="44:48" x14ac:dyDescent="0.2">
      <c r="AR2528">
        <v>2520</v>
      </c>
      <c r="AS2528">
        <v>702</v>
      </c>
      <c r="AT2528">
        <v>3</v>
      </c>
      <c r="AU2528">
        <v>10.622718674897682</v>
      </c>
      <c r="AV2528">
        <v>3.8363098596153364E-86</v>
      </c>
    </row>
    <row r="2529" spans="44:48" x14ac:dyDescent="0.2">
      <c r="AR2529">
        <v>2521</v>
      </c>
      <c r="AS2529">
        <v>703</v>
      </c>
      <c r="AT2529">
        <v>3</v>
      </c>
      <c r="AU2529">
        <v>10.653659206215027</v>
      </c>
      <c r="AV2529">
        <v>1.163882567587774E-86</v>
      </c>
    </row>
    <row r="2530" spans="44:48" x14ac:dyDescent="0.2">
      <c r="AR2530">
        <v>2522</v>
      </c>
      <c r="AS2530">
        <v>704</v>
      </c>
      <c r="AT2530">
        <v>3</v>
      </c>
      <c r="AU2530">
        <v>10.684599737532375</v>
      </c>
      <c r="AV2530">
        <v>3.5183306371297239E-87</v>
      </c>
    </row>
    <row r="2531" spans="44:48" x14ac:dyDescent="0.2">
      <c r="AR2531">
        <v>2523</v>
      </c>
      <c r="AS2531">
        <v>705</v>
      </c>
      <c r="AT2531">
        <v>3</v>
      </c>
      <c r="AU2531">
        <v>10.71554026884972</v>
      </c>
      <c r="AV2531">
        <v>1.0597322179407459E-87</v>
      </c>
    </row>
    <row r="2532" spans="44:48" x14ac:dyDescent="0.2">
      <c r="AR2532">
        <v>2524</v>
      </c>
      <c r="AS2532">
        <v>706</v>
      </c>
      <c r="AT2532">
        <v>3</v>
      </c>
      <c r="AU2532">
        <v>10.746480800167065</v>
      </c>
      <c r="AV2532">
        <v>3.1804430761972825E-88</v>
      </c>
    </row>
    <row r="2533" spans="44:48" x14ac:dyDescent="0.2">
      <c r="AR2533">
        <v>2525</v>
      </c>
      <c r="AS2533">
        <v>707</v>
      </c>
      <c r="AT2533">
        <v>3</v>
      </c>
      <c r="AU2533">
        <v>10.777421331484414</v>
      </c>
      <c r="AV2533">
        <v>9.510670093903296E-89</v>
      </c>
    </row>
    <row r="2534" spans="44:48" x14ac:dyDescent="0.2">
      <c r="AR2534">
        <v>2526</v>
      </c>
      <c r="AS2534">
        <v>708</v>
      </c>
      <c r="AT2534">
        <v>3</v>
      </c>
      <c r="AU2534">
        <v>10.808361862801759</v>
      </c>
      <c r="AV2534">
        <v>2.8337831166272766E-89</v>
      </c>
    </row>
    <row r="2535" spans="44:48" x14ac:dyDescent="0.2">
      <c r="AR2535">
        <v>2527</v>
      </c>
      <c r="AS2535">
        <v>709</v>
      </c>
      <c r="AT2535">
        <v>3</v>
      </c>
      <c r="AU2535">
        <v>10.839302394119107</v>
      </c>
      <c r="AV2535">
        <v>8.4130622240475566E-90</v>
      </c>
    </row>
    <row r="2536" spans="44:48" x14ac:dyDescent="0.2">
      <c r="AR2536">
        <v>2528</v>
      </c>
      <c r="AS2536">
        <v>710</v>
      </c>
      <c r="AT2536">
        <v>3</v>
      </c>
      <c r="AU2536">
        <v>10.870242925436452</v>
      </c>
      <c r="AV2536">
        <v>2.4887059994310749E-90</v>
      </c>
    </row>
    <row r="2537" spans="44:48" x14ac:dyDescent="0.2">
      <c r="AR2537">
        <v>2529</v>
      </c>
      <c r="AS2537">
        <v>711</v>
      </c>
      <c r="AT2537">
        <v>3</v>
      </c>
      <c r="AU2537">
        <v>10.901183456753797</v>
      </c>
      <c r="AV2537">
        <v>7.3354217663251468E-91</v>
      </c>
    </row>
    <row r="2538" spans="44:48" x14ac:dyDescent="0.2">
      <c r="AR2538">
        <v>2530</v>
      </c>
      <c r="AS2538">
        <v>712</v>
      </c>
      <c r="AT2538">
        <v>3</v>
      </c>
      <c r="AU2538">
        <v>10.932123988071146</v>
      </c>
      <c r="AV2538">
        <v>2.1543119261498898E-91</v>
      </c>
    </row>
    <row r="2539" spans="44:48" x14ac:dyDescent="0.2">
      <c r="AR2539">
        <v>2531</v>
      </c>
      <c r="AS2539">
        <v>713</v>
      </c>
      <c r="AT2539">
        <v>3</v>
      </c>
      <c r="AU2539">
        <v>10.963064519388491</v>
      </c>
      <c r="AV2539">
        <v>6.3041143605167483E-92</v>
      </c>
    </row>
    <row r="2540" spans="44:48" x14ac:dyDescent="0.2">
      <c r="AR2540">
        <v>2532</v>
      </c>
      <c r="AS2540">
        <v>714</v>
      </c>
      <c r="AT2540">
        <v>3</v>
      </c>
      <c r="AU2540">
        <v>10.994005050705836</v>
      </c>
      <c r="AV2540">
        <v>1.8381103536439572E-92</v>
      </c>
    </row>
    <row r="2541" spans="44:48" x14ac:dyDescent="0.2">
      <c r="AR2541">
        <v>2533</v>
      </c>
      <c r="AS2541">
        <v>715</v>
      </c>
      <c r="AT2541">
        <v>3</v>
      </c>
      <c r="AU2541">
        <v>11.024945582023184</v>
      </c>
      <c r="AV2541">
        <v>5.3401207941164514E-93</v>
      </c>
    </row>
    <row r="2542" spans="44:48" x14ac:dyDescent="0.2">
      <c r="AR2542">
        <v>2534</v>
      </c>
      <c r="AS2542">
        <v>716</v>
      </c>
      <c r="AT2542">
        <v>3</v>
      </c>
      <c r="AU2542">
        <v>11.055886113340529</v>
      </c>
      <c r="AV2542">
        <v>1.545833026483879E-93</v>
      </c>
    </row>
    <row r="2543" spans="44:48" x14ac:dyDescent="0.2">
      <c r="AR2543">
        <v>2535</v>
      </c>
      <c r="AS2543">
        <v>717</v>
      </c>
      <c r="AT2543">
        <v>3</v>
      </c>
      <c r="AU2543">
        <v>11.086826644657878</v>
      </c>
      <c r="AV2543">
        <v>4.4586777366286724E-94</v>
      </c>
    </row>
    <row r="2544" spans="44:48" x14ac:dyDescent="0.2">
      <c r="AR2544">
        <v>2536</v>
      </c>
      <c r="AS2544">
        <v>718</v>
      </c>
      <c r="AT2544">
        <v>3</v>
      </c>
      <c r="AU2544">
        <v>11.117767175975223</v>
      </c>
      <c r="AV2544">
        <v>1.2813907563166752E-94</v>
      </c>
    </row>
    <row r="2545" spans="44:48" x14ac:dyDescent="0.2">
      <c r="AR2545">
        <v>2537</v>
      </c>
      <c r="AS2545">
        <v>719</v>
      </c>
      <c r="AT2545">
        <v>3</v>
      </c>
      <c r="AU2545">
        <v>11.148707707292568</v>
      </c>
      <c r="AV2545">
        <v>3.6693495966034491E-95</v>
      </c>
    </row>
    <row r="2546" spans="44:48" x14ac:dyDescent="0.2">
      <c r="AR2546">
        <v>2538</v>
      </c>
      <c r="AS2546">
        <v>720</v>
      </c>
      <c r="AT2546">
        <v>3</v>
      </c>
      <c r="AU2546">
        <v>11.179648238609916</v>
      </c>
      <c r="AV2546">
        <v>1.0469564010996799E-95</v>
      </c>
    </row>
    <row r="2547" spans="44:48" x14ac:dyDescent="0.2">
      <c r="AR2547">
        <v>2539</v>
      </c>
      <c r="AS2547">
        <v>721</v>
      </c>
      <c r="AT2547">
        <v>3</v>
      </c>
      <c r="AU2547">
        <v>11.210588769927261</v>
      </c>
      <c r="AV2547">
        <v>2.9764603607361986E-96</v>
      </c>
    </row>
    <row r="2548" spans="44:48" x14ac:dyDescent="0.2">
      <c r="AR2548">
        <v>2540</v>
      </c>
      <c r="AS2548">
        <v>722</v>
      </c>
      <c r="AT2548">
        <v>3</v>
      </c>
      <c r="AU2548">
        <v>11.241529301244606</v>
      </c>
      <c r="AV2548">
        <v>8.4314760554286555E-97</v>
      </c>
    </row>
    <row r="2549" spans="44:48" x14ac:dyDescent="0.2">
      <c r="AR2549">
        <v>2541</v>
      </c>
      <c r="AS2549">
        <v>723</v>
      </c>
      <c r="AT2549">
        <v>3</v>
      </c>
      <c r="AU2549">
        <v>11.272469832561955</v>
      </c>
      <c r="AV2549">
        <v>2.3797926561697454E-97</v>
      </c>
    </row>
    <row r="2550" spans="44:48" x14ac:dyDescent="0.2">
      <c r="AR2550">
        <v>2542</v>
      </c>
      <c r="AS2550">
        <v>724</v>
      </c>
      <c r="AT2550">
        <v>3</v>
      </c>
      <c r="AU2550">
        <v>11.3034103638793</v>
      </c>
      <c r="AV2550">
        <v>6.6927812441567853E-98</v>
      </c>
    </row>
    <row r="2551" spans="44:48" x14ac:dyDescent="0.2">
      <c r="AR2551">
        <v>2543</v>
      </c>
      <c r="AS2551">
        <v>725</v>
      </c>
      <c r="AT2551">
        <v>3</v>
      </c>
      <c r="AU2551">
        <v>11.334350895196645</v>
      </c>
      <c r="AV2551">
        <v>1.8754528125222723E-98</v>
      </c>
    </row>
    <row r="2552" spans="44:48" x14ac:dyDescent="0.2">
      <c r="AR2552">
        <v>2544</v>
      </c>
      <c r="AS2552">
        <v>726</v>
      </c>
      <c r="AT2552">
        <v>3</v>
      </c>
      <c r="AU2552">
        <v>11.365291426513993</v>
      </c>
      <c r="AV2552">
        <v>5.2364583557994608E-99</v>
      </c>
    </row>
    <row r="2553" spans="44:48" x14ac:dyDescent="0.2">
      <c r="AR2553">
        <v>2545</v>
      </c>
      <c r="AS2553">
        <v>727</v>
      </c>
      <c r="AT2553">
        <v>3</v>
      </c>
      <c r="AU2553">
        <v>11.396231957831338</v>
      </c>
      <c r="AV2553">
        <v>1.456804142593237E-99</v>
      </c>
    </row>
    <row r="2554" spans="44:48" x14ac:dyDescent="0.2">
      <c r="AR2554">
        <v>2546</v>
      </c>
      <c r="AS2554">
        <v>728</v>
      </c>
      <c r="AT2554">
        <v>3</v>
      </c>
      <c r="AU2554">
        <v>11.427172489148687</v>
      </c>
      <c r="AV2554">
        <v>4.038282366898704E-100</v>
      </c>
    </row>
    <row r="2555" spans="44:48" x14ac:dyDescent="0.2">
      <c r="AR2555">
        <v>2547</v>
      </c>
      <c r="AS2555">
        <v>729</v>
      </c>
      <c r="AT2555">
        <v>3</v>
      </c>
      <c r="AU2555">
        <v>11.458113020466032</v>
      </c>
      <c r="AV2555">
        <v>1.1153834564905924E-100</v>
      </c>
    </row>
    <row r="2556" spans="44:48" x14ac:dyDescent="0.2">
      <c r="AR2556">
        <v>2548</v>
      </c>
      <c r="AS2556">
        <v>730</v>
      </c>
      <c r="AT2556">
        <v>3</v>
      </c>
      <c r="AU2556">
        <v>11.489053551783377</v>
      </c>
      <c r="AV2556">
        <v>3.069613639422215E-101</v>
      </c>
    </row>
    <row r="2557" spans="44:48" x14ac:dyDescent="0.2">
      <c r="AR2557">
        <v>2549</v>
      </c>
      <c r="AS2557">
        <v>731</v>
      </c>
      <c r="AT2557">
        <v>3</v>
      </c>
      <c r="AU2557">
        <v>11.519994083100725</v>
      </c>
      <c r="AV2557">
        <v>8.417347063237047E-102</v>
      </c>
    </row>
    <row r="2558" spans="44:48" x14ac:dyDescent="0.2">
      <c r="AR2558">
        <v>2550</v>
      </c>
      <c r="AS2558">
        <v>732</v>
      </c>
      <c r="AT2558">
        <v>3</v>
      </c>
      <c r="AU2558">
        <v>11.55093461441807</v>
      </c>
      <c r="AV2558">
        <v>2.2998459879335329E-102</v>
      </c>
    </row>
    <row r="2559" spans="44:48" x14ac:dyDescent="0.2">
      <c r="AR2559">
        <v>2551</v>
      </c>
      <c r="AS2559">
        <v>733</v>
      </c>
      <c r="AT2559">
        <v>3</v>
      </c>
      <c r="AU2559">
        <v>11.581875145735415</v>
      </c>
      <c r="AV2559">
        <v>6.2611523969784323E-103</v>
      </c>
    </row>
    <row r="2560" spans="44:48" x14ac:dyDescent="0.2">
      <c r="AR2560">
        <v>2552</v>
      </c>
      <c r="AS2560">
        <v>734</v>
      </c>
      <c r="AT2560">
        <v>3</v>
      </c>
      <c r="AU2560">
        <v>11.612815677052764</v>
      </c>
      <c r="AV2560">
        <v>1.6984070997410036E-103</v>
      </c>
    </row>
    <row r="2561" spans="44:48" x14ac:dyDescent="0.2">
      <c r="AR2561">
        <v>2553</v>
      </c>
      <c r="AS2561">
        <v>735</v>
      </c>
      <c r="AT2561">
        <v>3</v>
      </c>
      <c r="AU2561">
        <v>11.643756208370108</v>
      </c>
      <c r="AV2561">
        <v>4.5905140370010156E-104</v>
      </c>
    </row>
    <row r="2562" spans="44:48" x14ac:dyDescent="0.2">
      <c r="AR2562">
        <v>2554</v>
      </c>
      <c r="AS2562">
        <v>736</v>
      </c>
      <c r="AT2562">
        <v>3</v>
      </c>
      <c r="AU2562">
        <v>11.674696739687453</v>
      </c>
      <c r="AV2562">
        <v>1.2362686150372066E-104</v>
      </c>
    </row>
    <row r="2563" spans="44:48" x14ac:dyDescent="0.2">
      <c r="AR2563">
        <v>2555</v>
      </c>
      <c r="AS2563">
        <v>737</v>
      </c>
      <c r="AT2563">
        <v>3</v>
      </c>
      <c r="AU2563">
        <v>11.705637271004802</v>
      </c>
      <c r="AV2563">
        <v>3.3173887648585674E-105</v>
      </c>
    </row>
    <row r="2564" spans="44:48" x14ac:dyDescent="0.2">
      <c r="AR2564">
        <v>2556</v>
      </c>
      <c r="AS2564">
        <v>738</v>
      </c>
      <c r="AT2564">
        <v>3</v>
      </c>
      <c r="AU2564">
        <v>11.736577802322147</v>
      </c>
      <c r="AV2564">
        <v>8.8697605590147003E-106</v>
      </c>
    </row>
    <row r="2565" spans="44:48" x14ac:dyDescent="0.2">
      <c r="AR2565">
        <v>2557</v>
      </c>
      <c r="AS2565">
        <v>739</v>
      </c>
      <c r="AT2565">
        <v>3</v>
      </c>
      <c r="AU2565">
        <v>11.767518333639496</v>
      </c>
      <c r="AV2565">
        <v>2.3629766163312201E-106</v>
      </c>
    </row>
    <row r="2566" spans="44:48" x14ac:dyDescent="0.2">
      <c r="AR2566">
        <v>2558</v>
      </c>
      <c r="AS2566">
        <v>740</v>
      </c>
      <c r="AT2566">
        <v>3</v>
      </c>
      <c r="AU2566">
        <v>11.79845886495684</v>
      </c>
      <c r="AV2566">
        <v>6.2724752006970733E-107</v>
      </c>
    </row>
    <row r="2567" spans="44:48" x14ac:dyDescent="0.2">
      <c r="AR2567">
        <v>2559</v>
      </c>
      <c r="AS2567">
        <v>741</v>
      </c>
      <c r="AT2567">
        <v>3</v>
      </c>
      <c r="AU2567">
        <v>11.829399396274185</v>
      </c>
      <c r="AV2567">
        <v>1.6590156508634283E-107</v>
      </c>
    </row>
    <row r="2568" spans="44:48" x14ac:dyDescent="0.2">
      <c r="AR2568">
        <v>2560</v>
      </c>
      <c r="AS2568">
        <v>742</v>
      </c>
      <c r="AT2568">
        <v>3</v>
      </c>
      <c r="AU2568">
        <v>11.860339927591534</v>
      </c>
      <c r="AV2568">
        <v>4.3721395412620998E-108</v>
      </c>
    </row>
    <row r="2569" spans="44:48" x14ac:dyDescent="0.2">
      <c r="AR2569">
        <v>2561</v>
      </c>
      <c r="AS2569">
        <v>743</v>
      </c>
      <c r="AT2569">
        <v>3</v>
      </c>
      <c r="AU2569">
        <v>11.891280458908879</v>
      </c>
      <c r="AV2569">
        <v>1.148073114988245E-108</v>
      </c>
    </row>
    <row r="2570" spans="44:48" x14ac:dyDescent="0.2">
      <c r="AR2570">
        <v>2562</v>
      </c>
      <c r="AS2570">
        <v>744</v>
      </c>
      <c r="AT2570">
        <v>3</v>
      </c>
      <c r="AU2570">
        <v>11.922220990226224</v>
      </c>
      <c r="AV2570">
        <v>3.0038419676367336E-109</v>
      </c>
    </row>
    <row r="2571" spans="44:48" x14ac:dyDescent="0.2">
      <c r="AR2571">
        <v>2563</v>
      </c>
      <c r="AS2571">
        <v>745</v>
      </c>
      <c r="AT2571">
        <v>3</v>
      </c>
      <c r="AU2571">
        <v>11.953161521543572</v>
      </c>
      <c r="AV2571">
        <v>7.8309890291155643E-110</v>
      </c>
    </row>
    <row r="2572" spans="44:48" x14ac:dyDescent="0.2">
      <c r="AR2572">
        <v>2564</v>
      </c>
      <c r="AS2572">
        <v>746</v>
      </c>
      <c r="AT2572">
        <v>3</v>
      </c>
      <c r="AU2572">
        <v>11.984102052860917</v>
      </c>
      <c r="AV2572">
        <v>2.0341742461665928E-110</v>
      </c>
    </row>
    <row r="2573" spans="44:48" x14ac:dyDescent="0.2">
      <c r="AR2573">
        <v>2565</v>
      </c>
      <c r="AS2573">
        <v>747</v>
      </c>
      <c r="AT2573">
        <v>3</v>
      </c>
      <c r="AU2573">
        <v>12.015042584178262</v>
      </c>
      <c r="AV2573">
        <v>5.2649189369439917E-111</v>
      </c>
    </row>
    <row r="2574" spans="44:48" x14ac:dyDescent="0.2">
      <c r="AR2574">
        <v>2566</v>
      </c>
      <c r="AS2574">
        <v>748</v>
      </c>
      <c r="AT2574">
        <v>3</v>
      </c>
      <c r="AU2574">
        <v>12.045983115495611</v>
      </c>
      <c r="AV2574">
        <v>1.3577731843232297E-111</v>
      </c>
    </row>
    <row r="2575" spans="44:48" x14ac:dyDescent="0.2">
      <c r="AR2575">
        <v>2567</v>
      </c>
      <c r="AS2575">
        <v>749</v>
      </c>
      <c r="AT2575">
        <v>3</v>
      </c>
      <c r="AU2575">
        <v>12.076923646812956</v>
      </c>
      <c r="AV2575">
        <v>3.4889501699807684E-112</v>
      </c>
    </row>
    <row r="2576" spans="44:48" x14ac:dyDescent="0.2">
      <c r="AR2576">
        <v>2568</v>
      </c>
      <c r="AS2576">
        <v>750</v>
      </c>
      <c r="AT2576">
        <v>3</v>
      </c>
      <c r="AU2576">
        <v>12.107864178130304</v>
      </c>
      <c r="AV2576">
        <v>8.9329377493969182E-113</v>
      </c>
    </row>
    <row r="2577" spans="44:48" x14ac:dyDescent="0.2">
      <c r="AR2577">
        <v>2569</v>
      </c>
      <c r="AS2577">
        <v>751</v>
      </c>
      <c r="AT2577">
        <v>3</v>
      </c>
      <c r="AU2577">
        <v>12.138804709447649</v>
      </c>
      <c r="AV2577">
        <v>2.2789030491300794E-113</v>
      </c>
    </row>
    <row r="2578" spans="44:48" x14ac:dyDescent="0.2">
      <c r="AR2578">
        <v>2570</v>
      </c>
      <c r="AS2578">
        <v>752</v>
      </c>
      <c r="AT2578">
        <v>3</v>
      </c>
      <c r="AU2578">
        <v>12.169745240764994</v>
      </c>
      <c r="AV2578">
        <v>5.7928114458744599E-114</v>
      </c>
    </row>
    <row r="2579" spans="44:48" x14ac:dyDescent="0.2">
      <c r="AR2579">
        <v>2571</v>
      </c>
      <c r="AS2579">
        <v>753</v>
      </c>
      <c r="AT2579">
        <v>3</v>
      </c>
      <c r="AU2579">
        <v>12.200685772082343</v>
      </c>
      <c r="AV2579">
        <v>1.4671851979618062E-114</v>
      </c>
    </row>
    <row r="2580" spans="44:48" x14ac:dyDescent="0.2">
      <c r="AR2580">
        <v>2572</v>
      </c>
      <c r="AS2580">
        <v>754</v>
      </c>
      <c r="AT2580">
        <v>3</v>
      </c>
      <c r="AU2580">
        <v>12.231626303399688</v>
      </c>
      <c r="AV2580">
        <v>3.7026484725776707E-115</v>
      </c>
    </row>
    <row r="2581" spans="44:48" x14ac:dyDescent="0.2">
      <c r="AR2581">
        <v>2573</v>
      </c>
      <c r="AS2581">
        <v>755</v>
      </c>
      <c r="AT2581">
        <v>3</v>
      </c>
      <c r="AU2581">
        <v>12.262566834717033</v>
      </c>
      <c r="AV2581">
        <v>9.3104790874521018E-116</v>
      </c>
    </row>
    <row r="2582" spans="44:48" x14ac:dyDescent="0.2">
      <c r="AR2582">
        <v>2574</v>
      </c>
      <c r="AS2582">
        <v>756</v>
      </c>
      <c r="AT2582">
        <v>3</v>
      </c>
      <c r="AU2582">
        <v>12.293507366034381</v>
      </c>
      <c r="AV2582">
        <v>2.3327251773293893E-116</v>
      </c>
    </row>
    <row r="2583" spans="44:48" x14ac:dyDescent="0.2">
      <c r="AR2583">
        <v>2575</v>
      </c>
      <c r="AS2583">
        <v>757</v>
      </c>
      <c r="AT2583">
        <v>3</v>
      </c>
      <c r="AU2583">
        <v>12.324447897351726</v>
      </c>
      <c r="AV2583">
        <v>5.8235408436056129E-117</v>
      </c>
    </row>
    <row r="2584" spans="44:48" x14ac:dyDescent="0.2">
      <c r="AR2584">
        <v>2576</v>
      </c>
      <c r="AS2584">
        <v>758</v>
      </c>
      <c r="AT2584">
        <v>3</v>
      </c>
      <c r="AU2584">
        <v>12.355388428669071</v>
      </c>
      <c r="AV2584">
        <v>1.4485806375927591E-117</v>
      </c>
    </row>
    <row r="2585" spans="44:48" x14ac:dyDescent="0.2">
      <c r="AR2585">
        <v>2577</v>
      </c>
      <c r="AS2585">
        <v>759</v>
      </c>
      <c r="AT2585">
        <v>3</v>
      </c>
      <c r="AU2585">
        <v>12.38632895998642</v>
      </c>
      <c r="AV2585">
        <v>3.5902957687909539E-118</v>
      </c>
    </row>
    <row r="2586" spans="44:48" x14ac:dyDescent="0.2">
      <c r="AR2586">
        <v>2578</v>
      </c>
      <c r="AS2586">
        <v>760</v>
      </c>
      <c r="AT2586">
        <v>3</v>
      </c>
      <c r="AU2586">
        <v>12.417269491303765</v>
      </c>
      <c r="AV2586">
        <v>8.8664502133661478E-119</v>
      </c>
    </row>
    <row r="2587" spans="44:48" x14ac:dyDescent="0.2">
      <c r="AR2587">
        <v>2579</v>
      </c>
      <c r="AS2587">
        <v>761</v>
      </c>
      <c r="AT2587">
        <v>3</v>
      </c>
      <c r="AU2587">
        <v>12.448210022621113</v>
      </c>
      <c r="AV2587">
        <v>2.1817316578009318E-119</v>
      </c>
    </row>
    <row r="2588" spans="44:48" x14ac:dyDescent="0.2">
      <c r="AR2588">
        <v>2580</v>
      </c>
      <c r="AS2588">
        <v>762</v>
      </c>
      <c r="AT2588">
        <v>3</v>
      </c>
      <c r="AU2588">
        <v>12.479150553938458</v>
      </c>
      <c r="AV2588">
        <v>5.3491513776441203E-120</v>
      </c>
    </row>
    <row r="2589" spans="44:48" x14ac:dyDescent="0.2">
      <c r="AR2589">
        <v>2581</v>
      </c>
      <c r="AS2589">
        <v>763</v>
      </c>
      <c r="AT2589">
        <v>3</v>
      </c>
      <c r="AU2589">
        <v>12.510091085255803</v>
      </c>
      <c r="AV2589">
        <v>1.3067738776841837E-120</v>
      </c>
    </row>
    <row r="2590" spans="44:48" x14ac:dyDescent="0.2">
      <c r="AR2590">
        <v>2582</v>
      </c>
      <c r="AS2590">
        <v>764</v>
      </c>
      <c r="AT2590">
        <v>3</v>
      </c>
      <c r="AU2590">
        <v>12.541031616573152</v>
      </c>
      <c r="AV2590">
        <v>3.1808852450040588E-121</v>
      </c>
    </row>
    <row r="2591" spans="44:48" x14ac:dyDescent="0.2">
      <c r="AR2591">
        <v>2583</v>
      </c>
      <c r="AS2591">
        <v>765</v>
      </c>
      <c r="AT2591">
        <v>3</v>
      </c>
      <c r="AU2591">
        <v>12.571972147890497</v>
      </c>
      <c r="AV2591">
        <v>7.7148513057531336E-122</v>
      </c>
    </row>
    <row r="2592" spans="44:48" x14ac:dyDescent="0.2">
      <c r="AR2592">
        <v>2584</v>
      </c>
      <c r="AS2592">
        <v>766</v>
      </c>
      <c r="AT2592">
        <v>3</v>
      </c>
      <c r="AU2592">
        <v>12.602912679207842</v>
      </c>
      <c r="AV2592">
        <v>1.8644001086111996E-122</v>
      </c>
    </row>
    <row r="2593" spans="44:48" x14ac:dyDescent="0.2">
      <c r="AR2593">
        <v>2585</v>
      </c>
      <c r="AS2593">
        <v>767</v>
      </c>
      <c r="AT2593">
        <v>3</v>
      </c>
      <c r="AU2593">
        <v>12.63385321052519</v>
      </c>
      <c r="AV2593">
        <v>4.4893418853201534E-123</v>
      </c>
    </row>
    <row r="2594" spans="44:48" x14ac:dyDescent="0.2">
      <c r="AR2594">
        <v>2586</v>
      </c>
      <c r="AS2594">
        <v>768</v>
      </c>
      <c r="AT2594">
        <v>3</v>
      </c>
      <c r="AU2594">
        <v>12.664793741842535</v>
      </c>
      <c r="AV2594">
        <v>1.0771054967932859E-123</v>
      </c>
    </row>
    <row r="2595" spans="44:48" x14ac:dyDescent="0.2">
      <c r="AR2595">
        <v>2587</v>
      </c>
      <c r="AS2595">
        <v>769</v>
      </c>
      <c r="AT2595">
        <v>3</v>
      </c>
      <c r="AU2595">
        <v>12.69573427315988</v>
      </c>
      <c r="AV2595">
        <v>2.5749322422162718E-124</v>
      </c>
    </row>
    <row r="2596" spans="44:48" x14ac:dyDescent="0.2">
      <c r="AR2596">
        <v>2588</v>
      </c>
      <c r="AS2596">
        <v>770</v>
      </c>
      <c r="AT2596">
        <v>3</v>
      </c>
      <c r="AU2596">
        <v>12.726674804477229</v>
      </c>
      <c r="AV2596">
        <v>6.1334576313831053E-125</v>
      </c>
    </row>
    <row r="2597" spans="44:48" x14ac:dyDescent="0.2">
      <c r="AR2597">
        <v>2589</v>
      </c>
      <c r="AS2597">
        <v>771</v>
      </c>
      <c r="AT2597">
        <v>3</v>
      </c>
      <c r="AU2597">
        <v>12.757615335794574</v>
      </c>
      <c r="AV2597">
        <v>1.4557169372967357E-125</v>
      </c>
    </row>
    <row r="2598" spans="44:48" x14ac:dyDescent="0.2">
      <c r="AR2598">
        <v>2590</v>
      </c>
      <c r="AS2598">
        <v>772</v>
      </c>
      <c r="AT2598">
        <v>3</v>
      </c>
      <c r="AU2598">
        <v>12.788555867111922</v>
      </c>
      <c r="AV2598">
        <v>3.4425519418006746E-126</v>
      </c>
    </row>
    <row r="2599" spans="44:48" x14ac:dyDescent="0.2">
      <c r="AR2599">
        <v>2591</v>
      </c>
      <c r="AS2599">
        <v>773</v>
      </c>
      <c r="AT2599">
        <v>3</v>
      </c>
      <c r="AU2599">
        <v>12.819496398429267</v>
      </c>
      <c r="AV2599">
        <v>8.1117782417251663E-127</v>
      </c>
    </row>
    <row r="2600" spans="44:48" x14ac:dyDescent="0.2">
      <c r="AR2600">
        <v>2592</v>
      </c>
      <c r="AS2600">
        <v>774</v>
      </c>
      <c r="AT2600">
        <v>3</v>
      </c>
      <c r="AU2600">
        <v>12.850436929746612</v>
      </c>
      <c r="AV2600">
        <v>1.9045116713238986E-127</v>
      </c>
    </row>
    <row r="2601" spans="44:48" x14ac:dyDescent="0.2">
      <c r="AR2601">
        <v>2593</v>
      </c>
      <c r="AS2601">
        <v>775</v>
      </c>
      <c r="AT2601">
        <v>3</v>
      </c>
      <c r="AU2601">
        <v>12.881377461063961</v>
      </c>
      <c r="AV2601">
        <v>4.4553641770736028E-128</v>
      </c>
    </row>
    <row r="2602" spans="44:48" x14ac:dyDescent="0.2">
      <c r="AR2602">
        <v>2594</v>
      </c>
      <c r="AS2602">
        <v>776</v>
      </c>
      <c r="AT2602">
        <v>3</v>
      </c>
      <c r="AU2602">
        <v>12.912317992381306</v>
      </c>
      <c r="AV2602">
        <v>1.0385197974293531E-128</v>
      </c>
    </row>
    <row r="2603" spans="44:48" x14ac:dyDescent="0.2">
      <c r="AR2603">
        <v>2595</v>
      </c>
      <c r="AS2603">
        <v>777</v>
      </c>
      <c r="AT2603">
        <v>3</v>
      </c>
      <c r="AU2603">
        <v>12.943258523698651</v>
      </c>
      <c r="AV2603">
        <v>2.4120058259736284E-129</v>
      </c>
    </row>
    <row r="2604" spans="44:48" x14ac:dyDescent="0.2">
      <c r="AR2604">
        <v>2596</v>
      </c>
      <c r="AS2604">
        <v>778</v>
      </c>
      <c r="AT2604">
        <v>3</v>
      </c>
      <c r="AU2604">
        <v>12.974199055015999</v>
      </c>
      <c r="AV2604">
        <v>5.5817955634310196E-130</v>
      </c>
    </row>
    <row r="2605" spans="44:48" x14ac:dyDescent="0.2">
      <c r="AR2605">
        <v>2597</v>
      </c>
      <c r="AS2605">
        <v>779</v>
      </c>
      <c r="AT2605">
        <v>3</v>
      </c>
      <c r="AU2605">
        <v>13.005139586333344</v>
      </c>
      <c r="AV2605">
        <v>1.2870680246193853E-130</v>
      </c>
    </row>
    <row r="2606" spans="44:48" x14ac:dyDescent="0.2">
      <c r="AR2606">
        <v>2598</v>
      </c>
      <c r="AS2606">
        <v>780</v>
      </c>
      <c r="AT2606">
        <v>3</v>
      </c>
      <c r="AU2606">
        <v>13.036080117650693</v>
      </c>
      <c r="AV2606">
        <v>2.9570664031729222E-131</v>
      </c>
    </row>
    <row r="2607" spans="44:48" x14ac:dyDescent="0.2">
      <c r="AR2607">
        <v>2599</v>
      </c>
      <c r="AS2607">
        <v>781</v>
      </c>
      <c r="AT2607">
        <v>3</v>
      </c>
      <c r="AU2607">
        <v>13.067020648968038</v>
      </c>
      <c r="AV2607">
        <v>6.7694386123849039E-132</v>
      </c>
    </row>
    <row r="2608" spans="44:48" x14ac:dyDescent="0.2">
      <c r="AR2608">
        <v>2600</v>
      </c>
      <c r="AS2608">
        <v>782</v>
      </c>
      <c r="AT2608">
        <v>3</v>
      </c>
      <c r="AU2608">
        <v>13.097961180285383</v>
      </c>
      <c r="AV2608">
        <v>1.5441028787554168E-132</v>
      </c>
    </row>
    <row r="2609" spans="44:48" x14ac:dyDescent="0.2">
      <c r="AR2609">
        <v>2601</v>
      </c>
      <c r="AS2609">
        <v>783</v>
      </c>
      <c r="AT2609">
        <v>3</v>
      </c>
      <c r="AU2609">
        <v>13.128901711602731</v>
      </c>
      <c r="AV2609">
        <v>3.5093914382528263E-133</v>
      </c>
    </row>
    <row r="2610" spans="44:48" x14ac:dyDescent="0.2">
      <c r="AR2610">
        <v>2602</v>
      </c>
      <c r="AS2610">
        <v>784</v>
      </c>
      <c r="AT2610">
        <v>3</v>
      </c>
      <c r="AU2610">
        <v>13.159842242920076</v>
      </c>
      <c r="AV2610">
        <v>7.9472960764409987E-134</v>
      </c>
    </row>
    <row r="2611" spans="44:48" x14ac:dyDescent="0.2">
      <c r="AR2611">
        <v>2603</v>
      </c>
      <c r="AS2611">
        <v>785</v>
      </c>
      <c r="AT2611">
        <v>3</v>
      </c>
      <c r="AU2611">
        <v>13.190782774237421</v>
      </c>
      <c r="AV2611">
        <v>1.7932423007307575E-134</v>
      </c>
    </row>
    <row r="2612" spans="44:48" x14ac:dyDescent="0.2">
      <c r="AR2612">
        <v>2604</v>
      </c>
      <c r="AS2612">
        <v>786</v>
      </c>
      <c r="AT2612">
        <v>3</v>
      </c>
      <c r="AU2612">
        <v>13.22172330555477</v>
      </c>
      <c r="AV2612">
        <v>4.0317218094597958E-135</v>
      </c>
    </row>
    <row r="2613" spans="44:48" x14ac:dyDescent="0.2">
      <c r="AR2613">
        <v>2605</v>
      </c>
      <c r="AS2613">
        <v>787</v>
      </c>
      <c r="AT2613">
        <v>3</v>
      </c>
      <c r="AU2613">
        <v>13.252663836872115</v>
      </c>
      <c r="AV2613">
        <v>9.031796469157139E-136</v>
      </c>
    </row>
    <row r="2614" spans="44:48" x14ac:dyDescent="0.2">
      <c r="AR2614">
        <v>2606</v>
      </c>
      <c r="AS2614">
        <v>788</v>
      </c>
      <c r="AT2614">
        <v>3</v>
      </c>
      <c r="AU2614">
        <v>13.28360436818946</v>
      </c>
      <c r="AV2614">
        <v>2.0159962859578039E-136</v>
      </c>
    </row>
    <row r="2615" spans="44:48" x14ac:dyDescent="0.2">
      <c r="AR2615">
        <v>2607</v>
      </c>
      <c r="AS2615">
        <v>789</v>
      </c>
      <c r="AT2615">
        <v>3</v>
      </c>
      <c r="AU2615">
        <v>13.314544899506808</v>
      </c>
      <c r="AV2615">
        <v>4.4837079250602637E-137</v>
      </c>
    </row>
    <row r="2616" spans="44:48" x14ac:dyDescent="0.2">
      <c r="AR2616">
        <v>2608</v>
      </c>
      <c r="AS2616">
        <v>790</v>
      </c>
      <c r="AT2616">
        <v>3</v>
      </c>
      <c r="AU2616">
        <v>13.345485430824153</v>
      </c>
      <c r="AV2616">
        <v>9.9361216974854128E-138</v>
      </c>
    </row>
    <row r="2617" spans="44:48" x14ac:dyDescent="0.2">
      <c r="AR2617">
        <v>2609</v>
      </c>
      <c r="AS2617">
        <v>791</v>
      </c>
      <c r="AT2617">
        <v>3</v>
      </c>
      <c r="AU2617">
        <v>13.376425962141502</v>
      </c>
      <c r="AV2617">
        <v>2.1939589177192636E-138</v>
      </c>
    </row>
    <row r="2618" spans="44:48" x14ac:dyDescent="0.2">
      <c r="AR2618">
        <v>2610</v>
      </c>
      <c r="AS2618">
        <v>792</v>
      </c>
      <c r="AT2618">
        <v>3</v>
      </c>
      <c r="AU2618">
        <v>13.407366493458847</v>
      </c>
      <c r="AV2618">
        <v>4.826942008951059E-139</v>
      </c>
    </row>
    <row r="2619" spans="44:48" x14ac:dyDescent="0.2">
      <c r="AR2619">
        <v>2611</v>
      </c>
      <c r="AS2619">
        <v>793</v>
      </c>
      <c r="AT2619">
        <v>3</v>
      </c>
      <c r="AU2619">
        <v>13.438307024776192</v>
      </c>
      <c r="AV2619">
        <v>1.0581510629645057E-139</v>
      </c>
    </row>
    <row r="2620" spans="44:48" x14ac:dyDescent="0.2">
      <c r="AR2620">
        <v>2612</v>
      </c>
      <c r="AS2620">
        <v>794</v>
      </c>
      <c r="AT2620">
        <v>3</v>
      </c>
      <c r="AU2620">
        <v>13.46924755609354</v>
      </c>
      <c r="AV2620">
        <v>2.3112943893425724E-140</v>
      </c>
    </row>
    <row r="2621" spans="44:48" x14ac:dyDescent="0.2">
      <c r="AR2621">
        <v>2613</v>
      </c>
      <c r="AS2621">
        <v>795</v>
      </c>
      <c r="AT2621">
        <v>3</v>
      </c>
      <c r="AU2621">
        <v>13.500188087410885</v>
      </c>
      <c r="AV2621">
        <v>5.03031126055966E-141</v>
      </c>
    </row>
    <row r="2622" spans="44:48" x14ac:dyDescent="0.2">
      <c r="AR2622">
        <v>2614</v>
      </c>
      <c r="AS2622">
        <v>796</v>
      </c>
      <c r="AT2622">
        <v>3</v>
      </c>
      <c r="AU2622">
        <v>13.53112861872823</v>
      </c>
      <c r="AV2622">
        <v>1.0908535607286552E-141</v>
      </c>
    </row>
    <row r="2623" spans="44:48" x14ac:dyDescent="0.2">
      <c r="AR2623">
        <v>2615</v>
      </c>
      <c r="AS2623">
        <v>797</v>
      </c>
      <c r="AT2623">
        <v>3</v>
      </c>
      <c r="AU2623">
        <v>13.562069150045579</v>
      </c>
      <c r="AV2623">
        <v>2.357056807579093E-142</v>
      </c>
    </row>
    <row r="2624" spans="44:48" x14ac:dyDescent="0.2">
      <c r="AR2624">
        <v>2616</v>
      </c>
      <c r="AS2624">
        <v>798</v>
      </c>
      <c r="AT2624">
        <v>3</v>
      </c>
      <c r="AU2624">
        <v>13.593009681362924</v>
      </c>
      <c r="AV2624">
        <v>5.0746447723009102E-143</v>
      </c>
    </row>
    <row r="2625" spans="44:48" x14ac:dyDescent="0.2">
      <c r="AR2625">
        <v>2617</v>
      </c>
      <c r="AS2625">
        <v>799</v>
      </c>
      <c r="AT2625">
        <v>3</v>
      </c>
      <c r="AU2625">
        <v>13.623950212680269</v>
      </c>
      <c r="AV2625">
        <v>1.0886123205240197E-143</v>
      </c>
    </row>
    <row r="2626" spans="44:48" x14ac:dyDescent="0.2">
      <c r="AR2626">
        <v>2618</v>
      </c>
      <c r="AS2626">
        <v>800</v>
      </c>
      <c r="AT2626">
        <v>3</v>
      </c>
      <c r="AU2626">
        <v>13.654890743997617</v>
      </c>
      <c r="AV2626">
        <v>2.3268738812528587E-144</v>
      </c>
    </row>
    <row r="2627" spans="44:48" x14ac:dyDescent="0.2">
      <c r="AR2627">
        <v>2619</v>
      </c>
      <c r="AS2627">
        <v>801</v>
      </c>
      <c r="AT2627">
        <v>3</v>
      </c>
      <c r="AU2627">
        <v>13.685831275314962</v>
      </c>
      <c r="AV2627">
        <v>4.9556935824397522E-145</v>
      </c>
    </row>
    <row r="2628" spans="44:48" x14ac:dyDescent="0.2">
      <c r="AR2628">
        <v>2620</v>
      </c>
      <c r="AS2628">
        <v>802</v>
      </c>
      <c r="AT2628">
        <v>3</v>
      </c>
      <c r="AU2628">
        <v>13.716771806632311</v>
      </c>
      <c r="AV2628">
        <v>1.0516423026014325E-145</v>
      </c>
    </row>
    <row r="2629" spans="44:48" x14ac:dyDescent="0.2">
      <c r="AR2629">
        <v>2621</v>
      </c>
      <c r="AS2629">
        <v>803</v>
      </c>
      <c r="AT2629">
        <v>3</v>
      </c>
      <c r="AU2629">
        <v>13.747712337949656</v>
      </c>
      <c r="AV2629">
        <v>2.2236357643036516E-146</v>
      </c>
    </row>
    <row r="2630" spans="44:48" x14ac:dyDescent="0.2">
      <c r="AR2630">
        <v>2622</v>
      </c>
      <c r="AS2630">
        <v>804</v>
      </c>
      <c r="AT2630">
        <v>3</v>
      </c>
      <c r="AU2630">
        <v>13.778652869267001</v>
      </c>
      <c r="AV2630">
        <v>4.6848021542776287E-147</v>
      </c>
    </row>
    <row r="2631" spans="44:48" x14ac:dyDescent="0.2">
      <c r="AR2631">
        <v>2623</v>
      </c>
      <c r="AS2631">
        <v>805</v>
      </c>
      <c r="AT2631">
        <v>3</v>
      </c>
      <c r="AU2631">
        <v>13.809593400584349</v>
      </c>
      <c r="AV2631">
        <v>9.8344677430834172E-148</v>
      </c>
    </row>
    <row r="2632" spans="44:48" x14ac:dyDescent="0.2">
      <c r="AR2632">
        <v>2624</v>
      </c>
      <c r="AS2632">
        <v>806</v>
      </c>
      <c r="AT2632">
        <v>3</v>
      </c>
      <c r="AU2632">
        <v>13.840533931901694</v>
      </c>
      <c r="AV2632">
        <v>2.0570387210918972E-148</v>
      </c>
    </row>
    <row r="2633" spans="44:48" x14ac:dyDescent="0.2">
      <c r="AR2633">
        <v>2625</v>
      </c>
      <c r="AS2633">
        <v>807</v>
      </c>
      <c r="AT2633">
        <v>3</v>
      </c>
      <c r="AU2633">
        <v>13.871474463219039</v>
      </c>
      <c r="AV2633">
        <v>4.2871242906818452E-149</v>
      </c>
    </row>
    <row r="2634" spans="44:48" x14ac:dyDescent="0.2">
      <c r="AR2634">
        <v>2626</v>
      </c>
      <c r="AS2634">
        <v>808</v>
      </c>
      <c r="AT2634">
        <v>3</v>
      </c>
      <c r="AU2634">
        <v>13.902414994536388</v>
      </c>
      <c r="AV2634">
        <v>8.9026988651282571E-150</v>
      </c>
    </row>
    <row r="2635" spans="44:48" x14ac:dyDescent="0.2">
      <c r="AR2635">
        <v>2627</v>
      </c>
      <c r="AS2635">
        <v>809</v>
      </c>
      <c r="AT2635">
        <v>3</v>
      </c>
      <c r="AU2635">
        <v>13.933355525853733</v>
      </c>
      <c r="AV2635">
        <v>1.8420834203260929E-150</v>
      </c>
    </row>
    <row r="2636" spans="44:48" x14ac:dyDescent="0.2">
      <c r="AR2636">
        <v>2628</v>
      </c>
      <c r="AS2636">
        <v>810</v>
      </c>
      <c r="AT2636">
        <v>3</v>
      </c>
      <c r="AU2636">
        <v>13.964296057171078</v>
      </c>
      <c r="AV2636">
        <v>3.7977721468691778E-151</v>
      </c>
    </row>
    <row r="2637" spans="44:48" x14ac:dyDescent="0.2">
      <c r="AR2637">
        <v>2629</v>
      </c>
      <c r="AS2637">
        <v>811</v>
      </c>
      <c r="AT2637">
        <v>3</v>
      </c>
      <c r="AU2637">
        <v>13.995236588488426</v>
      </c>
      <c r="AV2637">
        <v>7.801543197006621E-152</v>
      </c>
    </row>
    <row r="2638" spans="44:48" x14ac:dyDescent="0.2">
      <c r="AR2638">
        <v>2630</v>
      </c>
      <c r="AS2638">
        <v>812</v>
      </c>
      <c r="AT2638">
        <v>3</v>
      </c>
      <c r="AU2638">
        <v>14.026177119805771</v>
      </c>
      <c r="AV2638">
        <v>1.5968500314687114E-152</v>
      </c>
    </row>
    <row r="2639" spans="44:48" x14ac:dyDescent="0.2">
      <c r="AR2639">
        <v>2631</v>
      </c>
      <c r="AS2639">
        <v>813</v>
      </c>
      <c r="AT2639">
        <v>3</v>
      </c>
      <c r="AU2639">
        <v>14.05711765112312</v>
      </c>
      <c r="AV2639">
        <v>3.2567149367723546E-153</v>
      </c>
    </row>
    <row r="2640" spans="44:48" x14ac:dyDescent="0.2">
      <c r="AR2640">
        <v>2632</v>
      </c>
      <c r="AS2640">
        <v>814</v>
      </c>
      <c r="AT2640">
        <v>3</v>
      </c>
      <c r="AU2640">
        <v>14.088058182440465</v>
      </c>
      <c r="AV2640">
        <v>6.6180091314698121E-154</v>
      </c>
    </row>
    <row r="2641" spans="44:48" x14ac:dyDescent="0.2">
      <c r="AR2641">
        <v>2633</v>
      </c>
      <c r="AS2641">
        <v>815</v>
      </c>
      <c r="AT2641">
        <v>3</v>
      </c>
      <c r="AU2641">
        <v>14.11899871375781</v>
      </c>
      <c r="AV2641">
        <v>1.3400067290886909E-154</v>
      </c>
    </row>
    <row r="2642" spans="44:48" x14ac:dyDescent="0.2">
      <c r="AR2642">
        <v>2634</v>
      </c>
      <c r="AS2642">
        <v>816</v>
      </c>
      <c r="AT2642">
        <v>3</v>
      </c>
      <c r="AU2642">
        <v>14.149939245075158</v>
      </c>
      <c r="AV2642">
        <v>2.7034515928089306E-155</v>
      </c>
    </row>
    <row r="2643" spans="44:48" x14ac:dyDescent="0.2">
      <c r="AR2643">
        <v>2635</v>
      </c>
      <c r="AS2643">
        <v>817</v>
      </c>
      <c r="AT2643">
        <v>3</v>
      </c>
      <c r="AU2643">
        <v>14.180879776392503</v>
      </c>
      <c r="AV2643">
        <v>5.4345328364630287E-156</v>
      </c>
    </row>
    <row r="2644" spans="44:48" x14ac:dyDescent="0.2">
      <c r="AR2644">
        <v>2636</v>
      </c>
      <c r="AS2644">
        <v>818</v>
      </c>
      <c r="AT2644">
        <v>3</v>
      </c>
      <c r="AU2644">
        <v>14.211820307709848</v>
      </c>
      <c r="AV2644">
        <v>1.0885235714474272E-156</v>
      </c>
    </row>
    <row r="2645" spans="44:48" x14ac:dyDescent="0.2">
      <c r="AR2645">
        <v>2637</v>
      </c>
      <c r="AS2645">
        <v>819</v>
      </c>
      <c r="AT2645">
        <v>3</v>
      </c>
      <c r="AU2645">
        <v>14.242760839027197</v>
      </c>
      <c r="AV2645">
        <v>2.1724283407731131E-157</v>
      </c>
    </row>
    <row r="2646" spans="44:48" x14ac:dyDescent="0.2">
      <c r="AR2646">
        <v>2638</v>
      </c>
      <c r="AS2646">
        <v>820</v>
      </c>
      <c r="AT2646">
        <v>3</v>
      </c>
      <c r="AU2646">
        <v>14.273701370344542</v>
      </c>
      <c r="AV2646">
        <v>4.320013290262293E-158</v>
      </c>
    </row>
    <row r="2647" spans="44:48" x14ac:dyDescent="0.2">
      <c r="AR2647">
        <v>2639</v>
      </c>
      <c r="AS2647">
        <v>821</v>
      </c>
      <c r="AT2647">
        <v>3</v>
      </c>
      <c r="AU2647">
        <v>14.304641901661887</v>
      </c>
      <c r="AV2647">
        <v>8.5596638006297505E-159</v>
      </c>
    </row>
    <row r="2648" spans="44:48" x14ac:dyDescent="0.2">
      <c r="AR2648">
        <v>2640</v>
      </c>
      <c r="AS2648">
        <v>822</v>
      </c>
      <c r="AT2648">
        <v>3</v>
      </c>
      <c r="AU2648">
        <v>14.335582432979235</v>
      </c>
      <c r="AV2648">
        <v>1.6898973798295451E-159</v>
      </c>
    </row>
    <row r="2649" spans="44:48" x14ac:dyDescent="0.2">
      <c r="AR2649">
        <v>2641</v>
      </c>
      <c r="AS2649">
        <v>823</v>
      </c>
      <c r="AT2649">
        <v>3</v>
      </c>
      <c r="AU2649">
        <v>14.36652296429658</v>
      </c>
      <c r="AV2649">
        <v>3.3242674655251018E-160</v>
      </c>
    </row>
    <row r="2650" spans="44:48" x14ac:dyDescent="0.2">
      <c r="AR2650">
        <v>2642</v>
      </c>
      <c r="AS2650">
        <v>824</v>
      </c>
      <c r="AT2650">
        <v>3</v>
      </c>
      <c r="AU2650">
        <v>14.397463495613929</v>
      </c>
      <c r="AV2650">
        <v>6.5157376116728999E-161</v>
      </c>
    </row>
    <row r="2651" spans="44:48" x14ac:dyDescent="0.2">
      <c r="AR2651">
        <v>2643</v>
      </c>
      <c r="AS2651">
        <v>825</v>
      </c>
      <c r="AT2651">
        <v>3</v>
      </c>
      <c r="AU2651">
        <v>14.428404026931274</v>
      </c>
      <c r="AV2651">
        <v>1.2725158953579609E-161</v>
      </c>
    </row>
    <row r="2652" spans="44:48" x14ac:dyDescent="0.2">
      <c r="AR2652">
        <v>2644</v>
      </c>
      <c r="AS2652">
        <v>826</v>
      </c>
      <c r="AT2652">
        <v>3</v>
      </c>
      <c r="AU2652">
        <v>14.459344558248619</v>
      </c>
      <c r="AV2652">
        <v>2.4762520385475624E-162</v>
      </c>
    </row>
    <row r="2653" spans="44:48" x14ac:dyDescent="0.2">
      <c r="AR2653">
        <v>2645</v>
      </c>
      <c r="AS2653">
        <v>827</v>
      </c>
      <c r="AT2653">
        <v>3</v>
      </c>
      <c r="AU2653">
        <v>14.490285089565967</v>
      </c>
      <c r="AV2653">
        <v>4.8012959594140574E-163</v>
      </c>
    </row>
    <row r="2654" spans="44:48" x14ac:dyDescent="0.2">
      <c r="AR2654">
        <v>2646</v>
      </c>
      <c r="AS2654">
        <v>828</v>
      </c>
      <c r="AT2654">
        <v>3</v>
      </c>
      <c r="AU2654">
        <v>14.521225620883312</v>
      </c>
      <c r="AV2654">
        <v>9.2758583904517669E-164</v>
      </c>
    </row>
    <row r="2655" spans="44:48" x14ac:dyDescent="0.2">
      <c r="AR2655">
        <v>2647</v>
      </c>
      <c r="AS2655">
        <v>829</v>
      </c>
      <c r="AT2655">
        <v>3</v>
      </c>
      <c r="AU2655">
        <v>14.552166152200657</v>
      </c>
      <c r="AV2655">
        <v>1.7855899938110429E-164</v>
      </c>
    </row>
    <row r="2656" spans="44:48" x14ac:dyDescent="0.2">
      <c r="AR2656">
        <v>2648</v>
      </c>
      <c r="AS2656">
        <v>830</v>
      </c>
      <c r="AT2656">
        <v>3</v>
      </c>
      <c r="AU2656">
        <v>14.583106683518006</v>
      </c>
      <c r="AV2656">
        <v>3.4248486054828901E-165</v>
      </c>
    </row>
    <row r="2657" spans="44:48" x14ac:dyDescent="0.2">
      <c r="AR2657">
        <v>2649</v>
      </c>
      <c r="AS2657">
        <v>831</v>
      </c>
      <c r="AT2657">
        <v>3</v>
      </c>
      <c r="AU2657">
        <v>14.614047214835351</v>
      </c>
      <c r="AV2657">
        <v>6.5453521073861822E-166</v>
      </c>
    </row>
    <row r="2658" spans="44:48" x14ac:dyDescent="0.2">
      <c r="AR2658">
        <v>2650</v>
      </c>
      <c r="AS2658">
        <v>832</v>
      </c>
      <c r="AT2658">
        <v>3</v>
      </c>
      <c r="AU2658">
        <v>14.644987746152699</v>
      </c>
      <c r="AV2658">
        <v>1.2463977363709812E-166</v>
      </c>
    </row>
    <row r="2659" spans="44:48" x14ac:dyDescent="0.2">
      <c r="AR2659">
        <v>2651</v>
      </c>
      <c r="AS2659">
        <v>833</v>
      </c>
      <c r="AT2659">
        <v>3</v>
      </c>
      <c r="AU2659">
        <v>14.675928277470044</v>
      </c>
      <c r="AV2659">
        <v>2.3648973245614904E-167</v>
      </c>
    </row>
    <row r="2660" spans="44:48" x14ac:dyDescent="0.2">
      <c r="AR2660">
        <v>2652</v>
      </c>
      <c r="AS2660">
        <v>834</v>
      </c>
      <c r="AT2660">
        <v>3</v>
      </c>
      <c r="AU2660">
        <v>14.706868808787389</v>
      </c>
      <c r="AV2660">
        <v>4.4709511989023517E-168</v>
      </c>
    </row>
    <row r="2661" spans="44:48" x14ac:dyDescent="0.2">
      <c r="AR2661">
        <v>2653</v>
      </c>
      <c r="AS2661">
        <v>835</v>
      </c>
      <c r="AT2661">
        <v>3</v>
      </c>
      <c r="AU2661">
        <v>14.737809340104738</v>
      </c>
      <c r="AV2661">
        <v>8.4220840303163617E-169</v>
      </c>
    </row>
    <row r="2662" spans="44:48" x14ac:dyDescent="0.2">
      <c r="AR2662">
        <v>2654</v>
      </c>
      <c r="AS2662">
        <v>836</v>
      </c>
      <c r="AT2662">
        <v>3</v>
      </c>
      <c r="AU2662">
        <v>14.768749871422083</v>
      </c>
      <c r="AV2662">
        <v>1.5807791975193205E-169</v>
      </c>
    </row>
    <row r="2663" spans="44:48" x14ac:dyDescent="0.2">
      <c r="AR2663">
        <v>2655</v>
      </c>
      <c r="AS2663">
        <v>837</v>
      </c>
      <c r="AT2663">
        <v>3</v>
      </c>
      <c r="AU2663">
        <v>14.799690402739428</v>
      </c>
      <c r="AV2663">
        <v>2.9563432379660153E-170</v>
      </c>
    </row>
    <row r="2664" spans="44:48" x14ac:dyDescent="0.2">
      <c r="AR2664">
        <v>2656</v>
      </c>
      <c r="AS2664">
        <v>838</v>
      </c>
      <c r="AT2664">
        <v>3</v>
      </c>
      <c r="AU2664">
        <v>14.830630934056776</v>
      </c>
      <c r="AV2664">
        <v>5.5089711681255281E-171</v>
      </c>
    </row>
    <row r="2665" spans="44:48" x14ac:dyDescent="0.2">
      <c r="AR2665">
        <v>2657</v>
      </c>
      <c r="AS2665">
        <v>839</v>
      </c>
      <c r="AT2665">
        <v>3</v>
      </c>
      <c r="AU2665">
        <v>14.861571465374121</v>
      </c>
      <c r="AV2665">
        <v>1.022864591437076E-171</v>
      </c>
    </row>
    <row r="2666" spans="44:48" x14ac:dyDescent="0.2">
      <c r="AR2666">
        <v>2658</v>
      </c>
      <c r="AS2666">
        <v>840</v>
      </c>
      <c r="AT2666">
        <v>3</v>
      </c>
      <c r="AU2666">
        <v>14.892511996691466</v>
      </c>
      <c r="AV2666">
        <v>1.8923339954944639E-172</v>
      </c>
    </row>
    <row r="2667" spans="44:48" x14ac:dyDescent="0.2">
      <c r="AR2667">
        <v>2659</v>
      </c>
      <c r="AS2667">
        <v>841</v>
      </c>
      <c r="AT2667">
        <v>3</v>
      </c>
      <c r="AU2667">
        <v>14.923452528008815</v>
      </c>
      <c r="AV2667">
        <v>3.4882647495601062E-173</v>
      </c>
    </row>
    <row r="2668" spans="44:48" x14ac:dyDescent="0.2">
      <c r="AR2668">
        <v>2660</v>
      </c>
      <c r="AS2668">
        <v>842</v>
      </c>
      <c r="AT2668">
        <v>3</v>
      </c>
      <c r="AU2668">
        <v>14.95439305932616</v>
      </c>
      <c r="AV2668">
        <v>6.4069758678247579E-174</v>
      </c>
    </row>
    <row r="2669" spans="44:48" x14ac:dyDescent="0.2">
      <c r="AR2669">
        <v>2661</v>
      </c>
      <c r="AS2669">
        <v>843</v>
      </c>
      <c r="AT2669">
        <v>3</v>
      </c>
      <c r="AU2669">
        <v>14.985333590643508</v>
      </c>
      <c r="AV2669">
        <v>1.1725428920626276E-174</v>
      </c>
    </row>
    <row r="2670" spans="44:48" x14ac:dyDescent="0.2">
      <c r="AR2670">
        <v>2662</v>
      </c>
      <c r="AS2670">
        <v>844</v>
      </c>
      <c r="AT2670">
        <v>3</v>
      </c>
      <c r="AU2670">
        <v>15.016274121960853</v>
      </c>
      <c r="AV2670">
        <v>2.1381412373701824E-175</v>
      </c>
    </row>
    <row r="2671" spans="44:48" x14ac:dyDescent="0.2">
      <c r="AR2671">
        <v>2663</v>
      </c>
      <c r="AS2671">
        <v>845</v>
      </c>
      <c r="AT2671">
        <v>3</v>
      </c>
      <c r="AU2671">
        <v>15.047214653278198</v>
      </c>
      <c r="AV2671">
        <v>3.8848659889977101E-176</v>
      </c>
    </row>
    <row r="2672" spans="44:48" x14ac:dyDescent="0.2">
      <c r="AR2672">
        <v>2664</v>
      </c>
      <c r="AS2672">
        <v>846</v>
      </c>
      <c r="AT2672">
        <v>3</v>
      </c>
      <c r="AU2672">
        <v>15.078155184595547</v>
      </c>
      <c r="AV2672">
        <v>7.0331146285770167E-177</v>
      </c>
    </row>
    <row r="2673" spans="44:48" x14ac:dyDescent="0.2">
      <c r="AR2673">
        <v>2665</v>
      </c>
      <c r="AS2673">
        <v>847</v>
      </c>
      <c r="AT2673">
        <v>3</v>
      </c>
      <c r="AU2673">
        <v>15.109095715912892</v>
      </c>
      <c r="AV2673">
        <v>1.2686778297890157E-177</v>
      </c>
    </row>
    <row r="2674" spans="44:48" x14ac:dyDescent="0.2">
      <c r="AR2674">
        <v>2666</v>
      </c>
      <c r="AS2674">
        <v>848</v>
      </c>
      <c r="AT2674">
        <v>3</v>
      </c>
      <c r="AU2674">
        <v>15.140036247230237</v>
      </c>
      <c r="AV2674">
        <v>2.2802738489426559E-178</v>
      </c>
    </row>
    <row r="2675" spans="44:48" x14ac:dyDescent="0.2">
      <c r="AR2675">
        <v>2667</v>
      </c>
      <c r="AS2675">
        <v>849</v>
      </c>
      <c r="AT2675">
        <v>3</v>
      </c>
      <c r="AU2675">
        <v>15.170976778547585</v>
      </c>
      <c r="AV2675">
        <v>4.0837078394276602E-179</v>
      </c>
    </row>
    <row r="2676" spans="44:48" x14ac:dyDescent="0.2">
      <c r="AR2676">
        <v>2668</v>
      </c>
      <c r="AS2676">
        <v>850</v>
      </c>
      <c r="AT2676">
        <v>3</v>
      </c>
      <c r="AU2676">
        <v>15.20191730986493</v>
      </c>
      <c r="AV2676">
        <v>7.2870931681362533E-180</v>
      </c>
    </row>
    <row r="2677" spans="44:48" x14ac:dyDescent="0.2">
      <c r="AR2677">
        <v>2669</v>
      </c>
      <c r="AS2677">
        <v>851</v>
      </c>
      <c r="AT2677">
        <v>3</v>
      </c>
      <c r="AU2677">
        <v>15.232857841182275</v>
      </c>
      <c r="AV2677">
        <v>1.2956448756258965E-180</v>
      </c>
    </row>
    <row r="2678" spans="44:48" x14ac:dyDescent="0.2">
      <c r="AR2678">
        <v>2670</v>
      </c>
      <c r="AS2678">
        <v>852</v>
      </c>
      <c r="AT2678">
        <v>3</v>
      </c>
      <c r="AU2678">
        <v>15.263798372499624</v>
      </c>
      <c r="AV2678">
        <v>2.295353833539463E-181</v>
      </c>
    </row>
    <row r="2679" spans="44:48" x14ac:dyDescent="0.2">
      <c r="AR2679">
        <v>2671</v>
      </c>
      <c r="AS2679">
        <v>853</v>
      </c>
      <c r="AT2679">
        <v>3</v>
      </c>
      <c r="AU2679">
        <v>15.294738903816969</v>
      </c>
      <c r="AV2679">
        <v>4.051774849425318E-182</v>
      </c>
    </row>
    <row r="2680" spans="44:48" x14ac:dyDescent="0.2">
      <c r="AR2680">
        <v>2672</v>
      </c>
      <c r="AS2680">
        <v>854</v>
      </c>
      <c r="AT2680">
        <v>3</v>
      </c>
      <c r="AU2680">
        <v>15.325679435134317</v>
      </c>
      <c r="AV2680">
        <v>7.1264454867731983E-183</v>
      </c>
    </row>
    <row r="2681" spans="44:48" x14ac:dyDescent="0.2">
      <c r="AR2681">
        <v>2673</v>
      </c>
      <c r="AS2681">
        <v>855</v>
      </c>
      <c r="AT2681">
        <v>3</v>
      </c>
      <c r="AU2681">
        <v>15.356619966451662</v>
      </c>
      <c r="AV2681">
        <v>1.2489142808578014E-183</v>
      </c>
    </row>
    <row r="2682" spans="44:48" x14ac:dyDescent="0.2">
      <c r="AR2682">
        <v>2674</v>
      </c>
      <c r="AS2682">
        <v>856</v>
      </c>
      <c r="AT2682">
        <v>3</v>
      </c>
      <c r="AU2682">
        <v>15.387560497769007</v>
      </c>
      <c r="AV2682">
        <v>2.180842474856344E-184</v>
      </c>
    </row>
    <row r="2683" spans="44:48" x14ac:dyDescent="0.2">
      <c r="AR2683">
        <v>2675</v>
      </c>
      <c r="AS2683">
        <v>857</v>
      </c>
      <c r="AT2683">
        <v>3</v>
      </c>
      <c r="AU2683">
        <v>15.418501029086356</v>
      </c>
      <c r="AV2683">
        <v>3.7944423917844128E-185</v>
      </c>
    </row>
    <row r="2684" spans="44:48" x14ac:dyDescent="0.2">
      <c r="AR2684">
        <v>2676</v>
      </c>
      <c r="AS2684">
        <v>858</v>
      </c>
      <c r="AT2684">
        <v>3</v>
      </c>
      <c r="AU2684">
        <v>15.449441560403701</v>
      </c>
      <c r="AV2684">
        <v>6.5781478648738111E-186</v>
      </c>
    </row>
    <row r="2685" spans="44:48" x14ac:dyDescent="0.2">
      <c r="AR2685">
        <v>2677</v>
      </c>
      <c r="AS2685">
        <v>859</v>
      </c>
      <c r="AT2685">
        <v>3</v>
      </c>
      <c r="AU2685">
        <v>15.480382091721046</v>
      </c>
      <c r="AV2685">
        <v>1.1362955355479557E-186</v>
      </c>
    </row>
    <row r="2686" spans="44:48" x14ac:dyDescent="0.2">
      <c r="AR2686">
        <v>2678</v>
      </c>
      <c r="AS2686">
        <v>860</v>
      </c>
      <c r="AT2686">
        <v>3</v>
      </c>
      <c r="AU2686">
        <v>15.511322623038394</v>
      </c>
      <c r="AV2686">
        <v>1.9557393342949553E-187</v>
      </c>
    </row>
    <row r="2687" spans="44:48" x14ac:dyDescent="0.2">
      <c r="AR2687">
        <v>2679</v>
      </c>
      <c r="AS2687">
        <v>861</v>
      </c>
      <c r="AT2687">
        <v>3</v>
      </c>
      <c r="AU2687">
        <v>15.542263154355739</v>
      </c>
      <c r="AV2687">
        <v>3.3539967835102807E-188</v>
      </c>
    </row>
    <row r="2688" spans="44:48" x14ac:dyDescent="0.2">
      <c r="AR2688">
        <v>2680</v>
      </c>
      <c r="AS2688">
        <v>862</v>
      </c>
      <c r="AT2688">
        <v>3</v>
      </c>
      <c r="AU2688">
        <v>15.573203685673084</v>
      </c>
      <c r="AV2688">
        <v>5.7312098985949038E-189</v>
      </c>
    </row>
    <row r="2689" spans="44:48" x14ac:dyDescent="0.2">
      <c r="AR2689">
        <v>2681</v>
      </c>
      <c r="AS2689">
        <v>863</v>
      </c>
      <c r="AT2689">
        <v>3</v>
      </c>
      <c r="AU2689">
        <v>15.604144216990433</v>
      </c>
      <c r="AV2689">
        <v>9.7580263811587744E-190</v>
      </c>
    </row>
    <row r="2690" spans="44:48" x14ac:dyDescent="0.2">
      <c r="AR2690">
        <v>2682</v>
      </c>
      <c r="AS2690">
        <v>864</v>
      </c>
      <c r="AT2690">
        <v>3</v>
      </c>
      <c r="AU2690">
        <v>15.635084748307778</v>
      </c>
      <c r="AV2690">
        <v>1.6554255838383513E-190</v>
      </c>
    </row>
    <row r="2691" spans="44:48" x14ac:dyDescent="0.2">
      <c r="AR2691">
        <v>2683</v>
      </c>
      <c r="AS2691">
        <v>865</v>
      </c>
      <c r="AT2691">
        <v>3</v>
      </c>
      <c r="AU2691">
        <v>15.666025279625126</v>
      </c>
      <c r="AV2691">
        <v>2.7982682105418185E-191</v>
      </c>
    </row>
    <row r="2692" spans="44:48" x14ac:dyDescent="0.2">
      <c r="AR2692">
        <v>2684</v>
      </c>
      <c r="AS2692">
        <v>866</v>
      </c>
      <c r="AT2692">
        <v>3</v>
      </c>
      <c r="AU2692">
        <v>15.696965810942471</v>
      </c>
      <c r="AV2692">
        <v>4.7130388089375927E-192</v>
      </c>
    </row>
    <row r="2693" spans="44:48" x14ac:dyDescent="0.2">
      <c r="AR2693">
        <v>2685</v>
      </c>
      <c r="AS2693">
        <v>867</v>
      </c>
      <c r="AT2693">
        <v>3</v>
      </c>
      <c r="AU2693">
        <v>15.727906342259816</v>
      </c>
      <c r="AV2693">
        <v>7.9094210298265948E-193</v>
      </c>
    </row>
    <row r="2694" spans="44:48" x14ac:dyDescent="0.2">
      <c r="AR2694">
        <v>2686</v>
      </c>
      <c r="AS2694">
        <v>868</v>
      </c>
      <c r="AT2694">
        <v>3</v>
      </c>
      <c r="AU2694">
        <v>15.758846873577165</v>
      </c>
      <c r="AV2694">
        <v>1.3225751967928692E-193</v>
      </c>
    </row>
    <row r="2695" spans="44:48" x14ac:dyDescent="0.2">
      <c r="AR2695">
        <v>2687</v>
      </c>
      <c r="AS2695">
        <v>869</v>
      </c>
      <c r="AT2695">
        <v>3</v>
      </c>
      <c r="AU2695">
        <v>15.789787404894509</v>
      </c>
      <c r="AV2695">
        <v>2.2035761058263267E-194</v>
      </c>
    </row>
    <row r="2696" spans="44:48" x14ac:dyDescent="0.2">
      <c r="AR2696">
        <v>2688</v>
      </c>
      <c r="AS2696">
        <v>870</v>
      </c>
      <c r="AT2696">
        <v>3</v>
      </c>
      <c r="AU2696">
        <v>15.820727936211854</v>
      </c>
      <c r="AV2696">
        <v>3.6582024511272319E-195</v>
      </c>
    </row>
    <row r="2697" spans="44:48" x14ac:dyDescent="0.2">
      <c r="AR2697">
        <v>2689</v>
      </c>
      <c r="AS2697">
        <v>871</v>
      </c>
      <c r="AT2697">
        <v>3</v>
      </c>
      <c r="AU2697">
        <v>15.851668467529203</v>
      </c>
      <c r="AV2697">
        <v>6.0511709112174302E-196</v>
      </c>
    </row>
    <row r="2698" spans="44:48" x14ac:dyDescent="0.2">
      <c r="AR2698">
        <v>2690</v>
      </c>
      <c r="AS2698">
        <v>872</v>
      </c>
      <c r="AT2698">
        <v>3</v>
      </c>
      <c r="AU2698">
        <v>15.882608998846548</v>
      </c>
      <c r="AV2698">
        <v>9.9733969271975107E-197</v>
      </c>
    </row>
    <row r="2699" spans="44:48" x14ac:dyDescent="0.2">
      <c r="AR2699">
        <v>2691</v>
      </c>
      <c r="AS2699">
        <v>873</v>
      </c>
      <c r="AT2699">
        <v>3</v>
      </c>
      <c r="AU2699">
        <v>15.913549530163893</v>
      </c>
      <c r="AV2699">
        <v>1.6378675896161772E-197</v>
      </c>
    </row>
    <row r="2700" spans="44:48" x14ac:dyDescent="0.2">
      <c r="AR2700">
        <v>2692</v>
      </c>
      <c r="AS2700">
        <v>874</v>
      </c>
      <c r="AT2700">
        <v>3</v>
      </c>
      <c r="AU2700">
        <v>15.944490061481241</v>
      </c>
      <c r="AV2700">
        <v>2.6800720876951807E-198</v>
      </c>
    </row>
    <row r="2701" spans="44:48" x14ac:dyDescent="0.2">
      <c r="AR2701">
        <v>2693</v>
      </c>
      <c r="AS2701">
        <v>875</v>
      </c>
      <c r="AT2701">
        <v>3</v>
      </c>
      <c r="AU2701">
        <v>15.975430592798586</v>
      </c>
      <c r="AV2701">
        <v>4.3696450818821618E-199</v>
      </c>
    </row>
    <row r="2702" spans="44:48" x14ac:dyDescent="0.2">
      <c r="AR2702">
        <v>2694</v>
      </c>
      <c r="AS2702">
        <v>876</v>
      </c>
      <c r="AT2702">
        <v>3</v>
      </c>
      <c r="AU2702">
        <v>16.006371124115937</v>
      </c>
      <c r="AV2702">
        <v>7.0986841396285386E-200</v>
      </c>
    </row>
    <row r="2703" spans="44:48" x14ac:dyDescent="0.2">
      <c r="AR2703">
        <v>2695</v>
      </c>
      <c r="AS2703">
        <v>877</v>
      </c>
      <c r="AT2703">
        <v>3</v>
      </c>
      <c r="AU2703">
        <v>16.037311655433278</v>
      </c>
      <c r="AV2703">
        <v>1.1490569199079549E-200</v>
      </c>
    </row>
    <row r="2704" spans="44:48" x14ac:dyDescent="0.2">
      <c r="AR2704">
        <v>2696</v>
      </c>
      <c r="AS2704">
        <v>878</v>
      </c>
      <c r="AT2704">
        <v>3</v>
      </c>
      <c r="AU2704">
        <v>16.068252186750627</v>
      </c>
      <c r="AV2704">
        <v>1.853263762052968E-201</v>
      </c>
    </row>
    <row r="2705" spans="44:48" x14ac:dyDescent="0.2">
      <c r="AR2705">
        <v>2697</v>
      </c>
      <c r="AS2705">
        <v>879</v>
      </c>
      <c r="AT2705">
        <v>3</v>
      </c>
      <c r="AU2705">
        <v>16.099192718067975</v>
      </c>
      <c r="AV2705">
        <v>2.978275893477905E-202</v>
      </c>
    </row>
    <row r="2706" spans="44:48" x14ac:dyDescent="0.2">
      <c r="AR2706">
        <v>2698</v>
      </c>
      <c r="AS2706">
        <v>880</v>
      </c>
      <c r="AT2706">
        <v>3</v>
      </c>
      <c r="AU2706">
        <v>16.130133249385317</v>
      </c>
      <c r="AV2706">
        <v>4.7689703237539674E-203</v>
      </c>
    </row>
    <row r="2707" spans="44:48" x14ac:dyDescent="0.2">
      <c r="AR2707">
        <v>2699</v>
      </c>
      <c r="AS2707">
        <v>881</v>
      </c>
      <c r="AT2707">
        <v>3</v>
      </c>
      <c r="AU2707">
        <v>16.161073780702665</v>
      </c>
      <c r="AV2707">
        <v>7.6088025592795292E-204</v>
      </c>
    </row>
    <row r="2708" spans="44:48" x14ac:dyDescent="0.2">
      <c r="AR2708">
        <v>2700</v>
      </c>
      <c r="AS2708">
        <v>882</v>
      </c>
      <c r="AT2708">
        <v>3</v>
      </c>
      <c r="AU2708">
        <v>16.192014312020014</v>
      </c>
      <c r="AV2708">
        <v>1.209595077392612E-204</v>
      </c>
    </row>
    <row r="2709" spans="44:48" x14ac:dyDescent="0.2">
      <c r="AR2709">
        <v>2701</v>
      </c>
      <c r="AS2709">
        <v>883</v>
      </c>
      <c r="AT2709">
        <v>3</v>
      </c>
      <c r="AU2709">
        <v>16.222954843337355</v>
      </c>
      <c r="AV2709">
        <v>1.9160008963474698E-205</v>
      </c>
    </row>
    <row r="2710" spans="44:48" x14ac:dyDescent="0.2">
      <c r="AR2710">
        <v>2702</v>
      </c>
      <c r="AS2710">
        <v>884</v>
      </c>
      <c r="AT2710">
        <v>3</v>
      </c>
      <c r="AU2710">
        <v>16.253895374654704</v>
      </c>
      <c r="AV2710">
        <v>3.0240112761759315E-206</v>
      </c>
    </row>
    <row r="2711" spans="44:48" x14ac:dyDescent="0.2">
      <c r="AR2711">
        <v>2703</v>
      </c>
      <c r="AS2711">
        <v>885</v>
      </c>
      <c r="AT2711">
        <v>3</v>
      </c>
      <c r="AU2711">
        <v>16.284835905972052</v>
      </c>
      <c r="AV2711">
        <v>4.7555757717918659E-207</v>
      </c>
    </row>
    <row r="2712" spans="44:48" x14ac:dyDescent="0.2">
      <c r="AR2712">
        <v>2704</v>
      </c>
      <c r="AS2712">
        <v>886</v>
      </c>
      <c r="AT2712">
        <v>3</v>
      </c>
      <c r="AU2712">
        <v>16.315776437289394</v>
      </c>
      <c r="AV2712">
        <v>7.4516904650994597E-208</v>
      </c>
    </row>
    <row r="2713" spans="44:48" x14ac:dyDescent="0.2">
      <c r="AR2713">
        <v>2705</v>
      </c>
      <c r="AS2713">
        <v>887</v>
      </c>
      <c r="AT2713">
        <v>3</v>
      </c>
      <c r="AU2713">
        <v>16.346716968606742</v>
      </c>
      <c r="AV2713">
        <v>1.1634253122649997E-208</v>
      </c>
    </row>
    <row r="2714" spans="44:48" x14ac:dyDescent="0.2">
      <c r="AR2714">
        <v>2706</v>
      </c>
      <c r="AS2714">
        <v>888</v>
      </c>
      <c r="AT2714">
        <v>3</v>
      </c>
      <c r="AU2714">
        <v>16.377657499924091</v>
      </c>
      <c r="AV2714">
        <v>1.809898463820556E-209</v>
      </c>
    </row>
    <row r="2715" spans="44:48" x14ac:dyDescent="0.2">
      <c r="AR2715">
        <v>2707</v>
      </c>
      <c r="AS2715">
        <v>889</v>
      </c>
      <c r="AT2715">
        <v>3</v>
      </c>
      <c r="AU2715">
        <v>16.408598031241432</v>
      </c>
      <c r="AV2715">
        <v>2.8054460126100902E-210</v>
      </c>
    </row>
    <row r="2716" spans="44:48" x14ac:dyDescent="0.2">
      <c r="AR2716">
        <v>2708</v>
      </c>
      <c r="AS2716">
        <v>890</v>
      </c>
      <c r="AT2716">
        <v>3</v>
      </c>
      <c r="AU2716">
        <v>16.439538562558781</v>
      </c>
      <c r="AV2716">
        <v>4.3329294826535569E-211</v>
      </c>
    </row>
    <row r="2717" spans="44:48" x14ac:dyDescent="0.2">
      <c r="AR2717">
        <v>2709</v>
      </c>
      <c r="AS2717">
        <v>891</v>
      </c>
      <c r="AT2717">
        <v>3</v>
      </c>
      <c r="AU2717">
        <v>16.470479093876129</v>
      </c>
      <c r="AV2717">
        <v>6.6679652468766388E-212</v>
      </c>
    </row>
    <row r="2718" spans="44:48" x14ac:dyDescent="0.2">
      <c r="AR2718">
        <v>2710</v>
      </c>
      <c r="AS2718">
        <v>892</v>
      </c>
      <c r="AT2718">
        <v>3</v>
      </c>
      <c r="AU2718">
        <v>16.501419625193471</v>
      </c>
      <c r="AV2718">
        <v>1.0224381253990054E-212</v>
      </c>
    </row>
    <row r="2719" spans="44:48" x14ac:dyDescent="0.2">
      <c r="AR2719">
        <v>2711</v>
      </c>
      <c r="AS2719">
        <v>893</v>
      </c>
      <c r="AT2719">
        <v>3</v>
      </c>
      <c r="AU2719">
        <v>16.532360156510819</v>
      </c>
      <c r="AV2719">
        <v>1.5621140707811163E-213</v>
      </c>
    </row>
    <row r="2720" spans="44:48" x14ac:dyDescent="0.2">
      <c r="AR2720">
        <v>2712</v>
      </c>
      <c r="AS2720">
        <v>894</v>
      </c>
      <c r="AT2720">
        <v>3</v>
      </c>
      <c r="AU2720">
        <v>16.563300687828168</v>
      </c>
      <c r="AV2720">
        <v>2.3780471129446454E-214</v>
      </c>
    </row>
    <row r="2721" spans="44:48" x14ac:dyDescent="0.2">
      <c r="AR2721">
        <v>2713</v>
      </c>
      <c r="AS2721">
        <v>895</v>
      </c>
      <c r="AT2721">
        <v>3</v>
      </c>
      <c r="AU2721">
        <v>16.594241219145516</v>
      </c>
      <c r="AV2721">
        <v>3.6071164722444645E-215</v>
      </c>
    </row>
    <row r="2722" spans="44:48" x14ac:dyDescent="0.2">
      <c r="AR2722">
        <v>2714</v>
      </c>
      <c r="AS2722">
        <v>896</v>
      </c>
      <c r="AT2722">
        <v>3</v>
      </c>
      <c r="AU2722">
        <v>16.625181750462858</v>
      </c>
      <c r="AV2722">
        <v>5.4516991091542084E-216</v>
      </c>
    </row>
    <row r="2723" spans="44:48" x14ac:dyDescent="0.2">
      <c r="AR2723">
        <v>2715</v>
      </c>
      <c r="AS2723">
        <v>897</v>
      </c>
      <c r="AT2723">
        <v>3</v>
      </c>
      <c r="AU2723">
        <v>16.656122281780206</v>
      </c>
      <c r="AV2723">
        <v>8.2098569852849291E-217</v>
      </c>
    </row>
    <row r="2724" spans="44:48" x14ac:dyDescent="0.2">
      <c r="AR2724">
        <v>2716</v>
      </c>
      <c r="AS2724">
        <v>898</v>
      </c>
      <c r="AT2724">
        <v>3</v>
      </c>
      <c r="AU2724">
        <v>16.687062813097555</v>
      </c>
      <c r="AV2724">
        <v>1.2318882323831392E-217</v>
      </c>
    </row>
    <row r="2725" spans="44:48" x14ac:dyDescent="0.2">
      <c r="AR2725">
        <v>2717</v>
      </c>
      <c r="AS2725">
        <v>899</v>
      </c>
      <c r="AT2725">
        <v>3</v>
      </c>
      <c r="AU2725">
        <v>16.718003344414896</v>
      </c>
      <c r="AV2725">
        <v>1.8417853859090289E-218</v>
      </c>
    </row>
    <row r="2726" spans="44:48" x14ac:dyDescent="0.2">
      <c r="AR2726">
        <v>2718</v>
      </c>
      <c r="AS2726">
        <v>900</v>
      </c>
      <c r="AT2726">
        <v>3</v>
      </c>
      <c r="AU2726">
        <v>16.748943875732245</v>
      </c>
      <c r="AV2726">
        <v>2.7437133714642615E-219</v>
      </c>
    </row>
    <row r="2727" spans="44:48" x14ac:dyDescent="0.2">
      <c r="AR2727">
        <v>2719</v>
      </c>
      <c r="AS2727">
        <v>901</v>
      </c>
      <c r="AT2727">
        <v>3</v>
      </c>
      <c r="AU2727">
        <v>16.779884407049593</v>
      </c>
      <c r="AV2727">
        <v>4.0725878206684511E-220</v>
      </c>
    </row>
    <row r="2728" spans="44:48" x14ac:dyDescent="0.2">
      <c r="AR2728">
        <v>2720</v>
      </c>
      <c r="AS2728">
        <v>902</v>
      </c>
      <c r="AT2728">
        <v>3</v>
      </c>
      <c r="AU2728">
        <v>16.810824938366935</v>
      </c>
      <c r="AV2728">
        <v>6.0232956066251804E-221</v>
      </c>
    </row>
    <row r="2729" spans="44:48" x14ac:dyDescent="0.2">
      <c r="AR2729">
        <v>2721</v>
      </c>
      <c r="AS2729">
        <v>903</v>
      </c>
      <c r="AT2729">
        <v>3</v>
      </c>
      <c r="AU2729">
        <v>16.841765469684283</v>
      </c>
      <c r="AV2729">
        <v>8.8762576173447078E-222</v>
      </c>
    </row>
    <row r="2730" spans="44:48" x14ac:dyDescent="0.2">
      <c r="AR2730">
        <v>2722</v>
      </c>
      <c r="AS2730">
        <v>904</v>
      </c>
      <c r="AT2730">
        <v>3</v>
      </c>
      <c r="AU2730">
        <v>16.872706001001632</v>
      </c>
      <c r="AV2730">
        <v>1.3033396881937085E-222</v>
      </c>
    </row>
    <row r="2731" spans="44:48" x14ac:dyDescent="0.2">
      <c r="AR2731">
        <v>2723</v>
      </c>
      <c r="AS2731">
        <v>905</v>
      </c>
      <c r="AT2731">
        <v>3</v>
      </c>
      <c r="AU2731">
        <v>16.903646532318973</v>
      </c>
      <c r="AV2731">
        <v>1.9068535657796271E-223</v>
      </c>
    </row>
    <row r="2732" spans="44:48" x14ac:dyDescent="0.2">
      <c r="AR2732">
        <v>2724</v>
      </c>
      <c r="AS2732">
        <v>906</v>
      </c>
      <c r="AT2732">
        <v>3</v>
      </c>
      <c r="AU2732">
        <v>16.934587063636322</v>
      </c>
      <c r="AV2732">
        <v>2.7797713051173593E-224</v>
      </c>
    </row>
    <row r="2733" spans="44:48" x14ac:dyDescent="0.2">
      <c r="AR2733">
        <v>2725</v>
      </c>
      <c r="AS2733">
        <v>907</v>
      </c>
      <c r="AT2733">
        <v>3</v>
      </c>
      <c r="AU2733">
        <v>16.96552759495367</v>
      </c>
      <c r="AV2733">
        <v>4.037688332563166E-225</v>
      </c>
    </row>
    <row r="2734" spans="44:48" x14ac:dyDescent="0.2">
      <c r="AR2734">
        <v>2726</v>
      </c>
      <c r="AS2734">
        <v>908</v>
      </c>
      <c r="AT2734">
        <v>3</v>
      </c>
      <c r="AU2734">
        <v>16.996468126271012</v>
      </c>
      <c r="AV2734">
        <v>5.8437081697068204E-226</v>
      </c>
    </row>
    <row r="2735" spans="44:48" x14ac:dyDescent="0.2">
      <c r="AR2735">
        <v>2727</v>
      </c>
      <c r="AS2735" t="e">
        <v>#N/A</v>
      </c>
      <c r="AT2735" t="e">
        <v>#N/A</v>
      </c>
      <c r="AU2735" t="e">
        <v>#N/A</v>
      </c>
      <c r="AV2735" t="e">
        <v>#N/A</v>
      </c>
    </row>
  </sheetData>
  <phoneticPr fontId="15" type="noConversion"/>
  <conditionalFormatting sqref="H54">
    <cfRule type="cellIs" dxfId="3" priority="13" operator="equal">
      <formula>"Ikke opfyldt"</formula>
    </cfRule>
  </conditionalFormatting>
  <conditionalFormatting sqref="A91:E140">
    <cfRule type="expression" dxfId="2" priority="4">
      <formula>ISBLANK($A91)</formula>
    </cfRule>
  </conditionalFormatting>
  <conditionalFormatting sqref="E55">
    <cfRule type="cellIs" dxfId="1" priority="3" operator="equal">
      <formula>"Nulhypotesen afvises"</formula>
    </cfRule>
  </conditionalFormatting>
  <conditionalFormatting sqref="K55">
    <cfRule type="cellIs" dxfId="0" priority="1" operator="equal">
      <formula>"Nulhypotesen afvises"</formula>
    </cfRule>
  </conditionalFormatting>
  <dataValidations count="4">
    <dataValidation type="decimal" allowBlank="1" showInputMessage="1" showErrorMessage="1" errorTitle="Vælg et konfidensniveau" error="Indtast et procenttal mellem 50% og 100%" promptTitle="Vælg et konfidensniveau" prompt="Indtast et procenttal mellem 50% og 100%" sqref="B5" xr:uid="{1322AC0E-596C-47A8-9EE8-60C1414BA879}">
      <formula1>0.5</formula1>
      <formula2>1</formula2>
    </dataValidation>
    <dataValidation allowBlank="1" showInputMessage="1" showErrorMessage="1" promptTitle="Kontrol af forudsætning" prompt="Viser Ikke opfyldt, hvis kontrollen har identificeret et problem med denne forudsætning. Viser Opfyldt, hvis kontrollen ikke har identificeret nogen problemer." sqref="H54" xr:uid="{DB168B59-2055-4AB1-B26F-3AE2BB2E834A}"/>
    <dataValidation allowBlank="1" showInputMessage="1" showErrorMessage="1" promptTitle="Kontrol af forudsætning" prompt="Denne forudsætning skal altid vurderes." sqref="B54 H55:H56" xr:uid="{3C8695CD-CF27-415B-AB95-EC51AA18D7EC}"/>
    <dataValidation allowBlank="1" showInputMessage="1" showErrorMessage="1" promptTitle="Kontrol af forudsætning" prompt="Denne forudsætning skal altid testes med en hypotesetest." sqref="B55" xr:uid="{2F0AB797-4326-477C-81D7-DDC9C11171BA}"/>
  </dataValidations>
  <hyperlinks>
    <hyperlink ref="B1" location="V_Manual_Sandsynlighed" display="Gå til Manual i brug af Sandsynlighed arket               " xr:uid="{36BB5471-1E63-4F9A-9B11-443535CB3292}"/>
  </hyperlinks>
  <pageMargins left="0.7" right="0.7" top="0.75" bottom="0.75" header="0.3" footer="0.3"/>
  <pageSetup paperSize="9" orientation="portrait" r:id="rId1"/>
  <drawing r:id="rId2"/>
  <legacyDrawing r:id="rId3"/>
  <extLst>
    <ext xmlns:x15="http://schemas.microsoft.com/office/spreadsheetml/2010/11/main" uri="{3A4CF648-6AED-40f4-86FF-DC5316D8AED3}">
      <x14:slicerList xmlns:x14="http://schemas.microsoft.com/office/spreadsheetml/2009/9/main">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A967B-75D2-4208-8398-DC1BE4D20F5B}">
  <sheetPr codeName="Sheet14"/>
  <dimension ref="A1:D65"/>
  <sheetViews>
    <sheetView showGridLines="0" workbookViewId="0"/>
  </sheetViews>
  <sheetFormatPr defaultRowHeight="14.25" x14ac:dyDescent="0.2"/>
  <cols>
    <col min="1" max="1" width="37.375" customWidth="1"/>
    <col min="2" max="2" width="35.25" bestFit="1" customWidth="1"/>
    <col min="3" max="3" width="22" customWidth="1"/>
    <col min="4" max="4" width="16.75" bestFit="1" customWidth="1"/>
    <col min="5" max="7" width="10" bestFit="1" customWidth="1"/>
  </cols>
  <sheetData>
    <row r="1" spans="1:4" ht="18.75" x14ac:dyDescent="0.2">
      <c r="A1" s="1" t="s">
        <v>992</v>
      </c>
    </row>
    <row r="3" spans="1:4" x14ac:dyDescent="0.2">
      <c r="A3" s="3" t="s">
        <v>994</v>
      </c>
    </row>
    <row r="4" spans="1:4" x14ac:dyDescent="0.2">
      <c r="A4" s="100" t="s">
        <v>995</v>
      </c>
      <c r="B4" s="108">
        <f>COUNT(ANOVA_valg[Tabel ID])</f>
        <v>50</v>
      </c>
    </row>
    <row r="5" spans="1:4" x14ac:dyDescent="0.2">
      <c r="A5" s="100" t="s">
        <v>283</v>
      </c>
      <c r="B5" s="108">
        <f>COUNTA(DataTitel_liste)</f>
        <v>4</v>
      </c>
    </row>
    <row r="6" spans="1:4" x14ac:dyDescent="0.2">
      <c r="A6" s="100" t="s">
        <v>925</v>
      </c>
      <c r="B6" s="108" t="str">
        <f>IF(B5&gt;B4,"Forlæng tabellen indtil der indgår "&amp;B5^2&amp;" rækker","Tabellen behøver ikke forlænges yderligere")</f>
        <v>Tabellen behøver ikke forlænges yderligere</v>
      </c>
    </row>
    <row r="7" spans="1:4" x14ac:dyDescent="0.2">
      <c r="A7" s="100"/>
      <c r="B7" s="108"/>
    </row>
    <row r="10" spans="1:4" x14ac:dyDescent="0.2">
      <c r="A10" t="s">
        <v>996</v>
      </c>
      <c r="B10" t="s">
        <v>921</v>
      </c>
      <c r="C10" t="s">
        <v>1082</v>
      </c>
      <c r="D10" t="s">
        <v>146</v>
      </c>
    </row>
    <row r="11" spans="1:4" x14ac:dyDescent="0.2">
      <c r="A11">
        <v>1</v>
      </c>
      <c r="B11">
        <f t="shared" ref="B11:B42" si="0">MOD(A11-1,$B$5)+1</f>
        <v>1</v>
      </c>
      <c r="C11" t="str" cm="1">
        <f t="array" ref="C11">INDEX(DataTitel_liste,ANOVA_valg[[#This Row],[Variabel ID]])</f>
        <v>Eksempel 1 (interval)</v>
      </c>
      <c r="D11">
        <f>_xlfn.AGGREGATE(2,5,ANOVA_valg[[#This Row],[Tabel ID]])</f>
        <v>1</v>
      </c>
    </row>
    <row r="12" spans="1:4" x14ac:dyDescent="0.2">
      <c r="A12">
        <v>2</v>
      </c>
      <c r="B12">
        <f t="shared" si="0"/>
        <v>2</v>
      </c>
      <c r="C12" t="str" cm="1">
        <f t="array" ref="C12">INDEX(DataTitel_liste,ANOVA_valg[[#This Row],[Variabel ID]])</f>
        <v>Eksempel 2 (interval)</v>
      </c>
      <c r="D12">
        <f>_xlfn.AGGREGATE(2,5,ANOVA_valg[[#This Row],[Tabel ID]])</f>
        <v>1</v>
      </c>
    </row>
    <row r="13" spans="1:4" hidden="1" x14ac:dyDescent="0.2">
      <c r="A13">
        <v>3</v>
      </c>
      <c r="B13">
        <f t="shared" si="0"/>
        <v>3</v>
      </c>
      <c r="C13" t="str" cm="1">
        <f t="array" ref="C13">INDEX(DataTitel_liste,ANOVA_valg[[#This Row],[Variabel ID]])</f>
        <v>Eksempel 3 (nominal)</v>
      </c>
      <c r="D13">
        <f>_xlfn.AGGREGATE(2,5,ANOVA_valg[[#This Row],[Tabel ID]])</f>
        <v>0</v>
      </c>
    </row>
    <row r="14" spans="1:4" x14ac:dyDescent="0.2">
      <c r="A14">
        <v>4</v>
      </c>
      <c r="B14">
        <f t="shared" si="0"/>
        <v>4</v>
      </c>
      <c r="C14" t="str" cm="1">
        <f t="array" ref="C14">INDEX(DataTitel_liste,ANOVA_valg[[#This Row],[Variabel ID]])</f>
        <v>Eksempel 4 (nominal)</v>
      </c>
      <c r="D14">
        <f>_xlfn.AGGREGATE(2,5,ANOVA_valg[[#This Row],[Tabel ID]])</f>
        <v>1</v>
      </c>
    </row>
    <row r="15" spans="1:4" x14ac:dyDescent="0.2">
      <c r="A15">
        <v>5</v>
      </c>
      <c r="B15">
        <f t="shared" si="0"/>
        <v>1</v>
      </c>
      <c r="C15" t="str" cm="1">
        <f t="array" ref="C15">INDEX(DataTitel_liste,ANOVA_valg[[#This Row],[Variabel ID]])</f>
        <v>Eksempel 1 (interval)</v>
      </c>
      <c r="D15">
        <f>_xlfn.AGGREGATE(2,5,ANOVA_valg[[#This Row],[Tabel ID]])</f>
        <v>1</v>
      </c>
    </row>
    <row r="16" spans="1:4" x14ac:dyDescent="0.2">
      <c r="A16">
        <v>6</v>
      </c>
      <c r="B16">
        <f t="shared" si="0"/>
        <v>2</v>
      </c>
      <c r="C16" t="str" cm="1">
        <f t="array" ref="C16">INDEX(DataTitel_liste,ANOVA_valg[[#This Row],[Variabel ID]])</f>
        <v>Eksempel 2 (interval)</v>
      </c>
      <c r="D16">
        <f>_xlfn.AGGREGATE(2,5,ANOVA_valg[[#This Row],[Tabel ID]])</f>
        <v>1</v>
      </c>
    </row>
    <row r="17" spans="1:4" hidden="1" x14ac:dyDescent="0.2">
      <c r="A17">
        <v>7</v>
      </c>
      <c r="B17">
        <f t="shared" si="0"/>
        <v>3</v>
      </c>
      <c r="C17" t="str" cm="1">
        <f t="array" ref="C17">INDEX(DataTitel_liste,ANOVA_valg[[#This Row],[Variabel ID]])</f>
        <v>Eksempel 3 (nominal)</v>
      </c>
      <c r="D17">
        <f>_xlfn.AGGREGATE(2,5,ANOVA_valg[[#This Row],[Tabel ID]])</f>
        <v>0</v>
      </c>
    </row>
    <row r="18" spans="1:4" x14ac:dyDescent="0.2">
      <c r="A18">
        <v>8</v>
      </c>
      <c r="B18">
        <f t="shared" si="0"/>
        <v>4</v>
      </c>
      <c r="C18" t="str" cm="1">
        <f t="array" ref="C18">INDEX(DataTitel_liste,ANOVA_valg[[#This Row],[Variabel ID]])</f>
        <v>Eksempel 4 (nominal)</v>
      </c>
      <c r="D18">
        <f>_xlfn.AGGREGATE(2,5,ANOVA_valg[[#This Row],[Tabel ID]])</f>
        <v>1</v>
      </c>
    </row>
    <row r="19" spans="1:4" x14ac:dyDescent="0.2">
      <c r="A19">
        <v>9</v>
      </c>
      <c r="B19">
        <f t="shared" si="0"/>
        <v>1</v>
      </c>
      <c r="C19" t="str" cm="1">
        <f t="array" ref="C19">INDEX(DataTitel_liste,ANOVA_valg[[#This Row],[Variabel ID]])</f>
        <v>Eksempel 1 (interval)</v>
      </c>
      <c r="D19">
        <f>_xlfn.AGGREGATE(2,5,ANOVA_valg[[#This Row],[Tabel ID]])</f>
        <v>1</v>
      </c>
    </row>
    <row r="20" spans="1:4" x14ac:dyDescent="0.2">
      <c r="A20">
        <v>10</v>
      </c>
      <c r="B20">
        <f t="shared" si="0"/>
        <v>2</v>
      </c>
      <c r="C20" t="str" cm="1">
        <f t="array" ref="C20">INDEX(DataTitel_liste,ANOVA_valg[[#This Row],[Variabel ID]])</f>
        <v>Eksempel 2 (interval)</v>
      </c>
      <c r="D20">
        <f>_xlfn.AGGREGATE(2,5,ANOVA_valg[[#This Row],[Tabel ID]])</f>
        <v>1</v>
      </c>
    </row>
    <row r="21" spans="1:4" hidden="1" x14ac:dyDescent="0.2">
      <c r="A21">
        <v>11</v>
      </c>
      <c r="B21">
        <f t="shared" si="0"/>
        <v>3</v>
      </c>
      <c r="C21" t="str" cm="1">
        <f t="array" ref="C21">INDEX(DataTitel_liste,ANOVA_valg[[#This Row],[Variabel ID]])</f>
        <v>Eksempel 3 (nominal)</v>
      </c>
      <c r="D21">
        <f>_xlfn.AGGREGATE(2,5,ANOVA_valg[[#This Row],[Tabel ID]])</f>
        <v>0</v>
      </c>
    </row>
    <row r="22" spans="1:4" x14ac:dyDescent="0.2">
      <c r="A22">
        <v>12</v>
      </c>
      <c r="B22">
        <f t="shared" si="0"/>
        <v>4</v>
      </c>
      <c r="C22" t="str" cm="1">
        <f t="array" ref="C22">INDEX(DataTitel_liste,ANOVA_valg[[#This Row],[Variabel ID]])</f>
        <v>Eksempel 4 (nominal)</v>
      </c>
      <c r="D22">
        <f>_xlfn.AGGREGATE(2,5,ANOVA_valg[[#This Row],[Tabel ID]])</f>
        <v>1</v>
      </c>
    </row>
    <row r="23" spans="1:4" x14ac:dyDescent="0.2">
      <c r="A23">
        <v>13</v>
      </c>
      <c r="B23">
        <f t="shared" si="0"/>
        <v>1</v>
      </c>
      <c r="C23" t="str" cm="1">
        <f t="array" ref="C23">INDEX(DataTitel_liste,ANOVA_valg[[#This Row],[Variabel ID]])</f>
        <v>Eksempel 1 (interval)</v>
      </c>
      <c r="D23">
        <f>_xlfn.AGGREGATE(2,5,ANOVA_valg[[#This Row],[Tabel ID]])</f>
        <v>1</v>
      </c>
    </row>
    <row r="24" spans="1:4" x14ac:dyDescent="0.2">
      <c r="A24">
        <v>14</v>
      </c>
      <c r="B24">
        <f t="shared" si="0"/>
        <v>2</v>
      </c>
      <c r="C24" t="str" cm="1">
        <f t="array" ref="C24">INDEX(DataTitel_liste,ANOVA_valg[[#This Row],[Variabel ID]])</f>
        <v>Eksempel 2 (interval)</v>
      </c>
      <c r="D24">
        <f>_xlfn.AGGREGATE(2,5,ANOVA_valg[[#This Row],[Tabel ID]])</f>
        <v>1</v>
      </c>
    </row>
    <row r="25" spans="1:4" hidden="1" x14ac:dyDescent="0.2">
      <c r="A25">
        <v>15</v>
      </c>
      <c r="B25">
        <f t="shared" si="0"/>
        <v>3</v>
      </c>
      <c r="C25" t="str" cm="1">
        <f t="array" ref="C25">INDEX(DataTitel_liste,ANOVA_valg[[#This Row],[Variabel ID]])</f>
        <v>Eksempel 3 (nominal)</v>
      </c>
      <c r="D25">
        <f>_xlfn.AGGREGATE(2,5,ANOVA_valg[[#This Row],[Tabel ID]])</f>
        <v>0</v>
      </c>
    </row>
    <row r="26" spans="1:4" x14ac:dyDescent="0.2">
      <c r="A26">
        <v>16</v>
      </c>
      <c r="B26" s="188">
        <f t="shared" si="0"/>
        <v>4</v>
      </c>
      <c r="C26" t="str" cm="1">
        <f t="array" ref="C26">INDEX(DataTitel_liste,ANOVA_valg[[#This Row],[Variabel ID]])</f>
        <v>Eksempel 4 (nominal)</v>
      </c>
      <c r="D26" s="188">
        <f>_xlfn.AGGREGATE(2,5,ANOVA_valg[[#This Row],[Tabel ID]])</f>
        <v>1</v>
      </c>
    </row>
    <row r="27" spans="1:4" x14ac:dyDescent="0.2">
      <c r="A27">
        <v>17</v>
      </c>
      <c r="B27" s="188">
        <f t="shared" si="0"/>
        <v>1</v>
      </c>
      <c r="C27" t="str" cm="1">
        <f t="array" ref="C27">INDEX(DataTitel_liste,ANOVA_valg[[#This Row],[Variabel ID]])</f>
        <v>Eksempel 1 (interval)</v>
      </c>
      <c r="D27" s="188">
        <f>_xlfn.AGGREGATE(2,5,ANOVA_valg[[#This Row],[Tabel ID]])</f>
        <v>1</v>
      </c>
    </row>
    <row r="28" spans="1:4" x14ac:dyDescent="0.2">
      <c r="A28">
        <v>18</v>
      </c>
      <c r="B28" s="188">
        <f t="shared" si="0"/>
        <v>2</v>
      </c>
      <c r="C28" t="str" cm="1">
        <f t="array" ref="C28">INDEX(DataTitel_liste,ANOVA_valg[[#This Row],[Variabel ID]])</f>
        <v>Eksempel 2 (interval)</v>
      </c>
      <c r="D28" s="188">
        <f>_xlfn.AGGREGATE(2,5,ANOVA_valg[[#This Row],[Tabel ID]])</f>
        <v>1</v>
      </c>
    </row>
    <row r="29" spans="1:4" hidden="1" x14ac:dyDescent="0.2">
      <c r="A29">
        <v>19</v>
      </c>
      <c r="B29" s="188">
        <f t="shared" si="0"/>
        <v>3</v>
      </c>
      <c r="C29" t="str" cm="1">
        <f t="array" ref="C29">INDEX(DataTitel_liste,ANOVA_valg[[#This Row],[Variabel ID]])</f>
        <v>Eksempel 3 (nominal)</v>
      </c>
      <c r="D29" s="188">
        <f>_xlfn.AGGREGATE(2,5,ANOVA_valg[[#This Row],[Tabel ID]])</f>
        <v>0</v>
      </c>
    </row>
    <row r="30" spans="1:4" x14ac:dyDescent="0.2">
      <c r="A30">
        <v>20</v>
      </c>
      <c r="B30" s="188">
        <f t="shared" si="0"/>
        <v>4</v>
      </c>
      <c r="C30" t="str" cm="1">
        <f t="array" ref="C30">INDEX(DataTitel_liste,ANOVA_valg[[#This Row],[Variabel ID]])</f>
        <v>Eksempel 4 (nominal)</v>
      </c>
      <c r="D30" s="188">
        <f>_xlfn.AGGREGATE(2,5,ANOVA_valg[[#This Row],[Tabel ID]])</f>
        <v>1</v>
      </c>
    </row>
    <row r="31" spans="1:4" x14ac:dyDescent="0.2">
      <c r="A31">
        <v>21</v>
      </c>
      <c r="B31" s="188">
        <f t="shared" si="0"/>
        <v>1</v>
      </c>
      <c r="C31" t="str" cm="1">
        <f t="array" ref="C31">INDEX(DataTitel_liste,ANOVA_valg[[#This Row],[Variabel ID]])</f>
        <v>Eksempel 1 (interval)</v>
      </c>
      <c r="D31" s="188">
        <f>_xlfn.AGGREGATE(2,5,ANOVA_valg[[#This Row],[Tabel ID]])</f>
        <v>1</v>
      </c>
    </row>
    <row r="32" spans="1:4" x14ac:dyDescent="0.2">
      <c r="A32">
        <v>22</v>
      </c>
      <c r="B32" s="188">
        <f t="shared" si="0"/>
        <v>2</v>
      </c>
      <c r="C32" t="str" cm="1">
        <f t="array" ref="C32">INDEX(DataTitel_liste,ANOVA_valg[[#This Row],[Variabel ID]])</f>
        <v>Eksempel 2 (interval)</v>
      </c>
      <c r="D32" s="188">
        <f>_xlfn.AGGREGATE(2,5,ANOVA_valg[[#This Row],[Tabel ID]])</f>
        <v>1</v>
      </c>
    </row>
    <row r="33" spans="1:4" hidden="1" x14ac:dyDescent="0.2">
      <c r="A33">
        <v>23</v>
      </c>
      <c r="B33" s="188">
        <f t="shared" si="0"/>
        <v>3</v>
      </c>
      <c r="C33" t="str" cm="1">
        <f t="array" ref="C33">INDEX(DataTitel_liste,ANOVA_valg[[#This Row],[Variabel ID]])</f>
        <v>Eksempel 3 (nominal)</v>
      </c>
      <c r="D33" s="188">
        <f>_xlfn.AGGREGATE(2,5,ANOVA_valg[[#This Row],[Tabel ID]])</f>
        <v>0</v>
      </c>
    </row>
    <row r="34" spans="1:4" x14ac:dyDescent="0.2">
      <c r="A34">
        <v>24</v>
      </c>
      <c r="B34" s="188">
        <f t="shared" si="0"/>
        <v>4</v>
      </c>
      <c r="C34" t="str" cm="1">
        <f t="array" ref="C34">INDEX(DataTitel_liste,ANOVA_valg[[#This Row],[Variabel ID]])</f>
        <v>Eksempel 4 (nominal)</v>
      </c>
      <c r="D34" s="188">
        <f>_xlfn.AGGREGATE(2,5,ANOVA_valg[[#This Row],[Tabel ID]])</f>
        <v>1</v>
      </c>
    </row>
    <row r="35" spans="1:4" x14ac:dyDescent="0.2">
      <c r="A35">
        <v>25</v>
      </c>
      <c r="B35" s="188">
        <f t="shared" si="0"/>
        <v>1</v>
      </c>
      <c r="C35" t="str" cm="1">
        <f t="array" ref="C35">INDEX(DataTitel_liste,ANOVA_valg[[#This Row],[Variabel ID]])</f>
        <v>Eksempel 1 (interval)</v>
      </c>
      <c r="D35" s="188">
        <f>_xlfn.AGGREGATE(2,5,ANOVA_valg[[#This Row],[Tabel ID]])</f>
        <v>1</v>
      </c>
    </row>
    <row r="36" spans="1:4" x14ac:dyDescent="0.2">
      <c r="A36">
        <v>26</v>
      </c>
      <c r="B36" s="188">
        <f t="shared" si="0"/>
        <v>2</v>
      </c>
      <c r="C36" t="str" cm="1">
        <f t="array" ref="C36">INDEX(DataTitel_liste,ANOVA_valg[[#This Row],[Variabel ID]])</f>
        <v>Eksempel 2 (interval)</v>
      </c>
      <c r="D36" s="188">
        <f>_xlfn.AGGREGATE(2,5,ANOVA_valg[[#This Row],[Tabel ID]])</f>
        <v>1</v>
      </c>
    </row>
    <row r="37" spans="1:4" hidden="1" x14ac:dyDescent="0.2">
      <c r="A37">
        <v>27</v>
      </c>
      <c r="B37" s="188">
        <f t="shared" si="0"/>
        <v>3</v>
      </c>
      <c r="C37" t="str" cm="1">
        <f t="array" ref="C37">INDEX(DataTitel_liste,ANOVA_valg[[#This Row],[Variabel ID]])</f>
        <v>Eksempel 3 (nominal)</v>
      </c>
      <c r="D37" s="188">
        <f>_xlfn.AGGREGATE(2,5,ANOVA_valg[[#This Row],[Tabel ID]])</f>
        <v>0</v>
      </c>
    </row>
    <row r="38" spans="1:4" x14ac:dyDescent="0.2">
      <c r="A38">
        <v>28</v>
      </c>
      <c r="B38" s="188">
        <f t="shared" si="0"/>
        <v>4</v>
      </c>
      <c r="C38" t="str" cm="1">
        <f t="array" ref="C38">INDEX(DataTitel_liste,ANOVA_valg[[#This Row],[Variabel ID]])</f>
        <v>Eksempel 4 (nominal)</v>
      </c>
      <c r="D38" s="188">
        <f>_xlfn.AGGREGATE(2,5,ANOVA_valg[[#This Row],[Tabel ID]])</f>
        <v>1</v>
      </c>
    </row>
    <row r="39" spans="1:4" x14ac:dyDescent="0.2">
      <c r="A39">
        <v>29</v>
      </c>
      <c r="B39" s="188">
        <f t="shared" si="0"/>
        <v>1</v>
      </c>
      <c r="C39" t="str" cm="1">
        <f t="array" ref="C39">INDEX(DataTitel_liste,ANOVA_valg[[#This Row],[Variabel ID]])</f>
        <v>Eksempel 1 (interval)</v>
      </c>
      <c r="D39" s="188">
        <f>_xlfn.AGGREGATE(2,5,ANOVA_valg[[#This Row],[Tabel ID]])</f>
        <v>1</v>
      </c>
    </row>
    <row r="40" spans="1:4" x14ac:dyDescent="0.2">
      <c r="A40">
        <v>30</v>
      </c>
      <c r="B40" s="188">
        <f t="shared" si="0"/>
        <v>2</v>
      </c>
      <c r="C40" t="str" cm="1">
        <f t="array" ref="C40">INDEX(DataTitel_liste,ANOVA_valg[[#This Row],[Variabel ID]])</f>
        <v>Eksempel 2 (interval)</v>
      </c>
      <c r="D40" s="188">
        <f>_xlfn.AGGREGATE(2,5,ANOVA_valg[[#This Row],[Tabel ID]])</f>
        <v>1</v>
      </c>
    </row>
    <row r="41" spans="1:4" hidden="1" x14ac:dyDescent="0.2">
      <c r="A41">
        <v>31</v>
      </c>
      <c r="B41" s="188">
        <f t="shared" si="0"/>
        <v>3</v>
      </c>
      <c r="C41" t="str" cm="1">
        <f t="array" ref="C41">INDEX(DataTitel_liste,ANOVA_valg[[#This Row],[Variabel ID]])</f>
        <v>Eksempel 3 (nominal)</v>
      </c>
      <c r="D41" s="188">
        <f>_xlfn.AGGREGATE(2,5,ANOVA_valg[[#This Row],[Tabel ID]])</f>
        <v>0</v>
      </c>
    </row>
    <row r="42" spans="1:4" x14ac:dyDescent="0.2">
      <c r="A42">
        <v>32</v>
      </c>
      <c r="B42" s="188">
        <f t="shared" si="0"/>
        <v>4</v>
      </c>
      <c r="C42" t="str" cm="1">
        <f t="array" ref="C42">INDEX(DataTitel_liste,ANOVA_valg[[#This Row],[Variabel ID]])</f>
        <v>Eksempel 4 (nominal)</v>
      </c>
      <c r="D42" s="188">
        <f>_xlfn.AGGREGATE(2,5,ANOVA_valg[[#This Row],[Tabel ID]])</f>
        <v>1</v>
      </c>
    </row>
    <row r="43" spans="1:4" x14ac:dyDescent="0.2">
      <c r="A43">
        <v>33</v>
      </c>
      <c r="B43" s="188">
        <f t="shared" ref="B43:B60" si="1">MOD(A43-1,$B$5)+1</f>
        <v>1</v>
      </c>
      <c r="C43" t="str" cm="1">
        <f t="array" ref="C43">INDEX(DataTitel_liste,ANOVA_valg[[#This Row],[Variabel ID]])</f>
        <v>Eksempel 1 (interval)</v>
      </c>
      <c r="D43" s="188">
        <f>_xlfn.AGGREGATE(2,5,ANOVA_valg[[#This Row],[Tabel ID]])</f>
        <v>1</v>
      </c>
    </row>
    <row r="44" spans="1:4" x14ac:dyDescent="0.2">
      <c r="A44">
        <v>34</v>
      </c>
      <c r="B44" s="188">
        <f t="shared" si="1"/>
        <v>2</v>
      </c>
      <c r="C44" t="str" cm="1">
        <f t="array" ref="C44">INDEX(DataTitel_liste,ANOVA_valg[[#This Row],[Variabel ID]])</f>
        <v>Eksempel 2 (interval)</v>
      </c>
      <c r="D44" s="188">
        <f>_xlfn.AGGREGATE(2,5,ANOVA_valg[[#This Row],[Tabel ID]])</f>
        <v>1</v>
      </c>
    </row>
    <row r="45" spans="1:4" hidden="1" x14ac:dyDescent="0.2">
      <c r="A45">
        <v>35</v>
      </c>
      <c r="B45" s="188">
        <f t="shared" si="1"/>
        <v>3</v>
      </c>
      <c r="C45" t="str" cm="1">
        <f t="array" ref="C45">INDEX(DataTitel_liste,ANOVA_valg[[#This Row],[Variabel ID]])</f>
        <v>Eksempel 3 (nominal)</v>
      </c>
      <c r="D45" s="188">
        <f>_xlfn.AGGREGATE(2,5,ANOVA_valg[[#This Row],[Tabel ID]])</f>
        <v>0</v>
      </c>
    </row>
    <row r="46" spans="1:4" x14ac:dyDescent="0.2">
      <c r="A46">
        <v>36</v>
      </c>
      <c r="B46" s="188">
        <f t="shared" si="1"/>
        <v>4</v>
      </c>
      <c r="C46" t="str" cm="1">
        <f t="array" ref="C46">INDEX(DataTitel_liste,ANOVA_valg[[#This Row],[Variabel ID]])</f>
        <v>Eksempel 4 (nominal)</v>
      </c>
      <c r="D46" s="188">
        <f>_xlfn.AGGREGATE(2,5,ANOVA_valg[[#This Row],[Tabel ID]])</f>
        <v>1</v>
      </c>
    </row>
    <row r="47" spans="1:4" x14ac:dyDescent="0.2">
      <c r="A47">
        <v>37</v>
      </c>
      <c r="B47" s="188">
        <f t="shared" si="1"/>
        <v>1</v>
      </c>
      <c r="C47" t="str" cm="1">
        <f t="array" ref="C47">INDEX(DataTitel_liste,ANOVA_valg[[#This Row],[Variabel ID]])</f>
        <v>Eksempel 1 (interval)</v>
      </c>
      <c r="D47" s="188">
        <f>_xlfn.AGGREGATE(2,5,ANOVA_valg[[#This Row],[Tabel ID]])</f>
        <v>1</v>
      </c>
    </row>
    <row r="48" spans="1:4" x14ac:dyDescent="0.2">
      <c r="A48">
        <v>38</v>
      </c>
      <c r="B48" s="188">
        <f t="shared" si="1"/>
        <v>2</v>
      </c>
      <c r="C48" t="str" cm="1">
        <f t="array" ref="C48">INDEX(DataTitel_liste,ANOVA_valg[[#This Row],[Variabel ID]])</f>
        <v>Eksempel 2 (interval)</v>
      </c>
      <c r="D48" s="188">
        <f>_xlfn.AGGREGATE(2,5,ANOVA_valg[[#This Row],[Tabel ID]])</f>
        <v>1</v>
      </c>
    </row>
    <row r="49" spans="1:4" hidden="1" x14ac:dyDescent="0.2">
      <c r="A49">
        <v>39</v>
      </c>
      <c r="B49" s="188">
        <f t="shared" si="1"/>
        <v>3</v>
      </c>
      <c r="C49" t="str" cm="1">
        <f t="array" ref="C49">INDEX(DataTitel_liste,ANOVA_valg[[#This Row],[Variabel ID]])</f>
        <v>Eksempel 3 (nominal)</v>
      </c>
      <c r="D49" s="188">
        <f>_xlfn.AGGREGATE(2,5,ANOVA_valg[[#This Row],[Tabel ID]])</f>
        <v>0</v>
      </c>
    </row>
    <row r="50" spans="1:4" x14ac:dyDescent="0.2">
      <c r="A50">
        <v>40</v>
      </c>
      <c r="B50" s="188">
        <f t="shared" si="1"/>
        <v>4</v>
      </c>
      <c r="C50" t="str" cm="1">
        <f t="array" ref="C50">INDEX(DataTitel_liste,ANOVA_valg[[#This Row],[Variabel ID]])</f>
        <v>Eksempel 4 (nominal)</v>
      </c>
      <c r="D50" s="188">
        <f>_xlfn.AGGREGATE(2,5,ANOVA_valg[[#This Row],[Tabel ID]])</f>
        <v>1</v>
      </c>
    </row>
    <row r="51" spans="1:4" x14ac:dyDescent="0.2">
      <c r="A51">
        <v>41</v>
      </c>
      <c r="B51" s="188">
        <f t="shared" si="1"/>
        <v>1</v>
      </c>
      <c r="C51" t="str" cm="1">
        <f t="array" ref="C51">INDEX(DataTitel_liste,ANOVA_valg[[#This Row],[Variabel ID]])</f>
        <v>Eksempel 1 (interval)</v>
      </c>
      <c r="D51" s="188">
        <f>_xlfn.AGGREGATE(2,5,ANOVA_valg[[#This Row],[Tabel ID]])</f>
        <v>1</v>
      </c>
    </row>
    <row r="52" spans="1:4" x14ac:dyDescent="0.2">
      <c r="A52">
        <v>42</v>
      </c>
      <c r="B52" s="188">
        <f t="shared" si="1"/>
        <v>2</v>
      </c>
      <c r="C52" t="str" cm="1">
        <f t="array" ref="C52">INDEX(DataTitel_liste,ANOVA_valg[[#This Row],[Variabel ID]])</f>
        <v>Eksempel 2 (interval)</v>
      </c>
      <c r="D52" s="188">
        <f>_xlfn.AGGREGATE(2,5,ANOVA_valg[[#This Row],[Tabel ID]])</f>
        <v>1</v>
      </c>
    </row>
    <row r="53" spans="1:4" hidden="1" x14ac:dyDescent="0.2">
      <c r="A53">
        <v>43</v>
      </c>
      <c r="B53" s="188">
        <f t="shared" si="1"/>
        <v>3</v>
      </c>
      <c r="C53" t="str" cm="1">
        <f t="array" ref="C53">INDEX(DataTitel_liste,ANOVA_valg[[#This Row],[Variabel ID]])</f>
        <v>Eksempel 3 (nominal)</v>
      </c>
      <c r="D53" s="188">
        <f>_xlfn.AGGREGATE(2,5,ANOVA_valg[[#This Row],[Tabel ID]])</f>
        <v>0</v>
      </c>
    </row>
    <row r="54" spans="1:4" x14ac:dyDescent="0.2">
      <c r="A54">
        <v>44</v>
      </c>
      <c r="B54" s="188">
        <f t="shared" si="1"/>
        <v>4</v>
      </c>
      <c r="C54" t="str" cm="1">
        <f t="array" ref="C54">INDEX(DataTitel_liste,ANOVA_valg[[#This Row],[Variabel ID]])</f>
        <v>Eksempel 4 (nominal)</v>
      </c>
      <c r="D54" s="188">
        <f>_xlfn.AGGREGATE(2,5,ANOVA_valg[[#This Row],[Tabel ID]])</f>
        <v>1</v>
      </c>
    </row>
    <row r="55" spans="1:4" x14ac:dyDescent="0.2">
      <c r="A55">
        <v>45</v>
      </c>
      <c r="B55" s="188">
        <f t="shared" si="1"/>
        <v>1</v>
      </c>
      <c r="C55" t="str" cm="1">
        <f t="array" ref="C55">INDEX(DataTitel_liste,ANOVA_valg[[#This Row],[Variabel ID]])</f>
        <v>Eksempel 1 (interval)</v>
      </c>
      <c r="D55" s="188">
        <f>_xlfn.AGGREGATE(2,5,ANOVA_valg[[#This Row],[Tabel ID]])</f>
        <v>1</v>
      </c>
    </row>
    <row r="56" spans="1:4" x14ac:dyDescent="0.2">
      <c r="A56">
        <v>46</v>
      </c>
      <c r="B56" s="188">
        <f t="shared" si="1"/>
        <v>2</v>
      </c>
      <c r="C56" t="str" cm="1">
        <f t="array" ref="C56">INDEX(DataTitel_liste,ANOVA_valg[[#This Row],[Variabel ID]])</f>
        <v>Eksempel 2 (interval)</v>
      </c>
      <c r="D56" s="188">
        <f>_xlfn.AGGREGATE(2,5,ANOVA_valg[[#This Row],[Tabel ID]])</f>
        <v>1</v>
      </c>
    </row>
    <row r="57" spans="1:4" hidden="1" x14ac:dyDescent="0.2">
      <c r="A57">
        <v>47</v>
      </c>
      <c r="B57" s="188">
        <f t="shared" si="1"/>
        <v>3</v>
      </c>
      <c r="C57" t="str" cm="1">
        <f t="array" ref="C57">INDEX(DataTitel_liste,ANOVA_valg[[#This Row],[Variabel ID]])</f>
        <v>Eksempel 3 (nominal)</v>
      </c>
      <c r="D57" s="188">
        <f>_xlfn.AGGREGATE(2,5,ANOVA_valg[[#This Row],[Tabel ID]])</f>
        <v>0</v>
      </c>
    </row>
    <row r="58" spans="1:4" x14ac:dyDescent="0.2">
      <c r="A58">
        <v>48</v>
      </c>
      <c r="B58" s="188">
        <f t="shared" si="1"/>
        <v>4</v>
      </c>
      <c r="C58" t="str" cm="1">
        <f t="array" ref="C58">INDEX(DataTitel_liste,ANOVA_valg[[#This Row],[Variabel ID]])</f>
        <v>Eksempel 4 (nominal)</v>
      </c>
      <c r="D58" s="188">
        <f>_xlfn.AGGREGATE(2,5,ANOVA_valg[[#This Row],[Tabel ID]])</f>
        <v>1</v>
      </c>
    </row>
    <row r="59" spans="1:4" x14ac:dyDescent="0.2">
      <c r="A59">
        <v>49</v>
      </c>
      <c r="B59" s="188">
        <f t="shared" si="1"/>
        <v>1</v>
      </c>
      <c r="C59" t="str" cm="1">
        <f t="array" ref="C59">INDEX(DataTitel_liste,ANOVA_valg[[#This Row],[Variabel ID]])</f>
        <v>Eksempel 1 (interval)</v>
      </c>
      <c r="D59" s="188">
        <f>_xlfn.AGGREGATE(2,5,ANOVA_valg[[#This Row],[Tabel ID]])</f>
        <v>1</v>
      </c>
    </row>
    <row r="60" spans="1:4" x14ac:dyDescent="0.2">
      <c r="A60">
        <v>50</v>
      </c>
      <c r="B60" s="188">
        <f t="shared" si="1"/>
        <v>2</v>
      </c>
      <c r="C60" t="str" cm="1">
        <f t="array" ref="C60">INDEX(DataTitel_liste,ANOVA_valg[[#This Row],[Variabel ID]])</f>
        <v>Eksempel 2 (interval)</v>
      </c>
      <c r="D60" s="188">
        <f>_xlfn.AGGREGATE(2,5,ANOVA_valg[[#This Row],[Tabel ID]])</f>
        <v>1</v>
      </c>
    </row>
    <row r="61" spans="1:4" x14ac:dyDescent="0.2">
      <c r="B61" s="188"/>
      <c r="C61" s="188"/>
      <c r="D61" s="188"/>
    </row>
    <row r="62" spans="1:4" x14ac:dyDescent="0.2">
      <c r="B62" s="188"/>
      <c r="C62" s="188"/>
      <c r="D62" s="188"/>
    </row>
    <row r="63" spans="1:4" x14ac:dyDescent="0.2">
      <c r="B63" s="188"/>
      <c r="C63" s="188"/>
      <c r="D63" s="188"/>
    </row>
    <row r="64" spans="1:4" x14ac:dyDescent="0.2">
      <c r="B64" s="188"/>
      <c r="C64" s="188"/>
      <c r="D64" s="188"/>
    </row>
    <row r="65" spans="2:4" x14ac:dyDescent="0.2">
      <c r="B65" s="188"/>
      <c r="C65" s="188"/>
      <c r="D65" s="188"/>
    </row>
  </sheetData>
  <phoneticPr fontId="15"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208A5-27E6-4A6A-B311-782EF1348BEA}">
  <sheetPr codeName="Sheet15">
    <tabColor theme="3"/>
  </sheetPr>
  <dimension ref="A1:AE43"/>
  <sheetViews>
    <sheetView showGridLines="0" zoomScaleNormal="100" workbookViewId="0"/>
  </sheetViews>
  <sheetFormatPr defaultRowHeight="14.25" x14ac:dyDescent="0.2"/>
  <cols>
    <col min="1" max="2" width="40.875" style="30" customWidth="1"/>
    <col min="3" max="3" width="33.625" style="30" bestFit="1" customWidth="1"/>
    <col min="4" max="4" width="33.625" style="30" customWidth="1"/>
    <col min="5" max="5" width="12.625" style="30" customWidth="1"/>
    <col min="6" max="7" width="40.875" style="30" customWidth="1"/>
    <col min="8" max="9" width="33.625" style="30" customWidth="1"/>
    <col min="10" max="10" width="12.625" style="30" customWidth="1"/>
    <col min="11" max="12" width="40.875" style="30" customWidth="1"/>
    <col min="13" max="14" width="33.625" style="30" customWidth="1"/>
    <col min="15" max="15" width="12.625" customWidth="1"/>
    <col min="16" max="16" width="20.75" style="30" customWidth="1"/>
    <col min="17" max="17" width="19.25" style="30" customWidth="1"/>
    <col min="18" max="18" width="1.625" style="30" customWidth="1"/>
    <col min="19" max="21" width="16" style="30" customWidth="1"/>
    <col min="22" max="22" width="28.875" style="30" customWidth="1"/>
    <col min="23" max="23" width="16" style="30" customWidth="1"/>
    <col min="24" max="24" width="28.875" style="30" customWidth="1"/>
    <col min="25" max="25" width="12.625" customWidth="1"/>
    <col min="26" max="26" width="39.75" bestFit="1" customWidth="1"/>
    <col min="27" max="27" width="18.875" bestFit="1" customWidth="1"/>
    <col min="28" max="28" width="31.375" bestFit="1" customWidth="1"/>
    <col min="29" max="29" width="33" bestFit="1" customWidth="1"/>
    <col min="30" max="30" width="12.25" bestFit="1" customWidth="1"/>
    <col min="31" max="31" width="28.25" bestFit="1" customWidth="1"/>
  </cols>
  <sheetData>
    <row r="1" spans="1:31" s="1" customFormat="1" ht="18.75" x14ac:dyDescent="0.2">
      <c r="A1" s="111" t="s">
        <v>395</v>
      </c>
      <c r="B1" s="115" t="s">
        <v>396</v>
      </c>
    </row>
    <row r="2" spans="1:31" x14ac:dyDescent="0.2">
      <c r="A2" s="4" t="s">
        <v>428</v>
      </c>
      <c r="B2"/>
      <c r="C2"/>
      <c r="D2"/>
      <c r="E2"/>
      <c r="F2"/>
      <c r="G2"/>
      <c r="H2"/>
      <c r="I2"/>
      <c r="J2"/>
      <c r="K2"/>
      <c r="L2"/>
      <c r="M2"/>
      <c r="N2"/>
      <c r="P2"/>
      <c r="Q2"/>
      <c r="R2"/>
      <c r="S2"/>
      <c r="T2"/>
      <c r="U2"/>
      <c r="V2"/>
      <c r="W2"/>
      <c r="X2"/>
    </row>
    <row r="3" spans="1:31" x14ac:dyDescent="0.2">
      <c r="A3"/>
      <c r="B3"/>
      <c r="C3"/>
      <c r="D3"/>
      <c r="E3"/>
      <c r="F3"/>
      <c r="G3"/>
      <c r="H3"/>
      <c r="I3"/>
      <c r="J3"/>
      <c r="K3"/>
      <c r="L3"/>
      <c r="M3"/>
      <c r="N3"/>
      <c r="P3"/>
      <c r="Q3"/>
      <c r="R3"/>
      <c r="S3"/>
      <c r="T3"/>
      <c r="U3"/>
      <c r="V3"/>
      <c r="W3"/>
      <c r="X3"/>
    </row>
    <row r="4" spans="1:31" x14ac:dyDescent="0.2">
      <c r="A4" s="3" t="s">
        <v>413</v>
      </c>
      <c r="B4"/>
      <c r="C4"/>
      <c r="D4"/>
      <c r="E4"/>
      <c r="F4" s="3" t="s">
        <v>397</v>
      </c>
      <c r="G4"/>
      <c r="H4"/>
      <c r="I4"/>
      <c r="J4"/>
      <c r="K4" s="3" t="s">
        <v>562</v>
      </c>
      <c r="L4"/>
      <c r="M4"/>
      <c r="N4"/>
      <c r="P4" s="3" t="s">
        <v>410</v>
      </c>
      <c r="Q4"/>
      <c r="R4"/>
      <c r="S4"/>
      <c r="T4"/>
      <c r="U4"/>
      <c r="V4"/>
      <c r="W4"/>
      <c r="X4"/>
      <c r="Z4" s="3" t="s">
        <v>564</v>
      </c>
    </row>
    <row r="5" spans="1:31" x14ac:dyDescent="0.2">
      <c r="A5" s="100" t="s">
        <v>138</v>
      </c>
      <c r="B5" s="58" t="s">
        <v>392</v>
      </c>
      <c r="C5" s="58" t="s">
        <v>556</v>
      </c>
      <c r="D5" s="58" t="s">
        <v>557</v>
      </c>
      <c r="E5"/>
      <c r="F5" s="100" t="s">
        <v>138</v>
      </c>
      <c r="G5" s="58" t="s">
        <v>392</v>
      </c>
      <c r="H5" s="58" t="s">
        <v>556</v>
      </c>
      <c r="I5" s="58" t="s">
        <v>557</v>
      </c>
      <c r="J5"/>
      <c r="K5" s="100" t="s">
        <v>138</v>
      </c>
      <c r="L5" s="58" t="s">
        <v>392</v>
      </c>
      <c r="M5" s="58" t="s">
        <v>556</v>
      </c>
      <c r="N5" s="58" t="s">
        <v>557</v>
      </c>
      <c r="P5" s="100" t="s">
        <v>138</v>
      </c>
      <c r="Q5" s="100" t="s">
        <v>373</v>
      </c>
      <c r="R5"/>
      <c r="S5"/>
      <c r="T5"/>
      <c r="U5"/>
      <c r="V5"/>
      <c r="W5"/>
      <c r="X5"/>
      <c r="Z5" s="100" t="s">
        <v>138</v>
      </c>
      <c r="AA5" s="58" t="s">
        <v>392</v>
      </c>
      <c r="AB5" s="58" t="s">
        <v>556</v>
      </c>
      <c r="AC5" s="58" t="s">
        <v>557</v>
      </c>
    </row>
    <row r="6" spans="1:31" x14ac:dyDescent="0.2">
      <c r="A6" s="58" t="s">
        <v>0</v>
      </c>
      <c r="B6" s="77">
        <v>1</v>
      </c>
      <c r="C6" s="109">
        <f ca="1">AVERAGE(_xlfn.ANCHORARRAY(B14))</f>
        <v>1</v>
      </c>
      <c r="D6" s="109">
        <f ca="1">AVERAGE(_xlfn.ANCHORARRAY(D14))</f>
        <v>1.2258273875745325</v>
      </c>
      <c r="E6"/>
      <c r="F6" s="58" t="s">
        <v>338</v>
      </c>
      <c r="G6" s="78">
        <v>0.5</v>
      </c>
      <c r="H6" s="105">
        <f ca="1">COUNTIF(_xlfn.ANCHORARRAY(G14),TRUE)/COUNTA(_xlfn.ANCHORARRAY(G14))</f>
        <v>0.5</v>
      </c>
      <c r="I6" s="105">
        <f ca="1">COUNTIF(_xlfn.ANCHORARRAY(I14),TRUE)/COUNTA(_xlfn.ANCHORARRAY(I14))</f>
        <v>0.33333333333333331</v>
      </c>
      <c r="J6"/>
      <c r="K6" s="58" t="s">
        <v>45</v>
      </c>
      <c r="L6" s="77">
        <v>1</v>
      </c>
      <c r="M6" s="109">
        <f ca="1">MIN(_xlfn.ANCHORARRAY(L14))</f>
        <v>1</v>
      </c>
      <c r="N6" s="103">
        <f ca="1">MIN(_xlfn.ANCHORARRAY(N14))</f>
        <v>1</v>
      </c>
      <c r="P6" s="59" t="s">
        <v>550</v>
      </c>
      <c r="Q6" s="108">
        <f>SUM(Gen_input_ordinal[Ønsket frekvens])</f>
        <v>14</v>
      </c>
      <c r="R6"/>
      <c r="S6"/>
      <c r="T6"/>
      <c r="U6"/>
      <c r="V6"/>
      <c r="W6"/>
      <c r="X6"/>
      <c r="Z6" s="58" t="s">
        <v>0</v>
      </c>
      <c r="AA6" s="77">
        <v>1</v>
      </c>
      <c r="AB6" s="109">
        <f ca="1">AVERAGE(_xlfn.ANCHORARRAY(AC14))</f>
        <v>0.99999999999999944</v>
      </c>
      <c r="AC6" s="109">
        <f ca="1">AVERAGE(_xlfn.ANCHORARRAY(AE14))</f>
        <v>1.5604577867115494</v>
      </c>
    </row>
    <row r="7" spans="1:31" x14ac:dyDescent="0.2">
      <c r="A7" s="58" t="s">
        <v>1</v>
      </c>
      <c r="B7" s="77">
        <v>1</v>
      </c>
      <c r="C7" s="109">
        <f ca="1">_xlfn.STDEV.P(_xlfn.ANCHORARRAY(B14))</f>
        <v>1.0000000000000004</v>
      </c>
      <c r="D7" s="109">
        <f ca="1">_xlfn.STDEV.S(_xlfn.ANCHORARRAY(D14))</f>
        <v>0.99965908779662049</v>
      </c>
      <c r="E7"/>
      <c r="F7" s="100" t="s">
        <v>551</v>
      </c>
      <c r="G7" s="102">
        <f>VALUE(RIGHT(TEXT(G6,"?????????????/?????????????"),LEN(TEXT(G6,"?????????????/?????????????"))-FIND("/",TEXT(G6,"?????????????/?????????????"))))</f>
        <v>2</v>
      </c>
      <c r="H7" s="102"/>
      <c r="I7" s="102"/>
      <c r="J7"/>
      <c r="K7" s="58" t="s">
        <v>414</v>
      </c>
      <c r="L7" s="77">
        <v>2</v>
      </c>
      <c r="M7" s="109">
        <f ca="1">MAX(_xlfn.ANCHORARRAY(L14))</f>
        <v>2</v>
      </c>
      <c r="N7" s="103">
        <f ca="1">MAX(_xlfn.ANCHORARRAY(N14))</f>
        <v>2</v>
      </c>
      <c r="P7" s="58" t="s">
        <v>437</v>
      </c>
      <c r="Q7" s="171">
        <v>3</v>
      </c>
      <c r="R7"/>
      <c r="S7"/>
      <c r="T7"/>
      <c r="U7"/>
      <c r="V7"/>
      <c r="W7"/>
      <c r="X7"/>
      <c r="Z7" s="58" t="s">
        <v>1</v>
      </c>
      <c r="AA7" s="77">
        <v>1</v>
      </c>
      <c r="AB7" s="109">
        <f ca="1">_xlfn.STDEV.P(_xlfn.ANCHORARRAY(AC14))</f>
        <v>1.0000000000000018</v>
      </c>
      <c r="AC7" s="109">
        <f ca="1">_xlfn.STDEV.S(_xlfn.ANCHORARRAY(AE14))</f>
        <v>0.92607907816744361</v>
      </c>
    </row>
    <row r="8" spans="1:31" x14ac:dyDescent="0.2">
      <c r="A8" s="58" t="s">
        <v>550</v>
      </c>
      <c r="B8" s="97">
        <v>5</v>
      </c>
      <c r="C8" s="172">
        <f ca="1">COUNT(_xlfn.ANCHORARRAY(B14))</f>
        <v>5</v>
      </c>
      <c r="D8" s="102"/>
      <c r="E8"/>
      <c r="F8" s="58" t="s">
        <v>550</v>
      </c>
      <c r="G8" s="171">
        <v>5</v>
      </c>
      <c r="H8" s="172">
        <f>ROUNDUP(G8/G7,0)*G7</f>
        <v>6</v>
      </c>
      <c r="I8" s="102"/>
      <c r="J8"/>
      <c r="K8" s="58" t="s">
        <v>550</v>
      </c>
      <c r="L8" s="171">
        <v>5</v>
      </c>
      <c r="M8" s="102"/>
      <c r="N8" s="102"/>
      <c r="P8"/>
      <c r="Q8"/>
      <c r="R8"/>
      <c r="S8"/>
      <c r="T8"/>
      <c r="U8"/>
      <c r="V8"/>
      <c r="W8"/>
      <c r="X8"/>
      <c r="Z8" s="58" t="s">
        <v>550</v>
      </c>
      <c r="AA8" s="97">
        <v>10</v>
      </c>
      <c r="AB8" s="172">
        <f ca="1">COUNT(_xlfn.ANCHORARRAY(AC14))</f>
        <v>10</v>
      </c>
      <c r="AC8" s="102"/>
    </row>
    <row r="9" spans="1:31" x14ac:dyDescent="0.2">
      <c r="A9" s="58" t="s">
        <v>437</v>
      </c>
      <c r="B9" s="97">
        <v>3</v>
      </c>
      <c r="C9" s="102"/>
      <c r="D9" s="102"/>
      <c r="E9"/>
      <c r="F9" s="58" t="s">
        <v>437</v>
      </c>
      <c r="G9" s="171">
        <v>3</v>
      </c>
      <c r="H9" s="102"/>
      <c r="I9" s="102"/>
      <c r="J9"/>
      <c r="K9" s="58" t="s">
        <v>437</v>
      </c>
      <c r="L9" s="171">
        <v>3</v>
      </c>
      <c r="M9" s="102"/>
      <c r="N9" s="102"/>
      <c r="P9"/>
      <c r="Q9"/>
      <c r="R9"/>
      <c r="S9"/>
      <c r="T9"/>
      <c r="U9"/>
      <c r="V9"/>
      <c r="W9"/>
      <c r="X9"/>
      <c r="Z9" s="58" t="s">
        <v>437</v>
      </c>
      <c r="AA9" s="97">
        <v>3</v>
      </c>
      <c r="AB9" s="102"/>
      <c r="AC9" s="102"/>
    </row>
    <row r="10" spans="1:31" x14ac:dyDescent="0.2">
      <c r="A10"/>
      <c r="B10"/>
      <c r="C10"/>
      <c r="D10"/>
      <c r="E10"/>
      <c r="F10"/>
      <c r="G10"/>
      <c r="H10"/>
      <c r="I10"/>
      <c r="J10"/>
      <c r="K10"/>
      <c r="L10"/>
      <c r="M10"/>
      <c r="N10"/>
      <c r="Y10" s="30"/>
      <c r="Z10" s="100" t="s">
        <v>567</v>
      </c>
      <c r="AA10" s="2" t="b">
        <v>0</v>
      </c>
      <c r="AB10" s="102">
        <f ca="1">_xlfn.SKEW.P(_xlfn.ANCHORARRAY(AC14))</f>
        <v>-0.95677359702063236</v>
      </c>
      <c r="AC10" s="102">
        <f ca="1">SKEW(_xlfn.ANCHORARRAY(AE14))</f>
        <v>-1.7234227518790664</v>
      </c>
    </row>
    <row r="11" spans="1:31" x14ac:dyDescent="0.2">
      <c r="A11"/>
      <c r="B11"/>
      <c r="C11"/>
      <c r="D11"/>
      <c r="E11"/>
      <c r="F11"/>
      <c r="G11"/>
      <c r="H11"/>
      <c r="I11"/>
      <c r="J11"/>
      <c r="K11"/>
      <c r="L11"/>
      <c r="M11"/>
      <c r="N11"/>
      <c r="Y11" s="30"/>
      <c r="Z11" s="30"/>
      <c r="AA11" s="30"/>
      <c r="AB11" s="30"/>
      <c r="AC11" s="30"/>
      <c r="AD11" s="30"/>
    </row>
    <row r="12" spans="1:31" x14ac:dyDescent="0.2">
      <c r="A12" s="3" t="s">
        <v>553</v>
      </c>
      <c r="B12"/>
      <c r="C12"/>
      <c r="D12"/>
      <c r="E12"/>
      <c r="F12" s="3" t="s">
        <v>554</v>
      </c>
      <c r="G12"/>
      <c r="H12"/>
      <c r="I12"/>
      <c r="J12"/>
      <c r="K12" s="3" t="s">
        <v>563</v>
      </c>
      <c r="L12"/>
      <c r="M12"/>
      <c r="N12"/>
      <c r="P12" s="3" t="s">
        <v>410</v>
      </c>
      <c r="S12" s="3" t="s">
        <v>566</v>
      </c>
      <c r="Y12" s="30"/>
      <c r="Z12" s="3" t="s">
        <v>568</v>
      </c>
    </row>
    <row r="13" spans="1:31" x14ac:dyDescent="0.2">
      <c r="A13" s="124" t="s">
        <v>391</v>
      </c>
      <c r="B13" s="174" t="s">
        <v>549</v>
      </c>
      <c r="C13" s="124" t="s">
        <v>391</v>
      </c>
      <c r="D13" s="174" t="s">
        <v>555</v>
      </c>
      <c r="E13"/>
      <c r="F13" s="124" t="s">
        <v>391</v>
      </c>
      <c r="G13" s="174" t="s">
        <v>552</v>
      </c>
      <c r="H13" s="124" t="s">
        <v>391</v>
      </c>
      <c r="I13" s="174" t="s">
        <v>555</v>
      </c>
      <c r="J13"/>
      <c r="K13" s="124" t="s">
        <v>391</v>
      </c>
      <c r="L13" s="174" t="s">
        <v>558</v>
      </c>
      <c r="M13" s="124" t="s">
        <v>391</v>
      </c>
      <c r="N13" s="174" t="s">
        <v>555</v>
      </c>
      <c r="P13" s="30" t="s">
        <v>412</v>
      </c>
      <c r="Q13" s="30" t="s">
        <v>411</v>
      </c>
      <c r="R13"/>
      <c r="S13" s="125" t="s">
        <v>560</v>
      </c>
      <c r="T13" s="125" t="s">
        <v>559</v>
      </c>
      <c r="U13" s="124" t="s">
        <v>391</v>
      </c>
      <c r="V13" s="174" t="s">
        <v>561</v>
      </c>
      <c r="W13" s="124" t="s">
        <v>391</v>
      </c>
      <c r="X13" s="174" t="s">
        <v>555</v>
      </c>
      <c r="Z13" s="124" t="s">
        <v>391</v>
      </c>
      <c r="AA13" s="124" t="s">
        <v>391</v>
      </c>
      <c r="AB13" s="124" t="s">
        <v>565</v>
      </c>
      <c r="AC13" s="174" t="s">
        <v>569</v>
      </c>
      <c r="AD13" s="124" t="s">
        <v>391</v>
      </c>
      <c r="AE13" s="174" t="s">
        <v>555</v>
      </c>
    </row>
    <row r="14" spans="1:31" x14ac:dyDescent="0.2">
      <c r="A14" s="173" cm="1">
        <f t="array" aca="1" ref="A14:A18" ca="1">_xlfn.RANDARRAY(B8)</f>
        <v>0.70040057053822058</v>
      </c>
      <c r="B14" s="173" cm="1">
        <f t="array" aca="1" ref="B14:B18" ca="1">_xlfn.ANCHORARRAY(A14)*($B$7/_xlfn.STDEV.P(_xlfn.ANCHORARRAY(A14)))+$B$6-AVERAGE(_xlfn.ANCHORARRAY(A14))*($B$7/_xlfn.STDEV.P(_xlfn.ANCHORARRAY(A14)))</f>
        <v>1.8055662088864812</v>
      </c>
      <c r="C14" s="173" cm="1">
        <f t="array" aca="1" ref="C14:C18" ca="1">_xlfn.RANDARRAY(B8)</f>
        <v>0.60558822817689784</v>
      </c>
      <c r="D14" s="173" cm="1">
        <f t="array" aca="1" ref="D14:D16" ca="1">_xlfn._xlws.FILTER(_xlfn.SORTBY(_xlfn.ANCHORARRAY(B14),_xlfn.ANCHORARRAY(C14)),_xlfn.SEQUENCE(B8)&lt;=B9)</f>
        <v>1.6144875086948938</v>
      </c>
      <c r="E14"/>
      <c r="F14" s="173" cm="1">
        <f t="array" aca="1" ref="F14:F19" ca="1">_xlfn.RANDARRAY(H8)</f>
        <v>0.32882504455764883</v>
      </c>
      <c r="G14" s="173" t="b" cm="1">
        <f t="array" aca="1" ref="G14:G19" ca="1">_xlfn.ANCHORARRAY(F14)&lt;=_xlfn.PERCENTILE.INC(_xlfn.ANCHORARRAY(F14),G6)</f>
        <v>1</v>
      </c>
      <c r="H14" s="173" cm="1">
        <f t="array" aca="1" ref="H14:H19" ca="1">_xlfn.RANDARRAY(H8)</f>
        <v>0.79761811905721469</v>
      </c>
      <c r="I14" s="173" t="b" cm="1">
        <f t="array" aca="1" ref="I14:I16" ca="1">_xlfn._xlws.FILTER(_xlfn.SORTBY(_xlfn.ANCHORARRAY(G14),_xlfn.ANCHORARRAY(H14)),_xlfn.SEQUENCE(H8)&lt;=G9)</f>
        <v>1</v>
      </c>
      <c r="J14"/>
      <c r="K14" s="173" cm="1">
        <f t="array" aca="1" ref="K14:K18" ca="1">_xlfn.RANDARRAY(L8)</f>
        <v>6.5954913434594031E-2</v>
      </c>
      <c r="L14" s="173" cm="1">
        <f t="array" aca="1" ref="L14:L18" ca="1">L6+(_xlfn.XMATCH(_xlfn.ANCHORARRAY(K14),_xlfn._xlws.SORT(_xlfn.ANCHORARRAY(K14)))-1)/(COUNT(_xlfn.ANCHORARRAY(K14))-1)*(L7-L6)</f>
        <v>1</v>
      </c>
      <c r="M14" s="173" cm="1">
        <f t="array" aca="1" ref="M14:M18" ca="1">_xlfn.RANDARRAY(L8)</f>
        <v>0.30433099053535551</v>
      </c>
      <c r="N14" s="173" cm="1">
        <f t="array" aca="1" ref="N14:N16" ca="1">_xlfn._xlws.FILTER(_xlfn.SORTBY(_xlfn.ANCHORARRAY(L14),_xlfn.ANCHORARRAY(M14)),_xlfn.SEQUENCE(L8)&lt;=L9)</f>
        <v>1</v>
      </c>
      <c r="P14" s="30">
        <v>0.5</v>
      </c>
      <c r="Q14" s="30">
        <v>1</v>
      </c>
      <c r="R14"/>
      <c r="S14" s="176" cm="1">
        <f t="array" ref="S14:S21">_xlfn.SEQUENCE(COUNTA(Gen_input_ordinal[Observationsværdi]))</f>
        <v>1</v>
      </c>
      <c r="T14" s="176" cm="1">
        <f t="array" ref="T14:T21">SUMIF(_xlfn.ANCHORARRAY(S14),"&lt;="&amp;_xlfn.ANCHORARRAY(S14),Gen_input_ordinal[Ønsket frekvens])</f>
        <v>1</v>
      </c>
      <c r="U14" s="176" cm="1">
        <f t="array" aca="1" ref="U14:U27" ca="1">_xlfn.RANDARRAY(SUM(Gen_input_ordinal[Ønsket frekvens]))</f>
        <v>0.18418226140868565</v>
      </c>
      <c r="V14" s="176" cm="1">
        <f t="array" aca="1" ref="V14:V27" ca="1">INDEX(Gen_input_ordinal[Observationsværdi],_xlfn.XMATCH(_xlfn.XMATCH(_xlfn.ANCHORARRAY(U14),_xlfn._xlws.SORT(_xlfn.ANCHORARRAY(U14))),_xlfn.ANCHORARRAY(T14),1))</f>
        <v>1.5</v>
      </c>
      <c r="W14" s="176" cm="1">
        <f t="array" aca="1" ref="W14:W27" ca="1">_xlfn.RANDARRAY(Q6)</f>
        <v>3.9530520395808955E-2</v>
      </c>
      <c r="X14" s="176" cm="1">
        <f t="array" aca="1" ref="X14:X16" ca="1">_xlfn._xlws.FILTER(_xlfn.SORTBY(_xlfn.ANCHORARRAY(V14),_xlfn.ANCHORARRAY(W14)),_xlfn.SEQUENCE(Q6)&lt;=Q7)</f>
        <v>1.5</v>
      </c>
      <c r="Z14" s="176" cm="1">
        <f t="array" aca="1" ref="Z14:Z23" ca="1">_xlfn.RANDARRAY(AA8)</f>
        <v>0.89563096284127131</v>
      </c>
      <c r="AA14" s="176" cm="1">
        <f t="array" aca="1" ref="AA14:AA23" ca="1">_xlfn.RANDARRAY(AA8)</f>
        <v>0.98450196648090094</v>
      </c>
      <c r="AB14" s="176" cm="1">
        <f t="array" aca="1" ref="AB14:AB23" ca="1">IF(_xlfn.ANCHORARRAY(Z14)&gt;_xlfn.ANCHORARRAY(AA14),_xlfn.ANCHORARRAY(Z14),_xlfn.ANCHORARRAY(AA14))</f>
        <v>0.98450196648090094</v>
      </c>
      <c r="AC14" s="176" cm="1">
        <f t="array" aca="1" ref="AC14:AC23" ca="1">IF($AA$10,-1,1)*(_xlfn.ANCHORARRAY(AB14)*($AA$7/_xlfn.STDEV.P(_xlfn.ANCHORARRAY(AB14)))+$AA$6-AVERAGE(_xlfn.ANCHORARRAY(AB14))*($AA$7/_xlfn.STDEV.P(_xlfn.ANCHORARRAY(AB14))))</f>
        <v>2.1256526149022781</v>
      </c>
      <c r="AD14" s="176" cm="1">
        <f t="array" aca="1" ref="AD14:AD23" ca="1">_xlfn.RANDARRAY(AA8)</f>
        <v>0.17122815261957025</v>
      </c>
      <c r="AE14" s="176" cm="1">
        <f t="array" aca="1" ref="AE14:AE16" ca="1">_xlfn._xlws.FILTER(_xlfn.SORTBY(_xlfn.ANCHORARRAY(AC14),_xlfn.ANCHORARRAY(AD14)),_xlfn.SEQUENCE(AA8)&lt;=AA9)</f>
        <v>2.0640146600555536</v>
      </c>
    </row>
    <row r="15" spans="1:31" x14ac:dyDescent="0.2">
      <c r="A15" s="173">
        <f ca="1"/>
        <v>0.33752919596739672</v>
      </c>
      <c r="B15" s="173">
        <f ca="1"/>
        <v>-0.48304837161007841</v>
      </c>
      <c r="C15" s="173">
        <f ca="1"/>
        <v>0.46560182715288856</v>
      </c>
      <c r="D15" s="173">
        <f ca="1"/>
        <v>9.0207905793438847E-2</v>
      </c>
      <c r="E15"/>
      <c r="F15" s="173">
        <f ca="1"/>
        <v>0.13627959665182821</v>
      </c>
      <c r="G15" s="173" t="b">
        <f ca="1"/>
        <v>1</v>
      </c>
      <c r="H15" s="173">
        <f ca="1"/>
        <v>0.65487080858367586</v>
      </c>
      <c r="I15" s="173" t="b">
        <f ca="1"/>
        <v>0</v>
      </c>
      <c r="J15"/>
      <c r="K15" s="173">
        <f ca="1"/>
        <v>0.8686969836034717</v>
      </c>
      <c r="L15" s="173">
        <f ca="1"/>
        <v>1.75</v>
      </c>
      <c r="M15" s="173">
        <f ca="1"/>
        <v>0.7046179550451046</v>
      </c>
      <c r="N15" s="173">
        <f ca="1"/>
        <v>2</v>
      </c>
      <c r="P15" s="30">
        <v>1.5</v>
      </c>
      <c r="Q15" s="30">
        <v>2</v>
      </c>
      <c r="R15"/>
      <c r="S15" s="173">
        <v>2</v>
      </c>
      <c r="T15" s="173">
        <v>3</v>
      </c>
      <c r="U15" s="173">
        <f ca="1"/>
        <v>0.41855239085457208</v>
      </c>
      <c r="V15" s="173">
        <f ca="1"/>
        <v>3.5</v>
      </c>
      <c r="W15" s="173">
        <f ca="1"/>
        <v>0.49879341893575924</v>
      </c>
      <c r="X15" s="173">
        <f ca="1"/>
        <v>4.5</v>
      </c>
      <c r="Z15" s="173">
        <f ca="1"/>
        <v>0.97036441309360599</v>
      </c>
      <c r="AA15" s="173">
        <f ca="1"/>
        <v>0.91268877231504764</v>
      </c>
      <c r="AB15" s="173">
        <f ca="1"/>
        <v>0.97036441309360599</v>
      </c>
      <c r="AC15" s="173">
        <f ca="1"/>
        <v>2.0640146600555536</v>
      </c>
      <c r="AD15" s="173">
        <f ca="1"/>
        <v>8.8689886656772021E-2</v>
      </c>
      <c r="AE15" s="173">
        <f ca="1"/>
        <v>0.49170608517681691</v>
      </c>
    </row>
    <row r="16" spans="1:31" x14ac:dyDescent="0.2">
      <c r="A16" s="173">
        <f ca="1"/>
        <v>0.72691422971310971</v>
      </c>
      <c r="B16" s="173">
        <f ca="1"/>
        <v>1.972786748235265</v>
      </c>
      <c r="C16" s="173">
        <f ca="1"/>
        <v>0.38602574569275716</v>
      </c>
      <c r="D16" s="173">
        <f ca="1"/>
        <v>1.972786748235265</v>
      </c>
      <c r="E16"/>
      <c r="F16" s="173">
        <f ca="1"/>
        <v>0.39487047621759763</v>
      </c>
      <c r="G16" s="173" t="b">
        <f ca="1"/>
        <v>0</v>
      </c>
      <c r="H16" s="173">
        <f ca="1"/>
        <v>0.30720511685445051</v>
      </c>
      <c r="I16" s="173" t="b">
        <f ca="1"/>
        <v>0</v>
      </c>
      <c r="J16"/>
      <c r="K16" s="173">
        <f ca="1"/>
        <v>0.10129604653340718</v>
      </c>
      <c r="L16" s="173">
        <f ca="1"/>
        <v>1.25</v>
      </c>
      <c r="M16" s="173">
        <f ca="1"/>
        <v>0.31799339352649736</v>
      </c>
      <c r="N16" s="173">
        <f ca="1"/>
        <v>1.25</v>
      </c>
      <c r="P16" s="30">
        <v>2.5</v>
      </c>
      <c r="Q16" s="30">
        <v>1</v>
      </c>
      <c r="R16"/>
      <c r="S16" s="173">
        <v>3</v>
      </c>
      <c r="T16" s="173">
        <v>4</v>
      </c>
      <c r="U16" s="173">
        <f ca="1"/>
        <v>0.55407772344023165</v>
      </c>
      <c r="V16" s="173">
        <f ca="1"/>
        <v>4.5</v>
      </c>
      <c r="W16" s="173">
        <f ca="1"/>
        <v>7.4485862060193586E-2</v>
      </c>
      <c r="X16" s="173">
        <f ca="1"/>
        <v>0.5</v>
      </c>
      <c r="Z16" s="173">
        <f ca="1"/>
        <v>0.82434455410445451</v>
      </c>
      <c r="AA16" s="173">
        <f ca="1"/>
        <v>0.47925887612505935</v>
      </c>
      <c r="AB16" s="173">
        <f ca="1"/>
        <v>0.82434455410445451</v>
      </c>
      <c r="AC16" s="173">
        <f ca="1"/>
        <v>1.4273864381464652</v>
      </c>
      <c r="AD16" s="173">
        <f ca="1"/>
        <v>0.60956582720048447</v>
      </c>
      <c r="AE16" s="173">
        <f ca="1"/>
        <v>2.1256526149022781</v>
      </c>
    </row>
    <row r="17" spans="1:31" x14ac:dyDescent="0.2">
      <c r="A17" s="173">
        <f ca="1"/>
        <v>0.42842186751440492</v>
      </c>
      <c r="B17" s="173">
        <f ca="1"/>
        <v>9.0207905793438847E-2</v>
      </c>
      <c r="C17" s="173">
        <f ca="1"/>
        <v>0.34976204691289148</v>
      </c>
      <c r="D17" s="173"/>
      <c r="E17"/>
      <c r="F17" s="173">
        <f ca="1"/>
        <v>0.52386383094511002</v>
      </c>
      <c r="G17" s="173" t="b">
        <f ca="1"/>
        <v>0</v>
      </c>
      <c r="H17" s="173">
        <f ca="1"/>
        <v>5.5611371547147126E-2</v>
      </c>
      <c r="I17" s="173"/>
      <c r="J17"/>
      <c r="K17" s="173">
        <f ca="1"/>
        <v>0.14703645978314039</v>
      </c>
      <c r="L17" s="173">
        <f ca="1"/>
        <v>1.5</v>
      </c>
      <c r="M17" s="173">
        <f ca="1"/>
        <v>0.32007952513344118</v>
      </c>
      <c r="N17" s="173"/>
      <c r="P17" s="30">
        <v>3.5</v>
      </c>
      <c r="Q17" s="30">
        <v>2</v>
      </c>
      <c r="R17"/>
      <c r="S17" s="173">
        <v>4</v>
      </c>
      <c r="T17" s="173">
        <v>6</v>
      </c>
      <c r="U17" s="173">
        <f ca="1"/>
        <v>0.86463908236405596</v>
      </c>
      <c r="V17" s="173">
        <f ca="1"/>
        <v>6.5</v>
      </c>
      <c r="W17" s="173">
        <f ca="1"/>
        <v>0.45935134196357019</v>
      </c>
      <c r="X17" s="173"/>
      <c r="Z17" s="173">
        <f ca="1"/>
        <v>0.65610236157423785</v>
      </c>
      <c r="AA17" s="173">
        <f ca="1"/>
        <v>4.5966465313942217E-2</v>
      </c>
      <c r="AB17" s="173">
        <f ca="1"/>
        <v>0.65610236157423785</v>
      </c>
      <c r="AC17" s="173">
        <f ca="1"/>
        <v>0.69387163665254015</v>
      </c>
      <c r="AD17" s="173">
        <f ca="1"/>
        <v>0.84511558155000466</v>
      </c>
      <c r="AE17" s="173"/>
    </row>
    <row r="18" spans="1:31" x14ac:dyDescent="0.2">
      <c r="A18" s="173">
        <f ca="1"/>
        <v>0.67010407973517605</v>
      </c>
      <c r="B18" s="173">
        <f ca="1"/>
        <v>1.6144875086948938</v>
      </c>
      <c r="C18" s="173">
        <f ca="1"/>
        <v>0.156568782406449</v>
      </c>
      <c r="D18" s="173"/>
      <c r="E18"/>
      <c r="F18" s="173">
        <f ca="1"/>
        <v>5.1630766525668115E-2</v>
      </c>
      <c r="G18" s="173" t="b">
        <f ca="1"/>
        <v>1</v>
      </c>
      <c r="H18" s="173">
        <f ca="1"/>
        <v>3.1169545347865757E-2</v>
      </c>
      <c r="I18" s="173"/>
      <c r="J18"/>
      <c r="K18" s="173">
        <f ca="1"/>
        <v>0.99665536987383496</v>
      </c>
      <c r="L18" s="173">
        <f ca="1"/>
        <v>2</v>
      </c>
      <c r="M18" s="173">
        <f ca="1"/>
        <v>0.31384451103509647</v>
      </c>
      <c r="N18" s="173"/>
      <c r="P18" s="30">
        <v>4.5</v>
      </c>
      <c r="Q18" s="30">
        <v>3</v>
      </c>
      <c r="R18"/>
      <c r="S18" s="173">
        <v>5</v>
      </c>
      <c r="T18" s="173">
        <v>9</v>
      </c>
      <c r="U18" s="173">
        <f ca="1"/>
        <v>0.61051544750736131</v>
      </c>
      <c r="V18" s="173">
        <f ca="1"/>
        <v>4.5</v>
      </c>
      <c r="W18" s="173">
        <f ca="1"/>
        <v>0.46644448315935239</v>
      </c>
      <c r="X18" s="173"/>
      <c r="Z18" s="173">
        <f ca="1"/>
        <v>6.3751555974214114E-3</v>
      </c>
      <c r="AA18" s="173">
        <f ca="1"/>
        <v>0.60973277834962758</v>
      </c>
      <c r="AB18" s="173">
        <f ca="1"/>
        <v>0.60973277834962758</v>
      </c>
      <c r="AC18" s="173">
        <f ca="1"/>
        <v>0.49170608517681691</v>
      </c>
      <c r="AD18" s="173">
        <f ca="1"/>
        <v>0.12853543453856031</v>
      </c>
      <c r="AE18" s="173"/>
    </row>
    <row r="19" spans="1:31" x14ac:dyDescent="0.2">
      <c r="A19" s="173"/>
      <c r="B19" s="173"/>
      <c r="C19" s="173"/>
      <c r="D19" s="173"/>
      <c r="E19"/>
      <c r="F19" s="173">
        <f ca="1"/>
        <v>0.65037215006272908</v>
      </c>
      <c r="G19" s="173" t="b">
        <f ca="1"/>
        <v>0</v>
      </c>
      <c r="H19" s="173">
        <f ca="1"/>
        <v>0.3194769764485792</v>
      </c>
      <c r="I19" s="173"/>
      <c r="J19"/>
      <c r="K19" s="173"/>
      <c r="L19" s="173"/>
      <c r="M19" s="173"/>
      <c r="N19" s="173"/>
      <c r="P19" s="175">
        <v>5.5</v>
      </c>
      <c r="Q19" s="175">
        <v>2</v>
      </c>
      <c r="R19"/>
      <c r="S19" s="173">
        <v>6</v>
      </c>
      <c r="T19" s="173">
        <v>11</v>
      </c>
      <c r="U19" s="173">
        <f ca="1"/>
        <v>0.55228387293617587</v>
      </c>
      <c r="V19" s="173">
        <f ca="1"/>
        <v>4.5</v>
      </c>
      <c r="W19" s="173">
        <f ca="1"/>
        <v>0.9242700823485499</v>
      </c>
      <c r="X19" s="173"/>
      <c r="Z19" s="173">
        <f ca="1"/>
        <v>0.89632577568771454</v>
      </c>
      <c r="AA19" s="173">
        <f ca="1"/>
        <v>0.67530268239780078</v>
      </c>
      <c r="AB19" s="173">
        <f ca="1"/>
        <v>0.89632577568771454</v>
      </c>
      <c r="AC19" s="173">
        <f ca="1"/>
        <v>1.7412155119767547</v>
      </c>
      <c r="AD19" s="173">
        <f ca="1"/>
        <v>0.61623162183092028</v>
      </c>
      <c r="AE19" s="173"/>
    </row>
    <row r="20" spans="1:31" x14ac:dyDescent="0.2">
      <c r="A20" s="173"/>
      <c r="B20" s="173"/>
      <c r="C20" s="173"/>
      <c r="D20" s="173"/>
      <c r="E20"/>
      <c r="F20" s="173"/>
      <c r="G20" s="173"/>
      <c r="H20" s="173"/>
      <c r="I20" s="173"/>
      <c r="J20"/>
      <c r="K20" s="173"/>
      <c r="L20" s="173"/>
      <c r="M20" s="173"/>
      <c r="N20" s="173"/>
      <c r="P20" s="175">
        <v>6.5</v>
      </c>
      <c r="Q20" s="175">
        <v>2</v>
      </c>
      <c r="R20"/>
      <c r="S20" s="173">
        <v>7</v>
      </c>
      <c r="T20" s="173">
        <v>13</v>
      </c>
      <c r="U20" s="173">
        <f ca="1"/>
        <v>0.76433971733762607</v>
      </c>
      <c r="V20" s="173">
        <f ca="1"/>
        <v>5.5</v>
      </c>
      <c r="W20" s="173">
        <f ca="1"/>
        <v>0.8481338582213791</v>
      </c>
      <c r="X20" s="173"/>
      <c r="Z20" s="173">
        <f ca="1"/>
        <v>0.1559719829986046</v>
      </c>
      <c r="AA20" s="173">
        <f ca="1"/>
        <v>0.20807473246195141</v>
      </c>
      <c r="AB20" s="173">
        <f ca="1"/>
        <v>0.20807473246195141</v>
      </c>
      <c r="AC20" s="173">
        <f ca="1"/>
        <v>-1.259472482855823</v>
      </c>
      <c r="AD20" s="173">
        <f ca="1"/>
        <v>0.84261299113012522</v>
      </c>
      <c r="AE20" s="173"/>
    </row>
    <row r="21" spans="1:31" x14ac:dyDescent="0.2">
      <c r="A21" s="173"/>
      <c r="B21" s="173"/>
      <c r="C21" s="173"/>
      <c r="D21" s="173"/>
      <c r="E21"/>
      <c r="F21" s="173"/>
      <c r="G21" s="173"/>
      <c r="H21" s="173"/>
      <c r="I21" s="173"/>
      <c r="J21"/>
      <c r="K21" s="173"/>
      <c r="L21" s="173"/>
      <c r="M21" s="173"/>
      <c r="N21" s="173"/>
      <c r="P21" s="175">
        <v>7.5</v>
      </c>
      <c r="Q21" s="175">
        <v>1</v>
      </c>
      <c r="R21"/>
      <c r="S21" s="173">
        <v>8</v>
      </c>
      <c r="T21" s="173">
        <v>14</v>
      </c>
      <c r="U21" s="173">
        <f ca="1"/>
        <v>0.85674901250926538</v>
      </c>
      <c r="V21" s="173">
        <f ca="1"/>
        <v>6.5</v>
      </c>
      <c r="W21" s="173">
        <f ca="1"/>
        <v>0.92555976164040987</v>
      </c>
      <c r="X21" s="173"/>
      <c r="Z21" s="173">
        <f ca="1"/>
        <v>0.14902409664936234</v>
      </c>
      <c r="AA21" s="173">
        <f ca="1"/>
        <v>0.84324821116771398</v>
      </c>
      <c r="AB21" s="173">
        <f ca="1"/>
        <v>0.84324821116771398</v>
      </c>
      <c r="AC21" s="173">
        <f ca="1"/>
        <v>1.5098040056408708</v>
      </c>
      <c r="AD21" s="173">
        <f ca="1"/>
        <v>0.54498909459632694</v>
      </c>
      <c r="AE21" s="173"/>
    </row>
    <row r="22" spans="1:31" x14ac:dyDescent="0.2">
      <c r="A22" s="173"/>
      <c r="B22" s="173"/>
      <c r="C22" s="173"/>
      <c r="D22" s="173"/>
      <c r="E22"/>
      <c r="F22" s="173"/>
      <c r="G22" s="173"/>
      <c r="H22" s="173"/>
      <c r="I22" s="173"/>
      <c r="J22"/>
      <c r="K22" s="173"/>
      <c r="L22" s="173"/>
      <c r="M22" s="173"/>
      <c r="N22" s="173"/>
      <c r="P22" s="175"/>
      <c r="Q22" s="175"/>
      <c r="R22"/>
      <c r="S22" s="173"/>
      <c r="T22" s="173"/>
      <c r="U22" s="173">
        <f ca="1"/>
        <v>0.34092726892979486</v>
      </c>
      <c r="V22" s="173">
        <f ca="1"/>
        <v>1.5</v>
      </c>
      <c r="W22" s="173">
        <f ca="1"/>
        <v>0.74924228222051248</v>
      </c>
      <c r="X22" s="173"/>
      <c r="Z22" s="173">
        <f ca="1"/>
        <v>0.77790027234936043</v>
      </c>
      <c r="AA22" s="173">
        <f ca="1"/>
        <v>0.78354471890101274</v>
      </c>
      <c r="AB22" s="173">
        <f ca="1"/>
        <v>0.78354471890101274</v>
      </c>
      <c r="AC22" s="173">
        <f ca="1"/>
        <v>1.2495042875981568</v>
      </c>
      <c r="AD22" s="173">
        <f ca="1"/>
        <v>0.37289342902031763</v>
      </c>
      <c r="AE22" s="173"/>
    </row>
    <row r="23" spans="1:31" x14ac:dyDescent="0.2">
      <c r="A23" s="173"/>
      <c r="B23" s="173"/>
      <c r="C23" s="173"/>
      <c r="D23" s="173"/>
      <c r="E23"/>
      <c r="F23" s="173"/>
      <c r="G23" s="173"/>
      <c r="H23" s="173"/>
      <c r="I23" s="173"/>
      <c r="J23"/>
      <c r="K23" s="173"/>
      <c r="L23" s="173"/>
      <c r="M23" s="173"/>
      <c r="N23" s="173"/>
      <c r="P23" s="175"/>
      <c r="Q23" s="175"/>
      <c r="R23"/>
      <c r="S23" s="173"/>
      <c r="T23" s="173"/>
      <c r="U23" s="173">
        <f ca="1"/>
        <v>0.62634218407876663</v>
      </c>
      <c r="V23" s="173">
        <f ca="1"/>
        <v>5.5</v>
      </c>
      <c r="W23" s="173">
        <f ca="1"/>
        <v>0.71026630904345112</v>
      </c>
      <c r="X23" s="173"/>
      <c r="Z23" s="173">
        <f ca="1"/>
        <v>0.48693363028882741</v>
      </c>
      <c r="AA23" s="173">
        <f ca="1"/>
        <v>0.43701438433239681</v>
      </c>
      <c r="AB23" s="173">
        <f ca="1"/>
        <v>0.48693363028882741</v>
      </c>
      <c r="AC23" s="173">
        <f ca="1"/>
        <v>-4.3682757293618923E-2</v>
      </c>
      <c r="AD23" s="173">
        <f ca="1"/>
        <v>0.5973599570053405</v>
      </c>
      <c r="AE23" s="173"/>
    </row>
    <row r="24" spans="1:31" x14ac:dyDescent="0.2">
      <c r="A24" s="173"/>
      <c r="B24" s="173"/>
      <c r="C24" s="173"/>
      <c r="D24" s="173"/>
      <c r="E24"/>
      <c r="F24" s="173"/>
      <c r="G24" s="173"/>
      <c r="H24" s="173"/>
      <c r="I24" s="173"/>
      <c r="J24"/>
      <c r="K24" s="173"/>
      <c r="L24" s="173"/>
      <c r="M24" s="173"/>
      <c r="N24" s="173"/>
      <c r="P24" s="175"/>
      <c r="Q24" s="175"/>
      <c r="R24"/>
      <c r="S24" s="173"/>
      <c r="T24" s="173"/>
      <c r="U24" s="173">
        <f ca="1"/>
        <v>0.16343930961918529</v>
      </c>
      <c r="V24" s="173">
        <f ca="1"/>
        <v>0.5</v>
      </c>
      <c r="W24" s="173">
        <f ca="1"/>
        <v>0.30751606512169682</v>
      </c>
      <c r="X24" s="173"/>
      <c r="Z24" s="173"/>
      <c r="AA24" s="173"/>
      <c r="AB24" s="173"/>
      <c r="AC24" s="173"/>
      <c r="AD24" s="173"/>
      <c r="AE24" s="173"/>
    </row>
    <row r="25" spans="1:31" x14ac:dyDescent="0.2">
      <c r="A25" s="173"/>
      <c r="B25" s="173"/>
      <c r="C25" s="173"/>
      <c r="D25" s="173"/>
      <c r="E25"/>
      <c r="F25" s="173"/>
      <c r="G25" s="173"/>
      <c r="H25" s="173"/>
      <c r="I25" s="173"/>
      <c r="J25"/>
      <c r="K25" s="173"/>
      <c r="L25" s="173"/>
      <c r="M25" s="173"/>
      <c r="N25" s="173"/>
      <c r="P25" s="175"/>
      <c r="Q25" s="175"/>
      <c r="R25"/>
      <c r="S25" s="173"/>
      <c r="T25" s="173"/>
      <c r="U25" s="173">
        <f ca="1"/>
        <v>0.97589759759991379</v>
      </c>
      <c r="V25" s="173">
        <f ca="1"/>
        <v>7.5</v>
      </c>
      <c r="W25" s="173">
        <f ca="1"/>
        <v>0.82647914199122718</v>
      </c>
      <c r="X25" s="173"/>
      <c r="Z25" s="173"/>
      <c r="AA25" s="173"/>
      <c r="AB25" s="173"/>
      <c r="AC25" s="173"/>
      <c r="AD25" s="173"/>
      <c r="AE25" s="173"/>
    </row>
    <row r="26" spans="1:31" x14ac:dyDescent="0.2">
      <c r="A26" s="173"/>
      <c r="B26" s="173"/>
      <c r="C26" s="173"/>
      <c r="D26" s="173"/>
      <c r="E26"/>
      <c r="F26" s="173"/>
      <c r="G26" s="173"/>
      <c r="H26" s="173"/>
      <c r="I26" s="173"/>
      <c r="J26"/>
      <c r="K26" s="173"/>
      <c r="L26" s="173"/>
      <c r="M26" s="173"/>
      <c r="N26" s="173"/>
      <c r="P26" s="175"/>
      <c r="Q26" s="175"/>
      <c r="R26"/>
      <c r="S26" s="173"/>
      <c r="T26" s="173"/>
      <c r="U26" s="173">
        <f ca="1"/>
        <v>0.4466012891279314</v>
      </c>
      <c r="V26" s="173">
        <f ca="1"/>
        <v>3.5</v>
      </c>
      <c r="W26" s="173">
        <f ca="1"/>
        <v>0.88659061794513017</v>
      </c>
      <c r="X26" s="173"/>
      <c r="Z26" s="173"/>
      <c r="AA26" s="173"/>
      <c r="AB26" s="173"/>
      <c r="AC26" s="173"/>
      <c r="AD26" s="173"/>
      <c r="AE26" s="173"/>
    </row>
    <row r="27" spans="1:31" x14ac:dyDescent="0.2">
      <c r="A27" s="173"/>
      <c r="B27" s="173"/>
      <c r="C27" s="173"/>
      <c r="D27" s="173"/>
      <c r="E27"/>
      <c r="F27" s="173"/>
      <c r="G27" s="173"/>
      <c r="H27" s="173"/>
      <c r="I27" s="173"/>
      <c r="J27"/>
      <c r="K27" s="173"/>
      <c r="L27" s="173"/>
      <c r="M27" s="173"/>
      <c r="N27" s="173"/>
      <c r="Q27" s="175"/>
      <c r="R27"/>
      <c r="S27" s="173"/>
      <c r="T27" s="173"/>
      <c r="U27" s="173">
        <f ca="1"/>
        <v>0.39692802090564849</v>
      </c>
      <c r="V27" s="173">
        <f ca="1"/>
        <v>2.5</v>
      </c>
      <c r="W27" s="173">
        <f ca="1"/>
        <v>0.65968782186736963</v>
      </c>
      <c r="X27" s="173"/>
      <c r="Z27" s="173"/>
      <c r="AA27" s="173"/>
      <c r="AB27" s="173"/>
      <c r="AC27" s="173"/>
      <c r="AD27" s="173"/>
      <c r="AE27" s="173"/>
    </row>
    <row r="28" spans="1:31" x14ac:dyDescent="0.2">
      <c r="A28" s="173"/>
      <c r="B28" s="173"/>
      <c r="C28" s="173"/>
      <c r="D28" s="173"/>
      <c r="E28"/>
      <c r="F28" s="173"/>
      <c r="G28" s="173"/>
      <c r="H28" s="173"/>
      <c r="I28" s="173"/>
      <c r="J28"/>
      <c r="K28" s="173"/>
      <c r="L28" s="173"/>
      <c r="M28" s="173"/>
      <c r="N28" s="173"/>
      <c r="P28" s="121"/>
      <c r="Q28" s="121"/>
      <c r="R28"/>
      <c r="S28" s="173"/>
      <c r="T28" s="173"/>
      <c r="U28" s="173"/>
      <c r="V28" s="173"/>
      <c r="W28" s="173"/>
      <c r="X28" s="173"/>
      <c r="Z28" s="173"/>
      <c r="AA28" s="173"/>
      <c r="AB28" s="173"/>
      <c r="AC28" s="173"/>
      <c r="AD28" s="173"/>
      <c r="AE28" s="173"/>
    </row>
    <row r="29" spans="1:31" x14ac:dyDescent="0.2">
      <c r="A29" s="173"/>
      <c r="B29" s="173"/>
      <c r="C29" s="173"/>
      <c r="D29" s="173"/>
      <c r="E29"/>
      <c r="F29" s="173"/>
      <c r="G29" s="173"/>
      <c r="H29" s="173"/>
      <c r="I29" s="173"/>
      <c r="J29"/>
      <c r="K29" s="173"/>
      <c r="L29" s="173"/>
      <c r="M29" s="173"/>
      <c r="N29" s="173"/>
      <c r="P29" s="121"/>
      <c r="Q29" s="121"/>
      <c r="R29"/>
      <c r="S29" s="173"/>
      <c r="T29" s="173"/>
      <c r="U29" s="173"/>
      <c r="V29" s="173"/>
      <c r="W29" s="173"/>
      <c r="X29" s="173"/>
      <c r="Z29" s="173"/>
      <c r="AA29" s="173"/>
      <c r="AB29" s="173"/>
      <c r="AC29" s="173"/>
      <c r="AD29" s="173"/>
      <c r="AE29" s="173"/>
    </row>
    <row r="30" spans="1:31" x14ac:dyDescent="0.2">
      <c r="A30" s="173"/>
      <c r="B30" s="173"/>
      <c r="C30" s="173"/>
      <c r="D30" s="173"/>
      <c r="E30"/>
      <c r="F30" s="173"/>
      <c r="G30" s="173"/>
      <c r="H30" s="173"/>
      <c r="I30" s="173"/>
      <c r="J30"/>
      <c r="K30" s="173"/>
      <c r="L30" s="173"/>
      <c r="M30" s="173"/>
      <c r="N30" s="173"/>
      <c r="P30" s="121"/>
      <c r="Q30" s="121"/>
      <c r="R30"/>
      <c r="S30" s="173"/>
      <c r="T30" s="173"/>
      <c r="U30" s="173"/>
      <c r="V30" s="173"/>
      <c r="W30" s="173"/>
      <c r="X30" s="173"/>
      <c r="Z30" s="173"/>
      <c r="AA30" s="173"/>
      <c r="AB30" s="173"/>
      <c r="AC30" s="173"/>
      <c r="AD30" s="173"/>
      <c r="AE30" s="173"/>
    </row>
    <row r="31" spans="1:31" x14ac:dyDescent="0.2">
      <c r="A31" s="173"/>
      <c r="B31" s="173"/>
      <c r="C31" s="173"/>
      <c r="D31" s="173"/>
      <c r="E31"/>
      <c r="F31" s="173"/>
      <c r="G31" s="173"/>
      <c r="H31" s="173"/>
      <c r="I31" s="173"/>
      <c r="J31"/>
      <c r="K31" s="173"/>
      <c r="L31" s="173"/>
      <c r="M31" s="173"/>
      <c r="N31" s="173"/>
      <c r="P31" s="121"/>
      <c r="Q31" s="121"/>
      <c r="R31"/>
      <c r="S31" s="173"/>
      <c r="T31" s="173"/>
      <c r="U31" s="173"/>
      <c r="V31" s="173"/>
      <c r="W31" s="173"/>
      <c r="X31" s="173"/>
      <c r="Z31" s="173"/>
      <c r="AA31" s="173"/>
      <c r="AB31" s="173"/>
      <c r="AC31" s="173"/>
      <c r="AD31" s="173"/>
      <c r="AE31" s="173"/>
    </row>
    <row r="32" spans="1:31" x14ac:dyDescent="0.2">
      <c r="A32" s="173"/>
      <c r="B32" s="173"/>
      <c r="C32" s="173"/>
      <c r="D32" s="173"/>
      <c r="E32"/>
      <c r="F32" s="173"/>
      <c r="G32" s="173"/>
      <c r="H32" s="173"/>
      <c r="I32" s="173"/>
      <c r="J32"/>
      <c r="K32" s="173"/>
      <c r="L32" s="173"/>
      <c r="M32" s="173"/>
      <c r="N32" s="173"/>
      <c r="P32" s="121"/>
      <c r="Q32" s="121"/>
      <c r="R32"/>
      <c r="S32" s="173"/>
      <c r="T32" s="173"/>
      <c r="U32" s="173"/>
      <c r="V32" s="173"/>
      <c r="W32" s="173"/>
      <c r="X32" s="173"/>
      <c r="Z32" s="173"/>
      <c r="AA32" s="173"/>
      <c r="AB32" s="173"/>
      <c r="AC32" s="173"/>
      <c r="AD32" s="173"/>
      <c r="AE32" s="173"/>
    </row>
    <row r="33" spans="1:31" x14ac:dyDescent="0.2">
      <c r="A33" s="173"/>
      <c r="B33" s="173"/>
      <c r="C33" s="173"/>
      <c r="D33" s="173"/>
      <c r="E33"/>
      <c r="F33" s="173"/>
      <c r="G33" s="173"/>
      <c r="H33" s="173"/>
      <c r="I33" s="173"/>
      <c r="J33"/>
      <c r="K33" s="173"/>
      <c r="L33" s="173"/>
      <c r="M33" s="173"/>
      <c r="N33" s="173"/>
      <c r="P33" s="121"/>
      <c r="Q33" s="121"/>
      <c r="R33"/>
      <c r="S33" s="173"/>
      <c r="T33" s="173"/>
      <c r="U33" s="173"/>
      <c r="V33" s="173"/>
      <c r="W33" s="173"/>
      <c r="X33" s="173"/>
      <c r="Z33" s="173"/>
      <c r="AA33" s="173"/>
      <c r="AB33" s="173"/>
      <c r="AC33" s="173"/>
      <c r="AD33" s="173"/>
      <c r="AE33" s="173"/>
    </row>
    <row r="34" spans="1:31" x14ac:dyDescent="0.2">
      <c r="A34" s="173"/>
      <c r="B34" s="173"/>
      <c r="C34" s="173"/>
      <c r="D34" s="173"/>
      <c r="E34"/>
      <c r="F34" s="173"/>
      <c r="G34" s="173"/>
      <c r="H34" s="173"/>
      <c r="I34" s="173"/>
      <c r="J34"/>
      <c r="K34" s="173"/>
      <c r="L34" s="173"/>
      <c r="M34" s="173"/>
      <c r="N34" s="173"/>
      <c r="P34" s="121"/>
      <c r="Q34" s="121"/>
      <c r="R34"/>
      <c r="S34" s="173"/>
      <c r="T34" s="173"/>
      <c r="U34" s="173"/>
      <c r="V34" s="173"/>
      <c r="W34" s="173"/>
      <c r="X34" s="173"/>
      <c r="Z34" s="173"/>
      <c r="AA34" s="173"/>
      <c r="AB34" s="173"/>
      <c r="AC34" s="173"/>
      <c r="AD34" s="173"/>
      <c r="AE34" s="173"/>
    </row>
    <row r="35" spans="1:31" x14ac:dyDescent="0.2">
      <c r="A35" s="173"/>
      <c r="B35" s="173"/>
      <c r="C35" s="173"/>
      <c r="D35" s="173"/>
      <c r="E35"/>
      <c r="F35" s="173"/>
      <c r="G35" s="173"/>
      <c r="H35" s="173"/>
      <c r="I35" s="173"/>
      <c r="J35"/>
      <c r="K35" s="173"/>
      <c r="L35" s="173"/>
      <c r="M35" s="173"/>
      <c r="N35" s="173"/>
      <c r="P35" s="121"/>
      <c r="Q35" s="121"/>
      <c r="R35"/>
      <c r="S35" s="173"/>
      <c r="T35" s="173"/>
      <c r="U35" s="173"/>
      <c r="V35" s="173"/>
      <c r="W35" s="173"/>
      <c r="X35" s="173"/>
      <c r="Z35" s="173"/>
      <c r="AA35" s="173"/>
      <c r="AB35" s="173"/>
      <c r="AC35" s="173"/>
      <c r="AD35" s="173"/>
      <c r="AE35" s="173"/>
    </row>
    <row r="36" spans="1:31" x14ac:dyDescent="0.2">
      <c r="A36" s="173"/>
      <c r="B36" s="173"/>
      <c r="C36" s="173"/>
      <c r="D36" s="173"/>
      <c r="E36"/>
      <c r="F36" s="173"/>
      <c r="G36" s="173"/>
      <c r="H36" s="173"/>
      <c r="I36" s="173"/>
      <c r="J36"/>
      <c r="K36" s="173"/>
      <c r="L36" s="173"/>
      <c r="M36" s="173"/>
      <c r="N36" s="173"/>
      <c r="P36" s="121"/>
      <c r="Q36" s="121"/>
      <c r="R36"/>
      <c r="S36" s="173"/>
      <c r="T36" s="173"/>
      <c r="U36" s="173"/>
      <c r="V36" s="173"/>
      <c r="W36" s="173"/>
      <c r="X36" s="173"/>
      <c r="Z36" s="173"/>
      <c r="AA36" s="173"/>
      <c r="AB36" s="173"/>
      <c r="AC36" s="173"/>
      <c r="AD36" s="173"/>
      <c r="AE36" s="173"/>
    </row>
    <row r="37" spans="1:31" x14ac:dyDescent="0.2">
      <c r="A37" s="173"/>
      <c r="B37" s="173"/>
      <c r="C37" s="173"/>
      <c r="D37" s="173"/>
      <c r="E37"/>
      <c r="F37" s="173"/>
      <c r="G37" s="173"/>
      <c r="H37" s="173"/>
      <c r="I37" s="173"/>
      <c r="J37"/>
      <c r="K37" s="173"/>
      <c r="L37" s="173"/>
      <c r="M37" s="173"/>
      <c r="N37" s="173"/>
      <c r="P37" s="121"/>
      <c r="Q37" s="121"/>
      <c r="S37" s="173"/>
      <c r="T37" s="173"/>
      <c r="U37" s="173"/>
      <c r="V37" s="173"/>
      <c r="W37" s="173"/>
      <c r="X37" s="173"/>
      <c r="Z37" s="173"/>
      <c r="AA37" s="173"/>
      <c r="AB37" s="173"/>
      <c r="AC37" s="173"/>
      <c r="AD37" s="173"/>
      <c r="AE37" s="173"/>
    </row>
    <row r="38" spans="1:31" x14ac:dyDescent="0.2">
      <c r="A38" s="173"/>
      <c r="B38" s="173"/>
      <c r="C38" s="173"/>
      <c r="D38" s="173"/>
      <c r="E38"/>
      <c r="F38" s="173"/>
      <c r="G38" s="173"/>
      <c r="H38" s="173"/>
      <c r="I38" s="173"/>
      <c r="J38"/>
      <c r="K38" s="173"/>
      <c r="L38" s="173"/>
      <c r="M38" s="173"/>
      <c r="N38" s="173"/>
      <c r="P38" s="121"/>
      <c r="Q38" s="121"/>
      <c r="S38" s="173"/>
      <c r="T38" s="173"/>
      <c r="U38" s="173"/>
      <c r="V38" s="173"/>
      <c r="W38" s="173"/>
      <c r="X38" s="173"/>
      <c r="Z38" s="173"/>
      <c r="AA38" s="173"/>
      <c r="AB38" s="173"/>
      <c r="AC38" s="173"/>
      <c r="AD38" s="173"/>
      <c r="AE38" s="173"/>
    </row>
    <row r="39" spans="1:31" x14ac:dyDescent="0.2">
      <c r="A39" s="173"/>
      <c r="B39" s="173"/>
      <c r="C39" s="173"/>
      <c r="D39" s="173"/>
      <c r="E39"/>
      <c r="F39" s="173"/>
      <c r="G39" s="173"/>
      <c r="H39" s="173"/>
      <c r="I39" s="173"/>
      <c r="J39"/>
      <c r="K39" s="173"/>
      <c r="L39" s="173"/>
      <c r="M39" s="173"/>
      <c r="N39" s="173"/>
      <c r="P39" s="121"/>
      <c r="Q39" s="121"/>
      <c r="S39" s="173"/>
      <c r="T39" s="173"/>
      <c r="U39" s="173"/>
      <c r="V39" s="173"/>
      <c r="W39" s="173"/>
      <c r="X39" s="173"/>
      <c r="Z39" s="173"/>
      <c r="AA39" s="173"/>
      <c r="AB39" s="173"/>
      <c r="AC39" s="173"/>
      <c r="AD39" s="173"/>
      <c r="AE39" s="173"/>
    </row>
    <row r="40" spans="1:31" x14ac:dyDescent="0.2">
      <c r="A40" s="173"/>
      <c r="B40" s="173"/>
      <c r="C40" s="173"/>
      <c r="D40" s="173"/>
      <c r="E40"/>
      <c r="F40" s="173"/>
      <c r="G40" s="173"/>
      <c r="H40" s="173"/>
      <c r="I40" s="173"/>
      <c r="J40"/>
      <c r="K40" s="173"/>
      <c r="L40" s="173"/>
      <c r="M40" s="173"/>
      <c r="N40" s="173"/>
      <c r="P40" s="121"/>
      <c r="Q40" s="121"/>
      <c r="S40" s="173"/>
      <c r="T40" s="173"/>
      <c r="U40" s="173"/>
      <c r="V40" s="173"/>
      <c r="W40" s="173"/>
      <c r="X40" s="173"/>
      <c r="Z40" s="173"/>
      <c r="AA40" s="173"/>
      <c r="AB40" s="173"/>
      <c r="AC40" s="173"/>
      <c r="AD40" s="173"/>
      <c r="AE40" s="173"/>
    </row>
    <row r="41" spans="1:31" x14ac:dyDescent="0.2">
      <c r="A41" s="173"/>
      <c r="B41" s="173"/>
      <c r="C41" s="173"/>
      <c r="D41" s="173"/>
      <c r="E41"/>
      <c r="F41" s="173"/>
      <c r="G41" s="173"/>
      <c r="H41" s="173"/>
      <c r="I41" s="173"/>
      <c r="J41"/>
      <c r="K41" s="173"/>
      <c r="L41" s="173"/>
      <c r="M41" s="173"/>
      <c r="N41" s="173"/>
      <c r="P41" s="121"/>
      <c r="Q41" s="121"/>
      <c r="S41" s="173"/>
      <c r="T41" s="173"/>
      <c r="U41" s="173"/>
      <c r="V41" s="173"/>
      <c r="W41" s="173"/>
      <c r="X41" s="173"/>
      <c r="Z41" s="173"/>
      <c r="AA41" s="173"/>
      <c r="AB41" s="173"/>
      <c r="AC41" s="173"/>
      <c r="AD41" s="173"/>
      <c r="AE41" s="173"/>
    </row>
    <row r="42" spans="1:31" x14ac:dyDescent="0.2">
      <c r="A42" s="173"/>
      <c r="B42" s="173"/>
      <c r="C42" s="173"/>
      <c r="D42" s="173"/>
      <c r="E42"/>
      <c r="F42" s="173"/>
      <c r="G42" s="173"/>
      <c r="H42" s="173"/>
      <c r="I42" s="173"/>
      <c r="J42"/>
      <c r="K42" s="173"/>
      <c r="L42" s="173"/>
      <c r="M42" s="173"/>
      <c r="N42" s="173"/>
      <c r="P42" s="121"/>
      <c r="Q42" s="121"/>
      <c r="S42" s="173"/>
      <c r="T42" s="173"/>
      <c r="U42" s="173"/>
      <c r="V42" s="173"/>
      <c r="W42" s="173"/>
      <c r="X42" s="173"/>
      <c r="Z42" s="173"/>
      <c r="AA42" s="173"/>
      <c r="AB42" s="173"/>
      <c r="AC42" s="173"/>
      <c r="AD42" s="173"/>
      <c r="AE42" s="173"/>
    </row>
    <row r="43" spans="1:31" x14ac:dyDescent="0.2">
      <c r="A43" s="173"/>
      <c r="B43" s="173"/>
      <c r="C43" s="173"/>
      <c r="D43" s="173"/>
      <c r="E43"/>
      <c r="F43" s="173"/>
      <c r="G43" s="173"/>
      <c r="H43" s="173"/>
      <c r="I43" s="173"/>
      <c r="J43"/>
      <c r="K43" s="173"/>
      <c r="L43" s="173"/>
      <c r="M43" s="173"/>
      <c r="N43" s="173"/>
      <c r="P43" s="121"/>
      <c r="Q43" s="121"/>
      <c r="S43" s="173"/>
      <c r="T43" s="173"/>
      <c r="U43" s="173"/>
      <c r="V43" s="173"/>
      <c r="W43" s="173"/>
      <c r="X43" s="173"/>
      <c r="Z43" s="173"/>
      <c r="AA43" s="173"/>
      <c r="AB43" s="173"/>
      <c r="AC43" s="173"/>
      <c r="AD43" s="173"/>
      <c r="AE43" s="173"/>
    </row>
  </sheetData>
  <phoneticPr fontId="15" type="noConversion"/>
  <dataValidations count="9">
    <dataValidation type="custom" allowBlank="1" showInputMessage="1" showErrorMessage="1" errorTitle="Vælg et tal" error="Indtast et tal." promptTitle="Vælg en standardafvigelse" prompt="Indtast et tal." sqref="B7 AA7" xr:uid="{1D71C439-7925-4931-AD66-F83A8A75B550}">
      <formula1>ISNUMBER(B7)</formula1>
    </dataValidation>
    <dataValidation type="custom" allowBlank="1" showInputMessage="1" showErrorMessage="1" errorTitle="Vælg et tal" error="Indtast et tal." promptTitle="Vælg et gennemsnit" prompt="Indtast et tal." sqref="B6 AA6" xr:uid="{EB341349-BABA-491C-8F3C-AEBB41E4FB58}">
      <formula1>ISNUMBER(B6)</formula1>
    </dataValidation>
    <dataValidation type="decimal" allowBlank="1" showInputMessage="1" showErrorMessage="1" errorTitle="Vælg en sandsynlighed" error="Indtast et procenttal mellem 0% og 100%." promptTitle="Vælg en sandsynlighed" prompt="Indtast et procenttal mellem 0% og 100%." sqref="G6" xr:uid="{AC15579F-AC3E-44B0-BB49-DBE30121A190}">
      <formula1>0</formula1>
      <formula2>1</formula2>
    </dataValidation>
    <dataValidation type="whole" operator="greaterThanOrEqual" allowBlank="1" showInputMessage="1" showErrorMessage="1" errorTitle="Vælg et naturligt antal" error="Indtast et heltal som er lig med eller større end 0." promptTitle="Vælg en frekvens" prompt="Indtast et heltal som er lig med eller større end 0." sqref="Q14:Q43" xr:uid="{FD64E20A-812A-4CD4-B44D-CE69EB2CFFD5}">
      <formula1>0</formula1>
    </dataValidation>
    <dataValidation type="custom" allowBlank="1" showInputMessage="1" showErrorMessage="1" errorTitle="Vælg et tal" error="Indtast et tal." promptTitle="Vælg et minimum" prompt="Indtast et tal." sqref="L6" xr:uid="{437EFE67-B984-47E6-AF99-8DB45932574C}">
      <formula1>ISNUMBER(L6)</formula1>
    </dataValidation>
    <dataValidation type="custom" allowBlank="1" showInputMessage="1" showErrorMessage="1" errorTitle="Vælg et tal" error="Indtast et tal." promptTitle="Vælg et maksimum" prompt="Indtast et tal." sqref="L7" xr:uid="{CF36BF4A-38FB-4DF4-AC2A-F9393D1DBFA1}">
      <formula1>ISNUMBER(L7)</formula1>
    </dataValidation>
    <dataValidation type="whole" operator="greaterThan" allowBlank="1" showInputMessage="1" showErrorMessage="1" errorTitle="Vælg et heltal" error="Indtast et heltal, der er større end 1." promptTitle="Vælg en populationsstørrelse" prompt="Indtast et heltal, der er større end 1." sqref="G8 B8 L8 AA8" xr:uid="{16EE1B2B-A9E1-4BA3-BF7D-A12D50316387}">
      <formula1>1</formula1>
    </dataValidation>
    <dataValidation type="whole" allowBlank="1" showInputMessage="1" showErrorMessage="1" errorTitle="Vælg et heltal" error="Indtast et heltal, der er større end 0 og mindre end populationsstørrelsen." promptTitle="Vælg en stikprøvestørrelse" prompt="Indtast et heltal, der er større end 0 og mindre end populationsstørrelsen." sqref="B9 L9 G9 Q7 AA9" xr:uid="{93F387D5-B40A-4156-ABD3-CADF4FF554D5}">
      <formula1>1</formula1>
      <formula2>B6</formula2>
    </dataValidation>
    <dataValidation type="custom" allowBlank="1" showInputMessage="1" showErrorMessage="1" errorTitle="Vælg skævhedens retning" error="Vælg Sand (positiv skævhed) eller Falsk (negativ skævhed)." promptTitle="Vælg skævhedens retning" prompt="Vælg Sand (positiv skævhed) eller Falsk (negativ skævhed)." sqref="AA10" xr:uid="{01DC8C7A-283D-48A4-A487-2D0ABAEB869C}">
      <formula1>ISLOGICAL(AA10)</formula1>
    </dataValidation>
  </dataValidations>
  <hyperlinks>
    <hyperlink ref="B1" location="V_Manual_DataGenerator" display="Gå til Manual i brug af Data generator arket               " xr:uid="{519893D9-260B-4087-B566-0016E39C4A96}"/>
  </hyperlinks>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kument" ma:contentTypeID="0x01010030C11CFABFF98349BD7BFD4811820EAF" ma:contentTypeVersion="5" ma:contentTypeDescription="Opret et nyt dokument." ma:contentTypeScope="" ma:versionID="c492f6f430c3829265f02a6c04163758">
  <xsd:schema xmlns:xsd="http://www.w3.org/2001/XMLSchema" xmlns:xs="http://www.w3.org/2001/XMLSchema" xmlns:p="http://schemas.microsoft.com/office/2006/metadata/properties" xmlns:ns3="7096a9c3-13d0-44a4-a2f7-39c55b9e22c7" xmlns:ns4="ffe4fa7a-95c0-4837-89bf-7ba97c147df7" targetNamespace="http://schemas.microsoft.com/office/2006/metadata/properties" ma:root="true" ma:fieldsID="619340582a67895998d3c54a2923d467" ns3:_="" ns4:_="">
    <xsd:import namespace="7096a9c3-13d0-44a4-a2f7-39c55b9e22c7"/>
    <xsd:import namespace="ffe4fa7a-95c0-4837-89bf-7ba97c147df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096a9c3-13d0-44a4-a2f7-39c55b9e22c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fe4fa7a-95c0-4837-89bf-7ba97c147df7" elementFormDefault="qualified">
    <xsd:import namespace="http://schemas.microsoft.com/office/2006/documentManagement/types"/>
    <xsd:import namespace="http://schemas.microsoft.com/office/infopath/2007/PartnerControls"/>
    <xsd:element name="SharedWithUsers" ma:index="10"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lt med detaljer" ma:internalName="SharedWithDetails" ma:readOnly="true">
      <xsd:simpleType>
        <xsd:restriction base="dms:Note">
          <xsd:maxLength value="255"/>
        </xsd:restriction>
      </xsd:simpleType>
    </xsd:element>
    <xsd:element name="SharingHintHash" ma:index="12" nillable="true" ma:displayName="Hashværdi for deling"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D1A4B8E-7370-43D7-87A4-76B8BFC80C03}">
  <ds:schemaRefs>
    <ds:schemaRef ds:uri="7096a9c3-13d0-44a4-a2f7-39c55b9e22c7"/>
    <ds:schemaRef ds:uri="http://schemas.microsoft.com/office/2006/metadata/properties"/>
    <ds:schemaRef ds:uri="http://www.w3.org/XML/1998/namespace"/>
    <ds:schemaRef ds:uri="http://schemas.microsoft.com/office/2006/documentManagement/types"/>
    <ds:schemaRef ds:uri="http://purl.org/dc/elements/1.1/"/>
    <ds:schemaRef ds:uri="http://schemas.openxmlformats.org/package/2006/metadata/core-properties"/>
    <ds:schemaRef ds:uri="ffe4fa7a-95c0-4837-89bf-7ba97c147df7"/>
    <ds:schemaRef ds:uri="http://schemas.microsoft.com/office/infopath/2007/PartnerControls"/>
    <ds:schemaRef ds:uri="http://purl.org/dc/dcmitype/"/>
    <ds:schemaRef ds:uri="http://purl.org/dc/terms/"/>
  </ds:schemaRefs>
</ds:datastoreItem>
</file>

<file path=customXml/itemProps2.xml><?xml version="1.0" encoding="utf-8"?>
<ds:datastoreItem xmlns:ds="http://schemas.openxmlformats.org/officeDocument/2006/customXml" ds:itemID="{ECFBC3DE-D1C0-45C7-BFCE-96CD4F9A3A30}">
  <ds:schemaRefs>
    <ds:schemaRef ds:uri="http://schemas.microsoft.com/DataMashup"/>
  </ds:schemaRefs>
</ds:datastoreItem>
</file>

<file path=customXml/itemProps3.xml><?xml version="1.0" encoding="utf-8"?>
<ds:datastoreItem xmlns:ds="http://schemas.openxmlformats.org/officeDocument/2006/customXml" ds:itemID="{4A043E7E-7780-43FB-811A-ECD9D04175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096a9c3-13d0-44a4-a2f7-39c55b9e22c7"/>
    <ds:schemaRef ds:uri="ffe4fa7a-95c0-4837-89bf-7ba97c147d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67E941B9-A812-43B6-8E71-7AD0BE65C28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67</vt:i4>
      </vt:variant>
    </vt:vector>
  </HeadingPairs>
  <TitlesOfParts>
    <vt:vector size="81" baseType="lpstr">
      <vt:lpstr>Velkommen</vt:lpstr>
      <vt:lpstr>Data</vt:lpstr>
      <vt:lpstr>DataBeregning</vt:lpstr>
      <vt:lpstr>Lister</vt:lpstr>
      <vt:lpstr>BeskrivendeStatistik</vt:lpstr>
      <vt:lpstr>Sandsynlighed</vt:lpstr>
      <vt:lpstr>Estimation</vt:lpstr>
      <vt:lpstr>Estimation Beregninger</vt:lpstr>
      <vt:lpstr>LineærRegression</vt:lpstr>
      <vt:lpstr>Lineær regression slicer</vt:lpstr>
      <vt:lpstr>Beregningsark</vt:lpstr>
      <vt:lpstr>ANOVA</vt:lpstr>
      <vt:lpstr>ANOVA slicer</vt:lpstr>
      <vt:lpstr>DataGenerator</vt:lpstr>
      <vt:lpstr>Beregningsmetode_liste</vt:lpstr>
      <vt:lpstr>DataHeaders</vt:lpstr>
      <vt:lpstr>E_a_aktiv</vt:lpstr>
      <vt:lpstr>E_g_aktiv</vt:lpstr>
      <vt:lpstr>E_i_aktiv</vt:lpstr>
      <vt:lpstr>E_k_aktiv</vt:lpstr>
      <vt:lpstr>E_s_aktiv</vt:lpstr>
      <vt:lpstr>Eu_a_a_x</vt:lpstr>
      <vt:lpstr>Eu_a_a_y</vt:lpstr>
      <vt:lpstr>Eu_a_h0_x</vt:lpstr>
      <vt:lpstr>Eu_a_h0_y</vt:lpstr>
      <vt:lpstr>Eu_a_konfidensniveau</vt:lpstr>
      <vt:lpstr>Eu_a_n_x</vt:lpstr>
      <vt:lpstr>Eu_a_n_y</vt:lpstr>
      <vt:lpstr>Eu_a_ønsket_fejlmargin</vt:lpstr>
      <vt:lpstr>Eu_a_t_x</vt:lpstr>
      <vt:lpstr>Eu_a_t_y</vt:lpstr>
      <vt:lpstr>Eu_g_g_x</vt:lpstr>
      <vt:lpstr>Eu_g_g_y</vt:lpstr>
      <vt:lpstr>Eu_g_h0_x</vt:lpstr>
      <vt:lpstr>Eu_g_h0_y</vt:lpstr>
      <vt:lpstr>Eu_g_konfidensniveau</vt:lpstr>
      <vt:lpstr>Eu_g_n_x</vt:lpstr>
      <vt:lpstr>Eu_g_n_y</vt:lpstr>
      <vt:lpstr>Eu_g_ønsket_fejlmargin</vt:lpstr>
      <vt:lpstr>Eu_g_s_population_x</vt:lpstr>
      <vt:lpstr>Eu_g_s_population_y</vt:lpstr>
      <vt:lpstr>Eu_g_s_x</vt:lpstr>
      <vt:lpstr>Eu_g_s_y</vt:lpstr>
      <vt:lpstr>Eu_g_t_x</vt:lpstr>
      <vt:lpstr>Eu_g_t_y</vt:lpstr>
      <vt:lpstr>Eu_i_h0_x</vt:lpstr>
      <vt:lpstr>Eu_i_h0_y</vt:lpstr>
      <vt:lpstr>Eu_i_i_x</vt:lpstr>
      <vt:lpstr>Eu_i_i_y</vt:lpstr>
      <vt:lpstr>Eu_i_konfidensniveau</vt:lpstr>
      <vt:lpstr>Eu_i_n_x</vt:lpstr>
      <vt:lpstr>Eu_i_n_y</vt:lpstr>
      <vt:lpstr>Eu_i_ønsket_fejlmargin</vt:lpstr>
      <vt:lpstr>Eu_i_t_x</vt:lpstr>
      <vt:lpstr>Eu_i_t_y</vt:lpstr>
      <vt:lpstr>Eu_k_antal_koefficienter</vt:lpstr>
      <vt:lpstr>Eu_k_h0</vt:lpstr>
      <vt:lpstr>Eu_k_k</vt:lpstr>
      <vt:lpstr>Eu_k_konfidensniveau</vt:lpstr>
      <vt:lpstr>Eu_k_n</vt:lpstr>
      <vt:lpstr>Eu_k_s</vt:lpstr>
      <vt:lpstr>Eu_k_t</vt:lpstr>
      <vt:lpstr>Eu_s_h0_x</vt:lpstr>
      <vt:lpstr>Eu_s_konfidensniveau</vt:lpstr>
      <vt:lpstr>Eu_s_n_x</vt:lpstr>
      <vt:lpstr>Eu_s_n_y</vt:lpstr>
      <vt:lpstr>Eu_s_s_x</vt:lpstr>
      <vt:lpstr>Eu_s_s_y</vt:lpstr>
      <vt:lpstr>Eu_s_t_x</vt:lpstr>
      <vt:lpstr>Eu_s_t_y</vt:lpstr>
      <vt:lpstr>Fordeling_liste</vt:lpstr>
      <vt:lpstr>HypoteseRetning_liste</vt:lpstr>
      <vt:lpstr>Hypotesetype_Liste</vt:lpstr>
      <vt:lpstr>Inkluderet_Liste</vt:lpstr>
      <vt:lpstr>SandFalsk_liste</vt:lpstr>
      <vt:lpstr>V_Manual_Beskrivende_Statistik</vt:lpstr>
      <vt:lpstr>V_Manual_Data</vt:lpstr>
      <vt:lpstr>V_Manual_DataGenerator</vt:lpstr>
      <vt:lpstr>V_Manual_Konfidens_og_Hypoteser</vt:lpstr>
      <vt:lpstr>V_Manual_Lineær_Regression</vt:lpstr>
      <vt:lpstr>V_Manual_Sandsynlighed</vt:lpstr>
    </vt:vector>
  </TitlesOfParts>
  <Company>EFIF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JBKstat</dc:title>
  <dc:creator>Jakob</dc:creator>
  <cp:lastModifiedBy>Jakob</cp:lastModifiedBy>
  <cp:lastPrinted>2019-08-09T07:03:21Z</cp:lastPrinted>
  <dcterms:created xsi:type="dcterms:W3CDTF">2018-12-03T09:30:39Z</dcterms:created>
  <dcterms:modified xsi:type="dcterms:W3CDTF">2021-01-03T14:38:08Z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0x01010030C11CFABFF98349BD7BFD4811820EAF</vt:lpwstr>
  </property>
</Properties>
</file>